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9.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AB. FUCREA\FPTA 2020 de pasto a leche\PROYECTO EJECUCION\Capacitacion\Presupuestos\FINAL - Planilla y Manual\Version 1.1. Web dic 20\"/>
    </mc:Choice>
  </mc:AlternateContent>
  <bookViews>
    <workbookView xWindow="0" yWindow="0" windowWidth="25135" windowHeight="11572" tabRatio="839" activeTab="8"/>
  </bookViews>
  <sheets>
    <sheet name="Manual" sheetId="75" r:id="rId1"/>
    <sheet name="General" sheetId="69" r:id="rId2"/>
    <sheet name="Precios" sheetId="40" r:id="rId3"/>
    <sheet name="Forrajes" sheetId="65" r:id="rId4"/>
    <sheet name="InsumosCultivos" sheetId="79" r:id="rId5"/>
    <sheet name="UsoSuelo" sheetId="64" r:id="rId6"/>
    <sheet name="A.Lecheros" sheetId="73" r:id="rId7"/>
    <sheet name="A.Ganaderos" sheetId="85" r:id="rId8"/>
    <sheet name="Alimentos" sheetId="77" r:id="rId9"/>
    <sheet name="ResFísico" sheetId="71" r:id="rId10"/>
    <sheet name="Ingresos" sheetId="74" r:id="rId11"/>
    <sheet name="Egresos" sheetId="8" r:id="rId12"/>
    <sheet name="MovFinancieros" sheetId="9" r:id="rId13"/>
    <sheet name="FinancieroMensual" sheetId="10" r:id="rId14"/>
    <sheet name="FinancieroAnual" sheetId="25" r:id="rId15"/>
    <sheet name="EconómicoMensual" sheetId="80" r:id="rId16"/>
    <sheet name="EconómicoAnual" sheetId="61" r:id="rId17"/>
    <sheet name="Márgenes" sheetId="83" r:id="rId18"/>
    <sheet name="Suplementos" sheetId="76" r:id="rId19"/>
    <sheet name="Escenarios" sheetId="81" state="hidden" r:id="rId20"/>
    <sheet name="Hoja1" sheetId="86" r:id="rId21"/>
  </sheets>
  <definedNames>
    <definedName name="\">Precios!$B$87:$B$100</definedName>
    <definedName name="_xlnm._FilterDatabase" localSheetId="6" hidden="1">A.Lecheros!#REF!</definedName>
    <definedName name="_xlnm._FilterDatabase" localSheetId="11" hidden="1">Egresos!#REF!</definedName>
    <definedName name="_xlnm._FilterDatabase" localSheetId="3" hidden="1">Forrajes!#REF!</definedName>
    <definedName name="_xlnm._FilterDatabase" localSheetId="5" hidden="1">UsoSuelo!$B$8:$R$100</definedName>
    <definedName name="agripast">InsumosCultivos!$D$1159:$D$1161</definedName>
    <definedName name="_xlnm.Print_Area" localSheetId="16">EconómicoAnual!$A$1:$I$115</definedName>
    <definedName name="_xlnm.Print_Area" localSheetId="11">Egresos!$B$8:$P$207</definedName>
    <definedName name="_xlnm.Print_Area" localSheetId="14">FinancieroAnual!$B$1:$I$59</definedName>
    <definedName name="_xlnm.Print_Area" localSheetId="13">FinancieroMensual!$B$6:$O$62</definedName>
    <definedName name="_xlnm.Print_Area" localSheetId="9">ResFísico!$A$1:$C$92</definedName>
    <definedName name="_xlnm.Print_Area" localSheetId="5">UsoSuelo!$B$4:$R$39</definedName>
    <definedName name="áreastambo">UsoSuelo!$D$638:$D$640</definedName>
    <definedName name="areastambo2">UsoSuelo!$D$9</definedName>
    <definedName name="areastambo3">UsoSuelo!$D$10</definedName>
    <definedName name="areastambo4">UsoSuelo!$T$400:$T$402</definedName>
    <definedName name="areastambo6">UsoSuelo!$C$395:$C$397</definedName>
    <definedName name="areatambo">UsoSuelo!#REF!</definedName>
    <definedName name="cobroleche">General!$B$172:$B$174</definedName>
    <definedName name="cobropago">A.Lecheros!$E$357:$E$359</definedName>
    <definedName name="concentrado">Suplementos!$I$60:$I$138</definedName>
    <definedName name="concentradogan">ResFísico!$E$211:$E$214</definedName>
    <definedName name="concgan">ResFísico!$B$211:$B$214</definedName>
    <definedName name="conclech">ResFísico!$E$160:$E$172</definedName>
    <definedName name="cosecha">Precios!$H$87:$H$100</definedName>
    <definedName name="CtasCobrar">MovFinancieros!$B$6</definedName>
    <definedName name="CuentasPagar">MovFinancieros!$B$21</definedName>
    <definedName name="ddf">UsoSuelo!$C$638:$D$640</definedName>
    <definedName name="Dotgan">ResFísico!$E$193:$E$200</definedName>
    <definedName name="DotLech">ResFísico!$E$98:$E$120</definedName>
    <definedName name="Forraje">Forrajes!$B$14:$B$105</definedName>
    <definedName name="ganad">ResFísico!$E$204:$E$207</definedName>
    <definedName name="gna">Ingresos!$B$717:$D$721</definedName>
    <definedName name="insumos">ResFísico!$G$168</definedName>
    <definedName name="InteresesPagar">MovFinancieros!$B$51</definedName>
    <definedName name="Inversiones">MovFinancieros!$B$80</definedName>
    <definedName name="labores">Precios!$B$87:$B$100</definedName>
    <definedName name="Lecheria">ResFísico!$E$124:$G$156</definedName>
    <definedName name="lecheria1">ResFísico!$E$124:$E$156</definedName>
    <definedName name="listaagroquimicos">Precios!$B$58:$B$80</definedName>
    <definedName name="listafertilizante">Precios!$B$46:$B$52</definedName>
    <definedName name="ListaLabores">Precios!$B$87:$B$100</definedName>
    <definedName name="ListaSemillas">Precios!$B$9:$B$40</definedName>
    <definedName name="Machos">A.Lecheros!$C$357:$C$358</definedName>
    <definedName name="machos2">A.Lecheros!$C$352:$C$354</definedName>
    <definedName name="machos3">A.Lecheros!$C$357:$C$359</definedName>
    <definedName name="Mes">Forrajes!$M$8:$X$8</definedName>
    <definedName name="NuevosCred">MovFinancieros!$B$95</definedName>
    <definedName name="opcionesforrajeras">Forrajes!$B$112:$B$194</definedName>
    <definedName name="opforrajes">Forrajes!$B$112:$B$197</definedName>
    <definedName name="oSueloT352">InsumosCultivos!$C$748</definedName>
    <definedName name="OtrasDeudas">MovFinancieros!$B$36</definedName>
    <definedName name="pagoleche">General!$B$172:$B$174</definedName>
    <definedName name="perdida">General!$B$177:$B$180</definedName>
    <definedName name="perdida2">General!$C$121</definedName>
    <definedName name="perdidacon">General!$B$176:$D$180</definedName>
    <definedName name="perdidaconcentrado">General!#REF!</definedName>
    <definedName name="perdidaconcetrado">General!$C$121</definedName>
    <definedName name="prodforra">ResFísico!$E$176:$E$189</definedName>
    <definedName name="racion">Precios!$F$162:$F$165</definedName>
    <definedName name="reserva">Suplementos!$I$9:$I$56</definedName>
    <definedName name="reserva.concentrado">Suplementos!$I$9:$I$138</definedName>
    <definedName name="siembra">Forrajes!$D$112:$D$172</definedName>
    <definedName name="sino">General!$B$169:$B$170</definedName>
    <definedName name="solver_adj" localSheetId="8" hidden="1">Alimentos!#REF!</definedName>
    <definedName name="solver_cvg" localSheetId="8" hidden="1">0.0001</definedName>
    <definedName name="solver_drv" localSheetId="8" hidden="1">1</definedName>
    <definedName name="solver_eng" localSheetId="8" hidden="1">1</definedName>
    <definedName name="solver_est" localSheetId="8" hidden="1">1</definedName>
    <definedName name="solver_itr" localSheetId="8" hidden="1">2147483647</definedName>
    <definedName name="solver_lhs1" localSheetId="8" hidden="1">Alimentos!#REF!</definedName>
    <definedName name="solver_lhs2" localSheetId="8" hidden="1">Alimentos!#REF!</definedName>
    <definedName name="solver_lhs3" localSheetId="8" hidden="1">Alimentos!#REF!</definedName>
    <definedName name="solver_lhs4" localSheetId="8" hidden="1">Alimentos!#REF!</definedName>
    <definedName name="solver_lhs5" localSheetId="8" hidden="1">Alimentos!#REF!</definedName>
    <definedName name="solver_mip" localSheetId="8" hidden="1">2147483647</definedName>
    <definedName name="solver_mni" localSheetId="8" hidden="1">30</definedName>
    <definedName name="solver_mrt" localSheetId="8" hidden="1">0.075</definedName>
    <definedName name="solver_msl" localSheetId="8" hidden="1">2</definedName>
    <definedName name="solver_neg" localSheetId="8" hidden="1">1</definedName>
    <definedName name="solver_nod" localSheetId="8" hidden="1">2147483647</definedName>
    <definedName name="solver_num" localSheetId="8" hidden="1">5</definedName>
    <definedName name="solver_nwt" localSheetId="8" hidden="1">1</definedName>
    <definedName name="solver_opt" localSheetId="8" hidden="1">Alimentos!#REF!</definedName>
    <definedName name="solver_pre" localSheetId="8" hidden="1">0.000001</definedName>
    <definedName name="solver_rbv" localSheetId="8" hidden="1">1</definedName>
    <definedName name="solver_rel1" localSheetId="8" hidden="1">1</definedName>
    <definedName name="solver_rel2" localSheetId="8" hidden="1">1</definedName>
    <definedName name="solver_rel3" localSheetId="8" hidden="1">1</definedName>
    <definedName name="solver_rel4" localSheetId="8" hidden="1">3</definedName>
    <definedName name="solver_rel5" localSheetId="8" hidden="1">3</definedName>
    <definedName name="solver_rhs1" localSheetId="8" hidden="1">Alimentos!#REF!</definedName>
    <definedName name="solver_rhs2" localSheetId="8" hidden="1">Alimentos!#REF!</definedName>
    <definedName name="solver_rhs3" localSheetId="8" hidden="1">Alimentos!#REF!</definedName>
    <definedName name="solver_rhs4" localSheetId="8" hidden="1">Alimentos!#REF!</definedName>
    <definedName name="solver_rhs5" localSheetId="8" hidden="1">Alimentos!#REF!</definedName>
    <definedName name="solver_rlx" localSheetId="8" hidden="1">2</definedName>
    <definedName name="solver_rsd" localSheetId="8" hidden="1">0</definedName>
    <definedName name="solver_scl" localSheetId="8" hidden="1">1</definedName>
    <definedName name="solver_sho" localSheetId="8" hidden="1">2</definedName>
    <definedName name="solver_ssz" localSheetId="8" hidden="1">100</definedName>
    <definedName name="solver_tim" localSheetId="8" hidden="1">2147483647</definedName>
    <definedName name="solver_tol" localSheetId="8" hidden="1">0.01</definedName>
    <definedName name="solver_typ" localSheetId="8" hidden="1">2</definedName>
    <definedName name="solver_val" localSheetId="8" hidden="1">0</definedName>
    <definedName name="solver_ver" localSheetId="8" hidden="1">3</definedName>
    <definedName name="uso">UsoSuelo!$C$638:$D$640</definedName>
    <definedName name="ventacargan">Ingresos!$B$717:$B$721</definedName>
    <definedName name="ventacargana">Ingresos!$B$717:$D$721</definedName>
    <definedName name="ventaCarLech">A.Lecheros!$B$422:$B$433</definedName>
    <definedName name="ventagran">Ingresos!$B$724:$B$753</definedName>
  </definedNames>
  <calcPr calcId="162913"/>
  <fileRecoveryPr repairLoad="1"/>
</workbook>
</file>

<file path=xl/calcChain.xml><?xml version="1.0" encoding="utf-8"?>
<calcChain xmlns="http://schemas.openxmlformats.org/spreadsheetml/2006/main">
  <c r="G285" i="77" l="1"/>
  <c r="AG1373" i="79" l="1"/>
  <c r="AH1373" i="79"/>
  <c r="AI1373" i="79"/>
  <c r="AJ1373" i="79"/>
  <c r="AK1373" i="79"/>
  <c r="AL1373" i="79"/>
  <c r="AM1373" i="79"/>
  <c r="AN1373" i="79"/>
  <c r="AO1373" i="79"/>
  <c r="AP1373" i="79"/>
  <c r="AQ1373" i="79"/>
  <c r="AG1374" i="79"/>
  <c r="AH1374" i="79"/>
  <c r="AI1374" i="79"/>
  <c r="AJ1374" i="79"/>
  <c r="AK1374" i="79"/>
  <c r="AL1374" i="79"/>
  <c r="AM1374" i="79"/>
  <c r="AN1374" i="79"/>
  <c r="AO1374" i="79"/>
  <c r="AP1374" i="79"/>
  <c r="AQ1374" i="79"/>
  <c r="AG1375" i="79"/>
  <c r="AH1375" i="79"/>
  <c r="AI1375" i="79"/>
  <c r="AJ1375" i="79"/>
  <c r="AK1375" i="79"/>
  <c r="AL1375" i="79"/>
  <c r="AM1375" i="79"/>
  <c r="AN1375" i="79"/>
  <c r="AO1375" i="79"/>
  <c r="AP1375" i="79"/>
  <c r="AQ1375" i="79"/>
  <c r="AG1376" i="79"/>
  <c r="AH1376" i="79"/>
  <c r="AI1376" i="79"/>
  <c r="AJ1376" i="79"/>
  <c r="AK1376" i="79"/>
  <c r="AL1376" i="79"/>
  <c r="AM1376" i="79"/>
  <c r="AN1376" i="79"/>
  <c r="AO1376" i="79"/>
  <c r="AP1376" i="79"/>
  <c r="AQ1376" i="79"/>
  <c r="AF1374" i="79"/>
  <c r="AF1375" i="79"/>
  <c r="AF1376" i="79"/>
  <c r="AF1373" i="79"/>
  <c r="T1373" i="79"/>
  <c r="J1373" i="79"/>
  <c r="K1373" i="79"/>
  <c r="L1373" i="79"/>
  <c r="M1373" i="79"/>
  <c r="N1373" i="79"/>
  <c r="O1373" i="79"/>
  <c r="P1373" i="79"/>
  <c r="Q1373" i="79"/>
  <c r="R1373" i="79"/>
  <c r="S1373" i="79"/>
  <c r="J1374" i="79"/>
  <c r="K1374" i="79"/>
  <c r="L1374" i="79"/>
  <c r="M1374" i="79"/>
  <c r="N1374" i="79"/>
  <c r="O1374" i="79"/>
  <c r="P1374" i="79"/>
  <c r="Q1374" i="79"/>
  <c r="R1374" i="79"/>
  <c r="S1374" i="79"/>
  <c r="T1374" i="79"/>
  <c r="J1375" i="79"/>
  <c r="K1375" i="79"/>
  <c r="L1375" i="79"/>
  <c r="M1375" i="79"/>
  <c r="N1375" i="79"/>
  <c r="O1375" i="79"/>
  <c r="P1375" i="79"/>
  <c r="Q1375" i="79"/>
  <c r="R1375" i="79"/>
  <c r="S1375" i="79"/>
  <c r="T1375" i="79"/>
  <c r="J1376" i="79"/>
  <c r="K1376" i="79"/>
  <c r="L1376" i="79"/>
  <c r="M1376" i="79"/>
  <c r="N1376" i="79"/>
  <c r="O1376" i="79"/>
  <c r="P1376" i="79"/>
  <c r="Q1376" i="79"/>
  <c r="R1376" i="79"/>
  <c r="S1376" i="79"/>
  <c r="T1376" i="79"/>
  <c r="I1374" i="79"/>
  <c r="I1375" i="79"/>
  <c r="I1376" i="79"/>
  <c r="I1373" i="79"/>
  <c r="C132" i="69" l="1"/>
  <c r="C134" i="69"/>
  <c r="G10" i="64"/>
  <c r="H10" i="64" s="1"/>
  <c r="I10" i="64" s="1"/>
  <c r="J10" i="64" s="1"/>
  <c r="K10" i="64" s="1"/>
  <c r="L10" i="64" s="1"/>
  <c r="M10" i="64" s="1"/>
  <c r="N10" i="64" s="1"/>
  <c r="O10" i="64" s="1"/>
  <c r="P10" i="64" s="1"/>
  <c r="Q10" i="64" s="1"/>
  <c r="R10" i="64" s="1"/>
  <c r="G11" i="64"/>
  <c r="H11" i="64"/>
  <c r="I11" i="64" s="1"/>
  <c r="J11" i="64"/>
  <c r="K11" i="64" s="1"/>
  <c r="L11" i="64" s="1"/>
  <c r="M11" i="64" s="1"/>
  <c r="N11" i="64" s="1"/>
  <c r="O11" i="64" s="1"/>
  <c r="P11" i="64" s="1"/>
  <c r="Q11" i="64" s="1"/>
  <c r="R11" i="64" s="1"/>
  <c r="G12" i="64"/>
  <c r="H12" i="64"/>
  <c r="I12" i="64" s="1"/>
  <c r="J12" i="64" s="1"/>
  <c r="K12" i="64"/>
  <c r="L12" i="64" s="1"/>
  <c r="M12" i="64" s="1"/>
  <c r="N12" i="64" s="1"/>
  <c r="O12" i="64" s="1"/>
  <c r="P12" i="64" s="1"/>
  <c r="Q12" i="64" s="1"/>
  <c r="R12" i="64" s="1"/>
  <c r="G13" i="64"/>
  <c r="H13" i="64" s="1"/>
  <c r="I13" i="64" s="1"/>
  <c r="J13" i="64" s="1"/>
  <c r="K13" i="64" s="1"/>
  <c r="L13" i="64" s="1"/>
  <c r="M13" i="64" s="1"/>
  <c r="N13" i="64" s="1"/>
  <c r="O13" i="64" s="1"/>
  <c r="P13" i="64" s="1"/>
  <c r="Q13" i="64" s="1"/>
  <c r="R13" i="64" s="1"/>
  <c r="G14" i="64"/>
  <c r="H14" i="64" s="1"/>
  <c r="I14" i="64" s="1"/>
  <c r="J14" i="64" s="1"/>
  <c r="K14" i="64" s="1"/>
  <c r="L14" i="64" s="1"/>
  <c r="M14" i="64" s="1"/>
  <c r="N14" i="64" s="1"/>
  <c r="O14" i="64" s="1"/>
  <c r="P14" i="64" s="1"/>
  <c r="Q14" i="64" s="1"/>
  <c r="R14" i="64" s="1"/>
  <c r="G15" i="64"/>
  <c r="H15" i="64" s="1"/>
  <c r="I15" i="64" s="1"/>
  <c r="J15" i="64" s="1"/>
  <c r="K15" i="64" s="1"/>
  <c r="L15" i="64" s="1"/>
  <c r="M15" i="64" s="1"/>
  <c r="N15" i="64" s="1"/>
  <c r="O15" i="64" s="1"/>
  <c r="P15" i="64" s="1"/>
  <c r="Q15" i="64" s="1"/>
  <c r="R15" i="64" s="1"/>
  <c r="G16" i="64"/>
  <c r="H16" i="64" s="1"/>
  <c r="I16" i="64" s="1"/>
  <c r="J16" i="64" s="1"/>
  <c r="K16" i="64" s="1"/>
  <c r="L16" i="64" s="1"/>
  <c r="M16" i="64" s="1"/>
  <c r="N16" i="64"/>
  <c r="O16" i="64" s="1"/>
  <c r="P16" i="64" s="1"/>
  <c r="Q16" i="64" s="1"/>
  <c r="R16" i="64" s="1"/>
  <c r="G17" i="64"/>
  <c r="H17" i="64" s="1"/>
  <c r="I17" i="64" s="1"/>
  <c r="J17" i="64" s="1"/>
  <c r="K17" i="64" s="1"/>
  <c r="L17" i="64" s="1"/>
  <c r="M17" i="64" s="1"/>
  <c r="N17" i="64" s="1"/>
  <c r="O17" i="64" s="1"/>
  <c r="P17" i="64" s="1"/>
  <c r="Q17" i="64" s="1"/>
  <c r="R17" i="64" s="1"/>
  <c r="G18" i="64"/>
  <c r="H18" i="64"/>
  <c r="I18" i="64" s="1"/>
  <c r="J18" i="64" s="1"/>
  <c r="K18" i="64" s="1"/>
  <c r="L18" i="64" s="1"/>
  <c r="M18" i="64" s="1"/>
  <c r="N18" i="64" s="1"/>
  <c r="O18" i="64" s="1"/>
  <c r="P18" i="64" s="1"/>
  <c r="Q18" i="64" s="1"/>
  <c r="R18" i="64" s="1"/>
  <c r="G19" i="64"/>
  <c r="H19" i="64"/>
  <c r="I19" i="64" s="1"/>
  <c r="J19" i="64"/>
  <c r="K19" i="64" s="1"/>
  <c r="L19" i="64" s="1"/>
  <c r="M19" i="64" s="1"/>
  <c r="N19" i="64" s="1"/>
  <c r="O19" i="64" s="1"/>
  <c r="P19" i="64"/>
  <c r="Q19" i="64" s="1"/>
  <c r="R19" i="64" s="1"/>
  <c r="G20" i="64"/>
  <c r="H20" i="64"/>
  <c r="I20" i="64" s="1"/>
  <c r="J20" i="64" s="1"/>
  <c r="K20" i="64"/>
  <c r="L20" i="64" s="1"/>
  <c r="M20" i="64" s="1"/>
  <c r="N20" i="64" s="1"/>
  <c r="O20" i="64" s="1"/>
  <c r="P20" i="64" s="1"/>
  <c r="Q20" i="64" s="1"/>
  <c r="R20" i="64" s="1"/>
  <c r="G21" i="64"/>
  <c r="H21" i="64"/>
  <c r="I21" i="64" s="1"/>
  <c r="J21" i="64"/>
  <c r="K21" i="64"/>
  <c r="L21" i="64" s="1"/>
  <c r="M21" i="64" s="1"/>
  <c r="N21" i="64" s="1"/>
  <c r="O21" i="64" s="1"/>
  <c r="P21" i="64" s="1"/>
  <c r="Q21" i="64" s="1"/>
  <c r="R21" i="64" s="1"/>
  <c r="G22" i="64"/>
  <c r="H22" i="64"/>
  <c r="I22" i="64" s="1"/>
  <c r="J22" i="64" s="1"/>
  <c r="K22" i="64"/>
  <c r="L22" i="64" s="1"/>
  <c r="M22" i="64" s="1"/>
  <c r="N22" i="64" s="1"/>
  <c r="O22" i="64" s="1"/>
  <c r="P22" i="64" s="1"/>
  <c r="Q22" i="64" s="1"/>
  <c r="R22" i="64" s="1"/>
  <c r="G23" i="64"/>
  <c r="H23" i="64" s="1"/>
  <c r="I23" i="64" s="1"/>
  <c r="J23" i="64" s="1"/>
  <c r="K23" i="64" s="1"/>
  <c r="L23" i="64"/>
  <c r="M23" i="64" s="1"/>
  <c r="N23" i="64" s="1"/>
  <c r="O23" i="64" s="1"/>
  <c r="P23" i="64" s="1"/>
  <c r="Q23" i="64" s="1"/>
  <c r="R23" i="64" s="1"/>
  <c r="G24" i="64"/>
  <c r="H24" i="64" s="1"/>
  <c r="I24" i="64" s="1"/>
  <c r="J24" i="64" s="1"/>
  <c r="K24" i="64" s="1"/>
  <c r="L24" i="64" s="1"/>
  <c r="M24" i="64" s="1"/>
  <c r="N24" i="64" s="1"/>
  <c r="O24" i="64" s="1"/>
  <c r="P24" i="64" s="1"/>
  <c r="Q24" i="64" s="1"/>
  <c r="R24" i="64" s="1"/>
  <c r="G25" i="64"/>
  <c r="H25" i="64" s="1"/>
  <c r="I25" i="64" s="1"/>
  <c r="J25" i="64" s="1"/>
  <c r="K25" i="64" s="1"/>
  <c r="L25" i="64" s="1"/>
  <c r="M25" i="64" s="1"/>
  <c r="N25" i="64" s="1"/>
  <c r="O25" i="64" s="1"/>
  <c r="P25" i="64" s="1"/>
  <c r="Q25" i="64" s="1"/>
  <c r="R25" i="64" s="1"/>
  <c r="G26" i="64"/>
  <c r="H26" i="64" s="1"/>
  <c r="I26" i="64" s="1"/>
  <c r="J26" i="64" s="1"/>
  <c r="K26" i="64" s="1"/>
  <c r="L26" i="64" s="1"/>
  <c r="M26" i="64" s="1"/>
  <c r="N26" i="64" s="1"/>
  <c r="O26" i="64" s="1"/>
  <c r="P26" i="64" s="1"/>
  <c r="Q26" i="64" s="1"/>
  <c r="R26" i="64" s="1"/>
  <c r="G27" i="64"/>
  <c r="H27" i="64"/>
  <c r="I27" i="64" s="1"/>
  <c r="J27" i="64"/>
  <c r="K27" i="64" s="1"/>
  <c r="L27" i="64" s="1"/>
  <c r="M27" i="64" s="1"/>
  <c r="N27" i="64" s="1"/>
  <c r="O27" i="64" s="1"/>
  <c r="P27" i="64" s="1"/>
  <c r="Q27" i="64" s="1"/>
  <c r="R27" i="64" s="1"/>
  <c r="G28" i="64"/>
  <c r="H28" i="64"/>
  <c r="I28" i="64" s="1"/>
  <c r="J28" i="64" s="1"/>
  <c r="K28" i="64" s="1"/>
  <c r="L28" i="64" s="1"/>
  <c r="M28" i="64" s="1"/>
  <c r="N28" i="64" s="1"/>
  <c r="O28" i="64" s="1"/>
  <c r="P28" i="64" s="1"/>
  <c r="Q28" i="64" s="1"/>
  <c r="R28" i="64" s="1"/>
  <c r="G29" i="64"/>
  <c r="H29" i="64"/>
  <c r="I29" i="64" s="1"/>
  <c r="J29" i="64"/>
  <c r="K29" i="64" s="1"/>
  <c r="L29" i="64" s="1"/>
  <c r="M29" i="64" s="1"/>
  <c r="N29" i="64" s="1"/>
  <c r="O29" i="64" s="1"/>
  <c r="P29" i="64" s="1"/>
  <c r="Q29" i="64" s="1"/>
  <c r="R29" i="64" s="1"/>
  <c r="G30" i="64"/>
  <c r="H30" i="64" s="1"/>
  <c r="I30" i="64" s="1"/>
  <c r="J30" i="64" s="1"/>
  <c r="K30" i="64" s="1"/>
  <c r="L30" i="64" s="1"/>
  <c r="M30" i="64" s="1"/>
  <c r="N30" i="64" s="1"/>
  <c r="O30" i="64" s="1"/>
  <c r="P30" i="64" s="1"/>
  <c r="Q30" i="64" s="1"/>
  <c r="R30" i="64" s="1"/>
  <c r="G31" i="64"/>
  <c r="H31" i="64" s="1"/>
  <c r="I31" i="64" s="1"/>
  <c r="J31" i="64" s="1"/>
  <c r="K31" i="64"/>
  <c r="L31" i="64" s="1"/>
  <c r="M31" i="64" s="1"/>
  <c r="N31" i="64" s="1"/>
  <c r="O31" i="64" s="1"/>
  <c r="P31" i="64" s="1"/>
  <c r="Q31" i="64" s="1"/>
  <c r="R31" i="64" s="1"/>
  <c r="G32" i="64"/>
  <c r="H32" i="64" s="1"/>
  <c r="I32" i="64" s="1"/>
  <c r="J32" i="64" s="1"/>
  <c r="K32" i="64" s="1"/>
  <c r="L32" i="64" s="1"/>
  <c r="M32" i="64" s="1"/>
  <c r="N32" i="64" s="1"/>
  <c r="O32" i="64" s="1"/>
  <c r="P32" i="64" s="1"/>
  <c r="Q32" i="64" s="1"/>
  <c r="R32" i="64" s="1"/>
  <c r="G33" i="64"/>
  <c r="H33" i="64" s="1"/>
  <c r="I33" i="64" s="1"/>
  <c r="J33" i="64" s="1"/>
  <c r="K33" i="64" s="1"/>
  <c r="L33" i="64" s="1"/>
  <c r="M33" i="64" s="1"/>
  <c r="N33" i="64" s="1"/>
  <c r="O33" i="64" s="1"/>
  <c r="P33" i="64" s="1"/>
  <c r="Q33" i="64" s="1"/>
  <c r="R33" i="64" s="1"/>
  <c r="G34" i="64"/>
  <c r="H34" i="64"/>
  <c r="I34" i="64" s="1"/>
  <c r="J34" i="64" s="1"/>
  <c r="K34" i="64" s="1"/>
  <c r="L34" i="64" s="1"/>
  <c r="M34" i="64" s="1"/>
  <c r="N34" i="64" s="1"/>
  <c r="O34" i="64" s="1"/>
  <c r="P34" i="64" s="1"/>
  <c r="Q34" i="64" s="1"/>
  <c r="R34" i="64" s="1"/>
  <c r="G35" i="64"/>
  <c r="H35" i="64"/>
  <c r="I35" i="64" s="1"/>
  <c r="J35" i="64" s="1"/>
  <c r="K35" i="64" s="1"/>
  <c r="L35" i="64" s="1"/>
  <c r="M35" i="64" s="1"/>
  <c r="N35" i="64" s="1"/>
  <c r="O35" i="64" s="1"/>
  <c r="P35" i="64" s="1"/>
  <c r="Q35" i="64" s="1"/>
  <c r="R35" i="64" s="1"/>
  <c r="G36" i="64"/>
  <c r="H36" i="64" s="1"/>
  <c r="I36" i="64" s="1"/>
  <c r="J36" i="64" s="1"/>
  <c r="K36" i="64" s="1"/>
  <c r="L36" i="64" s="1"/>
  <c r="M36" i="64" s="1"/>
  <c r="N36" i="64" s="1"/>
  <c r="O36" i="64" s="1"/>
  <c r="P36" i="64" s="1"/>
  <c r="Q36" i="64" s="1"/>
  <c r="R36" i="64" s="1"/>
  <c r="G37" i="64"/>
  <c r="H37" i="64"/>
  <c r="I37" i="64" s="1"/>
  <c r="J37" i="64"/>
  <c r="K37" i="64" s="1"/>
  <c r="L37" i="64" s="1"/>
  <c r="M37" i="64" s="1"/>
  <c r="N37" i="64" s="1"/>
  <c r="O37" i="64" s="1"/>
  <c r="P37" i="64" s="1"/>
  <c r="Q37" i="64" s="1"/>
  <c r="R37" i="64" s="1"/>
  <c r="G38" i="64"/>
  <c r="H38" i="64"/>
  <c r="I38" i="64" s="1"/>
  <c r="J38" i="64" s="1"/>
  <c r="K38" i="64"/>
  <c r="L38" i="64"/>
  <c r="M38" i="64" s="1"/>
  <c r="N38" i="64" s="1"/>
  <c r="O38" i="64" s="1"/>
  <c r="P38" i="64" s="1"/>
  <c r="Q38" i="64" s="1"/>
  <c r="R38" i="64" s="1"/>
  <c r="G39" i="64"/>
  <c r="H39" i="64" s="1"/>
  <c r="I39" i="64" s="1"/>
  <c r="J39" i="64" s="1"/>
  <c r="K39" i="64" s="1"/>
  <c r="L39" i="64" s="1"/>
  <c r="M39" i="64" s="1"/>
  <c r="N39" i="64" s="1"/>
  <c r="O39" i="64" s="1"/>
  <c r="P39" i="64" s="1"/>
  <c r="Q39" i="64" s="1"/>
  <c r="R39" i="64" s="1"/>
  <c r="G40" i="64"/>
  <c r="H40" i="64" s="1"/>
  <c r="I40" i="64" s="1"/>
  <c r="J40" i="64" s="1"/>
  <c r="K40" i="64" s="1"/>
  <c r="L40" i="64" s="1"/>
  <c r="M40" i="64" s="1"/>
  <c r="N40" i="64" s="1"/>
  <c r="O40" i="64" s="1"/>
  <c r="P40" i="64" s="1"/>
  <c r="Q40" i="64" s="1"/>
  <c r="R40" i="64" s="1"/>
  <c r="G41" i="64"/>
  <c r="H41" i="64"/>
  <c r="I41" i="64" s="1"/>
  <c r="J41" i="64" s="1"/>
  <c r="K41" i="64" s="1"/>
  <c r="L41" i="64" s="1"/>
  <c r="M41" i="64" s="1"/>
  <c r="N41" i="64" s="1"/>
  <c r="O41" i="64"/>
  <c r="P41" i="64" s="1"/>
  <c r="Q41" i="64" s="1"/>
  <c r="R41" i="64" s="1"/>
  <c r="G42" i="64"/>
  <c r="H42" i="64" s="1"/>
  <c r="I42" i="64" s="1"/>
  <c r="J42" i="64" s="1"/>
  <c r="K42" i="64" s="1"/>
  <c r="L42" i="64" s="1"/>
  <c r="M42" i="64" s="1"/>
  <c r="N42" i="64" s="1"/>
  <c r="O42" i="64" s="1"/>
  <c r="P42" i="64" s="1"/>
  <c r="Q42" i="64" s="1"/>
  <c r="R42" i="64" s="1"/>
  <c r="G43" i="64"/>
  <c r="H43" i="64"/>
  <c r="I43" i="64" s="1"/>
  <c r="J43" i="64" s="1"/>
  <c r="K43" i="64" s="1"/>
  <c r="L43" i="64" s="1"/>
  <c r="M43" i="64" s="1"/>
  <c r="N43" i="64" s="1"/>
  <c r="O43" i="64" s="1"/>
  <c r="P43" i="64" s="1"/>
  <c r="Q43" i="64" s="1"/>
  <c r="R43" i="64" s="1"/>
  <c r="G44" i="64"/>
  <c r="H44" i="64" s="1"/>
  <c r="I44" i="64" s="1"/>
  <c r="J44" i="64" s="1"/>
  <c r="K44" i="64" s="1"/>
  <c r="L44" i="64" s="1"/>
  <c r="M44" i="64" s="1"/>
  <c r="N44" i="64" s="1"/>
  <c r="O44" i="64" s="1"/>
  <c r="P44" i="64" s="1"/>
  <c r="Q44" i="64" s="1"/>
  <c r="R44" i="64" s="1"/>
  <c r="G45" i="64"/>
  <c r="H45" i="64"/>
  <c r="I45" i="64" s="1"/>
  <c r="J45" i="64"/>
  <c r="K45" i="64"/>
  <c r="L45" i="64" s="1"/>
  <c r="M45" i="64" s="1"/>
  <c r="N45" i="64" s="1"/>
  <c r="O45" i="64" s="1"/>
  <c r="P45" i="64" s="1"/>
  <c r="Q45" i="64" s="1"/>
  <c r="R45" i="64" s="1"/>
  <c r="G46" i="64"/>
  <c r="H46" i="64"/>
  <c r="I46" i="64" s="1"/>
  <c r="J46" i="64" s="1"/>
  <c r="K46" i="64" s="1"/>
  <c r="L46" i="64" s="1"/>
  <c r="M46" i="64" s="1"/>
  <c r="N46" i="64" s="1"/>
  <c r="O46" i="64" s="1"/>
  <c r="P46" i="64" s="1"/>
  <c r="Q46" i="64" s="1"/>
  <c r="R46" i="64" s="1"/>
  <c r="G47" i="64"/>
  <c r="H47" i="64" s="1"/>
  <c r="I47" i="64" s="1"/>
  <c r="J47" i="64" s="1"/>
  <c r="K47" i="64" s="1"/>
  <c r="L47" i="64" s="1"/>
  <c r="M47" i="64" s="1"/>
  <c r="N47" i="64" s="1"/>
  <c r="O47" i="64" s="1"/>
  <c r="P47" i="64" s="1"/>
  <c r="Q47" i="64" s="1"/>
  <c r="R47" i="64" s="1"/>
  <c r="G48" i="64"/>
  <c r="H48" i="64" s="1"/>
  <c r="I48" i="64" s="1"/>
  <c r="J48" i="64" s="1"/>
  <c r="K48" i="64" s="1"/>
  <c r="L48" i="64"/>
  <c r="M48" i="64" s="1"/>
  <c r="N48" i="64" s="1"/>
  <c r="O48" i="64" s="1"/>
  <c r="P48" i="64" s="1"/>
  <c r="Q48" i="64" s="1"/>
  <c r="R48" i="64" s="1"/>
  <c r="G49" i="64"/>
  <c r="H49" i="64"/>
  <c r="I49" i="64" s="1"/>
  <c r="J49" i="64" s="1"/>
  <c r="K49" i="64" s="1"/>
  <c r="L49" i="64"/>
  <c r="M49" i="64" s="1"/>
  <c r="N49" i="64" s="1"/>
  <c r="O49" i="64" s="1"/>
  <c r="P49" i="64" s="1"/>
  <c r="Q49" i="64" s="1"/>
  <c r="R49" i="64" s="1"/>
  <c r="G50" i="64"/>
  <c r="H50" i="64" s="1"/>
  <c r="I50" i="64" s="1"/>
  <c r="J50" i="64" s="1"/>
  <c r="K50" i="64" s="1"/>
  <c r="L50" i="64" s="1"/>
  <c r="M50" i="64" s="1"/>
  <c r="N50" i="64" s="1"/>
  <c r="O50" i="64" s="1"/>
  <c r="P50" i="64" s="1"/>
  <c r="Q50" i="64" s="1"/>
  <c r="R50" i="64" s="1"/>
  <c r="G51" i="64"/>
  <c r="H51" i="64"/>
  <c r="I51" i="64" s="1"/>
  <c r="J51" i="64" s="1"/>
  <c r="K51" i="64" s="1"/>
  <c r="L51" i="64" s="1"/>
  <c r="M51" i="64" s="1"/>
  <c r="N51" i="64" s="1"/>
  <c r="O51" i="64" s="1"/>
  <c r="P51" i="64" s="1"/>
  <c r="Q51" i="64" s="1"/>
  <c r="R51" i="64" s="1"/>
  <c r="G52" i="64"/>
  <c r="H52" i="64"/>
  <c r="I52" i="64" s="1"/>
  <c r="J52" i="64" s="1"/>
  <c r="K52" i="64" s="1"/>
  <c r="L52" i="64" s="1"/>
  <c r="M52" i="64" s="1"/>
  <c r="N52" i="64" s="1"/>
  <c r="O52" i="64" s="1"/>
  <c r="P52" i="64" s="1"/>
  <c r="Q52" i="64" s="1"/>
  <c r="R52" i="64" s="1"/>
  <c r="G53" i="64"/>
  <c r="H53" i="64"/>
  <c r="I53" i="64" s="1"/>
  <c r="J53" i="64" s="1"/>
  <c r="K53" i="64" s="1"/>
  <c r="L53" i="64" s="1"/>
  <c r="M53" i="64" s="1"/>
  <c r="N53" i="64" s="1"/>
  <c r="O53" i="64" s="1"/>
  <c r="P53" i="64" s="1"/>
  <c r="Q53" i="64" s="1"/>
  <c r="R53" i="64" s="1"/>
  <c r="G54" i="64"/>
  <c r="H54" i="64" s="1"/>
  <c r="I54" i="64" s="1"/>
  <c r="J54" i="64" s="1"/>
  <c r="K54" i="64" s="1"/>
  <c r="L54" i="64" s="1"/>
  <c r="M54" i="64" s="1"/>
  <c r="N54" i="64" s="1"/>
  <c r="O54" i="64" s="1"/>
  <c r="P54" i="64" s="1"/>
  <c r="Q54" i="64" s="1"/>
  <c r="R54" i="64" s="1"/>
  <c r="G55" i="64"/>
  <c r="H55" i="64" s="1"/>
  <c r="I55" i="64" s="1"/>
  <c r="J55" i="64" s="1"/>
  <c r="K55" i="64" s="1"/>
  <c r="L55" i="64"/>
  <c r="M55" i="64" s="1"/>
  <c r="N55" i="64" s="1"/>
  <c r="O55" i="64" s="1"/>
  <c r="P55" i="64" s="1"/>
  <c r="Q55" i="64" s="1"/>
  <c r="R55" i="64" s="1"/>
  <c r="G56" i="64"/>
  <c r="H56" i="64" s="1"/>
  <c r="I56" i="64" s="1"/>
  <c r="J56" i="64" s="1"/>
  <c r="K56" i="64" s="1"/>
  <c r="L56" i="64" s="1"/>
  <c r="M56" i="64" s="1"/>
  <c r="N56" i="64" s="1"/>
  <c r="O56" i="64" s="1"/>
  <c r="P56" i="64" s="1"/>
  <c r="Q56" i="64" s="1"/>
  <c r="R56" i="64" s="1"/>
  <c r="G57" i="64"/>
  <c r="H57" i="64" s="1"/>
  <c r="I57" i="64" s="1"/>
  <c r="J57" i="64" s="1"/>
  <c r="K57" i="64" s="1"/>
  <c r="L57" i="64" s="1"/>
  <c r="M57" i="64" s="1"/>
  <c r="N57" i="64" s="1"/>
  <c r="O57" i="64" s="1"/>
  <c r="P57" i="64" s="1"/>
  <c r="Q57" i="64" s="1"/>
  <c r="R57" i="64" s="1"/>
  <c r="G58" i="64"/>
  <c r="H58" i="64"/>
  <c r="I58" i="64" s="1"/>
  <c r="J58" i="64" s="1"/>
  <c r="K58" i="64" s="1"/>
  <c r="L58" i="64" s="1"/>
  <c r="M58" i="64" s="1"/>
  <c r="N58" i="64" s="1"/>
  <c r="O58" i="64" s="1"/>
  <c r="P58" i="64" s="1"/>
  <c r="Q58" i="64" s="1"/>
  <c r="R58" i="64" s="1"/>
  <c r="G59" i="64"/>
  <c r="H59" i="64" s="1"/>
  <c r="I59" i="64" s="1"/>
  <c r="J59" i="64" s="1"/>
  <c r="K59" i="64" s="1"/>
  <c r="L59" i="64" s="1"/>
  <c r="M59" i="64" s="1"/>
  <c r="N59" i="64" s="1"/>
  <c r="O59" i="64" s="1"/>
  <c r="P59" i="64" s="1"/>
  <c r="Q59" i="64" s="1"/>
  <c r="R59" i="64" s="1"/>
  <c r="G60" i="64"/>
  <c r="H60" i="64" s="1"/>
  <c r="I60" i="64" s="1"/>
  <c r="J60" i="64" s="1"/>
  <c r="K60" i="64" s="1"/>
  <c r="L60" i="64" s="1"/>
  <c r="M60" i="64" s="1"/>
  <c r="N60" i="64" s="1"/>
  <c r="O60" i="64" s="1"/>
  <c r="P60" i="64" s="1"/>
  <c r="Q60" i="64" s="1"/>
  <c r="R60" i="64" s="1"/>
  <c r="G61" i="64"/>
  <c r="H61" i="64"/>
  <c r="I61" i="64" s="1"/>
  <c r="J61" i="64"/>
  <c r="K61" i="64" s="1"/>
  <c r="L61" i="64" s="1"/>
  <c r="M61" i="64" s="1"/>
  <c r="N61" i="64" s="1"/>
  <c r="O61" i="64" s="1"/>
  <c r="P61" i="64" s="1"/>
  <c r="Q61" i="64" s="1"/>
  <c r="R61" i="64" s="1"/>
  <c r="G62" i="64"/>
  <c r="H62" i="64"/>
  <c r="I62" i="64" s="1"/>
  <c r="J62" i="64" s="1"/>
  <c r="K62" i="64"/>
  <c r="L62" i="64" s="1"/>
  <c r="M62" i="64" s="1"/>
  <c r="N62" i="64" s="1"/>
  <c r="O62" i="64" s="1"/>
  <c r="P62" i="64" s="1"/>
  <c r="Q62" i="64" s="1"/>
  <c r="R62" i="64" s="1"/>
  <c r="G63" i="64"/>
  <c r="H63" i="64" s="1"/>
  <c r="I63" i="64" s="1"/>
  <c r="J63" i="64" s="1"/>
  <c r="K63" i="64"/>
  <c r="L63" i="64" s="1"/>
  <c r="M63" i="64" s="1"/>
  <c r="N63" i="64" s="1"/>
  <c r="O63" i="64" s="1"/>
  <c r="P63" i="64" s="1"/>
  <c r="Q63" i="64" s="1"/>
  <c r="R63" i="64" s="1"/>
  <c r="G64" i="64"/>
  <c r="H64" i="64" s="1"/>
  <c r="I64" i="64" s="1"/>
  <c r="J64" i="64" s="1"/>
  <c r="K64" i="64" s="1"/>
  <c r="L64" i="64"/>
  <c r="M64" i="64" s="1"/>
  <c r="N64" i="64" s="1"/>
  <c r="O64" i="64" s="1"/>
  <c r="P64" i="64" s="1"/>
  <c r="Q64" i="64" s="1"/>
  <c r="R64" i="64" s="1"/>
  <c r="G65" i="64"/>
  <c r="H65" i="64"/>
  <c r="I65" i="64" s="1"/>
  <c r="J65" i="64" s="1"/>
  <c r="K65" i="64" s="1"/>
  <c r="L65" i="64" s="1"/>
  <c r="M65" i="64" s="1"/>
  <c r="N65" i="64" s="1"/>
  <c r="O65" i="64" s="1"/>
  <c r="P65" i="64" s="1"/>
  <c r="Q65" i="64" s="1"/>
  <c r="R65" i="64" s="1"/>
  <c r="G66" i="64"/>
  <c r="H66" i="64"/>
  <c r="I66" i="64" s="1"/>
  <c r="J66" i="64" s="1"/>
  <c r="K66" i="64" s="1"/>
  <c r="L66" i="64" s="1"/>
  <c r="M66" i="64"/>
  <c r="N66" i="64" s="1"/>
  <c r="O66" i="64" s="1"/>
  <c r="P66" i="64" s="1"/>
  <c r="Q66" i="64" s="1"/>
  <c r="R66" i="64" s="1"/>
  <c r="G67" i="64"/>
  <c r="H67" i="64"/>
  <c r="I67" i="64" s="1"/>
  <c r="J67" i="64" s="1"/>
  <c r="K67" i="64" s="1"/>
  <c r="L67" i="64" s="1"/>
  <c r="M67" i="64" s="1"/>
  <c r="N67" i="64" s="1"/>
  <c r="O67" i="64" s="1"/>
  <c r="P67" i="64" s="1"/>
  <c r="Q67" i="64" s="1"/>
  <c r="R67" i="64" s="1"/>
  <c r="G68" i="64"/>
  <c r="H68" i="64"/>
  <c r="I68" i="64"/>
  <c r="J68" i="64"/>
  <c r="K68" i="64" s="1"/>
  <c r="L68" i="64" s="1"/>
  <c r="M68" i="64" s="1"/>
  <c r="N68" i="64" s="1"/>
  <c r="O68" i="64" s="1"/>
  <c r="P68" i="64" s="1"/>
  <c r="Q68" i="64" s="1"/>
  <c r="R68" i="64" s="1"/>
  <c r="G69" i="64"/>
  <c r="H69" i="64" s="1"/>
  <c r="I69" i="64" s="1"/>
  <c r="J69" i="64" s="1"/>
  <c r="K69" i="64" s="1"/>
  <c r="L69" i="64" s="1"/>
  <c r="M69" i="64" s="1"/>
  <c r="N69" i="64" s="1"/>
  <c r="O69" i="64" s="1"/>
  <c r="P69" i="64" s="1"/>
  <c r="Q69" i="64" s="1"/>
  <c r="R69" i="64" s="1"/>
  <c r="G9" i="64"/>
  <c r="H9" i="64" s="1"/>
  <c r="I9" i="64" s="1"/>
  <c r="J9" i="64" s="1"/>
  <c r="K9" i="64" s="1"/>
  <c r="L9" i="64" s="1"/>
  <c r="M9" i="64" s="1"/>
  <c r="N9" i="64" s="1"/>
  <c r="O9" i="64" s="1"/>
  <c r="P9" i="64" s="1"/>
  <c r="Q9" i="64" s="1"/>
  <c r="R9" i="64" s="1"/>
  <c r="P221" i="8" l="1"/>
  <c r="M355" i="74" l="1"/>
  <c r="C367" i="74"/>
  <c r="O211" i="8" l="1"/>
  <c r="N211" i="8"/>
  <c r="M211" i="8"/>
  <c r="L211" i="8"/>
  <c r="K211" i="8"/>
  <c r="J211" i="8"/>
  <c r="I211" i="8"/>
  <c r="H211" i="8"/>
  <c r="G211" i="8"/>
  <c r="F211" i="8"/>
  <c r="E211" i="8"/>
  <c r="D211" i="8"/>
  <c r="P209" i="8"/>
  <c r="E50" i="40"/>
  <c r="Q315" i="77"/>
  <c r="Q249" i="77"/>
  <c r="Q134" i="77"/>
  <c r="Q90" i="77"/>
  <c r="Q111" i="77" s="1"/>
  <c r="D877" i="64"/>
  <c r="D728" i="64"/>
  <c r="D799" i="64" s="1"/>
  <c r="D870" i="64" s="1"/>
  <c r="C870" i="64" s="1"/>
  <c r="D729" i="64"/>
  <c r="D800" i="64" s="1"/>
  <c r="D871" i="64" s="1"/>
  <c r="C871" i="64" s="1"/>
  <c r="D730" i="64"/>
  <c r="D801" i="64" s="1"/>
  <c r="D872" i="64" s="1"/>
  <c r="C872" i="64" s="1"/>
  <c r="D731" i="64"/>
  <c r="D802" i="64" s="1"/>
  <c r="D873" i="64" s="1"/>
  <c r="C873" i="64" s="1"/>
  <c r="D732" i="64"/>
  <c r="D803" i="64" s="1"/>
  <c r="D874" i="64" s="1"/>
  <c r="C874" i="64" s="1"/>
  <c r="D733" i="64"/>
  <c r="F733" i="64" s="1"/>
  <c r="D734" i="64"/>
  <c r="D805" i="64" s="1"/>
  <c r="D876" i="64" s="1"/>
  <c r="C876" i="64" s="1"/>
  <c r="D727" i="64"/>
  <c r="D798" i="64" s="1"/>
  <c r="D869" i="64" s="1"/>
  <c r="H99" i="64"/>
  <c r="I99" i="64" s="1"/>
  <c r="J99" i="64" s="1"/>
  <c r="K99" i="64" s="1"/>
  <c r="L99" i="64" s="1"/>
  <c r="M99" i="64" s="1"/>
  <c r="N99" i="64" s="1"/>
  <c r="O99" i="64" s="1"/>
  <c r="P99" i="64" s="1"/>
  <c r="Q99" i="64" s="1"/>
  <c r="R99" i="64" s="1"/>
  <c r="P211" i="8" l="1"/>
  <c r="O44" i="10" s="1"/>
  <c r="C869" i="64"/>
  <c r="Q733" i="64"/>
  <c r="C805" i="64"/>
  <c r="C800" i="64"/>
  <c r="C803" i="64"/>
  <c r="C799" i="64"/>
  <c r="C801" i="64"/>
  <c r="C798" i="64"/>
  <c r="C802" i="64"/>
  <c r="M733" i="64"/>
  <c r="I733" i="64"/>
  <c r="D804" i="64"/>
  <c r="D875" i="64" s="1"/>
  <c r="C875" i="64" s="1"/>
  <c r="C730" i="64"/>
  <c r="C734" i="64"/>
  <c r="C727" i="64"/>
  <c r="C731" i="64"/>
  <c r="P733" i="64"/>
  <c r="L733" i="64"/>
  <c r="H733" i="64"/>
  <c r="C728" i="64"/>
  <c r="C732" i="64"/>
  <c r="O733" i="64"/>
  <c r="K733" i="64"/>
  <c r="G733" i="64"/>
  <c r="C729" i="64"/>
  <c r="C733" i="64"/>
  <c r="N733" i="64"/>
  <c r="J733" i="64"/>
  <c r="Q875" i="64" l="1"/>
  <c r="M875" i="64"/>
  <c r="I875" i="64"/>
  <c r="J875" i="64"/>
  <c r="F875" i="64"/>
  <c r="P875" i="64"/>
  <c r="L875" i="64"/>
  <c r="H875" i="64"/>
  <c r="O875" i="64"/>
  <c r="K875" i="64"/>
  <c r="G875" i="64"/>
  <c r="N875" i="64"/>
  <c r="Q804" i="64"/>
  <c r="M804" i="64"/>
  <c r="I804" i="64"/>
  <c r="N804" i="64"/>
  <c r="F804" i="64"/>
  <c r="P804" i="64"/>
  <c r="L804" i="64"/>
  <c r="H804" i="64"/>
  <c r="C804" i="64"/>
  <c r="O804" i="64"/>
  <c r="K804" i="64"/>
  <c r="G804" i="64"/>
  <c r="J804" i="64"/>
  <c r="H43" i="25" l="1"/>
  <c r="G42" i="25"/>
  <c r="C138" i="40"/>
  <c r="C137" i="40"/>
  <c r="E134" i="40"/>
  <c r="D666" i="77" l="1"/>
  <c r="D141" i="8"/>
  <c r="E141" i="8" s="1"/>
  <c r="F141" i="8" s="1"/>
  <c r="G141" i="8" s="1"/>
  <c r="H141" i="8" s="1"/>
  <c r="I141" i="8" s="1"/>
  <c r="J141" i="8" s="1"/>
  <c r="K141" i="8" s="1"/>
  <c r="L141" i="8" s="1"/>
  <c r="M141" i="8" s="1"/>
  <c r="N141" i="8" s="1"/>
  <c r="O141" i="8" s="1"/>
  <c r="D142" i="8"/>
  <c r="E142" i="8" s="1"/>
  <c r="F142" i="8" s="1"/>
  <c r="G142" i="8" s="1"/>
  <c r="H142" i="8" s="1"/>
  <c r="I142" i="8" s="1"/>
  <c r="J142" i="8" s="1"/>
  <c r="K142" i="8" s="1"/>
  <c r="L142" i="8" s="1"/>
  <c r="M142" i="8" s="1"/>
  <c r="N142" i="8" s="1"/>
  <c r="O142" i="8" s="1"/>
  <c r="D140" i="8"/>
  <c r="E140" i="8" s="1"/>
  <c r="F140" i="8" s="1"/>
  <c r="G140" i="8" s="1"/>
  <c r="H140" i="8" s="1"/>
  <c r="I140" i="8" s="1"/>
  <c r="J140" i="8" s="1"/>
  <c r="K140" i="8" s="1"/>
  <c r="L140" i="8" s="1"/>
  <c r="M140" i="8" s="1"/>
  <c r="N140" i="8" s="1"/>
  <c r="O140" i="8" s="1"/>
  <c r="B60" i="9" l="1"/>
  <c r="B59" i="9"/>
  <c r="D158" i="8" l="1"/>
  <c r="S145" i="8"/>
  <c r="D137" i="8"/>
  <c r="G319" i="73"/>
  <c r="H319" i="73"/>
  <c r="I319" i="73"/>
  <c r="J319" i="73"/>
  <c r="K319" i="73"/>
  <c r="L319" i="73"/>
  <c r="M319" i="73"/>
  <c r="N319" i="73"/>
  <c r="O319" i="73"/>
  <c r="P319" i="73"/>
  <c r="Q319" i="73"/>
  <c r="R279" i="74" l="1"/>
  <c r="S279" i="74"/>
  <c r="R280" i="74"/>
  <c r="S280" i="74"/>
  <c r="T280" i="74" s="1"/>
  <c r="R281" i="74"/>
  <c r="S281" i="74"/>
  <c r="R282" i="74"/>
  <c r="S282" i="74"/>
  <c r="R283" i="74"/>
  <c r="S283" i="74"/>
  <c r="R284" i="74"/>
  <c r="S284" i="74"/>
  <c r="R285" i="74"/>
  <c r="S285" i="74"/>
  <c r="R286" i="74"/>
  <c r="S286" i="74"/>
  <c r="R287" i="74"/>
  <c r="S287" i="74"/>
  <c r="R288" i="74"/>
  <c r="S288" i="74"/>
  <c r="R289" i="74"/>
  <c r="S289" i="74"/>
  <c r="S278" i="74"/>
  <c r="R278" i="74"/>
  <c r="R81" i="74"/>
  <c r="S81" i="74"/>
  <c r="T81" i="74" s="1"/>
  <c r="R82" i="74"/>
  <c r="S82" i="74"/>
  <c r="R83" i="74"/>
  <c r="S83" i="74"/>
  <c r="R84" i="74"/>
  <c r="S84" i="74"/>
  <c r="S80" i="74"/>
  <c r="R80" i="74"/>
  <c r="T80" i="74" s="1"/>
  <c r="R21" i="74"/>
  <c r="S21" i="74"/>
  <c r="R22" i="74"/>
  <c r="S22" i="74"/>
  <c r="R23" i="74"/>
  <c r="S23" i="74"/>
  <c r="R24" i="74"/>
  <c r="S24" i="74"/>
  <c r="R25" i="74"/>
  <c r="S25" i="74"/>
  <c r="R26" i="74"/>
  <c r="S26" i="74"/>
  <c r="R27" i="74"/>
  <c r="S27" i="74"/>
  <c r="R28" i="74"/>
  <c r="S28" i="74"/>
  <c r="R29" i="74"/>
  <c r="S29" i="74"/>
  <c r="R30" i="74"/>
  <c r="S30" i="74"/>
  <c r="R33" i="74"/>
  <c r="S33" i="74"/>
  <c r="S20" i="74"/>
  <c r="D114" i="9"/>
  <c r="E129" i="9"/>
  <c r="F129" i="9"/>
  <c r="G129" i="9"/>
  <c r="H129" i="9"/>
  <c r="I129" i="9"/>
  <c r="J129" i="9"/>
  <c r="K129" i="9"/>
  <c r="L129" i="9"/>
  <c r="M129" i="9"/>
  <c r="N129" i="9"/>
  <c r="O129" i="9"/>
  <c r="D129" i="9"/>
  <c r="E144" i="9"/>
  <c r="F144" i="9"/>
  <c r="G144" i="9"/>
  <c r="H144" i="9"/>
  <c r="I144" i="9"/>
  <c r="J144" i="9"/>
  <c r="K144" i="9"/>
  <c r="L144" i="9"/>
  <c r="M144" i="9"/>
  <c r="N144" i="9"/>
  <c r="O144" i="9"/>
  <c r="D144" i="9"/>
  <c r="T84" i="74" l="1"/>
  <c r="T288" i="74"/>
  <c r="T282" i="74"/>
  <c r="T289" i="74"/>
  <c r="T281" i="74"/>
  <c r="T284" i="74"/>
  <c r="T287" i="74"/>
  <c r="T283" i="74"/>
  <c r="T279" i="74"/>
  <c r="T82" i="74"/>
  <c r="T24" i="74"/>
  <c r="T22" i="74"/>
  <c r="T285" i="74"/>
  <c r="T83" i="74"/>
  <c r="T278" i="74"/>
  <c r="T286" i="74"/>
  <c r="T28" i="74"/>
  <c r="T30" i="74"/>
  <c r="T27" i="74"/>
  <c r="T21" i="74"/>
  <c r="T23" i="74"/>
  <c r="T26" i="74"/>
  <c r="T29" i="74"/>
  <c r="T25" i="74"/>
  <c r="T33" i="74"/>
  <c r="T85" i="74" l="1"/>
  <c r="C757" i="74" s="1"/>
  <c r="G146" i="61"/>
  <c r="G150" i="61"/>
  <c r="G147" i="61"/>
  <c r="G148" i="61"/>
  <c r="G149" i="61"/>
  <c r="G145" i="61"/>
  <c r="C149" i="61"/>
  <c r="D12" i="74" l="1"/>
  <c r="D93" i="8" l="1"/>
  <c r="D43" i="61"/>
  <c r="V631" i="79"/>
  <c r="V623" i="79"/>
  <c r="V615" i="79"/>
  <c r="V607" i="79"/>
  <c r="V599" i="79"/>
  <c r="V588" i="79"/>
  <c r="V580" i="79"/>
  <c r="V571" i="79"/>
  <c r="V564" i="79"/>
  <c r="V556" i="79"/>
  <c r="V606" i="79"/>
  <c r="G49" i="25"/>
  <c r="B49" i="25"/>
  <c r="C144" i="9"/>
  <c r="C114" i="9"/>
  <c r="R114" i="9"/>
  <c r="P135" i="9"/>
  <c r="R135" i="9" s="1"/>
  <c r="P136" i="9"/>
  <c r="R136" i="9" s="1"/>
  <c r="P137" i="9"/>
  <c r="R137" i="9" s="1"/>
  <c r="P138" i="9"/>
  <c r="R138" i="9" s="1"/>
  <c r="P139" i="9"/>
  <c r="R139" i="9" s="1"/>
  <c r="P140" i="9"/>
  <c r="R140" i="9" s="1"/>
  <c r="P141" i="9"/>
  <c r="R141" i="9" s="1"/>
  <c r="P120" i="9"/>
  <c r="P121" i="9"/>
  <c r="P122" i="9"/>
  <c r="P123" i="9"/>
  <c r="P124" i="9"/>
  <c r="P125" i="9"/>
  <c r="P143" i="9"/>
  <c r="R143" i="9" s="1"/>
  <c r="B143" i="9"/>
  <c r="P142" i="9"/>
  <c r="R142" i="9" s="1"/>
  <c r="B142" i="9"/>
  <c r="B141" i="9"/>
  <c r="B140" i="9"/>
  <c r="B139" i="9"/>
  <c r="B138" i="9"/>
  <c r="B137" i="9"/>
  <c r="B136" i="9"/>
  <c r="B135" i="9"/>
  <c r="P134" i="9"/>
  <c r="R134" i="9" s="1"/>
  <c r="B134" i="9"/>
  <c r="P128" i="9"/>
  <c r="P127" i="9"/>
  <c r="P126" i="9"/>
  <c r="P119" i="9"/>
  <c r="O114" i="9"/>
  <c r="N114" i="9"/>
  <c r="M114" i="9"/>
  <c r="L114" i="9"/>
  <c r="K114" i="9"/>
  <c r="J114" i="9"/>
  <c r="I114" i="9"/>
  <c r="H114" i="9"/>
  <c r="G114" i="9"/>
  <c r="F114" i="9"/>
  <c r="E114" i="9"/>
  <c r="P109" i="9"/>
  <c r="S109" i="9" s="1"/>
  <c r="P110" i="9"/>
  <c r="S110" i="9" s="1"/>
  <c r="P111" i="9"/>
  <c r="S111" i="9" s="1"/>
  <c r="P112" i="9"/>
  <c r="S112" i="9" s="1"/>
  <c r="P113" i="9"/>
  <c r="S113" i="9" s="1"/>
  <c r="P108" i="9"/>
  <c r="S108" i="9" s="1"/>
  <c r="B113" i="9"/>
  <c r="B112" i="9"/>
  <c r="B111" i="9"/>
  <c r="B110" i="9"/>
  <c r="B109" i="9"/>
  <c r="D103" i="9"/>
  <c r="C18" i="9"/>
  <c r="C148" i="61" s="1"/>
  <c r="C33" i="9"/>
  <c r="C48" i="9"/>
  <c r="P69" i="9"/>
  <c r="R69" i="9" s="1"/>
  <c r="P70" i="9"/>
  <c r="R70" i="9" s="1"/>
  <c r="P71" i="9"/>
  <c r="R71" i="9" s="1"/>
  <c r="P72" i="9"/>
  <c r="R72" i="9" s="1"/>
  <c r="P73" i="9"/>
  <c r="R73" i="9" s="1"/>
  <c r="P74" i="9"/>
  <c r="R74" i="9" s="1"/>
  <c r="P75" i="9"/>
  <c r="R75" i="9" s="1"/>
  <c r="P76" i="9"/>
  <c r="R76" i="9" s="1"/>
  <c r="P67" i="9"/>
  <c r="R67" i="9" s="1"/>
  <c r="P97" i="9"/>
  <c r="P98" i="9"/>
  <c r="P99" i="9"/>
  <c r="P100" i="9"/>
  <c r="P101" i="9"/>
  <c r="E103" i="9"/>
  <c r="D60" i="10" s="1"/>
  <c r="F103" i="9"/>
  <c r="E60" i="10" s="1"/>
  <c r="G103" i="9"/>
  <c r="F60" i="10" s="1"/>
  <c r="H103" i="9"/>
  <c r="G60" i="10" s="1"/>
  <c r="I103" i="9"/>
  <c r="H60" i="10" s="1"/>
  <c r="J103" i="9"/>
  <c r="I60" i="10" s="1"/>
  <c r="K103" i="9"/>
  <c r="J60" i="10" s="1"/>
  <c r="L103" i="9"/>
  <c r="K60" i="10" s="1"/>
  <c r="M103" i="9"/>
  <c r="L60" i="10" s="1"/>
  <c r="N103" i="9"/>
  <c r="M60" i="10" s="1"/>
  <c r="O103" i="9"/>
  <c r="N60" i="10" s="1"/>
  <c r="D77" i="9"/>
  <c r="I77" i="9"/>
  <c r="J77" i="9"/>
  <c r="K77" i="9"/>
  <c r="L77" i="9"/>
  <c r="M77" i="9"/>
  <c r="N77" i="9"/>
  <c r="O77" i="9"/>
  <c r="C77" i="9"/>
  <c r="C153" i="9" s="1"/>
  <c r="D92" i="61" s="1"/>
  <c r="F77" i="9" l="1"/>
  <c r="E77" i="9"/>
  <c r="P129" i="9"/>
  <c r="H13" i="25" s="1"/>
  <c r="C60" i="10"/>
  <c r="S114" i="9"/>
  <c r="P114" i="9"/>
  <c r="G77" i="9" l="1"/>
  <c r="H77" i="9" l="1"/>
  <c r="P68" i="9"/>
  <c r="R68" i="9" l="1"/>
  <c r="R77" i="9" s="1"/>
  <c r="P77" i="9"/>
  <c r="D169" i="8" l="1"/>
  <c r="E169" i="8" s="1"/>
  <c r="F169" i="8" s="1"/>
  <c r="G169" i="8" s="1"/>
  <c r="H169" i="8" s="1"/>
  <c r="I169" i="8" s="1"/>
  <c r="J169" i="8" s="1"/>
  <c r="K169" i="8" s="1"/>
  <c r="L169" i="8" s="1"/>
  <c r="M169" i="8" s="1"/>
  <c r="N169" i="8" s="1"/>
  <c r="O169" i="8" s="1"/>
  <c r="P180" i="8"/>
  <c r="D164" i="8"/>
  <c r="E164" i="8" s="1"/>
  <c r="F164" i="8" s="1"/>
  <c r="G164" i="8" s="1"/>
  <c r="H164" i="8" s="1"/>
  <c r="I164" i="8" s="1"/>
  <c r="J164" i="8" s="1"/>
  <c r="K164" i="8" s="1"/>
  <c r="L164" i="8" s="1"/>
  <c r="M164" i="8" s="1"/>
  <c r="N164" i="8" s="1"/>
  <c r="O164" i="8" s="1"/>
  <c r="D163" i="8"/>
  <c r="E163" i="8" s="1"/>
  <c r="F163" i="8" s="1"/>
  <c r="G163" i="8" s="1"/>
  <c r="H163" i="8" s="1"/>
  <c r="I163" i="8" s="1"/>
  <c r="J163" i="8" s="1"/>
  <c r="K163" i="8" s="1"/>
  <c r="L163" i="8" s="1"/>
  <c r="M163" i="8" s="1"/>
  <c r="N163" i="8" s="1"/>
  <c r="O163" i="8" s="1"/>
  <c r="P169" i="8" l="1"/>
  <c r="P157" i="8"/>
  <c r="D84" i="61" l="1"/>
  <c r="I84" i="61" s="1"/>
  <c r="D82" i="61"/>
  <c r="I82" i="61" l="1"/>
  <c r="B97" i="83" l="1"/>
  <c r="B100" i="83"/>
  <c r="C88" i="83"/>
  <c r="D88" i="83"/>
  <c r="E88" i="83"/>
  <c r="F88" i="83"/>
  <c r="G88" i="83"/>
  <c r="H88" i="83"/>
  <c r="I88" i="83"/>
  <c r="J88" i="83"/>
  <c r="K88" i="83"/>
  <c r="L88" i="83"/>
  <c r="M88" i="83"/>
  <c r="N88" i="83"/>
  <c r="B93" i="83"/>
  <c r="B88" i="83"/>
  <c r="B84" i="83"/>
  <c r="C54" i="83"/>
  <c r="B645" i="77" l="1"/>
  <c r="K11" i="76"/>
  <c r="D482" i="77" l="1"/>
  <c r="F115" i="40"/>
  <c r="F116" i="40"/>
  <c r="F117" i="40"/>
  <c r="F118" i="40"/>
  <c r="F114" i="40"/>
  <c r="F131" i="40"/>
  <c r="F132" i="40"/>
  <c r="F133" i="40"/>
  <c r="F134" i="40"/>
  <c r="F135" i="40"/>
  <c r="F130" i="40"/>
  <c r="D152" i="40"/>
  <c r="D148" i="40"/>
  <c r="D149" i="40"/>
  <c r="D150" i="40"/>
  <c r="D151" i="40"/>
  <c r="D147" i="40"/>
  <c r="D138" i="40"/>
  <c r="D137" i="40"/>
  <c r="D131" i="40"/>
  <c r="D132" i="40"/>
  <c r="D133" i="40"/>
  <c r="D134" i="40"/>
  <c r="D135" i="40"/>
  <c r="D130" i="40"/>
  <c r="D121" i="40"/>
  <c r="D120" i="40"/>
  <c r="D118" i="40"/>
  <c r="D115" i="40"/>
  <c r="D116" i="40"/>
  <c r="D117" i="40"/>
  <c r="D114" i="40"/>
  <c r="M138" i="76" l="1"/>
  <c r="L138" i="76"/>
  <c r="K138" i="76"/>
  <c r="I138" i="76"/>
  <c r="M137" i="76"/>
  <c r="L137" i="76"/>
  <c r="K137" i="76"/>
  <c r="I137" i="76"/>
  <c r="M136" i="76"/>
  <c r="L136" i="76"/>
  <c r="K136" i="76"/>
  <c r="I136" i="76"/>
  <c r="M135" i="76"/>
  <c r="L135" i="76"/>
  <c r="K135" i="76"/>
  <c r="I135" i="76"/>
  <c r="M134" i="76"/>
  <c r="L134" i="76"/>
  <c r="K134" i="76"/>
  <c r="I134" i="76"/>
  <c r="M133" i="76"/>
  <c r="L133" i="76"/>
  <c r="K133" i="76"/>
  <c r="I133" i="76"/>
  <c r="M132" i="76"/>
  <c r="L132" i="76"/>
  <c r="K132" i="76"/>
  <c r="I132" i="76"/>
  <c r="M131" i="76"/>
  <c r="L131" i="76"/>
  <c r="K131" i="76"/>
  <c r="I131" i="76"/>
  <c r="M130" i="76"/>
  <c r="L130" i="76"/>
  <c r="K130" i="76"/>
  <c r="I130" i="76"/>
  <c r="M129" i="76"/>
  <c r="L129" i="76"/>
  <c r="K129" i="76"/>
  <c r="I129" i="76"/>
  <c r="M128" i="76"/>
  <c r="L128" i="76"/>
  <c r="K128" i="76"/>
  <c r="I128" i="76"/>
  <c r="M127" i="76"/>
  <c r="L127" i="76"/>
  <c r="K127" i="76"/>
  <c r="I127" i="76"/>
  <c r="M126" i="76"/>
  <c r="L126" i="76"/>
  <c r="K126" i="76"/>
  <c r="I126" i="76"/>
  <c r="M125" i="76"/>
  <c r="L125" i="76"/>
  <c r="K125" i="76"/>
  <c r="I125" i="76"/>
  <c r="M124" i="76"/>
  <c r="L124" i="76"/>
  <c r="K124" i="76"/>
  <c r="I124" i="76"/>
  <c r="M123" i="76"/>
  <c r="L123" i="76"/>
  <c r="K123" i="76"/>
  <c r="I123" i="76"/>
  <c r="M122" i="76"/>
  <c r="L122" i="76"/>
  <c r="K122" i="76"/>
  <c r="I122" i="76"/>
  <c r="M121" i="76"/>
  <c r="L121" i="76"/>
  <c r="K121" i="76"/>
  <c r="I121" i="76"/>
  <c r="M120" i="76"/>
  <c r="L120" i="76"/>
  <c r="K120" i="76"/>
  <c r="I120" i="76"/>
  <c r="M119" i="76"/>
  <c r="L119" i="76"/>
  <c r="K119" i="76"/>
  <c r="I119" i="76"/>
  <c r="M118" i="76"/>
  <c r="L118" i="76"/>
  <c r="K118" i="76"/>
  <c r="I118" i="76"/>
  <c r="M117" i="76"/>
  <c r="L117" i="76"/>
  <c r="K117" i="76"/>
  <c r="I117" i="76"/>
  <c r="M116" i="76"/>
  <c r="L116" i="76"/>
  <c r="K116" i="76"/>
  <c r="I116" i="76"/>
  <c r="M115" i="76"/>
  <c r="L115" i="76"/>
  <c r="K115" i="76"/>
  <c r="I115" i="76"/>
  <c r="M114" i="76"/>
  <c r="L114" i="76"/>
  <c r="K114" i="76"/>
  <c r="I114" i="76"/>
  <c r="M113" i="76"/>
  <c r="L113" i="76"/>
  <c r="K113" i="76"/>
  <c r="I113" i="76"/>
  <c r="M112" i="76"/>
  <c r="L112" i="76"/>
  <c r="K112" i="76"/>
  <c r="I112" i="76"/>
  <c r="M111" i="76"/>
  <c r="L111" i="76"/>
  <c r="K111" i="76"/>
  <c r="I111" i="76"/>
  <c r="M110" i="76"/>
  <c r="L110" i="76"/>
  <c r="K110" i="76"/>
  <c r="I110" i="76"/>
  <c r="M109" i="76"/>
  <c r="L109" i="76"/>
  <c r="K109" i="76"/>
  <c r="I109" i="76"/>
  <c r="M108" i="76"/>
  <c r="L108" i="76"/>
  <c r="K108" i="76"/>
  <c r="I108" i="76"/>
  <c r="M107" i="76"/>
  <c r="L107" i="76"/>
  <c r="K107" i="76"/>
  <c r="I107" i="76"/>
  <c r="M106" i="76"/>
  <c r="L106" i="76"/>
  <c r="K106" i="76"/>
  <c r="I106" i="76"/>
  <c r="M105" i="76"/>
  <c r="L105" i="76"/>
  <c r="K105" i="76"/>
  <c r="I105" i="76"/>
  <c r="M104" i="76"/>
  <c r="L104" i="76"/>
  <c r="K104" i="76"/>
  <c r="I104" i="76"/>
  <c r="M103" i="76"/>
  <c r="L103" i="76"/>
  <c r="K103" i="76"/>
  <c r="I103" i="76"/>
  <c r="M102" i="76"/>
  <c r="L102" i="76"/>
  <c r="K102" i="76"/>
  <c r="I102" i="76"/>
  <c r="M101" i="76"/>
  <c r="L101" i="76"/>
  <c r="K101" i="76"/>
  <c r="I101" i="76"/>
  <c r="M100" i="76"/>
  <c r="L100" i="76"/>
  <c r="K100" i="76"/>
  <c r="I100" i="76"/>
  <c r="M99" i="76"/>
  <c r="L99" i="76"/>
  <c r="K99" i="76"/>
  <c r="I99" i="76"/>
  <c r="M98" i="76"/>
  <c r="L98" i="76"/>
  <c r="K98" i="76"/>
  <c r="I98" i="76"/>
  <c r="M97" i="76"/>
  <c r="L97" i="76"/>
  <c r="K97" i="76"/>
  <c r="I97" i="76"/>
  <c r="M96" i="76"/>
  <c r="L96" i="76"/>
  <c r="K96" i="76"/>
  <c r="I96" i="76"/>
  <c r="M95" i="76"/>
  <c r="L95" i="76"/>
  <c r="K95" i="76"/>
  <c r="I95" i="76"/>
  <c r="M94" i="76"/>
  <c r="L94" i="76"/>
  <c r="K94" i="76"/>
  <c r="I94" i="76"/>
  <c r="M93" i="76"/>
  <c r="L93" i="76"/>
  <c r="K93" i="76"/>
  <c r="I93" i="76"/>
  <c r="M92" i="76"/>
  <c r="L92" i="76"/>
  <c r="K92" i="76"/>
  <c r="I92" i="76"/>
  <c r="M91" i="76"/>
  <c r="L91" i="76"/>
  <c r="K91" i="76"/>
  <c r="I91" i="76"/>
  <c r="M90" i="76"/>
  <c r="L90" i="76"/>
  <c r="K90" i="76"/>
  <c r="I90" i="76"/>
  <c r="M89" i="76"/>
  <c r="L89" i="76"/>
  <c r="K89" i="76"/>
  <c r="I89" i="76"/>
  <c r="M88" i="76"/>
  <c r="L88" i="76"/>
  <c r="K88" i="76"/>
  <c r="I88" i="76"/>
  <c r="M87" i="76"/>
  <c r="L87" i="76"/>
  <c r="K87" i="76"/>
  <c r="I87" i="76"/>
  <c r="M86" i="76"/>
  <c r="L86" i="76"/>
  <c r="K86" i="76"/>
  <c r="I86" i="76"/>
  <c r="M85" i="76"/>
  <c r="L85" i="76"/>
  <c r="K85" i="76"/>
  <c r="I85" i="76"/>
  <c r="M84" i="76"/>
  <c r="L84" i="76"/>
  <c r="K84" i="76"/>
  <c r="I84" i="76"/>
  <c r="M83" i="76"/>
  <c r="L83" i="76"/>
  <c r="K83" i="76"/>
  <c r="I83" i="76"/>
  <c r="M82" i="76"/>
  <c r="L82" i="76"/>
  <c r="K82" i="76"/>
  <c r="I82" i="76"/>
  <c r="M81" i="76"/>
  <c r="L81" i="76"/>
  <c r="K81" i="76"/>
  <c r="I81" i="76"/>
  <c r="M80" i="76"/>
  <c r="L80" i="76"/>
  <c r="K80" i="76"/>
  <c r="I80" i="76"/>
  <c r="M79" i="76"/>
  <c r="L79" i="76"/>
  <c r="K79" i="76"/>
  <c r="I79" i="76"/>
  <c r="M78" i="76"/>
  <c r="L78" i="76"/>
  <c r="K78" i="76"/>
  <c r="I78" i="76"/>
  <c r="M77" i="76"/>
  <c r="L77" i="76"/>
  <c r="K77" i="76"/>
  <c r="I77" i="76"/>
  <c r="M76" i="76"/>
  <c r="L76" i="76"/>
  <c r="K76" i="76"/>
  <c r="I76" i="76"/>
  <c r="M75" i="76"/>
  <c r="L75" i="76"/>
  <c r="K75" i="76"/>
  <c r="I75" i="76"/>
  <c r="M74" i="76"/>
  <c r="L74" i="76"/>
  <c r="K74" i="76"/>
  <c r="I74" i="76"/>
  <c r="M73" i="76"/>
  <c r="L73" i="76"/>
  <c r="K73" i="76"/>
  <c r="I73" i="76"/>
  <c r="M72" i="76"/>
  <c r="L72" i="76"/>
  <c r="K72" i="76"/>
  <c r="I72" i="76"/>
  <c r="M71" i="76"/>
  <c r="L71" i="76"/>
  <c r="K71" i="76"/>
  <c r="I71" i="76"/>
  <c r="M70" i="76"/>
  <c r="L70" i="76"/>
  <c r="K70" i="76"/>
  <c r="I70" i="76"/>
  <c r="M69" i="76"/>
  <c r="L69" i="76"/>
  <c r="K69" i="76"/>
  <c r="I69" i="76"/>
  <c r="M68" i="76"/>
  <c r="L68" i="76"/>
  <c r="K68" i="76"/>
  <c r="I68" i="76"/>
  <c r="M67" i="76"/>
  <c r="L67" i="76"/>
  <c r="K67" i="76"/>
  <c r="I67" i="76"/>
  <c r="M66" i="76"/>
  <c r="L66" i="76"/>
  <c r="K66" i="76"/>
  <c r="I66" i="76"/>
  <c r="M65" i="76"/>
  <c r="L65" i="76"/>
  <c r="K65" i="76"/>
  <c r="I65" i="76"/>
  <c r="M64" i="76"/>
  <c r="L64" i="76"/>
  <c r="K64" i="76"/>
  <c r="I64" i="76"/>
  <c r="M63" i="76"/>
  <c r="L63" i="76"/>
  <c r="K63" i="76"/>
  <c r="I63" i="76"/>
  <c r="M62" i="76"/>
  <c r="L62" i="76"/>
  <c r="K62" i="76"/>
  <c r="I62" i="76"/>
  <c r="M61" i="76"/>
  <c r="L61" i="76"/>
  <c r="K61" i="76"/>
  <c r="I61" i="76"/>
  <c r="M60" i="76"/>
  <c r="L60" i="76"/>
  <c r="K60" i="76"/>
  <c r="I60" i="76"/>
  <c r="M56" i="76"/>
  <c r="L56" i="76"/>
  <c r="K56" i="76"/>
  <c r="I56" i="76"/>
  <c r="M55" i="76"/>
  <c r="L55" i="76"/>
  <c r="K55" i="76"/>
  <c r="I55" i="76"/>
  <c r="M54" i="76"/>
  <c r="L54" i="76"/>
  <c r="K54" i="76"/>
  <c r="I54" i="76"/>
  <c r="M53" i="76"/>
  <c r="L53" i="76"/>
  <c r="K53" i="76"/>
  <c r="I53" i="76"/>
  <c r="M52" i="76"/>
  <c r="L52" i="76"/>
  <c r="K52" i="76"/>
  <c r="I52" i="76"/>
  <c r="M51" i="76"/>
  <c r="L51" i="76"/>
  <c r="K51" i="76"/>
  <c r="I51" i="76"/>
  <c r="M50" i="76"/>
  <c r="L50" i="76"/>
  <c r="K50" i="76"/>
  <c r="I50" i="76"/>
  <c r="M49" i="76"/>
  <c r="L49" i="76"/>
  <c r="K49" i="76"/>
  <c r="I49" i="76"/>
  <c r="M48" i="76"/>
  <c r="L48" i="76"/>
  <c r="K48" i="76"/>
  <c r="I48" i="76"/>
  <c r="M47" i="76"/>
  <c r="L47" i="76"/>
  <c r="K47" i="76"/>
  <c r="I47" i="76"/>
  <c r="M46" i="76"/>
  <c r="L46" i="76"/>
  <c r="K46" i="76"/>
  <c r="I46" i="76"/>
  <c r="M45" i="76"/>
  <c r="L45" i="76"/>
  <c r="K45" i="76"/>
  <c r="I45" i="76"/>
  <c r="M44" i="76"/>
  <c r="L44" i="76"/>
  <c r="K44" i="76"/>
  <c r="I44" i="76"/>
  <c r="M43" i="76"/>
  <c r="L43" i="76"/>
  <c r="K43" i="76"/>
  <c r="I43" i="76"/>
  <c r="M42" i="76"/>
  <c r="L42" i="76"/>
  <c r="K42" i="76"/>
  <c r="I42" i="76"/>
  <c r="M41" i="76"/>
  <c r="L41" i="76"/>
  <c r="K41" i="76"/>
  <c r="I41" i="76"/>
  <c r="M40" i="76"/>
  <c r="L40" i="76"/>
  <c r="K40" i="76"/>
  <c r="I40" i="76"/>
  <c r="M39" i="76"/>
  <c r="L39" i="76"/>
  <c r="K39" i="76"/>
  <c r="I39" i="76"/>
  <c r="M38" i="76"/>
  <c r="L38" i="76"/>
  <c r="K38" i="76"/>
  <c r="I38" i="76"/>
  <c r="M37" i="76"/>
  <c r="L37" i="76"/>
  <c r="K37" i="76"/>
  <c r="I37" i="76"/>
  <c r="M36" i="76"/>
  <c r="L36" i="76"/>
  <c r="K36" i="76"/>
  <c r="I36" i="76"/>
  <c r="M35" i="76"/>
  <c r="L35" i="76"/>
  <c r="K35" i="76"/>
  <c r="I35" i="76"/>
  <c r="M34" i="76"/>
  <c r="L34" i="76"/>
  <c r="K34" i="76"/>
  <c r="I34" i="76"/>
  <c r="M33" i="76"/>
  <c r="L33" i="76"/>
  <c r="K33" i="76"/>
  <c r="I33" i="76"/>
  <c r="M32" i="76"/>
  <c r="L32" i="76"/>
  <c r="K32" i="76"/>
  <c r="I32" i="76"/>
  <c r="M31" i="76"/>
  <c r="L31" i="76"/>
  <c r="K31" i="76"/>
  <c r="I31" i="76"/>
  <c r="M30" i="76"/>
  <c r="L30" i="76"/>
  <c r="K30" i="76"/>
  <c r="I30" i="76"/>
  <c r="M29" i="76"/>
  <c r="L29" i="76"/>
  <c r="K29" i="76"/>
  <c r="I29" i="76"/>
  <c r="M28" i="76"/>
  <c r="L28" i="76"/>
  <c r="K28" i="76"/>
  <c r="I28" i="76"/>
  <c r="M27" i="76"/>
  <c r="L27" i="76"/>
  <c r="K27" i="76"/>
  <c r="I27" i="76"/>
  <c r="M26" i="76"/>
  <c r="L26" i="76"/>
  <c r="K26" i="76"/>
  <c r="I26" i="76"/>
  <c r="M25" i="76"/>
  <c r="L25" i="76"/>
  <c r="K25" i="76"/>
  <c r="I25" i="76"/>
  <c r="M24" i="76"/>
  <c r="L24" i="76"/>
  <c r="K24" i="76"/>
  <c r="I24" i="76"/>
  <c r="M23" i="76"/>
  <c r="L23" i="76"/>
  <c r="K23" i="76"/>
  <c r="I23" i="76"/>
  <c r="M22" i="76"/>
  <c r="L22" i="76"/>
  <c r="K22" i="76"/>
  <c r="I22" i="76"/>
  <c r="M21" i="76"/>
  <c r="L21" i="76"/>
  <c r="K21" i="76"/>
  <c r="I21" i="76"/>
  <c r="M20" i="76"/>
  <c r="L20" i="76"/>
  <c r="K20" i="76"/>
  <c r="I20" i="76"/>
  <c r="M19" i="76"/>
  <c r="L19" i="76"/>
  <c r="K19" i="76"/>
  <c r="I19" i="76"/>
  <c r="M18" i="76"/>
  <c r="L18" i="76"/>
  <c r="K18" i="76"/>
  <c r="I18" i="76"/>
  <c r="M17" i="76"/>
  <c r="L17" i="76"/>
  <c r="K17" i="76"/>
  <c r="I17" i="76"/>
  <c r="M16" i="76"/>
  <c r="L16" i="76"/>
  <c r="K16" i="76"/>
  <c r="I16" i="76"/>
  <c r="M15" i="76"/>
  <c r="L15" i="76"/>
  <c r="K15" i="76"/>
  <c r="I15" i="76"/>
  <c r="M14" i="76"/>
  <c r="L14" i="76"/>
  <c r="K14" i="76"/>
  <c r="I14" i="76"/>
  <c r="M13" i="76"/>
  <c r="L13" i="76"/>
  <c r="K13" i="76"/>
  <c r="I13" i="76"/>
  <c r="M12" i="76"/>
  <c r="L12" i="76"/>
  <c r="K12" i="76"/>
  <c r="I12" i="76"/>
  <c r="M11" i="76"/>
  <c r="L11" i="76"/>
  <c r="I11" i="76"/>
  <c r="M10" i="76"/>
  <c r="L10" i="76"/>
  <c r="K10" i="76"/>
  <c r="I10" i="76"/>
  <c r="M9" i="76"/>
  <c r="L9" i="76"/>
  <c r="K9" i="76"/>
  <c r="I9" i="76"/>
  <c r="B181" i="83"/>
  <c r="B176" i="83"/>
  <c r="B175" i="83"/>
  <c r="B168" i="83"/>
  <c r="C33" i="83" s="1"/>
  <c r="F33" i="83" s="1"/>
  <c r="I33" i="83" s="1"/>
  <c r="B167" i="83"/>
  <c r="B165" i="83"/>
  <c r="B164" i="83"/>
  <c r="B161" i="83"/>
  <c r="C26" i="83" s="1"/>
  <c r="I26" i="83" s="1"/>
  <c r="N149" i="83"/>
  <c r="M149" i="83"/>
  <c r="L149" i="83"/>
  <c r="K149" i="83"/>
  <c r="J149" i="83"/>
  <c r="I149" i="83"/>
  <c r="H149" i="83"/>
  <c r="G149" i="83"/>
  <c r="F149" i="83"/>
  <c r="E149" i="83"/>
  <c r="D149" i="83"/>
  <c r="C149" i="83"/>
  <c r="N147" i="83"/>
  <c r="M147" i="83"/>
  <c r="L147" i="83"/>
  <c r="K147" i="83"/>
  <c r="J147" i="83"/>
  <c r="I147" i="83"/>
  <c r="H147" i="83"/>
  <c r="G147" i="83"/>
  <c r="F147" i="83"/>
  <c r="E147" i="83"/>
  <c r="D147" i="83"/>
  <c r="C147" i="83"/>
  <c r="N146" i="83"/>
  <c r="M146" i="83"/>
  <c r="L146" i="83"/>
  <c r="K146" i="83"/>
  <c r="J146" i="83"/>
  <c r="I146" i="83"/>
  <c r="H146" i="83"/>
  <c r="G146" i="83"/>
  <c r="F146" i="83"/>
  <c r="E146" i="83"/>
  <c r="D146" i="83"/>
  <c r="C146" i="83"/>
  <c r="N140" i="83"/>
  <c r="M140" i="83"/>
  <c r="L140" i="83"/>
  <c r="K140" i="83"/>
  <c r="J140" i="83"/>
  <c r="I140" i="83"/>
  <c r="H140" i="83"/>
  <c r="G140" i="83"/>
  <c r="F140" i="83"/>
  <c r="E140" i="83"/>
  <c r="D140" i="83"/>
  <c r="C140" i="83"/>
  <c r="N112" i="83"/>
  <c r="N163" i="83" s="1"/>
  <c r="M112" i="83"/>
  <c r="M163" i="83" s="1"/>
  <c r="L112" i="83"/>
  <c r="L163" i="83" s="1"/>
  <c r="K112" i="83"/>
  <c r="K163" i="83" s="1"/>
  <c r="J112" i="83"/>
  <c r="J163" i="83" s="1"/>
  <c r="I112" i="83"/>
  <c r="I163" i="83" s="1"/>
  <c r="H112" i="83"/>
  <c r="H163" i="83" s="1"/>
  <c r="G112" i="83"/>
  <c r="G163" i="83" s="1"/>
  <c r="F112" i="83"/>
  <c r="F163" i="83" s="1"/>
  <c r="E112" i="83"/>
  <c r="E163" i="83" s="1"/>
  <c r="D112" i="83"/>
  <c r="D163" i="83" s="1"/>
  <c r="C112" i="83"/>
  <c r="C163" i="83" s="1"/>
  <c r="N80" i="83"/>
  <c r="M80" i="83"/>
  <c r="L80" i="83"/>
  <c r="K80" i="83"/>
  <c r="J80" i="83"/>
  <c r="I80" i="83"/>
  <c r="H80" i="83"/>
  <c r="G80" i="83"/>
  <c r="F80" i="83"/>
  <c r="E80" i="83"/>
  <c r="D80" i="83"/>
  <c r="C80" i="83"/>
  <c r="B80" i="83"/>
  <c r="B79" i="83"/>
  <c r="N74" i="83"/>
  <c r="M74" i="83"/>
  <c r="L74" i="83"/>
  <c r="K74" i="83"/>
  <c r="J74" i="83"/>
  <c r="I74" i="83"/>
  <c r="H74" i="83"/>
  <c r="G74" i="83"/>
  <c r="F74" i="83"/>
  <c r="E74" i="83"/>
  <c r="D74" i="83"/>
  <c r="C74" i="83"/>
  <c r="C67" i="83"/>
  <c r="D67" i="83" s="1"/>
  <c r="E67" i="83" s="1"/>
  <c r="F67" i="83" s="1"/>
  <c r="G67" i="83" s="1"/>
  <c r="H67" i="83" s="1"/>
  <c r="I67" i="83" s="1"/>
  <c r="J67" i="83" s="1"/>
  <c r="K67" i="83" s="1"/>
  <c r="L67" i="83" s="1"/>
  <c r="M67" i="83" s="1"/>
  <c r="N67" i="83" s="1"/>
  <c r="C31" i="83"/>
  <c r="F30" i="83"/>
  <c r="I30" i="83" s="1"/>
  <c r="I29" i="83"/>
  <c r="C28" i="83"/>
  <c r="C27" i="83"/>
  <c r="C25" i="83"/>
  <c r="D58" i="83"/>
  <c r="C58" i="83"/>
  <c r="F24" i="83"/>
  <c r="I24" i="83" s="1"/>
  <c r="D54" i="83"/>
  <c r="E54" i="83" s="1"/>
  <c r="B52" i="83"/>
  <c r="B56" i="83" s="1"/>
  <c r="B60" i="83" s="1"/>
  <c r="B64" i="83" s="1"/>
  <c r="B51" i="83"/>
  <c r="B55" i="83" s="1"/>
  <c r="B59" i="83" s="1"/>
  <c r="B63" i="83" s="1"/>
  <c r="D50" i="83"/>
  <c r="C50" i="83"/>
  <c r="B50" i="83"/>
  <c r="B54" i="83" s="1"/>
  <c r="B58" i="83" s="1"/>
  <c r="B62" i="83" s="1"/>
  <c r="D62" i="83"/>
  <c r="C62" i="83"/>
  <c r="C46" i="83"/>
  <c r="D46" i="83" s="1"/>
  <c r="G113" i="61"/>
  <c r="D110" i="61"/>
  <c r="I56" i="61"/>
  <c r="I50" i="61"/>
  <c r="I48" i="61"/>
  <c r="I47" i="61"/>
  <c r="I43" i="61"/>
  <c r="D24" i="61"/>
  <c r="I42" i="61"/>
  <c r="I41" i="61"/>
  <c r="I33" i="61"/>
  <c r="I32" i="61"/>
  <c r="I31" i="61"/>
  <c r="B31" i="61"/>
  <c r="I29" i="61"/>
  <c r="I28" i="61"/>
  <c r="I26" i="61"/>
  <c r="I23" i="61"/>
  <c r="I22" i="61"/>
  <c r="I21" i="61"/>
  <c r="I18" i="61"/>
  <c r="I17" i="61"/>
  <c r="I16" i="61"/>
  <c r="I14" i="61"/>
  <c r="I13" i="61"/>
  <c r="I12" i="61"/>
  <c r="I11" i="61"/>
  <c r="I8" i="61"/>
  <c r="I7" i="61"/>
  <c r="C7" i="61"/>
  <c r="I6" i="61"/>
  <c r="D5" i="61"/>
  <c r="N42" i="80"/>
  <c r="M42" i="80"/>
  <c r="L42" i="80"/>
  <c r="K42" i="80"/>
  <c r="J42" i="80"/>
  <c r="I42" i="80"/>
  <c r="H42" i="80"/>
  <c r="G42" i="80"/>
  <c r="F42" i="80"/>
  <c r="E42" i="80"/>
  <c r="D42" i="80"/>
  <c r="C42" i="80"/>
  <c r="N40" i="80"/>
  <c r="M40" i="80"/>
  <c r="L40" i="80"/>
  <c r="K40" i="80"/>
  <c r="J40" i="80"/>
  <c r="I40" i="80"/>
  <c r="H40" i="80"/>
  <c r="G40" i="80"/>
  <c r="F40" i="80"/>
  <c r="E40" i="80"/>
  <c r="D40" i="80"/>
  <c r="C40" i="80"/>
  <c r="N39" i="80"/>
  <c r="M39" i="80"/>
  <c r="L39" i="80"/>
  <c r="K39" i="80"/>
  <c r="J39" i="80"/>
  <c r="I39" i="80"/>
  <c r="H39" i="80"/>
  <c r="G39" i="80"/>
  <c r="F39" i="80"/>
  <c r="E39" i="80"/>
  <c r="D39" i="80"/>
  <c r="C39" i="80"/>
  <c r="N33" i="80"/>
  <c r="M33" i="80"/>
  <c r="L33" i="80"/>
  <c r="K33" i="80"/>
  <c r="J33" i="80"/>
  <c r="I33" i="80"/>
  <c r="H33" i="80"/>
  <c r="G33" i="80"/>
  <c r="F33" i="80"/>
  <c r="E33" i="80"/>
  <c r="D33" i="80"/>
  <c r="C33" i="80"/>
  <c r="N26" i="80"/>
  <c r="M26" i="80"/>
  <c r="L26" i="80"/>
  <c r="K26" i="80"/>
  <c r="J26" i="80"/>
  <c r="I26" i="80"/>
  <c r="H26" i="80"/>
  <c r="G26" i="80"/>
  <c r="F26" i="80"/>
  <c r="E26" i="80"/>
  <c r="D26" i="80"/>
  <c r="C26" i="80"/>
  <c r="N18" i="80"/>
  <c r="M18" i="80"/>
  <c r="L18" i="80"/>
  <c r="K18" i="80"/>
  <c r="J18" i="80"/>
  <c r="I18" i="80"/>
  <c r="H18" i="80"/>
  <c r="G18" i="80"/>
  <c r="F18" i="80"/>
  <c r="E18" i="80"/>
  <c r="D18" i="80"/>
  <c r="C18" i="80"/>
  <c r="C3" i="80"/>
  <c r="D3" i="80" s="1"/>
  <c r="E3" i="80" s="1"/>
  <c r="F3" i="80" s="1"/>
  <c r="G3" i="80" s="1"/>
  <c r="H3" i="80" s="1"/>
  <c r="I3" i="80" s="1"/>
  <c r="J3" i="80" s="1"/>
  <c r="K3" i="80" s="1"/>
  <c r="L3" i="80" s="1"/>
  <c r="M3" i="80" s="1"/>
  <c r="N3" i="80" s="1"/>
  <c r="C19" i="25"/>
  <c r="C17" i="25"/>
  <c r="C15" i="25"/>
  <c r="G8" i="25"/>
  <c r="G6" i="25"/>
  <c r="G5" i="25"/>
  <c r="G4" i="25"/>
  <c r="N39" i="10"/>
  <c r="M39" i="10"/>
  <c r="L39" i="10"/>
  <c r="K39" i="10"/>
  <c r="J39" i="10"/>
  <c r="I39" i="10"/>
  <c r="H39" i="10"/>
  <c r="G39" i="10"/>
  <c r="F39" i="10"/>
  <c r="E39" i="10"/>
  <c r="D39" i="10"/>
  <c r="C39" i="10"/>
  <c r="N37" i="10"/>
  <c r="M37" i="10"/>
  <c r="L37" i="10"/>
  <c r="K37" i="10"/>
  <c r="J37" i="10"/>
  <c r="I37" i="10"/>
  <c r="H37" i="10"/>
  <c r="G37" i="10"/>
  <c r="F37" i="10"/>
  <c r="E37" i="10"/>
  <c r="D37" i="10"/>
  <c r="C37" i="10"/>
  <c r="N36" i="10"/>
  <c r="M36" i="10"/>
  <c r="L36" i="10"/>
  <c r="K36" i="10"/>
  <c r="J36" i="10"/>
  <c r="I36" i="10"/>
  <c r="H36" i="10"/>
  <c r="G36" i="10"/>
  <c r="F36" i="10"/>
  <c r="E36" i="10"/>
  <c r="D36" i="10"/>
  <c r="C36" i="10"/>
  <c r="N32" i="10"/>
  <c r="M32" i="10"/>
  <c r="L32" i="10"/>
  <c r="K32" i="10"/>
  <c r="J32" i="10"/>
  <c r="I32" i="10"/>
  <c r="H32" i="10"/>
  <c r="G32" i="10"/>
  <c r="F32" i="10"/>
  <c r="E32" i="10"/>
  <c r="D32" i="10"/>
  <c r="C32" i="10"/>
  <c r="N26" i="10"/>
  <c r="M26" i="10"/>
  <c r="L26" i="10"/>
  <c r="K26" i="10"/>
  <c r="J26" i="10"/>
  <c r="I26" i="10"/>
  <c r="H26" i="10"/>
  <c r="G26" i="10"/>
  <c r="F26" i="10"/>
  <c r="E26" i="10"/>
  <c r="D26" i="10"/>
  <c r="C26" i="10"/>
  <c r="O9" i="10"/>
  <c r="N8" i="10"/>
  <c r="M8" i="10"/>
  <c r="L8" i="10"/>
  <c r="K8" i="10"/>
  <c r="J8" i="10"/>
  <c r="I8" i="10"/>
  <c r="H8" i="10"/>
  <c r="G8" i="10"/>
  <c r="F8" i="10"/>
  <c r="E8" i="10"/>
  <c r="D8" i="10"/>
  <c r="C8" i="10"/>
  <c r="C7" i="10"/>
  <c r="C4" i="25" s="1"/>
  <c r="C5" i="10"/>
  <c r="D5" i="10" s="1"/>
  <c r="E5" i="10" s="1"/>
  <c r="F5" i="10" s="1"/>
  <c r="G5" i="10" s="1"/>
  <c r="H5" i="10" s="1"/>
  <c r="I5" i="10" s="1"/>
  <c r="J5" i="10" s="1"/>
  <c r="K5" i="10" s="1"/>
  <c r="L5" i="10" s="1"/>
  <c r="M5" i="10" s="1"/>
  <c r="N5" i="10" s="1"/>
  <c r="P102" i="9"/>
  <c r="O92" i="9"/>
  <c r="N67" i="80" s="1"/>
  <c r="N92" i="9"/>
  <c r="M67" i="80" s="1"/>
  <c r="M92" i="9"/>
  <c r="L67" i="80" s="1"/>
  <c r="L92" i="9"/>
  <c r="K55" i="10" s="1"/>
  <c r="K92" i="9"/>
  <c r="J67" i="80" s="1"/>
  <c r="J92" i="9"/>
  <c r="I67" i="80" s="1"/>
  <c r="I92" i="9"/>
  <c r="H67" i="80" s="1"/>
  <c r="H92" i="9"/>
  <c r="G55" i="10" s="1"/>
  <c r="G92" i="9"/>
  <c r="F67" i="80" s="1"/>
  <c r="F92" i="9"/>
  <c r="E67" i="80" s="1"/>
  <c r="E92" i="9"/>
  <c r="D67" i="80" s="1"/>
  <c r="D92" i="9"/>
  <c r="C55" i="10" s="1"/>
  <c r="P91" i="9"/>
  <c r="P90" i="9"/>
  <c r="P89" i="9"/>
  <c r="P88" i="9"/>
  <c r="P87" i="9"/>
  <c r="P86" i="9"/>
  <c r="P85" i="9"/>
  <c r="P84" i="9"/>
  <c r="P83" i="9"/>
  <c r="P82" i="9"/>
  <c r="O48" i="9"/>
  <c r="N48" i="9"/>
  <c r="M48" i="9"/>
  <c r="L48" i="9"/>
  <c r="K48" i="9"/>
  <c r="J48" i="9"/>
  <c r="I48" i="9"/>
  <c r="H48" i="9"/>
  <c r="G48" i="9"/>
  <c r="F48" i="9"/>
  <c r="E48" i="9"/>
  <c r="D48" i="9"/>
  <c r="P47" i="9"/>
  <c r="R47" i="9" s="1"/>
  <c r="P46" i="9"/>
  <c r="R46" i="9" s="1"/>
  <c r="P45" i="9"/>
  <c r="R45" i="9" s="1"/>
  <c r="P44" i="9"/>
  <c r="R44" i="9" s="1"/>
  <c r="P43" i="9"/>
  <c r="R43" i="9" s="1"/>
  <c r="P42" i="9"/>
  <c r="R42" i="9" s="1"/>
  <c r="P41" i="9"/>
  <c r="R41" i="9" s="1"/>
  <c r="P40" i="9"/>
  <c r="R40" i="9" s="1"/>
  <c r="P39" i="9"/>
  <c r="R39" i="9" s="1"/>
  <c r="P38" i="9"/>
  <c r="R38" i="9" s="1"/>
  <c r="O62" i="9"/>
  <c r="N62" i="9"/>
  <c r="M62" i="9"/>
  <c r="L62" i="9"/>
  <c r="K62" i="9"/>
  <c r="J62" i="9"/>
  <c r="I62" i="9"/>
  <c r="H62" i="9"/>
  <c r="G62" i="9"/>
  <c r="F62" i="9"/>
  <c r="E62" i="9"/>
  <c r="D62" i="9"/>
  <c r="P61" i="9"/>
  <c r="P60" i="9"/>
  <c r="P59" i="9"/>
  <c r="P58" i="9"/>
  <c r="P57" i="9"/>
  <c r="P56" i="9"/>
  <c r="P55" i="9"/>
  <c r="P54" i="9"/>
  <c r="P53" i="9"/>
  <c r="P32" i="9"/>
  <c r="S32" i="9" s="1"/>
  <c r="P31" i="9"/>
  <c r="S31" i="9" s="1"/>
  <c r="P30" i="9"/>
  <c r="S30" i="9" s="1"/>
  <c r="P29" i="9"/>
  <c r="S29" i="9" s="1"/>
  <c r="P28" i="9"/>
  <c r="S28" i="9" s="1"/>
  <c r="P27" i="9"/>
  <c r="S27" i="9" s="1"/>
  <c r="P25" i="9"/>
  <c r="S25" i="9" s="1"/>
  <c r="P24" i="9"/>
  <c r="P23" i="9"/>
  <c r="S23" i="9" s="1"/>
  <c r="O18" i="9"/>
  <c r="N15" i="10" s="1"/>
  <c r="N18" i="9"/>
  <c r="M15" i="10" s="1"/>
  <c r="M18" i="9"/>
  <c r="L15" i="10" s="1"/>
  <c r="L18" i="9"/>
  <c r="K15" i="10" s="1"/>
  <c r="K18" i="9"/>
  <c r="J15" i="10" s="1"/>
  <c r="J18" i="9"/>
  <c r="I15" i="10" s="1"/>
  <c r="I18" i="9"/>
  <c r="H15" i="10" s="1"/>
  <c r="H18" i="9"/>
  <c r="G15" i="10" s="1"/>
  <c r="G18" i="9"/>
  <c r="F15" i="10" s="1"/>
  <c r="F18" i="9"/>
  <c r="E15" i="10" s="1"/>
  <c r="E18" i="9"/>
  <c r="D15" i="10" s="1"/>
  <c r="D18" i="9"/>
  <c r="P17" i="9"/>
  <c r="P16" i="9"/>
  <c r="P15" i="9"/>
  <c r="P14" i="9"/>
  <c r="P13" i="9"/>
  <c r="P12" i="9"/>
  <c r="P11" i="9"/>
  <c r="P10" i="9"/>
  <c r="P9" i="9"/>
  <c r="P8" i="9"/>
  <c r="D5" i="9"/>
  <c r="J2" i="9"/>
  <c r="N62" i="80"/>
  <c r="M44" i="10"/>
  <c r="L44" i="10"/>
  <c r="K62" i="80"/>
  <c r="J62" i="80"/>
  <c r="I44" i="10"/>
  <c r="H44" i="10"/>
  <c r="G62" i="80"/>
  <c r="F62" i="80"/>
  <c r="E44" i="10"/>
  <c r="D44" i="10"/>
  <c r="C62" i="80"/>
  <c r="P210" i="8"/>
  <c r="T206" i="8"/>
  <c r="T204" i="8"/>
  <c r="O204" i="8"/>
  <c r="N41" i="10" s="1"/>
  <c r="N204" i="8"/>
  <c r="M41" i="10" s="1"/>
  <c r="M204" i="8"/>
  <c r="L54" i="80" s="1"/>
  <c r="L204" i="8"/>
  <c r="K54" i="80" s="1"/>
  <c r="K204" i="8"/>
  <c r="J41" i="10" s="1"/>
  <c r="J204" i="8"/>
  <c r="I41" i="10" s="1"/>
  <c r="I204" i="8"/>
  <c r="H54" i="80" s="1"/>
  <c r="H204" i="8"/>
  <c r="G54" i="80" s="1"/>
  <c r="G204" i="8"/>
  <c r="F41" i="10" s="1"/>
  <c r="F204" i="8"/>
  <c r="E41" i="10" s="1"/>
  <c r="E204" i="8"/>
  <c r="D54" i="80" s="1"/>
  <c r="D204" i="8"/>
  <c r="C54" i="80" s="1"/>
  <c r="C204" i="8"/>
  <c r="P203" i="8"/>
  <c r="P202" i="8"/>
  <c r="P201" i="8"/>
  <c r="P200" i="8"/>
  <c r="P199" i="8"/>
  <c r="P198" i="8"/>
  <c r="P197" i="8"/>
  <c r="P196" i="8"/>
  <c r="P195" i="8"/>
  <c r="P194" i="8"/>
  <c r="T189" i="8"/>
  <c r="O185" i="8"/>
  <c r="N185" i="8"/>
  <c r="M185" i="8"/>
  <c r="L185" i="8"/>
  <c r="K185" i="8"/>
  <c r="J185" i="8"/>
  <c r="I185" i="8"/>
  <c r="H185" i="8"/>
  <c r="G185" i="8"/>
  <c r="F185" i="8"/>
  <c r="E185" i="8"/>
  <c r="D185" i="8"/>
  <c r="P175" i="8"/>
  <c r="P174" i="8"/>
  <c r="P173" i="8"/>
  <c r="T170" i="8"/>
  <c r="S170" i="8"/>
  <c r="I49" i="61" s="1"/>
  <c r="T169" i="8"/>
  <c r="T168" i="8"/>
  <c r="D168" i="8"/>
  <c r="T167" i="8"/>
  <c r="D167" i="8"/>
  <c r="E167" i="8" s="1"/>
  <c r="F167" i="8" s="1"/>
  <c r="G167" i="8" s="1"/>
  <c r="H167" i="8" s="1"/>
  <c r="I167" i="8" s="1"/>
  <c r="J167" i="8" s="1"/>
  <c r="K167" i="8" s="1"/>
  <c r="L167" i="8" s="1"/>
  <c r="M167" i="8" s="1"/>
  <c r="N167" i="8" s="1"/>
  <c r="O167" i="8" s="1"/>
  <c r="P164" i="8"/>
  <c r="O147" i="83" s="1"/>
  <c r="P163" i="8"/>
  <c r="O146" i="83" s="1"/>
  <c r="D162" i="8"/>
  <c r="C145" i="83" s="1"/>
  <c r="D161" i="8"/>
  <c r="S159" i="8"/>
  <c r="E158" i="8"/>
  <c r="F158" i="8" s="1"/>
  <c r="G158" i="8" s="1"/>
  <c r="H158" i="8" s="1"/>
  <c r="I158" i="8" s="1"/>
  <c r="J158" i="8" s="1"/>
  <c r="K158" i="8" s="1"/>
  <c r="L158" i="8" s="1"/>
  <c r="M158" i="8" s="1"/>
  <c r="N158" i="8" s="1"/>
  <c r="O158" i="8" s="1"/>
  <c r="D156" i="8"/>
  <c r="P150" i="8"/>
  <c r="P149" i="8"/>
  <c r="P148" i="8"/>
  <c r="O145" i="8"/>
  <c r="N136" i="83" s="1"/>
  <c r="N145" i="8"/>
  <c r="M32" i="80" s="1"/>
  <c r="M145" i="8"/>
  <c r="L31" i="10" s="1"/>
  <c r="L145" i="8"/>
  <c r="K31" i="10" s="1"/>
  <c r="K145" i="8"/>
  <c r="J136" i="83" s="1"/>
  <c r="J145" i="8"/>
  <c r="I32" i="80" s="1"/>
  <c r="I145" i="8"/>
  <c r="H31" i="10" s="1"/>
  <c r="H145" i="8"/>
  <c r="G31" i="10" s="1"/>
  <c r="G145" i="8"/>
  <c r="F136" i="83" s="1"/>
  <c r="F145" i="8"/>
  <c r="E32" i="80" s="1"/>
  <c r="E145" i="8"/>
  <c r="D31" i="10" s="1"/>
  <c r="D145" i="8"/>
  <c r="C31" i="10" s="1"/>
  <c r="P144" i="8"/>
  <c r="P143" i="8"/>
  <c r="P142" i="8"/>
  <c r="P141" i="8"/>
  <c r="P140" i="8"/>
  <c r="D135" i="8"/>
  <c r="C134" i="83" s="1"/>
  <c r="C166" i="83" s="1"/>
  <c r="S133" i="8"/>
  <c r="S126" i="8"/>
  <c r="S120" i="8"/>
  <c r="P113" i="8"/>
  <c r="O26" i="80" s="1"/>
  <c r="D112" i="8"/>
  <c r="D111" i="8"/>
  <c r="C108" i="83" s="1"/>
  <c r="D110" i="8"/>
  <c r="C107" i="83" s="1"/>
  <c r="S107" i="8"/>
  <c r="P97" i="8"/>
  <c r="O88" i="83" s="1"/>
  <c r="P94" i="8"/>
  <c r="D95" i="8"/>
  <c r="T90" i="8"/>
  <c r="O87" i="8"/>
  <c r="N87" i="8"/>
  <c r="M87" i="8"/>
  <c r="L87" i="8"/>
  <c r="K87" i="8"/>
  <c r="J87" i="8"/>
  <c r="I87" i="8"/>
  <c r="H87" i="8"/>
  <c r="G87" i="8"/>
  <c r="F87" i="8"/>
  <c r="O86" i="8"/>
  <c r="N86" i="8"/>
  <c r="M86" i="8"/>
  <c r="L86" i="8"/>
  <c r="K86" i="8"/>
  <c r="J86" i="8"/>
  <c r="I86" i="8"/>
  <c r="H86" i="8"/>
  <c r="G86" i="8"/>
  <c r="F86" i="8"/>
  <c r="O85" i="8"/>
  <c r="N85" i="8"/>
  <c r="M85" i="8"/>
  <c r="L85" i="8"/>
  <c r="K85" i="8"/>
  <c r="J85" i="8"/>
  <c r="I85" i="8"/>
  <c r="H85" i="8"/>
  <c r="G85" i="8"/>
  <c r="F85" i="8"/>
  <c r="O84" i="8"/>
  <c r="N84" i="8"/>
  <c r="M84" i="8"/>
  <c r="L84" i="8"/>
  <c r="K84" i="8"/>
  <c r="J84" i="8"/>
  <c r="I84" i="8"/>
  <c r="H84" i="8"/>
  <c r="G84" i="8"/>
  <c r="F84" i="8"/>
  <c r="O83" i="8"/>
  <c r="N83" i="8"/>
  <c r="M83" i="8"/>
  <c r="L83" i="8"/>
  <c r="K83" i="8"/>
  <c r="J83" i="8"/>
  <c r="I83" i="8"/>
  <c r="H83" i="8"/>
  <c r="G83" i="8"/>
  <c r="F83" i="8"/>
  <c r="O80" i="8"/>
  <c r="N80" i="8"/>
  <c r="M80" i="8"/>
  <c r="L80" i="8"/>
  <c r="K80" i="8"/>
  <c r="J80" i="8"/>
  <c r="I80" i="8"/>
  <c r="H80" i="8"/>
  <c r="G80" i="8"/>
  <c r="F80" i="8"/>
  <c r="E80" i="8"/>
  <c r="B80" i="8"/>
  <c r="B87" i="8" s="1"/>
  <c r="O79" i="8"/>
  <c r="N79" i="8"/>
  <c r="M79" i="8"/>
  <c r="L79" i="8"/>
  <c r="K79" i="8"/>
  <c r="J79" i="8"/>
  <c r="I79" i="8"/>
  <c r="H79" i="8"/>
  <c r="G79" i="8"/>
  <c r="F79" i="8"/>
  <c r="E79" i="8"/>
  <c r="O78" i="8"/>
  <c r="N78" i="8"/>
  <c r="M78" i="8"/>
  <c r="L78" i="8"/>
  <c r="K78" i="8"/>
  <c r="J78" i="8"/>
  <c r="I78" i="8"/>
  <c r="H78" i="8"/>
  <c r="G78" i="8"/>
  <c r="F78" i="8"/>
  <c r="E78" i="8"/>
  <c r="O77" i="8"/>
  <c r="N77" i="8"/>
  <c r="M77" i="8"/>
  <c r="L77" i="8"/>
  <c r="K77" i="8"/>
  <c r="J77" i="8"/>
  <c r="I77" i="8"/>
  <c r="H77" i="8"/>
  <c r="G77" i="8"/>
  <c r="F77" i="8"/>
  <c r="E77" i="8"/>
  <c r="O76" i="8"/>
  <c r="N76" i="8"/>
  <c r="M76" i="8"/>
  <c r="L76" i="8"/>
  <c r="K76" i="8"/>
  <c r="J76" i="8"/>
  <c r="I76" i="8"/>
  <c r="H76" i="8"/>
  <c r="G76" i="8"/>
  <c r="F76" i="8"/>
  <c r="E76" i="8"/>
  <c r="B72" i="8"/>
  <c r="B79" i="8" s="1"/>
  <c r="B86" i="8" s="1"/>
  <c r="B71" i="8"/>
  <c r="B62" i="8" s="1"/>
  <c r="B70" i="8"/>
  <c r="B77" i="8" s="1"/>
  <c r="B84" i="8" s="1"/>
  <c r="B69" i="8"/>
  <c r="B59" i="8" s="1"/>
  <c r="I64" i="8"/>
  <c r="I73" i="8" s="1"/>
  <c r="B64" i="8"/>
  <c r="O55" i="8"/>
  <c r="N55" i="8"/>
  <c r="M55" i="8"/>
  <c r="L55" i="8"/>
  <c r="K55" i="8"/>
  <c r="J55" i="8"/>
  <c r="I55" i="8"/>
  <c r="H55" i="8"/>
  <c r="G55" i="8"/>
  <c r="F55" i="8"/>
  <c r="O54" i="8"/>
  <c r="N54" i="8"/>
  <c r="M54" i="8"/>
  <c r="L54" i="8"/>
  <c r="K54" i="8"/>
  <c r="J54" i="8"/>
  <c r="I54" i="8"/>
  <c r="H54" i="8"/>
  <c r="G54" i="8"/>
  <c r="F54" i="8"/>
  <c r="O53" i="8"/>
  <c r="N53" i="8"/>
  <c r="M53" i="8"/>
  <c r="L53" i="8"/>
  <c r="K53" i="8"/>
  <c r="J53" i="8"/>
  <c r="I53" i="8"/>
  <c r="H53" i="8"/>
  <c r="G53" i="8"/>
  <c r="F53" i="8"/>
  <c r="O52" i="8"/>
  <c r="N52" i="8"/>
  <c r="M52" i="8"/>
  <c r="L52" i="8"/>
  <c r="K52" i="8"/>
  <c r="J52" i="8"/>
  <c r="I52" i="8"/>
  <c r="H52" i="8"/>
  <c r="G52" i="8"/>
  <c r="F52" i="8"/>
  <c r="O51" i="8"/>
  <c r="N51" i="8"/>
  <c r="M51" i="8"/>
  <c r="L51" i="8"/>
  <c r="K51" i="8"/>
  <c r="J51" i="8"/>
  <c r="I51" i="8"/>
  <c r="H51" i="8"/>
  <c r="G51" i="8"/>
  <c r="F51" i="8"/>
  <c r="O50" i="8"/>
  <c r="N50" i="8"/>
  <c r="M50" i="8"/>
  <c r="L50" i="8"/>
  <c r="K50" i="8"/>
  <c r="J50" i="8"/>
  <c r="I50" i="8"/>
  <c r="H50" i="8"/>
  <c r="G50" i="8"/>
  <c r="F50" i="8"/>
  <c r="O49" i="8"/>
  <c r="N49" i="8"/>
  <c r="M49" i="8"/>
  <c r="L49" i="8"/>
  <c r="K49" i="8"/>
  <c r="J49" i="8"/>
  <c r="I49" i="8"/>
  <c r="H49" i="8"/>
  <c r="G49" i="8"/>
  <c r="F49" i="8"/>
  <c r="O48" i="8"/>
  <c r="N48" i="8"/>
  <c r="M48" i="8"/>
  <c r="L48" i="8"/>
  <c r="K48" i="8"/>
  <c r="J48" i="8"/>
  <c r="I48" i="8"/>
  <c r="H48" i="8"/>
  <c r="G48" i="8"/>
  <c r="F48" i="8"/>
  <c r="O47" i="8"/>
  <c r="N47" i="8"/>
  <c r="M47" i="8"/>
  <c r="L47" i="8"/>
  <c r="K47" i="8"/>
  <c r="J47" i="8"/>
  <c r="I47" i="8"/>
  <c r="H47" i="8"/>
  <c r="G47" i="8"/>
  <c r="F47" i="8"/>
  <c r="O46" i="8"/>
  <c r="N46" i="8"/>
  <c r="M46" i="8"/>
  <c r="L46" i="8"/>
  <c r="K46" i="8"/>
  <c r="J46" i="8"/>
  <c r="I46" i="8"/>
  <c r="H46" i="8"/>
  <c r="G46" i="8"/>
  <c r="F46" i="8"/>
  <c r="O33" i="8"/>
  <c r="N33" i="8"/>
  <c r="M33" i="8"/>
  <c r="L33" i="8"/>
  <c r="K33" i="8"/>
  <c r="J33" i="8"/>
  <c r="I33" i="8"/>
  <c r="H33" i="8"/>
  <c r="G33" i="8"/>
  <c r="F33" i="8"/>
  <c r="E33" i="8"/>
  <c r="D33" i="8"/>
  <c r="O32" i="8"/>
  <c r="N32" i="8"/>
  <c r="M32" i="8"/>
  <c r="L32" i="8"/>
  <c r="K32" i="8"/>
  <c r="J32" i="8"/>
  <c r="I32" i="8"/>
  <c r="H32" i="8"/>
  <c r="G32" i="8"/>
  <c r="F32" i="8"/>
  <c r="E32" i="8"/>
  <c r="D32" i="8"/>
  <c r="O31" i="8"/>
  <c r="N31" i="8"/>
  <c r="M31" i="8"/>
  <c r="L31" i="8"/>
  <c r="K31" i="8"/>
  <c r="J31" i="8"/>
  <c r="I31" i="8"/>
  <c r="H31" i="8"/>
  <c r="G31" i="8"/>
  <c r="F31" i="8"/>
  <c r="E31" i="8"/>
  <c r="D31" i="8"/>
  <c r="O30" i="8"/>
  <c r="N30" i="8"/>
  <c r="M30" i="8"/>
  <c r="L30" i="8"/>
  <c r="K30" i="8"/>
  <c r="J30" i="8"/>
  <c r="I30" i="8"/>
  <c r="H30" i="8"/>
  <c r="G30" i="8"/>
  <c r="F30" i="8"/>
  <c r="E30" i="8"/>
  <c r="D30" i="8"/>
  <c r="O29" i="8"/>
  <c r="N29" i="8"/>
  <c r="M29" i="8"/>
  <c r="L29" i="8"/>
  <c r="K29" i="8"/>
  <c r="J29" i="8"/>
  <c r="I29" i="8"/>
  <c r="H29" i="8"/>
  <c r="G29" i="8"/>
  <c r="F29" i="8"/>
  <c r="E29" i="8"/>
  <c r="D29" i="8"/>
  <c r="O28" i="8"/>
  <c r="N28" i="8"/>
  <c r="M28" i="8"/>
  <c r="L28" i="8"/>
  <c r="K28" i="8"/>
  <c r="J28" i="8"/>
  <c r="I28" i="8"/>
  <c r="H28" i="8"/>
  <c r="G28" i="8"/>
  <c r="F28" i="8"/>
  <c r="E28" i="8"/>
  <c r="D28" i="8"/>
  <c r="O27" i="8"/>
  <c r="N27" i="8"/>
  <c r="M27" i="8"/>
  <c r="L27" i="8"/>
  <c r="K27" i="8"/>
  <c r="J27" i="8"/>
  <c r="I27" i="8"/>
  <c r="H27" i="8"/>
  <c r="G27" i="8"/>
  <c r="F27" i="8"/>
  <c r="E27" i="8"/>
  <c r="D27" i="8"/>
  <c r="O26" i="8"/>
  <c r="N26" i="8"/>
  <c r="M26" i="8"/>
  <c r="L26" i="8"/>
  <c r="K26" i="8"/>
  <c r="J26" i="8"/>
  <c r="I26" i="8"/>
  <c r="H26" i="8"/>
  <c r="G26" i="8"/>
  <c r="F26" i="8"/>
  <c r="E26" i="8"/>
  <c r="D26" i="8"/>
  <c r="B20" i="8"/>
  <c r="B33" i="8" s="1"/>
  <c r="B44" i="8" s="1"/>
  <c r="B55" i="8" s="1"/>
  <c r="B19" i="8"/>
  <c r="B32" i="8" s="1"/>
  <c r="B43" i="8" s="1"/>
  <c r="B54" i="8" s="1"/>
  <c r="B18" i="8"/>
  <c r="B31" i="8" s="1"/>
  <c r="B42" i="8" s="1"/>
  <c r="B53" i="8" s="1"/>
  <c r="B17" i="8"/>
  <c r="B30" i="8" s="1"/>
  <c r="B41" i="8" s="1"/>
  <c r="B52" i="8" s="1"/>
  <c r="B16" i="8"/>
  <c r="B29" i="8" s="1"/>
  <c r="B40" i="8" s="1"/>
  <c r="B51" i="8" s="1"/>
  <c r="B15" i="8"/>
  <c r="B28" i="8" s="1"/>
  <c r="B39" i="8" s="1"/>
  <c r="B50" i="8" s="1"/>
  <c r="B14" i="8"/>
  <c r="B27" i="8" s="1"/>
  <c r="B38" i="8" s="1"/>
  <c r="B49" i="8" s="1"/>
  <c r="B13" i="8"/>
  <c r="B26" i="8" s="1"/>
  <c r="B37" i="8" s="1"/>
  <c r="B48" i="8" s="1"/>
  <c r="B12" i="8"/>
  <c r="B25" i="8" s="1"/>
  <c r="B36" i="8" s="1"/>
  <c r="B47" i="8" s="1"/>
  <c r="B11" i="8"/>
  <c r="B24" i="8" s="1"/>
  <c r="B35" i="8" s="1"/>
  <c r="B46" i="8" s="1"/>
  <c r="D6" i="8"/>
  <c r="C753" i="74"/>
  <c r="C752" i="74"/>
  <c r="C751" i="74"/>
  <c r="C750" i="74"/>
  <c r="C749" i="74"/>
  <c r="C748" i="74"/>
  <c r="C747" i="74"/>
  <c r="C746" i="74"/>
  <c r="C745" i="74"/>
  <c r="C744" i="74"/>
  <c r="C743" i="74"/>
  <c r="C742" i="74"/>
  <c r="C741" i="74"/>
  <c r="C740" i="74"/>
  <c r="C739" i="74"/>
  <c r="C738" i="74"/>
  <c r="C737" i="74"/>
  <c r="C736" i="74"/>
  <c r="C735" i="74"/>
  <c r="C734" i="74"/>
  <c r="C733" i="74"/>
  <c r="C732" i="74"/>
  <c r="C731" i="74"/>
  <c r="C730" i="74"/>
  <c r="C729" i="74"/>
  <c r="C728" i="74"/>
  <c r="C727" i="74"/>
  <c r="C726" i="74"/>
  <c r="C725" i="74"/>
  <c r="C724" i="74"/>
  <c r="C701" i="74"/>
  <c r="C700" i="74"/>
  <c r="C699" i="74"/>
  <c r="C698" i="74"/>
  <c r="C697" i="74"/>
  <c r="C696" i="74"/>
  <c r="C695" i="74"/>
  <c r="C694" i="74"/>
  <c r="C693" i="74"/>
  <c r="C692" i="74"/>
  <c r="C691" i="74"/>
  <c r="C690" i="74"/>
  <c r="C689" i="74"/>
  <c r="C688" i="74"/>
  <c r="C687" i="74"/>
  <c r="C686" i="74"/>
  <c r="C685" i="74"/>
  <c r="C684" i="74"/>
  <c r="P666" i="74"/>
  <c r="N16" i="10" s="1"/>
  <c r="O666" i="74"/>
  <c r="M16" i="10" s="1"/>
  <c r="N666" i="74"/>
  <c r="L16" i="10" s="1"/>
  <c r="M666" i="74"/>
  <c r="K16" i="10" s="1"/>
  <c r="L666" i="74"/>
  <c r="J16" i="10" s="1"/>
  <c r="K666" i="74"/>
  <c r="I16" i="10" s="1"/>
  <c r="J666" i="74"/>
  <c r="H16" i="10" s="1"/>
  <c r="I666" i="74"/>
  <c r="G16" i="10" s="1"/>
  <c r="H666" i="74"/>
  <c r="F16" i="10" s="1"/>
  <c r="G666" i="74"/>
  <c r="E16" i="10" s="1"/>
  <c r="F666" i="74"/>
  <c r="D16" i="10" s="1"/>
  <c r="E666" i="74"/>
  <c r="C16" i="10" s="1"/>
  <c r="Q658" i="74"/>
  <c r="Q655" i="74"/>
  <c r="D106" i="61" s="1"/>
  <c r="Q648" i="74"/>
  <c r="P641" i="74"/>
  <c r="O641" i="74"/>
  <c r="O556" i="74" s="1"/>
  <c r="N641" i="74"/>
  <c r="M641" i="74"/>
  <c r="M556" i="74" s="1"/>
  <c r="L641" i="74"/>
  <c r="K641" i="74"/>
  <c r="J641" i="74"/>
  <c r="I641" i="74"/>
  <c r="H641" i="74"/>
  <c r="G641" i="74"/>
  <c r="F641" i="74"/>
  <c r="E641" i="74"/>
  <c r="E556" i="74" s="1"/>
  <c r="P640" i="74"/>
  <c r="O640" i="74"/>
  <c r="N640" i="74"/>
  <c r="M640" i="74"/>
  <c r="L640" i="74"/>
  <c r="K640" i="74"/>
  <c r="K545" i="74" s="1"/>
  <c r="J640" i="74"/>
  <c r="I640" i="74"/>
  <c r="I545" i="74" s="1"/>
  <c r="H640" i="74"/>
  <c r="H545" i="74" s="1"/>
  <c r="G640" i="74"/>
  <c r="F640" i="74"/>
  <c r="E640" i="74"/>
  <c r="E545" i="74" s="1"/>
  <c r="P639" i="74"/>
  <c r="O639" i="74"/>
  <c r="O534" i="74" s="1"/>
  <c r="N639" i="74"/>
  <c r="M639" i="74"/>
  <c r="L639" i="74"/>
  <c r="L534" i="74" s="1"/>
  <c r="K639" i="74"/>
  <c r="K534" i="74" s="1"/>
  <c r="J639" i="74"/>
  <c r="I639" i="74"/>
  <c r="I534" i="74" s="1"/>
  <c r="H639" i="74"/>
  <c r="G639" i="74"/>
  <c r="G534" i="74" s="1"/>
  <c r="F639" i="74"/>
  <c r="E639" i="74"/>
  <c r="P638" i="74"/>
  <c r="P523" i="74" s="1"/>
  <c r="O638" i="74"/>
  <c r="O523" i="74" s="1"/>
  <c r="N638" i="74"/>
  <c r="M638" i="74"/>
  <c r="M523" i="74" s="1"/>
  <c r="L638" i="74"/>
  <c r="K638" i="74"/>
  <c r="K523" i="74" s="1"/>
  <c r="J638" i="74"/>
  <c r="I638" i="74"/>
  <c r="I523" i="74" s="1"/>
  <c r="H638" i="74"/>
  <c r="H523" i="74" s="1"/>
  <c r="G638" i="74"/>
  <c r="F638" i="74"/>
  <c r="E638" i="74"/>
  <c r="P637" i="74"/>
  <c r="O637" i="74"/>
  <c r="O512" i="74" s="1"/>
  <c r="N637" i="74"/>
  <c r="M637" i="74"/>
  <c r="M512" i="74" s="1"/>
  <c r="L637" i="74"/>
  <c r="L512" i="74" s="1"/>
  <c r="K637" i="74"/>
  <c r="J637" i="74"/>
  <c r="I637" i="74"/>
  <c r="I512" i="74" s="1"/>
  <c r="H637" i="74"/>
  <c r="G637" i="74"/>
  <c r="F637" i="74"/>
  <c r="E637" i="74"/>
  <c r="E512" i="74" s="1"/>
  <c r="P636" i="74"/>
  <c r="P501" i="74" s="1"/>
  <c r="O636" i="74"/>
  <c r="O501" i="74" s="1"/>
  <c r="N636" i="74"/>
  <c r="M636" i="74"/>
  <c r="M501" i="74" s="1"/>
  <c r="L636" i="74"/>
  <c r="K636" i="74"/>
  <c r="K501" i="74" s="1"/>
  <c r="J636" i="74"/>
  <c r="I636" i="74"/>
  <c r="I501" i="74" s="1"/>
  <c r="H636" i="74"/>
  <c r="H501" i="74" s="1"/>
  <c r="G636" i="74"/>
  <c r="G501" i="74" s="1"/>
  <c r="F636" i="74"/>
  <c r="E636" i="74"/>
  <c r="E501" i="74" s="1"/>
  <c r="P635" i="74"/>
  <c r="O635" i="74"/>
  <c r="O490" i="74" s="1"/>
  <c r="N635" i="74"/>
  <c r="M635" i="74"/>
  <c r="M490" i="74" s="1"/>
  <c r="L635" i="74"/>
  <c r="L490" i="74" s="1"/>
  <c r="K635" i="74"/>
  <c r="K490" i="74" s="1"/>
  <c r="J635" i="74"/>
  <c r="I635" i="74"/>
  <c r="I490" i="74" s="1"/>
  <c r="H635" i="74"/>
  <c r="G635" i="74"/>
  <c r="G490" i="74" s="1"/>
  <c r="F635" i="74"/>
  <c r="E635" i="74"/>
  <c r="P634" i="74"/>
  <c r="P479" i="74" s="1"/>
  <c r="O634" i="74"/>
  <c r="N634" i="74"/>
  <c r="M634" i="74"/>
  <c r="L634" i="74"/>
  <c r="K634" i="74"/>
  <c r="K479" i="74" s="1"/>
  <c r="J634" i="74"/>
  <c r="I634" i="74"/>
  <c r="I479" i="74" s="1"/>
  <c r="H634" i="74"/>
  <c r="G634" i="74"/>
  <c r="G479" i="74" s="1"/>
  <c r="F634" i="74"/>
  <c r="E634" i="74"/>
  <c r="E479" i="74" s="1"/>
  <c r="P633" i="74"/>
  <c r="O633" i="74"/>
  <c r="O468" i="74" s="1"/>
  <c r="N633" i="74"/>
  <c r="M633" i="74"/>
  <c r="M468" i="74" s="1"/>
  <c r="L633" i="74"/>
  <c r="K633" i="74"/>
  <c r="K468" i="74" s="1"/>
  <c r="J633" i="74"/>
  <c r="I633" i="74"/>
  <c r="I468" i="74" s="1"/>
  <c r="H633" i="74"/>
  <c r="G633" i="74"/>
  <c r="G468" i="74" s="1"/>
  <c r="F633" i="74"/>
  <c r="E633" i="74"/>
  <c r="P632" i="74"/>
  <c r="O632" i="74"/>
  <c r="O457" i="74" s="1"/>
  <c r="N632" i="74"/>
  <c r="M632" i="74"/>
  <c r="M457" i="74" s="1"/>
  <c r="L632" i="74"/>
  <c r="K632" i="74"/>
  <c r="K457" i="74" s="1"/>
  <c r="J632" i="74"/>
  <c r="I632" i="74"/>
  <c r="H632" i="74"/>
  <c r="G632" i="74"/>
  <c r="F632" i="74"/>
  <c r="E632" i="74"/>
  <c r="E457" i="74" s="1"/>
  <c r="P631" i="74"/>
  <c r="O631" i="74"/>
  <c r="O446" i="74" s="1"/>
  <c r="N631" i="74"/>
  <c r="M631" i="74"/>
  <c r="L631" i="74"/>
  <c r="K631" i="74"/>
  <c r="J631" i="74"/>
  <c r="I631" i="74"/>
  <c r="I446" i="74" s="1"/>
  <c r="H631" i="74"/>
  <c r="G631" i="74"/>
  <c r="G446" i="74" s="1"/>
  <c r="F631" i="74"/>
  <c r="E631" i="74"/>
  <c r="E446" i="74" s="1"/>
  <c r="P630" i="74"/>
  <c r="O630" i="74"/>
  <c r="N630" i="74"/>
  <c r="M630" i="74"/>
  <c r="M435" i="74" s="1"/>
  <c r="L630" i="74"/>
  <c r="K630" i="74"/>
  <c r="K435" i="74" s="1"/>
  <c r="J630" i="74"/>
  <c r="I630" i="74"/>
  <c r="I435" i="74" s="1"/>
  <c r="H630" i="74"/>
  <c r="H435" i="74" s="1"/>
  <c r="G630" i="74"/>
  <c r="F630" i="74"/>
  <c r="E630" i="74"/>
  <c r="E435" i="74" s="1"/>
  <c r="P629" i="74"/>
  <c r="O629" i="74"/>
  <c r="O424" i="74" s="1"/>
  <c r="N629" i="74"/>
  <c r="M629" i="74"/>
  <c r="L629" i="74"/>
  <c r="L424" i="74" s="1"/>
  <c r="K629" i="74"/>
  <c r="K424" i="74" s="1"/>
  <c r="J629" i="74"/>
  <c r="I629" i="74"/>
  <c r="I424" i="74" s="1"/>
  <c r="H629" i="74"/>
  <c r="G629" i="74"/>
  <c r="F629" i="74"/>
  <c r="E629" i="74"/>
  <c r="E424" i="74" s="1"/>
  <c r="P628" i="74"/>
  <c r="O628" i="74"/>
  <c r="N628" i="74"/>
  <c r="M628" i="74"/>
  <c r="M413" i="74" s="1"/>
  <c r="L628" i="74"/>
  <c r="K628" i="74"/>
  <c r="J628" i="74"/>
  <c r="I628" i="74"/>
  <c r="H628" i="74"/>
  <c r="G628" i="74"/>
  <c r="F628" i="74"/>
  <c r="E628" i="74"/>
  <c r="E413" i="74" s="1"/>
  <c r="P627" i="74"/>
  <c r="O627" i="74"/>
  <c r="O402" i="74" s="1"/>
  <c r="N627" i="74"/>
  <c r="M627" i="74"/>
  <c r="L627" i="74"/>
  <c r="K627" i="74"/>
  <c r="J627" i="74"/>
  <c r="I627" i="74"/>
  <c r="I402" i="74" s="1"/>
  <c r="H627" i="74"/>
  <c r="G627" i="74"/>
  <c r="G402" i="74" s="1"/>
  <c r="F627" i="74"/>
  <c r="E627" i="74"/>
  <c r="P626" i="74"/>
  <c r="P391" i="74" s="1"/>
  <c r="O626" i="74"/>
  <c r="N626" i="74"/>
  <c r="M626" i="74"/>
  <c r="L626" i="74"/>
  <c r="K626" i="74"/>
  <c r="K391" i="74" s="1"/>
  <c r="J626" i="74"/>
  <c r="I626" i="74"/>
  <c r="I391" i="74" s="1"/>
  <c r="H626" i="74"/>
  <c r="H391" i="74" s="1"/>
  <c r="G626" i="74"/>
  <c r="G391" i="74" s="1"/>
  <c r="F626" i="74"/>
  <c r="E626" i="74"/>
  <c r="E391" i="74" s="1"/>
  <c r="P625" i="74"/>
  <c r="O625" i="74"/>
  <c r="O380" i="74" s="1"/>
  <c r="N625" i="74"/>
  <c r="M625" i="74"/>
  <c r="M380" i="74" s="1"/>
  <c r="L625" i="74"/>
  <c r="L380" i="74" s="1"/>
  <c r="K625" i="74"/>
  <c r="K380" i="74" s="1"/>
  <c r="J625" i="74"/>
  <c r="I625" i="74"/>
  <c r="I380" i="74" s="1"/>
  <c r="H625" i="74"/>
  <c r="G625" i="74"/>
  <c r="G380" i="74" s="1"/>
  <c r="F625" i="74"/>
  <c r="E625" i="74"/>
  <c r="E380" i="74" s="1"/>
  <c r="P624" i="74"/>
  <c r="P642" i="74" s="1"/>
  <c r="P644" i="74" s="1"/>
  <c r="O624" i="74"/>
  <c r="N624" i="74"/>
  <c r="M624" i="74"/>
  <c r="M369" i="74" s="1"/>
  <c r="L624" i="74"/>
  <c r="K624" i="74"/>
  <c r="K369" i="74" s="1"/>
  <c r="J624" i="74"/>
  <c r="J642" i="74" s="1"/>
  <c r="J644" i="74" s="1"/>
  <c r="I624" i="74"/>
  <c r="H624" i="74"/>
  <c r="H642" i="74" s="1"/>
  <c r="H644" i="74" s="1"/>
  <c r="G624" i="74"/>
  <c r="G369" i="74" s="1"/>
  <c r="F624" i="74"/>
  <c r="F642" i="74" s="1"/>
  <c r="F644" i="74" s="1"/>
  <c r="E624" i="74"/>
  <c r="E369" i="74" s="1"/>
  <c r="P621" i="74"/>
  <c r="O621" i="74"/>
  <c r="N621" i="74"/>
  <c r="M621" i="74"/>
  <c r="L621" i="74"/>
  <c r="K621" i="74"/>
  <c r="J621" i="74"/>
  <c r="I621" i="74"/>
  <c r="H621" i="74"/>
  <c r="G621" i="74"/>
  <c r="F621" i="74"/>
  <c r="E621" i="74"/>
  <c r="P600" i="74"/>
  <c r="O600" i="74"/>
  <c r="N600" i="74"/>
  <c r="M600" i="74"/>
  <c r="L600" i="74"/>
  <c r="K600" i="74"/>
  <c r="J600" i="74"/>
  <c r="I600" i="74"/>
  <c r="H600" i="74"/>
  <c r="G600" i="74"/>
  <c r="F600" i="74"/>
  <c r="E600" i="74"/>
  <c r="B600" i="74"/>
  <c r="B621" i="74" s="1"/>
  <c r="B642" i="74" s="1"/>
  <c r="Q560" i="74"/>
  <c r="P556" i="74"/>
  <c r="N556" i="74"/>
  <c r="L556" i="74"/>
  <c r="K556" i="74"/>
  <c r="J556" i="74"/>
  <c r="I556" i="74"/>
  <c r="H556" i="74"/>
  <c r="F556" i="74"/>
  <c r="C547" i="74"/>
  <c r="C549" i="74" s="1"/>
  <c r="C552" i="74" s="1"/>
  <c r="D556" i="74" s="1"/>
  <c r="P545" i="74"/>
  <c r="O545" i="74"/>
  <c r="N545" i="74"/>
  <c r="M545" i="74"/>
  <c r="L545" i="74"/>
  <c r="J545" i="74"/>
  <c r="G545" i="74"/>
  <c r="F545" i="74"/>
  <c r="C536" i="74"/>
  <c r="P534" i="74"/>
  <c r="N534" i="74"/>
  <c r="M534" i="74"/>
  <c r="J534" i="74"/>
  <c r="H534" i="74"/>
  <c r="F534" i="74"/>
  <c r="C525" i="74"/>
  <c r="N523" i="74"/>
  <c r="L523" i="74"/>
  <c r="J523" i="74"/>
  <c r="G523" i="74"/>
  <c r="F523" i="74"/>
  <c r="E523" i="74"/>
  <c r="C514" i="74"/>
  <c r="P512" i="74"/>
  <c r="N512" i="74"/>
  <c r="K512" i="74"/>
  <c r="J512" i="74"/>
  <c r="H512" i="74"/>
  <c r="F512" i="74"/>
  <c r="C503" i="74"/>
  <c r="N501" i="74"/>
  <c r="L501" i="74"/>
  <c r="J501" i="74"/>
  <c r="F501" i="74"/>
  <c r="C492" i="74"/>
  <c r="P490" i="74"/>
  <c r="N490" i="74"/>
  <c r="J490" i="74"/>
  <c r="H490" i="74"/>
  <c r="F490" i="74"/>
  <c r="E490" i="74"/>
  <c r="C481" i="74"/>
  <c r="O479" i="74"/>
  <c r="N479" i="74"/>
  <c r="M479" i="74"/>
  <c r="L479" i="74"/>
  <c r="J479" i="74"/>
  <c r="H479" i="74"/>
  <c r="F479" i="74"/>
  <c r="C470" i="74"/>
  <c r="P468" i="74"/>
  <c r="N468" i="74"/>
  <c r="L468" i="74"/>
  <c r="J468" i="74"/>
  <c r="H468" i="74"/>
  <c r="F468" i="74"/>
  <c r="E468" i="74"/>
  <c r="C459" i="74"/>
  <c r="P457" i="74"/>
  <c r="N457" i="74"/>
  <c r="L457" i="74"/>
  <c r="J457" i="74"/>
  <c r="I457" i="74"/>
  <c r="H457" i="74"/>
  <c r="G457" i="74"/>
  <c r="F457" i="74"/>
  <c r="C448" i="74"/>
  <c r="P446" i="74"/>
  <c r="N446" i="74"/>
  <c r="M446" i="74"/>
  <c r="L446" i="74"/>
  <c r="K446" i="74"/>
  <c r="J446" i="74"/>
  <c r="H446" i="74"/>
  <c r="F446" i="74"/>
  <c r="C437" i="74"/>
  <c r="P435" i="74"/>
  <c r="O435" i="74"/>
  <c r="N435" i="74"/>
  <c r="L435" i="74"/>
  <c r="J435" i="74"/>
  <c r="G435" i="74"/>
  <c r="F435" i="74"/>
  <c r="C426" i="74"/>
  <c r="P424" i="74"/>
  <c r="N424" i="74"/>
  <c r="M424" i="74"/>
  <c r="J424" i="74"/>
  <c r="H424" i="74"/>
  <c r="F424" i="74"/>
  <c r="C415" i="74"/>
  <c r="P413" i="74"/>
  <c r="O413" i="74"/>
  <c r="N413" i="74"/>
  <c r="L413" i="74"/>
  <c r="K413" i="74"/>
  <c r="J413" i="74"/>
  <c r="I413" i="74"/>
  <c r="H413" i="74"/>
  <c r="G413" i="74"/>
  <c r="F413" i="74"/>
  <c r="C404" i="74"/>
  <c r="P402" i="74"/>
  <c r="N402" i="74"/>
  <c r="M402" i="74"/>
  <c r="L402" i="74"/>
  <c r="K402" i="74"/>
  <c r="J402" i="74"/>
  <c r="H402" i="74"/>
  <c r="F402" i="74"/>
  <c r="C393" i="74"/>
  <c r="O391" i="74"/>
  <c r="N391" i="74"/>
  <c r="M391" i="74"/>
  <c r="L391" i="74"/>
  <c r="J391" i="74"/>
  <c r="F391" i="74"/>
  <c r="C382" i="74"/>
  <c r="P380" i="74"/>
  <c r="N380" i="74"/>
  <c r="J380" i="74"/>
  <c r="H380" i="74"/>
  <c r="F380" i="74"/>
  <c r="C371" i="74"/>
  <c r="P369" i="74"/>
  <c r="O369" i="74"/>
  <c r="N369" i="74"/>
  <c r="L369" i="74"/>
  <c r="J369" i="74"/>
  <c r="F369" i="74"/>
  <c r="C360" i="74"/>
  <c r="G339" i="74" s="1"/>
  <c r="Q359" i="74"/>
  <c r="P333" i="74"/>
  <c r="O333" i="74"/>
  <c r="N333" i="74"/>
  <c r="M333" i="74"/>
  <c r="L333" i="74"/>
  <c r="K333" i="74"/>
  <c r="J333" i="74"/>
  <c r="I333" i="74"/>
  <c r="H333" i="74"/>
  <c r="G333" i="74"/>
  <c r="P332" i="74"/>
  <c r="O332" i="74"/>
  <c r="N332" i="74"/>
  <c r="M332" i="74"/>
  <c r="L332" i="74"/>
  <c r="K332" i="74"/>
  <c r="J332" i="74"/>
  <c r="I332" i="74"/>
  <c r="H332" i="74"/>
  <c r="G332" i="74"/>
  <c r="P331" i="74"/>
  <c r="O331" i="74"/>
  <c r="N331" i="74"/>
  <c r="M331" i="74"/>
  <c r="L331" i="74"/>
  <c r="K331" i="74"/>
  <c r="J331" i="74"/>
  <c r="I331" i="74"/>
  <c r="H331" i="74"/>
  <c r="G331" i="74"/>
  <c r="P330" i="74"/>
  <c r="O330" i="74"/>
  <c r="N330" i="74"/>
  <c r="M330" i="74"/>
  <c r="L330" i="74"/>
  <c r="K330" i="74"/>
  <c r="J330" i="74"/>
  <c r="I330" i="74"/>
  <c r="H330" i="74"/>
  <c r="G330" i="74"/>
  <c r="P328" i="74"/>
  <c r="O328" i="74"/>
  <c r="N328" i="74"/>
  <c r="M328" i="74"/>
  <c r="L328" i="74"/>
  <c r="K328" i="74"/>
  <c r="J328" i="74"/>
  <c r="I328" i="74"/>
  <c r="H328" i="74"/>
  <c r="G328" i="74"/>
  <c r="P327" i="74"/>
  <c r="O327" i="74"/>
  <c r="N327" i="74"/>
  <c r="M327" i="74"/>
  <c r="L327" i="74"/>
  <c r="K327" i="74"/>
  <c r="J327" i="74"/>
  <c r="I327" i="74"/>
  <c r="H327" i="74"/>
  <c r="G327" i="74"/>
  <c r="P326" i="74"/>
  <c r="O326" i="74"/>
  <c r="N326" i="74"/>
  <c r="M326" i="74"/>
  <c r="L326" i="74"/>
  <c r="K326" i="74"/>
  <c r="J326" i="74"/>
  <c r="I326" i="74"/>
  <c r="H326" i="74"/>
  <c r="G326" i="74"/>
  <c r="P325" i="74"/>
  <c r="O325" i="74"/>
  <c r="N325" i="74"/>
  <c r="M325" i="74"/>
  <c r="L325" i="74"/>
  <c r="K325" i="74"/>
  <c r="J325" i="74"/>
  <c r="I325" i="74"/>
  <c r="H325" i="74"/>
  <c r="G325" i="74"/>
  <c r="P324" i="74"/>
  <c r="O324" i="74"/>
  <c r="N324" i="74"/>
  <c r="M324" i="74"/>
  <c r="L324" i="74"/>
  <c r="K324" i="74"/>
  <c r="J324" i="74"/>
  <c r="I324" i="74"/>
  <c r="H324" i="74"/>
  <c r="G324" i="74"/>
  <c r="P323" i="74"/>
  <c r="O323" i="74"/>
  <c r="N323" i="74"/>
  <c r="M323" i="74"/>
  <c r="L323" i="74"/>
  <c r="K323" i="74"/>
  <c r="J323" i="74"/>
  <c r="I323" i="74"/>
  <c r="H323" i="74"/>
  <c r="G323" i="74"/>
  <c r="P319" i="74"/>
  <c r="O319" i="74"/>
  <c r="N319" i="74"/>
  <c r="M319" i="74"/>
  <c r="L319" i="74"/>
  <c r="K319" i="74"/>
  <c r="J319" i="74"/>
  <c r="I319" i="74"/>
  <c r="H319" i="74"/>
  <c r="G319" i="74"/>
  <c r="F319" i="74"/>
  <c r="P318" i="74"/>
  <c r="O318" i="74"/>
  <c r="N318" i="74"/>
  <c r="M318" i="74"/>
  <c r="L318" i="74"/>
  <c r="K318" i="74"/>
  <c r="J318" i="74"/>
  <c r="I318" i="74"/>
  <c r="H318" i="74"/>
  <c r="G318" i="74"/>
  <c r="F318" i="74"/>
  <c r="P317" i="74"/>
  <c r="O317" i="74"/>
  <c r="N317" i="74"/>
  <c r="M317" i="74"/>
  <c r="L317" i="74"/>
  <c r="K317" i="74"/>
  <c r="J317" i="74"/>
  <c r="I317" i="74"/>
  <c r="H317" i="74"/>
  <c r="G317" i="74"/>
  <c r="F317" i="74"/>
  <c r="P316" i="74"/>
  <c r="O316" i="74"/>
  <c r="N316" i="74"/>
  <c r="M316" i="74"/>
  <c r="L316" i="74"/>
  <c r="K316" i="74"/>
  <c r="J316" i="74"/>
  <c r="I316" i="74"/>
  <c r="H316" i="74"/>
  <c r="G316" i="74"/>
  <c r="F316" i="74"/>
  <c r="P315" i="74"/>
  <c r="O315" i="74"/>
  <c r="N315" i="74"/>
  <c r="M315" i="74"/>
  <c r="L315" i="74"/>
  <c r="K315" i="74"/>
  <c r="J315" i="74"/>
  <c r="I315" i="74"/>
  <c r="H315" i="74"/>
  <c r="G315" i="74"/>
  <c r="F315" i="74"/>
  <c r="P314" i="74"/>
  <c r="O314" i="74"/>
  <c r="N314" i="74"/>
  <c r="M314" i="74"/>
  <c r="L314" i="74"/>
  <c r="K314" i="74"/>
  <c r="J314" i="74"/>
  <c r="I314" i="74"/>
  <c r="H314" i="74"/>
  <c r="G314" i="74"/>
  <c r="F314" i="74"/>
  <c r="P313" i="74"/>
  <c r="O313" i="74"/>
  <c r="N313" i="74"/>
  <c r="M313" i="74"/>
  <c r="L313" i="74"/>
  <c r="K313" i="74"/>
  <c r="J313" i="74"/>
  <c r="I313" i="74"/>
  <c r="H313" i="74"/>
  <c r="G313" i="74"/>
  <c r="F313" i="74"/>
  <c r="P312" i="74"/>
  <c r="O312" i="74"/>
  <c r="N312" i="74"/>
  <c r="M312" i="74"/>
  <c r="L312" i="74"/>
  <c r="K312" i="74"/>
  <c r="J312" i="74"/>
  <c r="I312" i="74"/>
  <c r="H312" i="74"/>
  <c r="G312" i="74"/>
  <c r="F312" i="74"/>
  <c r="P311" i="74"/>
  <c r="O311" i="74"/>
  <c r="N311" i="74"/>
  <c r="M311" i="74"/>
  <c r="L311" i="74"/>
  <c r="K311" i="74"/>
  <c r="J311" i="74"/>
  <c r="I311" i="74"/>
  <c r="H311" i="74"/>
  <c r="G311" i="74"/>
  <c r="F311" i="74"/>
  <c r="P310" i="74"/>
  <c r="O310" i="74"/>
  <c r="N310" i="74"/>
  <c r="M310" i="74"/>
  <c r="L310" i="74"/>
  <c r="K310" i="74"/>
  <c r="J310" i="74"/>
  <c r="I310" i="74"/>
  <c r="H310" i="74"/>
  <c r="G310" i="74"/>
  <c r="F310" i="74"/>
  <c r="P309" i="74"/>
  <c r="O309" i="74"/>
  <c r="N309" i="74"/>
  <c r="M309" i="74"/>
  <c r="L309" i="74"/>
  <c r="K309" i="74"/>
  <c r="J309" i="74"/>
  <c r="I309" i="74"/>
  <c r="H309" i="74"/>
  <c r="G309" i="74"/>
  <c r="F309" i="74"/>
  <c r="P308" i="74"/>
  <c r="N308" i="74"/>
  <c r="M308" i="74"/>
  <c r="L308" i="74"/>
  <c r="K308" i="74"/>
  <c r="J308" i="74"/>
  <c r="I308" i="74"/>
  <c r="H308" i="74"/>
  <c r="G308" i="74"/>
  <c r="F308" i="74"/>
  <c r="P301" i="74"/>
  <c r="O301" i="74"/>
  <c r="N301" i="74"/>
  <c r="M301" i="74"/>
  <c r="L301" i="74"/>
  <c r="K301" i="74"/>
  <c r="J301" i="74"/>
  <c r="I301" i="74"/>
  <c r="H301" i="74"/>
  <c r="G301" i="74"/>
  <c r="F301" i="74"/>
  <c r="E301" i="74"/>
  <c r="P294" i="74"/>
  <c r="O294" i="74"/>
  <c r="N294" i="74"/>
  <c r="M294" i="74"/>
  <c r="L294" i="74"/>
  <c r="K294" i="74"/>
  <c r="J294" i="74"/>
  <c r="I294" i="74"/>
  <c r="H294" i="74"/>
  <c r="G294" i="74"/>
  <c r="F294" i="74"/>
  <c r="E294" i="74"/>
  <c r="P289" i="74"/>
  <c r="P305" i="74" s="1"/>
  <c r="O289" i="74"/>
  <c r="O305" i="74" s="1"/>
  <c r="N289" i="74"/>
  <c r="N305" i="74" s="1"/>
  <c r="M289" i="74"/>
  <c r="M305" i="74" s="1"/>
  <c r="L289" i="74"/>
  <c r="L305" i="74" s="1"/>
  <c r="K289" i="74"/>
  <c r="K305" i="74" s="1"/>
  <c r="J289" i="74"/>
  <c r="J305" i="74" s="1"/>
  <c r="I289" i="74"/>
  <c r="I305" i="74" s="1"/>
  <c r="H289" i="74"/>
  <c r="H305" i="74" s="1"/>
  <c r="G289" i="74"/>
  <c r="G305" i="74" s="1"/>
  <c r="F289" i="74"/>
  <c r="F305" i="74" s="1"/>
  <c r="E289" i="74"/>
  <c r="E305" i="74" s="1"/>
  <c r="P288" i="74"/>
  <c r="P304" i="74" s="1"/>
  <c r="O288" i="74"/>
  <c r="O304" i="74" s="1"/>
  <c r="N288" i="74"/>
  <c r="N304" i="74" s="1"/>
  <c r="M288" i="74"/>
  <c r="M304" i="74" s="1"/>
  <c r="L288" i="74"/>
  <c r="L304" i="74" s="1"/>
  <c r="K288" i="74"/>
  <c r="K304" i="74" s="1"/>
  <c r="J288" i="74"/>
  <c r="J304" i="74" s="1"/>
  <c r="I288" i="74"/>
  <c r="I304" i="74" s="1"/>
  <c r="H288" i="74"/>
  <c r="H304" i="74" s="1"/>
  <c r="G288" i="74"/>
  <c r="G304" i="74" s="1"/>
  <c r="F288" i="74"/>
  <c r="F304" i="74" s="1"/>
  <c r="E288" i="74"/>
  <c r="P287" i="74"/>
  <c r="P303" i="74" s="1"/>
  <c r="O287" i="74"/>
  <c r="O303" i="74" s="1"/>
  <c r="N287" i="74"/>
  <c r="N303" i="74" s="1"/>
  <c r="M287" i="74"/>
  <c r="M303" i="74" s="1"/>
  <c r="L287" i="74"/>
  <c r="K287" i="74"/>
  <c r="K303" i="74" s="1"/>
  <c r="J287" i="74"/>
  <c r="J303" i="74" s="1"/>
  <c r="I287" i="74"/>
  <c r="I303" i="74" s="1"/>
  <c r="H287" i="74"/>
  <c r="H303" i="74" s="1"/>
  <c r="G287" i="74"/>
  <c r="G303" i="74" s="1"/>
  <c r="F287" i="74"/>
  <c r="F303" i="74" s="1"/>
  <c r="E287" i="74"/>
  <c r="E303" i="74" s="1"/>
  <c r="P286" i="74"/>
  <c r="P302" i="74" s="1"/>
  <c r="O286" i="74"/>
  <c r="O302" i="74" s="1"/>
  <c r="N286" i="74"/>
  <c r="N302" i="74" s="1"/>
  <c r="M286" i="74"/>
  <c r="M302" i="74" s="1"/>
  <c r="L286" i="74"/>
  <c r="L302" i="74" s="1"/>
  <c r="K286" i="74"/>
  <c r="K302" i="74" s="1"/>
  <c r="J286" i="74"/>
  <c r="J302" i="74" s="1"/>
  <c r="I286" i="74"/>
  <c r="I302" i="74" s="1"/>
  <c r="H286" i="74"/>
  <c r="H302" i="74" s="1"/>
  <c r="G286" i="74"/>
  <c r="G302" i="74" s="1"/>
  <c r="F286" i="74"/>
  <c r="F302" i="74" s="1"/>
  <c r="E286" i="74"/>
  <c r="P285" i="74"/>
  <c r="O285" i="74"/>
  <c r="N285" i="74"/>
  <c r="P329" i="74" s="1"/>
  <c r="M285" i="74"/>
  <c r="O329" i="74" s="1"/>
  <c r="L285" i="74"/>
  <c r="N329" i="74" s="1"/>
  <c r="K285" i="74"/>
  <c r="M329" i="74" s="1"/>
  <c r="J285" i="74"/>
  <c r="L329" i="74" s="1"/>
  <c r="I285" i="74"/>
  <c r="K329" i="74" s="1"/>
  <c r="H285" i="74"/>
  <c r="J329" i="74" s="1"/>
  <c r="G285" i="74"/>
  <c r="I329" i="74" s="1"/>
  <c r="F285" i="74"/>
  <c r="H329" i="74" s="1"/>
  <c r="E285" i="74"/>
  <c r="P284" i="74"/>
  <c r="P300" i="74" s="1"/>
  <c r="O284" i="74"/>
  <c r="O300" i="74" s="1"/>
  <c r="N284" i="74"/>
  <c r="N300" i="74" s="1"/>
  <c r="M284" i="74"/>
  <c r="M300" i="74" s="1"/>
  <c r="L284" i="74"/>
  <c r="L300" i="74" s="1"/>
  <c r="K284" i="74"/>
  <c r="K300" i="74" s="1"/>
  <c r="J284" i="74"/>
  <c r="J300" i="74" s="1"/>
  <c r="I284" i="74"/>
  <c r="I300" i="74" s="1"/>
  <c r="H284" i="74"/>
  <c r="H300" i="74" s="1"/>
  <c r="G284" i="74"/>
  <c r="G300" i="74" s="1"/>
  <c r="F284" i="74"/>
  <c r="F300" i="74" s="1"/>
  <c r="E284" i="74"/>
  <c r="P283" i="74"/>
  <c r="P299" i="74" s="1"/>
  <c r="O283" i="74"/>
  <c r="O299" i="74" s="1"/>
  <c r="N283" i="74"/>
  <c r="N299" i="74" s="1"/>
  <c r="M283" i="74"/>
  <c r="M299" i="74" s="1"/>
  <c r="L283" i="74"/>
  <c r="L299" i="74" s="1"/>
  <c r="K283" i="74"/>
  <c r="K299" i="74" s="1"/>
  <c r="J283" i="74"/>
  <c r="J299" i="74" s="1"/>
  <c r="I283" i="74"/>
  <c r="I299" i="74" s="1"/>
  <c r="H283" i="74"/>
  <c r="H299" i="74" s="1"/>
  <c r="G283" i="74"/>
  <c r="G299" i="74" s="1"/>
  <c r="F283" i="74"/>
  <c r="F299" i="74" s="1"/>
  <c r="E283" i="74"/>
  <c r="E299" i="74" s="1"/>
  <c r="P282" i="74"/>
  <c r="P298" i="74" s="1"/>
  <c r="O282" i="74"/>
  <c r="O298" i="74" s="1"/>
  <c r="N282" i="74"/>
  <c r="N298" i="74" s="1"/>
  <c r="M282" i="74"/>
  <c r="M298" i="74" s="1"/>
  <c r="L282" i="74"/>
  <c r="L298" i="74" s="1"/>
  <c r="K282" i="74"/>
  <c r="K298" i="74" s="1"/>
  <c r="J282" i="74"/>
  <c r="J298" i="74" s="1"/>
  <c r="I282" i="74"/>
  <c r="I298" i="74" s="1"/>
  <c r="H282" i="74"/>
  <c r="H298" i="74" s="1"/>
  <c r="G282" i="74"/>
  <c r="G298" i="74" s="1"/>
  <c r="F282" i="74"/>
  <c r="F298" i="74" s="1"/>
  <c r="E282" i="74"/>
  <c r="P281" i="74"/>
  <c r="P297" i="74" s="1"/>
  <c r="O281" i="74"/>
  <c r="O297" i="74" s="1"/>
  <c r="N281" i="74"/>
  <c r="N297" i="74" s="1"/>
  <c r="M281" i="74"/>
  <c r="M297" i="74" s="1"/>
  <c r="L281" i="74"/>
  <c r="L297" i="74" s="1"/>
  <c r="K281" i="74"/>
  <c r="K297" i="74" s="1"/>
  <c r="J281" i="74"/>
  <c r="J297" i="74" s="1"/>
  <c r="I281" i="74"/>
  <c r="I297" i="74" s="1"/>
  <c r="H281" i="74"/>
  <c r="H297" i="74" s="1"/>
  <c r="G281" i="74"/>
  <c r="G297" i="74" s="1"/>
  <c r="F281" i="74"/>
  <c r="F297" i="74" s="1"/>
  <c r="E281" i="74"/>
  <c r="E297" i="74" s="1"/>
  <c r="P280" i="74"/>
  <c r="P296" i="74" s="1"/>
  <c r="O280" i="74"/>
  <c r="O296" i="74" s="1"/>
  <c r="N280" i="74"/>
  <c r="N296" i="74" s="1"/>
  <c r="M280" i="74"/>
  <c r="M296" i="74" s="1"/>
  <c r="L280" i="74"/>
  <c r="L296" i="74" s="1"/>
  <c r="K280" i="74"/>
  <c r="K296" i="74" s="1"/>
  <c r="J280" i="74"/>
  <c r="J296" i="74" s="1"/>
  <c r="I280" i="74"/>
  <c r="I296" i="74" s="1"/>
  <c r="H280" i="74"/>
  <c r="H296" i="74" s="1"/>
  <c r="G280" i="74"/>
  <c r="G296" i="74" s="1"/>
  <c r="F280" i="74"/>
  <c r="F296" i="74" s="1"/>
  <c r="E280" i="74"/>
  <c r="P279" i="74"/>
  <c r="P295" i="74" s="1"/>
  <c r="O279" i="74"/>
  <c r="O295" i="74" s="1"/>
  <c r="N279" i="74"/>
  <c r="N295" i="74" s="1"/>
  <c r="M279" i="74"/>
  <c r="M295" i="74" s="1"/>
  <c r="L279" i="74"/>
  <c r="K279" i="74"/>
  <c r="K295" i="74" s="1"/>
  <c r="J279" i="74"/>
  <c r="J295" i="74" s="1"/>
  <c r="I279" i="74"/>
  <c r="I295" i="74" s="1"/>
  <c r="H279" i="74"/>
  <c r="H295" i="74" s="1"/>
  <c r="G279" i="74"/>
  <c r="G295" i="74" s="1"/>
  <c r="F279" i="74"/>
  <c r="F295" i="74" s="1"/>
  <c r="E279" i="74"/>
  <c r="E295" i="74" s="1"/>
  <c r="P278" i="74"/>
  <c r="P290" i="74" s="1"/>
  <c r="O278" i="74"/>
  <c r="O290" i="74" s="1"/>
  <c r="N278" i="74"/>
  <c r="P322" i="74" s="1"/>
  <c r="M278" i="74"/>
  <c r="L278" i="74"/>
  <c r="K278" i="74"/>
  <c r="K290" i="74" s="1"/>
  <c r="J278" i="74"/>
  <c r="J290" i="74" s="1"/>
  <c r="I278" i="74"/>
  <c r="K322" i="74" s="1"/>
  <c r="H278" i="74"/>
  <c r="H290" i="74" s="1"/>
  <c r="G278" i="74"/>
  <c r="I322" i="74" s="1"/>
  <c r="F278" i="74"/>
  <c r="F290" i="74" s="1"/>
  <c r="E278" i="74"/>
  <c r="P275" i="74"/>
  <c r="O275" i="74"/>
  <c r="N275" i="74"/>
  <c r="M275" i="74"/>
  <c r="L275" i="74"/>
  <c r="K275" i="74"/>
  <c r="J275" i="74"/>
  <c r="I275" i="74"/>
  <c r="H275" i="74"/>
  <c r="G275" i="74"/>
  <c r="F275" i="74"/>
  <c r="E275" i="74"/>
  <c r="P260" i="74"/>
  <c r="O260" i="74"/>
  <c r="N260" i="74"/>
  <c r="M260" i="74"/>
  <c r="L260" i="74"/>
  <c r="K260" i="74"/>
  <c r="J260" i="74"/>
  <c r="I260" i="74"/>
  <c r="H260" i="74"/>
  <c r="G260" i="74"/>
  <c r="F260" i="74"/>
  <c r="E260" i="74"/>
  <c r="B260" i="74"/>
  <c r="B275" i="74" s="1"/>
  <c r="B290" i="74" s="1"/>
  <c r="D245" i="74"/>
  <c r="D244" i="74"/>
  <c r="D243" i="74"/>
  <c r="D242" i="74"/>
  <c r="D241" i="74"/>
  <c r="D240" i="74"/>
  <c r="D239" i="74"/>
  <c r="D238" i="74"/>
  <c r="D237" i="74"/>
  <c r="D236" i="74"/>
  <c r="D235" i="74"/>
  <c r="D234" i="74"/>
  <c r="D233" i="74"/>
  <c r="C222" i="74"/>
  <c r="C221" i="74"/>
  <c r="C212" i="74"/>
  <c r="C211" i="74"/>
  <c r="C202" i="74"/>
  <c r="C201" i="74"/>
  <c r="C192" i="74"/>
  <c r="C191" i="74"/>
  <c r="C182" i="74"/>
  <c r="C181" i="74"/>
  <c r="C172" i="74"/>
  <c r="C171" i="74"/>
  <c r="C162" i="74"/>
  <c r="C161" i="74"/>
  <c r="C152" i="74"/>
  <c r="C151" i="74"/>
  <c r="C142" i="74"/>
  <c r="C141" i="74"/>
  <c r="C132" i="74"/>
  <c r="C131" i="74"/>
  <c r="C122" i="74"/>
  <c r="C121" i="74"/>
  <c r="C114" i="74"/>
  <c r="C112" i="74"/>
  <c r="C111" i="74"/>
  <c r="P106" i="74"/>
  <c r="O106" i="74"/>
  <c r="N106" i="74"/>
  <c r="M106" i="74"/>
  <c r="L106" i="74"/>
  <c r="K106" i="74"/>
  <c r="J106" i="74"/>
  <c r="I106" i="74"/>
  <c r="H106" i="74"/>
  <c r="G106" i="74"/>
  <c r="P105" i="74"/>
  <c r="O105" i="74"/>
  <c r="N105" i="74"/>
  <c r="M105" i="74"/>
  <c r="L105" i="74"/>
  <c r="K105" i="74"/>
  <c r="J105" i="74"/>
  <c r="I105" i="74"/>
  <c r="H105" i="74"/>
  <c r="G105" i="74"/>
  <c r="P104" i="74"/>
  <c r="O104" i="74"/>
  <c r="N104" i="74"/>
  <c r="M104" i="74"/>
  <c r="L104" i="74"/>
  <c r="K104" i="74"/>
  <c r="J104" i="74"/>
  <c r="I104" i="74"/>
  <c r="H104" i="74"/>
  <c r="G104" i="74"/>
  <c r="P103" i="74"/>
  <c r="O103" i="74"/>
  <c r="N103" i="74"/>
  <c r="M103" i="74"/>
  <c r="L103" i="74"/>
  <c r="K103" i="74"/>
  <c r="J103" i="74"/>
  <c r="I103" i="74"/>
  <c r="H103" i="74"/>
  <c r="G103" i="74"/>
  <c r="P102" i="74"/>
  <c r="O102" i="74"/>
  <c r="N102" i="74"/>
  <c r="M102" i="74"/>
  <c r="L102" i="74"/>
  <c r="K102" i="74"/>
  <c r="J102" i="74"/>
  <c r="I102" i="74"/>
  <c r="H102" i="74"/>
  <c r="G102" i="74"/>
  <c r="P100" i="74"/>
  <c r="O100" i="74"/>
  <c r="N100" i="74"/>
  <c r="M100" i="74"/>
  <c r="L100" i="74"/>
  <c r="K100" i="74"/>
  <c r="J100" i="74"/>
  <c r="I100" i="74"/>
  <c r="H100" i="74"/>
  <c r="G100" i="74"/>
  <c r="F100" i="74"/>
  <c r="P99" i="74"/>
  <c r="O99" i="74"/>
  <c r="N99" i="74"/>
  <c r="M99" i="74"/>
  <c r="L99" i="74"/>
  <c r="K99" i="74"/>
  <c r="J99" i="74"/>
  <c r="I99" i="74"/>
  <c r="H99" i="74"/>
  <c r="G99" i="74"/>
  <c r="F99" i="74"/>
  <c r="P98" i="74"/>
  <c r="O98" i="74"/>
  <c r="N98" i="74"/>
  <c r="M98" i="74"/>
  <c r="L98" i="74"/>
  <c r="K98" i="74"/>
  <c r="J98" i="74"/>
  <c r="I98" i="74"/>
  <c r="H98" i="74"/>
  <c r="G98" i="74"/>
  <c r="F98" i="74"/>
  <c r="P97" i="74"/>
  <c r="O97" i="74"/>
  <c r="N97" i="74"/>
  <c r="M97" i="74"/>
  <c r="L97" i="74"/>
  <c r="K97" i="74"/>
  <c r="J97" i="74"/>
  <c r="I97" i="74"/>
  <c r="H97" i="74"/>
  <c r="G97" i="74"/>
  <c r="F97" i="74"/>
  <c r="P96" i="74"/>
  <c r="O96" i="74"/>
  <c r="N96" i="74"/>
  <c r="M96" i="74"/>
  <c r="L96" i="74"/>
  <c r="K96" i="74"/>
  <c r="J96" i="74"/>
  <c r="I96" i="74"/>
  <c r="H96" i="74"/>
  <c r="G96" i="74"/>
  <c r="F96" i="74"/>
  <c r="B94" i="74"/>
  <c r="B100" i="74" s="1"/>
  <c r="B106" i="74" s="1"/>
  <c r="B93" i="74"/>
  <c r="B99" i="74" s="1"/>
  <c r="B105" i="74" s="1"/>
  <c r="B719" i="74"/>
  <c r="B438" i="73" s="1"/>
  <c r="B91" i="74"/>
  <c r="B97" i="74" s="1"/>
  <c r="B103" i="74" s="1"/>
  <c r="B90" i="74"/>
  <c r="B96" i="74" s="1"/>
  <c r="B102" i="74" s="1"/>
  <c r="P75" i="74"/>
  <c r="O75" i="74"/>
  <c r="N75" i="74"/>
  <c r="M75" i="74"/>
  <c r="L75" i="74"/>
  <c r="K75" i="74"/>
  <c r="J75" i="74"/>
  <c r="I75" i="74"/>
  <c r="H75" i="74"/>
  <c r="G75" i="74"/>
  <c r="P74" i="74"/>
  <c r="O74" i="74"/>
  <c r="N74" i="74"/>
  <c r="M74" i="74"/>
  <c r="L74" i="74"/>
  <c r="K74" i="74"/>
  <c r="J74" i="74"/>
  <c r="I74" i="74"/>
  <c r="H74" i="74"/>
  <c r="G74" i="74"/>
  <c r="P73" i="74"/>
  <c r="O73" i="74"/>
  <c r="N73" i="74"/>
  <c r="M73" i="74"/>
  <c r="L73" i="74"/>
  <c r="K73" i="74"/>
  <c r="J73" i="74"/>
  <c r="I73" i="74"/>
  <c r="H73" i="74"/>
  <c r="G73" i="74"/>
  <c r="P72" i="74"/>
  <c r="O72" i="74"/>
  <c r="N72" i="74"/>
  <c r="M72" i="74"/>
  <c r="L72" i="74"/>
  <c r="K72" i="74"/>
  <c r="J72" i="74"/>
  <c r="I72" i="74"/>
  <c r="H72" i="74"/>
  <c r="G72" i="74"/>
  <c r="P71" i="74"/>
  <c r="O71" i="74"/>
  <c r="N71" i="74"/>
  <c r="M71" i="74"/>
  <c r="L71" i="74"/>
  <c r="K71" i="74"/>
  <c r="J71" i="74"/>
  <c r="I71" i="74"/>
  <c r="H71" i="74"/>
  <c r="G71" i="74"/>
  <c r="P70" i="74"/>
  <c r="O70" i="74"/>
  <c r="N70" i="74"/>
  <c r="M70" i="74"/>
  <c r="L70" i="74"/>
  <c r="K70" i="74"/>
  <c r="J70" i="74"/>
  <c r="I70" i="74"/>
  <c r="H70" i="74"/>
  <c r="G70" i="74"/>
  <c r="P69" i="74"/>
  <c r="O69" i="74"/>
  <c r="N69" i="74"/>
  <c r="M69" i="74"/>
  <c r="L69" i="74"/>
  <c r="K69" i="74"/>
  <c r="J69" i="74"/>
  <c r="I69" i="74"/>
  <c r="H69" i="74"/>
  <c r="G69" i="74"/>
  <c r="P68" i="74"/>
  <c r="O68" i="74"/>
  <c r="N68" i="74"/>
  <c r="M68" i="74"/>
  <c r="L68" i="74"/>
  <c r="K68" i="74"/>
  <c r="J68" i="74"/>
  <c r="I68" i="74"/>
  <c r="H68" i="74"/>
  <c r="G68" i="74"/>
  <c r="P67" i="74"/>
  <c r="O67" i="74"/>
  <c r="N67" i="74"/>
  <c r="M67" i="74"/>
  <c r="L67" i="74"/>
  <c r="K67" i="74"/>
  <c r="J67" i="74"/>
  <c r="I67" i="74"/>
  <c r="H67" i="74"/>
  <c r="G67" i="74"/>
  <c r="P66" i="74"/>
  <c r="O66" i="74"/>
  <c r="N66" i="74"/>
  <c r="M66" i="74"/>
  <c r="L66" i="74"/>
  <c r="K66" i="74"/>
  <c r="J66" i="74"/>
  <c r="I66" i="74"/>
  <c r="H66" i="74"/>
  <c r="G66" i="74"/>
  <c r="P65" i="74"/>
  <c r="O65" i="74"/>
  <c r="N65" i="74"/>
  <c r="M65" i="74"/>
  <c r="L65" i="74"/>
  <c r="K65" i="74"/>
  <c r="J65" i="74"/>
  <c r="I65" i="74"/>
  <c r="H65" i="74"/>
  <c r="G65" i="74"/>
  <c r="P64" i="74"/>
  <c r="O64" i="74"/>
  <c r="N64" i="74"/>
  <c r="M64" i="74"/>
  <c r="L64" i="74"/>
  <c r="K64" i="74"/>
  <c r="J64" i="74"/>
  <c r="I64" i="74"/>
  <c r="H64" i="74"/>
  <c r="G64" i="74"/>
  <c r="P61" i="74"/>
  <c r="O61" i="74"/>
  <c r="N61" i="74"/>
  <c r="M61" i="74"/>
  <c r="L61" i="74"/>
  <c r="K61" i="74"/>
  <c r="J61" i="74"/>
  <c r="I61" i="74"/>
  <c r="H61" i="74"/>
  <c r="G61" i="74"/>
  <c r="F61" i="74"/>
  <c r="B48" i="74"/>
  <c r="B61" i="74" s="1"/>
  <c r="B74" i="74" s="1"/>
  <c r="P47" i="74"/>
  <c r="O47" i="74"/>
  <c r="N47" i="74"/>
  <c r="M47" i="74"/>
  <c r="L47" i="74"/>
  <c r="K47" i="74"/>
  <c r="J47" i="74"/>
  <c r="I47" i="74"/>
  <c r="H47" i="74"/>
  <c r="G47" i="74"/>
  <c r="F47" i="74"/>
  <c r="E47" i="74"/>
  <c r="P46" i="74"/>
  <c r="O46" i="74"/>
  <c r="N46" i="74"/>
  <c r="M46" i="74"/>
  <c r="L46" i="74"/>
  <c r="K46" i="74"/>
  <c r="J46" i="74"/>
  <c r="I46" i="74"/>
  <c r="H46" i="74"/>
  <c r="G46" i="74"/>
  <c r="F46" i="74"/>
  <c r="E46" i="74"/>
  <c r="P45" i="74"/>
  <c r="O45" i="74"/>
  <c r="N45" i="74"/>
  <c r="M45" i="74"/>
  <c r="L45" i="74"/>
  <c r="K45" i="74"/>
  <c r="J45" i="74"/>
  <c r="I45" i="74"/>
  <c r="H45" i="74"/>
  <c r="G45" i="74"/>
  <c r="F45" i="74"/>
  <c r="E45" i="74"/>
  <c r="P44" i="74"/>
  <c r="O44" i="74"/>
  <c r="N44" i="74"/>
  <c r="M44" i="74"/>
  <c r="L44" i="74"/>
  <c r="K44" i="74"/>
  <c r="J44" i="74"/>
  <c r="I44" i="74"/>
  <c r="H44" i="74"/>
  <c r="G44" i="74"/>
  <c r="F44" i="74"/>
  <c r="E44" i="74"/>
  <c r="P43" i="74"/>
  <c r="O43" i="74"/>
  <c r="N43" i="74"/>
  <c r="M43" i="74"/>
  <c r="L43" i="74"/>
  <c r="K43" i="74"/>
  <c r="J43" i="74"/>
  <c r="I43" i="74"/>
  <c r="H43" i="74"/>
  <c r="G43" i="74"/>
  <c r="F43" i="74"/>
  <c r="E43" i="74"/>
  <c r="P42" i="74"/>
  <c r="O42" i="74"/>
  <c r="N42" i="74"/>
  <c r="M42" i="74"/>
  <c r="L42" i="74"/>
  <c r="K42" i="74"/>
  <c r="J42" i="74"/>
  <c r="I42" i="74"/>
  <c r="H42" i="74"/>
  <c r="G42" i="74"/>
  <c r="F42" i="74"/>
  <c r="E42" i="74"/>
  <c r="P41" i="74"/>
  <c r="O41" i="74"/>
  <c r="N41" i="74"/>
  <c r="M41" i="74"/>
  <c r="L41" i="74"/>
  <c r="K41" i="74"/>
  <c r="J41" i="74"/>
  <c r="I41" i="74"/>
  <c r="H41" i="74"/>
  <c r="G41" i="74"/>
  <c r="F41" i="74"/>
  <c r="E41" i="74"/>
  <c r="P40" i="74"/>
  <c r="O40" i="74"/>
  <c r="N40" i="74"/>
  <c r="M40" i="74"/>
  <c r="L40" i="74"/>
  <c r="K40" i="74"/>
  <c r="J40" i="74"/>
  <c r="I40" i="74"/>
  <c r="H40" i="74"/>
  <c r="G40" i="74"/>
  <c r="F40" i="74"/>
  <c r="E40" i="74"/>
  <c r="P39" i="74"/>
  <c r="O39" i="74"/>
  <c r="N39" i="74"/>
  <c r="M39" i="74"/>
  <c r="L39" i="74"/>
  <c r="K39" i="74"/>
  <c r="J39" i="74"/>
  <c r="I39" i="74"/>
  <c r="H39" i="74"/>
  <c r="G39" i="74"/>
  <c r="F39" i="74"/>
  <c r="E39" i="74"/>
  <c r="B715" i="74"/>
  <c r="B433" i="73" s="1"/>
  <c r="B47" i="74"/>
  <c r="B60" i="74" s="1"/>
  <c r="B73" i="74" s="1"/>
  <c r="B711" i="74"/>
  <c r="B429" i="73" s="1"/>
  <c r="B710" i="74"/>
  <c r="B428" i="73" s="1"/>
  <c r="B709" i="74"/>
  <c r="B427" i="73" s="1"/>
  <c r="B707" i="74"/>
  <c r="B425" i="73" s="1"/>
  <c r="B706" i="74"/>
  <c r="B424" i="73" s="1"/>
  <c r="B39" i="74"/>
  <c r="B52" i="74" s="1"/>
  <c r="B65" i="74" s="1"/>
  <c r="F15" i="74"/>
  <c r="E15" i="74"/>
  <c r="E14" i="74"/>
  <c r="P13" i="74"/>
  <c r="O13" i="74"/>
  <c r="N13" i="74"/>
  <c r="M13" i="74"/>
  <c r="L13" i="74"/>
  <c r="K13" i="74"/>
  <c r="J13" i="74"/>
  <c r="I13" i="74"/>
  <c r="H13" i="74"/>
  <c r="G13" i="74"/>
  <c r="F13" i="74"/>
  <c r="E13" i="74"/>
  <c r="Q7" i="74"/>
  <c r="Q232" i="74" s="1"/>
  <c r="E214" i="71"/>
  <c r="E213" i="71"/>
  <c r="E212" i="71"/>
  <c r="E211" i="71"/>
  <c r="E207" i="71"/>
  <c r="E206" i="71"/>
  <c r="E205" i="71"/>
  <c r="E204" i="71"/>
  <c r="E200" i="71"/>
  <c r="E199" i="71"/>
  <c r="E198" i="71"/>
  <c r="E197" i="71"/>
  <c r="E196" i="71"/>
  <c r="E195" i="71"/>
  <c r="E194" i="71"/>
  <c r="G193" i="71"/>
  <c r="E193" i="71"/>
  <c r="E189" i="71"/>
  <c r="E188" i="71"/>
  <c r="E187" i="71"/>
  <c r="E186" i="71"/>
  <c r="G185" i="71"/>
  <c r="E185" i="71"/>
  <c r="G184" i="71"/>
  <c r="E184" i="71"/>
  <c r="E183" i="71"/>
  <c r="E182" i="71"/>
  <c r="E181" i="71"/>
  <c r="E180" i="71"/>
  <c r="E179" i="71"/>
  <c r="E178" i="71"/>
  <c r="E177" i="71"/>
  <c r="E176" i="71"/>
  <c r="E172" i="71"/>
  <c r="E171" i="71"/>
  <c r="E170" i="71"/>
  <c r="E169" i="71"/>
  <c r="E168" i="71"/>
  <c r="E166" i="71"/>
  <c r="E165" i="71"/>
  <c r="E164" i="71"/>
  <c r="E163" i="71"/>
  <c r="E162" i="71"/>
  <c r="E161" i="71"/>
  <c r="E160" i="71"/>
  <c r="E156" i="71"/>
  <c r="E155" i="71"/>
  <c r="E154" i="71"/>
  <c r="E153" i="71"/>
  <c r="E152" i="71"/>
  <c r="E151" i="71"/>
  <c r="E150" i="71"/>
  <c r="E149" i="71"/>
  <c r="E147" i="71"/>
  <c r="E146" i="71"/>
  <c r="E145" i="71"/>
  <c r="E144" i="71"/>
  <c r="E142" i="71"/>
  <c r="E141" i="71"/>
  <c r="E140" i="71"/>
  <c r="E139" i="71"/>
  <c r="E138" i="71"/>
  <c r="E137" i="71"/>
  <c r="E136" i="71"/>
  <c r="E135" i="71"/>
  <c r="E134" i="71"/>
  <c r="E133" i="71"/>
  <c r="E132" i="71"/>
  <c r="E131" i="71"/>
  <c r="E130" i="71"/>
  <c r="E129" i="71"/>
  <c r="E128" i="71"/>
  <c r="E127" i="71"/>
  <c r="G126" i="71"/>
  <c r="C51" i="61" s="1"/>
  <c r="E126" i="71"/>
  <c r="E125" i="71"/>
  <c r="E124" i="71"/>
  <c r="E120" i="71"/>
  <c r="E119" i="71"/>
  <c r="E118" i="71"/>
  <c r="E117" i="71"/>
  <c r="E116" i="71"/>
  <c r="E115" i="71"/>
  <c r="E114" i="71"/>
  <c r="E113" i="71"/>
  <c r="E112" i="71"/>
  <c r="E111" i="71"/>
  <c r="E110" i="71"/>
  <c r="E109" i="71"/>
  <c r="E108" i="71"/>
  <c r="E107" i="71"/>
  <c r="E106" i="71"/>
  <c r="E105" i="71"/>
  <c r="E104" i="71"/>
  <c r="E103" i="71"/>
  <c r="E102" i="71"/>
  <c r="E101" i="71"/>
  <c r="E100" i="71"/>
  <c r="E99" i="71"/>
  <c r="E98" i="71"/>
  <c r="E89" i="71"/>
  <c r="C87" i="71"/>
  <c r="C86" i="71"/>
  <c r="E83" i="71"/>
  <c r="C81" i="71"/>
  <c r="E78" i="71"/>
  <c r="C76" i="71"/>
  <c r="C75" i="71"/>
  <c r="C74" i="71"/>
  <c r="C73" i="71"/>
  <c r="C72" i="71"/>
  <c r="C71" i="71"/>
  <c r="C70" i="71"/>
  <c r="E69" i="71"/>
  <c r="C67" i="71"/>
  <c r="C66" i="71"/>
  <c r="C65" i="71"/>
  <c r="C64" i="71"/>
  <c r="E61" i="71"/>
  <c r="C59" i="71"/>
  <c r="C58" i="71"/>
  <c r="C57" i="71"/>
  <c r="C56" i="71"/>
  <c r="C55" i="71"/>
  <c r="C54" i="71"/>
  <c r="C53" i="71"/>
  <c r="C52" i="71"/>
  <c r="C51" i="71"/>
  <c r="E50" i="71"/>
  <c r="E42" i="71"/>
  <c r="I3" i="71"/>
  <c r="F3" i="71"/>
  <c r="C3" i="71"/>
  <c r="L2" i="71"/>
  <c r="I2" i="71"/>
  <c r="F2" i="71"/>
  <c r="C2" i="71"/>
  <c r="B637" i="77"/>
  <c r="B630" i="77"/>
  <c r="B621" i="77"/>
  <c r="B619" i="77"/>
  <c r="B618" i="77"/>
  <c r="B617" i="77"/>
  <c r="B608" i="77"/>
  <c r="B604" i="77"/>
  <c r="B600" i="77"/>
  <c r="B612" i="77" s="1"/>
  <c r="B635" i="77" s="1"/>
  <c r="B642" i="77" s="1"/>
  <c r="B599" i="77"/>
  <c r="B611" i="77" s="1"/>
  <c r="B634" i="77" s="1"/>
  <c r="B641" i="77" s="1"/>
  <c r="H598" i="77"/>
  <c r="K598" i="77" s="1"/>
  <c r="N598" i="77" s="1"/>
  <c r="Q598" i="77" s="1"/>
  <c r="T598" i="77" s="1"/>
  <c r="W598" i="77" s="1"/>
  <c r="Z598" i="77" s="1"/>
  <c r="AC598" i="77" s="1"/>
  <c r="AF598" i="77" s="1"/>
  <c r="AI598" i="77" s="1"/>
  <c r="AL598" i="77" s="1"/>
  <c r="G598" i="77"/>
  <c r="J598" i="77" s="1"/>
  <c r="M598" i="77" s="1"/>
  <c r="P598" i="77" s="1"/>
  <c r="S598" i="77" s="1"/>
  <c r="V598" i="77" s="1"/>
  <c r="Y598" i="77" s="1"/>
  <c r="AB598" i="77" s="1"/>
  <c r="AE598" i="77" s="1"/>
  <c r="AH598" i="77" s="1"/>
  <c r="AK598" i="77" s="1"/>
  <c r="B596" i="77"/>
  <c r="F593" i="77"/>
  <c r="F585" i="77" s="1"/>
  <c r="F592" i="77"/>
  <c r="F584" i="77" s="1"/>
  <c r="B589" i="77"/>
  <c r="F586" i="77"/>
  <c r="B572" i="77"/>
  <c r="D694" i="77"/>
  <c r="B694" i="77"/>
  <c r="B685" i="77"/>
  <c r="B684" i="77"/>
  <c r="B687" i="77" s="1"/>
  <c r="B683" i="77"/>
  <c r="B682" i="77"/>
  <c r="E668" i="77"/>
  <c r="D668" i="77"/>
  <c r="D667" i="77"/>
  <c r="G667" i="77" s="1"/>
  <c r="R458" i="77"/>
  <c r="R459" i="77" s="1"/>
  <c r="Q458" i="77"/>
  <c r="Q459" i="77" s="1"/>
  <c r="P458" i="77"/>
  <c r="P459" i="77" s="1"/>
  <c r="N458" i="77"/>
  <c r="N459" i="77" s="1"/>
  <c r="M458" i="77"/>
  <c r="M459" i="77" s="1"/>
  <c r="L458" i="77"/>
  <c r="L459" i="77" s="1"/>
  <c r="K458" i="77"/>
  <c r="K459" i="77" s="1"/>
  <c r="J458" i="77"/>
  <c r="J459" i="77" s="1"/>
  <c r="I458" i="77"/>
  <c r="I459" i="77" s="1"/>
  <c r="H458" i="77"/>
  <c r="H459" i="77" s="1"/>
  <c r="G458" i="77"/>
  <c r="G459" i="77" s="1"/>
  <c r="S450" i="77"/>
  <c r="C224" i="74" s="1"/>
  <c r="D450" i="77"/>
  <c r="C450" i="77"/>
  <c r="S449" i="77"/>
  <c r="C214" i="74" s="1"/>
  <c r="D449" i="77"/>
  <c r="C449" i="77"/>
  <c r="S448" i="77"/>
  <c r="C204" i="74" s="1"/>
  <c r="D448" i="77"/>
  <c r="C448" i="77"/>
  <c r="S447" i="77"/>
  <c r="C194" i="74" s="1"/>
  <c r="D447" i="77"/>
  <c r="C447" i="77"/>
  <c r="S446" i="77"/>
  <c r="C184" i="74" s="1"/>
  <c r="D446" i="77"/>
  <c r="C446" i="77"/>
  <c r="S445" i="77"/>
  <c r="C174" i="74" s="1"/>
  <c r="D445" i="77"/>
  <c r="C445" i="77"/>
  <c r="S444" i="77"/>
  <c r="C164" i="74" s="1"/>
  <c r="D444" i="77"/>
  <c r="C444" i="77"/>
  <c r="S443" i="77"/>
  <c r="C154" i="74" s="1"/>
  <c r="D443" i="77"/>
  <c r="C443" i="77"/>
  <c r="S442" i="77"/>
  <c r="C144" i="74" s="1"/>
  <c r="D442" i="77"/>
  <c r="C442" i="77"/>
  <c r="D441" i="77"/>
  <c r="C441" i="77"/>
  <c r="O458" i="77" s="1"/>
  <c r="O459" i="77" s="1"/>
  <c r="S440" i="77"/>
  <c r="C124" i="74" s="1"/>
  <c r="D440" i="77"/>
  <c r="C440" i="77"/>
  <c r="S439" i="77"/>
  <c r="D439" i="77"/>
  <c r="C439" i="77"/>
  <c r="S437" i="77"/>
  <c r="R400" i="77"/>
  <c r="P649" i="74" s="1"/>
  <c r="P653" i="74" s="1"/>
  <c r="N9" i="10" s="1"/>
  <c r="Q400" i="77"/>
  <c r="O649" i="74" s="1"/>
  <c r="O653" i="74" s="1"/>
  <c r="M9" i="10" s="1"/>
  <c r="P400" i="77"/>
  <c r="N649" i="74" s="1"/>
  <c r="N653" i="74" s="1"/>
  <c r="L9" i="10" s="1"/>
  <c r="O400" i="77"/>
  <c r="M649" i="74" s="1"/>
  <c r="M653" i="74" s="1"/>
  <c r="K9" i="10" s="1"/>
  <c r="N400" i="77"/>
  <c r="L649" i="74" s="1"/>
  <c r="L653" i="74" s="1"/>
  <c r="J9" i="10" s="1"/>
  <c r="M400" i="77"/>
  <c r="K649" i="74" s="1"/>
  <c r="K653" i="74" s="1"/>
  <c r="I9" i="10" s="1"/>
  <c r="L400" i="77"/>
  <c r="J649" i="74" s="1"/>
  <c r="J653" i="74" s="1"/>
  <c r="H9" i="10" s="1"/>
  <c r="K400" i="77"/>
  <c r="I649" i="74" s="1"/>
  <c r="I653" i="74" s="1"/>
  <c r="G9" i="10" s="1"/>
  <c r="J400" i="77"/>
  <c r="H649" i="74" s="1"/>
  <c r="H653" i="74" s="1"/>
  <c r="F9" i="10" s="1"/>
  <c r="I400" i="77"/>
  <c r="G649" i="74" s="1"/>
  <c r="G653" i="74" s="1"/>
  <c r="E9" i="10" s="1"/>
  <c r="H400" i="77"/>
  <c r="F649" i="74" s="1"/>
  <c r="F653" i="74" s="1"/>
  <c r="D9" i="10" s="1"/>
  <c r="G400" i="77"/>
  <c r="E649" i="74" s="1"/>
  <c r="E653" i="74" s="1"/>
  <c r="R396" i="77"/>
  <c r="O118" i="8" s="1"/>
  <c r="Q396" i="77"/>
  <c r="M121" i="83" s="1"/>
  <c r="P396" i="77"/>
  <c r="L121" i="83" s="1"/>
  <c r="O396" i="77"/>
  <c r="L118" i="8" s="1"/>
  <c r="N396" i="77"/>
  <c r="K118" i="8" s="1"/>
  <c r="M396" i="77"/>
  <c r="I121" i="83" s="1"/>
  <c r="L396" i="77"/>
  <c r="H121" i="83" s="1"/>
  <c r="K396" i="77"/>
  <c r="H118" i="8" s="1"/>
  <c r="J396" i="77"/>
  <c r="G118" i="8" s="1"/>
  <c r="I396" i="77"/>
  <c r="E121" i="83" s="1"/>
  <c r="H396" i="77"/>
  <c r="D121" i="83" s="1"/>
  <c r="G396" i="77"/>
  <c r="D118" i="8" s="1"/>
  <c r="R365" i="77"/>
  <c r="Q365" i="77"/>
  <c r="P365" i="77"/>
  <c r="O365" i="77"/>
  <c r="N365" i="77"/>
  <c r="M365" i="77"/>
  <c r="L365" i="77"/>
  <c r="K365" i="77"/>
  <c r="J365" i="77"/>
  <c r="I365" i="77"/>
  <c r="H365" i="77"/>
  <c r="G365" i="77"/>
  <c r="R177" i="77"/>
  <c r="Q177" i="77"/>
  <c r="P177" i="77"/>
  <c r="O177" i="77"/>
  <c r="N177" i="77"/>
  <c r="M177" i="77"/>
  <c r="L177" i="77"/>
  <c r="K177" i="77"/>
  <c r="J177" i="77"/>
  <c r="I177" i="77"/>
  <c r="H177" i="77"/>
  <c r="G177" i="77"/>
  <c r="R140" i="77"/>
  <c r="Q140" i="77"/>
  <c r="P140" i="77"/>
  <c r="O140" i="77"/>
  <c r="N140" i="77"/>
  <c r="M140" i="77"/>
  <c r="L140" i="77"/>
  <c r="K140" i="77"/>
  <c r="J140" i="77"/>
  <c r="I140" i="77"/>
  <c r="H140" i="77"/>
  <c r="G140" i="77"/>
  <c r="H248" i="85"/>
  <c r="I248" i="85" s="1"/>
  <c r="B248" i="85"/>
  <c r="B247" i="85"/>
  <c r="B246" i="85"/>
  <c r="B245" i="85"/>
  <c r="B244" i="85"/>
  <c r="B229" i="85"/>
  <c r="B235" i="85" s="1"/>
  <c r="E189" i="85"/>
  <c r="D189" i="85"/>
  <c r="E188" i="85"/>
  <c r="D188" i="85"/>
  <c r="C188" i="85"/>
  <c r="E187" i="85"/>
  <c r="D187" i="85"/>
  <c r="C187" i="85"/>
  <c r="E186" i="85"/>
  <c r="D186" i="85"/>
  <c r="C186" i="85"/>
  <c r="E185" i="85"/>
  <c r="D185" i="85"/>
  <c r="C185" i="85"/>
  <c r="Q177" i="85"/>
  <c r="P177" i="85"/>
  <c r="O177" i="85"/>
  <c r="N177" i="85"/>
  <c r="M177" i="85"/>
  <c r="L177" i="85"/>
  <c r="K177" i="85"/>
  <c r="J177" i="85"/>
  <c r="I177" i="85"/>
  <c r="H177" i="85"/>
  <c r="G177" i="85"/>
  <c r="F177" i="85"/>
  <c r="Q176" i="85"/>
  <c r="P176" i="85"/>
  <c r="O176" i="85"/>
  <c r="N176" i="85"/>
  <c r="M176" i="85"/>
  <c r="L176" i="85"/>
  <c r="K176" i="85"/>
  <c r="J176" i="85"/>
  <c r="I176" i="85"/>
  <c r="H176" i="85"/>
  <c r="G176" i="85"/>
  <c r="F176" i="85"/>
  <c r="Q175" i="85"/>
  <c r="P175" i="85"/>
  <c r="O175" i="85"/>
  <c r="N175" i="85"/>
  <c r="M175" i="85"/>
  <c r="L175" i="85"/>
  <c r="K175" i="85"/>
  <c r="J175" i="85"/>
  <c r="I175" i="85"/>
  <c r="H175" i="85"/>
  <c r="G175" i="85"/>
  <c r="F175" i="85"/>
  <c r="Q174" i="85"/>
  <c r="P174" i="85"/>
  <c r="O174" i="85"/>
  <c r="N174" i="85"/>
  <c r="M174" i="85"/>
  <c r="L174" i="85"/>
  <c r="K174" i="85"/>
  <c r="J174" i="85"/>
  <c r="I174" i="85"/>
  <c r="H174" i="85"/>
  <c r="G174" i="85"/>
  <c r="F174" i="85"/>
  <c r="Q173" i="85"/>
  <c r="P173" i="85"/>
  <c r="O173" i="85"/>
  <c r="N173" i="85"/>
  <c r="M173" i="85"/>
  <c r="L173" i="85"/>
  <c r="K173" i="85"/>
  <c r="J173" i="85"/>
  <c r="I173" i="85"/>
  <c r="H173" i="85"/>
  <c r="G173" i="85"/>
  <c r="F173" i="85"/>
  <c r="Q169" i="85"/>
  <c r="P169" i="85"/>
  <c r="O169" i="85"/>
  <c r="N169" i="85"/>
  <c r="M169" i="85"/>
  <c r="L169" i="85"/>
  <c r="K169" i="85"/>
  <c r="J169" i="85"/>
  <c r="I169" i="85"/>
  <c r="H169" i="85"/>
  <c r="G169" i="85"/>
  <c r="F169" i="85"/>
  <c r="Q167" i="85"/>
  <c r="P167" i="85"/>
  <c r="O167" i="85"/>
  <c r="N167" i="85"/>
  <c r="M167" i="85"/>
  <c r="L167" i="85"/>
  <c r="K167" i="85"/>
  <c r="J167" i="85"/>
  <c r="I167" i="85"/>
  <c r="H167" i="85"/>
  <c r="G167" i="85"/>
  <c r="F167" i="85"/>
  <c r="Q166" i="85"/>
  <c r="P166" i="85"/>
  <c r="O166" i="85"/>
  <c r="N166" i="85"/>
  <c r="M166" i="85"/>
  <c r="L166" i="85"/>
  <c r="K166" i="85"/>
  <c r="J166" i="85"/>
  <c r="I166" i="85"/>
  <c r="H166" i="85"/>
  <c r="G166" i="85"/>
  <c r="F166" i="85"/>
  <c r="Q165" i="85"/>
  <c r="P165" i="85"/>
  <c r="O165" i="85"/>
  <c r="N165" i="85"/>
  <c r="M165" i="85"/>
  <c r="L165" i="85"/>
  <c r="K165" i="85"/>
  <c r="J165" i="85"/>
  <c r="I165" i="85"/>
  <c r="H165" i="85"/>
  <c r="G165" i="85"/>
  <c r="F165" i="85"/>
  <c r="Q160" i="85"/>
  <c r="O64" i="8" s="1"/>
  <c r="O73" i="8" s="1"/>
  <c r="P160" i="85"/>
  <c r="N64" i="8" s="1"/>
  <c r="N73" i="8" s="1"/>
  <c r="O160" i="85"/>
  <c r="M64" i="8" s="1"/>
  <c r="M73" i="8" s="1"/>
  <c r="N160" i="85"/>
  <c r="L64" i="8" s="1"/>
  <c r="L73" i="8" s="1"/>
  <c r="M160" i="85"/>
  <c r="K64" i="8" s="1"/>
  <c r="K73" i="8" s="1"/>
  <c r="L160" i="85"/>
  <c r="J64" i="8" s="1"/>
  <c r="J73" i="8" s="1"/>
  <c r="K160" i="85"/>
  <c r="J160" i="85"/>
  <c r="H64" i="8" s="1"/>
  <c r="H73" i="8" s="1"/>
  <c r="I160" i="85"/>
  <c r="G64" i="8" s="1"/>
  <c r="G73" i="8" s="1"/>
  <c r="H160" i="85"/>
  <c r="F64" i="8" s="1"/>
  <c r="F73" i="8" s="1"/>
  <c r="G160" i="85"/>
  <c r="E64" i="8" s="1"/>
  <c r="E73" i="8" s="1"/>
  <c r="F160" i="85"/>
  <c r="D64" i="8" s="1"/>
  <c r="D73" i="8" s="1"/>
  <c r="Q159" i="85"/>
  <c r="O63" i="8" s="1"/>
  <c r="O72" i="8" s="1"/>
  <c r="P159" i="85"/>
  <c r="N63" i="8" s="1"/>
  <c r="N72" i="8" s="1"/>
  <c r="O159" i="85"/>
  <c r="M63" i="8" s="1"/>
  <c r="M72" i="8" s="1"/>
  <c r="N159" i="85"/>
  <c r="L63" i="8" s="1"/>
  <c r="L72" i="8" s="1"/>
  <c r="M159" i="85"/>
  <c r="K63" i="8" s="1"/>
  <c r="K72" i="8" s="1"/>
  <c r="L159" i="85"/>
  <c r="J63" i="8" s="1"/>
  <c r="J72" i="8" s="1"/>
  <c r="K159" i="85"/>
  <c r="I63" i="8" s="1"/>
  <c r="I72" i="8" s="1"/>
  <c r="J159" i="85"/>
  <c r="H63" i="8" s="1"/>
  <c r="H72" i="8" s="1"/>
  <c r="I159" i="85"/>
  <c r="G63" i="8" s="1"/>
  <c r="G72" i="8" s="1"/>
  <c r="H159" i="85"/>
  <c r="F63" i="8" s="1"/>
  <c r="F72" i="8" s="1"/>
  <c r="G159" i="85"/>
  <c r="E63" i="8" s="1"/>
  <c r="E72" i="8" s="1"/>
  <c r="F159" i="85"/>
  <c r="D63" i="8" s="1"/>
  <c r="D72" i="8" s="1"/>
  <c r="Q158" i="85"/>
  <c r="O62" i="8" s="1"/>
  <c r="O71" i="8" s="1"/>
  <c r="P158" i="85"/>
  <c r="N62" i="8" s="1"/>
  <c r="N71" i="8" s="1"/>
  <c r="O158" i="85"/>
  <c r="M62" i="8" s="1"/>
  <c r="M71" i="8" s="1"/>
  <c r="N158" i="85"/>
  <c r="L62" i="8" s="1"/>
  <c r="L71" i="8" s="1"/>
  <c r="M158" i="85"/>
  <c r="K62" i="8" s="1"/>
  <c r="K71" i="8" s="1"/>
  <c r="L158" i="85"/>
  <c r="J62" i="8" s="1"/>
  <c r="J71" i="8" s="1"/>
  <c r="K158" i="85"/>
  <c r="I62" i="8" s="1"/>
  <c r="I71" i="8" s="1"/>
  <c r="J158" i="85"/>
  <c r="H62" i="8" s="1"/>
  <c r="H71" i="8" s="1"/>
  <c r="I158" i="85"/>
  <c r="G62" i="8" s="1"/>
  <c r="G71" i="8" s="1"/>
  <c r="H158" i="85"/>
  <c r="F62" i="8" s="1"/>
  <c r="F71" i="8" s="1"/>
  <c r="G158" i="85"/>
  <c r="E62" i="8" s="1"/>
  <c r="E71" i="8" s="1"/>
  <c r="F158" i="85"/>
  <c r="D62" i="8" s="1"/>
  <c r="D71" i="8" s="1"/>
  <c r="Q157" i="85"/>
  <c r="O61" i="8" s="1"/>
  <c r="O70" i="8" s="1"/>
  <c r="P157" i="85"/>
  <c r="N61" i="8" s="1"/>
  <c r="N70" i="8" s="1"/>
  <c r="O157" i="85"/>
  <c r="M61" i="8" s="1"/>
  <c r="M70" i="8" s="1"/>
  <c r="N157" i="85"/>
  <c r="L61" i="8" s="1"/>
  <c r="L70" i="8" s="1"/>
  <c r="M157" i="85"/>
  <c r="K61" i="8" s="1"/>
  <c r="K70" i="8" s="1"/>
  <c r="L157" i="85"/>
  <c r="J61" i="8" s="1"/>
  <c r="J70" i="8" s="1"/>
  <c r="K157" i="85"/>
  <c r="I61" i="8" s="1"/>
  <c r="I70" i="8" s="1"/>
  <c r="J157" i="85"/>
  <c r="H61" i="8" s="1"/>
  <c r="H70" i="8" s="1"/>
  <c r="I157" i="85"/>
  <c r="G61" i="8" s="1"/>
  <c r="G70" i="8" s="1"/>
  <c r="H157" i="85"/>
  <c r="F61" i="8" s="1"/>
  <c r="F70" i="8" s="1"/>
  <c r="G157" i="85"/>
  <c r="E61" i="8" s="1"/>
  <c r="E70" i="8" s="1"/>
  <c r="F157" i="85"/>
  <c r="D61" i="8" s="1"/>
  <c r="D70" i="8" s="1"/>
  <c r="Q153" i="85"/>
  <c r="P84" i="74" s="1"/>
  <c r="P94" i="74" s="1"/>
  <c r="P153" i="85"/>
  <c r="O84" i="74" s="1"/>
  <c r="O94" i="74" s="1"/>
  <c r="O153" i="85"/>
  <c r="N84" i="74" s="1"/>
  <c r="N94" i="74" s="1"/>
  <c r="N153" i="85"/>
  <c r="M84" i="74" s="1"/>
  <c r="M94" i="74" s="1"/>
  <c r="M153" i="85"/>
  <c r="L84" i="74" s="1"/>
  <c r="L94" i="74" s="1"/>
  <c r="L153" i="85"/>
  <c r="K84" i="74" s="1"/>
  <c r="K94" i="74" s="1"/>
  <c r="K153" i="85"/>
  <c r="J84" i="74" s="1"/>
  <c r="J94" i="74" s="1"/>
  <c r="J153" i="85"/>
  <c r="I84" i="74" s="1"/>
  <c r="I94" i="74" s="1"/>
  <c r="I153" i="85"/>
  <c r="H84" i="74" s="1"/>
  <c r="H94" i="74" s="1"/>
  <c r="H153" i="85"/>
  <c r="G84" i="74" s="1"/>
  <c r="G94" i="74" s="1"/>
  <c r="G153" i="85"/>
  <c r="F84" i="74" s="1"/>
  <c r="F94" i="74" s="1"/>
  <c r="F153" i="85"/>
  <c r="E84" i="74" s="1"/>
  <c r="Q151" i="85"/>
  <c r="P83" i="74" s="1"/>
  <c r="P93" i="74" s="1"/>
  <c r="P151" i="85"/>
  <c r="O83" i="74" s="1"/>
  <c r="O93" i="74" s="1"/>
  <c r="O151" i="85"/>
  <c r="N83" i="74" s="1"/>
  <c r="N93" i="74" s="1"/>
  <c r="N151" i="85"/>
  <c r="M83" i="74" s="1"/>
  <c r="M93" i="74" s="1"/>
  <c r="M151" i="85"/>
  <c r="L83" i="74" s="1"/>
  <c r="L93" i="74" s="1"/>
  <c r="L151" i="85"/>
  <c r="K83" i="74" s="1"/>
  <c r="K93" i="74" s="1"/>
  <c r="K151" i="85"/>
  <c r="J83" i="74" s="1"/>
  <c r="J93" i="74" s="1"/>
  <c r="J151" i="85"/>
  <c r="I83" i="74" s="1"/>
  <c r="I93" i="74" s="1"/>
  <c r="I151" i="85"/>
  <c r="H83" i="74" s="1"/>
  <c r="H93" i="74" s="1"/>
  <c r="H151" i="85"/>
  <c r="G83" i="74" s="1"/>
  <c r="G93" i="74" s="1"/>
  <c r="G151" i="85"/>
  <c r="F83" i="74" s="1"/>
  <c r="F93" i="74" s="1"/>
  <c r="F151" i="85"/>
  <c r="E83" i="74" s="1"/>
  <c r="E93" i="74" s="1"/>
  <c r="Q149" i="85"/>
  <c r="P82" i="74" s="1"/>
  <c r="P92" i="74" s="1"/>
  <c r="P149" i="85"/>
  <c r="O82" i="74" s="1"/>
  <c r="O92" i="74" s="1"/>
  <c r="O149" i="85"/>
  <c r="N82" i="74" s="1"/>
  <c r="N92" i="74" s="1"/>
  <c r="N149" i="85"/>
  <c r="M82" i="74" s="1"/>
  <c r="M92" i="74" s="1"/>
  <c r="M149" i="85"/>
  <c r="L82" i="74" s="1"/>
  <c r="L92" i="74" s="1"/>
  <c r="L149" i="85"/>
  <c r="K82" i="74" s="1"/>
  <c r="K92" i="74" s="1"/>
  <c r="K149" i="85"/>
  <c r="J82" i="74" s="1"/>
  <c r="J92" i="74" s="1"/>
  <c r="J149" i="85"/>
  <c r="I82" i="74" s="1"/>
  <c r="I92" i="74" s="1"/>
  <c r="I149" i="85"/>
  <c r="H82" i="74" s="1"/>
  <c r="H92" i="74" s="1"/>
  <c r="H149" i="85"/>
  <c r="G82" i="74" s="1"/>
  <c r="G92" i="74" s="1"/>
  <c r="G149" i="85"/>
  <c r="F82" i="74" s="1"/>
  <c r="F92" i="74" s="1"/>
  <c r="F149" i="85"/>
  <c r="E82" i="74" s="1"/>
  <c r="Q147" i="85"/>
  <c r="P81" i="74" s="1"/>
  <c r="P91" i="74" s="1"/>
  <c r="P147" i="85"/>
  <c r="O81" i="74" s="1"/>
  <c r="O91" i="74" s="1"/>
  <c r="O147" i="85"/>
  <c r="N81" i="74" s="1"/>
  <c r="N91" i="74" s="1"/>
  <c r="N147" i="85"/>
  <c r="M81" i="74" s="1"/>
  <c r="M91" i="74" s="1"/>
  <c r="M147" i="85"/>
  <c r="L81" i="74" s="1"/>
  <c r="L91" i="74" s="1"/>
  <c r="L147" i="85"/>
  <c r="K81" i="74" s="1"/>
  <c r="K91" i="74" s="1"/>
  <c r="K147" i="85"/>
  <c r="J81" i="74" s="1"/>
  <c r="J91" i="74" s="1"/>
  <c r="J147" i="85"/>
  <c r="I81" i="74" s="1"/>
  <c r="I91" i="74" s="1"/>
  <c r="I147" i="85"/>
  <c r="H81" i="74" s="1"/>
  <c r="H91" i="74" s="1"/>
  <c r="H147" i="85"/>
  <c r="G81" i="74" s="1"/>
  <c r="G91" i="74" s="1"/>
  <c r="G147" i="85"/>
  <c r="F81" i="74" s="1"/>
  <c r="F91" i="74" s="1"/>
  <c r="F147" i="85"/>
  <c r="E81" i="74" s="1"/>
  <c r="E91" i="74" s="1"/>
  <c r="Q146" i="85"/>
  <c r="P80" i="74" s="1"/>
  <c r="P146" i="85"/>
  <c r="O80" i="74" s="1"/>
  <c r="O146" i="85"/>
  <c r="N80" i="74" s="1"/>
  <c r="N146" i="85"/>
  <c r="M80" i="74" s="1"/>
  <c r="M146" i="85"/>
  <c r="L80" i="74" s="1"/>
  <c r="L146" i="85"/>
  <c r="K80" i="74" s="1"/>
  <c r="K146" i="85"/>
  <c r="J80" i="74" s="1"/>
  <c r="J146" i="85"/>
  <c r="I80" i="74" s="1"/>
  <c r="I146" i="85"/>
  <c r="H80" i="74" s="1"/>
  <c r="H146" i="85"/>
  <c r="G80" i="74" s="1"/>
  <c r="G146" i="85"/>
  <c r="F80" i="74" s="1"/>
  <c r="F146" i="85"/>
  <c r="E80" i="74" s="1"/>
  <c r="R137" i="85"/>
  <c r="R136" i="85"/>
  <c r="Q133" i="85"/>
  <c r="P133" i="85"/>
  <c r="O133" i="85"/>
  <c r="N133" i="85"/>
  <c r="M133" i="85"/>
  <c r="L133" i="85"/>
  <c r="K133" i="85"/>
  <c r="J133" i="85"/>
  <c r="I133" i="85"/>
  <c r="H133" i="85"/>
  <c r="G133" i="85"/>
  <c r="F133" i="85"/>
  <c r="R131" i="85"/>
  <c r="C248" i="85" s="1"/>
  <c r="D131" i="85"/>
  <c r="R128" i="85"/>
  <c r="G126" i="85"/>
  <c r="F126" i="85"/>
  <c r="G125" i="85"/>
  <c r="F125" i="85"/>
  <c r="R120" i="85"/>
  <c r="F118" i="85"/>
  <c r="R109" i="85"/>
  <c r="Q106" i="85"/>
  <c r="P106" i="85"/>
  <c r="O106" i="85"/>
  <c r="N106" i="85"/>
  <c r="M106" i="85"/>
  <c r="L106" i="85"/>
  <c r="K106" i="85"/>
  <c r="J106" i="85"/>
  <c r="I106" i="85"/>
  <c r="H106" i="85"/>
  <c r="G106" i="85"/>
  <c r="F106" i="85"/>
  <c r="Q105" i="85"/>
  <c r="P105" i="85"/>
  <c r="O105" i="85"/>
  <c r="O152" i="85" s="1"/>
  <c r="N105" i="85"/>
  <c r="M105" i="85"/>
  <c r="L105" i="85"/>
  <c r="L152" i="85" s="1"/>
  <c r="K105" i="85"/>
  <c r="K152" i="85" s="1"/>
  <c r="J105" i="85"/>
  <c r="I105" i="85"/>
  <c r="H105" i="85"/>
  <c r="G105" i="85"/>
  <c r="G152" i="85" s="1"/>
  <c r="F105" i="85"/>
  <c r="R103" i="85"/>
  <c r="R102" i="85"/>
  <c r="C247" i="85" s="1"/>
  <c r="D102" i="85"/>
  <c r="R99" i="85"/>
  <c r="J97" i="85"/>
  <c r="I97" i="85"/>
  <c r="H97" i="85"/>
  <c r="G97" i="85"/>
  <c r="F97" i="85"/>
  <c r="R92" i="85"/>
  <c r="F90" i="85"/>
  <c r="F89" i="85"/>
  <c r="H188" i="85" s="1"/>
  <c r="R80" i="85"/>
  <c r="Q77" i="85"/>
  <c r="P77" i="85"/>
  <c r="O77" i="85"/>
  <c r="N77" i="85"/>
  <c r="M77" i="85"/>
  <c r="L77" i="85"/>
  <c r="K77" i="85"/>
  <c r="J77" i="85"/>
  <c r="I77" i="85"/>
  <c r="H77" i="85"/>
  <c r="G77" i="85"/>
  <c r="F77" i="85"/>
  <c r="Q76" i="85"/>
  <c r="Q150" i="85" s="1"/>
  <c r="P76" i="85"/>
  <c r="P150" i="85" s="1"/>
  <c r="O76" i="85"/>
  <c r="O150" i="85" s="1"/>
  <c r="N76" i="85"/>
  <c r="N150" i="85" s="1"/>
  <c r="M76" i="85"/>
  <c r="M150" i="85" s="1"/>
  <c r="L76" i="85"/>
  <c r="L150" i="85" s="1"/>
  <c r="K76" i="85"/>
  <c r="K150" i="85" s="1"/>
  <c r="J76" i="85"/>
  <c r="J150" i="85" s="1"/>
  <c r="I76" i="85"/>
  <c r="I150" i="85" s="1"/>
  <c r="H76" i="85"/>
  <c r="H150" i="85" s="1"/>
  <c r="G76" i="85"/>
  <c r="G150" i="85" s="1"/>
  <c r="F76" i="85"/>
  <c r="F150" i="85" s="1"/>
  <c r="R74" i="85"/>
  <c r="R73" i="85"/>
  <c r="C246" i="85" s="1"/>
  <c r="D73" i="85"/>
  <c r="R70" i="85"/>
  <c r="Q68" i="85"/>
  <c r="P68" i="85"/>
  <c r="O68" i="85"/>
  <c r="N68" i="85"/>
  <c r="M68" i="85"/>
  <c r="L68" i="85"/>
  <c r="K68" i="85"/>
  <c r="J68" i="85"/>
  <c r="I68" i="85"/>
  <c r="H68" i="85"/>
  <c r="G68" i="85"/>
  <c r="F68" i="85"/>
  <c r="R65" i="85"/>
  <c r="F63" i="85"/>
  <c r="F62" i="85"/>
  <c r="H187" i="85" s="1"/>
  <c r="R53" i="85"/>
  <c r="Q50" i="85"/>
  <c r="P50" i="85"/>
  <c r="O50" i="85"/>
  <c r="N50" i="85"/>
  <c r="M50" i="85"/>
  <c r="L50" i="85"/>
  <c r="K50" i="85"/>
  <c r="J50" i="85"/>
  <c r="I50" i="85"/>
  <c r="H50" i="85"/>
  <c r="G50" i="85"/>
  <c r="F50" i="85"/>
  <c r="Q49" i="85"/>
  <c r="Q148" i="85" s="1"/>
  <c r="P49" i="85"/>
  <c r="P148" i="85" s="1"/>
  <c r="O49" i="85"/>
  <c r="O148" i="85" s="1"/>
  <c r="N49" i="85"/>
  <c r="N148" i="85" s="1"/>
  <c r="M49" i="85"/>
  <c r="M148" i="85" s="1"/>
  <c r="L49" i="85"/>
  <c r="L148" i="85" s="1"/>
  <c r="K49" i="85"/>
  <c r="K148" i="85" s="1"/>
  <c r="J49" i="85"/>
  <c r="J148" i="85" s="1"/>
  <c r="I49" i="85"/>
  <c r="I148" i="85" s="1"/>
  <c r="H49" i="85"/>
  <c r="H148" i="85" s="1"/>
  <c r="G49" i="85"/>
  <c r="G148" i="85" s="1"/>
  <c r="F49" i="85"/>
  <c r="F148" i="85" s="1"/>
  <c r="R47" i="85"/>
  <c r="R46" i="85"/>
  <c r="C245" i="85" s="1"/>
  <c r="D46" i="85"/>
  <c r="R43" i="85"/>
  <c r="Q41" i="85"/>
  <c r="P41" i="85"/>
  <c r="O41" i="85"/>
  <c r="N41" i="85"/>
  <c r="M41" i="85"/>
  <c r="L41" i="85"/>
  <c r="K41" i="85"/>
  <c r="J41" i="85"/>
  <c r="I41" i="85"/>
  <c r="H41" i="85"/>
  <c r="G41" i="85"/>
  <c r="F41" i="85"/>
  <c r="R38" i="85"/>
  <c r="F36" i="85"/>
  <c r="F35" i="85"/>
  <c r="H186" i="85" s="1"/>
  <c r="R27" i="85"/>
  <c r="Q24" i="85"/>
  <c r="P24" i="85"/>
  <c r="O24" i="85"/>
  <c r="N24" i="85"/>
  <c r="M24" i="85"/>
  <c r="L24" i="85"/>
  <c r="K24" i="85"/>
  <c r="J24" i="85"/>
  <c r="I24" i="85"/>
  <c r="H24" i="85"/>
  <c r="G24" i="85"/>
  <c r="F24" i="85"/>
  <c r="R23" i="85"/>
  <c r="C244" i="85" s="1"/>
  <c r="D23" i="85"/>
  <c r="R20" i="85"/>
  <c r="R15" i="85"/>
  <c r="Q13" i="85"/>
  <c r="P13" i="85"/>
  <c r="O13" i="85"/>
  <c r="N13" i="85"/>
  <c r="M13" i="85"/>
  <c r="L13" i="85"/>
  <c r="K13" i="85"/>
  <c r="J13" i="85"/>
  <c r="I13" i="85"/>
  <c r="H13" i="85"/>
  <c r="G13" i="85"/>
  <c r="F13" i="85"/>
  <c r="F10" i="85"/>
  <c r="F9" i="85"/>
  <c r="B633" i="73"/>
  <c r="B632" i="73"/>
  <c r="B631" i="73"/>
  <c r="B630" i="73"/>
  <c r="B628" i="73"/>
  <c r="B627" i="73"/>
  <c r="B626" i="73"/>
  <c r="B625" i="73"/>
  <c r="B624" i="73"/>
  <c r="B623" i="73"/>
  <c r="B622" i="73"/>
  <c r="B621" i="73"/>
  <c r="D595" i="73"/>
  <c r="D597" i="73" s="1"/>
  <c r="D594" i="73"/>
  <c r="D596" i="73" s="1"/>
  <c r="D593" i="73"/>
  <c r="B575" i="73"/>
  <c r="B569" i="73"/>
  <c r="B581" i="73" s="1"/>
  <c r="B568" i="73"/>
  <c r="B580" i="73" s="1"/>
  <c r="B567" i="73"/>
  <c r="B579" i="73" s="1"/>
  <c r="B566" i="73"/>
  <c r="B578" i="73" s="1"/>
  <c r="B565" i="73"/>
  <c r="B577" i="73" s="1"/>
  <c r="Q564" i="73"/>
  <c r="P564" i="73"/>
  <c r="O564" i="73"/>
  <c r="N564" i="73"/>
  <c r="M564" i="73"/>
  <c r="L564" i="73"/>
  <c r="K564" i="73"/>
  <c r="J564" i="73"/>
  <c r="I564" i="73"/>
  <c r="B564" i="73"/>
  <c r="B576" i="73" s="1"/>
  <c r="B553" i="73"/>
  <c r="B570" i="73" s="1"/>
  <c r="B582" i="73" s="1"/>
  <c r="Q511" i="73"/>
  <c r="P511" i="73"/>
  <c r="O511" i="73"/>
  <c r="N511" i="73"/>
  <c r="M511" i="73"/>
  <c r="L511" i="73"/>
  <c r="K511" i="73"/>
  <c r="J511" i="73"/>
  <c r="I511" i="73"/>
  <c r="H511" i="73"/>
  <c r="G511" i="73"/>
  <c r="F511" i="73"/>
  <c r="R487" i="73"/>
  <c r="F483" i="73"/>
  <c r="E483" i="73"/>
  <c r="D483" i="73"/>
  <c r="C483" i="73"/>
  <c r="B483" i="73"/>
  <c r="E482" i="73"/>
  <c r="D482" i="73"/>
  <c r="E481" i="73"/>
  <c r="D481" i="73"/>
  <c r="B481" i="73"/>
  <c r="E480" i="73"/>
  <c r="D480" i="73"/>
  <c r="B480" i="73"/>
  <c r="E479" i="73"/>
  <c r="D479" i="73"/>
  <c r="C479" i="73"/>
  <c r="B479" i="73"/>
  <c r="E478" i="73"/>
  <c r="D478" i="73"/>
  <c r="C478" i="73"/>
  <c r="B478" i="73"/>
  <c r="E477" i="73"/>
  <c r="D477" i="73"/>
  <c r="C477" i="73"/>
  <c r="B477" i="73"/>
  <c r="O476" i="73"/>
  <c r="E476" i="73"/>
  <c r="D476" i="73"/>
  <c r="C476" i="73"/>
  <c r="B476" i="73"/>
  <c r="O475" i="73"/>
  <c r="E475" i="73"/>
  <c r="D475" i="73"/>
  <c r="C475" i="73"/>
  <c r="B475" i="73"/>
  <c r="O474" i="73"/>
  <c r="E474" i="73"/>
  <c r="D474" i="73"/>
  <c r="C474" i="73"/>
  <c r="B474" i="73"/>
  <c r="E473" i="73"/>
  <c r="D473" i="73"/>
  <c r="C473" i="73"/>
  <c r="B473" i="73"/>
  <c r="E472" i="73"/>
  <c r="D472" i="73"/>
  <c r="C472" i="73"/>
  <c r="B472" i="73"/>
  <c r="Q457" i="73"/>
  <c r="P457" i="73"/>
  <c r="O457" i="73"/>
  <c r="N457" i="73"/>
  <c r="M457" i="73"/>
  <c r="L457" i="73"/>
  <c r="Q456" i="73"/>
  <c r="P456" i="73"/>
  <c r="O456" i="73"/>
  <c r="N456" i="73"/>
  <c r="M456" i="73"/>
  <c r="L456" i="73"/>
  <c r="K456" i="73"/>
  <c r="J456" i="73"/>
  <c r="I456" i="73"/>
  <c r="F440" i="73"/>
  <c r="C721" i="74" s="1"/>
  <c r="F439" i="73"/>
  <c r="C720" i="74" s="1"/>
  <c r="F438" i="73"/>
  <c r="C719" i="74" s="1"/>
  <c r="F437" i="73"/>
  <c r="C718" i="74" s="1"/>
  <c r="F436" i="73"/>
  <c r="C717" i="74" s="1"/>
  <c r="F433" i="73"/>
  <c r="C715" i="74" s="1"/>
  <c r="F431" i="73"/>
  <c r="C713" i="74" s="1"/>
  <c r="F430" i="73"/>
  <c r="C712" i="74" s="1"/>
  <c r="F429" i="73"/>
  <c r="C711" i="74" s="1"/>
  <c r="F428" i="73"/>
  <c r="C710" i="74" s="1"/>
  <c r="F427" i="73"/>
  <c r="C709" i="74" s="1"/>
  <c r="F426" i="73"/>
  <c r="C708" i="74" s="1"/>
  <c r="F425" i="73"/>
  <c r="C707" i="74" s="1"/>
  <c r="F424" i="73"/>
  <c r="C706" i="74" s="1"/>
  <c r="F423" i="73"/>
  <c r="C705" i="74" s="1"/>
  <c r="F422" i="73"/>
  <c r="C704" i="74" s="1"/>
  <c r="B418" i="73"/>
  <c r="Q417" i="73"/>
  <c r="P417" i="73"/>
  <c r="O417" i="73"/>
  <c r="N417" i="73"/>
  <c r="M417" i="73"/>
  <c r="L417" i="73"/>
  <c r="K417" i="73"/>
  <c r="J417" i="73"/>
  <c r="I417" i="73"/>
  <c r="H417" i="73"/>
  <c r="G417" i="73"/>
  <c r="F417" i="73"/>
  <c r="Q416" i="73"/>
  <c r="P416" i="73"/>
  <c r="O416" i="73"/>
  <c r="N416" i="73"/>
  <c r="M416" i="73"/>
  <c r="L416" i="73"/>
  <c r="K416" i="73"/>
  <c r="J416" i="73"/>
  <c r="I416" i="73"/>
  <c r="H416" i="73"/>
  <c r="G416" i="73"/>
  <c r="F416" i="73"/>
  <c r="Q415" i="73"/>
  <c r="P415" i="73"/>
  <c r="O415" i="73"/>
  <c r="N415" i="73"/>
  <c r="M415" i="73"/>
  <c r="L415" i="73"/>
  <c r="K415" i="73"/>
  <c r="J415" i="73"/>
  <c r="I415" i="73"/>
  <c r="H415" i="73"/>
  <c r="G415" i="73"/>
  <c r="F415" i="73"/>
  <c r="Q414" i="73"/>
  <c r="P414" i="73"/>
  <c r="O414" i="73"/>
  <c r="N414" i="73"/>
  <c r="M414" i="73"/>
  <c r="L414" i="73"/>
  <c r="K414" i="73"/>
  <c r="J414" i="73"/>
  <c r="I414" i="73"/>
  <c r="H414" i="73"/>
  <c r="G414" i="73"/>
  <c r="F414" i="73"/>
  <c r="Q413" i="73"/>
  <c r="P413" i="73"/>
  <c r="O413" i="73"/>
  <c r="N413" i="73"/>
  <c r="M413" i="73"/>
  <c r="L413" i="73"/>
  <c r="K413" i="73"/>
  <c r="J413" i="73"/>
  <c r="I413" i="73"/>
  <c r="H413" i="73"/>
  <c r="G413" i="73"/>
  <c r="F413" i="73"/>
  <c r="Q412" i="73"/>
  <c r="P412" i="73"/>
  <c r="O412" i="73"/>
  <c r="N412" i="73"/>
  <c r="M412" i="73"/>
  <c r="L412" i="73"/>
  <c r="K412" i="73"/>
  <c r="J412" i="73"/>
  <c r="I412" i="73"/>
  <c r="H412" i="73"/>
  <c r="G412" i="73"/>
  <c r="F412" i="73"/>
  <c r="Q411" i="73"/>
  <c r="P411" i="73"/>
  <c r="O411" i="73"/>
  <c r="N411" i="73"/>
  <c r="M411" i="73"/>
  <c r="L411" i="73"/>
  <c r="K411" i="73"/>
  <c r="J411" i="73"/>
  <c r="I411" i="73"/>
  <c r="H411" i="73"/>
  <c r="G411" i="73"/>
  <c r="F411" i="73"/>
  <c r="Q410" i="73"/>
  <c r="P410" i="73"/>
  <c r="O410" i="73"/>
  <c r="N410" i="73"/>
  <c r="M410" i="73"/>
  <c r="L410" i="73"/>
  <c r="K410" i="73"/>
  <c r="J410" i="73"/>
  <c r="I410" i="73"/>
  <c r="H410" i="73"/>
  <c r="G410" i="73"/>
  <c r="F410" i="73"/>
  <c r="Q409" i="73"/>
  <c r="P409" i="73"/>
  <c r="O409" i="73"/>
  <c r="N409" i="73"/>
  <c r="M409" i="73"/>
  <c r="L409" i="73"/>
  <c r="K409" i="73"/>
  <c r="J409" i="73"/>
  <c r="I409" i="73"/>
  <c r="H409" i="73"/>
  <c r="G409" i="73"/>
  <c r="F409" i="73"/>
  <c r="Q408" i="73"/>
  <c r="Q418" i="73" s="1"/>
  <c r="P408" i="73"/>
  <c r="O408" i="73"/>
  <c r="O418" i="73" s="1"/>
  <c r="N408" i="73"/>
  <c r="N418" i="73" s="1"/>
  <c r="M408" i="73"/>
  <c r="L408" i="73"/>
  <c r="K408" i="73"/>
  <c r="K418" i="73" s="1"/>
  <c r="J408" i="73"/>
  <c r="J418" i="73" s="1"/>
  <c r="I408" i="73"/>
  <c r="H408" i="73"/>
  <c r="H418" i="73" s="1"/>
  <c r="G408" i="73"/>
  <c r="G418" i="73" s="1"/>
  <c r="F408" i="73"/>
  <c r="Q405" i="73"/>
  <c r="P405" i="73"/>
  <c r="O405" i="73"/>
  <c r="N405" i="73"/>
  <c r="M405" i="73"/>
  <c r="L405" i="73"/>
  <c r="K405" i="73"/>
  <c r="J405" i="73"/>
  <c r="I405" i="73"/>
  <c r="H405" i="73"/>
  <c r="G405" i="73"/>
  <c r="F405" i="73"/>
  <c r="C405" i="73"/>
  <c r="C417" i="73" s="1"/>
  <c r="C404" i="73"/>
  <c r="C403" i="73"/>
  <c r="Q402" i="73"/>
  <c r="P402" i="73"/>
  <c r="O402" i="73"/>
  <c r="N402" i="73"/>
  <c r="M402" i="73"/>
  <c r="L402" i="73"/>
  <c r="K402" i="73"/>
  <c r="J402" i="73"/>
  <c r="I402" i="73"/>
  <c r="H402" i="73"/>
  <c r="G402" i="73"/>
  <c r="F402" i="73"/>
  <c r="C402" i="73"/>
  <c r="C416" i="73" s="1"/>
  <c r="Q401" i="73"/>
  <c r="P401" i="73"/>
  <c r="O401" i="73"/>
  <c r="N401" i="73"/>
  <c r="M401" i="73"/>
  <c r="L401" i="73"/>
  <c r="K401" i="73"/>
  <c r="J401" i="73"/>
  <c r="I401" i="73"/>
  <c r="H401" i="73"/>
  <c r="G401" i="73"/>
  <c r="F401" i="73"/>
  <c r="C401" i="73"/>
  <c r="C415" i="73" s="1"/>
  <c r="Q400" i="73"/>
  <c r="P400" i="73"/>
  <c r="O400" i="73"/>
  <c r="N400" i="73"/>
  <c r="M400" i="73"/>
  <c r="L400" i="73"/>
  <c r="K400" i="73"/>
  <c r="J400" i="73"/>
  <c r="I400" i="73"/>
  <c r="H400" i="73"/>
  <c r="G400" i="73"/>
  <c r="F400" i="73"/>
  <c r="C400" i="73"/>
  <c r="C414" i="73" s="1"/>
  <c r="Q399" i="73"/>
  <c r="P399" i="73"/>
  <c r="O399" i="73"/>
  <c r="N399" i="73"/>
  <c r="M399" i="73"/>
  <c r="L399" i="73"/>
  <c r="K399" i="73"/>
  <c r="J399" i="73"/>
  <c r="I399" i="73"/>
  <c r="H399" i="73"/>
  <c r="G399" i="73"/>
  <c r="F399" i="73"/>
  <c r="C399" i="73"/>
  <c r="C413" i="73" s="1"/>
  <c r="Q398" i="73"/>
  <c r="P398" i="73"/>
  <c r="O398" i="73"/>
  <c r="N398" i="73"/>
  <c r="M398" i="73"/>
  <c r="L398" i="73"/>
  <c r="K398" i="73"/>
  <c r="J398" i="73"/>
  <c r="I398" i="73"/>
  <c r="H398" i="73"/>
  <c r="G398" i="73"/>
  <c r="F398" i="73"/>
  <c r="C398" i="73"/>
  <c r="C412" i="73" s="1"/>
  <c r="Q397" i="73"/>
  <c r="P397" i="73"/>
  <c r="O397" i="73"/>
  <c r="N397" i="73"/>
  <c r="M397" i="73"/>
  <c r="L397" i="73"/>
  <c r="K397" i="73"/>
  <c r="J397" i="73"/>
  <c r="I397" i="73"/>
  <c r="H397" i="73"/>
  <c r="G397" i="73"/>
  <c r="F397" i="73"/>
  <c r="C397" i="73"/>
  <c r="C411" i="73" s="1"/>
  <c r="Q396" i="73"/>
  <c r="P396" i="73"/>
  <c r="O396" i="73"/>
  <c r="N396" i="73"/>
  <c r="M396" i="73"/>
  <c r="L396" i="73"/>
  <c r="K396" i="73"/>
  <c r="J396" i="73"/>
  <c r="I396" i="73"/>
  <c r="H396" i="73"/>
  <c r="G396" i="73"/>
  <c r="F396" i="73"/>
  <c r="C396" i="73"/>
  <c r="C410" i="73" s="1"/>
  <c r="Q395" i="73"/>
  <c r="P395" i="73"/>
  <c r="O395" i="73"/>
  <c r="N395" i="73"/>
  <c r="M395" i="73"/>
  <c r="L395" i="73"/>
  <c r="K395" i="73"/>
  <c r="J395" i="73"/>
  <c r="I395" i="73"/>
  <c r="H395" i="73"/>
  <c r="G395" i="73"/>
  <c r="F395" i="73"/>
  <c r="C395" i="73"/>
  <c r="C409" i="73" s="1"/>
  <c r="Q394" i="73"/>
  <c r="P394" i="73"/>
  <c r="O394" i="73"/>
  <c r="N394" i="73"/>
  <c r="M394" i="73"/>
  <c r="L394" i="73"/>
  <c r="K394" i="73"/>
  <c r="J394" i="73"/>
  <c r="I394" i="73"/>
  <c r="H394" i="73"/>
  <c r="G394" i="73"/>
  <c r="F394" i="73"/>
  <c r="C394" i="73"/>
  <c r="C408" i="73" s="1"/>
  <c r="Q389" i="73"/>
  <c r="O20" i="8" s="1"/>
  <c r="P389" i="73"/>
  <c r="N20" i="8" s="1"/>
  <c r="O44" i="8" s="1"/>
  <c r="O389" i="73"/>
  <c r="M20" i="8" s="1"/>
  <c r="N44" i="8" s="1"/>
  <c r="N389" i="73"/>
  <c r="L20" i="8" s="1"/>
  <c r="M44" i="8" s="1"/>
  <c r="M389" i="73"/>
  <c r="K20" i="8" s="1"/>
  <c r="L44" i="8" s="1"/>
  <c r="L389" i="73"/>
  <c r="J20" i="8" s="1"/>
  <c r="K44" i="8" s="1"/>
  <c r="K389" i="73"/>
  <c r="I20" i="8" s="1"/>
  <c r="J44" i="8" s="1"/>
  <c r="J389" i="73"/>
  <c r="H20" i="8" s="1"/>
  <c r="I44" i="8" s="1"/>
  <c r="I389" i="73"/>
  <c r="G20" i="8" s="1"/>
  <c r="H44" i="8" s="1"/>
  <c r="H389" i="73"/>
  <c r="F20" i="8" s="1"/>
  <c r="G44" i="8" s="1"/>
  <c r="G389" i="73"/>
  <c r="E20" i="8" s="1"/>
  <c r="F44" i="8" s="1"/>
  <c r="F389" i="73"/>
  <c r="D20" i="8" s="1"/>
  <c r="E44" i="8" s="1"/>
  <c r="Q388" i="73"/>
  <c r="O19" i="8" s="1"/>
  <c r="P388" i="73"/>
  <c r="N19" i="8" s="1"/>
  <c r="O43" i="8" s="1"/>
  <c r="O388" i="73"/>
  <c r="M19" i="8" s="1"/>
  <c r="N43" i="8" s="1"/>
  <c r="N388" i="73"/>
  <c r="L19" i="8" s="1"/>
  <c r="M43" i="8" s="1"/>
  <c r="M388" i="73"/>
  <c r="K19" i="8" s="1"/>
  <c r="L43" i="8" s="1"/>
  <c r="L388" i="73"/>
  <c r="J19" i="8" s="1"/>
  <c r="K43" i="8" s="1"/>
  <c r="K388" i="73"/>
  <c r="I19" i="8" s="1"/>
  <c r="J43" i="8" s="1"/>
  <c r="J388" i="73"/>
  <c r="H19" i="8" s="1"/>
  <c r="I43" i="8" s="1"/>
  <c r="I388" i="73"/>
  <c r="G19" i="8" s="1"/>
  <c r="H43" i="8" s="1"/>
  <c r="H388" i="73"/>
  <c r="F19" i="8" s="1"/>
  <c r="G43" i="8" s="1"/>
  <c r="G388" i="73"/>
  <c r="E19" i="8" s="1"/>
  <c r="F43" i="8" s="1"/>
  <c r="F388" i="73"/>
  <c r="D19" i="8" s="1"/>
  <c r="E43" i="8" s="1"/>
  <c r="Q387" i="73"/>
  <c r="O18" i="8" s="1"/>
  <c r="P387" i="73"/>
  <c r="N18" i="8" s="1"/>
  <c r="O42" i="8" s="1"/>
  <c r="O387" i="73"/>
  <c r="M18" i="8" s="1"/>
  <c r="N42" i="8" s="1"/>
  <c r="N387" i="73"/>
  <c r="L18" i="8" s="1"/>
  <c r="M42" i="8" s="1"/>
  <c r="M387" i="73"/>
  <c r="K18" i="8" s="1"/>
  <c r="L42" i="8" s="1"/>
  <c r="L387" i="73"/>
  <c r="J18" i="8" s="1"/>
  <c r="K42" i="8" s="1"/>
  <c r="K387" i="73"/>
  <c r="I18" i="8" s="1"/>
  <c r="J42" i="8" s="1"/>
  <c r="J387" i="73"/>
  <c r="H18" i="8" s="1"/>
  <c r="I42" i="8" s="1"/>
  <c r="I387" i="73"/>
  <c r="G18" i="8" s="1"/>
  <c r="H42" i="8" s="1"/>
  <c r="H387" i="73"/>
  <c r="F18" i="8" s="1"/>
  <c r="G42" i="8" s="1"/>
  <c r="G387" i="73"/>
  <c r="E18" i="8" s="1"/>
  <c r="F42" i="8" s="1"/>
  <c r="F387" i="73"/>
  <c r="D18" i="8" s="1"/>
  <c r="E42" i="8" s="1"/>
  <c r="Q386" i="73"/>
  <c r="O17" i="8" s="1"/>
  <c r="P386" i="73"/>
  <c r="N17" i="8" s="1"/>
  <c r="O41" i="8" s="1"/>
  <c r="O386" i="73"/>
  <c r="M17" i="8" s="1"/>
  <c r="N41" i="8" s="1"/>
  <c r="N386" i="73"/>
  <c r="L17" i="8" s="1"/>
  <c r="M41" i="8" s="1"/>
  <c r="M386" i="73"/>
  <c r="K17" i="8" s="1"/>
  <c r="L41" i="8" s="1"/>
  <c r="L386" i="73"/>
  <c r="J17" i="8" s="1"/>
  <c r="K41" i="8" s="1"/>
  <c r="K386" i="73"/>
  <c r="I17" i="8" s="1"/>
  <c r="J41" i="8" s="1"/>
  <c r="J386" i="73"/>
  <c r="H17" i="8" s="1"/>
  <c r="I41" i="8" s="1"/>
  <c r="I386" i="73"/>
  <c r="G17" i="8" s="1"/>
  <c r="H41" i="8" s="1"/>
  <c r="H386" i="73"/>
  <c r="F17" i="8" s="1"/>
  <c r="G41" i="8" s="1"/>
  <c r="G386" i="73"/>
  <c r="E17" i="8" s="1"/>
  <c r="F41" i="8" s="1"/>
  <c r="F386" i="73"/>
  <c r="D17" i="8" s="1"/>
  <c r="E41" i="8" s="1"/>
  <c r="Q385" i="73"/>
  <c r="O16" i="8" s="1"/>
  <c r="P385" i="73"/>
  <c r="N16" i="8" s="1"/>
  <c r="O40" i="8" s="1"/>
  <c r="O385" i="73"/>
  <c r="M16" i="8" s="1"/>
  <c r="N40" i="8" s="1"/>
  <c r="N385" i="73"/>
  <c r="L16" i="8" s="1"/>
  <c r="M40" i="8" s="1"/>
  <c r="M385" i="73"/>
  <c r="K16" i="8" s="1"/>
  <c r="L40" i="8" s="1"/>
  <c r="L385" i="73"/>
  <c r="J16" i="8" s="1"/>
  <c r="K40" i="8" s="1"/>
  <c r="K385" i="73"/>
  <c r="I16" i="8" s="1"/>
  <c r="J40" i="8" s="1"/>
  <c r="J385" i="73"/>
  <c r="H16" i="8" s="1"/>
  <c r="I40" i="8" s="1"/>
  <c r="I385" i="73"/>
  <c r="G16" i="8" s="1"/>
  <c r="H40" i="8" s="1"/>
  <c r="H385" i="73"/>
  <c r="F16" i="8" s="1"/>
  <c r="G40" i="8" s="1"/>
  <c r="G385" i="73"/>
  <c r="E16" i="8" s="1"/>
  <c r="F40" i="8" s="1"/>
  <c r="F385" i="73"/>
  <c r="D16" i="8" s="1"/>
  <c r="E40" i="8" s="1"/>
  <c r="Q384" i="73"/>
  <c r="O15" i="8" s="1"/>
  <c r="P384" i="73"/>
  <c r="N15" i="8" s="1"/>
  <c r="O39" i="8" s="1"/>
  <c r="O384" i="73"/>
  <c r="M15" i="8" s="1"/>
  <c r="N39" i="8" s="1"/>
  <c r="N384" i="73"/>
  <c r="L15" i="8" s="1"/>
  <c r="M39" i="8" s="1"/>
  <c r="M384" i="73"/>
  <c r="K15" i="8" s="1"/>
  <c r="L39" i="8" s="1"/>
  <c r="L384" i="73"/>
  <c r="J15" i="8" s="1"/>
  <c r="K39" i="8" s="1"/>
  <c r="K384" i="73"/>
  <c r="I15" i="8" s="1"/>
  <c r="J39" i="8" s="1"/>
  <c r="J384" i="73"/>
  <c r="H15" i="8" s="1"/>
  <c r="I39" i="8" s="1"/>
  <c r="I384" i="73"/>
  <c r="G15" i="8" s="1"/>
  <c r="H39" i="8" s="1"/>
  <c r="H384" i="73"/>
  <c r="F15" i="8" s="1"/>
  <c r="G39" i="8" s="1"/>
  <c r="G384" i="73"/>
  <c r="E15" i="8" s="1"/>
  <c r="F39" i="8" s="1"/>
  <c r="F384" i="73"/>
  <c r="D15" i="8" s="1"/>
  <c r="E39" i="8" s="1"/>
  <c r="Q383" i="73"/>
  <c r="O14" i="8" s="1"/>
  <c r="P383" i="73"/>
  <c r="N14" i="8" s="1"/>
  <c r="O38" i="8" s="1"/>
  <c r="O383" i="73"/>
  <c r="M14" i="8" s="1"/>
  <c r="N38" i="8" s="1"/>
  <c r="N383" i="73"/>
  <c r="L14" i="8" s="1"/>
  <c r="M38" i="8" s="1"/>
  <c r="M383" i="73"/>
  <c r="K14" i="8" s="1"/>
  <c r="L38" i="8" s="1"/>
  <c r="L383" i="73"/>
  <c r="J14" i="8" s="1"/>
  <c r="K38" i="8" s="1"/>
  <c r="K383" i="73"/>
  <c r="I14" i="8" s="1"/>
  <c r="J38" i="8" s="1"/>
  <c r="J383" i="73"/>
  <c r="H14" i="8" s="1"/>
  <c r="I38" i="8" s="1"/>
  <c r="I383" i="73"/>
  <c r="G14" i="8" s="1"/>
  <c r="H38" i="8" s="1"/>
  <c r="H383" i="73"/>
  <c r="F14" i="8" s="1"/>
  <c r="G38" i="8" s="1"/>
  <c r="G383" i="73"/>
  <c r="E14" i="8" s="1"/>
  <c r="F38" i="8" s="1"/>
  <c r="F383" i="73"/>
  <c r="D14" i="8" s="1"/>
  <c r="E38" i="8" s="1"/>
  <c r="Q382" i="73"/>
  <c r="O13" i="8" s="1"/>
  <c r="P382" i="73"/>
  <c r="N13" i="8" s="1"/>
  <c r="O37" i="8" s="1"/>
  <c r="O382" i="73"/>
  <c r="M13" i="8" s="1"/>
  <c r="N37" i="8" s="1"/>
  <c r="N382" i="73"/>
  <c r="L13" i="8" s="1"/>
  <c r="M37" i="8" s="1"/>
  <c r="M382" i="73"/>
  <c r="K13" i="8" s="1"/>
  <c r="L37" i="8" s="1"/>
  <c r="L382" i="73"/>
  <c r="J13" i="8" s="1"/>
  <c r="K37" i="8" s="1"/>
  <c r="K382" i="73"/>
  <c r="I13" i="8" s="1"/>
  <c r="J37" i="8" s="1"/>
  <c r="J382" i="73"/>
  <c r="H13" i="8" s="1"/>
  <c r="I37" i="8" s="1"/>
  <c r="I382" i="73"/>
  <c r="G13" i="8" s="1"/>
  <c r="H37" i="8" s="1"/>
  <c r="H382" i="73"/>
  <c r="F13" i="8" s="1"/>
  <c r="G37" i="8" s="1"/>
  <c r="G382" i="73"/>
  <c r="E13" i="8" s="1"/>
  <c r="F37" i="8" s="1"/>
  <c r="F382" i="73"/>
  <c r="D13" i="8" s="1"/>
  <c r="E37" i="8" s="1"/>
  <c r="Q381" i="73"/>
  <c r="O12" i="8" s="1"/>
  <c r="O25" i="8" s="1"/>
  <c r="P381" i="73"/>
  <c r="N12" i="8" s="1"/>
  <c r="N25" i="8" s="1"/>
  <c r="O381" i="73"/>
  <c r="M12" i="8" s="1"/>
  <c r="M25" i="8" s="1"/>
  <c r="N381" i="73"/>
  <c r="L12" i="8" s="1"/>
  <c r="L25" i="8" s="1"/>
  <c r="M381" i="73"/>
  <c r="K12" i="8" s="1"/>
  <c r="K25" i="8" s="1"/>
  <c r="L381" i="73"/>
  <c r="J12" i="8" s="1"/>
  <c r="J25" i="8" s="1"/>
  <c r="K381" i="73"/>
  <c r="I12" i="8" s="1"/>
  <c r="I25" i="8" s="1"/>
  <c r="J381" i="73"/>
  <c r="H12" i="8" s="1"/>
  <c r="H25" i="8" s="1"/>
  <c r="I381" i="73"/>
  <c r="G12" i="8" s="1"/>
  <c r="G25" i="8" s="1"/>
  <c r="H381" i="73"/>
  <c r="F12" i="8" s="1"/>
  <c r="F25" i="8" s="1"/>
  <c r="G381" i="73"/>
  <c r="E12" i="8" s="1"/>
  <c r="E25" i="8" s="1"/>
  <c r="F381" i="73"/>
  <c r="D12" i="8" s="1"/>
  <c r="D25" i="8" s="1"/>
  <c r="Q380" i="73"/>
  <c r="O11" i="8" s="1"/>
  <c r="O24" i="8" s="1"/>
  <c r="P380" i="73"/>
  <c r="N11" i="8" s="1"/>
  <c r="N24" i="8" s="1"/>
  <c r="O380" i="73"/>
  <c r="M11" i="8" s="1"/>
  <c r="M24" i="8" s="1"/>
  <c r="N380" i="73"/>
  <c r="L11" i="8" s="1"/>
  <c r="M35" i="8" s="1"/>
  <c r="M380" i="73"/>
  <c r="K11" i="8" s="1"/>
  <c r="K24" i="8" s="1"/>
  <c r="L380" i="73"/>
  <c r="J11" i="8" s="1"/>
  <c r="J24" i="8" s="1"/>
  <c r="K380" i="73"/>
  <c r="I11" i="8" s="1"/>
  <c r="I24" i="8" s="1"/>
  <c r="J380" i="73"/>
  <c r="H11" i="8" s="1"/>
  <c r="I35" i="8" s="1"/>
  <c r="I380" i="73"/>
  <c r="G11" i="8" s="1"/>
  <c r="G24" i="8" s="1"/>
  <c r="H380" i="73"/>
  <c r="F11" i="8" s="1"/>
  <c r="G35" i="8" s="1"/>
  <c r="G380" i="73"/>
  <c r="E11" i="8" s="1"/>
  <c r="E24" i="8" s="1"/>
  <c r="F380" i="73"/>
  <c r="D11" i="8" s="1"/>
  <c r="E35" i="8" s="1"/>
  <c r="Q377" i="73"/>
  <c r="P33" i="74" s="1"/>
  <c r="P49" i="74" s="1"/>
  <c r="P377" i="73"/>
  <c r="O33" i="74" s="1"/>
  <c r="O49" i="74" s="1"/>
  <c r="O377" i="73"/>
  <c r="N33" i="74" s="1"/>
  <c r="N49" i="74" s="1"/>
  <c r="N377" i="73"/>
  <c r="M33" i="74" s="1"/>
  <c r="M49" i="74" s="1"/>
  <c r="M377" i="73"/>
  <c r="L33" i="74" s="1"/>
  <c r="L49" i="74" s="1"/>
  <c r="L377" i="73"/>
  <c r="K33" i="74" s="1"/>
  <c r="K49" i="74" s="1"/>
  <c r="K377" i="73"/>
  <c r="J33" i="74" s="1"/>
  <c r="J49" i="74" s="1"/>
  <c r="J377" i="73"/>
  <c r="I33" i="74" s="1"/>
  <c r="I49" i="74" s="1"/>
  <c r="I377" i="73"/>
  <c r="H33" i="74" s="1"/>
  <c r="H49" i="74" s="1"/>
  <c r="H377" i="73"/>
  <c r="G33" i="74" s="1"/>
  <c r="G49" i="74" s="1"/>
  <c r="G377" i="73"/>
  <c r="F33" i="74" s="1"/>
  <c r="F49" i="74" s="1"/>
  <c r="F377" i="73"/>
  <c r="E33" i="74" s="1"/>
  <c r="F62" i="74" s="1"/>
  <c r="Q374" i="73"/>
  <c r="P29" i="74" s="1"/>
  <c r="P374" i="73"/>
  <c r="O29" i="74" s="1"/>
  <c r="P60" i="74" s="1"/>
  <c r="O374" i="73"/>
  <c r="N29" i="74" s="1"/>
  <c r="O60" i="74" s="1"/>
  <c r="N374" i="73"/>
  <c r="M29" i="74" s="1"/>
  <c r="N60" i="74" s="1"/>
  <c r="M374" i="73"/>
  <c r="L29" i="74" s="1"/>
  <c r="M60" i="74" s="1"/>
  <c r="L374" i="73"/>
  <c r="K29" i="74" s="1"/>
  <c r="L60" i="74" s="1"/>
  <c r="K374" i="73"/>
  <c r="J29" i="74" s="1"/>
  <c r="K60" i="74" s="1"/>
  <c r="J374" i="73"/>
  <c r="I29" i="74" s="1"/>
  <c r="J60" i="74" s="1"/>
  <c r="I374" i="73"/>
  <c r="H29" i="74" s="1"/>
  <c r="I60" i="74" s="1"/>
  <c r="H374" i="73"/>
  <c r="G29" i="74" s="1"/>
  <c r="H60" i="74" s="1"/>
  <c r="G374" i="73"/>
  <c r="F29" i="74" s="1"/>
  <c r="G60" i="74" s="1"/>
  <c r="F374" i="73"/>
  <c r="E29" i="74" s="1"/>
  <c r="Q373" i="73"/>
  <c r="P28" i="74" s="1"/>
  <c r="P373" i="73"/>
  <c r="O28" i="74" s="1"/>
  <c r="P59" i="74" s="1"/>
  <c r="O373" i="73"/>
  <c r="N28" i="74" s="1"/>
  <c r="O59" i="74" s="1"/>
  <c r="N373" i="73"/>
  <c r="M28" i="74" s="1"/>
  <c r="N59" i="74" s="1"/>
  <c r="M373" i="73"/>
  <c r="L28" i="74" s="1"/>
  <c r="M59" i="74" s="1"/>
  <c r="L373" i="73"/>
  <c r="K28" i="74" s="1"/>
  <c r="L59" i="74" s="1"/>
  <c r="K373" i="73"/>
  <c r="J28" i="74" s="1"/>
  <c r="K59" i="74" s="1"/>
  <c r="J373" i="73"/>
  <c r="I28" i="74" s="1"/>
  <c r="J59" i="74" s="1"/>
  <c r="I373" i="73"/>
  <c r="H28" i="74" s="1"/>
  <c r="I59" i="74" s="1"/>
  <c r="H373" i="73"/>
  <c r="G28" i="74" s="1"/>
  <c r="H59" i="74" s="1"/>
  <c r="G373" i="73"/>
  <c r="F28" i="74" s="1"/>
  <c r="G59" i="74" s="1"/>
  <c r="F373" i="73"/>
  <c r="E28" i="74" s="1"/>
  <c r="Q372" i="73"/>
  <c r="P27" i="74" s="1"/>
  <c r="P372" i="73"/>
  <c r="O27" i="74" s="1"/>
  <c r="P58" i="74" s="1"/>
  <c r="O372" i="73"/>
  <c r="N27" i="74" s="1"/>
  <c r="O58" i="74" s="1"/>
  <c r="N372" i="73"/>
  <c r="M27" i="74" s="1"/>
  <c r="N58" i="74" s="1"/>
  <c r="M372" i="73"/>
  <c r="L27" i="74" s="1"/>
  <c r="M58" i="74" s="1"/>
  <c r="L372" i="73"/>
  <c r="K27" i="74" s="1"/>
  <c r="L58" i="74" s="1"/>
  <c r="K372" i="73"/>
  <c r="J27" i="74" s="1"/>
  <c r="K58" i="74" s="1"/>
  <c r="J372" i="73"/>
  <c r="I27" i="74" s="1"/>
  <c r="J58" i="74" s="1"/>
  <c r="I372" i="73"/>
  <c r="H27" i="74" s="1"/>
  <c r="I58" i="74" s="1"/>
  <c r="H372" i="73"/>
  <c r="G27" i="74" s="1"/>
  <c r="H58" i="74" s="1"/>
  <c r="G372" i="73"/>
  <c r="F27" i="74" s="1"/>
  <c r="G58" i="74" s="1"/>
  <c r="F372" i="73"/>
  <c r="E27" i="74" s="1"/>
  <c r="Q370" i="73"/>
  <c r="P26" i="74" s="1"/>
  <c r="P370" i="73"/>
  <c r="O26" i="74" s="1"/>
  <c r="P57" i="74" s="1"/>
  <c r="O370" i="73"/>
  <c r="N26" i="74" s="1"/>
  <c r="O57" i="74" s="1"/>
  <c r="N370" i="73"/>
  <c r="M26" i="74" s="1"/>
  <c r="N57" i="74" s="1"/>
  <c r="M370" i="73"/>
  <c r="L26" i="74" s="1"/>
  <c r="M57" i="74" s="1"/>
  <c r="L370" i="73"/>
  <c r="K26" i="74" s="1"/>
  <c r="L57" i="74" s="1"/>
  <c r="K370" i="73"/>
  <c r="J26" i="74" s="1"/>
  <c r="K57" i="74" s="1"/>
  <c r="J370" i="73"/>
  <c r="I26" i="74" s="1"/>
  <c r="J57" i="74" s="1"/>
  <c r="I370" i="73"/>
  <c r="H26" i="74" s="1"/>
  <c r="I57" i="74" s="1"/>
  <c r="H370" i="73"/>
  <c r="G26" i="74" s="1"/>
  <c r="H57" i="74" s="1"/>
  <c r="G370" i="73"/>
  <c r="F26" i="74" s="1"/>
  <c r="G57" i="74" s="1"/>
  <c r="F370" i="73"/>
  <c r="E26" i="74" s="1"/>
  <c r="Q369" i="73"/>
  <c r="P25" i="74" s="1"/>
  <c r="P369" i="73"/>
  <c r="O25" i="74" s="1"/>
  <c r="P56" i="74" s="1"/>
  <c r="O369" i="73"/>
  <c r="N25" i="74" s="1"/>
  <c r="O56" i="74" s="1"/>
  <c r="N369" i="73"/>
  <c r="M25" i="74" s="1"/>
  <c r="N56" i="74" s="1"/>
  <c r="M369" i="73"/>
  <c r="L25" i="74" s="1"/>
  <c r="M56" i="74" s="1"/>
  <c r="L369" i="73"/>
  <c r="K25" i="74" s="1"/>
  <c r="L56" i="74" s="1"/>
  <c r="K369" i="73"/>
  <c r="J25" i="74" s="1"/>
  <c r="K56" i="74" s="1"/>
  <c r="J369" i="73"/>
  <c r="I25" i="74" s="1"/>
  <c r="J56" i="74" s="1"/>
  <c r="I369" i="73"/>
  <c r="H25" i="74" s="1"/>
  <c r="I56" i="74" s="1"/>
  <c r="H369" i="73"/>
  <c r="G25" i="74" s="1"/>
  <c r="H56" i="74" s="1"/>
  <c r="G369" i="73"/>
  <c r="F25" i="74" s="1"/>
  <c r="G56" i="74" s="1"/>
  <c r="F369" i="73"/>
  <c r="E25" i="74" s="1"/>
  <c r="Q368" i="73"/>
  <c r="P24" i="74" s="1"/>
  <c r="P368" i="73"/>
  <c r="O24" i="74" s="1"/>
  <c r="P55" i="74" s="1"/>
  <c r="O368" i="73"/>
  <c r="N24" i="74" s="1"/>
  <c r="O55" i="74" s="1"/>
  <c r="N368" i="73"/>
  <c r="M24" i="74" s="1"/>
  <c r="N55" i="74" s="1"/>
  <c r="M368" i="73"/>
  <c r="L24" i="74" s="1"/>
  <c r="M55" i="74" s="1"/>
  <c r="L368" i="73"/>
  <c r="K24" i="74" s="1"/>
  <c r="L55" i="74" s="1"/>
  <c r="K368" i="73"/>
  <c r="J24" i="74" s="1"/>
  <c r="K55" i="74" s="1"/>
  <c r="J368" i="73"/>
  <c r="I24" i="74" s="1"/>
  <c r="J55" i="74" s="1"/>
  <c r="I368" i="73"/>
  <c r="H24" i="74" s="1"/>
  <c r="I55" i="74" s="1"/>
  <c r="H368" i="73"/>
  <c r="G24" i="74" s="1"/>
  <c r="H55" i="74" s="1"/>
  <c r="G368" i="73"/>
  <c r="F24" i="74" s="1"/>
  <c r="G55" i="74" s="1"/>
  <c r="F368" i="73"/>
  <c r="E24" i="74" s="1"/>
  <c r="Q367" i="73"/>
  <c r="P23" i="74" s="1"/>
  <c r="P367" i="73"/>
  <c r="O23" i="74" s="1"/>
  <c r="P54" i="74" s="1"/>
  <c r="O367" i="73"/>
  <c r="N23" i="74" s="1"/>
  <c r="O54" i="74" s="1"/>
  <c r="N367" i="73"/>
  <c r="M23" i="74" s="1"/>
  <c r="N54" i="74" s="1"/>
  <c r="M367" i="73"/>
  <c r="L23" i="74" s="1"/>
  <c r="M54" i="74" s="1"/>
  <c r="L367" i="73"/>
  <c r="K23" i="74" s="1"/>
  <c r="L54" i="74" s="1"/>
  <c r="K367" i="73"/>
  <c r="J23" i="74" s="1"/>
  <c r="K54" i="74" s="1"/>
  <c r="J367" i="73"/>
  <c r="I23" i="74" s="1"/>
  <c r="J54" i="74" s="1"/>
  <c r="I367" i="73"/>
  <c r="H23" i="74" s="1"/>
  <c r="I54" i="74" s="1"/>
  <c r="H367" i="73"/>
  <c r="G23" i="74" s="1"/>
  <c r="H54" i="74" s="1"/>
  <c r="G367" i="73"/>
  <c r="F23" i="74" s="1"/>
  <c r="G54" i="74" s="1"/>
  <c r="F367" i="73"/>
  <c r="E23" i="74" s="1"/>
  <c r="Q366" i="73"/>
  <c r="P22" i="74" s="1"/>
  <c r="P366" i="73"/>
  <c r="O22" i="74" s="1"/>
  <c r="P53" i="74" s="1"/>
  <c r="O366" i="73"/>
  <c r="N22" i="74" s="1"/>
  <c r="O53" i="74" s="1"/>
  <c r="N366" i="73"/>
  <c r="M22" i="74" s="1"/>
  <c r="N53" i="74" s="1"/>
  <c r="M366" i="73"/>
  <c r="L22" i="74" s="1"/>
  <c r="M53" i="74" s="1"/>
  <c r="L366" i="73"/>
  <c r="K22" i="74" s="1"/>
  <c r="L53" i="74" s="1"/>
  <c r="K366" i="73"/>
  <c r="J22" i="74" s="1"/>
  <c r="K53" i="74" s="1"/>
  <c r="J366" i="73"/>
  <c r="I22" i="74" s="1"/>
  <c r="J53" i="74" s="1"/>
  <c r="I366" i="73"/>
  <c r="H22" i="74" s="1"/>
  <c r="I53" i="74" s="1"/>
  <c r="H366" i="73"/>
  <c r="G22" i="74" s="1"/>
  <c r="H53" i="74" s="1"/>
  <c r="G366" i="73"/>
  <c r="F22" i="74" s="1"/>
  <c r="G53" i="74" s="1"/>
  <c r="F366" i="73"/>
  <c r="E22" i="74" s="1"/>
  <c r="Q365" i="73"/>
  <c r="P21" i="74" s="1"/>
  <c r="P365" i="73"/>
  <c r="O21" i="74" s="1"/>
  <c r="P52" i="74" s="1"/>
  <c r="O365" i="73"/>
  <c r="N21" i="74" s="1"/>
  <c r="O52" i="74" s="1"/>
  <c r="N365" i="73"/>
  <c r="M21" i="74" s="1"/>
  <c r="N52" i="74" s="1"/>
  <c r="M365" i="73"/>
  <c r="L21" i="74" s="1"/>
  <c r="M52" i="74" s="1"/>
  <c r="L365" i="73"/>
  <c r="K21" i="74" s="1"/>
  <c r="L52" i="74" s="1"/>
  <c r="K365" i="73"/>
  <c r="J21" i="74" s="1"/>
  <c r="K52" i="74" s="1"/>
  <c r="J365" i="73"/>
  <c r="I21" i="74" s="1"/>
  <c r="J52" i="74" s="1"/>
  <c r="I365" i="73"/>
  <c r="H21" i="74" s="1"/>
  <c r="I52" i="74" s="1"/>
  <c r="H365" i="73"/>
  <c r="G21" i="74" s="1"/>
  <c r="H52" i="74" s="1"/>
  <c r="G365" i="73"/>
  <c r="F21" i="74" s="1"/>
  <c r="G52" i="74" s="1"/>
  <c r="F365" i="73"/>
  <c r="E21" i="74" s="1"/>
  <c r="Q362" i="73"/>
  <c r="P362" i="73"/>
  <c r="O362" i="73"/>
  <c r="N20" i="74" s="1"/>
  <c r="N38" i="74" s="1"/>
  <c r="N362" i="73"/>
  <c r="M20" i="74" s="1"/>
  <c r="M38" i="74" s="1"/>
  <c r="M362" i="73"/>
  <c r="L20" i="74" s="1"/>
  <c r="L38" i="74" s="1"/>
  <c r="L362" i="73"/>
  <c r="K20" i="74" s="1"/>
  <c r="K38" i="74" s="1"/>
  <c r="K362" i="73"/>
  <c r="J20" i="74" s="1"/>
  <c r="J38" i="74" s="1"/>
  <c r="J362" i="73"/>
  <c r="I20" i="74" s="1"/>
  <c r="I38" i="74" s="1"/>
  <c r="I362" i="73"/>
  <c r="H20" i="74" s="1"/>
  <c r="H38" i="74" s="1"/>
  <c r="H362" i="73"/>
  <c r="G20" i="74" s="1"/>
  <c r="G38" i="74" s="1"/>
  <c r="G362" i="73"/>
  <c r="F20" i="74" s="1"/>
  <c r="F38" i="74" s="1"/>
  <c r="F362" i="73"/>
  <c r="E20" i="74" s="1"/>
  <c r="F51" i="74" s="1"/>
  <c r="R347" i="73"/>
  <c r="Q344" i="73"/>
  <c r="P344" i="73"/>
  <c r="O344" i="73"/>
  <c r="N344" i="73"/>
  <c r="M344" i="73"/>
  <c r="L344" i="73"/>
  <c r="K344" i="73"/>
  <c r="J344" i="73"/>
  <c r="I344" i="73"/>
  <c r="H344" i="73"/>
  <c r="G344" i="73"/>
  <c r="F344" i="73"/>
  <c r="R343" i="73"/>
  <c r="C628" i="73" s="1"/>
  <c r="D343" i="73"/>
  <c r="R340" i="73"/>
  <c r="Q338" i="73"/>
  <c r="P338" i="73"/>
  <c r="O338" i="73"/>
  <c r="N338" i="73"/>
  <c r="M338" i="73"/>
  <c r="L338" i="73"/>
  <c r="K338" i="73"/>
  <c r="J338" i="73"/>
  <c r="I338" i="73"/>
  <c r="H338" i="73"/>
  <c r="G338" i="73"/>
  <c r="F338" i="73"/>
  <c r="R335" i="73"/>
  <c r="F333" i="73"/>
  <c r="F332" i="73"/>
  <c r="E343" i="73" s="1"/>
  <c r="Q323" i="73"/>
  <c r="P323" i="73"/>
  <c r="O323" i="73"/>
  <c r="N323" i="73"/>
  <c r="M323" i="73"/>
  <c r="L323" i="73"/>
  <c r="K323" i="73"/>
  <c r="J323" i="73"/>
  <c r="I323" i="73"/>
  <c r="H323" i="73"/>
  <c r="G323" i="73"/>
  <c r="F323" i="73"/>
  <c r="Q322" i="73"/>
  <c r="Q124" i="85" s="1"/>
  <c r="P322" i="73"/>
  <c r="P124" i="85" s="1"/>
  <c r="O322" i="73"/>
  <c r="O124" i="85" s="1"/>
  <c r="N322" i="73"/>
  <c r="N124" i="85" s="1"/>
  <c r="M322" i="73"/>
  <c r="M124" i="85" s="1"/>
  <c r="L322" i="73"/>
  <c r="L124" i="85" s="1"/>
  <c r="K322" i="73"/>
  <c r="K124" i="85" s="1"/>
  <c r="J322" i="73"/>
  <c r="J124" i="85" s="1"/>
  <c r="I322" i="73"/>
  <c r="I124" i="85" s="1"/>
  <c r="H322" i="73"/>
  <c r="H124" i="85" s="1"/>
  <c r="G322" i="73"/>
  <c r="G124" i="85" s="1"/>
  <c r="F322" i="73"/>
  <c r="F124" i="85" s="1"/>
  <c r="R320" i="73"/>
  <c r="C633" i="73" s="1"/>
  <c r="D320" i="73"/>
  <c r="F319" i="73"/>
  <c r="F318" i="73"/>
  <c r="G318" i="73" s="1"/>
  <c r="H318" i="73" s="1"/>
  <c r="I318" i="73" s="1"/>
  <c r="J318" i="73" s="1"/>
  <c r="K318" i="73" s="1"/>
  <c r="L318" i="73" s="1"/>
  <c r="M318" i="73" s="1"/>
  <c r="N318" i="73" s="1"/>
  <c r="O318" i="73" s="1"/>
  <c r="P318" i="73" s="1"/>
  <c r="Q318" i="73" s="1"/>
  <c r="E315" i="73"/>
  <c r="F310" i="73"/>
  <c r="F482" i="73" s="1"/>
  <c r="R299" i="73"/>
  <c r="C632" i="73" s="1"/>
  <c r="D299" i="73"/>
  <c r="R296" i="73"/>
  <c r="E295" i="73"/>
  <c r="R289" i="73"/>
  <c r="F287" i="73"/>
  <c r="I278" i="73"/>
  <c r="H278" i="73"/>
  <c r="G278" i="73"/>
  <c r="F278" i="73"/>
  <c r="R276" i="73"/>
  <c r="C631" i="73" s="1"/>
  <c r="D276" i="73"/>
  <c r="R273" i="73"/>
  <c r="F271" i="73"/>
  <c r="R267" i="73"/>
  <c r="F265" i="73"/>
  <c r="F480" i="73" s="1"/>
  <c r="R256" i="73"/>
  <c r="Q253" i="73"/>
  <c r="P253" i="73"/>
  <c r="O253" i="73"/>
  <c r="N253" i="73"/>
  <c r="M253" i="73"/>
  <c r="L253" i="73"/>
  <c r="K253" i="73"/>
  <c r="J253" i="73"/>
  <c r="I253" i="73"/>
  <c r="H253" i="73"/>
  <c r="G253" i="73"/>
  <c r="F253" i="73"/>
  <c r="R252" i="73"/>
  <c r="C630" i="73" s="1"/>
  <c r="D252" i="73"/>
  <c r="R249" i="73"/>
  <c r="I247" i="73"/>
  <c r="H247" i="73"/>
  <c r="G247" i="73"/>
  <c r="F247" i="73"/>
  <c r="Q246" i="73"/>
  <c r="P246" i="73"/>
  <c r="O246" i="73"/>
  <c r="N246" i="73"/>
  <c r="M246" i="73"/>
  <c r="L246" i="73"/>
  <c r="K246" i="73"/>
  <c r="R242" i="73"/>
  <c r="F240" i="73"/>
  <c r="F239" i="73"/>
  <c r="F479" i="73" s="1"/>
  <c r="S230" i="73"/>
  <c r="R230" i="73"/>
  <c r="Q227" i="73"/>
  <c r="P227" i="73"/>
  <c r="O227" i="73"/>
  <c r="N227" i="73"/>
  <c r="M227" i="73"/>
  <c r="L227" i="73"/>
  <c r="K227" i="73"/>
  <c r="J227" i="73"/>
  <c r="I227" i="73"/>
  <c r="H227" i="73"/>
  <c r="G227" i="73"/>
  <c r="F227" i="73"/>
  <c r="Q226" i="73"/>
  <c r="Q371" i="73" s="1"/>
  <c r="P226" i="73"/>
  <c r="P371" i="73" s="1"/>
  <c r="O226" i="73"/>
  <c r="O371" i="73" s="1"/>
  <c r="N226" i="73"/>
  <c r="N371" i="73" s="1"/>
  <c r="M226" i="73"/>
  <c r="M371" i="73" s="1"/>
  <c r="L226" i="73"/>
  <c r="L371" i="73" s="1"/>
  <c r="K226" i="73"/>
  <c r="K371" i="73" s="1"/>
  <c r="J226" i="73"/>
  <c r="J371" i="73" s="1"/>
  <c r="I226" i="73"/>
  <c r="I371" i="73" s="1"/>
  <c r="H226" i="73"/>
  <c r="H371" i="73" s="1"/>
  <c r="G226" i="73"/>
  <c r="G371" i="73" s="1"/>
  <c r="F226" i="73"/>
  <c r="F371" i="73" s="1"/>
  <c r="R224" i="73"/>
  <c r="R223" i="73"/>
  <c r="C627" i="73" s="1"/>
  <c r="D223" i="73"/>
  <c r="R220" i="73"/>
  <c r="Q218" i="73"/>
  <c r="P218" i="73"/>
  <c r="O218" i="73"/>
  <c r="N218" i="73"/>
  <c r="M218" i="73"/>
  <c r="L218" i="73"/>
  <c r="K218" i="73"/>
  <c r="J218" i="73"/>
  <c r="I218" i="73"/>
  <c r="H218" i="73"/>
  <c r="G218" i="73"/>
  <c r="F218" i="73"/>
  <c r="R215" i="73"/>
  <c r="F213" i="73"/>
  <c r="N200" i="73"/>
  <c r="M200" i="73"/>
  <c r="L200" i="73"/>
  <c r="K200" i="73"/>
  <c r="J200" i="73"/>
  <c r="I200" i="73"/>
  <c r="H200" i="73"/>
  <c r="G200" i="73"/>
  <c r="F200" i="73"/>
  <c r="Q199" i="73"/>
  <c r="Q200" i="73" s="1"/>
  <c r="P199" i="73"/>
  <c r="P200" i="73" s="1"/>
  <c r="O199" i="73"/>
  <c r="O200" i="73" s="1"/>
  <c r="R198" i="73"/>
  <c r="C626" i="73" s="1"/>
  <c r="D198" i="73"/>
  <c r="R194" i="73"/>
  <c r="Q192" i="73"/>
  <c r="P192" i="73"/>
  <c r="O192" i="73"/>
  <c r="N192" i="73"/>
  <c r="M192" i="73"/>
  <c r="L192" i="73"/>
  <c r="K192" i="73"/>
  <c r="J192" i="73"/>
  <c r="I192" i="73"/>
  <c r="H192" i="73"/>
  <c r="G192" i="73"/>
  <c r="F192" i="73"/>
  <c r="R191" i="73"/>
  <c r="R188" i="73"/>
  <c r="F186" i="73"/>
  <c r="F185" i="73"/>
  <c r="Q174" i="73"/>
  <c r="Q458" i="73" s="1"/>
  <c r="P174" i="73"/>
  <c r="P458" i="73" s="1"/>
  <c r="K172" i="73"/>
  <c r="J172" i="73"/>
  <c r="I172" i="73"/>
  <c r="H172" i="73"/>
  <c r="G172" i="73"/>
  <c r="F172" i="73"/>
  <c r="N171" i="73"/>
  <c r="N172" i="73" s="1"/>
  <c r="M171" i="73"/>
  <c r="M172" i="73" s="1"/>
  <c r="L171" i="73"/>
  <c r="L172" i="73" s="1"/>
  <c r="R170" i="73"/>
  <c r="C625" i="73" s="1"/>
  <c r="D170" i="73"/>
  <c r="R169" i="73"/>
  <c r="R166" i="73"/>
  <c r="N164" i="73"/>
  <c r="M164" i="73"/>
  <c r="L164" i="73"/>
  <c r="K164" i="73"/>
  <c r="J164" i="73"/>
  <c r="I164" i="73"/>
  <c r="H164" i="73"/>
  <c r="G164" i="73"/>
  <c r="F164" i="73"/>
  <c r="R163" i="73"/>
  <c r="R160" i="73"/>
  <c r="F158" i="73"/>
  <c r="F157" i="73"/>
  <c r="H144" i="73"/>
  <c r="G144" i="73"/>
  <c r="F144" i="73"/>
  <c r="K143" i="73"/>
  <c r="K144" i="73" s="1"/>
  <c r="J143" i="73"/>
  <c r="J144" i="73" s="1"/>
  <c r="I143" i="73"/>
  <c r="I144" i="73" s="1"/>
  <c r="R142" i="73"/>
  <c r="C624" i="73" s="1"/>
  <c r="D142" i="73"/>
  <c r="R141" i="73"/>
  <c r="R138" i="73"/>
  <c r="K136" i="73"/>
  <c r="J136" i="73"/>
  <c r="I136" i="73"/>
  <c r="H136" i="73"/>
  <c r="G136" i="73"/>
  <c r="F136" i="73"/>
  <c r="R135" i="73"/>
  <c r="R132" i="73"/>
  <c r="F130" i="73"/>
  <c r="F129" i="73"/>
  <c r="R114" i="73"/>
  <c r="C623" i="73" s="1"/>
  <c r="D114" i="73"/>
  <c r="R113" i="73"/>
  <c r="R110" i="73"/>
  <c r="H108" i="73"/>
  <c r="G108" i="73"/>
  <c r="F108" i="73"/>
  <c r="R107" i="73"/>
  <c r="R104" i="73"/>
  <c r="F102" i="73"/>
  <c r="F101" i="73"/>
  <c r="C71" i="69" s="1"/>
  <c r="R95" i="73"/>
  <c r="R94" i="73"/>
  <c r="Q92" i="73"/>
  <c r="Q91" i="73"/>
  <c r="R82" i="73"/>
  <c r="R79" i="73"/>
  <c r="R75" i="73"/>
  <c r="R72" i="73"/>
  <c r="F70" i="73"/>
  <c r="Q454" i="73" s="1"/>
  <c r="F69" i="73"/>
  <c r="F473" i="73" s="1"/>
  <c r="G63" i="73"/>
  <c r="O62" i="73"/>
  <c r="D317" i="73" s="1"/>
  <c r="G62" i="73"/>
  <c r="Q56" i="73"/>
  <c r="Q317" i="73" s="1"/>
  <c r="P56" i="73"/>
  <c r="P317" i="73" s="1"/>
  <c r="O56" i="73"/>
  <c r="O317" i="73" s="1"/>
  <c r="N56" i="73"/>
  <c r="N317" i="73" s="1"/>
  <c r="M56" i="73"/>
  <c r="M317" i="73" s="1"/>
  <c r="L56" i="73"/>
  <c r="L317" i="73" s="1"/>
  <c r="K56" i="73"/>
  <c r="K317" i="73" s="1"/>
  <c r="J56" i="73"/>
  <c r="J317" i="73" s="1"/>
  <c r="I56" i="73"/>
  <c r="I317" i="73" s="1"/>
  <c r="H56" i="73"/>
  <c r="H317" i="73" s="1"/>
  <c r="G56" i="73"/>
  <c r="G317" i="73" s="1"/>
  <c r="F56" i="73"/>
  <c r="F317" i="73" s="1"/>
  <c r="R49" i="73"/>
  <c r="R47" i="73"/>
  <c r="R38" i="73"/>
  <c r="Q37" i="73"/>
  <c r="Q39" i="73" s="1"/>
  <c r="Q76" i="73" s="1"/>
  <c r="Q77" i="73" s="1"/>
  <c r="P37" i="73"/>
  <c r="P39" i="73" s="1"/>
  <c r="P76" i="73" s="1"/>
  <c r="P77" i="73" s="1"/>
  <c r="O37" i="73"/>
  <c r="O39" i="73" s="1"/>
  <c r="O76" i="73" s="1"/>
  <c r="O77" i="73" s="1"/>
  <c r="N37" i="73"/>
  <c r="N39" i="73" s="1"/>
  <c r="N76" i="73" s="1"/>
  <c r="N77" i="73" s="1"/>
  <c r="M37" i="73"/>
  <c r="M39" i="73" s="1"/>
  <c r="M76" i="73" s="1"/>
  <c r="M77" i="73" s="1"/>
  <c r="L37" i="73"/>
  <c r="L39" i="73" s="1"/>
  <c r="L76" i="73" s="1"/>
  <c r="L77" i="73" s="1"/>
  <c r="K37" i="73"/>
  <c r="K39" i="73" s="1"/>
  <c r="K76" i="73" s="1"/>
  <c r="K77" i="73" s="1"/>
  <c r="J37" i="73"/>
  <c r="J39" i="73" s="1"/>
  <c r="J76" i="73" s="1"/>
  <c r="J77" i="73" s="1"/>
  <c r="I37" i="73"/>
  <c r="I39" i="73" s="1"/>
  <c r="I76" i="73" s="1"/>
  <c r="I77" i="73" s="1"/>
  <c r="H37" i="73"/>
  <c r="H39" i="73" s="1"/>
  <c r="G37" i="73"/>
  <c r="G39" i="73" s="1"/>
  <c r="G76" i="73" s="1"/>
  <c r="G77" i="73" s="1"/>
  <c r="F37" i="73"/>
  <c r="R36" i="73"/>
  <c r="C621" i="73" s="1"/>
  <c r="D36" i="73"/>
  <c r="Q33" i="73"/>
  <c r="Q364" i="73" s="1"/>
  <c r="P32" i="74" s="1"/>
  <c r="P33" i="73"/>
  <c r="O33" i="73"/>
  <c r="O364" i="73" s="1"/>
  <c r="N32" i="74" s="1"/>
  <c r="N33" i="73"/>
  <c r="N364" i="73" s="1"/>
  <c r="M32" i="74" s="1"/>
  <c r="M33" i="73"/>
  <c r="L33" i="73"/>
  <c r="K33" i="73"/>
  <c r="K364" i="73" s="1"/>
  <c r="J32" i="74" s="1"/>
  <c r="J33" i="73"/>
  <c r="J364" i="73" s="1"/>
  <c r="I32" i="74" s="1"/>
  <c r="I33" i="73"/>
  <c r="H33" i="73"/>
  <c r="G33" i="73"/>
  <c r="G404" i="73" s="1"/>
  <c r="F33" i="73"/>
  <c r="R32" i="73"/>
  <c r="R29" i="73"/>
  <c r="R28" i="73"/>
  <c r="D28" i="73"/>
  <c r="Q23" i="73"/>
  <c r="P23" i="73"/>
  <c r="O23" i="73"/>
  <c r="N23" i="73"/>
  <c r="M23" i="73"/>
  <c r="L23" i="73"/>
  <c r="K23" i="73"/>
  <c r="J23" i="73"/>
  <c r="I23" i="73"/>
  <c r="H23" i="73"/>
  <c r="G23" i="73"/>
  <c r="F23" i="73"/>
  <c r="Q22" i="73"/>
  <c r="P92" i="73" s="1"/>
  <c r="P22" i="73"/>
  <c r="O92" i="73" s="1"/>
  <c r="O22" i="73"/>
  <c r="N92" i="73" s="1"/>
  <c r="N22" i="73"/>
  <c r="M92" i="73" s="1"/>
  <c r="M22" i="73"/>
  <c r="L92" i="73" s="1"/>
  <c r="L22" i="73"/>
  <c r="K92" i="73" s="1"/>
  <c r="K22" i="73"/>
  <c r="J92" i="73" s="1"/>
  <c r="J22" i="73"/>
  <c r="I92" i="73" s="1"/>
  <c r="I22" i="73"/>
  <c r="H92" i="73" s="1"/>
  <c r="H22" i="73"/>
  <c r="G92" i="73" s="1"/>
  <c r="G22" i="73"/>
  <c r="F92" i="73" s="1"/>
  <c r="F22" i="73"/>
  <c r="R21" i="73"/>
  <c r="Q18" i="73"/>
  <c r="P18" i="73"/>
  <c r="O18" i="73"/>
  <c r="N18" i="73"/>
  <c r="M18" i="73"/>
  <c r="L18" i="73"/>
  <c r="K18" i="73"/>
  <c r="J18" i="73"/>
  <c r="I18" i="73"/>
  <c r="H18" i="73"/>
  <c r="G18" i="73"/>
  <c r="F18" i="73"/>
  <c r="Q17" i="73"/>
  <c r="P17" i="73"/>
  <c r="O91" i="73" s="1"/>
  <c r="O17" i="73"/>
  <c r="N91" i="73" s="1"/>
  <c r="N17" i="73"/>
  <c r="M17" i="73"/>
  <c r="L17" i="73"/>
  <c r="K91" i="73" s="1"/>
  <c r="K17" i="73"/>
  <c r="J91" i="73" s="1"/>
  <c r="J17" i="73"/>
  <c r="I17" i="73"/>
  <c r="H17" i="73"/>
  <c r="G91" i="73" s="1"/>
  <c r="G17" i="73"/>
  <c r="F91" i="73" s="1"/>
  <c r="F17" i="73"/>
  <c r="R16" i="73"/>
  <c r="R15" i="73"/>
  <c r="F13" i="73"/>
  <c r="R194" i="77" s="1"/>
  <c r="F12" i="73"/>
  <c r="B3317" i="79"/>
  <c r="C3316" i="79"/>
  <c r="B3316" i="79"/>
  <c r="B3315" i="79"/>
  <c r="B3314" i="79"/>
  <c r="B3313" i="79"/>
  <c r="B3312" i="79"/>
  <c r="C3311" i="79"/>
  <c r="B3311" i="79"/>
  <c r="B3310" i="79"/>
  <c r="B3309" i="79"/>
  <c r="C3308" i="79"/>
  <c r="B3308" i="79"/>
  <c r="B3307" i="79"/>
  <c r="B3306" i="79"/>
  <c r="B3305" i="79"/>
  <c r="B3304" i="79"/>
  <c r="C3303" i="79"/>
  <c r="B3303" i="79"/>
  <c r="B3302" i="79"/>
  <c r="B3301" i="79"/>
  <c r="C3300" i="79"/>
  <c r="B3300" i="79"/>
  <c r="B3299" i="79"/>
  <c r="B3298" i="79"/>
  <c r="B3297" i="79"/>
  <c r="B3296" i="79"/>
  <c r="C3295" i="79"/>
  <c r="B3295" i="79"/>
  <c r="B3294" i="79"/>
  <c r="B3293" i="79"/>
  <c r="C3292" i="79"/>
  <c r="B3292" i="79"/>
  <c r="B3291" i="79"/>
  <c r="B3290" i="79"/>
  <c r="B3289" i="79"/>
  <c r="B3288" i="79"/>
  <c r="C3287" i="79"/>
  <c r="B3287" i="79"/>
  <c r="B3286" i="79"/>
  <c r="C3285" i="79"/>
  <c r="B3285" i="79"/>
  <c r="C3284" i="79"/>
  <c r="B3284" i="79"/>
  <c r="B3283" i="79"/>
  <c r="B3282" i="79"/>
  <c r="B3281" i="79"/>
  <c r="B3280" i="79"/>
  <c r="C3279" i="79"/>
  <c r="B3279" i="79"/>
  <c r="B3278" i="79"/>
  <c r="C3277" i="79"/>
  <c r="B3277" i="79"/>
  <c r="C3276" i="79"/>
  <c r="B3276" i="79"/>
  <c r="B3275" i="79"/>
  <c r="C3274" i="79"/>
  <c r="B3274" i="79"/>
  <c r="C3273" i="79"/>
  <c r="B3273" i="79"/>
  <c r="B3272" i="79"/>
  <c r="B3271" i="79"/>
  <c r="B3270" i="79"/>
  <c r="B3269" i="79"/>
  <c r="C3268" i="79"/>
  <c r="B3268" i="79"/>
  <c r="B3267" i="79"/>
  <c r="C3266" i="79"/>
  <c r="B3266" i="79"/>
  <c r="C3265" i="79"/>
  <c r="B3265" i="79"/>
  <c r="B3264" i="79"/>
  <c r="B3263" i="79"/>
  <c r="B3262" i="79"/>
  <c r="B3261" i="79"/>
  <c r="C3260" i="79"/>
  <c r="B3260" i="79"/>
  <c r="B3259" i="79"/>
  <c r="C3258" i="79"/>
  <c r="B3258" i="79"/>
  <c r="C3257" i="79"/>
  <c r="B3257" i="79"/>
  <c r="B3256" i="79"/>
  <c r="B3255" i="79"/>
  <c r="B3254" i="79"/>
  <c r="B3253" i="79"/>
  <c r="C3252" i="79"/>
  <c r="B3252" i="79"/>
  <c r="B3251" i="79"/>
  <c r="C3250" i="79"/>
  <c r="B3250" i="79"/>
  <c r="C3249" i="79"/>
  <c r="B3249" i="79"/>
  <c r="B3248" i="79"/>
  <c r="B3247" i="79"/>
  <c r="B3246" i="79"/>
  <c r="B3245" i="79"/>
  <c r="C3244" i="79"/>
  <c r="B3244" i="79"/>
  <c r="B3243" i="79"/>
  <c r="C3242" i="79"/>
  <c r="B3242" i="79"/>
  <c r="C3241" i="79"/>
  <c r="B3241" i="79"/>
  <c r="B3240" i="79"/>
  <c r="B3239" i="79"/>
  <c r="B3238" i="79"/>
  <c r="B3237" i="79"/>
  <c r="C3236" i="79"/>
  <c r="B3236" i="79"/>
  <c r="C3235" i="79"/>
  <c r="B3235" i="79"/>
  <c r="B3234" i="79"/>
  <c r="C3233" i="79"/>
  <c r="B3233" i="79"/>
  <c r="C3232" i="79"/>
  <c r="B3232" i="79"/>
  <c r="C3231" i="79"/>
  <c r="B3231" i="79"/>
  <c r="C3230" i="79"/>
  <c r="B3230" i="79"/>
  <c r="B3229" i="79"/>
  <c r="B3228" i="79"/>
  <c r="B3227" i="79"/>
  <c r="B3226" i="79"/>
  <c r="B3225" i="79"/>
  <c r="B3224" i="79"/>
  <c r="B3223" i="79"/>
  <c r="B3222" i="79"/>
  <c r="B3221" i="79"/>
  <c r="B3220" i="79"/>
  <c r="B3219" i="79"/>
  <c r="B3218" i="79"/>
  <c r="B3217" i="79"/>
  <c r="B3216" i="79"/>
  <c r="B3215" i="79"/>
  <c r="B3214" i="79"/>
  <c r="B3213" i="79"/>
  <c r="B3212" i="79"/>
  <c r="B3211" i="79"/>
  <c r="B3210" i="79"/>
  <c r="B3209" i="79"/>
  <c r="B3208" i="79"/>
  <c r="B3207" i="79"/>
  <c r="B3206" i="79"/>
  <c r="B3205" i="79"/>
  <c r="B3204" i="79"/>
  <c r="B3203" i="79"/>
  <c r="B3202" i="79"/>
  <c r="B3201" i="79"/>
  <c r="B3200" i="79"/>
  <c r="C3199" i="79"/>
  <c r="B3199" i="79"/>
  <c r="C3198" i="79"/>
  <c r="C3197" i="79"/>
  <c r="B3197" i="79"/>
  <c r="C3196" i="79"/>
  <c r="B3196" i="79"/>
  <c r="B3195" i="79"/>
  <c r="B3194" i="79"/>
  <c r="B3193" i="79"/>
  <c r="B3192" i="79"/>
  <c r="B3191" i="79"/>
  <c r="B3190" i="79"/>
  <c r="B3189" i="79"/>
  <c r="B3188" i="79"/>
  <c r="B3187" i="79"/>
  <c r="B3186" i="79"/>
  <c r="B3185" i="79"/>
  <c r="B3184" i="79"/>
  <c r="B3183" i="79"/>
  <c r="B3182" i="79"/>
  <c r="B3181" i="79"/>
  <c r="B3180" i="79"/>
  <c r="B3179" i="79"/>
  <c r="B3178" i="79"/>
  <c r="B3177" i="79"/>
  <c r="B3176" i="79"/>
  <c r="B3175" i="79"/>
  <c r="B3174" i="79"/>
  <c r="B3173" i="79"/>
  <c r="B3172" i="79"/>
  <c r="B3171" i="79"/>
  <c r="B3170" i="79"/>
  <c r="B3169" i="79"/>
  <c r="B3168" i="79"/>
  <c r="B3167" i="79"/>
  <c r="B3166" i="79"/>
  <c r="C3165" i="79"/>
  <c r="B3165" i="79"/>
  <c r="C3164" i="79"/>
  <c r="C3163" i="79"/>
  <c r="B3163" i="79"/>
  <c r="C3162" i="79"/>
  <c r="B3162" i="79"/>
  <c r="B3161" i="79"/>
  <c r="B3160" i="79"/>
  <c r="B3159" i="79"/>
  <c r="B3158" i="79"/>
  <c r="B3157" i="79"/>
  <c r="B3156" i="79"/>
  <c r="B3155" i="79"/>
  <c r="B3154" i="79"/>
  <c r="B3153" i="79"/>
  <c r="B3152" i="79"/>
  <c r="B3151" i="79"/>
  <c r="B3150" i="79"/>
  <c r="B3149" i="79"/>
  <c r="B3148" i="79"/>
  <c r="B3147" i="79"/>
  <c r="B3146" i="79"/>
  <c r="B3145" i="79"/>
  <c r="B3144" i="79"/>
  <c r="B3143" i="79"/>
  <c r="B3142" i="79"/>
  <c r="B3141" i="79"/>
  <c r="B3140" i="79"/>
  <c r="B3139" i="79"/>
  <c r="B3138" i="79"/>
  <c r="B3137" i="79"/>
  <c r="B3136" i="79"/>
  <c r="B3135" i="79"/>
  <c r="B3134" i="79"/>
  <c r="B3133" i="79"/>
  <c r="B3132" i="79"/>
  <c r="C3131" i="79"/>
  <c r="B3131" i="79"/>
  <c r="C3130" i="79"/>
  <c r="C3129" i="79"/>
  <c r="B3129" i="79"/>
  <c r="C3128" i="79"/>
  <c r="B3128" i="79"/>
  <c r="B3127" i="79"/>
  <c r="B3126" i="79"/>
  <c r="B3125" i="79"/>
  <c r="B3124" i="79"/>
  <c r="B3123" i="79"/>
  <c r="B3122" i="79"/>
  <c r="B3121" i="79"/>
  <c r="B3120" i="79"/>
  <c r="B3119" i="79"/>
  <c r="B3118" i="79"/>
  <c r="B3117" i="79"/>
  <c r="B3116" i="79"/>
  <c r="B3115" i="79"/>
  <c r="B3114" i="79"/>
  <c r="B3113" i="79"/>
  <c r="B3112" i="79"/>
  <c r="B3111" i="79"/>
  <c r="B3110" i="79"/>
  <c r="B3109" i="79"/>
  <c r="B3108" i="79"/>
  <c r="B3107" i="79"/>
  <c r="B3106" i="79"/>
  <c r="B3105" i="79"/>
  <c r="B3104" i="79"/>
  <c r="B3103" i="79"/>
  <c r="B3102" i="79"/>
  <c r="B3101" i="79"/>
  <c r="B3100" i="79"/>
  <c r="B3099" i="79"/>
  <c r="B3098" i="79"/>
  <c r="C3097" i="79"/>
  <c r="B3097" i="79"/>
  <c r="C3096" i="79"/>
  <c r="C3095" i="79"/>
  <c r="B3095" i="79"/>
  <c r="C3094" i="79"/>
  <c r="B3094" i="79"/>
  <c r="B3093" i="79"/>
  <c r="B3092" i="79"/>
  <c r="B3091" i="79"/>
  <c r="B3090" i="79"/>
  <c r="B3089" i="79"/>
  <c r="B3088" i="79"/>
  <c r="B3087" i="79"/>
  <c r="B3086" i="79"/>
  <c r="B3085" i="79"/>
  <c r="B3084" i="79"/>
  <c r="B3083" i="79"/>
  <c r="B3082" i="79"/>
  <c r="B3081" i="79"/>
  <c r="B3080" i="79"/>
  <c r="B3079" i="79"/>
  <c r="B3078" i="79"/>
  <c r="B3077" i="79"/>
  <c r="B3076" i="79"/>
  <c r="B3075" i="79"/>
  <c r="B3074" i="79"/>
  <c r="B3073" i="79"/>
  <c r="B3072" i="79"/>
  <c r="B3071" i="79"/>
  <c r="B3070" i="79"/>
  <c r="B3069" i="79"/>
  <c r="B3068" i="79"/>
  <c r="B3067" i="79"/>
  <c r="B3066" i="79"/>
  <c r="B3065" i="79"/>
  <c r="B3064" i="79"/>
  <c r="C3063" i="79"/>
  <c r="B3063" i="79"/>
  <c r="C3062" i="79"/>
  <c r="C3061" i="79"/>
  <c r="B3061" i="79"/>
  <c r="C3060" i="79"/>
  <c r="B3060" i="79"/>
  <c r="B3059" i="79"/>
  <c r="B3058" i="79"/>
  <c r="B3057" i="79"/>
  <c r="B3056" i="79"/>
  <c r="B3055" i="79"/>
  <c r="B3054" i="79"/>
  <c r="B3053" i="79"/>
  <c r="B3052" i="79"/>
  <c r="B3051" i="79"/>
  <c r="B3050" i="79"/>
  <c r="B3049" i="79"/>
  <c r="B3048" i="79"/>
  <c r="B3047" i="79"/>
  <c r="B3046" i="79"/>
  <c r="B3045" i="79"/>
  <c r="B3044" i="79"/>
  <c r="B3043" i="79"/>
  <c r="B3042" i="79"/>
  <c r="B3041" i="79"/>
  <c r="B3040" i="79"/>
  <c r="B3039" i="79"/>
  <c r="B3038" i="79"/>
  <c r="B3037" i="79"/>
  <c r="B3036" i="79"/>
  <c r="B3035" i="79"/>
  <c r="B3034" i="79"/>
  <c r="B3033" i="79"/>
  <c r="B3032" i="79"/>
  <c r="B3031" i="79"/>
  <c r="B3030" i="79"/>
  <c r="C3029" i="79"/>
  <c r="B3029" i="79"/>
  <c r="C3028" i="79"/>
  <c r="C3027" i="79"/>
  <c r="B3027" i="79"/>
  <c r="C3026" i="79"/>
  <c r="B3026" i="79"/>
  <c r="B3025" i="79"/>
  <c r="B3024" i="79"/>
  <c r="B3023" i="79"/>
  <c r="B3022" i="79"/>
  <c r="B3021" i="79"/>
  <c r="B3020" i="79"/>
  <c r="B3019" i="79"/>
  <c r="B3018" i="79"/>
  <c r="B3017" i="79"/>
  <c r="B3016" i="79"/>
  <c r="B3015" i="79"/>
  <c r="B3014" i="79"/>
  <c r="B3013" i="79"/>
  <c r="B3012" i="79"/>
  <c r="B3011" i="79"/>
  <c r="B3010" i="79"/>
  <c r="B3009" i="79"/>
  <c r="B3008" i="79"/>
  <c r="B3007" i="79"/>
  <c r="B3006" i="79"/>
  <c r="B3005" i="79"/>
  <c r="B3004" i="79"/>
  <c r="B3003" i="79"/>
  <c r="B3002" i="79"/>
  <c r="B3001" i="79"/>
  <c r="B3000" i="79"/>
  <c r="B2999" i="79"/>
  <c r="B2998" i="79"/>
  <c r="B2997" i="79"/>
  <c r="B2996" i="79"/>
  <c r="C2995" i="79"/>
  <c r="B2995" i="79"/>
  <c r="C2994" i="79"/>
  <c r="C2993" i="79"/>
  <c r="B2993" i="79"/>
  <c r="C2992" i="79"/>
  <c r="B2992" i="79"/>
  <c r="B2991" i="79"/>
  <c r="B2990" i="79"/>
  <c r="B2989" i="79"/>
  <c r="B2988" i="79"/>
  <c r="B2987" i="79"/>
  <c r="B2986" i="79"/>
  <c r="B2985" i="79"/>
  <c r="B2984" i="79"/>
  <c r="B2983" i="79"/>
  <c r="B2982" i="79"/>
  <c r="B2981" i="79"/>
  <c r="B2980" i="79"/>
  <c r="B2979" i="79"/>
  <c r="B2978" i="79"/>
  <c r="B2977" i="79"/>
  <c r="B2976" i="79"/>
  <c r="B2975" i="79"/>
  <c r="B2974" i="79"/>
  <c r="B2973" i="79"/>
  <c r="B2972" i="79"/>
  <c r="B2971" i="79"/>
  <c r="B2970" i="79"/>
  <c r="B2969" i="79"/>
  <c r="B2968" i="79"/>
  <c r="B2967" i="79"/>
  <c r="B2966" i="79"/>
  <c r="B2965" i="79"/>
  <c r="B2964" i="79"/>
  <c r="B2963" i="79"/>
  <c r="B2962" i="79"/>
  <c r="C2961" i="79"/>
  <c r="B2961" i="79"/>
  <c r="C2960" i="79"/>
  <c r="C2959" i="79"/>
  <c r="B2959" i="79"/>
  <c r="C2958" i="79"/>
  <c r="B2958" i="79"/>
  <c r="B2957" i="79"/>
  <c r="B2956" i="79"/>
  <c r="B2955" i="79"/>
  <c r="B2954" i="79"/>
  <c r="B2953" i="79"/>
  <c r="B2952" i="79"/>
  <c r="B2951" i="79"/>
  <c r="B2950" i="79"/>
  <c r="B2949" i="79"/>
  <c r="B2948" i="79"/>
  <c r="B2947" i="79"/>
  <c r="B2946" i="79"/>
  <c r="B2945" i="79"/>
  <c r="B2944" i="79"/>
  <c r="B2943" i="79"/>
  <c r="B2942" i="79"/>
  <c r="B2941" i="79"/>
  <c r="B2940" i="79"/>
  <c r="B2939" i="79"/>
  <c r="B2938" i="79"/>
  <c r="B2937" i="79"/>
  <c r="B2936" i="79"/>
  <c r="B2935" i="79"/>
  <c r="B2934" i="79"/>
  <c r="B2933" i="79"/>
  <c r="B2932" i="79"/>
  <c r="B2931" i="79"/>
  <c r="B2930" i="79"/>
  <c r="B2929" i="79"/>
  <c r="B2928" i="79"/>
  <c r="B2927" i="79"/>
  <c r="C2926" i="79"/>
  <c r="C2925" i="79"/>
  <c r="B2925" i="79"/>
  <c r="C2924" i="79"/>
  <c r="B2924" i="79"/>
  <c r="B2923" i="79"/>
  <c r="B2922" i="79"/>
  <c r="B2921" i="79"/>
  <c r="B2920" i="79"/>
  <c r="B2919" i="79"/>
  <c r="B2918" i="79"/>
  <c r="B2917" i="79"/>
  <c r="B2916" i="79"/>
  <c r="B2915" i="79"/>
  <c r="B2914" i="79"/>
  <c r="B2913" i="79"/>
  <c r="B2912" i="79"/>
  <c r="B2911" i="79"/>
  <c r="B2910" i="79"/>
  <c r="B2909" i="79"/>
  <c r="B2908" i="79"/>
  <c r="B2907" i="79"/>
  <c r="B2906" i="79"/>
  <c r="B2905" i="79"/>
  <c r="B2904" i="79"/>
  <c r="B2903" i="79"/>
  <c r="B2902" i="79"/>
  <c r="B2901" i="79"/>
  <c r="B2900" i="79"/>
  <c r="B2899" i="79"/>
  <c r="B2898" i="79"/>
  <c r="B2897" i="79"/>
  <c r="B2896" i="79"/>
  <c r="B2895" i="79"/>
  <c r="B2894" i="79"/>
  <c r="C2893" i="79"/>
  <c r="B2893" i="79"/>
  <c r="C2892" i="79"/>
  <c r="C2891" i="79"/>
  <c r="B2891" i="79"/>
  <c r="C2890" i="79"/>
  <c r="B2890" i="79"/>
  <c r="B2889" i="79"/>
  <c r="B2888" i="79"/>
  <c r="B2887" i="79"/>
  <c r="B2886" i="79"/>
  <c r="B2885" i="79"/>
  <c r="B2884" i="79"/>
  <c r="B2883" i="79"/>
  <c r="B2882" i="79"/>
  <c r="B2881" i="79"/>
  <c r="B2880" i="79"/>
  <c r="B2879" i="79"/>
  <c r="B2878" i="79"/>
  <c r="B2877" i="79"/>
  <c r="B2876" i="79"/>
  <c r="B2875" i="79"/>
  <c r="B2874" i="79"/>
  <c r="B2873" i="79"/>
  <c r="B2872" i="79"/>
  <c r="B2871" i="79"/>
  <c r="B2870" i="79"/>
  <c r="B2869" i="79"/>
  <c r="B2868" i="79"/>
  <c r="B2867" i="79"/>
  <c r="B2866" i="79"/>
  <c r="B2865" i="79"/>
  <c r="B2864" i="79"/>
  <c r="B2863" i="79"/>
  <c r="B2862" i="79"/>
  <c r="B2861" i="79"/>
  <c r="B2860" i="79"/>
  <c r="C2859" i="79"/>
  <c r="B2859" i="79"/>
  <c r="C2858" i="79"/>
  <c r="C2857" i="79"/>
  <c r="B2857" i="79"/>
  <c r="C2856" i="79"/>
  <c r="B2856" i="79"/>
  <c r="B2855" i="79"/>
  <c r="B2854" i="79"/>
  <c r="B2853" i="79"/>
  <c r="B2852" i="79"/>
  <c r="B2851" i="79"/>
  <c r="B2850" i="79"/>
  <c r="B2849" i="79"/>
  <c r="B2848" i="79"/>
  <c r="B2847" i="79"/>
  <c r="B2846" i="79"/>
  <c r="B2845" i="79"/>
  <c r="B2844" i="79"/>
  <c r="B2843" i="79"/>
  <c r="B2842" i="79"/>
  <c r="B2841" i="79"/>
  <c r="B2840" i="79"/>
  <c r="B2839" i="79"/>
  <c r="B2838" i="79"/>
  <c r="B2837" i="79"/>
  <c r="B2836" i="79"/>
  <c r="B2835" i="79"/>
  <c r="B2834" i="79"/>
  <c r="B2833" i="79"/>
  <c r="B2832" i="79"/>
  <c r="B2831" i="79"/>
  <c r="B2830" i="79"/>
  <c r="B2829" i="79"/>
  <c r="B2828" i="79"/>
  <c r="B2827" i="79"/>
  <c r="B2826" i="79"/>
  <c r="B2825" i="79"/>
  <c r="B2824" i="79"/>
  <c r="B2823" i="79"/>
  <c r="B2822" i="79"/>
  <c r="B2821" i="79"/>
  <c r="B2820" i="79"/>
  <c r="B2819" i="79"/>
  <c r="B2818" i="79"/>
  <c r="B2817" i="79"/>
  <c r="B2816" i="79"/>
  <c r="B2815" i="79"/>
  <c r="B2814" i="79"/>
  <c r="B2813" i="79"/>
  <c r="B2812" i="79"/>
  <c r="B2811" i="79"/>
  <c r="B2810" i="79"/>
  <c r="B2809" i="79"/>
  <c r="B2808" i="79"/>
  <c r="B2807" i="79"/>
  <c r="B2806" i="79"/>
  <c r="B2805" i="79"/>
  <c r="B2804" i="79"/>
  <c r="B2803" i="79"/>
  <c r="B2802" i="79"/>
  <c r="B2801" i="79"/>
  <c r="B2800" i="79"/>
  <c r="B2799" i="79"/>
  <c r="B2798" i="79"/>
  <c r="B2797" i="79"/>
  <c r="B2796" i="79"/>
  <c r="C2795" i="79"/>
  <c r="B2795" i="79"/>
  <c r="C2794" i="79"/>
  <c r="C2793" i="79"/>
  <c r="B2793" i="79"/>
  <c r="C2792" i="79"/>
  <c r="B2792" i="79"/>
  <c r="B2791" i="79"/>
  <c r="B2790" i="79"/>
  <c r="B2789" i="79"/>
  <c r="B2788" i="79"/>
  <c r="B2787" i="79"/>
  <c r="B2786" i="79"/>
  <c r="B2785" i="79"/>
  <c r="B2784" i="79"/>
  <c r="B2783" i="79"/>
  <c r="B2782" i="79"/>
  <c r="B2781" i="79"/>
  <c r="B2780" i="79"/>
  <c r="B2779" i="79"/>
  <c r="B2778" i="79"/>
  <c r="B2777" i="79"/>
  <c r="B2776" i="79"/>
  <c r="B2775" i="79"/>
  <c r="B2774" i="79"/>
  <c r="B2773" i="79"/>
  <c r="B2772" i="79"/>
  <c r="B2771" i="79"/>
  <c r="B2770" i="79"/>
  <c r="B2769" i="79"/>
  <c r="B2768" i="79"/>
  <c r="B2767" i="79"/>
  <c r="B2766" i="79"/>
  <c r="B2765" i="79"/>
  <c r="B2764" i="79"/>
  <c r="B2763" i="79"/>
  <c r="B2762" i="79"/>
  <c r="C2761" i="79"/>
  <c r="B2761" i="79"/>
  <c r="C2760" i="79"/>
  <c r="C2759" i="79"/>
  <c r="B2759" i="79"/>
  <c r="C2758" i="79"/>
  <c r="B2758" i="79"/>
  <c r="B2757" i="79"/>
  <c r="B2756" i="79"/>
  <c r="B2755" i="79"/>
  <c r="B2754" i="79"/>
  <c r="B2753" i="79"/>
  <c r="B2752" i="79"/>
  <c r="B2751" i="79"/>
  <c r="B2750" i="79"/>
  <c r="B2749" i="79"/>
  <c r="B2748" i="79"/>
  <c r="B2747" i="79"/>
  <c r="B2746" i="79"/>
  <c r="B2745" i="79"/>
  <c r="B2744" i="79"/>
  <c r="B2743" i="79"/>
  <c r="B2742" i="79"/>
  <c r="B2741" i="79"/>
  <c r="B2740" i="79"/>
  <c r="B2739" i="79"/>
  <c r="B2738" i="79"/>
  <c r="B2737" i="79"/>
  <c r="B2736" i="79"/>
  <c r="B2735" i="79"/>
  <c r="B2734" i="79"/>
  <c r="B2733" i="79"/>
  <c r="B2732" i="79"/>
  <c r="B2731" i="79"/>
  <c r="B2730" i="79"/>
  <c r="B2729" i="79"/>
  <c r="B2728" i="79"/>
  <c r="B2727" i="79"/>
  <c r="C2726" i="79"/>
  <c r="C2725" i="79"/>
  <c r="B2725" i="79"/>
  <c r="C2724" i="79"/>
  <c r="B2724" i="79"/>
  <c r="B2723" i="79"/>
  <c r="B2722" i="79"/>
  <c r="B2721" i="79"/>
  <c r="B2720" i="79"/>
  <c r="B2719" i="79"/>
  <c r="B2718" i="79"/>
  <c r="B2717" i="79"/>
  <c r="B2716" i="79"/>
  <c r="B2715" i="79"/>
  <c r="B2714" i="79"/>
  <c r="B2713" i="79"/>
  <c r="B2712" i="79"/>
  <c r="B2711" i="79"/>
  <c r="B2710" i="79"/>
  <c r="B2709" i="79"/>
  <c r="B2708" i="79"/>
  <c r="B2707" i="79"/>
  <c r="B2706" i="79"/>
  <c r="B2705" i="79"/>
  <c r="B2704" i="79"/>
  <c r="B2703" i="79"/>
  <c r="B2702" i="79"/>
  <c r="B2701" i="79"/>
  <c r="B2700" i="79"/>
  <c r="B2699" i="79"/>
  <c r="B2698" i="79"/>
  <c r="B2697" i="79"/>
  <c r="B2696" i="79"/>
  <c r="B2695" i="79"/>
  <c r="B2694" i="79"/>
  <c r="C2693" i="79"/>
  <c r="B2693" i="79"/>
  <c r="C2692" i="79"/>
  <c r="C2691" i="79"/>
  <c r="B2691" i="79"/>
  <c r="C2690" i="79"/>
  <c r="B2690" i="79"/>
  <c r="B2689" i="79"/>
  <c r="B2688" i="79"/>
  <c r="B2687" i="79"/>
  <c r="B2686" i="79"/>
  <c r="B2685" i="79"/>
  <c r="B2684" i="79"/>
  <c r="B2683" i="79"/>
  <c r="B2682" i="79"/>
  <c r="B2681" i="79"/>
  <c r="B2680" i="79"/>
  <c r="B2679" i="79"/>
  <c r="B2678" i="79"/>
  <c r="B2677" i="79"/>
  <c r="B2676" i="79"/>
  <c r="B2675" i="79"/>
  <c r="B2674" i="79"/>
  <c r="B2673" i="79"/>
  <c r="B2672" i="79"/>
  <c r="B2671" i="79"/>
  <c r="B2670" i="79"/>
  <c r="B2669" i="79"/>
  <c r="B2668" i="79"/>
  <c r="B2667" i="79"/>
  <c r="B2666" i="79"/>
  <c r="B2665" i="79"/>
  <c r="B2664" i="79"/>
  <c r="B2663" i="79"/>
  <c r="B2662" i="79"/>
  <c r="B2661" i="79"/>
  <c r="B2660" i="79"/>
  <c r="C2659" i="79"/>
  <c r="B2659" i="79"/>
  <c r="C2658" i="79"/>
  <c r="C2657" i="79"/>
  <c r="B2657" i="79"/>
  <c r="C2656" i="79"/>
  <c r="B2656" i="79"/>
  <c r="B2655" i="79"/>
  <c r="B2654" i="79"/>
  <c r="B2653" i="79"/>
  <c r="B2652" i="79"/>
  <c r="B2651" i="79"/>
  <c r="B2650" i="79"/>
  <c r="B2649" i="79"/>
  <c r="B2648" i="79"/>
  <c r="B2647" i="79"/>
  <c r="B2646" i="79"/>
  <c r="B2645" i="79"/>
  <c r="B2644" i="79"/>
  <c r="B2643" i="79"/>
  <c r="B2642" i="79"/>
  <c r="B2641" i="79"/>
  <c r="B2640" i="79"/>
  <c r="B2639" i="79"/>
  <c r="B2638" i="79"/>
  <c r="B2637" i="79"/>
  <c r="B2636" i="79"/>
  <c r="B2635" i="79"/>
  <c r="B2634" i="79"/>
  <c r="B2633" i="79"/>
  <c r="B2632" i="79"/>
  <c r="B2631" i="79"/>
  <c r="B2630" i="79"/>
  <c r="B2629" i="79"/>
  <c r="B2628" i="79"/>
  <c r="B2627" i="79"/>
  <c r="B2626" i="79"/>
  <c r="B2625" i="79"/>
  <c r="C2624" i="79"/>
  <c r="C2623" i="79"/>
  <c r="B2623" i="79"/>
  <c r="C2622" i="79"/>
  <c r="B2622" i="79"/>
  <c r="B2621" i="79"/>
  <c r="B2620" i="79"/>
  <c r="B2619" i="79"/>
  <c r="B2618" i="79"/>
  <c r="B2617" i="79"/>
  <c r="B2616" i="79"/>
  <c r="B2615" i="79"/>
  <c r="B2614" i="79"/>
  <c r="B2613" i="79"/>
  <c r="B2612" i="79"/>
  <c r="B2611" i="79"/>
  <c r="B2610" i="79"/>
  <c r="B2609" i="79"/>
  <c r="B2608" i="79"/>
  <c r="B2607" i="79"/>
  <c r="B2606" i="79"/>
  <c r="B2605" i="79"/>
  <c r="B2604" i="79"/>
  <c r="B2603" i="79"/>
  <c r="B2602" i="79"/>
  <c r="B2601" i="79"/>
  <c r="B2600" i="79"/>
  <c r="B2599" i="79"/>
  <c r="B2598" i="79"/>
  <c r="B2597" i="79"/>
  <c r="B2596" i="79"/>
  <c r="B2595" i="79"/>
  <c r="B2594" i="79"/>
  <c r="B2593" i="79"/>
  <c r="B2592" i="79"/>
  <c r="C2591" i="79"/>
  <c r="B2591" i="79"/>
  <c r="C2590" i="79"/>
  <c r="C2589" i="79"/>
  <c r="B2589" i="79"/>
  <c r="C2588" i="79"/>
  <c r="B2588" i="79"/>
  <c r="B2587" i="79"/>
  <c r="B2586" i="79"/>
  <c r="B2585" i="79"/>
  <c r="B2584" i="79"/>
  <c r="B2583" i="79"/>
  <c r="B2582" i="79"/>
  <c r="B2581" i="79"/>
  <c r="B2580" i="79"/>
  <c r="B2579" i="79"/>
  <c r="B2578" i="79"/>
  <c r="B2577" i="79"/>
  <c r="B2576" i="79"/>
  <c r="B2575" i="79"/>
  <c r="B2574" i="79"/>
  <c r="B2573" i="79"/>
  <c r="B2572" i="79"/>
  <c r="B2571" i="79"/>
  <c r="B2570" i="79"/>
  <c r="B2569" i="79"/>
  <c r="B2568" i="79"/>
  <c r="B2567" i="79"/>
  <c r="B2566" i="79"/>
  <c r="B2565" i="79"/>
  <c r="B2564" i="79"/>
  <c r="B2563" i="79"/>
  <c r="B2562" i="79"/>
  <c r="B2561" i="79"/>
  <c r="B2560" i="79"/>
  <c r="B2559" i="79"/>
  <c r="B2558" i="79"/>
  <c r="B2557" i="79"/>
  <c r="C2556" i="79"/>
  <c r="C2555" i="79"/>
  <c r="B2555" i="79"/>
  <c r="C2554" i="79"/>
  <c r="B2554" i="79"/>
  <c r="B2553" i="79"/>
  <c r="B2552" i="79"/>
  <c r="B2551" i="79"/>
  <c r="B2550" i="79"/>
  <c r="B2549" i="79"/>
  <c r="B2548" i="79"/>
  <c r="B2547" i="79"/>
  <c r="B2546" i="79"/>
  <c r="B2545" i="79"/>
  <c r="B2544" i="79"/>
  <c r="B2543" i="79"/>
  <c r="B2542" i="79"/>
  <c r="B2541" i="79"/>
  <c r="B2540" i="79"/>
  <c r="B2539" i="79"/>
  <c r="B2538" i="79"/>
  <c r="B2537" i="79"/>
  <c r="B2536" i="79"/>
  <c r="B2535" i="79"/>
  <c r="B2534" i="79"/>
  <c r="B2533" i="79"/>
  <c r="B2532" i="79"/>
  <c r="B2531" i="79"/>
  <c r="B2530" i="79"/>
  <c r="B2529" i="79"/>
  <c r="B2528" i="79"/>
  <c r="B2527" i="79"/>
  <c r="B2526" i="79"/>
  <c r="B2525" i="79"/>
  <c r="B2524" i="79"/>
  <c r="B2523" i="79"/>
  <c r="C2522" i="79"/>
  <c r="C2521" i="79"/>
  <c r="B2521" i="79"/>
  <c r="C2520" i="79"/>
  <c r="B2520" i="79"/>
  <c r="B2519" i="79"/>
  <c r="B2518" i="79"/>
  <c r="B2517" i="79"/>
  <c r="B2516" i="79"/>
  <c r="B2515" i="79"/>
  <c r="B2514" i="79"/>
  <c r="B2513" i="79"/>
  <c r="B2512" i="79"/>
  <c r="B2511" i="79"/>
  <c r="B2510" i="79"/>
  <c r="B2509" i="79"/>
  <c r="B2508" i="79"/>
  <c r="B2507" i="79"/>
  <c r="B2506" i="79"/>
  <c r="B2505" i="79"/>
  <c r="B2504" i="79"/>
  <c r="B2503" i="79"/>
  <c r="B2502" i="79"/>
  <c r="B2501" i="79"/>
  <c r="B2500" i="79"/>
  <c r="B2499" i="79"/>
  <c r="B2498" i="79"/>
  <c r="B2497" i="79"/>
  <c r="B2496" i="79"/>
  <c r="B2495" i="79"/>
  <c r="B2494" i="79"/>
  <c r="B2493" i="79"/>
  <c r="B2492" i="79"/>
  <c r="B2491" i="79"/>
  <c r="B2490" i="79"/>
  <c r="B2489" i="79"/>
  <c r="C2488" i="79"/>
  <c r="C2487" i="79"/>
  <c r="B2487" i="79"/>
  <c r="C2486" i="79"/>
  <c r="B2486" i="79"/>
  <c r="B2485" i="79"/>
  <c r="B2484" i="79"/>
  <c r="B2483" i="79"/>
  <c r="B2482" i="79"/>
  <c r="B2481" i="79"/>
  <c r="B2480" i="79"/>
  <c r="B2479" i="79"/>
  <c r="B2478" i="79"/>
  <c r="B2477" i="79"/>
  <c r="B2476" i="79"/>
  <c r="B2475" i="79"/>
  <c r="B2474" i="79"/>
  <c r="B2473" i="79"/>
  <c r="B2472" i="79"/>
  <c r="B2471" i="79"/>
  <c r="B2470" i="79"/>
  <c r="B2469" i="79"/>
  <c r="B2468" i="79"/>
  <c r="B2467" i="79"/>
  <c r="B2466" i="79"/>
  <c r="B2465" i="79"/>
  <c r="B2464" i="79"/>
  <c r="B2463" i="79"/>
  <c r="B2462" i="79"/>
  <c r="B2461" i="79"/>
  <c r="B2460" i="79"/>
  <c r="B2459" i="79"/>
  <c r="B2458" i="79"/>
  <c r="B2457" i="79"/>
  <c r="B2456" i="79"/>
  <c r="B2455" i="79"/>
  <c r="C2454" i="79"/>
  <c r="C2453" i="79"/>
  <c r="B2453" i="79"/>
  <c r="C2452" i="79"/>
  <c r="B2452" i="79"/>
  <c r="B2451" i="79"/>
  <c r="B2450" i="79"/>
  <c r="B2449" i="79"/>
  <c r="B2448" i="79"/>
  <c r="B2447" i="79"/>
  <c r="B2446" i="79"/>
  <c r="B2445" i="79"/>
  <c r="B2444" i="79"/>
  <c r="B2443" i="79"/>
  <c r="B2442" i="79"/>
  <c r="B2441" i="79"/>
  <c r="B2440" i="79"/>
  <c r="B2439" i="79"/>
  <c r="B2438" i="79"/>
  <c r="B2437" i="79"/>
  <c r="B2436" i="79"/>
  <c r="B2435" i="79"/>
  <c r="B2434" i="79"/>
  <c r="B2433" i="79"/>
  <c r="B2432" i="79"/>
  <c r="B2431" i="79"/>
  <c r="B2430" i="79"/>
  <c r="B2429" i="79"/>
  <c r="B2428" i="79"/>
  <c r="B2427" i="79"/>
  <c r="B2426" i="79"/>
  <c r="B2425" i="79"/>
  <c r="B2424" i="79"/>
  <c r="B2423" i="79"/>
  <c r="B2422" i="79"/>
  <c r="C2413" i="79"/>
  <c r="C2149" i="79"/>
  <c r="B2149" i="79"/>
  <c r="C2148" i="79"/>
  <c r="B2148" i="79"/>
  <c r="C2147" i="79"/>
  <c r="B2147" i="79"/>
  <c r="C2146" i="79"/>
  <c r="B2146" i="79"/>
  <c r="C2145" i="79"/>
  <c r="B2145" i="79"/>
  <c r="C2144" i="79"/>
  <c r="B2144" i="79"/>
  <c r="C2143" i="79"/>
  <c r="B2143" i="79"/>
  <c r="C2142" i="79"/>
  <c r="B2142" i="79"/>
  <c r="C2141" i="79"/>
  <c r="B2141" i="79"/>
  <c r="C2140" i="79"/>
  <c r="B2140" i="79"/>
  <c r="C2139" i="79"/>
  <c r="B2139" i="79"/>
  <c r="C2138" i="79"/>
  <c r="B2138" i="79"/>
  <c r="C2137" i="79"/>
  <c r="B2137" i="79"/>
  <c r="C2136" i="79"/>
  <c r="B2136" i="79"/>
  <c r="C2085" i="79"/>
  <c r="C2101" i="79" s="1"/>
  <c r="C2116" i="79" s="1"/>
  <c r="AE2035" i="79"/>
  <c r="AD2035" i="79"/>
  <c r="AE2034" i="79"/>
  <c r="AD2034" i="79"/>
  <c r="AE2033" i="79"/>
  <c r="AD2033" i="79"/>
  <c r="Z2029" i="79"/>
  <c r="Z2065" i="79" s="1"/>
  <c r="C2029" i="79"/>
  <c r="C2065" i="79" s="1"/>
  <c r="AE1999" i="79"/>
  <c r="AD1999" i="79"/>
  <c r="AE1998" i="79"/>
  <c r="AD1998" i="79"/>
  <c r="AE1997" i="79"/>
  <c r="AD1997" i="79"/>
  <c r="AE1964" i="79"/>
  <c r="AD1964" i="79"/>
  <c r="AE1963" i="79"/>
  <c r="AD1963" i="79"/>
  <c r="AE1962" i="79"/>
  <c r="AD1962" i="79"/>
  <c r="Y1944" i="79"/>
  <c r="AE1928" i="79"/>
  <c r="AD1928" i="79"/>
  <c r="AE1927" i="79"/>
  <c r="AD1927" i="79"/>
  <c r="AE1926" i="79"/>
  <c r="AD1926" i="79"/>
  <c r="AE1892" i="79"/>
  <c r="AD1892" i="79"/>
  <c r="AE1891" i="79"/>
  <c r="AD1891" i="79"/>
  <c r="AE1890" i="79"/>
  <c r="AD1890" i="79"/>
  <c r="AE1856" i="79"/>
  <c r="AD1856" i="79"/>
  <c r="AE1855" i="79"/>
  <c r="AD1855" i="79"/>
  <c r="AE1854" i="79"/>
  <c r="AD1854" i="79"/>
  <c r="AE1820" i="79"/>
  <c r="AD1820" i="79"/>
  <c r="AE1819" i="79"/>
  <c r="AD1819" i="79"/>
  <c r="AE1818" i="79"/>
  <c r="AD1818" i="79"/>
  <c r="AE1784" i="79"/>
  <c r="AD1784" i="79"/>
  <c r="AE1783" i="79"/>
  <c r="AD1783" i="79"/>
  <c r="AE1782" i="79"/>
  <c r="AD1782" i="79"/>
  <c r="AE1748" i="79"/>
  <c r="AD1748" i="79"/>
  <c r="AE1747" i="79"/>
  <c r="AD1747" i="79"/>
  <c r="AE1746" i="79"/>
  <c r="AD1746" i="79"/>
  <c r="AE1712" i="79"/>
  <c r="AD1712" i="79"/>
  <c r="AE1711" i="79"/>
  <c r="AD1711" i="79"/>
  <c r="AE1710" i="79"/>
  <c r="AD1710" i="79"/>
  <c r="Z1692" i="79"/>
  <c r="Z1728" i="79" s="1"/>
  <c r="Z1764" i="79" s="1"/>
  <c r="Z1800" i="79" s="1"/>
  <c r="Z1836" i="79" s="1"/>
  <c r="Z1872" i="79" s="1"/>
  <c r="Z1908" i="79" s="1"/>
  <c r="Z1944" i="79" s="1"/>
  <c r="Z1980" i="79" s="1"/>
  <c r="Z2015" i="79" s="1"/>
  <c r="Z2051" i="79" s="1"/>
  <c r="AE1676" i="79"/>
  <c r="AD1676" i="79"/>
  <c r="AE1675" i="79"/>
  <c r="AD1675" i="79"/>
  <c r="AE1674" i="79"/>
  <c r="AD1674" i="79"/>
  <c r="AE1640" i="79"/>
  <c r="AD1640" i="79"/>
  <c r="AE1639" i="79"/>
  <c r="AD1639" i="79"/>
  <c r="AE1638" i="79"/>
  <c r="AD1638" i="79"/>
  <c r="H1628" i="79"/>
  <c r="H1627" i="79"/>
  <c r="G1627" i="79"/>
  <c r="C1627" i="79"/>
  <c r="H1626" i="79"/>
  <c r="G1626" i="79"/>
  <c r="H1625" i="79"/>
  <c r="G1625" i="79"/>
  <c r="Y1617" i="79"/>
  <c r="B1617" i="79"/>
  <c r="Y1615" i="79"/>
  <c r="B1615" i="79"/>
  <c r="C1625" i="79" s="1"/>
  <c r="AQ1590" i="79"/>
  <c r="AQ1999" i="79" s="1"/>
  <c r="AP1590" i="79"/>
  <c r="AP1999" i="79" s="1"/>
  <c r="AO1590" i="79"/>
  <c r="AO1999" i="79" s="1"/>
  <c r="AN1590" i="79"/>
  <c r="AN1999" i="79" s="1"/>
  <c r="AM1590" i="79"/>
  <c r="AM1999" i="79" s="1"/>
  <c r="AL1590" i="79"/>
  <c r="AL1999" i="79" s="1"/>
  <c r="AK1590" i="79"/>
  <c r="AK1999" i="79" s="1"/>
  <c r="AJ1590" i="79"/>
  <c r="AJ1999" i="79" s="1"/>
  <c r="AI1590" i="79"/>
  <c r="AI1999" i="79" s="1"/>
  <c r="AH1590" i="79"/>
  <c r="AH1999" i="79" s="1"/>
  <c r="AG1590" i="79"/>
  <c r="AG1999" i="79" s="1"/>
  <c r="AF1590" i="79"/>
  <c r="AF1999" i="79" s="1"/>
  <c r="Y1456" i="79"/>
  <c r="Y1312" i="79" s="1"/>
  <c r="B1456" i="79"/>
  <c r="C1436" i="79"/>
  <c r="B1436" i="79"/>
  <c r="C1424" i="79"/>
  <c r="B1424" i="79"/>
  <c r="Y1367" i="79"/>
  <c r="B1367" i="79"/>
  <c r="Y1366" i="79"/>
  <c r="B1312" i="79"/>
  <c r="C1309" i="79"/>
  <c r="Z1309" i="79" s="1"/>
  <c r="AF1272" i="79"/>
  <c r="Y1272" i="79"/>
  <c r="Y1239" i="79"/>
  <c r="B1200" i="79"/>
  <c r="B1199" i="79"/>
  <c r="B1269" i="79" s="1"/>
  <c r="B1198" i="79"/>
  <c r="C1197" i="79"/>
  <c r="Z1197" i="79" s="1"/>
  <c r="Z1232" i="79" s="1"/>
  <c r="B1197" i="79"/>
  <c r="C1196" i="79"/>
  <c r="Z1196" i="79" s="1"/>
  <c r="Z1231" i="79" s="1"/>
  <c r="B1196" i="79"/>
  <c r="C1195" i="79"/>
  <c r="Z1195" i="79" s="1"/>
  <c r="Z1230" i="79" s="1"/>
  <c r="B1195" i="79"/>
  <c r="B1265" i="79" s="1"/>
  <c r="C1194" i="79"/>
  <c r="Z1194" i="79" s="1"/>
  <c r="Z1229" i="79" s="1"/>
  <c r="B1194" i="79"/>
  <c r="C1193" i="79"/>
  <c r="Z1193" i="79" s="1"/>
  <c r="Z1228" i="79" s="1"/>
  <c r="B1193" i="79"/>
  <c r="C1192" i="79"/>
  <c r="Z1192" i="79" s="1"/>
  <c r="Z1227" i="79" s="1"/>
  <c r="B1192" i="79"/>
  <c r="C1191" i="79"/>
  <c r="Z1191" i="79" s="1"/>
  <c r="Z1226" i="79" s="1"/>
  <c r="B1191" i="79"/>
  <c r="C1190" i="79"/>
  <c r="Z1190" i="79" s="1"/>
  <c r="Z1225" i="79" s="1"/>
  <c r="B1190" i="79"/>
  <c r="C1189" i="79"/>
  <c r="Z1189" i="79" s="1"/>
  <c r="Z1224" i="79" s="1"/>
  <c r="B1189" i="79"/>
  <c r="C1188" i="79"/>
  <c r="Z1188" i="79" s="1"/>
  <c r="Z1223" i="79" s="1"/>
  <c r="B1188" i="79"/>
  <c r="B1258" i="79" s="1"/>
  <c r="C1187" i="79"/>
  <c r="Z1187" i="79" s="1"/>
  <c r="Z1222" i="79" s="1"/>
  <c r="B1187" i="79"/>
  <c r="C1186" i="79"/>
  <c r="Z1186" i="79" s="1"/>
  <c r="Z1221" i="79" s="1"/>
  <c r="B1186" i="79"/>
  <c r="C1185" i="79"/>
  <c r="Z1185" i="79" s="1"/>
  <c r="Z1220" i="79" s="1"/>
  <c r="B1185" i="79"/>
  <c r="C1184" i="79"/>
  <c r="Z1184" i="79" s="1"/>
  <c r="Z1219" i="79" s="1"/>
  <c r="B1184" i="79"/>
  <c r="B1254" i="79" s="1"/>
  <c r="C1183" i="79"/>
  <c r="Z1183" i="79" s="1"/>
  <c r="B1183" i="79"/>
  <c r="C1182" i="79"/>
  <c r="C1654" i="79" s="1"/>
  <c r="C1690" i="79" s="1"/>
  <c r="C1726" i="79" s="1"/>
  <c r="C1762" i="79" s="1"/>
  <c r="C1798" i="79" s="1"/>
  <c r="C1834" i="79" s="1"/>
  <c r="C1870" i="79" s="1"/>
  <c r="C1906" i="79" s="1"/>
  <c r="C1942" i="79" s="1"/>
  <c r="C1978" i="79" s="1"/>
  <c r="C2013" i="79" s="1"/>
  <c r="C2049" i="79" s="1"/>
  <c r="C2083" i="79" s="1"/>
  <c r="C2098" i="79" s="1"/>
  <c r="C2114" i="79" s="1"/>
  <c r="C2129" i="79" s="1"/>
  <c r="B1182" i="79"/>
  <c r="C1181" i="79"/>
  <c r="C1653" i="79" s="1"/>
  <c r="C1689" i="79" s="1"/>
  <c r="C1725" i="79" s="1"/>
  <c r="C1761" i="79" s="1"/>
  <c r="C1797" i="79" s="1"/>
  <c r="C1833" i="79" s="1"/>
  <c r="C1869" i="79" s="1"/>
  <c r="C1905" i="79" s="1"/>
  <c r="C1941" i="79" s="1"/>
  <c r="C1977" i="79" s="1"/>
  <c r="C2012" i="79" s="1"/>
  <c r="C2048" i="79" s="1"/>
  <c r="C2082" i="79" s="1"/>
  <c r="C2097" i="79" s="1"/>
  <c r="C2113" i="79" s="1"/>
  <c r="C2128" i="79" s="1"/>
  <c r="B1181" i="79"/>
  <c r="C1180" i="79"/>
  <c r="Z1180" i="79" s="1"/>
  <c r="B1180" i="79"/>
  <c r="C1179" i="79"/>
  <c r="Z1179" i="79" s="1"/>
  <c r="B1179" i="79"/>
  <c r="C1178" i="79"/>
  <c r="Z1178" i="79" s="1"/>
  <c r="B1178" i="79"/>
  <c r="C1177" i="79"/>
  <c r="C1649" i="79" s="1"/>
  <c r="C1685" i="79" s="1"/>
  <c r="C1721" i="79" s="1"/>
  <c r="C1757" i="79" s="1"/>
  <c r="C1793" i="79" s="1"/>
  <c r="C1829" i="79" s="1"/>
  <c r="C1865" i="79" s="1"/>
  <c r="C1901" i="79" s="1"/>
  <c r="C1937" i="79" s="1"/>
  <c r="C1973" i="79" s="1"/>
  <c r="C2008" i="79" s="1"/>
  <c r="C2044" i="79" s="1"/>
  <c r="C2078" i="79" s="1"/>
  <c r="C2093" i="79" s="1"/>
  <c r="C2109" i="79" s="1"/>
  <c r="C2124" i="79" s="1"/>
  <c r="B1177" i="79"/>
  <c r="B1247" i="79" s="1"/>
  <c r="C1176" i="79"/>
  <c r="Z1176" i="79" s="1"/>
  <c r="B1176" i="79"/>
  <c r="B1648" i="79" s="1"/>
  <c r="C1175" i="79"/>
  <c r="Z1175" i="79" s="1"/>
  <c r="B1175" i="79"/>
  <c r="C1174" i="79"/>
  <c r="Z1174" i="79" s="1"/>
  <c r="B1174" i="79"/>
  <c r="C1173" i="79"/>
  <c r="C1645" i="79" s="1"/>
  <c r="C1681" i="79" s="1"/>
  <c r="C1717" i="79" s="1"/>
  <c r="C1753" i="79" s="1"/>
  <c r="C1789" i="79" s="1"/>
  <c r="C1825" i="79" s="1"/>
  <c r="C1861" i="79" s="1"/>
  <c r="C1897" i="79" s="1"/>
  <c r="C1933" i="79" s="1"/>
  <c r="C1969" i="79" s="1"/>
  <c r="C2004" i="79" s="1"/>
  <c r="C2040" i="79" s="1"/>
  <c r="C2074" i="79" s="1"/>
  <c r="C2089" i="79" s="1"/>
  <c r="C2105" i="79" s="1"/>
  <c r="C2120" i="79" s="1"/>
  <c r="B1173" i="79"/>
  <c r="C1172" i="79"/>
  <c r="Z1172" i="79" s="1"/>
  <c r="B1172" i="79"/>
  <c r="B1644" i="79" s="1"/>
  <c r="C1171" i="79"/>
  <c r="Z1171" i="79" s="1"/>
  <c r="B1171" i="79"/>
  <c r="B1241" i="79" s="1"/>
  <c r="C1170" i="79"/>
  <c r="Z1170" i="79" s="1"/>
  <c r="B1170" i="79"/>
  <c r="F1151" i="79"/>
  <c r="G1151" i="79" s="1"/>
  <c r="D1151" i="79"/>
  <c r="C1151" i="79"/>
  <c r="I1151" i="79" s="1"/>
  <c r="U1151" i="79" s="1"/>
  <c r="F1150" i="79"/>
  <c r="G1150" i="79" s="1"/>
  <c r="D1150" i="79"/>
  <c r="C1150" i="79"/>
  <c r="I1150" i="79" s="1"/>
  <c r="U1150" i="79" s="1"/>
  <c r="F1149" i="79"/>
  <c r="G1149" i="79" s="1"/>
  <c r="D1149" i="79"/>
  <c r="C1149" i="79"/>
  <c r="I1149" i="79" s="1"/>
  <c r="F1146" i="79"/>
  <c r="G1146" i="79" s="1"/>
  <c r="D1146" i="79"/>
  <c r="C1146" i="79"/>
  <c r="I1146" i="79" s="1"/>
  <c r="U1146" i="79" s="1"/>
  <c r="F1145" i="79"/>
  <c r="G1145" i="79" s="1"/>
  <c r="D1145" i="79"/>
  <c r="C1145" i="79"/>
  <c r="I1145" i="79" s="1"/>
  <c r="V1142" i="79"/>
  <c r="F1142" i="79"/>
  <c r="G1142" i="79" s="1"/>
  <c r="D1142" i="79"/>
  <c r="C1142" i="79"/>
  <c r="I1142" i="79" s="1"/>
  <c r="U1142" i="79" s="1"/>
  <c r="V1141" i="79"/>
  <c r="F1141" i="79"/>
  <c r="G1141" i="79" s="1"/>
  <c r="D1141" i="79"/>
  <c r="C1141" i="79"/>
  <c r="I1141" i="79" s="1"/>
  <c r="V1138" i="79"/>
  <c r="D1138" i="79"/>
  <c r="C1138" i="79"/>
  <c r="I1138" i="79" s="1"/>
  <c r="U1138" i="79" s="1"/>
  <c r="V1137" i="79"/>
  <c r="D1137" i="79"/>
  <c r="C1137" i="79"/>
  <c r="I1137" i="79" s="1"/>
  <c r="F1128" i="79"/>
  <c r="G1128" i="79" s="1"/>
  <c r="D1128" i="79"/>
  <c r="C1128" i="79"/>
  <c r="I1128" i="79" s="1"/>
  <c r="U1128" i="79" s="1"/>
  <c r="F1127" i="79"/>
  <c r="G1127" i="79" s="1"/>
  <c r="D1127" i="79"/>
  <c r="C1127" i="79"/>
  <c r="I1127" i="79" s="1"/>
  <c r="U1127" i="79" s="1"/>
  <c r="F1126" i="79"/>
  <c r="G1126" i="79" s="1"/>
  <c r="D1126" i="79"/>
  <c r="C1126" i="79"/>
  <c r="I1126" i="79" s="1"/>
  <c r="U1126" i="79" s="1"/>
  <c r="F1123" i="79"/>
  <c r="G1123" i="79" s="1"/>
  <c r="D1123" i="79"/>
  <c r="C1123" i="79"/>
  <c r="I1123" i="79" s="1"/>
  <c r="U1123" i="79" s="1"/>
  <c r="F1122" i="79"/>
  <c r="G1122" i="79" s="1"/>
  <c r="D1122" i="79"/>
  <c r="C1122" i="79"/>
  <c r="I1122" i="79" s="1"/>
  <c r="V1119" i="79"/>
  <c r="F1119" i="79"/>
  <c r="G1119" i="79" s="1"/>
  <c r="D1119" i="79"/>
  <c r="C1119" i="79"/>
  <c r="I1119" i="79" s="1"/>
  <c r="U1119" i="79" s="1"/>
  <c r="V1118" i="79"/>
  <c r="F1118" i="79"/>
  <c r="G1118" i="79" s="1"/>
  <c r="D1118" i="79"/>
  <c r="C1118" i="79"/>
  <c r="I1118" i="79" s="1"/>
  <c r="V1115" i="79"/>
  <c r="D1115" i="79"/>
  <c r="C1115" i="79"/>
  <c r="I1115" i="79" s="1"/>
  <c r="U1115" i="79" s="1"/>
  <c r="V1114" i="79"/>
  <c r="D1114" i="79"/>
  <c r="C1114" i="79"/>
  <c r="I1114" i="79" s="1"/>
  <c r="F1105" i="79"/>
  <c r="G1105" i="79" s="1"/>
  <c r="D1105" i="79"/>
  <c r="C1105" i="79"/>
  <c r="I1105" i="79" s="1"/>
  <c r="U1105" i="79" s="1"/>
  <c r="F1104" i="79"/>
  <c r="G1104" i="79" s="1"/>
  <c r="D1104" i="79"/>
  <c r="C1104" i="79"/>
  <c r="I1104" i="79" s="1"/>
  <c r="U1104" i="79" s="1"/>
  <c r="F1103" i="79"/>
  <c r="G1103" i="79" s="1"/>
  <c r="D1103" i="79"/>
  <c r="C1103" i="79"/>
  <c r="I1103" i="79" s="1"/>
  <c r="F1100" i="79"/>
  <c r="G1100" i="79" s="1"/>
  <c r="D1100" i="79"/>
  <c r="C1100" i="79"/>
  <c r="I1100" i="79" s="1"/>
  <c r="U1100" i="79" s="1"/>
  <c r="F1099" i="79"/>
  <c r="G1099" i="79" s="1"/>
  <c r="D1099" i="79"/>
  <c r="C1099" i="79"/>
  <c r="I1099" i="79" s="1"/>
  <c r="V1096" i="79"/>
  <c r="F1096" i="79"/>
  <c r="G1096" i="79" s="1"/>
  <c r="D1096" i="79"/>
  <c r="C1096" i="79"/>
  <c r="I1096" i="79" s="1"/>
  <c r="U1096" i="79" s="1"/>
  <c r="V1095" i="79"/>
  <c r="F1095" i="79"/>
  <c r="G1095" i="79" s="1"/>
  <c r="D1095" i="79"/>
  <c r="C1095" i="79"/>
  <c r="I1095" i="79" s="1"/>
  <c r="V1092" i="79"/>
  <c r="D1092" i="79"/>
  <c r="C1092" i="79"/>
  <c r="I1092" i="79" s="1"/>
  <c r="U1092" i="79" s="1"/>
  <c r="V1091" i="79"/>
  <c r="D1091" i="79"/>
  <c r="C1091" i="79"/>
  <c r="I1091" i="79" s="1"/>
  <c r="F1082" i="79"/>
  <c r="G1082" i="79" s="1"/>
  <c r="D1082" i="79"/>
  <c r="C1082" i="79"/>
  <c r="I1082" i="79" s="1"/>
  <c r="U1082" i="79" s="1"/>
  <c r="F1081" i="79"/>
  <c r="G1081" i="79" s="1"/>
  <c r="D1081" i="79"/>
  <c r="C1081" i="79"/>
  <c r="I1081" i="79" s="1"/>
  <c r="U1081" i="79" s="1"/>
  <c r="F1080" i="79"/>
  <c r="G1080" i="79" s="1"/>
  <c r="D1080" i="79"/>
  <c r="C1080" i="79"/>
  <c r="I1080" i="79" s="1"/>
  <c r="F1077" i="79"/>
  <c r="G1077" i="79" s="1"/>
  <c r="D1077" i="79"/>
  <c r="C1077" i="79"/>
  <c r="I1077" i="79" s="1"/>
  <c r="U1077" i="79" s="1"/>
  <c r="F1076" i="79"/>
  <c r="G1076" i="79" s="1"/>
  <c r="D1076" i="79"/>
  <c r="C1076" i="79"/>
  <c r="I1076" i="79" s="1"/>
  <c r="V1073" i="79"/>
  <c r="F1073" i="79"/>
  <c r="G1073" i="79" s="1"/>
  <c r="D1073" i="79"/>
  <c r="C1073" i="79"/>
  <c r="I1073" i="79" s="1"/>
  <c r="U1073" i="79" s="1"/>
  <c r="V1072" i="79"/>
  <c r="F1072" i="79"/>
  <c r="G1072" i="79" s="1"/>
  <c r="D1072" i="79"/>
  <c r="C1072" i="79"/>
  <c r="I1072" i="79" s="1"/>
  <c r="V1069" i="79"/>
  <c r="D1069" i="79"/>
  <c r="C1069" i="79"/>
  <c r="I1069" i="79" s="1"/>
  <c r="V1068" i="79"/>
  <c r="D1068" i="79"/>
  <c r="C1068" i="79"/>
  <c r="I1068" i="79" s="1"/>
  <c r="F1059" i="79"/>
  <c r="G1059" i="79" s="1"/>
  <c r="D1059" i="79"/>
  <c r="C1059" i="79"/>
  <c r="I1059" i="79" s="1"/>
  <c r="U1059" i="79" s="1"/>
  <c r="F1058" i="79"/>
  <c r="G1058" i="79" s="1"/>
  <c r="D1058" i="79"/>
  <c r="C1058" i="79"/>
  <c r="I1058" i="79" s="1"/>
  <c r="U1058" i="79" s="1"/>
  <c r="F1057" i="79"/>
  <c r="G1057" i="79" s="1"/>
  <c r="D1057" i="79"/>
  <c r="C1057" i="79"/>
  <c r="I1057" i="79" s="1"/>
  <c r="F1054" i="79"/>
  <c r="G1054" i="79" s="1"/>
  <c r="D1054" i="79"/>
  <c r="C1054" i="79"/>
  <c r="I1054" i="79" s="1"/>
  <c r="U1054" i="79" s="1"/>
  <c r="F1053" i="79"/>
  <c r="G1053" i="79" s="1"/>
  <c r="D1053" i="79"/>
  <c r="C1053" i="79"/>
  <c r="I1053" i="79" s="1"/>
  <c r="V1050" i="79"/>
  <c r="F1050" i="79"/>
  <c r="G1050" i="79" s="1"/>
  <c r="D1050" i="79"/>
  <c r="C1050" i="79"/>
  <c r="I1050" i="79" s="1"/>
  <c r="U1050" i="79" s="1"/>
  <c r="V1049" i="79"/>
  <c r="F1049" i="79"/>
  <c r="G1049" i="79" s="1"/>
  <c r="D1049" i="79"/>
  <c r="C1049" i="79"/>
  <c r="I1049" i="79" s="1"/>
  <c r="V1046" i="79"/>
  <c r="D1046" i="79"/>
  <c r="C1046" i="79"/>
  <c r="I1046" i="79" s="1"/>
  <c r="U1046" i="79" s="1"/>
  <c r="V1045" i="79"/>
  <c r="D1045" i="79"/>
  <c r="C1045" i="79"/>
  <c r="I1045" i="79" s="1"/>
  <c r="F1036" i="79"/>
  <c r="G1036" i="79" s="1"/>
  <c r="D1036" i="79"/>
  <c r="C1036" i="79"/>
  <c r="I1036" i="79" s="1"/>
  <c r="U1036" i="79" s="1"/>
  <c r="F1035" i="79"/>
  <c r="G1035" i="79" s="1"/>
  <c r="D1035" i="79"/>
  <c r="C1035" i="79"/>
  <c r="I1035" i="79" s="1"/>
  <c r="U1035" i="79" s="1"/>
  <c r="F1034" i="79"/>
  <c r="G1034" i="79" s="1"/>
  <c r="D1034" i="79"/>
  <c r="C1034" i="79"/>
  <c r="I1034" i="79" s="1"/>
  <c r="F1031" i="79"/>
  <c r="G1031" i="79" s="1"/>
  <c r="D1031" i="79"/>
  <c r="C1031" i="79"/>
  <c r="I1031" i="79" s="1"/>
  <c r="U1031" i="79" s="1"/>
  <c r="F1030" i="79"/>
  <c r="G1030" i="79" s="1"/>
  <c r="D1030" i="79"/>
  <c r="C1030" i="79"/>
  <c r="I1030" i="79" s="1"/>
  <c r="V1027" i="79"/>
  <c r="F1027" i="79"/>
  <c r="G1027" i="79" s="1"/>
  <c r="D1027" i="79"/>
  <c r="C1027" i="79"/>
  <c r="I1027" i="79" s="1"/>
  <c r="U1027" i="79" s="1"/>
  <c r="V1026" i="79"/>
  <c r="F1026" i="79"/>
  <c r="G1026" i="79" s="1"/>
  <c r="D1026" i="79"/>
  <c r="C1026" i="79"/>
  <c r="I1026" i="79" s="1"/>
  <c r="V1023" i="79"/>
  <c r="D1023" i="79"/>
  <c r="C1023" i="79"/>
  <c r="I1023" i="79" s="1"/>
  <c r="U1023" i="79" s="1"/>
  <c r="V1022" i="79"/>
  <c r="D1022" i="79"/>
  <c r="C1022" i="79"/>
  <c r="I1022" i="79" s="1"/>
  <c r="F1013" i="79"/>
  <c r="G1013" i="79" s="1"/>
  <c r="D1013" i="79"/>
  <c r="C1013" i="79"/>
  <c r="I1013" i="79" s="1"/>
  <c r="U1013" i="79" s="1"/>
  <c r="F1012" i="79"/>
  <c r="G1012" i="79" s="1"/>
  <c r="D1012" i="79"/>
  <c r="C1012" i="79"/>
  <c r="I1012" i="79" s="1"/>
  <c r="F1011" i="79"/>
  <c r="G1011" i="79" s="1"/>
  <c r="D1011" i="79"/>
  <c r="C1011" i="79"/>
  <c r="I1011" i="79" s="1"/>
  <c r="U1011" i="79" s="1"/>
  <c r="F1008" i="79"/>
  <c r="G1008" i="79" s="1"/>
  <c r="D1008" i="79"/>
  <c r="C1008" i="79"/>
  <c r="I1008" i="79" s="1"/>
  <c r="F1007" i="79"/>
  <c r="G1007" i="79" s="1"/>
  <c r="D1007" i="79"/>
  <c r="C1007" i="79"/>
  <c r="I1007" i="79" s="1"/>
  <c r="U1007" i="79" s="1"/>
  <c r="V1004" i="79"/>
  <c r="F1004" i="79"/>
  <c r="G1004" i="79" s="1"/>
  <c r="D1004" i="79"/>
  <c r="C1004" i="79"/>
  <c r="I1004" i="79" s="1"/>
  <c r="U1004" i="79" s="1"/>
  <c r="V1003" i="79"/>
  <c r="F1003" i="79"/>
  <c r="G1003" i="79" s="1"/>
  <c r="D1003" i="79"/>
  <c r="C1003" i="79"/>
  <c r="I1003" i="79" s="1"/>
  <c r="V1000" i="79"/>
  <c r="D1000" i="79"/>
  <c r="C1000" i="79"/>
  <c r="I1000" i="79" s="1"/>
  <c r="U1000" i="79" s="1"/>
  <c r="V999" i="79"/>
  <c r="D999" i="79"/>
  <c r="C999" i="79"/>
  <c r="I999" i="79" s="1"/>
  <c r="F990" i="79"/>
  <c r="G990" i="79" s="1"/>
  <c r="D990" i="79"/>
  <c r="C990" i="79"/>
  <c r="I990" i="79" s="1"/>
  <c r="U990" i="79" s="1"/>
  <c r="F989" i="79"/>
  <c r="G989" i="79" s="1"/>
  <c r="D989" i="79"/>
  <c r="C989" i="79"/>
  <c r="I989" i="79" s="1"/>
  <c r="U989" i="79" s="1"/>
  <c r="F988" i="79"/>
  <c r="G988" i="79" s="1"/>
  <c r="D988" i="79"/>
  <c r="C988" i="79"/>
  <c r="I988" i="79" s="1"/>
  <c r="F985" i="79"/>
  <c r="G985" i="79" s="1"/>
  <c r="D985" i="79"/>
  <c r="C985" i="79"/>
  <c r="I985" i="79" s="1"/>
  <c r="U985" i="79" s="1"/>
  <c r="F984" i="79"/>
  <c r="G984" i="79" s="1"/>
  <c r="D984" i="79"/>
  <c r="C984" i="79"/>
  <c r="I984" i="79" s="1"/>
  <c r="V981" i="79"/>
  <c r="F981" i="79"/>
  <c r="G981" i="79" s="1"/>
  <c r="D981" i="79"/>
  <c r="C981" i="79"/>
  <c r="I981" i="79" s="1"/>
  <c r="U981" i="79" s="1"/>
  <c r="V980" i="79"/>
  <c r="F980" i="79"/>
  <c r="G980" i="79" s="1"/>
  <c r="D980" i="79"/>
  <c r="C980" i="79"/>
  <c r="I980" i="79" s="1"/>
  <c r="V977" i="79"/>
  <c r="D977" i="79"/>
  <c r="C977" i="79"/>
  <c r="I977" i="79" s="1"/>
  <c r="U977" i="79" s="1"/>
  <c r="V976" i="79"/>
  <c r="D976" i="79"/>
  <c r="C976" i="79"/>
  <c r="I976" i="79" s="1"/>
  <c r="F967" i="79"/>
  <c r="G967" i="79" s="1"/>
  <c r="D967" i="79"/>
  <c r="C967" i="79"/>
  <c r="I967" i="79" s="1"/>
  <c r="U967" i="79" s="1"/>
  <c r="F966" i="79"/>
  <c r="G966" i="79" s="1"/>
  <c r="D966" i="79"/>
  <c r="C966" i="79"/>
  <c r="I966" i="79" s="1"/>
  <c r="U966" i="79" s="1"/>
  <c r="F965" i="79"/>
  <c r="G965" i="79" s="1"/>
  <c r="D965" i="79"/>
  <c r="C965" i="79"/>
  <c r="I965" i="79" s="1"/>
  <c r="F962" i="79"/>
  <c r="G962" i="79" s="1"/>
  <c r="D962" i="79"/>
  <c r="C962" i="79"/>
  <c r="I962" i="79" s="1"/>
  <c r="U962" i="79" s="1"/>
  <c r="F961" i="79"/>
  <c r="G961" i="79" s="1"/>
  <c r="D961" i="79"/>
  <c r="C961" i="79"/>
  <c r="I961" i="79" s="1"/>
  <c r="V958" i="79"/>
  <c r="F958" i="79"/>
  <c r="G958" i="79" s="1"/>
  <c r="D958" i="79"/>
  <c r="C958" i="79"/>
  <c r="I958" i="79" s="1"/>
  <c r="U958" i="79" s="1"/>
  <c r="V957" i="79"/>
  <c r="F957" i="79"/>
  <c r="G957" i="79" s="1"/>
  <c r="D957" i="79"/>
  <c r="C957" i="79"/>
  <c r="I957" i="79" s="1"/>
  <c r="U957" i="79" s="1"/>
  <c r="V954" i="79"/>
  <c r="D954" i="79"/>
  <c r="C954" i="79"/>
  <c r="I954" i="79" s="1"/>
  <c r="U954" i="79" s="1"/>
  <c r="V953" i="79"/>
  <c r="D953" i="79"/>
  <c r="C953" i="79"/>
  <c r="I953" i="79" s="1"/>
  <c r="F944" i="79"/>
  <c r="G944" i="79" s="1"/>
  <c r="D944" i="79"/>
  <c r="C944" i="79"/>
  <c r="I944" i="79" s="1"/>
  <c r="U944" i="79" s="1"/>
  <c r="F943" i="79"/>
  <c r="G943" i="79" s="1"/>
  <c r="D943" i="79"/>
  <c r="C943" i="79"/>
  <c r="I943" i="79" s="1"/>
  <c r="U943" i="79" s="1"/>
  <c r="F942" i="79"/>
  <c r="G942" i="79" s="1"/>
  <c r="D942" i="79"/>
  <c r="C942" i="79"/>
  <c r="I942" i="79" s="1"/>
  <c r="U942" i="79" s="1"/>
  <c r="F939" i="79"/>
  <c r="G939" i="79" s="1"/>
  <c r="D939" i="79"/>
  <c r="C939" i="79"/>
  <c r="I939" i="79" s="1"/>
  <c r="U939" i="79" s="1"/>
  <c r="F938" i="79"/>
  <c r="G938" i="79" s="1"/>
  <c r="D938" i="79"/>
  <c r="C938" i="79"/>
  <c r="I938" i="79" s="1"/>
  <c r="V935" i="79"/>
  <c r="F935" i="79"/>
  <c r="G935" i="79" s="1"/>
  <c r="D935" i="79"/>
  <c r="C935" i="79"/>
  <c r="I935" i="79" s="1"/>
  <c r="U935" i="79" s="1"/>
  <c r="V934" i="79"/>
  <c r="F934" i="79"/>
  <c r="G934" i="79" s="1"/>
  <c r="D934" i="79"/>
  <c r="C934" i="79"/>
  <c r="I934" i="79" s="1"/>
  <c r="V931" i="79"/>
  <c r="D931" i="79"/>
  <c r="C931" i="79"/>
  <c r="I931" i="79" s="1"/>
  <c r="U931" i="79" s="1"/>
  <c r="V930" i="79"/>
  <c r="D930" i="79"/>
  <c r="C930" i="79"/>
  <c r="I930" i="79" s="1"/>
  <c r="F921" i="79"/>
  <c r="G921" i="79" s="1"/>
  <c r="D921" i="79"/>
  <c r="C921" i="79"/>
  <c r="I921" i="79" s="1"/>
  <c r="U921" i="79" s="1"/>
  <c r="F920" i="79"/>
  <c r="G920" i="79" s="1"/>
  <c r="D920" i="79"/>
  <c r="C920" i="79"/>
  <c r="I920" i="79" s="1"/>
  <c r="U920" i="79" s="1"/>
  <c r="F919" i="79"/>
  <c r="G919" i="79" s="1"/>
  <c r="D919" i="79"/>
  <c r="C919" i="79"/>
  <c r="I919" i="79" s="1"/>
  <c r="F916" i="79"/>
  <c r="G916" i="79" s="1"/>
  <c r="D916" i="79"/>
  <c r="C916" i="79"/>
  <c r="I916" i="79" s="1"/>
  <c r="U916" i="79" s="1"/>
  <c r="F915" i="79"/>
  <c r="G915" i="79" s="1"/>
  <c r="D915" i="79"/>
  <c r="C915" i="79"/>
  <c r="I915" i="79" s="1"/>
  <c r="V912" i="79"/>
  <c r="F912" i="79"/>
  <c r="G912" i="79" s="1"/>
  <c r="D912" i="79"/>
  <c r="C912" i="79"/>
  <c r="I912" i="79" s="1"/>
  <c r="U912" i="79" s="1"/>
  <c r="V911" i="79"/>
  <c r="F911" i="79"/>
  <c r="G911" i="79" s="1"/>
  <c r="D911" i="79"/>
  <c r="C911" i="79"/>
  <c r="I911" i="79" s="1"/>
  <c r="V908" i="79"/>
  <c r="D908" i="79"/>
  <c r="C908" i="79"/>
  <c r="I908" i="79" s="1"/>
  <c r="U908" i="79" s="1"/>
  <c r="V907" i="79"/>
  <c r="D907" i="79"/>
  <c r="C907" i="79"/>
  <c r="I907" i="79" s="1"/>
  <c r="F898" i="79"/>
  <c r="G898" i="79" s="1"/>
  <c r="D898" i="79"/>
  <c r="C898" i="79"/>
  <c r="I898" i="79" s="1"/>
  <c r="U898" i="79" s="1"/>
  <c r="F897" i="79"/>
  <c r="G897" i="79" s="1"/>
  <c r="D897" i="79"/>
  <c r="C897" i="79"/>
  <c r="I897" i="79" s="1"/>
  <c r="U897" i="79" s="1"/>
  <c r="F896" i="79"/>
  <c r="G896" i="79" s="1"/>
  <c r="D896" i="79"/>
  <c r="C896" i="79"/>
  <c r="I896" i="79" s="1"/>
  <c r="F893" i="79"/>
  <c r="G893" i="79" s="1"/>
  <c r="D893" i="79"/>
  <c r="C893" i="79"/>
  <c r="I893" i="79" s="1"/>
  <c r="U893" i="79" s="1"/>
  <c r="F892" i="79"/>
  <c r="G892" i="79" s="1"/>
  <c r="D892" i="79"/>
  <c r="C892" i="79"/>
  <c r="I892" i="79" s="1"/>
  <c r="V889" i="79"/>
  <c r="F889" i="79"/>
  <c r="G889" i="79" s="1"/>
  <c r="D889" i="79"/>
  <c r="C889" i="79"/>
  <c r="I889" i="79" s="1"/>
  <c r="U889" i="79" s="1"/>
  <c r="V888" i="79"/>
  <c r="F888" i="79"/>
  <c r="G888" i="79" s="1"/>
  <c r="D888" i="79"/>
  <c r="C888" i="79"/>
  <c r="I888" i="79" s="1"/>
  <c r="V885" i="79"/>
  <c r="D885" i="79"/>
  <c r="C885" i="79"/>
  <c r="I885" i="79" s="1"/>
  <c r="V884" i="79"/>
  <c r="D884" i="79"/>
  <c r="C884" i="79"/>
  <c r="I884" i="79" s="1"/>
  <c r="V845" i="79"/>
  <c r="F845" i="79"/>
  <c r="D843" i="79"/>
  <c r="V841" i="79"/>
  <c r="B840" i="79"/>
  <c r="D839" i="79"/>
  <c r="V837" i="79"/>
  <c r="V830" i="79"/>
  <c r="F830" i="79"/>
  <c r="G830" i="79" s="1"/>
  <c r="D830" i="79"/>
  <c r="C830" i="79"/>
  <c r="V827" i="79"/>
  <c r="F827" i="79"/>
  <c r="G827" i="79" s="1"/>
  <c r="D827" i="79"/>
  <c r="C827" i="79"/>
  <c r="V824" i="79"/>
  <c r="F824" i="79"/>
  <c r="G824" i="79" s="1"/>
  <c r="D824" i="79"/>
  <c r="C824" i="79"/>
  <c r="V821" i="79"/>
  <c r="F821" i="79"/>
  <c r="G821" i="79" s="1"/>
  <c r="D821" i="79"/>
  <c r="C821" i="79"/>
  <c r="V818" i="79"/>
  <c r="F818" i="79"/>
  <c r="G818" i="79" s="1"/>
  <c r="D818" i="79"/>
  <c r="C818" i="79"/>
  <c r="V815" i="79"/>
  <c r="F815" i="79"/>
  <c r="G815" i="79" s="1"/>
  <c r="D815" i="79"/>
  <c r="C815" i="79"/>
  <c r="V812" i="79"/>
  <c r="F812" i="79"/>
  <c r="G812" i="79" s="1"/>
  <c r="D812" i="79"/>
  <c r="C812" i="79"/>
  <c r="V809" i="79"/>
  <c r="F809" i="79"/>
  <c r="G809" i="79" s="1"/>
  <c r="D809" i="79"/>
  <c r="C809" i="79"/>
  <c r="V806" i="79"/>
  <c r="F806" i="79"/>
  <c r="G806" i="79" s="1"/>
  <c r="D806" i="79"/>
  <c r="C806" i="79"/>
  <c r="V801" i="79"/>
  <c r="F801" i="79"/>
  <c r="G801" i="79" s="1"/>
  <c r="D801" i="79"/>
  <c r="C801" i="79"/>
  <c r="V798" i="79"/>
  <c r="F798" i="79"/>
  <c r="G798" i="79" s="1"/>
  <c r="D798" i="79"/>
  <c r="C798" i="79"/>
  <c r="V795" i="79"/>
  <c r="F795" i="79"/>
  <c r="G795" i="79" s="1"/>
  <c r="D795" i="79"/>
  <c r="C795" i="79"/>
  <c r="V792" i="79"/>
  <c r="F792" i="79"/>
  <c r="G792" i="79" s="1"/>
  <c r="D792" i="79"/>
  <c r="C792" i="79"/>
  <c r="V789" i="79"/>
  <c r="F789" i="79"/>
  <c r="G789" i="79" s="1"/>
  <c r="D789" i="79"/>
  <c r="C789" i="79"/>
  <c r="V786" i="79"/>
  <c r="F786" i="79"/>
  <c r="G786" i="79" s="1"/>
  <c r="D786" i="79"/>
  <c r="C786" i="79"/>
  <c r="V783" i="79"/>
  <c r="F783" i="79"/>
  <c r="G783" i="79" s="1"/>
  <c r="D783" i="79"/>
  <c r="C783" i="79"/>
  <c r="V780" i="79"/>
  <c r="F780" i="79"/>
  <c r="G780" i="79" s="1"/>
  <c r="D780" i="79"/>
  <c r="C780" i="79"/>
  <c r="V777" i="79"/>
  <c r="F777" i="79"/>
  <c r="G777" i="79" s="1"/>
  <c r="D777" i="79"/>
  <c r="C777" i="79"/>
  <c r="V772" i="79"/>
  <c r="F772" i="79"/>
  <c r="G772" i="79" s="1"/>
  <c r="D772" i="79"/>
  <c r="C772" i="79"/>
  <c r="V771" i="79"/>
  <c r="F771" i="79"/>
  <c r="G771" i="79" s="1"/>
  <c r="D771" i="79"/>
  <c r="C771" i="79"/>
  <c r="V768" i="79"/>
  <c r="F768" i="79"/>
  <c r="G768" i="79" s="1"/>
  <c r="D768" i="79"/>
  <c r="C768" i="79"/>
  <c r="V767" i="79"/>
  <c r="F767" i="79"/>
  <c r="G767" i="79" s="1"/>
  <c r="D767" i="79"/>
  <c r="C767" i="79"/>
  <c r="V764" i="79"/>
  <c r="F764" i="79"/>
  <c r="G764" i="79" s="1"/>
  <c r="D764" i="79"/>
  <c r="C764" i="79"/>
  <c r="V763" i="79"/>
  <c r="F763" i="79"/>
  <c r="G763" i="79" s="1"/>
  <c r="D763" i="79"/>
  <c r="C763" i="79"/>
  <c r="V760" i="79"/>
  <c r="F760" i="79"/>
  <c r="G760" i="79" s="1"/>
  <c r="D760" i="79"/>
  <c r="C760" i="79"/>
  <c r="V759" i="79"/>
  <c r="F759" i="79"/>
  <c r="G759" i="79" s="1"/>
  <c r="D759" i="79"/>
  <c r="C759" i="79"/>
  <c r="V756" i="79"/>
  <c r="F756" i="79"/>
  <c r="G756" i="79" s="1"/>
  <c r="D756" i="79"/>
  <c r="C756" i="79"/>
  <c r="V755" i="79"/>
  <c r="F755" i="79"/>
  <c r="G755" i="79" s="1"/>
  <c r="D755" i="79"/>
  <c r="C755" i="79"/>
  <c r="V752" i="79"/>
  <c r="F752" i="79"/>
  <c r="G752" i="79" s="1"/>
  <c r="D752" i="79"/>
  <c r="C752" i="79"/>
  <c r="V751" i="79"/>
  <c r="F751" i="79"/>
  <c r="G751" i="79" s="1"/>
  <c r="D751" i="79"/>
  <c r="C751" i="79"/>
  <c r="V748" i="79"/>
  <c r="F748" i="79"/>
  <c r="G748" i="79" s="1"/>
  <c r="D748" i="79"/>
  <c r="C748" i="79"/>
  <c r="V747" i="79"/>
  <c r="F747" i="79"/>
  <c r="G747" i="79" s="1"/>
  <c r="D747" i="79"/>
  <c r="C747" i="79"/>
  <c r="V744" i="79"/>
  <c r="F744" i="79"/>
  <c r="G744" i="79" s="1"/>
  <c r="D744" i="79"/>
  <c r="C744" i="79"/>
  <c r="V743" i="79"/>
  <c r="F743" i="79"/>
  <c r="G743" i="79" s="1"/>
  <c r="D743" i="79"/>
  <c r="C743" i="79"/>
  <c r="V740" i="79"/>
  <c r="F740" i="79"/>
  <c r="G740" i="79" s="1"/>
  <c r="D740" i="79"/>
  <c r="C740" i="79"/>
  <c r="V739" i="79"/>
  <c r="F739" i="79"/>
  <c r="G739" i="79" s="1"/>
  <c r="D739" i="79"/>
  <c r="C739" i="79"/>
  <c r="V736" i="79"/>
  <c r="F736" i="79"/>
  <c r="G736" i="79" s="1"/>
  <c r="D736" i="79"/>
  <c r="V735" i="79"/>
  <c r="F735" i="79"/>
  <c r="G735" i="79" s="1"/>
  <c r="D735" i="79"/>
  <c r="V732" i="79"/>
  <c r="F732" i="79"/>
  <c r="G732" i="79" s="1"/>
  <c r="D732" i="79"/>
  <c r="C732" i="79"/>
  <c r="V731" i="79"/>
  <c r="F731" i="79"/>
  <c r="G731" i="79" s="1"/>
  <c r="D731" i="79"/>
  <c r="C731" i="79"/>
  <c r="V728" i="79"/>
  <c r="F728" i="79"/>
  <c r="G728" i="79" s="1"/>
  <c r="D728" i="79"/>
  <c r="C728" i="79"/>
  <c r="V727" i="79"/>
  <c r="V722" i="79"/>
  <c r="F722" i="79"/>
  <c r="G722" i="79" s="1"/>
  <c r="D722" i="79"/>
  <c r="C722" i="79"/>
  <c r="V721" i="79"/>
  <c r="F721" i="79"/>
  <c r="G721" i="79" s="1"/>
  <c r="D721" i="79"/>
  <c r="C721" i="79"/>
  <c r="V720" i="79"/>
  <c r="F720" i="79"/>
  <c r="G720" i="79" s="1"/>
  <c r="D720" i="79"/>
  <c r="C720" i="79"/>
  <c r="V717" i="79"/>
  <c r="F717" i="79"/>
  <c r="G717" i="79" s="1"/>
  <c r="D717" i="79"/>
  <c r="C717" i="79"/>
  <c r="V716" i="79"/>
  <c r="F716" i="79"/>
  <c r="G716" i="79" s="1"/>
  <c r="D716" i="79"/>
  <c r="C716" i="79"/>
  <c r="V715" i="79"/>
  <c r="F715" i="79"/>
  <c r="G715" i="79" s="1"/>
  <c r="D715" i="79"/>
  <c r="C715" i="79"/>
  <c r="V712" i="79"/>
  <c r="F712" i="79"/>
  <c r="G712" i="79" s="1"/>
  <c r="D712" i="79"/>
  <c r="C712" i="79"/>
  <c r="V711" i="79"/>
  <c r="F711" i="79"/>
  <c r="G711" i="79" s="1"/>
  <c r="D711" i="79"/>
  <c r="C711" i="79"/>
  <c r="V710" i="79"/>
  <c r="R2332" i="79" s="1"/>
  <c r="F710" i="79"/>
  <c r="G710" i="79" s="1"/>
  <c r="D710" i="79"/>
  <c r="C710" i="79"/>
  <c r="V707" i="79"/>
  <c r="F707" i="79"/>
  <c r="G707" i="79" s="1"/>
  <c r="D707" i="79"/>
  <c r="C707" i="79"/>
  <c r="V706" i="79"/>
  <c r="F706" i="79"/>
  <c r="G706" i="79" s="1"/>
  <c r="D706" i="79"/>
  <c r="C706" i="79"/>
  <c r="V705" i="79"/>
  <c r="V702" i="79"/>
  <c r="F702" i="79"/>
  <c r="G702" i="79" s="1"/>
  <c r="D702" i="79"/>
  <c r="C702" i="79"/>
  <c r="V701" i="79"/>
  <c r="F701" i="79"/>
  <c r="G701" i="79" s="1"/>
  <c r="D701" i="79"/>
  <c r="C701" i="79"/>
  <c r="V700" i="79"/>
  <c r="V695" i="79"/>
  <c r="F695" i="79"/>
  <c r="G695" i="79" s="1"/>
  <c r="D695" i="79"/>
  <c r="C695" i="79"/>
  <c r="V694" i="79"/>
  <c r="F694" i="79"/>
  <c r="G694" i="79" s="1"/>
  <c r="D694" i="79"/>
  <c r="C694" i="79"/>
  <c r="V693" i="79"/>
  <c r="F693" i="79"/>
  <c r="G693" i="79" s="1"/>
  <c r="D693" i="79"/>
  <c r="C693" i="79"/>
  <c r="V690" i="79"/>
  <c r="F690" i="79"/>
  <c r="G690" i="79" s="1"/>
  <c r="D690" i="79"/>
  <c r="C690" i="79"/>
  <c r="V689" i="79"/>
  <c r="F689" i="79"/>
  <c r="G689" i="79" s="1"/>
  <c r="D689" i="79"/>
  <c r="C689" i="79"/>
  <c r="V688" i="79"/>
  <c r="F688" i="79"/>
  <c r="G688" i="79" s="1"/>
  <c r="D688" i="79"/>
  <c r="C688" i="79"/>
  <c r="V685" i="79"/>
  <c r="F685" i="79"/>
  <c r="G685" i="79" s="1"/>
  <c r="D685" i="79"/>
  <c r="C685" i="79"/>
  <c r="V684" i="79"/>
  <c r="F684" i="79"/>
  <c r="G684" i="79" s="1"/>
  <c r="D684" i="79"/>
  <c r="C684" i="79"/>
  <c r="V683" i="79"/>
  <c r="F683" i="79"/>
  <c r="G683" i="79" s="1"/>
  <c r="D683" i="79"/>
  <c r="C683" i="79"/>
  <c r="V680" i="79"/>
  <c r="F680" i="79"/>
  <c r="G680" i="79" s="1"/>
  <c r="D680" i="79"/>
  <c r="C680" i="79"/>
  <c r="V679" i="79"/>
  <c r="F679" i="79"/>
  <c r="G679" i="79" s="1"/>
  <c r="D679" i="79"/>
  <c r="C679" i="79"/>
  <c r="V678" i="79"/>
  <c r="F678" i="79"/>
  <c r="G678" i="79" s="1"/>
  <c r="D678" i="79"/>
  <c r="C678" i="79"/>
  <c r="V675" i="79"/>
  <c r="F675" i="79"/>
  <c r="G675" i="79" s="1"/>
  <c r="D675" i="79"/>
  <c r="C675" i="79"/>
  <c r="V674" i="79"/>
  <c r="F674" i="79"/>
  <c r="G674" i="79" s="1"/>
  <c r="D674" i="79"/>
  <c r="C674" i="79"/>
  <c r="V673" i="79"/>
  <c r="F673" i="79"/>
  <c r="G673" i="79" s="1"/>
  <c r="D673" i="79"/>
  <c r="C673" i="79"/>
  <c r="V670" i="79"/>
  <c r="F670" i="79"/>
  <c r="G670" i="79" s="1"/>
  <c r="D670" i="79"/>
  <c r="C670" i="79"/>
  <c r="V669" i="79"/>
  <c r="F669" i="79"/>
  <c r="G669" i="79" s="1"/>
  <c r="D669" i="79"/>
  <c r="C669" i="79"/>
  <c r="V668" i="79"/>
  <c r="F631" i="79"/>
  <c r="G631" i="79" s="1"/>
  <c r="D631" i="79"/>
  <c r="C631" i="79"/>
  <c r="F628" i="79"/>
  <c r="G628" i="79" s="1"/>
  <c r="D628" i="79"/>
  <c r="C628" i="79"/>
  <c r="F627" i="79"/>
  <c r="G627" i="79" s="1"/>
  <c r="D627" i="79"/>
  <c r="C627" i="79"/>
  <c r="F626" i="79"/>
  <c r="G626" i="79" s="1"/>
  <c r="D626" i="79"/>
  <c r="C626" i="79"/>
  <c r="F620" i="79"/>
  <c r="G620" i="79" s="1"/>
  <c r="D620" i="79"/>
  <c r="C620" i="79"/>
  <c r="F619" i="79"/>
  <c r="G619" i="79" s="1"/>
  <c r="D619" i="79"/>
  <c r="C619" i="79"/>
  <c r="F615" i="79"/>
  <c r="G615" i="79" s="1"/>
  <c r="D615" i="79"/>
  <c r="C615" i="79"/>
  <c r="F612" i="79"/>
  <c r="G612" i="79" s="1"/>
  <c r="D612" i="79"/>
  <c r="C612" i="79"/>
  <c r="F611" i="79"/>
  <c r="G611" i="79" s="1"/>
  <c r="D611" i="79"/>
  <c r="C611" i="79"/>
  <c r="F610" i="79"/>
  <c r="G610" i="79" s="1"/>
  <c r="D610" i="79"/>
  <c r="C610" i="79"/>
  <c r="M2123" i="79"/>
  <c r="F604" i="79"/>
  <c r="G604" i="79" s="1"/>
  <c r="D604" i="79"/>
  <c r="C604" i="79"/>
  <c r="F603" i="79"/>
  <c r="G603" i="79" s="1"/>
  <c r="D603" i="79"/>
  <c r="C603" i="79"/>
  <c r="T2123" i="79"/>
  <c r="F596" i="79"/>
  <c r="G596" i="79" s="1"/>
  <c r="D596" i="79"/>
  <c r="C596" i="79"/>
  <c r="F588" i="79"/>
  <c r="G588" i="79" s="1"/>
  <c r="D588" i="79"/>
  <c r="C588" i="79"/>
  <c r="F585" i="79"/>
  <c r="G585" i="79" s="1"/>
  <c r="D585" i="79"/>
  <c r="C585" i="79"/>
  <c r="F584" i="79"/>
  <c r="G584" i="79" s="1"/>
  <c r="D584" i="79"/>
  <c r="C584" i="79"/>
  <c r="F583" i="79"/>
  <c r="G583" i="79" s="1"/>
  <c r="D583" i="79"/>
  <c r="C583" i="79"/>
  <c r="F577" i="79"/>
  <c r="G577" i="79" s="1"/>
  <c r="D577" i="79"/>
  <c r="C577" i="79"/>
  <c r="F576" i="79"/>
  <c r="G576" i="79" s="1"/>
  <c r="D576" i="79"/>
  <c r="C576" i="79"/>
  <c r="F575" i="79"/>
  <c r="G575" i="79" s="1"/>
  <c r="D575" i="79"/>
  <c r="F572" i="79"/>
  <c r="G572" i="79" s="1"/>
  <c r="D572" i="79"/>
  <c r="C572" i="79"/>
  <c r="F569" i="79"/>
  <c r="G569" i="79" s="1"/>
  <c r="D569" i="79"/>
  <c r="C569" i="79"/>
  <c r="F568" i="79"/>
  <c r="G568" i="79" s="1"/>
  <c r="D568" i="79"/>
  <c r="C568" i="79"/>
  <c r="F567" i="79"/>
  <c r="G567" i="79" s="1"/>
  <c r="D567" i="79"/>
  <c r="C567" i="79"/>
  <c r="F561" i="79"/>
  <c r="G561" i="79" s="1"/>
  <c r="D561" i="79"/>
  <c r="C561" i="79"/>
  <c r="F560" i="79"/>
  <c r="G560" i="79" s="1"/>
  <c r="D560" i="79"/>
  <c r="C560" i="79"/>
  <c r="F553" i="79"/>
  <c r="G553" i="79" s="1"/>
  <c r="D553" i="79"/>
  <c r="C553" i="79"/>
  <c r="D552" i="79"/>
  <c r="AC527" i="79"/>
  <c r="AD527" i="79" s="1"/>
  <c r="AA527" i="79"/>
  <c r="Z527" i="79"/>
  <c r="AP527" i="79" s="1"/>
  <c r="F527" i="79"/>
  <c r="G527" i="79" s="1"/>
  <c r="D527" i="79"/>
  <c r="C527" i="79"/>
  <c r="L527" i="79" s="1"/>
  <c r="AC526" i="79"/>
  <c r="AD526" i="79" s="1"/>
  <c r="AA526" i="79"/>
  <c r="Z526" i="79"/>
  <c r="AN526" i="79" s="1"/>
  <c r="F526" i="79"/>
  <c r="G526" i="79" s="1"/>
  <c r="D526" i="79"/>
  <c r="C526" i="79"/>
  <c r="O526" i="79" s="1"/>
  <c r="AC525" i="79"/>
  <c r="AD525" i="79" s="1"/>
  <c r="AA525" i="79"/>
  <c r="Z525" i="79"/>
  <c r="F525" i="79"/>
  <c r="G525" i="79" s="1"/>
  <c r="D525" i="79"/>
  <c r="C525" i="79"/>
  <c r="M525" i="79" s="1"/>
  <c r="AC522" i="79"/>
  <c r="AD522" i="79" s="1"/>
  <c r="AA522" i="79"/>
  <c r="Z522" i="79"/>
  <c r="AO522" i="79" s="1"/>
  <c r="F522" i="79"/>
  <c r="G522" i="79" s="1"/>
  <c r="D522" i="79"/>
  <c r="C522" i="79"/>
  <c r="M522" i="79" s="1"/>
  <c r="AC521" i="79"/>
  <c r="AD521" i="79" s="1"/>
  <c r="AA521" i="79"/>
  <c r="Z521" i="79"/>
  <c r="F521" i="79"/>
  <c r="G521" i="79" s="1"/>
  <c r="D521" i="79"/>
  <c r="C521" i="79"/>
  <c r="AC520" i="79"/>
  <c r="AD520" i="79" s="1"/>
  <c r="AA520" i="79"/>
  <c r="Z520" i="79"/>
  <c r="F520" i="79"/>
  <c r="G520" i="79" s="1"/>
  <c r="D520" i="79"/>
  <c r="C520" i="79"/>
  <c r="AC517" i="79"/>
  <c r="AD517" i="79" s="1"/>
  <c r="AA517" i="79"/>
  <c r="Z517" i="79"/>
  <c r="AO517" i="79" s="1"/>
  <c r="F517" i="79"/>
  <c r="G517" i="79" s="1"/>
  <c r="D517" i="79"/>
  <c r="C517" i="79"/>
  <c r="AC516" i="79"/>
  <c r="AD516" i="79" s="1"/>
  <c r="AA516" i="79"/>
  <c r="Z516" i="79"/>
  <c r="F516" i="79"/>
  <c r="G516" i="79" s="1"/>
  <c r="D516" i="79"/>
  <c r="C516" i="79"/>
  <c r="Q516" i="79" s="1"/>
  <c r="AC515" i="79"/>
  <c r="AD515" i="79" s="1"/>
  <c r="AA515" i="79"/>
  <c r="Z515" i="79"/>
  <c r="F515" i="79"/>
  <c r="G515" i="79" s="1"/>
  <c r="D515" i="79"/>
  <c r="C515" i="79"/>
  <c r="T515" i="79" s="1"/>
  <c r="AC514" i="79"/>
  <c r="AD514" i="79" s="1"/>
  <c r="AA514" i="79"/>
  <c r="Z514" i="79"/>
  <c r="F514" i="79"/>
  <c r="G514" i="79" s="1"/>
  <c r="D514" i="79"/>
  <c r="C514" i="79"/>
  <c r="AC513" i="79"/>
  <c r="AD513" i="79" s="1"/>
  <c r="AA513" i="79"/>
  <c r="Z513" i="79"/>
  <c r="AN513" i="79" s="1"/>
  <c r="F513" i="79"/>
  <c r="G513" i="79" s="1"/>
  <c r="D513" i="79"/>
  <c r="C513" i="79"/>
  <c r="AC512" i="79"/>
  <c r="AD512" i="79" s="1"/>
  <c r="AA512" i="79"/>
  <c r="Z512" i="79"/>
  <c r="AJ512" i="79" s="1"/>
  <c r="F512" i="79"/>
  <c r="G512" i="79" s="1"/>
  <c r="D512" i="79"/>
  <c r="C512" i="79"/>
  <c r="AC511" i="79"/>
  <c r="AD511" i="79" s="1"/>
  <c r="AA511" i="79"/>
  <c r="Z511" i="79"/>
  <c r="F511" i="79"/>
  <c r="G511" i="79" s="1"/>
  <c r="D511" i="79"/>
  <c r="C511" i="79"/>
  <c r="Q511" i="79" s="1"/>
  <c r="AC510" i="79"/>
  <c r="AD510" i="79" s="1"/>
  <c r="AA510" i="79"/>
  <c r="Z510" i="79"/>
  <c r="AM510" i="79" s="1"/>
  <c r="F510" i="79"/>
  <c r="G510" i="79" s="1"/>
  <c r="D510" i="79"/>
  <c r="C510" i="79"/>
  <c r="N510" i="79" s="1"/>
  <c r="AS507" i="79"/>
  <c r="AC507" i="79"/>
  <c r="AD507" i="79" s="1"/>
  <c r="AA507" i="79"/>
  <c r="Z507" i="79"/>
  <c r="AQ507" i="79" s="1"/>
  <c r="V507" i="79"/>
  <c r="F507" i="79"/>
  <c r="G507" i="79" s="1"/>
  <c r="D507" i="79"/>
  <c r="C507" i="79"/>
  <c r="S507" i="79" s="1"/>
  <c r="AS506" i="79"/>
  <c r="AC506" i="79"/>
  <c r="AD506" i="79" s="1"/>
  <c r="AA506" i="79"/>
  <c r="Z506" i="79"/>
  <c r="V506" i="79"/>
  <c r="F506" i="79"/>
  <c r="G506" i="79" s="1"/>
  <c r="D506" i="79"/>
  <c r="C506" i="79"/>
  <c r="N506" i="79" s="1"/>
  <c r="AS505" i="79"/>
  <c r="AC505" i="79"/>
  <c r="AD505" i="79" s="1"/>
  <c r="AA505" i="79"/>
  <c r="Z505" i="79"/>
  <c r="AL505" i="79" s="1"/>
  <c r="V505" i="79"/>
  <c r="F505" i="79"/>
  <c r="G505" i="79" s="1"/>
  <c r="D505" i="79"/>
  <c r="C505" i="79"/>
  <c r="N505" i="79" s="1"/>
  <c r="AS504" i="79"/>
  <c r="AC504" i="79"/>
  <c r="AD504" i="79" s="1"/>
  <c r="AA504" i="79"/>
  <c r="Z504" i="79"/>
  <c r="AP504" i="79" s="1"/>
  <c r="V504" i="79"/>
  <c r="F504" i="79"/>
  <c r="G504" i="79" s="1"/>
  <c r="D504" i="79"/>
  <c r="C504" i="79"/>
  <c r="O504" i="79" s="1"/>
  <c r="AS503" i="79"/>
  <c r="AC503" i="79"/>
  <c r="AD503" i="79" s="1"/>
  <c r="AA503" i="79"/>
  <c r="Z503" i="79"/>
  <c r="V503" i="79"/>
  <c r="F503" i="79"/>
  <c r="G503" i="79" s="1"/>
  <c r="D503" i="79"/>
  <c r="C503" i="79"/>
  <c r="AS500" i="79"/>
  <c r="AA500" i="79"/>
  <c r="Z500" i="79"/>
  <c r="AF500" i="79" s="1"/>
  <c r="V500" i="79"/>
  <c r="D500" i="79"/>
  <c r="C500" i="79"/>
  <c r="AS499" i="79"/>
  <c r="AA499" i="79"/>
  <c r="Z499" i="79"/>
  <c r="V499" i="79"/>
  <c r="D499" i="79"/>
  <c r="C499" i="79"/>
  <c r="R499" i="79" s="1"/>
  <c r="AS498" i="79"/>
  <c r="AA498" i="79"/>
  <c r="Z498" i="79"/>
  <c r="V498" i="79"/>
  <c r="D498" i="79"/>
  <c r="C498" i="79"/>
  <c r="AS497" i="79"/>
  <c r="AA497" i="79"/>
  <c r="Z497" i="79"/>
  <c r="V497" i="79"/>
  <c r="D497" i="79"/>
  <c r="C497" i="79"/>
  <c r="N497" i="79" s="1"/>
  <c r="AS496" i="79"/>
  <c r="AA496" i="79"/>
  <c r="Z496" i="79"/>
  <c r="V496" i="79"/>
  <c r="D496" i="79"/>
  <c r="C496" i="79"/>
  <c r="M496" i="79" s="1"/>
  <c r="X492" i="79"/>
  <c r="Z491" i="79"/>
  <c r="Z1600" i="79" s="1"/>
  <c r="Z2033" i="79" s="1"/>
  <c r="C491" i="79"/>
  <c r="C1600" i="79" s="1"/>
  <c r="C2033" i="79" s="1"/>
  <c r="AC486" i="79"/>
  <c r="AD486" i="79" s="1"/>
  <c r="AA486" i="79"/>
  <c r="Z486" i="79"/>
  <c r="AL486" i="79" s="1"/>
  <c r="F486" i="79"/>
  <c r="G486" i="79" s="1"/>
  <c r="D486" i="79"/>
  <c r="C486" i="79"/>
  <c r="AC485" i="79"/>
  <c r="AD485" i="79" s="1"/>
  <c r="AA485" i="79"/>
  <c r="Z485" i="79"/>
  <c r="F485" i="79"/>
  <c r="G485" i="79" s="1"/>
  <c r="D485" i="79"/>
  <c r="C485" i="79"/>
  <c r="P485" i="79" s="1"/>
  <c r="AC484" i="79"/>
  <c r="AD484" i="79" s="1"/>
  <c r="AA484" i="79"/>
  <c r="Z484" i="79"/>
  <c r="AK484" i="79" s="1"/>
  <c r="F484" i="79"/>
  <c r="G484" i="79" s="1"/>
  <c r="D484" i="79"/>
  <c r="C484" i="79"/>
  <c r="AC481" i="79"/>
  <c r="AD481" i="79" s="1"/>
  <c r="AA481" i="79"/>
  <c r="Z481" i="79"/>
  <c r="AL481" i="79" s="1"/>
  <c r="F481" i="79"/>
  <c r="G481" i="79" s="1"/>
  <c r="D481" i="79"/>
  <c r="C481" i="79"/>
  <c r="N481" i="79" s="1"/>
  <c r="AC480" i="79"/>
  <c r="AD480" i="79" s="1"/>
  <c r="AA480" i="79"/>
  <c r="Z480" i="79"/>
  <c r="AK480" i="79" s="1"/>
  <c r="F480" i="79"/>
  <c r="G480" i="79" s="1"/>
  <c r="D480" i="79"/>
  <c r="C480" i="79"/>
  <c r="S480" i="79" s="1"/>
  <c r="AC479" i="79"/>
  <c r="AD479" i="79" s="1"/>
  <c r="AA479" i="79"/>
  <c r="Z479" i="79"/>
  <c r="F479" i="79"/>
  <c r="G479" i="79" s="1"/>
  <c r="D479" i="79"/>
  <c r="C479" i="79"/>
  <c r="T479" i="79" s="1"/>
  <c r="AC476" i="79"/>
  <c r="AD476" i="79" s="1"/>
  <c r="AA476" i="79"/>
  <c r="Z476" i="79"/>
  <c r="F476" i="79"/>
  <c r="G476" i="79" s="1"/>
  <c r="D476" i="79"/>
  <c r="C476" i="79"/>
  <c r="T476" i="79" s="1"/>
  <c r="AC475" i="79"/>
  <c r="AD475" i="79" s="1"/>
  <c r="AA475" i="79"/>
  <c r="Z475" i="79"/>
  <c r="AP475" i="79" s="1"/>
  <c r="F475" i="79"/>
  <c r="G475" i="79" s="1"/>
  <c r="D475" i="79"/>
  <c r="C475" i="79"/>
  <c r="R475" i="79" s="1"/>
  <c r="AC474" i="79"/>
  <c r="AD474" i="79" s="1"/>
  <c r="AA474" i="79"/>
  <c r="Z474" i="79"/>
  <c r="AO474" i="79" s="1"/>
  <c r="F474" i="79"/>
  <c r="G474" i="79" s="1"/>
  <c r="D474" i="79"/>
  <c r="C474" i="79"/>
  <c r="S474" i="79" s="1"/>
  <c r="AC473" i="79"/>
  <c r="AD473" i="79" s="1"/>
  <c r="AA473" i="79"/>
  <c r="Z473" i="79"/>
  <c r="F473" i="79"/>
  <c r="G473" i="79" s="1"/>
  <c r="D473" i="79"/>
  <c r="C473" i="79"/>
  <c r="AC472" i="79"/>
  <c r="AD472" i="79" s="1"/>
  <c r="AA472" i="79"/>
  <c r="Z472" i="79"/>
  <c r="AL472" i="79" s="1"/>
  <c r="F472" i="79"/>
  <c r="G472" i="79" s="1"/>
  <c r="D472" i="79"/>
  <c r="C472" i="79"/>
  <c r="P472" i="79" s="1"/>
  <c r="AC471" i="79"/>
  <c r="AD471" i="79" s="1"/>
  <c r="AA471" i="79"/>
  <c r="Z471" i="79"/>
  <c r="AJ471" i="79" s="1"/>
  <c r="F471" i="79"/>
  <c r="G471" i="79" s="1"/>
  <c r="D471" i="79"/>
  <c r="C471" i="79"/>
  <c r="R471" i="79" s="1"/>
  <c r="AC470" i="79"/>
  <c r="AD470" i="79" s="1"/>
  <c r="AA470" i="79"/>
  <c r="Z470" i="79"/>
  <c r="F470" i="79"/>
  <c r="G470" i="79" s="1"/>
  <c r="D470" i="79"/>
  <c r="C470" i="79"/>
  <c r="AC469" i="79"/>
  <c r="AD469" i="79" s="1"/>
  <c r="AA469" i="79"/>
  <c r="Z469" i="79"/>
  <c r="AN469" i="79" s="1"/>
  <c r="F469" i="79"/>
  <c r="G469" i="79" s="1"/>
  <c r="D469" i="79"/>
  <c r="C469" i="79"/>
  <c r="P469" i="79" s="1"/>
  <c r="AS466" i="79"/>
  <c r="AC466" i="79"/>
  <c r="AD466" i="79" s="1"/>
  <c r="AA466" i="79"/>
  <c r="Z466" i="79"/>
  <c r="AQ466" i="79" s="1"/>
  <c r="V466" i="79"/>
  <c r="F466" i="79"/>
  <c r="G466" i="79" s="1"/>
  <c r="D466" i="79"/>
  <c r="C466" i="79"/>
  <c r="T466" i="79" s="1"/>
  <c r="AS465" i="79"/>
  <c r="AC465" i="79"/>
  <c r="AD465" i="79" s="1"/>
  <c r="AA465" i="79"/>
  <c r="Z465" i="79"/>
  <c r="V465" i="79"/>
  <c r="F465" i="79"/>
  <c r="G465" i="79" s="1"/>
  <c r="D465" i="79"/>
  <c r="C465" i="79"/>
  <c r="M465" i="79" s="1"/>
  <c r="AS464" i="79"/>
  <c r="AC464" i="79"/>
  <c r="AD464" i="79" s="1"/>
  <c r="AA464" i="79"/>
  <c r="Z464" i="79"/>
  <c r="AM464" i="79" s="1"/>
  <c r="V464" i="79"/>
  <c r="F464" i="79"/>
  <c r="G464" i="79" s="1"/>
  <c r="D464" i="79"/>
  <c r="C464" i="79"/>
  <c r="P464" i="79" s="1"/>
  <c r="AS463" i="79"/>
  <c r="AC463" i="79"/>
  <c r="AD463" i="79" s="1"/>
  <c r="AA463" i="79"/>
  <c r="Z463" i="79"/>
  <c r="V463" i="79"/>
  <c r="F463" i="79"/>
  <c r="G463" i="79" s="1"/>
  <c r="D463" i="79"/>
  <c r="C463" i="79"/>
  <c r="Q463" i="79" s="1"/>
  <c r="AS462" i="79"/>
  <c r="AC462" i="79"/>
  <c r="AD462" i="79" s="1"/>
  <c r="AA462" i="79"/>
  <c r="Z462" i="79"/>
  <c r="AO462" i="79" s="1"/>
  <c r="V462" i="79"/>
  <c r="F462" i="79"/>
  <c r="G462" i="79" s="1"/>
  <c r="D462" i="79"/>
  <c r="C462" i="79"/>
  <c r="Q462" i="79" s="1"/>
  <c r="AS459" i="79"/>
  <c r="AA459" i="79"/>
  <c r="Z459" i="79"/>
  <c r="V459" i="79"/>
  <c r="D459" i="79"/>
  <c r="C459" i="79"/>
  <c r="AS458" i="79"/>
  <c r="AA458" i="79"/>
  <c r="Z458" i="79"/>
  <c r="V458" i="79"/>
  <c r="D458" i="79"/>
  <c r="C458" i="79"/>
  <c r="Q458" i="79" s="1"/>
  <c r="AS457" i="79"/>
  <c r="AA457" i="79"/>
  <c r="Z457" i="79"/>
  <c r="AI457" i="79" s="1"/>
  <c r="V457" i="79"/>
  <c r="D457" i="79"/>
  <c r="C457" i="79"/>
  <c r="L457" i="79" s="1"/>
  <c r="AS456" i="79"/>
  <c r="AA456" i="79"/>
  <c r="Z456" i="79"/>
  <c r="V456" i="79"/>
  <c r="D456" i="79"/>
  <c r="C456" i="79"/>
  <c r="Q456" i="79" s="1"/>
  <c r="AS455" i="79"/>
  <c r="AA455" i="79"/>
  <c r="Z455" i="79"/>
  <c r="AI455" i="79" s="1"/>
  <c r="V455" i="79"/>
  <c r="D455" i="79"/>
  <c r="C455" i="79"/>
  <c r="X451" i="79"/>
  <c r="Z450" i="79"/>
  <c r="Z488" i="79" s="1"/>
  <c r="C450" i="79"/>
  <c r="B2760" i="79" s="1"/>
  <c r="AC445" i="79"/>
  <c r="AD445" i="79" s="1"/>
  <c r="AA445" i="79"/>
  <c r="Z445" i="79"/>
  <c r="F445" i="79"/>
  <c r="G445" i="79" s="1"/>
  <c r="D445" i="79"/>
  <c r="C445" i="79"/>
  <c r="AC444" i="79"/>
  <c r="AD444" i="79" s="1"/>
  <c r="AA444" i="79"/>
  <c r="Z444" i="79"/>
  <c r="AL444" i="79" s="1"/>
  <c r="F444" i="79"/>
  <c r="G444" i="79" s="1"/>
  <c r="D444" i="79"/>
  <c r="C444" i="79"/>
  <c r="T444" i="79" s="1"/>
  <c r="AC443" i="79"/>
  <c r="AD443" i="79" s="1"/>
  <c r="AA443" i="79"/>
  <c r="Z443" i="79"/>
  <c r="F443" i="79"/>
  <c r="G443" i="79" s="1"/>
  <c r="D443" i="79"/>
  <c r="C443" i="79"/>
  <c r="AC440" i="79"/>
  <c r="AD440" i="79" s="1"/>
  <c r="AA440" i="79"/>
  <c r="Z440" i="79"/>
  <c r="AQ440" i="79" s="1"/>
  <c r="F440" i="79"/>
  <c r="G440" i="79" s="1"/>
  <c r="D440" i="79"/>
  <c r="C440" i="79"/>
  <c r="S440" i="79" s="1"/>
  <c r="AC439" i="79"/>
  <c r="AD439" i="79" s="1"/>
  <c r="AA439" i="79"/>
  <c r="Z439" i="79"/>
  <c r="F439" i="79"/>
  <c r="G439" i="79" s="1"/>
  <c r="D439" i="79"/>
  <c r="C439" i="79"/>
  <c r="AC438" i="79"/>
  <c r="AD438" i="79" s="1"/>
  <c r="AA438" i="79"/>
  <c r="Z438" i="79"/>
  <c r="AO438" i="79" s="1"/>
  <c r="F438" i="79"/>
  <c r="G438" i="79" s="1"/>
  <c r="D438" i="79"/>
  <c r="C438" i="79"/>
  <c r="AC435" i="79"/>
  <c r="AD435" i="79" s="1"/>
  <c r="AA435" i="79"/>
  <c r="Z435" i="79"/>
  <c r="F435" i="79"/>
  <c r="G435" i="79" s="1"/>
  <c r="D435" i="79"/>
  <c r="C435" i="79"/>
  <c r="M435" i="79" s="1"/>
  <c r="AC434" i="79"/>
  <c r="AD434" i="79" s="1"/>
  <c r="AA434" i="79"/>
  <c r="Z434" i="79"/>
  <c r="AN434" i="79" s="1"/>
  <c r="F434" i="79"/>
  <c r="G434" i="79" s="1"/>
  <c r="D434" i="79"/>
  <c r="C434" i="79"/>
  <c r="Q434" i="79" s="1"/>
  <c r="AC433" i="79"/>
  <c r="AD433" i="79" s="1"/>
  <c r="AA433" i="79"/>
  <c r="Z433" i="79"/>
  <c r="AJ433" i="79" s="1"/>
  <c r="F433" i="79"/>
  <c r="G433" i="79" s="1"/>
  <c r="D433" i="79"/>
  <c r="C433" i="79"/>
  <c r="AC432" i="79"/>
  <c r="AD432" i="79" s="1"/>
  <c r="AA432" i="79"/>
  <c r="Z432" i="79"/>
  <c r="AQ432" i="79" s="1"/>
  <c r="F432" i="79"/>
  <c r="G432" i="79" s="1"/>
  <c r="D432" i="79"/>
  <c r="C432" i="79"/>
  <c r="T432" i="79" s="1"/>
  <c r="AC431" i="79"/>
  <c r="AD431" i="79" s="1"/>
  <c r="AA431" i="79"/>
  <c r="Z431" i="79"/>
  <c r="F431" i="79"/>
  <c r="G431" i="79" s="1"/>
  <c r="D431" i="79"/>
  <c r="C431" i="79"/>
  <c r="AC430" i="79"/>
  <c r="AD430" i="79" s="1"/>
  <c r="AA430" i="79"/>
  <c r="Z430" i="79"/>
  <c r="AO430" i="79" s="1"/>
  <c r="F430" i="79"/>
  <c r="G430" i="79" s="1"/>
  <c r="D430" i="79"/>
  <c r="C430" i="79"/>
  <c r="T430" i="79" s="1"/>
  <c r="AC429" i="79"/>
  <c r="AD429" i="79" s="1"/>
  <c r="AA429" i="79"/>
  <c r="Z429" i="79"/>
  <c r="AO429" i="79" s="1"/>
  <c r="F429" i="79"/>
  <c r="G429" i="79" s="1"/>
  <c r="D429" i="79"/>
  <c r="C429" i="79"/>
  <c r="AC428" i="79"/>
  <c r="AD428" i="79" s="1"/>
  <c r="AA428" i="79"/>
  <c r="Z428" i="79"/>
  <c r="AI428" i="79" s="1"/>
  <c r="F428" i="79"/>
  <c r="G428" i="79" s="1"/>
  <c r="D428" i="79"/>
  <c r="C428" i="79"/>
  <c r="Q428" i="79" s="1"/>
  <c r="AS425" i="79"/>
  <c r="AC425" i="79"/>
  <c r="AD425" i="79" s="1"/>
  <c r="AA425" i="79"/>
  <c r="Z425" i="79"/>
  <c r="AP425" i="79" s="1"/>
  <c r="V425" i="79"/>
  <c r="F425" i="79"/>
  <c r="G425" i="79" s="1"/>
  <c r="D425" i="79"/>
  <c r="C425" i="79"/>
  <c r="T425" i="79" s="1"/>
  <c r="AS424" i="79"/>
  <c r="AC424" i="79"/>
  <c r="AD424" i="79" s="1"/>
  <c r="AA424" i="79"/>
  <c r="Z424" i="79"/>
  <c r="AL424" i="79" s="1"/>
  <c r="V424" i="79"/>
  <c r="F424" i="79"/>
  <c r="G424" i="79" s="1"/>
  <c r="D424" i="79"/>
  <c r="C424" i="79"/>
  <c r="O424" i="79" s="1"/>
  <c r="AS423" i="79"/>
  <c r="AC423" i="79"/>
  <c r="AD423" i="79" s="1"/>
  <c r="AA423" i="79"/>
  <c r="Z423" i="79"/>
  <c r="AL423" i="79" s="1"/>
  <c r="V423" i="79"/>
  <c r="F423" i="79"/>
  <c r="G423" i="79" s="1"/>
  <c r="D423" i="79"/>
  <c r="C423" i="79"/>
  <c r="AS422" i="79"/>
  <c r="AC422" i="79"/>
  <c r="AD422" i="79" s="1"/>
  <c r="AA422" i="79"/>
  <c r="Z422" i="79"/>
  <c r="AN422" i="79" s="1"/>
  <c r="V422" i="79"/>
  <c r="F422" i="79"/>
  <c r="G422" i="79" s="1"/>
  <c r="D422" i="79"/>
  <c r="C422" i="79"/>
  <c r="T422" i="79" s="1"/>
  <c r="AS421" i="79"/>
  <c r="AC421" i="79"/>
  <c r="AD421" i="79" s="1"/>
  <c r="AA421" i="79"/>
  <c r="Z421" i="79"/>
  <c r="AJ421" i="79" s="1"/>
  <c r="V421" i="79"/>
  <c r="F421" i="79"/>
  <c r="G421" i="79" s="1"/>
  <c r="D421" i="79"/>
  <c r="C421" i="79"/>
  <c r="M421" i="79" s="1"/>
  <c r="AS418" i="79"/>
  <c r="AA418" i="79"/>
  <c r="Z418" i="79"/>
  <c r="V418" i="79"/>
  <c r="D418" i="79"/>
  <c r="C418" i="79"/>
  <c r="AS417" i="79"/>
  <c r="AA417" i="79"/>
  <c r="Z417" i="79"/>
  <c r="AQ417" i="79" s="1"/>
  <c r="V417" i="79"/>
  <c r="D417" i="79"/>
  <c r="C417" i="79"/>
  <c r="AS416" i="79"/>
  <c r="AA416" i="79"/>
  <c r="Z416" i="79"/>
  <c r="V416" i="79"/>
  <c r="D416" i="79"/>
  <c r="C416" i="79"/>
  <c r="AS415" i="79"/>
  <c r="AA415" i="79"/>
  <c r="Z415" i="79"/>
  <c r="V415" i="79"/>
  <c r="D415" i="79"/>
  <c r="C415" i="79"/>
  <c r="AS414" i="79"/>
  <c r="AA414" i="79"/>
  <c r="Z414" i="79"/>
  <c r="V414" i="79"/>
  <c r="D414" i="79"/>
  <c r="C414" i="79"/>
  <c r="S414" i="79" s="1"/>
  <c r="X410" i="79"/>
  <c r="Z409" i="79"/>
  <c r="B3130" i="79" s="1"/>
  <c r="C409" i="79"/>
  <c r="AC404" i="79"/>
  <c r="AD404" i="79" s="1"/>
  <c r="AA404" i="79"/>
  <c r="Z404" i="79"/>
  <c r="F404" i="79"/>
  <c r="G404" i="79" s="1"/>
  <c r="D404" i="79"/>
  <c r="C404" i="79"/>
  <c r="R404" i="79" s="1"/>
  <c r="AC403" i="79"/>
  <c r="AD403" i="79" s="1"/>
  <c r="AA403" i="79"/>
  <c r="Z403" i="79"/>
  <c r="F403" i="79"/>
  <c r="G403" i="79" s="1"/>
  <c r="D403" i="79"/>
  <c r="C403" i="79"/>
  <c r="S403" i="79" s="1"/>
  <c r="AC402" i="79"/>
  <c r="AD402" i="79" s="1"/>
  <c r="AA402" i="79"/>
  <c r="Z402" i="79"/>
  <c r="AP402" i="79" s="1"/>
  <c r="F402" i="79"/>
  <c r="G402" i="79" s="1"/>
  <c r="D402" i="79"/>
  <c r="C402" i="79"/>
  <c r="J402" i="79" s="1"/>
  <c r="AC399" i="79"/>
  <c r="AD399" i="79" s="1"/>
  <c r="AA399" i="79"/>
  <c r="Z399" i="79"/>
  <c r="AJ399" i="79" s="1"/>
  <c r="F399" i="79"/>
  <c r="G399" i="79" s="1"/>
  <c r="D399" i="79"/>
  <c r="C399" i="79"/>
  <c r="S399" i="79" s="1"/>
  <c r="AC398" i="79"/>
  <c r="AD398" i="79" s="1"/>
  <c r="AA398" i="79"/>
  <c r="Z398" i="79"/>
  <c r="AJ398" i="79" s="1"/>
  <c r="F398" i="79"/>
  <c r="G398" i="79" s="1"/>
  <c r="D398" i="79"/>
  <c r="C398" i="79"/>
  <c r="P398" i="79" s="1"/>
  <c r="AC397" i="79"/>
  <c r="AD397" i="79" s="1"/>
  <c r="AA397" i="79"/>
  <c r="Z397" i="79"/>
  <c r="AO397" i="79" s="1"/>
  <c r="F397" i="79"/>
  <c r="G397" i="79" s="1"/>
  <c r="D397" i="79"/>
  <c r="C397" i="79"/>
  <c r="AC394" i="79"/>
  <c r="AD394" i="79" s="1"/>
  <c r="AA394" i="79"/>
  <c r="Z394" i="79"/>
  <c r="AJ394" i="79" s="1"/>
  <c r="F394" i="79"/>
  <c r="G394" i="79" s="1"/>
  <c r="D394" i="79"/>
  <c r="C394" i="79"/>
  <c r="AC393" i="79"/>
  <c r="AD393" i="79" s="1"/>
  <c r="AA393" i="79"/>
  <c r="Z393" i="79"/>
  <c r="F393" i="79"/>
  <c r="G393" i="79" s="1"/>
  <c r="D393" i="79"/>
  <c r="C393" i="79"/>
  <c r="S393" i="79" s="1"/>
  <c r="AC392" i="79"/>
  <c r="AD392" i="79" s="1"/>
  <c r="AA392" i="79"/>
  <c r="Z392" i="79"/>
  <c r="AP392" i="79" s="1"/>
  <c r="F392" i="79"/>
  <c r="G392" i="79" s="1"/>
  <c r="D392" i="79"/>
  <c r="C392" i="79"/>
  <c r="R392" i="79" s="1"/>
  <c r="AC391" i="79"/>
  <c r="AD391" i="79" s="1"/>
  <c r="AA391" i="79"/>
  <c r="Z391" i="79"/>
  <c r="AO391" i="79" s="1"/>
  <c r="F391" i="79"/>
  <c r="G391" i="79" s="1"/>
  <c r="D391" i="79"/>
  <c r="C391" i="79"/>
  <c r="S391" i="79" s="1"/>
  <c r="AC390" i="79"/>
  <c r="AD390" i="79" s="1"/>
  <c r="AA390" i="79"/>
  <c r="Z390" i="79"/>
  <c r="AM390" i="79" s="1"/>
  <c r="F390" i="79"/>
  <c r="G390" i="79" s="1"/>
  <c r="D390" i="79"/>
  <c r="C390" i="79"/>
  <c r="M390" i="79" s="1"/>
  <c r="AC389" i="79"/>
  <c r="AD389" i="79" s="1"/>
  <c r="AA389" i="79"/>
  <c r="Z389" i="79"/>
  <c r="F389" i="79"/>
  <c r="G389" i="79" s="1"/>
  <c r="D389" i="79"/>
  <c r="C389" i="79"/>
  <c r="AC388" i="79"/>
  <c r="AD388" i="79" s="1"/>
  <c r="AA388" i="79"/>
  <c r="Z388" i="79"/>
  <c r="AP388" i="79" s="1"/>
  <c r="F388" i="79"/>
  <c r="G388" i="79" s="1"/>
  <c r="D388" i="79"/>
  <c r="C388" i="79"/>
  <c r="Q388" i="79" s="1"/>
  <c r="AC387" i="79"/>
  <c r="AD387" i="79" s="1"/>
  <c r="AA387" i="79"/>
  <c r="Z387" i="79"/>
  <c r="AO387" i="79" s="1"/>
  <c r="F387" i="79"/>
  <c r="G387" i="79" s="1"/>
  <c r="D387" i="79"/>
  <c r="C387" i="79"/>
  <c r="L387" i="79" s="1"/>
  <c r="AS384" i="79"/>
  <c r="AC384" i="79"/>
  <c r="AD384" i="79" s="1"/>
  <c r="AA384" i="79"/>
  <c r="Z384" i="79"/>
  <c r="AK384" i="79" s="1"/>
  <c r="V384" i="79"/>
  <c r="F384" i="79"/>
  <c r="G384" i="79" s="1"/>
  <c r="D384" i="79"/>
  <c r="C384" i="79"/>
  <c r="T384" i="79" s="1"/>
  <c r="AS383" i="79"/>
  <c r="AC383" i="79"/>
  <c r="AD383" i="79" s="1"/>
  <c r="AA383" i="79"/>
  <c r="Z383" i="79"/>
  <c r="AM383" i="79" s="1"/>
  <c r="V383" i="79"/>
  <c r="F383" i="79"/>
  <c r="G383" i="79" s="1"/>
  <c r="D383" i="79"/>
  <c r="C383" i="79"/>
  <c r="AS382" i="79"/>
  <c r="AC382" i="79"/>
  <c r="AD382" i="79" s="1"/>
  <c r="AA382" i="79"/>
  <c r="Z382" i="79"/>
  <c r="AJ382" i="79" s="1"/>
  <c r="V382" i="79"/>
  <c r="F382" i="79"/>
  <c r="G382" i="79" s="1"/>
  <c r="D382" i="79"/>
  <c r="C382" i="79"/>
  <c r="AS381" i="79"/>
  <c r="AC381" i="79"/>
  <c r="AD381" i="79" s="1"/>
  <c r="AA381" i="79"/>
  <c r="Z381" i="79"/>
  <c r="AO381" i="79" s="1"/>
  <c r="V381" i="79"/>
  <c r="F381" i="79"/>
  <c r="G381" i="79" s="1"/>
  <c r="D381" i="79"/>
  <c r="C381" i="79"/>
  <c r="AS380" i="79"/>
  <c r="AC380" i="79"/>
  <c r="AD380" i="79" s="1"/>
  <c r="AA380" i="79"/>
  <c r="Z380" i="79"/>
  <c r="V380" i="79"/>
  <c r="F380" i="79"/>
  <c r="G380" i="79" s="1"/>
  <c r="D380" i="79"/>
  <c r="C380" i="79"/>
  <c r="T380" i="79" s="1"/>
  <c r="AS377" i="79"/>
  <c r="AA377" i="79"/>
  <c r="Z377" i="79"/>
  <c r="AL377" i="79" s="1"/>
  <c r="V377" i="79"/>
  <c r="D377" i="79"/>
  <c r="C377" i="79"/>
  <c r="AS376" i="79"/>
  <c r="AA376" i="79"/>
  <c r="Z376" i="79"/>
  <c r="AL376" i="79" s="1"/>
  <c r="V376" i="79"/>
  <c r="D376" i="79"/>
  <c r="C376" i="79"/>
  <c r="P376" i="79" s="1"/>
  <c r="AS375" i="79"/>
  <c r="AA375" i="79"/>
  <c r="Z375" i="79"/>
  <c r="V375" i="79"/>
  <c r="D375" i="79"/>
  <c r="C375" i="79"/>
  <c r="P375" i="79" s="1"/>
  <c r="AS374" i="79"/>
  <c r="AA374" i="79"/>
  <c r="Z374" i="79"/>
  <c r="AG374" i="79" s="1"/>
  <c r="V374" i="79"/>
  <c r="D374" i="79"/>
  <c r="C374" i="79"/>
  <c r="AS373" i="79"/>
  <c r="AA373" i="79"/>
  <c r="Z373" i="79"/>
  <c r="AG373" i="79" s="1"/>
  <c r="V373" i="79"/>
  <c r="D373" i="79"/>
  <c r="C373" i="79"/>
  <c r="P373" i="79" s="1"/>
  <c r="X369" i="79"/>
  <c r="Z368" i="79"/>
  <c r="C368" i="79"/>
  <c r="C406" i="79" s="1"/>
  <c r="AC363" i="79"/>
  <c r="AD363" i="79" s="1"/>
  <c r="AA363" i="79"/>
  <c r="Z363" i="79"/>
  <c r="AO363" i="79" s="1"/>
  <c r="F363" i="79"/>
  <c r="G363" i="79" s="1"/>
  <c r="D363" i="79"/>
  <c r="C363" i="79"/>
  <c r="AC362" i="79"/>
  <c r="AD362" i="79" s="1"/>
  <c r="AA362" i="79"/>
  <c r="Z362" i="79"/>
  <c r="AM362" i="79" s="1"/>
  <c r="F362" i="79"/>
  <c r="G362" i="79" s="1"/>
  <c r="D362" i="79"/>
  <c r="C362" i="79"/>
  <c r="R362" i="79" s="1"/>
  <c r="AC361" i="79"/>
  <c r="AD361" i="79" s="1"/>
  <c r="AA361" i="79"/>
  <c r="Z361" i="79"/>
  <c r="AQ361" i="79" s="1"/>
  <c r="F361" i="79"/>
  <c r="G361" i="79" s="1"/>
  <c r="D361" i="79"/>
  <c r="C361" i="79"/>
  <c r="Q361" i="79" s="1"/>
  <c r="AC358" i="79"/>
  <c r="AD358" i="79" s="1"/>
  <c r="AA358" i="79"/>
  <c r="Z358" i="79"/>
  <c r="F358" i="79"/>
  <c r="G358" i="79" s="1"/>
  <c r="D358" i="79"/>
  <c r="C358" i="79"/>
  <c r="R358" i="79" s="1"/>
  <c r="AC357" i="79"/>
  <c r="AD357" i="79" s="1"/>
  <c r="AA357" i="79"/>
  <c r="Z357" i="79"/>
  <c r="AQ357" i="79" s="1"/>
  <c r="F357" i="79"/>
  <c r="G357" i="79" s="1"/>
  <c r="D357" i="79"/>
  <c r="C357" i="79"/>
  <c r="S357" i="79" s="1"/>
  <c r="AC356" i="79"/>
  <c r="AD356" i="79" s="1"/>
  <c r="AA356" i="79"/>
  <c r="Z356" i="79"/>
  <c r="AM356" i="79" s="1"/>
  <c r="F356" i="79"/>
  <c r="G356" i="79" s="1"/>
  <c r="D356" i="79"/>
  <c r="C356" i="79"/>
  <c r="AC353" i="79"/>
  <c r="AD353" i="79" s="1"/>
  <c r="AA353" i="79"/>
  <c r="Z353" i="79"/>
  <c r="AH353" i="79" s="1"/>
  <c r="F353" i="79"/>
  <c r="G353" i="79" s="1"/>
  <c r="D353" i="79"/>
  <c r="C353" i="79"/>
  <c r="AC352" i="79"/>
  <c r="AD352" i="79" s="1"/>
  <c r="AA352" i="79"/>
  <c r="Z352" i="79"/>
  <c r="AI352" i="79" s="1"/>
  <c r="F352" i="79"/>
  <c r="G352" i="79" s="1"/>
  <c r="D352" i="79"/>
  <c r="C352" i="79"/>
  <c r="R352" i="79" s="1"/>
  <c r="AC351" i="79"/>
  <c r="AD351" i="79" s="1"/>
  <c r="AA351" i="79"/>
  <c r="Z351" i="79"/>
  <c r="AQ351" i="79" s="1"/>
  <c r="F351" i="79"/>
  <c r="G351" i="79" s="1"/>
  <c r="D351" i="79"/>
  <c r="C351" i="79"/>
  <c r="Q351" i="79" s="1"/>
  <c r="AC350" i="79"/>
  <c r="AD350" i="79" s="1"/>
  <c r="AA350" i="79"/>
  <c r="Z350" i="79"/>
  <c r="AM350" i="79" s="1"/>
  <c r="F350" i="79"/>
  <c r="G350" i="79" s="1"/>
  <c r="D350" i="79"/>
  <c r="C350" i="79"/>
  <c r="R350" i="79" s="1"/>
  <c r="AC349" i="79"/>
  <c r="AD349" i="79" s="1"/>
  <c r="AA349" i="79"/>
  <c r="Z349" i="79"/>
  <c r="AM349" i="79" s="1"/>
  <c r="F349" i="79"/>
  <c r="G349" i="79" s="1"/>
  <c r="D349" i="79"/>
  <c r="C349" i="79"/>
  <c r="AC348" i="79"/>
  <c r="AD348" i="79" s="1"/>
  <c r="AA348" i="79"/>
  <c r="Z348" i="79"/>
  <c r="F348" i="79"/>
  <c r="G348" i="79" s="1"/>
  <c r="D348" i="79"/>
  <c r="C348" i="79"/>
  <c r="R348" i="79" s="1"/>
  <c r="AC347" i="79"/>
  <c r="AD347" i="79" s="1"/>
  <c r="AA347" i="79"/>
  <c r="Z347" i="79"/>
  <c r="AK347" i="79" s="1"/>
  <c r="F347" i="79"/>
  <c r="G347" i="79" s="1"/>
  <c r="D347" i="79"/>
  <c r="C347" i="79"/>
  <c r="AC346" i="79"/>
  <c r="AD346" i="79" s="1"/>
  <c r="AA346" i="79"/>
  <c r="Z346" i="79"/>
  <c r="AI346" i="79" s="1"/>
  <c r="F346" i="79"/>
  <c r="G346" i="79" s="1"/>
  <c r="D346" i="79"/>
  <c r="C346" i="79"/>
  <c r="AS343" i="79"/>
  <c r="AC343" i="79"/>
  <c r="AD343" i="79" s="1"/>
  <c r="AA343" i="79"/>
  <c r="Z343" i="79"/>
  <c r="AN343" i="79" s="1"/>
  <c r="V343" i="79"/>
  <c r="F343" i="79"/>
  <c r="G343" i="79" s="1"/>
  <c r="D343" i="79"/>
  <c r="C343" i="79"/>
  <c r="AS342" i="79"/>
  <c r="AC342" i="79"/>
  <c r="AD342" i="79" s="1"/>
  <c r="AA342" i="79"/>
  <c r="Z342" i="79"/>
  <c r="AP342" i="79" s="1"/>
  <c r="V342" i="79"/>
  <c r="F342" i="79"/>
  <c r="G342" i="79" s="1"/>
  <c r="D342" i="79"/>
  <c r="C342" i="79"/>
  <c r="AS341" i="79"/>
  <c r="AC341" i="79"/>
  <c r="AD341" i="79" s="1"/>
  <c r="AA341" i="79"/>
  <c r="Z341" i="79"/>
  <c r="AN341" i="79" s="1"/>
  <c r="V341" i="79"/>
  <c r="F341" i="79"/>
  <c r="G341" i="79" s="1"/>
  <c r="D341" i="79"/>
  <c r="C341" i="79"/>
  <c r="O341" i="79" s="1"/>
  <c r="AS340" i="79"/>
  <c r="AC340" i="79"/>
  <c r="AD340" i="79" s="1"/>
  <c r="AA340" i="79"/>
  <c r="Z340" i="79"/>
  <c r="V340" i="79"/>
  <c r="F340" i="79"/>
  <c r="G340" i="79" s="1"/>
  <c r="D340" i="79"/>
  <c r="C340" i="79"/>
  <c r="AS339" i="79"/>
  <c r="AC339" i="79"/>
  <c r="AD339" i="79" s="1"/>
  <c r="AA339" i="79"/>
  <c r="Z339" i="79"/>
  <c r="V339" i="79"/>
  <c r="F339" i="79"/>
  <c r="G339" i="79" s="1"/>
  <c r="D339" i="79"/>
  <c r="C339" i="79"/>
  <c r="U338" i="79"/>
  <c r="C2665" i="79" s="1"/>
  <c r="AS336" i="79"/>
  <c r="AA336" i="79"/>
  <c r="Z336" i="79"/>
  <c r="V336" i="79"/>
  <c r="D336" i="79"/>
  <c r="C336" i="79"/>
  <c r="S336" i="79" s="1"/>
  <c r="AS335" i="79"/>
  <c r="AA335" i="79"/>
  <c r="Z335" i="79"/>
  <c r="V335" i="79"/>
  <c r="D335" i="79"/>
  <c r="C335" i="79"/>
  <c r="P335" i="79" s="1"/>
  <c r="AS334" i="79"/>
  <c r="AA334" i="79"/>
  <c r="Z334" i="79"/>
  <c r="V334" i="79"/>
  <c r="D334" i="79"/>
  <c r="C334" i="79"/>
  <c r="AS333" i="79"/>
  <c r="AA333" i="79"/>
  <c r="Z333" i="79"/>
  <c r="AM333" i="79" s="1"/>
  <c r="V333" i="79"/>
  <c r="D333" i="79"/>
  <c r="C333" i="79"/>
  <c r="S333" i="79" s="1"/>
  <c r="AS332" i="79"/>
  <c r="AA332" i="79"/>
  <c r="Z332" i="79"/>
  <c r="V332" i="79"/>
  <c r="D332" i="79"/>
  <c r="C332" i="79"/>
  <c r="X328" i="79"/>
  <c r="Z327" i="79"/>
  <c r="Y28" i="79" s="1"/>
  <c r="B1432" i="79" s="1"/>
  <c r="C327" i="79"/>
  <c r="B28" i="79" s="1"/>
  <c r="B1420" i="79" s="1"/>
  <c r="AC322" i="79"/>
  <c r="AD322" i="79" s="1"/>
  <c r="AA322" i="79"/>
  <c r="Z322" i="79"/>
  <c r="AM322" i="79" s="1"/>
  <c r="F322" i="79"/>
  <c r="G322" i="79" s="1"/>
  <c r="D322" i="79"/>
  <c r="C322" i="79"/>
  <c r="M322" i="79" s="1"/>
  <c r="AC321" i="79"/>
  <c r="AD321" i="79" s="1"/>
  <c r="AA321" i="79"/>
  <c r="Z321" i="79"/>
  <c r="F321" i="79"/>
  <c r="G321" i="79" s="1"/>
  <c r="D321" i="79"/>
  <c r="C321" i="79"/>
  <c r="T321" i="79" s="1"/>
  <c r="AC320" i="79"/>
  <c r="AD320" i="79" s="1"/>
  <c r="AA320" i="79"/>
  <c r="Z320" i="79"/>
  <c r="AQ320" i="79" s="1"/>
  <c r="F320" i="79"/>
  <c r="G320" i="79" s="1"/>
  <c r="D320" i="79"/>
  <c r="C320" i="79"/>
  <c r="N320" i="79" s="1"/>
  <c r="AC317" i="79"/>
  <c r="AD317" i="79" s="1"/>
  <c r="AA317" i="79"/>
  <c r="Z317" i="79"/>
  <c r="F317" i="79"/>
  <c r="G317" i="79" s="1"/>
  <c r="D317" i="79"/>
  <c r="C317" i="79"/>
  <c r="T317" i="79" s="1"/>
  <c r="AC316" i="79"/>
  <c r="AD316" i="79" s="1"/>
  <c r="AA316" i="79"/>
  <c r="Z316" i="79"/>
  <c r="F316" i="79"/>
  <c r="G316" i="79" s="1"/>
  <c r="D316" i="79"/>
  <c r="C316" i="79"/>
  <c r="S316" i="79" s="1"/>
  <c r="AC315" i="79"/>
  <c r="AD315" i="79" s="1"/>
  <c r="AA315" i="79"/>
  <c r="Z315" i="79"/>
  <c r="AQ315" i="79" s="1"/>
  <c r="F315" i="79"/>
  <c r="G315" i="79" s="1"/>
  <c r="D315" i="79"/>
  <c r="C315" i="79"/>
  <c r="N315" i="79" s="1"/>
  <c r="AC312" i="79"/>
  <c r="AD312" i="79" s="1"/>
  <c r="AA312" i="79"/>
  <c r="Z312" i="79"/>
  <c r="AO312" i="79" s="1"/>
  <c r="F312" i="79"/>
  <c r="G312" i="79" s="1"/>
  <c r="D312" i="79"/>
  <c r="C312" i="79"/>
  <c r="S312" i="79" s="1"/>
  <c r="AC311" i="79"/>
  <c r="AD311" i="79" s="1"/>
  <c r="AA311" i="79"/>
  <c r="Z311" i="79"/>
  <c r="F311" i="79"/>
  <c r="G311" i="79" s="1"/>
  <c r="D311" i="79"/>
  <c r="C311" i="79"/>
  <c r="AC310" i="79"/>
  <c r="AD310" i="79" s="1"/>
  <c r="AA310" i="79"/>
  <c r="Z310" i="79"/>
  <c r="AQ310" i="79" s="1"/>
  <c r="F310" i="79"/>
  <c r="G310" i="79" s="1"/>
  <c r="D310" i="79"/>
  <c r="C310" i="79"/>
  <c r="S310" i="79" s="1"/>
  <c r="AC309" i="79"/>
  <c r="AD309" i="79" s="1"/>
  <c r="AA309" i="79"/>
  <c r="Z309" i="79"/>
  <c r="F309" i="79"/>
  <c r="G309" i="79" s="1"/>
  <c r="D309" i="79"/>
  <c r="C309" i="79"/>
  <c r="T309" i="79" s="1"/>
  <c r="AC308" i="79"/>
  <c r="AD308" i="79" s="1"/>
  <c r="AA308" i="79"/>
  <c r="Z308" i="79"/>
  <c r="F308" i="79"/>
  <c r="G308" i="79" s="1"/>
  <c r="D308" i="79"/>
  <c r="C308" i="79"/>
  <c r="S308" i="79" s="1"/>
  <c r="AC307" i="79"/>
  <c r="AD307" i="79" s="1"/>
  <c r="AA307" i="79"/>
  <c r="Z307" i="79"/>
  <c r="F307" i="79"/>
  <c r="G307" i="79" s="1"/>
  <c r="D307" i="79"/>
  <c r="C307" i="79"/>
  <c r="S307" i="79" s="1"/>
  <c r="AC306" i="79"/>
  <c r="AD306" i="79" s="1"/>
  <c r="AA306" i="79"/>
  <c r="Z306" i="79"/>
  <c r="F306" i="79"/>
  <c r="G306" i="79" s="1"/>
  <c r="D306" i="79"/>
  <c r="C306" i="79"/>
  <c r="S306" i="79" s="1"/>
  <c r="AC305" i="79"/>
  <c r="AD305" i="79" s="1"/>
  <c r="AA305" i="79"/>
  <c r="Z305" i="79"/>
  <c r="F305" i="79"/>
  <c r="G305" i="79" s="1"/>
  <c r="D305" i="79"/>
  <c r="C305" i="79"/>
  <c r="AS302" i="79"/>
  <c r="AC302" i="79"/>
  <c r="AD302" i="79" s="1"/>
  <c r="AA302" i="79"/>
  <c r="Z302" i="79"/>
  <c r="AP302" i="79" s="1"/>
  <c r="V302" i="79"/>
  <c r="F302" i="79"/>
  <c r="G302" i="79" s="1"/>
  <c r="D302" i="79"/>
  <c r="C302" i="79"/>
  <c r="P302" i="79" s="1"/>
  <c r="AS301" i="79"/>
  <c r="AC301" i="79"/>
  <c r="AD301" i="79" s="1"/>
  <c r="AA301" i="79"/>
  <c r="Z301" i="79"/>
  <c r="AP301" i="79" s="1"/>
  <c r="V301" i="79"/>
  <c r="F301" i="79"/>
  <c r="G301" i="79" s="1"/>
  <c r="D301" i="79"/>
  <c r="C301" i="79"/>
  <c r="P301" i="79" s="1"/>
  <c r="AS300" i="79"/>
  <c r="AC300" i="79"/>
  <c r="AD300" i="79" s="1"/>
  <c r="AA300" i="79"/>
  <c r="Z300" i="79"/>
  <c r="AP300" i="79" s="1"/>
  <c r="V300" i="79"/>
  <c r="F300" i="79"/>
  <c r="G300" i="79" s="1"/>
  <c r="D300" i="79"/>
  <c r="C300" i="79"/>
  <c r="AS299" i="79"/>
  <c r="AC299" i="79"/>
  <c r="AD299" i="79" s="1"/>
  <c r="AA299" i="79"/>
  <c r="Z299" i="79"/>
  <c r="AP299" i="79" s="1"/>
  <c r="V299" i="79"/>
  <c r="F299" i="79"/>
  <c r="G299" i="79" s="1"/>
  <c r="D299" i="79"/>
  <c r="C299" i="79"/>
  <c r="N299" i="79" s="1"/>
  <c r="AS298" i="79"/>
  <c r="AC298" i="79"/>
  <c r="AD298" i="79" s="1"/>
  <c r="AA298" i="79"/>
  <c r="Z298" i="79"/>
  <c r="AP298" i="79" s="1"/>
  <c r="V298" i="79"/>
  <c r="F298" i="79"/>
  <c r="G298" i="79" s="1"/>
  <c r="D298" i="79"/>
  <c r="C298" i="79"/>
  <c r="AS295" i="79"/>
  <c r="AA295" i="79"/>
  <c r="Z295" i="79"/>
  <c r="AN295" i="79" s="1"/>
  <c r="V295" i="79"/>
  <c r="D295" i="79"/>
  <c r="C295" i="79"/>
  <c r="Q295" i="79" s="1"/>
  <c r="AS294" i="79"/>
  <c r="AA294" i="79"/>
  <c r="Z294" i="79"/>
  <c r="AN294" i="79" s="1"/>
  <c r="V294" i="79"/>
  <c r="D294" i="79"/>
  <c r="C294" i="79"/>
  <c r="Q294" i="79" s="1"/>
  <c r="AS293" i="79"/>
  <c r="AA293" i="79"/>
  <c r="Z293" i="79"/>
  <c r="AN293" i="79" s="1"/>
  <c r="V293" i="79"/>
  <c r="D293" i="79"/>
  <c r="C293" i="79"/>
  <c r="Q293" i="79" s="1"/>
  <c r="AS292" i="79"/>
  <c r="AA292" i="79"/>
  <c r="Z292" i="79"/>
  <c r="AN292" i="79" s="1"/>
  <c r="V292" i="79"/>
  <c r="D292" i="79"/>
  <c r="C292" i="79"/>
  <c r="Q292" i="79" s="1"/>
  <c r="AS291" i="79"/>
  <c r="AA291" i="79"/>
  <c r="Z291" i="79"/>
  <c r="AN291" i="79" s="1"/>
  <c r="V291" i="79"/>
  <c r="D291" i="79"/>
  <c r="C291" i="79"/>
  <c r="Q291" i="79" s="1"/>
  <c r="X287" i="79"/>
  <c r="Z286" i="79"/>
  <c r="Z1535" i="79" s="1"/>
  <c r="Z1854" i="79" s="1"/>
  <c r="C286" i="79"/>
  <c r="AC281" i="79"/>
  <c r="AD281" i="79" s="1"/>
  <c r="AA281" i="79"/>
  <c r="Z281" i="79"/>
  <c r="AQ281" i="79" s="1"/>
  <c r="F281" i="79"/>
  <c r="G281" i="79" s="1"/>
  <c r="D281" i="79"/>
  <c r="C281" i="79"/>
  <c r="AC280" i="79"/>
  <c r="AD280" i="79" s="1"/>
  <c r="AA280" i="79"/>
  <c r="Z280" i="79"/>
  <c r="AP280" i="79" s="1"/>
  <c r="F280" i="79"/>
  <c r="G280" i="79" s="1"/>
  <c r="D280" i="79"/>
  <c r="C280" i="79"/>
  <c r="N280" i="79" s="1"/>
  <c r="AC279" i="79"/>
  <c r="AD279" i="79" s="1"/>
  <c r="AA279" i="79"/>
  <c r="Z279" i="79"/>
  <c r="AM279" i="79" s="1"/>
  <c r="F279" i="79"/>
  <c r="G279" i="79" s="1"/>
  <c r="D279" i="79"/>
  <c r="C279" i="79"/>
  <c r="AC276" i="79"/>
  <c r="AD276" i="79" s="1"/>
  <c r="AA276" i="79"/>
  <c r="Z276" i="79"/>
  <c r="AP276" i="79" s="1"/>
  <c r="F276" i="79"/>
  <c r="G276" i="79" s="1"/>
  <c r="D276" i="79"/>
  <c r="C276" i="79"/>
  <c r="AC275" i="79"/>
  <c r="AD275" i="79" s="1"/>
  <c r="AA275" i="79"/>
  <c r="Z275" i="79"/>
  <c r="AM275" i="79" s="1"/>
  <c r="F275" i="79"/>
  <c r="G275" i="79" s="1"/>
  <c r="D275" i="79"/>
  <c r="C275" i="79"/>
  <c r="S275" i="79" s="1"/>
  <c r="AC274" i="79"/>
  <c r="AD274" i="79" s="1"/>
  <c r="AA274" i="79"/>
  <c r="Z274" i="79"/>
  <c r="AP274" i="79" s="1"/>
  <c r="F274" i="79"/>
  <c r="G274" i="79" s="1"/>
  <c r="D274" i="79"/>
  <c r="C274" i="79"/>
  <c r="AC271" i="79"/>
  <c r="AD271" i="79" s="1"/>
  <c r="AA271" i="79"/>
  <c r="Z271" i="79"/>
  <c r="F271" i="79"/>
  <c r="G271" i="79" s="1"/>
  <c r="D271" i="79"/>
  <c r="C271" i="79"/>
  <c r="P271" i="79" s="1"/>
  <c r="AC270" i="79"/>
  <c r="AD270" i="79" s="1"/>
  <c r="AA270" i="79"/>
  <c r="Z270" i="79"/>
  <c r="AP270" i="79" s="1"/>
  <c r="F270" i="79"/>
  <c r="G270" i="79" s="1"/>
  <c r="D270" i="79"/>
  <c r="C270" i="79"/>
  <c r="T270" i="79" s="1"/>
  <c r="AC269" i="79"/>
  <c r="AD269" i="79" s="1"/>
  <c r="AA269" i="79"/>
  <c r="Z269" i="79"/>
  <c r="AQ269" i="79" s="1"/>
  <c r="F269" i="79"/>
  <c r="G269" i="79" s="1"/>
  <c r="D269" i="79"/>
  <c r="C269" i="79"/>
  <c r="T269" i="79" s="1"/>
  <c r="AC268" i="79"/>
  <c r="AD268" i="79" s="1"/>
  <c r="AA268" i="79"/>
  <c r="Z268" i="79"/>
  <c r="AP268" i="79" s="1"/>
  <c r="F268" i="79"/>
  <c r="G268" i="79" s="1"/>
  <c r="D268" i="79"/>
  <c r="C268" i="79"/>
  <c r="N268" i="79" s="1"/>
  <c r="AC267" i="79"/>
  <c r="AD267" i="79" s="1"/>
  <c r="AA267" i="79"/>
  <c r="Z267" i="79"/>
  <c r="AI267" i="79" s="1"/>
  <c r="F267" i="79"/>
  <c r="G267" i="79" s="1"/>
  <c r="D267" i="79"/>
  <c r="C267" i="79"/>
  <c r="AC266" i="79"/>
  <c r="AD266" i="79" s="1"/>
  <c r="AA266" i="79"/>
  <c r="Z266" i="79"/>
  <c r="AP266" i="79" s="1"/>
  <c r="F266" i="79"/>
  <c r="G266" i="79" s="1"/>
  <c r="D266" i="79"/>
  <c r="C266" i="79"/>
  <c r="T266" i="79" s="1"/>
  <c r="AC265" i="79"/>
  <c r="AD265" i="79" s="1"/>
  <c r="AA265" i="79"/>
  <c r="Z265" i="79"/>
  <c r="AP265" i="79" s="1"/>
  <c r="F265" i="79"/>
  <c r="G265" i="79" s="1"/>
  <c r="D265" i="79"/>
  <c r="C265" i="79"/>
  <c r="O265" i="79" s="1"/>
  <c r="AC264" i="79"/>
  <c r="AD264" i="79" s="1"/>
  <c r="AA264" i="79"/>
  <c r="Z264" i="79"/>
  <c r="AP264" i="79" s="1"/>
  <c r="F264" i="79"/>
  <c r="G264" i="79" s="1"/>
  <c r="D264" i="79"/>
  <c r="C264" i="79"/>
  <c r="N264" i="79" s="1"/>
  <c r="AS261" i="79"/>
  <c r="AC261" i="79"/>
  <c r="AD261" i="79" s="1"/>
  <c r="AA261" i="79"/>
  <c r="Z261" i="79"/>
  <c r="AL261" i="79" s="1"/>
  <c r="V261" i="79"/>
  <c r="F261" i="79"/>
  <c r="G261" i="79" s="1"/>
  <c r="D261" i="79"/>
  <c r="C261" i="79"/>
  <c r="AS260" i="79"/>
  <c r="AC260" i="79"/>
  <c r="AD260" i="79" s="1"/>
  <c r="AA260" i="79"/>
  <c r="Z260" i="79"/>
  <c r="V260" i="79"/>
  <c r="F260" i="79"/>
  <c r="G260" i="79" s="1"/>
  <c r="D260" i="79"/>
  <c r="C260" i="79"/>
  <c r="AS259" i="79"/>
  <c r="AC259" i="79"/>
  <c r="AD259" i="79" s="1"/>
  <c r="AA259" i="79"/>
  <c r="Z259" i="79"/>
  <c r="AP259" i="79" s="1"/>
  <c r="V259" i="79"/>
  <c r="F259" i="79"/>
  <c r="G259" i="79" s="1"/>
  <c r="D259" i="79"/>
  <c r="C259" i="79"/>
  <c r="AS258" i="79"/>
  <c r="AC258" i="79"/>
  <c r="AD258" i="79" s="1"/>
  <c r="AA258" i="79"/>
  <c r="Z258" i="79"/>
  <c r="V258" i="79"/>
  <c r="F258" i="79"/>
  <c r="G258" i="79" s="1"/>
  <c r="D258" i="79"/>
  <c r="C258" i="79"/>
  <c r="T258" i="79" s="1"/>
  <c r="AS257" i="79"/>
  <c r="AC257" i="79"/>
  <c r="AD257" i="79" s="1"/>
  <c r="AA257" i="79"/>
  <c r="Z257" i="79"/>
  <c r="V257" i="79"/>
  <c r="F257" i="79"/>
  <c r="G257" i="79" s="1"/>
  <c r="D257" i="79"/>
  <c r="C257" i="79"/>
  <c r="AS254" i="79"/>
  <c r="AA254" i="79"/>
  <c r="Z254" i="79"/>
  <c r="AG254" i="79" s="1"/>
  <c r="V254" i="79"/>
  <c r="D254" i="79"/>
  <c r="C254" i="79"/>
  <c r="AS253" i="79"/>
  <c r="AA253" i="79"/>
  <c r="Z253" i="79"/>
  <c r="V253" i="79"/>
  <c r="D253" i="79"/>
  <c r="C253" i="79"/>
  <c r="I253" i="79" s="1"/>
  <c r="AS252" i="79"/>
  <c r="AA252" i="79"/>
  <c r="Z252" i="79"/>
  <c r="AN252" i="79" s="1"/>
  <c r="V252" i="79"/>
  <c r="D252" i="79"/>
  <c r="C252" i="79"/>
  <c r="AS251" i="79"/>
  <c r="AA251" i="79"/>
  <c r="Z251" i="79"/>
  <c r="AK251" i="79" s="1"/>
  <c r="V251" i="79"/>
  <c r="D251" i="79"/>
  <c r="C251" i="79"/>
  <c r="AS250" i="79"/>
  <c r="AA250" i="79"/>
  <c r="Z250" i="79"/>
  <c r="AF250" i="79" s="1"/>
  <c r="V250" i="79"/>
  <c r="D250" i="79"/>
  <c r="C250" i="79"/>
  <c r="X246" i="79"/>
  <c r="Z245" i="79"/>
  <c r="C245" i="79"/>
  <c r="B2590" i="79" s="1"/>
  <c r="AC240" i="79"/>
  <c r="AD240" i="79" s="1"/>
  <c r="AA240" i="79"/>
  <c r="Z240" i="79"/>
  <c r="AQ240" i="79" s="1"/>
  <c r="F240" i="79"/>
  <c r="G240" i="79" s="1"/>
  <c r="D240" i="79"/>
  <c r="C240" i="79"/>
  <c r="Q240" i="79" s="1"/>
  <c r="AC239" i="79"/>
  <c r="AD239" i="79" s="1"/>
  <c r="AA239" i="79"/>
  <c r="Z239" i="79"/>
  <c r="AQ239" i="79" s="1"/>
  <c r="F239" i="79"/>
  <c r="G239" i="79" s="1"/>
  <c r="D239" i="79"/>
  <c r="C239" i="79"/>
  <c r="S239" i="79" s="1"/>
  <c r="AC238" i="79"/>
  <c r="AD238" i="79" s="1"/>
  <c r="AA238" i="79"/>
  <c r="Z238" i="79"/>
  <c r="F238" i="79"/>
  <c r="G238" i="79" s="1"/>
  <c r="D238" i="79"/>
  <c r="C238" i="79"/>
  <c r="T238" i="79" s="1"/>
  <c r="AC235" i="79"/>
  <c r="AD235" i="79" s="1"/>
  <c r="AA235" i="79"/>
  <c r="Z235" i="79"/>
  <c r="F235" i="79"/>
  <c r="G235" i="79" s="1"/>
  <c r="D235" i="79"/>
  <c r="C235" i="79"/>
  <c r="S235" i="79" s="1"/>
  <c r="AC234" i="79"/>
  <c r="AD234" i="79" s="1"/>
  <c r="AA234" i="79"/>
  <c r="Z234" i="79"/>
  <c r="F234" i="79"/>
  <c r="G234" i="79" s="1"/>
  <c r="D234" i="79"/>
  <c r="C234" i="79"/>
  <c r="AC233" i="79"/>
  <c r="AD233" i="79" s="1"/>
  <c r="AA233" i="79"/>
  <c r="Z233" i="79"/>
  <c r="F233" i="79"/>
  <c r="G233" i="79" s="1"/>
  <c r="D233" i="79"/>
  <c r="C233" i="79"/>
  <c r="S233" i="79" s="1"/>
  <c r="AC230" i="79"/>
  <c r="AD230" i="79" s="1"/>
  <c r="AA230" i="79"/>
  <c r="Z230" i="79"/>
  <c r="F230" i="79"/>
  <c r="G230" i="79" s="1"/>
  <c r="D230" i="79"/>
  <c r="C230" i="79"/>
  <c r="AC229" i="79"/>
  <c r="AD229" i="79" s="1"/>
  <c r="AA229" i="79"/>
  <c r="Z229" i="79"/>
  <c r="AO229" i="79" s="1"/>
  <c r="F229" i="79"/>
  <c r="G229" i="79" s="1"/>
  <c r="D229" i="79"/>
  <c r="C229" i="79"/>
  <c r="S229" i="79" s="1"/>
  <c r="AC228" i="79"/>
  <c r="AD228" i="79" s="1"/>
  <c r="AA228" i="79"/>
  <c r="Z228" i="79"/>
  <c r="F228" i="79"/>
  <c r="G228" i="79" s="1"/>
  <c r="D228" i="79"/>
  <c r="C228" i="79"/>
  <c r="R228" i="79" s="1"/>
  <c r="AC227" i="79"/>
  <c r="AD227" i="79" s="1"/>
  <c r="AA227" i="79"/>
  <c r="Z227" i="79"/>
  <c r="F227" i="79"/>
  <c r="G227" i="79" s="1"/>
  <c r="D227" i="79"/>
  <c r="C227" i="79"/>
  <c r="S227" i="79" s="1"/>
  <c r="AC226" i="79"/>
  <c r="AD226" i="79" s="1"/>
  <c r="AA226" i="79"/>
  <c r="Z226" i="79"/>
  <c r="F226" i="79"/>
  <c r="G226" i="79" s="1"/>
  <c r="D226" i="79"/>
  <c r="C226" i="79"/>
  <c r="T226" i="79" s="1"/>
  <c r="AC225" i="79"/>
  <c r="AD225" i="79" s="1"/>
  <c r="AA225" i="79"/>
  <c r="Z225" i="79"/>
  <c r="AO225" i="79" s="1"/>
  <c r="F225" i="79"/>
  <c r="G225" i="79" s="1"/>
  <c r="D225" i="79"/>
  <c r="C225" i="79"/>
  <c r="S225" i="79" s="1"/>
  <c r="AC224" i="79"/>
  <c r="AD224" i="79" s="1"/>
  <c r="AA224" i="79"/>
  <c r="Z224" i="79"/>
  <c r="AQ224" i="79" s="1"/>
  <c r="F224" i="79"/>
  <c r="G224" i="79" s="1"/>
  <c r="D224" i="79"/>
  <c r="C224" i="79"/>
  <c r="S224" i="79" s="1"/>
  <c r="AC223" i="79"/>
  <c r="AD223" i="79" s="1"/>
  <c r="AA223" i="79"/>
  <c r="Z223" i="79"/>
  <c r="F223" i="79"/>
  <c r="G223" i="79" s="1"/>
  <c r="D223" i="79"/>
  <c r="C223" i="79"/>
  <c r="S223" i="79" s="1"/>
  <c r="AS220" i="79"/>
  <c r="AC220" i="79"/>
  <c r="AD220" i="79" s="1"/>
  <c r="AA220" i="79"/>
  <c r="Z220" i="79"/>
  <c r="V220" i="79"/>
  <c r="F220" i="79"/>
  <c r="G220" i="79" s="1"/>
  <c r="D220" i="79"/>
  <c r="C220" i="79"/>
  <c r="S220" i="79" s="1"/>
  <c r="AS219" i="79"/>
  <c r="AC219" i="79"/>
  <c r="AD219" i="79" s="1"/>
  <c r="AA219" i="79"/>
  <c r="Z219" i="79"/>
  <c r="AL219" i="79" s="1"/>
  <c r="V219" i="79"/>
  <c r="F219" i="79"/>
  <c r="G219" i="79" s="1"/>
  <c r="D219" i="79"/>
  <c r="C219" i="79"/>
  <c r="S219" i="79" s="1"/>
  <c r="AS218" i="79"/>
  <c r="AC218" i="79"/>
  <c r="AD218" i="79" s="1"/>
  <c r="AA218" i="79"/>
  <c r="Z218" i="79"/>
  <c r="AO218" i="79" s="1"/>
  <c r="V218" i="79"/>
  <c r="F218" i="79"/>
  <c r="G218" i="79" s="1"/>
  <c r="D218" i="79"/>
  <c r="AS217" i="79"/>
  <c r="AC217" i="79"/>
  <c r="AD217" i="79" s="1"/>
  <c r="AA217" i="79"/>
  <c r="Z217" i="79"/>
  <c r="AI217" i="79" s="1"/>
  <c r="V217" i="79"/>
  <c r="F217" i="79"/>
  <c r="G217" i="79" s="1"/>
  <c r="D217" i="79"/>
  <c r="AS216" i="79"/>
  <c r="AC216" i="79"/>
  <c r="AD216" i="79" s="1"/>
  <c r="AA216" i="79"/>
  <c r="Z216" i="79"/>
  <c r="AM216" i="79" s="1"/>
  <c r="V216" i="79"/>
  <c r="F216" i="79"/>
  <c r="G216" i="79" s="1"/>
  <c r="D216" i="79"/>
  <c r="AS213" i="79"/>
  <c r="AA213" i="79"/>
  <c r="Z213" i="79"/>
  <c r="AI213" i="79" s="1"/>
  <c r="V213" i="79"/>
  <c r="D213" i="79"/>
  <c r="C213" i="79"/>
  <c r="P213" i="79" s="1"/>
  <c r="AS212" i="79"/>
  <c r="AA212" i="79"/>
  <c r="Z212" i="79"/>
  <c r="V212" i="79"/>
  <c r="D212" i="79"/>
  <c r="C212" i="79"/>
  <c r="AS211" i="79"/>
  <c r="AA211" i="79"/>
  <c r="Z211" i="79"/>
  <c r="V211" i="79"/>
  <c r="D211" i="79"/>
  <c r="C211" i="79"/>
  <c r="AS210" i="79"/>
  <c r="AA210" i="79"/>
  <c r="Z210" i="79"/>
  <c r="V210" i="79"/>
  <c r="D210" i="79"/>
  <c r="C210" i="79"/>
  <c r="AS209" i="79"/>
  <c r="AA209" i="79"/>
  <c r="Z209" i="79"/>
  <c r="V209" i="79"/>
  <c r="D209" i="79"/>
  <c r="X205" i="79"/>
  <c r="Z204" i="79"/>
  <c r="Z242" i="79" s="1"/>
  <c r="C204" i="79"/>
  <c r="B1331" i="79" s="1"/>
  <c r="AC199" i="79"/>
  <c r="AD199" i="79" s="1"/>
  <c r="AA199" i="79"/>
  <c r="Z199" i="79"/>
  <c r="AP199" i="79" s="1"/>
  <c r="F199" i="79"/>
  <c r="G199" i="79" s="1"/>
  <c r="D199" i="79"/>
  <c r="C199" i="79"/>
  <c r="AC194" i="79"/>
  <c r="AD194" i="79" s="1"/>
  <c r="AA194" i="79"/>
  <c r="Z194" i="79"/>
  <c r="AN194" i="79" s="1"/>
  <c r="F194" i="79"/>
  <c r="G194" i="79" s="1"/>
  <c r="D194" i="79"/>
  <c r="C194" i="79"/>
  <c r="AC193" i="79"/>
  <c r="AD193" i="79" s="1"/>
  <c r="AA193" i="79"/>
  <c r="Z193" i="79"/>
  <c r="AP193" i="79" s="1"/>
  <c r="F193" i="79"/>
  <c r="G193" i="79" s="1"/>
  <c r="AC189" i="79"/>
  <c r="AD189" i="79" s="1"/>
  <c r="AA189" i="79"/>
  <c r="Z189" i="79"/>
  <c r="AP189" i="79" s="1"/>
  <c r="F189" i="79"/>
  <c r="G189" i="79" s="1"/>
  <c r="D189" i="79"/>
  <c r="C189" i="79"/>
  <c r="AC188" i="79"/>
  <c r="AD188" i="79" s="1"/>
  <c r="AA188" i="79"/>
  <c r="Z188" i="79"/>
  <c r="F188" i="79"/>
  <c r="G188" i="79" s="1"/>
  <c r="D188" i="79"/>
  <c r="C188" i="79"/>
  <c r="R188" i="79" s="1"/>
  <c r="AC187" i="79"/>
  <c r="AD187" i="79" s="1"/>
  <c r="AA187" i="79"/>
  <c r="Z187" i="79"/>
  <c r="AP187" i="79" s="1"/>
  <c r="F187" i="79"/>
  <c r="G187" i="79" s="1"/>
  <c r="D187" i="79"/>
  <c r="C187" i="79"/>
  <c r="T187" i="79" s="1"/>
  <c r="AC186" i="79"/>
  <c r="AD186" i="79" s="1"/>
  <c r="AA186" i="79"/>
  <c r="Z186" i="79"/>
  <c r="AK186" i="79" s="1"/>
  <c r="F186" i="79"/>
  <c r="G186" i="79" s="1"/>
  <c r="D186" i="79"/>
  <c r="C186" i="79"/>
  <c r="AC185" i="79"/>
  <c r="AD185" i="79" s="1"/>
  <c r="AA185" i="79"/>
  <c r="Z185" i="79"/>
  <c r="AP185" i="79" s="1"/>
  <c r="F185" i="79"/>
  <c r="G185" i="79" s="1"/>
  <c r="D185" i="79"/>
  <c r="C185" i="79"/>
  <c r="AC184" i="79"/>
  <c r="AD184" i="79" s="1"/>
  <c r="AA184" i="79"/>
  <c r="Z184" i="79"/>
  <c r="AM184" i="79" s="1"/>
  <c r="F184" i="79"/>
  <c r="G184" i="79" s="1"/>
  <c r="D184" i="79"/>
  <c r="C184" i="79"/>
  <c r="AC183" i="79"/>
  <c r="AD183" i="79" s="1"/>
  <c r="AA183" i="79"/>
  <c r="Z183" i="79"/>
  <c r="AP183" i="79" s="1"/>
  <c r="F183" i="79"/>
  <c r="G183" i="79" s="1"/>
  <c r="D183" i="79"/>
  <c r="C183" i="79"/>
  <c r="T183" i="79" s="1"/>
  <c r="AS179" i="79"/>
  <c r="AC179" i="79"/>
  <c r="AD179" i="79" s="1"/>
  <c r="AA179" i="79"/>
  <c r="Z179" i="79"/>
  <c r="AQ179" i="79" s="1"/>
  <c r="V179" i="79"/>
  <c r="F179" i="79"/>
  <c r="G179" i="79" s="1"/>
  <c r="D179" i="79"/>
  <c r="C179" i="79"/>
  <c r="P179" i="79" s="1"/>
  <c r="AS178" i="79"/>
  <c r="AC178" i="79"/>
  <c r="AD178" i="79" s="1"/>
  <c r="AA178" i="79"/>
  <c r="Z178" i="79"/>
  <c r="AQ178" i="79" s="1"/>
  <c r="V178" i="79"/>
  <c r="F178" i="79"/>
  <c r="G178" i="79" s="1"/>
  <c r="D178" i="79"/>
  <c r="C178" i="79"/>
  <c r="AS177" i="79"/>
  <c r="AC177" i="79"/>
  <c r="AD177" i="79" s="1"/>
  <c r="AA177" i="79"/>
  <c r="Z177" i="79"/>
  <c r="AK177" i="79" s="1"/>
  <c r="V177" i="79"/>
  <c r="F177" i="79"/>
  <c r="G177" i="79" s="1"/>
  <c r="D177" i="79"/>
  <c r="AS176" i="79"/>
  <c r="AC176" i="79"/>
  <c r="AD176" i="79" s="1"/>
  <c r="AA176" i="79"/>
  <c r="Z176" i="79"/>
  <c r="V176" i="79"/>
  <c r="F176" i="79"/>
  <c r="G176" i="79" s="1"/>
  <c r="D176" i="79"/>
  <c r="AS175" i="79"/>
  <c r="V175" i="79"/>
  <c r="AS172" i="79"/>
  <c r="AA172" i="79"/>
  <c r="Z172" i="79"/>
  <c r="AQ172" i="79" s="1"/>
  <c r="V172" i="79"/>
  <c r="D172" i="79"/>
  <c r="C172" i="79"/>
  <c r="R172" i="79" s="1"/>
  <c r="AS171" i="79"/>
  <c r="AA171" i="79"/>
  <c r="Z171" i="79"/>
  <c r="V171" i="79"/>
  <c r="D171" i="79"/>
  <c r="C171" i="79"/>
  <c r="AS170" i="79"/>
  <c r="AA170" i="79"/>
  <c r="Z170" i="79"/>
  <c r="AQ170" i="79" s="1"/>
  <c r="V170" i="79"/>
  <c r="D170" i="79"/>
  <c r="AS169" i="79"/>
  <c r="V169" i="79"/>
  <c r="D169" i="79"/>
  <c r="AS168" i="79"/>
  <c r="V168" i="79"/>
  <c r="X164" i="79"/>
  <c r="Z163" i="79"/>
  <c r="Y20" i="79" s="1"/>
  <c r="B1428" i="79" s="1"/>
  <c r="C163" i="79"/>
  <c r="B1327" i="79" s="1"/>
  <c r="AC158" i="79"/>
  <c r="AD158" i="79" s="1"/>
  <c r="AA158" i="79"/>
  <c r="Z158" i="79"/>
  <c r="F158" i="79"/>
  <c r="G158" i="79" s="1"/>
  <c r="D158" i="79"/>
  <c r="C158" i="79"/>
  <c r="S158" i="79" s="1"/>
  <c r="AC153" i="79"/>
  <c r="AD153" i="79" s="1"/>
  <c r="AA153" i="79"/>
  <c r="Z153" i="79"/>
  <c r="AQ153" i="79" s="1"/>
  <c r="F153" i="79"/>
  <c r="G153" i="79" s="1"/>
  <c r="D153" i="79"/>
  <c r="C153" i="79"/>
  <c r="F152" i="79"/>
  <c r="G152" i="79" s="1"/>
  <c r="D152" i="79"/>
  <c r="T149" i="79"/>
  <c r="S149" i="79"/>
  <c r="R149" i="79"/>
  <c r="Q149" i="79"/>
  <c r="P149" i="79"/>
  <c r="O149" i="79"/>
  <c r="N149" i="79"/>
  <c r="M149" i="79"/>
  <c r="L149" i="79"/>
  <c r="K149" i="79"/>
  <c r="J149" i="79"/>
  <c r="I149" i="79"/>
  <c r="AC148" i="79"/>
  <c r="AD148" i="79" s="1"/>
  <c r="AA148" i="79"/>
  <c r="Z148" i="79"/>
  <c r="F148" i="79"/>
  <c r="G148" i="79" s="1"/>
  <c r="D148" i="79"/>
  <c r="C148" i="79"/>
  <c r="S148" i="79" s="1"/>
  <c r="AC147" i="79"/>
  <c r="AD147" i="79" s="1"/>
  <c r="AA147" i="79"/>
  <c r="Z147" i="79"/>
  <c r="AK147" i="79" s="1"/>
  <c r="F147" i="79"/>
  <c r="G147" i="79" s="1"/>
  <c r="D147" i="79"/>
  <c r="C147" i="79"/>
  <c r="AC146" i="79"/>
  <c r="AD146" i="79" s="1"/>
  <c r="AA146" i="79"/>
  <c r="Z146" i="79"/>
  <c r="F146" i="79"/>
  <c r="G146" i="79" s="1"/>
  <c r="D146" i="79"/>
  <c r="C146" i="79"/>
  <c r="S146" i="79" s="1"/>
  <c r="AC145" i="79"/>
  <c r="AD145" i="79" s="1"/>
  <c r="AA145" i="79"/>
  <c r="Z145" i="79"/>
  <c r="AQ145" i="79" s="1"/>
  <c r="F145" i="79"/>
  <c r="G145" i="79" s="1"/>
  <c r="D145" i="79"/>
  <c r="C145" i="79"/>
  <c r="AC144" i="79"/>
  <c r="AD144" i="79" s="1"/>
  <c r="AA144" i="79"/>
  <c r="Z144" i="79"/>
  <c r="AO144" i="79" s="1"/>
  <c r="F144" i="79"/>
  <c r="G144" i="79" s="1"/>
  <c r="D144" i="79"/>
  <c r="C144" i="79"/>
  <c r="S144" i="79" s="1"/>
  <c r="AC143" i="79"/>
  <c r="AD143" i="79" s="1"/>
  <c r="AA143" i="79"/>
  <c r="Z143" i="79"/>
  <c r="F143" i="79"/>
  <c r="G143" i="79" s="1"/>
  <c r="D143" i="79"/>
  <c r="C143" i="79"/>
  <c r="Q143" i="79" s="1"/>
  <c r="AC142" i="79"/>
  <c r="AD142" i="79" s="1"/>
  <c r="AA142" i="79"/>
  <c r="Z142" i="79"/>
  <c r="AM142" i="79" s="1"/>
  <c r="F142" i="79"/>
  <c r="G142" i="79" s="1"/>
  <c r="D142" i="79"/>
  <c r="C142" i="79"/>
  <c r="S142" i="79" s="1"/>
  <c r="AS138" i="79"/>
  <c r="AC138" i="79"/>
  <c r="AD138" i="79" s="1"/>
  <c r="AA138" i="79"/>
  <c r="Z138" i="79"/>
  <c r="AP138" i="79" s="1"/>
  <c r="V138" i="79"/>
  <c r="F138" i="79"/>
  <c r="G138" i="79" s="1"/>
  <c r="D138" i="79"/>
  <c r="C138" i="79"/>
  <c r="AS137" i="79"/>
  <c r="AC137" i="79"/>
  <c r="AD137" i="79" s="1"/>
  <c r="AA137" i="79"/>
  <c r="Z137" i="79"/>
  <c r="AP137" i="79" s="1"/>
  <c r="V137" i="79"/>
  <c r="F137" i="79"/>
  <c r="G137" i="79" s="1"/>
  <c r="D137" i="79"/>
  <c r="C137" i="79"/>
  <c r="AS136" i="79"/>
  <c r="AC136" i="79"/>
  <c r="AD136" i="79" s="1"/>
  <c r="AA136" i="79"/>
  <c r="V136" i="79"/>
  <c r="D136" i="79"/>
  <c r="AS135" i="79"/>
  <c r="V135" i="79"/>
  <c r="F135" i="79"/>
  <c r="G135" i="79" s="1"/>
  <c r="D135" i="79"/>
  <c r="AS134" i="79"/>
  <c r="AC134" i="79"/>
  <c r="AD134" i="79" s="1"/>
  <c r="AA134" i="79"/>
  <c r="V134" i="79"/>
  <c r="AS131" i="79"/>
  <c r="AA131" i="79"/>
  <c r="Z131" i="79"/>
  <c r="AN131" i="79" s="1"/>
  <c r="V131" i="79"/>
  <c r="D131" i="79"/>
  <c r="C131" i="79"/>
  <c r="Q131" i="79" s="1"/>
  <c r="AS130" i="79"/>
  <c r="AA130" i="79"/>
  <c r="Z130" i="79"/>
  <c r="AN130" i="79" s="1"/>
  <c r="V130" i="79"/>
  <c r="D130" i="79"/>
  <c r="C130" i="79"/>
  <c r="Q130" i="79" s="1"/>
  <c r="AS129" i="79"/>
  <c r="AA129" i="79"/>
  <c r="V129" i="79"/>
  <c r="D129" i="79"/>
  <c r="AS128" i="79"/>
  <c r="AA128" i="79"/>
  <c r="V128" i="79"/>
  <c r="D128" i="79"/>
  <c r="AS127" i="79"/>
  <c r="V127" i="79"/>
  <c r="X123" i="79"/>
  <c r="Z122" i="79"/>
  <c r="Z160" i="79" s="1"/>
  <c r="C122" i="79"/>
  <c r="B18" i="79" s="1"/>
  <c r="B1415" i="79" s="1"/>
  <c r="AC117" i="79"/>
  <c r="AD117" i="79" s="1"/>
  <c r="AA117" i="79"/>
  <c r="Z117" i="79"/>
  <c r="AN117" i="79" s="1"/>
  <c r="F117" i="79"/>
  <c r="G117" i="79" s="1"/>
  <c r="D117" i="79"/>
  <c r="C117" i="79"/>
  <c r="AC112" i="79"/>
  <c r="AD112" i="79" s="1"/>
  <c r="AA112" i="79"/>
  <c r="Z112" i="79"/>
  <c r="AJ112" i="79" s="1"/>
  <c r="F112" i="79"/>
  <c r="G112" i="79" s="1"/>
  <c r="D112" i="79"/>
  <c r="C112" i="79"/>
  <c r="T112" i="79" s="1"/>
  <c r="AC111" i="79"/>
  <c r="AD111" i="79" s="1"/>
  <c r="AA111" i="79"/>
  <c r="AC107" i="79"/>
  <c r="AD107" i="79" s="1"/>
  <c r="AA107" i="79"/>
  <c r="Z107" i="79"/>
  <c r="F107" i="79"/>
  <c r="G107" i="79" s="1"/>
  <c r="D107" i="79"/>
  <c r="C107" i="79"/>
  <c r="AC106" i="79"/>
  <c r="AD106" i="79" s="1"/>
  <c r="AA106" i="79"/>
  <c r="Z106" i="79"/>
  <c r="AN106" i="79" s="1"/>
  <c r="F106" i="79"/>
  <c r="G106" i="79" s="1"/>
  <c r="D106" i="79"/>
  <c r="C106" i="79"/>
  <c r="R106" i="79" s="1"/>
  <c r="AC105" i="79"/>
  <c r="AD105" i="79" s="1"/>
  <c r="AA105" i="79"/>
  <c r="Z105" i="79"/>
  <c r="F105" i="79"/>
  <c r="G105" i="79" s="1"/>
  <c r="D105" i="79"/>
  <c r="C105" i="79"/>
  <c r="T105" i="79" s="1"/>
  <c r="AC104" i="79"/>
  <c r="AD104" i="79" s="1"/>
  <c r="AA104" i="79"/>
  <c r="Z104" i="79"/>
  <c r="AJ104" i="79" s="1"/>
  <c r="F104" i="79"/>
  <c r="G104" i="79" s="1"/>
  <c r="D104" i="79"/>
  <c r="C104" i="79"/>
  <c r="AC103" i="79"/>
  <c r="AD103" i="79" s="1"/>
  <c r="AA103" i="79"/>
  <c r="Z103" i="79"/>
  <c r="F103" i="79"/>
  <c r="G103" i="79" s="1"/>
  <c r="D103" i="79"/>
  <c r="C103" i="79"/>
  <c r="Q103" i="79" s="1"/>
  <c r="AC102" i="79"/>
  <c r="AD102" i="79" s="1"/>
  <c r="AA102" i="79"/>
  <c r="Z102" i="79"/>
  <c r="AN102" i="79" s="1"/>
  <c r="F102" i="79"/>
  <c r="G102" i="79" s="1"/>
  <c r="D102" i="79"/>
  <c r="C102" i="79"/>
  <c r="S102" i="79" s="1"/>
  <c r="AC101" i="79"/>
  <c r="AD101" i="79" s="1"/>
  <c r="AA101" i="79"/>
  <c r="Z101" i="79"/>
  <c r="F101" i="79"/>
  <c r="G101" i="79" s="1"/>
  <c r="D101" i="79"/>
  <c r="C101" i="79"/>
  <c r="AS97" i="79"/>
  <c r="AC97" i="79"/>
  <c r="AD97" i="79" s="1"/>
  <c r="AA97" i="79"/>
  <c r="Z97" i="79"/>
  <c r="AQ97" i="79" s="1"/>
  <c r="V97" i="79"/>
  <c r="F97" i="79"/>
  <c r="G97" i="79" s="1"/>
  <c r="D97" i="79"/>
  <c r="C97" i="79"/>
  <c r="R97" i="79" s="1"/>
  <c r="AS96" i="79"/>
  <c r="AC96" i="79"/>
  <c r="AD96" i="79" s="1"/>
  <c r="AA96" i="79"/>
  <c r="Z96" i="79"/>
  <c r="V96" i="79"/>
  <c r="F96" i="79"/>
  <c r="G96" i="79" s="1"/>
  <c r="D96" i="79"/>
  <c r="C96" i="79"/>
  <c r="T96" i="79" s="1"/>
  <c r="AS95" i="79"/>
  <c r="AC95" i="79"/>
  <c r="AD95" i="79" s="1"/>
  <c r="AA95" i="79"/>
  <c r="V95" i="79"/>
  <c r="D95" i="79"/>
  <c r="AS94" i="79"/>
  <c r="AC94" i="79"/>
  <c r="AD94" i="79" s="1"/>
  <c r="AA94" i="79"/>
  <c r="V94" i="79"/>
  <c r="F94" i="79"/>
  <c r="G94" i="79" s="1"/>
  <c r="D94" i="79"/>
  <c r="AS93" i="79"/>
  <c r="V93" i="79"/>
  <c r="AS90" i="79"/>
  <c r="AA90" i="79"/>
  <c r="Z90" i="79"/>
  <c r="V90" i="79"/>
  <c r="D90" i="79"/>
  <c r="C90" i="79"/>
  <c r="S90" i="79" s="1"/>
  <c r="AS89" i="79"/>
  <c r="AA89" i="79"/>
  <c r="Z89" i="79"/>
  <c r="AO89" i="79" s="1"/>
  <c r="V89" i="79"/>
  <c r="D89" i="79"/>
  <c r="C89" i="79"/>
  <c r="M89" i="79" s="1"/>
  <c r="AS88" i="79"/>
  <c r="AA88" i="79"/>
  <c r="V88" i="79"/>
  <c r="D88" i="79"/>
  <c r="AS87" i="79"/>
  <c r="AA87" i="79"/>
  <c r="V87" i="79"/>
  <c r="D87" i="79"/>
  <c r="AS86" i="79"/>
  <c r="V86" i="79"/>
  <c r="X82" i="79"/>
  <c r="Z81" i="79"/>
  <c r="Z119" i="79" s="1"/>
  <c r="C81" i="79"/>
  <c r="AC76" i="79"/>
  <c r="AD76" i="79" s="1"/>
  <c r="AA76" i="79"/>
  <c r="Z76" i="79"/>
  <c r="AM76" i="79" s="1"/>
  <c r="F76" i="79"/>
  <c r="G76" i="79" s="1"/>
  <c r="D76" i="79"/>
  <c r="C76" i="79"/>
  <c r="O76" i="79" s="1"/>
  <c r="AC71" i="79"/>
  <c r="AD71" i="79" s="1"/>
  <c r="AA71" i="79"/>
  <c r="Z71" i="79"/>
  <c r="F71" i="79"/>
  <c r="G71" i="79" s="1"/>
  <c r="D71" i="79"/>
  <c r="C71" i="79"/>
  <c r="O71" i="79" s="1"/>
  <c r="AC70" i="79"/>
  <c r="AD70" i="79" s="1"/>
  <c r="AA70" i="79"/>
  <c r="AC66" i="79"/>
  <c r="AD66" i="79" s="1"/>
  <c r="AA66" i="79"/>
  <c r="Z66" i="79"/>
  <c r="F66" i="79"/>
  <c r="G66" i="79" s="1"/>
  <c r="D66" i="79"/>
  <c r="C66" i="79"/>
  <c r="O66" i="79" s="1"/>
  <c r="AC65" i="79"/>
  <c r="AD65" i="79" s="1"/>
  <c r="AA65" i="79"/>
  <c r="Z65" i="79"/>
  <c r="F65" i="79"/>
  <c r="G65" i="79" s="1"/>
  <c r="D65" i="79"/>
  <c r="C65" i="79"/>
  <c r="AC64" i="79"/>
  <c r="AD64" i="79" s="1"/>
  <c r="AA64" i="79"/>
  <c r="Z64" i="79"/>
  <c r="F64" i="79"/>
  <c r="G64" i="79" s="1"/>
  <c r="D64" i="79"/>
  <c r="C64" i="79"/>
  <c r="O64" i="79" s="1"/>
  <c r="AC63" i="79"/>
  <c r="AD63" i="79" s="1"/>
  <c r="AA63" i="79"/>
  <c r="Z63" i="79"/>
  <c r="F63" i="79"/>
  <c r="G63" i="79" s="1"/>
  <c r="D63" i="79"/>
  <c r="C63" i="79"/>
  <c r="O63" i="79" s="1"/>
  <c r="AC62" i="79"/>
  <c r="AD62" i="79" s="1"/>
  <c r="AA62" i="79"/>
  <c r="Z62" i="79"/>
  <c r="AP62" i="79" s="1"/>
  <c r="F62" i="79"/>
  <c r="G62" i="79" s="1"/>
  <c r="D62" i="79"/>
  <c r="C62" i="79"/>
  <c r="O62" i="79" s="1"/>
  <c r="AC61" i="79"/>
  <c r="AD61" i="79" s="1"/>
  <c r="AA61" i="79"/>
  <c r="Z61" i="79"/>
  <c r="F61" i="79"/>
  <c r="G61" i="79" s="1"/>
  <c r="D61" i="79"/>
  <c r="C61" i="79"/>
  <c r="M61" i="79" s="1"/>
  <c r="AC60" i="79"/>
  <c r="AD60" i="79" s="1"/>
  <c r="AA60" i="79"/>
  <c r="Z60" i="79"/>
  <c r="F60" i="79"/>
  <c r="G60" i="79" s="1"/>
  <c r="D60" i="79"/>
  <c r="C60" i="79"/>
  <c r="O60" i="79" s="1"/>
  <c r="AS56" i="79"/>
  <c r="AC56" i="79"/>
  <c r="AD56" i="79" s="1"/>
  <c r="AA56" i="79"/>
  <c r="Z56" i="79"/>
  <c r="AJ56" i="79" s="1"/>
  <c r="V56" i="79"/>
  <c r="F56" i="79"/>
  <c r="G56" i="79" s="1"/>
  <c r="D56" i="79"/>
  <c r="C56" i="79"/>
  <c r="O56" i="79" s="1"/>
  <c r="AS55" i="79"/>
  <c r="AC55" i="79"/>
  <c r="AD55" i="79" s="1"/>
  <c r="AA55" i="79"/>
  <c r="Z55" i="79"/>
  <c r="AL55" i="79" s="1"/>
  <c r="V55" i="79"/>
  <c r="F55" i="79"/>
  <c r="G55" i="79" s="1"/>
  <c r="D55" i="79"/>
  <c r="C55" i="79"/>
  <c r="M55" i="79" s="1"/>
  <c r="AS54" i="79"/>
  <c r="AC54" i="79"/>
  <c r="AD54" i="79" s="1"/>
  <c r="AA54" i="79"/>
  <c r="V54" i="79"/>
  <c r="D54" i="79"/>
  <c r="AS53" i="79"/>
  <c r="AC53" i="79"/>
  <c r="AD53" i="79" s="1"/>
  <c r="AA53" i="79"/>
  <c r="V53" i="79"/>
  <c r="F53" i="79"/>
  <c r="G53" i="79" s="1"/>
  <c r="D53" i="79"/>
  <c r="AS52" i="79"/>
  <c r="V52" i="79"/>
  <c r="AS49" i="79"/>
  <c r="AA49" i="79"/>
  <c r="Z49" i="79"/>
  <c r="AN49" i="79" s="1"/>
  <c r="V49" i="79"/>
  <c r="D49" i="79"/>
  <c r="C49" i="79"/>
  <c r="S49" i="79" s="1"/>
  <c r="AS48" i="79"/>
  <c r="AA48" i="79"/>
  <c r="Z48" i="79"/>
  <c r="V48" i="79"/>
  <c r="D48" i="79"/>
  <c r="C48" i="79"/>
  <c r="S48" i="79" s="1"/>
  <c r="AS47" i="79"/>
  <c r="AA47" i="79"/>
  <c r="V47" i="79"/>
  <c r="D47" i="79"/>
  <c r="AS46" i="79"/>
  <c r="AA46" i="79"/>
  <c r="V46" i="79"/>
  <c r="D46" i="79"/>
  <c r="AS45" i="79"/>
  <c r="V45" i="79"/>
  <c r="X41" i="79"/>
  <c r="Z40" i="79"/>
  <c r="Z1457" i="79" s="1"/>
  <c r="Z1638" i="79" s="1"/>
  <c r="C40" i="79"/>
  <c r="B14" i="79" s="1"/>
  <c r="B1413" i="79" s="1"/>
  <c r="D1459" i="64"/>
  <c r="D1458" i="64"/>
  <c r="D1457" i="64"/>
  <c r="E1351" i="64"/>
  <c r="E1354" i="64" s="1"/>
  <c r="E1357" i="64" s="1"/>
  <c r="E1360" i="64" s="1"/>
  <c r="E1350" i="64"/>
  <c r="E1353" i="64" s="1"/>
  <c r="E1356" i="64" s="1"/>
  <c r="E1359" i="64" s="1"/>
  <c r="K1349" i="64"/>
  <c r="K1352" i="64" s="1"/>
  <c r="K1355" i="64" s="1"/>
  <c r="K1358" i="64" s="1"/>
  <c r="BC1200" i="64"/>
  <c r="AC1274" i="64" s="1"/>
  <c r="CQ1194" i="64"/>
  <c r="CA1194" i="64"/>
  <c r="A1194" i="64" s="1"/>
  <c r="AP1053" i="64"/>
  <c r="AB1126" i="64" s="1"/>
  <c r="AF1008" i="64"/>
  <c r="AR1008" i="64" s="1"/>
  <c r="AC1008" i="64"/>
  <c r="AB1008" i="64"/>
  <c r="AA1008" i="64"/>
  <c r="Z1008" i="64"/>
  <c r="Y1008" i="64"/>
  <c r="X1008" i="64"/>
  <c r="W1008" i="64"/>
  <c r="V1008" i="64"/>
  <c r="U1008" i="64"/>
  <c r="T1008" i="64"/>
  <c r="S1008" i="64"/>
  <c r="R1008" i="64"/>
  <c r="AF993" i="64"/>
  <c r="AR993" i="64" s="1"/>
  <c r="AC993" i="64"/>
  <c r="AB993" i="64"/>
  <c r="AA993" i="64"/>
  <c r="Z993" i="64"/>
  <c r="Y993" i="64"/>
  <c r="X993" i="64"/>
  <c r="W993" i="64"/>
  <c r="V993" i="64"/>
  <c r="U993" i="64"/>
  <c r="T993" i="64"/>
  <c r="S993" i="64"/>
  <c r="R993" i="64"/>
  <c r="AF986" i="64"/>
  <c r="AR986" i="64" s="1"/>
  <c r="AC986" i="64"/>
  <c r="AB986" i="64"/>
  <c r="AA986" i="64"/>
  <c r="Z986" i="64"/>
  <c r="Y986" i="64"/>
  <c r="X986" i="64"/>
  <c r="W986" i="64"/>
  <c r="V986" i="64"/>
  <c r="U986" i="64"/>
  <c r="T986" i="64"/>
  <c r="S986" i="64"/>
  <c r="R986" i="64"/>
  <c r="C978" i="64"/>
  <c r="C977" i="64"/>
  <c r="C976" i="64"/>
  <c r="C975" i="64"/>
  <c r="C974" i="64"/>
  <c r="C973" i="64"/>
  <c r="C972" i="64"/>
  <c r="C971" i="64"/>
  <c r="C970" i="64"/>
  <c r="C969" i="64"/>
  <c r="C968" i="64"/>
  <c r="C967" i="64"/>
  <c r="C966" i="64"/>
  <c r="C965" i="64"/>
  <c r="C964" i="64"/>
  <c r="C963" i="64"/>
  <c r="C962" i="64"/>
  <c r="C961" i="64"/>
  <c r="C960" i="64"/>
  <c r="C959" i="64"/>
  <c r="C958" i="64"/>
  <c r="C957" i="64"/>
  <c r="C956" i="64"/>
  <c r="C955" i="64"/>
  <c r="C954" i="64"/>
  <c r="C953" i="64"/>
  <c r="C952" i="64"/>
  <c r="C951" i="64"/>
  <c r="C950" i="64"/>
  <c r="C949" i="64"/>
  <c r="C948" i="64"/>
  <c r="C947" i="64"/>
  <c r="C946" i="64"/>
  <c r="C945" i="64"/>
  <c r="C944" i="64"/>
  <c r="C943" i="64"/>
  <c r="C942" i="64"/>
  <c r="C941" i="64"/>
  <c r="C940" i="64"/>
  <c r="C939" i="64"/>
  <c r="C938" i="64"/>
  <c r="C937" i="64"/>
  <c r="C936" i="64"/>
  <c r="C935" i="64"/>
  <c r="C934" i="64"/>
  <c r="C933" i="64"/>
  <c r="C932" i="64"/>
  <c r="C931" i="64"/>
  <c r="C930" i="64"/>
  <c r="C929" i="64"/>
  <c r="C928" i="64"/>
  <c r="C927" i="64"/>
  <c r="C926" i="64"/>
  <c r="C925" i="64"/>
  <c r="C924" i="64"/>
  <c r="C923" i="64"/>
  <c r="C922" i="64"/>
  <c r="C921" i="64"/>
  <c r="C920" i="64"/>
  <c r="C919" i="64"/>
  <c r="C918" i="64"/>
  <c r="C917" i="64"/>
  <c r="C916" i="64"/>
  <c r="C915" i="64"/>
  <c r="C914" i="64"/>
  <c r="C913" i="64"/>
  <c r="C912" i="64"/>
  <c r="C911" i="64"/>
  <c r="C910" i="64"/>
  <c r="C909" i="64"/>
  <c r="C908" i="64"/>
  <c r="C907" i="64"/>
  <c r="C906" i="64"/>
  <c r="C905" i="64"/>
  <c r="C904" i="64"/>
  <c r="C903" i="64"/>
  <c r="C902" i="64"/>
  <c r="C901" i="64"/>
  <c r="C900" i="64"/>
  <c r="C899" i="64"/>
  <c r="C898" i="64"/>
  <c r="C897" i="64"/>
  <c r="C896" i="64"/>
  <c r="C895" i="64"/>
  <c r="C894" i="64"/>
  <c r="C893" i="64"/>
  <c r="C892" i="64"/>
  <c r="C891" i="64"/>
  <c r="C890" i="64"/>
  <c r="C889" i="64"/>
  <c r="D797" i="64"/>
  <c r="D868" i="64" s="1"/>
  <c r="C868" i="64" s="1"/>
  <c r="D791" i="64"/>
  <c r="D784" i="64"/>
  <c r="D855" i="64" s="1"/>
  <c r="D778" i="64"/>
  <c r="D849" i="64" s="1"/>
  <c r="D768" i="64"/>
  <c r="D839" i="64" s="1"/>
  <c r="C839" i="64" s="1"/>
  <c r="D753" i="64"/>
  <c r="D824" i="64" s="1"/>
  <c r="C824" i="64" s="1"/>
  <c r="D746" i="64"/>
  <c r="D817" i="64" s="1"/>
  <c r="C817" i="64" s="1"/>
  <c r="B652" i="64"/>
  <c r="D529" i="64"/>
  <c r="P568" i="64" s="1"/>
  <c r="D528" i="64"/>
  <c r="Q567" i="64" s="1"/>
  <c r="D527" i="64"/>
  <c r="P603" i="64" s="1"/>
  <c r="D526" i="64"/>
  <c r="H565" i="64" s="1"/>
  <c r="D525" i="64"/>
  <c r="G601" i="64" s="1"/>
  <c r="D524" i="64"/>
  <c r="H563" i="64" s="1"/>
  <c r="D523" i="64"/>
  <c r="D522" i="64"/>
  <c r="D521" i="64"/>
  <c r="D520" i="64"/>
  <c r="D519" i="64"/>
  <c r="Q595" i="64" s="1"/>
  <c r="D518" i="64"/>
  <c r="D517" i="64"/>
  <c r="I593" i="64" s="1"/>
  <c r="D516" i="64"/>
  <c r="Q592" i="64" s="1"/>
  <c r="D515" i="64"/>
  <c r="D514" i="64"/>
  <c r="D513" i="64"/>
  <c r="D512" i="64"/>
  <c r="D510" i="64"/>
  <c r="P549" i="64" s="1"/>
  <c r="D509" i="64"/>
  <c r="Q585" i="64" s="1"/>
  <c r="D508" i="64"/>
  <c r="Q508" i="64" s="1"/>
  <c r="D507" i="64"/>
  <c r="D506" i="64"/>
  <c r="D505" i="64"/>
  <c r="D504" i="64"/>
  <c r="D503" i="64"/>
  <c r="D502" i="64"/>
  <c r="D501" i="64"/>
  <c r="D500" i="64"/>
  <c r="D499" i="64"/>
  <c r="D498" i="64"/>
  <c r="S490" i="64"/>
  <c r="S489" i="64"/>
  <c r="S488" i="64"/>
  <c r="S487" i="64"/>
  <c r="S486" i="64"/>
  <c r="S485" i="64"/>
  <c r="S484" i="64"/>
  <c r="S483" i="64"/>
  <c r="S482" i="64"/>
  <c r="S481" i="64"/>
  <c r="S480" i="64"/>
  <c r="S479" i="64"/>
  <c r="S478" i="64"/>
  <c r="S477" i="64"/>
  <c r="S476" i="64"/>
  <c r="S475" i="64"/>
  <c r="S474" i="64"/>
  <c r="S473" i="64"/>
  <c r="S472" i="64"/>
  <c r="S471" i="64"/>
  <c r="S470" i="64"/>
  <c r="S469" i="64"/>
  <c r="S468" i="64"/>
  <c r="S467" i="64"/>
  <c r="S466" i="64"/>
  <c r="S465" i="64"/>
  <c r="S464" i="64"/>
  <c r="S463" i="64"/>
  <c r="S462" i="64"/>
  <c r="S461" i="64"/>
  <c r="S460" i="64"/>
  <c r="S459" i="64"/>
  <c r="S458" i="64"/>
  <c r="S457" i="64"/>
  <c r="S456" i="64"/>
  <c r="S455" i="64"/>
  <c r="S454" i="64"/>
  <c r="S453" i="64"/>
  <c r="S452" i="64"/>
  <c r="S451" i="64"/>
  <c r="S450" i="64"/>
  <c r="S449" i="64"/>
  <c r="S448" i="64"/>
  <c r="S447" i="64"/>
  <c r="S446" i="64"/>
  <c r="S445" i="64"/>
  <c r="S444" i="64"/>
  <c r="S443" i="64"/>
  <c r="S442" i="64"/>
  <c r="S441" i="64"/>
  <c r="S440" i="64"/>
  <c r="S439" i="64"/>
  <c r="S438" i="64"/>
  <c r="S437" i="64"/>
  <c r="S436" i="64"/>
  <c r="S435" i="64"/>
  <c r="S434" i="64"/>
  <c r="S433" i="64"/>
  <c r="S432" i="64"/>
  <c r="S431" i="64"/>
  <c r="S430" i="64"/>
  <c r="S429" i="64"/>
  <c r="S428" i="64"/>
  <c r="S427" i="64"/>
  <c r="S426" i="64"/>
  <c r="S425" i="64"/>
  <c r="S424" i="64"/>
  <c r="S423" i="64"/>
  <c r="S422" i="64"/>
  <c r="S421" i="64"/>
  <c r="S420" i="64"/>
  <c r="S419" i="64"/>
  <c r="S418" i="64"/>
  <c r="S417" i="64"/>
  <c r="S416" i="64"/>
  <c r="S415" i="64"/>
  <c r="S414" i="64"/>
  <c r="S413" i="64"/>
  <c r="S412" i="64"/>
  <c r="S411" i="64"/>
  <c r="S410" i="64"/>
  <c r="S409" i="64"/>
  <c r="S408" i="64"/>
  <c r="S407" i="64"/>
  <c r="S406" i="64"/>
  <c r="S405" i="64"/>
  <c r="S404" i="64"/>
  <c r="S403" i="64"/>
  <c r="S402" i="64"/>
  <c r="S401" i="64"/>
  <c r="G401" i="64"/>
  <c r="D387" i="64"/>
  <c r="D386" i="64"/>
  <c r="D385" i="64"/>
  <c r="D384" i="64"/>
  <c r="D383" i="64"/>
  <c r="D382" i="64"/>
  <c r="D381" i="64"/>
  <c r="D380" i="64"/>
  <c r="D379" i="64"/>
  <c r="D378" i="64"/>
  <c r="Q378" i="64" s="1"/>
  <c r="D377" i="64"/>
  <c r="D376" i="64"/>
  <c r="L376" i="64" s="1"/>
  <c r="D375" i="64"/>
  <c r="L375" i="64" s="1"/>
  <c r="D374" i="64"/>
  <c r="Q374" i="64" s="1"/>
  <c r="D373" i="64"/>
  <c r="D372" i="64"/>
  <c r="D371" i="64"/>
  <c r="D370" i="64"/>
  <c r="D369" i="64"/>
  <c r="E1448" i="64" s="1"/>
  <c r="D368" i="64"/>
  <c r="P368" i="64" s="1"/>
  <c r="D367" i="64"/>
  <c r="D366" i="64"/>
  <c r="Q366" i="64" s="1"/>
  <c r="D365" i="64"/>
  <c r="L365" i="64" s="1"/>
  <c r="D364" i="64"/>
  <c r="M364" i="64" s="1"/>
  <c r="D363" i="64"/>
  <c r="D362" i="64"/>
  <c r="D361" i="64"/>
  <c r="D360" i="64"/>
  <c r="D359" i="64"/>
  <c r="E1438" i="64" s="1"/>
  <c r="D358" i="64"/>
  <c r="D357" i="64"/>
  <c r="R357" i="64" s="1"/>
  <c r="V357" i="64" s="1"/>
  <c r="X357" i="64" s="1"/>
  <c r="C1450" i="79" s="1"/>
  <c r="D356" i="64"/>
  <c r="O356" i="64" s="1"/>
  <c r="D355" i="64"/>
  <c r="B161" i="69" s="1"/>
  <c r="D354" i="64"/>
  <c r="U354" i="64" s="1"/>
  <c r="Y354" i="64" s="1"/>
  <c r="D353" i="64"/>
  <c r="B200" i="40" s="1"/>
  <c r="D352" i="64"/>
  <c r="U352" i="64" s="1"/>
  <c r="Y352" i="64" s="1"/>
  <c r="D351" i="64"/>
  <c r="B198" i="40" s="1"/>
  <c r="D350" i="64"/>
  <c r="B156" i="69" s="1"/>
  <c r="D349" i="64"/>
  <c r="B155" i="69" s="1"/>
  <c r="D348" i="64"/>
  <c r="B154" i="69" s="1"/>
  <c r="D347" i="64"/>
  <c r="B194" i="40" s="1"/>
  <c r="D346" i="64"/>
  <c r="E1428" i="64" s="1"/>
  <c r="D344" i="64"/>
  <c r="R344" i="64" s="1"/>
  <c r="D343" i="64"/>
  <c r="M343" i="64" s="1"/>
  <c r="D342" i="64"/>
  <c r="D341" i="64"/>
  <c r="D266" i="64" s="1"/>
  <c r="D282" i="64" s="1"/>
  <c r="D340" i="64"/>
  <c r="D265" i="64" s="1"/>
  <c r="D281" i="64" s="1"/>
  <c r="D339" i="64"/>
  <c r="D1372" i="64" s="1"/>
  <c r="D1389" i="64" s="1"/>
  <c r="D1406" i="64" s="1"/>
  <c r="D338" i="64"/>
  <c r="D337" i="64"/>
  <c r="D336" i="64"/>
  <c r="D262" i="64" s="1"/>
  <c r="D278" i="64" s="1"/>
  <c r="D335" i="64"/>
  <c r="D202" i="64" s="1"/>
  <c r="D245" i="64" s="1"/>
  <c r="D334" i="64"/>
  <c r="D333" i="64"/>
  <c r="D332" i="64"/>
  <c r="D1365" i="64" s="1"/>
  <c r="D1382" i="64" s="1"/>
  <c r="D1399" i="64" s="1"/>
  <c r="D331" i="64"/>
  <c r="D330" i="64"/>
  <c r="P330" i="64" s="1"/>
  <c r="D329" i="64"/>
  <c r="D328" i="64"/>
  <c r="D709" i="64" s="1"/>
  <c r="D327" i="64"/>
  <c r="D326" i="64"/>
  <c r="D325" i="64"/>
  <c r="D194" i="64" s="1"/>
  <c r="P194" i="64" s="1"/>
  <c r="D324" i="64"/>
  <c r="D193" i="64" s="1"/>
  <c r="R193" i="64" s="1"/>
  <c r="D323" i="64"/>
  <c r="D322" i="64"/>
  <c r="D703" i="64" s="1"/>
  <c r="D321" i="64"/>
  <c r="D702" i="64" s="1"/>
  <c r="D320" i="64"/>
  <c r="D701" i="64" s="1"/>
  <c r="D319" i="64"/>
  <c r="D318" i="64"/>
  <c r="D699" i="64" s="1"/>
  <c r="D317" i="64"/>
  <c r="D698" i="64" s="1"/>
  <c r="D316" i="64"/>
  <c r="D315" i="64"/>
  <c r="D314" i="64"/>
  <c r="D695" i="64" s="1"/>
  <c r="D313" i="64"/>
  <c r="D694" i="64" s="1"/>
  <c r="D312" i="64"/>
  <c r="D693" i="64" s="1"/>
  <c r="D311" i="64"/>
  <c r="D310" i="64"/>
  <c r="D691" i="64" s="1"/>
  <c r="D309" i="64"/>
  <c r="D690" i="64" s="1"/>
  <c r="D308" i="64"/>
  <c r="D689" i="64" s="1"/>
  <c r="D307" i="64"/>
  <c r="D306" i="64"/>
  <c r="D687" i="64" s="1"/>
  <c r="D305" i="64"/>
  <c r="D686" i="64" s="1"/>
  <c r="D304" i="64"/>
  <c r="D685" i="64" s="1"/>
  <c r="D303" i="64"/>
  <c r="D302" i="64"/>
  <c r="D683" i="64" s="1"/>
  <c r="D301" i="64"/>
  <c r="D300" i="64"/>
  <c r="D299" i="64"/>
  <c r="D680" i="64" s="1"/>
  <c r="D298" i="64"/>
  <c r="D679" i="64" s="1"/>
  <c r="D297" i="64"/>
  <c r="D678" i="64" s="1"/>
  <c r="D296" i="64"/>
  <c r="D677" i="64" s="1"/>
  <c r="D295" i="64"/>
  <c r="D676" i="64" s="1"/>
  <c r="D294" i="64"/>
  <c r="D293" i="64"/>
  <c r="D674" i="64" s="1"/>
  <c r="D292" i="64"/>
  <c r="D673" i="64" s="1"/>
  <c r="D291" i="64"/>
  <c r="D672" i="64" s="1"/>
  <c r="D290" i="64"/>
  <c r="D176" i="64"/>
  <c r="D219" i="64" s="1"/>
  <c r="H166" i="64"/>
  <c r="Y492" i="79" s="1"/>
  <c r="F166" i="64"/>
  <c r="E166" i="64"/>
  <c r="H165" i="64"/>
  <c r="Y451" i="79" s="1"/>
  <c r="F165" i="64"/>
  <c r="E165" i="64"/>
  <c r="H164" i="64"/>
  <c r="Y410" i="79" s="1"/>
  <c r="F164" i="64"/>
  <c r="E164" i="64"/>
  <c r="H163" i="64"/>
  <c r="Y369" i="79" s="1"/>
  <c r="F163" i="64"/>
  <c r="E163" i="64"/>
  <c r="H162" i="64"/>
  <c r="Y328" i="79" s="1"/>
  <c r="F162" i="64"/>
  <c r="E162" i="64"/>
  <c r="H161" i="64"/>
  <c r="Y287" i="79" s="1"/>
  <c r="F161" i="64"/>
  <c r="E161" i="64"/>
  <c r="H160" i="64"/>
  <c r="Y246" i="79" s="1"/>
  <c r="F160" i="64"/>
  <c r="E160" i="64"/>
  <c r="H159" i="64"/>
  <c r="Y205" i="79" s="1"/>
  <c r="F159" i="64"/>
  <c r="E159" i="64"/>
  <c r="H158" i="64"/>
  <c r="Y164" i="79" s="1"/>
  <c r="H157" i="64"/>
  <c r="Y123" i="79" s="1"/>
  <c r="H156" i="64"/>
  <c r="Y82" i="79" s="1"/>
  <c r="H155" i="64"/>
  <c r="Y41" i="79" s="1"/>
  <c r="H149" i="64"/>
  <c r="B492" i="79" s="1"/>
  <c r="F149" i="64"/>
  <c r="E149" i="64"/>
  <c r="H148" i="64"/>
  <c r="B451" i="79" s="1"/>
  <c r="F148" i="64"/>
  <c r="E148" i="64"/>
  <c r="H147" i="64"/>
  <c r="B410" i="79" s="1"/>
  <c r="F147" i="64"/>
  <c r="E147" i="64"/>
  <c r="H146" i="64"/>
  <c r="B369" i="79" s="1"/>
  <c r="F146" i="64"/>
  <c r="E146" i="64"/>
  <c r="H145" i="64"/>
  <c r="B328" i="79" s="1"/>
  <c r="F145" i="64"/>
  <c r="E145" i="64"/>
  <c r="H144" i="64"/>
  <c r="B287" i="79" s="1"/>
  <c r="F144" i="64"/>
  <c r="E144" i="64"/>
  <c r="H143" i="64"/>
  <c r="B246" i="79" s="1"/>
  <c r="F143" i="64"/>
  <c r="E143" i="64"/>
  <c r="H142" i="64"/>
  <c r="B205" i="79" s="1"/>
  <c r="H141" i="64"/>
  <c r="B164" i="79" s="1"/>
  <c r="H140" i="64"/>
  <c r="B123" i="79" s="1"/>
  <c r="H139" i="64"/>
  <c r="B82" i="79" s="1"/>
  <c r="H138" i="64"/>
  <c r="B41" i="79" s="1"/>
  <c r="T133" i="64"/>
  <c r="T132" i="64"/>
  <c r="T131" i="64"/>
  <c r="T127" i="64"/>
  <c r="G98" i="64"/>
  <c r="H98" i="64" s="1"/>
  <c r="G97" i="64"/>
  <c r="G96" i="64"/>
  <c r="G95" i="64"/>
  <c r="G94" i="64"/>
  <c r="H94" i="64" s="1"/>
  <c r="G93" i="64"/>
  <c r="G485" i="64" s="1"/>
  <c r="G92" i="64"/>
  <c r="G91" i="64"/>
  <c r="E971" i="64" s="1"/>
  <c r="G90" i="64"/>
  <c r="G89" i="64"/>
  <c r="G481" i="64" s="1"/>
  <c r="G88" i="64"/>
  <c r="G87" i="64"/>
  <c r="H87" i="64" s="1"/>
  <c r="G86" i="64"/>
  <c r="G85" i="64"/>
  <c r="G477" i="64" s="1"/>
  <c r="G84" i="64"/>
  <c r="G83" i="64"/>
  <c r="E963" i="64" s="1"/>
  <c r="G82" i="64"/>
  <c r="G81" i="64"/>
  <c r="G80" i="64"/>
  <c r="G79" i="64"/>
  <c r="H79" i="64" s="1"/>
  <c r="G78" i="64"/>
  <c r="G77" i="64"/>
  <c r="G76" i="64"/>
  <c r="G75" i="64"/>
  <c r="E955" i="64" s="1"/>
  <c r="G74" i="64"/>
  <c r="G73" i="64"/>
  <c r="G72" i="64"/>
  <c r="G464" i="64" s="1"/>
  <c r="G71" i="64"/>
  <c r="H71" i="64" s="1"/>
  <c r="G70" i="64"/>
  <c r="E947" i="64"/>
  <c r="E939" i="64"/>
  <c r="G449" i="64"/>
  <c r="F935" i="64"/>
  <c r="G445" i="64"/>
  <c r="E931" i="64"/>
  <c r="G441" i="64"/>
  <c r="E923" i="64"/>
  <c r="G432" i="64"/>
  <c r="H427" i="64"/>
  <c r="E914" i="64"/>
  <c r="E911" i="64"/>
  <c r="E910" i="64"/>
  <c r="G420" i="64"/>
  <c r="E903" i="64"/>
  <c r="E902" i="64"/>
  <c r="E899" i="64"/>
  <c r="E898" i="64"/>
  <c r="E895" i="64"/>
  <c r="E894" i="64"/>
  <c r="E893" i="64"/>
  <c r="G404" i="64"/>
  <c r="E890" i="64"/>
  <c r="G8" i="64"/>
  <c r="F742" i="64" s="1"/>
  <c r="AS231" i="65"/>
  <c r="AK231" i="65"/>
  <c r="AG231" i="65"/>
  <c r="AC231" i="65"/>
  <c r="X231" i="65"/>
  <c r="W231" i="65"/>
  <c r="V231" i="65"/>
  <c r="U231" i="65"/>
  <c r="T231" i="65"/>
  <c r="S231" i="65"/>
  <c r="R231" i="65"/>
  <c r="Q231" i="65"/>
  <c r="P231" i="65"/>
  <c r="O231" i="65"/>
  <c r="N231" i="65"/>
  <c r="M231" i="65"/>
  <c r="X230" i="65"/>
  <c r="W230" i="65"/>
  <c r="V230" i="65"/>
  <c r="U230" i="65"/>
  <c r="T230" i="65"/>
  <c r="S230" i="65"/>
  <c r="R230" i="65"/>
  <c r="Q230" i="65"/>
  <c r="P230" i="65"/>
  <c r="O230" i="65"/>
  <c r="N230" i="65"/>
  <c r="M230" i="65"/>
  <c r="AN229" i="65"/>
  <c r="AJ229" i="65"/>
  <c r="AF229" i="65"/>
  <c r="X229" i="65"/>
  <c r="W229" i="65"/>
  <c r="V229" i="65"/>
  <c r="U229" i="65"/>
  <c r="T229" i="65"/>
  <c r="S229" i="65"/>
  <c r="R229" i="65"/>
  <c r="Q229" i="65"/>
  <c r="P229" i="65"/>
  <c r="O229" i="65"/>
  <c r="N229" i="65"/>
  <c r="M229" i="65"/>
  <c r="AS228" i="65"/>
  <c r="AK228" i="65"/>
  <c r="AG228" i="65"/>
  <c r="AC228" i="65"/>
  <c r="X228" i="65"/>
  <c r="W228" i="65"/>
  <c r="V228" i="65"/>
  <c r="U228" i="65"/>
  <c r="T228" i="65"/>
  <c r="S228" i="65"/>
  <c r="R228" i="65"/>
  <c r="Q228" i="65"/>
  <c r="P228" i="65"/>
  <c r="O228" i="65"/>
  <c r="N228" i="65"/>
  <c r="M228" i="65"/>
  <c r="AN227" i="65"/>
  <c r="AJ227" i="65"/>
  <c r="AF227" i="65"/>
  <c r="X227" i="65"/>
  <c r="W227" i="65"/>
  <c r="V227" i="65"/>
  <c r="U227" i="65"/>
  <c r="T227" i="65"/>
  <c r="S227" i="65"/>
  <c r="R227" i="65"/>
  <c r="Q227" i="65"/>
  <c r="P227" i="65"/>
  <c r="O227" i="65"/>
  <c r="N227" i="65"/>
  <c r="M227" i="65"/>
  <c r="D227" i="65"/>
  <c r="BD226" i="65"/>
  <c r="BC226" i="65"/>
  <c r="BB226" i="65"/>
  <c r="BA226" i="65"/>
  <c r="AZ226" i="65"/>
  <c r="AY226" i="65"/>
  <c r="AX226" i="65"/>
  <c r="AW226" i="65"/>
  <c r="AV226" i="65"/>
  <c r="AU226" i="65"/>
  <c r="AT226" i="65"/>
  <c r="AS226" i="65"/>
  <c r="X225" i="65"/>
  <c r="W225" i="65"/>
  <c r="V225" i="65"/>
  <c r="U225" i="65"/>
  <c r="T225" i="65"/>
  <c r="S225" i="65"/>
  <c r="R225" i="65"/>
  <c r="Q225" i="65"/>
  <c r="P225" i="65"/>
  <c r="O225" i="65"/>
  <c r="N225" i="65"/>
  <c r="M225" i="65"/>
  <c r="AJ224" i="65"/>
  <c r="X224" i="65"/>
  <c r="W224" i="65"/>
  <c r="V224" i="65"/>
  <c r="U224" i="65"/>
  <c r="T224" i="65"/>
  <c r="S224" i="65"/>
  <c r="R224" i="65"/>
  <c r="Q224" i="65"/>
  <c r="P224" i="65"/>
  <c r="O224" i="65"/>
  <c r="N224" i="65"/>
  <c r="M224" i="65"/>
  <c r="X223" i="65"/>
  <c r="W223" i="65"/>
  <c r="V223" i="65"/>
  <c r="U223" i="65"/>
  <c r="T223" i="65"/>
  <c r="S223" i="65"/>
  <c r="R223" i="65"/>
  <c r="Q223" i="65"/>
  <c r="P223" i="65"/>
  <c r="O223" i="65"/>
  <c r="N223" i="65"/>
  <c r="M223" i="65"/>
  <c r="X222" i="65"/>
  <c r="W222" i="65"/>
  <c r="V222" i="65"/>
  <c r="U222" i="65"/>
  <c r="T222" i="65"/>
  <c r="S222" i="65"/>
  <c r="R222" i="65"/>
  <c r="Q222" i="65"/>
  <c r="P222" i="65"/>
  <c r="O222" i="65"/>
  <c r="N222" i="65"/>
  <c r="M222" i="65"/>
  <c r="X221" i="65"/>
  <c r="W221" i="65"/>
  <c r="V221" i="65"/>
  <c r="U221" i="65"/>
  <c r="T221" i="65"/>
  <c r="S221" i="65"/>
  <c r="R221" i="65"/>
  <c r="Q221" i="65"/>
  <c r="P221" i="65"/>
  <c r="O221" i="65"/>
  <c r="N221" i="65"/>
  <c r="M221" i="65"/>
  <c r="AD220" i="65"/>
  <c r="X220" i="65"/>
  <c r="W220" i="65"/>
  <c r="V220" i="65"/>
  <c r="U220" i="65"/>
  <c r="T220" i="65"/>
  <c r="S220" i="65"/>
  <c r="R220" i="65"/>
  <c r="Q220" i="65"/>
  <c r="P220" i="65"/>
  <c r="O220" i="65"/>
  <c r="N220" i="65"/>
  <c r="M220" i="65"/>
  <c r="X219" i="65"/>
  <c r="W219" i="65"/>
  <c r="V219" i="65"/>
  <c r="U219" i="65"/>
  <c r="T219" i="65"/>
  <c r="S219" i="65"/>
  <c r="R219" i="65"/>
  <c r="Q219" i="65"/>
  <c r="P219" i="65"/>
  <c r="O219" i="65"/>
  <c r="N219" i="65"/>
  <c r="M219" i="65"/>
  <c r="BC214" i="65"/>
  <c r="BB214" i="65"/>
  <c r="BB231" i="65" s="1"/>
  <c r="AZ214" i="65"/>
  <c r="AX214" i="65"/>
  <c r="AX231" i="65" s="1"/>
  <c r="AU214" i="65"/>
  <c r="AT214" i="65"/>
  <c r="AS214" i="65"/>
  <c r="AW214" i="65" s="1"/>
  <c r="AL214" i="65"/>
  <c r="AI214" i="65"/>
  <c r="AH214" i="65"/>
  <c r="AD214" i="65"/>
  <c r="AC214" i="65"/>
  <c r="AJ231" i="65" s="1"/>
  <c r="X214" i="65"/>
  <c r="W214" i="65"/>
  <c r="V214" i="65"/>
  <c r="U214" i="65"/>
  <c r="T214" i="65"/>
  <c r="S214" i="65"/>
  <c r="R214" i="65"/>
  <c r="Q214" i="65"/>
  <c r="P214" i="65"/>
  <c r="O214" i="65"/>
  <c r="N214" i="65"/>
  <c r="M214" i="65"/>
  <c r="D214" i="65"/>
  <c r="D231" i="65" s="1"/>
  <c r="C214" i="65"/>
  <c r="C231" i="65" s="1"/>
  <c r="B214" i="65"/>
  <c r="B231" i="65" s="1"/>
  <c r="AW213" i="65"/>
  <c r="AS213" i="65"/>
  <c r="BD213" i="65" s="1"/>
  <c r="AC213" i="65"/>
  <c r="AK230" i="65" s="1"/>
  <c r="X213" i="65"/>
  <c r="W213" i="65"/>
  <c r="V213" i="65"/>
  <c r="U213" i="65"/>
  <c r="T213" i="65"/>
  <c r="S213" i="65"/>
  <c r="R213" i="65"/>
  <c r="Q213" i="65"/>
  <c r="P213" i="65"/>
  <c r="O213" i="65"/>
  <c r="N213" i="65"/>
  <c r="M213" i="65"/>
  <c r="D213" i="65"/>
  <c r="D230" i="65" s="1"/>
  <c r="C213" i="65"/>
  <c r="C230" i="65" s="1"/>
  <c r="B213" i="65"/>
  <c r="B230" i="65" s="1"/>
  <c r="BD212" i="65"/>
  <c r="AZ212" i="65"/>
  <c r="AV212" i="65"/>
  <c r="AV229" i="65" s="1"/>
  <c r="AS212" i="65"/>
  <c r="BC212" i="65" s="1"/>
  <c r="AN212" i="65"/>
  <c r="AJ212" i="65"/>
  <c r="AG212" i="65"/>
  <c r="AF212" i="65"/>
  <c r="AC212" i="65"/>
  <c r="AM229" i="65" s="1"/>
  <c r="X212" i="65"/>
  <c r="W212" i="65"/>
  <c r="V212" i="65"/>
  <c r="U212" i="65"/>
  <c r="T212" i="65"/>
  <c r="S212" i="65"/>
  <c r="R212" i="65"/>
  <c r="Q212" i="65"/>
  <c r="P212" i="65"/>
  <c r="O212" i="65"/>
  <c r="N212" i="65"/>
  <c r="M212" i="65"/>
  <c r="D212" i="65"/>
  <c r="D229" i="65" s="1"/>
  <c r="C212" i="65"/>
  <c r="C229" i="65" s="1"/>
  <c r="B212" i="65"/>
  <c r="B229" i="65" s="1"/>
  <c r="BD211" i="65"/>
  <c r="BC211" i="65"/>
  <c r="BC228" i="65" s="1"/>
  <c r="AZ211" i="65"/>
  <c r="AZ228" i="65" s="1"/>
  <c r="AY211" i="65"/>
  <c r="AY228" i="65" s="1"/>
  <c r="AX211" i="65"/>
  <c r="AW211" i="65"/>
  <c r="AV211" i="65"/>
  <c r="AU211" i="65"/>
  <c r="AU228" i="65" s="1"/>
  <c r="AS211" i="65"/>
  <c r="BB211" i="65" s="1"/>
  <c r="AN211" i="65"/>
  <c r="AM211" i="65"/>
  <c r="AI211" i="65"/>
  <c r="AF211" i="65"/>
  <c r="AE211" i="65"/>
  <c r="AC211" i="65"/>
  <c r="AN228" i="65" s="1"/>
  <c r="X211" i="65"/>
  <c r="W211" i="65"/>
  <c r="V211" i="65"/>
  <c r="U211" i="65"/>
  <c r="T211" i="65"/>
  <c r="S211" i="65"/>
  <c r="R211" i="65"/>
  <c r="Q211" i="65"/>
  <c r="P211" i="65"/>
  <c r="O211" i="65"/>
  <c r="N211" i="65"/>
  <c r="M211" i="65"/>
  <c r="D211" i="65"/>
  <c r="D228" i="65" s="1"/>
  <c r="C211" i="65"/>
  <c r="C228" i="65" s="1"/>
  <c r="B211" i="65"/>
  <c r="B228" i="65" s="1"/>
  <c r="BD210" i="65"/>
  <c r="BC210" i="65"/>
  <c r="BB210" i="65"/>
  <c r="BB227" i="65" s="1"/>
  <c r="AY210" i="65"/>
  <c r="AX210" i="65"/>
  <c r="AX227" i="65" s="1"/>
  <c r="AW210" i="65"/>
  <c r="AV210" i="65"/>
  <c r="AU210" i="65"/>
  <c r="AU227" i="65" s="1"/>
  <c r="AT210" i="65"/>
  <c r="AS210" i="65"/>
  <c r="BA210" i="65" s="1"/>
  <c r="AM210" i="65"/>
  <c r="AL210" i="65"/>
  <c r="AH210" i="65"/>
  <c r="AE210" i="65"/>
  <c r="AD210" i="65"/>
  <c r="AC210" i="65"/>
  <c r="AI227" i="65" s="1"/>
  <c r="X210" i="65"/>
  <c r="W210" i="65"/>
  <c r="V210" i="65"/>
  <c r="U210" i="65"/>
  <c r="T210" i="65"/>
  <c r="S210" i="65"/>
  <c r="R210" i="65"/>
  <c r="Q210" i="65"/>
  <c r="P210" i="65"/>
  <c r="O210" i="65"/>
  <c r="N210" i="65"/>
  <c r="M210" i="65"/>
  <c r="D210" i="65"/>
  <c r="C210" i="65"/>
  <c r="C227" i="65" s="1"/>
  <c r="B210" i="65"/>
  <c r="B227" i="65" s="1"/>
  <c r="AS208" i="65"/>
  <c r="AL208" i="65"/>
  <c r="AH208" i="65"/>
  <c r="AG208" i="65"/>
  <c r="AC208" i="65"/>
  <c r="AM225" i="65" s="1"/>
  <c r="X208" i="65"/>
  <c r="W208" i="65"/>
  <c r="V208" i="65"/>
  <c r="U208" i="65"/>
  <c r="T208" i="65"/>
  <c r="S208" i="65"/>
  <c r="R208" i="65"/>
  <c r="Q208" i="65"/>
  <c r="P208" i="65"/>
  <c r="O208" i="65"/>
  <c r="N208" i="65"/>
  <c r="M208" i="65"/>
  <c r="D208" i="65"/>
  <c r="D225" i="65" s="1"/>
  <c r="C208" i="65"/>
  <c r="C225" i="65" s="1"/>
  <c r="B208" i="65"/>
  <c r="B225" i="65" s="1"/>
  <c r="BB207" i="65"/>
  <c r="AV207" i="65"/>
  <c r="AS207" i="65"/>
  <c r="AS224" i="65" s="1"/>
  <c r="AN207" i="65"/>
  <c r="AI207" i="65"/>
  <c r="AE207" i="65"/>
  <c r="AD207" i="65"/>
  <c r="AC207" i="65"/>
  <c r="AG224" i="65" s="1"/>
  <c r="X207" i="65"/>
  <c r="W207" i="65"/>
  <c r="V207" i="65"/>
  <c r="U207" i="65"/>
  <c r="T207" i="65"/>
  <c r="S207" i="65"/>
  <c r="R207" i="65"/>
  <c r="Q207" i="65"/>
  <c r="P207" i="65"/>
  <c r="O207" i="65"/>
  <c r="N207" i="65"/>
  <c r="M207" i="65"/>
  <c r="D207" i="65"/>
  <c r="D224" i="65" s="1"/>
  <c r="C207" i="65"/>
  <c r="C224" i="65" s="1"/>
  <c r="B207" i="65"/>
  <c r="B224" i="65" s="1"/>
  <c r="AV206" i="65"/>
  <c r="AV223" i="65" s="1"/>
  <c r="AS206" i="65"/>
  <c r="BD206" i="65" s="1"/>
  <c r="BD223" i="65" s="1"/>
  <c r="AC206" i="65"/>
  <c r="AK206" i="65" s="1"/>
  <c r="X206" i="65"/>
  <c r="W206" i="65"/>
  <c r="V206" i="65"/>
  <c r="U206" i="65"/>
  <c r="T206" i="65"/>
  <c r="S206" i="65"/>
  <c r="R206" i="65"/>
  <c r="Q206" i="65"/>
  <c r="P206" i="65"/>
  <c r="O206" i="65"/>
  <c r="N206" i="65"/>
  <c r="M206" i="65"/>
  <c r="D206" i="65"/>
  <c r="D223" i="65" s="1"/>
  <c r="C206" i="65"/>
  <c r="C223" i="65" s="1"/>
  <c r="B206" i="65"/>
  <c r="B223" i="65" s="1"/>
  <c r="AX205" i="65"/>
  <c r="AW205" i="65"/>
  <c r="AW222" i="65" s="1"/>
  <c r="AS205" i="65"/>
  <c r="AC205" i="65"/>
  <c r="AD205" i="65" s="1"/>
  <c r="X205" i="65"/>
  <c r="W205" i="65"/>
  <c r="V205" i="65"/>
  <c r="U205" i="65"/>
  <c r="T205" i="65"/>
  <c r="S205" i="65"/>
  <c r="R205" i="65"/>
  <c r="Q205" i="65"/>
  <c r="P205" i="65"/>
  <c r="O205" i="65"/>
  <c r="N205" i="65"/>
  <c r="M205" i="65"/>
  <c r="D205" i="65"/>
  <c r="D222" i="65" s="1"/>
  <c r="C205" i="65"/>
  <c r="C222" i="65" s="1"/>
  <c r="B205" i="65"/>
  <c r="B222" i="65" s="1"/>
  <c r="AS204" i="65"/>
  <c r="BA204" i="65" s="1"/>
  <c r="AG204" i="65"/>
  <c r="AF204" i="65"/>
  <c r="AC204" i="65"/>
  <c r="AD221" i="65" s="1"/>
  <c r="X204" i="65"/>
  <c r="W204" i="65"/>
  <c r="V204" i="65"/>
  <c r="U204" i="65"/>
  <c r="T204" i="65"/>
  <c r="S204" i="65"/>
  <c r="R204" i="65"/>
  <c r="Q204" i="65"/>
  <c r="P204" i="65"/>
  <c r="O204" i="65"/>
  <c r="N204" i="65"/>
  <c r="M204" i="65"/>
  <c r="D204" i="65"/>
  <c r="D221" i="65" s="1"/>
  <c r="C204" i="65"/>
  <c r="C221" i="65" s="1"/>
  <c r="B204" i="65"/>
  <c r="B221" i="65" s="1"/>
  <c r="AX203" i="65"/>
  <c r="AS203" i="65"/>
  <c r="AS220" i="65" s="1"/>
  <c r="AM203" i="65"/>
  <c r="AE203" i="65"/>
  <c r="AC203" i="65"/>
  <c r="AM220" i="65" s="1"/>
  <c r="X203" i="65"/>
  <c r="W203" i="65"/>
  <c r="V203" i="65"/>
  <c r="U203" i="65"/>
  <c r="T203" i="65"/>
  <c r="S203" i="65"/>
  <c r="R203" i="65"/>
  <c r="Q203" i="65"/>
  <c r="P203" i="65"/>
  <c r="O203" i="65"/>
  <c r="N203" i="65"/>
  <c r="M203" i="65"/>
  <c r="D203" i="65"/>
  <c r="D220" i="65" s="1"/>
  <c r="C203" i="65"/>
  <c r="C220" i="65" s="1"/>
  <c r="B203" i="65"/>
  <c r="B220" i="65" s="1"/>
  <c r="CI202" i="65"/>
  <c r="X202" i="65"/>
  <c r="W202" i="65"/>
  <c r="V202" i="65"/>
  <c r="U202" i="65"/>
  <c r="T202" i="65"/>
  <c r="S202" i="65"/>
  <c r="R202" i="65"/>
  <c r="Q202" i="65"/>
  <c r="P202" i="65"/>
  <c r="O202" i="65"/>
  <c r="N202" i="65"/>
  <c r="M202" i="65"/>
  <c r="B197" i="65"/>
  <c r="B196" i="65"/>
  <c r="B195" i="65"/>
  <c r="B194" i="65"/>
  <c r="B193" i="65"/>
  <c r="B192" i="65"/>
  <c r="B191" i="65"/>
  <c r="B190" i="65"/>
  <c r="B189" i="65"/>
  <c r="D172" i="65" s="1"/>
  <c r="B188" i="65"/>
  <c r="D171" i="65" s="1"/>
  <c r="B187" i="65"/>
  <c r="D170" i="65" s="1"/>
  <c r="B186" i="65"/>
  <c r="B185" i="65"/>
  <c r="D168" i="65" s="1"/>
  <c r="B184" i="65"/>
  <c r="D167" i="65" s="1"/>
  <c r="B183" i="65"/>
  <c r="D166" i="65" s="1"/>
  <c r="B182" i="65"/>
  <c r="B181" i="65"/>
  <c r="D164" i="65" s="1"/>
  <c r="B180" i="65"/>
  <c r="D163" i="65" s="1"/>
  <c r="B179" i="65"/>
  <c r="D162" i="65" s="1"/>
  <c r="B178" i="65"/>
  <c r="B177" i="65"/>
  <c r="D160" i="65" s="1"/>
  <c r="B176" i="65"/>
  <c r="D159" i="65" s="1"/>
  <c r="B175" i="65"/>
  <c r="D158" i="65" s="1"/>
  <c r="B174" i="65"/>
  <c r="B173" i="65"/>
  <c r="D156" i="65" s="1"/>
  <c r="B172" i="65"/>
  <c r="D155" i="65" s="1"/>
  <c r="B171" i="65"/>
  <c r="D154" i="65" s="1"/>
  <c r="B170" i="65"/>
  <c r="D169" i="65"/>
  <c r="B169" i="65"/>
  <c r="D152" i="65" s="1"/>
  <c r="B168" i="65"/>
  <c r="B167" i="65"/>
  <c r="D150" i="65" s="1"/>
  <c r="B166" i="65"/>
  <c r="D149" i="65" s="1"/>
  <c r="D165" i="65"/>
  <c r="B165" i="65"/>
  <c r="D148" i="65" s="1"/>
  <c r="B164" i="65"/>
  <c r="B163" i="65"/>
  <c r="D146" i="65" s="1"/>
  <c r="B162" i="65"/>
  <c r="D161" i="65"/>
  <c r="B161" i="65"/>
  <c r="D144" i="65" s="1"/>
  <c r="B160" i="65"/>
  <c r="B159" i="65"/>
  <c r="B158" i="65"/>
  <c r="D157" i="65"/>
  <c r="B157" i="65"/>
  <c r="D140" i="65" s="1"/>
  <c r="B156" i="65"/>
  <c r="D139" i="65" s="1"/>
  <c r="B155" i="65"/>
  <c r="B154" i="65"/>
  <c r="D153" i="65"/>
  <c r="B153" i="65"/>
  <c r="D136" i="65" s="1"/>
  <c r="B152" i="65"/>
  <c r="D151" i="65"/>
  <c r="B151" i="65"/>
  <c r="D134" i="65" s="1"/>
  <c r="B150" i="65"/>
  <c r="D133" i="65" s="1"/>
  <c r="B149" i="65"/>
  <c r="D132" i="65" s="1"/>
  <c r="B148" i="65"/>
  <c r="D147" i="65"/>
  <c r="B147" i="65"/>
  <c r="B146" i="65"/>
  <c r="D145" i="65"/>
  <c r="B145" i="65"/>
  <c r="D128" i="65" s="1"/>
  <c r="B144" i="65"/>
  <c r="D143" i="65"/>
  <c r="B143" i="65"/>
  <c r="D126" i="65" s="1"/>
  <c r="D142" i="65"/>
  <c r="B142" i="65"/>
  <c r="D141" i="65"/>
  <c r="B141" i="65"/>
  <c r="D124" i="65" s="1"/>
  <c r="B140" i="65"/>
  <c r="D123" i="65" s="1"/>
  <c r="B139" i="65"/>
  <c r="D122" i="65" s="1"/>
  <c r="D138" i="65"/>
  <c r="B138" i="65"/>
  <c r="D121" i="65" s="1"/>
  <c r="D137" i="65"/>
  <c r="B137" i="65"/>
  <c r="D120" i="65" s="1"/>
  <c r="B136" i="65"/>
  <c r="D119" i="65" s="1"/>
  <c r="D135" i="65"/>
  <c r="B135" i="65"/>
  <c r="D118" i="65" s="1"/>
  <c r="B134" i="65"/>
  <c r="B133" i="65"/>
  <c r="B132" i="65"/>
  <c r="D131" i="65"/>
  <c r="B131" i="65"/>
  <c r="D130" i="65"/>
  <c r="B130" i="65"/>
  <c r="D129" i="65"/>
  <c r="B129" i="65"/>
  <c r="B128" i="65"/>
  <c r="D127" i="65"/>
  <c r="B127" i="65"/>
  <c r="B126" i="65"/>
  <c r="D125" i="65"/>
  <c r="B125" i="65"/>
  <c r="B124" i="65"/>
  <c r="B123" i="65"/>
  <c r="B122" i="65"/>
  <c r="B121" i="65"/>
  <c r="B120" i="65"/>
  <c r="D117" i="65" s="1"/>
  <c r="B119" i="65"/>
  <c r="D116" i="65" s="1"/>
  <c r="B118" i="65"/>
  <c r="D115" i="65" s="1"/>
  <c r="B117" i="65"/>
  <c r="D114" i="65" s="1"/>
  <c r="B116" i="65"/>
  <c r="B115" i="65"/>
  <c r="D112" i="65" s="1"/>
  <c r="B114" i="65"/>
  <c r="D113" i="65"/>
  <c r="B113" i="65"/>
  <c r="B112" i="65"/>
  <c r="BD50" i="65"/>
  <c r="BC50" i="65"/>
  <c r="BB50" i="65"/>
  <c r="BA50" i="65"/>
  <c r="AZ50" i="65"/>
  <c r="AY50" i="65"/>
  <c r="AX50" i="65"/>
  <c r="AW50" i="65"/>
  <c r="AV50" i="65"/>
  <c r="AU50" i="65"/>
  <c r="AT50" i="65"/>
  <c r="AS50" i="65"/>
  <c r="AN50" i="65"/>
  <c r="AM50" i="65"/>
  <c r="AL50" i="65"/>
  <c r="AK50" i="65"/>
  <c r="AJ50" i="65"/>
  <c r="AI50" i="65"/>
  <c r="AH50" i="65"/>
  <c r="AG50" i="65"/>
  <c r="AF50" i="65"/>
  <c r="AE50" i="65"/>
  <c r="AD50" i="65"/>
  <c r="AC50" i="65"/>
  <c r="V50" i="65"/>
  <c r="P50" i="65"/>
  <c r="O50" i="65"/>
  <c r="K50" i="65"/>
  <c r="U50" i="65" s="1"/>
  <c r="J50" i="65"/>
  <c r="T50" i="65" s="1"/>
  <c r="I50" i="65"/>
  <c r="Q50" i="65" s="1"/>
  <c r="H50" i="65"/>
  <c r="L50" i="65" s="1"/>
  <c r="BD49" i="65"/>
  <c r="BC49" i="65"/>
  <c r="BB49" i="65"/>
  <c r="BA49" i="65"/>
  <c r="AZ49" i="65"/>
  <c r="AY49" i="65"/>
  <c r="AX49" i="65"/>
  <c r="AW49" i="65"/>
  <c r="AV49" i="65"/>
  <c r="AU49" i="65"/>
  <c r="AT49" i="65"/>
  <c r="AS49" i="65"/>
  <c r="AN49" i="65"/>
  <c r="AM49" i="65"/>
  <c r="AL49" i="65"/>
  <c r="AK49" i="65"/>
  <c r="AJ49" i="65"/>
  <c r="AI49" i="65"/>
  <c r="AH49" i="65"/>
  <c r="AG49" i="65"/>
  <c r="AF49" i="65"/>
  <c r="AE49" i="65"/>
  <c r="AD49" i="65"/>
  <c r="AC49" i="65"/>
  <c r="V49" i="65"/>
  <c r="S49" i="65"/>
  <c r="N49" i="65"/>
  <c r="L49" i="65"/>
  <c r="M49" i="65" s="1"/>
  <c r="K49" i="65"/>
  <c r="U49" i="65" s="1"/>
  <c r="J49" i="65"/>
  <c r="T49" i="65" s="1"/>
  <c r="I49" i="65"/>
  <c r="Q49" i="65" s="1"/>
  <c r="H49" i="65"/>
  <c r="BD48" i="65"/>
  <c r="BC48" i="65"/>
  <c r="BB48" i="65"/>
  <c r="BA48" i="65"/>
  <c r="AZ48" i="65"/>
  <c r="AY48" i="65"/>
  <c r="AX48" i="65"/>
  <c r="AW48" i="65"/>
  <c r="AV48" i="65"/>
  <c r="AU48" i="65"/>
  <c r="AT48" i="65"/>
  <c r="AS48" i="65"/>
  <c r="AN48" i="65"/>
  <c r="AM48" i="65"/>
  <c r="AL48" i="65"/>
  <c r="AK48" i="65"/>
  <c r="AJ48" i="65"/>
  <c r="AI48" i="65"/>
  <c r="AH48" i="65"/>
  <c r="AG48" i="65"/>
  <c r="AF48" i="65"/>
  <c r="AE48" i="65"/>
  <c r="AD48" i="65"/>
  <c r="AC48" i="65"/>
  <c r="P48" i="65"/>
  <c r="O48" i="65"/>
  <c r="K48" i="65"/>
  <c r="V48" i="65" s="1"/>
  <c r="J48" i="65"/>
  <c r="T48" i="65" s="1"/>
  <c r="I48" i="65"/>
  <c r="Q48" i="65" s="1"/>
  <c r="H48" i="65"/>
  <c r="L48" i="65" s="1"/>
  <c r="M48" i="65" s="1"/>
  <c r="BD47" i="65"/>
  <c r="BC47" i="65"/>
  <c r="AZ47" i="65"/>
  <c r="AY47" i="65"/>
  <c r="AX47" i="65"/>
  <c r="AW47" i="65"/>
  <c r="AV47" i="65"/>
  <c r="AU47" i="65"/>
  <c r="AT47" i="65"/>
  <c r="AS47" i="65"/>
  <c r="AQ47" i="65"/>
  <c r="BB47" i="65" s="1"/>
  <c r="AN47" i="65"/>
  <c r="AM47" i="65"/>
  <c r="AL47" i="65"/>
  <c r="AK47" i="65"/>
  <c r="AJ47" i="65"/>
  <c r="AI47" i="65"/>
  <c r="AH47" i="65"/>
  <c r="AG47" i="65"/>
  <c r="AF47" i="65"/>
  <c r="AE47" i="65"/>
  <c r="AD47" i="65"/>
  <c r="AC47" i="65"/>
  <c r="T47" i="65"/>
  <c r="O47" i="65"/>
  <c r="K47" i="65"/>
  <c r="J47" i="65"/>
  <c r="R47" i="65" s="1"/>
  <c r="I47" i="65"/>
  <c r="Q47" i="65" s="1"/>
  <c r="H47" i="65"/>
  <c r="L47" i="65" s="1"/>
  <c r="N47" i="65" s="1"/>
  <c r="BD46" i="65"/>
  <c r="BC46" i="65"/>
  <c r="BB46" i="65"/>
  <c r="BA46" i="65"/>
  <c r="AZ46" i="65"/>
  <c r="AY46" i="65"/>
  <c r="AX46" i="65"/>
  <c r="AW46" i="65"/>
  <c r="AV46" i="65"/>
  <c r="AU46" i="65"/>
  <c r="AT46" i="65"/>
  <c r="AS46" i="65"/>
  <c r="AN46" i="65"/>
  <c r="AM46" i="65"/>
  <c r="AL46" i="65"/>
  <c r="AK46" i="65"/>
  <c r="AJ46" i="65"/>
  <c r="AI46" i="65"/>
  <c r="AH46" i="65"/>
  <c r="AG46" i="65"/>
  <c r="AF46" i="65"/>
  <c r="AE46" i="65"/>
  <c r="AD46" i="65"/>
  <c r="AC46" i="65"/>
  <c r="S46" i="65"/>
  <c r="K46" i="65"/>
  <c r="V46" i="65" s="1"/>
  <c r="J46" i="65"/>
  <c r="R46" i="65" s="1"/>
  <c r="I46" i="65"/>
  <c r="H46" i="65"/>
  <c r="L46" i="65" s="1"/>
  <c r="BD44" i="65"/>
  <c r="BC44" i="65"/>
  <c r="BB44" i="65"/>
  <c r="BA44" i="65"/>
  <c r="AZ44" i="65"/>
  <c r="AY44" i="65"/>
  <c r="AX44" i="65"/>
  <c r="AW44" i="65"/>
  <c r="AV44" i="65"/>
  <c r="AU44" i="65"/>
  <c r="AT44" i="65"/>
  <c r="AS44" i="65"/>
  <c r="AN44" i="65"/>
  <c r="AM44" i="65"/>
  <c r="AL44" i="65"/>
  <c r="AK44" i="65"/>
  <c r="AJ44" i="65"/>
  <c r="AI44" i="65"/>
  <c r="AH44" i="65"/>
  <c r="AG44" i="65"/>
  <c r="AF44" i="65"/>
  <c r="AE44" i="65"/>
  <c r="AD44" i="65"/>
  <c r="AC44" i="65"/>
  <c r="O44" i="65"/>
  <c r="K44" i="65"/>
  <c r="J44" i="65"/>
  <c r="I44" i="65"/>
  <c r="Q44" i="65" s="1"/>
  <c r="H44" i="65"/>
  <c r="L44" i="65" s="1"/>
  <c r="BD43" i="65"/>
  <c r="BC43" i="65"/>
  <c r="BB43" i="65"/>
  <c r="BA43" i="65"/>
  <c r="AZ43" i="65"/>
  <c r="AY43" i="65"/>
  <c r="AX43" i="65"/>
  <c r="AW43" i="65"/>
  <c r="AV43" i="65"/>
  <c r="AU43" i="65"/>
  <c r="AT43" i="65"/>
  <c r="AS43" i="65"/>
  <c r="AN43" i="65"/>
  <c r="AM43" i="65"/>
  <c r="AL43" i="65"/>
  <c r="AK43" i="65"/>
  <c r="AJ43" i="65"/>
  <c r="AI43" i="65"/>
  <c r="AH43" i="65"/>
  <c r="AG43" i="65"/>
  <c r="AF43" i="65"/>
  <c r="AE43" i="65"/>
  <c r="AD43" i="65"/>
  <c r="AC43" i="65"/>
  <c r="K43" i="65"/>
  <c r="U43" i="65" s="1"/>
  <c r="J43" i="65"/>
  <c r="I43" i="65"/>
  <c r="Q43" i="65" s="1"/>
  <c r="H43" i="65"/>
  <c r="L43" i="65" s="1"/>
  <c r="M43" i="65" s="1"/>
  <c r="BD42" i="65"/>
  <c r="BC42" i="65"/>
  <c r="BB42" i="65"/>
  <c r="BA42" i="65"/>
  <c r="AZ42" i="65"/>
  <c r="AY42" i="65"/>
  <c r="AX42" i="65"/>
  <c r="AW42" i="65"/>
  <c r="AV42" i="65"/>
  <c r="AU42" i="65"/>
  <c r="AT42" i="65"/>
  <c r="AS42" i="65"/>
  <c r="AN42" i="65"/>
  <c r="AM42" i="65"/>
  <c r="AL42" i="65"/>
  <c r="AK42" i="65"/>
  <c r="AJ42" i="65"/>
  <c r="AI42" i="65"/>
  <c r="AH42" i="65"/>
  <c r="AG42" i="65"/>
  <c r="AF42" i="65"/>
  <c r="AE42" i="65"/>
  <c r="AD42" i="65"/>
  <c r="AC42" i="65"/>
  <c r="W42" i="65"/>
  <c r="K42" i="65"/>
  <c r="U42" i="65" s="1"/>
  <c r="J42" i="65"/>
  <c r="T42" i="65" s="1"/>
  <c r="I42" i="65"/>
  <c r="H42" i="65"/>
  <c r="L42" i="65" s="1"/>
  <c r="M42" i="65" s="1"/>
  <c r="BD41" i="65"/>
  <c r="BC41" i="65"/>
  <c r="BB41" i="65"/>
  <c r="BA41" i="65"/>
  <c r="AZ41" i="65"/>
  <c r="AY41" i="65"/>
  <c r="AX41" i="65"/>
  <c r="AW41" i="65"/>
  <c r="AV41" i="65"/>
  <c r="AU41" i="65"/>
  <c r="AT41" i="65"/>
  <c r="AS41" i="65"/>
  <c r="AN41" i="65"/>
  <c r="AM41" i="65"/>
  <c r="AL41" i="65"/>
  <c r="AK41" i="65"/>
  <c r="AJ41" i="65"/>
  <c r="AI41" i="65"/>
  <c r="AH41" i="65"/>
  <c r="AG41" i="65"/>
  <c r="AF41" i="65"/>
  <c r="AE41" i="65"/>
  <c r="AD41" i="65"/>
  <c r="AC41" i="65"/>
  <c r="V41" i="65"/>
  <c r="U41" i="65"/>
  <c r="K41" i="65"/>
  <c r="W41" i="65" s="1"/>
  <c r="J41" i="65"/>
  <c r="S41" i="65" s="1"/>
  <c r="I41" i="65"/>
  <c r="H41" i="65"/>
  <c r="L41" i="65" s="1"/>
  <c r="BD40" i="65"/>
  <c r="BC40" i="65"/>
  <c r="BB40" i="65"/>
  <c r="BA40" i="65"/>
  <c r="AZ40" i="65"/>
  <c r="AY40" i="65"/>
  <c r="AX40" i="65"/>
  <c r="AW40" i="65"/>
  <c r="AV40" i="65"/>
  <c r="AU40" i="65"/>
  <c r="AT40" i="65"/>
  <c r="AS40" i="65"/>
  <c r="AN40" i="65"/>
  <c r="AM40" i="65"/>
  <c r="AL40" i="65"/>
  <c r="AK40" i="65"/>
  <c r="AJ40" i="65"/>
  <c r="AI40" i="65"/>
  <c r="AH40" i="65"/>
  <c r="AG40" i="65"/>
  <c r="AF40" i="65"/>
  <c r="AE40" i="65"/>
  <c r="AD40" i="65"/>
  <c r="AC40" i="65"/>
  <c r="V40" i="65"/>
  <c r="K40" i="65"/>
  <c r="W40" i="65" s="1"/>
  <c r="J40" i="65"/>
  <c r="S40" i="65" s="1"/>
  <c r="I40" i="65"/>
  <c r="O40" i="65" s="1"/>
  <c r="H40" i="65"/>
  <c r="L40" i="65" s="1"/>
  <c r="AQ39" i="65"/>
  <c r="BC39" i="65" s="1"/>
  <c r="AN39" i="65"/>
  <c r="AM39" i="65"/>
  <c r="AL39" i="65"/>
  <c r="AK39" i="65"/>
  <c r="AJ39" i="65"/>
  <c r="AI39" i="65"/>
  <c r="AH39" i="65"/>
  <c r="AG39" i="65"/>
  <c r="AF39" i="65"/>
  <c r="AE39" i="65"/>
  <c r="AD39" i="65"/>
  <c r="AC39" i="65"/>
  <c r="U39" i="65"/>
  <c r="Q39" i="65"/>
  <c r="K39" i="65"/>
  <c r="W39" i="65" s="1"/>
  <c r="J39" i="65"/>
  <c r="S39" i="65" s="1"/>
  <c r="I39" i="65"/>
  <c r="O39" i="65" s="1"/>
  <c r="H39" i="65"/>
  <c r="L39" i="65" s="1"/>
  <c r="BD38" i="65"/>
  <c r="AZ38" i="65"/>
  <c r="AV38" i="65"/>
  <c r="AR38" i="65"/>
  <c r="AT38" i="65" s="1"/>
  <c r="AQ38" i="65"/>
  <c r="BC38" i="65" s="1"/>
  <c r="AP38" i="65"/>
  <c r="AP39" i="65" s="1"/>
  <c r="AO38" i="65"/>
  <c r="AU38" i="65" s="1"/>
  <c r="AN38" i="65"/>
  <c r="AM38" i="65"/>
  <c r="AL38" i="65"/>
  <c r="AK38" i="65"/>
  <c r="AJ38" i="65"/>
  <c r="AI38" i="65"/>
  <c r="AH38" i="65"/>
  <c r="AG38" i="65"/>
  <c r="AF38" i="65"/>
  <c r="AE38" i="65"/>
  <c r="AB38" i="65"/>
  <c r="AD38" i="65" s="1"/>
  <c r="R38" i="65"/>
  <c r="K38" i="65"/>
  <c r="W38" i="65" s="1"/>
  <c r="J38" i="65"/>
  <c r="I38" i="65"/>
  <c r="H38" i="65"/>
  <c r="L38" i="65" s="1"/>
  <c r="X38" i="65" s="1"/>
  <c r="BD37" i="65"/>
  <c r="BC37" i="65"/>
  <c r="BB37" i="65"/>
  <c r="BA37" i="65"/>
  <c r="AZ37" i="65"/>
  <c r="AY37" i="65"/>
  <c r="AX37" i="65"/>
  <c r="AW37" i="65"/>
  <c r="AV37" i="65"/>
  <c r="AU37" i="65"/>
  <c r="AT37" i="65"/>
  <c r="AS37" i="65"/>
  <c r="AN37" i="65"/>
  <c r="AM37" i="65"/>
  <c r="AL37" i="65"/>
  <c r="AK37" i="65"/>
  <c r="AJ37" i="65"/>
  <c r="AI37" i="65"/>
  <c r="AH37" i="65"/>
  <c r="AG37" i="65"/>
  <c r="AF37" i="65"/>
  <c r="AE37" i="65"/>
  <c r="AD37" i="65"/>
  <c r="AC37" i="65"/>
  <c r="K37" i="65"/>
  <c r="W37" i="65" s="1"/>
  <c r="J37" i="65"/>
  <c r="I37" i="65"/>
  <c r="Q37" i="65" s="1"/>
  <c r="H37" i="65"/>
  <c r="L37" i="65" s="1"/>
  <c r="X37" i="65" s="1"/>
  <c r="BD36" i="65"/>
  <c r="BC36" i="65"/>
  <c r="BB36" i="65"/>
  <c r="BA36" i="65"/>
  <c r="AZ36" i="65"/>
  <c r="AY36" i="65"/>
  <c r="AX36" i="65"/>
  <c r="AW36" i="65"/>
  <c r="AV36" i="65"/>
  <c r="AU36" i="65"/>
  <c r="AT36" i="65"/>
  <c r="AS36" i="65"/>
  <c r="AN36" i="65"/>
  <c r="AM36" i="65"/>
  <c r="AL36" i="65"/>
  <c r="AK36" i="65"/>
  <c r="AJ36" i="65"/>
  <c r="AI36" i="65"/>
  <c r="AH36" i="65"/>
  <c r="AG36" i="65"/>
  <c r="AF36" i="65"/>
  <c r="AE36" i="65"/>
  <c r="AD36" i="65"/>
  <c r="AC36" i="65"/>
  <c r="V36" i="65"/>
  <c r="O36" i="65"/>
  <c r="K36" i="65"/>
  <c r="W36" i="65" s="1"/>
  <c r="J36" i="65"/>
  <c r="I36" i="65"/>
  <c r="Q36" i="65" s="1"/>
  <c r="H36" i="65"/>
  <c r="L36" i="65" s="1"/>
  <c r="X36" i="65" s="1"/>
  <c r="BD34" i="65"/>
  <c r="BC34" i="65"/>
  <c r="BB34" i="65"/>
  <c r="BA34" i="65"/>
  <c r="AZ34" i="65"/>
  <c r="AY34" i="65"/>
  <c r="AX34" i="65"/>
  <c r="AW34" i="65"/>
  <c r="AV34" i="65"/>
  <c r="AU34" i="65"/>
  <c r="AT34" i="65"/>
  <c r="AS34" i="65"/>
  <c r="AN34" i="65"/>
  <c r="AM34" i="65"/>
  <c r="AL34" i="65"/>
  <c r="AK34" i="65"/>
  <c r="AJ34" i="65"/>
  <c r="AI34" i="65"/>
  <c r="AH34" i="65"/>
  <c r="AG34" i="65"/>
  <c r="AF34" i="65"/>
  <c r="AE34" i="65"/>
  <c r="AD34" i="65"/>
  <c r="AC34" i="65"/>
  <c r="T34" i="65"/>
  <c r="K34" i="65"/>
  <c r="W34" i="65" s="1"/>
  <c r="J34" i="65"/>
  <c r="S34" i="65" s="1"/>
  <c r="I34" i="65"/>
  <c r="O34" i="65" s="1"/>
  <c r="H34" i="65"/>
  <c r="L34" i="65" s="1"/>
  <c r="BD33" i="65"/>
  <c r="BC33" i="65"/>
  <c r="BB33" i="65"/>
  <c r="BA33" i="65"/>
  <c r="AZ33" i="65"/>
  <c r="AY33" i="65"/>
  <c r="AX33" i="65"/>
  <c r="AW33" i="65"/>
  <c r="AV33" i="65"/>
  <c r="AU33" i="65"/>
  <c r="AT33" i="65"/>
  <c r="AS33" i="65"/>
  <c r="AN33" i="65"/>
  <c r="AM33" i="65"/>
  <c r="AL33" i="65"/>
  <c r="AK33" i="65"/>
  <c r="AJ33" i="65"/>
  <c r="AI33" i="65"/>
  <c r="AH33" i="65"/>
  <c r="AG33" i="65"/>
  <c r="AF33" i="65"/>
  <c r="AE33" i="65"/>
  <c r="AD33" i="65"/>
  <c r="AC33" i="65"/>
  <c r="V33" i="65"/>
  <c r="K33" i="65"/>
  <c r="W33" i="65" s="1"/>
  <c r="J33" i="65"/>
  <c r="S33" i="65" s="1"/>
  <c r="I33" i="65"/>
  <c r="Q33" i="65" s="1"/>
  <c r="H33" i="65"/>
  <c r="L33" i="65" s="1"/>
  <c r="BD32" i="65"/>
  <c r="BC32" i="65"/>
  <c r="BB32" i="65"/>
  <c r="BA32" i="65"/>
  <c r="AZ32" i="65"/>
  <c r="AY32" i="65"/>
  <c r="AX32" i="65"/>
  <c r="AW32" i="65"/>
  <c r="AV32" i="65"/>
  <c r="AU32" i="65"/>
  <c r="AT32" i="65"/>
  <c r="AS32" i="65"/>
  <c r="AN32" i="65"/>
  <c r="AM32" i="65"/>
  <c r="AL32" i="65"/>
  <c r="AK32" i="65"/>
  <c r="AJ32" i="65"/>
  <c r="AI32" i="65"/>
  <c r="AH32" i="65"/>
  <c r="AG32" i="65"/>
  <c r="AF32" i="65"/>
  <c r="AE32" i="65"/>
  <c r="AD32" i="65"/>
  <c r="AC32" i="65"/>
  <c r="V32" i="65"/>
  <c r="P32" i="65"/>
  <c r="K32" i="65"/>
  <c r="W32" i="65" s="1"/>
  <c r="J32" i="65"/>
  <c r="S32" i="65" s="1"/>
  <c r="I32" i="65"/>
  <c r="O32" i="65" s="1"/>
  <c r="H32" i="65"/>
  <c r="L32" i="65" s="1"/>
  <c r="BD31" i="65"/>
  <c r="BC31" i="65"/>
  <c r="BB31" i="65"/>
  <c r="BA31" i="65"/>
  <c r="AZ31" i="65"/>
  <c r="AY31" i="65"/>
  <c r="AX31" i="65"/>
  <c r="AW31" i="65"/>
  <c r="AV31" i="65"/>
  <c r="AU31" i="65"/>
  <c r="AT31" i="65"/>
  <c r="AS31" i="65"/>
  <c r="AN31" i="65"/>
  <c r="AM31" i="65"/>
  <c r="AL31" i="65"/>
  <c r="AK31" i="65"/>
  <c r="AJ31" i="65"/>
  <c r="AI31" i="65"/>
  <c r="AH31" i="65"/>
  <c r="AG31" i="65"/>
  <c r="AF31" i="65"/>
  <c r="AE31" i="65"/>
  <c r="AD31" i="65"/>
  <c r="AC31" i="65"/>
  <c r="V31" i="65"/>
  <c r="K31" i="65"/>
  <c r="W31" i="65" s="1"/>
  <c r="J31" i="65"/>
  <c r="I31" i="65"/>
  <c r="O31" i="65" s="1"/>
  <c r="H31" i="65"/>
  <c r="L31" i="65" s="1"/>
  <c r="BD30" i="65"/>
  <c r="BC30" i="65"/>
  <c r="BB30" i="65"/>
  <c r="BA30" i="65"/>
  <c r="AZ30" i="65"/>
  <c r="AY30" i="65"/>
  <c r="AX30" i="65"/>
  <c r="AW30" i="65"/>
  <c r="AV30" i="65"/>
  <c r="AU30" i="65"/>
  <c r="AT30" i="65"/>
  <c r="AS30" i="65"/>
  <c r="AN30" i="65"/>
  <c r="AM30" i="65"/>
  <c r="AL30" i="65"/>
  <c r="AK30" i="65"/>
  <c r="AJ30" i="65"/>
  <c r="AI30" i="65"/>
  <c r="AH30" i="65"/>
  <c r="AG30" i="65"/>
  <c r="AF30" i="65"/>
  <c r="AE30" i="65"/>
  <c r="AD30" i="65"/>
  <c r="AC30" i="65"/>
  <c r="U30" i="65"/>
  <c r="K30" i="65"/>
  <c r="W30" i="65" s="1"/>
  <c r="J30" i="65"/>
  <c r="S30" i="65" s="1"/>
  <c r="I30" i="65"/>
  <c r="H30" i="65"/>
  <c r="L30" i="65" s="1"/>
  <c r="X30" i="65" s="1"/>
  <c r="BD29" i="65"/>
  <c r="BC29" i="65"/>
  <c r="BB29" i="65"/>
  <c r="BA29" i="65"/>
  <c r="AZ29" i="65"/>
  <c r="AY29" i="65"/>
  <c r="AX29" i="65"/>
  <c r="AW29" i="65"/>
  <c r="AV29" i="65"/>
  <c r="AU29" i="65"/>
  <c r="AT29" i="65"/>
  <c r="AS29" i="65"/>
  <c r="AN29" i="65"/>
  <c r="AM29" i="65"/>
  <c r="AL29" i="65"/>
  <c r="AK29" i="65"/>
  <c r="AJ29" i="65"/>
  <c r="AI29" i="65"/>
  <c r="AH29" i="65"/>
  <c r="AG29" i="65"/>
  <c r="AF29" i="65"/>
  <c r="AE29" i="65"/>
  <c r="AD29" i="65"/>
  <c r="AC29" i="65"/>
  <c r="R29" i="65"/>
  <c r="K29" i="65"/>
  <c r="W29" i="65" s="1"/>
  <c r="J29" i="65"/>
  <c r="S29" i="65" s="1"/>
  <c r="I29" i="65"/>
  <c r="H29" i="65"/>
  <c r="L29" i="65" s="1"/>
  <c r="BD28" i="65"/>
  <c r="BC28" i="65"/>
  <c r="BB28" i="65"/>
  <c r="BA28" i="65"/>
  <c r="AZ28" i="65"/>
  <c r="AY28" i="65"/>
  <c r="AX28" i="65"/>
  <c r="AW28" i="65"/>
  <c r="AV28" i="65"/>
  <c r="AU28" i="65"/>
  <c r="AT28" i="65"/>
  <c r="AS28" i="65"/>
  <c r="AN28" i="65"/>
  <c r="AM28" i="65"/>
  <c r="AL28" i="65"/>
  <c r="AK28" i="65"/>
  <c r="AJ28" i="65"/>
  <c r="AI28" i="65"/>
  <c r="AH28" i="65"/>
  <c r="AG28" i="65"/>
  <c r="AF28" i="65"/>
  <c r="AE28" i="65"/>
  <c r="AD28" i="65"/>
  <c r="AC28" i="65"/>
  <c r="V28" i="65"/>
  <c r="P28" i="65"/>
  <c r="K28" i="65"/>
  <c r="W28" i="65" s="1"/>
  <c r="J28" i="65"/>
  <c r="S28" i="65" s="1"/>
  <c r="I28" i="65"/>
  <c r="O28" i="65" s="1"/>
  <c r="H28" i="65"/>
  <c r="L28" i="65" s="1"/>
  <c r="BD27" i="65"/>
  <c r="BC27" i="65"/>
  <c r="BB27" i="65"/>
  <c r="BA27" i="65"/>
  <c r="AZ27" i="65"/>
  <c r="AY27" i="65"/>
  <c r="AX27" i="65"/>
  <c r="AW27" i="65"/>
  <c r="AV27" i="65"/>
  <c r="AU27" i="65"/>
  <c r="AT27" i="65"/>
  <c r="AS27" i="65"/>
  <c r="AN27" i="65"/>
  <c r="AM27" i="65"/>
  <c r="AL27" i="65"/>
  <c r="AK27" i="65"/>
  <c r="AJ27" i="65"/>
  <c r="AI27" i="65"/>
  <c r="AH27" i="65"/>
  <c r="AG27" i="65"/>
  <c r="AF27" i="65"/>
  <c r="AE27" i="65"/>
  <c r="AD27" i="65"/>
  <c r="AC27" i="65"/>
  <c r="K27" i="65"/>
  <c r="W27" i="65" s="1"/>
  <c r="J27" i="65"/>
  <c r="I27" i="65"/>
  <c r="O27" i="65" s="1"/>
  <c r="H27" i="65"/>
  <c r="L27" i="65" s="1"/>
  <c r="BD26" i="65"/>
  <c r="BC26" i="65"/>
  <c r="BB26" i="65"/>
  <c r="BA26" i="65"/>
  <c r="AZ26" i="65"/>
  <c r="AY26" i="65"/>
  <c r="AX26" i="65"/>
  <c r="AW26" i="65"/>
  <c r="AV26" i="65"/>
  <c r="AU26" i="65"/>
  <c r="AT26" i="65"/>
  <c r="AS26" i="65"/>
  <c r="AN26" i="65"/>
  <c r="AM26" i="65"/>
  <c r="AL26" i="65"/>
  <c r="AK26" i="65"/>
  <c r="AJ26" i="65"/>
  <c r="AI26" i="65"/>
  <c r="AH26" i="65"/>
  <c r="AG26" i="65"/>
  <c r="AF26" i="65"/>
  <c r="AE26" i="65"/>
  <c r="AD26" i="65"/>
  <c r="AC26" i="65"/>
  <c r="X26" i="65"/>
  <c r="K26" i="65"/>
  <c r="W26" i="65" s="1"/>
  <c r="J26" i="65"/>
  <c r="S26" i="65" s="1"/>
  <c r="I26" i="65"/>
  <c r="H26" i="65"/>
  <c r="L26" i="65" s="1"/>
  <c r="M26" i="65" s="1"/>
  <c r="BD25" i="65"/>
  <c r="BC25" i="65"/>
  <c r="BB25" i="65"/>
  <c r="BA25" i="65"/>
  <c r="AZ25" i="65"/>
  <c r="AY25" i="65"/>
  <c r="AX25" i="65"/>
  <c r="AW25" i="65"/>
  <c r="AV25" i="65"/>
  <c r="AU25" i="65"/>
  <c r="AT25" i="65"/>
  <c r="AS25" i="65"/>
  <c r="AN25" i="65"/>
  <c r="AM25" i="65"/>
  <c r="AL25" i="65"/>
  <c r="AK25" i="65"/>
  <c r="AJ25" i="65"/>
  <c r="AI25" i="65"/>
  <c r="AH25" i="65"/>
  <c r="AG25" i="65"/>
  <c r="AF25" i="65"/>
  <c r="AE25" i="65"/>
  <c r="AD25" i="65"/>
  <c r="AC25" i="65"/>
  <c r="K25" i="65"/>
  <c r="W25" i="65" s="1"/>
  <c r="J25" i="65"/>
  <c r="S25" i="65" s="1"/>
  <c r="I25" i="65"/>
  <c r="Q25" i="65" s="1"/>
  <c r="H25" i="65"/>
  <c r="L25" i="65" s="1"/>
  <c r="BD24" i="65"/>
  <c r="BC24" i="65"/>
  <c r="BB24" i="65"/>
  <c r="BA24" i="65"/>
  <c r="AZ24" i="65"/>
  <c r="AY24" i="65"/>
  <c r="AX24" i="65"/>
  <c r="AW24" i="65"/>
  <c r="AV24" i="65"/>
  <c r="AU24" i="65"/>
  <c r="AT24" i="65"/>
  <c r="AS24" i="65"/>
  <c r="AN24" i="65"/>
  <c r="AM24" i="65"/>
  <c r="AL24" i="65"/>
  <c r="AK24" i="65"/>
  <c r="AJ24" i="65"/>
  <c r="AI24" i="65"/>
  <c r="AH24" i="65"/>
  <c r="AG24" i="65"/>
  <c r="AF24" i="65"/>
  <c r="AE24" i="65"/>
  <c r="AD24" i="65"/>
  <c r="AC24" i="65"/>
  <c r="K24" i="65"/>
  <c r="W24" i="65" s="1"/>
  <c r="J24" i="65"/>
  <c r="S24" i="65" s="1"/>
  <c r="I24" i="65"/>
  <c r="O24" i="65" s="1"/>
  <c r="H24" i="65"/>
  <c r="L24" i="65" s="1"/>
  <c r="BD23" i="65"/>
  <c r="BC23" i="65"/>
  <c r="BB23" i="65"/>
  <c r="BA23" i="65"/>
  <c r="AZ23" i="65"/>
  <c r="AY23" i="65"/>
  <c r="AX23" i="65"/>
  <c r="AW23" i="65"/>
  <c r="AV23" i="65"/>
  <c r="AU23" i="65"/>
  <c r="AT23" i="65"/>
  <c r="AS23" i="65"/>
  <c r="AN23" i="65"/>
  <c r="AM23" i="65"/>
  <c r="AL23" i="65"/>
  <c r="AK23" i="65"/>
  <c r="AJ23" i="65"/>
  <c r="AI23" i="65"/>
  <c r="AH23" i="65"/>
  <c r="AG23" i="65"/>
  <c r="AF23" i="65"/>
  <c r="AE23" i="65"/>
  <c r="AD23" i="65"/>
  <c r="AC23" i="65"/>
  <c r="V23" i="65"/>
  <c r="P23" i="65"/>
  <c r="K23" i="65"/>
  <c r="W23" i="65" s="1"/>
  <c r="J23" i="65"/>
  <c r="I23" i="65"/>
  <c r="O23" i="65" s="1"/>
  <c r="H23" i="65"/>
  <c r="L23" i="65" s="1"/>
  <c r="BD22" i="65"/>
  <c r="BC22" i="65"/>
  <c r="BB22" i="65"/>
  <c r="BA22" i="65"/>
  <c r="AZ22" i="65"/>
  <c r="AY22" i="65"/>
  <c r="AX22" i="65"/>
  <c r="AW22" i="65"/>
  <c r="AV22" i="65"/>
  <c r="AU22" i="65"/>
  <c r="AT22" i="65"/>
  <c r="AS22" i="65"/>
  <c r="AN22" i="65"/>
  <c r="AM22" i="65"/>
  <c r="AL22" i="65"/>
  <c r="AK22" i="65"/>
  <c r="AJ22" i="65"/>
  <c r="AI22" i="65"/>
  <c r="AH22" i="65"/>
  <c r="AG22" i="65"/>
  <c r="AF22" i="65"/>
  <c r="AE22" i="65"/>
  <c r="AD22" i="65"/>
  <c r="AC22" i="65"/>
  <c r="V22" i="65"/>
  <c r="U22" i="65"/>
  <c r="K22" i="65"/>
  <c r="W22" i="65" s="1"/>
  <c r="J22" i="65"/>
  <c r="S22" i="65" s="1"/>
  <c r="I22" i="65"/>
  <c r="H22" i="65"/>
  <c r="L22" i="65" s="1"/>
  <c r="X22" i="65" s="1"/>
  <c r="BD21" i="65"/>
  <c r="BC21" i="65"/>
  <c r="BB21" i="65"/>
  <c r="BA21" i="65"/>
  <c r="AZ21" i="65"/>
  <c r="AY21" i="65"/>
  <c r="AX21" i="65"/>
  <c r="AW21" i="65"/>
  <c r="AV21" i="65"/>
  <c r="AU21" i="65"/>
  <c r="AT21" i="65"/>
  <c r="AS21" i="65"/>
  <c r="AN21" i="65"/>
  <c r="AM21" i="65"/>
  <c r="AL21" i="65"/>
  <c r="AK21" i="65"/>
  <c r="AJ21" i="65"/>
  <c r="AI21" i="65"/>
  <c r="AH21" i="65"/>
  <c r="AG21" i="65"/>
  <c r="AF21" i="65"/>
  <c r="AE21" i="65"/>
  <c r="AD21" i="65"/>
  <c r="AC21" i="65"/>
  <c r="K21" i="65"/>
  <c r="J21" i="65"/>
  <c r="T21" i="65" s="1"/>
  <c r="I21" i="65"/>
  <c r="Q21" i="65" s="1"/>
  <c r="H21" i="65"/>
  <c r="L21" i="65" s="1"/>
  <c r="BD19" i="65"/>
  <c r="BC19" i="65"/>
  <c r="BB19" i="65"/>
  <c r="BA19" i="65"/>
  <c r="AZ19" i="65"/>
  <c r="AY19" i="65"/>
  <c r="AX19" i="65"/>
  <c r="AW19" i="65"/>
  <c r="AV19" i="65"/>
  <c r="AU19" i="65"/>
  <c r="AT19" i="65"/>
  <c r="AS19" i="65"/>
  <c r="AN19" i="65"/>
  <c r="AM19" i="65"/>
  <c r="AL19" i="65"/>
  <c r="AK19" i="65"/>
  <c r="AJ19" i="65"/>
  <c r="AI19" i="65"/>
  <c r="AH19" i="65"/>
  <c r="AG19" i="65"/>
  <c r="AF19" i="65"/>
  <c r="AE19" i="65"/>
  <c r="AD19" i="65"/>
  <c r="AC19" i="65"/>
  <c r="K19" i="65"/>
  <c r="W19" i="65" s="1"/>
  <c r="J19" i="65"/>
  <c r="R19" i="65" s="1"/>
  <c r="I19" i="65"/>
  <c r="H19" i="65"/>
  <c r="L19" i="65" s="1"/>
  <c r="X19" i="65" s="1"/>
  <c r="BD18" i="65"/>
  <c r="BC18" i="65"/>
  <c r="BB18" i="65"/>
  <c r="BA18" i="65"/>
  <c r="AZ18" i="65"/>
  <c r="AY18" i="65"/>
  <c r="AX18" i="65"/>
  <c r="AW18" i="65"/>
  <c r="AV18" i="65"/>
  <c r="AU18" i="65"/>
  <c r="AT18" i="65"/>
  <c r="AS18" i="65"/>
  <c r="AN18" i="65"/>
  <c r="AM18" i="65"/>
  <c r="AL18" i="65"/>
  <c r="AK18" i="65"/>
  <c r="AJ18" i="65"/>
  <c r="AI18" i="65"/>
  <c r="AH18" i="65"/>
  <c r="AG18" i="65"/>
  <c r="AF18" i="65"/>
  <c r="AE18" i="65"/>
  <c r="AD18" i="65"/>
  <c r="AC18" i="65"/>
  <c r="K18" i="65"/>
  <c r="W18" i="65" s="1"/>
  <c r="J18" i="65"/>
  <c r="I18" i="65"/>
  <c r="H18" i="65"/>
  <c r="L18" i="65" s="1"/>
  <c r="X18" i="65" s="1"/>
  <c r="BD17" i="65"/>
  <c r="BC17" i="65"/>
  <c r="BB17" i="65"/>
  <c r="BA17" i="65"/>
  <c r="AZ17" i="65"/>
  <c r="AY17" i="65"/>
  <c r="AX17" i="65"/>
  <c r="AW17" i="65"/>
  <c r="AV17" i="65"/>
  <c r="AU17" i="65"/>
  <c r="AT17" i="65"/>
  <c r="AS17" i="65"/>
  <c r="AN17" i="65"/>
  <c r="AM17" i="65"/>
  <c r="AL17" i="65"/>
  <c r="AK17" i="65"/>
  <c r="AJ17" i="65"/>
  <c r="AI17" i="65"/>
  <c r="AH17" i="65"/>
  <c r="AG17" i="65"/>
  <c r="AF17" i="65"/>
  <c r="AE17" i="65"/>
  <c r="AD17" i="65"/>
  <c r="AC17" i="65"/>
  <c r="V17" i="65"/>
  <c r="Q17" i="65"/>
  <c r="P17" i="65"/>
  <c r="O17" i="65"/>
  <c r="K17" i="65"/>
  <c r="W17" i="65" s="1"/>
  <c r="J17" i="65"/>
  <c r="R17" i="65" s="1"/>
  <c r="H17" i="65"/>
  <c r="L17" i="65" s="1"/>
  <c r="N17" i="65" s="1"/>
  <c r="BD16" i="65"/>
  <c r="BC16" i="65"/>
  <c r="BB16" i="65"/>
  <c r="BA16" i="65"/>
  <c r="AZ16" i="65"/>
  <c r="AY16" i="65"/>
  <c r="AX16" i="65"/>
  <c r="AW16" i="65"/>
  <c r="AV16" i="65"/>
  <c r="AU16" i="65"/>
  <c r="AT16" i="65"/>
  <c r="AS16" i="65"/>
  <c r="AN16" i="65"/>
  <c r="AM16" i="65"/>
  <c r="AL16" i="65"/>
  <c r="AK16" i="65"/>
  <c r="AJ16" i="65"/>
  <c r="AI16" i="65"/>
  <c r="AH16" i="65"/>
  <c r="AG16" i="65"/>
  <c r="AF16" i="65"/>
  <c r="AE16" i="65"/>
  <c r="AD16" i="65"/>
  <c r="AC16" i="65"/>
  <c r="S16" i="65"/>
  <c r="K16" i="65"/>
  <c r="W16" i="65" s="1"/>
  <c r="J16" i="65"/>
  <c r="R16" i="65" s="1"/>
  <c r="I16" i="65"/>
  <c r="O16" i="65" s="1"/>
  <c r="H16" i="65"/>
  <c r="L16" i="65" s="1"/>
  <c r="BD15" i="65"/>
  <c r="BC15" i="65"/>
  <c r="BB15" i="65"/>
  <c r="BA15" i="65"/>
  <c r="AZ15" i="65"/>
  <c r="AY15" i="65"/>
  <c r="AX15" i="65"/>
  <c r="AW15" i="65"/>
  <c r="AV15" i="65"/>
  <c r="AU15" i="65"/>
  <c r="AT15" i="65"/>
  <c r="AS15" i="65"/>
  <c r="AN15" i="65"/>
  <c r="AM15" i="65"/>
  <c r="AL15" i="65"/>
  <c r="AK15" i="65"/>
  <c r="AJ15" i="65"/>
  <c r="AI15" i="65"/>
  <c r="AH15" i="65"/>
  <c r="AG15" i="65"/>
  <c r="AF15" i="65"/>
  <c r="AE15" i="65"/>
  <c r="AD15" i="65"/>
  <c r="AC15" i="65"/>
  <c r="K15" i="65"/>
  <c r="W15" i="65" s="1"/>
  <c r="J15" i="65"/>
  <c r="R15" i="65" s="1"/>
  <c r="I15" i="65"/>
  <c r="O15" i="65" s="1"/>
  <c r="H15" i="65"/>
  <c r="L15" i="65" s="1"/>
  <c r="BD14" i="65"/>
  <c r="BC14" i="65"/>
  <c r="BB14" i="65"/>
  <c r="BA14" i="65"/>
  <c r="AZ14" i="65"/>
  <c r="AY14" i="65"/>
  <c r="AX14" i="65"/>
  <c r="AW14" i="65"/>
  <c r="AV14" i="65"/>
  <c r="AU14" i="65"/>
  <c r="AT14" i="65"/>
  <c r="AS14" i="65"/>
  <c r="AN14" i="65"/>
  <c r="AM14" i="65"/>
  <c r="AL14" i="65"/>
  <c r="AK14" i="65"/>
  <c r="AJ14" i="65"/>
  <c r="AI14" i="65"/>
  <c r="AH14" i="65"/>
  <c r="AG14" i="65"/>
  <c r="AF14" i="65"/>
  <c r="AE14" i="65"/>
  <c r="AD14" i="65"/>
  <c r="AC14" i="65"/>
  <c r="T14" i="65"/>
  <c r="K14" i="65"/>
  <c r="W14" i="65" s="1"/>
  <c r="J14" i="65"/>
  <c r="R14" i="65" s="1"/>
  <c r="I14" i="65"/>
  <c r="H14" i="65"/>
  <c r="L14" i="65" s="1"/>
  <c r="BD12" i="65"/>
  <c r="BC12" i="65"/>
  <c r="BB12" i="65"/>
  <c r="BA12" i="65"/>
  <c r="AZ12" i="65"/>
  <c r="AY12" i="65"/>
  <c r="AX12" i="65"/>
  <c r="AW12" i="65"/>
  <c r="AV12" i="65"/>
  <c r="AU12" i="65"/>
  <c r="AT12" i="65"/>
  <c r="AS12" i="65"/>
  <c r="AN12" i="65"/>
  <c r="AM12" i="65"/>
  <c r="AL12" i="65"/>
  <c r="AK12" i="65"/>
  <c r="AJ12" i="65"/>
  <c r="AI12" i="65"/>
  <c r="AH12" i="65"/>
  <c r="AG12" i="65"/>
  <c r="AF12" i="65"/>
  <c r="AE12" i="65"/>
  <c r="AD12" i="65"/>
  <c r="AC12" i="65"/>
  <c r="T12" i="65"/>
  <c r="K12" i="65"/>
  <c r="W12" i="65" s="1"/>
  <c r="J12" i="65"/>
  <c r="R12" i="65" s="1"/>
  <c r="I12" i="65"/>
  <c r="Q12" i="65" s="1"/>
  <c r="H12" i="65"/>
  <c r="L12" i="65" s="1"/>
  <c r="BB11" i="65"/>
  <c r="AZ11" i="65"/>
  <c r="AY11" i="65"/>
  <c r="AX11" i="65"/>
  <c r="AW11" i="65"/>
  <c r="AV11" i="65"/>
  <c r="AU11" i="65"/>
  <c r="AT11" i="65"/>
  <c r="AR11" i="65"/>
  <c r="AS11" i="65" s="1"/>
  <c r="AQ11" i="65"/>
  <c r="BA11" i="65" s="1"/>
  <c r="AJ11" i="65"/>
  <c r="AI11" i="65"/>
  <c r="AH11" i="65"/>
  <c r="AG11" i="65"/>
  <c r="AF11" i="65"/>
  <c r="AE11" i="65"/>
  <c r="AB11" i="65"/>
  <c r="AN11" i="65" s="1"/>
  <c r="AA11" i="65"/>
  <c r="AM11" i="65" s="1"/>
  <c r="T11" i="65"/>
  <c r="K11" i="65"/>
  <c r="J11" i="65"/>
  <c r="R11" i="65" s="1"/>
  <c r="I11" i="65"/>
  <c r="Q11" i="65" s="1"/>
  <c r="H11" i="65"/>
  <c r="L11" i="65" s="1"/>
  <c r="BD10" i="65"/>
  <c r="BC10" i="65"/>
  <c r="BB10" i="65"/>
  <c r="BA10" i="65"/>
  <c r="AZ10" i="65"/>
  <c r="AY10" i="65"/>
  <c r="AX10" i="65"/>
  <c r="AW10" i="65"/>
  <c r="AV10" i="65"/>
  <c r="AU10" i="65"/>
  <c r="AT10" i="65"/>
  <c r="AS10" i="65"/>
  <c r="AN10" i="65"/>
  <c r="AM10" i="65"/>
  <c r="AL10" i="65"/>
  <c r="AK10" i="65"/>
  <c r="AJ10" i="65"/>
  <c r="AI10" i="65"/>
  <c r="AH10" i="65"/>
  <c r="AG10" i="65"/>
  <c r="AF10" i="65"/>
  <c r="AE10" i="65"/>
  <c r="AD10" i="65"/>
  <c r="AC10" i="65"/>
  <c r="O10" i="65"/>
  <c r="L10" i="65"/>
  <c r="K10" i="65"/>
  <c r="J10" i="65"/>
  <c r="R10" i="65" s="1"/>
  <c r="I10" i="65"/>
  <c r="Q10" i="65" s="1"/>
  <c r="H10" i="65"/>
  <c r="CG9" i="65"/>
  <c r="CG10" i="65" s="1"/>
  <c r="CG11" i="65" s="1"/>
  <c r="CG12" i="65" s="1"/>
  <c r="CG13" i="65" s="1"/>
  <c r="CG14" i="65" s="1"/>
  <c r="CG15" i="65" s="1"/>
  <c r="CG16" i="65" s="1"/>
  <c r="CG17" i="65" s="1"/>
  <c r="CG18" i="65" s="1"/>
  <c r="CG19" i="65" s="1"/>
  <c r="CG20" i="65" s="1"/>
  <c r="CG21" i="65" s="1"/>
  <c r="BS9" i="65"/>
  <c r="BS10" i="65" s="1"/>
  <c r="BS11" i="65" s="1"/>
  <c r="BS12" i="65" s="1"/>
  <c r="BS13" i="65" s="1"/>
  <c r="BS14" i="65" s="1"/>
  <c r="BS15" i="65" s="1"/>
  <c r="BS16" i="65" s="1"/>
  <c r="BS17" i="65" s="1"/>
  <c r="BS18" i="65" s="1"/>
  <c r="BS19" i="65" s="1"/>
  <c r="BS20" i="65" s="1"/>
  <c r="BS21" i="65" s="1"/>
  <c r="BE9" i="65"/>
  <c r="BE10" i="65" s="1"/>
  <c r="BE11" i="65" s="1"/>
  <c r="B546" i="40"/>
  <c r="B545" i="40"/>
  <c r="B544" i="40"/>
  <c r="B543" i="40"/>
  <c r="B542" i="40"/>
  <c r="B541" i="40"/>
  <c r="B540" i="40"/>
  <c r="B539" i="40"/>
  <c r="B538" i="40"/>
  <c r="B537" i="40"/>
  <c r="B536" i="40"/>
  <c r="B535" i="40"/>
  <c r="B534" i="40"/>
  <c r="B533" i="40"/>
  <c r="B532" i="40"/>
  <c r="B531" i="40"/>
  <c r="B530" i="40"/>
  <c r="B529" i="40"/>
  <c r="B528" i="40"/>
  <c r="B527" i="40"/>
  <c r="B526" i="40"/>
  <c r="B525" i="40"/>
  <c r="B524" i="40"/>
  <c r="B523" i="40"/>
  <c r="B522" i="40"/>
  <c r="B521" i="40"/>
  <c r="B520" i="40"/>
  <c r="B519" i="40"/>
  <c r="B518" i="40"/>
  <c r="B517" i="40"/>
  <c r="B516" i="40"/>
  <c r="B515" i="40"/>
  <c r="B475" i="40"/>
  <c r="B471" i="40"/>
  <c r="B467" i="40"/>
  <c r="B463" i="40"/>
  <c r="B459" i="40"/>
  <c r="B453" i="40"/>
  <c r="B449" i="40"/>
  <c r="AN379" i="40"/>
  <c r="AM379" i="40"/>
  <c r="AL379" i="40"/>
  <c r="AK379" i="40"/>
  <c r="AJ379" i="40"/>
  <c r="AI379" i="40"/>
  <c r="AH379" i="40"/>
  <c r="AG379" i="40"/>
  <c r="AF379" i="40"/>
  <c r="AE379" i="40"/>
  <c r="AD379" i="40"/>
  <c r="AC379" i="40"/>
  <c r="D373" i="40"/>
  <c r="B507" i="40" s="1"/>
  <c r="C373" i="40"/>
  <c r="B373" i="40"/>
  <c r="D372" i="40"/>
  <c r="B506" i="40" s="1"/>
  <c r="C372" i="40"/>
  <c r="B372" i="40"/>
  <c r="D371" i="40"/>
  <c r="B505" i="40" s="1"/>
  <c r="C371" i="40"/>
  <c r="B371" i="40"/>
  <c r="D370" i="40"/>
  <c r="B504" i="40" s="1"/>
  <c r="C370" i="40"/>
  <c r="B370" i="40"/>
  <c r="D369" i="40"/>
  <c r="B503" i="40" s="1"/>
  <c r="C369" i="40"/>
  <c r="B369" i="40"/>
  <c r="D368" i="40"/>
  <c r="B502" i="40" s="1"/>
  <c r="C368" i="40"/>
  <c r="B368" i="40"/>
  <c r="D367" i="40"/>
  <c r="B501" i="40" s="1"/>
  <c r="C367" i="40"/>
  <c r="B367" i="40"/>
  <c r="D366" i="40"/>
  <c r="B500" i="40" s="1"/>
  <c r="C366" i="40"/>
  <c r="B366" i="40"/>
  <c r="D365" i="40"/>
  <c r="B499" i="40" s="1"/>
  <c r="C365" i="40"/>
  <c r="B365" i="40"/>
  <c r="D364" i="40"/>
  <c r="B498" i="40" s="1"/>
  <c r="C364" i="40"/>
  <c r="B364" i="40"/>
  <c r="D363" i="40"/>
  <c r="B497" i="40" s="1"/>
  <c r="C363" i="40"/>
  <c r="B363" i="40"/>
  <c r="D362" i="40"/>
  <c r="B496" i="40" s="1"/>
  <c r="C362" i="40"/>
  <c r="B362" i="40"/>
  <c r="D361" i="40"/>
  <c r="B495" i="40" s="1"/>
  <c r="C361" i="40"/>
  <c r="B361" i="40"/>
  <c r="D360" i="40"/>
  <c r="B494" i="40" s="1"/>
  <c r="B360" i="40"/>
  <c r="D359" i="40"/>
  <c r="B493" i="40" s="1"/>
  <c r="C359" i="40"/>
  <c r="B359" i="40"/>
  <c r="D358" i="40"/>
  <c r="B492" i="40" s="1"/>
  <c r="C358" i="40"/>
  <c r="B358" i="40"/>
  <c r="D357" i="40"/>
  <c r="B491" i="40" s="1"/>
  <c r="C357" i="40"/>
  <c r="B357" i="40"/>
  <c r="D356" i="40"/>
  <c r="B490" i="40" s="1"/>
  <c r="C356" i="40"/>
  <c r="B356" i="40"/>
  <c r="D355" i="40"/>
  <c r="B489" i="40" s="1"/>
  <c r="C355" i="40"/>
  <c r="B355" i="40"/>
  <c r="D354" i="40"/>
  <c r="B488" i="40" s="1"/>
  <c r="C354" i="40"/>
  <c r="B354" i="40"/>
  <c r="D353" i="40"/>
  <c r="B487" i="40" s="1"/>
  <c r="C353" i="40"/>
  <c r="B353" i="40"/>
  <c r="D352" i="40"/>
  <c r="B486" i="40" s="1"/>
  <c r="C352" i="40"/>
  <c r="B352" i="40"/>
  <c r="D351" i="40"/>
  <c r="B485" i="40" s="1"/>
  <c r="C351" i="40"/>
  <c r="B351" i="40"/>
  <c r="D350" i="40"/>
  <c r="B484" i="40" s="1"/>
  <c r="C350" i="40"/>
  <c r="B350" i="40"/>
  <c r="D349" i="40"/>
  <c r="B483" i="40" s="1"/>
  <c r="C349" i="40"/>
  <c r="B349" i="40"/>
  <c r="D348" i="40"/>
  <c r="B482" i="40" s="1"/>
  <c r="C348" i="40"/>
  <c r="B348" i="40"/>
  <c r="D347" i="40"/>
  <c r="B481" i="40" s="1"/>
  <c r="C347" i="40"/>
  <c r="B347" i="40"/>
  <c r="D346" i="40"/>
  <c r="B480" i="40" s="1"/>
  <c r="C346" i="40"/>
  <c r="B346" i="40"/>
  <c r="D345" i="40"/>
  <c r="B479" i="40" s="1"/>
  <c r="C345" i="40"/>
  <c r="B345" i="40"/>
  <c r="D344" i="40"/>
  <c r="B478" i="40" s="1"/>
  <c r="C344" i="40"/>
  <c r="B344" i="40"/>
  <c r="D343" i="40"/>
  <c r="B477" i="40" s="1"/>
  <c r="C343" i="40"/>
  <c r="B343" i="40"/>
  <c r="D342" i="40"/>
  <c r="B476" i="40" s="1"/>
  <c r="C342" i="40"/>
  <c r="B342" i="40"/>
  <c r="D341" i="40"/>
  <c r="C341" i="40"/>
  <c r="B341" i="40"/>
  <c r="D340" i="40"/>
  <c r="B474" i="40" s="1"/>
  <c r="C340" i="40"/>
  <c r="B340" i="40"/>
  <c r="D339" i="40"/>
  <c r="B473" i="40" s="1"/>
  <c r="C339" i="40"/>
  <c r="B339" i="40"/>
  <c r="D338" i="40"/>
  <c r="B472" i="40" s="1"/>
  <c r="C338" i="40"/>
  <c r="B338" i="40"/>
  <c r="D337" i="40"/>
  <c r="C337" i="40"/>
  <c r="B337" i="40"/>
  <c r="D336" i="40"/>
  <c r="B470" i="40" s="1"/>
  <c r="C336" i="40"/>
  <c r="B336" i="40"/>
  <c r="D335" i="40"/>
  <c r="B469" i="40" s="1"/>
  <c r="C335" i="40"/>
  <c r="B335" i="40"/>
  <c r="D334" i="40"/>
  <c r="B468" i="40" s="1"/>
  <c r="C334" i="40"/>
  <c r="B334" i="40"/>
  <c r="D333" i="40"/>
  <c r="C333" i="40"/>
  <c r="B333" i="40"/>
  <c r="D332" i="40"/>
  <c r="B466" i="40" s="1"/>
  <c r="C332" i="40"/>
  <c r="B332" i="40"/>
  <c r="D331" i="40"/>
  <c r="B465" i="40" s="1"/>
  <c r="C331" i="40"/>
  <c r="B331" i="40"/>
  <c r="D330" i="40"/>
  <c r="B464" i="40" s="1"/>
  <c r="C330" i="40"/>
  <c r="B330" i="40"/>
  <c r="D329" i="40"/>
  <c r="C329" i="40"/>
  <c r="B329" i="40"/>
  <c r="D328" i="40"/>
  <c r="B462" i="40" s="1"/>
  <c r="C328" i="40"/>
  <c r="B328" i="40"/>
  <c r="D327" i="40"/>
  <c r="B461" i="40" s="1"/>
  <c r="C327" i="40"/>
  <c r="B327" i="40"/>
  <c r="D326" i="40"/>
  <c r="B460" i="40" s="1"/>
  <c r="C326" i="40"/>
  <c r="B326" i="40"/>
  <c r="D325" i="40"/>
  <c r="C325" i="40"/>
  <c r="B325" i="40"/>
  <c r="D324" i="40"/>
  <c r="B458" i="40" s="1"/>
  <c r="C324" i="40"/>
  <c r="B324" i="40"/>
  <c r="D323" i="40"/>
  <c r="B457" i="40" s="1"/>
  <c r="C323" i="40"/>
  <c r="B323" i="40"/>
  <c r="D322" i="40"/>
  <c r="B456" i="40" s="1"/>
  <c r="C322" i="40"/>
  <c r="B322" i="40"/>
  <c r="D321" i="40"/>
  <c r="B455" i="40" s="1"/>
  <c r="C321" i="40"/>
  <c r="B321" i="40"/>
  <c r="D320" i="40"/>
  <c r="B454" i="40" s="1"/>
  <c r="C320" i="40"/>
  <c r="B320" i="40"/>
  <c r="D319" i="40"/>
  <c r="C319" i="40"/>
  <c r="B319" i="40"/>
  <c r="D318" i="40"/>
  <c r="B452" i="40" s="1"/>
  <c r="C318" i="40"/>
  <c r="B318" i="40"/>
  <c r="D317" i="40"/>
  <c r="B451" i="40" s="1"/>
  <c r="C317" i="40"/>
  <c r="B317" i="40"/>
  <c r="D316" i="40"/>
  <c r="B450" i="40" s="1"/>
  <c r="C316" i="40"/>
  <c r="B316" i="40"/>
  <c r="D315" i="40"/>
  <c r="C315" i="40"/>
  <c r="B315" i="40"/>
  <c r="D314" i="40"/>
  <c r="B448" i="40" s="1"/>
  <c r="C314" i="40"/>
  <c r="B314" i="40"/>
  <c r="D313" i="40"/>
  <c r="B447" i="40" s="1"/>
  <c r="C313" i="40"/>
  <c r="B313" i="40"/>
  <c r="D312" i="40"/>
  <c r="B446" i="40" s="1"/>
  <c r="C312" i="40"/>
  <c r="B312" i="40"/>
  <c r="F311" i="40"/>
  <c r="E311" i="40"/>
  <c r="D311" i="40"/>
  <c r="C311" i="40"/>
  <c r="D307" i="40"/>
  <c r="C307" i="40"/>
  <c r="B307" i="40"/>
  <c r="D306" i="40"/>
  <c r="C306" i="40"/>
  <c r="B306" i="40"/>
  <c r="D305" i="40"/>
  <c r="C305" i="40"/>
  <c r="B305" i="40"/>
  <c r="D304" i="40"/>
  <c r="C304" i="40"/>
  <c r="B304" i="40"/>
  <c r="D303" i="40"/>
  <c r="B303" i="40"/>
  <c r="D302" i="40"/>
  <c r="C302" i="40"/>
  <c r="B302" i="40"/>
  <c r="D301" i="40"/>
  <c r="C301" i="40"/>
  <c r="B301" i="40"/>
  <c r="D300" i="40"/>
  <c r="C300" i="40"/>
  <c r="B300" i="40"/>
  <c r="D299" i="40"/>
  <c r="C299" i="40"/>
  <c r="B299" i="40"/>
  <c r="D298" i="40"/>
  <c r="B298" i="40"/>
  <c r="D297" i="40"/>
  <c r="C297" i="40"/>
  <c r="B297" i="40"/>
  <c r="D296" i="40"/>
  <c r="C296" i="40"/>
  <c r="B296" i="40"/>
  <c r="D295" i="40"/>
  <c r="C295" i="40"/>
  <c r="B295" i="40"/>
  <c r="D294" i="40"/>
  <c r="C294" i="40"/>
  <c r="B294" i="40"/>
  <c r="D293" i="40"/>
  <c r="C293" i="40"/>
  <c r="B293" i="40"/>
  <c r="D292" i="40"/>
  <c r="C292" i="40"/>
  <c r="B292" i="40"/>
  <c r="D291" i="40"/>
  <c r="C291" i="40"/>
  <c r="B291" i="40"/>
  <c r="D290" i="40"/>
  <c r="C290" i="40"/>
  <c r="B290" i="40"/>
  <c r="D289" i="40"/>
  <c r="C289" i="40"/>
  <c r="B289" i="40"/>
  <c r="D288" i="40"/>
  <c r="C288" i="40"/>
  <c r="B288" i="40"/>
  <c r="D287" i="40"/>
  <c r="C287" i="40"/>
  <c r="B287" i="40"/>
  <c r="D286" i="40"/>
  <c r="C286" i="40"/>
  <c r="B286" i="40"/>
  <c r="D285" i="40"/>
  <c r="C285" i="40"/>
  <c r="B285" i="40"/>
  <c r="D284" i="40"/>
  <c r="C284" i="40"/>
  <c r="B284" i="40"/>
  <c r="D283" i="40"/>
  <c r="C283" i="40"/>
  <c r="B283" i="40"/>
  <c r="D282" i="40"/>
  <c r="C282" i="40"/>
  <c r="B282" i="40"/>
  <c r="D281" i="40"/>
  <c r="C281" i="40"/>
  <c r="B281" i="40"/>
  <c r="D280" i="40"/>
  <c r="B280" i="40"/>
  <c r="D279" i="40"/>
  <c r="B279" i="40"/>
  <c r="D278" i="40"/>
  <c r="C278" i="40"/>
  <c r="B278" i="40"/>
  <c r="D277" i="40"/>
  <c r="C277" i="40"/>
  <c r="B277" i="40"/>
  <c r="D276" i="40"/>
  <c r="C276" i="40"/>
  <c r="B276" i="40"/>
  <c r="D275" i="40"/>
  <c r="C275" i="40"/>
  <c r="B275" i="40"/>
  <c r="D274" i="40"/>
  <c r="C274" i="40"/>
  <c r="B274" i="40"/>
  <c r="D273" i="40"/>
  <c r="C273" i="40"/>
  <c r="B273" i="40"/>
  <c r="D272" i="40"/>
  <c r="C272" i="40"/>
  <c r="B272" i="40"/>
  <c r="D271" i="40"/>
  <c r="C271" i="40"/>
  <c r="B271" i="40"/>
  <c r="D270" i="40"/>
  <c r="C270" i="40"/>
  <c r="B270" i="40"/>
  <c r="D269" i="40"/>
  <c r="C269" i="40"/>
  <c r="B269" i="40"/>
  <c r="D268" i="40"/>
  <c r="C268" i="40"/>
  <c r="B268" i="40"/>
  <c r="D267" i="40"/>
  <c r="C267" i="40"/>
  <c r="B267" i="40"/>
  <c r="D266" i="40"/>
  <c r="C266" i="40"/>
  <c r="B266" i="40"/>
  <c r="D265" i="40"/>
  <c r="C265" i="40"/>
  <c r="B265" i="40"/>
  <c r="D264" i="40"/>
  <c r="C264" i="40"/>
  <c r="B264" i="40"/>
  <c r="D263" i="40"/>
  <c r="C263" i="40"/>
  <c r="B263" i="40"/>
  <c r="D262" i="40"/>
  <c r="C262" i="40"/>
  <c r="B262" i="40"/>
  <c r="D261" i="40"/>
  <c r="C261" i="40"/>
  <c r="B261" i="40"/>
  <c r="D260" i="40"/>
  <c r="C260" i="40"/>
  <c r="B260" i="40"/>
  <c r="D259" i="40"/>
  <c r="C259" i="40"/>
  <c r="B259" i="40"/>
  <c r="D258" i="40"/>
  <c r="C258" i="40"/>
  <c r="B258" i="40"/>
  <c r="D257" i="40"/>
  <c r="C257" i="40"/>
  <c r="B257" i="40"/>
  <c r="D256" i="40"/>
  <c r="C256" i="40"/>
  <c r="B256" i="40"/>
  <c r="D255" i="40"/>
  <c r="C255" i="40"/>
  <c r="B255" i="40"/>
  <c r="D254" i="40"/>
  <c r="C254" i="40"/>
  <c r="B254" i="40"/>
  <c r="D253" i="40"/>
  <c r="C253" i="40"/>
  <c r="B253" i="40"/>
  <c r="D252" i="40"/>
  <c r="C252" i="40"/>
  <c r="B252" i="40"/>
  <c r="D251" i="40"/>
  <c r="C251" i="40"/>
  <c r="B251" i="40"/>
  <c r="D250" i="40"/>
  <c r="C250" i="40"/>
  <c r="B250" i="40"/>
  <c r="D249" i="40"/>
  <c r="C249" i="40"/>
  <c r="B249" i="40"/>
  <c r="D248" i="40"/>
  <c r="C248" i="40"/>
  <c r="B248" i="40"/>
  <c r="D247" i="40"/>
  <c r="C247" i="40"/>
  <c r="B247" i="40"/>
  <c r="D246" i="40"/>
  <c r="C246" i="40"/>
  <c r="B246" i="40"/>
  <c r="D245" i="40"/>
  <c r="C245" i="40"/>
  <c r="B245" i="40"/>
  <c r="D244" i="40"/>
  <c r="C244" i="40"/>
  <c r="B244" i="40"/>
  <c r="D243" i="40"/>
  <c r="C243" i="40"/>
  <c r="B243" i="40"/>
  <c r="D242" i="40"/>
  <c r="C242" i="40"/>
  <c r="B242" i="40"/>
  <c r="D241" i="40"/>
  <c r="C241" i="40"/>
  <c r="B241" i="40"/>
  <c r="D240" i="40"/>
  <c r="C240" i="40"/>
  <c r="B240" i="40"/>
  <c r="D239" i="40"/>
  <c r="C239" i="40"/>
  <c r="B239" i="40"/>
  <c r="D238" i="40"/>
  <c r="C238" i="40"/>
  <c r="B238" i="40"/>
  <c r="D237" i="40"/>
  <c r="C237" i="40"/>
  <c r="B237" i="40"/>
  <c r="D236" i="40"/>
  <c r="C236" i="40"/>
  <c r="B236" i="40"/>
  <c r="D235" i="40"/>
  <c r="C235" i="40"/>
  <c r="B235" i="40"/>
  <c r="D234" i="40"/>
  <c r="C234" i="40"/>
  <c r="B234" i="40"/>
  <c r="D233" i="40"/>
  <c r="C233" i="40"/>
  <c r="B233" i="40"/>
  <c r="D232" i="40"/>
  <c r="C232" i="40"/>
  <c r="B232" i="40"/>
  <c r="D231" i="40"/>
  <c r="C231" i="40"/>
  <c r="B231" i="40"/>
  <c r="D230" i="40"/>
  <c r="C230" i="40"/>
  <c r="B230" i="40"/>
  <c r="D229" i="40"/>
  <c r="C229" i="40"/>
  <c r="B229" i="40"/>
  <c r="D228" i="40"/>
  <c r="C228" i="40"/>
  <c r="B228" i="40"/>
  <c r="D227" i="40"/>
  <c r="C227" i="40"/>
  <c r="B227" i="40"/>
  <c r="D226" i="40"/>
  <c r="C226" i="40"/>
  <c r="B226" i="40"/>
  <c r="D225" i="40"/>
  <c r="C225" i="40"/>
  <c r="B225" i="40"/>
  <c r="D224" i="40"/>
  <c r="C224" i="40"/>
  <c r="B224" i="40"/>
  <c r="D223" i="40"/>
  <c r="C223" i="40"/>
  <c r="B223" i="40"/>
  <c r="D222" i="40"/>
  <c r="C222" i="40"/>
  <c r="B222" i="40"/>
  <c r="D221" i="40"/>
  <c r="C221" i="40"/>
  <c r="F136" i="79" s="1"/>
  <c r="G136" i="79" s="1"/>
  <c r="B221" i="40"/>
  <c r="D220" i="40"/>
  <c r="C220" i="40"/>
  <c r="B220" i="40"/>
  <c r="D219" i="40"/>
  <c r="C219" i="40"/>
  <c r="B219" i="40"/>
  <c r="F52" i="79" s="1"/>
  <c r="G52" i="79" s="1"/>
  <c r="D218" i="40"/>
  <c r="C218" i="40"/>
  <c r="B218" i="40"/>
  <c r="D217" i="40"/>
  <c r="C217" i="40"/>
  <c r="B217" i="40"/>
  <c r="D216" i="40"/>
  <c r="C216" i="40"/>
  <c r="B216" i="40"/>
  <c r="F205" i="40"/>
  <c r="E450" i="77" s="1"/>
  <c r="B205" i="40"/>
  <c r="F204" i="40"/>
  <c r="E449" i="77" s="1"/>
  <c r="F203" i="40"/>
  <c r="E448" i="77" s="1"/>
  <c r="F202" i="40"/>
  <c r="E447" i="77" s="1"/>
  <c r="B202" i="40"/>
  <c r="F201" i="40"/>
  <c r="E446" i="77" s="1"/>
  <c r="F200" i="40"/>
  <c r="E445" i="77" s="1"/>
  <c r="F199" i="40"/>
  <c r="E444" i="77" s="1"/>
  <c r="F198" i="40"/>
  <c r="E443" i="77" s="1"/>
  <c r="F197" i="40"/>
  <c r="E442" i="77" s="1"/>
  <c r="B197" i="40"/>
  <c r="F196" i="40"/>
  <c r="E441" i="77" s="1"/>
  <c r="F195" i="40"/>
  <c r="E440" i="77" s="1"/>
  <c r="F194" i="40"/>
  <c r="E439" i="77" s="1"/>
  <c r="F847" i="79"/>
  <c r="C156" i="40"/>
  <c r="D156" i="40" s="1"/>
  <c r="C154" i="40"/>
  <c r="E153" i="40"/>
  <c r="C1200" i="79" s="1"/>
  <c r="C1235" i="79" s="1"/>
  <c r="D153" i="40"/>
  <c r="C153" i="40"/>
  <c r="C139" i="40"/>
  <c r="D139" i="40" s="1"/>
  <c r="C136" i="40"/>
  <c r="D136" i="40" s="1"/>
  <c r="F837" i="79" s="1"/>
  <c r="F136" i="40"/>
  <c r="C1199" i="79" s="1"/>
  <c r="C1234" i="79" s="1"/>
  <c r="D122" i="40"/>
  <c r="F839" i="79" s="1"/>
  <c r="C122" i="40"/>
  <c r="F119" i="40"/>
  <c r="C1198" i="79" s="1"/>
  <c r="C1233" i="79" s="1"/>
  <c r="C119" i="40"/>
  <c r="D119" i="40" s="1"/>
  <c r="E666" i="77" s="1"/>
  <c r="I92" i="40"/>
  <c r="C298" i="40" s="1"/>
  <c r="F80" i="40"/>
  <c r="E373" i="40" s="1"/>
  <c r="F79" i="40"/>
  <c r="E372" i="40" s="1"/>
  <c r="F78" i="40"/>
  <c r="E371" i="40" s="1"/>
  <c r="F77" i="40"/>
  <c r="E370" i="40" s="1"/>
  <c r="F76" i="40"/>
  <c r="E369" i="40" s="1"/>
  <c r="F75" i="40"/>
  <c r="E368" i="40" s="1"/>
  <c r="F74" i="40"/>
  <c r="E367" i="40" s="1"/>
  <c r="F73" i="40"/>
  <c r="E366" i="40" s="1"/>
  <c r="F72" i="40"/>
  <c r="E365" i="40" s="1"/>
  <c r="F71" i="40"/>
  <c r="E364" i="40" s="1"/>
  <c r="F70" i="40"/>
  <c r="E363" i="40" s="1"/>
  <c r="F69" i="40"/>
  <c r="E362" i="40" s="1"/>
  <c r="C68" i="40"/>
  <c r="C280" i="40" s="1"/>
  <c r="C67" i="40"/>
  <c r="C360" i="40" s="1"/>
  <c r="F52" i="40"/>
  <c r="E350" i="40" s="1"/>
  <c r="F51" i="40"/>
  <c r="E349" i="40" s="1"/>
  <c r="F40" i="40"/>
  <c r="E343" i="40" s="1"/>
  <c r="F39" i="40"/>
  <c r="E342" i="40" s="1"/>
  <c r="F38" i="40"/>
  <c r="E341" i="40" s="1"/>
  <c r="F37" i="40"/>
  <c r="E340" i="40" s="1"/>
  <c r="F36" i="40"/>
  <c r="E339" i="40" s="1"/>
  <c r="F35" i="40"/>
  <c r="E338" i="40" s="1"/>
  <c r="F34" i="40"/>
  <c r="E337" i="40" s="1"/>
  <c r="F33" i="40"/>
  <c r="E336" i="40" s="1"/>
  <c r="F32" i="40"/>
  <c r="E335" i="40" s="1"/>
  <c r="F31" i="40"/>
  <c r="E334" i="40" s="1"/>
  <c r="F30" i="40"/>
  <c r="E333" i="40" s="1"/>
  <c r="F29" i="40"/>
  <c r="E332" i="40" s="1"/>
  <c r="F28" i="40"/>
  <c r="E331" i="40" s="1"/>
  <c r="F27" i="40"/>
  <c r="E330" i="40" s="1"/>
  <c r="F26" i="40"/>
  <c r="E329" i="40" s="1"/>
  <c r="F25" i="40"/>
  <c r="E328" i="40" s="1"/>
  <c r="F21" i="40"/>
  <c r="E324" i="40" s="1"/>
  <c r="F20" i="40"/>
  <c r="E323" i="40" s="1"/>
  <c r="F16" i="40"/>
  <c r="E319" i="40" s="1"/>
  <c r="B164" i="69"/>
  <c r="B160" i="69"/>
  <c r="B159" i="69"/>
  <c r="N43" i="80"/>
  <c r="O43" i="80" s="1"/>
  <c r="G123" i="69"/>
  <c r="I123" i="69" s="1"/>
  <c r="G122" i="69"/>
  <c r="I122" i="69" s="1"/>
  <c r="G121" i="69"/>
  <c r="I121" i="69" s="1"/>
  <c r="G120" i="69"/>
  <c r="I120" i="69" s="1"/>
  <c r="I114" i="69"/>
  <c r="G114" i="69"/>
  <c r="I113" i="69"/>
  <c r="G113" i="69"/>
  <c r="I112" i="69"/>
  <c r="G112" i="69"/>
  <c r="G111" i="69"/>
  <c r="I111" i="69" s="1"/>
  <c r="C87" i="69"/>
  <c r="C61" i="69"/>
  <c r="E484" i="77" s="1"/>
  <c r="G486" i="77" s="1"/>
  <c r="H60" i="69"/>
  <c r="G60" i="69"/>
  <c r="F60" i="69"/>
  <c r="I60" i="69" s="1"/>
  <c r="E60" i="69"/>
  <c r="H59" i="69"/>
  <c r="G59" i="69"/>
  <c r="F59" i="69"/>
  <c r="I59" i="69" s="1"/>
  <c r="E59" i="69"/>
  <c r="H58" i="69"/>
  <c r="G58" i="69"/>
  <c r="F58" i="69"/>
  <c r="I58" i="69" s="1"/>
  <c r="E58" i="69"/>
  <c r="H57" i="69"/>
  <c r="G57" i="69"/>
  <c r="F57" i="69"/>
  <c r="I57" i="69" s="1"/>
  <c r="E57" i="69"/>
  <c r="H56" i="69"/>
  <c r="G56" i="69"/>
  <c r="F56" i="69"/>
  <c r="I56" i="69" s="1"/>
  <c r="E56" i="69"/>
  <c r="H55" i="69"/>
  <c r="G55" i="69"/>
  <c r="F55" i="69"/>
  <c r="I55" i="69" s="1"/>
  <c r="E55" i="69"/>
  <c r="H54" i="69"/>
  <c r="G54" i="69"/>
  <c r="F54" i="69"/>
  <c r="I54" i="69" s="1"/>
  <c r="E54" i="69"/>
  <c r="H53" i="69"/>
  <c r="G53" i="69"/>
  <c r="F53" i="69"/>
  <c r="I53" i="69" s="1"/>
  <c r="E53" i="69"/>
  <c r="H52" i="69"/>
  <c r="G52" i="69"/>
  <c r="F52" i="69"/>
  <c r="I52" i="69" s="1"/>
  <c r="E52" i="69"/>
  <c r="H51" i="69"/>
  <c r="G51" i="69"/>
  <c r="F51" i="69"/>
  <c r="I51" i="69" s="1"/>
  <c r="E51" i="69"/>
  <c r="C44" i="69"/>
  <c r="E456" i="77" s="1"/>
  <c r="H43" i="69"/>
  <c r="G43" i="69"/>
  <c r="F43" i="69"/>
  <c r="I43" i="69" s="1"/>
  <c r="E43" i="69"/>
  <c r="H42" i="69"/>
  <c r="G42" i="69"/>
  <c r="F42" i="69"/>
  <c r="I42" i="69" s="1"/>
  <c r="E42" i="69"/>
  <c r="H41" i="69"/>
  <c r="G41" i="69"/>
  <c r="F41" i="69"/>
  <c r="I41" i="69" s="1"/>
  <c r="E41" i="69"/>
  <c r="H40" i="69"/>
  <c r="G40" i="69"/>
  <c r="F40" i="69"/>
  <c r="I40" i="69" s="1"/>
  <c r="E40" i="69"/>
  <c r="H39" i="69"/>
  <c r="G39" i="69"/>
  <c r="F39" i="69"/>
  <c r="I39" i="69" s="1"/>
  <c r="E39" i="69"/>
  <c r="H38" i="69"/>
  <c r="G38" i="69"/>
  <c r="F38" i="69"/>
  <c r="I38" i="69" s="1"/>
  <c r="E38" i="69"/>
  <c r="H37" i="69"/>
  <c r="G37" i="69"/>
  <c r="F37" i="69"/>
  <c r="I37" i="69" s="1"/>
  <c r="E37" i="69"/>
  <c r="H36" i="69"/>
  <c r="G36" i="69"/>
  <c r="F36" i="69"/>
  <c r="I36" i="69" s="1"/>
  <c r="E36" i="69"/>
  <c r="H35" i="69"/>
  <c r="G35" i="69"/>
  <c r="F35" i="69"/>
  <c r="I35" i="69" s="1"/>
  <c r="E35" i="69"/>
  <c r="H34" i="69"/>
  <c r="G34" i="69"/>
  <c r="F34" i="69"/>
  <c r="I34" i="69" s="1"/>
  <c r="E34" i="69"/>
  <c r="F26" i="69"/>
  <c r="E26" i="69"/>
  <c r="D26" i="69"/>
  <c r="G26" i="69" s="1"/>
  <c r="F25" i="69"/>
  <c r="E25" i="69"/>
  <c r="D25" i="69"/>
  <c r="G25" i="69" s="1"/>
  <c r="F24" i="69"/>
  <c r="E24" i="69"/>
  <c r="D24" i="69"/>
  <c r="G24" i="69" s="1"/>
  <c r="F23" i="69"/>
  <c r="E23" i="69"/>
  <c r="D23" i="69"/>
  <c r="G23" i="69" s="1"/>
  <c r="F22" i="69"/>
  <c r="E22" i="69"/>
  <c r="D22" i="69"/>
  <c r="G22" i="69" s="1"/>
  <c r="F21" i="69"/>
  <c r="E21" i="69"/>
  <c r="D21" i="69"/>
  <c r="G21" i="69" s="1"/>
  <c r="F20" i="69"/>
  <c r="E20" i="69"/>
  <c r="D20" i="69"/>
  <c r="G20" i="69" s="1"/>
  <c r="F19" i="69"/>
  <c r="E19" i="69"/>
  <c r="D19" i="69"/>
  <c r="G19" i="69" s="1"/>
  <c r="F18" i="69"/>
  <c r="E18" i="69"/>
  <c r="D18" i="69"/>
  <c r="G18" i="69" s="1"/>
  <c r="F17" i="69"/>
  <c r="E17" i="69"/>
  <c r="D17" i="69"/>
  <c r="G17" i="69" s="1"/>
  <c r="C11" i="69"/>
  <c r="C100" i="64" s="1"/>
  <c r="A8" i="69"/>
  <c r="A14" i="69" s="1"/>
  <c r="A31" i="69" s="1"/>
  <c r="A48" i="69" s="1"/>
  <c r="A64" i="69" s="1"/>
  <c r="A67" i="69" s="1"/>
  <c r="A90" i="69" s="1"/>
  <c r="A100" i="69" s="1"/>
  <c r="A108" i="69" s="1"/>
  <c r="A117" i="69" s="1"/>
  <c r="A126" i="69" s="1"/>
  <c r="A137" i="69" s="1"/>
  <c r="A147" i="69" s="1"/>
  <c r="A150" i="69" s="1"/>
  <c r="A6" i="40" s="1"/>
  <c r="A43" i="40" s="1"/>
  <c r="A55" i="40" s="1"/>
  <c r="A84" i="40" s="1"/>
  <c r="G84" i="40" s="1"/>
  <c r="A110" i="40" s="1"/>
  <c r="A126" i="40" s="1"/>
  <c r="A143" i="40" s="1"/>
  <c r="A159" i="40" s="1"/>
  <c r="A182" i="40" s="1"/>
  <c r="A190" i="40" s="1"/>
  <c r="A208" i="40" s="1"/>
  <c r="A6" i="65" s="1"/>
  <c r="A5" i="64" s="1"/>
  <c r="A103" i="64" s="1"/>
  <c r="A110" i="64" s="1"/>
  <c r="A119" i="64" s="1"/>
  <c r="A125" i="64" s="1"/>
  <c r="A135" i="64" s="1"/>
  <c r="A152" i="64" s="1"/>
  <c r="A169" i="64" s="1"/>
  <c r="A212" i="64" s="1"/>
  <c r="A256" i="64" s="1"/>
  <c r="A272" i="64" s="1"/>
  <c r="A288" i="64" s="1"/>
  <c r="A11" i="79" s="1"/>
  <c r="A40" i="79" s="1"/>
  <c r="A81" i="79" s="1"/>
  <c r="A122" i="79" s="1"/>
  <c r="A163" i="79" s="1"/>
  <c r="A204" i="79" s="1"/>
  <c r="A245" i="79" s="1"/>
  <c r="A286" i="79" s="1"/>
  <c r="A327" i="79" s="1"/>
  <c r="A368" i="79" s="1"/>
  <c r="A409" i="79" s="1"/>
  <c r="A450" i="79" s="1"/>
  <c r="A491" i="79" s="1"/>
  <c r="X40" i="79" s="1"/>
  <c r="X81" i="79" s="1"/>
  <c r="X122" i="79" s="1"/>
  <c r="X163" i="79" s="1"/>
  <c r="X204" i="79" s="1"/>
  <c r="X245" i="79" s="1"/>
  <c r="X286" i="79" s="1"/>
  <c r="X327" i="79" s="1"/>
  <c r="X368" i="79" s="1"/>
  <c r="X409" i="79" s="1"/>
  <c r="X450" i="79" s="1"/>
  <c r="X491" i="79" s="1"/>
  <c r="A531" i="79" s="1"/>
  <c r="N46" i="65" l="1"/>
  <c r="M46" i="65"/>
  <c r="X46" i="65"/>
  <c r="AX39" i="65"/>
  <c r="AY39" i="65"/>
  <c r="AZ39" i="65"/>
  <c r="M50" i="65"/>
  <c r="N50" i="65"/>
  <c r="AS221" i="65"/>
  <c r="P10" i="65"/>
  <c r="AC11" i="65"/>
  <c r="AK11" i="65"/>
  <c r="BC11" i="65"/>
  <c r="O12" i="65"/>
  <c r="P24" i="65"/>
  <c r="N26" i="65"/>
  <c r="P27" i="65"/>
  <c r="Q28" i="65"/>
  <c r="U29" i="65"/>
  <c r="V30" i="65"/>
  <c r="U34" i="65"/>
  <c r="P36" i="65"/>
  <c r="N37" i="65"/>
  <c r="AW38" i="65"/>
  <c r="V39" i="65"/>
  <c r="AR39" i="65"/>
  <c r="O43" i="65"/>
  <c r="P44" i="65"/>
  <c r="T46" i="65"/>
  <c r="P47" i="65"/>
  <c r="AH203" i="65"/>
  <c r="AY203" i="65"/>
  <c r="AW206" i="65"/>
  <c r="AJ207" i="65"/>
  <c r="AX207" i="65"/>
  <c r="AI210" i="65"/>
  <c r="AJ211" i="65"/>
  <c r="AK212" i="65"/>
  <c r="AW212" i="65"/>
  <c r="AW229" i="65" s="1"/>
  <c r="AD213" i="65"/>
  <c r="AL213" i="65"/>
  <c r="AX213" i="65"/>
  <c r="AE214" i="65"/>
  <c r="AM214" i="65"/>
  <c r="AY214" i="65"/>
  <c r="AY231" i="65" s="1"/>
  <c r="AI220" i="65"/>
  <c r="AF223" i="65"/>
  <c r="AL224" i="65"/>
  <c r="AC227" i="65"/>
  <c r="AK227" i="65"/>
  <c r="AH228" i="65"/>
  <c r="AG229" i="65"/>
  <c r="AS229" i="65"/>
  <c r="AE230" i="65"/>
  <c r="AM230" i="65"/>
  <c r="AD231" i="65"/>
  <c r="AL231" i="65"/>
  <c r="F312" i="73"/>
  <c r="F313" i="73" s="1"/>
  <c r="N312" i="73"/>
  <c r="N313" i="73" s="1"/>
  <c r="E672" i="77"/>
  <c r="C450" i="74"/>
  <c r="C453" i="74" s="1"/>
  <c r="D457" i="74" s="1"/>
  <c r="G355" i="74"/>
  <c r="C538" i="74"/>
  <c r="C541" i="74" s="1"/>
  <c r="D545" i="74" s="1"/>
  <c r="M353" i="74"/>
  <c r="C279" i="40"/>
  <c r="S10" i="65"/>
  <c r="AD11" i="65"/>
  <c r="AL11" i="65"/>
  <c r="BD11" i="65"/>
  <c r="P12" i="65"/>
  <c r="P15" i="65"/>
  <c r="Q24" i="65"/>
  <c r="R25" i="65"/>
  <c r="U26" i="65"/>
  <c r="U27" i="65"/>
  <c r="U28" i="65"/>
  <c r="V29" i="65"/>
  <c r="V34" i="65"/>
  <c r="U38" i="65"/>
  <c r="AX38" i="65"/>
  <c r="BA39" i="65"/>
  <c r="P40" i="65"/>
  <c r="R42" i="65"/>
  <c r="P43" i="65"/>
  <c r="BA47" i="65"/>
  <c r="R50" i="65"/>
  <c r="AI203" i="65"/>
  <c r="BB203" i="65"/>
  <c r="BB220" i="65" s="1"/>
  <c r="AZ206" i="65"/>
  <c r="AL207" i="65"/>
  <c r="AY207" i="65"/>
  <c r="AJ210" i="65"/>
  <c r="AK211" i="65"/>
  <c r="AD212" i="65"/>
  <c r="AL212" i="65"/>
  <c r="AX212" i="65"/>
  <c r="AE213" i="65"/>
  <c r="AM213" i="65"/>
  <c r="AY213" i="65"/>
  <c r="AF214" i="65"/>
  <c r="AN214" i="65"/>
  <c r="AK220" i="65"/>
  <c r="AD227" i="65"/>
  <c r="AL227" i="65"/>
  <c r="AI228" i="65"/>
  <c r="AH229" i="65"/>
  <c r="AF230" i="65"/>
  <c r="AN230" i="65"/>
  <c r="AE231" i="65"/>
  <c r="AM231" i="65"/>
  <c r="C373" i="74"/>
  <c r="C376" i="74" s="1"/>
  <c r="D380" i="74" s="1"/>
  <c r="G341" i="74"/>
  <c r="C384" i="74"/>
  <c r="C387" i="74" s="1"/>
  <c r="D391" i="74" s="1"/>
  <c r="G343" i="74"/>
  <c r="C417" i="74"/>
  <c r="C420" i="74" s="1"/>
  <c r="D424" i="74" s="1"/>
  <c r="G349" i="74"/>
  <c r="AL230" i="65"/>
  <c r="T10" i="65"/>
  <c r="O11" i="65"/>
  <c r="S12" i="65"/>
  <c r="S14" i="65"/>
  <c r="Q15" i="65"/>
  <c r="Q16" i="65"/>
  <c r="T22" i="65"/>
  <c r="U23" i="65"/>
  <c r="U24" i="65"/>
  <c r="U25" i="65"/>
  <c r="V26" i="65"/>
  <c r="V27" i="65"/>
  <c r="U36" i="65"/>
  <c r="U37" i="65"/>
  <c r="V38" i="65"/>
  <c r="AY38" i="65"/>
  <c r="BB39" i="65"/>
  <c r="Q40" i="65"/>
  <c r="T41" i="65"/>
  <c r="S42" i="65"/>
  <c r="X43" i="65"/>
  <c r="S47" i="65"/>
  <c r="S50" i="65"/>
  <c r="AL203" i="65"/>
  <c r="BC203" i="65"/>
  <c r="AM207" i="65"/>
  <c r="AZ207" i="65"/>
  <c r="AK210" i="65"/>
  <c r="AD211" i="65"/>
  <c r="AL211" i="65"/>
  <c r="AE212" i="65"/>
  <c r="AM212" i="65"/>
  <c r="AY212" i="65"/>
  <c r="AF213" i="65"/>
  <c r="AN213" i="65"/>
  <c r="AZ213" i="65"/>
  <c r="AG214" i="65"/>
  <c r="BA214" i="65"/>
  <c r="AE227" i="65"/>
  <c r="AM227" i="65"/>
  <c r="AJ228" i="65"/>
  <c r="AI229" i="65"/>
  <c r="AG230" i="65"/>
  <c r="AS230" i="65"/>
  <c r="AF231" i="65"/>
  <c r="AN231" i="65"/>
  <c r="C395" i="74"/>
  <c r="C398" i="74" s="1"/>
  <c r="D402" i="74" s="1"/>
  <c r="G345" i="74"/>
  <c r="C428" i="74"/>
  <c r="C431" i="74" s="1"/>
  <c r="D435" i="74" s="1"/>
  <c r="G351" i="74"/>
  <c r="C483" i="74"/>
  <c r="C486" i="74" s="1"/>
  <c r="D490" i="74" s="1"/>
  <c r="M343" i="74"/>
  <c r="N540" i="40"/>
  <c r="AG213" i="65"/>
  <c r="BA213" i="65"/>
  <c r="AH230" i="65"/>
  <c r="M418" i="73"/>
  <c r="C494" i="74"/>
  <c r="C497" i="74" s="1"/>
  <c r="D501" i="74" s="1"/>
  <c r="M345" i="74"/>
  <c r="I642" i="74"/>
  <c r="I644" i="74" s="1"/>
  <c r="AK213" i="65"/>
  <c r="C527" i="74"/>
  <c r="C530" i="74" s="1"/>
  <c r="D534" i="74" s="1"/>
  <c r="M351" i="74"/>
  <c r="V24" i="65"/>
  <c r="V25" i="65"/>
  <c r="V37" i="65"/>
  <c r="S11" i="65"/>
  <c r="U14" i="65"/>
  <c r="T15" i="65"/>
  <c r="T16" i="65"/>
  <c r="N18" i="65"/>
  <c r="O21" i="65"/>
  <c r="AC38" i="65"/>
  <c r="AS38" i="65"/>
  <c r="BA38" i="65"/>
  <c r="P39" i="65"/>
  <c r="U40" i="65"/>
  <c r="O49" i="65"/>
  <c r="BC207" i="65"/>
  <c r="BA212" i="65"/>
  <c r="AH213" i="65"/>
  <c r="AT213" i="65"/>
  <c r="AT230" i="65" s="1"/>
  <c r="BB213" i="65"/>
  <c r="AG227" i="65"/>
  <c r="AS227" i="65"/>
  <c r="AD228" i="65"/>
  <c r="AL228" i="65"/>
  <c r="AC229" i="65"/>
  <c r="AK229" i="65"/>
  <c r="AI230" i="65"/>
  <c r="AH231" i="65"/>
  <c r="J312" i="73"/>
  <c r="J313" i="73" s="1"/>
  <c r="C406" i="74"/>
  <c r="C409" i="74" s="1"/>
  <c r="D413" i="74" s="1"/>
  <c r="G347" i="74"/>
  <c r="C461" i="74"/>
  <c r="C464" i="74" s="1"/>
  <c r="D468" i="74" s="1"/>
  <c r="M339" i="74"/>
  <c r="AD230" i="65"/>
  <c r="P11" i="65"/>
  <c r="E671" i="77"/>
  <c r="I97" i="40"/>
  <c r="C303" i="40" s="1"/>
  <c r="U15" i="65"/>
  <c r="U16" i="65"/>
  <c r="U18" i="65"/>
  <c r="U19" i="65"/>
  <c r="S21" i="65"/>
  <c r="P31" i="65"/>
  <c r="Q32" i="65"/>
  <c r="R33" i="65"/>
  <c r="P34" i="65"/>
  <c r="BB38" i="65"/>
  <c r="AO39" i="65"/>
  <c r="P49" i="65"/>
  <c r="AT203" i="65"/>
  <c r="AJ204" i="65"/>
  <c r="AF207" i="65"/>
  <c r="AT207" i="65"/>
  <c r="BD207" i="65"/>
  <c r="AF210" i="65"/>
  <c r="AN210" i="65"/>
  <c r="AZ210" i="65"/>
  <c r="AG211" i="65"/>
  <c r="BA211" i="65"/>
  <c r="AH212" i="65"/>
  <c r="AT212" i="65"/>
  <c r="BB212" i="65"/>
  <c r="AI213" i="65"/>
  <c r="AU213" i="65"/>
  <c r="BC213" i="65"/>
  <c r="AJ214" i="65"/>
  <c r="AV214" i="65"/>
  <c r="BD214" i="65"/>
  <c r="AF225" i="65"/>
  <c r="AH227" i="65"/>
  <c r="AE228" i="65"/>
  <c r="AM228" i="65"/>
  <c r="AD229" i="65"/>
  <c r="AL229" i="65"/>
  <c r="AJ230" i="65"/>
  <c r="AI231" i="65"/>
  <c r="C439" i="74"/>
  <c r="C442" i="74" s="1"/>
  <c r="D446" i="74" s="1"/>
  <c r="G353" i="74"/>
  <c r="C505" i="74"/>
  <c r="C508" i="74" s="1"/>
  <c r="D512" i="74" s="1"/>
  <c r="M347" i="74"/>
  <c r="O32" i="10"/>
  <c r="H29" i="25" s="1"/>
  <c r="C472" i="74"/>
  <c r="C475" i="74" s="1"/>
  <c r="D479" i="74" s="1"/>
  <c r="M341" i="74"/>
  <c r="S15" i="65"/>
  <c r="T40" i="65"/>
  <c r="E61" i="69"/>
  <c r="D62" i="69" s="1"/>
  <c r="E485" i="77" s="1"/>
  <c r="G487" i="77" s="1"/>
  <c r="U17" i="65"/>
  <c r="V18" i="65"/>
  <c r="V19" i="65"/>
  <c r="T30" i="65"/>
  <c r="U31" i="65"/>
  <c r="U32" i="65"/>
  <c r="U33" i="65"/>
  <c r="Q34" i="65"/>
  <c r="N36" i="65"/>
  <c r="T39" i="65"/>
  <c r="R49" i="65"/>
  <c r="AD203" i="65"/>
  <c r="AU203" i="65"/>
  <c r="AU220" i="65" s="1"/>
  <c r="AN204" i="65"/>
  <c r="AH207" i="65"/>
  <c r="AU207" i="65"/>
  <c r="AD208" i="65"/>
  <c r="AG210" i="65"/>
  <c r="AH211" i="65"/>
  <c r="AT211" i="65"/>
  <c r="AI212" i="65"/>
  <c r="AU212" i="65"/>
  <c r="AJ213" i="65"/>
  <c r="AV213" i="65"/>
  <c r="AK214" i="65"/>
  <c r="AC220" i="65"/>
  <c r="AL221" i="65"/>
  <c r="AF228" i="65"/>
  <c r="AE229" i="65"/>
  <c r="AC230" i="65"/>
  <c r="R133" i="85"/>
  <c r="C516" i="74"/>
  <c r="C519" i="74" s="1"/>
  <c r="D523" i="74" s="1"/>
  <c r="M349" i="74"/>
  <c r="S24" i="9"/>
  <c r="R33" i="9"/>
  <c r="E142" i="73"/>
  <c r="F134" i="85"/>
  <c r="H189" i="85"/>
  <c r="F185" i="85"/>
  <c r="H185" i="85"/>
  <c r="F481" i="73"/>
  <c r="G300" i="73"/>
  <c r="M54" i="80"/>
  <c r="O39" i="10"/>
  <c r="H36" i="25" s="1"/>
  <c r="E156" i="8"/>
  <c r="C33" i="10"/>
  <c r="D159" i="8"/>
  <c r="O149" i="83"/>
  <c r="S177" i="8"/>
  <c r="E6" i="8"/>
  <c r="F6" i="8" s="1"/>
  <c r="D10" i="8"/>
  <c r="D58" i="8" s="1"/>
  <c r="D91" i="8" s="1"/>
  <c r="D115" i="8" s="1"/>
  <c r="L642" i="74"/>
  <c r="L644" i="74" s="1"/>
  <c r="K184" i="8" s="1"/>
  <c r="E290" i="74"/>
  <c r="M290" i="74"/>
  <c r="D726" i="74"/>
  <c r="D728" i="74"/>
  <c r="D730" i="74"/>
  <c r="D732" i="74"/>
  <c r="D734" i="74"/>
  <c r="N642" i="74"/>
  <c r="N644" i="74" s="1"/>
  <c r="M184" i="8" s="1"/>
  <c r="D739" i="74"/>
  <c r="D743" i="74"/>
  <c r="D747" i="74"/>
  <c r="D751" i="74"/>
  <c r="H369" i="74"/>
  <c r="E402" i="74"/>
  <c r="I369" i="74"/>
  <c r="G642" i="74"/>
  <c r="G644" i="74" s="1"/>
  <c r="F184" i="8" s="1"/>
  <c r="O642" i="74"/>
  <c r="O644" i="74" s="1"/>
  <c r="N184" i="8" s="1"/>
  <c r="L290" i="74"/>
  <c r="E534" i="74"/>
  <c r="D741" i="74"/>
  <c r="D749" i="74"/>
  <c r="D753" i="74"/>
  <c r="D725" i="74"/>
  <c r="D733" i="74"/>
  <c r="I290" i="74"/>
  <c r="D731" i="74"/>
  <c r="D736" i="74"/>
  <c r="M642" i="74"/>
  <c r="M644" i="74" s="1"/>
  <c r="L184" i="8" s="1"/>
  <c r="D738" i="74"/>
  <c r="D740" i="74"/>
  <c r="D742" i="74"/>
  <c r="D744" i="74"/>
  <c r="D746" i="74"/>
  <c r="D748" i="74"/>
  <c r="D750" i="74"/>
  <c r="D752" i="74"/>
  <c r="E184" i="8"/>
  <c r="D14" i="10"/>
  <c r="L14" i="10"/>
  <c r="E14" i="10"/>
  <c r="M14" i="10"/>
  <c r="F14" i="10"/>
  <c r="G184" i="8"/>
  <c r="N14" i="10"/>
  <c r="O184" i="8"/>
  <c r="G14" i="10"/>
  <c r="H184" i="8"/>
  <c r="I292" i="74"/>
  <c r="G13" i="10" s="1"/>
  <c r="J14" i="10"/>
  <c r="H14" i="10"/>
  <c r="I184" i="8"/>
  <c r="D737" i="74"/>
  <c r="G290" i="74"/>
  <c r="J322" i="74"/>
  <c r="J292" i="74" s="1"/>
  <c r="D745" i="74"/>
  <c r="D518" i="40"/>
  <c r="N524" i="40"/>
  <c r="C531" i="40"/>
  <c r="M537" i="40"/>
  <c r="E296" i="74"/>
  <c r="E298" i="74"/>
  <c r="E300" i="74"/>
  <c r="E302" i="74"/>
  <c r="E304" i="74"/>
  <c r="L322" i="74"/>
  <c r="G424" i="74"/>
  <c r="G512" i="74"/>
  <c r="K642" i="74"/>
  <c r="K644" i="74" s="1"/>
  <c r="F292" i="74"/>
  <c r="M322" i="74"/>
  <c r="M292" i="74" s="1"/>
  <c r="K13" i="10" s="1"/>
  <c r="G329" i="74"/>
  <c r="Q19" i="74"/>
  <c r="Q109" i="74"/>
  <c r="N322" i="74"/>
  <c r="E642" i="74"/>
  <c r="E644" i="74" s="1"/>
  <c r="Q666" i="74"/>
  <c r="D729" i="74"/>
  <c r="Q79" i="74"/>
  <c r="L295" i="74"/>
  <c r="L303" i="74"/>
  <c r="G322" i="74"/>
  <c r="O322" i="74"/>
  <c r="D727" i="74"/>
  <c r="D735" i="74"/>
  <c r="C515" i="40"/>
  <c r="M521" i="40"/>
  <c r="D534" i="40"/>
  <c r="H322" i="74"/>
  <c r="H292" i="74" s="1"/>
  <c r="G556" i="74"/>
  <c r="O8" i="10"/>
  <c r="D724" i="74"/>
  <c r="K292" i="74"/>
  <c r="C163" i="74"/>
  <c r="C165" i="74" s="1"/>
  <c r="C362" i="74"/>
  <c r="C365" i="74" s="1"/>
  <c r="D369" i="74" s="1"/>
  <c r="H546" i="40"/>
  <c r="R290" i="74"/>
  <c r="S290" i="74"/>
  <c r="H530" i="40"/>
  <c r="I533" i="40"/>
  <c r="E521" i="40"/>
  <c r="F524" i="40"/>
  <c r="G527" i="40"/>
  <c r="E537" i="40"/>
  <c r="F540" i="40"/>
  <c r="G543" i="40"/>
  <c r="K515" i="40"/>
  <c r="L518" i="40"/>
  <c r="J528" i="40"/>
  <c r="K531" i="40"/>
  <c r="L534" i="40"/>
  <c r="J544" i="40"/>
  <c r="H522" i="40"/>
  <c r="I525" i="40"/>
  <c r="H538" i="40"/>
  <c r="I541" i="40"/>
  <c r="F516" i="40"/>
  <c r="G519" i="40"/>
  <c r="E529" i="40"/>
  <c r="F532" i="40"/>
  <c r="G535" i="40"/>
  <c r="E545" i="40"/>
  <c r="N516" i="40"/>
  <c r="C523" i="40"/>
  <c r="D526" i="40"/>
  <c r="M529" i="40"/>
  <c r="N532" i="40"/>
  <c r="C539" i="40"/>
  <c r="D542" i="40"/>
  <c r="M545" i="40"/>
  <c r="J520" i="40"/>
  <c r="K523" i="40"/>
  <c r="L526" i="40"/>
  <c r="J536" i="40"/>
  <c r="K539" i="40"/>
  <c r="L542" i="40"/>
  <c r="I517" i="40"/>
  <c r="N546" i="40"/>
  <c r="G516" i="40"/>
  <c r="I522" i="40"/>
  <c r="H527" i="40"/>
  <c r="D531" i="40"/>
  <c r="C536" i="40"/>
  <c r="L539" i="40"/>
  <c r="M542" i="40"/>
  <c r="J515" i="40"/>
  <c r="E516" i="40"/>
  <c r="M516" i="40"/>
  <c r="H517" i="40"/>
  <c r="C518" i="40"/>
  <c r="K518" i="40"/>
  <c r="F519" i="40"/>
  <c r="N519" i="40"/>
  <c r="I520" i="40"/>
  <c r="D521" i="40"/>
  <c r="L521" i="40"/>
  <c r="G522" i="40"/>
  <c r="J523" i="40"/>
  <c r="E524" i="40"/>
  <c r="M524" i="40"/>
  <c r="H525" i="40"/>
  <c r="C526" i="40"/>
  <c r="K526" i="40"/>
  <c r="F527" i="40"/>
  <c r="N527" i="40"/>
  <c r="I528" i="40"/>
  <c r="D529" i="40"/>
  <c r="L529" i="40"/>
  <c r="G530" i="40"/>
  <c r="J531" i="40"/>
  <c r="E532" i="40"/>
  <c r="M532" i="40"/>
  <c r="H533" i="40"/>
  <c r="C534" i="40"/>
  <c r="K534" i="40"/>
  <c r="F535" i="40"/>
  <c r="N535" i="40"/>
  <c r="I536" i="40"/>
  <c r="D537" i="40"/>
  <c r="L537" i="40"/>
  <c r="G538" i="40"/>
  <c r="J539" i="40"/>
  <c r="E540" i="40"/>
  <c r="M540" i="40"/>
  <c r="H541" i="40"/>
  <c r="C542" i="40"/>
  <c r="K542" i="40"/>
  <c r="F543" i="40"/>
  <c r="N543" i="40"/>
  <c r="I544" i="40"/>
  <c r="D545" i="40"/>
  <c r="L545" i="40"/>
  <c r="G546" i="40"/>
  <c r="L515" i="40"/>
  <c r="C520" i="40"/>
  <c r="G524" i="40"/>
  <c r="F529" i="40"/>
  <c r="E534" i="40"/>
  <c r="I538" i="40"/>
  <c r="I546" i="40"/>
  <c r="E518" i="40"/>
  <c r="N521" i="40"/>
  <c r="E526" i="40"/>
  <c r="I530" i="40"/>
  <c r="H535" i="40"/>
  <c r="G540" i="40"/>
  <c r="C544" i="40"/>
  <c r="E515" i="40"/>
  <c r="M515" i="40"/>
  <c r="H516" i="40"/>
  <c r="C517" i="40"/>
  <c r="K517" i="40"/>
  <c r="F518" i="40"/>
  <c r="N518" i="40"/>
  <c r="I519" i="40"/>
  <c r="D520" i="40"/>
  <c r="L520" i="40"/>
  <c r="G521" i="40"/>
  <c r="J522" i="40"/>
  <c r="E523" i="40"/>
  <c r="M523" i="40"/>
  <c r="H524" i="40"/>
  <c r="C525" i="40"/>
  <c r="K525" i="40"/>
  <c r="F526" i="40"/>
  <c r="N526" i="40"/>
  <c r="I527" i="40"/>
  <c r="D528" i="40"/>
  <c r="L528" i="40"/>
  <c r="G529" i="40"/>
  <c r="J530" i="40"/>
  <c r="E531" i="40"/>
  <c r="M531" i="40"/>
  <c r="H532" i="40"/>
  <c r="C533" i="40"/>
  <c r="K533" i="40"/>
  <c r="F534" i="40"/>
  <c r="N534" i="40"/>
  <c r="I535" i="40"/>
  <c r="D536" i="40"/>
  <c r="L536" i="40"/>
  <c r="G537" i="40"/>
  <c r="J538" i="40"/>
  <c r="E539" i="40"/>
  <c r="M539" i="40"/>
  <c r="H540" i="40"/>
  <c r="C541" i="40"/>
  <c r="K541" i="40"/>
  <c r="F542" i="40"/>
  <c r="N542" i="40"/>
  <c r="I543" i="40"/>
  <c r="D544" i="40"/>
  <c r="L544" i="40"/>
  <c r="G545" i="40"/>
  <c r="J546" i="40"/>
  <c r="M518" i="40"/>
  <c r="D523" i="40"/>
  <c r="C528" i="40"/>
  <c r="G532" i="40"/>
  <c r="F537" i="40"/>
  <c r="E542" i="40"/>
  <c r="K544" i="40"/>
  <c r="F515" i="40"/>
  <c r="N515" i="40"/>
  <c r="I516" i="40"/>
  <c r="D517" i="40"/>
  <c r="L517" i="40"/>
  <c r="G518" i="40"/>
  <c r="J519" i="40"/>
  <c r="E520" i="40"/>
  <c r="M520" i="40"/>
  <c r="H521" i="40"/>
  <c r="C522" i="40"/>
  <c r="K522" i="40"/>
  <c r="F523" i="40"/>
  <c r="N523" i="40"/>
  <c r="I524" i="40"/>
  <c r="D525" i="40"/>
  <c r="L525" i="40"/>
  <c r="G526" i="40"/>
  <c r="J527" i="40"/>
  <c r="E528" i="40"/>
  <c r="M528" i="40"/>
  <c r="H529" i="40"/>
  <c r="C530" i="40"/>
  <c r="K530" i="40"/>
  <c r="F531" i="40"/>
  <c r="N531" i="40"/>
  <c r="I532" i="40"/>
  <c r="D533" i="40"/>
  <c r="L533" i="40"/>
  <c r="G534" i="40"/>
  <c r="J535" i="40"/>
  <c r="E536" i="40"/>
  <c r="M536" i="40"/>
  <c r="H537" i="40"/>
  <c r="C538" i="40"/>
  <c r="K538" i="40"/>
  <c r="F539" i="40"/>
  <c r="N539" i="40"/>
  <c r="I540" i="40"/>
  <c r="D541" i="40"/>
  <c r="L541" i="40"/>
  <c r="G542" i="40"/>
  <c r="J543" i="40"/>
  <c r="E544" i="40"/>
  <c r="M544" i="40"/>
  <c r="H545" i="40"/>
  <c r="C546" i="40"/>
  <c r="K546" i="40"/>
  <c r="D515" i="40"/>
  <c r="K520" i="40"/>
  <c r="J525" i="40"/>
  <c r="N529" i="40"/>
  <c r="M534" i="40"/>
  <c r="D539" i="40"/>
  <c r="N545" i="40"/>
  <c r="G515" i="40"/>
  <c r="J516" i="40"/>
  <c r="E517" i="40"/>
  <c r="M517" i="40"/>
  <c r="H518" i="40"/>
  <c r="C519" i="40"/>
  <c r="K519" i="40"/>
  <c r="F520" i="40"/>
  <c r="N520" i="40"/>
  <c r="I521" i="40"/>
  <c r="D522" i="40"/>
  <c r="L522" i="40"/>
  <c r="G523" i="40"/>
  <c r="J524" i="40"/>
  <c r="E525" i="40"/>
  <c r="M525" i="40"/>
  <c r="H526" i="40"/>
  <c r="C527" i="40"/>
  <c r="K527" i="40"/>
  <c r="F528" i="40"/>
  <c r="N528" i="40"/>
  <c r="I529" i="40"/>
  <c r="D530" i="40"/>
  <c r="L530" i="40"/>
  <c r="G531" i="40"/>
  <c r="J532" i="40"/>
  <c r="E533" i="40"/>
  <c r="M533" i="40"/>
  <c r="H534" i="40"/>
  <c r="C535" i="40"/>
  <c r="K535" i="40"/>
  <c r="F536" i="40"/>
  <c r="N536" i="40"/>
  <c r="I537" i="40"/>
  <c r="D538" i="40"/>
  <c r="L538" i="40"/>
  <c r="G539" i="40"/>
  <c r="J540" i="40"/>
  <c r="E541" i="40"/>
  <c r="M541" i="40"/>
  <c r="H542" i="40"/>
  <c r="C543" i="40"/>
  <c r="K543" i="40"/>
  <c r="F544" i="40"/>
  <c r="N544" i="40"/>
  <c r="I545" i="40"/>
  <c r="D546" i="40"/>
  <c r="L546" i="40"/>
  <c r="J517" i="40"/>
  <c r="F521" i="40"/>
  <c r="M526" i="40"/>
  <c r="L531" i="40"/>
  <c r="N537" i="40"/>
  <c r="F545" i="40"/>
  <c r="H515" i="40"/>
  <c r="C516" i="40"/>
  <c r="K516" i="40"/>
  <c r="F517" i="40"/>
  <c r="N517" i="40"/>
  <c r="I518" i="40"/>
  <c r="D519" i="40"/>
  <c r="L519" i="40"/>
  <c r="G520" i="40"/>
  <c r="J521" i="40"/>
  <c r="E522" i="40"/>
  <c r="M522" i="40"/>
  <c r="H523" i="40"/>
  <c r="C524" i="40"/>
  <c r="K524" i="40"/>
  <c r="F525" i="40"/>
  <c r="N525" i="40"/>
  <c r="I526" i="40"/>
  <c r="D527" i="40"/>
  <c r="L527" i="40"/>
  <c r="G528" i="40"/>
  <c r="J529" i="40"/>
  <c r="E530" i="40"/>
  <c r="M530" i="40"/>
  <c r="H531" i="40"/>
  <c r="C532" i="40"/>
  <c r="K532" i="40"/>
  <c r="F533" i="40"/>
  <c r="N533" i="40"/>
  <c r="I534" i="40"/>
  <c r="D535" i="40"/>
  <c r="L535" i="40"/>
  <c r="G536" i="40"/>
  <c r="J537" i="40"/>
  <c r="E538" i="40"/>
  <c r="M538" i="40"/>
  <c r="H539" i="40"/>
  <c r="C540" i="40"/>
  <c r="K540" i="40"/>
  <c r="F541" i="40"/>
  <c r="N541" i="40"/>
  <c r="I542" i="40"/>
  <c r="D543" i="40"/>
  <c r="L543" i="40"/>
  <c r="G544" i="40"/>
  <c r="J545" i="40"/>
  <c r="E546" i="40"/>
  <c r="M546" i="40"/>
  <c r="H519" i="40"/>
  <c r="L523" i="40"/>
  <c r="K528" i="40"/>
  <c r="J533" i="40"/>
  <c r="K536" i="40"/>
  <c r="J541" i="40"/>
  <c r="H543" i="40"/>
  <c r="I515" i="40"/>
  <c r="D516" i="40"/>
  <c r="L516" i="40"/>
  <c r="G517" i="40"/>
  <c r="J518" i="40"/>
  <c r="E519" i="40"/>
  <c r="M519" i="40"/>
  <c r="H520" i="40"/>
  <c r="C521" i="40"/>
  <c r="K521" i="40"/>
  <c r="F522" i="40"/>
  <c r="N522" i="40"/>
  <c r="I523" i="40"/>
  <c r="D524" i="40"/>
  <c r="L524" i="40"/>
  <c r="G525" i="40"/>
  <c r="J526" i="40"/>
  <c r="E527" i="40"/>
  <c r="M527" i="40"/>
  <c r="H528" i="40"/>
  <c r="C529" i="40"/>
  <c r="K529" i="40"/>
  <c r="F530" i="40"/>
  <c r="N530" i="40"/>
  <c r="I531" i="40"/>
  <c r="D532" i="40"/>
  <c r="L532" i="40"/>
  <c r="G533" i="40"/>
  <c r="J534" i="40"/>
  <c r="E535" i="40"/>
  <c r="M535" i="40"/>
  <c r="H536" i="40"/>
  <c r="C537" i="40"/>
  <c r="K537" i="40"/>
  <c r="F538" i="40"/>
  <c r="N538" i="40"/>
  <c r="I539" i="40"/>
  <c r="D540" i="40"/>
  <c r="L540" i="40"/>
  <c r="G541" i="40"/>
  <c r="J542" i="40"/>
  <c r="E543" i="40"/>
  <c r="M543" i="40"/>
  <c r="H544" i="40"/>
  <c r="C545" i="40"/>
  <c r="K545" i="40"/>
  <c r="F546" i="40"/>
  <c r="F418" i="73"/>
  <c r="D700" i="79"/>
  <c r="AC59" i="79"/>
  <c r="AD59" i="79" s="1"/>
  <c r="AC116" i="79"/>
  <c r="AD116" i="79" s="1"/>
  <c r="F599" i="79"/>
  <c r="G599" i="79" s="1"/>
  <c r="AC52" i="79"/>
  <c r="AD52" i="79" s="1"/>
  <c r="F70" i="79"/>
  <c r="G70" i="79" s="1"/>
  <c r="AC182" i="79"/>
  <c r="AD182" i="79" s="1"/>
  <c r="D168" i="79"/>
  <c r="AA141" i="79"/>
  <c r="AA52" i="79"/>
  <c r="AA59" i="79"/>
  <c r="D70" i="79"/>
  <c r="AA116" i="79"/>
  <c r="AA182" i="79"/>
  <c r="F551" i="79"/>
  <c r="G551" i="79" s="1"/>
  <c r="F559" i="79"/>
  <c r="G559" i="79" s="1"/>
  <c r="F564" i="79"/>
  <c r="G564" i="79" s="1"/>
  <c r="D599" i="79"/>
  <c r="F668" i="79"/>
  <c r="AC157" i="79"/>
  <c r="AD157" i="79" s="1"/>
  <c r="D110" i="79"/>
  <c r="D175" i="79"/>
  <c r="AA197" i="79"/>
  <c r="D618" i="79"/>
  <c r="D623" i="79"/>
  <c r="D86" i="79"/>
  <c r="D93" i="79"/>
  <c r="F110" i="79"/>
  <c r="G110" i="79" s="1"/>
  <c r="D127" i="79"/>
  <c r="D134" i="79"/>
  <c r="AA168" i="79"/>
  <c r="F175" i="79"/>
  <c r="G175" i="79" s="1"/>
  <c r="F198" i="79"/>
  <c r="G198" i="79" s="1"/>
  <c r="D594" i="79"/>
  <c r="D602" i="79"/>
  <c r="F618" i="79"/>
  <c r="G618" i="79" s="1"/>
  <c r="F623" i="79"/>
  <c r="G623" i="79" s="1"/>
  <c r="D69" i="79"/>
  <c r="F93" i="79"/>
  <c r="G93" i="79" s="1"/>
  <c r="D100" i="79"/>
  <c r="AA110" i="79"/>
  <c r="F134" i="79"/>
  <c r="G134" i="79" s="1"/>
  <c r="AA135" i="79"/>
  <c r="D141" i="79"/>
  <c r="D151" i="79"/>
  <c r="D192" i="79"/>
  <c r="F594" i="79"/>
  <c r="G594" i="79" s="1"/>
  <c r="F602" i="79"/>
  <c r="G602" i="79" s="1"/>
  <c r="D607" i="79"/>
  <c r="D45" i="79"/>
  <c r="D52" i="79"/>
  <c r="F69" i="79"/>
  <c r="G69" i="79" s="1"/>
  <c r="AA86" i="79"/>
  <c r="F100" i="79"/>
  <c r="G100" i="79" s="1"/>
  <c r="AC110" i="79"/>
  <c r="AD110" i="79" s="1"/>
  <c r="AA127" i="79"/>
  <c r="AC135" i="79"/>
  <c r="AD135" i="79" s="1"/>
  <c r="F141" i="79"/>
  <c r="G141" i="79" s="1"/>
  <c r="F151" i="79"/>
  <c r="G151" i="79" s="1"/>
  <c r="AA175" i="79"/>
  <c r="F192" i="79"/>
  <c r="G192" i="79" s="1"/>
  <c r="D556" i="79"/>
  <c r="D580" i="79"/>
  <c r="F607" i="79"/>
  <c r="G607" i="79" s="1"/>
  <c r="D59" i="79"/>
  <c r="AA69" i="79"/>
  <c r="AA93" i="79"/>
  <c r="AA100" i="79"/>
  <c r="D111" i="79"/>
  <c r="AA151" i="79"/>
  <c r="AC175" i="79"/>
  <c r="AD175" i="79" s="1"/>
  <c r="D182" i="79"/>
  <c r="AA192" i="79"/>
  <c r="F556" i="79"/>
  <c r="G556" i="79" s="1"/>
  <c r="F580" i="79"/>
  <c r="G580" i="79" s="1"/>
  <c r="AC141" i="79"/>
  <c r="AD141" i="79" s="1"/>
  <c r="F705" i="79"/>
  <c r="G705" i="79" s="1"/>
  <c r="AA45" i="79"/>
  <c r="F59" i="79"/>
  <c r="G59" i="79" s="1"/>
  <c r="AC69" i="79"/>
  <c r="AD69" i="79" s="1"/>
  <c r="AC93" i="79"/>
  <c r="AD93" i="79" s="1"/>
  <c r="AC100" i="79"/>
  <c r="AD100" i="79" s="1"/>
  <c r="F111" i="79"/>
  <c r="G111" i="79" s="1"/>
  <c r="AC151" i="79"/>
  <c r="AD151" i="79" s="1"/>
  <c r="AA169" i="79"/>
  <c r="F182" i="79"/>
  <c r="G182" i="79" s="1"/>
  <c r="AC192" i="79"/>
  <c r="AD192" i="79" s="1"/>
  <c r="D551" i="79"/>
  <c r="D559" i="79"/>
  <c r="D564" i="79"/>
  <c r="D207" i="64"/>
  <c r="D250" i="64" s="1"/>
  <c r="CN1194" i="64"/>
  <c r="B195" i="40"/>
  <c r="H75" i="64"/>
  <c r="H83" i="64"/>
  <c r="G475" i="64"/>
  <c r="H482" i="73"/>
  <c r="G185" i="85"/>
  <c r="P1198" i="79"/>
  <c r="P1268" i="79" s="1"/>
  <c r="R1198" i="79"/>
  <c r="R1268" i="79" s="1"/>
  <c r="O1198" i="79"/>
  <c r="O1268" i="79" s="1"/>
  <c r="Q1198" i="79"/>
  <c r="Q1268" i="79" s="1"/>
  <c r="I1198" i="79"/>
  <c r="I1268" i="79" s="1"/>
  <c r="J1198" i="79"/>
  <c r="J1268" i="79" s="1"/>
  <c r="K1198" i="79"/>
  <c r="K1268" i="79" s="1"/>
  <c r="S1198" i="79"/>
  <c r="S1268" i="79" s="1"/>
  <c r="L1198" i="79"/>
  <c r="L1268" i="79" s="1"/>
  <c r="T1198" i="79"/>
  <c r="T1268" i="79" s="1"/>
  <c r="M1198" i="79"/>
  <c r="M1268" i="79" s="1"/>
  <c r="N1198" i="79"/>
  <c r="N1268" i="79" s="1"/>
  <c r="H483" i="73"/>
  <c r="B1270" i="79"/>
  <c r="M1200" i="79"/>
  <c r="M1270" i="79" s="1"/>
  <c r="I1200" i="79"/>
  <c r="L1200" i="79"/>
  <c r="T1200" i="79"/>
  <c r="N1200" i="79"/>
  <c r="N1270" i="79" s="1"/>
  <c r="O1200" i="79"/>
  <c r="P1200" i="79"/>
  <c r="P1270" i="79" s="1"/>
  <c r="Q1200" i="79"/>
  <c r="J1200" i="79"/>
  <c r="J1270" i="79" s="1"/>
  <c r="R1200" i="79"/>
  <c r="K1200" i="79"/>
  <c r="K1270" i="79" s="1"/>
  <c r="S1200" i="79"/>
  <c r="E183" i="8"/>
  <c r="D13" i="10"/>
  <c r="I13" i="10"/>
  <c r="J183" i="8"/>
  <c r="P292" i="74"/>
  <c r="N13" i="10" s="1"/>
  <c r="N292" i="74"/>
  <c r="L13" i="10" s="1"/>
  <c r="D727" i="79"/>
  <c r="AA152" i="79"/>
  <c r="D197" i="79"/>
  <c r="AC197" i="79"/>
  <c r="AD197" i="79" s="1"/>
  <c r="AA198" i="79"/>
  <c r="F552" i="79"/>
  <c r="G552" i="79" s="1"/>
  <c r="D595" i="79"/>
  <c r="F727" i="79"/>
  <c r="G727" i="79" s="1"/>
  <c r="AC152" i="79"/>
  <c r="AD152" i="79" s="1"/>
  <c r="D193" i="79"/>
  <c r="F197" i="79"/>
  <c r="G197" i="79" s="1"/>
  <c r="D198" i="79"/>
  <c r="AC198" i="79"/>
  <c r="AD198" i="79" s="1"/>
  <c r="F595" i="79"/>
  <c r="G595" i="79" s="1"/>
  <c r="D668" i="79"/>
  <c r="D705" i="79"/>
  <c r="G668" i="79"/>
  <c r="F869" i="64"/>
  <c r="F876" i="64"/>
  <c r="F872" i="64"/>
  <c r="F871" i="64"/>
  <c r="F873" i="64"/>
  <c r="F874" i="64"/>
  <c r="F870" i="64"/>
  <c r="D261" i="64"/>
  <c r="D277" i="64" s="1"/>
  <c r="D178" i="64"/>
  <c r="D221" i="64" s="1"/>
  <c r="H508" i="64"/>
  <c r="B196" i="40"/>
  <c r="B204" i="40"/>
  <c r="BG8" i="65"/>
  <c r="D196" i="64"/>
  <c r="D239" i="64" s="1"/>
  <c r="H357" i="64"/>
  <c r="G428" i="64"/>
  <c r="F805" i="64"/>
  <c r="F803" i="64"/>
  <c r="F801" i="64"/>
  <c r="F798" i="64"/>
  <c r="F800" i="64"/>
  <c r="F799" i="64"/>
  <c r="F802" i="64"/>
  <c r="D203" i="64"/>
  <c r="D246" i="64" s="1"/>
  <c r="J357" i="64"/>
  <c r="B163" i="69"/>
  <c r="D206" i="64"/>
  <c r="D249" i="64" s="1"/>
  <c r="P365" i="64"/>
  <c r="L508" i="64"/>
  <c r="D174" i="64"/>
  <c r="D217" i="64" s="1"/>
  <c r="D182" i="64"/>
  <c r="D225" i="64" s="1"/>
  <c r="D198" i="64"/>
  <c r="P198" i="64" s="1"/>
  <c r="M324" i="64"/>
  <c r="M357" i="64"/>
  <c r="H517" i="64"/>
  <c r="F519" i="64"/>
  <c r="J558" i="64"/>
  <c r="D175" i="64"/>
  <c r="D218" i="64" s="1"/>
  <c r="D189" i="64"/>
  <c r="D232" i="64" s="1"/>
  <c r="Q324" i="64"/>
  <c r="K376" i="64"/>
  <c r="F508" i="64"/>
  <c r="Q517" i="64"/>
  <c r="L519" i="64"/>
  <c r="Q558" i="64"/>
  <c r="I584" i="64"/>
  <c r="Q343" i="64"/>
  <c r="H91" i="64"/>
  <c r="H525" i="64"/>
  <c r="I374" i="64"/>
  <c r="G343" i="64"/>
  <c r="B153" i="69"/>
  <c r="B157" i="69"/>
  <c r="D190" i="64"/>
  <c r="D233" i="64" s="1"/>
  <c r="H343" i="64"/>
  <c r="J344" i="64"/>
  <c r="U348" i="64"/>
  <c r="Y348" i="64" s="1"/>
  <c r="H364" i="64"/>
  <c r="G366" i="64"/>
  <c r="O368" i="64"/>
  <c r="K516" i="64"/>
  <c r="H529" i="64"/>
  <c r="B201" i="40"/>
  <c r="D180" i="64"/>
  <c r="D223" i="64" s="1"/>
  <c r="D191" i="64"/>
  <c r="D234" i="64" s="1"/>
  <c r="D210" i="64"/>
  <c r="D253" i="64" s="1"/>
  <c r="K343" i="64"/>
  <c r="M366" i="64"/>
  <c r="O524" i="64"/>
  <c r="P547" i="64"/>
  <c r="P185" i="8"/>
  <c r="O18" i="80"/>
  <c r="O74" i="83" s="1"/>
  <c r="O16" i="10"/>
  <c r="H9" i="25" s="1"/>
  <c r="I1185" i="79"/>
  <c r="I1255" i="79" s="1"/>
  <c r="O308" i="74"/>
  <c r="O292" i="74" s="1"/>
  <c r="M13" i="10" s="1"/>
  <c r="N290" i="74"/>
  <c r="P62" i="9"/>
  <c r="E135" i="8"/>
  <c r="D29" i="10" s="1"/>
  <c r="C30" i="80"/>
  <c r="F78" i="85"/>
  <c r="H451" i="64"/>
  <c r="E952" i="64"/>
  <c r="E916" i="64"/>
  <c r="G467" i="64"/>
  <c r="G435" i="64"/>
  <c r="G443" i="64"/>
  <c r="I20" i="69"/>
  <c r="G454" i="73"/>
  <c r="K454" i="73"/>
  <c r="O454" i="73"/>
  <c r="L454" i="73"/>
  <c r="I454" i="73"/>
  <c r="M454" i="73"/>
  <c r="N454" i="73"/>
  <c r="H454" i="73"/>
  <c r="P454" i="73"/>
  <c r="J454" i="73"/>
  <c r="F454" i="73"/>
  <c r="I418" i="73"/>
  <c r="C72" i="69"/>
  <c r="C73" i="69"/>
  <c r="K35" i="73"/>
  <c r="K14" i="85" s="1"/>
  <c r="Q24" i="73"/>
  <c r="H40" i="73"/>
  <c r="H480" i="73"/>
  <c r="G161" i="85"/>
  <c r="E65" i="8" s="1"/>
  <c r="R218" i="73"/>
  <c r="F161" i="85"/>
  <c r="D65" i="8" s="1"/>
  <c r="R22" i="73"/>
  <c r="R23" i="73"/>
  <c r="J24" i="73"/>
  <c r="N24" i="73"/>
  <c r="I24" i="73"/>
  <c r="O38" i="74"/>
  <c r="O20" i="74"/>
  <c r="P51" i="74" s="1"/>
  <c r="H19" i="73"/>
  <c r="L19" i="73"/>
  <c r="L83" i="73" s="1"/>
  <c r="L84" i="73" s="1"/>
  <c r="P19" i="73"/>
  <c r="M24" i="73"/>
  <c r="P38" i="74"/>
  <c r="P20" i="74"/>
  <c r="R20" i="74" s="1"/>
  <c r="T20" i="74" s="1"/>
  <c r="H473" i="73"/>
  <c r="R32" i="74"/>
  <c r="BU202" i="65"/>
  <c r="BU208" i="65" s="1"/>
  <c r="BU8" i="65"/>
  <c r="BU219" i="65" s="1"/>
  <c r="CI8" i="65"/>
  <c r="CI14" i="65" s="1"/>
  <c r="BG202" i="65"/>
  <c r="BG209" i="65" s="1"/>
  <c r="E198" i="73"/>
  <c r="H481" i="73"/>
  <c r="Q476" i="73"/>
  <c r="P145" i="8"/>
  <c r="O31" i="10" s="1"/>
  <c r="H19" i="25" s="1"/>
  <c r="O33" i="80"/>
  <c r="O39" i="80"/>
  <c r="O40" i="80"/>
  <c r="O42" i="80"/>
  <c r="R48" i="9"/>
  <c r="I44" i="61"/>
  <c r="C249" i="85"/>
  <c r="R24" i="85"/>
  <c r="R41" i="85"/>
  <c r="R50" i="85"/>
  <c r="R68" i="85"/>
  <c r="R77" i="85"/>
  <c r="F186" i="85"/>
  <c r="G186" i="85" s="1"/>
  <c r="E102" i="85"/>
  <c r="R106" i="85"/>
  <c r="K93" i="73"/>
  <c r="R17" i="73"/>
  <c r="I19" i="73"/>
  <c r="M19" i="73"/>
  <c r="M26" i="73" s="1"/>
  <c r="Q19" i="73"/>
  <c r="F24" i="73"/>
  <c r="H91" i="73"/>
  <c r="H93" i="73" s="1"/>
  <c r="L91" i="73"/>
  <c r="P91" i="73"/>
  <c r="G479" i="73"/>
  <c r="H479" i="73" s="1"/>
  <c r="G312" i="73"/>
  <c r="G313" i="73" s="1"/>
  <c r="K312" i="73"/>
  <c r="K313" i="73" s="1"/>
  <c r="O312" i="73"/>
  <c r="O313" i="73" s="1"/>
  <c r="F376" i="73"/>
  <c r="E31" i="74" s="1"/>
  <c r="I51" i="74"/>
  <c r="N62" i="74"/>
  <c r="F19" i="73"/>
  <c r="J19" i="73"/>
  <c r="J315" i="73" s="1"/>
  <c r="N19" i="73"/>
  <c r="G24" i="73"/>
  <c r="K24" i="73"/>
  <c r="O24" i="73"/>
  <c r="N35" i="73"/>
  <c r="N14" i="85" s="1"/>
  <c r="C629" i="73"/>
  <c r="I91" i="73"/>
  <c r="M91" i="73"/>
  <c r="M93" i="73" s="1"/>
  <c r="Q93" i="73"/>
  <c r="H312" i="73"/>
  <c r="H313" i="73" s="1"/>
  <c r="L312" i="73"/>
  <c r="L313" i="73" s="1"/>
  <c r="P312" i="73"/>
  <c r="P313" i="73" s="1"/>
  <c r="G376" i="73"/>
  <c r="F31" i="74" s="1"/>
  <c r="K404" i="73"/>
  <c r="Q12" i="85"/>
  <c r="Q172" i="85" s="1"/>
  <c r="Q179" i="85" s="1"/>
  <c r="M51" i="74"/>
  <c r="G19" i="73"/>
  <c r="K19" i="73"/>
  <c r="O19" i="73"/>
  <c r="H24" i="73"/>
  <c r="L24" i="73"/>
  <c r="P24" i="73"/>
  <c r="O35" i="73"/>
  <c r="O14" i="85" s="1"/>
  <c r="I312" i="73"/>
  <c r="I313" i="73" s="1"/>
  <c r="M312" i="73"/>
  <c r="M313" i="73" s="1"/>
  <c r="Q312" i="73"/>
  <c r="Q313" i="73" s="1"/>
  <c r="Q404" i="73"/>
  <c r="L418" i="73"/>
  <c r="P418" i="73"/>
  <c r="Q474" i="73"/>
  <c r="H35" i="8"/>
  <c r="Q35" i="73"/>
  <c r="Q14" i="85" s="1"/>
  <c r="Q156" i="85" s="1"/>
  <c r="R136" i="73"/>
  <c r="R164" i="73"/>
  <c r="R338" i="73"/>
  <c r="Q475" i="73"/>
  <c r="J62" i="74"/>
  <c r="I24" i="61"/>
  <c r="I35" i="61"/>
  <c r="J51" i="74"/>
  <c r="N51" i="74"/>
  <c r="G62" i="74"/>
  <c r="K62" i="74"/>
  <c r="O62" i="74"/>
  <c r="L35" i="8"/>
  <c r="G51" i="74"/>
  <c r="K51" i="74"/>
  <c r="O51" i="74"/>
  <c r="H62" i="74"/>
  <c r="L62" i="74"/>
  <c r="P62" i="74"/>
  <c r="I36" i="8"/>
  <c r="H51" i="74"/>
  <c r="L51" i="74"/>
  <c r="I62" i="74"/>
  <c r="M62" i="74"/>
  <c r="M36" i="8"/>
  <c r="L55" i="10"/>
  <c r="P18" i="9"/>
  <c r="D109" i="61" s="1"/>
  <c r="P48" i="9"/>
  <c r="C15" i="10"/>
  <c r="O15" i="10" s="1"/>
  <c r="H8" i="25" s="1"/>
  <c r="D55" i="10"/>
  <c r="H55" i="10"/>
  <c r="E5" i="9"/>
  <c r="D7" i="9"/>
  <c r="D22" i="9" s="1"/>
  <c r="D52" i="9" s="1"/>
  <c r="P92" i="9"/>
  <c r="P103" i="9"/>
  <c r="E55" i="10"/>
  <c r="I55" i="10"/>
  <c r="M55" i="10"/>
  <c r="F55" i="10"/>
  <c r="J55" i="10"/>
  <c r="N55" i="10"/>
  <c r="C67" i="80"/>
  <c r="G67" i="80"/>
  <c r="K67" i="80"/>
  <c r="J44" i="10"/>
  <c r="C44" i="10"/>
  <c r="K44" i="10"/>
  <c r="D62" i="80"/>
  <c r="F44" i="10"/>
  <c r="N44" i="10"/>
  <c r="H62" i="80"/>
  <c r="G44" i="10"/>
  <c r="L62" i="80"/>
  <c r="H41" i="10"/>
  <c r="C41" i="10"/>
  <c r="K41" i="10"/>
  <c r="D41" i="10"/>
  <c r="L41" i="10"/>
  <c r="E54" i="80"/>
  <c r="G41" i="10"/>
  <c r="I54" i="80"/>
  <c r="E36" i="8"/>
  <c r="F36" i="8"/>
  <c r="J36" i="8"/>
  <c r="N36" i="8"/>
  <c r="I19" i="61"/>
  <c r="F35" i="8"/>
  <c r="J35" i="8"/>
  <c r="N35" i="8"/>
  <c r="G36" i="8"/>
  <c r="K36" i="8"/>
  <c r="O36" i="8"/>
  <c r="K35" i="8"/>
  <c r="O35" i="8"/>
  <c r="H36" i="8"/>
  <c r="L36" i="8"/>
  <c r="C30" i="10"/>
  <c r="E111" i="8"/>
  <c r="D24" i="10" s="1"/>
  <c r="E137" i="8"/>
  <c r="C29" i="10"/>
  <c r="D30" i="80"/>
  <c r="C31" i="80"/>
  <c r="C24" i="10"/>
  <c r="C135" i="83"/>
  <c r="C167" i="83" s="1"/>
  <c r="D170" i="8"/>
  <c r="C148" i="83" s="1"/>
  <c r="O26" i="10"/>
  <c r="H24" i="25" s="1"/>
  <c r="E31" i="10"/>
  <c r="I31" i="10"/>
  <c r="M31" i="10"/>
  <c r="F32" i="80"/>
  <c r="J32" i="80"/>
  <c r="N32" i="80"/>
  <c r="C136" i="83"/>
  <c r="G136" i="83"/>
  <c r="K136" i="83"/>
  <c r="F31" i="10"/>
  <c r="J31" i="10"/>
  <c r="N31" i="10"/>
  <c r="C32" i="80"/>
  <c r="G32" i="80"/>
  <c r="K32" i="80"/>
  <c r="D136" i="83"/>
  <c r="H136" i="83"/>
  <c r="L136" i="83"/>
  <c r="D32" i="80"/>
  <c r="H32" i="80"/>
  <c r="L32" i="80"/>
  <c r="E136" i="83"/>
  <c r="I136" i="83"/>
  <c r="M136" i="83"/>
  <c r="O36" i="10"/>
  <c r="H33" i="25" s="1"/>
  <c r="O37" i="10"/>
  <c r="H34" i="25" s="1"/>
  <c r="P204" i="8"/>
  <c r="H40" i="25" s="1"/>
  <c r="F54" i="80"/>
  <c r="J54" i="80"/>
  <c r="N54" i="80"/>
  <c r="E62" i="80"/>
  <c r="I62" i="80"/>
  <c r="M62" i="80"/>
  <c r="C38" i="10"/>
  <c r="F156" i="8"/>
  <c r="E33" i="10" s="1"/>
  <c r="C111" i="83"/>
  <c r="C162" i="83" s="1"/>
  <c r="C25" i="80"/>
  <c r="C25" i="10"/>
  <c r="E93" i="8"/>
  <c r="S152" i="8"/>
  <c r="E168" i="8"/>
  <c r="F168" i="8" s="1"/>
  <c r="G168" i="8" s="1"/>
  <c r="H168" i="8" s="1"/>
  <c r="I168" i="8" s="1"/>
  <c r="J168" i="8" s="1"/>
  <c r="K168" i="8" s="1"/>
  <c r="L168" i="8" s="1"/>
  <c r="M168" i="8" s="1"/>
  <c r="N168" i="8" s="1"/>
  <c r="O168" i="8" s="1"/>
  <c r="P158" i="8"/>
  <c r="C144" i="83"/>
  <c r="C37" i="80"/>
  <c r="C34" i="10"/>
  <c r="E112" i="8"/>
  <c r="C38" i="80"/>
  <c r="C35" i="10"/>
  <c r="E162" i="8"/>
  <c r="C79" i="83"/>
  <c r="E161" i="8"/>
  <c r="P167" i="8"/>
  <c r="C23" i="10"/>
  <c r="C24" i="80"/>
  <c r="I9" i="61"/>
  <c r="E110" i="8"/>
  <c r="C23" i="80"/>
  <c r="C374" i="40"/>
  <c r="C147" i="61" s="1"/>
  <c r="S441" i="77"/>
  <c r="C134" i="74" s="1"/>
  <c r="J35" i="73"/>
  <c r="J14" i="85" s="1"/>
  <c r="C74" i="69"/>
  <c r="O93" i="73"/>
  <c r="R37" i="73"/>
  <c r="G93" i="73"/>
  <c r="F39" i="73"/>
  <c r="F76" i="73" s="1"/>
  <c r="F77" i="73" s="1"/>
  <c r="F700" i="79"/>
  <c r="G700" i="79" s="1"/>
  <c r="M2138" i="79"/>
  <c r="T2092" i="79"/>
  <c r="AG986" i="64"/>
  <c r="C986" i="64" s="1"/>
  <c r="C1057" i="64" s="1"/>
  <c r="D74" i="79"/>
  <c r="F74" i="79"/>
  <c r="G74" i="79" s="1"/>
  <c r="AA74" i="79"/>
  <c r="AC74" i="79"/>
  <c r="AD74" i="79" s="1"/>
  <c r="D75" i="79"/>
  <c r="F75" i="79"/>
  <c r="G75" i="79" s="1"/>
  <c r="AA75" i="79"/>
  <c r="AC75" i="79"/>
  <c r="AD75" i="79" s="1"/>
  <c r="D115" i="79"/>
  <c r="F115" i="79"/>
  <c r="G115" i="79" s="1"/>
  <c r="AA115" i="79"/>
  <c r="AC115" i="79"/>
  <c r="AD115" i="79" s="1"/>
  <c r="D116" i="79"/>
  <c r="F116" i="79"/>
  <c r="G116" i="79" s="1"/>
  <c r="D156" i="79"/>
  <c r="F156" i="79"/>
  <c r="G156" i="79" s="1"/>
  <c r="AA156" i="79"/>
  <c r="AC156" i="79"/>
  <c r="AD156" i="79" s="1"/>
  <c r="D157" i="79"/>
  <c r="F157" i="79"/>
  <c r="G157" i="79" s="1"/>
  <c r="AA157" i="79"/>
  <c r="F54" i="79"/>
  <c r="G54" i="79" s="1"/>
  <c r="F95" i="79"/>
  <c r="G95" i="79" s="1"/>
  <c r="I1191" i="79"/>
  <c r="I1261" i="79" s="1"/>
  <c r="G637" i="64"/>
  <c r="E44" i="69"/>
  <c r="F188" i="85"/>
  <c r="G188" i="85" s="1"/>
  <c r="B61" i="8"/>
  <c r="I1184" i="79"/>
  <c r="I1254" i="79" s="1"/>
  <c r="B36" i="79"/>
  <c r="Y14" i="79"/>
  <c r="B1425" i="79" s="1"/>
  <c r="Y1171" i="79"/>
  <c r="Y1206" i="79" s="1"/>
  <c r="Y1274" i="79" s="1"/>
  <c r="K2332" i="79"/>
  <c r="AM1181" i="79"/>
  <c r="AM1251" i="79" s="1"/>
  <c r="N2077" i="79"/>
  <c r="I2092" i="79"/>
  <c r="M2092" i="79"/>
  <c r="I2108" i="79"/>
  <c r="Q2108" i="79"/>
  <c r="Q2123" i="79"/>
  <c r="AQ1189" i="79"/>
  <c r="AQ1259" i="79" s="1"/>
  <c r="K2077" i="79"/>
  <c r="O2077" i="79"/>
  <c r="S2077" i="79"/>
  <c r="J2092" i="79"/>
  <c r="N2092" i="79"/>
  <c r="R2092" i="79"/>
  <c r="J2108" i="79"/>
  <c r="N2108" i="79"/>
  <c r="R2108" i="79"/>
  <c r="J2123" i="79"/>
  <c r="N2123" i="79"/>
  <c r="R2123" i="79"/>
  <c r="O2332" i="79"/>
  <c r="AL1183" i="79"/>
  <c r="AL1253" i="79" s="1"/>
  <c r="AH1196" i="79"/>
  <c r="J2077" i="79"/>
  <c r="R2077" i="79"/>
  <c r="Q2092" i="79"/>
  <c r="M2108" i="79"/>
  <c r="I2123" i="79"/>
  <c r="V395" i="40"/>
  <c r="L1183" i="79"/>
  <c r="L1253" i="79" s="1"/>
  <c r="AM1182" i="79"/>
  <c r="AM1252" i="79" s="1"/>
  <c r="AP1197" i="79"/>
  <c r="AP1267" i="79" s="1"/>
  <c r="L2077" i="79"/>
  <c r="P2077" i="79"/>
  <c r="T2077" i="79"/>
  <c r="K2092" i="79"/>
  <c r="O2092" i="79"/>
  <c r="S2092" i="79"/>
  <c r="K2108" i="79"/>
  <c r="O2108" i="79"/>
  <c r="S2108" i="79"/>
  <c r="K2123" i="79"/>
  <c r="O2123" i="79"/>
  <c r="S2123" i="79"/>
  <c r="L2255" i="79"/>
  <c r="O2234" i="79"/>
  <c r="T2167" i="79"/>
  <c r="Q2376" i="79"/>
  <c r="J2329" i="79"/>
  <c r="M2242" i="79"/>
  <c r="S2332" i="79"/>
  <c r="AH1173" i="79"/>
  <c r="AL1175" i="79"/>
  <c r="AL1245" i="79" s="1"/>
  <c r="AP1179" i="79"/>
  <c r="AP1249" i="79" s="1"/>
  <c r="J1180" i="79"/>
  <c r="J1250" i="79" s="1"/>
  <c r="AK1186" i="79"/>
  <c r="AK1256" i="79" s="1"/>
  <c r="AK1190" i="79"/>
  <c r="AK1260" i="79" s="1"/>
  <c r="I2077" i="79"/>
  <c r="M2077" i="79"/>
  <c r="Q2077" i="79"/>
  <c r="L2092" i="79"/>
  <c r="P2092" i="79"/>
  <c r="L2108" i="79"/>
  <c r="P2108" i="79"/>
  <c r="T2108" i="79"/>
  <c r="L2123" i="79"/>
  <c r="P2123" i="79"/>
  <c r="J1177" i="79"/>
  <c r="J1247" i="79" s="1"/>
  <c r="Y1184" i="79"/>
  <c r="Y1254" i="79" s="1"/>
  <c r="S2275" i="79"/>
  <c r="L2332" i="79"/>
  <c r="P2332" i="79"/>
  <c r="T2332" i="79"/>
  <c r="Z389" i="40"/>
  <c r="J1176" i="79"/>
  <c r="J1246" i="79" s="1"/>
  <c r="M1178" i="79"/>
  <c r="M1248" i="79" s="1"/>
  <c r="T1180" i="79"/>
  <c r="T1250" i="79" s="1"/>
  <c r="M1182" i="79"/>
  <c r="M1252" i="79" s="1"/>
  <c r="T1185" i="79"/>
  <c r="T1255" i="79" s="1"/>
  <c r="T1187" i="79"/>
  <c r="T1257" i="79" s="1"/>
  <c r="Q1191" i="79"/>
  <c r="Q1261" i="79" s="1"/>
  <c r="J2322" i="79"/>
  <c r="K2281" i="79"/>
  <c r="K2283" i="79"/>
  <c r="I2310" i="79"/>
  <c r="I2332" i="79"/>
  <c r="M2332" i="79"/>
  <c r="Q2332" i="79"/>
  <c r="Z383" i="40"/>
  <c r="W426" i="40"/>
  <c r="J1171" i="79"/>
  <c r="J1241" i="79" s="1"/>
  <c r="AM1173" i="79"/>
  <c r="M1181" i="79"/>
  <c r="M1251" i="79" s="1"/>
  <c r="M2299" i="79"/>
  <c r="J2332" i="79"/>
  <c r="N2332" i="79"/>
  <c r="R385" i="40"/>
  <c r="V388" i="40"/>
  <c r="S424" i="40"/>
  <c r="B20" i="79"/>
  <c r="B1416" i="79" s="1"/>
  <c r="Y415" i="40"/>
  <c r="B24" i="79"/>
  <c r="B1418" i="79" s="1"/>
  <c r="E50" i="83"/>
  <c r="E58" i="83"/>
  <c r="O163" i="83"/>
  <c r="D28" i="83" s="1"/>
  <c r="O112" i="83"/>
  <c r="O140" i="83"/>
  <c r="C160" i="83"/>
  <c r="B63" i="8"/>
  <c r="F178" i="85"/>
  <c r="G178" i="85"/>
  <c r="R384" i="40"/>
  <c r="Z388" i="40"/>
  <c r="Z365" i="79"/>
  <c r="C1496" i="79"/>
  <c r="C1746" i="79" s="1"/>
  <c r="C143" i="74"/>
  <c r="C145" i="74" s="1"/>
  <c r="V385" i="40"/>
  <c r="R390" i="40"/>
  <c r="Z395" i="40"/>
  <c r="R383" i="40"/>
  <c r="V384" i="40"/>
  <c r="Z385" i="40"/>
  <c r="R389" i="40"/>
  <c r="V390" i="40"/>
  <c r="C488" i="79"/>
  <c r="V383" i="40"/>
  <c r="Z384" i="40"/>
  <c r="R388" i="40"/>
  <c r="V389" i="40"/>
  <c r="Z390" i="40"/>
  <c r="R395" i="40"/>
  <c r="C153" i="74"/>
  <c r="C155" i="74" s="1"/>
  <c r="Z529" i="79"/>
  <c r="S383" i="40"/>
  <c r="W383" i="40"/>
  <c r="AA383" i="40"/>
  <c r="S384" i="40"/>
  <c r="W384" i="40"/>
  <c r="AA384" i="40"/>
  <c r="S385" i="40"/>
  <c r="W385" i="40"/>
  <c r="AA385" i="40"/>
  <c r="S388" i="40"/>
  <c r="W388" i="40"/>
  <c r="AA388" i="40"/>
  <c r="S389" i="40"/>
  <c r="W389" i="40"/>
  <c r="AA389" i="40"/>
  <c r="S390" i="40"/>
  <c r="W390" i="40"/>
  <c r="AA390" i="40"/>
  <c r="S395" i="40"/>
  <c r="W395" i="40"/>
  <c r="AA395" i="40"/>
  <c r="U422" i="40"/>
  <c r="AA427" i="40"/>
  <c r="B22" i="79"/>
  <c r="B1417" i="79" s="1"/>
  <c r="Y36" i="79"/>
  <c r="C242" i="79"/>
  <c r="Z324" i="79"/>
  <c r="C1522" i="79"/>
  <c r="C1818" i="79" s="1"/>
  <c r="C113" i="74"/>
  <c r="C115" i="74" s="1"/>
  <c r="C203" i="74"/>
  <c r="C205" i="74" s="1"/>
  <c r="Z447" i="79"/>
  <c r="P383" i="40"/>
  <c r="T383" i="40"/>
  <c r="X383" i="40"/>
  <c r="P384" i="40"/>
  <c r="T384" i="40"/>
  <c r="X384" i="40"/>
  <c r="P385" i="40"/>
  <c r="T385" i="40"/>
  <c r="X385" i="40"/>
  <c r="P388" i="40"/>
  <c r="T388" i="40"/>
  <c r="X388" i="40"/>
  <c r="P389" i="40"/>
  <c r="T389" i="40"/>
  <c r="X389" i="40"/>
  <c r="P390" i="40"/>
  <c r="T390" i="40"/>
  <c r="X390" i="40"/>
  <c r="P395" i="40"/>
  <c r="T395" i="40"/>
  <c r="X395" i="40"/>
  <c r="Q415" i="40"/>
  <c r="S429" i="40"/>
  <c r="Y32" i="79"/>
  <c r="B1434" i="79" s="1"/>
  <c r="B1355" i="79"/>
  <c r="Q383" i="40"/>
  <c r="U383" i="40"/>
  <c r="Y383" i="40"/>
  <c r="Q384" i="40"/>
  <c r="U384" i="40"/>
  <c r="Y384" i="40"/>
  <c r="Q385" i="40"/>
  <c r="U385" i="40"/>
  <c r="Y385" i="40"/>
  <c r="Q388" i="40"/>
  <c r="U388" i="40"/>
  <c r="Y388" i="40"/>
  <c r="Q389" i="40"/>
  <c r="U389" i="40"/>
  <c r="Y389" i="40"/>
  <c r="Q390" i="40"/>
  <c r="U390" i="40"/>
  <c r="Y390" i="40"/>
  <c r="Q395" i="40"/>
  <c r="U395" i="40"/>
  <c r="Y395" i="40"/>
  <c r="U415" i="40"/>
  <c r="Y26" i="79"/>
  <c r="B1431" i="79" s="1"/>
  <c r="B34" i="79"/>
  <c r="B1423" i="79" s="1"/>
  <c r="Z78" i="79"/>
  <c r="C201" i="79"/>
  <c r="C283" i="79"/>
  <c r="B2522" i="79"/>
  <c r="C193" i="74"/>
  <c r="C195" i="74" s="1"/>
  <c r="AI986" i="64"/>
  <c r="E986" i="64" s="1"/>
  <c r="E1057" i="64" s="1"/>
  <c r="E12" i="74"/>
  <c r="O7" i="10"/>
  <c r="I26" i="69"/>
  <c r="K57" i="69"/>
  <c r="K39" i="69"/>
  <c r="K56" i="69"/>
  <c r="K34" i="69"/>
  <c r="I24" i="69"/>
  <c r="K40" i="69"/>
  <c r="I18" i="69"/>
  <c r="I22" i="69"/>
  <c r="J34" i="69"/>
  <c r="K43" i="69"/>
  <c r="K53" i="69"/>
  <c r="K52" i="69"/>
  <c r="J38" i="69"/>
  <c r="K38" i="69"/>
  <c r="H25" i="69"/>
  <c r="I25" i="69"/>
  <c r="J51" i="69"/>
  <c r="I61" i="69"/>
  <c r="K51" i="69"/>
  <c r="K60" i="69"/>
  <c r="J60" i="69"/>
  <c r="H21" i="69"/>
  <c r="I21" i="69"/>
  <c r="J54" i="69"/>
  <c r="K54" i="69"/>
  <c r="J55" i="69"/>
  <c r="K55" i="69"/>
  <c r="J37" i="69"/>
  <c r="K37" i="69"/>
  <c r="J58" i="69"/>
  <c r="K58" i="69"/>
  <c r="J59" i="69"/>
  <c r="K59" i="69"/>
  <c r="H23" i="69"/>
  <c r="I23" i="69"/>
  <c r="J41" i="69"/>
  <c r="K41" i="69"/>
  <c r="J42" i="69"/>
  <c r="K42" i="69"/>
  <c r="J40" i="69"/>
  <c r="J53" i="69"/>
  <c r="J57" i="69"/>
  <c r="H20" i="69"/>
  <c r="H22" i="69"/>
  <c r="H24" i="69"/>
  <c r="H26" i="69"/>
  <c r="K35" i="69"/>
  <c r="J39" i="69"/>
  <c r="J43" i="69"/>
  <c r="J52" i="69"/>
  <c r="J56" i="69"/>
  <c r="G460" i="77"/>
  <c r="B78" i="8"/>
  <c r="B85" i="8" s="1"/>
  <c r="E118" i="8"/>
  <c r="I118" i="8"/>
  <c r="M118" i="8"/>
  <c r="F121" i="83"/>
  <c r="J121" i="83"/>
  <c r="N121" i="83"/>
  <c r="F118" i="8"/>
  <c r="J118" i="8"/>
  <c r="N118" i="8"/>
  <c r="C121" i="83"/>
  <c r="G121" i="83"/>
  <c r="K121" i="83"/>
  <c r="Q653" i="74"/>
  <c r="C9" i="10"/>
  <c r="B76" i="8"/>
  <c r="B83" i="8" s="1"/>
  <c r="D721" i="74"/>
  <c r="E94" i="74"/>
  <c r="B60" i="8"/>
  <c r="B92" i="74"/>
  <c r="B98" i="74" s="1"/>
  <c r="B104" i="74" s="1"/>
  <c r="B717" i="74"/>
  <c r="B721" i="74"/>
  <c r="B440" i="73" s="1"/>
  <c r="B720" i="74"/>
  <c r="B439" i="73" s="1"/>
  <c r="B718" i="74"/>
  <c r="B437" i="73" s="1"/>
  <c r="AQ986" i="64"/>
  <c r="C746" i="64"/>
  <c r="B986" i="64"/>
  <c r="AL986" i="64"/>
  <c r="R386" i="64"/>
  <c r="I386" i="64"/>
  <c r="E977" i="64"/>
  <c r="H97" i="64"/>
  <c r="I97" i="64" s="1"/>
  <c r="R329" i="64"/>
  <c r="J329" i="64"/>
  <c r="B158" i="69"/>
  <c r="B162" i="69"/>
  <c r="B199" i="40"/>
  <c r="B203" i="40"/>
  <c r="X415" i="40"/>
  <c r="T415" i="40"/>
  <c r="P415" i="40"/>
  <c r="AA429" i="40"/>
  <c r="W428" i="40"/>
  <c r="S427" i="40"/>
  <c r="AA424" i="40"/>
  <c r="Z422" i="40"/>
  <c r="AA415" i="40"/>
  <c r="W415" i="40"/>
  <c r="S415" i="40"/>
  <c r="Z415" i="40"/>
  <c r="V415" i="40"/>
  <c r="R415" i="40"/>
  <c r="O300" i="64"/>
  <c r="I300" i="64"/>
  <c r="D260" i="64"/>
  <c r="D276" i="64" s="1"/>
  <c r="D201" i="64"/>
  <c r="D244" i="64" s="1"/>
  <c r="P367" i="64"/>
  <c r="L367" i="64"/>
  <c r="O331" i="64"/>
  <c r="I331" i="64"/>
  <c r="G489" i="64"/>
  <c r="L594" i="64"/>
  <c r="Q518" i="64"/>
  <c r="G518" i="64"/>
  <c r="Q520" i="64"/>
  <c r="F520" i="64"/>
  <c r="Y1335" i="79"/>
  <c r="Z1522" i="79"/>
  <c r="Z1818" i="79" s="1"/>
  <c r="Z283" i="79"/>
  <c r="B2994" i="79"/>
  <c r="Y24" i="79"/>
  <c r="B1430" i="79" s="1"/>
  <c r="W422" i="40"/>
  <c r="W424" i="40"/>
  <c r="AA426" i="40"/>
  <c r="S428" i="40"/>
  <c r="W429" i="40"/>
  <c r="BU11" i="65"/>
  <c r="G4" i="64"/>
  <c r="G171" i="64"/>
  <c r="D172" i="64"/>
  <c r="D215" i="64" s="1"/>
  <c r="D184" i="64"/>
  <c r="D227" i="64" s="1"/>
  <c r="D187" i="64"/>
  <c r="D230" i="64" s="1"/>
  <c r="G258" i="64"/>
  <c r="G274" i="64" s="1"/>
  <c r="P343" i="64"/>
  <c r="Q364" i="64"/>
  <c r="M374" i="64"/>
  <c r="H519" i="64"/>
  <c r="F558" i="64"/>
  <c r="L564" i="64"/>
  <c r="K595" i="64"/>
  <c r="E7" i="74"/>
  <c r="G5" i="77"/>
  <c r="G483" i="77" s="1"/>
  <c r="F10" i="73"/>
  <c r="I41" i="79"/>
  <c r="F1398" i="64"/>
  <c r="F1381" i="64"/>
  <c r="F1364" i="64"/>
  <c r="F1345" i="64"/>
  <c r="F1356" i="64" s="1"/>
  <c r="I581" i="79" s="1"/>
  <c r="G214" i="64"/>
  <c r="G289" i="64"/>
  <c r="G345" i="64" s="1"/>
  <c r="I566" i="64"/>
  <c r="E973" i="64"/>
  <c r="CP1053" i="64"/>
  <c r="B2726" i="79"/>
  <c r="B1351" i="79"/>
  <c r="C1574" i="79"/>
  <c r="C1962" i="79" s="1"/>
  <c r="B32" i="79"/>
  <c r="B1422" i="79" s="1"/>
  <c r="C447" i="79"/>
  <c r="R422" i="40"/>
  <c r="S426" i="40"/>
  <c r="W427" i="40"/>
  <c r="AA428" i="40"/>
  <c r="H8" i="64"/>
  <c r="H93" i="64"/>
  <c r="G104" i="64"/>
  <c r="G111" i="64"/>
  <c r="G120" i="64"/>
  <c r="G115" i="64" s="1"/>
  <c r="G126" i="64"/>
  <c r="D183" i="64"/>
  <c r="D226" i="64" s="1"/>
  <c r="M330" i="64"/>
  <c r="J365" i="64"/>
  <c r="H368" i="64"/>
  <c r="G374" i="64"/>
  <c r="M378" i="64"/>
  <c r="G400" i="64"/>
  <c r="F813" i="64" s="1"/>
  <c r="E888" i="64" s="1"/>
  <c r="P519" i="64"/>
  <c r="G527" i="64"/>
  <c r="J547" i="64"/>
  <c r="M558" i="64"/>
  <c r="M568" i="64"/>
  <c r="B2454" i="79"/>
  <c r="B1319" i="79"/>
  <c r="C119" i="79"/>
  <c r="C1470" i="79"/>
  <c r="C1674" i="79" s="1"/>
  <c r="B16" i="79"/>
  <c r="B1414" i="79" s="1"/>
  <c r="B2488" i="79"/>
  <c r="C1483" i="79"/>
  <c r="C1710" i="79" s="1"/>
  <c r="C160" i="79"/>
  <c r="B1323" i="79"/>
  <c r="B1343" i="79"/>
  <c r="C365" i="79"/>
  <c r="B2658" i="79"/>
  <c r="C1548" i="79"/>
  <c r="C1890" i="79" s="1"/>
  <c r="C1561" i="79"/>
  <c r="C1926" i="79" s="1"/>
  <c r="B1347" i="79"/>
  <c r="B30" i="79"/>
  <c r="B1421" i="79" s="1"/>
  <c r="B2692" i="79"/>
  <c r="C1457" i="79"/>
  <c r="C1638" i="79" s="1"/>
  <c r="C78" i="79"/>
  <c r="B1315" i="79"/>
  <c r="Y1319" i="79"/>
  <c r="B2858" i="79"/>
  <c r="Z1470" i="79"/>
  <c r="Z1674" i="79" s="1"/>
  <c r="Y16" i="79"/>
  <c r="B1426" i="79" s="1"/>
  <c r="C1535" i="79"/>
  <c r="C1854" i="79" s="1"/>
  <c r="C324" i="79"/>
  <c r="B2624" i="79"/>
  <c r="B26" i="79"/>
  <c r="B1419" i="79" s="1"/>
  <c r="B1339" i="79"/>
  <c r="Y1343" i="79"/>
  <c r="Z1548" i="79"/>
  <c r="Z1890" i="79" s="1"/>
  <c r="B3062" i="79"/>
  <c r="I940" i="79"/>
  <c r="U940" i="79" s="1"/>
  <c r="I1124" i="79"/>
  <c r="U1124" i="79" s="1"/>
  <c r="B2892" i="79"/>
  <c r="Z1483" i="79"/>
  <c r="Z1710" i="79" s="1"/>
  <c r="Y18" i="79"/>
  <c r="B1427" i="79" s="1"/>
  <c r="Y1323" i="79"/>
  <c r="C1509" i="79"/>
  <c r="C1782" i="79" s="1"/>
  <c r="B2556" i="79"/>
  <c r="Z1561" i="79"/>
  <c r="Z1926" i="79" s="1"/>
  <c r="B3096" i="79"/>
  <c r="Z406" i="79"/>
  <c r="Y30" i="79"/>
  <c r="B1433" i="79" s="1"/>
  <c r="Y1347" i="79"/>
  <c r="Y1351" i="79"/>
  <c r="Z1574" i="79"/>
  <c r="Z1962" i="79" s="1"/>
  <c r="Y1327" i="79"/>
  <c r="Z201" i="79"/>
  <c r="B2926" i="79"/>
  <c r="Z1496" i="79"/>
  <c r="Z1746" i="79" s="1"/>
  <c r="Z1509" i="79"/>
  <c r="Z1782" i="79" s="1"/>
  <c r="B2960" i="79"/>
  <c r="Y22" i="79"/>
  <c r="B1429" i="79" s="1"/>
  <c r="Y1331" i="79"/>
  <c r="Z1587" i="79"/>
  <c r="Z1997" i="79" s="1"/>
  <c r="B3164" i="79"/>
  <c r="Y34" i="79"/>
  <c r="B1435" i="79" s="1"/>
  <c r="Y1355" i="79"/>
  <c r="B1359" i="79"/>
  <c r="C529" i="79"/>
  <c r="B2794" i="79"/>
  <c r="Y1315" i="79"/>
  <c r="Y1339" i="79"/>
  <c r="B1335" i="79"/>
  <c r="C1587" i="79"/>
  <c r="C1997" i="79" s="1"/>
  <c r="B3028" i="79"/>
  <c r="C133" i="74"/>
  <c r="C183" i="74"/>
  <c r="C185" i="74" s="1"/>
  <c r="C223" i="74"/>
  <c r="C225" i="74" s="1"/>
  <c r="C123" i="74"/>
  <c r="C125" i="74" s="1"/>
  <c r="C173" i="74"/>
  <c r="C175" i="74" s="1"/>
  <c r="C213" i="74"/>
  <c r="C215" i="74" s="1"/>
  <c r="BC227" i="65"/>
  <c r="AL1008" i="64"/>
  <c r="H1008" i="64" s="1"/>
  <c r="H1079" i="64" s="1"/>
  <c r="AH993" i="64"/>
  <c r="D993" i="64" s="1"/>
  <c r="D1064" i="64" s="1"/>
  <c r="AG1008" i="64"/>
  <c r="AM1008" i="64"/>
  <c r="I1008" i="64" s="1"/>
  <c r="I1079" i="64" s="1"/>
  <c r="AO986" i="64"/>
  <c r="K986" i="64" s="1"/>
  <c r="K1057" i="64" s="1"/>
  <c r="AM993" i="64"/>
  <c r="I993" i="64" s="1"/>
  <c r="I1064" i="64" s="1"/>
  <c r="AH1008" i="64"/>
  <c r="D1008" i="64" s="1"/>
  <c r="D1079" i="64" s="1"/>
  <c r="AO1008" i="64"/>
  <c r="B1008" i="64"/>
  <c r="AI1008" i="64"/>
  <c r="E1008" i="64" s="1"/>
  <c r="E1079" i="64" s="1"/>
  <c r="AQ1008" i="64"/>
  <c r="S422" i="40"/>
  <c r="Y422" i="40"/>
  <c r="R424" i="40"/>
  <c r="Z424" i="40"/>
  <c r="V426" i="40"/>
  <c r="R427" i="40"/>
  <c r="Z427" i="40"/>
  <c r="V428" i="40"/>
  <c r="R429" i="40"/>
  <c r="Z429" i="40"/>
  <c r="D179" i="64"/>
  <c r="D222" i="64" s="1"/>
  <c r="D186" i="64"/>
  <c r="D229" i="64" s="1"/>
  <c r="D199" i="64"/>
  <c r="R199" i="64" s="1"/>
  <c r="G329" i="64"/>
  <c r="I330" i="64"/>
  <c r="H331" i="64"/>
  <c r="P331" i="64"/>
  <c r="H344" i="64"/>
  <c r="G364" i="64"/>
  <c r="P364" i="64"/>
  <c r="I366" i="64"/>
  <c r="H367" i="64"/>
  <c r="G368" i="64"/>
  <c r="M368" i="64"/>
  <c r="G386" i="64"/>
  <c r="Q386" i="64"/>
  <c r="L509" i="64"/>
  <c r="F516" i="64"/>
  <c r="F517" i="64"/>
  <c r="N517" i="64"/>
  <c r="L518" i="64"/>
  <c r="G519" i="64"/>
  <c r="N519" i="64"/>
  <c r="J524" i="64"/>
  <c r="M525" i="64"/>
  <c r="K527" i="64"/>
  <c r="M529" i="64"/>
  <c r="I556" i="64"/>
  <c r="Q557" i="64"/>
  <c r="L558" i="64"/>
  <c r="P563" i="64"/>
  <c r="M566" i="64"/>
  <c r="M585" i="64"/>
  <c r="I595" i="64"/>
  <c r="Q509" i="64"/>
  <c r="F555" i="64"/>
  <c r="M556" i="64"/>
  <c r="Q422" i="40"/>
  <c r="V422" i="40"/>
  <c r="AA422" i="40"/>
  <c r="V424" i="40"/>
  <c r="R426" i="40"/>
  <c r="Z426" i="40"/>
  <c r="V427" i="40"/>
  <c r="R428" i="40"/>
  <c r="Z428" i="40"/>
  <c r="V429" i="40"/>
  <c r="K331" i="64"/>
  <c r="L344" i="64"/>
  <c r="K364" i="64"/>
  <c r="I368" i="64"/>
  <c r="Q368" i="64"/>
  <c r="K386" i="64"/>
  <c r="G509" i="64"/>
  <c r="Q516" i="64"/>
  <c r="I517" i="64"/>
  <c r="K519" i="64"/>
  <c r="Q555" i="64"/>
  <c r="N556" i="64"/>
  <c r="H558" i="64"/>
  <c r="P558" i="64"/>
  <c r="O595" i="64"/>
  <c r="I603" i="64"/>
  <c r="L368" i="64"/>
  <c r="O386" i="64"/>
  <c r="I509" i="64"/>
  <c r="M517" i="64"/>
  <c r="N548" i="64"/>
  <c r="H556" i="64"/>
  <c r="P556" i="64"/>
  <c r="N12" i="65"/>
  <c r="M12" i="65"/>
  <c r="X12" i="65"/>
  <c r="BE12" i="65"/>
  <c r="N11" i="65"/>
  <c r="M11" i="65"/>
  <c r="X11" i="65"/>
  <c r="N16" i="65"/>
  <c r="M16" i="65"/>
  <c r="X16" i="65"/>
  <c r="N41" i="65"/>
  <c r="X41" i="65"/>
  <c r="M41" i="65"/>
  <c r="BS22" i="65"/>
  <c r="BU21" i="65"/>
  <c r="N28" i="65"/>
  <c r="X28" i="65"/>
  <c r="M28" i="65"/>
  <c r="N29" i="65"/>
  <c r="X29" i="65"/>
  <c r="M29" i="65"/>
  <c r="V10" i="65"/>
  <c r="U10" i="65"/>
  <c r="W10" i="65"/>
  <c r="N14" i="65"/>
  <c r="X14" i="65"/>
  <c r="M14" i="65"/>
  <c r="N15" i="65"/>
  <c r="M15" i="65"/>
  <c r="X15" i="65"/>
  <c r="X17" i="65"/>
  <c r="M17" i="65"/>
  <c r="P18" i="65"/>
  <c r="O18" i="65"/>
  <c r="Q18" i="65"/>
  <c r="CG22" i="65"/>
  <c r="U21" i="65"/>
  <c r="W21" i="65"/>
  <c r="V21" i="65"/>
  <c r="N24" i="65"/>
  <c r="X24" i="65"/>
  <c r="M24" i="65"/>
  <c r="N25" i="65"/>
  <c r="M25" i="65"/>
  <c r="X25" i="65"/>
  <c r="N32" i="65"/>
  <c r="X32" i="65"/>
  <c r="M32" i="65"/>
  <c r="N33" i="65"/>
  <c r="M33" i="65"/>
  <c r="X33" i="65"/>
  <c r="V11" i="65"/>
  <c r="U11" i="65"/>
  <c r="W11" i="65"/>
  <c r="O14" i="65"/>
  <c r="Q14" i="65"/>
  <c r="P14" i="65"/>
  <c r="N40" i="65"/>
  <c r="M40" i="65"/>
  <c r="X40" i="65"/>
  <c r="O26" i="65"/>
  <c r="Q26" i="65"/>
  <c r="P26" i="65"/>
  <c r="N34" i="65"/>
  <c r="M34" i="65"/>
  <c r="T36" i="65"/>
  <c r="S36" i="65"/>
  <c r="R36" i="65"/>
  <c r="T37" i="65"/>
  <c r="S37" i="65"/>
  <c r="R37" i="65"/>
  <c r="Q42" i="65"/>
  <c r="P42" i="65"/>
  <c r="O42" i="65"/>
  <c r="Q46" i="65"/>
  <c r="P46" i="65"/>
  <c r="O46" i="65"/>
  <c r="N10" i="65"/>
  <c r="M10" i="65"/>
  <c r="T17" i="65"/>
  <c r="S17" i="65"/>
  <c r="T18" i="65"/>
  <c r="S18" i="65"/>
  <c r="M19" i="65"/>
  <c r="M21" i="65"/>
  <c r="X21" i="65"/>
  <c r="N21" i="65"/>
  <c r="M22" i="65"/>
  <c r="S23" i="65"/>
  <c r="R23" i="65"/>
  <c r="T23" i="65"/>
  <c r="R26" i="65"/>
  <c r="X27" i="65"/>
  <c r="M27" i="65"/>
  <c r="N27" i="65"/>
  <c r="O29" i="65"/>
  <c r="P29" i="65"/>
  <c r="M30" i="65"/>
  <c r="S31" i="65"/>
  <c r="R31" i="65"/>
  <c r="T31" i="65"/>
  <c r="M38" i="65"/>
  <c r="N39" i="65"/>
  <c r="M39" i="65"/>
  <c r="O41" i="65"/>
  <c r="Q41" i="65"/>
  <c r="P41" i="65"/>
  <c r="R43" i="65"/>
  <c r="T43" i="65"/>
  <c r="S43" i="65"/>
  <c r="M44" i="65"/>
  <c r="X44" i="65"/>
  <c r="N44" i="65"/>
  <c r="J358" i="64"/>
  <c r="L358" i="64"/>
  <c r="O358" i="64"/>
  <c r="G358" i="64"/>
  <c r="R358" i="64"/>
  <c r="V358" i="64" s="1"/>
  <c r="X358" i="64" s="1"/>
  <c r="C1451" i="79" s="1"/>
  <c r="Q1451" i="79" s="1"/>
  <c r="P422" i="40"/>
  <c r="T422" i="40"/>
  <c r="X422" i="40"/>
  <c r="P424" i="40"/>
  <c r="T424" i="40"/>
  <c r="X424" i="40"/>
  <c r="P426" i="40"/>
  <c r="T426" i="40"/>
  <c r="X426" i="40"/>
  <c r="P427" i="40"/>
  <c r="T427" i="40"/>
  <c r="X427" i="40"/>
  <c r="P428" i="40"/>
  <c r="T428" i="40"/>
  <c r="X428" i="40"/>
  <c r="P429" i="40"/>
  <c r="T429" i="40"/>
  <c r="X429" i="40"/>
  <c r="R18" i="65"/>
  <c r="P19" i="65"/>
  <c r="O19" i="65"/>
  <c r="N19" i="65"/>
  <c r="O22" i="65"/>
  <c r="Q22" i="65"/>
  <c r="P22" i="65"/>
  <c r="N22" i="65"/>
  <c r="T26" i="65"/>
  <c r="Q29" i="65"/>
  <c r="O30" i="65"/>
  <c r="Q30" i="65"/>
  <c r="P30" i="65"/>
  <c r="N30" i="65"/>
  <c r="X34" i="65"/>
  <c r="P38" i="65"/>
  <c r="O38" i="65"/>
  <c r="Q38" i="65"/>
  <c r="N38" i="65"/>
  <c r="X39" i="65"/>
  <c r="V47" i="65"/>
  <c r="W47" i="65"/>
  <c r="U47" i="65"/>
  <c r="Q424" i="40"/>
  <c r="U424" i="40"/>
  <c r="Y424" i="40"/>
  <c r="Q426" i="40"/>
  <c r="U426" i="40"/>
  <c r="Y426" i="40"/>
  <c r="Q427" i="40"/>
  <c r="U427" i="40"/>
  <c r="Y427" i="40"/>
  <c r="Q428" i="40"/>
  <c r="U428" i="40"/>
  <c r="Y428" i="40"/>
  <c r="Q429" i="40"/>
  <c r="U429" i="40"/>
  <c r="Y429" i="40"/>
  <c r="X10" i="65"/>
  <c r="V12" i="65"/>
  <c r="U12" i="65"/>
  <c r="P16" i="65"/>
  <c r="M18" i="65"/>
  <c r="T19" i="65"/>
  <c r="S19" i="65"/>
  <c r="Q19" i="65"/>
  <c r="R21" i="65"/>
  <c r="R22" i="65"/>
  <c r="X23" i="65"/>
  <c r="M23" i="65"/>
  <c r="N23" i="65"/>
  <c r="O25" i="65"/>
  <c r="P25" i="65"/>
  <c r="S27" i="65"/>
  <c r="R27" i="65"/>
  <c r="T27" i="65"/>
  <c r="R30" i="65"/>
  <c r="X31" i="65"/>
  <c r="M31" i="65"/>
  <c r="N31" i="65"/>
  <c r="O33" i="65"/>
  <c r="P33" i="65"/>
  <c r="N42" i="65"/>
  <c r="X42" i="65"/>
  <c r="BG219" i="65"/>
  <c r="BG228" i="65" s="1"/>
  <c r="V14" i="65"/>
  <c r="V15" i="65"/>
  <c r="V16" i="65"/>
  <c r="BU17" i="65"/>
  <c r="BU18" i="65"/>
  <c r="BU19" i="65"/>
  <c r="P21" i="65"/>
  <c r="Q23" i="65"/>
  <c r="R24" i="65"/>
  <c r="T25" i="65"/>
  <c r="Q27" i="65"/>
  <c r="R28" i="65"/>
  <c r="T29" i="65"/>
  <c r="Q31" i="65"/>
  <c r="R32" i="65"/>
  <c r="T33" i="65"/>
  <c r="M36" i="65"/>
  <c r="M37" i="65"/>
  <c r="T38" i="65"/>
  <c r="S38" i="65"/>
  <c r="S44" i="65"/>
  <c r="R44" i="65"/>
  <c r="T44" i="65"/>
  <c r="S48" i="65"/>
  <c r="R48" i="65"/>
  <c r="AS225" i="65"/>
  <c r="BD208" i="65"/>
  <c r="AZ208" i="65"/>
  <c r="AV208" i="65"/>
  <c r="AV225" i="65" s="1"/>
  <c r="BC208" i="65"/>
  <c r="AY208" i="65"/>
  <c r="AU208" i="65"/>
  <c r="AW208" i="65"/>
  <c r="AW225" i="65" s="1"/>
  <c r="BB208" i="65"/>
  <c r="AT208" i="65"/>
  <c r="BA208" i="65"/>
  <c r="BA225" i="65" s="1"/>
  <c r="AX208" i="65"/>
  <c r="BU14" i="65"/>
  <c r="T24" i="65"/>
  <c r="T28" i="65"/>
  <c r="T32" i="65"/>
  <c r="P37" i="65"/>
  <c r="O37" i="65"/>
  <c r="N43" i="65"/>
  <c r="U44" i="65"/>
  <c r="W44" i="65"/>
  <c r="V44" i="65"/>
  <c r="U48" i="65"/>
  <c r="W48" i="65"/>
  <c r="AM222" i="65"/>
  <c r="AI222" i="65"/>
  <c r="AE222" i="65"/>
  <c r="AJ222" i="65"/>
  <c r="AD222" i="65"/>
  <c r="AL222" i="65"/>
  <c r="AF222" i="65"/>
  <c r="AN222" i="65"/>
  <c r="AC222" i="65"/>
  <c r="AN205" i="65"/>
  <c r="AJ205" i="65"/>
  <c r="AF205" i="65"/>
  <c r="AK222" i="65"/>
  <c r="AM205" i="65"/>
  <c r="AI205" i="65"/>
  <c r="AE205" i="65"/>
  <c r="AH205" i="65"/>
  <c r="AG205" i="65"/>
  <c r="AH222" i="65"/>
  <c r="AL205" i="65"/>
  <c r="AG222" i="65"/>
  <c r="AK205" i="65"/>
  <c r="R34" i="65"/>
  <c r="R39" i="65"/>
  <c r="R40" i="65"/>
  <c r="R41" i="65"/>
  <c r="V43" i="65"/>
  <c r="U46" i="65"/>
  <c r="BC204" i="65"/>
  <c r="BC221" i="65" s="1"/>
  <c r="AY204" i="65"/>
  <c r="AU204" i="65"/>
  <c r="BB204" i="65"/>
  <c r="BB221" i="65" s="1"/>
  <c r="AX204" i="65"/>
  <c r="AT204" i="65"/>
  <c r="AW204" i="65"/>
  <c r="CI221" i="65" s="1"/>
  <c r="BD204" i="65"/>
  <c r="AV204" i="65"/>
  <c r="AV221" i="65" s="1"/>
  <c r="AK223" i="65"/>
  <c r="AG223" i="65"/>
  <c r="AC223" i="65"/>
  <c r="AN223" i="65"/>
  <c r="AI223" i="65"/>
  <c r="AD223" i="65"/>
  <c r="AL223" i="65"/>
  <c r="AE223" i="65"/>
  <c r="AJ223" i="65"/>
  <c r="AM206" i="65"/>
  <c r="AI206" i="65"/>
  <c r="AE206" i="65"/>
  <c r="AH223" i="65"/>
  <c r="AL206" i="65"/>
  <c r="AH206" i="65"/>
  <c r="AD206" i="65"/>
  <c r="AG206" i="65"/>
  <c r="AM223" i="65"/>
  <c r="AN206" i="65"/>
  <c r="AF206" i="65"/>
  <c r="AZ224" i="65"/>
  <c r="V42" i="65"/>
  <c r="W43" i="65"/>
  <c r="W46" i="65"/>
  <c r="M47" i="65"/>
  <c r="X47" i="65"/>
  <c r="N48" i="65"/>
  <c r="X48" i="65"/>
  <c r="W49" i="65"/>
  <c r="W50" i="65"/>
  <c r="AZ204" i="65"/>
  <c r="AJ206" i="65"/>
  <c r="X49" i="65"/>
  <c r="X50" i="65"/>
  <c r="AS222" i="65"/>
  <c r="BD205" i="65"/>
  <c r="AZ205" i="65"/>
  <c r="AZ222" i="65" s="1"/>
  <c r="AV205" i="65"/>
  <c r="AV222" i="65" s="1"/>
  <c r="BC205" i="65"/>
  <c r="BC222" i="65" s="1"/>
  <c r="AY205" i="65"/>
  <c r="AU205" i="65"/>
  <c r="BA205" i="65"/>
  <c r="BA222" i="65" s="1"/>
  <c r="Q1049" i="64"/>
  <c r="Z1049" i="64" s="1"/>
  <c r="L586" i="64"/>
  <c r="N549" i="64"/>
  <c r="I549" i="64"/>
  <c r="L510" i="64"/>
  <c r="G510" i="64"/>
  <c r="I586" i="64"/>
  <c r="Q549" i="64"/>
  <c r="J549" i="64"/>
  <c r="P510" i="64"/>
  <c r="J510" i="64"/>
  <c r="P586" i="64"/>
  <c r="M549" i="64"/>
  <c r="F549" i="64"/>
  <c r="N510" i="64"/>
  <c r="F510" i="64"/>
  <c r="H549" i="64"/>
  <c r="O510" i="64"/>
  <c r="Q586" i="64"/>
  <c r="K510" i="64"/>
  <c r="M586" i="64"/>
  <c r="H586" i="64"/>
  <c r="H510" i="64"/>
  <c r="L549" i="64"/>
  <c r="BU210" i="65"/>
  <c r="CI226" i="65"/>
  <c r="CI222" i="65"/>
  <c r="CI209" i="65"/>
  <c r="AN221" i="65"/>
  <c r="AJ221" i="65"/>
  <c r="AF221" i="65"/>
  <c r="AM221" i="65"/>
  <c r="AH221" i="65"/>
  <c r="AC221" i="65"/>
  <c r="AI221" i="65"/>
  <c r="AK221" i="65"/>
  <c r="AM204" i="65"/>
  <c r="AI204" i="65"/>
  <c r="AE204" i="65"/>
  <c r="AG221" i="65"/>
  <c r="AL204" i="65"/>
  <c r="AH204" i="65"/>
  <c r="AD204" i="65"/>
  <c r="AK204" i="65"/>
  <c r="AT205" i="65"/>
  <c r="BB205" i="65"/>
  <c r="BB222" i="65" s="1"/>
  <c r="AS223" i="65"/>
  <c r="BC206" i="65"/>
  <c r="BC223" i="65" s="1"/>
  <c r="AY206" i="65"/>
  <c r="AU206" i="65"/>
  <c r="AU223" i="65" s="1"/>
  <c r="BB206" i="65"/>
  <c r="AX206" i="65"/>
  <c r="AT206" i="65"/>
  <c r="BA206" i="65"/>
  <c r="AL225" i="65"/>
  <c r="AH225" i="65"/>
  <c r="AD225" i="65"/>
  <c r="AJ225" i="65"/>
  <c r="AE225" i="65"/>
  <c r="AN225" i="65"/>
  <c r="AG225" i="65"/>
  <c r="AK225" i="65"/>
  <c r="AN208" i="65"/>
  <c r="AJ208" i="65"/>
  <c r="AF208" i="65"/>
  <c r="AI225" i="65"/>
  <c r="AM208" i="65"/>
  <c r="AI208" i="65"/>
  <c r="AE208" i="65"/>
  <c r="AK208" i="65"/>
  <c r="BG211" i="65"/>
  <c r="AE221" i="65"/>
  <c r="AC225" i="65"/>
  <c r="D684" i="64"/>
  <c r="D173" i="64"/>
  <c r="D216" i="64" s="1"/>
  <c r="D688" i="64"/>
  <c r="D177" i="64"/>
  <c r="D220" i="64" s="1"/>
  <c r="D692" i="64"/>
  <c r="C692" i="64" s="1"/>
  <c r="D181" i="64"/>
  <c r="D224" i="64" s="1"/>
  <c r="D696" i="64"/>
  <c r="Q696" i="64" s="1"/>
  <c r="D185" i="64"/>
  <c r="J185" i="64" s="1"/>
  <c r="D700" i="64"/>
  <c r="D188" i="64"/>
  <c r="D231" i="64" s="1"/>
  <c r="D704" i="64"/>
  <c r="D192" i="64"/>
  <c r="D235" i="64" s="1"/>
  <c r="P338" i="64"/>
  <c r="I338" i="64"/>
  <c r="D205" i="64"/>
  <c r="M205" i="64" s="1"/>
  <c r="N338" i="64"/>
  <c r="AF203" i="65"/>
  <c r="AJ203" i="65"/>
  <c r="AN203" i="65"/>
  <c r="AV203" i="65"/>
  <c r="AV220" i="65" s="1"/>
  <c r="AZ203" i="65"/>
  <c r="BD203" i="65"/>
  <c r="BD220" i="65" s="1"/>
  <c r="AM224" i="65"/>
  <c r="AI224" i="65"/>
  <c r="AE224" i="65"/>
  <c r="AN224" i="65"/>
  <c r="AH224" i="65"/>
  <c r="AC224" i="65"/>
  <c r="AK224" i="65"/>
  <c r="AD224" i="65"/>
  <c r="AG207" i="65"/>
  <c r="AK207" i="65"/>
  <c r="AW207" i="65"/>
  <c r="CI207" i="65" s="1"/>
  <c r="BA207" i="65"/>
  <c r="CI212" i="65"/>
  <c r="AE220" i="65"/>
  <c r="AF224" i="65"/>
  <c r="D267" i="64"/>
  <c r="D208" i="64"/>
  <c r="P583" i="64"/>
  <c r="L546" i="64"/>
  <c r="O507" i="64"/>
  <c r="M583" i="64"/>
  <c r="G507" i="64"/>
  <c r="Q546" i="64"/>
  <c r="F546" i="64"/>
  <c r="K507" i="64"/>
  <c r="AN220" i="65"/>
  <c r="AJ220" i="65"/>
  <c r="AF220" i="65"/>
  <c r="AL220" i="65"/>
  <c r="AG220" i="65"/>
  <c r="AG203" i="65"/>
  <c r="AK203" i="65"/>
  <c r="AW203" i="65"/>
  <c r="BA203" i="65"/>
  <c r="AH220" i="65"/>
  <c r="CI214" i="65"/>
  <c r="D708" i="64"/>
  <c r="D195" i="64"/>
  <c r="D238" i="64" s="1"/>
  <c r="P355" i="64"/>
  <c r="N355" i="64"/>
  <c r="I355" i="64"/>
  <c r="H377" i="64"/>
  <c r="L377" i="64"/>
  <c r="P377" i="64"/>
  <c r="O194" i="64"/>
  <c r="H194" i="64"/>
  <c r="D681" i="64"/>
  <c r="O681" i="64" s="1"/>
  <c r="K300" i="64"/>
  <c r="M300" i="64"/>
  <c r="Q300" i="64"/>
  <c r="D705" i="64"/>
  <c r="D776" i="64" s="1"/>
  <c r="O324" i="64"/>
  <c r="G324" i="64"/>
  <c r="K324" i="64"/>
  <c r="R325" i="64"/>
  <c r="L325" i="64"/>
  <c r="H325" i="64"/>
  <c r="L373" i="64"/>
  <c r="R373" i="64"/>
  <c r="O376" i="64"/>
  <c r="I376" i="64"/>
  <c r="M376" i="64"/>
  <c r="G376" i="64"/>
  <c r="P376" i="64"/>
  <c r="P378" i="64"/>
  <c r="O378" i="64"/>
  <c r="G378" i="64"/>
  <c r="K378" i="64"/>
  <c r="O527" i="64"/>
  <c r="P566" i="64"/>
  <c r="L194" i="64"/>
  <c r="G300" i="64"/>
  <c r="I324" i="64"/>
  <c r="Q325" i="64"/>
  <c r="M329" i="64"/>
  <c r="O329" i="64"/>
  <c r="D197" i="64"/>
  <c r="R197" i="64" s="1"/>
  <c r="N330" i="64"/>
  <c r="H330" i="64"/>
  <c r="J330" i="64"/>
  <c r="R330" i="64"/>
  <c r="J373" i="64"/>
  <c r="H376" i="64"/>
  <c r="Q376" i="64"/>
  <c r="I378" i="64"/>
  <c r="Q603" i="64"/>
  <c r="O603" i="64"/>
  <c r="Q566" i="64"/>
  <c r="L566" i="64"/>
  <c r="F566" i="64"/>
  <c r="N527" i="64"/>
  <c r="H527" i="64"/>
  <c r="N566" i="64"/>
  <c r="H566" i="64"/>
  <c r="P527" i="64"/>
  <c r="J527" i="64"/>
  <c r="K603" i="64"/>
  <c r="J566" i="64"/>
  <c r="L527" i="64"/>
  <c r="F527" i="64"/>
  <c r="D712" i="64"/>
  <c r="N712" i="64" s="1"/>
  <c r="Q331" i="64"/>
  <c r="L331" i="64"/>
  <c r="G331" i="64"/>
  <c r="M331" i="64"/>
  <c r="D259" i="64"/>
  <c r="D275" i="64" s="1"/>
  <c r="D200" i="64"/>
  <c r="D243" i="64" s="1"/>
  <c r="O337" i="64"/>
  <c r="D204" i="64"/>
  <c r="J204" i="64" s="1"/>
  <c r="O343" i="64"/>
  <c r="I343" i="64"/>
  <c r="D268" i="64"/>
  <c r="J268" i="64" s="1"/>
  <c r="D209" i="64"/>
  <c r="R209" i="64" s="1"/>
  <c r="L343" i="64"/>
  <c r="N344" i="64"/>
  <c r="G344" i="64"/>
  <c r="D269" i="64"/>
  <c r="J269" i="64" s="1"/>
  <c r="O344" i="64"/>
  <c r="P357" i="64"/>
  <c r="I357" i="64"/>
  <c r="N357" i="64"/>
  <c r="O364" i="64"/>
  <c r="I364" i="64"/>
  <c r="L364" i="64"/>
  <c r="R365" i="64"/>
  <c r="H365" i="64"/>
  <c r="P366" i="64"/>
  <c r="K366" i="64"/>
  <c r="O366" i="64"/>
  <c r="P374" i="64"/>
  <c r="K374" i="64"/>
  <c r="O374" i="64"/>
  <c r="M584" i="64"/>
  <c r="Q584" i="64"/>
  <c r="J508" i="64"/>
  <c r="N508" i="64"/>
  <c r="I596" i="64"/>
  <c r="K520" i="64"/>
  <c r="P526" i="64"/>
  <c r="K526" i="64"/>
  <c r="L559" i="64"/>
  <c r="K368" i="64"/>
  <c r="M386" i="64"/>
  <c r="O509" i="64"/>
  <c r="L517" i="64"/>
  <c r="J519" i="64"/>
  <c r="O519" i="64"/>
  <c r="I548" i="64"/>
  <c r="L555" i="64"/>
  <c r="J556" i="64"/>
  <c r="I557" i="64"/>
  <c r="I558" i="64"/>
  <c r="N558" i="64"/>
  <c r="P595" i="64"/>
  <c r="B1496" i="79"/>
  <c r="W200" i="79"/>
  <c r="V1330" i="79" s="1"/>
  <c r="W195" i="79"/>
  <c r="V1329" i="79" s="1"/>
  <c r="W190" i="79"/>
  <c r="V1328" i="79" s="1"/>
  <c r="W180" i="79"/>
  <c r="V1327" i="79" s="1"/>
  <c r="B1548" i="79"/>
  <c r="W344" i="79"/>
  <c r="V1343" i="79" s="1"/>
  <c r="W354" i="79"/>
  <c r="V1344" i="79" s="1"/>
  <c r="W359" i="79"/>
  <c r="V1345" i="79" s="1"/>
  <c r="W364" i="79"/>
  <c r="V1346" i="79" s="1"/>
  <c r="B1600" i="79"/>
  <c r="W508" i="79"/>
  <c r="V1359" i="79" s="1"/>
  <c r="W523" i="79"/>
  <c r="V1361" i="79" s="1"/>
  <c r="W528" i="79"/>
  <c r="V1362" i="79" s="1"/>
  <c r="W518" i="79"/>
  <c r="V1360" i="79" s="1"/>
  <c r="AT180" i="79"/>
  <c r="AS1327" i="79" s="1"/>
  <c r="Y1496" i="79"/>
  <c r="AT190" i="79"/>
  <c r="AS1328" i="79" s="1"/>
  <c r="AT195" i="79"/>
  <c r="AS1329" i="79" s="1"/>
  <c r="AT200" i="79"/>
  <c r="AS1330" i="79" s="1"/>
  <c r="AT364" i="79"/>
  <c r="AS1346" i="79" s="1"/>
  <c r="AT359" i="79"/>
  <c r="AS1345" i="79" s="1"/>
  <c r="AT354" i="79"/>
  <c r="AS1344" i="79" s="1"/>
  <c r="Y1548" i="79"/>
  <c r="AT344" i="79"/>
  <c r="AS1343" i="79" s="1"/>
  <c r="B3198" i="79"/>
  <c r="Y1600" i="79"/>
  <c r="AT508" i="79"/>
  <c r="AS1359" i="79" s="1"/>
  <c r="Y1359" i="79"/>
  <c r="AT528" i="79"/>
  <c r="AS1362" i="79" s="1"/>
  <c r="AT523" i="79"/>
  <c r="AS1361" i="79" s="1"/>
  <c r="AT518" i="79"/>
  <c r="AS1360" i="79" s="1"/>
  <c r="G193" i="64"/>
  <c r="K193" i="64"/>
  <c r="O193" i="64"/>
  <c r="I194" i="64"/>
  <c r="M194" i="64"/>
  <c r="Q194" i="64"/>
  <c r="K199" i="64"/>
  <c r="D237" i="64"/>
  <c r="D264" i="64"/>
  <c r="D744" i="64"/>
  <c r="C744" i="64" s="1"/>
  <c r="C673" i="64"/>
  <c r="D748" i="64"/>
  <c r="D819" i="64" s="1"/>
  <c r="C677" i="64"/>
  <c r="G299" i="64"/>
  <c r="K299" i="64"/>
  <c r="O299" i="64"/>
  <c r="J300" i="64"/>
  <c r="N300" i="64"/>
  <c r="R300" i="64"/>
  <c r="D756" i="64"/>
  <c r="F756" i="64" s="1"/>
  <c r="C685" i="64"/>
  <c r="C689" i="64"/>
  <c r="D760" i="64"/>
  <c r="D764" i="64"/>
  <c r="F764" i="64" s="1"/>
  <c r="C693" i="64"/>
  <c r="G315" i="64"/>
  <c r="K315" i="64"/>
  <c r="O315" i="64"/>
  <c r="D772" i="64"/>
  <c r="C701" i="64"/>
  <c r="J324" i="64"/>
  <c r="N324" i="64"/>
  <c r="R324" i="64"/>
  <c r="I325" i="64"/>
  <c r="M325" i="64"/>
  <c r="D710" i="64"/>
  <c r="P329" i="64"/>
  <c r="L329" i="64"/>
  <c r="H329" i="64"/>
  <c r="K329" i="64"/>
  <c r="Q329" i="64"/>
  <c r="B671" i="79"/>
  <c r="E1367" i="64"/>
  <c r="E1384" i="64" s="1"/>
  <c r="E1401" i="64" s="1"/>
  <c r="D715" i="64"/>
  <c r="G337" i="64"/>
  <c r="M337" i="64"/>
  <c r="R337" i="64"/>
  <c r="J338" i="64"/>
  <c r="B698" i="79"/>
  <c r="D721" i="64"/>
  <c r="E1373" i="64"/>
  <c r="E1390" i="64" s="1"/>
  <c r="E1407" i="64" s="1"/>
  <c r="B15" i="71"/>
  <c r="B129" i="74"/>
  <c r="B441" i="77"/>
  <c r="B235" i="74" s="1"/>
  <c r="B1442" i="79"/>
  <c r="B859" i="79"/>
  <c r="B733" i="79"/>
  <c r="E641" i="79" s="1"/>
  <c r="B926" i="79"/>
  <c r="C946" i="79" s="1"/>
  <c r="E1418" i="64"/>
  <c r="U349" i="64"/>
  <c r="B159" i="74"/>
  <c r="B18" i="71"/>
  <c r="B444" i="77"/>
  <c r="B238" i="74" s="1"/>
  <c r="B1445" i="79"/>
  <c r="E1421" i="64"/>
  <c r="B865" i="79"/>
  <c r="B995" i="79"/>
  <c r="C1015" i="79" s="1"/>
  <c r="B745" i="79"/>
  <c r="E647" i="79" s="1"/>
  <c r="J355" i="64"/>
  <c r="G356" i="64"/>
  <c r="L356" i="64"/>
  <c r="R356" i="64"/>
  <c r="V356" i="64" s="1"/>
  <c r="X356" i="64" s="1"/>
  <c r="C1449" i="79" s="1"/>
  <c r="Q1449" i="79" s="1"/>
  <c r="B24" i="71"/>
  <c r="B219" i="74"/>
  <c r="B1451" i="79"/>
  <c r="B450" i="77"/>
  <c r="B244" i="74" s="1"/>
  <c r="B877" i="79"/>
  <c r="B769" i="79"/>
  <c r="E659" i="79" s="1"/>
  <c r="B1133" i="79"/>
  <c r="C1153" i="79" s="1"/>
  <c r="E1427" i="64"/>
  <c r="Q358" i="64"/>
  <c r="M358" i="64"/>
  <c r="I358" i="64"/>
  <c r="K358" i="64"/>
  <c r="P358" i="64"/>
  <c r="B568" i="74"/>
  <c r="B436" i="74"/>
  <c r="B796" i="79"/>
  <c r="K651" i="79" s="1"/>
  <c r="C353" i="74" s="1"/>
  <c r="E1436" i="64"/>
  <c r="Q367" i="64"/>
  <c r="M367" i="64"/>
  <c r="I367" i="64"/>
  <c r="O367" i="64"/>
  <c r="K367" i="64"/>
  <c r="G367" i="64"/>
  <c r="N367" i="64"/>
  <c r="H375" i="64"/>
  <c r="P375" i="64"/>
  <c r="B577" i="74"/>
  <c r="B535" i="74"/>
  <c r="B825" i="79"/>
  <c r="Q651" i="79" s="1"/>
  <c r="I353" i="74" s="1"/>
  <c r="E1446" i="64"/>
  <c r="O377" i="64"/>
  <c r="K377" i="64"/>
  <c r="G377" i="64"/>
  <c r="Q377" i="64"/>
  <c r="M377" i="64"/>
  <c r="I377" i="64"/>
  <c r="N377" i="64"/>
  <c r="G385" i="64"/>
  <c r="F589" i="64"/>
  <c r="N600" i="64"/>
  <c r="J600" i="64"/>
  <c r="F600" i="64"/>
  <c r="Q600" i="64"/>
  <c r="L600" i="64"/>
  <c r="G600" i="64"/>
  <c r="O563" i="64"/>
  <c r="K563" i="64"/>
  <c r="G563" i="64"/>
  <c r="P524" i="64"/>
  <c r="L524" i="64"/>
  <c r="H524" i="64"/>
  <c r="P600" i="64"/>
  <c r="K600" i="64"/>
  <c r="N563" i="64"/>
  <c r="J563" i="64"/>
  <c r="F563" i="64"/>
  <c r="O600" i="64"/>
  <c r="I600" i="64"/>
  <c r="M600" i="64"/>
  <c r="H600" i="64"/>
  <c r="M563" i="64"/>
  <c r="N524" i="64"/>
  <c r="I524" i="64"/>
  <c r="L563" i="64"/>
  <c r="M524" i="64"/>
  <c r="G524" i="64"/>
  <c r="Q563" i="64"/>
  <c r="I563" i="64"/>
  <c r="Q524" i="64"/>
  <c r="K524" i="64"/>
  <c r="F524" i="64"/>
  <c r="J528" i="64"/>
  <c r="I567" i="64"/>
  <c r="B1483" i="79"/>
  <c r="W159" i="79"/>
  <c r="V1326" i="79" s="1"/>
  <c r="W154" i="79"/>
  <c r="V1325" i="79" s="1"/>
  <c r="W149" i="79"/>
  <c r="V1324" i="79" s="1"/>
  <c r="W139" i="79"/>
  <c r="V1323" i="79" s="1"/>
  <c r="B1535" i="79"/>
  <c r="W323" i="79"/>
  <c r="V1342" i="79" s="1"/>
  <c r="W318" i="79"/>
  <c r="V1341" i="79" s="1"/>
  <c r="W313" i="79"/>
  <c r="V1340" i="79" s="1"/>
  <c r="W303" i="79"/>
  <c r="V1339" i="79" s="1"/>
  <c r="B1587" i="79"/>
  <c r="W487" i="79"/>
  <c r="V1358" i="79" s="1"/>
  <c r="W482" i="79"/>
  <c r="V1357" i="79" s="1"/>
  <c r="W477" i="79"/>
  <c r="V1356" i="79" s="1"/>
  <c r="W467" i="79"/>
  <c r="V1355" i="79" s="1"/>
  <c r="AT57" i="79"/>
  <c r="AS1315" i="79" s="1"/>
  <c r="Y1457" i="79"/>
  <c r="AT77" i="79"/>
  <c r="AS1318" i="79" s="1"/>
  <c r="AT73" i="79"/>
  <c r="AS1317" i="79" s="1"/>
  <c r="AT68" i="79"/>
  <c r="AS1316" i="79" s="1"/>
  <c r="AT149" i="79"/>
  <c r="AS1324" i="79" s="1"/>
  <c r="Y1483" i="79"/>
  <c r="AT159" i="79"/>
  <c r="AS1326" i="79" s="1"/>
  <c r="AT139" i="79"/>
  <c r="AS1323" i="79" s="1"/>
  <c r="AT154" i="79"/>
  <c r="AS1325" i="79" s="1"/>
  <c r="Y1535" i="79"/>
  <c r="AT323" i="79"/>
  <c r="AS1342" i="79" s="1"/>
  <c r="AT313" i="79"/>
  <c r="AS1340" i="79" s="1"/>
  <c r="AT303" i="79"/>
  <c r="AS1339" i="79" s="1"/>
  <c r="AT318" i="79"/>
  <c r="AS1341" i="79" s="1"/>
  <c r="AT467" i="79"/>
  <c r="AS1355" i="79" s="1"/>
  <c r="Y1587" i="79"/>
  <c r="AT477" i="79"/>
  <c r="AS1356" i="79" s="1"/>
  <c r="AT482" i="79"/>
  <c r="AS1357" i="79" s="1"/>
  <c r="AT487" i="79"/>
  <c r="AS1358" i="79" s="1"/>
  <c r="H193" i="64"/>
  <c r="L193" i="64"/>
  <c r="P193" i="64"/>
  <c r="J194" i="64"/>
  <c r="N194" i="64"/>
  <c r="R194" i="64"/>
  <c r="N198" i="64"/>
  <c r="N210" i="64"/>
  <c r="D745" i="64"/>
  <c r="F745" i="64" s="1"/>
  <c r="C674" i="64"/>
  <c r="D749" i="64"/>
  <c r="C678" i="64"/>
  <c r="H299" i="64"/>
  <c r="L299" i="64"/>
  <c r="P299" i="64"/>
  <c r="D757" i="64"/>
  <c r="D828" i="64" s="1"/>
  <c r="C686" i="64"/>
  <c r="D761" i="64"/>
  <c r="F761" i="64" s="1"/>
  <c r="C690" i="64"/>
  <c r="C694" i="64"/>
  <c r="D765" i="64"/>
  <c r="C765" i="64" s="1"/>
  <c r="H315" i="64"/>
  <c r="L315" i="64"/>
  <c r="P315" i="64"/>
  <c r="D769" i="64"/>
  <c r="D840" i="64" s="1"/>
  <c r="C698" i="64"/>
  <c r="C702" i="64"/>
  <c r="D773" i="64"/>
  <c r="C773" i="64" s="1"/>
  <c r="D706" i="64"/>
  <c r="P325" i="64"/>
  <c r="J325" i="64"/>
  <c r="N325" i="64"/>
  <c r="I337" i="64"/>
  <c r="N337" i="64"/>
  <c r="B691" i="79"/>
  <c r="E1371" i="64"/>
  <c r="E1388" i="64" s="1"/>
  <c r="E1405" i="64" s="1"/>
  <c r="D719" i="64"/>
  <c r="O338" i="64"/>
  <c r="K338" i="64"/>
  <c r="G338" i="64"/>
  <c r="L338" i="64"/>
  <c r="Q338" i="64"/>
  <c r="B703" i="79"/>
  <c r="E1374" i="64"/>
  <c r="E1391" i="64" s="1"/>
  <c r="E1408" i="64" s="1"/>
  <c r="D722" i="64"/>
  <c r="B109" i="74"/>
  <c r="B13" i="71"/>
  <c r="B439" i="77"/>
  <c r="B233" i="74" s="1"/>
  <c r="B725" i="79"/>
  <c r="E637" i="79" s="1"/>
  <c r="B1440" i="79"/>
  <c r="B855" i="79"/>
  <c r="E1416" i="64"/>
  <c r="B880" i="79"/>
  <c r="C900" i="79" s="1"/>
  <c r="U347" i="64"/>
  <c r="Y347" i="64" s="1"/>
  <c r="B16" i="71"/>
  <c r="B139" i="74"/>
  <c r="B1443" i="79"/>
  <c r="B861" i="79"/>
  <c r="B737" i="79"/>
  <c r="E643" i="79" s="1"/>
  <c r="B442" i="77"/>
  <c r="B236" i="74" s="1"/>
  <c r="E1419" i="64"/>
  <c r="B949" i="79"/>
  <c r="C969" i="79" s="1"/>
  <c r="B189" i="74"/>
  <c r="B21" i="71"/>
  <c r="B757" i="79"/>
  <c r="E653" i="79" s="1"/>
  <c r="B447" i="77"/>
  <c r="B241" i="74" s="1"/>
  <c r="B1448" i="79"/>
  <c r="B871" i="79"/>
  <c r="E1424" i="64"/>
  <c r="B1064" i="79"/>
  <c r="C1084" i="79" s="1"/>
  <c r="U355" i="64"/>
  <c r="O355" i="64"/>
  <c r="K355" i="64"/>
  <c r="G355" i="64"/>
  <c r="L355" i="64"/>
  <c r="Q355" i="64"/>
  <c r="H356" i="64"/>
  <c r="N356" i="64"/>
  <c r="U356" i="64"/>
  <c r="Y356" i="64" s="1"/>
  <c r="B562" i="74"/>
  <c r="B370" i="74"/>
  <c r="E1430" i="64"/>
  <c r="B778" i="79"/>
  <c r="K639" i="79" s="1"/>
  <c r="C341" i="74" s="1"/>
  <c r="B573" i="74"/>
  <c r="B491" i="74"/>
  <c r="B813" i="79"/>
  <c r="E1442" i="64"/>
  <c r="O373" i="64"/>
  <c r="K373" i="64"/>
  <c r="G373" i="64"/>
  <c r="Q373" i="64"/>
  <c r="M373" i="64"/>
  <c r="I373" i="64"/>
  <c r="N373" i="64"/>
  <c r="J375" i="64"/>
  <c r="R375" i="64"/>
  <c r="O528" i="64"/>
  <c r="B1470" i="79"/>
  <c r="W98" i="79"/>
  <c r="V1319" i="79" s="1"/>
  <c r="W113" i="79"/>
  <c r="V1321" i="79" s="1"/>
  <c r="W118" i="79"/>
  <c r="V1322" i="79" s="1"/>
  <c r="W108" i="79"/>
  <c r="V1320" i="79" s="1"/>
  <c r="B1522" i="79"/>
  <c r="W272" i="79"/>
  <c r="V1336" i="79" s="1"/>
  <c r="W277" i="79"/>
  <c r="V1337" i="79" s="1"/>
  <c r="W282" i="79"/>
  <c r="V1338" i="79" s="1"/>
  <c r="W262" i="79"/>
  <c r="V1335" i="79" s="1"/>
  <c r="B1574" i="79"/>
  <c r="W446" i="79"/>
  <c r="V1354" i="79" s="1"/>
  <c r="W441" i="79"/>
  <c r="V1353" i="79" s="1"/>
  <c r="W436" i="79"/>
  <c r="V1352" i="79" s="1"/>
  <c r="W426" i="79"/>
  <c r="V1351" i="79" s="1"/>
  <c r="Y1470" i="79"/>
  <c r="AT113" i="79"/>
  <c r="AS1321" i="79" s="1"/>
  <c r="AT118" i="79"/>
  <c r="AS1322" i="79" s="1"/>
  <c r="AT108" i="79"/>
  <c r="AS1320" i="79" s="1"/>
  <c r="AT98" i="79"/>
  <c r="AS1319" i="79" s="1"/>
  <c r="Y1522" i="79"/>
  <c r="AT282" i="79"/>
  <c r="AS1338" i="79" s="1"/>
  <c r="AT277" i="79"/>
  <c r="AS1337" i="79" s="1"/>
  <c r="AT272" i="79"/>
  <c r="AS1336" i="79" s="1"/>
  <c r="AT262" i="79"/>
  <c r="AS1335" i="79" s="1"/>
  <c r="AT446" i="79"/>
  <c r="AS1354" i="79" s="1"/>
  <c r="AT441" i="79"/>
  <c r="AS1353" i="79" s="1"/>
  <c r="AT436" i="79"/>
  <c r="AS1352" i="79" s="1"/>
  <c r="Y1574" i="79"/>
  <c r="AT426" i="79"/>
  <c r="AS1351" i="79" s="1"/>
  <c r="I193" i="64"/>
  <c r="M193" i="64"/>
  <c r="Q193" i="64"/>
  <c r="G194" i="64"/>
  <c r="K194" i="64"/>
  <c r="M199" i="64"/>
  <c r="D236" i="64"/>
  <c r="D263" i="64"/>
  <c r="L268" i="64"/>
  <c r="C679" i="64"/>
  <c r="D750" i="64"/>
  <c r="D821" i="64" s="1"/>
  <c r="I299" i="64"/>
  <c r="M299" i="64"/>
  <c r="Q299" i="64"/>
  <c r="H300" i="64"/>
  <c r="L300" i="64"/>
  <c r="P300" i="64"/>
  <c r="C683" i="64"/>
  <c r="D754" i="64"/>
  <c r="D825" i="64" s="1"/>
  <c r="D758" i="64"/>
  <c r="C687" i="64"/>
  <c r="C691" i="64"/>
  <c r="D762" i="64"/>
  <c r="D833" i="64" s="1"/>
  <c r="D766" i="64"/>
  <c r="C695" i="64"/>
  <c r="I315" i="64"/>
  <c r="M315" i="64"/>
  <c r="Q315" i="64"/>
  <c r="D770" i="64"/>
  <c r="C770" i="64" s="1"/>
  <c r="C699" i="64"/>
  <c r="C703" i="64"/>
  <c r="D774" i="64"/>
  <c r="H324" i="64"/>
  <c r="L324" i="64"/>
  <c r="P324" i="64"/>
  <c r="G325" i="64"/>
  <c r="K325" i="64"/>
  <c r="O325" i="64"/>
  <c r="I329" i="64"/>
  <c r="N329" i="64"/>
  <c r="D711" i="64"/>
  <c r="O330" i="64"/>
  <c r="K330" i="64"/>
  <c r="G330" i="64"/>
  <c r="L330" i="64"/>
  <c r="Q330" i="64"/>
  <c r="B681" i="79"/>
  <c r="E1369" i="64"/>
  <c r="E1386" i="64" s="1"/>
  <c r="E1403" i="64" s="1"/>
  <c r="D717" i="64"/>
  <c r="J337" i="64"/>
  <c r="H338" i="64"/>
  <c r="M338" i="64"/>
  <c r="R338" i="64"/>
  <c r="D723" i="64"/>
  <c r="B708" i="79"/>
  <c r="E1375" i="64"/>
  <c r="E1392" i="64" s="1"/>
  <c r="E1409" i="64" s="1"/>
  <c r="G342" i="64"/>
  <c r="B718" i="79"/>
  <c r="D725" i="64"/>
  <c r="E1377" i="64"/>
  <c r="E1394" i="64" s="1"/>
  <c r="E1411" i="64" s="1"/>
  <c r="Q344" i="64"/>
  <c r="M344" i="64"/>
  <c r="I344" i="64"/>
  <c r="K344" i="64"/>
  <c r="P344" i="64"/>
  <c r="B119" i="74"/>
  <c r="B14" i="71"/>
  <c r="B440" i="77"/>
  <c r="B234" i="74" s="1"/>
  <c r="B1441" i="79"/>
  <c r="E1417" i="64"/>
  <c r="B857" i="79"/>
  <c r="B903" i="79"/>
  <c r="C923" i="79" s="1"/>
  <c r="B729" i="79"/>
  <c r="E639" i="79" s="1"/>
  <c r="U350" i="64"/>
  <c r="Y350" i="64" s="1"/>
  <c r="B19" i="71"/>
  <c r="B169" i="74"/>
  <c r="B445" i="77"/>
  <c r="B239" i="74" s="1"/>
  <c r="B1446" i="79"/>
  <c r="B867" i="79"/>
  <c r="B749" i="79"/>
  <c r="E649" i="79" s="1"/>
  <c r="B1018" i="79"/>
  <c r="C1038" i="79" s="1"/>
  <c r="E1422" i="64"/>
  <c r="U353" i="64"/>
  <c r="C170" i="74" s="1"/>
  <c r="H355" i="64"/>
  <c r="M355" i="64"/>
  <c r="R355" i="64"/>
  <c r="V355" i="64" s="1"/>
  <c r="X355" i="64" s="1"/>
  <c r="C1448" i="79" s="1"/>
  <c r="Q1448" i="79" s="1"/>
  <c r="J356" i="64"/>
  <c r="B23" i="71"/>
  <c r="B209" i="74"/>
  <c r="B1450" i="79"/>
  <c r="B449" i="77"/>
  <c r="B243" i="74" s="1"/>
  <c r="B875" i="79"/>
  <c r="B765" i="79"/>
  <c r="E657" i="79" s="1"/>
  <c r="E1426" i="64"/>
  <c r="B1110" i="79"/>
  <c r="C1130" i="79" s="1"/>
  <c r="U357" i="64"/>
  <c r="Y357" i="64" s="1"/>
  <c r="O357" i="64"/>
  <c r="K357" i="64"/>
  <c r="E23" i="71" s="1"/>
  <c r="G357" i="64"/>
  <c r="L357" i="64"/>
  <c r="Q357" i="64"/>
  <c r="H358" i="64"/>
  <c r="N358" i="64"/>
  <c r="U358" i="64"/>
  <c r="Y358" i="64" s="1"/>
  <c r="B381" i="74"/>
  <c r="B563" i="74"/>
  <c r="B584" i="74" s="1"/>
  <c r="B781" i="79"/>
  <c r="K641" i="79" s="1"/>
  <c r="C343" i="74" s="1"/>
  <c r="E1431" i="64"/>
  <c r="B566" i="74"/>
  <c r="B414" i="74"/>
  <c r="B790" i="79"/>
  <c r="K647" i="79" s="1"/>
  <c r="C349" i="74" s="1"/>
  <c r="E1434" i="64"/>
  <c r="O365" i="64"/>
  <c r="K365" i="64"/>
  <c r="G365" i="64"/>
  <c r="Q365" i="64"/>
  <c r="M365" i="64"/>
  <c r="I365" i="64"/>
  <c r="N365" i="64"/>
  <c r="J367" i="64"/>
  <c r="R367" i="64"/>
  <c r="H373" i="64"/>
  <c r="P373" i="64"/>
  <c r="J377" i="64"/>
  <c r="R377" i="64"/>
  <c r="Q1040" i="64"/>
  <c r="AF1040" i="64" s="1"/>
  <c r="B1040" i="64" s="1"/>
  <c r="B1258" i="64" s="1"/>
  <c r="F577" i="64"/>
  <c r="Q1044" i="64"/>
  <c r="AF1044" i="64" s="1"/>
  <c r="F581" i="64"/>
  <c r="N602" i="64"/>
  <c r="J602" i="64"/>
  <c r="F602" i="64"/>
  <c r="O602" i="64"/>
  <c r="I602" i="64"/>
  <c r="O565" i="64"/>
  <c r="K565" i="64"/>
  <c r="G565" i="64"/>
  <c r="N526" i="64"/>
  <c r="J526" i="64"/>
  <c r="F526" i="64"/>
  <c r="M602" i="64"/>
  <c r="H602" i="64"/>
  <c r="N565" i="64"/>
  <c r="J565" i="64"/>
  <c r="F565" i="64"/>
  <c r="Q602" i="64"/>
  <c r="L602" i="64"/>
  <c r="G602" i="64"/>
  <c r="P602" i="64"/>
  <c r="K602" i="64"/>
  <c r="M565" i="64"/>
  <c r="O526" i="64"/>
  <c r="I526" i="64"/>
  <c r="L565" i="64"/>
  <c r="M526" i="64"/>
  <c r="H526" i="64"/>
  <c r="Q565" i="64"/>
  <c r="I565" i="64"/>
  <c r="Q526" i="64"/>
  <c r="L526" i="64"/>
  <c r="G526" i="64"/>
  <c r="P565" i="64"/>
  <c r="B1457" i="79"/>
  <c r="W77" i="79"/>
  <c r="V1318" i="79" s="1"/>
  <c r="W68" i="79"/>
  <c r="V1316" i="79" s="1"/>
  <c r="W73" i="79"/>
  <c r="V1317" i="79" s="1"/>
  <c r="W57" i="79"/>
  <c r="V1315" i="79" s="1"/>
  <c r="B1509" i="79"/>
  <c r="W221" i="79"/>
  <c r="V1331" i="79" s="1"/>
  <c r="W241" i="79"/>
  <c r="V1334" i="79" s="1"/>
  <c r="W236" i="79"/>
  <c r="V1333" i="79" s="1"/>
  <c r="W231" i="79"/>
  <c r="V1332" i="79" s="1"/>
  <c r="B1561" i="79"/>
  <c r="W385" i="79"/>
  <c r="V1347" i="79" s="1"/>
  <c r="W405" i="79"/>
  <c r="V1350" i="79" s="1"/>
  <c r="W400" i="79"/>
  <c r="V1349" i="79" s="1"/>
  <c r="W395" i="79"/>
  <c r="V1348" i="79" s="1"/>
  <c r="Y1509" i="79"/>
  <c r="AT221" i="79"/>
  <c r="AS1331" i="79" s="1"/>
  <c r="AT241" i="79"/>
  <c r="AS1334" i="79" s="1"/>
  <c r="AT231" i="79"/>
  <c r="AS1332" i="79" s="1"/>
  <c r="AT236" i="79"/>
  <c r="AS1333" i="79" s="1"/>
  <c r="Y1561" i="79"/>
  <c r="AT405" i="79"/>
  <c r="AS1350" i="79" s="1"/>
  <c r="AT400" i="79"/>
  <c r="AS1349" i="79" s="1"/>
  <c r="AT395" i="79"/>
  <c r="AS1348" i="79" s="1"/>
  <c r="AT385" i="79"/>
  <c r="AS1347" i="79" s="1"/>
  <c r="J193" i="64"/>
  <c r="N193" i="64"/>
  <c r="J199" i="64"/>
  <c r="D743" i="64"/>
  <c r="D814" i="64" s="1"/>
  <c r="C814" i="64" s="1"/>
  <c r="C672" i="64"/>
  <c r="C676" i="64"/>
  <c r="D747" i="64"/>
  <c r="C747" i="64" s="1"/>
  <c r="Q680" i="64"/>
  <c r="M680" i="64"/>
  <c r="I680" i="64"/>
  <c r="L680" i="64"/>
  <c r="G680" i="64"/>
  <c r="P680" i="64"/>
  <c r="K680" i="64"/>
  <c r="F680" i="64"/>
  <c r="D751" i="64"/>
  <c r="O680" i="64"/>
  <c r="J680" i="64"/>
  <c r="C680" i="64"/>
  <c r="N680" i="64"/>
  <c r="H680" i="64"/>
  <c r="J299" i="64"/>
  <c r="N299" i="64"/>
  <c r="R299" i="64"/>
  <c r="J315" i="64"/>
  <c r="N315" i="64"/>
  <c r="R315" i="64"/>
  <c r="D780" i="64"/>
  <c r="F780" i="64" s="1"/>
  <c r="C709" i="64"/>
  <c r="B666" i="79"/>
  <c r="D714" i="64"/>
  <c r="E1366" i="64"/>
  <c r="E1383" i="64" s="1"/>
  <c r="E1400" i="64" s="1"/>
  <c r="D718" i="64"/>
  <c r="B686" i="79"/>
  <c r="E1370" i="64"/>
  <c r="E1387" i="64" s="1"/>
  <c r="E1404" i="64" s="1"/>
  <c r="P337" i="64"/>
  <c r="L337" i="64"/>
  <c r="H337" i="64"/>
  <c r="K337" i="64"/>
  <c r="Q337" i="64"/>
  <c r="B149" i="74"/>
  <c r="B443" i="77"/>
  <c r="B237" i="74" s="1"/>
  <c r="B17" i="71"/>
  <c r="B1444" i="79"/>
  <c r="B741" i="79"/>
  <c r="E645" i="79" s="1"/>
  <c r="E1420" i="64"/>
  <c r="B863" i="79"/>
  <c r="B972" i="79"/>
  <c r="C992" i="79" s="1"/>
  <c r="U351" i="64"/>
  <c r="Y351" i="64" s="1"/>
  <c r="B20" i="71"/>
  <c r="B446" i="77"/>
  <c r="B240" i="74" s="1"/>
  <c r="B1447" i="79"/>
  <c r="B179" i="74"/>
  <c r="B869" i="79"/>
  <c r="B753" i="79"/>
  <c r="E651" i="79" s="1"/>
  <c r="B1041" i="79"/>
  <c r="C1061" i="79" s="1"/>
  <c r="E1423" i="64"/>
  <c r="B199" i="74"/>
  <c r="B22" i="71"/>
  <c r="B448" i="77"/>
  <c r="B242" i="74" s="1"/>
  <c r="B1449" i="79"/>
  <c r="E1425" i="64"/>
  <c r="B873" i="79"/>
  <c r="B1087" i="79"/>
  <c r="C1107" i="79" s="1"/>
  <c r="B761" i="79"/>
  <c r="E655" i="79" s="1"/>
  <c r="Q356" i="64"/>
  <c r="M356" i="64"/>
  <c r="I356" i="64"/>
  <c r="K356" i="64"/>
  <c r="P356" i="64"/>
  <c r="B564" i="74"/>
  <c r="B392" i="74"/>
  <c r="B784" i="79"/>
  <c r="K643" i="79" s="1"/>
  <c r="C345" i="74" s="1"/>
  <c r="E1432" i="64"/>
  <c r="B571" i="74"/>
  <c r="B469" i="74"/>
  <c r="B807" i="79"/>
  <c r="Q639" i="79" s="1"/>
  <c r="I341" i="74" s="1"/>
  <c r="E1440" i="64"/>
  <c r="B575" i="74"/>
  <c r="B819" i="79"/>
  <c r="Q647" i="79" s="1"/>
  <c r="I349" i="74" s="1"/>
  <c r="B513" i="74"/>
  <c r="E1444" i="64"/>
  <c r="Q375" i="64"/>
  <c r="M375" i="64"/>
  <c r="I375" i="64"/>
  <c r="O375" i="64"/>
  <c r="K375" i="64"/>
  <c r="G375" i="64"/>
  <c r="N375" i="64"/>
  <c r="N604" i="64"/>
  <c r="J604" i="64"/>
  <c r="F604" i="64"/>
  <c r="Q604" i="64"/>
  <c r="L604" i="64"/>
  <c r="G604" i="64"/>
  <c r="O567" i="64"/>
  <c r="K567" i="64"/>
  <c r="G567" i="64"/>
  <c r="P528" i="64"/>
  <c r="L528" i="64"/>
  <c r="H528" i="64"/>
  <c r="P604" i="64"/>
  <c r="K604" i="64"/>
  <c r="N567" i="64"/>
  <c r="J567" i="64"/>
  <c r="F567" i="64"/>
  <c r="O604" i="64"/>
  <c r="I604" i="64"/>
  <c r="M604" i="64"/>
  <c r="H604" i="64"/>
  <c r="P567" i="64"/>
  <c r="H567" i="64"/>
  <c r="N528" i="64"/>
  <c r="I528" i="64"/>
  <c r="M567" i="64"/>
  <c r="M528" i="64"/>
  <c r="G528" i="64"/>
  <c r="L567" i="64"/>
  <c r="Q528" i="64"/>
  <c r="K528" i="64"/>
  <c r="F528" i="64"/>
  <c r="J331" i="64"/>
  <c r="N331" i="64"/>
  <c r="R331" i="64"/>
  <c r="B676" i="79"/>
  <c r="E1368" i="64"/>
  <c r="E1385" i="64" s="1"/>
  <c r="E1402" i="64" s="1"/>
  <c r="D716" i="64"/>
  <c r="E1376" i="64"/>
  <c r="E1393" i="64" s="1"/>
  <c r="E1410" i="64" s="1"/>
  <c r="B713" i="79"/>
  <c r="D724" i="64"/>
  <c r="J343" i="64"/>
  <c r="N343" i="64"/>
  <c r="R343" i="64"/>
  <c r="B359" i="74"/>
  <c r="B561" i="74"/>
  <c r="B775" i="79"/>
  <c r="K637" i="79" s="1"/>
  <c r="C339" i="74" s="1"/>
  <c r="E1429" i="64"/>
  <c r="B565" i="74"/>
  <c r="B403" i="74"/>
  <c r="B787" i="79"/>
  <c r="K645" i="79" s="1"/>
  <c r="C347" i="74" s="1"/>
  <c r="E1433" i="64"/>
  <c r="J364" i="64"/>
  <c r="N364" i="64"/>
  <c r="R364" i="64"/>
  <c r="H366" i="64"/>
  <c r="L366" i="64"/>
  <c r="B569" i="74"/>
  <c r="B447" i="74"/>
  <c r="B799" i="79"/>
  <c r="K653" i="79" s="1"/>
  <c r="C355" i="74" s="1"/>
  <c r="E1437" i="64"/>
  <c r="J368" i="64"/>
  <c r="N368" i="64"/>
  <c r="R368" i="64"/>
  <c r="B572" i="74"/>
  <c r="B480" i="74"/>
  <c r="B810" i="79"/>
  <c r="Q641" i="79" s="1"/>
  <c r="I343" i="74" s="1"/>
  <c r="E1441" i="64"/>
  <c r="H374" i="64"/>
  <c r="L374" i="64"/>
  <c r="B576" i="74"/>
  <c r="B524" i="74"/>
  <c r="B822" i="79"/>
  <c r="Q649" i="79" s="1"/>
  <c r="I351" i="74" s="1"/>
  <c r="E1445" i="64"/>
  <c r="J376" i="64"/>
  <c r="N376" i="64"/>
  <c r="R376" i="64"/>
  <c r="H378" i="64"/>
  <c r="L378" i="64"/>
  <c r="H386" i="64"/>
  <c r="L386" i="64"/>
  <c r="P386" i="64"/>
  <c r="F574" i="64"/>
  <c r="F578" i="64"/>
  <c r="Q1041" i="64"/>
  <c r="AF1041" i="64" s="1"/>
  <c r="Q1045" i="64"/>
  <c r="AF1045" i="64" s="1"/>
  <c r="B1045" i="64" s="1"/>
  <c r="F582" i="64"/>
  <c r="H507" i="64"/>
  <c r="L507" i="64"/>
  <c r="P507" i="64"/>
  <c r="G508" i="64"/>
  <c r="K508" i="64"/>
  <c r="P508" i="64"/>
  <c r="H509" i="64"/>
  <c r="M509" i="64"/>
  <c r="F590" i="64"/>
  <c r="G516" i="64"/>
  <c r="M516" i="64"/>
  <c r="N593" i="64"/>
  <c r="P593" i="64"/>
  <c r="K593" i="64"/>
  <c r="G593" i="64"/>
  <c r="O556" i="64"/>
  <c r="K556" i="64"/>
  <c r="G556" i="64"/>
  <c r="O517" i="64"/>
  <c r="K517" i="64"/>
  <c r="G517" i="64"/>
  <c r="O593" i="64"/>
  <c r="J593" i="64"/>
  <c r="F593" i="64"/>
  <c r="J517" i="64"/>
  <c r="P517" i="64"/>
  <c r="H518" i="64"/>
  <c r="M518" i="64"/>
  <c r="G520" i="64"/>
  <c r="M520" i="64"/>
  <c r="F597" i="64"/>
  <c r="I525" i="64"/>
  <c r="N525" i="64"/>
  <c r="I529" i="64"/>
  <c r="N529" i="64"/>
  <c r="H546" i="64"/>
  <c r="M546" i="64"/>
  <c r="F547" i="64"/>
  <c r="L547" i="64"/>
  <c r="Q547" i="64"/>
  <c r="J548" i="64"/>
  <c r="P548" i="64"/>
  <c r="H555" i="64"/>
  <c r="M555" i="64"/>
  <c r="F556" i="64"/>
  <c r="L556" i="64"/>
  <c r="Q556" i="64"/>
  <c r="L557" i="64"/>
  <c r="M559" i="64"/>
  <c r="M564" i="64"/>
  <c r="H568" i="64"/>
  <c r="H583" i="64"/>
  <c r="L584" i="64"/>
  <c r="H585" i="64"/>
  <c r="P585" i="64"/>
  <c r="H592" i="64"/>
  <c r="P592" i="64"/>
  <c r="L593" i="64"/>
  <c r="K594" i="64"/>
  <c r="H596" i="64"/>
  <c r="Q1038" i="64"/>
  <c r="AF1038" i="64" s="1"/>
  <c r="F575" i="64"/>
  <c r="F579" i="64"/>
  <c r="Q1042" i="64"/>
  <c r="Q1046" i="64"/>
  <c r="AA1046" i="64" s="1"/>
  <c r="O583" i="64"/>
  <c r="K583" i="64"/>
  <c r="G583" i="64"/>
  <c r="O546" i="64"/>
  <c r="K546" i="64"/>
  <c r="G546" i="64"/>
  <c r="N583" i="64"/>
  <c r="J583" i="64"/>
  <c r="F583" i="64"/>
  <c r="I507" i="64"/>
  <c r="M507" i="64"/>
  <c r="Q507" i="64"/>
  <c r="I516" i="64"/>
  <c r="N516" i="64"/>
  <c r="I518" i="64"/>
  <c r="O518" i="64"/>
  <c r="I520" i="64"/>
  <c r="N520" i="64"/>
  <c r="F598" i="64"/>
  <c r="N601" i="64"/>
  <c r="J601" i="64"/>
  <c r="F601" i="64"/>
  <c r="P601" i="64"/>
  <c r="K601" i="64"/>
  <c r="O564" i="64"/>
  <c r="K564" i="64"/>
  <c r="G564" i="64"/>
  <c r="O525" i="64"/>
  <c r="K525" i="64"/>
  <c r="G525" i="64"/>
  <c r="O601" i="64"/>
  <c r="I601" i="64"/>
  <c r="N564" i="64"/>
  <c r="J564" i="64"/>
  <c r="F564" i="64"/>
  <c r="M601" i="64"/>
  <c r="H601" i="64"/>
  <c r="J525" i="64"/>
  <c r="P525" i="64"/>
  <c r="N605" i="64"/>
  <c r="J605" i="64"/>
  <c r="F605" i="64"/>
  <c r="P605" i="64"/>
  <c r="K605" i="64"/>
  <c r="O568" i="64"/>
  <c r="K568" i="64"/>
  <c r="G568" i="64"/>
  <c r="O529" i="64"/>
  <c r="K529" i="64"/>
  <c r="G529" i="64"/>
  <c r="O605" i="64"/>
  <c r="I605" i="64"/>
  <c r="N568" i="64"/>
  <c r="J568" i="64"/>
  <c r="F568" i="64"/>
  <c r="M605" i="64"/>
  <c r="H605" i="64"/>
  <c r="Q605" i="64"/>
  <c r="L605" i="64"/>
  <c r="G605" i="64"/>
  <c r="J529" i="64"/>
  <c r="P529" i="64"/>
  <c r="I546" i="64"/>
  <c r="N546" i="64"/>
  <c r="H547" i="64"/>
  <c r="M547" i="64"/>
  <c r="F548" i="64"/>
  <c r="L548" i="64"/>
  <c r="Q548" i="64"/>
  <c r="I555" i="64"/>
  <c r="N555" i="64"/>
  <c r="F557" i="64"/>
  <c r="M557" i="64"/>
  <c r="H559" i="64"/>
  <c r="P559" i="64"/>
  <c r="H564" i="64"/>
  <c r="P564" i="64"/>
  <c r="I568" i="64"/>
  <c r="Q568" i="64"/>
  <c r="I583" i="64"/>
  <c r="Q583" i="64"/>
  <c r="I585" i="64"/>
  <c r="I592" i="64"/>
  <c r="M593" i="64"/>
  <c r="L601" i="64"/>
  <c r="B567" i="74"/>
  <c r="B793" i="79"/>
  <c r="K649" i="79" s="1"/>
  <c r="C351" i="74" s="1"/>
  <c r="B425" i="74"/>
  <c r="E1435" i="64"/>
  <c r="J366" i="64"/>
  <c r="N366" i="64"/>
  <c r="R366" i="64"/>
  <c r="B570" i="74"/>
  <c r="B458" i="74"/>
  <c r="B804" i="79"/>
  <c r="Q637" i="79" s="1"/>
  <c r="I339" i="74" s="1"/>
  <c r="E1439" i="64"/>
  <c r="B574" i="74"/>
  <c r="B502" i="74"/>
  <c r="E1443" i="64"/>
  <c r="B816" i="79"/>
  <c r="J374" i="64"/>
  <c r="N374" i="64"/>
  <c r="R374" i="64"/>
  <c r="B578" i="74"/>
  <c r="B546" i="74"/>
  <c r="E1447" i="64"/>
  <c r="B828" i="79"/>
  <c r="Q653" i="79" s="1"/>
  <c r="I355" i="74" s="1"/>
  <c r="J378" i="64"/>
  <c r="N378" i="64"/>
  <c r="R378" i="64"/>
  <c r="J386" i="64"/>
  <c r="N386" i="64"/>
  <c r="Q1039" i="64"/>
  <c r="AF1039" i="64" s="1"/>
  <c r="B1039" i="64" s="1"/>
  <c r="CO1110" i="64" s="1"/>
  <c r="F576" i="64"/>
  <c r="Q1043" i="64"/>
  <c r="AF1043" i="64" s="1"/>
  <c r="B1043" i="64" s="1"/>
  <c r="F580" i="64"/>
  <c r="F507" i="64"/>
  <c r="J507" i="64"/>
  <c r="N507" i="64"/>
  <c r="Q1047" i="64"/>
  <c r="S1047" i="64" s="1"/>
  <c r="O584" i="64"/>
  <c r="K584" i="64"/>
  <c r="G584" i="64"/>
  <c r="O547" i="64"/>
  <c r="K547" i="64"/>
  <c r="G547" i="64"/>
  <c r="O508" i="64"/>
  <c r="N584" i="64"/>
  <c r="J584" i="64"/>
  <c r="F584" i="64"/>
  <c r="I508" i="64"/>
  <c r="M508" i="64"/>
  <c r="O585" i="64"/>
  <c r="K585" i="64"/>
  <c r="G585" i="64"/>
  <c r="O548" i="64"/>
  <c r="K548" i="64"/>
  <c r="G548" i="64"/>
  <c r="N509" i="64"/>
  <c r="J509" i="64"/>
  <c r="F509" i="64"/>
  <c r="N585" i="64"/>
  <c r="J585" i="64"/>
  <c r="F585" i="64"/>
  <c r="Q1048" i="64"/>
  <c r="K509" i="64"/>
  <c r="P509" i="64"/>
  <c r="F588" i="64"/>
  <c r="O592" i="64"/>
  <c r="K592" i="64"/>
  <c r="G592" i="64"/>
  <c r="O555" i="64"/>
  <c r="K555" i="64"/>
  <c r="G555" i="64"/>
  <c r="P516" i="64"/>
  <c r="L516" i="64"/>
  <c r="H516" i="64"/>
  <c r="N592" i="64"/>
  <c r="J592" i="64"/>
  <c r="F592" i="64"/>
  <c r="J516" i="64"/>
  <c r="O516" i="64"/>
  <c r="N594" i="64"/>
  <c r="J594" i="64"/>
  <c r="F594" i="64"/>
  <c r="O594" i="64"/>
  <c r="I594" i="64"/>
  <c r="O557" i="64"/>
  <c r="K557" i="64"/>
  <c r="G557" i="64"/>
  <c r="N518" i="64"/>
  <c r="J518" i="64"/>
  <c r="F518" i="64"/>
  <c r="M594" i="64"/>
  <c r="H594" i="64"/>
  <c r="N557" i="64"/>
  <c r="J557" i="64"/>
  <c r="K518" i="64"/>
  <c r="P518" i="64"/>
  <c r="N596" i="64"/>
  <c r="J596" i="64"/>
  <c r="F596" i="64"/>
  <c r="Q596" i="64"/>
  <c r="L596" i="64"/>
  <c r="G596" i="64"/>
  <c r="O559" i="64"/>
  <c r="K559" i="64"/>
  <c r="G559" i="64"/>
  <c r="P520" i="64"/>
  <c r="L520" i="64"/>
  <c r="H520" i="64"/>
  <c r="P596" i="64"/>
  <c r="K596" i="64"/>
  <c r="N559" i="64"/>
  <c r="J559" i="64"/>
  <c r="F559" i="64"/>
  <c r="J520" i="64"/>
  <c r="O520" i="64"/>
  <c r="F525" i="64"/>
  <c r="L525" i="64"/>
  <c r="Q525" i="64"/>
  <c r="F529" i="64"/>
  <c r="L529" i="64"/>
  <c r="Q529" i="64"/>
  <c r="J546" i="64"/>
  <c r="P546" i="64"/>
  <c r="I547" i="64"/>
  <c r="N547" i="64"/>
  <c r="H548" i="64"/>
  <c r="M548" i="64"/>
  <c r="J555" i="64"/>
  <c r="P555" i="64"/>
  <c r="H557" i="64"/>
  <c r="P557" i="64"/>
  <c r="I559" i="64"/>
  <c r="Q559" i="64"/>
  <c r="I564" i="64"/>
  <c r="Q564" i="64"/>
  <c r="L568" i="64"/>
  <c r="L583" i="64"/>
  <c r="H584" i="64"/>
  <c r="P584" i="64"/>
  <c r="L585" i="64"/>
  <c r="L592" i="64"/>
  <c r="H593" i="64"/>
  <c r="Q593" i="64"/>
  <c r="P594" i="64"/>
  <c r="M596" i="64"/>
  <c r="Q601" i="64"/>
  <c r="M592" i="64"/>
  <c r="G594" i="64"/>
  <c r="Q594" i="64"/>
  <c r="O596" i="64"/>
  <c r="F586" i="64"/>
  <c r="J586" i="64"/>
  <c r="N586" i="64"/>
  <c r="F591" i="64"/>
  <c r="G595" i="64"/>
  <c r="L595" i="64"/>
  <c r="G603" i="64"/>
  <c r="L603" i="64"/>
  <c r="I510" i="64"/>
  <c r="M510" i="64"/>
  <c r="Q510" i="64"/>
  <c r="N595" i="64"/>
  <c r="J595" i="64"/>
  <c r="F595" i="64"/>
  <c r="I519" i="64"/>
  <c r="M519" i="64"/>
  <c r="Q519" i="64"/>
  <c r="F599" i="64"/>
  <c r="N603" i="64"/>
  <c r="J603" i="64"/>
  <c r="F603" i="64"/>
  <c r="I527" i="64"/>
  <c r="M527" i="64"/>
  <c r="Q527" i="64"/>
  <c r="G549" i="64"/>
  <c r="K549" i="64"/>
  <c r="O549" i="64"/>
  <c r="G558" i="64"/>
  <c r="K558" i="64"/>
  <c r="O558" i="64"/>
  <c r="G566" i="64"/>
  <c r="K566" i="64"/>
  <c r="O566" i="64"/>
  <c r="G586" i="64"/>
  <c r="K586" i="64"/>
  <c r="O586" i="64"/>
  <c r="H595" i="64"/>
  <c r="M595" i="64"/>
  <c r="H603" i="64"/>
  <c r="M603" i="64"/>
  <c r="I922" i="79"/>
  <c r="U922" i="79" s="1"/>
  <c r="AW223" i="65"/>
  <c r="CI223" i="65"/>
  <c r="BA223" i="65"/>
  <c r="CI206" i="65"/>
  <c r="CI228" i="65"/>
  <c r="AW228" i="65"/>
  <c r="BA228" i="65"/>
  <c r="CI211" i="65"/>
  <c r="AT228" i="65"/>
  <c r="AX228" i="65"/>
  <c r="BB228" i="65"/>
  <c r="AV231" i="65"/>
  <c r="AZ231" i="65"/>
  <c r="BD231" i="65"/>
  <c r="AT220" i="65"/>
  <c r="AX220" i="65"/>
  <c r="AU221" i="65"/>
  <c r="AT224" i="65"/>
  <c r="BB224" i="65"/>
  <c r="AU225" i="65"/>
  <c r="BC225" i="65"/>
  <c r="AV227" i="65"/>
  <c r="AZ227" i="65"/>
  <c r="BD227" i="65"/>
  <c r="AU230" i="65"/>
  <c r="AY230" i="65"/>
  <c r="BC230" i="65"/>
  <c r="AX224" i="65"/>
  <c r="AY220" i="65"/>
  <c r="BC220" i="65"/>
  <c r="BD221" i="65"/>
  <c r="CI205" i="65"/>
  <c r="AU224" i="65"/>
  <c r="AY224" i="65"/>
  <c r="BC224" i="65"/>
  <c r="CI227" i="65"/>
  <c r="AW227" i="65"/>
  <c r="BA227" i="65"/>
  <c r="CI210" i="65"/>
  <c r="AT229" i="65"/>
  <c r="AX229" i="65"/>
  <c r="BB229" i="65"/>
  <c r="AV230" i="65"/>
  <c r="BD230" i="65"/>
  <c r="AW221" i="65"/>
  <c r="BA221" i="65"/>
  <c r="AX222" i="65"/>
  <c r="AV224" i="65"/>
  <c r="CI208" i="65"/>
  <c r="AT227" i="65"/>
  <c r="BD229" i="65"/>
  <c r="CI230" i="65"/>
  <c r="AW230" i="65"/>
  <c r="CI213" i="65"/>
  <c r="BD224" i="65"/>
  <c r="AZ229" i="65"/>
  <c r="CI229" i="65"/>
  <c r="AX230" i="65"/>
  <c r="AT231" i="65"/>
  <c r="AU229" i="65"/>
  <c r="AY229" i="65"/>
  <c r="BC229" i="65"/>
  <c r="AZ230" i="65"/>
  <c r="CI231" i="65"/>
  <c r="AW231" i="65"/>
  <c r="BA231" i="65"/>
  <c r="CI203" i="65"/>
  <c r="AZ223" i="65"/>
  <c r="AW224" i="65"/>
  <c r="BA224" i="65"/>
  <c r="AX225" i="65"/>
  <c r="BB225" i="65"/>
  <c r="AY227" i="65"/>
  <c r="AV228" i="65"/>
  <c r="BD228" i="65"/>
  <c r="BA229" i="65"/>
  <c r="BB230" i="65"/>
  <c r="AU231" i="65"/>
  <c r="BC231" i="65"/>
  <c r="BA230" i="65"/>
  <c r="Q1175" i="79"/>
  <c r="Q1245" i="79" s="1"/>
  <c r="Y1176" i="79"/>
  <c r="Y1246" i="79" s="1"/>
  <c r="AP1177" i="79"/>
  <c r="AP1247" i="79" s="1"/>
  <c r="Y1180" i="79"/>
  <c r="Y1250" i="79" s="1"/>
  <c r="AL1181" i="79"/>
  <c r="AL1251" i="79" s="1"/>
  <c r="AL1182" i="79"/>
  <c r="AL1252" i="79" s="1"/>
  <c r="AK1183" i="79"/>
  <c r="AK1253" i="79" s="1"/>
  <c r="J1184" i="79"/>
  <c r="J1254" i="79" s="1"/>
  <c r="AI1184" i="79"/>
  <c r="AI1254" i="79" s="1"/>
  <c r="AI1191" i="79"/>
  <c r="AI1261" i="79" s="1"/>
  <c r="R1197" i="79"/>
  <c r="R1267" i="79" s="1"/>
  <c r="R2144" i="79"/>
  <c r="Y1174" i="79"/>
  <c r="Y1244" i="79" s="1"/>
  <c r="P1184" i="79"/>
  <c r="P1254" i="79" s="1"/>
  <c r="AM1184" i="79"/>
  <c r="AM1254" i="79" s="1"/>
  <c r="L1185" i="79"/>
  <c r="L1255" i="79" s="1"/>
  <c r="J1188" i="79"/>
  <c r="J1258" i="79" s="1"/>
  <c r="I1189" i="79"/>
  <c r="I1259" i="79" s="1"/>
  <c r="J1195" i="79"/>
  <c r="J1265" i="79" s="1"/>
  <c r="AI1196" i="79"/>
  <c r="AI1266" i="79" s="1"/>
  <c r="M2143" i="79"/>
  <c r="R1184" i="79"/>
  <c r="R1254" i="79" s="1"/>
  <c r="AO1184" i="79"/>
  <c r="AO1254" i="79" s="1"/>
  <c r="AL1185" i="79"/>
  <c r="AL1255" i="79" s="1"/>
  <c r="AI1188" i="79"/>
  <c r="AI1258" i="79" s="1"/>
  <c r="AI1189" i="79"/>
  <c r="AI1259" i="79" s="1"/>
  <c r="AP1195" i="79"/>
  <c r="AP1265" i="79" s="1"/>
  <c r="AQ1175" i="79"/>
  <c r="AQ1245" i="79" s="1"/>
  <c r="P1188" i="79"/>
  <c r="P1258" i="79" s="1"/>
  <c r="AO1188" i="79"/>
  <c r="AO1258" i="79" s="1"/>
  <c r="AH1197" i="79"/>
  <c r="AH1267" i="79" s="1"/>
  <c r="R2168" i="79"/>
  <c r="M2215" i="79"/>
  <c r="Y1170" i="79"/>
  <c r="Y1240" i="79" s="1"/>
  <c r="AP1171" i="79"/>
  <c r="AP1241" i="79" s="1"/>
  <c r="AP1176" i="79"/>
  <c r="AP1246" i="79" s="1"/>
  <c r="R1177" i="79"/>
  <c r="R1247" i="79" s="1"/>
  <c r="N1184" i="79"/>
  <c r="N1254" i="79" s="1"/>
  <c r="AH1184" i="79"/>
  <c r="AH1254" i="79" s="1"/>
  <c r="AP1184" i="79"/>
  <c r="AP1254" i="79" s="1"/>
  <c r="M1185" i="79"/>
  <c r="M1255" i="79" s="1"/>
  <c r="R1188" i="79"/>
  <c r="R1258" i="79" s="1"/>
  <c r="AP1188" i="79"/>
  <c r="AP1258" i="79" s="1"/>
  <c r="L1189" i="79"/>
  <c r="L1259" i="79" s="1"/>
  <c r="J1191" i="79"/>
  <c r="J1261" i="79" s="1"/>
  <c r="R1195" i="79"/>
  <c r="R1265" i="79" s="1"/>
  <c r="AQ1197" i="79"/>
  <c r="AQ1267" i="79" s="1"/>
  <c r="M1173" i="79"/>
  <c r="M1243" i="79" s="1"/>
  <c r="L1175" i="79"/>
  <c r="L1245" i="79" s="1"/>
  <c r="AI1177" i="79"/>
  <c r="AI1247" i="79" s="1"/>
  <c r="R1178" i="79"/>
  <c r="R1248" i="79" s="1"/>
  <c r="AI1185" i="79"/>
  <c r="AI1255" i="79" s="1"/>
  <c r="I1188" i="79"/>
  <c r="I1258" i="79" s="1"/>
  <c r="AH1188" i="79"/>
  <c r="AH1258" i="79" s="1"/>
  <c r="AH1189" i="79"/>
  <c r="AH1259" i="79" s="1"/>
  <c r="AG1191" i="79"/>
  <c r="AG1261" i="79" s="1"/>
  <c r="AI1195" i="79"/>
  <c r="AI1265" i="79" s="1"/>
  <c r="L1196" i="79"/>
  <c r="L1266" i="79" s="1"/>
  <c r="J1197" i="79"/>
  <c r="J1267" i="79" s="1"/>
  <c r="J2144" i="79"/>
  <c r="Q2192" i="79"/>
  <c r="AK1187" i="79"/>
  <c r="AK1257" i="79" s="1"/>
  <c r="Q1190" i="79"/>
  <c r="Q1260" i="79" s="1"/>
  <c r="AP1190" i="79"/>
  <c r="AP1260" i="79" s="1"/>
  <c r="T2137" i="79"/>
  <c r="S2160" i="79"/>
  <c r="K2166" i="79"/>
  <c r="O2170" i="79"/>
  <c r="M2211" i="79"/>
  <c r="I2234" i="79"/>
  <c r="N1171" i="79"/>
  <c r="N1241" i="79" s="1"/>
  <c r="AI1171" i="79"/>
  <c r="AI1241" i="79" s="1"/>
  <c r="R1173" i="79"/>
  <c r="R1243" i="79" s="1"/>
  <c r="AQ1173" i="79"/>
  <c r="AQ1243" i="79" s="1"/>
  <c r="N1176" i="79"/>
  <c r="N1246" i="79" s="1"/>
  <c r="AI1176" i="79"/>
  <c r="AI1246" i="79" s="1"/>
  <c r="M1177" i="79"/>
  <c r="M1247" i="79" s="1"/>
  <c r="T1177" i="79"/>
  <c r="T1247" i="79" s="1"/>
  <c r="AK1177" i="79"/>
  <c r="AK1247" i="79" s="1"/>
  <c r="AH1178" i="79"/>
  <c r="AH1248" i="79" s="1"/>
  <c r="N1180" i="79"/>
  <c r="N1250" i="79" s="1"/>
  <c r="AK1180" i="79"/>
  <c r="AK1250" i="79" s="1"/>
  <c r="AQ1187" i="79"/>
  <c r="AQ1257" i="79" s="1"/>
  <c r="R1190" i="79"/>
  <c r="R1260" i="79" s="1"/>
  <c r="AQ1190" i="79"/>
  <c r="AQ1260" i="79" s="1"/>
  <c r="M1195" i="79"/>
  <c r="M1265" i="79" s="1"/>
  <c r="T1195" i="79"/>
  <c r="T1265" i="79" s="1"/>
  <c r="AK1195" i="79"/>
  <c r="AK1265" i="79" s="1"/>
  <c r="Q1196" i="79"/>
  <c r="Q1266" i="79" s="1"/>
  <c r="AO1196" i="79"/>
  <c r="AO1266" i="79" s="1"/>
  <c r="L2143" i="79"/>
  <c r="I2144" i="79"/>
  <c r="S2144" i="79"/>
  <c r="M2148" i="79"/>
  <c r="O2149" i="79"/>
  <c r="R2161" i="79"/>
  <c r="J2167" i="79"/>
  <c r="K2169" i="79"/>
  <c r="P2170" i="79"/>
  <c r="Q2188" i="79"/>
  <c r="R2195" i="79"/>
  <c r="J2213" i="79"/>
  <c r="R2215" i="79"/>
  <c r="I2237" i="79"/>
  <c r="P2260" i="79"/>
  <c r="Q2304" i="79"/>
  <c r="O2353" i="79"/>
  <c r="P1171" i="79"/>
  <c r="P1241" i="79" s="1"/>
  <c r="AK1171" i="79"/>
  <c r="AK1241" i="79" s="1"/>
  <c r="Y1172" i="79"/>
  <c r="Y1242" i="79" s="1"/>
  <c r="AG1173" i="79"/>
  <c r="AG1243" i="79" s="1"/>
  <c r="AG1175" i="79"/>
  <c r="AG1245" i="79" s="1"/>
  <c r="P1176" i="79"/>
  <c r="P1246" i="79" s="1"/>
  <c r="AK1176" i="79"/>
  <c r="AK1246" i="79" s="1"/>
  <c r="N1177" i="79"/>
  <c r="N1247" i="79" s="1"/>
  <c r="Y1177" i="79"/>
  <c r="Y1212" i="79" s="1"/>
  <c r="Y1280" i="79" s="1"/>
  <c r="AM1177" i="79"/>
  <c r="AM1247" i="79" s="1"/>
  <c r="AM1178" i="79"/>
  <c r="AM1248" i="79" s="1"/>
  <c r="P1180" i="79"/>
  <c r="P1250" i="79" s="1"/>
  <c r="AM1180" i="79"/>
  <c r="AM1250" i="79" s="1"/>
  <c r="L1187" i="79"/>
  <c r="L1257" i="79" s="1"/>
  <c r="M1188" i="79"/>
  <c r="M1258" i="79" s="1"/>
  <c r="T1188" i="79"/>
  <c r="T1258" i="79" s="1"/>
  <c r="AK1188" i="79"/>
  <c r="AK1258" i="79" s="1"/>
  <c r="Q1189" i="79"/>
  <c r="Q1259" i="79" s="1"/>
  <c r="AO1189" i="79"/>
  <c r="AO1259" i="79" s="1"/>
  <c r="J1190" i="79"/>
  <c r="J1260" i="79" s="1"/>
  <c r="AH1190" i="79"/>
  <c r="AH1260" i="79" s="1"/>
  <c r="P1191" i="79"/>
  <c r="P1261" i="79" s="1"/>
  <c r="AP1191" i="79"/>
  <c r="AP1261" i="79" s="1"/>
  <c r="N1195" i="79"/>
  <c r="N1265" i="79" s="1"/>
  <c r="Y1195" i="79"/>
  <c r="Y1230" i="79" s="1"/>
  <c r="Y1298" i="79" s="1"/>
  <c r="AM1195" i="79"/>
  <c r="AM1265" i="79" s="1"/>
  <c r="R1196" i="79"/>
  <c r="R1266" i="79" s="1"/>
  <c r="AQ1196" i="79"/>
  <c r="AQ1266" i="79" s="1"/>
  <c r="L1197" i="79"/>
  <c r="L1267" i="79" s="1"/>
  <c r="AK1197" i="79"/>
  <c r="AK1267" i="79" s="1"/>
  <c r="M2136" i="79"/>
  <c r="I2137" i="79"/>
  <c r="L2139" i="79"/>
  <c r="I2141" i="79"/>
  <c r="J2146" i="79"/>
  <c r="Q2147" i="79"/>
  <c r="N2148" i="79"/>
  <c r="P2149" i="79"/>
  <c r="O2163" i="79"/>
  <c r="L2168" i="79"/>
  <c r="L2169" i="79"/>
  <c r="R2172" i="79"/>
  <c r="R2191" i="79"/>
  <c r="I2214" i="79"/>
  <c r="I2218" i="79"/>
  <c r="M2238" i="79"/>
  <c r="T2265" i="79"/>
  <c r="G168" i="85"/>
  <c r="G170" i="85" s="1"/>
  <c r="I1171" i="79"/>
  <c r="I1241" i="79" s="1"/>
  <c r="T1171" i="79"/>
  <c r="T1241" i="79" s="1"/>
  <c r="AO1171" i="79"/>
  <c r="AO1241" i="79" s="1"/>
  <c r="L1173" i="79"/>
  <c r="L1243" i="79" s="1"/>
  <c r="I1176" i="79"/>
  <c r="I1246" i="79" s="1"/>
  <c r="T1176" i="79"/>
  <c r="T1246" i="79" s="1"/>
  <c r="AO1176" i="79"/>
  <c r="AO1246" i="79" s="1"/>
  <c r="I1177" i="79"/>
  <c r="I1247" i="79" s="1"/>
  <c r="P1177" i="79"/>
  <c r="P1247" i="79" s="1"/>
  <c r="AH1177" i="79"/>
  <c r="AH1247" i="79" s="1"/>
  <c r="AO1177" i="79"/>
  <c r="AO1247" i="79" s="1"/>
  <c r="I1180" i="79"/>
  <c r="I1250" i="79" s="1"/>
  <c r="M1184" i="79"/>
  <c r="M1254" i="79" s="1"/>
  <c r="T1184" i="79"/>
  <c r="T1254" i="79" s="1"/>
  <c r="AK1184" i="79"/>
  <c r="AK1254" i="79" s="1"/>
  <c r="N1188" i="79"/>
  <c r="N1258" i="79" s="1"/>
  <c r="Y1188" i="79"/>
  <c r="Y1258" i="79" s="1"/>
  <c r="AM1188" i="79"/>
  <c r="AM1258" i="79" s="1"/>
  <c r="R1189" i="79"/>
  <c r="R1259" i="79" s="1"/>
  <c r="L1190" i="79"/>
  <c r="L1260" i="79" s="1"/>
  <c r="I1195" i="79"/>
  <c r="I1265" i="79" s="1"/>
  <c r="P1195" i="79"/>
  <c r="P1265" i="79" s="1"/>
  <c r="AH1195" i="79"/>
  <c r="AH1265" i="79" s="1"/>
  <c r="AO1195" i="79"/>
  <c r="AO1265" i="79" s="1"/>
  <c r="I1196" i="79"/>
  <c r="I1266" i="79" s="1"/>
  <c r="Q1197" i="79"/>
  <c r="Q1267" i="79" s="1"/>
  <c r="R2136" i="79"/>
  <c r="M2137" i="79"/>
  <c r="Q2139" i="79"/>
  <c r="M2141" i="79"/>
  <c r="N2144" i="79"/>
  <c r="Q2146" i="79"/>
  <c r="N2164" i="79"/>
  <c r="N2168" i="79"/>
  <c r="P2169" i="79"/>
  <c r="R2173" i="79"/>
  <c r="K2192" i="79"/>
  <c r="I2206" i="79"/>
  <c r="T2214" i="79"/>
  <c r="O168" i="85"/>
  <c r="B1262" i="79"/>
  <c r="AP1192" i="79"/>
  <c r="AP1262" i="79" s="1"/>
  <c r="AK1192" i="79"/>
  <c r="AK1262" i="79" s="1"/>
  <c r="Y1192" i="79"/>
  <c r="Y1262" i="79" s="1"/>
  <c r="P1192" i="79"/>
  <c r="P1262" i="79" s="1"/>
  <c r="J1192" i="79"/>
  <c r="J1262" i="79" s="1"/>
  <c r="AO1192" i="79"/>
  <c r="AO1262" i="79" s="1"/>
  <c r="AH1192" i="79"/>
  <c r="AH1262" i="79" s="1"/>
  <c r="Q1192" i="79"/>
  <c r="Q1262" i="79" s="1"/>
  <c r="I1192" i="79"/>
  <c r="I1262" i="79" s="1"/>
  <c r="AQ1192" i="79"/>
  <c r="AQ1262" i="79" s="1"/>
  <c r="AG1192" i="79"/>
  <c r="AG1262" i="79" s="1"/>
  <c r="M1192" i="79"/>
  <c r="M1262" i="79" s="1"/>
  <c r="AM1192" i="79"/>
  <c r="AM1262" i="79" s="1"/>
  <c r="T1192" i="79"/>
  <c r="T1262" i="79" s="1"/>
  <c r="L1192" i="79"/>
  <c r="L1262" i="79" s="1"/>
  <c r="AL1192" i="79"/>
  <c r="AL1262" i="79" s="1"/>
  <c r="R1192" i="79"/>
  <c r="R1262" i="79" s="1"/>
  <c r="B1263" i="79"/>
  <c r="AO1193" i="79"/>
  <c r="AO1263" i="79" s="1"/>
  <c r="AI1193" i="79"/>
  <c r="AI1263" i="79" s="1"/>
  <c r="T1193" i="79"/>
  <c r="T1263" i="79" s="1"/>
  <c r="N1193" i="79"/>
  <c r="N1263" i="79" s="1"/>
  <c r="I1193" i="79"/>
  <c r="I1263" i="79" s="1"/>
  <c r="AP1193" i="79"/>
  <c r="AP1263" i="79" s="1"/>
  <c r="AH1193" i="79"/>
  <c r="AH1263" i="79" s="1"/>
  <c r="Q1193" i="79"/>
  <c r="Q1263" i="79" s="1"/>
  <c r="J1193" i="79"/>
  <c r="J1263" i="79" s="1"/>
  <c r="AQ1193" i="79"/>
  <c r="AQ1263" i="79" s="1"/>
  <c r="AG1193" i="79"/>
  <c r="AG1263" i="79" s="1"/>
  <c r="M1193" i="79"/>
  <c r="M1263" i="79" s="1"/>
  <c r="AM1193" i="79"/>
  <c r="AM1263" i="79" s="1"/>
  <c r="Y1193" i="79"/>
  <c r="Y1228" i="79" s="1"/>
  <c r="Y1296" i="79" s="1"/>
  <c r="L1193" i="79"/>
  <c r="L1263" i="79" s="1"/>
  <c r="AL1193" i="79"/>
  <c r="AL1263" i="79" s="1"/>
  <c r="R1193" i="79"/>
  <c r="R1263" i="79" s="1"/>
  <c r="B1264" i="79"/>
  <c r="AM1194" i="79"/>
  <c r="AM1264" i="79" s="1"/>
  <c r="AH1194" i="79"/>
  <c r="AH1264" i="79" s="1"/>
  <c r="R1194" i="79"/>
  <c r="R1264" i="79" s="1"/>
  <c r="M1194" i="79"/>
  <c r="M1264" i="79" s="1"/>
  <c r="AO1194" i="79"/>
  <c r="AO1264" i="79" s="1"/>
  <c r="AG1194" i="79"/>
  <c r="AG1264" i="79" s="1"/>
  <c r="P1194" i="79"/>
  <c r="P1264" i="79" s="1"/>
  <c r="I1194" i="79"/>
  <c r="I1264" i="79" s="1"/>
  <c r="AP1194" i="79"/>
  <c r="AP1264" i="79" s="1"/>
  <c r="Y1194" i="79"/>
  <c r="Y1264" i="79" s="1"/>
  <c r="L1194" i="79"/>
  <c r="L1264" i="79" s="1"/>
  <c r="AL1194" i="79"/>
  <c r="AL1264" i="79" s="1"/>
  <c r="T1194" i="79"/>
  <c r="T1264" i="79" s="1"/>
  <c r="J1194" i="79"/>
  <c r="J1264" i="79" s="1"/>
  <c r="AK1194" i="79"/>
  <c r="AK1264" i="79" s="1"/>
  <c r="Q1194" i="79"/>
  <c r="Q1264" i="79" s="1"/>
  <c r="AQ1194" i="79"/>
  <c r="AQ1264" i="79" s="1"/>
  <c r="B1245" i="79"/>
  <c r="AO1175" i="79"/>
  <c r="AO1245" i="79" s="1"/>
  <c r="AI1175" i="79"/>
  <c r="AI1245" i="79" s="1"/>
  <c r="T1175" i="79"/>
  <c r="T1245" i="79" s="1"/>
  <c r="N1175" i="79"/>
  <c r="N1245" i="79" s="1"/>
  <c r="I1175" i="79"/>
  <c r="I1245" i="79" s="1"/>
  <c r="AM1175" i="79"/>
  <c r="AM1245" i="79" s="1"/>
  <c r="AH1175" i="79"/>
  <c r="AH1245" i="79" s="1"/>
  <c r="R1175" i="79"/>
  <c r="R1245" i="79" s="1"/>
  <c r="M1175" i="79"/>
  <c r="M1245" i="79" s="1"/>
  <c r="P1175" i="79"/>
  <c r="P1245" i="79" s="1"/>
  <c r="AK1175" i="79"/>
  <c r="AK1245" i="79" s="1"/>
  <c r="B1650" i="79"/>
  <c r="S2117" i="79" s="1"/>
  <c r="AP1178" i="79"/>
  <c r="AP1248" i="79" s="1"/>
  <c r="AK1178" i="79"/>
  <c r="AK1248" i="79" s="1"/>
  <c r="Y1178" i="79"/>
  <c r="P1178" i="79"/>
  <c r="P1248" i="79" s="1"/>
  <c r="J1178" i="79"/>
  <c r="J1248" i="79" s="1"/>
  <c r="AO1178" i="79"/>
  <c r="AO1248" i="79" s="1"/>
  <c r="AI1178" i="79"/>
  <c r="AI1248" i="79" s="1"/>
  <c r="T1178" i="79"/>
  <c r="T1248" i="79" s="1"/>
  <c r="N1178" i="79"/>
  <c r="N1248" i="79" s="1"/>
  <c r="I1178" i="79"/>
  <c r="I1248" i="79" s="1"/>
  <c r="Q1178" i="79"/>
  <c r="Q1248" i="79" s="1"/>
  <c r="AL1178" i="79"/>
  <c r="AL1248" i="79" s="1"/>
  <c r="Q1179" i="79"/>
  <c r="Q1249" i="79" s="1"/>
  <c r="AL1179" i="79"/>
  <c r="AL1249" i="79" s="1"/>
  <c r="N1181" i="79"/>
  <c r="N1251" i="79" s="1"/>
  <c r="P1182" i="79"/>
  <c r="P1252" i="79" s="1"/>
  <c r="N1183" i="79"/>
  <c r="N1253" i="79" s="1"/>
  <c r="Y1186" i="79"/>
  <c r="Y1256" i="79" s="1"/>
  <c r="B1257" i="79"/>
  <c r="AM1187" i="79"/>
  <c r="AM1257" i="79" s="1"/>
  <c r="AH1187" i="79"/>
  <c r="AH1257" i="79" s="1"/>
  <c r="R1187" i="79"/>
  <c r="R1257" i="79" s="1"/>
  <c r="M1187" i="79"/>
  <c r="M1257" i="79" s="1"/>
  <c r="AO1187" i="79"/>
  <c r="AO1257" i="79" s="1"/>
  <c r="AG1187" i="79"/>
  <c r="AG1257" i="79" s="1"/>
  <c r="P1187" i="79"/>
  <c r="P1257" i="79" s="1"/>
  <c r="I1187" i="79"/>
  <c r="I1257" i="79" s="1"/>
  <c r="AL1187" i="79"/>
  <c r="AL1257" i="79" s="1"/>
  <c r="Y1187" i="79"/>
  <c r="Y1222" i="79" s="1"/>
  <c r="Y1290" i="79" s="1"/>
  <c r="N1187" i="79"/>
  <c r="N1257" i="79" s="1"/>
  <c r="Q1187" i="79"/>
  <c r="Q1257" i="79" s="1"/>
  <c r="AP1187" i="79"/>
  <c r="AP1257" i="79" s="1"/>
  <c r="AQ1186" i="79"/>
  <c r="AQ1256" i="79" s="1"/>
  <c r="B1646" i="79"/>
  <c r="AQ2005" i="79" s="1"/>
  <c r="J1179" i="79"/>
  <c r="J1249" i="79" s="1"/>
  <c r="Y1179" i="79"/>
  <c r="Y1214" i="79" s="1"/>
  <c r="Y1282" i="79" s="1"/>
  <c r="B1653" i="79"/>
  <c r="AP1181" i="79"/>
  <c r="AP1251" i="79" s="1"/>
  <c r="AK1181" i="79"/>
  <c r="AK1251" i="79" s="1"/>
  <c r="Y1181" i="79"/>
  <c r="Y1216" i="79" s="1"/>
  <c r="Y1284" i="79" s="1"/>
  <c r="P1181" i="79"/>
  <c r="P1251" i="79" s="1"/>
  <c r="J1181" i="79"/>
  <c r="J1251" i="79" s="1"/>
  <c r="AQ1181" i="79"/>
  <c r="AQ1251" i="79" s="1"/>
  <c r="AI1181" i="79"/>
  <c r="AI1251" i="79" s="1"/>
  <c r="R1181" i="79"/>
  <c r="R1251" i="79" s="1"/>
  <c r="L1181" i="79"/>
  <c r="L1251" i="79" s="1"/>
  <c r="AO1181" i="79"/>
  <c r="AO1251" i="79" s="1"/>
  <c r="AH1181" i="79"/>
  <c r="AH1251" i="79" s="1"/>
  <c r="Q1181" i="79"/>
  <c r="Q1251" i="79" s="1"/>
  <c r="I1181" i="79"/>
  <c r="I1251" i="79" s="1"/>
  <c r="T1181" i="79"/>
  <c r="T1251" i="79" s="1"/>
  <c r="B1252" i="79"/>
  <c r="AO1182" i="79"/>
  <c r="AO1252" i="79" s="1"/>
  <c r="AI1182" i="79"/>
  <c r="AI1252" i="79" s="1"/>
  <c r="T1182" i="79"/>
  <c r="T1252" i="79" s="1"/>
  <c r="N1182" i="79"/>
  <c r="N1252" i="79" s="1"/>
  <c r="I1182" i="79"/>
  <c r="I1252" i="79" s="1"/>
  <c r="AQ1182" i="79"/>
  <c r="AQ1252" i="79" s="1"/>
  <c r="AK1182" i="79"/>
  <c r="AK1252" i="79" s="1"/>
  <c r="R1182" i="79"/>
  <c r="R1252" i="79" s="1"/>
  <c r="L1182" i="79"/>
  <c r="L1252" i="79" s="1"/>
  <c r="AP1182" i="79"/>
  <c r="AP1252" i="79" s="1"/>
  <c r="AH1182" i="79"/>
  <c r="AH1252" i="79" s="1"/>
  <c r="Q1182" i="79"/>
  <c r="Q1252" i="79" s="1"/>
  <c r="J1182" i="79"/>
  <c r="J1252" i="79" s="1"/>
  <c r="Y1182" i="79"/>
  <c r="Y1252" i="79" s="1"/>
  <c r="B1253" i="79"/>
  <c r="AM1183" i="79"/>
  <c r="AM1253" i="79" s="1"/>
  <c r="AH1183" i="79"/>
  <c r="AH1253" i="79" s="1"/>
  <c r="R1183" i="79"/>
  <c r="R1253" i="79" s="1"/>
  <c r="M1183" i="79"/>
  <c r="M1253" i="79" s="1"/>
  <c r="AP1183" i="79"/>
  <c r="AP1253" i="79" s="1"/>
  <c r="AI1183" i="79"/>
  <c r="AI1253" i="79" s="1"/>
  <c r="Q1183" i="79"/>
  <c r="Q1253" i="79" s="1"/>
  <c r="J1183" i="79"/>
  <c r="J1253" i="79" s="1"/>
  <c r="AO1183" i="79"/>
  <c r="AO1253" i="79" s="1"/>
  <c r="AG1183" i="79"/>
  <c r="AG1253" i="79" s="1"/>
  <c r="P1183" i="79"/>
  <c r="P1253" i="79" s="1"/>
  <c r="I1183" i="79"/>
  <c r="I1253" i="79" s="1"/>
  <c r="T1183" i="79"/>
  <c r="T1253" i="79" s="1"/>
  <c r="AQ1183" i="79"/>
  <c r="AQ1253" i="79" s="1"/>
  <c r="L1186" i="79"/>
  <c r="L1256" i="79" s="1"/>
  <c r="N1192" i="79"/>
  <c r="N1262" i="79" s="1"/>
  <c r="P1193" i="79"/>
  <c r="P1263" i="79" s="1"/>
  <c r="N1194" i="79"/>
  <c r="N1264" i="79" s="1"/>
  <c r="B1249" i="79"/>
  <c r="AO1179" i="79"/>
  <c r="AO1249" i="79" s="1"/>
  <c r="AI1179" i="79"/>
  <c r="AI1249" i="79" s="1"/>
  <c r="T1179" i="79"/>
  <c r="T1249" i="79" s="1"/>
  <c r="N1179" i="79"/>
  <c r="N1249" i="79" s="1"/>
  <c r="I1179" i="79"/>
  <c r="I1249" i="79" s="1"/>
  <c r="AM1179" i="79"/>
  <c r="AM1249" i="79" s="1"/>
  <c r="AH1179" i="79"/>
  <c r="AH1249" i="79" s="1"/>
  <c r="R1179" i="79"/>
  <c r="R1249" i="79" s="1"/>
  <c r="M1179" i="79"/>
  <c r="M1249" i="79" s="1"/>
  <c r="P1179" i="79"/>
  <c r="P1249" i="79" s="1"/>
  <c r="AK1179" i="79"/>
  <c r="AK1249" i="79" s="1"/>
  <c r="B1256" i="79"/>
  <c r="AO1186" i="79"/>
  <c r="AO1256" i="79" s="1"/>
  <c r="AI1186" i="79"/>
  <c r="AI1256" i="79" s="1"/>
  <c r="T1186" i="79"/>
  <c r="T1256" i="79" s="1"/>
  <c r="N1186" i="79"/>
  <c r="N1256" i="79" s="1"/>
  <c r="I1186" i="79"/>
  <c r="I1256" i="79" s="1"/>
  <c r="AP1186" i="79"/>
  <c r="AP1256" i="79" s="1"/>
  <c r="AH1186" i="79"/>
  <c r="AH1256" i="79" s="1"/>
  <c r="Q1186" i="79"/>
  <c r="Q1256" i="79" s="1"/>
  <c r="J1186" i="79"/>
  <c r="J1256" i="79" s="1"/>
  <c r="AM1186" i="79"/>
  <c r="AM1256" i="79" s="1"/>
  <c r="AG1186" i="79"/>
  <c r="AG1256" i="79" s="1"/>
  <c r="P1186" i="79"/>
  <c r="P1256" i="79" s="1"/>
  <c r="R1186" i="79"/>
  <c r="R1256" i="79" s="1"/>
  <c r="B1642" i="79"/>
  <c r="AG2037" i="79" s="1"/>
  <c r="B1243" i="79"/>
  <c r="AP1173" i="79"/>
  <c r="AP1243" i="79" s="1"/>
  <c r="AK1173" i="79"/>
  <c r="AK1243" i="79" s="1"/>
  <c r="Y1173" i="79"/>
  <c r="Y1208" i="79" s="1"/>
  <c r="Y1276" i="79" s="1"/>
  <c r="P1173" i="79"/>
  <c r="P1243" i="79" s="1"/>
  <c r="J1173" i="79"/>
  <c r="J1243" i="79" s="1"/>
  <c r="AO1173" i="79"/>
  <c r="AO1243" i="79" s="1"/>
  <c r="AI1173" i="79"/>
  <c r="AI1243" i="79" s="1"/>
  <c r="T1173" i="79"/>
  <c r="T1243" i="79" s="1"/>
  <c r="N1173" i="79"/>
  <c r="N1243" i="79" s="1"/>
  <c r="I1173" i="79"/>
  <c r="I1243" i="79" s="1"/>
  <c r="Q1173" i="79"/>
  <c r="Q1243" i="79" s="1"/>
  <c r="AL1173" i="79"/>
  <c r="AL1243" i="79" s="1"/>
  <c r="J1175" i="79"/>
  <c r="J1245" i="79" s="1"/>
  <c r="Y1175" i="79"/>
  <c r="Y1210" i="79" s="1"/>
  <c r="Y1278" i="79" s="1"/>
  <c r="AP1175" i="79"/>
  <c r="AP1245" i="79" s="1"/>
  <c r="L1178" i="79"/>
  <c r="L1248" i="79" s="1"/>
  <c r="AG1178" i="79"/>
  <c r="AG1248" i="79" s="1"/>
  <c r="AQ1178" i="79"/>
  <c r="AQ1248" i="79" s="1"/>
  <c r="L1179" i="79"/>
  <c r="L1249" i="79" s="1"/>
  <c r="AG1179" i="79"/>
  <c r="AG1249" i="79" s="1"/>
  <c r="AQ1179" i="79"/>
  <c r="AQ1249" i="79" s="1"/>
  <c r="AG1181" i="79"/>
  <c r="AG1251" i="79" s="1"/>
  <c r="AG1182" i="79"/>
  <c r="AG1252" i="79" s="1"/>
  <c r="Y1183" i="79"/>
  <c r="Y1218" i="79" s="1"/>
  <c r="Y1286" i="79" s="1"/>
  <c r="B1255" i="79"/>
  <c r="AP1185" i="79"/>
  <c r="AP1255" i="79" s="1"/>
  <c r="AK1185" i="79"/>
  <c r="AK1255" i="79" s="1"/>
  <c r="Y1185" i="79"/>
  <c r="Y1220" i="79" s="1"/>
  <c r="Y1288" i="79" s="1"/>
  <c r="P1185" i="79"/>
  <c r="P1255" i="79" s="1"/>
  <c r="J1185" i="79"/>
  <c r="J1255" i="79" s="1"/>
  <c r="AO1185" i="79"/>
  <c r="AO1255" i="79" s="1"/>
  <c r="AH1185" i="79"/>
  <c r="AH1255" i="79" s="1"/>
  <c r="Q1185" i="79"/>
  <c r="Q1255" i="79" s="1"/>
  <c r="AM1185" i="79"/>
  <c r="AM1255" i="79" s="1"/>
  <c r="AG1185" i="79"/>
  <c r="AG1255" i="79" s="1"/>
  <c r="N1185" i="79"/>
  <c r="N1255" i="79" s="1"/>
  <c r="R1185" i="79"/>
  <c r="R1255" i="79" s="1"/>
  <c r="AQ1185" i="79"/>
  <c r="AQ1255" i="79" s="1"/>
  <c r="M1186" i="79"/>
  <c r="M1256" i="79" s="1"/>
  <c r="AL1186" i="79"/>
  <c r="AL1256" i="79" s="1"/>
  <c r="J1187" i="79"/>
  <c r="J1257" i="79" s="1"/>
  <c r="AI1187" i="79"/>
  <c r="AI1257" i="79" s="1"/>
  <c r="AI1192" i="79"/>
  <c r="AI1262" i="79" s="1"/>
  <c r="AK1193" i="79"/>
  <c r="AK1263" i="79" s="1"/>
  <c r="AI1194" i="79"/>
  <c r="AI1264" i="79" s="1"/>
  <c r="L1171" i="79"/>
  <c r="L1241" i="79" s="1"/>
  <c r="Q1171" i="79"/>
  <c r="Q1241" i="79" s="1"/>
  <c r="AG1171" i="79"/>
  <c r="AG1241" i="79" s="1"/>
  <c r="AL1171" i="79"/>
  <c r="AL1241" i="79" s="1"/>
  <c r="AQ1171" i="79"/>
  <c r="AQ1241" i="79" s="1"/>
  <c r="L1176" i="79"/>
  <c r="L1246" i="79" s="1"/>
  <c r="Q1176" i="79"/>
  <c r="Q1246" i="79" s="1"/>
  <c r="AG1176" i="79"/>
  <c r="AG1246" i="79" s="1"/>
  <c r="AL1176" i="79"/>
  <c r="AL1246" i="79" s="1"/>
  <c r="AQ1176" i="79"/>
  <c r="AQ1246" i="79" s="1"/>
  <c r="B1652" i="79"/>
  <c r="AL2011" i="79" s="1"/>
  <c r="AQ1180" i="79"/>
  <c r="AQ1250" i="79" s="1"/>
  <c r="AL1180" i="79"/>
  <c r="AL1250" i="79" s="1"/>
  <c r="AG1180" i="79"/>
  <c r="AG1250" i="79" s="1"/>
  <c r="L1180" i="79"/>
  <c r="L1250" i="79" s="1"/>
  <c r="Q1180" i="79"/>
  <c r="Q1250" i="79" s="1"/>
  <c r="AH1180" i="79"/>
  <c r="AH1250" i="79" s="1"/>
  <c r="AO1180" i="79"/>
  <c r="AO1250" i="79" s="1"/>
  <c r="B1259" i="79"/>
  <c r="AP1189" i="79"/>
  <c r="AP1259" i="79" s="1"/>
  <c r="AK1189" i="79"/>
  <c r="AK1259" i="79" s="1"/>
  <c r="Y1189" i="79"/>
  <c r="P1189" i="79"/>
  <c r="P1259" i="79" s="1"/>
  <c r="J1189" i="79"/>
  <c r="J1259" i="79" s="1"/>
  <c r="M1189" i="79"/>
  <c r="M1259" i="79" s="1"/>
  <c r="T1189" i="79"/>
  <c r="T1259" i="79" s="1"/>
  <c r="AL1189" i="79"/>
  <c r="AL1259" i="79" s="1"/>
  <c r="B1260" i="79"/>
  <c r="AO1190" i="79"/>
  <c r="AO1260" i="79" s="1"/>
  <c r="AI1190" i="79"/>
  <c r="AI1260" i="79" s="1"/>
  <c r="T1190" i="79"/>
  <c r="T1260" i="79" s="1"/>
  <c r="N1190" i="79"/>
  <c r="N1260" i="79" s="1"/>
  <c r="I1190" i="79"/>
  <c r="I1260" i="79" s="1"/>
  <c r="M1190" i="79"/>
  <c r="M1260" i="79" s="1"/>
  <c r="Y1190" i="79"/>
  <c r="Y1260" i="79" s="1"/>
  <c r="AL1190" i="79"/>
  <c r="AL1260" i="79" s="1"/>
  <c r="B1261" i="79"/>
  <c r="AQ1191" i="79"/>
  <c r="AQ1261" i="79" s="1"/>
  <c r="AL1191" i="79"/>
  <c r="AL1261" i="79" s="1"/>
  <c r="AO1191" i="79"/>
  <c r="AO1261" i="79" s="1"/>
  <c r="AH1191" i="79"/>
  <c r="AH1261" i="79" s="1"/>
  <c r="R1191" i="79"/>
  <c r="R1261" i="79" s="1"/>
  <c r="M1191" i="79"/>
  <c r="M1261" i="79" s="1"/>
  <c r="L1191" i="79"/>
  <c r="L1261" i="79" s="1"/>
  <c r="T1191" i="79"/>
  <c r="T1261" i="79" s="1"/>
  <c r="AK1191" i="79"/>
  <c r="AK1261" i="79" s="1"/>
  <c r="M1171" i="79"/>
  <c r="M1241" i="79" s="1"/>
  <c r="R1171" i="79"/>
  <c r="R1241" i="79" s="1"/>
  <c r="AH1171" i="79"/>
  <c r="AH1241" i="79" s="1"/>
  <c r="AM1171" i="79"/>
  <c r="AM1241" i="79" s="1"/>
  <c r="M1176" i="79"/>
  <c r="M1246" i="79" s="1"/>
  <c r="R1176" i="79"/>
  <c r="R1246" i="79" s="1"/>
  <c r="AH1176" i="79"/>
  <c r="AH1246" i="79" s="1"/>
  <c r="AM1176" i="79"/>
  <c r="AM1246" i="79" s="1"/>
  <c r="L1177" i="79"/>
  <c r="L1247" i="79" s="1"/>
  <c r="Q1177" i="79"/>
  <c r="Q1247" i="79" s="1"/>
  <c r="AG1177" i="79"/>
  <c r="AG1247" i="79" s="1"/>
  <c r="AL1177" i="79"/>
  <c r="AL1247" i="79" s="1"/>
  <c r="AQ1177" i="79"/>
  <c r="AQ1247" i="79" s="1"/>
  <c r="M1180" i="79"/>
  <c r="M1250" i="79" s="1"/>
  <c r="R1180" i="79"/>
  <c r="R1250" i="79" s="1"/>
  <c r="AI1180" i="79"/>
  <c r="AI1250" i="79" s="1"/>
  <c r="AP1180" i="79"/>
  <c r="AP1250" i="79" s="1"/>
  <c r="N1189" i="79"/>
  <c r="N1259" i="79" s="1"/>
  <c r="AG1189" i="79"/>
  <c r="AG1259" i="79" s="1"/>
  <c r="AM1189" i="79"/>
  <c r="AM1259" i="79" s="1"/>
  <c r="P1190" i="79"/>
  <c r="P1260" i="79" s="1"/>
  <c r="AG1190" i="79"/>
  <c r="AG1260" i="79" s="1"/>
  <c r="AM1190" i="79"/>
  <c r="AM1260" i="79" s="1"/>
  <c r="N1191" i="79"/>
  <c r="N1261" i="79" s="1"/>
  <c r="Y1191" i="79"/>
  <c r="Y1226" i="79" s="1"/>
  <c r="Y1294" i="79" s="1"/>
  <c r="AM1191" i="79"/>
  <c r="AM1261" i="79" s="1"/>
  <c r="P2162" i="79"/>
  <c r="O2138" i="79"/>
  <c r="I2138" i="79"/>
  <c r="O2162" i="79"/>
  <c r="N2138" i="79"/>
  <c r="R2138" i="79"/>
  <c r="B1266" i="79"/>
  <c r="AP1196" i="79"/>
  <c r="AP1266" i="79" s="1"/>
  <c r="AK1196" i="79"/>
  <c r="AK1266" i="79" s="1"/>
  <c r="Y1196" i="79"/>
  <c r="Y1266" i="79" s="1"/>
  <c r="P1196" i="79"/>
  <c r="P1266" i="79" s="1"/>
  <c r="J1196" i="79"/>
  <c r="J1266" i="79" s="1"/>
  <c r="M1196" i="79"/>
  <c r="M1266" i="79" s="1"/>
  <c r="T1196" i="79"/>
  <c r="T1266" i="79" s="1"/>
  <c r="AL1196" i="79"/>
  <c r="AL1266" i="79" s="1"/>
  <c r="B1267" i="79"/>
  <c r="AO1197" i="79"/>
  <c r="AO1267" i="79" s="1"/>
  <c r="AI1197" i="79"/>
  <c r="AI1267" i="79" s="1"/>
  <c r="T1197" i="79"/>
  <c r="T1267" i="79" s="1"/>
  <c r="N1197" i="79"/>
  <c r="N1267" i="79" s="1"/>
  <c r="I1197" i="79"/>
  <c r="I1267" i="79" s="1"/>
  <c r="M1197" i="79"/>
  <c r="M1267" i="79" s="1"/>
  <c r="Y1197" i="79"/>
  <c r="Y1232" i="79" s="1"/>
  <c r="Y1300" i="79" s="1"/>
  <c r="AL1197" i="79"/>
  <c r="AL1267" i="79" s="1"/>
  <c r="B1268" i="79"/>
  <c r="S2138" i="79"/>
  <c r="S2379" i="79"/>
  <c r="I2241" i="79"/>
  <c r="N2172" i="79"/>
  <c r="S2148" i="79"/>
  <c r="I2148" i="79"/>
  <c r="T2218" i="79"/>
  <c r="L2172" i="79"/>
  <c r="R2148" i="79"/>
  <c r="K2288" i="79"/>
  <c r="M2219" i="79"/>
  <c r="Q2196" i="79"/>
  <c r="L2173" i="79"/>
  <c r="K2149" i="79"/>
  <c r="K2196" i="79"/>
  <c r="K2173" i="79"/>
  <c r="T2149" i="79"/>
  <c r="I2149" i="79"/>
  <c r="S2172" i="79"/>
  <c r="J2185" i="79"/>
  <c r="N2218" i="79"/>
  <c r="S2287" i="79"/>
  <c r="S2311" i="79"/>
  <c r="H152" i="85"/>
  <c r="H168" i="85"/>
  <c r="P152" i="85"/>
  <c r="P168" i="85"/>
  <c r="P170" i="85" s="1"/>
  <c r="L168" i="85"/>
  <c r="L1184" i="79"/>
  <c r="L1254" i="79" s="1"/>
  <c r="Q1184" i="79"/>
  <c r="Q1254" i="79" s="1"/>
  <c r="AG1184" i="79"/>
  <c r="AG1254" i="79" s="1"/>
  <c r="AL1184" i="79"/>
  <c r="AL1254" i="79" s="1"/>
  <c r="AQ1184" i="79"/>
  <c r="AQ1254" i="79" s="1"/>
  <c r="L1188" i="79"/>
  <c r="L1258" i="79" s="1"/>
  <c r="Q1188" i="79"/>
  <c r="Q1258" i="79" s="1"/>
  <c r="AG1188" i="79"/>
  <c r="AG1258" i="79" s="1"/>
  <c r="AL1188" i="79"/>
  <c r="AL1258" i="79" s="1"/>
  <c r="AQ1188" i="79"/>
  <c r="AQ1258" i="79" s="1"/>
  <c r="N1196" i="79"/>
  <c r="N1266" i="79" s="1"/>
  <c r="AG1196" i="79"/>
  <c r="AG1266" i="79" s="1"/>
  <c r="AM1196" i="79"/>
  <c r="AM1266" i="79" s="1"/>
  <c r="P1197" i="79"/>
  <c r="P1267" i="79" s="1"/>
  <c r="AG1197" i="79"/>
  <c r="AG1267" i="79" s="1"/>
  <c r="AM1197" i="79"/>
  <c r="AM1267" i="79" s="1"/>
  <c r="J2138" i="79"/>
  <c r="P2173" i="79"/>
  <c r="M2195" i="79"/>
  <c r="R2219" i="79"/>
  <c r="P2264" i="79"/>
  <c r="L1195" i="79"/>
  <c r="L1265" i="79" s="1"/>
  <c r="Q1195" i="79"/>
  <c r="Q1265" i="79" s="1"/>
  <c r="AG1195" i="79"/>
  <c r="AG1265" i="79" s="1"/>
  <c r="AL1195" i="79"/>
  <c r="AL1265" i="79" s="1"/>
  <c r="AQ1195" i="79"/>
  <c r="AQ1265" i="79" s="1"/>
  <c r="O2137" i="79"/>
  <c r="O2141" i="79"/>
  <c r="S2143" i="79"/>
  <c r="K2165" i="79"/>
  <c r="S2167" i="79"/>
  <c r="N2190" i="79"/>
  <c r="R2207" i="79"/>
  <c r="O2230" i="79"/>
  <c r="S2137" i="79"/>
  <c r="M2144" i="79"/>
  <c r="L2165" i="79"/>
  <c r="S2168" i="79"/>
  <c r="R2169" i="79"/>
  <c r="M2183" i="79"/>
  <c r="M2191" i="79"/>
  <c r="I2194" i="79"/>
  <c r="P2209" i="79"/>
  <c r="N2214" i="79"/>
  <c r="Q2216" i="79"/>
  <c r="L2232" i="79"/>
  <c r="T2261" i="79"/>
  <c r="S2283" i="79"/>
  <c r="O2306" i="79"/>
  <c r="K168" i="85"/>
  <c r="K170" i="85" s="1"/>
  <c r="AN2039" i="79"/>
  <c r="AJ2039" i="79"/>
  <c r="AF2039" i="79"/>
  <c r="R2039" i="79"/>
  <c r="N2039" i="79"/>
  <c r="J2039" i="79"/>
  <c r="AP2039" i="79"/>
  <c r="AK2039" i="79"/>
  <c r="P2039" i="79"/>
  <c r="K2039" i="79"/>
  <c r="AO2039" i="79"/>
  <c r="AH2039" i="79"/>
  <c r="Q2039" i="79"/>
  <c r="I2039" i="79"/>
  <c r="AQ2003" i="79"/>
  <c r="AM2003" i="79"/>
  <c r="AI2003" i="79"/>
  <c r="Q2003" i="79"/>
  <c r="M2003" i="79"/>
  <c r="I2003" i="79"/>
  <c r="AM2039" i="79"/>
  <c r="AG2039" i="79"/>
  <c r="O2039" i="79"/>
  <c r="AP2003" i="79"/>
  <c r="AL2003" i="79"/>
  <c r="AH2003" i="79"/>
  <c r="T2003" i="79"/>
  <c r="P2003" i="79"/>
  <c r="L2003" i="79"/>
  <c r="AL2039" i="79"/>
  <c r="M2039" i="79"/>
  <c r="AO2003" i="79"/>
  <c r="AG2003" i="79"/>
  <c r="O2003" i="79"/>
  <c r="AO1968" i="79"/>
  <c r="AK1968" i="79"/>
  <c r="AG1968" i="79"/>
  <c r="S1968" i="79"/>
  <c r="O1968" i="79"/>
  <c r="K1968" i="79"/>
  <c r="AI2039" i="79"/>
  <c r="L2039" i="79"/>
  <c r="AN2003" i="79"/>
  <c r="AF2003" i="79"/>
  <c r="N2003" i="79"/>
  <c r="AN1968" i="79"/>
  <c r="AJ1968" i="79"/>
  <c r="AF1968" i="79"/>
  <c r="R1968" i="79"/>
  <c r="N1968" i="79"/>
  <c r="J1968" i="79"/>
  <c r="AP1932" i="79"/>
  <c r="AL1932" i="79"/>
  <c r="AH1932" i="79"/>
  <c r="T1932" i="79"/>
  <c r="P1932" i="79"/>
  <c r="L1932" i="79"/>
  <c r="T2039" i="79"/>
  <c r="AK2003" i="79"/>
  <c r="S2003" i="79"/>
  <c r="K2003" i="79"/>
  <c r="AQ1968" i="79"/>
  <c r="AM1968" i="79"/>
  <c r="AI1968" i="79"/>
  <c r="Q1968" i="79"/>
  <c r="M1968" i="79"/>
  <c r="I1968" i="79"/>
  <c r="AQ2039" i="79"/>
  <c r="S2039" i="79"/>
  <c r="AJ2003" i="79"/>
  <c r="R2003" i="79"/>
  <c r="J2003" i="79"/>
  <c r="AP1968" i="79"/>
  <c r="AL1968" i="79"/>
  <c r="AH1968" i="79"/>
  <c r="T1968" i="79"/>
  <c r="P1968" i="79"/>
  <c r="L1968" i="79"/>
  <c r="AN1932" i="79"/>
  <c r="AJ1932" i="79"/>
  <c r="AF1932" i="79"/>
  <c r="R1932" i="79"/>
  <c r="N1932" i="79"/>
  <c r="J1932" i="79"/>
  <c r="AQ1932" i="79"/>
  <c r="AI1932" i="79"/>
  <c r="Q1932" i="79"/>
  <c r="I1932" i="79"/>
  <c r="AN1896" i="79"/>
  <c r="AJ1896" i="79"/>
  <c r="AF1896" i="79"/>
  <c r="R1896" i="79"/>
  <c r="N1896" i="79"/>
  <c r="J1896" i="79"/>
  <c r="AO1860" i="79"/>
  <c r="AK1860" i="79"/>
  <c r="AG1860" i="79"/>
  <c r="S1860" i="79"/>
  <c r="O1860" i="79"/>
  <c r="K1860" i="79"/>
  <c r="AP1824" i="79"/>
  <c r="AL1824" i="79"/>
  <c r="AH1824" i="79"/>
  <c r="T1824" i="79"/>
  <c r="P1824" i="79"/>
  <c r="L1824" i="79"/>
  <c r="AO1932" i="79"/>
  <c r="AG1932" i="79"/>
  <c r="O1932" i="79"/>
  <c r="AQ1896" i="79"/>
  <c r="AM1896" i="79"/>
  <c r="AI1896" i="79"/>
  <c r="Q1896" i="79"/>
  <c r="M1896" i="79"/>
  <c r="I1896" i="79"/>
  <c r="AN1860" i="79"/>
  <c r="AJ1860" i="79"/>
  <c r="AF1860" i="79"/>
  <c r="R1860" i="79"/>
  <c r="N1860" i="79"/>
  <c r="J1860" i="79"/>
  <c r="AO1824" i="79"/>
  <c r="AK1824" i="79"/>
  <c r="AG1824" i="79"/>
  <c r="S1824" i="79"/>
  <c r="O1824" i="79"/>
  <c r="K1824" i="79"/>
  <c r="AM1932" i="79"/>
  <c r="M1932" i="79"/>
  <c r="AP1896" i="79"/>
  <c r="AL1896" i="79"/>
  <c r="AH1896" i="79"/>
  <c r="T1896" i="79"/>
  <c r="P1896" i="79"/>
  <c r="L1896" i="79"/>
  <c r="AQ1860" i="79"/>
  <c r="AM1860" i="79"/>
  <c r="AI1860" i="79"/>
  <c r="Q1860" i="79"/>
  <c r="M1860" i="79"/>
  <c r="I1860" i="79"/>
  <c r="AN1824" i="79"/>
  <c r="AJ1824" i="79"/>
  <c r="AF1824" i="79"/>
  <c r="R1824" i="79"/>
  <c r="N1824" i="79"/>
  <c r="J1824" i="79"/>
  <c r="AK1932" i="79"/>
  <c r="S1932" i="79"/>
  <c r="K1932" i="79"/>
  <c r="AO1896" i="79"/>
  <c r="AK1896" i="79"/>
  <c r="AG1896" i="79"/>
  <c r="S1896" i="79"/>
  <c r="O1896" i="79"/>
  <c r="K1896" i="79"/>
  <c r="AP1860" i="79"/>
  <c r="AL1860" i="79"/>
  <c r="AH1860" i="79"/>
  <c r="T1860" i="79"/>
  <c r="P1860" i="79"/>
  <c r="L1860" i="79"/>
  <c r="AQ1824" i="79"/>
  <c r="AM1824" i="79"/>
  <c r="AI1824" i="79"/>
  <c r="Q1824" i="79"/>
  <c r="M1824" i="79"/>
  <c r="I1824" i="79"/>
  <c r="AQ1788" i="79"/>
  <c r="AM1788" i="79"/>
  <c r="AI1788" i="79"/>
  <c r="Q1788" i="79"/>
  <c r="M1788" i="79"/>
  <c r="I1788" i="79"/>
  <c r="AP1788" i="79"/>
  <c r="AL1788" i="79"/>
  <c r="AH1788" i="79"/>
  <c r="T1788" i="79"/>
  <c r="P1788" i="79"/>
  <c r="L1788" i="79"/>
  <c r="AO1788" i="79"/>
  <c r="AK1788" i="79"/>
  <c r="AG1788" i="79"/>
  <c r="S1788" i="79"/>
  <c r="O1788" i="79"/>
  <c r="K1788" i="79"/>
  <c r="AN1788" i="79"/>
  <c r="AJ1788" i="79"/>
  <c r="AF1788" i="79"/>
  <c r="R1788" i="79"/>
  <c r="N1788" i="79"/>
  <c r="J1788" i="79"/>
  <c r="Z1207" i="79"/>
  <c r="Z1659" i="79" s="1"/>
  <c r="Z1695" i="79" s="1"/>
  <c r="Z1731" i="79" s="1"/>
  <c r="Z1767" i="79" s="1"/>
  <c r="Z1803" i="79" s="1"/>
  <c r="Z1839" i="79" s="1"/>
  <c r="Z1875" i="79" s="1"/>
  <c r="Z1911" i="79" s="1"/>
  <c r="Z1947" i="79" s="1"/>
  <c r="Z1983" i="79" s="1"/>
  <c r="Z2018" i="79" s="1"/>
  <c r="Z2054" i="79" s="1"/>
  <c r="Z1644" i="79"/>
  <c r="Z1680" i="79" s="1"/>
  <c r="Z1716" i="79" s="1"/>
  <c r="Z1752" i="79" s="1"/>
  <c r="Z1788" i="79" s="1"/>
  <c r="Z1824" i="79" s="1"/>
  <c r="Z1860" i="79" s="1"/>
  <c r="Z1896" i="79" s="1"/>
  <c r="Z1932" i="79" s="1"/>
  <c r="Z1968" i="79" s="1"/>
  <c r="Z2003" i="79" s="1"/>
  <c r="Z2039" i="79" s="1"/>
  <c r="M2086" i="79"/>
  <c r="AO2045" i="79"/>
  <c r="AP1974" i="79"/>
  <c r="AO1650" i="79"/>
  <c r="Z1211" i="79"/>
  <c r="Z1663" i="79" s="1"/>
  <c r="Z1699" i="79" s="1"/>
  <c r="Z1735" i="79" s="1"/>
  <c r="Z1771" i="79" s="1"/>
  <c r="Z1807" i="79" s="1"/>
  <c r="Z1843" i="79" s="1"/>
  <c r="Z1879" i="79" s="1"/>
  <c r="Z1915" i="79" s="1"/>
  <c r="Z1951" i="79" s="1"/>
  <c r="Z1987" i="79" s="1"/>
  <c r="Z2022" i="79" s="1"/>
  <c r="Z2058" i="79" s="1"/>
  <c r="Z1648" i="79"/>
  <c r="Z1684" i="79" s="1"/>
  <c r="Z1720" i="79" s="1"/>
  <c r="Z1756" i="79" s="1"/>
  <c r="Z1792" i="79" s="1"/>
  <c r="Z1828" i="79" s="1"/>
  <c r="Z1864" i="79" s="1"/>
  <c r="Z1900" i="79" s="1"/>
  <c r="Z1936" i="79" s="1"/>
  <c r="Z1972" i="79" s="1"/>
  <c r="Z2007" i="79" s="1"/>
  <c r="Z2043" i="79" s="1"/>
  <c r="Z1215" i="79"/>
  <c r="Z1667" i="79" s="1"/>
  <c r="Z1703" i="79" s="1"/>
  <c r="Z1739" i="79" s="1"/>
  <c r="Z1775" i="79" s="1"/>
  <c r="Z1811" i="79" s="1"/>
  <c r="Z1847" i="79" s="1"/>
  <c r="Z1883" i="79" s="1"/>
  <c r="Z1919" i="79" s="1"/>
  <c r="Z1955" i="79" s="1"/>
  <c r="Z1991" i="79" s="1"/>
  <c r="Z2026" i="79" s="1"/>
  <c r="Z2062" i="79" s="1"/>
  <c r="Z1652" i="79"/>
  <c r="Z1688" i="79" s="1"/>
  <c r="Z1724" i="79" s="1"/>
  <c r="Z1760" i="79" s="1"/>
  <c r="Z1796" i="79" s="1"/>
  <c r="Z1832" i="79" s="1"/>
  <c r="Z1868" i="79" s="1"/>
  <c r="Z1904" i="79" s="1"/>
  <c r="Z1940" i="79" s="1"/>
  <c r="Z1976" i="79" s="1"/>
  <c r="Z2011" i="79" s="1"/>
  <c r="Z2047" i="79" s="1"/>
  <c r="I2001" i="79"/>
  <c r="AP2037" i="79"/>
  <c r="Q1966" i="79"/>
  <c r="M1966" i="79"/>
  <c r="L1930" i="79"/>
  <c r="AM1894" i="79"/>
  <c r="O1930" i="79"/>
  <c r="J1930" i="79"/>
  <c r="N1786" i="79"/>
  <c r="J1786" i="79"/>
  <c r="O2041" i="79"/>
  <c r="AO1970" i="79"/>
  <c r="P1934" i="79"/>
  <c r="AL1970" i="79"/>
  <c r="R1898" i="79"/>
  <c r="S1934" i="79"/>
  <c r="AG1826" i="79"/>
  <c r="AI1862" i="79"/>
  <c r="AK1898" i="79"/>
  <c r="AQ1826" i="79"/>
  <c r="AP1790" i="79"/>
  <c r="R1682" i="79"/>
  <c r="I1682" i="79"/>
  <c r="Z1650" i="79"/>
  <c r="Z1686" i="79" s="1"/>
  <c r="Z1722" i="79" s="1"/>
  <c r="Z1758" i="79" s="1"/>
  <c r="Z1794" i="79" s="1"/>
  <c r="Z1830" i="79" s="1"/>
  <c r="Z1866" i="79" s="1"/>
  <c r="Z1902" i="79" s="1"/>
  <c r="Z1938" i="79" s="1"/>
  <c r="Z1974" i="79" s="1"/>
  <c r="Z2009" i="79" s="1"/>
  <c r="Z2045" i="79" s="1"/>
  <c r="Z1213" i="79"/>
  <c r="Z1665" i="79" s="1"/>
  <c r="Z1701" i="79" s="1"/>
  <c r="Z1737" i="79" s="1"/>
  <c r="Z1773" i="79" s="1"/>
  <c r="Z1809" i="79" s="1"/>
  <c r="Z1845" i="79" s="1"/>
  <c r="Z1881" i="79" s="1"/>
  <c r="Z1917" i="79" s="1"/>
  <c r="Z1953" i="79" s="1"/>
  <c r="Z1989" i="79" s="1"/>
  <c r="Z2024" i="79" s="1"/>
  <c r="Z2060" i="79" s="1"/>
  <c r="Z1206" i="79"/>
  <c r="Z1658" i="79" s="1"/>
  <c r="Z1694" i="79" s="1"/>
  <c r="Z1730" i="79" s="1"/>
  <c r="Z1766" i="79" s="1"/>
  <c r="Z1802" i="79" s="1"/>
  <c r="Z1838" i="79" s="1"/>
  <c r="Z1874" i="79" s="1"/>
  <c r="Z1910" i="79" s="1"/>
  <c r="Z1946" i="79" s="1"/>
  <c r="Z1982" i="79" s="1"/>
  <c r="Z2017" i="79" s="1"/>
  <c r="Z2053" i="79" s="1"/>
  <c r="Z1643" i="79"/>
  <c r="Z1679" i="79" s="1"/>
  <c r="Z1715" i="79" s="1"/>
  <c r="Z1751" i="79" s="1"/>
  <c r="Z1787" i="79" s="1"/>
  <c r="Z1823" i="79" s="1"/>
  <c r="Z1859" i="79" s="1"/>
  <c r="Z1895" i="79" s="1"/>
  <c r="Z1931" i="79" s="1"/>
  <c r="Z1967" i="79" s="1"/>
  <c r="Z2002" i="79" s="1"/>
  <c r="Z2038" i="79" s="1"/>
  <c r="Z1642" i="79"/>
  <c r="Z1678" i="79" s="1"/>
  <c r="Z1714" i="79" s="1"/>
  <c r="Z1750" i="79" s="1"/>
  <c r="Z1786" i="79" s="1"/>
  <c r="Z1822" i="79" s="1"/>
  <c r="Z1858" i="79" s="1"/>
  <c r="Z1894" i="79" s="1"/>
  <c r="Z1930" i="79" s="1"/>
  <c r="Z1966" i="79" s="1"/>
  <c r="Z2001" i="79" s="1"/>
  <c r="Z2037" i="79" s="1"/>
  <c r="Z1205" i="79"/>
  <c r="Z1657" i="79" s="1"/>
  <c r="Z1693" i="79" s="1"/>
  <c r="Z1729" i="79" s="1"/>
  <c r="Z1765" i="79" s="1"/>
  <c r="Z1801" i="79" s="1"/>
  <c r="Z1837" i="79" s="1"/>
  <c r="Z1873" i="79" s="1"/>
  <c r="Z1909" i="79" s="1"/>
  <c r="Z1945" i="79" s="1"/>
  <c r="Z1981" i="79" s="1"/>
  <c r="Z2016" i="79" s="1"/>
  <c r="Z2052" i="79" s="1"/>
  <c r="Z1646" i="79"/>
  <c r="Z1682" i="79" s="1"/>
  <c r="Z1718" i="79" s="1"/>
  <c r="Z1754" i="79" s="1"/>
  <c r="Z1790" i="79" s="1"/>
  <c r="Z1826" i="79" s="1"/>
  <c r="Z1862" i="79" s="1"/>
  <c r="Z1898" i="79" s="1"/>
  <c r="Z1934" i="79" s="1"/>
  <c r="Z1970" i="79" s="1"/>
  <c r="Z2005" i="79" s="1"/>
  <c r="Z2041" i="79" s="1"/>
  <c r="Z1209" i="79"/>
  <c r="Z1661" i="79" s="1"/>
  <c r="Z1697" i="79" s="1"/>
  <c r="Z1733" i="79" s="1"/>
  <c r="Z1769" i="79" s="1"/>
  <c r="Z1805" i="79" s="1"/>
  <c r="Z1841" i="79" s="1"/>
  <c r="Z1877" i="79" s="1"/>
  <c r="Z1913" i="79" s="1"/>
  <c r="Z1949" i="79" s="1"/>
  <c r="Z1985" i="79" s="1"/>
  <c r="Z2020" i="79" s="1"/>
  <c r="Z2056" i="79" s="1"/>
  <c r="Z1210" i="79"/>
  <c r="Z1662" i="79" s="1"/>
  <c r="Z1698" i="79" s="1"/>
  <c r="Z1734" i="79" s="1"/>
  <c r="Z1770" i="79" s="1"/>
  <c r="Z1806" i="79" s="1"/>
  <c r="Z1842" i="79" s="1"/>
  <c r="Z1878" i="79" s="1"/>
  <c r="Z1914" i="79" s="1"/>
  <c r="Z1950" i="79" s="1"/>
  <c r="Z1986" i="79" s="1"/>
  <c r="Z2021" i="79" s="1"/>
  <c r="Z2057" i="79" s="1"/>
  <c r="Z1647" i="79"/>
  <c r="Z1683" i="79" s="1"/>
  <c r="Z1719" i="79" s="1"/>
  <c r="Z1755" i="79" s="1"/>
  <c r="Z1791" i="79" s="1"/>
  <c r="Z1827" i="79" s="1"/>
  <c r="Z1863" i="79" s="1"/>
  <c r="Z1899" i="79" s="1"/>
  <c r="Z1935" i="79" s="1"/>
  <c r="Z1971" i="79" s="1"/>
  <c r="Z2006" i="79" s="1"/>
  <c r="Z2042" i="79" s="1"/>
  <c r="AN2043" i="79"/>
  <c r="AJ2043" i="79"/>
  <c r="AF2043" i="79"/>
  <c r="R2043" i="79"/>
  <c r="N2043" i="79"/>
  <c r="J2043" i="79"/>
  <c r="AM2043" i="79"/>
  <c r="AH2043" i="79"/>
  <c r="S2043" i="79"/>
  <c r="M2043" i="79"/>
  <c r="AQ2043" i="79"/>
  <c r="AK2043" i="79"/>
  <c r="T2043" i="79"/>
  <c r="L2043" i="79"/>
  <c r="AQ2007" i="79"/>
  <c r="AM2007" i="79"/>
  <c r="AI2007" i="79"/>
  <c r="Q2007" i="79"/>
  <c r="M2007" i="79"/>
  <c r="I2007" i="79"/>
  <c r="AP2043" i="79"/>
  <c r="AI2043" i="79"/>
  <c r="Q2043" i="79"/>
  <c r="K2043" i="79"/>
  <c r="AP2007" i="79"/>
  <c r="AL2007" i="79"/>
  <c r="AH2007" i="79"/>
  <c r="T2007" i="79"/>
  <c r="P2007" i="79"/>
  <c r="L2007" i="79"/>
  <c r="AG2043" i="79"/>
  <c r="I2043" i="79"/>
  <c r="AO2007" i="79"/>
  <c r="AG2007" i="79"/>
  <c r="O2007" i="79"/>
  <c r="AO1972" i="79"/>
  <c r="AK1972" i="79"/>
  <c r="AG1972" i="79"/>
  <c r="S1972" i="79"/>
  <c r="O1972" i="79"/>
  <c r="K1972" i="79"/>
  <c r="AN2007" i="79"/>
  <c r="AF2007" i="79"/>
  <c r="N2007" i="79"/>
  <c r="AN1972" i="79"/>
  <c r="AJ1972" i="79"/>
  <c r="AF1972" i="79"/>
  <c r="R1972" i="79"/>
  <c r="N1972" i="79"/>
  <c r="J1972" i="79"/>
  <c r="AP1936" i="79"/>
  <c r="AL1936" i="79"/>
  <c r="AH1936" i="79"/>
  <c r="T1936" i="79"/>
  <c r="P1936" i="79"/>
  <c r="L1936" i="79"/>
  <c r="AO2043" i="79"/>
  <c r="P2043" i="79"/>
  <c r="AK2007" i="79"/>
  <c r="S2007" i="79"/>
  <c r="K2007" i="79"/>
  <c r="AQ1972" i="79"/>
  <c r="AM1972" i="79"/>
  <c r="AI1972" i="79"/>
  <c r="Q1972" i="79"/>
  <c r="M1972" i="79"/>
  <c r="I1972" i="79"/>
  <c r="AL2043" i="79"/>
  <c r="O2043" i="79"/>
  <c r="AJ2007" i="79"/>
  <c r="R2007" i="79"/>
  <c r="J2007" i="79"/>
  <c r="AP1972" i="79"/>
  <c r="AL1972" i="79"/>
  <c r="AH1972" i="79"/>
  <c r="T1972" i="79"/>
  <c r="P1972" i="79"/>
  <c r="L1972" i="79"/>
  <c r="AN1936" i="79"/>
  <c r="AJ1936" i="79"/>
  <c r="AF1936" i="79"/>
  <c r="R1936" i="79"/>
  <c r="N1936" i="79"/>
  <c r="J1936" i="79"/>
  <c r="AQ1936" i="79"/>
  <c r="AI1936" i="79"/>
  <c r="Q1936" i="79"/>
  <c r="I1936" i="79"/>
  <c r="AN1900" i="79"/>
  <c r="AJ1900" i="79"/>
  <c r="AF1900" i="79"/>
  <c r="R1900" i="79"/>
  <c r="N1900" i="79"/>
  <c r="J1900" i="79"/>
  <c r="AO1864" i="79"/>
  <c r="AK1864" i="79"/>
  <c r="AG1864" i="79"/>
  <c r="S1864" i="79"/>
  <c r="O1864" i="79"/>
  <c r="K1864" i="79"/>
  <c r="AP1828" i="79"/>
  <c r="AL1828" i="79"/>
  <c r="AH1828" i="79"/>
  <c r="T1828" i="79"/>
  <c r="P1828" i="79"/>
  <c r="L1828" i="79"/>
  <c r="AO1936" i="79"/>
  <c r="AG1936" i="79"/>
  <c r="O1936" i="79"/>
  <c r="AQ1900" i="79"/>
  <c r="AM1900" i="79"/>
  <c r="AI1900" i="79"/>
  <c r="Q1900" i="79"/>
  <c r="M1900" i="79"/>
  <c r="I1900" i="79"/>
  <c r="AN1864" i="79"/>
  <c r="AJ1864" i="79"/>
  <c r="AF1864" i="79"/>
  <c r="R1864" i="79"/>
  <c r="N1864" i="79"/>
  <c r="J1864" i="79"/>
  <c r="AO1828" i="79"/>
  <c r="AK1828" i="79"/>
  <c r="AG1828" i="79"/>
  <c r="S1828" i="79"/>
  <c r="O1828" i="79"/>
  <c r="K1828" i="79"/>
  <c r="AM1936" i="79"/>
  <c r="M1936" i="79"/>
  <c r="AP1900" i="79"/>
  <c r="AL1900" i="79"/>
  <c r="AH1900" i="79"/>
  <c r="T1900" i="79"/>
  <c r="P1900" i="79"/>
  <c r="L1900" i="79"/>
  <c r="AQ1864" i="79"/>
  <c r="AM1864" i="79"/>
  <c r="AI1864" i="79"/>
  <c r="Q1864" i="79"/>
  <c r="M1864" i="79"/>
  <c r="I1864" i="79"/>
  <c r="AN1828" i="79"/>
  <c r="AJ1828" i="79"/>
  <c r="AF1828" i="79"/>
  <c r="R1828" i="79"/>
  <c r="N1828" i="79"/>
  <c r="J1828" i="79"/>
  <c r="AK1936" i="79"/>
  <c r="S1936" i="79"/>
  <c r="K1936" i="79"/>
  <c r="AO1900" i="79"/>
  <c r="AK1900" i="79"/>
  <c r="AG1900" i="79"/>
  <c r="S1900" i="79"/>
  <c r="O1900" i="79"/>
  <c r="K1900" i="79"/>
  <c r="AP1864" i="79"/>
  <c r="AL1864" i="79"/>
  <c r="AH1864" i="79"/>
  <c r="T1864" i="79"/>
  <c r="P1864" i="79"/>
  <c r="L1864" i="79"/>
  <c r="AQ1828" i="79"/>
  <c r="AM1828" i="79"/>
  <c r="AI1828" i="79"/>
  <c r="Q1828" i="79"/>
  <c r="M1828" i="79"/>
  <c r="I1828" i="79"/>
  <c r="AQ1792" i="79"/>
  <c r="AM1792" i="79"/>
  <c r="AI1792" i="79"/>
  <c r="Q1792" i="79"/>
  <c r="M1792" i="79"/>
  <c r="I1792" i="79"/>
  <c r="R1756" i="79"/>
  <c r="N1756" i="79"/>
  <c r="J1756" i="79"/>
  <c r="AO1720" i="79"/>
  <c r="AK1720" i="79"/>
  <c r="AG1720" i="79"/>
  <c r="S1720" i="79"/>
  <c r="O1720" i="79"/>
  <c r="K1720" i="79"/>
  <c r="AP1684" i="79"/>
  <c r="AL1684" i="79"/>
  <c r="AH1684" i="79"/>
  <c r="T1684" i="79"/>
  <c r="P1684" i="79"/>
  <c r="L1684" i="79"/>
  <c r="AP1792" i="79"/>
  <c r="AL1792" i="79"/>
  <c r="AH1792" i="79"/>
  <c r="T1792" i="79"/>
  <c r="P1792" i="79"/>
  <c r="L1792" i="79"/>
  <c r="Q1756" i="79"/>
  <c r="M1756" i="79"/>
  <c r="I1756" i="79"/>
  <c r="AN1720" i="79"/>
  <c r="AJ1720" i="79"/>
  <c r="AF1720" i="79"/>
  <c r="R1720" i="79"/>
  <c r="N1720" i="79"/>
  <c r="J1720" i="79"/>
  <c r="AO1684" i="79"/>
  <c r="AK1684" i="79"/>
  <c r="AG1684" i="79"/>
  <c r="S1684" i="79"/>
  <c r="O1684" i="79"/>
  <c r="K1684" i="79"/>
  <c r="AO1792" i="79"/>
  <c r="AK1792" i="79"/>
  <c r="AG1792" i="79"/>
  <c r="S1792" i="79"/>
  <c r="O1792" i="79"/>
  <c r="K1792" i="79"/>
  <c r="T1756" i="79"/>
  <c r="P1756" i="79"/>
  <c r="L1756" i="79"/>
  <c r="AQ1720" i="79"/>
  <c r="AM1720" i="79"/>
  <c r="AI1720" i="79"/>
  <c r="Q1720" i="79"/>
  <c r="M1720" i="79"/>
  <c r="I1720" i="79"/>
  <c r="AN1684" i="79"/>
  <c r="AJ1684" i="79"/>
  <c r="AF1684" i="79"/>
  <c r="R1684" i="79"/>
  <c r="N1684" i="79"/>
  <c r="J1684" i="79"/>
  <c r="AN1792" i="79"/>
  <c r="AJ1792" i="79"/>
  <c r="AF1792" i="79"/>
  <c r="R1792" i="79"/>
  <c r="N1792" i="79"/>
  <c r="J1792" i="79"/>
  <c r="S1756" i="79"/>
  <c r="O1756" i="79"/>
  <c r="K1756" i="79"/>
  <c r="AP1720" i="79"/>
  <c r="AL1720" i="79"/>
  <c r="AH1720" i="79"/>
  <c r="T1720" i="79"/>
  <c r="P1720" i="79"/>
  <c r="L1720" i="79"/>
  <c r="AQ1684" i="79"/>
  <c r="AM1684" i="79"/>
  <c r="AI1684" i="79"/>
  <c r="Q1684" i="79"/>
  <c r="M1684" i="79"/>
  <c r="I1684" i="79"/>
  <c r="AO1648" i="79"/>
  <c r="AK1648" i="79"/>
  <c r="AG1648" i="79"/>
  <c r="S1648" i="79"/>
  <c r="O1648" i="79"/>
  <c r="K1648" i="79"/>
  <c r="AN1648" i="79"/>
  <c r="AJ1648" i="79"/>
  <c r="AF1648" i="79"/>
  <c r="R1648" i="79"/>
  <c r="N1648" i="79"/>
  <c r="J1648" i="79"/>
  <c r="AQ1648" i="79"/>
  <c r="AM1648" i="79"/>
  <c r="AI1648" i="79"/>
  <c r="Q1648" i="79"/>
  <c r="M1648" i="79"/>
  <c r="I1648" i="79"/>
  <c r="AP1648" i="79"/>
  <c r="AL1648" i="79"/>
  <c r="AH1648" i="79"/>
  <c r="T1648" i="79"/>
  <c r="P1648" i="79"/>
  <c r="L1648" i="79"/>
  <c r="Z1214" i="79"/>
  <c r="Z1666" i="79" s="1"/>
  <c r="Z1702" i="79" s="1"/>
  <c r="Z1738" i="79" s="1"/>
  <c r="Z1774" i="79" s="1"/>
  <c r="Z1810" i="79" s="1"/>
  <c r="Z1846" i="79" s="1"/>
  <c r="Z1882" i="79" s="1"/>
  <c r="Z1918" i="79" s="1"/>
  <c r="Z1954" i="79" s="1"/>
  <c r="Z1990" i="79" s="1"/>
  <c r="Z2025" i="79" s="1"/>
  <c r="Z2061" i="79" s="1"/>
  <c r="Z1651" i="79"/>
  <c r="Z1687" i="79" s="1"/>
  <c r="Z1723" i="79" s="1"/>
  <c r="Z1759" i="79" s="1"/>
  <c r="Z1795" i="79" s="1"/>
  <c r="Z1831" i="79" s="1"/>
  <c r="Z1867" i="79" s="1"/>
  <c r="Z1903" i="79" s="1"/>
  <c r="Z1939" i="79" s="1"/>
  <c r="Z1975" i="79" s="1"/>
  <c r="Z2010" i="79" s="1"/>
  <c r="Z2046" i="79" s="1"/>
  <c r="Z1655" i="79"/>
  <c r="Z1691" i="79" s="1"/>
  <c r="Z1727" i="79" s="1"/>
  <c r="Z1763" i="79" s="1"/>
  <c r="Z1799" i="79" s="1"/>
  <c r="Z1835" i="79" s="1"/>
  <c r="Z1871" i="79" s="1"/>
  <c r="Z1907" i="79" s="1"/>
  <c r="Z1943" i="79" s="1"/>
  <c r="Z1979" i="79" s="1"/>
  <c r="Z2014" i="79" s="1"/>
  <c r="Z2050" i="79" s="1"/>
  <c r="Z1218" i="79"/>
  <c r="Z1670" i="79" s="1"/>
  <c r="Z1706" i="79" s="1"/>
  <c r="Z1742" i="79" s="1"/>
  <c r="Z1778" i="79" s="1"/>
  <c r="Z1814" i="79" s="1"/>
  <c r="Z1850" i="79" s="1"/>
  <c r="Z1886" i="79" s="1"/>
  <c r="Z1922" i="79" s="1"/>
  <c r="Z1958" i="79" s="1"/>
  <c r="K1171" i="79"/>
  <c r="K1241" i="79" s="1"/>
  <c r="O1171" i="79"/>
  <c r="O1241" i="79" s="1"/>
  <c r="S1171" i="79"/>
  <c r="S1241" i="79" s="1"/>
  <c r="AF1171" i="79"/>
  <c r="AF1241" i="79" s="1"/>
  <c r="AJ1171" i="79"/>
  <c r="AJ1241" i="79" s="1"/>
  <c r="AN1171" i="79"/>
  <c r="AN1241" i="79" s="1"/>
  <c r="K1173" i="79"/>
  <c r="K1243" i="79" s="1"/>
  <c r="O1173" i="79"/>
  <c r="O1243" i="79" s="1"/>
  <c r="S1173" i="79"/>
  <c r="S1243" i="79" s="1"/>
  <c r="AF1173" i="79"/>
  <c r="AF1243" i="79" s="1"/>
  <c r="AJ1173" i="79"/>
  <c r="AJ1243" i="79" s="1"/>
  <c r="AN1173" i="79"/>
  <c r="AN1243" i="79" s="1"/>
  <c r="K1175" i="79"/>
  <c r="K1245" i="79" s="1"/>
  <c r="O1175" i="79"/>
  <c r="O1245" i="79" s="1"/>
  <c r="S1175" i="79"/>
  <c r="S1245" i="79" s="1"/>
  <c r="AF1175" i="79"/>
  <c r="AF1245" i="79" s="1"/>
  <c r="AJ1175" i="79"/>
  <c r="AJ1245" i="79" s="1"/>
  <c r="AN1175" i="79"/>
  <c r="AN1245" i="79" s="1"/>
  <c r="K1176" i="79"/>
  <c r="K1246" i="79" s="1"/>
  <c r="O1176" i="79"/>
  <c r="O1246" i="79" s="1"/>
  <c r="S1176" i="79"/>
  <c r="S1246" i="79" s="1"/>
  <c r="AF1176" i="79"/>
  <c r="AF1246" i="79" s="1"/>
  <c r="AJ1176" i="79"/>
  <c r="AJ1246" i="79" s="1"/>
  <c r="AN1176" i="79"/>
  <c r="AN1246" i="79" s="1"/>
  <c r="K1177" i="79"/>
  <c r="K1247" i="79" s="1"/>
  <c r="O1177" i="79"/>
  <c r="O1247" i="79" s="1"/>
  <c r="S1177" i="79"/>
  <c r="S1247" i="79" s="1"/>
  <c r="AF1177" i="79"/>
  <c r="AF1247" i="79" s="1"/>
  <c r="AJ1177" i="79"/>
  <c r="AJ1247" i="79" s="1"/>
  <c r="AN1177" i="79"/>
  <c r="AN1247" i="79" s="1"/>
  <c r="K1178" i="79"/>
  <c r="K1248" i="79" s="1"/>
  <c r="O1178" i="79"/>
  <c r="O1248" i="79" s="1"/>
  <c r="S1178" i="79"/>
  <c r="S1248" i="79" s="1"/>
  <c r="AF1178" i="79"/>
  <c r="AF1248" i="79" s="1"/>
  <c r="AJ1178" i="79"/>
  <c r="AJ1248" i="79" s="1"/>
  <c r="AN1178" i="79"/>
  <c r="AN1248" i="79" s="1"/>
  <c r="K1179" i="79"/>
  <c r="K1249" i="79" s="1"/>
  <c r="O1179" i="79"/>
  <c r="O1249" i="79" s="1"/>
  <c r="S1179" i="79"/>
  <c r="S1249" i="79" s="1"/>
  <c r="AF1179" i="79"/>
  <c r="AF1249" i="79" s="1"/>
  <c r="AJ1179" i="79"/>
  <c r="AJ1249" i="79" s="1"/>
  <c r="AN1179" i="79"/>
  <c r="AN1249" i="79" s="1"/>
  <c r="K1180" i="79"/>
  <c r="K1250" i="79" s="1"/>
  <c r="O1180" i="79"/>
  <c r="O1250" i="79" s="1"/>
  <c r="S1180" i="79"/>
  <c r="S1250" i="79" s="1"/>
  <c r="AF1180" i="79"/>
  <c r="AF1250" i="79" s="1"/>
  <c r="AJ1180" i="79"/>
  <c r="AJ1250" i="79" s="1"/>
  <c r="AN1180" i="79"/>
  <c r="AN1250" i="79" s="1"/>
  <c r="P2120" i="79"/>
  <c r="Q2074" i="79"/>
  <c r="K2048" i="79"/>
  <c r="M2089" i="79"/>
  <c r="R2048" i="79"/>
  <c r="AL2048" i="79"/>
  <c r="P2089" i="79"/>
  <c r="S2074" i="79"/>
  <c r="AK2012" i="79"/>
  <c r="AJ2012" i="79"/>
  <c r="Q1977" i="79"/>
  <c r="N1977" i="79"/>
  <c r="T2012" i="79"/>
  <c r="AF1941" i="79"/>
  <c r="AP1977" i="79"/>
  <c r="Q1941" i="79"/>
  <c r="T1977" i="79"/>
  <c r="L1941" i="79"/>
  <c r="AM1869" i="79"/>
  <c r="R1833" i="79"/>
  <c r="K1905" i="79"/>
  <c r="AM1833" i="79"/>
  <c r="R1905" i="79"/>
  <c r="K1869" i="79"/>
  <c r="AM1905" i="79"/>
  <c r="R1869" i="79"/>
  <c r="K1833" i="79"/>
  <c r="P1761" i="79"/>
  <c r="AN1689" i="79"/>
  <c r="AF1797" i="79"/>
  <c r="AL1725" i="79"/>
  <c r="Q1689" i="79"/>
  <c r="I1797" i="79"/>
  <c r="O1725" i="79"/>
  <c r="AP1653" i="79"/>
  <c r="AH1797" i="79"/>
  <c r="AJ1725" i="79"/>
  <c r="S1689" i="79"/>
  <c r="K1653" i="79"/>
  <c r="K1181" i="79"/>
  <c r="K1251" i="79" s="1"/>
  <c r="O1181" i="79"/>
  <c r="O1251" i="79" s="1"/>
  <c r="S1181" i="79"/>
  <c r="S1251" i="79" s="1"/>
  <c r="AF1181" i="79"/>
  <c r="AF1251" i="79" s="1"/>
  <c r="AJ1181" i="79"/>
  <c r="AJ1251" i="79" s="1"/>
  <c r="AN1181" i="79"/>
  <c r="AN1251" i="79" s="1"/>
  <c r="K1182" i="79"/>
  <c r="K1252" i="79" s="1"/>
  <c r="O1182" i="79"/>
  <c r="O1252" i="79" s="1"/>
  <c r="S1182" i="79"/>
  <c r="S1252" i="79" s="1"/>
  <c r="AF1182" i="79"/>
  <c r="AF1252" i="79" s="1"/>
  <c r="AJ1182" i="79"/>
  <c r="AJ1252" i="79" s="1"/>
  <c r="AN1182" i="79"/>
  <c r="AN1252" i="79" s="1"/>
  <c r="K1183" i="79"/>
  <c r="K1253" i="79" s="1"/>
  <c r="O1183" i="79"/>
  <c r="O1253" i="79" s="1"/>
  <c r="S1183" i="79"/>
  <c r="S1253" i="79" s="1"/>
  <c r="AF1183" i="79"/>
  <c r="AF1253" i="79" s="1"/>
  <c r="AJ1183" i="79"/>
  <c r="AJ1253" i="79" s="1"/>
  <c r="AN1183" i="79"/>
  <c r="AN1253" i="79" s="1"/>
  <c r="K1184" i="79"/>
  <c r="K1254" i="79" s="1"/>
  <c r="O1184" i="79"/>
  <c r="O1254" i="79" s="1"/>
  <c r="S1184" i="79"/>
  <c r="S1254" i="79" s="1"/>
  <c r="AF1184" i="79"/>
  <c r="AF1254" i="79" s="1"/>
  <c r="AJ1184" i="79"/>
  <c r="AJ1254" i="79" s="1"/>
  <c r="AN1184" i="79"/>
  <c r="AN1254" i="79" s="1"/>
  <c r="K1185" i="79"/>
  <c r="K1255" i="79" s="1"/>
  <c r="O1185" i="79"/>
  <c r="O1255" i="79" s="1"/>
  <c r="S1185" i="79"/>
  <c r="S1255" i="79" s="1"/>
  <c r="AF1185" i="79"/>
  <c r="AF1255" i="79" s="1"/>
  <c r="AJ1185" i="79"/>
  <c r="AJ1255" i="79" s="1"/>
  <c r="AN1185" i="79"/>
  <c r="AN1255" i="79" s="1"/>
  <c r="K1186" i="79"/>
  <c r="K1256" i="79" s="1"/>
  <c r="O1186" i="79"/>
  <c r="O1256" i="79" s="1"/>
  <c r="S1186" i="79"/>
  <c r="S1256" i="79" s="1"/>
  <c r="AF1186" i="79"/>
  <c r="AF1256" i="79" s="1"/>
  <c r="AJ1186" i="79"/>
  <c r="AJ1256" i="79" s="1"/>
  <c r="AN1186" i="79"/>
  <c r="AN1256" i="79" s="1"/>
  <c r="K1187" i="79"/>
  <c r="K1257" i="79" s="1"/>
  <c r="O1187" i="79"/>
  <c r="O1257" i="79" s="1"/>
  <c r="S1187" i="79"/>
  <c r="S1257" i="79" s="1"/>
  <c r="AF1187" i="79"/>
  <c r="AF1257" i="79" s="1"/>
  <c r="AJ1187" i="79"/>
  <c r="AJ1257" i="79" s="1"/>
  <c r="AN1187" i="79"/>
  <c r="AN1257" i="79" s="1"/>
  <c r="K1188" i="79"/>
  <c r="K1258" i="79" s="1"/>
  <c r="O1188" i="79"/>
  <c r="O1258" i="79" s="1"/>
  <c r="S1188" i="79"/>
  <c r="S1258" i="79" s="1"/>
  <c r="AF1188" i="79"/>
  <c r="AF1258" i="79" s="1"/>
  <c r="AJ1188" i="79"/>
  <c r="AJ1258" i="79" s="1"/>
  <c r="AN1188" i="79"/>
  <c r="AN1258" i="79" s="1"/>
  <c r="K1189" i="79"/>
  <c r="K1259" i="79" s="1"/>
  <c r="O1189" i="79"/>
  <c r="O1259" i="79" s="1"/>
  <c r="S1189" i="79"/>
  <c r="S1259" i="79" s="1"/>
  <c r="AF1189" i="79"/>
  <c r="AF1259" i="79" s="1"/>
  <c r="AJ1189" i="79"/>
  <c r="AJ1259" i="79" s="1"/>
  <c r="AN1189" i="79"/>
  <c r="AN1259" i="79" s="1"/>
  <c r="K1190" i="79"/>
  <c r="K1260" i="79" s="1"/>
  <c r="O1190" i="79"/>
  <c r="O1260" i="79" s="1"/>
  <c r="S1190" i="79"/>
  <c r="S1260" i="79" s="1"/>
  <c r="AF1190" i="79"/>
  <c r="AF1260" i="79" s="1"/>
  <c r="AJ1190" i="79"/>
  <c r="AJ1260" i="79" s="1"/>
  <c r="AN1190" i="79"/>
  <c r="AN1260" i="79" s="1"/>
  <c r="K1191" i="79"/>
  <c r="K1261" i="79" s="1"/>
  <c r="O1191" i="79"/>
  <c r="O1261" i="79" s="1"/>
  <c r="S1191" i="79"/>
  <c r="S1261" i="79" s="1"/>
  <c r="AF1191" i="79"/>
  <c r="AF1261" i="79" s="1"/>
  <c r="AJ1191" i="79"/>
  <c r="AJ1261" i="79" s="1"/>
  <c r="AN1191" i="79"/>
  <c r="AN1261" i="79" s="1"/>
  <c r="K1192" i="79"/>
  <c r="K1262" i="79" s="1"/>
  <c r="O1192" i="79"/>
  <c r="O1262" i="79" s="1"/>
  <c r="S1192" i="79"/>
  <c r="S1262" i="79" s="1"/>
  <c r="AF1192" i="79"/>
  <c r="AF1262" i="79" s="1"/>
  <c r="AJ1192" i="79"/>
  <c r="AJ1262" i="79" s="1"/>
  <c r="AN1192" i="79"/>
  <c r="AN1262" i="79" s="1"/>
  <c r="K1193" i="79"/>
  <c r="K1263" i="79" s="1"/>
  <c r="O1193" i="79"/>
  <c r="O1263" i="79" s="1"/>
  <c r="S1193" i="79"/>
  <c r="S1263" i="79" s="1"/>
  <c r="AF1193" i="79"/>
  <c r="AF1263" i="79" s="1"/>
  <c r="AJ1193" i="79"/>
  <c r="AJ1263" i="79" s="1"/>
  <c r="AN1193" i="79"/>
  <c r="AN1263" i="79" s="1"/>
  <c r="K1194" i="79"/>
  <c r="K1264" i="79" s="1"/>
  <c r="O1194" i="79"/>
  <c r="O1264" i="79" s="1"/>
  <c r="S1194" i="79"/>
  <c r="S1264" i="79" s="1"/>
  <c r="AF1194" i="79"/>
  <c r="AF1264" i="79" s="1"/>
  <c r="AJ1194" i="79"/>
  <c r="AJ1264" i="79" s="1"/>
  <c r="AN1194" i="79"/>
  <c r="AN1264" i="79" s="1"/>
  <c r="K1195" i="79"/>
  <c r="K1265" i="79" s="1"/>
  <c r="O1195" i="79"/>
  <c r="O1265" i="79" s="1"/>
  <c r="S1195" i="79"/>
  <c r="S1265" i="79" s="1"/>
  <c r="AF1195" i="79"/>
  <c r="AF1265" i="79" s="1"/>
  <c r="AJ1195" i="79"/>
  <c r="AJ1265" i="79" s="1"/>
  <c r="AN1195" i="79"/>
  <c r="AN1265" i="79" s="1"/>
  <c r="K1196" i="79"/>
  <c r="K1266" i="79" s="1"/>
  <c r="O1196" i="79"/>
  <c r="O1266" i="79" s="1"/>
  <c r="S1196" i="79"/>
  <c r="S1266" i="79" s="1"/>
  <c r="AF1196" i="79"/>
  <c r="AF1266" i="79" s="1"/>
  <c r="AJ1196" i="79"/>
  <c r="AJ1266" i="79" s="1"/>
  <c r="AN1196" i="79"/>
  <c r="AN1266" i="79" s="1"/>
  <c r="K1197" i="79"/>
  <c r="K1267" i="79" s="1"/>
  <c r="O1197" i="79"/>
  <c r="O1267" i="79" s="1"/>
  <c r="S1197" i="79"/>
  <c r="S1267" i="79" s="1"/>
  <c r="AF1197" i="79"/>
  <c r="AF1267" i="79" s="1"/>
  <c r="AJ1197" i="79"/>
  <c r="AJ1267" i="79" s="1"/>
  <c r="AN1197" i="79"/>
  <c r="AN1267" i="79" s="1"/>
  <c r="I1270" i="79"/>
  <c r="Q1270" i="79"/>
  <c r="B1205" i="79"/>
  <c r="B1206" i="79"/>
  <c r="B1207" i="79"/>
  <c r="B1208" i="79"/>
  <c r="B1209" i="79"/>
  <c r="B1210" i="79"/>
  <c r="B1211" i="79"/>
  <c r="B1212" i="79"/>
  <c r="B1213" i="79"/>
  <c r="B1214" i="79"/>
  <c r="B1215" i="79"/>
  <c r="B1216" i="79"/>
  <c r="B1217" i="79"/>
  <c r="B1218" i="79"/>
  <c r="B1219" i="79"/>
  <c r="B1220" i="79"/>
  <c r="B1221" i="79"/>
  <c r="B1222" i="79"/>
  <c r="B1223" i="79"/>
  <c r="B1224" i="79"/>
  <c r="B1225" i="79"/>
  <c r="B1226" i="79"/>
  <c r="B1227" i="79"/>
  <c r="B1228" i="79"/>
  <c r="B1229" i="79"/>
  <c r="B1230" i="79"/>
  <c r="B1231" i="79"/>
  <c r="B1232" i="79"/>
  <c r="B1233" i="79"/>
  <c r="Y1241" i="79"/>
  <c r="Y1249" i="79"/>
  <c r="Y1251" i="79"/>
  <c r="B1643" i="79"/>
  <c r="C1644" i="79"/>
  <c r="C1680" i="79" s="1"/>
  <c r="C1716" i="79" s="1"/>
  <c r="C1752" i="79" s="1"/>
  <c r="C1788" i="79" s="1"/>
  <c r="C1824" i="79" s="1"/>
  <c r="C1860" i="79" s="1"/>
  <c r="C1896" i="79" s="1"/>
  <c r="C1932" i="79" s="1"/>
  <c r="C1968" i="79" s="1"/>
  <c r="C2003" i="79" s="1"/>
  <c r="C2039" i="79" s="1"/>
  <c r="C2073" i="79" s="1"/>
  <c r="C2088" i="79" s="1"/>
  <c r="C2104" i="79" s="1"/>
  <c r="C2119" i="79" s="1"/>
  <c r="B1647" i="79"/>
  <c r="C1648" i="79"/>
  <c r="C1684" i="79" s="1"/>
  <c r="C1720" i="79" s="1"/>
  <c r="C1756" i="79" s="1"/>
  <c r="C1792" i="79" s="1"/>
  <c r="C1828" i="79" s="1"/>
  <c r="C1864" i="79" s="1"/>
  <c r="C1900" i="79" s="1"/>
  <c r="C1936" i="79" s="1"/>
  <c r="C1972" i="79" s="1"/>
  <c r="C2007" i="79" s="1"/>
  <c r="C2043" i="79" s="1"/>
  <c r="C2077" i="79" s="1"/>
  <c r="C2092" i="79" s="1"/>
  <c r="C2108" i="79" s="1"/>
  <c r="C2123" i="79" s="1"/>
  <c r="B1651" i="79"/>
  <c r="C1652" i="79"/>
  <c r="C1688" i="79" s="1"/>
  <c r="C1724" i="79" s="1"/>
  <c r="C1760" i="79" s="1"/>
  <c r="C1796" i="79" s="1"/>
  <c r="C1832" i="79" s="1"/>
  <c r="C1868" i="79" s="1"/>
  <c r="C1904" i="79" s="1"/>
  <c r="C1940" i="79" s="1"/>
  <c r="C1976" i="79" s="1"/>
  <c r="C2011" i="79" s="1"/>
  <c r="C2047" i="79" s="1"/>
  <c r="C2081" i="79" s="1"/>
  <c r="C2096" i="79" s="1"/>
  <c r="C2112" i="79" s="1"/>
  <c r="C2127" i="79" s="1"/>
  <c r="R1653" i="79"/>
  <c r="B1654" i="79"/>
  <c r="R1270" i="79"/>
  <c r="C1205" i="79"/>
  <c r="C1657" i="79" s="1"/>
  <c r="C1693" i="79" s="1"/>
  <c r="C1729" i="79" s="1"/>
  <c r="C1765" i="79" s="1"/>
  <c r="C1801" i="79" s="1"/>
  <c r="C1837" i="79" s="1"/>
  <c r="C1873" i="79" s="1"/>
  <c r="C1909" i="79" s="1"/>
  <c r="C1945" i="79" s="1"/>
  <c r="C1981" i="79" s="1"/>
  <c r="C2016" i="79" s="1"/>
  <c r="C2052" i="79" s="1"/>
  <c r="C1206" i="79"/>
  <c r="C1658" i="79" s="1"/>
  <c r="C1694" i="79" s="1"/>
  <c r="C1730" i="79" s="1"/>
  <c r="C1766" i="79" s="1"/>
  <c r="C1802" i="79" s="1"/>
  <c r="C1838" i="79" s="1"/>
  <c r="C1874" i="79" s="1"/>
  <c r="C1910" i="79" s="1"/>
  <c r="C1946" i="79" s="1"/>
  <c r="C1982" i="79" s="1"/>
  <c r="C2017" i="79" s="1"/>
  <c r="C2053" i="79" s="1"/>
  <c r="C1207" i="79"/>
  <c r="C1659" i="79" s="1"/>
  <c r="C1695" i="79" s="1"/>
  <c r="C1731" i="79" s="1"/>
  <c r="C1767" i="79" s="1"/>
  <c r="C1803" i="79" s="1"/>
  <c r="C1839" i="79" s="1"/>
  <c r="C1875" i="79" s="1"/>
  <c r="C1911" i="79" s="1"/>
  <c r="C1947" i="79" s="1"/>
  <c r="C1983" i="79" s="1"/>
  <c r="C2018" i="79" s="1"/>
  <c r="C2054" i="79" s="1"/>
  <c r="C1208" i="79"/>
  <c r="C1660" i="79" s="1"/>
  <c r="C1696" i="79" s="1"/>
  <c r="C1732" i="79" s="1"/>
  <c r="C1768" i="79" s="1"/>
  <c r="C1804" i="79" s="1"/>
  <c r="C1840" i="79" s="1"/>
  <c r="C1876" i="79" s="1"/>
  <c r="C1912" i="79" s="1"/>
  <c r="C1948" i="79" s="1"/>
  <c r="C1984" i="79" s="1"/>
  <c r="C2019" i="79" s="1"/>
  <c r="C2055" i="79" s="1"/>
  <c r="C1209" i="79"/>
  <c r="C1661" i="79" s="1"/>
  <c r="C1697" i="79" s="1"/>
  <c r="C1733" i="79" s="1"/>
  <c r="C1769" i="79" s="1"/>
  <c r="C1805" i="79" s="1"/>
  <c r="C1841" i="79" s="1"/>
  <c r="C1877" i="79" s="1"/>
  <c r="C1913" i="79" s="1"/>
  <c r="C1949" i="79" s="1"/>
  <c r="C1985" i="79" s="1"/>
  <c r="C2020" i="79" s="1"/>
  <c r="C2056" i="79" s="1"/>
  <c r="C1210" i="79"/>
  <c r="C1662" i="79" s="1"/>
  <c r="C1698" i="79" s="1"/>
  <c r="C1734" i="79" s="1"/>
  <c r="C1770" i="79" s="1"/>
  <c r="C1806" i="79" s="1"/>
  <c r="C1842" i="79" s="1"/>
  <c r="C1878" i="79" s="1"/>
  <c r="C1914" i="79" s="1"/>
  <c r="C1950" i="79" s="1"/>
  <c r="C1986" i="79" s="1"/>
  <c r="C2021" i="79" s="1"/>
  <c r="C2057" i="79" s="1"/>
  <c r="C1211" i="79"/>
  <c r="C1663" i="79" s="1"/>
  <c r="C1699" i="79" s="1"/>
  <c r="C1735" i="79" s="1"/>
  <c r="C1771" i="79" s="1"/>
  <c r="C1807" i="79" s="1"/>
  <c r="C1843" i="79" s="1"/>
  <c r="C1879" i="79" s="1"/>
  <c r="C1915" i="79" s="1"/>
  <c r="C1951" i="79" s="1"/>
  <c r="C1987" i="79" s="1"/>
  <c r="C2022" i="79" s="1"/>
  <c r="C2058" i="79" s="1"/>
  <c r="C1212" i="79"/>
  <c r="C1664" i="79" s="1"/>
  <c r="C1700" i="79" s="1"/>
  <c r="C1736" i="79" s="1"/>
  <c r="C1772" i="79" s="1"/>
  <c r="C1808" i="79" s="1"/>
  <c r="C1844" i="79" s="1"/>
  <c r="C1880" i="79" s="1"/>
  <c r="C1916" i="79" s="1"/>
  <c r="C1952" i="79" s="1"/>
  <c r="C1988" i="79" s="1"/>
  <c r="C2023" i="79" s="1"/>
  <c r="C2059" i="79" s="1"/>
  <c r="C1213" i="79"/>
  <c r="C1665" i="79" s="1"/>
  <c r="C1701" i="79" s="1"/>
  <c r="C1737" i="79" s="1"/>
  <c r="C1773" i="79" s="1"/>
  <c r="C1809" i="79" s="1"/>
  <c r="C1845" i="79" s="1"/>
  <c r="C1881" i="79" s="1"/>
  <c r="C1917" i="79" s="1"/>
  <c r="C1953" i="79" s="1"/>
  <c r="C1989" i="79" s="1"/>
  <c r="C2024" i="79" s="1"/>
  <c r="C2060" i="79" s="1"/>
  <c r="C1214" i="79"/>
  <c r="C1666" i="79" s="1"/>
  <c r="C1702" i="79" s="1"/>
  <c r="C1738" i="79" s="1"/>
  <c r="C1774" i="79" s="1"/>
  <c r="C1810" i="79" s="1"/>
  <c r="C1846" i="79" s="1"/>
  <c r="C1882" i="79" s="1"/>
  <c r="C1918" i="79" s="1"/>
  <c r="C1954" i="79" s="1"/>
  <c r="C1990" i="79" s="1"/>
  <c r="C2025" i="79" s="1"/>
  <c r="C2061" i="79" s="1"/>
  <c r="C1215" i="79"/>
  <c r="C1667" i="79" s="1"/>
  <c r="C1703" i="79" s="1"/>
  <c r="C1739" i="79" s="1"/>
  <c r="C1775" i="79" s="1"/>
  <c r="C1811" i="79" s="1"/>
  <c r="C1847" i="79" s="1"/>
  <c r="C1883" i="79" s="1"/>
  <c r="C1919" i="79" s="1"/>
  <c r="C1955" i="79" s="1"/>
  <c r="C1991" i="79" s="1"/>
  <c r="C2026" i="79" s="1"/>
  <c r="C2062" i="79" s="1"/>
  <c r="C1216" i="79"/>
  <c r="C1668" i="79" s="1"/>
  <c r="C1704" i="79" s="1"/>
  <c r="C1740" i="79" s="1"/>
  <c r="C1776" i="79" s="1"/>
  <c r="C1812" i="79" s="1"/>
  <c r="C1848" i="79" s="1"/>
  <c r="C1884" i="79" s="1"/>
  <c r="C1920" i="79" s="1"/>
  <c r="C1956" i="79" s="1"/>
  <c r="C1992" i="79" s="1"/>
  <c r="C2027" i="79" s="1"/>
  <c r="C2063" i="79" s="1"/>
  <c r="C1217" i="79"/>
  <c r="C1669" i="79" s="1"/>
  <c r="C1705" i="79" s="1"/>
  <c r="C1741" i="79" s="1"/>
  <c r="C1777" i="79" s="1"/>
  <c r="C1813" i="79" s="1"/>
  <c r="C1849" i="79" s="1"/>
  <c r="C1885" i="79" s="1"/>
  <c r="C1921" i="79" s="1"/>
  <c r="C1957" i="79" s="1"/>
  <c r="C1993" i="79" s="1"/>
  <c r="C2028" i="79" s="1"/>
  <c r="C2064" i="79" s="1"/>
  <c r="C1218" i="79"/>
  <c r="C1670" i="79" s="1"/>
  <c r="C1706" i="79" s="1"/>
  <c r="C1742" i="79" s="1"/>
  <c r="C1778" i="79" s="1"/>
  <c r="C1814" i="79" s="1"/>
  <c r="C1850" i="79" s="1"/>
  <c r="C1886" i="79" s="1"/>
  <c r="C1922" i="79" s="1"/>
  <c r="C1958" i="79" s="1"/>
  <c r="C1219" i="79"/>
  <c r="C1220" i="79"/>
  <c r="C1221" i="79"/>
  <c r="C1222" i="79"/>
  <c r="C1223" i="79"/>
  <c r="C1224" i="79"/>
  <c r="C1225" i="79"/>
  <c r="C1226" i="79"/>
  <c r="C1227" i="79"/>
  <c r="C1228" i="79"/>
  <c r="C1229" i="79"/>
  <c r="C1230" i="79"/>
  <c r="C1231" i="79"/>
  <c r="C1232" i="79"/>
  <c r="B1234" i="79"/>
  <c r="B1240" i="79"/>
  <c r="B1242" i="79"/>
  <c r="B1244" i="79"/>
  <c r="B1246" i="79"/>
  <c r="B1248" i="79"/>
  <c r="B1250" i="79"/>
  <c r="C1643" i="79"/>
  <c r="C1679" i="79" s="1"/>
  <c r="C1715" i="79" s="1"/>
  <c r="C1751" i="79" s="1"/>
  <c r="C1787" i="79" s="1"/>
  <c r="C1823" i="79" s="1"/>
  <c r="C1859" i="79" s="1"/>
  <c r="C1895" i="79" s="1"/>
  <c r="C1931" i="79" s="1"/>
  <c r="C1967" i="79" s="1"/>
  <c r="C2002" i="79" s="1"/>
  <c r="C2038" i="79" s="1"/>
  <c r="C2072" i="79" s="1"/>
  <c r="C2087" i="79" s="1"/>
  <c r="C2103" i="79" s="1"/>
  <c r="C2118" i="79" s="1"/>
  <c r="C1647" i="79"/>
  <c r="C1683" i="79" s="1"/>
  <c r="C1719" i="79" s="1"/>
  <c r="C1755" i="79" s="1"/>
  <c r="C1791" i="79" s="1"/>
  <c r="C1827" i="79" s="1"/>
  <c r="C1863" i="79" s="1"/>
  <c r="C1899" i="79" s="1"/>
  <c r="C1935" i="79" s="1"/>
  <c r="C1971" i="79" s="1"/>
  <c r="C2006" i="79" s="1"/>
  <c r="C2042" i="79" s="1"/>
  <c r="C2076" i="79" s="1"/>
  <c r="C2091" i="79" s="1"/>
  <c r="C2107" i="79" s="1"/>
  <c r="C2122" i="79" s="1"/>
  <c r="C1651" i="79"/>
  <c r="C1687" i="79" s="1"/>
  <c r="C1723" i="79" s="1"/>
  <c r="C1759" i="79" s="1"/>
  <c r="C1795" i="79" s="1"/>
  <c r="C1831" i="79" s="1"/>
  <c r="C1867" i="79" s="1"/>
  <c r="C1903" i="79" s="1"/>
  <c r="C1939" i="79" s="1"/>
  <c r="C1975" i="79" s="1"/>
  <c r="C2010" i="79" s="1"/>
  <c r="C2046" i="79" s="1"/>
  <c r="C2080" i="79" s="1"/>
  <c r="C2095" i="79" s="1"/>
  <c r="C2111" i="79" s="1"/>
  <c r="C2126" i="79" s="1"/>
  <c r="M1653" i="79"/>
  <c r="B1655" i="79"/>
  <c r="AH1243" i="79"/>
  <c r="AH1266" i="79"/>
  <c r="O1270" i="79"/>
  <c r="S1270" i="79"/>
  <c r="Y1209" i="79"/>
  <c r="Y1277" i="79" s="1"/>
  <c r="Y1211" i="79"/>
  <c r="Y1279" i="79" s="1"/>
  <c r="Y1215" i="79"/>
  <c r="Y1283" i="79" s="1"/>
  <c r="Y1219" i="79"/>
  <c r="Y1287" i="79" s="1"/>
  <c r="Y1221" i="79"/>
  <c r="Y1289" i="79" s="1"/>
  <c r="Y1229" i="79"/>
  <c r="Y1297" i="79" s="1"/>
  <c r="B1235" i="79"/>
  <c r="C1642" i="79"/>
  <c r="C1678" i="79" s="1"/>
  <c r="C1714" i="79" s="1"/>
  <c r="C1750" i="79" s="1"/>
  <c r="C1786" i="79" s="1"/>
  <c r="C1822" i="79" s="1"/>
  <c r="C1858" i="79" s="1"/>
  <c r="C1894" i="79" s="1"/>
  <c r="C1930" i="79" s="1"/>
  <c r="C1966" i="79" s="1"/>
  <c r="C2001" i="79" s="1"/>
  <c r="C2037" i="79" s="1"/>
  <c r="C2071" i="79" s="1"/>
  <c r="C2086" i="79" s="1"/>
  <c r="C2102" i="79" s="1"/>
  <c r="C2117" i="79" s="1"/>
  <c r="B1645" i="79"/>
  <c r="C1646" i="79"/>
  <c r="C1682" i="79" s="1"/>
  <c r="C1718" i="79" s="1"/>
  <c r="C1754" i="79" s="1"/>
  <c r="C1790" i="79" s="1"/>
  <c r="C1826" i="79" s="1"/>
  <c r="C1862" i="79" s="1"/>
  <c r="C1898" i="79" s="1"/>
  <c r="C1934" i="79" s="1"/>
  <c r="C1970" i="79" s="1"/>
  <c r="C2005" i="79" s="1"/>
  <c r="C2041" i="79" s="1"/>
  <c r="C2075" i="79" s="1"/>
  <c r="C2090" i="79" s="1"/>
  <c r="C2106" i="79" s="1"/>
  <c r="C2121" i="79" s="1"/>
  <c r="B1649" i="79"/>
  <c r="C1650" i="79"/>
  <c r="C1686" i="79" s="1"/>
  <c r="C1722" i="79" s="1"/>
  <c r="C1758" i="79" s="1"/>
  <c r="C1794" i="79" s="1"/>
  <c r="C1830" i="79" s="1"/>
  <c r="C1866" i="79" s="1"/>
  <c r="C1902" i="79" s="1"/>
  <c r="C1938" i="79" s="1"/>
  <c r="C1974" i="79" s="1"/>
  <c r="C2009" i="79" s="1"/>
  <c r="C2045" i="79" s="1"/>
  <c r="C2079" i="79" s="1"/>
  <c r="C2094" i="79" s="1"/>
  <c r="C2110" i="79" s="1"/>
  <c r="C2125" i="79" s="1"/>
  <c r="C1655" i="79"/>
  <c r="C1691" i="79" s="1"/>
  <c r="C1727" i="79" s="1"/>
  <c r="C1763" i="79" s="1"/>
  <c r="C1799" i="79" s="1"/>
  <c r="C1835" i="79" s="1"/>
  <c r="C1871" i="79" s="1"/>
  <c r="C1907" i="79" s="1"/>
  <c r="C1943" i="79" s="1"/>
  <c r="C1979" i="79" s="1"/>
  <c r="C2014" i="79" s="1"/>
  <c r="C2050" i="79" s="1"/>
  <c r="C2084" i="79" s="1"/>
  <c r="C2099" i="79" s="1"/>
  <c r="C2115" i="79" s="1"/>
  <c r="C2130" i="79" s="1"/>
  <c r="Z1173" i="79"/>
  <c r="AM1243" i="79"/>
  <c r="Z1177" i="79"/>
  <c r="Z1181" i="79"/>
  <c r="Z1182" i="79"/>
  <c r="L1270" i="79"/>
  <c r="T1270" i="79"/>
  <c r="B1251" i="79"/>
  <c r="Q1653" i="79"/>
  <c r="S2370" i="79"/>
  <c r="O2370" i="79"/>
  <c r="K2370" i="79"/>
  <c r="T2347" i="79"/>
  <c r="P2347" i="79"/>
  <c r="L2347" i="79"/>
  <c r="Q2321" i="79"/>
  <c r="M2321" i="79"/>
  <c r="I2321" i="79"/>
  <c r="R2301" i="79"/>
  <c r="N2301" i="79"/>
  <c r="J2301" i="79"/>
  <c r="R2370" i="79"/>
  <c r="M2370" i="79"/>
  <c r="Q2347" i="79"/>
  <c r="K2347" i="79"/>
  <c r="Q2370" i="79"/>
  <c r="L2370" i="79"/>
  <c r="O2347" i="79"/>
  <c r="P2370" i="79"/>
  <c r="J2370" i="79"/>
  <c r="S2347" i="79"/>
  <c r="N2347" i="79"/>
  <c r="I2347" i="79"/>
  <c r="T2370" i="79"/>
  <c r="R2347" i="79"/>
  <c r="T2321" i="79"/>
  <c r="O2321" i="79"/>
  <c r="J2321" i="79"/>
  <c r="T2301" i="79"/>
  <c r="O2301" i="79"/>
  <c r="I2301" i="79"/>
  <c r="R2278" i="79"/>
  <c r="N2278" i="79"/>
  <c r="J2278" i="79"/>
  <c r="S2255" i="79"/>
  <c r="O2255" i="79"/>
  <c r="K2255" i="79"/>
  <c r="N2370" i="79"/>
  <c r="M2347" i="79"/>
  <c r="S2321" i="79"/>
  <c r="N2321" i="79"/>
  <c r="S2301" i="79"/>
  <c r="M2301" i="79"/>
  <c r="Q2278" i="79"/>
  <c r="M2278" i="79"/>
  <c r="I2278" i="79"/>
  <c r="R2255" i="79"/>
  <c r="N2255" i="79"/>
  <c r="J2255" i="79"/>
  <c r="I2370" i="79"/>
  <c r="J2347" i="79"/>
  <c r="R2321" i="79"/>
  <c r="L2321" i="79"/>
  <c r="Q2301" i="79"/>
  <c r="L2301" i="79"/>
  <c r="T2278" i="79"/>
  <c r="P2278" i="79"/>
  <c r="L2278" i="79"/>
  <c r="Q2255" i="79"/>
  <c r="M2255" i="79"/>
  <c r="I2255" i="79"/>
  <c r="R2232" i="79"/>
  <c r="N2232" i="79"/>
  <c r="J2232" i="79"/>
  <c r="S2209" i="79"/>
  <c r="O2209" i="79"/>
  <c r="K2209" i="79"/>
  <c r="T2186" i="79"/>
  <c r="P2186" i="79"/>
  <c r="L2186" i="79"/>
  <c r="Q2163" i="79"/>
  <c r="M2163" i="79"/>
  <c r="I2163" i="79"/>
  <c r="P2321" i="79"/>
  <c r="K2278" i="79"/>
  <c r="P2232" i="79"/>
  <c r="K2232" i="79"/>
  <c r="T2209" i="79"/>
  <c r="N2209" i="79"/>
  <c r="I2209" i="79"/>
  <c r="R2186" i="79"/>
  <c r="M2186" i="79"/>
  <c r="R2163" i="79"/>
  <c r="L2163" i="79"/>
  <c r="R2139" i="79"/>
  <c r="N2139" i="79"/>
  <c r="J2139" i="79"/>
  <c r="K2321" i="79"/>
  <c r="T2255" i="79"/>
  <c r="T2232" i="79"/>
  <c r="O2232" i="79"/>
  <c r="I2232" i="79"/>
  <c r="R2209" i="79"/>
  <c r="M2209" i="79"/>
  <c r="Q2186" i="79"/>
  <c r="K2186" i="79"/>
  <c r="P2163" i="79"/>
  <c r="K2163" i="79"/>
  <c r="P2301" i="79"/>
  <c r="S2278" i="79"/>
  <c r="P2255" i="79"/>
  <c r="S2232" i="79"/>
  <c r="M2232" i="79"/>
  <c r="Q2209" i="79"/>
  <c r="L2209" i="79"/>
  <c r="O2186" i="79"/>
  <c r="J2186" i="79"/>
  <c r="J2209" i="79"/>
  <c r="N2186" i="79"/>
  <c r="N2163" i="79"/>
  <c r="P2139" i="79"/>
  <c r="K2139" i="79"/>
  <c r="K2301" i="79"/>
  <c r="I2186" i="79"/>
  <c r="T2163" i="79"/>
  <c r="J2163" i="79"/>
  <c r="T2139" i="79"/>
  <c r="O2139" i="79"/>
  <c r="I2139" i="79"/>
  <c r="Q2232" i="79"/>
  <c r="S2163" i="79"/>
  <c r="S2139" i="79"/>
  <c r="M2139" i="79"/>
  <c r="R2378" i="79"/>
  <c r="N2378" i="79"/>
  <c r="J2378" i="79"/>
  <c r="Q2378" i="79"/>
  <c r="M2378" i="79"/>
  <c r="I2378" i="79"/>
  <c r="P2378" i="79"/>
  <c r="T2355" i="79"/>
  <c r="P2355" i="79"/>
  <c r="L2355" i="79"/>
  <c r="Q2329" i="79"/>
  <c r="M2329" i="79"/>
  <c r="I2329" i="79"/>
  <c r="R2309" i="79"/>
  <c r="N2309" i="79"/>
  <c r="J2309" i="79"/>
  <c r="S2378" i="79"/>
  <c r="Q2355" i="79"/>
  <c r="K2355" i="79"/>
  <c r="P2329" i="79"/>
  <c r="K2329" i="79"/>
  <c r="O2378" i="79"/>
  <c r="O2355" i="79"/>
  <c r="J2355" i="79"/>
  <c r="L2378" i="79"/>
  <c r="S2355" i="79"/>
  <c r="N2355" i="79"/>
  <c r="I2355" i="79"/>
  <c r="S2329" i="79"/>
  <c r="N2329" i="79"/>
  <c r="T2378" i="79"/>
  <c r="R2329" i="79"/>
  <c r="T2309" i="79"/>
  <c r="O2309" i="79"/>
  <c r="I2309" i="79"/>
  <c r="S2263" i="79"/>
  <c r="O2263" i="79"/>
  <c r="K2263" i="79"/>
  <c r="T2240" i="79"/>
  <c r="P2240" i="79"/>
  <c r="L2240" i="79"/>
  <c r="K2378" i="79"/>
  <c r="O2329" i="79"/>
  <c r="S2309" i="79"/>
  <c r="M2309" i="79"/>
  <c r="R2263" i="79"/>
  <c r="N2263" i="79"/>
  <c r="J2263" i="79"/>
  <c r="S2240" i="79"/>
  <c r="O2240" i="79"/>
  <c r="K2240" i="79"/>
  <c r="R2355" i="79"/>
  <c r="L2329" i="79"/>
  <c r="Q2309" i="79"/>
  <c r="L2309" i="79"/>
  <c r="Q2263" i="79"/>
  <c r="M2263" i="79"/>
  <c r="I2263" i="79"/>
  <c r="R2240" i="79"/>
  <c r="N2240" i="79"/>
  <c r="J2240" i="79"/>
  <c r="S2217" i="79"/>
  <c r="O2217" i="79"/>
  <c r="K2217" i="79"/>
  <c r="T2194" i="79"/>
  <c r="P2194" i="79"/>
  <c r="L2194" i="79"/>
  <c r="Q2171" i="79"/>
  <c r="M2171" i="79"/>
  <c r="I2171" i="79"/>
  <c r="R2147" i="79"/>
  <c r="N2147" i="79"/>
  <c r="J2147" i="79"/>
  <c r="P2309" i="79"/>
  <c r="Q2240" i="79"/>
  <c r="T2217" i="79"/>
  <c r="N2217" i="79"/>
  <c r="I2217" i="79"/>
  <c r="R2194" i="79"/>
  <c r="M2194" i="79"/>
  <c r="R2171" i="79"/>
  <c r="L2171" i="79"/>
  <c r="P2147" i="79"/>
  <c r="K2147" i="79"/>
  <c r="K2309" i="79"/>
  <c r="T2263" i="79"/>
  <c r="M2240" i="79"/>
  <c r="R2217" i="79"/>
  <c r="M2217" i="79"/>
  <c r="Q2194" i="79"/>
  <c r="K2194" i="79"/>
  <c r="P2171" i="79"/>
  <c r="K2171" i="79"/>
  <c r="T2147" i="79"/>
  <c r="O2147" i="79"/>
  <c r="I2147" i="79"/>
  <c r="M2355" i="79"/>
  <c r="T2329" i="79"/>
  <c r="P2263" i="79"/>
  <c r="I2240" i="79"/>
  <c r="Q2217" i="79"/>
  <c r="L2217" i="79"/>
  <c r="O2194" i="79"/>
  <c r="J2194" i="79"/>
  <c r="N2171" i="79"/>
  <c r="M2147" i="79"/>
  <c r="L2263" i="79"/>
  <c r="P2217" i="79"/>
  <c r="S2194" i="79"/>
  <c r="T2171" i="79"/>
  <c r="J2171" i="79"/>
  <c r="L2147" i="79"/>
  <c r="J2217" i="79"/>
  <c r="N2194" i="79"/>
  <c r="S2171" i="79"/>
  <c r="S2147" i="79"/>
  <c r="O2171" i="79"/>
  <c r="S2186" i="79"/>
  <c r="O2278" i="79"/>
  <c r="I2136" i="79"/>
  <c r="N2136" i="79"/>
  <c r="S2136" i="79"/>
  <c r="K2137" i="79"/>
  <c r="P2137" i="79"/>
  <c r="S2369" i="79"/>
  <c r="O2369" i="79"/>
  <c r="K2369" i="79"/>
  <c r="T2346" i="79"/>
  <c r="P2346" i="79"/>
  <c r="L2346" i="79"/>
  <c r="R2300" i="79"/>
  <c r="N2300" i="79"/>
  <c r="J2300" i="79"/>
  <c r="T2369" i="79"/>
  <c r="N2369" i="79"/>
  <c r="I2369" i="79"/>
  <c r="R2346" i="79"/>
  <c r="M2346" i="79"/>
  <c r="R2369" i="79"/>
  <c r="M2369" i="79"/>
  <c r="Q2369" i="79"/>
  <c r="L2369" i="79"/>
  <c r="O2346" i="79"/>
  <c r="J2346" i="79"/>
  <c r="J2369" i="79"/>
  <c r="Q2346" i="79"/>
  <c r="P2300" i="79"/>
  <c r="K2300" i="79"/>
  <c r="R2277" i="79"/>
  <c r="N2277" i="79"/>
  <c r="J2277" i="79"/>
  <c r="S2254" i="79"/>
  <c r="O2254" i="79"/>
  <c r="K2254" i="79"/>
  <c r="N2346" i="79"/>
  <c r="T2300" i="79"/>
  <c r="O2300" i="79"/>
  <c r="I2300" i="79"/>
  <c r="Q2277" i="79"/>
  <c r="M2277" i="79"/>
  <c r="I2277" i="79"/>
  <c r="R2254" i="79"/>
  <c r="N2254" i="79"/>
  <c r="J2254" i="79"/>
  <c r="K2346" i="79"/>
  <c r="S2300" i="79"/>
  <c r="M2300" i="79"/>
  <c r="T2277" i="79"/>
  <c r="P2277" i="79"/>
  <c r="L2277" i="79"/>
  <c r="Q2254" i="79"/>
  <c r="M2254" i="79"/>
  <c r="I2254" i="79"/>
  <c r="R2231" i="79"/>
  <c r="N2231" i="79"/>
  <c r="J2231" i="79"/>
  <c r="S2208" i="79"/>
  <c r="O2208" i="79"/>
  <c r="K2208" i="79"/>
  <c r="T2185" i="79"/>
  <c r="P2185" i="79"/>
  <c r="L2185" i="79"/>
  <c r="Q2162" i="79"/>
  <c r="M2162" i="79"/>
  <c r="I2162" i="79"/>
  <c r="I2346" i="79"/>
  <c r="Q2300" i="79"/>
  <c r="T2254" i="79"/>
  <c r="Q2231" i="79"/>
  <c r="L2231" i="79"/>
  <c r="P2208" i="79"/>
  <c r="J2208" i="79"/>
  <c r="S2185" i="79"/>
  <c r="N2185" i="79"/>
  <c r="I2185" i="79"/>
  <c r="S2162" i="79"/>
  <c r="N2162" i="79"/>
  <c r="T2138" i="79"/>
  <c r="P2138" i="79"/>
  <c r="L2138" i="79"/>
  <c r="L2300" i="79"/>
  <c r="S2277" i="79"/>
  <c r="P2254" i="79"/>
  <c r="P2231" i="79"/>
  <c r="K2231" i="79"/>
  <c r="T2208" i="79"/>
  <c r="N2208" i="79"/>
  <c r="I2208" i="79"/>
  <c r="R2185" i="79"/>
  <c r="M2185" i="79"/>
  <c r="R2162" i="79"/>
  <c r="L2162" i="79"/>
  <c r="P2369" i="79"/>
  <c r="O2277" i="79"/>
  <c r="L2254" i="79"/>
  <c r="T2231" i="79"/>
  <c r="O2231" i="79"/>
  <c r="I2231" i="79"/>
  <c r="R2208" i="79"/>
  <c r="M2208" i="79"/>
  <c r="Q2185" i="79"/>
  <c r="K2185" i="79"/>
  <c r="K2138" i="79"/>
  <c r="Q2138" i="79"/>
  <c r="K2141" i="79"/>
  <c r="P2141" i="79"/>
  <c r="S2374" i="79"/>
  <c r="O2374" i="79"/>
  <c r="K2374" i="79"/>
  <c r="T2351" i="79"/>
  <c r="P2351" i="79"/>
  <c r="L2351" i="79"/>
  <c r="Q2325" i="79"/>
  <c r="M2325" i="79"/>
  <c r="I2325" i="79"/>
  <c r="R2305" i="79"/>
  <c r="N2305" i="79"/>
  <c r="J2305" i="79"/>
  <c r="R2374" i="79"/>
  <c r="M2374" i="79"/>
  <c r="Q2351" i="79"/>
  <c r="K2351" i="79"/>
  <c r="P2325" i="79"/>
  <c r="K2325" i="79"/>
  <c r="Q2374" i="79"/>
  <c r="L2374" i="79"/>
  <c r="O2351" i="79"/>
  <c r="J2351" i="79"/>
  <c r="P2374" i="79"/>
  <c r="J2374" i="79"/>
  <c r="S2351" i="79"/>
  <c r="N2351" i="79"/>
  <c r="I2351" i="79"/>
  <c r="S2325" i="79"/>
  <c r="N2325" i="79"/>
  <c r="N2374" i="79"/>
  <c r="M2351" i="79"/>
  <c r="L2325" i="79"/>
  <c r="T2305" i="79"/>
  <c r="O2305" i="79"/>
  <c r="I2305" i="79"/>
  <c r="R2282" i="79"/>
  <c r="N2282" i="79"/>
  <c r="J2282" i="79"/>
  <c r="S2259" i="79"/>
  <c r="O2259" i="79"/>
  <c r="K2259" i="79"/>
  <c r="T2236" i="79"/>
  <c r="P2236" i="79"/>
  <c r="L2236" i="79"/>
  <c r="I2374" i="79"/>
  <c r="T2325" i="79"/>
  <c r="J2325" i="79"/>
  <c r="S2305" i="79"/>
  <c r="M2305" i="79"/>
  <c r="Q2282" i="79"/>
  <c r="M2282" i="79"/>
  <c r="I2282" i="79"/>
  <c r="R2259" i="79"/>
  <c r="N2259" i="79"/>
  <c r="J2259" i="79"/>
  <c r="S2236" i="79"/>
  <c r="O2236" i="79"/>
  <c r="K2236" i="79"/>
  <c r="R2325" i="79"/>
  <c r="Q2305" i="79"/>
  <c r="L2305" i="79"/>
  <c r="T2282" i="79"/>
  <c r="P2282" i="79"/>
  <c r="L2282" i="79"/>
  <c r="Q2259" i="79"/>
  <c r="M2259" i="79"/>
  <c r="I2259" i="79"/>
  <c r="R2236" i="79"/>
  <c r="N2236" i="79"/>
  <c r="J2236" i="79"/>
  <c r="S2213" i="79"/>
  <c r="O2213" i="79"/>
  <c r="K2213" i="79"/>
  <c r="T2190" i="79"/>
  <c r="P2190" i="79"/>
  <c r="L2190" i="79"/>
  <c r="Q2167" i="79"/>
  <c r="M2167" i="79"/>
  <c r="I2167" i="79"/>
  <c r="R2143" i="79"/>
  <c r="N2143" i="79"/>
  <c r="J2143" i="79"/>
  <c r="R2351" i="79"/>
  <c r="K2282" i="79"/>
  <c r="Q2236" i="79"/>
  <c r="T2213" i="79"/>
  <c r="N2213" i="79"/>
  <c r="I2213" i="79"/>
  <c r="R2190" i="79"/>
  <c r="M2190" i="79"/>
  <c r="R2167" i="79"/>
  <c r="L2167" i="79"/>
  <c r="P2143" i="79"/>
  <c r="K2143" i="79"/>
  <c r="P2305" i="79"/>
  <c r="T2259" i="79"/>
  <c r="M2236" i="79"/>
  <c r="R2213" i="79"/>
  <c r="M2213" i="79"/>
  <c r="Q2190" i="79"/>
  <c r="K2190" i="79"/>
  <c r="P2167" i="79"/>
  <c r="K2167" i="79"/>
  <c r="T2143" i="79"/>
  <c r="O2143" i="79"/>
  <c r="I2143" i="79"/>
  <c r="K2305" i="79"/>
  <c r="S2282" i="79"/>
  <c r="P2259" i="79"/>
  <c r="I2236" i="79"/>
  <c r="Q2213" i="79"/>
  <c r="L2213" i="79"/>
  <c r="O2190" i="79"/>
  <c r="J2190" i="79"/>
  <c r="Q2143" i="79"/>
  <c r="K2146" i="79"/>
  <c r="L2160" i="79"/>
  <c r="K2161" i="79"/>
  <c r="J2162" i="79"/>
  <c r="T2162" i="79"/>
  <c r="R2164" i="79"/>
  <c r="P2165" i="79"/>
  <c r="O2166" i="79"/>
  <c r="N2167" i="79"/>
  <c r="J2170" i="79"/>
  <c r="T2170" i="79"/>
  <c r="R2183" i="79"/>
  <c r="O2185" i="79"/>
  <c r="M2187" i="79"/>
  <c r="J2189" i="79"/>
  <c r="S2190" i="79"/>
  <c r="N2206" i="79"/>
  <c r="L2208" i="79"/>
  <c r="I2210" i="79"/>
  <c r="R2211" i="79"/>
  <c r="P2213" i="79"/>
  <c r="K2229" i="79"/>
  <c r="T2230" i="79"/>
  <c r="P2256" i="79"/>
  <c r="S2279" i="79"/>
  <c r="R2367" i="79"/>
  <c r="J2136" i="79"/>
  <c r="O2136" i="79"/>
  <c r="S2368" i="79"/>
  <c r="O2368" i="79"/>
  <c r="K2368" i="79"/>
  <c r="T2345" i="79"/>
  <c r="P2345" i="79"/>
  <c r="L2345" i="79"/>
  <c r="R2299" i="79"/>
  <c r="N2299" i="79"/>
  <c r="J2299" i="79"/>
  <c r="P2368" i="79"/>
  <c r="J2368" i="79"/>
  <c r="S2345" i="79"/>
  <c r="N2345" i="79"/>
  <c r="I2345" i="79"/>
  <c r="T2368" i="79"/>
  <c r="N2368" i="79"/>
  <c r="I2368" i="79"/>
  <c r="R2368" i="79"/>
  <c r="M2368" i="79"/>
  <c r="Q2345" i="79"/>
  <c r="K2345" i="79"/>
  <c r="R2345" i="79"/>
  <c r="Q2299" i="79"/>
  <c r="L2299" i="79"/>
  <c r="R2276" i="79"/>
  <c r="N2276" i="79"/>
  <c r="J2276" i="79"/>
  <c r="S2253" i="79"/>
  <c r="O2253" i="79"/>
  <c r="K2253" i="79"/>
  <c r="Q2368" i="79"/>
  <c r="O2345" i="79"/>
  <c r="P2299" i="79"/>
  <c r="K2299" i="79"/>
  <c r="Q2276" i="79"/>
  <c r="M2276" i="79"/>
  <c r="I2276" i="79"/>
  <c r="R2253" i="79"/>
  <c r="N2253" i="79"/>
  <c r="J2253" i="79"/>
  <c r="L2368" i="79"/>
  <c r="M2345" i="79"/>
  <c r="T2299" i="79"/>
  <c r="O2299" i="79"/>
  <c r="I2299" i="79"/>
  <c r="T2276" i="79"/>
  <c r="P2276" i="79"/>
  <c r="L2276" i="79"/>
  <c r="Q2253" i="79"/>
  <c r="M2253" i="79"/>
  <c r="I2253" i="79"/>
  <c r="R2230" i="79"/>
  <c r="N2230" i="79"/>
  <c r="J2230" i="79"/>
  <c r="S2207" i="79"/>
  <c r="O2207" i="79"/>
  <c r="K2207" i="79"/>
  <c r="T2184" i="79"/>
  <c r="P2184" i="79"/>
  <c r="L2184" i="79"/>
  <c r="Q2161" i="79"/>
  <c r="M2161" i="79"/>
  <c r="I2161" i="79"/>
  <c r="S2276" i="79"/>
  <c r="P2253" i="79"/>
  <c r="S2230" i="79"/>
  <c r="M2230" i="79"/>
  <c r="Q2207" i="79"/>
  <c r="L2207" i="79"/>
  <c r="O2184" i="79"/>
  <c r="J2184" i="79"/>
  <c r="T2161" i="79"/>
  <c r="O2161" i="79"/>
  <c r="J2161" i="79"/>
  <c r="R2137" i="79"/>
  <c r="N2137" i="79"/>
  <c r="J2137" i="79"/>
  <c r="J2345" i="79"/>
  <c r="O2276" i="79"/>
  <c r="L2253" i="79"/>
  <c r="Q2230" i="79"/>
  <c r="L2230" i="79"/>
  <c r="P2207" i="79"/>
  <c r="J2207" i="79"/>
  <c r="S2184" i="79"/>
  <c r="N2184" i="79"/>
  <c r="I2184" i="79"/>
  <c r="S2161" i="79"/>
  <c r="N2161" i="79"/>
  <c r="S2299" i="79"/>
  <c r="K2276" i="79"/>
  <c r="P2230" i="79"/>
  <c r="K2230" i="79"/>
  <c r="T2207" i="79"/>
  <c r="N2207" i="79"/>
  <c r="I2207" i="79"/>
  <c r="R2184" i="79"/>
  <c r="M2184" i="79"/>
  <c r="L2137" i="79"/>
  <c r="Q2137" i="79"/>
  <c r="S2372" i="79"/>
  <c r="O2372" i="79"/>
  <c r="K2372" i="79"/>
  <c r="T2349" i="79"/>
  <c r="P2349" i="79"/>
  <c r="L2349" i="79"/>
  <c r="Q2323" i="79"/>
  <c r="M2323" i="79"/>
  <c r="I2323" i="79"/>
  <c r="R2303" i="79"/>
  <c r="N2303" i="79"/>
  <c r="J2303" i="79"/>
  <c r="P2372" i="79"/>
  <c r="J2372" i="79"/>
  <c r="S2349" i="79"/>
  <c r="N2349" i="79"/>
  <c r="I2349" i="79"/>
  <c r="S2323" i="79"/>
  <c r="N2323" i="79"/>
  <c r="T2372" i="79"/>
  <c r="N2372" i="79"/>
  <c r="I2372" i="79"/>
  <c r="R2349" i="79"/>
  <c r="M2349" i="79"/>
  <c r="R2372" i="79"/>
  <c r="M2372" i="79"/>
  <c r="Q2349" i="79"/>
  <c r="K2349" i="79"/>
  <c r="P2323" i="79"/>
  <c r="K2323" i="79"/>
  <c r="Q2372" i="79"/>
  <c r="O2349" i="79"/>
  <c r="O2323" i="79"/>
  <c r="Q2303" i="79"/>
  <c r="L2303" i="79"/>
  <c r="R2280" i="79"/>
  <c r="N2280" i="79"/>
  <c r="J2280" i="79"/>
  <c r="S2257" i="79"/>
  <c r="O2257" i="79"/>
  <c r="K2257" i="79"/>
  <c r="L2372" i="79"/>
  <c r="J2349" i="79"/>
  <c r="L2323" i="79"/>
  <c r="P2303" i="79"/>
  <c r="K2303" i="79"/>
  <c r="Q2280" i="79"/>
  <c r="M2280" i="79"/>
  <c r="I2280" i="79"/>
  <c r="R2257" i="79"/>
  <c r="N2257" i="79"/>
  <c r="J2257" i="79"/>
  <c r="T2323" i="79"/>
  <c r="J2323" i="79"/>
  <c r="T2303" i="79"/>
  <c r="O2303" i="79"/>
  <c r="I2303" i="79"/>
  <c r="T2280" i="79"/>
  <c r="P2280" i="79"/>
  <c r="L2280" i="79"/>
  <c r="Q2257" i="79"/>
  <c r="M2257" i="79"/>
  <c r="I2257" i="79"/>
  <c r="R2234" i="79"/>
  <c r="N2234" i="79"/>
  <c r="J2234" i="79"/>
  <c r="S2211" i="79"/>
  <c r="O2211" i="79"/>
  <c r="K2211" i="79"/>
  <c r="T2188" i="79"/>
  <c r="P2188" i="79"/>
  <c r="L2188" i="79"/>
  <c r="Q2165" i="79"/>
  <c r="M2165" i="79"/>
  <c r="I2165" i="79"/>
  <c r="R2141" i="79"/>
  <c r="S2280" i="79"/>
  <c r="P2257" i="79"/>
  <c r="S2234" i="79"/>
  <c r="M2234" i="79"/>
  <c r="Q2211" i="79"/>
  <c r="L2211" i="79"/>
  <c r="O2188" i="79"/>
  <c r="J2188" i="79"/>
  <c r="T2165" i="79"/>
  <c r="O2165" i="79"/>
  <c r="J2165" i="79"/>
  <c r="S2141" i="79"/>
  <c r="N2141" i="79"/>
  <c r="J2141" i="79"/>
  <c r="R2323" i="79"/>
  <c r="S2303" i="79"/>
  <c r="O2280" i="79"/>
  <c r="L2257" i="79"/>
  <c r="Q2234" i="79"/>
  <c r="L2234" i="79"/>
  <c r="P2211" i="79"/>
  <c r="J2211" i="79"/>
  <c r="S2188" i="79"/>
  <c r="N2188" i="79"/>
  <c r="I2188" i="79"/>
  <c r="S2165" i="79"/>
  <c r="N2165" i="79"/>
  <c r="Q2141" i="79"/>
  <c r="M2303" i="79"/>
  <c r="K2280" i="79"/>
  <c r="P2234" i="79"/>
  <c r="K2234" i="79"/>
  <c r="T2211" i="79"/>
  <c r="N2211" i="79"/>
  <c r="I2211" i="79"/>
  <c r="R2188" i="79"/>
  <c r="M2188" i="79"/>
  <c r="L2141" i="79"/>
  <c r="T2141" i="79"/>
  <c r="R2377" i="79"/>
  <c r="N2377" i="79"/>
  <c r="Q2377" i="79"/>
  <c r="M2377" i="79"/>
  <c r="I2377" i="79"/>
  <c r="T2377" i="79"/>
  <c r="L2377" i="79"/>
  <c r="T2354" i="79"/>
  <c r="P2354" i="79"/>
  <c r="L2354" i="79"/>
  <c r="Q2328" i="79"/>
  <c r="M2328" i="79"/>
  <c r="I2328" i="79"/>
  <c r="S2377" i="79"/>
  <c r="J2377" i="79"/>
  <c r="R2354" i="79"/>
  <c r="M2354" i="79"/>
  <c r="R2328" i="79"/>
  <c r="L2328" i="79"/>
  <c r="P2377" i="79"/>
  <c r="Q2354" i="79"/>
  <c r="K2354" i="79"/>
  <c r="O2377" i="79"/>
  <c r="O2354" i="79"/>
  <c r="J2354" i="79"/>
  <c r="T2328" i="79"/>
  <c r="O2328" i="79"/>
  <c r="J2328" i="79"/>
  <c r="S2354" i="79"/>
  <c r="S2328" i="79"/>
  <c r="S2262" i="79"/>
  <c r="O2262" i="79"/>
  <c r="K2262" i="79"/>
  <c r="T2239" i="79"/>
  <c r="P2239" i="79"/>
  <c r="L2239" i="79"/>
  <c r="N2354" i="79"/>
  <c r="P2328" i="79"/>
  <c r="R2262" i="79"/>
  <c r="N2262" i="79"/>
  <c r="J2262" i="79"/>
  <c r="S2239" i="79"/>
  <c r="O2239" i="79"/>
  <c r="K2239" i="79"/>
  <c r="K2377" i="79"/>
  <c r="I2354" i="79"/>
  <c r="N2328" i="79"/>
  <c r="Q2262" i="79"/>
  <c r="M2262" i="79"/>
  <c r="I2262" i="79"/>
  <c r="R2239" i="79"/>
  <c r="N2239" i="79"/>
  <c r="J2239" i="79"/>
  <c r="S2216" i="79"/>
  <c r="O2216" i="79"/>
  <c r="K2216" i="79"/>
  <c r="T2193" i="79"/>
  <c r="P2193" i="79"/>
  <c r="L2193" i="79"/>
  <c r="Q2170" i="79"/>
  <c r="M2170" i="79"/>
  <c r="I2170" i="79"/>
  <c r="T2146" i="79"/>
  <c r="P2146" i="79"/>
  <c r="L2146" i="79"/>
  <c r="K2328" i="79"/>
  <c r="T2262" i="79"/>
  <c r="M2239" i="79"/>
  <c r="P2216" i="79"/>
  <c r="J2216" i="79"/>
  <c r="S2193" i="79"/>
  <c r="N2193" i="79"/>
  <c r="I2193" i="79"/>
  <c r="S2170" i="79"/>
  <c r="N2170" i="79"/>
  <c r="S2146" i="79"/>
  <c r="N2146" i="79"/>
  <c r="I2146" i="79"/>
  <c r="P2262" i="79"/>
  <c r="I2239" i="79"/>
  <c r="T2216" i="79"/>
  <c r="N2216" i="79"/>
  <c r="I2216" i="79"/>
  <c r="R2193" i="79"/>
  <c r="M2193" i="79"/>
  <c r="R2170" i="79"/>
  <c r="L2170" i="79"/>
  <c r="R2146" i="79"/>
  <c r="M2146" i="79"/>
  <c r="L2262" i="79"/>
  <c r="R2216" i="79"/>
  <c r="M2216" i="79"/>
  <c r="Q2193" i="79"/>
  <c r="K2193" i="79"/>
  <c r="O2146" i="79"/>
  <c r="N2160" i="79"/>
  <c r="L2161" i="79"/>
  <c r="K2162" i="79"/>
  <c r="S2164" i="79"/>
  <c r="R2165" i="79"/>
  <c r="P2166" i="79"/>
  <c r="O2167" i="79"/>
  <c r="K2170" i="79"/>
  <c r="K2184" i="79"/>
  <c r="R2187" i="79"/>
  <c r="O2189" i="79"/>
  <c r="J2193" i="79"/>
  <c r="T2206" i="79"/>
  <c r="Q2208" i="79"/>
  <c r="N2210" i="79"/>
  <c r="L2212" i="79"/>
  <c r="P2229" i="79"/>
  <c r="M2231" i="79"/>
  <c r="K2233" i="79"/>
  <c r="T2234" i="79"/>
  <c r="Q2239" i="79"/>
  <c r="P2252" i="79"/>
  <c r="T2257" i="79"/>
  <c r="S2346" i="79"/>
  <c r="T2374" i="79"/>
  <c r="S2367" i="79"/>
  <c r="O2367" i="79"/>
  <c r="K2367" i="79"/>
  <c r="T2344" i="79"/>
  <c r="P2344" i="79"/>
  <c r="L2344" i="79"/>
  <c r="R2298" i="79"/>
  <c r="N2298" i="79"/>
  <c r="Q2367" i="79"/>
  <c r="L2367" i="79"/>
  <c r="O2344" i="79"/>
  <c r="J2344" i="79"/>
  <c r="P2367" i="79"/>
  <c r="J2367" i="79"/>
  <c r="T2367" i="79"/>
  <c r="N2367" i="79"/>
  <c r="I2367" i="79"/>
  <c r="R2344" i="79"/>
  <c r="M2344" i="79"/>
  <c r="M2367" i="79"/>
  <c r="S2344" i="79"/>
  <c r="I2344" i="79"/>
  <c r="S2298" i="79"/>
  <c r="M2298" i="79"/>
  <c r="I2298" i="79"/>
  <c r="R2275" i="79"/>
  <c r="N2275" i="79"/>
  <c r="J2275" i="79"/>
  <c r="S2252" i="79"/>
  <c r="O2252" i="79"/>
  <c r="K2252" i="79"/>
  <c r="Q2344" i="79"/>
  <c r="Q2298" i="79"/>
  <c r="L2298" i="79"/>
  <c r="Q2275" i="79"/>
  <c r="M2275" i="79"/>
  <c r="I2275" i="79"/>
  <c r="R2252" i="79"/>
  <c r="N2252" i="79"/>
  <c r="J2252" i="79"/>
  <c r="N2344" i="79"/>
  <c r="P2298" i="79"/>
  <c r="K2298" i="79"/>
  <c r="T2275" i="79"/>
  <c r="P2275" i="79"/>
  <c r="L2275" i="79"/>
  <c r="Q2252" i="79"/>
  <c r="M2252" i="79"/>
  <c r="I2252" i="79"/>
  <c r="R2229" i="79"/>
  <c r="N2229" i="79"/>
  <c r="J2229" i="79"/>
  <c r="S2206" i="79"/>
  <c r="O2206" i="79"/>
  <c r="K2206" i="79"/>
  <c r="T2183" i="79"/>
  <c r="P2183" i="79"/>
  <c r="L2183" i="79"/>
  <c r="Q2160" i="79"/>
  <c r="M2160" i="79"/>
  <c r="I2160" i="79"/>
  <c r="T2298" i="79"/>
  <c r="O2275" i="79"/>
  <c r="L2252" i="79"/>
  <c r="T2229" i="79"/>
  <c r="O2229" i="79"/>
  <c r="I2229" i="79"/>
  <c r="R2206" i="79"/>
  <c r="M2206" i="79"/>
  <c r="Q2183" i="79"/>
  <c r="K2183" i="79"/>
  <c r="P2160" i="79"/>
  <c r="K2160" i="79"/>
  <c r="T2136" i="79"/>
  <c r="P2136" i="79"/>
  <c r="L2136" i="79"/>
  <c r="O2298" i="79"/>
  <c r="K2275" i="79"/>
  <c r="S2229" i="79"/>
  <c r="M2229" i="79"/>
  <c r="Q2206" i="79"/>
  <c r="L2206" i="79"/>
  <c r="O2183" i="79"/>
  <c r="J2183" i="79"/>
  <c r="T2160" i="79"/>
  <c r="O2160" i="79"/>
  <c r="J2160" i="79"/>
  <c r="K2344" i="79"/>
  <c r="J2298" i="79"/>
  <c r="T2252" i="79"/>
  <c r="Q2229" i="79"/>
  <c r="L2229" i="79"/>
  <c r="P2206" i="79"/>
  <c r="J2206" i="79"/>
  <c r="S2183" i="79"/>
  <c r="N2183" i="79"/>
  <c r="I2183" i="79"/>
  <c r="K2136" i="79"/>
  <c r="Q2136" i="79"/>
  <c r="S2371" i="79"/>
  <c r="O2371" i="79"/>
  <c r="K2371" i="79"/>
  <c r="T2348" i="79"/>
  <c r="P2348" i="79"/>
  <c r="L2348" i="79"/>
  <c r="Q2322" i="79"/>
  <c r="M2322" i="79"/>
  <c r="I2322" i="79"/>
  <c r="R2302" i="79"/>
  <c r="N2302" i="79"/>
  <c r="J2302" i="79"/>
  <c r="Q2371" i="79"/>
  <c r="L2371" i="79"/>
  <c r="O2348" i="79"/>
  <c r="J2348" i="79"/>
  <c r="T2322" i="79"/>
  <c r="O2322" i="79"/>
  <c r="P2371" i="79"/>
  <c r="J2371" i="79"/>
  <c r="S2348" i="79"/>
  <c r="N2348" i="79"/>
  <c r="I2348" i="79"/>
  <c r="T2371" i="79"/>
  <c r="N2371" i="79"/>
  <c r="I2371" i="79"/>
  <c r="R2348" i="79"/>
  <c r="M2348" i="79"/>
  <c r="R2322" i="79"/>
  <c r="L2322" i="79"/>
  <c r="P2322" i="79"/>
  <c r="S2302" i="79"/>
  <c r="M2302" i="79"/>
  <c r="R2279" i="79"/>
  <c r="N2279" i="79"/>
  <c r="J2279" i="79"/>
  <c r="S2256" i="79"/>
  <c r="O2256" i="79"/>
  <c r="K2256" i="79"/>
  <c r="N2322" i="79"/>
  <c r="Q2302" i="79"/>
  <c r="L2302" i="79"/>
  <c r="Q2279" i="79"/>
  <c r="M2279" i="79"/>
  <c r="I2279" i="79"/>
  <c r="R2256" i="79"/>
  <c r="N2256" i="79"/>
  <c r="J2256" i="79"/>
  <c r="R2371" i="79"/>
  <c r="Q2348" i="79"/>
  <c r="K2322" i="79"/>
  <c r="P2302" i="79"/>
  <c r="K2302" i="79"/>
  <c r="T2279" i="79"/>
  <c r="P2279" i="79"/>
  <c r="L2279" i="79"/>
  <c r="Q2256" i="79"/>
  <c r="M2256" i="79"/>
  <c r="I2256" i="79"/>
  <c r="R2233" i="79"/>
  <c r="N2233" i="79"/>
  <c r="J2233" i="79"/>
  <c r="S2210" i="79"/>
  <c r="O2210" i="79"/>
  <c r="K2210" i="79"/>
  <c r="T2187" i="79"/>
  <c r="P2187" i="79"/>
  <c r="L2187" i="79"/>
  <c r="Q2164" i="79"/>
  <c r="M2164" i="79"/>
  <c r="I2164" i="79"/>
  <c r="O2302" i="79"/>
  <c r="O2279" i="79"/>
  <c r="L2256" i="79"/>
  <c r="T2233" i="79"/>
  <c r="O2233" i="79"/>
  <c r="I2233" i="79"/>
  <c r="R2210" i="79"/>
  <c r="M2210" i="79"/>
  <c r="Q2187" i="79"/>
  <c r="K2187" i="79"/>
  <c r="P2164" i="79"/>
  <c r="K2164" i="79"/>
  <c r="M2371" i="79"/>
  <c r="I2302" i="79"/>
  <c r="K2279" i="79"/>
  <c r="S2233" i="79"/>
  <c r="M2233" i="79"/>
  <c r="Q2210" i="79"/>
  <c r="L2210" i="79"/>
  <c r="O2187" i="79"/>
  <c r="J2187" i="79"/>
  <c r="T2164" i="79"/>
  <c r="O2164" i="79"/>
  <c r="J2164" i="79"/>
  <c r="K2348" i="79"/>
  <c r="S2322" i="79"/>
  <c r="T2256" i="79"/>
  <c r="Q2233" i="79"/>
  <c r="L2233" i="79"/>
  <c r="P2210" i="79"/>
  <c r="J2210" i="79"/>
  <c r="S2187" i="79"/>
  <c r="N2187" i="79"/>
  <c r="I2187" i="79"/>
  <c r="S2373" i="79"/>
  <c r="O2373" i="79"/>
  <c r="K2373" i="79"/>
  <c r="T2350" i="79"/>
  <c r="P2350" i="79"/>
  <c r="L2350" i="79"/>
  <c r="Q2324" i="79"/>
  <c r="M2324" i="79"/>
  <c r="I2324" i="79"/>
  <c r="R2304" i="79"/>
  <c r="N2304" i="79"/>
  <c r="J2304" i="79"/>
  <c r="T2373" i="79"/>
  <c r="N2373" i="79"/>
  <c r="I2373" i="79"/>
  <c r="R2350" i="79"/>
  <c r="M2350" i="79"/>
  <c r="R2324" i="79"/>
  <c r="L2324" i="79"/>
  <c r="R2373" i="79"/>
  <c r="M2373" i="79"/>
  <c r="Q2350" i="79"/>
  <c r="K2350" i="79"/>
  <c r="Q2373" i="79"/>
  <c r="L2373" i="79"/>
  <c r="O2350" i="79"/>
  <c r="J2350" i="79"/>
  <c r="T2324" i="79"/>
  <c r="O2324" i="79"/>
  <c r="J2324" i="79"/>
  <c r="N2324" i="79"/>
  <c r="P2304" i="79"/>
  <c r="K2304" i="79"/>
  <c r="R2281" i="79"/>
  <c r="N2281" i="79"/>
  <c r="J2281" i="79"/>
  <c r="S2258" i="79"/>
  <c r="O2258" i="79"/>
  <c r="K2258" i="79"/>
  <c r="T2235" i="79"/>
  <c r="P2235" i="79"/>
  <c r="S2350" i="79"/>
  <c r="K2324" i="79"/>
  <c r="T2304" i="79"/>
  <c r="O2304" i="79"/>
  <c r="I2304" i="79"/>
  <c r="Q2281" i="79"/>
  <c r="M2281" i="79"/>
  <c r="I2281" i="79"/>
  <c r="R2258" i="79"/>
  <c r="N2258" i="79"/>
  <c r="J2258" i="79"/>
  <c r="S2235" i="79"/>
  <c r="O2235" i="79"/>
  <c r="K2235" i="79"/>
  <c r="P2373" i="79"/>
  <c r="N2350" i="79"/>
  <c r="S2324" i="79"/>
  <c r="S2304" i="79"/>
  <c r="M2304" i="79"/>
  <c r="T2281" i="79"/>
  <c r="P2281" i="79"/>
  <c r="L2281" i="79"/>
  <c r="Q2258" i="79"/>
  <c r="M2258" i="79"/>
  <c r="I2258" i="79"/>
  <c r="R2235" i="79"/>
  <c r="N2235" i="79"/>
  <c r="J2235" i="79"/>
  <c r="S2212" i="79"/>
  <c r="O2212" i="79"/>
  <c r="K2212" i="79"/>
  <c r="T2189" i="79"/>
  <c r="P2189" i="79"/>
  <c r="L2189" i="79"/>
  <c r="Q2166" i="79"/>
  <c r="M2166" i="79"/>
  <c r="I2166" i="79"/>
  <c r="J2373" i="79"/>
  <c r="P2324" i="79"/>
  <c r="L2304" i="79"/>
  <c r="T2258" i="79"/>
  <c r="M2235" i="79"/>
  <c r="P2212" i="79"/>
  <c r="J2212" i="79"/>
  <c r="S2189" i="79"/>
  <c r="N2189" i="79"/>
  <c r="I2189" i="79"/>
  <c r="S2166" i="79"/>
  <c r="N2166" i="79"/>
  <c r="I2350" i="79"/>
  <c r="S2281" i="79"/>
  <c r="P2258" i="79"/>
  <c r="L2235" i="79"/>
  <c r="T2212" i="79"/>
  <c r="N2212" i="79"/>
  <c r="I2212" i="79"/>
  <c r="R2189" i="79"/>
  <c r="M2189" i="79"/>
  <c r="R2166" i="79"/>
  <c r="L2166" i="79"/>
  <c r="O2281" i="79"/>
  <c r="L2258" i="79"/>
  <c r="I2235" i="79"/>
  <c r="R2212" i="79"/>
  <c r="M2212" i="79"/>
  <c r="Q2189" i="79"/>
  <c r="K2189" i="79"/>
  <c r="R2160" i="79"/>
  <c r="P2161" i="79"/>
  <c r="L2164" i="79"/>
  <c r="J2166" i="79"/>
  <c r="T2166" i="79"/>
  <c r="Q2184" i="79"/>
  <c r="K2188" i="79"/>
  <c r="I2190" i="79"/>
  <c r="O2193" i="79"/>
  <c r="M2207" i="79"/>
  <c r="T2210" i="79"/>
  <c r="Q2212" i="79"/>
  <c r="L2216" i="79"/>
  <c r="I2230" i="79"/>
  <c r="S2231" i="79"/>
  <c r="P2233" i="79"/>
  <c r="Q2235" i="79"/>
  <c r="T2253" i="79"/>
  <c r="L2259" i="79"/>
  <c r="K2277" i="79"/>
  <c r="O2282" i="79"/>
  <c r="T2302" i="79"/>
  <c r="O2325" i="79"/>
  <c r="I2191" i="79"/>
  <c r="N2191" i="79"/>
  <c r="S2191" i="79"/>
  <c r="M2192" i="79"/>
  <c r="R2192" i="79"/>
  <c r="I2195" i="79"/>
  <c r="N2195" i="79"/>
  <c r="S2195" i="79"/>
  <c r="M2196" i="79"/>
  <c r="R2196" i="79"/>
  <c r="J2214" i="79"/>
  <c r="P2214" i="79"/>
  <c r="I2215" i="79"/>
  <c r="N2215" i="79"/>
  <c r="T2215" i="79"/>
  <c r="J2218" i="79"/>
  <c r="P2218" i="79"/>
  <c r="I2219" i="79"/>
  <c r="N2219" i="79"/>
  <c r="T2219" i="79"/>
  <c r="M2237" i="79"/>
  <c r="Q2238" i="79"/>
  <c r="M2241" i="79"/>
  <c r="Q2242" i="79"/>
  <c r="T2260" i="79"/>
  <c r="T2264" i="79"/>
  <c r="K2284" i="79"/>
  <c r="T2306" i="79"/>
  <c r="O2310" i="79"/>
  <c r="N2326" i="79"/>
  <c r="I168" i="85"/>
  <c r="I170" i="85" s="1"/>
  <c r="I152" i="85"/>
  <c r="I154" i="85" s="1"/>
  <c r="M168" i="85"/>
  <c r="M170" i="85" s="1"/>
  <c r="M152" i="85"/>
  <c r="M154" i="85" s="1"/>
  <c r="Q168" i="85"/>
  <c r="Q170" i="85" s="1"/>
  <c r="Q152" i="85"/>
  <c r="Q154" i="85" s="1"/>
  <c r="O2144" i="79"/>
  <c r="S2376" i="79"/>
  <c r="O2376" i="79"/>
  <c r="K2376" i="79"/>
  <c r="T2353" i="79"/>
  <c r="P2353" i="79"/>
  <c r="L2353" i="79"/>
  <c r="Q2327" i="79"/>
  <c r="M2327" i="79"/>
  <c r="I2327" i="79"/>
  <c r="R2307" i="79"/>
  <c r="N2307" i="79"/>
  <c r="J2307" i="79"/>
  <c r="P2376" i="79"/>
  <c r="J2376" i="79"/>
  <c r="S2353" i="79"/>
  <c r="N2353" i="79"/>
  <c r="I2353" i="79"/>
  <c r="S2327" i="79"/>
  <c r="N2327" i="79"/>
  <c r="T2376" i="79"/>
  <c r="N2376" i="79"/>
  <c r="I2376" i="79"/>
  <c r="R2353" i="79"/>
  <c r="M2353" i="79"/>
  <c r="R2376" i="79"/>
  <c r="M2376" i="79"/>
  <c r="Q2353" i="79"/>
  <c r="K2353" i="79"/>
  <c r="P2327" i="79"/>
  <c r="K2327" i="79"/>
  <c r="L2376" i="79"/>
  <c r="J2353" i="79"/>
  <c r="T2327" i="79"/>
  <c r="J2327" i="79"/>
  <c r="Q2307" i="79"/>
  <c r="L2307" i="79"/>
  <c r="R2284" i="79"/>
  <c r="N2284" i="79"/>
  <c r="J2284" i="79"/>
  <c r="S2261" i="79"/>
  <c r="O2261" i="79"/>
  <c r="K2261" i="79"/>
  <c r="T2238" i="79"/>
  <c r="P2238" i="79"/>
  <c r="L2238" i="79"/>
  <c r="R2327" i="79"/>
  <c r="P2307" i="79"/>
  <c r="K2307" i="79"/>
  <c r="Q2284" i="79"/>
  <c r="M2284" i="79"/>
  <c r="I2284" i="79"/>
  <c r="R2261" i="79"/>
  <c r="N2261" i="79"/>
  <c r="J2261" i="79"/>
  <c r="S2238" i="79"/>
  <c r="O2238" i="79"/>
  <c r="K2238" i="79"/>
  <c r="O2327" i="79"/>
  <c r="T2307" i="79"/>
  <c r="O2307" i="79"/>
  <c r="I2307" i="79"/>
  <c r="T2284" i="79"/>
  <c r="P2284" i="79"/>
  <c r="L2284" i="79"/>
  <c r="Q2261" i="79"/>
  <c r="M2261" i="79"/>
  <c r="I2261" i="79"/>
  <c r="R2238" i="79"/>
  <c r="N2238" i="79"/>
  <c r="J2238" i="79"/>
  <c r="S2215" i="79"/>
  <c r="O2215" i="79"/>
  <c r="K2215" i="79"/>
  <c r="T2192" i="79"/>
  <c r="P2192" i="79"/>
  <c r="L2192" i="79"/>
  <c r="Q2169" i="79"/>
  <c r="M2169" i="79"/>
  <c r="I2169" i="79"/>
  <c r="J2148" i="79"/>
  <c r="O2148" i="79"/>
  <c r="R2380" i="79"/>
  <c r="N2380" i="79"/>
  <c r="J2380" i="79"/>
  <c r="Q2380" i="79"/>
  <c r="M2380" i="79"/>
  <c r="I2380" i="79"/>
  <c r="P2380" i="79"/>
  <c r="T2357" i="79"/>
  <c r="P2357" i="79"/>
  <c r="L2357" i="79"/>
  <c r="Q2331" i="79"/>
  <c r="M2331" i="79"/>
  <c r="I2331" i="79"/>
  <c r="R2311" i="79"/>
  <c r="N2311" i="79"/>
  <c r="J2311" i="79"/>
  <c r="O2380" i="79"/>
  <c r="S2357" i="79"/>
  <c r="N2357" i="79"/>
  <c r="I2357" i="79"/>
  <c r="S2331" i="79"/>
  <c r="N2331" i="79"/>
  <c r="L2380" i="79"/>
  <c r="R2357" i="79"/>
  <c r="M2357" i="79"/>
  <c r="T2380" i="79"/>
  <c r="K2380" i="79"/>
  <c r="Q2357" i="79"/>
  <c r="K2357" i="79"/>
  <c r="P2331" i="79"/>
  <c r="K2331" i="79"/>
  <c r="O2331" i="79"/>
  <c r="Q2311" i="79"/>
  <c r="L2311" i="79"/>
  <c r="R2288" i="79"/>
  <c r="N2288" i="79"/>
  <c r="J2288" i="79"/>
  <c r="S2265" i="79"/>
  <c r="O2265" i="79"/>
  <c r="K2265" i="79"/>
  <c r="T2242" i="79"/>
  <c r="P2242" i="79"/>
  <c r="L2242" i="79"/>
  <c r="L2331" i="79"/>
  <c r="P2311" i="79"/>
  <c r="K2311" i="79"/>
  <c r="Q2288" i="79"/>
  <c r="M2288" i="79"/>
  <c r="I2288" i="79"/>
  <c r="R2265" i="79"/>
  <c r="N2265" i="79"/>
  <c r="J2265" i="79"/>
  <c r="S2242" i="79"/>
  <c r="O2242" i="79"/>
  <c r="K2242" i="79"/>
  <c r="S2380" i="79"/>
  <c r="O2357" i="79"/>
  <c r="T2331" i="79"/>
  <c r="J2331" i="79"/>
  <c r="T2311" i="79"/>
  <c r="O2311" i="79"/>
  <c r="I2311" i="79"/>
  <c r="T2288" i="79"/>
  <c r="P2288" i="79"/>
  <c r="L2288" i="79"/>
  <c r="Q2265" i="79"/>
  <c r="M2265" i="79"/>
  <c r="I2265" i="79"/>
  <c r="R2242" i="79"/>
  <c r="N2242" i="79"/>
  <c r="J2242" i="79"/>
  <c r="S2219" i="79"/>
  <c r="O2219" i="79"/>
  <c r="K2219" i="79"/>
  <c r="T2196" i="79"/>
  <c r="P2196" i="79"/>
  <c r="L2196" i="79"/>
  <c r="Q2173" i="79"/>
  <c r="M2173" i="79"/>
  <c r="I2173" i="79"/>
  <c r="R2149" i="79"/>
  <c r="N2149" i="79"/>
  <c r="J2149" i="79"/>
  <c r="L2149" i="79"/>
  <c r="Q2149" i="79"/>
  <c r="J2168" i="79"/>
  <c r="O2168" i="79"/>
  <c r="T2168" i="79"/>
  <c r="N2169" i="79"/>
  <c r="S2169" i="79"/>
  <c r="J2172" i="79"/>
  <c r="O2172" i="79"/>
  <c r="T2172" i="79"/>
  <c r="N2173" i="79"/>
  <c r="S2173" i="79"/>
  <c r="J2191" i="79"/>
  <c r="O2191" i="79"/>
  <c r="I2192" i="79"/>
  <c r="N2192" i="79"/>
  <c r="S2192" i="79"/>
  <c r="J2195" i="79"/>
  <c r="O2195" i="79"/>
  <c r="I2196" i="79"/>
  <c r="N2196" i="79"/>
  <c r="S2196" i="79"/>
  <c r="L2214" i="79"/>
  <c r="Q2214" i="79"/>
  <c r="J2215" i="79"/>
  <c r="P2215" i="79"/>
  <c r="L2218" i="79"/>
  <c r="Q2218" i="79"/>
  <c r="J2219" i="79"/>
  <c r="P2219" i="79"/>
  <c r="Q2237" i="79"/>
  <c r="Q2241" i="79"/>
  <c r="L2261" i="79"/>
  <c r="L2265" i="79"/>
  <c r="O2284" i="79"/>
  <c r="K2287" i="79"/>
  <c r="O2288" i="79"/>
  <c r="M2307" i="79"/>
  <c r="T2310" i="79"/>
  <c r="L2327" i="79"/>
  <c r="S2330" i="79"/>
  <c r="J2357" i="79"/>
  <c r="S2375" i="79"/>
  <c r="O2375" i="79"/>
  <c r="K2375" i="79"/>
  <c r="T2352" i="79"/>
  <c r="P2352" i="79"/>
  <c r="L2352" i="79"/>
  <c r="Q2326" i="79"/>
  <c r="M2326" i="79"/>
  <c r="I2326" i="79"/>
  <c r="R2306" i="79"/>
  <c r="N2306" i="79"/>
  <c r="J2306" i="79"/>
  <c r="Q2375" i="79"/>
  <c r="L2375" i="79"/>
  <c r="O2352" i="79"/>
  <c r="J2352" i="79"/>
  <c r="T2326" i="79"/>
  <c r="O2326" i="79"/>
  <c r="J2326" i="79"/>
  <c r="P2375" i="79"/>
  <c r="J2375" i="79"/>
  <c r="S2352" i="79"/>
  <c r="N2352" i="79"/>
  <c r="I2352" i="79"/>
  <c r="T2375" i="79"/>
  <c r="N2375" i="79"/>
  <c r="I2375" i="79"/>
  <c r="R2352" i="79"/>
  <c r="M2352" i="79"/>
  <c r="R2326" i="79"/>
  <c r="L2326" i="79"/>
  <c r="K2326" i="79"/>
  <c r="S2306" i="79"/>
  <c r="M2306" i="79"/>
  <c r="R2283" i="79"/>
  <c r="N2283" i="79"/>
  <c r="J2283" i="79"/>
  <c r="S2260" i="79"/>
  <c r="O2260" i="79"/>
  <c r="K2260" i="79"/>
  <c r="T2237" i="79"/>
  <c r="P2237" i="79"/>
  <c r="L2237" i="79"/>
  <c r="R2375" i="79"/>
  <c r="Q2352" i="79"/>
  <c r="S2326" i="79"/>
  <c r="Q2306" i="79"/>
  <c r="L2306" i="79"/>
  <c r="Q2283" i="79"/>
  <c r="M2283" i="79"/>
  <c r="I2283" i="79"/>
  <c r="R2260" i="79"/>
  <c r="N2260" i="79"/>
  <c r="J2260" i="79"/>
  <c r="S2237" i="79"/>
  <c r="O2237" i="79"/>
  <c r="K2237" i="79"/>
  <c r="M2375" i="79"/>
  <c r="K2352" i="79"/>
  <c r="P2326" i="79"/>
  <c r="P2306" i="79"/>
  <c r="K2306" i="79"/>
  <c r="T2283" i="79"/>
  <c r="P2283" i="79"/>
  <c r="L2283" i="79"/>
  <c r="Q2260" i="79"/>
  <c r="M2260" i="79"/>
  <c r="I2260" i="79"/>
  <c r="R2237" i="79"/>
  <c r="N2237" i="79"/>
  <c r="J2237" i="79"/>
  <c r="S2214" i="79"/>
  <c r="O2214" i="79"/>
  <c r="K2214" i="79"/>
  <c r="T2191" i="79"/>
  <c r="P2191" i="79"/>
  <c r="L2191" i="79"/>
  <c r="Q2168" i="79"/>
  <c r="M2168" i="79"/>
  <c r="I2168" i="79"/>
  <c r="T2144" i="79"/>
  <c r="P2144" i="79"/>
  <c r="L2144" i="79"/>
  <c r="K2144" i="79"/>
  <c r="Q2144" i="79"/>
  <c r="R2379" i="79"/>
  <c r="N2379" i="79"/>
  <c r="J2379" i="79"/>
  <c r="Q2379" i="79"/>
  <c r="M2379" i="79"/>
  <c r="I2379" i="79"/>
  <c r="T2379" i="79"/>
  <c r="L2379" i="79"/>
  <c r="T2356" i="79"/>
  <c r="P2356" i="79"/>
  <c r="L2356" i="79"/>
  <c r="Q2330" i="79"/>
  <c r="M2330" i="79"/>
  <c r="I2330" i="79"/>
  <c r="R2310" i="79"/>
  <c r="N2310" i="79"/>
  <c r="J2310" i="79"/>
  <c r="P2379" i="79"/>
  <c r="O2356" i="79"/>
  <c r="J2356" i="79"/>
  <c r="T2330" i="79"/>
  <c r="O2330" i="79"/>
  <c r="J2330" i="79"/>
  <c r="O2379" i="79"/>
  <c r="S2356" i="79"/>
  <c r="N2356" i="79"/>
  <c r="I2356" i="79"/>
  <c r="K2379" i="79"/>
  <c r="R2356" i="79"/>
  <c r="M2356" i="79"/>
  <c r="R2330" i="79"/>
  <c r="L2330" i="79"/>
  <c r="Q2356" i="79"/>
  <c r="P2330" i="79"/>
  <c r="S2310" i="79"/>
  <c r="M2310" i="79"/>
  <c r="R2287" i="79"/>
  <c r="N2287" i="79"/>
  <c r="J2287" i="79"/>
  <c r="S2264" i="79"/>
  <c r="O2264" i="79"/>
  <c r="K2264" i="79"/>
  <c r="T2241" i="79"/>
  <c r="P2241" i="79"/>
  <c r="L2241" i="79"/>
  <c r="K2356" i="79"/>
  <c r="N2330" i="79"/>
  <c r="Q2310" i="79"/>
  <c r="L2310" i="79"/>
  <c r="Q2287" i="79"/>
  <c r="M2287" i="79"/>
  <c r="I2287" i="79"/>
  <c r="R2264" i="79"/>
  <c r="N2264" i="79"/>
  <c r="J2264" i="79"/>
  <c r="S2241" i="79"/>
  <c r="O2241" i="79"/>
  <c r="K2241" i="79"/>
  <c r="K2330" i="79"/>
  <c r="P2310" i="79"/>
  <c r="K2310" i="79"/>
  <c r="T2287" i="79"/>
  <c r="P2287" i="79"/>
  <c r="L2287" i="79"/>
  <c r="Q2264" i="79"/>
  <c r="M2264" i="79"/>
  <c r="I2264" i="79"/>
  <c r="R2241" i="79"/>
  <c r="N2241" i="79"/>
  <c r="J2241" i="79"/>
  <c r="S2218" i="79"/>
  <c r="O2218" i="79"/>
  <c r="K2218" i="79"/>
  <c r="T2195" i="79"/>
  <c r="P2195" i="79"/>
  <c r="L2195" i="79"/>
  <c r="Q2172" i="79"/>
  <c r="M2172" i="79"/>
  <c r="I2172" i="79"/>
  <c r="T2148" i="79"/>
  <c r="P2148" i="79"/>
  <c r="L2148" i="79"/>
  <c r="K2148" i="79"/>
  <c r="Q2148" i="79"/>
  <c r="M2149" i="79"/>
  <c r="S2149" i="79"/>
  <c r="K2168" i="79"/>
  <c r="P2168" i="79"/>
  <c r="J2169" i="79"/>
  <c r="O2169" i="79"/>
  <c r="T2169" i="79"/>
  <c r="K2172" i="79"/>
  <c r="P2172" i="79"/>
  <c r="J2173" i="79"/>
  <c r="O2173" i="79"/>
  <c r="T2173" i="79"/>
  <c r="K2191" i="79"/>
  <c r="Q2191" i="79"/>
  <c r="J2192" i="79"/>
  <c r="O2192" i="79"/>
  <c r="K2195" i="79"/>
  <c r="Q2195" i="79"/>
  <c r="J2196" i="79"/>
  <c r="O2196" i="79"/>
  <c r="M2214" i="79"/>
  <c r="R2214" i="79"/>
  <c r="L2215" i="79"/>
  <c r="Q2215" i="79"/>
  <c r="M2218" i="79"/>
  <c r="R2218" i="79"/>
  <c r="L2219" i="79"/>
  <c r="Q2219" i="79"/>
  <c r="I2238" i="79"/>
  <c r="I2242" i="79"/>
  <c r="L2260" i="79"/>
  <c r="P2261" i="79"/>
  <c r="L2264" i="79"/>
  <c r="P2265" i="79"/>
  <c r="O2283" i="79"/>
  <c r="S2284" i="79"/>
  <c r="O2287" i="79"/>
  <c r="S2288" i="79"/>
  <c r="I2306" i="79"/>
  <c r="S2307" i="79"/>
  <c r="M2311" i="79"/>
  <c r="R2331" i="79"/>
  <c r="J168" i="85"/>
  <c r="J170" i="85" s="1"/>
  <c r="J152" i="85"/>
  <c r="J154" i="85" s="1"/>
  <c r="N168" i="85"/>
  <c r="N170" i="85" s="1"/>
  <c r="N152" i="85"/>
  <c r="N154" i="85" s="1"/>
  <c r="H154" i="85"/>
  <c r="L154" i="85"/>
  <c r="P154" i="85"/>
  <c r="O170" i="85"/>
  <c r="H170" i="85"/>
  <c r="L170" i="85"/>
  <c r="F843" i="79"/>
  <c r="E670" i="77"/>
  <c r="F841" i="79"/>
  <c r="E667" i="77"/>
  <c r="H986" i="64"/>
  <c r="H1057" i="64" s="1"/>
  <c r="G411" i="64"/>
  <c r="G426" i="64"/>
  <c r="F537" i="64"/>
  <c r="E906" i="64"/>
  <c r="G118" i="85"/>
  <c r="G134" i="85" s="1"/>
  <c r="H118" i="85" s="1"/>
  <c r="E73" i="85"/>
  <c r="E131" i="85"/>
  <c r="F189" i="85"/>
  <c r="G189" i="85" s="1"/>
  <c r="F135" i="85"/>
  <c r="F187" i="85"/>
  <c r="G187" i="85" s="1"/>
  <c r="E36" i="73"/>
  <c r="A546" i="79"/>
  <c r="A662" i="79"/>
  <c r="A591" i="79"/>
  <c r="H776" i="64"/>
  <c r="AK993" i="64"/>
  <c r="G993" i="64" s="1"/>
  <c r="G1064" i="64" s="1"/>
  <c r="AP993" i="64"/>
  <c r="L993" i="64" s="1"/>
  <c r="L1064" i="64" s="1"/>
  <c r="S1048" i="64"/>
  <c r="AA1048" i="64"/>
  <c r="G292" i="73"/>
  <c r="G315" i="73"/>
  <c r="G316" i="73" s="1"/>
  <c r="G375" i="73" s="1"/>
  <c r="G295" i="73"/>
  <c r="G301" i="73" s="1"/>
  <c r="K83" i="73"/>
  <c r="K84" i="73" s="1"/>
  <c r="K315" i="73"/>
  <c r="K316" i="73" s="1"/>
  <c r="K375" i="73" s="1"/>
  <c r="K292" i="73"/>
  <c r="O83" i="73"/>
  <c r="O84" i="73" s="1"/>
  <c r="O315" i="73"/>
  <c r="O316" i="73" s="1"/>
  <c r="O375" i="73" s="1"/>
  <c r="O292" i="73"/>
  <c r="G26" i="73"/>
  <c r="H364" i="73"/>
  <c r="G32" i="74" s="1"/>
  <c r="H12" i="85"/>
  <c r="H404" i="73"/>
  <c r="L364" i="73"/>
  <c r="K32" i="74" s="1"/>
  <c r="L12" i="85"/>
  <c r="L404" i="73"/>
  <c r="P364" i="73"/>
  <c r="O32" i="74" s="1"/>
  <c r="S32" i="74" s="1"/>
  <c r="P40" i="73"/>
  <c r="P12" i="85"/>
  <c r="P404" i="73"/>
  <c r="L40" i="73"/>
  <c r="Q40" i="73"/>
  <c r="O751" i="64"/>
  <c r="C776" i="64"/>
  <c r="I776" i="64"/>
  <c r="C797" i="64"/>
  <c r="AK986" i="64"/>
  <c r="G986" i="64" s="1"/>
  <c r="G1057" i="64" s="1"/>
  <c r="AP986" i="64"/>
  <c r="L986" i="64" s="1"/>
  <c r="L1057" i="64" s="1"/>
  <c r="AG993" i="64"/>
  <c r="C993" i="64" s="1"/>
  <c r="C1064" i="64" s="1"/>
  <c r="AL993" i="64"/>
  <c r="H993" i="64" s="1"/>
  <c r="H1064" i="64" s="1"/>
  <c r="AQ993" i="64"/>
  <c r="M993" i="64" s="1"/>
  <c r="M1064" i="64" s="1"/>
  <c r="V1047" i="64"/>
  <c r="AF1048" i="64"/>
  <c r="AQ1048" i="64" s="1"/>
  <c r="I936" i="79"/>
  <c r="U936" i="79" s="1"/>
  <c r="H292" i="73"/>
  <c r="H315" i="73"/>
  <c r="H316" i="73" s="1"/>
  <c r="H375" i="73" s="1"/>
  <c r="H295" i="73"/>
  <c r="H83" i="73"/>
  <c r="H84" i="73" s="1"/>
  <c r="L315" i="73"/>
  <c r="L316" i="73" s="1"/>
  <c r="L375" i="73" s="1"/>
  <c r="L292" i="73"/>
  <c r="L295" i="73"/>
  <c r="P315" i="73"/>
  <c r="P292" i="73"/>
  <c r="P293" i="73" s="1"/>
  <c r="P295" i="73"/>
  <c r="H26" i="73"/>
  <c r="I364" i="73"/>
  <c r="H32" i="74" s="1"/>
  <c r="I12" i="85"/>
  <c r="I404" i="73"/>
  <c r="M364" i="73"/>
  <c r="L32" i="74" s="1"/>
  <c r="M12" i="85"/>
  <c r="M404" i="73"/>
  <c r="I40" i="73"/>
  <c r="M40" i="73"/>
  <c r="G83" i="73"/>
  <c r="G84" i="73" s="1"/>
  <c r="F115" i="73"/>
  <c r="O404" i="73"/>
  <c r="K12" i="85"/>
  <c r="L776" i="64"/>
  <c r="W1048" i="64"/>
  <c r="I315" i="73"/>
  <c r="I295" i="73"/>
  <c r="I83" i="73"/>
  <c r="I84" i="73" s="1"/>
  <c r="M315" i="73"/>
  <c r="M316" i="73" s="1"/>
  <c r="M375" i="73" s="1"/>
  <c r="M292" i="73"/>
  <c r="M295" i="73"/>
  <c r="M83" i="73"/>
  <c r="M84" i="73" s="1"/>
  <c r="Q315" i="73"/>
  <c r="Q316" i="73" s="1"/>
  <c r="Q375" i="73" s="1"/>
  <c r="Q292" i="73"/>
  <c r="Q293" i="73" s="1"/>
  <c r="Q295" i="73"/>
  <c r="Q83" i="73"/>
  <c r="Q84" i="73" s="1"/>
  <c r="I26" i="73"/>
  <c r="J12" i="85"/>
  <c r="J404" i="73"/>
  <c r="N12" i="85"/>
  <c r="N404" i="73"/>
  <c r="H35" i="73"/>
  <c r="H14" i="85" s="1"/>
  <c r="L35" i="73"/>
  <c r="L14" i="85" s="1"/>
  <c r="P35" i="73"/>
  <c r="P14" i="85" s="1"/>
  <c r="J40" i="73"/>
  <c r="N40" i="73"/>
  <c r="L93" i="73"/>
  <c r="P93" i="73"/>
  <c r="E114" i="73"/>
  <c r="F474" i="73"/>
  <c r="K295" i="73"/>
  <c r="O12" i="85"/>
  <c r="S491" i="64"/>
  <c r="AH986" i="64"/>
  <c r="D986" i="64" s="1"/>
  <c r="D1057" i="64" s="1"/>
  <c r="AM986" i="64"/>
  <c r="I986" i="64" s="1"/>
  <c r="I1057" i="64" s="1"/>
  <c r="B993" i="64"/>
  <c r="CO1064" i="64" s="1"/>
  <c r="AI993" i="64"/>
  <c r="E993" i="64" s="1"/>
  <c r="E1064" i="64" s="1"/>
  <c r="AO993" i="64"/>
  <c r="K993" i="64" s="1"/>
  <c r="K1064" i="64" s="1"/>
  <c r="AK1008" i="64"/>
  <c r="G1008" i="64" s="1"/>
  <c r="G1079" i="64" s="1"/>
  <c r="AP1008" i="64"/>
  <c r="L1008" i="64" s="1"/>
  <c r="L1079" i="64" s="1"/>
  <c r="X1047" i="64"/>
  <c r="R1048" i="64"/>
  <c r="Z1048" i="64"/>
  <c r="F83" i="73"/>
  <c r="F84" i="73" s="1"/>
  <c r="F85" i="73" s="1"/>
  <c r="F292" i="73"/>
  <c r="J292" i="73"/>
  <c r="J293" i="73" s="1"/>
  <c r="N295" i="73"/>
  <c r="N83" i="73"/>
  <c r="N84" i="73" s="1"/>
  <c r="F26" i="73"/>
  <c r="K26" i="73"/>
  <c r="O26" i="73"/>
  <c r="I35" i="73"/>
  <c r="I14" i="85" s="1"/>
  <c r="M35" i="73"/>
  <c r="M14" i="85" s="1"/>
  <c r="K40" i="73"/>
  <c r="O40" i="73"/>
  <c r="P83" i="73"/>
  <c r="P84" i="73" s="1"/>
  <c r="I292" i="73"/>
  <c r="O295" i="73"/>
  <c r="J93" i="73"/>
  <c r="N93" i="73"/>
  <c r="F147" i="73"/>
  <c r="R172" i="73"/>
  <c r="F201" i="73"/>
  <c r="G185" i="73" s="1"/>
  <c r="F475" i="73"/>
  <c r="H475" i="73" s="1"/>
  <c r="F476" i="73"/>
  <c r="F477" i="73"/>
  <c r="H477" i="73" s="1"/>
  <c r="F93" i="73"/>
  <c r="F145" i="73"/>
  <c r="G129" i="73" s="1"/>
  <c r="F173" i="73"/>
  <c r="F174" i="73" s="1"/>
  <c r="E170" i="73"/>
  <c r="N993" i="64"/>
  <c r="N1064" i="64" s="1"/>
  <c r="C1008" i="64"/>
  <c r="C1079" i="64" s="1"/>
  <c r="I333" i="79"/>
  <c r="AJ457" i="79"/>
  <c r="AN213" i="79"/>
  <c r="P333" i="79"/>
  <c r="J36" i="69"/>
  <c r="K36" i="69"/>
  <c r="F254" i="73"/>
  <c r="F255" i="73" s="1"/>
  <c r="F550" i="73" s="1"/>
  <c r="E252" i="73"/>
  <c r="E276" i="73"/>
  <c r="H393" i="73"/>
  <c r="L393" i="73"/>
  <c r="P393" i="73"/>
  <c r="G192" i="77"/>
  <c r="K192" i="77"/>
  <c r="O192" i="77"/>
  <c r="G194" i="77"/>
  <c r="K194" i="77"/>
  <c r="O194" i="77"/>
  <c r="G101" i="71"/>
  <c r="C68" i="61" s="1"/>
  <c r="J35" i="69"/>
  <c r="I44" i="69"/>
  <c r="Q363" i="73"/>
  <c r="I393" i="73"/>
  <c r="M393" i="73"/>
  <c r="Q393" i="73"/>
  <c r="F472" i="73"/>
  <c r="H472" i="73" s="1"/>
  <c r="H192" i="77"/>
  <c r="L192" i="77"/>
  <c r="P192" i="77"/>
  <c r="H194" i="77"/>
  <c r="L194" i="77"/>
  <c r="P194" i="77"/>
  <c r="F541" i="64"/>
  <c r="G407" i="64"/>
  <c r="F279" i="73"/>
  <c r="F280" i="73" s="1"/>
  <c r="J363" i="73"/>
  <c r="N363" i="73"/>
  <c r="F393" i="73"/>
  <c r="J393" i="73"/>
  <c r="N393" i="73"/>
  <c r="I192" i="77"/>
  <c r="M192" i="77"/>
  <c r="Q192" i="77"/>
  <c r="I194" i="77"/>
  <c r="M194" i="77"/>
  <c r="Q194" i="77"/>
  <c r="G405" i="64"/>
  <c r="I982" i="79"/>
  <c r="U982" i="79" s="1"/>
  <c r="K363" i="73"/>
  <c r="O363" i="73"/>
  <c r="G393" i="73"/>
  <c r="K393" i="73"/>
  <c r="O393" i="73"/>
  <c r="J192" i="77"/>
  <c r="N192" i="77"/>
  <c r="R192" i="77"/>
  <c r="J194" i="77"/>
  <c r="N194" i="77"/>
  <c r="I19" i="69"/>
  <c r="H19" i="69"/>
  <c r="I17" i="69"/>
  <c r="G27" i="69"/>
  <c r="C145" i="61" s="1"/>
  <c r="H17" i="69"/>
  <c r="H18" i="69"/>
  <c r="I93" i="73"/>
  <c r="R19" i="73"/>
  <c r="J295" i="73"/>
  <c r="J26" i="73"/>
  <c r="R39" i="73"/>
  <c r="H76" i="73"/>
  <c r="J83" i="73"/>
  <c r="R108" i="73"/>
  <c r="F107" i="85"/>
  <c r="G89" i="85" s="1"/>
  <c r="G107" i="85" s="1"/>
  <c r="H89" i="85" s="1"/>
  <c r="H107" i="85" s="1"/>
  <c r="I89" i="85" s="1"/>
  <c r="I107" i="85" s="1"/>
  <c r="I108" i="85" s="1"/>
  <c r="O90" i="74"/>
  <c r="O86" i="74" s="1"/>
  <c r="M12" i="10" s="1"/>
  <c r="O85" i="74"/>
  <c r="G62" i="85"/>
  <c r="F168" i="85"/>
  <c r="F170" i="85" s="1"/>
  <c r="F152" i="85"/>
  <c r="F154" i="85" s="1"/>
  <c r="G90" i="74"/>
  <c r="G86" i="74" s="1"/>
  <c r="E12" i="10" s="1"/>
  <c r="G85" i="74"/>
  <c r="K90" i="74"/>
  <c r="K86" i="74" s="1"/>
  <c r="I12" i="10" s="1"/>
  <c r="K85" i="74"/>
  <c r="F51" i="85"/>
  <c r="F79" i="85"/>
  <c r="D719" i="74"/>
  <c r="D35" i="25" s="1"/>
  <c r="E92" i="74"/>
  <c r="H85" i="74"/>
  <c r="L85" i="74"/>
  <c r="P85" i="74"/>
  <c r="H90" i="74"/>
  <c r="H86" i="74" s="1"/>
  <c r="F12" i="10" s="1"/>
  <c r="E85" i="74"/>
  <c r="D717" i="74"/>
  <c r="E90" i="74"/>
  <c r="E86" i="74" s="1"/>
  <c r="I85" i="74"/>
  <c r="I90" i="74"/>
  <c r="I86" i="74" s="1"/>
  <c r="G12" i="10" s="1"/>
  <c r="M85" i="74"/>
  <c r="M90" i="74"/>
  <c r="M86" i="74" s="1"/>
  <c r="K12" i="10" s="1"/>
  <c r="D720" i="74"/>
  <c r="L90" i="74"/>
  <c r="L86" i="74" s="1"/>
  <c r="J12" i="10" s="1"/>
  <c r="D718" i="74"/>
  <c r="F85" i="74"/>
  <c r="F90" i="74"/>
  <c r="F86" i="74" s="1"/>
  <c r="D12" i="10" s="1"/>
  <c r="J85" i="74"/>
  <c r="J90" i="74"/>
  <c r="J86" i="74" s="1"/>
  <c r="H12" i="10" s="1"/>
  <c r="N85" i="74"/>
  <c r="N90" i="74"/>
  <c r="N86" i="74" s="1"/>
  <c r="L12" i="10" s="1"/>
  <c r="G154" i="85"/>
  <c r="K154" i="85"/>
  <c r="O154" i="85"/>
  <c r="P90" i="74"/>
  <c r="P86" i="74" s="1"/>
  <c r="N12" i="10" s="1"/>
  <c r="F345" i="73"/>
  <c r="G332" i="73" s="1"/>
  <c r="R227" i="73"/>
  <c r="R144" i="73"/>
  <c r="R192" i="73"/>
  <c r="G390" i="73"/>
  <c r="K390" i="73"/>
  <c r="O390" i="73"/>
  <c r="H390" i="73"/>
  <c r="L390" i="73"/>
  <c r="P390" i="73"/>
  <c r="I390" i="73"/>
  <c r="M390" i="73"/>
  <c r="Q390" i="73"/>
  <c r="F390" i="73"/>
  <c r="J390" i="73"/>
  <c r="N390" i="73"/>
  <c r="G40" i="73"/>
  <c r="G12" i="85"/>
  <c r="G35" i="73"/>
  <c r="G364" i="73"/>
  <c r="F32" i="74" s="1"/>
  <c r="G412" i="64"/>
  <c r="E900" i="64"/>
  <c r="F915" i="64"/>
  <c r="H431" i="64"/>
  <c r="F919" i="64"/>
  <c r="H435" i="64"/>
  <c r="F923" i="64"/>
  <c r="G436" i="64"/>
  <c r="E924" i="64"/>
  <c r="H439" i="64"/>
  <c r="F927" i="64"/>
  <c r="G440" i="64"/>
  <c r="E928" i="64"/>
  <c r="H443" i="64"/>
  <c r="F931" i="64"/>
  <c r="G444" i="64"/>
  <c r="E932" i="64"/>
  <c r="H447" i="64"/>
  <c r="G448" i="64"/>
  <c r="E936" i="64"/>
  <c r="F939" i="64"/>
  <c r="G452" i="64"/>
  <c r="E940" i="64"/>
  <c r="H455" i="64"/>
  <c r="F943" i="64"/>
  <c r="G456" i="64"/>
  <c r="E944" i="64"/>
  <c r="H459" i="64"/>
  <c r="F947" i="64"/>
  <c r="G460" i="64"/>
  <c r="E948" i="64"/>
  <c r="H463" i="64"/>
  <c r="I71" i="64"/>
  <c r="F951" i="64"/>
  <c r="H467" i="64"/>
  <c r="I75" i="64"/>
  <c r="F955" i="64"/>
  <c r="G468" i="64"/>
  <c r="E956" i="64"/>
  <c r="H471" i="64"/>
  <c r="I79" i="64"/>
  <c r="F959" i="64"/>
  <c r="G472" i="64"/>
  <c r="E960" i="64"/>
  <c r="H475" i="64"/>
  <c r="I83" i="64"/>
  <c r="F963" i="64"/>
  <c r="G476" i="64"/>
  <c r="E964" i="64"/>
  <c r="H479" i="64"/>
  <c r="I87" i="64"/>
  <c r="F967" i="64"/>
  <c r="G480" i="64"/>
  <c r="E968" i="64"/>
  <c r="H483" i="64"/>
  <c r="I91" i="64"/>
  <c r="F971" i="64"/>
  <c r="G484" i="64"/>
  <c r="E972" i="64"/>
  <c r="E897" i="64"/>
  <c r="G409" i="64"/>
  <c r="E917" i="64"/>
  <c r="G429" i="64"/>
  <c r="E921" i="64"/>
  <c r="G433" i="64"/>
  <c r="E925" i="64"/>
  <c r="E929" i="64"/>
  <c r="E933" i="64"/>
  <c r="E937" i="64"/>
  <c r="E941" i="64"/>
  <c r="G453" i="64"/>
  <c r="E945" i="64"/>
  <c r="G457" i="64"/>
  <c r="E949" i="64"/>
  <c r="G461" i="64"/>
  <c r="H72" i="64"/>
  <c r="E953" i="64"/>
  <c r="G465" i="64"/>
  <c r="H73" i="64"/>
  <c r="H76" i="64"/>
  <c r="E957" i="64"/>
  <c r="H77" i="64"/>
  <c r="G469" i="64"/>
  <c r="H80" i="64"/>
  <c r="E961" i="64"/>
  <c r="H81" i="64"/>
  <c r="G473" i="64"/>
  <c r="H84" i="64"/>
  <c r="H85" i="64"/>
  <c r="E965" i="64"/>
  <c r="H88" i="64"/>
  <c r="E969" i="64"/>
  <c r="H89" i="64"/>
  <c r="H92" i="64"/>
  <c r="F973" i="64"/>
  <c r="I93" i="64"/>
  <c r="F974" i="64"/>
  <c r="I94" i="64"/>
  <c r="H486" i="64"/>
  <c r="G488" i="64"/>
  <c r="E976" i="64"/>
  <c r="H96" i="64"/>
  <c r="F977" i="64"/>
  <c r="H489" i="64"/>
  <c r="F978" i="64"/>
  <c r="I98" i="64"/>
  <c r="H490" i="64"/>
  <c r="G437" i="64"/>
  <c r="H485" i="64"/>
  <c r="E920" i="64"/>
  <c r="AI209" i="79"/>
  <c r="AN209" i="79"/>
  <c r="M254" i="79"/>
  <c r="J254" i="79"/>
  <c r="S416" i="79"/>
  <c r="L416" i="79"/>
  <c r="Q418" i="79"/>
  <c r="L418" i="79"/>
  <c r="E918" i="64"/>
  <c r="G430" i="64"/>
  <c r="E922" i="64"/>
  <c r="G434" i="64"/>
  <c r="E926" i="64"/>
  <c r="G438" i="64"/>
  <c r="E930" i="64"/>
  <c r="G442" i="64"/>
  <c r="E934" i="64"/>
  <c r="G446" i="64"/>
  <c r="E938" i="64"/>
  <c r="G450" i="64"/>
  <c r="E942" i="64"/>
  <c r="G454" i="64"/>
  <c r="E946" i="64"/>
  <c r="G458" i="64"/>
  <c r="E950" i="64"/>
  <c r="G462" i="64"/>
  <c r="E954" i="64"/>
  <c r="G466" i="64"/>
  <c r="E958" i="64"/>
  <c r="G470" i="64"/>
  <c r="E962" i="64"/>
  <c r="G474" i="64"/>
  <c r="E966" i="64"/>
  <c r="G478" i="64"/>
  <c r="E970" i="64"/>
  <c r="G482" i="64"/>
  <c r="E975" i="64"/>
  <c r="G487" i="64"/>
  <c r="G459" i="64"/>
  <c r="E891" i="64"/>
  <c r="G403" i="64"/>
  <c r="G427" i="64"/>
  <c r="E915" i="64"/>
  <c r="E919" i="64"/>
  <c r="G431" i="64"/>
  <c r="E927" i="64"/>
  <c r="G439" i="64"/>
  <c r="E935" i="64"/>
  <c r="G447" i="64"/>
  <c r="E943" i="64"/>
  <c r="G455" i="64"/>
  <c r="H70" i="64"/>
  <c r="E951" i="64"/>
  <c r="G463" i="64"/>
  <c r="H74" i="64"/>
  <c r="H78" i="64"/>
  <c r="E959" i="64"/>
  <c r="G471" i="64"/>
  <c r="H82" i="64"/>
  <c r="H86" i="64"/>
  <c r="E967" i="64"/>
  <c r="G479" i="64"/>
  <c r="H90" i="64"/>
  <c r="E974" i="64"/>
  <c r="G486" i="64"/>
  <c r="H95" i="64"/>
  <c r="E978" i="64"/>
  <c r="G490" i="64"/>
  <c r="G451" i="64"/>
  <c r="G483" i="64"/>
  <c r="AL415" i="79"/>
  <c r="AJ415" i="79"/>
  <c r="AP90" i="79"/>
  <c r="AO90" i="79"/>
  <c r="T251" i="79"/>
  <c r="I251" i="79"/>
  <c r="O415" i="79"/>
  <c r="P415" i="79"/>
  <c r="Q417" i="79"/>
  <c r="K417" i="79"/>
  <c r="F545" i="64"/>
  <c r="L210" i="79"/>
  <c r="J210" i="79"/>
  <c r="AP416" i="79"/>
  <c r="AN416" i="79"/>
  <c r="N986" i="64"/>
  <c r="N1057" i="64" s="1"/>
  <c r="AP194" i="79"/>
  <c r="AM217" i="79"/>
  <c r="S228" i="79"/>
  <c r="R302" i="79"/>
  <c r="R387" i="79"/>
  <c r="S430" i="79"/>
  <c r="P143" i="79"/>
  <c r="L172" i="79"/>
  <c r="AM172" i="79"/>
  <c r="N240" i="79"/>
  <c r="AG252" i="79"/>
  <c r="R299" i="79"/>
  <c r="AM347" i="79"/>
  <c r="AM434" i="79"/>
  <c r="AO513" i="79"/>
  <c r="M90" i="79"/>
  <c r="AJ90" i="79"/>
  <c r="T102" i="79"/>
  <c r="R143" i="79"/>
  <c r="R240" i="79"/>
  <c r="AO347" i="79"/>
  <c r="AO434" i="79"/>
  <c r="R472" i="79"/>
  <c r="AP513" i="79"/>
  <c r="AO194" i="79"/>
  <c r="AP218" i="79"/>
  <c r="S351" i="79"/>
  <c r="G297" i="64"/>
  <c r="G336" i="64"/>
  <c r="AM62" i="79"/>
  <c r="N103" i="79"/>
  <c r="AP142" i="79"/>
  <c r="AL144" i="79"/>
  <c r="O179" i="79"/>
  <c r="AM229" i="79"/>
  <c r="S271" i="79"/>
  <c r="R307" i="79"/>
  <c r="AP332" i="79"/>
  <c r="AI332" i="79"/>
  <c r="AL375" i="79"/>
  <c r="AG375" i="79"/>
  <c r="K389" i="79"/>
  <c r="P389" i="79"/>
  <c r="O389" i="79"/>
  <c r="N399" i="79"/>
  <c r="P404" i="79"/>
  <c r="AP421" i="79"/>
  <c r="AN424" i="79"/>
  <c r="AP444" i="79"/>
  <c r="M455" i="79"/>
  <c r="R455" i="79"/>
  <c r="M459" i="79"/>
  <c r="R459" i="79"/>
  <c r="AO459" i="79"/>
  <c r="AI459" i="79"/>
  <c r="R498" i="79"/>
  <c r="J498" i="79"/>
  <c r="G306" i="64"/>
  <c r="G309" i="64"/>
  <c r="G351" i="64"/>
  <c r="N1008" i="64"/>
  <c r="N1079" i="64" s="1"/>
  <c r="AO76" i="79"/>
  <c r="T103" i="79"/>
  <c r="L143" i="79"/>
  <c r="AQ144" i="79"/>
  <c r="R187" i="79"/>
  <c r="Q210" i="79"/>
  <c r="AO224" i="79"/>
  <c r="L240" i="79"/>
  <c r="N251" i="79"/>
  <c r="AQ252" i="79"/>
  <c r="AF252" i="79"/>
  <c r="AO252" i="79"/>
  <c r="AP310" i="79"/>
  <c r="I335" i="79"/>
  <c r="Q350" i="79"/>
  <c r="AL374" i="79"/>
  <c r="AM374" i="79"/>
  <c r="O391" i="79"/>
  <c r="AM430" i="79"/>
  <c r="AP471" i="79"/>
  <c r="T475" i="79"/>
  <c r="O480" i="79"/>
  <c r="S497" i="79"/>
  <c r="I497" i="79"/>
  <c r="J499" i="79"/>
  <c r="G143" i="64"/>
  <c r="G147" i="64"/>
  <c r="G161" i="64"/>
  <c r="G165" i="64"/>
  <c r="G298" i="64"/>
  <c r="G313" i="64"/>
  <c r="G320" i="64"/>
  <c r="G362" i="64"/>
  <c r="N102" i="79"/>
  <c r="AO178" i="79"/>
  <c r="R183" i="79"/>
  <c r="P188" i="79"/>
  <c r="AK194" i="79"/>
  <c r="AF332" i="79"/>
  <c r="T335" i="79"/>
  <c r="M351" i="79"/>
  <c r="Q356" i="79"/>
  <c r="R356" i="79"/>
  <c r="M356" i="79"/>
  <c r="AL373" i="79"/>
  <c r="AM373" i="79"/>
  <c r="AM375" i="79"/>
  <c r="AG376" i="79"/>
  <c r="AG377" i="79"/>
  <c r="AO382" i="79"/>
  <c r="AL391" i="79"/>
  <c r="K397" i="79"/>
  <c r="P397" i="79"/>
  <c r="O397" i="79"/>
  <c r="T421" i="79"/>
  <c r="O422" i="79"/>
  <c r="AI434" i="79"/>
  <c r="L455" i="79"/>
  <c r="AJ455" i="79"/>
  <c r="M457" i="79"/>
  <c r="R457" i="79"/>
  <c r="L459" i="79"/>
  <c r="AJ459" i="79"/>
  <c r="R465" i="79"/>
  <c r="AM475" i="79"/>
  <c r="K498" i="79"/>
  <c r="AK513" i="79"/>
  <c r="AL527" i="79"/>
  <c r="G146" i="64"/>
  <c r="G160" i="64"/>
  <c r="G164" i="64"/>
  <c r="G293" i="64"/>
  <c r="G302" i="64"/>
  <c r="G305" i="64"/>
  <c r="G328" i="64"/>
  <c r="G360" i="64"/>
  <c r="S61" i="79"/>
  <c r="AP117" i="79"/>
  <c r="AL184" i="79"/>
  <c r="AL216" i="79"/>
  <c r="Q224" i="79"/>
  <c r="N224" i="79"/>
  <c r="R224" i="79"/>
  <c r="T253" i="79"/>
  <c r="N253" i="79"/>
  <c r="AQ332" i="79"/>
  <c r="P357" i="79"/>
  <c r="AM376" i="79"/>
  <c r="AM377" i="79"/>
  <c r="O393" i="79"/>
  <c r="AP398" i="79"/>
  <c r="AP414" i="79"/>
  <c r="AI414" i="79"/>
  <c r="O430" i="79"/>
  <c r="T438" i="79"/>
  <c r="Q438" i="79"/>
  <c r="O438" i="79"/>
  <c r="N499" i="79"/>
  <c r="I499" i="79"/>
  <c r="AM225" i="79"/>
  <c r="AP239" i="79"/>
  <c r="AO240" i="79"/>
  <c r="AO315" i="79"/>
  <c r="O348" i="79"/>
  <c r="AQ353" i="79"/>
  <c r="O362" i="79"/>
  <c r="AP394" i="79"/>
  <c r="AN429" i="79"/>
  <c r="S435" i="79"/>
  <c r="AL507" i="79"/>
  <c r="O515" i="79"/>
  <c r="AQ522" i="79"/>
  <c r="E889" i="64"/>
  <c r="F522" i="64"/>
  <c r="F514" i="64"/>
  <c r="F505" i="64"/>
  <c r="F501" i="64"/>
  <c r="F512" i="64"/>
  <c r="F503" i="64"/>
  <c r="F499" i="64"/>
  <c r="F523" i="64"/>
  <c r="F515" i="64"/>
  <c r="F506" i="64"/>
  <c r="F502" i="64"/>
  <c r="F498" i="64"/>
  <c r="G382" i="64"/>
  <c r="G371" i="64"/>
  <c r="G363" i="64"/>
  <c r="G349" i="64"/>
  <c r="E896" i="64"/>
  <c r="G408" i="64"/>
  <c r="E901" i="64"/>
  <c r="G413" i="64"/>
  <c r="E904" i="64"/>
  <c r="G416" i="64"/>
  <c r="E905" i="64"/>
  <c r="G417" i="64"/>
  <c r="F766" i="64"/>
  <c r="F769" i="64"/>
  <c r="E907" i="64"/>
  <c r="F772" i="64"/>
  <c r="F562" i="64"/>
  <c r="F560" i="64"/>
  <c r="E909" i="64"/>
  <c r="G421" i="64"/>
  <c r="E912" i="64"/>
  <c r="G424" i="64"/>
  <c r="E913" i="64"/>
  <c r="G425" i="64"/>
  <c r="G291" i="64"/>
  <c r="G295" i="64"/>
  <c r="G303" i="64"/>
  <c r="G307" i="64"/>
  <c r="G311" i="64"/>
  <c r="G318" i="64"/>
  <c r="G322" i="64"/>
  <c r="G334" i="64"/>
  <c r="G341" i="64"/>
  <c r="G348" i="64"/>
  <c r="G353" i="64"/>
  <c r="G361" i="64"/>
  <c r="G370" i="64"/>
  <c r="G372" i="64"/>
  <c r="G402" i="64"/>
  <c r="G406" i="64"/>
  <c r="G410" i="64"/>
  <c r="G415" i="64"/>
  <c r="G419" i="64"/>
  <c r="G423" i="64"/>
  <c r="F504" i="64"/>
  <c r="F513" i="64"/>
  <c r="F539" i="64"/>
  <c r="F543" i="64"/>
  <c r="F552" i="64"/>
  <c r="F561" i="64"/>
  <c r="O377" i="79"/>
  <c r="J377" i="79"/>
  <c r="T377" i="79"/>
  <c r="P377" i="79"/>
  <c r="G144" i="64"/>
  <c r="G148" i="64"/>
  <c r="G162" i="64"/>
  <c r="G166" i="64"/>
  <c r="G292" i="64"/>
  <c r="G296" i="64"/>
  <c r="G304" i="64"/>
  <c r="G308" i="64"/>
  <c r="G312" i="64"/>
  <c r="G319" i="64"/>
  <c r="G323" i="64"/>
  <c r="G327" i="64"/>
  <c r="G335" i="64"/>
  <c r="G347" i="64"/>
  <c r="G352" i="64"/>
  <c r="G354" i="64"/>
  <c r="G380" i="64"/>
  <c r="G384" i="64"/>
  <c r="G387" i="64"/>
  <c r="G414" i="64"/>
  <c r="G418" i="64"/>
  <c r="G422" i="64"/>
  <c r="F500" i="64"/>
  <c r="F521" i="64"/>
  <c r="F538" i="64"/>
  <c r="F542" i="64"/>
  <c r="F551" i="64"/>
  <c r="F554" i="64"/>
  <c r="E892" i="64"/>
  <c r="AO257" i="79"/>
  <c r="AQ257" i="79"/>
  <c r="AL257" i="79"/>
  <c r="AI257" i="79"/>
  <c r="AL464" i="79"/>
  <c r="G310" i="64"/>
  <c r="G314" i="64"/>
  <c r="G317" i="64"/>
  <c r="G321" i="64"/>
  <c r="G333" i="64"/>
  <c r="G340" i="64"/>
  <c r="G350" i="64"/>
  <c r="G381" i="64"/>
  <c r="G383" i="64"/>
  <c r="F540" i="64"/>
  <c r="F544" i="64"/>
  <c r="F553" i="64"/>
  <c r="E908" i="64"/>
  <c r="R184" i="79"/>
  <c r="P184" i="79"/>
  <c r="O184" i="79"/>
  <c r="AI211" i="79"/>
  <c r="AN211" i="79"/>
  <c r="AO233" i="79"/>
  <c r="AM233" i="79"/>
  <c r="AL233" i="79"/>
  <c r="P402" i="79"/>
  <c r="Q470" i="79"/>
  <c r="L470" i="79"/>
  <c r="R470" i="79"/>
  <c r="P470" i="79"/>
  <c r="K470" i="79"/>
  <c r="Q101" i="79"/>
  <c r="T101" i="79"/>
  <c r="P101" i="79"/>
  <c r="N101" i="79"/>
  <c r="L101" i="79"/>
  <c r="AN112" i="79"/>
  <c r="AO148" i="79"/>
  <c r="AL148" i="79"/>
  <c r="AQ148" i="79"/>
  <c r="AI148" i="79"/>
  <c r="T178" i="79"/>
  <c r="S178" i="79"/>
  <c r="L178" i="79"/>
  <c r="AN271" i="79"/>
  <c r="AM271" i="79"/>
  <c r="AI271" i="79"/>
  <c r="AO271" i="79"/>
  <c r="AH271" i="79"/>
  <c r="Q311" i="79"/>
  <c r="N311" i="79"/>
  <c r="S311" i="79"/>
  <c r="R311" i="79"/>
  <c r="L311" i="79"/>
  <c r="AO316" i="79"/>
  <c r="AM316" i="79"/>
  <c r="AL316" i="79"/>
  <c r="R439" i="79"/>
  <c r="Q439" i="79"/>
  <c r="K439" i="79"/>
  <c r="AN65" i="79"/>
  <c r="AM65" i="79"/>
  <c r="AK65" i="79"/>
  <c r="R171" i="79"/>
  <c r="L171" i="79"/>
  <c r="S300" i="79"/>
  <c r="O300" i="79"/>
  <c r="N300" i="79"/>
  <c r="AO358" i="79"/>
  <c r="AM358" i="79"/>
  <c r="AI358" i="79"/>
  <c r="AP418" i="79"/>
  <c r="AI418" i="79"/>
  <c r="AM463" i="79"/>
  <c r="AL463" i="79"/>
  <c r="AH463" i="79"/>
  <c r="AQ503" i="79"/>
  <c r="AL503" i="79"/>
  <c r="AJ503" i="79"/>
  <c r="M1008" i="64"/>
  <c r="M1079" i="64" s="1"/>
  <c r="AN71" i="79"/>
  <c r="AQ71" i="79"/>
  <c r="AK71" i="79"/>
  <c r="AI71" i="79"/>
  <c r="AN96" i="79"/>
  <c r="AM96" i="79"/>
  <c r="AK96" i="79"/>
  <c r="T104" i="79"/>
  <c r="R104" i="79"/>
  <c r="L104" i="79"/>
  <c r="S137" i="79"/>
  <c r="O137" i="79"/>
  <c r="N137" i="79"/>
  <c r="Q147" i="79"/>
  <c r="P147" i="79"/>
  <c r="L147" i="79"/>
  <c r="R147" i="79"/>
  <c r="K147" i="79"/>
  <c r="AO153" i="79"/>
  <c r="AO158" i="79"/>
  <c r="AL158" i="79"/>
  <c r="AM158" i="79"/>
  <c r="AQ158" i="79"/>
  <c r="AI158" i="79"/>
  <c r="AK178" i="79"/>
  <c r="AN186" i="79"/>
  <c r="AO186" i="79"/>
  <c r="AP186" i="79"/>
  <c r="AI186" i="79"/>
  <c r="AI210" i="79"/>
  <c r="AG210" i="79"/>
  <c r="AG212" i="79"/>
  <c r="AI212" i="79"/>
  <c r="AN212" i="79"/>
  <c r="AP219" i="79"/>
  <c r="T257" i="79"/>
  <c r="R257" i="79"/>
  <c r="N257" i="79"/>
  <c r="AO308" i="79"/>
  <c r="AM308" i="79"/>
  <c r="AL308" i="79"/>
  <c r="AM312" i="79"/>
  <c r="R342" i="79"/>
  <c r="O342" i="79"/>
  <c r="M342" i="79"/>
  <c r="O374" i="79"/>
  <c r="J374" i="79"/>
  <c r="P374" i="79"/>
  <c r="T374" i="79"/>
  <c r="P381" i="79"/>
  <c r="O381" i="79"/>
  <c r="K381" i="79"/>
  <c r="AK425" i="79"/>
  <c r="AN428" i="79"/>
  <c r="AM428" i="79"/>
  <c r="AO428" i="79"/>
  <c r="AH428" i="79"/>
  <c r="P434" i="79"/>
  <c r="R445" i="79"/>
  <c r="O445" i="79"/>
  <c r="M445" i="79"/>
  <c r="M65" i="79"/>
  <c r="S65" i="79"/>
  <c r="O65" i="79"/>
  <c r="AN104" i="79"/>
  <c r="L212" i="79"/>
  <c r="Q212" i="79"/>
  <c r="J212" i="79"/>
  <c r="R258" i="79"/>
  <c r="T261" i="79"/>
  <c r="R261" i="79"/>
  <c r="N261" i="79"/>
  <c r="AN267" i="79"/>
  <c r="AM267" i="79"/>
  <c r="AO267" i="79"/>
  <c r="AH267" i="79"/>
  <c r="P305" i="79"/>
  <c r="O305" i="79"/>
  <c r="K305" i="79"/>
  <c r="M332" i="79"/>
  <c r="L332" i="79"/>
  <c r="AP334" i="79"/>
  <c r="AF334" i="79"/>
  <c r="AI334" i="79"/>
  <c r="AN334" i="79"/>
  <c r="AL336" i="79"/>
  <c r="AJ336" i="79"/>
  <c r="AF336" i="79"/>
  <c r="AP336" i="79"/>
  <c r="M362" i="79"/>
  <c r="P388" i="79"/>
  <c r="O421" i="79"/>
  <c r="S506" i="79"/>
  <c r="O55" i="79"/>
  <c r="AL56" i="79"/>
  <c r="AN61" i="79"/>
  <c r="AM61" i="79"/>
  <c r="AK61" i="79"/>
  <c r="Q107" i="79"/>
  <c r="T107" i="79"/>
  <c r="N107" i="79"/>
  <c r="L107" i="79"/>
  <c r="P138" i="79"/>
  <c r="O138" i="79"/>
  <c r="K138" i="79"/>
  <c r="AO145" i="79"/>
  <c r="T199" i="79"/>
  <c r="R199" i="79"/>
  <c r="N199" i="79"/>
  <c r="AQ227" i="79"/>
  <c r="AP227" i="79"/>
  <c r="AI227" i="79"/>
  <c r="P230" i="79"/>
  <c r="O230" i="79"/>
  <c r="K230" i="79"/>
  <c r="AQ235" i="79"/>
  <c r="AP235" i="79"/>
  <c r="AI235" i="79"/>
  <c r="R265" i="79"/>
  <c r="T265" i="79"/>
  <c r="L265" i="79"/>
  <c r="R269" i="79"/>
  <c r="O269" i="79"/>
  <c r="L269" i="79"/>
  <c r="Q298" i="79"/>
  <c r="L298" i="79"/>
  <c r="P298" i="79"/>
  <c r="R298" i="79"/>
  <c r="K298" i="79"/>
  <c r="AL312" i="79"/>
  <c r="Q315" i="79"/>
  <c r="S315" i="79"/>
  <c r="R315" i="79"/>
  <c r="L315" i="79"/>
  <c r="AQ334" i="79"/>
  <c r="AM335" i="79"/>
  <c r="AJ335" i="79"/>
  <c r="R340" i="79"/>
  <c r="O340" i="79"/>
  <c r="M340" i="79"/>
  <c r="AN349" i="79"/>
  <c r="AO349" i="79"/>
  <c r="AI349" i="79"/>
  <c r="AH349" i="79"/>
  <c r="P382" i="79"/>
  <c r="O382" i="79"/>
  <c r="K382" i="79"/>
  <c r="Q383" i="79"/>
  <c r="R383" i="79"/>
  <c r="L383" i="79"/>
  <c r="P383" i="79"/>
  <c r="K383" i="79"/>
  <c r="AN392" i="79"/>
  <c r="AJ392" i="79"/>
  <c r="AI392" i="79"/>
  <c r="AO399" i="79"/>
  <c r="R433" i="79"/>
  <c r="O433" i="79"/>
  <c r="M433" i="79"/>
  <c r="AJ439" i="79"/>
  <c r="AO439" i="79"/>
  <c r="AK439" i="79"/>
  <c r="AM465" i="79"/>
  <c r="AL465" i="79"/>
  <c r="AH465" i="79"/>
  <c r="Q522" i="79"/>
  <c r="R522" i="79"/>
  <c r="K522" i="79"/>
  <c r="AL49" i="79"/>
  <c r="AF49" i="79"/>
  <c r="O61" i="79"/>
  <c r="AP66" i="79"/>
  <c r="AM66" i="79"/>
  <c r="AK66" i="79"/>
  <c r="S89" i="79"/>
  <c r="R89" i="79"/>
  <c r="AP89" i="79"/>
  <c r="AJ89" i="79"/>
  <c r="P97" i="79"/>
  <c r="L102" i="79"/>
  <c r="AN105" i="79"/>
  <c r="AP105" i="79"/>
  <c r="AL105" i="79"/>
  <c r="AL117" i="79"/>
  <c r="S145" i="79"/>
  <c r="O145" i="79"/>
  <c r="N145" i="79"/>
  <c r="U149" i="79"/>
  <c r="C2510" i="79" s="1"/>
  <c r="R179" i="79"/>
  <c r="T179" i="79"/>
  <c r="L179" i="79"/>
  <c r="AO179" i="79"/>
  <c r="N187" i="79"/>
  <c r="AN218" i="79"/>
  <c r="AK218" i="79"/>
  <c r="AI218" i="79"/>
  <c r="AL225" i="79"/>
  <c r="Q228" i="79"/>
  <c r="N228" i="79"/>
  <c r="L228" i="79"/>
  <c r="AL229" i="79"/>
  <c r="AK240" i="79"/>
  <c r="AQ250" i="79"/>
  <c r="AG250" i="79"/>
  <c r="AO250" i="79"/>
  <c r="AQ254" i="79"/>
  <c r="AO254" i="79"/>
  <c r="AF254" i="79"/>
  <c r="AN254" i="79"/>
  <c r="AO261" i="79"/>
  <c r="AQ261" i="79"/>
  <c r="AI261" i="79"/>
  <c r="R266" i="79"/>
  <c r="R270" i="79"/>
  <c r="AN275" i="79"/>
  <c r="AI275" i="79"/>
  <c r="AO275" i="79"/>
  <c r="AH275" i="79"/>
  <c r="AN279" i="79"/>
  <c r="AO279" i="79"/>
  <c r="AI279" i="79"/>
  <c r="AH279" i="79"/>
  <c r="AP281" i="79"/>
  <c r="P309" i="79"/>
  <c r="AQ311" i="79"/>
  <c r="AO311" i="79"/>
  <c r="AK311" i="79"/>
  <c r="AN321" i="79"/>
  <c r="AL321" i="79"/>
  <c r="AK321" i="79"/>
  <c r="S349" i="79"/>
  <c r="P349" i="79"/>
  <c r="L349" i="79"/>
  <c r="O373" i="79"/>
  <c r="J373" i="79"/>
  <c r="T373" i="79"/>
  <c r="O376" i="79"/>
  <c r="J376" i="79"/>
  <c r="AJ393" i="79"/>
  <c r="AO393" i="79"/>
  <c r="AN393" i="79"/>
  <c r="O414" i="79"/>
  <c r="I414" i="79"/>
  <c r="Q414" i="79"/>
  <c r="AL422" i="79"/>
  <c r="AP432" i="79"/>
  <c r="AK440" i="79"/>
  <c r="AN462" i="79"/>
  <c r="AP462" i="79"/>
  <c r="AI462" i="79"/>
  <c r="AM462" i="79"/>
  <c r="AK462" i="79"/>
  <c r="AH462" i="79"/>
  <c r="AN474" i="79"/>
  <c r="AJ474" i="79"/>
  <c r="AH474" i="79"/>
  <c r="K476" i="79"/>
  <c r="N480" i="79"/>
  <c r="AN512" i="79"/>
  <c r="AO512" i="79"/>
  <c r="AI512" i="79"/>
  <c r="AN517" i="79"/>
  <c r="AK517" i="79"/>
  <c r="AP517" i="79"/>
  <c r="AI517" i="79"/>
  <c r="AN521" i="79"/>
  <c r="AP521" i="79"/>
  <c r="AO521" i="79"/>
  <c r="AK521" i="79"/>
  <c r="AI521" i="79"/>
  <c r="M986" i="64"/>
  <c r="M1057" i="64" s="1"/>
  <c r="K1008" i="64"/>
  <c r="K1079" i="64" s="1"/>
  <c r="AP49" i="79"/>
  <c r="AK62" i="79"/>
  <c r="R90" i="79"/>
  <c r="S96" i="79"/>
  <c r="N96" i="79"/>
  <c r="L96" i="79"/>
  <c r="L105" i="79"/>
  <c r="AH216" i="79"/>
  <c r="AN217" i="79"/>
  <c r="AO217" i="79"/>
  <c r="AH217" i="79"/>
  <c r="AQ228" i="79"/>
  <c r="AO228" i="79"/>
  <c r="AK228" i="79"/>
  <c r="AI239" i="79"/>
  <c r="AN250" i="79"/>
  <c r="AK254" i="79"/>
  <c r="AO258" i="79"/>
  <c r="AM258" i="79"/>
  <c r="AL258" i="79"/>
  <c r="AP269" i="79"/>
  <c r="R281" i="79"/>
  <c r="T281" i="79"/>
  <c r="O281" i="79"/>
  <c r="L281" i="79"/>
  <c r="Q302" i="79"/>
  <c r="S302" i="79"/>
  <c r="L302" i="79"/>
  <c r="N302" i="79"/>
  <c r="K302" i="79"/>
  <c r="Q307" i="79"/>
  <c r="N307" i="79"/>
  <c r="L307" i="79"/>
  <c r="AK315" i="79"/>
  <c r="M334" i="79"/>
  <c r="L334" i="79"/>
  <c r="K350" i="79"/>
  <c r="AN363" i="79"/>
  <c r="AI363" i="79"/>
  <c r="AM363" i="79"/>
  <c r="AH363" i="79"/>
  <c r="O375" i="79"/>
  <c r="J375" i="79"/>
  <c r="T375" i="79"/>
  <c r="T376" i="79"/>
  <c r="N380" i="79"/>
  <c r="AN382" i="79"/>
  <c r="AJ391" i="79"/>
  <c r="M404" i="79"/>
  <c r="L444" i="79"/>
  <c r="P463" i="79"/>
  <c r="Q471" i="79"/>
  <c r="AN479" i="79"/>
  <c r="AP479" i="79"/>
  <c r="AJ479" i="79"/>
  <c r="AI479" i="79"/>
  <c r="AP506" i="79"/>
  <c r="AM506" i="79"/>
  <c r="AJ506" i="79"/>
  <c r="AN511" i="79"/>
  <c r="AP511" i="79"/>
  <c r="AK511" i="79"/>
  <c r="AO511" i="79"/>
  <c r="AI511" i="79"/>
  <c r="S517" i="79"/>
  <c r="Q517" i="79"/>
  <c r="L517" i="79"/>
  <c r="AP525" i="79"/>
  <c r="AL525" i="79"/>
  <c r="AK525" i="79"/>
  <c r="AI97" i="79"/>
  <c r="L103" i="79"/>
  <c r="L112" i="79"/>
  <c r="K143" i="79"/>
  <c r="AI144" i="79"/>
  <c r="N183" i="79"/>
  <c r="AH184" i="79"/>
  <c r="O188" i="79"/>
  <c r="AI194" i="79"/>
  <c r="L224" i="79"/>
  <c r="AK224" i="79"/>
  <c r="K240" i="79"/>
  <c r="S240" i="79"/>
  <c r="Q251" i="79"/>
  <c r="AK252" i="79"/>
  <c r="Q253" i="79"/>
  <c r="AK265" i="79"/>
  <c r="T274" i="79"/>
  <c r="N274" i="79"/>
  <c r="R274" i="79"/>
  <c r="Q299" i="79"/>
  <c r="S299" i="79"/>
  <c r="L299" i="79"/>
  <c r="O301" i="79"/>
  <c r="AQ307" i="79"/>
  <c r="AO307" i="79"/>
  <c r="AK307" i="79"/>
  <c r="AI310" i="79"/>
  <c r="Q333" i="79"/>
  <c r="S335" i="79"/>
  <c r="L335" i="79"/>
  <c r="Q335" i="79"/>
  <c r="AN347" i="79"/>
  <c r="AP347" i="79"/>
  <c r="AI347" i="79"/>
  <c r="AH347" i="79"/>
  <c r="K348" i="79"/>
  <c r="K356" i="79"/>
  <c r="AM357" i="79"/>
  <c r="AM384" i="79"/>
  <c r="Q387" i="79"/>
  <c r="P387" i="79"/>
  <c r="K387" i="79"/>
  <c r="Q399" i="79"/>
  <c r="R399" i="79"/>
  <c r="L399" i="79"/>
  <c r="O403" i="79"/>
  <c r="AM416" i="79"/>
  <c r="AH416" i="79"/>
  <c r="O418" i="79"/>
  <c r="I418" i="79"/>
  <c r="S418" i="79"/>
  <c r="AI429" i="79"/>
  <c r="AN430" i="79"/>
  <c r="AI430" i="79"/>
  <c r="AH430" i="79"/>
  <c r="AN438" i="79"/>
  <c r="AI438" i="79"/>
  <c r="AM438" i="79"/>
  <c r="AH438" i="79"/>
  <c r="Q440" i="79"/>
  <c r="M440" i="79"/>
  <c r="L440" i="79"/>
  <c r="AL471" i="79"/>
  <c r="Q474" i="79"/>
  <c r="N474" i="79"/>
  <c r="R474" i="79"/>
  <c r="L474" i="79"/>
  <c r="AP480" i="79"/>
  <c r="O497" i="79"/>
  <c r="AQ516" i="79"/>
  <c r="AK516" i="79"/>
  <c r="AJ516" i="79"/>
  <c r="AN332" i="79"/>
  <c r="L351" i="79"/>
  <c r="M357" i="79"/>
  <c r="AP361" i="79"/>
  <c r="AQ373" i="79"/>
  <c r="AQ374" i="79"/>
  <c r="AQ375" i="79"/>
  <c r="AQ376" i="79"/>
  <c r="AQ377" i="79"/>
  <c r="N391" i="79"/>
  <c r="N392" i="79"/>
  <c r="N393" i="79"/>
  <c r="AN394" i="79"/>
  <c r="AN398" i="79"/>
  <c r="AK421" i="79"/>
  <c r="L432" i="79"/>
  <c r="Q472" i="79"/>
  <c r="L472" i="79"/>
  <c r="K472" i="79"/>
  <c r="AN500" i="79"/>
  <c r="AG500" i="79"/>
  <c r="AN504" i="79"/>
  <c r="AJ504" i="79"/>
  <c r="AI504" i="79"/>
  <c r="L422" i="79"/>
  <c r="O425" i="79"/>
  <c r="M430" i="79"/>
  <c r="AH434" i="79"/>
  <c r="L438" i="79"/>
  <c r="N465" i="79"/>
  <c r="AJ475" i="79"/>
  <c r="O499" i="79"/>
  <c r="AJ507" i="79"/>
  <c r="AI513" i="79"/>
  <c r="L515" i="79"/>
  <c r="AK527" i="79"/>
  <c r="G51" i="40"/>
  <c r="F349" i="40" s="1"/>
  <c r="G349" i="40" s="1"/>
  <c r="F814" i="64"/>
  <c r="Q983" i="64"/>
  <c r="D820" i="64"/>
  <c r="D862" i="64"/>
  <c r="C791" i="64"/>
  <c r="F743" i="64"/>
  <c r="N751" i="64"/>
  <c r="F751" i="64"/>
  <c r="D822" i="64"/>
  <c r="K751" i="64"/>
  <c r="D827" i="64"/>
  <c r="C758" i="64"/>
  <c r="C761" i="64"/>
  <c r="D836" i="64"/>
  <c r="C774" i="64"/>
  <c r="D815" i="64"/>
  <c r="F758" i="64"/>
  <c r="D829" i="64"/>
  <c r="D831" i="64"/>
  <c r="C760" i="64"/>
  <c r="D832" i="64"/>
  <c r="D845" i="64"/>
  <c r="G145" i="64"/>
  <c r="G149" i="64"/>
  <c r="G159" i="64"/>
  <c r="G163" i="64"/>
  <c r="C743" i="64"/>
  <c r="F747" i="64"/>
  <c r="H751" i="64"/>
  <c r="M751" i="64"/>
  <c r="F757" i="64"/>
  <c r="F760" i="64"/>
  <c r="C769" i="64"/>
  <c r="D841" i="64"/>
  <c r="F770" i="64"/>
  <c r="F774" i="64"/>
  <c r="D847" i="64"/>
  <c r="K776" i="64"/>
  <c r="G776" i="64"/>
  <c r="J776" i="64"/>
  <c r="Q1018" i="64"/>
  <c r="AF1018" i="64" s="1"/>
  <c r="C849" i="64"/>
  <c r="Q1024" i="64"/>
  <c r="AF1024" i="64" s="1"/>
  <c r="C855" i="64"/>
  <c r="D818" i="64"/>
  <c r="Q1037" i="64"/>
  <c r="AF1037" i="64" s="1"/>
  <c r="B1204" i="64"/>
  <c r="CO1057" i="64"/>
  <c r="B1057" i="64"/>
  <c r="B1226" i="64"/>
  <c r="CO1079" i="64"/>
  <c r="AJ986" i="64"/>
  <c r="F986" i="64" s="1"/>
  <c r="F1057" i="64" s="1"/>
  <c r="AN986" i="64"/>
  <c r="J986" i="64" s="1"/>
  <c r="J1057" i="64" s="1"/>
  <c r="AJ993" i="64"/>
  <c r="F993" i="64" s="1"/>
  <c r="F1064" i="64" s="1"/>
  <c r="AN993" i="64"/>
  <c r="J993" i="64" s="1"/>
  <c r="J1064" i="64" s="1"/>
  <c r="AJ1008" i="64"/>
  <c r="F1008" i="64" s="1"/>
  <c r="F1079" i="64" s="1"/>
  <c r="AN1008" i="64"/>
  <c r="J1008" i="64" s="1"/>
  <c r="J1079" i="64" s="1"/>
  <c r="B1041" i="64"/>
  <c r="AF1042" i="64"/>
  <c r="AF1046" i="64"/>
  <c r="B1044" i="64"/>
  <c r="AC1049" i="64"/>
  <c r="B1257" i="64"/>
  <c r="B1261" i="64"/>
  <c r="CO1114" i="64"/>
  <c r="X1046" i="64"/>
  <c r="BC1053" i="64"/>
  <c r="T1048" i="64"/>
  <c r="X1048" i="64"/>
  <c r="AB1048" i="64"/>
  <c r="Y1048" i="64"/>
  <c r="BP1200" i="64"/>
  <c r="AH48" i="79"/>
  <c r="AP48" i="79"/>
  <c r="AF48" i="79"/>
  <c r="AP60" i="79"/>
  <c r="AM60" i="79"/>
  <c r="AK60" i="79"/>
  <c r="AG60" i="79"/>
  <c r="K62" i="79"/>
  <c r="AN63" i="79"/>
  <c r="AM63" i="79"/>
  <c r="AK63" i="79"/>
  <c r="AG63" i="79"/>
  <c r="AP64" i="79"/>
  <c r="AM64" i="79"/>
  <c r="AK64" i="79"/>
  <c r="AG64" i="79"/>
  <c r="K66" i="79"/>
  <c r="AO146" i="79"/>
  <c r="AL146" i="79"/>
  <c r="AQ146" i="79"/>
  <c r="AI146" i="79"/>
  <c r="AP146" i="79"/>
  <c r="AM146" i="79"/>
  <c r="AH146" i="79"/>
  <c r="R186" i="79"/>
  <c r="P186" i="79"/>
  <c r="O186" i="79"/>
  <c r="T186" i="79"/>
  <c r="S186" i="79"/>
  <c r="L186" i="79"/>
  <c r="K186" i="79"/>
  <c r="S211" i="79"/>
  <c r="T211" i="79"/>
  <c r="N211" i="79"/>
  <c r="I211" i="79"/>
  <c r="R211" i="79"/>
  <c r="M211" i="79"/>
  <c r="L211" i="79"/>
  <c r="J211" i="79"/>
  <c r="Q211" i="79"/>
  <c r="AP456" i="79"/>
  <c r="AM456" i="79"/>
  <c r="AG456" i="79"/>
  <c r="AQ456" i="79"/>
  <c r="AK456" i="79"/>
  <c r="AF456" i="79"/>
  <c r="AJ456" i="79"/>
  <c r="AI456" i="79"/>
  <c r="AO456" i="79"/>
  <c r="AN456" i="79"/>
  <c r="AP458" i="79"/>
  <c r="AM458" i="79"/>
  <c r="AG458" i="79"/>
  <c r="AQ458" i="79"/>
  <c r="AK458" i="79"/>
  <c r="AF458" i="79"/>
  <c r="AJ458" i="79"/>
  <c r="AI458" i="79"/>
  <c r="AO458" i="79"/>
  <c r="AN458" i="79"/>
  <c r="O513" i="79"/>
  <c r="M513" i="79"/>
  <c r="T513" i="79"/>
  <c r="S513" i="79"/>
  <c r="K513" i="79"/>
  <c r="M56" i="79"/>
  <c r="AI60" i="79"/>
  <c r="S62" i="79"/>
  <c r="AI63" i="79"/>
  <c r="AI64" i="79"/>
  <c r="S66" i="79"/>
  <c r="K71" i="79"/>
  <c r="AN101" i="79"/>
  <c r="AP101" i="79"/>
  <c r="AL101" i="79"/>
  <c r="AH101" i="79"/>
  <c r="Q153" i="79"/>
  <c r="R153" i="79"/>
  <c r="L153" i="79"/>
  <c r="P153" i="79"/>
  <c r="K153" i="79"/>
  <c r="S153" i="79"/>
  <c r="O153" i="79"/>
  <c r="N153" i="79"/>
  <c r="J153" i="79"/>
  <c r="AQ176" i="79"/>
  <c r="AO176" i="79"/>
  <c r="AK176" i="79"/>
  <c r="AG176" i="79"/>
  <c r="AN188" i="79"/>
  <c r="AP188" i="79"/>
  <c r="AK188" i="79"/>
  <c r="AO188" i="79"/>
  <c r="AI188" i="79"/>
  <c r="AM188" i="79"/>
  <c r="AL188" i="79"/>
  <c r="AH188" i="79"/>
  <c r="AG188" i="79"/>
  <c r="R194" i="79"/>
  <c r="P194" i="79"/>
  <c r="O194" i="79"/>
  <c r="T194" i="79"/>
  <c r="S194" i="79"/>
  <c r="L194" i="79"/>
  <c r="K194" i="79"/>
  <c r="AN220" i="79"/>
  <c r="AP220" i="79"/>
  <c r="AK220" i="79"/>
  <c r="AO220" i="79"/>
  <c r="AI220" i="79"/>
  <c r="AM220" i="79"/>
  <c r="AL220" i="79"/>
  <c r="AH220" i="79"/>
  <c r="AG220" i="79"/>
  <c r="Q234" i="79"/>
  <c r="S234" i="79"/>
  <c r="S1333" i="79" s="1"/>
  <c r="N234" i="79"/>
  <c r="R234" i="79"/>
  <c r="L234" i="79"/>
  <c r="P234" i="79"/>
  <c r="O234" i="79"/>
  <c r="K234" i="79"/>
  <c r="J234" i="79"/>
  <c r="T250" i="79"/>
  <c r="Q250" i="79"/>
  <c r="I250" i="79"/>
  <c r="N250" i="79"/>
  <c r="M250" i="79"/>
  <c r="J250" i="79"/>
  <c r="T252" i="79"/>
  <c r="Q252" i="79"/>
  <c r="I252" i="79"/>
  <c r="N252" i="79"/>
  <c r="M252" i="79"/>
  <c r="J252" i="79"/>
  <c r="AO306" i="79"/>
  <c r="AM306" i="79"/>
  <c r="AL306" i="79"/>
  <c r="AP306" i="79"/>
  <c r="AI306" i="79"/>
  <c r="AQ306" i="79"/>
  <c r="AH306" i="79"/>
  <c r="N398" i="79"/>
  <c r="AH499" i="79"/>
  <c r="AF499" i="79"/>
  <c r="AO499" i="79"/>
  <c r="AN499" i="79"/>
  <c r="AL48" i="79"/>
  <c r="AO60" i="79"/>
  <c r="AO63" i="79"/>
  <c r="AO64" i="79"/>
  <c r="S71" i="79"/>
  <c r="AP76" i="79"/>
  <c r="AK76" i="79"/>
  <c r="AQ76" i="79"/>
  <c r="AI76" i="79"/>
  <c r="AG76" i="79"/>
  <c r="T153" i="79"/>
  <c r="AQ188" i="79"/>
  <c r="P211" i="79"/>
  <c r="AQ220" i="79"/>
  <c r="AO223" i="79"/>
  <c r="AM223" i="79"/>
  <c r="AL223" i="79"/>
  <c r="AQ223" i="79"/>
  <c r="AP223" i="79"/>
  <c r="AI223" i="79"/>
  <c r="AH223" i="79"/>
  <c r="T234" i="79"/>
  <c r="AN48" i="79"/>
  <c r="AQ60" i="79"/>
  <c r="AQ63" i="79"/>
  <c r="AQ64" i="79"/>
  <c r="Q117" i="79"/>
  <c r="N117" i="79"/>
  <c r="T117" i="79"/>
  <c r="L117" i="79"/>
  <c r="R117" i="79"/>
  <c r="P117" i="79"/>
  <c r="J117" i="79"/>
  <c r="AO171" i="79"/>
  <c r="AI171" i="79"/>
  <c r="AQ171" i="79"/>
  <c r="AM171" i="79"/>
  <c r="S213" i="79"/>
  <c r="T213" i="79"/>
  <c r="N213" i="79"/>
  <c r="I213" i="79"/>
  <c r="R213" i="79"/>
  <c r="M213" i="79"/>
  <c r="L213" i="79"/>
  <c r="J213" i="79"/>
  <c r="Q213" i="79"/>
  <c r="Q226" i="79"/>
  <c r="S226" i="79"/>
  <c r="N226" i="79"/>
  <c r="R226" i="79"/>
  <c r="L226" i="79"/>
  <c r="P226" i="79"/>
  <c r="O226" i="79"/>
  <c r="K226" i="79"/>
  <c r="J226" i="79"/>
  <c r="Q238" i="79"/>
  <c r="S238" i="79"/>
  <c r="N238" i="79"/>
  <c r="R238" i="79"/>
  <c r="L238" i="79"/>
  <c r="P238" i="79"/>
  <c r="O238" i="79"/>
  <c r="K238" i="79"/>
  <c r="J238" i="79"/>
  <c r="R250" i="79"/>
  <c r="R252" i="79"/>
  <c r="AQ253" i="79"/>
  <c r="AO253" i="79"/>
  <c r="AG253" i="79"/>
  <c r="AN253" i="79"/>
  <c r="AF253" i="79"/>
  <c r="AK253" i="79"/>
  <c r="AJ253" i="79"/>
  <c r="AO260" i="79"/>
  <c r="AM260" i="79"/>
  <c r="AL260" i="79"/>
  <c r="AQ260" i="79"/>
  <c r="AP260" i="79"/>
  <c r="AI260" i="79"/>
  <c r="AH260" i="79"/>
  <c r="AL342" i="79"/>
  <c r="Q484" i="79"/>
  <c r="R484" i="79"/>
  <c r="L484" i="79"/>
  <c r="P484" i="79"/>
  <c r="K484" i="79"/>
  <c r="S484" i="79"/>
  <c r="O484" i="79"/>
  <c r="T484" i="79"/>
  <c r="N484" i="79"/>
  <c r="J484" i="79"/>
  <c r="AH49" i="79"/>
  <c r="AJ55" i="79"/>
  <c r="M60" i="79"/>
  <c r="K61" i="79"/>
  <c r="AG61" i="79"/>
  <c r="AO61" i="79"/>
  <c r="AG62" i="79"/>
  <c r="AO62" i="79"/>
  <c r="M64" i="79"/>
  <c r="K65" i="79"/>
  <c r="AG65" i="79"/>
  <c r="AO65" i="79"/>
  <c r="AG66" i="79"/>
  <c r="AO66" i="79"/>
  <c r="AG71" i="79"/>
  <c r="AM71" i="79"/>
  <c r="I89" i="79"/>
  <c r="N89" i="79"/>
  <c r="T89" i="79"/>
  <c r="AF89" i="79"/>
  <c r="AK89" i="79"/>
  <c r="AQ89" i="79"/>
  <c r="I90" i="79"/>
  <c r="N90" i="79"/>
  <c r="T90" i="79"/>
  <c r="AF90" i="79"/>
  <c r="AK90" i="79"/>
  <c r="AQ90" i="79"/>
  <c r="AO97" i="79"/>
  <c r="AJ102" i="79"/>
  <c r="AN103" i="79"/>
  <c r="AP103" i="79"/>
  <c r="AL103" i="79"/>
  <c r="AH103" i="79"/>
  <c r="R105" i="79"/>
  <c r="S106" i="79"/>
  <c r="N106" i="79"/>
  <c r="T106" i="79"/>
  <c r="L106" i="79"/>
  <c r="J106" i="79"/>
  <c r="R112" i="79"/>
  <c r="Q138" i="79"/>
  <c r="S138" i="79"/>
  <c r="N138" i="79"/>
  <c r="R138" i="79"/>
  <c r="L138" i="79"/>
  <c r="J138" i="79"/>
  <c r="T138" i="79"/>
  <c r="AQ143" i="79"/>
  <c r="AO143" i="79"/>
  <c r="AG143" i="79"/>
  <c r="AM170" i="79"/>
  <c r="AO172" i="79"/>
  <c r="AI172" i="79"/>
  <c r="R178" i="79"/>
  <c r="P178" i="79"/>
  <c r="O178" i="79"/>
  <c r="K178" i="79"/>
  <c r="T189" i="79"/>
  <c r="R189" i="79"/>
  <c r="N189" i="79"/>
  <c r="J189" i="79"/>
  <c r="AG209" i="79"/>
  <c r="AP210" i="79"/>
  <c r="AQ210" i="79"/>
  <c r="AK210" i="79"/>
  <c r="AF210" i="79"/>
  <c r="AO210" i="79"/>
  <c r="AJ210" i="79"/>
  <c r="AM210" i="79"/>
  <c r="AG211" i="79"/>
  <c r="AP212" i="79"/>
  <c r="AQ212" i="79"/>
  <c r="AK212" i="79"/>
  <c r="AF212" i="79"/>
  <c r="AO212" i="79"/>
  <c r="AJ212" i="79"/>
  <c r="AM212" i="79"/>
  <c r="AG213" i="79"/>
  <c r="AN219" i="79"/>
  <c r="AO219" i="79"/>
  <c r="AI219" i="79"/>
  <c r="AM219" i="79"/>
  <c r="AH219" i="79"/>
  <c r="AG219" i="79"/>
  <c r="AQ219" i="79"/>
  <c r="AQ226" i="79"/>
  <c r="AO226" i="79"/>
  <c r="AK226" i="79"/>
  <c r="AG226" i="79"/>
  <c r="AQ234" i="79"/>
  <c r="AO234" i="79"/>
  <c r="AK234" i="79"/>
  <c r="AG234" i="79"/>
  <c r="AQ238" i="79"/>
  <c r="AQ1334" i="79" s="1"/>
  <c r="AO238" i="79"/>
  <c r="AK238" i="79"/>
  <c r="AG238" i="79"/>
  <c r="AJ251" i="79"/>
  <c r="T254" i="79"/>
  <c r="Q254" i="79"/>
  <c r="I254" i="79"/>
  <c r="N254" i="79"/>
  <c r="R254" i="79"/>
  <c r="AO259" i="79"/>
  <c r="AL259" i="79"/>
  <c r="AQ259" i="79"/>
  <c r="AI259" i="79"/>
  <c r="AH259" i="79"/>
  <c r="T260" i="79"/>
  <c r="R260" i="79"/>
  <c r="J260" i="79"/>
  <c r="AL265" i="79"/>
  <c r="R267" i="79"/>
  <c r="O267" i="79"/>
  <c r="T267" i="79"/>
  <c r="L267" i="79"/>
  <c r="S267" i="79"/>
  <c r="P267" i="79"/>
  <c r="K267" i="79"/>
  <c r="R279" i="79"/>
  <c r="O279" i="79"/>
  <c r="T279" i="79"/>
  <c r="L279" i="79"/>
  <c r="S279" i="79"/>
  <c r="P279" i="79"/>
  <c r="K279" i="79"/>
  <c r="Q317" i="79"/>
  <c r="S317" i="79"/>
  <c r="N317" i="79"/>
  <c r="R317" i="79"/>
  <c r="L317" i="79"/>
  <c r="O317" i="79"/>
  <c r="K317" i="79"/>
  <c r="J317" i="79"/>
  <c r="AP333" i="79"/>
  <c r="AQ333" i="79"/>
  <c r="AI333" i="79"/>
  <c r="AN333" i="79"/>
  <c r="AF333" i="79"/>
  <c r="AJ333" i="79"/>
  <c r="R336" i="79"/>
  <c r="J336" i="79"/>
  <c r="O336" i="79"/>
  <c r="I336" i="79"/>
  <c r="N336" i="79"/>
  <c r="M336" i="79"/>
  <c r="AN351" i="79"/>
  <c r="AO351" i="79"/>
  <c r="AI351" i="79"/>
  <c r="AM351" i="79"/>
  <c r="AH351" i="79"/>
  <c r="AL351" i="79"/>
  <c r="AK351" i="79"/>
  <c r="AG351" i="79"/>
  <c r="AN353" i="79"/>
  <c r="AP353" i="79"/>
  <c r="AK353" i="79"/>
  <c r="AO353" i="79"/>
  <c r="AI353" i="79"/>
  <c r="AM353" i="79"/>
  <c r="AL353" i="79"/>
  <c r="AG353" i="79"/>
  <c r="M363" i="79"/>
  <c r="S363" i="79"/>
  <c r="L363" i="79"/>
  <c r="Q363" i="79"/>
  <c r="P363" i="79"/>
  <c r="K363" i="79"/>
  <c r="Q380" i="79"/>
  <c r="R380" i="79"/>
  <c r="L380" i="79"/>
  <c r="P380" i="79"/>
  <c r="K380" i="79"/>
  <c r="S380" i="79"/>
  <c r="O380" i="79"/>
  <c r="J380" i="79"/>
  <c r="Q384" i="79"/>
  <c r="S384" i="79"/>
  <c r="N384" i="79"/>
  <c r="R384" i="79"/>
  <c r="L384" i="79"/>
  <c r="P384" i="79"/>
  <c r="O384" i="79"/>
  <c r="J384" i="79"/>
  <c r="AQ435" i="79"/>
  <c r="AK435" i="79"/>
  <c r="AI435" i="79"/>
  <c r="AO445" i="79"/>
  <c r="AK445" i="79"/>
  <c r="AQ445" i="79"/>
  <c r="AJ445" i="79"/>
  <c r="AG445" i="79"/>
  <c r="M456" i="79"/>
  <c r="M458" i="79"/>
  <c r="AK476" i="79"/>
  <c r="AJ476" i="79"/>
  <c r="AP476" i="79"/>
  <c r="AO476" i="79"/>
  <c r="AH476" i="79"/>
  <c r="Q486" i="79"/>
  <c r="S486" i="79"/>
  <c r="N486" i="79"/>
  <c r="R486" i="79"/>
  <c r="L486" i="79"/>
  <c r="O486" i="79"/>
  <c r="K486" i="79"/>
  <c r="T486" i="79"/>
  <c r="J486" i="79"/>
  <c r="AG496" i="79"/>
  <c r="AF496" i="79"/>
  <c r="AL496" i="79"/>
  <c r="AN496" i="79"/>
  <c r="AI61" i="79"/>
  <c r="AQ61" i="79"/>
  <c r="AI62" i="79"/>
  <c r="AQ62" i="79"/>
  <c r="AI65" i="79"/>
  <c r="AQ65" i="79"/>
  <c r="AI66" i="79"/>
  <c r="AQ66" i="79"/>
  <c r="AH71" i="79"/>
  <c r="AO71" i="79"/>
  <c r="J89" i="79"/>
  <c r="P89" i="79"/>
  <c r="AG89" i="79"/>
  <c r="AM89" i="79"/>
  <c r="J90" i="79"/>
  <c r="P90" i="79"/>
  <c r="AG90" i="79"/>
  <c r="AM90" i="79"/>
  <c r="S104" i="79"/>
  <c r="P104" i="79"/>
  <c r="N104" i="79"/>
  <c r="J104" i="79"/>
  <c r="P106" i="79"/>
  <c r="Q137" i="79"/>
  <c r="R137" i="79"/>
  <c r="L137" i="79"/>
  <c r="P137" i="79"/>
  <c r="K137" i="79"/>
  <c r="J137" i="79"/>
  <c r="T137" i="79"/>
  <c r="AO142" i="79"/>
  <c r="AL142" i="79"/>
  <c r="AQ142" i="79"/>
  <c r="AI142" i="79"/>
  <c r="AH142" i="79"/>
  <c r="AK143" i="79"/>
  <c r="Q145" i="79"/>
  <c r="R145" i="79"/>
  <c r="L145" i="79"/>
  <c r="P145" i="79"/>
  <c r="K145" i="79"/>
  <c r="J145" i="79"/>
  <c r="T145" i="79"/>
  <c r="AQ177" i="79"/>
  <c r="AO177" i="79"/>
  <c r="AG177" i="79"/>
  <c r="AN184" i="79"/>
  <c r="AP184" i="79"/>
  <c r="AK184" i="79"/>
  <c r="AO184" i="79"/>
  <c r="AI184" i="79"/>
  <c r="AG184" i="79"/>
  <c r="AQ184" i="79"/>
  <c r="S210" i="79"/>
  <c r="T210" i="79"/>
  <c r="N210" i="79"/>
  <c r="I210" i="79"/>
  <c r="R210" i="79"/>
  <c r="M210" i="79"/>
  <c r="P210" i="79"/>
  <c r="AN210" i="79"/>
  <c r="S212" i="79"/>
  <c r="T212" i="79"/>
  <c r="N212" i="79"/>
  <c r="I212" i="79"/>
  <c r="R212" i="79"/>
  <c r="M212" i="79"/>
  <c r="P212" i="79"/>
  <c r="AN216" i="79"/>
  <c r="AP216" i="79"/>
  <c r="AK216" i="79"/>
  <c r="AO216" i="79"/>
  <c r="AI216" i="79"/>
  <c r="AG216" i="79"/>
  <c r="AQ216" i="79"/>
  <c r="AK219" i="79"/>
  <c r="AO227" i="79"/>
  <c r="AM227" i="79"/>
  <c r="AL227" i="79"/>
  <c r="AH227" i="79"/>
  <c r="Q230" i="79"/>
  <c r="S230" i="79"/>
  <c r="N230" i="79"/>
  <c r="R230" i="79"/>
  <c r="L230" i="79"/>
  <c r="J230" i="79"/>
  <c r="T230" i="79"/>
  <c r="AO235" i="79"/>
  <c r="AM235" i="79"/>
  <c r="AL235" i="79"/>
  <c r="AH235" i="79"/>
  <c r="AO239" i="79"/>
  <c r="AM239" i="79"/>
  <c r="AL239" i="79"/>
  <c r="AH239" i="79"/>
  <c r="AM259" i="79"/>
  <c r="N260" i="79"/>
  <c r="T264" i="79"/>
  <c r="R264" i="79"/>
  <c r="J264" i="79"/>
  <c r="T268" i="79"/>
  <c r="R268" i="79"/>
  <c r="J268" i="79"/>
  <c r="T276" i="79"/>
  <c r="R276" i="79"/>
  <c r="N276" i="79"/>
  <c r="J276" i="79"/>
  <c r="T280" i="79"/>
  <c r="R280" i="79"/>
  <c r="J280" i="79"/>
  <c r="Q309" i="79"/>
  <c r="S309" i="79"/>
  <c r="N309" i="79"/>
  <c r="R309" i="79"/>
  <c r="L309" i="79"/>
  <c r="O309" i="79"/>
  <c r="K309" i="79"/>
  <c r="J309" i="79"/>
  <c r="P317" i="79"/>
  <c r="R321" i="79"/>
  <c r="P321" i="79"/>
  <c r="O321" i="79"/>
  <c r="S321" i="79"/>
  <c r="L321" i="79"/>
  <c r="K321" i="79"/>
  <c r="AP351" i="79"/>
  <c r="AJ383" i="79"/>
  <c r="AO383" i="79"/>
  <c r="AI383" i="79"/>
  <c r="AN383" i="79"/>
  <c r="AG383" i="79"/>
  <c r="K384" i="79"/>
  <c r="R390" i="79"/>
  <c r="Q390" i="79"/>
  <c r="L390" i="79"/>
  <c r="AP417" i="79"/>
  <c r="AH417" i="79"/>
  <c r="AM417" i="79"/>
  <c r="AF417" i="79"/>
  <c r="AL417" i="79"/>
  <c r="AJ417" i="79"/>
  <c r="AN432" i="79"/>
  <c r="AO432" i="79"/>
  <c r="AI432" i="79"/>
  <c r="AM432" i="79"/>
  <c r="AH432" i="79"/>
  <c r="AL432" i="79"/>
  <c r="AK432" i="79"/>
  <c r="AG432" i="79"/>
  <c r="AN440" i="79"/>
  <c r="AO440" i="79"/>
  <c r="AI440" i="79"/>
  <c r="AM440" i="79"/>
  <c r="AH440" i="79"/>
  <c r="AP440" i="79"/>
  <c r="AL440" i="79"/>
  <c r="AG440" i="79"/>
  <c r="P486" i="79"/>
  <c r="L89" i="79"/>
  <c r="Q89" i="79"/>
  <c r="AI89" i="79"/>
  <c r="AN89" i="79"/>
  <c r="L90" i="79"/>
  <c r="Q90" i="79"/>
  <c r="AI90" i="79"/>
  <c r="AN90" i="79"/>
  <c r="S97" i="79"/>
  <c r="N97" i="79"/>
  <c r="T97" i="79"/>
  <c r="L97" i="79"/>
  <c r="J97" i="79"/>
  <c r="AN97" i="79"/>
  <c r="AM97" i="79"/>
  <c r="AK97" i="79"/>
  <c r="AG97" i="79"/>
  <c r="Q105" i="79"/>
  <c r="P105" i="79"/>
  <c r="N105" i="79"/>
  <c r="J105" i="79"/>
  <c r="AN107" i="79"/>
  <c r="AP107" i="79"/>
  <c r="AL107" i="79"/>
  <c r="AH107" i="79"/>
  <c r="S112" i="79"/>
  <c r="P112" i="79"/>
  <c r="N112" i="79"/>
  <c r="J112" i="79"/>
  <c r="AQ147" i="79"/>
  <c r="AO147" i="79"/>
  <c r="AG147" i="79"/>
  <c r="AO170" i="79"/>
  <c r="AI170" i="79"/>
  <c r="T185" i="79"/>
  <c r="R185" i="79"/>
  <c r="N185" i="79"/>
  <c r="J185" i="79"/>
  <c r="AP209" i="79"/>
  <c r="AQ209" i="79"/>
  <c r="AK209" i="79"/>
  <c r="AF209" i="79"/>
  <c r="AO209" i="79"/>
  <c r="AJ209" i="79"/>
  <c r="AM209" i="79"/>
  <c r="AP211" i="79"/>
  <c r="AQ211" i="79"/>
  <c r="AK211" i="79"/>
  <c r="AF211" i="79"/>
  <c r="AO211" i="79"/>
  <c r="AJ211" i="79"/>
  <c r="AM211" i="79"/>
  <c r="AP213" i="79"/>
  <c r="AQ213" i="79"/>
  <c r="AK213" i="79"/>
  <c r="AF213" i="79"/>
  <c r="AO213" i="79"/>
  <c r="AJ213" i="79"/>
  <c r="AM213" i="79"/>
  <c r="AQ230" i="79"/>
  <c r="AO230" i="79"/>
  <c r="AK230" i="79"/>
  <c r="AG230" i="79"/>
  <c r="AQ251" i="79"/>
  <c r="AO251" i="79"/>
  <c r="AG251" i="79"/>
  <c r="AN251" i="79"/>
  <c r="AF251" i="79"/>
  <c r="T259" i="79"/>
  <c r="R259" i="79"/>
  <c r="N259" i="79"/>
  <c r="J259" i="79"/>
  <c r="AN265" i="79"/>
  <c r="AO265" i="79"/>
  <c r="AI265" i="79"/>
  <c r="AM265" i="79"/>
  <c r="AH265" i="79"/>
  <c r="AG265" i="79"/>
  <c r="AQ265" i="79"/>
  <c r="AN269" i="79"/>
  <c r="AO269" i="79"/>
  <c r="AI269" i="79"/>
  <c r="AM269" i="79"/>
  <c r="AH269" i="79"/>
  <c r="AL269" i="79"/>
  <c r="AK269" i="79"/>
  <c r="AG269" i="79"/>
  <c r="AN281" i="79"/>
  <c r="AO281" i="79"/>
  <c r="AI281" i="79"/>
  <c r="AM281" i="79"/>
  <c r="AH281" i="79"/>
  <c r="AL281" i="79"/>
  <c r="AK281" i="79"/>
  <c r="AG281" i="79"/>
  <c r="AQ305" i="79"/>
  <c r="AO305" i="79"/>
  <c r="AK305" i="79"/>
  <c r="AG305" i="79"/>
  <c r="AJ322" i="79"/>
  <c r="AM346" i="79"/>
  <c r="AJ346" i="79"/>
  <c r="AO346" i="79"/>
  <c r="AN346" i="79"/>
  <c r="AG346" i="79"/>
  <c r="AN357" i="79"/>
  <c r="AP357" i="79"/>
  <c r="AK357" i="79"/>
  <c r="AO357" i="79"/>
  <c r="AI357" i="79"/>
  <c r="AL357" i="79"/>
  <c r="AH357" i="79"/>
  <c r="AG357" i="79"/>
  <c r="AN361" i="79"/>
  <c r="AO361" i="79"/>
  <c r="AI361" i="79"/>
  <c r="AM361" i="79"/>
  <c r="AH361" i="79"/>
  <c r="AL361" i="79"/>
  <c r="AK361" i="79"/>
  <c r="AG361" i="79"/>
  <c r="AN402" i="79"/>
  <c r="AJ402" i="79"/>
  <c r="AI402" i="79"/>
  <c r="AO433" i="79"/>
  <c r="AK433" i="79"/>
  <c r="AQ433" i="79"/>
  <c r="AG433" i="79"/>
  <c r="S456" i="79"/>
  <c r="P456" i="79"/>
  <c r="J456" i="79"/>
  <c r="T456" i="79"/>
  <c r="N456" i="79"/>
  <c r="I456" i="79"/>
  <c r="L456" i="79"/>
  <c r="R456" i="79"/>
  <c r="S458" i="79"/>
  <c r="P458" i="79"/>
  <c r="J458" i="79"/>
  <c r="T458" i="79"/>
  <c r="N458" i="79"/>
  <c r="I458" i="79"/>
  <c r="L458" i="79"/>
  <c r="R458" i="79"/>
  <c r="N503" i="79"/>
  <c r="M503" i="79"/>
  <c r="S503" i="79"/>
  <c r="R503" i="79"/>
  <c r="K503" i="79"/>
  <c r="AN515" i="79"/>
  <c r="AP515" i="79"/>
  <c r="AK515" i="79"/>
  <c r="AO515" i="79"/>
  <c r="AI515" i="79"/>
  <c r="AL515" i="79"/>
  <c r="AH515" i="79"/>
  <c r="AQ515" i="79"/>
  <c r="AM515" i="79"/>
  <c r="AG515" i="79"/>
  <c r="I1120" i="79"/>
  <c r="U1120" i="79" s="1"/>
  <c r="P96" i="79"/>
  <c r="AG96" i="79"/>
  <c r="AO96" i="79"/>
  <c r="J101" i="79"/>
  <c r="R101" i="79"/>
  <c r="P102" i="79"/>
  <c r="P103" i="79"/>
  <c r="AH105" i="79"/>
  <c r="P107" i="79"/>
  <c r="N143" i="79"/>
  <c r="S143" i="79"/>
  <c r="AM144" i="79"/>
  <c r="AG145" i="79"/>
  <c r="N147" i="79"/>
  <c r="S147" i="79"/>
  <c r="AM148" i="79"/>
  <c r="AG153" i="79"/>
  <c r="AH158" i="79"/>
  <c r="AP158" i="79"/>
  <c r="P171" i="79"/>
  <c r="P172" i="79"/>
  <c r="AG179" i="79"/>
  <c r="K184" i="79"/>
  <c r="S184" i="79"/>
  <c r="AG186" i="79"/>
  <c r="AL186" i="79"/>
  <c r="AQ186" i="79"/>
  <c r="K188" i="79"/>
  <c r="S188" i="79"/>
  <c r="AG194" i="79"/>
  <c r="AL194" i="79"/>
  <c r="AQ194" i="79"/>
  <c r="AK217" i="79"/>
  <c r="AP217" i="79"/>
  <c r="AG218" i="79"/>
  <c r="AL218" i="79"/>
  <c r="AQ218" i="79"/>
  <c r="J224" i="79"/>
  <c r="O224" i="79"/>
  <c r="T224" i="79"/>
  <c r="AH225" i="79"/>
  <c r="AP225" i="79"/>
  <c r="J228" i="79"/>
  <c r="O228" i="79"/>
  <c r="T228" i="79"/>
  <c r="AH229" i="79"/>
  <c r="AP229" i="79"/>
  <c r="AH233" i="79"/>
  <c r="AP233" i="79"/>
  <c r="J240" i="79"/>
  <c r="O240" i="79"/>
  <c r="T240" i="79"/>
  <c r="AJ250" i="79"/>
  <c r="J251" i="79"/>
  <c r="R251" i="79"/>
  <c r="AJ252" i="79"/>
  <c r="J253" i="79"/>
  <c r="R253" i="79"/>
  <c r="AJ254" i="79"/>
  <c r="AM257" i="79"/>
  <c r="J258" i="79"/>
  <c r="AH258" i="79"/>
  <c r="AP258" i="79"/>
  <c r="AM261" i="79"/>
  <c r="P265" i="79"/>
  <c r="J266" i="79"/>
  <c r="R275" i="79"/>
  <c r="O275" i="79"/>
  <c r="T275" i="79"/>
  <c r="L275" i="79"/>
  <c r="K275" i="79"/>
  <c r="Q301" i="79"/>
  <c r="S301" i="79"/>
  <c r="N301" i="79"/>
  <c r="R301" i="79"/>
  <c r="L301" i="79"/>
  <c r="J301" i="79"/>
  <c r="T301" i="79"/>
  <c r="AQ309" i="79"/>
  <c r="AO309" i="79"/>
  <c r="AK309" i="79"/>
  <c r="AG309" i="79"/>
  <c r="AQ317" i="79"/>
  <c r="AO317" i="79"/>
  <c r="AK317" i="79"/>
  <c r="AG317" i="79"/>
  <c r="S332" i="79"/>
  <c r="Q332" i="79"/>
  <c r="I332" i="79"/>
  <c r="P332" i="79"/>
  <c r="T332" i="79"/>
  <c r="S334" i="79"/>
  <c r="Q334" i="79"/>
  <c r="I334" i="79"/>
  <c r="P334" i="79"/>
  <c r="T334" i="79"/>
  <c r="AP339" i="79"/>
  <c r="AM339" i="79"/>
  <c r="AI339" i="79"/>
  <c r="AH339" i="79"/>
  <c r="AP341" i="79"/>
  <c r="AM341" i="79"/>
  <c r="AI341" i="79"/>
  <c r="AH341" i="79"/>
  <c r="O350" i="79"/>
  <c r="M350" i="79"/>
  <c r="J350" i="79"/>
  <c r="AO352" i="79"/>
  <c r="AN352" i="79"/>
  <c r="AM352" i="79"/>
  <c r="AG352" i="79"/>
  <c r="N358" i="79"/>
  <c r="Q382" i="79"/>
  <c r="S382" i="79"/>
  <c r="N382" i="79"/>
  <c r="R382" i="79"/>
  <c r="L382" i="79"/>
  <c r="J382" i="79"/>
  <c r="T382" i="79"/>
  <c r="Q389" i="79"/>
  <c r="S389" i="79"/>
  <c r="N389" i="79"/>
  <c r="R389" i="79"/>
  <c r="L389" i="79"/>
  <c r="J389" i="79"/>
  <c r="T389" i="79"/>
  <c r="M392" i="79"/>
  <c r="Q397" i="79"/>
  <c r="S397" i="79"/>
  <c r="N397" i="79"/>
  <c r="R397" i="79"/>
  <c r="L397" i="79"/>
  <c r="J397" i="79"/>
  <c r="T397" i="79"/>
  <c r="Q403" i="79"/>
  <c r="R403" i="79"/>
  <c r="L403" i="79"/>
  <c r="P403" i="79"/>
  <c r="K403" i="79"/>
  <c r="J403" i="79"/>
  <c r="T403" i="79"/>
  <c r="K415" i="79"/>
  <c r="Q415" i="79"/>
  <c r="I415" i="79"/>
  <c r="AJ425" i="79"/>
  <c r="Q432" i="79"/>
  <c r="O432" i="79"/>
  <c r="K432" i="79"/>
  <c r="R435" i="79"/>
  <c r="N435" i="79"/>
  <c r="K435" i="79"/>
  <c r="AN444" i="79"/>
  <c r="AO444" i="79"/>
  <c r="AI444" i="79"/>
  <c r="AM444" i="79"/>
  <c r="AH444" i="79"/>
  <c r="AG444" i="79"/>
  <c r="AQ444" i="79"/>
  <c r="AP455" i="79"/>
  <c r="AM455" i="79"/>
  <c r="AG455" i="79"/>
  <c r="AQ455" i="79"/>
  <c r="AK455" i="79"/>
  <c r="AF455" i="79"/>
  <c r="AN455" i="79"/>
  <c r="AP457" i="79"/>
  <c r="AM457" i="79"/>
  <c r="AG457" i="79"/>
  <c r="AQ457" i="79"/>
  <c r="AK457" i="79"/>
  <c r="AF457" i="79"/>
  <c r="AN457" i="79"/>
  <c r="AP459" i="79"/>
  <c r="AM459" i="79"/>
  <c r="AG459" i="79"/>
  <c r="AQ459" i="79"/>
  <c r="AK459" i="79"/>
  <c r="AF459" i="79"/>
  <c r="AN459" i="79"/>
  <c r="AN464" i="79"/>
  <c r="AP464" i="79"/>
  <c r="AK464" i="79"/>
  <c r="AO464" i="79"/>
  <c r="AI464" i="79"/>
  <c r="AG464" i="79"/>
  <c r="AQ464" i="79"/>
  <c r="AN466" i="79"/>
  <c r="AP466" i="79"/>
  <c r="AK466" i="79"/>
  <c r="AO466" i="79"/>
  <c r="AI466" i="79"/>
  <c r="AL466" i="79"/>
  <c r="AH466" i="79"/>
  <c r="AG466" i="79"/>
  <c r="AL473" i="79"/>
  <c r="AI473" i="79"/>
  <c r="AQ473" i="79"/>
  <c r="AN473" i="79"/>
  <c r="AH473" i="79"/>
  <c r="Q476" i="79"/>
  <c r="S476" i="79"/>
  <c r="N476" i="79"/>
  <c r="R476" i="79"/>
  <c r="L476" i="79"/>
  <c r="P476" i="79"/>
  <c r="O476" i="79"/>
  <c r="J476" i="79"/>
  <c r="J96" i="79"/>
  <c r="R96" i="79"/>
  <c r="AI96" i="79"/>
  <c r="AQ96" i="79"/>
  <c r="J102" i="79"/>
  <c r="R102" i="79"/>
  <c r="J103" i="79"/>
  <c r="R103" i="79"/>
  <c r="J107" i="79"/>
  <c r="R107" i="79"/>
  <c r="AH117" i="79"/>
  <c r="J143" i="79"/>
  <c r="O143" i="79"/>
  <c r="T143" i="79"/>
  <c r="AH144" i="79"/>
  <c r="AP144" i="79"/>
  <c r="AK145" i="79"/>
  <c r="J147" i="79"/>
  <c r="O147" i="79"/>
  <c r="T147" i="79"/>
  <c r="AH148" i="79"/>
  <c r="AP148" i="79"/>
  <c r="AK153" i="79"/>
  <c r="T171" i="79"/>
  <c r="T172" i="79"/>
  <c r="AG178" i="79"/>
  <c r="K179" i="79"/>
  <c r="S179" i="79"/>
  <c r="AK179" i="79"/>
  <c r="J183" i="79"/>
  <c r="L184" i="79"/>
  <c r="T184" i="79"/>
  <c r="AH186" i="79"/>
  <c r="AM186" i="79"/>
  <c r="J187" i="79"/>
  <c r="L188" i="79"/>
  <c r="T188" i="79"/>
  <c r="AH194" i="79"/>
  <c r="AM194" i="79"/>
  <c r="J199" i="79"/>
  <c r="AG217" i="79"/>
  <c r="AL217" i="79"/>
  <c r="AQ217" i="79"/>
  <c r="AH218" i="79"/>
  <c r="AM218" i="79"/>
  <c r="K224" i="79"/>
  <c r="P224" i="79"/>
  <c r="AG224" i="79"/>
  <c r="AI225" i="79"/>
  <c r="AQ225" i="79"/>
  <c r="K228" i="79"/>
  <c r="P228" i="79"/>
  <c r="AG228" i="79"/>
  <c r="AI229" i="79"/>
  <c r="AQ229" i="79"/>
  <c r="AI233" i="79"/>
  <c r="AQ233" i="79"/>
  <c r="P240" i="79"/>
  <c r="AG240" i="79"/>
  <c r="AK250" i="79"/>
  <c r="M251" i="79"/>
  <c r="M253" i="79"/>
  <c r="J257" i="79"/>
  <c r="AH257" i="79"/>
  <c r="AP257" i="79"/>
  <c r="N258" i="79"/>
  <c r="AI258" i="79"/>
  <c r="AQ258" i="79"/>
  <c r="J261" i="79"/>
  <c r="AH261" i="79"/>
  <c r="AP261" i="79"/>
  <c r="K265" i="79"/>
  <c r="S265" i="79"/>
  <c r="N266" i="79"/>
  <c r="R271" i="79"/>
  <c r="O271" i="79"/>
  <c r="T271" i="79"/>
  <c r="L271" i="79"/>
  <c r="K271" i="79"/>
  <c r="P275" i="79"/>
  <c r="Q300" i="79"/>
  <c r="R300" i="79"/>
  <c r="L300" i="79"/>
  <c r="P300" i="79"/>
  <c r="K300" i="79"/>
  <c r="J300" i="79"/>
  <c r="T300" i="79"/>
  <c r="K301" i="79"/>
  <c r="Q305" i="79"/>
  <c r="S305" i="79"/>
  <c r="N305" i="79"/>
  <c r="R305" i="79"/>
  <c r="L305" i="79"/>
  <c r="J305" i="79"/>
  <c r="T305" i="79"/>
  <c r="AO310" i="79"/>
  <c r="AM310" i="79"/>
  <c r="AL310" i="79"/>
  <c r="AH310" i="79"/>
  <c r="R322" i="79"/>
  <c r="N322" i="79"/>
  <c r="J322" i="79"/>
  <c r="AQ335" i="79"/>
  <c r="AI335" i="79"/>
  <c r="AN335" i="79"/>
  <c r="AF335" i="79"/>
  <c r="AN339" i="79"/>
  <c r="AP343" i="79"/>
  <c r="AM343" i="79"/>
  <c r="AI343" i="79"/>
  <c r="AH343" i="79"/>
  <c r="S361" i="79"/>
  <c r="P361" i="79"/>
  <c r="L361" i="79"/>
  <c r="K361" i="79"/>
  <c r="Q381" i="79"/>
  <c r="S381" i="79"/>
  <c r="N381" i="79"/>
  <c r="R381" i="79"/>
  <c r="L381" i="79"/>
  <c r="J381" i="79"/>
  <c r="T381" i="79"/>
  <c r="M388" i="79"/>
  <c r="R388" i="79"/>
  <c r="L388" i="79"/>
  <c r="J388" i="79"/>
  <c r="AL389" i="79"/>
  <c r="AK389" i="79"/>
  <c r="AG389" i="79"/>
  <c r="Q391" i="79"/>
  <c r="R391" i="79"/>
  <c r="L391" i="79"/>
  <c r="P391" i="79"/>
  <c r="K391" i="79"/>
  <c r="J391" i="79"/>
  <c r="T391" i="79"/>
  <c r="Q393" i="79"/>
  <c r="R393" i="79"/>
  <c r="L393" i="79"/>
  <c r="P393" i="79"/>
  <c r="K393" i="79"/>
  <c r="J393" i="79"/>
  <c r="T393" i="79"/>
  <c r="AN397" i="79"/>
  <c r="AJ397" i="79"/>
  <c r="AJ1349" i="79" s="1"/>
  <c r="AH397" i="79"/>
  <c r="N403" i="79"/>
  <c r="AP415" i="79"/>
  <c r="AH415" i="79"/>
  <c r="AM415" i="79"/>
  <c r="AF415" i="79"/>
  <c r="AQ415" i="79"/>
  <c r="AJ422" i="79"/>
  <c r="AO422" i="79"/>
  <c r="AH422" i="79"/>
  <c r="AG422" i="79"/>
  <c r="AJ424" i="79"/>
  <c r="AO424" i="79"/>
  <c r="AH424" i="79"/>
  <c r="AG424" i="79"/>
  <c r="M425" i="79"/>
  <c r="AM429" i="79"/>
  <c r="AJ429" i="79"/>
  <c r="AG429" i="79"/>
  <c r="M434" i="79"/>
  <c r="S434" i="79"/>
  <c r="L434" i="79"/>
  <c r="K434" i="79"/>
  <c r="O439" i="79"/>
  <c r="M439" i="79"/>
  <c r="J439" i="79"/>
  <c r="Q444" i="79"/>
  <c r="O444" i="79"/>
  <c r="K444" i="79"/>
  <c r="AK444" i="79"/>
  <c r="S455" i="79"/>
  <c r="P455" i="79"/>
  <c r="J455" i="79"/>
  <c r="T455" i="79"/>
  <c r="N455" i="79"/>
  <c r="I455" i="79"/>
  <c r="Q455" i="79"/>
  <c r="AO455" i="79"/>
  <c r="S457" i="79"/>
  <c r="P457" i="79"/>
  <c r="J457" i="79"/>
  <c r="T457" i="79"/>
  <c r="N457" i="79"/>
  <c r="I457" i="79"/>
  <c r="Q457" i="79"/>
  <c r="AO457" i="79"/>
  <c r="S459" i="79"/>
  <c r="P459" i="79"/>
  <c r="J459" i="79"/>
  <c r="T459" i="79"/>
  <c r="N459" i="79"/>
  <c r="I459" i="79"/>
  <c r="Q459" i="79"/>
  <c r="M463" i="79"/>
  <c r="R463" i="79"/>
  <c r="L463" i="79"/>
  <c r="J463" i="79"/>
  <c r="AN463" i="79"/>
  <c r="AP463" i="79"/>
  <c r="AK463" i="79"/>
  <c r="AO463" i="79"/>
  <c r="AI463" i="79"/>
  <c r="AG463" i="79"/>
  <c r="AQ463" i="79"/>
  <c r="AH464" i="79"/>
  <c r="AN465" i="79"/>
  <c r="AP465" i="79"/>
  <c r="AK465" i="79"/>
  <c r="AO465" i="79"/>
  <c r="AI465" i="79"/>
  <c r="AG465" i="79"/>
  <c r="AQ465" i="79"/>
  <c r="AM466" i="79"/>
  <c r="AJ497" i="79"/>
  <c r="AP497" i="79"/>
  <c r="AH498" i="79"/>
  <c r="AP498" i="79"/>
  <c r="O521" i="79"/>
  <c r="L521" i="79"/>
  <c r="T521" i="79"/>
  <c r="Q521" i="79"/>
  <c r="K521" i="79"/>
  <c r="S525" i="79"/>
  <c r="O525" i="79"/>
  <c r="T525" i="79"/>
  <c r="K525" i="79"/>
  <c r="Q527" i="79"/>
  <c r="O527" i="79"/>
  <c r="T527" i="79"/>
  <c r="K527" i="79"/>
  <c r="AK267" i="79"/>
  <c r="AP267" i="79"/>
  <c r="P269" i="79"/>
  <c r="J270" i="79"/>
  <c r="AK271" i="79"/>
  <c r="AP271" i="79"/>
  <c r="J274" i="79"/>
  <c r="AK275" i="79"/>
  <c r="AP275" i="79"/>
  <c r="AP277" i="79" s="1"/>
  <c r="AK279" i="79"/>
  <c r="AP279" i="79"/>
  <c r="P281" i="79"/>
  <c r="N298" i="79"/>
  <c r="S298" i="79"/>
  <c r="J299" i="79"/>
  <c r="O299" i="79"/>
  <c r="T299" i="79"/>
  <c r="J307" i="79"/>
  <c r="O307" i="79"/>
  <c r="T307" i="79"/>
  <c r="AH308" i="79"/>
  <c r="AP308" i="79"/>
  <c r="J311" i="79"/>
  <c r="O311" i="79"/>
  <c r="T311" i="79"/>
  <c r="AH312" i="79"/>
  <c r="AP312" i="79"/>
  <c r="J315" i="79"/>
  <c r="O315" i="79"/>
  <c r="T315" i="79"/>
  <c r="AH316" i="79"/>
  <c r="AP316" i="79"/>
  <c r="AI320" i="79"/>
  <c r="AG321" i="79"/>
  <c r="AO321" i="79"/>
  <c r="AJ332" i="79"/>
  <c r="L333" i="79"/>
  <c r="T333" i="79"/>
  <c r="AJ334" i="79"/>
  <c r="AK336" i="79"/>
  <c r="J340" i="79"/>
  <c r="Q340" i="79"/>
  <c r="N341" i="79"/>
  <c r="J342" i="79"/>
  <c r="Q342" i="79"/>
  <c r="AG347" i="79"/>
  <c r="AL347" i="79"/>
  <c r="AQ347" i="79"/>
  <c r="Q348" i="79"/>
  <c r="Q349" i="79"/>
  <c r="AK349" i="79"/>
  <c r="AP349" i="79"/>
  <c r="P351" i="79"/>
  <c r="N352" i="79"/>
  <c r="O356" i="79"/>
  <c r="K357" i="79"/>
  <c r="Q357" i="79"/>
  <c r="AN358" i="79"/>
  <c r="J362" i="79"/>
  <c r="Q362" i="79"/>
  <c r="AK363" i="79"/>
  <c r="AP363" i="79"/>
  <c r="K373" i="79"/>
  <c r="AH373" i="79"/>
  <c r="K374" i="79"/>
  <c r="AH374" i="79"/>
  <c r="K375" i="79"/>
  <c r="AH375" i="79"/>
  <c r="K376" i="79"/>
  <c r="AH376" i="79"/>
  <c r="K377" i="79"/>
  <c r="AH377" i="79"/>
  <c r="AI382" i="79"/>
  <c r="N383" i="79"/>
  <c r="S383" i="79"/>
  <c r="N387" i="79"/>
  <c r="S387" i="79"/>
  <c r="AG391" i="79"/>
  <c r="AN391" i="79"/>
  <c r="AM392" i="79"/>
  <c r="AH393" i="79"/>
  <c r="AI394" i="79"/>
  <c r="AI398" i="79"/>
  <c r="J399" i="79"/>
  <c r="O399" i="79"/>
  <c r="T399" i="79"/>
  <c r="J404" i="79"/>
  <c r="Q404" i="79"/>
  <c r="L414" i="79"/>
  <c r="AI416" i="79"/>
  <c r="Q422" i="79"/>
  <c r="AK428" i="79"/>
  <c r="AP428" i="79"/>
  <c r="K430" i="79"/>
  <c r="AK430" i="79"/>
  <c r="AP430" i="79"/>
  <c r="J433" i="79"/>
  <c r="Q433" i="79"/>
  <c r="AK434" i="79"/>
  <c r="AP434" i="79"/>
  <c r="K438" i="79"/>
  <c r="AK438" i="79"/>
  <c r="AP438" i="79"/>
  <c r="AG439" i="79"/>
  <c r="AQ439" i="79"/>
  <c r="P440" i="79"/>
  <c r="J445" i="79"/>
  <c r="Q445" i="79"/>
  <c r="J465" i="79"/>
  <c r="T465" i="79"/>
  <c r="M466" i="79"/>
  <c r="P471" i="79"/>
  <c r="M471" i="79"/>
  <c r="J471" i="79"/>
  <c r="M479" i="79"/>
  <c r="N507" i="79"/>
  <c r="M507" i="79"/>
  <c r="K507" i="79"/>
  <c r="M516" i="79"/>
  <c r="R516" i="79"/>
  <c r="K516" i="79"/>
  <c r="J516" i="79"/>
  <c r="AG267" i="79"/>
  <c r="AL267" i="79"/>
  <c r="AQ267" i="79"/>
  <c r="K269" i="79"/>
  <c r="S269" i="79"/>
  <c r="N270" i="79"/>
  <c r="AG271" i="79"/>
  <c r="AL271" i="79"/>
  <c r="AQ271" i="79"/>
  <c r="AG275" i="79"/>
  <c r="AL275" i="79"/>
  <c r="AQ275" i="79"/>
  <c r="AG279" i="79"/>
  <c r="AL279" i="79"/>
  <c r="AQ279" i="79"/>
  <c r="K281" i="79"/>
  <c r="S281" i="79"/>
  <c r="J298" i="79"/>
  <c r="O298" i="79"/>
  <c r="T298" i="79"/>
  <c r="K299" i="79"/>
  <c r="P299" i="79"/>
  <c r="J302" i="79"/>
  <c r="O302" i="79"/>
  <c r="T302" i="79"/>
  <c r="K307" i="79"/>
  <c r="P307" i="79"/>
  <c r="AG307" i="79"/>
  <c r="AI308" i="79"/>
  <c r="AQ308" i="79"/>
  <c r="K311" i="79"/>
  <c r="P311" i="79"/>
  <c r="AG311" i="79"/>
  <c r="AI312" i="79"/>
  <c r="AQ312" i="79"/>
  <c r="K315" i="79"/>
  <c r="P315" i="79"/>
  <c r="AG315" i="79"/>
  <c r="AI316" i="79"/>
  <c r="AQ316" i="79"/>
  <c r="AH321" i="79"/>
  <c r="AP321" i="79"/>
  <c r="AM332" i="79"/>
  <c r="M333" i="79"/>
  <c r="AM334" i="79"/>
  <c r="M335" i="79"/>
  <c r="AO336" i="79"/>
  <c r="K340" i="79"/>
  <c r="K342" i="79"/>
  <c r="J348" i="79"/>
  <c r="K349" i="79"/>
  <c r="AG349" i="79"/>
  <c r="AL349" i="79"/>
  <c r="AQ349" i="79"/>
  <c r="K351" i="79"/>
  <c r="J356" i="79"/>
  <c r="L357" i="79"/>
  <c r="AG358" i="79"/>
  <c r="K362" i="79"/>
  <c r="AG363" i="79"/>
  <c r="AL363" i="79"/>
  <c r="AQ363" i="79"/>
  <c r="J383" i="79"/>
  <c r="O383" i="79"/>
  <c r="T383" i="79"/>
  <c r="J387" i="79"/>
  <c r="O387" i="79"/>
  <c r="T387" i="79"/>
  <c r="AH391" i="79"/>
  <c r="AH392" i="79"/>
  <c r="K399" i="79"/>
  <c r="P399" i="79"/>
  <c r="L404" i="79"/>
  <c r="K422" i="79"/>
  <c r="AG428" i="79"/>
  <c r="AL428" i="79"/>
  <c r="AQ428" i="79"/>
  <c r="AG430" i="79"/>
  <c r="AL430" i="79"/>
  <c r="AQ430" i="79"/>
  <c r="K433" i="79"/>
  <c r="AG434" i="79"/>
  <c r="AL434" i="79"/>
  <c r="AQ434" i="79"/>
  <c r="AG438" i="79"/>
  <c r="AL438" i="79"/>
  <c r="AQ438" i="79"/>
  <c r="AQ1353" i="79" s="1"/>
  <c r="K440" i="79"/>
  <c r="K445" i="79"/>
  <c r="AG462" i="79"/>
  <c r="AL462" i="79"/>
  <c r="AQ462" i="79"/>
  <c r="N466" i="79"/>
  <c r="L471" i="79"/>
  <c r="N475" i="79"/>
  <c r="M475" i="79"/>
  <c r="J475" i="79"/>
  <c r="N479" i="79"/>
  <c r="Q480" i="79"/>
  <c r="R480" i="79"/>
  <c r="L480" i="79"/>
  <c r="P480" i="79"/>
  <c r="K480" i="79"/>
  <c r="J480" i="79"/>
  <c r="T480" i="79"/>
  <c r="R507" i="79"/>
  <c r="O516" i="79"/>
  <c r="P517" i="79"/>
  <c r="M517" i="79"/>
  <c r="K517" i="79"/>
  <c r="AK522" i="79"/>
  <c r="AJ522" i="79"/>
  <c r="AG522" i="79"/>
  <c r="AN525" i="79"/>
  <c r="AO525" i="79"/>
  <c r="AI525" i="79"/>
  <c r="AM525" i="79"/>
  <c r="AH525" i="79"/>
  <c r="AG525" i="79"/>
  <c r="AQ525" i="79"/>
  <c r="AN527" i="79"/>
  <c r="AO527" i="79"/>
  <c r="AI527" i="79"/>
  <c r="AM527" i="79"/>
  <c r="AH527" i="79"/>
  <c r="AG527" i="79"/>
  <c r="AQ527" i="79"/>
  <c r="N470" i="79"/>
  <c r="S470" i="79"/>
  <c r="AH471" i="79"/>
  <c r="AQ471" i="79"/>
  <c r="N472" i="79"/>
  <c r="S472" i="79"/>
  <c r="J474" i="79"/>
  <c r="O474" i="79"/>
  <c r="T474" i="79"/>
  <c r="AL474" i="79"/>
  <c r="AH475" i="79"/>
  <c r="AN475" i="79"/>
  <c r="AM479" i="79"/>
  <c r="AJ480" i="79"/>
  <c r="J497" i="79"/>
  <c r="R497" i="79"/>
  <c r="Q498" i="79"/>
  <c r="M499" i="79"/>
  <c r="S499" i="79"/>
  <c r="AL500" i="79"/>
  <c r="AP503" i="79"/>
  <c r="AM504" i="79"/>
  <c r="K506" i="79"/>
  <c r="AH506" i="79"/>
  <c r="AN506" i="79"/>
  <c r="AP507" i="79"/>
  <c r="AG511" i="79"/>
  <c r="AL511" i="79"/>
  <c r="AQ511" i="79"/>
  <c r="AM512" i="79"/>
  <c r="AG513" i="79"/>
  <c r="AL513" i="79"/>
  <c r="AQ513" i="79"/>
  <c r="Q515" i="79"/>
  <c r="AO516" i="79"/>
  <c r="AG517" i="79"/>
  <c r="AL517" i="79"/>
  <c r="AQ517" i="79"/>
  <c r="AG521" i="79"/>
  <c r="AL521" i="79"/>
  <c r="AQ521" i="79"/>
  <c r="O522" i="79"/>
  <c r="J470" i="79"/>
  <c r="O470" i="79"/>
  <c r="T470" i="79"/>
  <c r="J472" i="79"/>
  <c r="O472" i="79"/>
  <c r="T472" i="79"/>
  <c r="K474" i="79"/>
  <c r="P474" i="79"/>
  <c r="AG474" i="79"/>
  <c r="AI475" i="79"/>
  <c r="AH479" i="79"/>
  <c r="M497" i="79"/>
  <c r="AH503" i="79"/>
  <c r="AH504" i="79"/>
  <c r="AI506" i="79"/>
  <c r="AH507" i="79"/>
  <c r="AH511" i="79"/>
  <c r="AM511" i="79"/>
  <c r="AG512" i="79"/>
  <c r="AH513" i="79"/>
  <c r="AM513" i="79"/>
  <c r="K515" i="79"/>
  <c r="AG516" i="79"/>
  <c r="AH517" i="79"/>
  <c r="AM517" i="79"/>
  <c r="AH521" i="79"/>
  <c r="AM521" i="79"/>
  <c r="J522" i="79"/>
  <c r="I1028" i="79"/>
  <c r="U1028" i="79" s="1"/>
  <c r="H1450" i="79"/>
  <c r="Q1450" i="79"/>
  <c r="F1450" i="79"/>
  <c r="U881" i="79"/>
  <c r="C150" i="74"/>
  <c r="I973" i="79"/>
  <c r="U973" i="79" s="1"/>
  <c r="C863" i="79"/>
  <c r="G21" i="40"/>
  <c r="F324" i="40" s="1"/>
  <c r="G25" i="40"/>
  <c r="F328" i="40" s="1"/>
  <c r="G27" i="40"/>
  <c r="F330" i="40" s="1"/>
  <c r="G29" i="40"/>
  <c r="F332" i="40" s="1"/>
  <c r="G31" i="40"/>
  <c r="F334" i="40" s="1"/>
  <c r="G33" i="40"/>
  <c r="F336" i="40" s="1"/>
  <c r="G35" i="40"/>
  <c r="F338" i="40" s="1"/>
  <c r="G37" i="40"/>
  <c r="F340" i="40" s="1"/>
  <c r="G39" i="40"/>
  <c r="F342" i="40" s="1"/>
  <c r="G71" i="40"/>
  <c r="F364" i="40" s="1"/>
  <c r="G75" i="40"/>
  <c r="F368" i="40" s="1"/>
  <c r="G77" i="40"/>
  <c r="F370" i="40" s="1"/>
  <c r="G52" i="40"/>
  <c r="F350" i="40" s="1"/>
  <c r="G16" i="40"/>
  <c r="F319" i="40" s="1"/>
  <c r="G20" i="40"/>
  <c r="F323" i="40" s="1"/>
  <c r="G26" i="40"/>
  <c r="F329" i="40" s="1"/>
  <c r="G28" i="40"/>
  <c r="F331" i="40" s="1"/>
  <c r="G30" i="40"/>
  <c r="F333" i="40" s="1"/>
  <c r="G32" i="40"/>
  <c r="F335" i="40" s="1"/>
  <c r="G34" i="40"/>
  <c r="F337" i="40" s="1"/>
  <c r="G36" i="40"/>
  <c r="F339" i="40" s="1"/>
  <c r="G38" i="40"/>
  <c r="F341" i="40" s="1"/>
  <c r="G40" i="40"/>
  <c r="F343" i="40" s="1"/>
  <c r="G70" i="40"/>
  <c r="F363" i="40" s="1"/>
  <c r="G72" i="40"/>
  <c r="F365" i="40" s="1"/>
  <c r="G74" i="40"/>
  <c r="F367" i="40" s="1"/>
  <c r="G76" i="40"/>
  <c r="F369" i="40" s="1"/>
  <c r="G78" i="40"/>
  <c r="F371" i="40" s="1"/>
  <c r="G80" i="40"/>
  <c r="F373" i="40" s="1"/>
  <c r="C120" i="74"/>
  <c r="I904" i="79"/>
  <c r="U904" i="79" s="1"/>
  <c r="C857" i="79"/>
  <c r="C160" i="74"/>
  <c r="I996" i="79"/>
  <c r="U996" i="79" s="1"/>
  <c r="C865" i="79"/>
  <c r="I1088" i="79"/>
  <c r="U1088" i="79" s="1"/>
  <c r="C873" i="79"/>
  <c r="H1451" i="79"/>
  <c r="C859" i="79"/>
  <c r="I927" i="79"/>
  <c r="U927" i="79" s="1"/>
  <c r="D23" i="71"/>
  <c r="C210" i="74"/>
  <c r="I1111" i="79"/>
  <c r="U1111" i="79" s="1"/>
  <c r="C875" i="79"/>
  <c r="E24" i="71"/>
  <c r="G69" i="40"/>
  <c r="F362" i="40" s="1"/>
  <c r="G73" i="40"/>
  <c r="F366" i="40" s="1"/>
  <c r="G79" i="40"/>
  <c r="F372" i="40" s="1"/>
  <c r="C180" i="74"/>
  <c r="I1042" i="79"/>
  <c r="U1042" i="79" s="1"/>
  <c r="C869" i="79"/>
  <c r="C220" i="74"/>
  <c r="I1134" i="79"/>
  <c r="U1134" i="79" s="1"/>
  <c r="C877" i="79"/>
  <c r="O48" i="79"/>
  <c r="O49" i="79"/>
  <c r="R55" i="79"/>
  <c r="N55" i="79"/>
  <c r="J55" i="79"/>
  <c r="T55" i="79"/>
  <c r="P55" i="79"/>
  <c r="L55" i="79"/>
  <c r="I55" i="79"/>
  <c r="Q55" i="79"/>
  <c r="AQ55" i="79"/>
  <c r="AM55" i="79"/>
  <c r="AI55" i="79"/>
  <c r="AO55" i="79"/>
  <c r="AK55" i="79"/>
  <c r="AG55" i="79"/>
  <c r="AF55" i="79"/>
  <c r="AN55" i="79"/>
  <c r="R56" i="79"/>
  <c r="N56" i="79"/>
  <c r="J56" i="79"/>
  <c r="T56" i="79"/>
  <c r="P56" i="79"/>
  <c r="L56" i="79"/>
  <c r="I56" i="79"/>
  <c r="Q56" i="79"/>
  <c r="AQ56" i="79"/>
  <c r="AM56" i="79"/>
  <c r="AI56" i="79"/>
  <c r="AO56" i="79"/>
  <c r="AK56" i="79"/>
  <c r="AG56" i="79"/>
  <c r="AF56" i="79"/>
  <c r="AN56" i="79"/>
  <c r="T60" i="79"/>
  <c r="P60" i="79"/>
  <c r="L60" i="79"/>
  <c r="R60" i="79"/>
  <c r="N60" i="79"/>
  <c r="J60" i="79"/>
  <c r="I60" i="79"/>
  <c r="Q60" i="79"/>
  <c r="M62" i="79"/>
  <c r="K63" i="79"/>
  <c r="S63" i="79"/>
  <c r="T64" i="79"/>
  <c r="P64" i="79"/>
  <c r="L64" i="79"/>
  <c r="R64" i="79"/>
  <c r="N64" i="79"/>
  <c r="J64" i="79"/>
  <c r="I64" i="79"/>
  <c r="Q64" i="79"/>
  <c r="M66" i="79"/>
  <c r="M71" i="79"/>
  <c r="K76" i="79"/>
  <c r="S76" i="79"/>
  <c r="AP104" i="79"/>
  <c r="AL104" i="79"/>
  <c r="AH104" i="79"/>
  <c r="AO104" i="79"/>
  <c r="AK104" i="79"/>
  <c r="AG104" i="79"/>
  <c r="AQ104" i="79"/>
  <c r="AM104" i="79"/>
  <c r="AI104" i="79"/>
  <c r="AF104" i="79"/>
  <c r="AJ106" i="79"/>
  <c r="AP112" i="79"/>
  <c r="AL112" i="79"/>
  <c r="AH112" i="79"/>
  <c r="AO112" i="79"/>
  <c r="AK112" i="79"/>
  <c r="AG112" i="79"/>
  <c r="AQ112" i="79"/>
  <c r="AM112" i="79"/>
  <c r="AI112" i="79"/>
  <c r="AF112" i="79"/>
  <c r="I48" i="79"/>
  <c r="Q48" i="79"/>
  <c r="AO48" i="79"/>
  <c r="AK48" i="79"/>
  <c r="AG48" i="79"/>
  <c r="AQ48" i="79"/>
  <c r="AM48" i="79"/>
  <c r="AI48" i="79"/>
  <c r="AJ48" i="79"/>
  <c r="I49" i="79"/>
  <c r="Q49" i="79"/>
  <c r="AO49" i="79"/>
  <c r="AK49" i="79"/>
  <c r="AG49" i="79"/>
  <c r="AQ49" i="79"/>
  <c r="AM49" i="79"/>
  <c r="AI49" i="79"/>
  <c r="AJ49" i="79"/>
  <c r="K55" i="79"/>
  <c r="S55" i="79"/>
  <c r="AH55" i="79"/>
  <c r="AP55" i="79"/>
  <c r="K56" i="79"/>
  <c r="S56" i="79"/>
  <c r="AH56" i="79"/>
  <c r="AP56" i="79"/>
  <c r="K60" i="79"/>
  <c r="S60" i="79"/>
  <c r="R61" i="79"/>
  <c r="N61" i="79"/>
  <c r="J61" i="79"/>
  <c r="T61" i="79"/>
  <c r="P61" i="79"/>
  <c r="L61" i="79"/>
  <c r="I61" i="79"/>
  <c r="Q61" i="79"/>
  <c r="M63" i="79"/>
  <c r="K64" i="79"/>
  <c r="S64" i="79"/>
  <c r="R65" i="79"/>
  <c r="N65" i="79"/>
  <c r="J65" i="79"/>
  <c r="T65" i="79"/>
  <c r="P65" i="79"/>
  <c r="L65" i="79"/>
  <c r="I65" i="79"/>
  <c r="Q65" i="79"/>
  <c r="M76" i="79"/>
  <c r="AP102" i="79"/>
  <c r="AL102" i="79"/>
  <c r="AH102" i="79"/>
  <c r="AO102" i="79"/>
  <c r="AK102" i="79"/>
  <c r="AG102" i="79"/>
  <c r="AQ102" i="79"/>
  <c r="AM102" i="79"/>
  <c r="AI102" i="79"/>
  <c r="AF102" i="79"/>
  <c r="K48" i="79"/>
  <c r="K49" i="79"/>
  <c r="T62" i="79"/>
  <c r="P62" i="79"/>
  <c r="L62" i="79"/>
  <c r="R62" i="79"/>
  <c r="N62" i="79"/>
  <c r="J62" i="79"/>
  <c r="I62" i="79"/>
  <c r="Q62" i="79"/>
  <c r="T66" i="79"/>
  <c r="P66" i="79"/>
  <c r="L66" i="79"/>
  <c r="R66" i="79"/>
  <c r="N66" i="79"/>
  <c r="J66" i="79"/>
  <c r="I66" i="79"/>
  <c r="Q66" i="79"/>
  <c r="R71" i="79"/>
  <c r="N71" i="79"/>
  <c r="J71" i="79"/>
  <c r="T71" i="79"/>
  <c r="P71" i="79"/>
  <c r="L71" i="79"/>
  <c r="I71" i="79"/>
  <c r="Q71" i="79"/>
  <c r="AN296" i="79"/>
  <c r="R48" i="79"/>
  <c r="N48" i="79"/>
  <c r="J48" i="79"/>
  <c r="T48" i="79"/>
  <c r="P48" i="79"/>
  <c r="L48" i="79"/>
  <c r="M48" i="79"/>
  <c r="R49" i="79"/>
  <c r="N49" i="79"/>
  <c r="J49" i="79"/>
  <c r="T49" i="79"/>
  <c r="P49" i="79"/>
  <c r="L49" i="79"/>
  <c r="M49" i="79"/>
  <c r="R63" i="79"/>
  <c r="N63" i="79"/>
  <c r="J63" i="79"/>
  <c r="T63" i="79"/>
  <c r="P63" i="79"/>
  <c r="L63" i="79"/>
  <c r="I63" i="79"/>
  <c r="Q63" i="79"/>
  <c r="T76" i="79"/>
  <c r="P76" i="79"/>
  <c r="L76" i="79"/>
  <c r="R76" i="79"/>
  <c r="N76" i="79"/>
  <c r="J76" i="79"/>
  <c r="I76" i="79"/>
  <c r="Q76" i="79"/>
  <c r="AP106" i="79"/>
  <c r="AL106" i="79"/>
  <c r="AH106" i="79"/>
  <c r="AO106" i="79"/>
  <c r="AK106" i="79"/>
  <c r="AG106" i="79"/>
  <c r="AQ106" i="79"/>
  <c r="AM106" i="79"/>
  <c r="AI106" i="79"/>
  <c r="AF106" i="79"/>
  <c r="Q296" i="79"/>
  <c r="AP1545" i="79"/>
  <c r="AP1339" i="79"/>
  <c r="AP303" i="79"/>
  <c r="AF60" i="79"/>
  <c r="AJ60" i="79"/>
  <c r="AN60" i="79"/>
  <c r="AH61" i="79"/>
  <c r="AL61" i="79"/>
  <c r="AP61" i="79"/>
  <c r="AF62" i="79"/>
  <c r="AJ62" i="79"/>
  <c r="AN62" i="79"/>
  <c r="AH63" i="79"/>
  <c r="AL63" i="79"/>
  <c r="AP63" i="79"/>
  <c r="AF64" i="79"/>
  <c r="AJ64" i="79"/>
  <c r="AN64" i="79"/>
  <c r="AH65" i="79"/>
  <c r="AL65" i="79"/>
  <c r="AP65" i="79"/>
  <c r="AF66" i="79"/>
  <c r="AJ66" i="79"/>
  <c r="AN66" i="79"/>
  <c r="AL71" i="79"/>
  <c r="AP71" i="79"/>
  <c r="AF76" i="79"/>
  <c r="AJ76" i="79"/>
  <c r="AN76" i="79"/>
  <c r="I96" i="79"/>
  <c r="M96" i="79"/>
  <c r="Q96" i="79"/>
  <c r="AH96" i="79"/>
  <c r="AL96" i="79"/>
  <c r="AP96" i="79"/>
  <c r="I97" i="79"/>
  <c r="M97" i="79"/>
  <c r="Q97" i="79"/>
  <c r="AH97" i="79"/>
  <c r="AL97" i="79"/>
  <c r="AP97" i="79"/>
  <c r="K101" i="79"/>
  <c r="O101" i="79"/>
  <c r="S101" i="79"/>
  <c r="AG101" i="79"/>
  <c r="AK101" i="79"/>
  <c r="AO101" i="79"/>
  <c r="I102" i="79"/>
  <c r="M102" i="79"/>
  <c r="Q102" i="79"/>
  <c r="K103" i="79"/>
  <c r="O103" i="79"/>
  <c r="S103" i="79"/>
  <c r="AG103" i="79"/>
  <c r="AK103" i="79"/>
  <c r="AO103" i="79"/>
  <c r="I104" i="79"/>
  <c r="M104" i="79"/>
  <c r="Q104" i="79"/>
  <c r="K105" i="79"/>
  <c r="O105" i="79"/>
  <c r="S105" i="79"/>
  <c r="AG105" i="79"/>
  <c r="AK105" i="79"/>
  <c r="AO105" i="79"/>
  <c r="I106" i="79"/>
  <c r="M106" i="79"/>
  <c r="Q106" i="79"/>
  <c r="K107" i="79"/>
  <c r="O107" i="79"/>
  <c r="S107" i="79"/>
  <c r="AG107" i="79"/>
  <c r="AK107" i="79"/>
  <c r="AO107" i="79"/>
  <c r="I112" i="79"/>
  <c r="M112" i="79"/>
  <c r="Q112" i="79"/>
  <c r="K117" i="79"/>
  <c r="O117" i="79"/>
  <c r="S117" i="79"/>
  <c r="AG117" i="79"/>
  <c r="AK117" i="79"/>
  <c r="AO117" i="79"/>
  <c r="J130" i="79"/>
  <c r="N130" i="79"/>
  <c r="R130" i="79"/>
  <c r="AG130" i="79"/>
  <c r="AK130" i="79"/>
  <c r="AO130" i="79"/>
  <c r="J131" i="79"/>
  <c r="N131" i="79"/>
  <c r="R131" i="79"/>
  <c r="AG131" i="79"/>
  <c r="AK131" i="79"/>
  <c r="AO131" i="79"/>
  <c r="AI137" i="79"/>
  <c r="AM137" i="79"/>
  <c r="AQ137" i="79"/>
  <c r="AI138" i="79"/>
  <c r="AM138" i="79"/>
  <c r="AQ138" i="79"/>
  <c r="L142" i="79"/>
  <c r="P142" i="79"/>
  <c r="T142" i="79"/>
  <c r="AF143" i="79"/>
  <c r="AJ143" i="79"/>
  <c r="AN143" i="79"/>
  <c r="L144" i="79"/>
  <c r="P144" i="79"/>
  <c r="T144" i="79"/>
  <c r="AF145" i="79"/>
  <c r="AJ145" i="79"/>
  <c r="AN145" i="79"/>
  <c r="L146" i="79"/>
  <c r="P146" i="79"/>
  <c r="T146" i="79"/>
  <c r="AF147" i="79"/>
  <c r="AJ147" i="79"/>
  <c r="AN147" i="79"/>
  <c r="L148" i="79"/>
  <c r="P148" i="79"/>
  <c r="T148" i="79"/>
  <c r="AF153" i="79"/>
  <c r="AJ153" i="79"/>
  <c r="AN153" i="79"/>
  <c r="L158" i="79"/>
  <c r="P158" i="79"/>
  <c r="T158" i="79"/>
  <c r="AH170" i="79"/>
  <c r="AL170" i="79"/>
  <c r="AP170" i="79"/>
  <c r="K171" i="79"/>
  <c r="O171" i="79"/>
  <c r="S171" i="79"/>
  <c r="AH171" i="79"/>
  <c r="AL171" i="79"/>
  <c r="AP171" i="79"/>
  <c r="K172" i="79"/>
  <c r="O172" i="79"/>
  <c r="S172" i="79"/>
  <c r="AH172" i="79"/>
  <c r="AL172" i="79"/>
  <c r="AP172" i="79"/>
  <c r="AF176" i="79"/>
  <c r="AJ176" i="79"/>
  <c r="AN176" i="79"/>
  <c r="AF177" i="79"/>
  <c r="AJ177" i="79"/>
  <c r="AN177" i="79"/>
  <c r="AF178" i="79"/>
  <c r="AJ178" i="79"/>
  <c r="AN178" i="79"/>
  <c r="AF179" i="79"/>
  <c r="AJ179" i="79"/>
  <c r="AN179" i="79"/>
  <c r="I183" i="79"/>
  <c r="M183" i="79"/>
  <c r="Q183" i="79"/>
  <c r="AI183" i="79"/>
  <c r="AM183" i="79"/>
  <c r="AQ183" i="79"/>
  <c r="I185" i="79"/>
  <c r="M185" i="79"/>
  <c r="Q185" i="79"/>
  <c r="AI185" i="79"/>
  <c r="AM185" i="79"/>
  <c r="AQ185" i="79"/>
  <c r="I187" i="79"/>
  <c r="M187" i="79"/>
  <c r="Q187" i="79"/>
  <c r="AI187" i="79"/>
  <c r="AM187" i="79"/>
  <c r="AQ187" i="79"/>
  <c r="I189" i="79"/>
  <c r="M189" i="79"/>
  <c r="Q189" i="79"/>
  <c r="AI189" i="79"/>
  <c r="AM189" i="79"/>
  <c r="AQ189" i="79"/>
  <c r="AI193" i="79"/>
  <c r="AM193" i="79"/>
  <c r="AQ193" i="79"/>
  <c r="I199" i="79"/>
  <c r="M199" i="79"/>
  <c r="Q199" i="79"/>
  <c r="AI199" i="79"/>
  <c r="AM199" i="79"/>
  <c r="AQ199" i="79"/>
  <c r="L219" i="79"/>
  <c r="P219" i="79"/>
  <c r="T219" i="79"/>
  <c r="L220" i="79"/>
  <c r="P220" i="79"/>
  <c r="T220" i="79"/>
  <c r="L223" i="79"/>
  <c r="P223" i="79"/>
  <c r="T223" i="79"/>
  <c r="AF224" i="79"/>
  <c r="AJ224" i="79"/>
  <c r="AN224" i="79"/>
  <c r="L225" i="79"/>
  <c r="P225" i="79"/>
  <c r="T225" i="79"/>
  <c r="AF226" i="79"/>
  <c r="AJ226" i="79"/>
  <c r="AN226" i="79"/>
  <c r="L227" i="79"/>
  <c r="P227" i="79"/>
  <c r="T227" i="79"/>
  <c r="AF228" i="79"/>
  <c r="AJ228" i="79"/>
  <c r="AN228" i="79"/>
  <c r="L229" i="79"/>
  <c r="P229" i="79"/>
  <c r="T229" i="79"/>
  <c r="AF230" i="79"/>
  <c r="AJ230" i="79"/>
  <c r="AN230" i="79"/>
  <c r="L233" i="79"/>
  <c r="P233" i="79"/>
  <c r="T233" i="79"/>
  <c r="AF234" i="79"/>
  <c r="AJ234" i="79"/>
  <c r="AN234" i="79"/>
  <c r="L235" i="79"/>
  <c r="P235" i="79"/>
  <c r="T235" i="79"/>
  <c r="AF238" i="79"/>
  <c r="AJ238" i="79"/>
  <c r="AN238" i="79"/>
  <c r="L239" i="79"/>
  <c r="P239" i="79"/>
  <c r="T239" i="79"/>
  <c r="AF240" i="79"/>
  <c r="AJ240" i="79"/>
  <c r="AN240" i="79"/>
  <c r="I257" i="79"/>
  <c r="M257" i="79"/>
  <c r="Q257" i="79"/>
  <c r="I258" i="79"/>
  <c r="M258" i="79"/>
  <c r="Q258" i="79"/>
  <c r="I259" i="79"/>
  <c r="M259" i="79"/>
  <c r="Q259" i="79"/>
  <c r="I260" i="79"/>
  <c r="M260" i="79"/>
  <c r="Q260" i="79"/>
  <c r="I261" i="79"/>
  <c r="M261" i="79"/>
  <c r="Q261" i="79"/>
  <c r="I264" i="79"/>
  <c r="M264" i="79"/>
  <c r="Q264" i="79"/>
  <c r="AI264" i="79"/>
  <c r="AM264" i="79"/>
  <c r="AQ264" i="79"/>
  <c r="I266" i="79"/>
  <c r="M266" i="79"/>
  <c r="Q266" i="79"/>
  <c r="AI266" i="79"/>
  <c r="AM266" i="79"/>
  <c r="AQ266" i="79"/>
  <c r="I268" i="79"/>
  <c r="M268" i="79"/>
  <c r="Q268" i="79"/>
  <c r="AI268" i="79"/>
  <c r="AM268" i="79"/>
  <c r="AQ268" i="79"/>
  <c r="I270" i="79"/>
  <c r="M270" i="79"/>
  <c r="Q270" i="79"/>
  <c r="AI270" i="79"/>
  <c r="AM270" i="79"/>
  <c r="AQ270" i="79"/>
  <c r="I274" i="79"/>
  <c r="M274" i="79"/>
  <c r="Q274" i="79"/>
  <c r="AI274" i="79"/>
  <c r="AM274" i="79"/>
  <c r="AQ274" i="79"/>
  <c r="I276" i="79"/>
  <c r="M276" i="79"/>
  <c r="Q276" i="79"/>
  <c r="AI276" i="79"/>
  <c r="AM276" i="79"/>
  <c r="AQ276" i="79"/>
  <c r="I280" i="79"/>
  <c r="M280" i="79"/>
  <c r="Q280" i="79"/>
  <c r="AI280" i="79"/>
  <c r="AM280" i="79"/>
  <c r="AQ280" i="79"/>
  <c r="J291" i="79"/>
  <c r="N291" i="79"/>
  <c r="R291" i="79"/>
  <c r="AG291" i="79"/>
  <c r="AK291" i="79"/>
  <c r="AO291" i="79"/>
  <c r="J292" i="79"/>
  <c r="N292" i="79"/>
  <c r="R292" i="79"/>
  <c r="AG292" i="79"/>
  <c r="AK292" i="79"/>
  <c r="AO292" i="79"/>
  <c r="J293" i="79"/>
  <c r="N293" i="79"/>
  <c r="R293" i="79"/>
  <c r="AG293" i="79"/>
  <c r="AK293" i="79"/>
  <c r="AO293" i="79"/>
  <c r="J294" i="79"/>
  <c r="N294" i="79"/>
  <c r="R294" i="79"/>
  <c r="AG294" i="79"/>
  <c r="AK294" i="79"/>
  <c r="AO294" i="79"/>
  <c r="J295" i="79"/>
  <c r="N295" i="79"/>
  <c r="R295" i="79"/>
  <c r="AG295" i="79"/>
  <c r="AK295" i="79"/>
  <c r="AO295" i="79"/>
  <c r="AI298" i="79"/>
  <c r="AM298" i="79"/>
  <c r="AQ298" i="79"/>
  <c r="AI299" i="79"/>
  <c r="AM299" i="79"/>
  <c r="AQ299" i="79"/>
  <c r="AI300" i="79"/>
  <c r="AM300" i="79"/>
  <c r="AQ300" i="79"/>
  <c r="AI301" i="79"/>
  <c r="AM301" i="79"/>
  <c r="AQ301" i="79"/>
  <c r="AI302" i="79"/>
  <c r="AM302" i="79"/>
  <c r="AQ302" i="79"/>
  <c r="AF305" i="79"/>
  <c r="AJ305" i="79"/>
  <c r="AN305" i="79"/>
  <c r="L306" i="79"/>
  <c r="P306" i="79"/>
  <c r="T306" i="79"/>
  <c r="AF307" i="79"/>
  <c r="AJ307" i="79"/>
  <c r="AN307" i="79"/>
  <c r="L308" i="79"/>
  <c r="P308" i="79"/>
  <c r="T308" i="79"/>
  <c r="AF309" i="79"/>
  <c r="AJ309" i="79"/>
  <c r="AN309" i="79"/>
  <c r="L310" i="79"/>
  <c r="P310" i="79"/>
  <c r="T310" i="79"/>
  <c r="AF311" i="79"/>
  <c r="AJ311" i="79"/>
  <c r="AN311" i="79"/>
  <c r="L312" i="79"/>
  <c r="P312" i="79"/>
  <c r="T312" i="79"/>
  <c r="AF315" i="79"/>
  <c r="AJ315" i="79"/>
  <c r="AN315" i="79"/>
  <c r="L316" i="79"/>
  <c r="P316" i="79"/>
  <c r="T316" i="79"/>
  <c r="AF317" i="79"/>
  <c r="AJ317" i="79"/>
  <c r="AN317" i="79"/>
  <c r="AP320" i="79"/>
  <c r="AL320" i="79"/>
  <c r="AH320" i="79"/>
  <c r="AO320" i="79"/>
  <c r="AK320" i="79"/>
  <c r="AG320" i="79"/>
  <c r="AF320" i="79"/>
  <c r="AN320" i="79"/>
  <c r="T339" i="79"/>
  <c r="P339" i="79"/>
  <c r="L339" i="79"/>
  <c r="R339" i="79"/>
  <c r="M339" i="79"/>
  <c r="Q339" i="79"/>
  <c r="K339" i="79"/>
  <c r="I339" i="79"/>
  <c r="S339" i="79"/>
  <c r="AO340" i="79"/>
  <c r="AK340" i="79"/>
  <c r="AG340" i="79"/>
  <c r="AN340" i="79"/>
  <c r="AI340" i="79"/>
  <c r="AM340" i="79"/>
  <c r="AH340" i="79"/>
  <c r="AF340" i="79"/>
  <c r="AQ340" i="79"/>
  <c r="T343" i="79"/>
  <c r="P343" i="79"/>
  <c r="L343" i="79"/>
  <c r="R343" i="79"/>
  <c r="M343" i="79"/>
  <c r="Q343" i="79"/>
  <c r="K343" i="79"/>
  <c r="I343" i="79"/>
  <c r="S343" i="79"/>
  <c r="T346" i="79"/>
  <c r="P346" i="79"/>
  <c r="L346" i="79"/>
  <c r="R346" i="79"/>
  <c r="M346" i="79"/>
  <c r="Q346" i="79"/>
  <c r="K346" i="79"/>
  <c r="I346" i="79"/>
  <c r="S346" i="79"/>
  <c r="R347" i="79"/>
  <c r="N347" i="79"/>
  <c r="J347" i="79"/>
  <c r="S347" i="79"/>
  <c r="M347" i="79"/>
  <c r="Q347" i="79"/>
  <c r="L347" i="79"/>
  <c r="I347" i="79"/>
  <c r="T347" i="79"/>
  <c r="AP348" i="79"/>
  <c r="AL348" i="79"/>
  <c r="AH348" i="79"/>
  <c r="AN348" i="79"/>
  <c r="AI348" i="79"/>
  <c r="AM348" i="79"/>
  <c r="AG348" i="79"/>
  <c r="AF348" i="79"/>
  <c r="AQ348" i="79"/>
  <c r="R353" i="79"/>
  <c r="N353" i="79"/>
  <c r="J353" i="79"/>
  <c r="Q353" i="79"/>
  <c r="L353" i="79"/>
  <c r="P353" i="79"/>
  <c r="K353" i="79"/>
  <c r="I353" i="79"/>
  <c r="T353" i="79"/>
  <c r="AP380" i="79"/>
  <c r="AL380" i="79"/>
  <c r="AH380" i="79"/>
  <c r="AO380" i="79"/>
  <c r="AJ380" i="79"/>
  <c r="AN380" i="79"/>
  <c r="AI380" i="79"/>
  <c r="AF380" i="79"/>
  <c r="AQ380" i="79"/>
  <c r="S394" i="79"/>
  <c r="O394" i="79"/>
  <c r="K394" i="79"/>
  <c r="R394" i="79"/>
  <c r="M394" i="79"/>
  <c r="Q394" i="79"/>
  <c r="L394" i="79"/>
  <c r="I394" i="79"/>
  <c r="T394" i="79"/>
  <c r="AQ403" i="79"/>
  <c r="AM403" i="79"/>
  <c r="AI403" i="79"/>
  <c r="AN403" i="79"/>
  <c r="AH403" i="79"/>
  <c r="AL403" i="79"/>
  <c r="AG403" i="79"/>
  <c r="AF403" i="79"/>
  <c r="AP403" i="79"/>
  <c r="AO404" i="79"/>
  <c r="AK404" i="79"/>
  <c r="AG404" i="79"/>
  <c r="AN404" i="79"/>
  <c r="AI404" i="79"/>
  <c r="AM404" i="79"/>
  <c r="AH404" i="79"/>
  <c r="AF404" i="79"/>
  <c r="AQ404" i="79"/>
  <c r="T429" i="79"/>
  <c r="P429" i="79"/>
  <c r="L429" i="79"/>
  <c r="Q429" i="79"/>
  <c r="K429" i="79"/>
  <c r="N429" i="79"/>
  <c r="S429" i="79"/>
  <c r="M429" i="79"/>
  <c r="R429" i="79"/>
  <c r="J429" i="79"/>
  <c r="I429" i="79"/>
  <c r="AP431" i="79"/>
  <c r="AL431" i="79"/>
  <c r="AH431" i="79"/>
  <c r="AM431" i="79"/>
  <c r="AG431" i="79"/>
  <c r="AK431" i="79"/>
  <c r="AQ431" i="79"/>
  <c r="AJ431" i="79"/>
  <c r="AO431" i="79"/>
  <c r="AI431" i="79"/>
  <c r="AF431" i="79"/>
  <c r="AP443" i="79"/>
  <c r="AL443" i="79"/>
  <c r="AH443" i="79"/>
  <c r="AM443" i="79"/>
  <c r="AG443" i="79"/>
  <c r="AK443" i="79"/>
  <c r="AQ443" i="79"/>
  <c r="AJ443" i="79"/>
  <c r="AO443" i="79"/>
  <c r="AI443" i="79"/>
  <c r="AF443" i="79"/>
  <c r="AQ470" i="79"/>
  <c r="AM470" i="79"/>
  <c r="AI470" i="79"/>
  <c r="AN470" i="79"/>
  <c r="AH470" i="79"/>
  <c r="AK470" i="79"/>
  <c r="AP470" i="79"/>
  <c r="AJ470" i="79"/>
  <c r="AO470" i="79"/>
  <c r="AG470" i="79"/>
  <c r="AF470" i="79"/>
  <c r="S473" i="79"/>
  <c r="O473" i="79"/>
  <c r="K473" i="79"/>
  <c r="P473" i="79"/>
  <c r="J473" i="79"/>
  <c r="N473" i="79"/>
  <c r="T473" i="79"/>
  <c r="M473" i="79"/>
  <c r="R473" i="79"/>
  <c r="L473" i="79"/>
  <c r="I473" i="79"/>
  <c r="AO485" i="79"/>
  <c r="AK485" i="79"/>
  <c r="AG485" i="79"/>
  <c r="AM485" i="79"/>
  <c r="AH485" i="79"/>
  <c r="AL485" i="79"/>
  <c r="AQ485" i="79"/>
  <c r="AJ485" i="79"/>
  <c r="AP485" i="79"/>
  <c r="AI485" i="79"/>
  <c r="AF485" i="79"/>
  <c r="T500" i="79"/>
  <c r="P500" i="79"/>
  <c r="L500" i="79"/>
  <c r="S500" i="79"/>
  <c r="N500" i="79"/>
  <c r="I500" i="79"/>
  <c r="R500" i="79"/>
  <c r="K500" i="79"/>
  <c r="Q500" i="79"/>
  <c r="J500" i="79"/>
  <c r="O500" i="79"/>
  <c r="T512" i="79"/>
  <c r="P512" i="79"/>
  <c r="L512" i="79"/>
  <c r="Q512" i="79"/>
  <c r="K512" i="79"/>
  <c r="N512" i="79"/>
  <c r="S512" i="79"/>
  <c r="M512" i="79"/>
  <c r="R512" i="79"/>
  <c r="J512" i="79"/>
  <c r="I512" i="79"/>
  <c r="AP514" i="79"/>
  <c r="AL514" i="79"/>
  <c r="AH514" i="79"/>
  <c r="AM514" i="79"/>
  <c r="AG514" i="79"/>
  <c r="AK514" i="79"/>
  <c r="AQ514" i="79"/>
  <c r="AJ514" i="79"/>
  <c r="AO514" i="79"/>
  <c r="AI514" i="79"/>
  <c r="AF514" i="79"/>
  <c r="T520" i="79"/>
  <c r="P520" i="79"/>
  <c r="L520" i="79"/>
  <c r="R520" i="79"/>
  <c r="M520" i="79"/>
  <c r="N520" i="79"/>
  <c r="S520" i="79"/>
  <c r="K520" i="79"/>
  <c r="Q520" i="79"/>
  <c r="J520" i="79"/>
  <c r="I520" i="79"/>
  <c r="K130" i="79"/>
  <c r="O130" i="79"/>
  <c r="S130" i="79"/>
  <c r="AH130" i="79"/>
  <c r="AL130" i="79"/>
  <c r="AP130" i="79"/>
  <c r="K131" i="79"/>
  <c r="O131" i="79"/>
  <c r="S131" i="79"/>
  <c r="AH131" i="79"/>
  <c r="AL131" i="79"/>
  <c r="AP131" i="79"/>
  <c r="AF137" i="79"/>
  <c r="AJ137" i="79"/>
  <c r="AN137" i="79"/>
  <c r="AF138" i="79"/>
  <c r="AJ138" i="79"/>
  <c r="AN138" i="79"/>
  <c r="I142" i="79"/>
  <c r="M142" i="79"/>
  <c r="Q142" i="79"/>
  <c r="I144" i="79"/>
  <c r="M144" i="79"/>
  <c r="Q144" i="79"/>
  <c r="I146" i="79"/>
  <c r="M146" i="79"/>
  <c r="Q146" i="79"/>
  <c r="I148" i="79"/>
  <c r="M148" i="79"/>
  <c r="Q148" i="79"/>
  <c r="I158" i="79"/>
  <c r="M158" i="79"/>
  <c r="Q158" i="79"/>
  <c r="AF183" i="79"/>
  <c r="AJ183" i="79"/>
  <c r="AN183" i="79"/>
  <c r="AF185" i="79"/>
  <c r="AJ185" i="79"/>
  <c r="AN185" i="79"/>
  <c r="AF187" i="79"/>
  <c r="AJ187" i="79"/>
  <c r="AN187" i="79"/>
  <c r="AF189" i="79"/>
  <c r="AJ189" i="79"/>
  <c r="AN189" i="79"/>
  <c r="AF193" i="79"/>
  <c r="AJ193" i="79"/>
  <c r="AN193" i="79"/>
  <c r="AF199" i="79"/>
  <c r="AJ199" i="79"/>
  <c r="AN199" i="79"/>
  <c r="I219" i="79"/>
  <c r="M219" i="79"/>
  <c r="Q219" i="79"/>
  <c r="I220" i="79"/>
  <c r="M220" i="79"/>
  <c r="Q220" i="79"/>
  <c r="I223" i="79"/>
  <c r="M223" i="79"/>
  <c r="Q223" i="79"/>
  <c r="I225" i="79"/>
  <c r="M225" i="79"/>
  <c r="Q225" i="79"/>
  <c r="I227" i="79"/>
  <c r="M227" i="79"/>
  <c r="Q227" i="79"/>
  <c r="I229" i="79"/>
  <c r="M229" i="79"/>
  <c r="Q229" i="79"/>
  <c r="I233" i="79"/>
  <c r="M233" i="79"/>
  <c r="Q233" i="79"/>
  <c r="I235" i="79"/>
  <c r="M235" i="79"/>
  <c r="Q235" i="79"/>
  <c r="I239" i="79"/>
  <c r="M239" i="79"/>
  <c r="Q239" i="79"/>
  <c r="AF264" i="79"/>
  <c r="AJ264" i="79"/>
  <c r="AN264" i="79"/>
  <c r="AF266" i="79"/>
  <c r="AJ266" i="79"/>
  <c r="AN266" i="79"/>
  <c r="AF268" i="79"/>
  <c r="AJ268" i="79"/>
  <c r="AN268" i="79"/>
  <c r="AF270" i="79"/>
  <c r="AJ270" i="79"/>
  <c r="AN270" i="79"/>
  <c r="AF274" i="79"/>
  <c r="AJ274" i="79"/>
  <c r="AN274" i="79"/>
  <c r="AF276" i="79"/>
  <c r="AJ276" i="79"/>
  <c r="AN276" i="79"/>
  <c r="AF280" i="79"/>
  <c r="AJ280" i="79"/>
  <c r="AN280" i="79"/>
  <c r="K291" i="79"/>
  <c r="O291" i="79"/>
  <c r="S291" i="79"/>
  <c r="AH291" i="79"/>
  <c r="AL291" i="79"/>
  <c r="AP291" i="79"/>
  <c r="K292" i="79"/>
  <c r="O292" i="79"/>
  <c r="S292" i="79"/>
  <c r="AH292" i="79"/>
  <c r="AL292" i="79"/>
  <c r="AP292" i="79"/>
  <c r="K293" i="79"/>
  <c r="O293" i="79"/>
  <c r="S293" i="79"/>
  <c r="AH293" i="79"/>
  <c r="AL293" i="79"/>
  <c r="AP293" i="79"/>
  <c r="K294" i="79"/>
  <c r="O294" i="79"/>
  <c r="S294" i="79"/>
  <c r="AH294" i="79"/>
  <c r="AL294" i="79"/>
  <c r="AP294" i="79"/>
  <c r="K295" i="79"/>
  <c r="O295" i="79"/>
  <c r="S295" i="79"/>
  <c r="AH295" i="79"/>
  <c r="AL295" i="79"/>
  <c r="AP295" i="79"/>
  <c r="AF298" i="79"/>
  <c r="AJ298" i="79"/>
  <c r="AN298" i="79"/>
  <c r="AF299" i="79"/>
  <c r="AJ299" i="79"/>
  <c r="AN299" i="79"/>
  <c r="AF300" i="79"/>
  <c r="AJ300" i="79"/>
  <c r="AN300" i="79"/>
  <c r="AF301" i="79"/>
  <c r="AJ301" i="79"/>
  <c r="AN301" i="79"/>
  <c r="AF302" i="79"/>
  <c r="AJ302" i="79"/>
  <c r="AN302" i="79"/>
  <c r="I306" i="79"/>
  <c r="M306" i="79"/>
  <c r="Q306" i="79"/>
  <c r="I308" i="79"/>
  <c r="M308" i="79"/>
  <c r="Q308" i="79"/>
  <c r="I310" i="79"/>
  <c r="M310" i="79"/>
  <c r="Q310" i="79"/>
  <c r="I312" i="79"/>
  <c r="M312" i="79"/>
  <c r="Q312" i="79"/>
  <c r="I316" i="79"/>
  <c r="M316" i="79"/>
  <c r="Q316" i="79"/>
  <c r="T320" i="79"/>
  <c r="P320" i="79"/>
  <c r="L320" i="79"/>
  <c r="S320" i="79"/>
  <c r="O320" i="79"/>
  <c r="K320" i="79"/>
  <c r="I320" i="79"/>
  <c r="Q320" i="79"/>
  <c r="J339" i="79"/>
  <c r="AJ340" i="79"/>
  <c r="J343" i="79"/>
  <c r="J346" i="79"/>
  <c r="K347" i="79"/>
  <c r="AJ348" i="79"/>
  <c r="AP350" i="79"/>
  <c r="AL350" i="79"/>
  <c r="AH350" i="79"/>
  <c r="AO350" i="79"/>
  <c r="AJ350" i="79"/>
  <c r="AN350" i="79"/>
  <c r="AI350" i="79"/>
  <c r="AF350" i="79"/>
  <c r="AQ350" i="79"/>
  <c r="M353" i="79"/>
  <c r="AP356" i="79"/>
  <c r="AL356" i="79"/>
  <c r="AH356" i="79"/>
  <c r="AO356" i="79"/>
  <c r="AJ356" i="79"/>
  <c r="AN356" i="79"/>
  <c r="AI356" i="79"/>
  <c r="AF356" i="79"/>
  <c r="AQ356" i="79"/>
  <c r="AP362" i="79"/>
  <c r="AL362" i="79"/>
  <c r="AH362" i="79"/>
  <c r="AO362" i="79"/>
  <c r="AJ362" i="79"/>
  <c r="AN362" i="79"/>
  <c r="AI362" i="79"/>
  <c r="AF362" i="79"/>
  <c r="AQ362" i="79"/>
  <c r="AG380" i="79"/>
  <c r="AP381" i="79"/>
  <c r="AL381" i="79"/>
  <c r="AH381" i="79"/>
  <c r="AN381" i="79"/>
  <c r="AI381" i="79"/>
  <c r="AM381" i="79"/>
  <c r="AG381" i="79"/>
  <c r="AF381" i="79"/>
  <c r="AQ381" i="79"/>
  <c r="AQ387" i="79"/>
  <c r="AM387" i="79"/>
  <c r="AI387" i="79"/>
  <c r="AN387" i="79"/>
  <c r="AH387" i="79"/>
  <c r="AL387" i="79"/>
  <c r="AG387" i="79"/>
  <c r="AF387" i="79"/>
  <c r="AP387" i="79"/>
  <c r="AO388" i="79"/>
  <c r="AK388" i="79"/>
  <c r="AG388" i="79"/>
  <c r="AN388" i="79"/>
  <c r="AI388" i="79"/>
  <c r="AM388" i="79"/>
  <c r="AH388" i="79"/>
  <c r="AF388" i="79"/>
  <c r="AQ388" i="79"/>
  <c r="AO390" i="79"/>
  <c r="AK390" i="79"/>
  <c r="AG390" i="79"/>
  <c r="AP390" i="79"/>
  <c r="AJ390" i="79"/>
  <c r="AN390" i="79"/>
  <c r="AI390" i="79"/>
  <c r="AF390" i="79"/>
  <c r="AQ390" i="79"/>
  <c r="J394" i="79"/>
  <c r="AQ399" i="79"/>
  <c r="AM399" i="79"/>
  <c r="AI399" i="79"/>
  <c r="AN399" i="79"/>
  <c r="AH399" i="79"/>
  <c r="AL399" i="79"/>
  <c r="AG399" i="79"/>
  <c r="AF399" i="79"/>
  <c r="AP399" i="79"/>
  <c r="S402" i="79"/>
  <c r="O402" i="79"/>
  <c r="K402" i="79"/>
  <c r="R402" i="79"/>
  <c r="M402" i="79"/>
  <c r="Q402" i="79"/>
  <c r="L402" i="79"/>
  <c r="I402" i="79"/>
  <c r="T402" i="79"/>
  <c r="AJ403" i="79"/>
  <c r="AJ404" i="79"/>
  <c r="AQ423" i="79"/>
  <c r="AM423" i="79"/>
  <c r="AI423" i="79"/>
  <c r="AN423" i="79"/>
  <c r="AH423" i="79"/>
  <c r="AK423" i="79"/>
  <c r="AP423" i="79"/>
  <c r="AJ423" i="79"/>
  <c r="AO423" i="79"/>
  <c r="AG423" i="79"/>
  <c r="AF423" i="79"/>
  <c r="R428" i="79"/>
  <c r="N428" i="79"/>
  <c r="J428" i="79"/>
  <c r="P428" i="79"/>
  <c r="K428" i="79"/>
  <c r="O428" i="79"/>
  <c r="T428" i="79"/>
  <c r="M428" i="79"/>
  <c r="S428" i="79"/>
  <c r="L428" i="79"/>
  <c r="I428" i="79"/>
  <c r="O429" i="79"/>
  <c r="AN431" i="79"/>
  <c r="AN443" i="79"/>
  <c r="AO469" i="79"/>
  <c r="AK469" i="79"/>
  <c r="AG469" i="79"/>
  <c r="AM469" i="79"/>
  <c r="AH469" i="79"/>
  <c r="AL469" i="79"/>
  <c r="AQ469" i="79"/>
  <c r="AJ469" i="79"/>
  <c r="AP469" i="79"/>
  <c r="AI469" i="79"/>
  <c r="AF469" i="79"/>
  <c r="AL470" i="79"/>
  <c r="Q473" i="79"/>
  <c r="AN485" i="79"/>
  <c r="AQ497" i="79"/>
  <c r="AM497" i="79"/>
  <c r="AI497" i="79"/>
  <c r="AL497" i="79"/>
  <c r="AG497" i="79"/>
  <c r="AO497" i="79"/>
  <c r="AH497" i="79"/>
  <c r="AN497" i="79"/>
  <c r="AF497" i="79"/>
  <c r="AK497" i="79"/>
  <c r="AQ498" i="79"/>
  <c r="AM498" i="79"/>
  <c r="AI498" i="79"/>
  <c r="AO498" i="79"/>
  <c r="AJ498" i="79"/>
  <c r="AN498" i="79"/>
  <c r="AG498" i="79"/>
  <c r="AL498" i="79"/>
  <c r="AF498" i="79"/>
  <c r="AK498" i="79"/>
  <c r="R511" i="79"/>
  <c r="N511" i="79"/>
  <c r="J511" i="79"/>
  <c r="P511" i="79"/>
  <c r="K511" i="79"/>
  <c r="O511" i="79"/>
  <c r="T511" i="79"/>
  <c r="M511" i="79"/>
  <c r="S511" i="79"/>
  <c r="L511" i="79"/>
  <c r="I511" i="79"/>
  <c r="O512" i="79"/>
  <c r="AN514" i="79"/>
  <c r="O520" i="79"/>
  <c r="T526" i="79"/>
  <c r="P526" i="79"/>
  <c r="L526" i="79"/>
  <c r="R526" i="79"/>
  <c r="M526" i="79"/>
  <c r="N526" i="79"/>
  <c r="S526" i="79"/>
  <c r="K526" i="79"/>
  <c r="Q526" i="79"/>
  <c r="J526" i="79"/>
  <c r="I526" i="79"/>
  <c r="I890" i="79"/>
  <c r="U890" i="79" s="1"/>
  <c r="U888" i="79"/>
  <c r="U915" i="79"/>
  <c r="I917" i="79"/>
  <c r="U917" i="79" s="1"/>
  <c r="I968" i="79"/>
  <c r="U968" i="79" s="1"/>
  <c r="U965" i="79"/>
  <c r="U1008" i="79"/>
  <c r="I1009" i="79"/>
  <c r="U1009" i="79" s="1"/>
  <c r="U1012" i="79"/>
  <c r="I1014" i="79"/>
  <c r="U1014" i="79" s="1"/>
  <c r="U1022" i="79"/>
  <c r="I1024" i="79"/>
  <c r="U1024" i="79" s="1"/>
  <c r="U1049" i="79"/>
  <c r="I1051" i="79"/>
  <c r="U1051" i="79" s="1"/>
  <c r="I1074" i="79"/>
  <c r="U1074" i="79" s="1"/>
  <c r="U1072" i="79"/>
  <c r="U1099" i="79"/>
  <c r="I1101" i="79"/>
  <c r="U1101" i="79" s="1"/>
  <c r="I1409" i="79"/>
  <c r="I1152" i="79"/>
  <c r="U1152" i="79" s="1"/>
  <c r="U1149" i="79"/>
  <c r="AH60" i="79"/>
  <c r="AL60" i="79"/>
  <c r="AF61" i="79"/>
  <c r="AJ61" i="79"/>
  <c r="AH62" i="79"/>
  <c r="AL62" i="79"/>
  <c r="AF63" i="79"/>
  <c r="AJ63" i="79"/>
  <c r="AH64" i="79"/>
  <c r="AL64" i="79"/>
  <c r="AF65" i="79"/>
  <c r="AJ65" i="79"/>
  <c r="AH66" i="79"/>
  <c r="AL66" i="79"/>
  <c r="AF71" i="79"/>
  <c r="AJ71" i="79"/>
  <c r="AH76" i="79"/>
  <c r="AL76" i="79"/>
  <c r="K89" i="79"/>
  <c r="O89" i="79"/>
  <c r="AH89" i="79"/>
  <c r="AL89" i="79"/>
  <c r="K90" i="79"/>
  <c r="O90" i="79"/>
  <c r="AH90" i="79"/>
  <c r="AL90" i="79"/>
  <c r="K96" i="79"/>
  <c r="O96" i="79"/>
  <c r="AF96" i="79"/>
  <c r="AJ96" i="79"/>
  <c r="K97" i="79"/>
  <c r="O97" i="79"/>
  <c r="AF97" i="79"/>
  <c r="AJ97" i="79"/>
  <c r="I101" i="79"/>
  <c r="M101" i="79"/>
  <c r="AI101" i="79"/>
  <c r="AM101" i="79"/>
  <c r="AQ101" i="79"/>
  <c r="K102" i="79"/>
  <c r="O102" i="79"/>
  <c r="I103" i="79"/>
  <c r="M103" i="79"/>
  <c r="AI103" i="79"/>
  <c r="AM103" i="79"/>
  <c r="AQ103" i="79"/>
  <c r="K104" i="79"/>
  <c r="O104" i="79"/>
  <c r="I105" i="79"/>
  <c r="M105" i="79"/>
  <c r="AI105" i="79"/>
  <c r="AM105" i="79"/>
  <c r="AQ105" i="79"/>
  <c r="K106" i="79"/>
  <c r="O106" i="79"/>
  <c r="I107" i="79"/>
  <c r="M107" i="79"/>
  <c r="AI107" i="79"/>
  <c r="AM107" i="79"/>
  <c r="AQ107" i="79"/>
  <c r="K112" i="79"/>
  <c r="O112" i="79"/>
  <c r="I117" i="79"/>
  <c r="M117" i="79"/>
  <c r="AI117" i="79"/>
  <c r="AM117" i="79"/>
  <c r="AQ117" i="79"/>
  <c r="L130" i="79"/>
  <c r="P130" i="79"/>
  <c r="T130" i="79"/>
  <c r="AI130" i="79"/>
  <c r="AM130" i="79"/>
  <c r="AQ130" i="79"/>
  <c r="L131" i="79"/>
  <c r="P131" i="79"/>
  <c r="T131" i="79"/>
  <c r="AI131" i="79"/>
  <c r="AM131" i="79"/>
  <c r="AQ131" i="79"/>
  <c r="AG137" i="79"/>
  <c r="AK137" i="79"/>
  <c r="AO137" i="79"/>
  <c r="AG138" i="79"/>
  <c r="AK138" i="79"/>
  <c r="AO138" i="79"/>
  <c r="J142" i="79"/>
  <c r="N142" i="79"/>
  <c r="R142" i="79"/>
  <c r="AF142" i="79"/>
  <c r="AJ142" i="79"/>
  <c r="AN142" i="79"/>
  <c r="AH143" i="79"/>
  <c r="AL143" i="79"/>
  <c r="AP143" i="79"/>
  <c r="J144" i="79"/>
  <c r="N144" i="79"/>
  <c r="R144" i="79"/>
  <c r="AF144" i="79"/>
  <c r="AJ144" i="79"/>
  <c r="AN144" i="79"/>
  <c r="AH145" i="79"/>
  <c r="AL145" i="79"/>
  <c r="AP145" i="79"/>
  <c r="J146" i="79"/>
  <c r="N146" i="79"/>
  <c r="R146" i="79"/>
  <c r="AF146" i="79"/>
  <c r="AJ146" i="79"/>
  <c r="AN146" i="79"/>
  <c r="AH147" i="79"/>
  <c r="AL147" i="79"/>
  <c r="AP147" i="79"/>
  <c r="J148" i="79"/>
  <c r="N148" i="79"/>
  <c r="R148" i="79"/>
  <c r="AF148" i="79"/>
  <c r="AJ148" i="79"/>
  <c r="AN148" i="79"/>
  <c r="AH153" i="79"/>
  <c r="AL153" i="79"/>
  <c r="AP153" i="79"/>
  <c r="J158" i="79"/>
  <c r="N158" i="79"/>
  <c r="R158" i="79"/>
  <c r="AF158" i="79"/>
  <c r="AJ158" i="79"/>
  <c r="AN158" i="79"/>
  <c r="AF170" i="79"/>
  <c r="AJ170" i="79"/>
  <c r="AN170" i="79"/>
  <c r="I171" i="79"/>
  <c r="M171" i="79"/>
  <c r="Q171" i="79"/>
  <c r="AF171" i="79"/>
  <c r="AJ171" i="79"/>
  <c r="AN171" i="79"/>
  <c r="I172" i="79"/>
  <c r="M172" i="79"/>
  <c r="Q172" i="79"/>
  <c r="AF172" i="79"/>
  <c r="AJ172" i="79"/>
  <c r="AN172" i="79"/>
  <c r="AH176" i="79"/>
  <c r="AL176" i="79"/>
  <c r="AP176" i="79"/>
  <c r="AH177" i="79"/>
  <c r="AL177" i="79"/>
  <c r="AP177" i="79"/>
  <c r="I178" i="79"/>
  <c r="M178" i="79"/>
  <c r="Q178" i="79"/>
  <c r="AH178" i="79"/>
  <c r="AL178" i="79"/>
  <c r="AP178" i="79"/>
  <c r="I179" i="79"/>
  <c r="M179" i="79"/>
  <c r="Q179" i="79"/>
  <c r="AH179" i="79"/>
  <c r="AL179" i="79"/>
  <c r="AP179" i="79"/>
  <c r="K183" i="79"/>
  <c r="O183" i="79"/>
  <c r="S183" i="79"/>
  <c r="AG183" i="79"/>
  <c r="AK183" i="79"/>
  <c r="AO183" i="79"/>
  <c r="I184" i="79"/>
  <c r="M184" i="79"/>
  <c r="Q184" i="79"/>
  <c r="K185" i="79"/>
  <c r="O185" i="79"/>
  <c r="S185" i="79"/>
  <c r="AG185" i="79"/>
  <c r="AK185" i="79"/>
  <c r="AO185" i="79"/>
  <c r="I186" i="79"/>
  <c r="M186" i="79"/>
  <c r="Q186" i="79"/>
  <c r="K187" i="79"/>
  <c r="O187" i="79"/>
  <c r="S187" i="79"/>
  <c r="AG187" i="79"/>
  <c r="AK187" i="79"/>
  <c r="AO187" i="79"/>
  <c r="I188" i="79"/>
  <c r="M188" i="79"/>
  <c r="Q188" i="79"/>
  <c r="K189" i="79"/>
  <c r="O189" i="79"/>
  <c r="S189" i="79"/>
  <c r="AG189" i="79"/>
  <c r="AK189" i="79"/>
  <c r="AO189" i="79"/>
  <c r="AG193" i="79"/>
  <c r="AK193" i="79"/>
  <c r="AO193" i="79"/>
  <c r="I194" i="79"/>
  <c r="M194" i="79"/>
  <c r="Q194" i="79"/>
  <c r="K199" i="79"/>
  <c r="O199" i="79"/>
  <c r="S199" i="79"/>
  <c r="AG199" i="79"/>
  <c r="AK199" i="79"/>
  <c r="AO199" i="79"/>
  <c r="J219" i="79"/>
  <c r="N219" i="79"/>
  <c r="R219" i="79"/>
  <c r="J220" i="79"/>
  <c r="N220" i="79"/>
  <c r="R220" i="79"/>
  <c r="J223" i="79"/>
  <c r="N223" i="79"/>
  <c r="R223" i="79"/>
  <c r="AF223" i="79"/>
  <c r="AJ223" i="79"/>
  <c r="AN223" i="79"/>
  <c r="AH224" i="79"/>
  <c r="AL224" i="79"/>
  <c r="AP224" i="79"/>
  <c r="J225" i="79"/>
  <c r="N225" i="79"/>
  <c r="R225" i="79"/>
  <c r="AF225" i="79"/>
  <c r="AJ225" i="79"/>
  <c r="AN225" i="79"/>
  <c r="AH226" i="79"/>
  <c r="AL226" i="79"/>
  <c r="AP226" i="79"/>
  <c r="J227" i="79"/>
  <c r="N227" i="79"/>
  <c r="R227" i="79"/>
  <c r="AF227" i="79"/>
  <c r="AJ227" i="79"/>
  <c r="AN227" i="79"/>
  <c r="AH228" i="79"/>
  <c r="AL228" i="79"/>
  <c r="AP228" i="79"/>
  <c r="J229" i="79"/>
  <c r="N229" i="79"/>
  <c r="R229" i="79"/>
  <c r="AF229" i="79"/>
  <c r="AJ229" i="79"/>
  <c r="AN229" i="79"/>
  <c r="AH230" i="79"/>
  <c r="AL230" i="79"/>
  <c r="AP230" i="79"/>
  <c r="J233" i="79"/>
  <c r="N233" i="79"/>
  <c r="R233" i="79"/>
  <c r="AF233" i="79"/>
  <c r="AJ233" i="79"/>
  <c r="AN233" i="79"/>
  <c r="AH234" i="79"/>
  <c r="AL234" i="79"/>
  <c r="AP234" i="79"/>
  <c r="J235" i="79"/>
  <c r="N235" i="79"/>
  <c r="R235" i="79"/>
  <c r="AF235" i="79"/>
  <c r="AJ235" i="79"/>
  <c r="AN235" i="79"/>
  <c r="AH238" i="79"/>
  <c r="AL238" i="79"/>
  <c r="AP238" i="79"/>
  <c r="J239" i="79"/>
  <c r="N239" i="79"/>
  <c r="R239" i="79"/>
  <c r="AF239" i="79"/>
  <c r="AJ239" i="79"/>
  <c r="AN239" i="79"/>
  <c r="AH240" i="79"/>
  <c r="AL240" i="79"/>
  <c r="AP240" i="79"/>
  <c r="K250" i="79"/>
  <c r="O250" i="79"/>
  <c r="S250" i="79"/>
  <c r="AH250" i="79"/>
  <c r="AL250" i="79"/>
  <c r="AP250" i="79"/>
  <c r="K251" i="79"/>
  <c r="O251" i="79"/>
  <c r="S251" i="79"/>
  <c r="AH251" i="79"/>
  <c r="AL251" i="79"/>
  <c r="AP251" i="79"/>
  <c r="K252" i="79"/>
  <c r="O252" i="79"/>
  <c r="S252" i="79"/>
  <c r="AH252" i="79"/>
  <c r="AL252" i="79"/>
  <c r="AP252" i="79"/>
  <c r="K253" i="79"/>
  <c r="O253" i="79"/>
  <c r="S253" i="79"/>
  <c r="AH253" i="79"/>
  <c r="AL253" i="79"/>
  <c r="AP253" i="79"/>
  <c r="K254" i="79"/>
  <c r="O254" i="79"/>
  <c r="S254" i="79"/>
  <c r="AH254" i="79"/>
  <c r="AL254" i="79"/>
  <c r="AP254" i="79"/>
  <c r="K257" i="79"/>
  <c r="O257" i="79"/>
  <c r="S257" i="79"/>
  <c r="AF257" i="79"/>
  <c r="AJ257" i="79"/>
  <c r="AN257" i="79"/>
  <c r="K258" i="79"/>
  <c r="O258" i="79"/>
  <c r="S258" i="79"/>
  <c r="AF258" i="79"/>
  <c r="AJ258" i="79"/>
  <c r="AN258" i="79"/>
  <c r="K259" i="79"/>
  <c r="O259" i="79"/>
  <c r="S259" i="79"/>
  <c r="AF259" i="79"/>
  <c r="AJ259" i="79"/>
  <c r="AN259" i="79"/>
  <c r="K260" i="79"/>
  <c r="O260" i="79"/>
  <c r="S260" i="79"/>
  <c r="AF260" i="79"/>
  <c r="AJ260" i="79"/>
  <c r="AN260" i="79"/>
  <c r="K261" i="79"/>
  <c r="O261" i="79"/>
  <c r="S261" i="79"/>
  <c r="AF261" i="79"/>
  <c r="AJ261" i="79"/>
  <c r="AN261" i="79"/>
  <c r="K264" i="79"/>
  <c r="O264" i="79"/>
  <c r="S264" i="79"/>
  <c r="AG264" i="79"/>
  <c r="AK264" i="79"/>
  <c r="AO264" i="79"/>
  <c r="I265" i="79"/>
  <c r="M265" i="79"/>
  <c r="Q265" i="79"/>
  <c r="K266" i="79"/>
  <c r="O266" i="79"/>
  <c r="S266" i="79"/>
  <c r="AG266" i="79"/>
  <c r="AK266" i="79"/>
  <c r="AO266" i="79"/>
  <c r="I267" i="79"/>
  <c r="M267" i="79"/>
  <c r="Q267" i="79"/>
  <c r="K268" i="79"/>
  <c r="O268" i="79"/>
  <c r="S268" i="79"/>
  <c r="AG268" i="79"/>
  <c r="AK268" i="79"/>
  <c r="AO268" i="79"/>
  <c r="I269" i="79"/>
  <c r="M269" i="79"/>
  <c r="Q269" i="79"/>
  <c r="K270" i="79"/>
  <c r="O270" i="79"/>
  <c r="S270" i="79"/>
  <c r="AG270" i="79"/>
  <c r="AK270" i="79"/>
  <c r="AO270" i="79"/>
  <c r="I271" i="79"/>
  <c r="M271" i="79"/>
  <c r="Q271" i="79"/>
  <c r="K274" i="79"/>
  <c r="O274" i="79"/>
  <c r="S274" i="79"/>
  <c r="AG274" i="79"/>
  <c r="AK274" i="79"/>
  <c r="AO274" i="79"/>
  <c r="I275" i="79"/>
  <c r="M275" i="79"/>
  <c r="Q275" i="79"/>
  <c r="K276" i="79"/>
  <c r="O276" i="79"/>
  <c r="S276" i="79"/>
  <c r="AG276" i="79"/>
  <c r="AK276" i="79"/>
  <c r="AO276" i="79"/>
  <c r="I279" i="79"/>
  <c r="M279" i="79"/>
  <c r="Q279" i="79"/>
  <c r="K280" i="79"/>
  <c r="O280" i="79"/>
  <c r="S280" i="79"/>
  <c r="AG280" i="79"/>
  <c r="AK280" i="79"/>
  <c r="AO280" i="79"/>
  <c r="I281" i="79"/>
  <c r="M281" i="79"/>
  <c r="Q281" i="79"/>
  <c r="L291" i="79"/>
  <c r="P291" i="79"/>
  <c r="T291" i="79"/>
  <c r="AI291" i="79"/>
  <c r="AM291" i="79"/>
  <c r="AQ291" i="79"/>
  <c r="L292" i="79"/>
  <c r="P292" i="79"/>
  <c r="T292" i="79"/>
  <c r="AI292" i="79"/>
  <c r="AM292" i="79"/>
  <c r="AQ292" i="79"/>
  <c r="L293" i="79"/>
  <c r="P293" i="79"/>
  <c r="T293" i="79"/>
  <c r="AI293" i="79"/>
  <c r="AM293" i="79"/>
  <c r="AQ293" i="79"/>
  <c r="L294" i="79"/>
  <c r="P294" i="79"/>
  <c r="T294" i="79"/>
  <c r="AI294" i="79"/>
  <c r="AM294" i="79"/>
  <c r="AQ294" i="79"/>
  <c r="L295" i="79"/>
  <c r="P295" i="79"/>
  <c r="T295" i="79"/>
  <c r="AI295" i="79"/>
  <c r="AM295" i="79"/>
  <c r="AQ295" i="79"/>
  <c r="AG298" i="79"/>
  <c r="AK298" i="79"/>
  <c r="AO298" i="79"/>
  <c r="AG299" i="79"/>
  <c r="AK299" i="79"/>
  <c r="AO299" i="79"/>
  <c r="AG300" i="79"/>
  <c r="AK300" i="79"/>
  <c r="AO300" i="79"/>
  <c r="AG301" i="79"/>
  <c r="AK301" i="79"/>
  <c r="AO301" i="79"/>
  <c r="AG302" i="79"/>
  <c r="AK302" i="79"/>
  <c r="AO302" i="79"/>
  <c r="AH305" i="79"/>
  <c r="AL305" i="79"/>
  <c r="AP305" i="79"/>
  <c r="J306" i="79"/>
  <c r="N306" i="79"/>
  <c r="R306" i="79"/>
  <c r="AF306" i="79"/>
  <c r="AJ306" i="79"/>
  <c r="AN306" i="79"/>
  <c r="AH307" i="79"/>
  <c r="AL307" i="79"/>
  <c r="AP307" i="79"/>
  <c r="J308" i="79"/>
  <c r="N308" i="79"/>
  <c r="R308" i="79"/>
  <c r="AF308" i="79"/>
  <c r="AJ308" i="79"/>
  <c r="AN308" i="79"/>
  <c r="AH309" i="79"/>
  <c r="AL309" i="79"/>
  <c r="AP309" i="79"/>
  <c r="J310" i="79"/>
  <c r="N310" i="79"/>
  <c r="R310" i="79"/>
  <c r="AF310" i="79"/>
  <c r="AJ310" i="79"/>
  <c r="AN310" i="79"/>
  <c r="AH311" i="79"/>
  <c r="AL311" i="79"/>
  <c r="AP311" i="79"/>
  <c r="J312" i="79"/>
  <c r="N312" i="79"/>
  <c r="R312" i="79"/>
  <c r="AF312" i="79"/>
  <c r="AJ312" i="79"/>
  <c r="AN312" i="79"/>
  <c r="AH315" i="79"/>
  <c r="AL315" i="79"/>
  <c r="AP315" i="79"/>
  <c r="J316" i="79"/>
  <c r="N316" i="79"/>
  <c r="R316" i="79"/>
  <c r="AF316" i="79"/>
  <c r="AJ316" i="79"/>
  <c r="AN316" i="79"/>
  <c r="AH317" i="79"/>
  <c r="AL317" i="79"/>
  <c r="AP317" i="79"/>
  <c r="J320" i="79"/>
  <c r="R320" i="79"/>
  <c r="AJ320" i="79"/>
  <c r="AP322" i="79"/>
  <c r="AL322" i="79"/>
  <c r="AH322" i="79"/>
  <c r="AO322" i="79"/>
  <c r="AK322" i="79"/>
  <c r="AG322" i="79"/>
  <c r="AF322" i="79"/>
  <c r="AN322" i="79"/>
  <c r="N339" i="79"/>
  <c r="AL340" i="79"/>
  <c r="T341" i="79"/>
  <c r="P341" i="79"/>
  <c r="L341" i="79"/>
  <c r="R341" i="79"/>
  <c r="M341" i="79"/>
  <c r="Q341" i="79"/>
  <c r="K341" i="79"/>
  <c r="I341" i="79"/>
  <c r="S341" i="79"/>
  <c r="AO342" i="79"/>
  <c r="AK342" i="79"/>
  <c r="AG342" i="79"/>
  <c r="AN342" i="79"/>
  <c r="AI342" i="79"/>
  <c r="AM342" i="79"/>
  <c r="AH342" i="79"/>
  <c r="AF342" i="79"/>
  <c r="AQ342" i="79"/>
  <c r="N343" i="79"/>
  <c r="N346" i="79"/>
  <c r="O347" i="79"/>
  <c r="AK348" i="79"/>
  <c r="AG350" i="79"/>
  <c r="T352" i="79"/>
  <c r="P352" i="79"/>
  <c r="L352" i="79"/>
  <c r="Q352" i="79"/>
  <c r="K352" i="79"/>
  <c r="O352" i="79"/>
  <c r="J352" i="79"/>
  <c r="I352" i="79"/>
  <c r="S352" i="79"/>
  <c r="O353" i="79"/>
  <c r="AG356" i="79"/>
  <c r="T358" i="79"/>
  <c r="P358" i="79"/>
  <c r="L358" i="79"/>
  <c r="Q358" i="79"/>
  <c r="K358" i="79"/>
  <c r="O358" i="79"/>
  <c r="J358" i="79"/>
  <c r="I358" i="79"/>
  <c r="S358" i="79"/>
  <c r="AG362" i="79"/>
  <c r="AK380" i="79"/>
  <c r="AJ381" i="79"/>
  <c r="AP384" i="79"/>
  <c r="AL384" i="79"/>
  <c r="AH384" i="79"/>
  <c r="AO384" i="79"/>
  <c r="AJ384" i="79"/>
  <c r="AN384" i="79"/>
  <c r="AI384" i="79"/>
  <c r="AF384" i="79"/>
  <c r="AQ384" i="79"/>
  <c r="AJ387" i="79"/>
  <c r="AJ388" i="79"/>
  <c r="AH390" i="79"/>
  <c r="N394" i="79"/>
  <c r="S398" i="79"/>
  <c r="O398" i="79"/>
  <c r="K398" i="79"/>
  <c r="R398" i="79"/>
  <c r="M398" i="79"/>
  <c r="Q398" i="79"/>
  <c r="L398" i="79"/>
  <c r="I398" i="79"/>
  <c r="T398" i="79"/>
  <c r="AK403" i="79"/>
  <c r="AL404" i="79"/>
  <c r="R423" i="79"/>
  <c r="N423" i="79"/>
  <c r="J423" i="79"/>
  <c r="P423" i="79"/>
  <c r="K423" i="79"/>
  <c r="O423" i="79"/>
  <c r="T423" i="79"/>
  <c r="M423" i="79"/>
  <c r="S423" i="79"/>
  <c r="L423" i="79"/>
  <c r="I423" i="79"/>
  <c r="T431" i="79"/>
  <c r="P431" i="79"/>
  <c r="L431" i="79"/>
  <c r="R431" i="79"/>
  <c r="M431" i="79"/>
  <c r="N431" i="79"/>
  <c r="S431" i="79"/>
  <c r="K431" i="79"/>
  <c r="Q431" i="79"/>
  <c r="J431" i="79"/>
  <c r="I431" i="79"/>
  <c r="T443" i="79"/>
  <c r="P443" i="79"/>
  <c r="L443" i="79"/>
  <c r="R443" i="79"/>
  <c r="M443" i="79"/>
  <c r="N443" i="79"/>
  <c r="S443" i="79"/>
  <c r="K443" i="79"/>
  <c r="Q443" i="79"/>
  <c r="J443" i="79"/>
  <c r="I443" i="79"/>
  <c r="S464" i="79"/>
  <c r="O464" i="79"/>
  <c r="K464" i="79"/>
  <c r="R464" i="79"/>
  <c r="M464" i="79"/>
  <c r="N464" i="79"/>
  <c r="T464" i="79"/>
  <c r="L464" i="79"/>
  <c r="Q464" i="79"/>
  <c r="J464" i="79"/>
  <c r="I464" i="79"/>
  <c r="AQ472" i="79"/>
  <c r="AM472" i="79"/>
  <c r="AI472" i="79"/>
  <c r="AO472" i="79"/>
  <c r="AJ472" i="79"/>
  <c r="AK472" i="79"/>
  <c r="AP472" i="79"/>
  <c r="AH472" i="79"/>
  <c r="AN472" i="79"/>
  <c r="AG472" i="79"/>
  <c r="AF472" i="79"/>
  <c r="S485" i="79"/>
  <c r="O485" i="79"/>
  <c r="K485" i="79"/>
  <c r="R485" i="79"/>
  <c r="M485" i="79"/>
  <c r="N485" i="79"/>
  <c r="T485" i="79"/>
  <c r="L485" i="79"/>
  <c r="Q485" i="79"/>
  <c r="J485" i="79"/>
  <c r="I485" i="79"/>
  <c r="M500" i="79"/>
  <c r="T514" i="79"/>
  <c r="P514" i="79"/>
  <c r="L514" i="79"/>
  <c r="R514" i="79"/>
  <c r="M514" i="79"/>
  <c r="N514" i="79"/>
  <c r="S514" i="79"/>
  <c r="K514" i="79"/>
  <c r="Q514" i="79"/>
  <c r="J514" i="79"/>
  <c r="I514" i="79"/>
  <c r="AP520" i="79"/>
  <c r="AL520" i="79"/>
  <c r="AH520" i="79"/>
  <c r="AM520" i="79"/>
  <c r="AG520" i="79"/>
  <c r="AK520" i="79"/>
  <c r="AQ520" i="79"/>
  <c r="AJ520" i="79"/>
  <c r="AO520" i="79"/>
  <c r="AI520" i="79"/>
  <c r="AF520" i="79"/>
  <c r="U1034" i="79"/>
  <c r="I1037" i="79"/>
  <c r="U1037" i="79" s="1"/>
  <c r="AF101" i="79"/>
  <c r="AJ101" i="79"/>
  <c r="AF103" i="79"/>
  <c r="AJ103" i="79"/>
  <c r="AF105" i="79"/>
  <c r="AJ105" i="79"/>
  <c r="AF107" i="79"/>
  <c r="AJ107" i="79"/>
  <c r="AF117" i="79"/>
  <c r="AJ117" i="79"/>
  <c r="I130" i="79"/>
  <c r="M130" i="79"/>
  <c r="AF130" i="79"/>
  <c r="AJ130" i="79"/>
  <c r="I131" i="79"/>
  <c r="M131" i="79"/>
  <c r="AF131" i="79"/>
  <c r="AJ131" i="79"/>
  <c r="I137" i="79"/>
  <c r="M137" i="79"/>
  <c r="AH137" i="79"/>
  <c r="AL137" i="79"/>
  <c r="I138" i="79"/>
  <c r="M138" i="79"/>
  <c r="AH138" i="79"/>
  <c r="AL138" i="79"/>
  <c r="K142" i="79"/>
  <c r="O142" i="79"/>
  <c r="AG142" i="79"/>
  <c r="AK142" i="79"/>
  <c r="I143" i="79"/>
  <c r="M143" i="79"/>
  <c r="AI143" i="79"/>
  <c r="AM143" i="79"/>
  <c r="K144" i="79"/>
  <c r="O144" i="79"/>
  <c r="AG144" i="79"/>
  <c r="AK144" i="79"/>
  <c r="I145" i="79"/>
  <c r="M145" i="79"/>
  <c r="AI145" i="79"/>
  <c r="AM145" i="79"/>
  <c r="K146" i="79"/>
  <c r="O146" i="79"/>
  <c r="AG146" i="79"/>
  <c r="AK146" i="79"/>
  <c r="I147" i="79"/>
  <c r="M147" i="79"/>
  <c r="AI147" i="79"/>
  <c r="AM147" i="79"/>
  <c r="K148" i="79"/>
  <c r="O148" i="79"/>
  <c r="AG148" i="79"/>
  <c r="AK148" i="79"/>
  <c r="I153" i="79"/>
  <c r="M153" i="79"/>
  <c r="AI153" i="79"/>
  <c r="AM153" i="79"/>
  <c r="K158" i="79"/>
  <c r="O158" i="79"/>
  <c r="AG158" i="79"/>
  <c r="AK158" i="79"/>
  <c r="AG170" i="79"/>
  <c r="AK170" i="79"/>
  <c r="J171" i="79"/>
  <c r="N171" i="79"/>
  <c r="AG171" i="79"/>
  <c r="AK171" i="79"/>
  <c r="J172" i="79"/>
  <c r="N172" i="79"/>
  <c r="AG172" i="79"/>
  <c r="AK172" i="79"/>
  <c r="AI176" i="79"/>
  <c r="AM176" i="79"/>
  <c r="AI177" i="79"/>
  <c r="AM177" i="79"/>
  <c r="J178" i="79"/>
  <c r="N178" i="79"/>
  <c r="AI178" i="79"/>
  <c r="AM178" i="79"/>
  <c r="J179" i="79"/>
  <c r="N179" i="79"/>
  <c r="AI179" i="79"/>
  <c r="AM179" i="79"/>
  <c r="L183" i="79"/>
  <c r="P183" i="79"/>
  <c r="AH183" i="79"/>
  <c r="AL183" i="79"/>
  <c r="J184" i="79"/>
  <c r="N184" i="79"/>
  <c r="AF184" i="79"/>
  <c r="AJ184" i="79"/>
  <c r="L185" i="79"/>
  <c r="P185" i="79"/>
  <c r="AH185" i="79"/>
  <c r="AL185" i="79"/>
  <c r="J186" i="79"/>
  <c r="N186" i="79"/>
  <c r="AF186" i="79"/>
  <c r="AJ186" i="79"/>
  <c r="L187" i="79"/>
  <c r="P187" i="79"/>
  <c r="AH187" i="79"/>
  <c r="AL187" i="79"/>
  <c r="J188" i="79"/>
  <c r="N188" i="79"/>
  <c r="AF188" i="79"/>
  <c r="AJ188" i="79"/>
  <c r="L189" i="79"/>
  <c r="P189" i="79"/>
  <c r="AH189" i="79"/>
  <c r="AL189" i="79"/>
  <c r="AH193" i="79"/>
  <c r="AL193" i="79"/>
  <c r="J194" i="79"/>
  <c r="N194" i="79"/>
  <c r="AF194" i="79"/>
  <c r="AJ194" i="79"/>
  <c r="L199" i="79"/>
  <c r="P199" i="79"/>
  <c r="AH199" i="79"/>
  <c r="AL199" i="79"/>
  <c r="AH209" i="79"/>
  <c r="AL209" i="79"/>
  <c r="K210" i="79"/>
  <c r="O210" i="79"/>
  <c r="AH210" i="79"/>
  <c r="AL210" i="79"/>
  <c r="K211" i="79"/>
  <c r="O211" i="79"/>
  <c r="AH211" i="79"/>
  <c r="AL211" i="79"/>
  <c r="K212" i="79"/>
  <c r="O212" i="79"/>
  <c r="AH212" i="79"/>
  <c r="AL212" i="79"/>
  <c r="K213" i="79"/>
  <c r="O213" i="79"/>
  <c r="AH213" i="79"/>
  <c r="AL213" i="79"/>
  <c r="AF216" i="79"/>
  <c r="AJ216" i="79"/>
  <c r="AF217" i="79"/>
  <c r="AJ217" i="79"/>
  <c r="AF218" i="79"/>
  <c r="AJ218" i="79"/>
  <c r="K219" i="79"/>
  <c r="O219" i="79"/>
  <c r="AF219" i="79"/>
  <c r="AJ219" i="79"/>
  <c r="K220" i="79"/>
  <c r="O220" i="79"/>
  <c r="AF220" i="79"/>
  <c r="AJ220" i="79"/>
  <c r="K223" i="79"/>
  <c r="O223" i="79"/>
  <c r="AG223" i="79"/>
  <c r="AK223" i="79"/>
  <c r="I224" i="79"/>
  <c r="M224" i="79"/>
  <c r="AI224" i="79"/>
  <c r="AM224" i="79"/>
  <c r="K225" i="79"/>
  <c r="O225" i="79"/>
  <c r="AG225" i="79"/>
  <c r="AK225" i="79"/>
  <c r="I226" i="79"/>
  <c r="M226" i="79"/>
  <c r="AI226" i="79"/>
  <c r="AM226" i="79"/>
  <c r="K227" i="79"/>
  <c r="O227" i="79"/>
  <c r="AG227" i="79"/>
  <c r="AK227" i="79"/>
  <c r="I228" i="79"/>
  <c r="M228" i="79"/>
  <c r="AI228" i="79"/>
  <c r="AM228" i="79"/>
  <c r="K229" i="79"/>
  <c r="O229" i="79"/>
  <c r="AG229" i="79"/>
  <c r="AK229" i="79"/>
  <c r="I230" i="79"/>
  <c r="M230" i="79"/>
  <c r="AI230" i="79"/>
  <c r="AM230" i="79"/>
  <c r="K233" i="79"/>
  <c r="O233" i="79"/>
  <c r="AG233" i="79"/>
  <c r="AK233" i="79"/>
  <c r="I234" i="79"/>
  <c r="M234" i="79"/>
  <c r="AI234" i="79"/>
  <c r="AM234" i="79"/>
  <c r="K235" i="79"/>
  <c r="O235" i="79"/>
  <c r="AG235" i="79"/>
  <c r="AK235" i="79"/>
  <c r="I238" i="79"/>
  <c r="M238" i="79"/>
  <c r="AI238" i="79"/>
  <c r="AM238" i="79"/>
  <c r="K239" i="79"/>
  <c r="O239" i="79"/>
  <c r="AG239" i="79"/>
  <c r="AK239" i="79"/>
  <c r="I240" i="79"/>
  <c r="M240" i="79"/>
  <c r="AI240" i="79"/>
  <c r="AM240" i="79"/>
  <c r="L250" i="79"/>
  <c r="P250" i="79"/>
  <c r="AI250" i="79"/>
  <c r="AM250" i="79"/>
  <c r="L251" i="79"/>
  <c r="P251" i="79"/>
  <c r="AI251" i="79"/>
  <c r="AM251" i="79"/>
  <c r="L252" i="79"/>
  <c r="P252" i="79"/>
  <c r="AI252" i="79"/>
  <c r="AM252" i="79"/>
  <c r="L253" i="79"/>
  <c r="P253" i="79"/>
  <c r="AI253" i="79"/>
  <c r="AM253" i="79"/>
  <c r="L254" i="79"/>
  <c r="P254" i="79"/>
  <c r="AI254" i="79"/>
  <c r="AM254" i="79"/>
  <c r="L257" i="79"/>
  <c r="P257" i="79"/>
  <c r="AG257" i="79"/>
  <c r="AK257" i="79"/>
  <c r="L258" i="79"/>
  <c r="P258" i="79"/>
  <c r="AG258" i="79"/>
  <c r="AK258" i="79"/>
  <c r="L259" i="79"/>
  <c r="P259" i="79"/>
  <c r="AG259" i="79"/>
  <c r="AK259" i="79"/>
  <c r="L260" i="79"/>
  <c r="P260" i="79"/>
  <c r="AG260" i="79"/>
  <c r="AK260" i="79"/>
  <c r="L261" i="79"/>
  <c r="P261" i="79"/>
  <c r="AG261" i="79"/>
  <c r="AK261" i="79"/>
  <c r="L264" i="79"/>
  <c r="P264" i="79"/>
  <c r="AH264" i="79"/>
  <c r="AL264" i="79"/>
  <c r="J265" i="79"/>
  <c r="N265" i="79"/>
  <c r="AF265" i="79"/>
  <c r="AJ265" i="79"/>
  <c r="L266" i="79"/>
  <c r="P266" i="79"/>
  <c r="AH266" i="79"/>
  <c r="AL266" i="79"/>
  <c r="J267" i="79"/>
  <c r="N267" i="79"/>
  <c r="AF267" i="79"/>
  <c r="AJ267" i="79"/>
  <c r="L268" i="79"/>
  <c r="P268" i="79"/>
  <c r="AH268" i="79"/>
  <c r="AL268" i="79"/>
  <c r="J269" i="79"/>
  <c r="N269" i="79"/>
  <c r="AF269" i="79"/>
  <c r="AJ269" i="79"/>
  <c r="L270" i="79"/>
  <c r="P270" i="79"/>
  <c r="AH270" i="79"/>
  <c r="AL270" i="79"/>
  <c r="J271" i="79"/>
  <c r="N271" i="79"/>
  <c r="AF271" i="79"/>
  <c r="AJ271" i="79"/>
  <c r="L274" i="79"/>
  <c r="P274" i="79"/>
  <c r="AH274" i="79"/>
  <c r="AL274" i="79"/>
  <c r="J275" i="79"/>
  <c r="N275" i="79"/>
  <c r="AF275" i="79"/>
  <c r="AJ275" i="79"/>
  <c r="L276" i="79"/>
  <c r="P276" i="79"/>
  <c r="AH276" i="79"/>
  <c r="AL276" i="79"/>
  <c r="J279" i="79"/>
  <c r="N279" i="79"/>
  <c r="AF279" i="79"/>
  <c r="AJ279" i="79"/>
  <c r="L280" i="79"/>
  <c r="P280" i="79"/>
  <c r="AH280" i="79"/>
  <c r="AL280" i="79"/>
  <c r="J281" i="79"/>
  <c r="N281" i="79"/>
  <c r="AF281" i="79"/>
  <c r="AJ281" i="79"/>
  <c r="I291" i="79"/>
  <c r="M291" i="79"/>
  <c r="AF291" i="79"/>
  <c r="AJ291" i="79"/>
  <c r="I292" i="79"/>
  <c r="M292" i="79"/>
  <c r="AF292" i="79"/>
  <c r="AJ292" i="79"/>
  <c r="I293" i="79"/>
  <c r="M293" i="79"/>
  <c r="AF293" i="79"/>
  <c r="AJ293" i="79"/>
  <c r="I294" i="79"/>
  <c r="M294" i="79"/>
  <c r="AF294" i="79"/>
  <c r="AJ294" i="79"/>
  <c r="I295" i="79"/>
  <c r="M295" i="79"/>
  <c r="AF295" i="79"/>
  <c r="AJ295" i="79"/>
  <c r="I298" i="79"/>
  <c r="M298" i="79"/>
  <c r="AH298" i="79"/>
  <c r="AL298" i="79"/>
  <c r="I299" i="79"/>
  <c r="M299" i="79"/>
  <c r="AH299" i="79"/>
  <c r="AL299" i="79"/>
  <c r="I300" i="79"/>
  <c r="M300" i="79"/>
  <c r="AH300" i="79"/>
  <c r="AL300" i="79"/>
  <c r="I301" i="79"/>
  <c r="M301" i="79"/>
  <c r="AH301" i="79"/>
  <c r="AL301" i="79"/>
  <c r="I302" i="79"/>
  <c r="M302" i="79"/>
  <c r="AH302" i="79"/>
  <c r="AL302" i="79"/>
  <c r="I305" i="79"/>
  <c r="M305" i="79"/>
  <c r="AI305" i="79"/>
  <c r="AM305" i="79"/>
  <c r="K306" i="79"/>
  <c r="O306" i="79"/>
  <c r="AG306" i="79"/>
  <c r="AK306" i="79"/>
  <c r="I307" i="79"/>
  <c r="M307" i="79"/>
  <c r="AI307" i="79"/>
  <c r="AM307" i="79"/>
  <c r="K308" i="79"/>
  <c r="O308" i="79"/>
  <c r="AG308" i="79"/>
  <c r="AK308" i="79"/>
  <c r="I309" i="79"/>
  <c r="M309" i="79"/>
  <c r="AI309" i="79"/>
  <c r="AM309" i="79"/>
  <c r="K310" i="79"/>
  <c r="O310" i="79"/>
  <c r="AG310" i="79"/>
  <c r="AK310" i="79"/>
  <c r="I311" i="79"/>
  <c r="M311" i="79"/>
  <c r="AI311" i="79"/>
  <c r="AM311" i="79"/>
  <c r="K312" i="79"/>
  <c r="O312" i="79"/>
  <c r="AG312" i="79"/>
  <c r="AK312" i="79"/>
  <c r="I315" i="79"/>
  <c r="M315" i="79"/>
  <c r="AI315" i="79"/>
  <c r="AM315" i="79"/>
  <c r="K316" i="79"/>
  <c r="O316" i="79"/>
  <c r="AG316" i="79"/>
  <c r="AK316" i="79"/>
  <c r="I317" i="79"/>
  <c r="M317" i="79"/>
  <c r="AI317" i="79"/>
  <c r="AM317" i="79"/>
  <c r="M320" i="79"/>
  <c r="AM320" i="79"/>
  <c r="T322" i="79"/>
  <c r="P322" i="79"/>
  <c r="L322" i="79"/>
  <c r="S322" i="79"/>
  <c r="O322" i="79"/>
  <c r="K322" i="79"/>
  <c r="I322" i="79"/>
  <c r="Q322" i="79"/>
  <c r="AI322" i="79"/>
  <c r="AQ322" i="79"/>
  <c r="O339" i="79"/>
  <c r="AP340" i="79"/>
  <c r="J341" i="79"/>
  <c r="AJ342" i="79"/>
  <c r="O343" i="79"/>
  <c r="O346" i="79"/>
  <c r="P347" i="79"/>
  <c r="AO348" i="79"/>
  <c r="AK350" i="79"/>
  <c r="M352" i="79"/>
  <c r="S353" i="79"/>
  <c r="AK356" i="79"/>
  <c r="M358" i="79"/>
  <c r="AK362" i="79"/>
  <c r="AM380" i="79"/>
  <c r="AK381" i="79"/>
  <c r="AG384" i="79"/>
  <c r="AK387" i="79"/>
  <c r="AL388" i="79"/>
  <c r="AQ389" i="79"/>
  <c r="AM389" i="79"/>
  <c r="AI389" i="79"/>
  <c r="AO389" i="79"/>
  <c r="AJ389" i="79"/>
  <c r="AN389" i="79"/>
  <c r="AH389" i="79"/>
  <c r="AF389" i="79"/>
  <c r="AP389" i="79"/>
  <c r="AL390" i="79"/>
  <c r="S392" i="79"/>
  <c r="O392" i="79"/>
  <c r="K392" i="79"/>
  <c r="Q392" i="79"/>
  <c r="L392" i="79"/>
  <c r="P392" i="79"/>
  <c r="J392" i="79"/>
  <c r="I392" i="79"/>
  <c r="T392" i="79"/>
  <c r="P394" i="79"/>
  <c r="J398" i="79"/>
  <c r="AK399" i="79"/>
  <c r="N402" i="79"/>
  <c r="AO403" i="79"/>
  <c r="AP404" i="79"/>
  <c r="Q423" i="79"/>
  <c r="O431" i="79"/>
  <c r="O443" i="79"/>
  <c r="S462" i="79"/>
  <c r="O462" i="79"/>
  <c r="K462" i="79"/>
  <c r="P462" i="79"/>
  <c r="J462" i="79"/>
  <c r="N462" i="79"/>
  <c r="T462" i="79"/>
  <c r="M462" i="79"/>
  <c r="R462" i="79"/>
  <c r="L462" i="79"/>
  <c r="I462" i="79"/>
  <c r="S469" i="79"/>
  <c r="O469" i="79"/>
  <c r="K469" i="79"/>
  <c r="R469" i="79"/>
  <c r="M469" i="79"/>
  <c r="N469" i="79"/>
  <c r="T469" i="79"/>
  <c r="L469" i="79"/>
  <c r="Q469" i="79"/>
  <c r="J469" i="79"/>
  <c r="I469" i="79"/>
  <c r="AQ486" i="79"/>
  <c r="AM486" i="79"/>
  <c r="AI486" i="79"/>
  <c r="AN486" i="79"/>
  <c r="AH486" i="79"/>
  <c r="AK486" i="79"/>
  <c r="AP486" i="79"/>
  <c r="AJ486" i="79"/>
  <c r="AO486" i="79"/>
  <c r="AG486" i="79"/>
  <c r="AF486" i="79"/>
  <c r="T496" i="79"/>
  <c r="P496" i="79"/>
  <c r="L496" i="79"/>
  <c r="S496" i="79"/>
  <c r="N496" i="79"/>
  <c r="I496" i="79"/>
  <c r="R496" i="79"/>
  <c r="K496" i="79"/>
  <c r="Q496" i="79"/>
  <c r="J496" i="79"/>
  <c r="O496" i="79"/>
  <c r="T504" i="79"/>
  <c r="P504" i="79"/>
  <c r="L504" i="79"/>
  <c r="R504" i="79"/>
  <c r="M504" i="79"/>
  <c r="N504" i="79"/>
  <c r="S504" i="79"/>
  <c r="K504" i="79"/>
  <c r="Q504" i="79"/>
  <c r="J504" i="79"/>
  <c r="I504" i="79"/>
  <c r="AP510" i="79"/>
  <c r="AL510" i="79"/>
  <c r="AH510" i="79"/>
  <c r="AO510" i="79"/>
  <c r="AJ510" i="79"/>
  <c r="AK510" i="79"/>
  <c r="AQ510" i="79"/>
  <c r="AI510" i="79"/>
  <c r="AN510" i="79"/>
  <c r="AG510" i="79"/>
  <c r="AF510" i="79"/>
  <c r="O514" i="79"/>
  <c r="AN520" i="79"/>
  <c r="AP526" i="79"/>
  <c r="AL526" i="79"/>
  <c r="AH526" i="79"/>
  <c r="AM526" i="79"/>
  <c r="AG526" i="79"/>
  <c r="AK526" i="79"/>
  <c r="AQ526" i="79"/>
  <c r="AJ526" i="79"/>
  <c r="AO526" i="79"/>
  <c r="AI526" i="79"/>
  <c r="AF526" i="79"/>
  <c r="I894" i="79"/>
  <c r="U894" i="79" s="1"/>
  <c r="U892" i="79"/>
  <c r="U896" i="79"/>
  <c r="I899" i="79"/>
  <c r="U899" i="79" s="1"/>
  <c r="U907" i="79"/>
  <c r="I909" i="79"/>
  <c r="U909" i="79" s="1"/>
  <c r="U911" i="79"/>
  <c r="I913" i="79"/>
  <c r="U913" i="79" s="1"/>
  <c r="U984" i="79"/>
  <c r="I986" i="79"/>
  <c r="U986" i="79" s="1"/>
  <c r="U999" i="79"/>
  <c r="I1001" i="79"/>
  <c r="U1001" i="79" s="1"/>
  <c r="U1003" i="79"/>
  <c r="I1005" i="79"/>
  <c r="U1005" i="79" s="1"/>
  <c r="U1057" i="79"/>
  <c r="I1060" i="79"/>
  <c r="U1060" i="79" s="1"/>
  <c r="I1078" i="79"/>
  <c r="U1078" i="79" s="1"/>
  <c r="U1076" i="79"/>
  <c r="U1080" i="79"/>
  <c r="I1083" i="79"/>
  <c r="U1083" i="79" s="1"/>
  <c r="U1091" i="79"/>
  <c r="I1093" i="79"/>
  <c r="U1093" i="79" s="1"/>
  <c r="U1095" i="79"/>
  <c r="I1097" i="79"/>
  <c r="U1097" i="79" s="1"/>
  <c r="AO414" i="79"/>
  <c r="AK414" i="79"/>
  <c r="AG414" i="79"/>
  <c r="AQ414" i="79"/>
  <c r="AL414" i="79"/>
  <c r="AF414" i="79"/>
  <c r="AJ414" i="79"/>
  <c r="R416" i="79"/>
  <c r="N416" i="79"/>
  <c r="J416" i="79"/>
  <c r="P416" i="79"/>
  <c r="K416" i="79"/>
  <c r="M416" i="79"/>
  <c r="T416" i="79"/>
  <c r="R417" i="79"/>
  <c r="N417" i="79"/>
  <c r="J417" i="79"/>
  <c r="S417" i="79"/>
  <c r="M417" i="79"/>
  <c r="L417" i="79"/>
  <c r="T417" i="79"/>
  <c r="AO418" i="79"/>
  <c r="AK418" i="79"/>
  <c r="AG418" i="79"/>
  <c r="AQ418" i="79"/>
  <c r="AL418" i="79"/>
  <c r="AF418" i="79"/>
  <c r="AJ418" i="79"/>
  <c r="R424" i="79"/>
  <c r="N424" i="79"/>
  <c r="J424" i="79"/>
  <c r="S424" i="79"/>
  <c r="M424" i="79"/>
  <c r="I424" i="79"/>
  <c r="P424" i="79"/>
  <c r="S481" i="79"/>
  <c r="O481" i="79"/>
  <c r="K481" i="79"/>
  <c r="R481" i="79"/>
  <c r="M481" i="79"/>
  <c r="I481" i="79"/>
  <c r="P481" i="79"/>
  <c r="AO481" i="79"/>
  <c r="AK481" i="79"/>
  <c r="AG481" i="79"/>
  <c r="AM481" i="79"/>
  <c r="AH481" i="79"/>
  <c r="AF481" i="79"/>
  <c r="AN481" i="79"/>
  <c r="AQ484" i="79"/>
  <c r="AM484" i="79"/>
  <c r="AI484" i="79"/>
  <c r="AL484" i="79"/>
  <c r="AG484" i="79"/>
  <c r="AF484" i="79"/>
  <c r="AN484" i="79"/>
  <c r="T505" i="79"/>
  <c r="P505" i="79"/>
  <c r="L505" i="79"/>
  <c r="O505" i="79"/>
  <c r="J505" i="79"/>
  <c r="I505" i="79"/>
  <c r="Q505" i="79"/>
  <c r="AO505" i="79"/>
  <c r="AK505" i="79"/>
  <c r="AG505" i="79"/>
  <c r="AN505" i="79"/>
  <c r="AI505" i="79"/>
  <c r="AF505" i="79"/>
  <c r="AM505" i="79"/>
  <c r="T510" i="79"/>
  <c r="P510" i="79"/>
  <c r="L510" i="79"/>
  <c r="O510" i="79"/>
  <c r="J510" i="79"/>
  <c r="I510" i="79"/>
  <c r="Q510" i="79"/>
  <c r="U938" i="79"/>
  <c r="U953" i="79"/>
  <c r="I955" i="79"/>
  <c r="U955" i="79" s="1"/>
  <c r="U980" i="79"/>
  <c r="I1032" i="79"/>
  <c r="U1032" i="79" s="1"/>
  <c r="I1047" i="79"/>
  <c r="U1047" i="79" s="1"/>
  <c r="I1106" i="79"/>
  <c r="U1106" i="79" s="1"/>
  <c r="U1103" i="79"/>
  <c r="U1118" i="79"/>
  <c r="I1129" i="79"/>
  <c r="U1129" i="79" s="1"/>
  <c r="I1408" i="79"/>
  <c r="U1145" i="79"/>
  <c r="I1147" i="79"/>
  <c r="U1147" i="79" s="1"/>
  <c r="I321" i="79"/>
  <c r="M321" i="79"/>
  <c r="Q321" i="79"/>
  <c r="AI321" i="79"/>
  <c r="AM321" i="79"/>
  <c r="AQ321" i="79"/>
  <c r="J332" i="79"/>
  <c r="N332" i="79"/>
  <c r="R332" i="79"/>
  <c r="AG332" i="79"/>
  <c r="AK332" i="79"/>
  <c r="AO332" i="79"/>
  <c r="J333" i="79"/>
  <c r="N333" i="79"/>
  <c r="R333" i="79"/>
  <c r="AG333" i="79"/>
  <c r="AK333" i="79"/>
  <c r="AO333" i="79"/>
  <c r="J334" i="79"/>
  <c r="N334" i="79"/>
  <c r="R334" i="79"/>
  <c r="AG334" i="79"/>
  <c r="AK334" i="79"/>
  <c r="AO334" i="79"/>
  <c r="J335" i="79"/>
  <c r="N335" i="79"/>
  <c r="R335" i="79"/>
  <c r="AG335" i="79"/>
  <c r="AK335" i="79"/>
  <c r="AO335" i="79"/>
  <c r="T336" i="79"/>
  <c r="P336" i="79"/>
  <c r="L336" i="79"/>
  <c r="K336" i="79"/>
  <c r="Q336" i="79"/>
  <c r="AG336" i="79"/>
  <c r="AJ339" i="79"/>
  <c r="T340" i="79"/>
  <c r="P340" i="79"/>
  <c r="L340" i="79"/>
  <c r="I340" i="79"/>
  <c r="N340" i="79"/>
  <c r="S340" i="79"/>
  <c r="AJ341" i="79"/>
  <c r="T342" i="79"/>
  <c r="P342" i="79"/>
  <c r="L342" i="79"/>
  <c r="I342" i="79"/>
  <c r="N342" i="79"/>
  <c r="S342" i="79"/>
  <c r="AJ343" i="79"/>
  <c r="AP346" i="79"/>
  <c r="AL346" i="79"/>
  <c r="AH346" i="79"/>
  <c r="AF346" i="79"/>
  <c r="AK346" i="79"/>
  <c r="AQ346" i="79"/>
  <c r="M348" i="79"/>
  <c r="M349" i="79"/>
  <c r="T350" i="79"/>
  <c r="P350" i="79"/>
  <c r="L350" i="79"/>
  <c r="I350" i="79"/>
  <c r="N350" i="79"/>
  <c r="S350" i="79"/>
  <c r="R351" i="79"/>
  <c r="N351" i="79"/>
  <c r="J351" i="79"/>
  <c r="I351" i="79"/>
  <c r="O351" i="79"/>
  <c r="T351" i="79"/>
  <c r="AJ352" i="79"/>
  <c r="T356" i="79"/>
  <c r="P356" i="79"/>
  <c r="L356" i="79"/>
  <c r="I356" i="79"/>
  <c r="N356" i="79"/>
  <c r="S356" i="79"/>
  <c r="R357" i="79"/>
  <c r="N357" i="79"/>
  <c r="J357" i="79"/>
  <c r="I357" i="79"/>
  <c r="O357" i="79"/>
  <c r="T357" i="79"/>
  <c r="AJ358" i="79"/>
  <c r="M361" i="79"/>
  <c r="T362" i="79"/>
  <c r="P362" i="79"/>
  <c r="L362" i="79"/>
  <c r="I362" i="79"/>
  <c r="N362" i="79"/>
  <c r="S362" i="79"/>
  <c r="R363" i="79"/>
  <c r="N363" i="79"/>
  <c r="J363" i="79"/>
  <c r="I363" i="79"/>
  <c r="O363" i="79"/>
  <c r="T363" i="79"/>
  <c r="Q373" i="79"/>
  <c r="M373" i="79"/>
  <c r="I373" i="79"/>
  <c r="L373" i="79"/>
  <c r="R373" i="79"/>
  <c r="AN373" i="79"/>
  <c r="AJ373" i="79"/>
  <c r="AF373" i="79"/>
  <c r="AI373" i="79"/>
  <c r="AO373" i="79"/>
  <c r="Q374" i="79"/>
  <c r="M374" i="79"/>
  <c r="I374" i="79"/>
  <c r="L374" i="79"/>
  <c r="R374" i="79"/>
  <c r="AN374" i="79"/>
  <c r="AJ374" i="79"/>
  <c r="AF374" i="79"/>
  <c r="AI374" i="79"/>
  <c r="AO374" i="79"/>
  <c r="Q375" i="79"/>
  <c r="M375" i="79"/>
  <c r="I375" i="79"/>
  <c r="L375" i="79"/>
  <c r="R375" i="79"/>
  <c r="AN375" i="79"/>
  <c r="AJ375" i="79"/>
  <c r="AF375" i="79"/>
  <c r="AI375" i="79"/>
  <c r="AO375" i="79"/>
  <c r="Q376" i="79"/>
  <c r="M376" i="79"/>
  <c r="I376" i="79"/>
  <c r="L376" i="79"/>
  <c r="R376" i="79"/>
  <c r="AN376" i="79"/>
  <c r="AJ376" i="79"/>
  <c r="AF376" i="79"/>
  <c r="AI376" i="79"/>
  <c r="AO376" i="79"/>
  <c r="Q377" i="79"/>
  <c r="M377" i="79"/>
  <c r="I377" i="79"/>
  <c r="L377" i="79"/>
  <c r="R377" i="79"/>
  <c r="AN377" i="79"/>
  <c r="AJ377" i="79"/>
  <c r="AF377" i="79"/>
  <c r="AI377" i="79"/>
  <c r="AO377" i="79"/>
  <c r="AP382" i="79"/>
  <c r="AL382" i="79"/>
  <c r="AH382" i="79"/>
  <c r="AF382" i="79"/>
  <c r="AK382" i="79"/>
  <c r="AQ382" i="79"/>
  <c r="S390" i="79"/>
  <c r="O390" i="79"/>
  <c r="K390" i="79"/>
  <c r="I390" i="79"/>
  <c r="N390" i="79"/>
  <c r="T390" i="79"/>
  <c r="AQ393" i="79"/>
  <c r="AM393" i="79"/>
  <c r="AI393" i="79"/>
  <c r="AF393" i="79"/>
  <c r="AK393" i="79"/>
  <c r="AP393" i="79"/>
  <c r="AO394" i="79"/>
  <c r="AK394" i="79"/>
  <c r="AG394" i="79"/>
  <c r="AF394" i="79"/>
  <c r="AL394" i="79"/>
  <c r="AQ394" i="79"/>
  <c r="AQ397" i="79"/>
  <c r="AM397" i="79"/>
  <c r="AI397" i="79"/>
  <c r="AF397" i="79"/>
  <c r="AK397" i="79"/>
  <c r="AP397" i="79"/>
  <c r="AO398" i="79"/>
  <c r="AK398" i="79"/>
  <c r="AG398" i="79"/>
  <c r="AF398" i="79"/>
  <c r="AL398" i="79"/>
  <c r="AQ398" i="79"/>
  <c r="AO402" i="79"/>
  <c r="AK402" i="79"/>
  <c r="AG402" i="79"/>
  <c r="AF402" i="79"/>
  <c r="AL402" i="79"/>
  <c r="AQ402" i="79"/>
  <c r="AM414" i="79"/>
  <c r="O416" i="79"/>
  <c r="O417" i="79"/>
  <c r="AM418" i="79"/>
  <c r="R421" i="79"/>
  <c r="N421" i="79"/>
  <c r="J421" i="79"/>
  <c r="P421" i="79"/>
  <c r="K421" i="79"/>
  <c r="I421" i="79"/>
  <c r="Q421" i="79"/>
  <c r="AQ421" i="79"/>
  <c r="AM421" i="79"/>
  <c r="AI421" i="79"/>
  <c r="AN421" i="79"/>
  <c r="AH421" i="79"/>
  <c r="AF421" i="79"/>
  <c r="AL421" i="79"/>
  <c r="K424" i="79"/>
  <c r="Q424" i="79"/>
  <c r="R425" i="79"/>
  <c r="N425" i="79"/>
  <c r="J425" i="79"/>
  <c r="P425" i="79"/>
  <c r="K425" i="79"/>
  <c r="I425" i="79"/>
  <c r="Q425" i="79"/>
  <c r="AQ425" i="79"/>
  <c r="AM425" i="79"/>
  <c r="AI425" i="79"/>
  <c r="AN425" i="79"/>
  <c r="AH425" i="79"/>
  <c r="AF425" i="79"/>
  <c r="AL425" i="79"/>
  <c r="AP435" i="79"/>
  <c r="AL435" i="79"/>
  <c r="AH435" i="79"/>
  <c r="AO435" i="79"/>
  <c r="AJ435" i="79"/>
  <c r="AF435" i="79"/>
  <c r="AM435" i="79"/>
  <c r="S466" i="79"/>
  <c r="O466" i="79"/>
  <c r="K466" i="79"/>
  <c r="P466" i="79"/>
  <c r="J466" i="79"/>
  <c r="I466" i="79"/>
  <c r="Q466" i="79"/>
  <c r="S479" i="79"/>
  <c r="O479" i="79"/>
  <c r="K479" i="79"/>
  <c r="Q479" i="79"/>
  <c r="L479" i="79"/>
  <c r="I479" i="79"/>
  <c r="P479" i="79"/>
  <c r="AQ480" i="79"/>
  <c r="AM480" i="79"/>
  <c r="AI480" i="79"/>
  <c r="AL480" i="79"/>
  <c r="AG480" i="79"/>
  <c r="AF480" i="79"/>
  <c r="AN480" i="79"/>
  <c r="J481" i="79"/>
  <c r="Q481" i="79"/>
  <c r="AI481" i="79"/>
  <c r="AP481" i="79"/>
  <c r="AH484" i="79"/>
  <c r="AO484" i="79"/>
  <c r="AQ496" i="79"/>
  <c r="AM496" i="79"/>
  <c r="AI496" i="79"/>
  <c r="AO496" i="79"/>
  <c r="AJ496" i="79"/>
  <c r="AH496" i="79"/>
  <c r="AP496" i="79"/>
  <c r="T498" i="79"/>
  <c r="P498" i="79"/>
  <c r="L498" i="79"/>
  <c r="S498" i="79"/>
  <c r="N498" i="79"/>
  <c r="I498" i="79"/>
  <c r="M498" i="79"/>
  <c r="AQ499" i="79"/>
  <c r="AM499" i="79"/>
  <c r="AI499" i="79"/>
  <c r="AL499" i="79"/>
  <c r="AG499" i="79"/>
  <c r="AJ499" i="79"/>
  <c r="AP499" i="79"/>
  <c r="AQ500" i="79"/>
  <c r="AM500" i="79"/>
  <c r="AI500" i="79"/>
  <c r="AO500" i="79"/>
  <c r="AJ500" i="79"/>
  <c r="AH500" i="79"/>
  <c r="AP500" i="79"/>
  <c r="K505" i="79"/>
  <c r="R505" i="79"/>
  <c r="AH505" i="79"/>
  <c r="AP505" i="79"/>
  <c r="T506" i="79"/>
  <c r="P506" i="79"/>
  <c r="L506" i="79"/>
  <c r="R506" i="79"/>
  <c r="M506" i="79"/>
  <c r="I506" i="79"/>
  <c r="O506" i="79"/>
  <c r="K510" i="79"/>
  <c r="R510" i="79"/>
  <c r="U885" i="79"/>
  <c r="I886" i="79"/>
  <c r="U886" i="79" s="1"/>
  <c r="U988" i="79"/>
  <c r="I991" i="79"/>
  <c r="U991" i="79" s="1"/>
  <c r="U1053" i="79"/>
  <c r="I1055" i="79"/>
  <c r="U1055" i="79" s="1"/>
  <c r="U1122" i="79"/>
  <c r="U1137" i="79"/>
  <c r="I1139" i="79"/>
  <c r="U1139" i="79" s="1"/>
  <c r="J321" i="79"/>
  <c r="N321" i="79"/>
  <c r="AF321" i="79"/>
  <c r="AJ321" i="79"/>
  <c r="K332" i="79"/>
  <c r="O332" i="79"/>
  <c r="AH332" i="79"/>
  <c r="AL332" i="79"/>
  <c r="K333" i="79"/>
  <c r="O333" i="79"/>
  <c r="AH333" i="79"/>
  <c r="AL333" i="79"/>
  <c r="K334" i="79"/>
  <c r="O334" i="79"/>
  <c r="AH334" i="79"/>
  <c r="AL334" i="79"/>
  <c r="K335" i="79"/>
  <c r="O335" i="79"/>
  <c r="AH335" i="79"/>
  <c r="AL335" i="79"/>
  <c r="AP335" i="79"/>
  <c r="AQ336" i="79"/>
  <c r="AM336" i="79"/>
  <c r="AI336" i="79"/>
  <c r="AH336" i="79"/>
  <c r="AN336" i="79"/>
  <c r="AO339" i="79"/>
  <c r="AK339" i="79"/>
  <c r="AG339" i="79"/>
  <c r="AF339" i="79"/>
  <c r="AL339" i="79"/>
  <c r="AQ339" i="79"/>
  <c r="AO341" i="79"/>
  <c r="AK341" i="79"/>
  <c r="AG341" i="79"/>
  <c r="AF341" i="79"/>
  <c r="AL341" i="79"/>
  <c r="AQ341" i="79"/>
  <c r="AO343" i="79"/>
  <c r="AK343" i="79"/>
  <c r="AG343" i="79"/>
  <c r="AF343" i="79"/>
  <c r="AL343" i="79"/>
  <c r="AQ343" i="79"/>
  <c r="T348" i="79"/>
  <c r="P348" i="79"/>
  <c r="L348" i="79"/>
  <c r="I348" i="79"/>
  <c r="N348" i="79"/>
  <c r="S348" i="79"/>
  <c r="R349" i="79"/>
  <c r="N349" i="79"/>
  <c r="J349" i="79"/>
  <c r="I349" i="79"/>
  <c r="O349" i="79"/>
  <c r="T349" i="79"/>
  <c r="AP352" i="79"/>
  <c r="AL352" i="79"/>
  <c r="AH352" i="79"/>
  <c r="AF352" i="79"/>
  <c r="AK352" i="79"/>
  <c r="AQ352" i="79"/>
  <c r="AP358" i="79"/>
  <c r="AL358" i="79"/>
  <c r="AH358" i="79"/>
  <c r="AF358" i="79"/>
  <c r="AK358" i="79"/>
  <c r="AQ358" i="79"/>
  <c r="R361" i="79"/>
  <c r="N361" i="79"/>
  <c r="J361" i="79"/>
  <c r="I361" i="79"/>
  <c r="O361" i="79"/>
  <c r="T361" i="79"/>
  <c r="N373" i="79"/>
  <c r="S373" i="79"/>
  <c r="AK373" i="79"/>
  <c r="AP373" i="79"/>
  <c r="N374" i="79"/>
  <c r="S374" i="79"/>
  <c r="AK374" i="79"/>
  <c r="AP374" i="79"/>
  <c r="N375" i="79"/>
  <c r="S375" i="79"/>
  <c r="AK375" i="79"/>
  <c r="AP375" i="79"/>
  <c r="N376" i="79"/>
  <c r="S376" i="79"/>
  <c r="AK376" i="79"/>
  <c r="AP376" i="79"/>
  <c r="N377" i="79"/>
  <c r="S377" i="79"/>
  <c r="AK377" i="79"/>
  <c r="AP377" i="79"/>
  <c r="AG382" i="79"/>
  <c r="AM382" i="79"/>
  <c r="AP383" i="79"/>
  <c r="AL383" i="79"/>
  <c r="AH383" i="79"/>
  <c r="AF383" i="79"/>
  <c r="AK383" i="79"/>
  <c r="AQ383" i="79"/>
  <c r="S388" i="79"/>
  <c r="O388" i="79"/>
  <c r="K388" i="79"/>
  <c r="I388" i="79"/>
  <c r="N388" i="79"/>
  <c r="T388" i="79"/>
  <c r="J390" i="79"/>
  <c r="P390" i="79"/>
  <c r="AQ391" i="79"/>
  <c r="AM391" i="79"/>
  <c r="AI391" i="79"/>
  <c r="AF391" i="79"/>
  <c r="AK391" i="79"/>
  <c r="AP391" i="79"/>
  <c r="AO392" i="79"/>
  <c r="AK392" i="79"/>
  <c r="AG392" i="79"/>
  <c r="AF392" i="79"/>
  <c r="AL392" i="79"/>
  <c r="AQ392" i="79"/>
  <c r="AG393" i="79"/>
  <c r="AL393" i="79"/>
  <c r="AH394" i="79"/>
  <c r="AM394" i="79"/>
  <c r="AG397" i="79"/>
  <c r="AL397" i="79"/>
  <c r="AH398" i="79"/>
  <c r="AM398" i="79"/>
  <c r="AH402" i="79"/>
  <c r="AM402" i="79"/>
  <c r="S404" i="79"/>
  <c r="O404" i="79"/>
  <c r="K404" i="79"/>
  <c r="I404" i="79"/>
  <c r="N404" i="79"/>
  <c r="T404" i="79"/>
  <c r="R414" i="79"/>
  <c r="N414" i="79"/>
  <c r="J414" i="79"/>
  <c r="P414" i="79"/>
  <c r="K414" i="79"/>
  <c r="M414" i="79"/>
  <c r="T414" i="79"/>
  <c r="AH414" i="79"/>
  <c r="AN414" i="79"/>
  <c r="R415" i="79"/>
  <c r="N415" i="79"/>
  <c r="J415" i="79"/>
  <c r="S415" i="79"/>
  <c r="M415" i="79"/>
  <c r="L415" i="79"/>
  <c r="T415" i="79"/>
  <c r="I416" i="79"/>
  <c r="Q416" i="79"/>
  <c r="AO416" i="79"/>
  <c r="AK416" i="79"/>
  <c r="AG416" i="79"/>
  <c r="AQ416" i="79"/>
  <c r="AL416" i="79"/>
  <c r="AF416" i="79"/>
  <c r="AJ416" i="79"/>
  <c r="I417" i="79"/>
  <c r="P417" i="79"/>
  <c r="R418" i="79"/>
  <c r="N418" i="79"/>
  <c r="J418" i="79"/>
  <c r="P418" i="79"/>
  <c r="K418" i="79"/>
  <c r="M418" i="79"/>
  <c r="T418" i="79"/>
  <c r="AH418" i="79"/>
  <c r="AN418" i="79"/>
  <c r="L421" i="79"/>
  <c r="S421" i="79"/>
  <c r="AG421" i="79"/>
  <c r="AO421" i="79"/>
  <c r="R422" i="79"/>
  <c r="N422" i="79"/>
  <c r="J422" i="79"/>
  <c r="S422" i="79"/>
  <c r="M422" i="79"/>
  <c r="I422" i="79"/>
  <c r="P422" i="79"/>
  <c r="L424" i="79"/>
  <c r="T424" i="79"/>
  <c r="L425" i="79"/>
  <c r="S425" i="79"/>
  <c r="AG425" i="79"/>
  <c r="AO425" i="79"/>
  <c r="R430" i="79"/>
  <c r="N430" i="79"/>
  <c r="J430" i="79"/>
  <c r="Q430" i="79"/>
  <c r="L430" i="79"/>
  <c r="I430" i="79"/>
  <c r="P430" i="79"/>
  <c r="R432" i="79"/>
  <c r="N432" i="79"/>
  <c r="J432" i="79"/>
  <c r="S432" i="79"/>
  <c r="M432" i="79"/>
  <c r="I432" i="79"/>
  <c r="P432" i="79"/>
  <c r="AP433" i="79"/>
  <c r="AL433" i="79"/>
  <c r="AH433" i="79"/>
  <c r="AN433" i="79"/>
  <c r="AI433" i="79"/>
  <c r="AF433" i="79"/>
  <c r="AM433" i="79"/>
  <c r="T435" i="79"/>
  <c r="P435" i="79"/>
  <c r="L435" i="79"/>
  <c r="O435" i="79"/>
  <c r="J435" i="79"/>
  <c r="I435" i="79"/>
  <c r="Q435" i="79"/>
  <c r="AG435" i="79"/>
  <c r="AN435" i="79"/>
  <c r="R438" i="79"/>
  <c r="N438" i="79"/>
  <c r="J438" i="79"/>
  <c r="S438" i="79"/>
  <c r="M438" i="79"/>
  <c r="I438" i="79"/>
  <c r="P438" i="79"/>
  <c r="AP439" i="79"/>
  <c r="AL439" i="79"/>
  <c r="AH439" i="79"/>
  <c r="AN439" i="79"/>
  <c r="AI439" i="79"/>
  <c r="AF439" i="79"/>
  <c r="AM439" i="79"/>
  <c r="R444" i="79"/>
  <c r="N444" i="79"/>
  <c r="J444" i="79"/>
  <c r="S444" i="79"/>
  <c r="M444" i="79"/>
  <c r="I444" i="79"/>
  <c r="P444" i="79"/>
  <c r="AP445" i="79"/>
  <c r="AL445" i="79"/>
  <c r="AH445" i="79"/>
  <c r="AN445" i="79"/>
  <c r="AI445" i="79"/>
  <c r="AF445" i="79"/>
  <c r="AM445" i="79"/>
  <c r="S465" i="79"/>
  <c r="O465" i="79"/>
  <c r="K465" i="79"/>
  <c r="Q465" i="79"/>
  <c r="L465" i="79"/>
  <c r="I465" i="79"/>
  <c r="P465" i="79"/>
  <c r="L466" i="79"/>
  <c r="R466" i="79"/>
  <c r="AO471" i="79"/>
  <c r="AK471" i="79"/>
  <c r="AG471" i="79"/>
  <c r="AN471" i="79"/>
  <c r="AI471" i="79"/>
  <c r="AF471" i="79"/>
  <c r="AM471" i="79"/>
  <c r="AO473" i="79"/>
  <c r="AK473" i="79"/>
  <c r="AG473" i="79"/>
  <c r="AP473" i="79"/>
  <c r="AJ473" i="79"/>
  <c r="AF473" i="79"/>
  <c r="AM473" i="79"/>
  <c r="S475" i="79"/>
  <c r="O475" i="79"/>
  <c r="K475" i="79"/>
  <c r="Q475" i="79"/>
  <c r="L475" i="79"/>
  <c r="I475" i="79"/>
  <c r="P475" i="79"/>
  <c r="AQ476" i="79"/>
  <c r="AM476" i="79"/>
  <c r="AI476" i="79"/>
  <c r="AL476" i="79"/>
  <c r="AG476" i="79"/>
  <c r="AF476" i="79"/>
  <c r="AN476" i="79"/>
  <c r="J479" i="79"/>
  <c r="R479" i="79"/>
  <c r="AH480" i="79"/>
  <c r="AO480" i="79"/>
  <c r="L481" i="79"/>
  <c r="T481" i="79"/>
  <c r="AJ481" i="79"/>
  <c r="AQ481" i="79"/>
  <c r="AJ484" i="79"/>
  <c r="AP484" i="79"/>
  <c r="AK496" i="79"/>
  <c r="O498" i="79"/>
  <c r="AK499" i="79"/>
  <c r="AK500" i="79"/>
  <c r="T503" i="79"/>
  <c r="P503" i="79"/>
  <c r="L503" i="79"/>
  <c r="O503" i="79"/>
  <c r="J503" i="79"/>
  <c r="I503" i="79"/>
  <c r="Q503" i="79"/>
  <c r="AO503" i="79"/>
  <c r="AK503" i="79"/>
  <c r="AG503" i="79"/>
  <c r="AN503" i="79"/>
  <c r="AI503" i="79"/>
  <c r="AF503" i="79"/>
  <c r="AM503" i="79"/>
  <c r="M505" i="79"/>
  <c r="S505" i="79"/>
  <c r="AJ505" i="79"/>
  <c r="AQ505" i="79"/>
  <c r="J506" i="79"/>
  <c r="Q506" i="79"/>
  <c r="T507" i="79"/>
  <c r="P507" i="79"/>
  <c r="L507" i="79"/>
  <c r="O507" i="79"/>
  <c r="J507" i="79"/>
  <c r="I507" i="79"/>
  <c r="Q507" i="79"/>
  <c r="AO507" i="79"/>
  <c r="AK507" i="79"/>
  <c r="AG507" i="79"/>
  <c r="AN507" i="79"/>
  <c r="AI507" i="79"/>
  <c r="AF507" i="79"/>
  <c r="AM507" i="79"/>
  <c r="M510" i="79"/>
  <c r="S510" i="79"/>
  <c r="R513" i="79"/>
  <c r="N513" i="79"/>
  <c r="J513" i="79"/>
  <c r="Q513" i="79"/>
  <c r="L513" i="79"/>
  <c r="I513" i="79"/>
  <c r="P513" i="79"/>
  <c r="R515" i="79"/>
  <c r="N515" i="79"/>
  <c r="J515" i="79"/>
  <c r="S515" i="79"/>
  <c r="M515" i="79"/>
  <c r="I515" i="79"/>
  <c r="P515" i="79"/>
  <c r="AP516" i="79"/>
  <c r="AL516" i="79"/>
  <c r="AH516" i="79"/>
  <c r="AN516" i="79"/>
  <c r="AI516" i="79"/>
  <c r="AF516" i="79"/>
  <c r="AM516" i="79"/>
  <c r="R521" i="79"/>
  <c r="N521" i="79"/>
  <c r="J521" i="79"/>
  <c r="S521" i="79"/>
  <c r="M521" i="79"/>
  <c r="I521" i="79"/>
  <c r="P521" i="79"/>
  <c r="AP522" i="79"/>
  <c r="AL522" i="79"/>
  <c r="AH522" i="79"/>
  <c r="AN522" i="79"/>
  <c r="AI522" i="79"/>
  <c r="AF522" i="79"/>
  <c r="AM522" i="79"/>
  <c r="R525" i="79"/>
  <c r="N525" i="79"/>
  <c r="J525" i="79"/>
  <c r="Q525" i="79"/>
  <c r="L525" i="79"/>
  <c r="I525" i="79"/>
  <c r="P525" i="79"/>
  <c r="R527" i="79"/>
  <c r="N527" i="79"/>
  <c r="J527" i="79"/>
  <c r="S527" i="79"/>
  <c r="M527" i="79"/>
  <c r="I527" i="79"/>
  <c r="P527" i="79"/>
  <c r="U1045" i="79"/>
  <c r="U1069" i="79"/>
  <c r="I1070" i="79"/>
  <c r="U1070" i="79" s="1"/>
  <c r="U919" i="79"/>
  <c r="U934" i="79"/>
  <c r="I945" i="79"/>
  <c r="U945" i="79" s="1"/>
  <c r="U961" i="79"/>
  <c r="I963" i="79"/>
  <c r="U963" i="79" s="1"/>
  <c r="U1026" i="79"/>
  <c r="U930" i="79"/>
  <c r="U976" i="79"/>
  <c r="I978" i="79"/>
  <c r="U978" i="79" s="1"/>
  <c r="U1030" i="79"/>
  <c r="U1114" i="79"/>
  <c r="AO415" i="79"/>
  <c r="AK415" i="79"/>
  <c r="AG415" i="79"/>
  <c r="AI415" i="79"/>
  <c r="AN415" i="79"/>
  <c r="AO417" i="79"/>
  <c r="AK417" i="79"/>
  <c r="AG417" i="79"/>
  <c r="AI417" i="79"/>
  <c r="AN417" i="79"/>
  <c r="AQ422" i="79"/>
  <c r="AM422" i="79"/>
  <c r="AI422" i="79"/>
  <c r="AF422" i="79"/>
  <c r="AK422" i="79"/>
  <c r="AP422" i="79"/>
  <c r="AQ424" i="79"/>
  <c r="AM424" i="79"/>
  <c r="AI424" i="79"/>
  <c r="AF424" i="79"/>
  <c r="AK424" i="79"/>
  <c r="AP424" i="79"/>
  <c r="AP429" i="79"/>
  <c r="AL429" i="79"/>
  <c r="AH429" i="79"/>
  <c r="AF429" i="79"/>
  <c r="AK429" i="79"/>
  <c r="AQ429" i="79"/>
  <c r="T433" i="79"/>
  <c r="P433" i="79"/>
  <c r="L433" i="79"/>
  <c r="I433" i="79"/>
  <c r="N433" i="79"/>
  <c r="S433" i="79"/>
  <c r="R434" i="79"/>
  <c r="N434" i="79"/>
  <c r="J434" i="79"/>
  <c r="I434" i="79"/>
  <c r="O434" i="79"/>
  <c r="T434" i="79"/>
  <c r="T439" i="79"/>
  <c r="P439" i="79"/>
  <c r="L439" i="79"/>
  <c r="I439" i="79"/>
  <c r="N439" i="79"/>
  <c r="S439" i="79"/>
  <c r="R440" i="79"/>
  <c r="N440" i="79"/>
  <c r="J440" i="79"/>
  <c r="I440" i="79"/>
  <c r="O440" i="79"/>
  <c r="T440" i="79"/>
  <c r="T445" i="79"/>
  <c r="P445" i="79"/>
  <c r="L445" i="79"/>
  <c r="I445" i="79"/>
  <c r="N445" i="79"/>
  <c r="S445" i="79"/>
  <c r="S463" i="79"/>
  <c r="O463" i="79"/>
  <c r="K463" i="79"/>
  <c r="I463" i="79"/>
  <c r="N463" i="79"/>
  <c r="T463" i="79"/>
  <c r="S471" i="79"/>
  <c r="O471" i="79"/>
  <c r="K471" i="79"/>
  <c r="I471" i="79"/>
  <c r="N471" i="79"/>
  <c r="T471" i="79"/>
  <c r="AQ474" i="79"/>
  <c r="AM474" i="79"/>
  <c r="AI474" i="79"/>
  <c r="AF474" i="79"/>
  <c r="AK474" i="79"/>
  <c r="AP474" i="79"/>
  <c r="AO475" i="79"/>
  <c r="AK475" i="79"/>
  <c r="AG475" i="79"/>
  <c r="AF475" i="79"/>
  <c r="AL475" i="79"/>
  <c r="AQ475" i="79"/>
  <c r="AO479" i="79"/>
  <c r="AK479" i="79"/>
  <c r="AG479" i="79"/>
  <c r="AF479" i="79"/>
  <c r="AL479" i="79"/>
  <c r="AQ479" i="79"/>
  <c r="T497" i="79"/>
  <c r="P497" i="79"/>
  <c r="L497" i="79"/>
  <c r="K497" i="79"/>
  <c r="Q497" i="79"/>
  <c r="T499" i="79"/>
  <c r="P499" i="79"/>
  <c r="L499" i="79"/>
  <c r="K499" i="79"/>
  <c r="Q499" i="79"/>
  <c r="AO504" i="79"/>
  <c r="AK504" i="79"/>
  <c r="AG504" i="79"/>
  <c r="AF504" i="79"/>
  <c r="AL504" i="79"/>
  <c r="AQ504" i="79"/>
  <c r="AO506" i="79"/>
  <c r="AK506" i="79"/>
  <c r="AG506" i="79"/>
  <c r="AF506" i="79"/>
  <c r="AL506" i="79"/>
  <c r="AQ506" i="79"/>
  <c r="AP512" i="79"/>
  <c r="AL512" i="79"/>
  <c r="AH512" i="79"/>
  <c r="AF512" i="79"/>
  <c r="AK512" i="79"/>
  <c r="AQ512" i="79"/>
  <c r="T516" i="79"/>
  <c r="P516" i="79"/>
  <c r="L516" i="79"/>
  <c r="I516" i="79"/>
  <c r="N516" i="79"/>
  <c r="S516" i="79"/>
  <c r="R517" i="79"/>
  <c r="N517" i="79"/>
  <c r="J517" i="79"/>
  <c r="I517" i="79"/>
  <c r="O517" i="79"/>
  <c r="T517" i="79"/>
  <c r="T522" i="79"/>
  <c r="P522" i="79"/>
  <c r="L522" i="79"/>
  <c r="I522" i="79"/>
  <c r="N522" i="79"/>
  <c r="S522" i="79"/>
  <c r="U884" i="79"/>
  <c r="I932" i="79"/>
  <c r="U932" i="79" s="1"/>
  <c r="I959" i="79"/>
  <c r="U959" i="79" s="1"/>
  <c r="U1068" i="79"/>
  <c r="I1116" i="79"/>
  <c r="U1116" i="79" s="1"/>
  <c r="I1406" i="79"/>
  <c r="U1141" i="79"/>
  <c r="I1143" i="79"/>
  <c r="U1143" i="79" s="1"/>
  <c r="AF347" i="79"/>
  <c r="AJ347" i="79"/>
  <c r="AF349" i="79"/>
  <c r="AJ349" i="79"/>
  <c r="AF351" i="79"/>
  <c r="AJ351" i="79"/>
  <c r="AF353" i="79"/>
  <c r="AJ353" i="79"/>
  <c r="AF357" i="79"/>
  <c r="AJ357" i="79"/>
  <c r="AF361" i="79"/>
  <c r="AJ361" i="79"/>
  <c r="AF363" i="79"/>
  <c r="AJ363" i="79"/>
  <c r="I380" i="79"/>
  <c r="M380" i="79"/>
  <c r="I381" i="79"/>
  <c r="M381" i="79"/>
  <c r="I382" i="79"/>
  <c r="M382" i="79"/>
  <c r="I383" i="79"/>
  <c r="M383" i="79"/>
  <c r="I384" i="79"/>
  <c r="M384" i="79"/>
  <c r="I387" i="79"/>
  <c r="M387" i="79"/>
  <c r="I389" i="79"/>
  <c r="M389" i="79"/>
  <c r="I391" i="79"/>
  <c r="M391" i="79"/>
  <c r="I393" i="79"/>
  <c r="M393" i="79"/>
  <c r="I397" i="79"/>
  <c r="M397" i="79"/>
  <c r="I399" i="79"/>
  <c r="M399" i="79"/>
  <c r="I403" i="79"/>
  <c r="M403" i="79"/>
  <c r="AF428" i="79"/>
  <c r="AJ428" i="79"/>
  <c r="AF430" i="79"/>
  <c r="AJ430" i="79"/>
  <c r="AF432" i="79"/>
  <c r="AJ432" i="79"/>
  <c r="AF434" i="79"/>
  <c r="AJ434" i="79"/>
  <c r="AF438" i="79"/>
  <c r="AJ438" i="79"/>
  <c r="AF440" i="79"/>
  <c r="AJ440" i="79"/>
  <c r="AF444" i="79"/>
  <c r="AJ444" i="79"/>
  <c r="K455" i="79"/>
  <c r="O455" i="79"/>
  <c r="AH455" i="79"/>
  <c r="AL455" i="79"/>
  <c r="K456" i="79"/>
  <c r="O456" i="79"/>
  <c r="AH456" i="79"/>
  <c r="AL456" i="79"/>
  <c r="K457" i="79"/>
  <c r="O457" i="79"/>
  <c r="AH457" i="79"/>
  <c r="AL457" i="79"/>
  <c r="K458" i="79"/>
  <c r="O458" i="79"/>
  <c r="AH458" i="79"/>
  <c r="AL458" i="79"/>
  <c r="K459" i="79"/>
  <c r="O459" i="79"/>
  <c r="AH459" i="79"/>
  <c r="AL459" i="79"/>
  <c r="AF462" i="79"/>
  <c r="AJ462" i="79"/>
  <c r="AF463" i="79"/>
  <c r="AJ463" i="79"/>
  <c r="AF464" i="79"/>
  <c r="AJ464" i="79"/>
  <c r="AF465" i="79"/>
  <c r="AJ465" i="79"/>
  <c r="AF466" i="79"/>
  <c r="AJ466" i="79"/>
  <c r="I470" i="79"/>
  <c r="M470" i="79"/>
  <c r="I472" i="79"/>
  <c r="M472" i="79"/>
  <c r="I474" i="79"/>
  <c r="M474" i="79"/>
  <c r="I476" i="79"/>
  <c r="M476" i="79"/>
  <c r="I480" i="79"/>
  <c r="M480" i="79"/>
  <c r="I484" i="79"/>
  <c r="M484" i="79"/>
  <c r="I486" i="79"/>
  <c r="M486" i="79"/>
  <c r="AF511" i="79"/>
  <c r="AJ511" i="79"/>
  <c r="AF513" i="79"/>
  <c r="AJ513" i="79"/>
  <c r="AF515" i="79"/>
  <c r="AJ515" i="79"/>
  <c r="AF517" i="79"/>
  <c r="AJ517" i="79"/>
  <c r="AF521" i="79"/>
  <c r="AJ521" i="79"/>
  <c r="AF525" i="79"/>
  <c r="AJ525" i="79"/>
  <c r="AF527" i="79"/>
  <c r="AJ527" i="79"/>
  <c r="B40" i="74"/>
  <c r="B53" i="74" s="1"/>
  <c r="B66" i="74" s="1"/>
  <c r="K21" i="8"/>
  <c r="J8" i="80" s="1"/>
  <c r="R418" i="73"/>
  <c r="B44" i="74"/>
  <c r="B57" i="74" s="1"/>
  <c r="B70" i="74" s="1"/>
  <c r="F21" i="8"/>
  <c r="E8" i="80" s="1"/>
  <c r="J21" i="8"/>
  <c r="I8" i="80" s="1"/>
  <c r="N21" i="8"/>
  <c r="M8" i="80" s="1"/>
  <c r="F24" i="8"/>
  <c r="C634" i="73"/>
  <c r="F364" i="73"/>
  <c r="E32" i="74" s="1"/>
  <c r="F35" i="73"/>
  <c r="R33" i="73"/>
  <c r="F40" i="73"/>
  <c r="F404" i="73"/>
  <c r="F12" i="85"/>
  <c r="B704" i="74"/>
  <c r="B38" i="74"/>
  <c r="B51" i="74" s="1"/>
  <c r="B64" i="74" s="1"/>
  <c r="F54" i="74"/>
  <c r="D707" i="74"/>
  <c r="B708" i="74"/>
  <c r="B426" i="73" s="1"/>
  <c r="B42" i="74"/>
  <c r="B55" i="74" s="1"/>
  <c r="B68" i="74" s="1"/>
  <c r="D711" i="74"/>
  <c r="F58" i="74"/>
  <c r="B712" i="74"/>
  <c r="B430" i="73" s="1"/>
  <c r="B46" i="74"/>
  <c r="B59" i="74" s="1"/>
  <c r="B72" i="74" s="1"/>
  <c r="G22" i="8"/>
  <c r="F20" i="10" s="1"/>
  <c r="K22" i="8"/>
  <c r="J20" i="10" s="1"/>
  <c r="D708" i="74"/>
  <c r="D712" i="74"/>
  <c r="B41" i="74"/>
  <c r="B54" i="74" s="1"/>
  <c r="B67" i="74" s="1"/>
  <c r="B45" i="74"/>
  <c r="B58" i="74" s="1"/>
  <c r="B71" i="74" s="1"/>
  <c r="B49" i="74"/>
  <c r="B62" i="74" s="1"/>
  <c r="B75" i="74" s="1"/>
  <c r="B705" i="74"/>
  <c r="B423" i="73" s="1"/>
  <c r="B713" i="74"/>
  <c r="B431" i="73" s="1"/>
  <c r="O21" i="8"/>
  <c r="N8" i="80" s="1"/>
  <c r="D705" i="74"/>
  <c r="D709" i="74"/>
  <c r="D713" i="74"/>
  <c r="F60" i="74"/>
  <c r="D715" i="74"/>
  <c r="E49" i="74"/>
  <c r="D24" i="8"/>
  <c r="D22" i="8" s="1"/>
  <c r="C20" i="10" s="1"/>
  <c r="D21" i="8"/>
  <c r="C8" i="80" s="1"/>
  <c r="H24" i="8"/>
  <c r="H21" i="8"/>
  <c r="G8" i="80" s="1"/>
  <c r="L24" i="8"/>
  <c r="L22" i="8" s="1"/>
  <c r="K20" i="10" s="1"/>
  <c r="L21" i="8"/>
  <c r="K8" i="80" s="1"/>
  <c r="D706" i="74"/>
  <c r="D710" i="74"/>
  <c r="E38" i="74"/>
  <c r="B43" i="74"/>
  <c r="B56" i="74" s="1"/>
  <c r="B69" i="74" s="1"/>
  <c r="F52" i="74"/>
  <c r="F53" i="74"/>
  <c r="F55" i="74"/>
  <c r="F56" i="74"/>
  <c r="F57" i="74"/>
  <c r="F59" i="74"/>
  <c r="E22" i="8"/>
  <c r="D20" i="10" s="1"/>
  <c r="I22" i="8"/>
  <c r="H20" i="10" s="1"/>
  <c r="M22" i="8"/>
  <c r="L20" i="10" s="1"/>
  <c r="G21" i="8"/>
  <c r="F8" i="80" s="1"/>
  <c r="E21" i="8"/>
  <c r="D8" i="80" s="1"/>
  <c r="I21" i="8"/>
  <c r="H8" i="80" s="1"/>
  <c r="M21" i="8"/>
  <c r="L8" i="80" s="1"/>
  <c r="I316" i="73"/>
  <c r="I375" i="73" s="1"/>
  <c r="J316" i="73"/>
  <c r="J375" i="73" s="1"/>
  <c r="O59" i="8" l="1"/>
  <c r="O60" i="8" s="1"/>
  <c r="O69" i="8" s="1"/>
  <c r="O67" i="8" s="1"/>
  <c r="N21" i="10" s="1"/>
  <c r="BG11" i="65"/>
  <c r="K1786" i="79"/>
  <c r="I1858" i="79"/>
  <c r="K1858" i="79"/>
  <c r="T1930" i="79"/>
  <c r="AQ2037" i="79"/>
  <c r="AI1722" i="79"/>
  <c r="BU12" i="65"/>
  <c r="F135" i="8"/>
  <c r="Y1245" i="79"/>
  <c r="S1786" i="79"/>
  <c r="Q1858" i="79"/>
  <c r="O1858" i="79"/>
  <c r="AH1930" i="79"/>
  <c r="O2037" i="79"/>
  <c r="AK1722" i="79"/>
  <c r="BU10" i="65"/>
  <c r="Q1786" i="79"/>
  <c r="AP1894" i="79"/>
  <c r="AN1894" i="79"/>
  <c r="J2001" i="79"/>
  <c r="AN2037" i="79"/>
  <c r="AM1866" i="79"/>
  <c r="BU16" i="65"/>
  <c r="BU22" i="65"/>
  <c r="AW39" i="65"/>
  <c r="AV39" i="65"/>
  <c r="AU39" i="65"/>
  <c r="AM1786" i="79"/>
  <c r="K1930" i="79"/>
  <c r="I1930" i="79"/>
  <c r="AJ2001" i="79"/>
  <c r="AK1866" i="79"/>
  <c r="P199" i="64"/>
  <c r="BU15" i="65"/>
  <c r="D134" i="83"/>
  <c r="D166" i="83" s="1"/>
  <c r="P1858" i="79"/>
  <c r="J1858" i="79"/>
  <c r="P1966" i="79"/>
  <c r="AK2001" i="79"/>
  <c r="BD39" i="65"/>
  <c r="AT39" i="65"/>
  <c r="AS39" i="65"/>
  <c r="T1858" i="79"/>
  <c r="N1858" i="79"/>
  <c r="AH1966" i="79"/>
  <c r="D24" i="80"/>
  <c r="F146" i="73"/>
  <c r="H474" i="73"/>
  <c r="R474" i="73"/>
  <c r="F23" i="40"/>
  <c r="G270" i="73"/>
  <c r="J245" i="73"/>
  <c r="J247" i="73" s="1"/>
  <c r="P168" i="8"/>
  <c r="D122" i="8"/>
  <c r="D128" i="8"/>
  <c r="D139" i="8" s="1"/>
  <c r="D147" i="8" s="1"/>
  <c r="D155" i="8" s="1"/>
  <c r="D166" i="8" s="1"/>
  <c r="D172" i="8" s="1"/>
  <c r="J22" i="8"/>
  <c r="I20" i="10" s="1"/>
  <c r="D33" i="10"/>
  <c r="E159" i="8"/>
  <c r="D36" i="80" s="1"/>
  <c r="H22" i="8"/>
  <c r="G20" i="10" s="1"/>
  <c r="F22" i="8"/>
  <c r="E20" i="10" s="1"/>
  <c r="O22" i="8"/>
  <c r="N20" i="10" s="1"/>
  <c r="E10" i="8"/>
  <c r="E58" i="8" s="1"/>
  <c r="E91" i="8" s="1"/>
  <c r="E115" i="8" s="1"/>
  <c r="G6" i="8"/>
  <c r="F10" i="8"/>
  <c r="F58" i="8" s="1"/>
  <c r="F91" i="8" s="1"/>
  <c r="F115" i="8" s="1"/>
  <c r="E292" i="74"/>
  <c r="K14" i="10"/>
  <c r="L183" i="8"/>
  <c r="G292" i="74"/>
  <c r="E13" i="10" s="1"/>
  <c r="O183" i="8"/>
  <c r="H183" i="8"/>
  <c r="M183" i="8"/>
  <c r="L292" i="74"/>
  <c r="J13" i="10" s="1"/>
  <c r="I183" i="8"/>
  <c r="H13" i="10"/>
  <c r="C13" i="10"/>
  <c r="D183" i="8"/>
  <c r="F13" i="10"/>
  <c r="G183" i="8"/>
  <c r="I14" i="10"/>
  <c r="J184" i="8"/>
  <c r="D184" i="8"/>
  <c r="Q644" i="74"/>
  <c r="C14" i="10"/>
  <c r="T290" i="74"/>
  <c r="T292" i="74" s="1"/>
  <c r="C758" i="74" s="1"/>
  <c r="C135" i="74"/>
  <c r="N22" i="8"/>
  <c r="M20" i="10" s="1"/>
  <c r="J300" i="73"/>
  <c r="I300" i="73"/>
  <c r="Y1223" i="79"/>
  <c r="Y1291" i="79" s="1"/>
  <c r="H209" i="64"/>
  <c r="O209" i="64"/>
  <c r="CI10" i="65"/>
  <c r="F712" i="64"/>
  <c r="I204" i="64"/>
  <c r="Q712" i="64"/>
  <c r="O712" i="64"/>
  <c r="J197" i="64"/>
  <c r="K204" i="64"/>
  <c r="K197" i="64"/>
  <c r="BG10" i="65"/>
  <c r="J209" i="64"/>
  <c r="N696" i="64"/>
  <c r="Q209" i="64"/>
  <c r="P209" i="64"/>
  <c r="P712" i="64"/>
  <c r="G712" i="64"/>
  <c r="F22" i="71"/>
  <c r="N269" i="64"/>
  <c r="F806" i="64"/>
  <c r="G22" i="71"/>
  <c r="G24" i="71"/>
  <c r="I712" i="64"/>
  <c r="G21" i="71"/>
  <c r="G197" i="64"/>
  <c r="H476" i="73"/>
  <c r="Q292" i="74"/>
  <c r="N183" i="8"/>
  <c r="C762" i="64"/>
  <c r="C756" i="64"/>
  <c r="Y1049" i="64"/>
  <c r="F762" i="64"/>
  <c r="X1049" i="64"/>
  <c r="F748" i="64"/>
  <c r="F765" i="64"/>
  <c r="C748" i="64"/>
  <c r="F877" i="64"/>
  <c r="G869" i="64"/>
  <c r="G872" i="64"/>
  <c r="G874" i="64"/>
  <c r="G876" i="64"/>
  <c r="G871" i="64"/>
  <c r="G870" i="64"/>
  <c r="G873" i="64"/>
  <c r="P268" i="64"/>
  <c r="D241" i="64"/>
  <c r="K198" i="64"/>
  <c r="J198" i="64"/>
  <c r="Q198" i="64"/>
  <c r="L198" i="64"/>
  <c r="G198" i="64"/>
  <c r="H705" i="64"/>
  <c r="I681" i="64"/>
  <c r="M198" i="64"/>
  <c r="O198" i="64"/>
  <c r="CI18" i="65"/>
  <c r="R198" i="64"/>
  <c r="M705" i="64"/>
  <c r="D752" i="64"/>
  <c r="H752" i="64" s="1"/>
  <c r="I198" i="64"/>
  <c r="H198" i="64"/>
  <c r="U1047" i="64"/>
  <c r="U1049" i="64"/>
  <c r="M210" i="64"/>
  <c r="F731" i="64"/>
  <c r="C140" i="74"/>
  <c r="S1049" i="64"/>
  <c r="Y1046" i="64"/>
  <c r="S1046" i="64"/>
  <c r="CO1111" i="64"/>
  <c r="F773" i="64"/>
  <c r="C757" i="64"/>
  <c r="D844" i="64"/>
  <c r="BU214" i="65"/>
  <c r="J705" i="64"/>
  <c r="L681" i="64"/>
  <c r="F23" i="71"/>
  <c r="BU222" i="65"/>
  <c r="G800" i="64"/>
  <c r="G799" i="64"/>
  <c r="G798" i="64"/>
  <c r="G805" i="64"/>
  <c r="G802" i="64"/>
  <c r="G803" i="64"/>
  <c r="G801" i="64"/>
  <c r="F728" i="64"/>
  <c r="AC1046" i="64"/>
  <c r="AA1049" i="64"/>
  <c r="R1046" i="64"/>
  <c r="W1046" i="64"/>
  <c r="F744" i="64"/>
  <c r="AF1049" i="64"/>
  <c r="T1049" i="64"/>
  <c r="V1046" i="64"/>
  <c r="AF1047" i="64"/>
  <c r="AQ1047" i="64" s="1"/>
  <c r="AA1047" i="64"/>
  <c r="M712" i="64"/>
  <c r="I209" i="64"/>
  <c r="N204" i="64"/>
  <c r="G705" i="64"/>
  <c r="Q681" i="64"/>
  <c r="K205" i="64"/>
  <c r="BU203" i="65"/>
  <c r="Y1047" i="64"/>
  <c r="V1049" i="64"/>
  <c r="U1046" i="64"/>
  <c r="W1049" i="64"/>
  <c r="AB1049" i="64"/>
  <c r="Z1046" i="64"/>
  <c r="D242" i="64"/>
  <c r="H199" i="64"/>
  <c r="F705" i="64"/>
  <c r="I705" i="64"/>
  <c r="K705" i="64"/>
  <c r="J681" i="64"/>
  <c r="M681" i="64"/>
  <c r="G681" i="64"/>
  <c r="BG220" i="65"/>
  <c r="F732" i="64"/>
  <c r="N199" i="64"/>
  <c r="Q199" i="64"/>
  <c r="Q705" i="64"/>
  <c r="N705" i="64"/>
  <c r="O705" i="64"/>
  <c r="F681" i="64"/>
  <c r="C681" i="64"/>
  <c r="K681" i="64"/>
  <c r="O199" i="64"/>
  <c r="CI12" i="65"/>
  <c r="F730" i="64"/>
  <c r="F725" i="64"/>
  <c r="C725" i="64"/>
  <c r="F734" i="64"/>
  <c r="F729" i="64"/>
  <c r="I199" i="64"/>
  <c r="L199" i="64"/>
  <c r="G199" i="64"/>
  <c r="F727" i="64"/>
  <c r="AC1048" i="64"/>
  <c r="V1048" i="64"/>
  <c r="U1048" i="64"/>
  <c r="BU225" i="65"/>
  <c r="BU228" i="65"/>
  <c r="BU231" i="65"/>
  <c r="BU230" i="65"/>
  <c r="BU227" i="65"/>
  <c r="BU204" i="65"/>
  <c r="BU213" i="65"/>
  <c r="BU221" i="65"/>
  <c r="BU226" i="65"/>
  <c r="BU209" i="65"/>
  <c r="BU229" i="65"/>
  <c r="BU211" i="65"/>
  <c r="BU212" i="65"/>
  <c r="P210" i="64"/>
  <c r="O210" i="64"/>
  <c r="Q210" i="64"/>
  <c r="R210" i="64"/>
  <c r="G210" i="64"/>
  <c r="L210" i="64"/>
  <c r="K210" i="64"/>
  <c r="H210" i="64"/>
  <c r="I210" i="64"/>
  <c r="J210" i="64"/>
  <c r="C700" i="64"/>
  <c r="D771" i="64"/>
  <c r="D755" i="64"/>
  <c r="C684" i="64"/>
  <c r="F684" i="64" s="1"/>
  <c r="D763" i="64"/>
  <c r="F763" i="64" s="1"/>
  <c r="Y353" i="64"/>
  <c r="I1019" i="79"/>
  <c r="U1019" i="79" s="1"/>
  <c r="C754" i="64"/>
  <c r="F754" i="64"/>
  <c r="C750" i="64"/>
  <c r="F750" i="64"/>
  <c r="Y349" i="64"/>
  <c r="C130" i="74"/>
  <c r="G577" i="64"/>
  <c r="G761" i="64"/>
  <c r="H342" i="64"/>
  <c r="J751" i="64"/>
  <c r="P751" i="64"/>
  <c r="Y355" i="64"/>
  <c r="I1065" i="79"/>
  <c r="U1065" i="79" s="1"/>
  <c r="F749" i="64"/>
  <c r="C749" i="64"/>
  <c r="M776" i="64"/>
  <c r="N776" i="64"/>
  <c r="Q776" i="64"/>
  <c r="F776" i="64"/>
  <c r="O776" i="64"/>
  <c r="P776" i="64"/>
  <c r="J712" i="64"/>
  <c r="L712" i="64"/>
  <c r="C712" i="64"/>
  <c r="K712" i="64"/>
  <c r="N209" i="64"/>
  <c r="M209" i="64"/>
  <c r="G204" i="64"/>
  <c r="R204" i="64"/>
  <c r="Q204" i="64"/>
  <c r="CI19" i="65"/>
  <c r="CI21" i="65"/>
  <c r="CI11" i="65"/>
  <c r="BU224" i="65"/>
  <c r="D783" i="64"/>
  <c r="H712" i="64"/>
  <c r="D252" i="64"/>
  <c r="L209" i="64"/>
  <c r="L705" i="64"/>
  <c r="C705" i="64"/>
  <c r="P705" i="64"/>
  <c r="P681" i="64"/>
  <c r="H681" i="64"/>
  <c r="N681" i="64"/>
  <c r="K209" i="64"/>
  <c r="CI17" i="65"/>
  <c r="CI15" i="65"/>
  <c r="CI219" i="65"/>
  <c r="CI16" i="65"/>
  <c r="D181" i="8"/>
  <c r="D704" i="74"/>
  <c r="D34" i="25"/>
  <c r="P26" i="73"/>
  <c r="F202" i="73"/>
  <c r="R313" i="73"/>
  <c r="E320" i="73" s="1"/>
  <c r="P316" i="73"/>
  <c r="P375" i="73" s="1"/>
  <c r="O8" i="80"/>
  <c r="B1303" i="79"/>
  <c r="B1302" i="79"/>
  <c r="Y1263" i="79"/>
  <c r="M1682" i="79"/>
  <c r="AK1790" i="79"/>
  <c r="AM1790" i="79"/>
  <c r="AH1862" i="79"/>
  <c r="J1826" i="79"/>
  <c r="AL1898" i="79"/>
  <c r="AJ1862" i="79"/>
  <c r="AP1826" i="79"/>
  <c r="N1934" i="79"/>
  <c r="I1970" i="79"/>
  <c r="AJ1970" i="79"/>
  <c r="AH2005" i="79"/>
  <c r="AF2041" i="79"/>
  <c r="Y1261" i="79"/>
  <c r="AF1790" i="79"/>
  <c r="S1682" i="79"/>
  <c r="I1826" i="79"/>
  <c r="AL1862" i="79"/>
  <c r="N1826" i="79"/>
  <c r="AP1898" i="79"/>
  <c r="AN1862" i="79"/>
  <c r="K1862" i="79"/>
  <c r="R1934" i="79"/>
  <c r="M1970" i="79"/>
  <c r="AN1970" i="79"/>
  <c r="AP2005" i="79"/>
  <c r="AJ2041" i="79"/>
  <c r="N1682" i="79"/>
  <c r="AH1790" i="79"/>
  <c r="AM1826" i="79"/>
  <c r="S1898" i="79"/>
  <c r="Q1862" i="79"/>
  <c r="S1826" i="79"/>
  <c r="K1934" i="79"/>
  <c r="N1898" i="79"/>
  <c r="AH1970" i="79"/>
  <c r="AI2041" i="79"/>
  <c r="AK1970" i="79"/>
  <c r="F212" i="73"/>
  <c r="F478" i="73" s="1"/>
  <c r="F484" i="73" s="1"/>
  <c r="O41" i="10"/>
  <c r="D108" i="83"/>
  <c r="F111" i="8"/>
  <c r="E108" i="83" s="1"/>
  <c r="E21" i="71"/>
  <c r="F24" i="71"/>
  <c r="D22" i="71"/>
  <c r="G23" i="71"/>
  <c r="D24" i="71"/>
  <c r="C110" i="74"/>
  <c r="F1448" i="79"/>
  <c r="C861" i="79"/>
  <c r="I881" i="79"/>
  <c r="I950" i="79"/>
  <c r="U950" i="79" s="1"/>
  <c r="C855" i="79"/>
  <c r="Q26" i="73"/>
  <c r="N26" i="73"/>
  <c r="D45" i="69"/>
  <c r="E457" i="77" s="1"/>
  <c r="C146" i="61"/>
  <c r="C150" i="61" s="1"/>
  <c r="D87" i="61" s="1"/>
  <c r="G157" i="73"/>
  <c r="L26" i="73"/>
  <c r="F315" i="73"/>
  <c r="F316" i="73" s="1"/>
  <c r="H115" i="73"/>
  <c r="H116" i="73" s="1"/>
  <c r="G115" i="73"/>
  <c r="G116" i="73" s="1"/>
  <c r="T32" i="74"/>
  <c r="F21" i="71"/>
  <c r="D107" i="61"/>
  <c r="H12" i="25"/>
  <c r="H14" i="25" s="1"/>
  <c r="F108" i="85"/>
  <c r="G461" i="77"/>
  <c r="BG213" i="65"/>
  <c r="BG203" i="65"/>
  <c r="BG210" i="65"/>
  <c r="BG204" i="65"/>
  <c r="BG214" i="65"/>
  <c r="BG207" i="65"/>
  <c r="BG208" i="65"/>
  <c r="BG205" i="65"/>
  <c r="BG206" i="65"/>
  <c r="BG212" i="65"/>
  <c r="G265" i="73"/>
  <c r="S189" i="8"/>
  <c r="S206" i="8" s="1"/>
  <c r="G190" i="85"/>
  <c r="D86" i="61" s="1"/>
  <c r="F295" i="73"/>
  <c r="I38" i="61"/>
  <c r="D31" i="61" s="1"/>
  <c r="G108" i="85"/>
  <c r="H108" i="85"/>
  <c r="Q18" i="85"/>
  <c r="N315" i="73"/>
  <c r="N316" i="73" s="1"/>
  <c r="N375" i="73" s="1"/>
  <c r="N292" i="73"/>
  <c r="N293" i="73" s="1"/>
  <c r="R24" i="73"/>
  <c r="G146" i="71" s="1"/>
  <c r="D37" i="9"/>
  <c r="D66" i="9"/>
  <c r="D81" i="9" s="1"/>
  <c r="D96" i="9" s="1"/>
  <c r="D107" i="9" s="1"/>
  <c r="O55" i="10"/>
  <c r="C10" i="25" s="1"/>
  <c r="F5" i="9"/>
  <c r="E7" i="9"/>
  <c r="E22" i="9" s="1"/>
  <c r="E52" i="9" s="1"/>
  <c r="O67" i="80"/>
  <c r="O62" i="80"/>
  <c r="O54" i="80"/>
  <c r="D30" i="10"/>
  <c r="D31" i="80"/>
  <c r="F137" i="8"/>
  <c r="D135" i="83"/>
  <c r="C41" i="80"/>
  <c r="E29" i="10"/>
  <c r="E134" i="83"/>
  <c r="E166" i="83" s="1"/>
  <c r="E30" i="80"/>
  <c r="G135" i="8"/>
  <c r="E170" i="8"/>
  <c r="D41" i="80" s="1"/>
  <c r="O32" i="80"/>
  <c r="I111" i="61"/>
  <c r="D111" i="83"/>
  <c r="D25" i="80"/>
  <c r="D25" i="10"/>
  <c r="F112" i="8"/>
  <c r="G156" i="8"/>
  <c r="F33" i="10" s="1"/>
  <c r="F159" i="8"/>
  <c r="D79" i="83"/>
  <c r="F93" i="8"/>
  <c r="E95" i="8"/>
  <c r="D143" i="83"/>
  <c r="C143" i="83"/>
  <c r="C150" i="83" s="1"/>
  <c r="C36" i="80"/>
  <c r="D177" i="8"/>
  <c r="D107" i="83"/>
  <c r="D23" i="10"/>
  <c r="D23" i="80"/>
  <c r="F110" i="8"/>
  <c r="D37" i="80"/>
  <c r="D34" i="10"/>
  <c r="D144" i="83"/>
  <c r="F161" i="8"/>
  <c r="D38" i="80"/>
  <c r="D35" i="10"/>
  <c r="F162" i="8"/>
  <c r="D145" i="83"/>
  <c r="P378" i="79"/>
  <c r="AF2037" i="79"/>
  <c r="AO2037" i="79"/>
  <c r="I2037" i="79"/>
  <c r="L2037" i="79"/>
  <c r="Q2001" i="79"/>
  <c r="AH2037" i="79"/>
  <c r="AL2001" i="79"/>
  <c r="L2001" i="79"/>
  <c r="K2001" i="79"/>
  <c r="S1966" i="79"/>
  <c r="R2001" i="79"/>
  <c r="AF1966" i="79"/>
  <c r="AP1930" i="79"/>
  <c r="P1930" i="79"/>
  <c r="AG2001" i="79"/>
  <c r="AI1966" i="79"/>
  <c r="AL2037" i="79"/>
  <c r="N2001" i="79"/>
  <c r="T1966" i="79"/>
  <c r="AJ1930" i="79"/>
  <c r="AM1930" i="79"/>
  <c r="AJ1894" i="79"/>
  <c r="J1894" i="79"/>
  <c r="S1858" i="79"/>
  <c r="AL1822" i="79"/>
  <c r="L1822" i="79"/>
  <c r="AQ1894" i="79"/>
  <c r="M1894" i="79"/>
  <c r="AF1858" i="79"/>
  <c r="AO1822" i="79"/>
  <c r="O1822" i="79"/>
  <c r="Q1930" i="79"/>
  <c r="AH1894" i="79"/>
  <c r="AQ1858" i="79"/>
  <c r="M1858" i="79"/>
  <c r="AF1822" i="79"/>
  <c r="AO1930" i="79"/>
  <c r="AO1894" i="79"/>
  <c r="O1894" i="79"/>
  <c r="AH1858" i="79"/>
  <c r="AQ1822" i="79"/>
  <c r="M1822" i="79"/>
  <c r="AI1786" i="79"/>
  <c r="T1786" i="79"/>
  <c r="AO1786" i="79"/>
  <c r="O1786" i="79"/>
  <c r="R1786" i="79"/>
  <c r="AJ2037" i="79"/>
  <c r="AI2037" i="79"/>
  <c r="AK2037" i="79"/>
  <c r="AI2001" i="79"/>
  <c r="Q2037" i="79"/>
  <c r="T2001" i="79"/>
  <c r="S2001" i="79"/>
  <c r="O1966" i="79"/>
  <c r="AN1966" i="79"/>
  <c r="J1966" i="79"/>
  <c r="AM2037" i="79"/>
  <c r="AQ1966" i="79"/>
  <c r="I1966" i="79"/>
  <c r="AP1966" i="79"/>
  <c r="L1966" i="79"/>
  <c r="N1930" i="79"/>
  <c r="AF1894" i="79"/>
  <c r="AK1858" i="79"/>
  <c r="AP1822" i="79"/>
  <c r="AK1930" i="79"/>
  <c r="AI1894" i="79"/>
  <c r="AJ1858" i="79"/>
  <c r="AK1822" i="79"/>
  <c r="AQ1930" i="79"/>
  <c r="AL1894" i="79"/>
  <c r="AM1858" i="79"/>
  <c r="AN1822" i="79"/>
  <c r="J1822" i="79"/>
  <c r="AK1894" i="79"/>
  <c r="AP1858" i="79"/>
  <c r="L1858" i="79"/>
  <c r="I1822" i="79"/>
  <c r="M1786" i="79"/>
  <c r="AP1786" i="79"/>
  <c r="L1786" i="79"/>
  <c r="AK1786" i="79"/>
  <c r="AJ1786" i="79"/>
  <c r="R2037" i="79"/>
  <c r="T2037" i="79"/>
  <c r="S2037" i="79"/>
  <c r="M2001" i="79"/>
  <c r="K2037" i="79"/>
  <c r="P2001" i="79"/>
  <c r="AO1966" i="79"/>
  <c r="K1966" i="79"/>
  <c r="AJ1966" i="79"/>
  <c r="AL1930" i="79"/>
  <c r="P2037" i="79"/>
  <c r="AM1966" i="79"/>
  <c r="M2037" i="79"/>
  <c r="AL1966" i="79"/>
  <c r="AN1930" i="79"/>
  <c r="M1930" i="79"/>
  <c r="R1894" i="79"/>
  <c r="AG1858" i="79"/>
  <c r="AH1822" i="79"/>
  <c r="S1930" i="79"/>
  <c r="Q1894" i="79"/>
  <c r="R1858" i="79"/>
  <c r="AG1822" i="79"/>
  <c r="AI1930" i="79"/>
  <c r="T1894" i="79"/>
  <c r="AI1858" i="79"/>
  <c r="AJ1822" i="79"/>
  <c r="AG1930" i="79"/>
  <c r="AG1894" i="79"/>
  <c r="AL1858" i="79"/>
  <c r="AM1822" i="79"/>
  <c r="AQ1786" i="79"/>
  <c r="I1786" i="79"/>
  <c r="AL1786" i="79"/>
  <c r="AG1786" i="79"/>
  <c r="AF1786" i="79"/>
  <c r="R2041" i="79"/>
  <c r="AL2041" i="79"/>
  <c r="AM2041" i="79"/>
  <c r="AI2005" i="79"/>
  <c r="AK2041" i="79"/>
  <c r="AL2005" i="79"/>
  <c r="L2005" i="79"/>
  <c r="S2005" i="79"/>
  <c r="AG1970" i="79"/>
  <c r="AO2041" i="79"/>
  <c r="J2005" i="79"/>
  <c r="R1970" i="79"/>
  <c r="AL1934" i="79"/>
  <c r="L1934" i="79"/>
  <c r="AG2005" i="79"/>
  <c r="AI1970" i="79"/>
  <c r="N2041" i="79"/>
  <c r="Q2041" i="79"/>
  <c r="AM2005" i="79"/>
  <c r="T2041" i="79"/>
  <c r="T2005" i="79"/>
  <c r="AK2005" i="79"/>
  <c r="S1970" i="79"/>
  <c r="AJ2005" i="79"/>
  <c r="AF1970" i="79"/>
  <c r="AH1934" i="79"/>
  <c r="K2041" i="79"/>
  <c r="AM1970" i="79"/>
  <c r="AH2041" i="79"/>
  <c r="N2005" i="79"/>
  <c r="T1970" i="79"/>
  <c r="AJ1934" i="79"/>
  <c r="J1934" i="79"/>
  <c r="AJ1898" i="79"/>
  <c r="J1898" i="79"/>
  <c r="S1862" i="79"/>
  <c r="AL1826" i="79"/>
  <c r="L1826" i="79"/>
  <c r="AQ1898" i="79"/>
  <c r="M1898" i="79"/>
  <c r="AF1862" i="79"/>
  <c r="AO1826" i="79"/>
  <c r="O1826" i="79"/>
  <c r="Q1934" i="79"/>
  <c r="AH1898" i="79"/>
  <c r="AQ1862" i="79"/>
  <c r="M1862" i="79"/>
  <c r="AF1826" i="79"/>
  <c r="AO1934" i="79"/>
  <c r="AN2041" i="79"/>
  <c r="J2041" i="79"/>
  <c r="L2041" i="79"/>
  <c r="Q2005" i="79"/>
  <c r="M2041" i="79"/>
  <c r="P2005" i="79"/>
  <c r="K2005" i="79"/>
  <c r="O1970" i="79"/>
  <c r="R2005" i="79"/>
  <c r="N1970" i="79"/>
  <c r="T1934" i="79"/>
  <c r="AO2005" i="79"/>
  <c r="Q1970" i="79"/>
  <c r="I2041" i="79"/>
  <c r="AP1970" i="79"/>
  <c r="P1970" i="79"/>
  <c r="AF1934" i="79"/>
  <c r="AM1934" i="79"/>
  <c r="AF1898" i="79"/>
  <c r="AO1862" i="79"/>
  <c r="O1862" i="79"/>
  <c r="AH1826" i="79"/>
  <c r="AK1934" i="79"/>
  <c r="AM1898" i="79"/>
  <c r="I1898" i="79"/>
  <c r="R1862" i="79"/>
  <c r="AK1826" i="79"/>
  <c r="K1826" i="79"/>
  <c r="I1934" i="79"/>
  <c r="T1898" i="79"/>
  <c r="AM1862" i="79"/>
  <c r="I1862" i="79"/>
  <c r="R1826" i="79"/>
  <c r="AG1934" i="79"/>
  <c r="AG1898" i="79"/>
  <c r="AP1862" i="79"/>
  <c r="P1862" i="79"/>
  <c r="AI1826" i="79"/>
  <c r="AQ1790" i="79"/>
  <c r="T1682" i="79"/>
  <c r="AL1790" i="79"/>
  <c r="O1682" i="79"/>
  <c r="AG1790" i="79"/>
  <c r="J1682" i="79"/>
  <c r="Q1682" i="79"/>
  <c r="AJ1790" i="79"/>
  <c r="AO1790" i="79"/>
  <c r="L1682" i="79"/>
  <c r="M1826" i="79"/>
  <c r="L1862" i="79"/>
  <c r="K1898" i="79"/>
  <c r="AO1898" i="79"/>
  <c r="AJ1826" i="79"/>
  <c r="L1898" i="79"/>
  <c r="AI1934" i="79"/>
  <c r="J1862" i="79"/>
  <c r="Q1898" i="79"/>
  <c r="P1826" i="79"/>
  <c r="AG1862" i="79"/>
  <c r="AN1898" i="79"/>
  <c r="AN1934" i="79"/>
  <c r="AF2005" i="79"/>
  <c r="AQ1970" i="79"/>
  <c r="AP1934" i="79"/>
  <c r="P2041" i="79"/>
  <c r="S2041" i="79"/>
  <c r="I2005" i="79"/>
  <c r="AG2041" i="79"/>
  <c r="AN1786" i="79"/>
  <c r="P1786" i="79"/>
  <c r="Q1822" i="79"/>
  <c r="K1894" i="79"/>
  <c r="N1822" i="79"/>
  <c r="L1894" i="79"/>
  <c r="K1822" i="79"/>
  <c r="AN1858" i="79"/>
  <c r="P1822" i="79"/>
  <c r="AO1858" i="79"/>
  <c r="R1930" i="79"/>
  <c r="AF2001" i="79"/>
  <c r="O2001" i="79"/>
  <c r="N1966" i="79"/>
  <c r="AG1966" i="79"/>
  <c r="AH2001" i="79"/>
  <c r="AM2001" i="79"/>
  <c r="J2037" i="79"/>
  <c r="AN1790" i="79"/>
  <c r="K1682" i="79"/>
  <c r="P1682" i="79"/>
  <c r="AI1790" i="79"/>
  <c r="Q1826" i="79"/>
  <c r="T1862" i="79"/>
  <c r="O1898" i="79"/>
  <c r="O1934" i="79"/>
  <c r="AN1826" i="79"/>
  <c r="P1898" i="79"/>
  <c r="AQ1934" i="79"/>
  <c r="N1862" i="79"/>
  <c r="AI1898" i="79"/>
  <c r="T1826" i="79"/>
  <c r="AK1862" i="79"/>
  <c r="M1934" i="79"/>
  <c r="L1970" i="79"/>
  <c r="AN2005" i="79"/>
  <c r="O2005" i="79"/>
  <c r="J1970" i="79"/>
  <c r="K1970" i="79"/>
  <c r="AP2041" i="79"/>
  <c r="M2005" i="79"/>
  <c r="AQ2041" i="79"/>
  <c r="AH1786" i="79"/>
  <c r="AI1822" i="79"/>
  <c r="S1894" i="79"/>
  <c r="R1822" i="79"/>
  <c r="P1894" i="79"/>
  <c r="S1822" i="79"/>
  <c r="I1894" i="79"/>
  <c r="T1822" i="79"/>
  <c r="N1894" i="79"/>
  <c r="AF1930" i="79"/>
  <c r="AN2001" i="79"/>
  <c r="AO2001" i="79"/>
  <c r="R1966" i="79"/>
  <c r="AK1966" i="79"/>
  <c r="AP2001" i="79"/>
  <c r="AQ2001" i="79"/>
  <c r="N2037" i="79"/>
  <c r="E22" i="71"/>
  <c r="F1451" i="79"/>
  <c r="C200" i="74"/>
  <c r="C871" i="79"/>
  <c r="H385" i="64"/>
  <c r="C867" i="79"/>
  <c r="C190" i="74"/>
  <c r="G339" i="64"/>
  <c r="D21" i="71"/>
  <c r="C10" i="10"/>
  <c r="BG227" i="65"/>
  <c r="BG224" i="65"/>
  <c r="F689" i="64"/>
  <c r="AG1040" i="64"/>
  <c r="AG1044" i="64"/>
  <c r="G597" i="64"/>
  <c r="G590" i="64"/>
  <c r="G574" i="64"/>
  <c r="F686" i="64"/>
  <c r="G814" i="64"/>
  <c r="G591" i="64"/>
  <c r="G588" i="64"/>
  <c r="G576" i="64"/>
  <c r="G579" i="64"/>
  <c r="G589" i="64"/>
  <c r="R1038" i="64"/>
  <c r="G598" i="64"/>
  <c r="G582" i="64"/>
  <c r="G578" i="64"/>
  <c r="AG1045" i="64"/>
  <c r="G599" i="64"/>
  <c r="G580" i="64"/>
  <c r="G575" i="64"/>
  <c r="G581" i="64"/>
  <c r="G239" i="73"/>
  <c r="CI225" i="65"/>
  <c r="CI204" i="65"/>
  <c r="CI224" i="65"/>
  <c r="BU220" i="65"/>
  <c r="AM1650" i="79"/>
  <c r="AO1794" i="79"/>
  <c r="AQ1794" i="79"/>
  <c r="AQ1938" i="79"/>
  <c r="N1938" i="79"/>
  <c r="K2009" i="79"/>
  <c r="N2045" i="79"/>
  <c r="L2117" i="79"/>
  <c r="N1760" i="79"/>
  <c r="AH1722" i="79"/>
  <c r="AF1722" i="79"/>
  <c r="AL1866" i="79"/>
  <c r="AJ1866" i="79"/>
  <c r="N2009" i="79"/>
  <c r="Q2045" i="79"/>
  <c r="AL2045" i="79"/>
  <c r="N2047" i="79"/>
  <c r="N1650" i="79"/>
  <c r="AJ1794" i="79"/>
  <c r="AP1794" i="79"/>
  <c r="J1830" i="79"/>
  <c r="AK1938" i="79"/>
  <c r="L1938" i="79"/>
  <c r="AN2045" i="79"/>
  <c r="Q2102" i="79"/>
  <c r="Q2120" i="79"/>
  <c r="P2105" i="79"/>
  <c r="L2120" i="79"/>
  <c r="R2089" i="79"/>
  <c r="M2074" i="79"/>
  <c r="AG2048" i="79"/>
  <c r="S2120" i="79"/>
  <c r="N2105" i="79"/>
  <c r="I2089" i="79"/>
  <c r="AN2048" i="79"/>
  <c r="N2048" i="79"/>
  <c r="S2089" i="79"/>
  <c r="T2048" i="79"/>
  <c r="O2089" i="79"/>
  <c r="K2074" i="79"/>
  <c r="M2105" i="79"/>
  <c r="AI2048" i="79"/>
  <c r="AH2048" i="79"/>
  <c r="AG2012" i="79"/>
  <c r="T2089" i="79"/>
  <c r="AF2012" i="79"/>
  <c r="AQ1977" i="79"/>
  <c r="M1977" i="79"/>
  <c r="AN1977" i="79"/>
  <c r="AO1941" i="79"/>
  <c r="O1941" i="79"/>
  <c r="L2012" i="79"/>
  <c r="L1977" i="79"/>
  <c r="R1941" i="79"/>
  <c r="AI2012" i="79"/>
  <c r="AK1977" i="79"/>
  <c r="AQ1941" i="79"/>
  <c r="M1941" i="79"/>
  <c r="P2012" i="79"/>
  <c r="O1977" i="79"/>
  <c r="AH1941" i="79"/>
  <c r="AP1905" i="79"/>
  <c r="P1905" i="79"/>
  <c r="AI1869" i="79"/>
  <c r="AN1833" i="79"/>
  <c r="N1833" i="79"/>
  <c r="AG1905" i="79"/>
  <c r="AP1869" i="79"/>
  <c r="P1869" i="79"/>
  <c r="AI1833" i="79"/>
  <c r="AN1905" i="79"/>
  <c r="N1905" i="79"/>
  <c r="AG1869" i="79"/>
  <c r="AP1833" i="79"/>
  <c r="P1833" i="79"/>
  <c r="AI1905" i="79"/>
  <c r="AN1869" i="79"/>
  <c r="N1869" i="79"/>
  <c r="AG1833" i="79"/>
  <c r="AO1797" i="79"/>
  <c r="O1797" i="79"/>
  <c r="L1761" i="79"/>
  <c r="Q1725" i="79"/>
  <c r="AJ1689" i="79"/>
  <c r="J1689" i="79"/>
  <c r="R1797" i="79"/>
  <c r="O1761" i="79"/>
  <c r="AH1725" i="79"/>
  <c r="AQ1689" i="79"/>
  <c r="M1689" i="79"/>
  <c r="AI1797" i="79"/>
  <c r="R1761" i="79"/>
  <c r="AK1725" i="79"/>
  <c r="K1725" i="79"/>
  <c r="T1689" i="79"/>
  <c r="AL1653" i="79"/>
  <c r="L1653" i="79"/>
  <c r="T1797" i="79"/>
  <c r="M1761" i="79"/>
  <c r="AF1725" i="79"/>
  <c r="AO1689" i="79"/>
  <c r="O1689" i="79"/>
  <c r="AG1653" i="79"/>
  <c r="I2120" i="79"/>
  <c r="T2120" i="79"/>
  <c r="O2105" i="79"/>
  <c r="J2089" i="79"/>
  <c r="AO2048" i="79"/>
  <c r="O2048" i="79"/>
  <c r="K2120" i="79"/>
  <c r="Q2089" i="79"/>
  <c r="P2074" i="79"/>
  <c r="AF2048" i="79"/>
  <c r="J2120" i="79"/>
  <c r="N2074" i="79"/>
  <c r="R2120" i="79"/>
  <c r="J2074" i="79"/>
  <c r="AM2048" i="79"/>
  <c r="P2048" i="79"/>
  <c r="N2120" i="79"/>
  <c r="AO2012" i="79"/>
  <c r="O2012" i="79"/>
  <c r="AN2012" i="79"/>
  <c r="N2012" i="79"/>
  <c r="AI1977" i="79"/>
  <c r="AM2012" i="79"/>
  <c r="S1977" i="79"/>
  <c r="AG1941" i="79"/>
  <c r="AL2012" i="79"/>
  <c r="AG1977" i="79"/>
  <c r="AJ1941" i="79"/>
  <c r="J1941" i="79"/>
  <c r="I2012" i="79"/>
  <c r="P1977" i="79"/>
  <c r="AI1941" i="79"/>
  <c r="AP2012" i="79"/>
  <c r="AJ1977" i="79"/>
  <c r="AP1941" i="79"/>
  <c r="P1941" i="79"/>
  <c r="AH1905" i="79"/>
  <c r="AQ1869" i="79"/>
  <c r="M1869" i="79"/>
  <c r="AF1833" i="79"/>
  <c r="AO1905" i="79"/>
  <c r="O1905" i="79"/>
  <c r="AH1869" i="79"/>
  <c r="AQ1833" i="79"/>
  <c r="M1833" i="79"/>
  <c r="AF1905" i="79"/>
  <c r="AO1869" i="79"/>
  <c r="O1869" i="79"/>
  <c r="AH1833" i="79"/>
  <c r="AQ1905" i="79"/>
  <c r="M1905" i="79"/>
  <c r="AF1869" i="79"/>
  <c r="AO1833" i="79"/>
  <c r="O1833" i="79"/>
  <c r="AG1797" i="79"/>
  <c r="T1761" i="79"/>
  <c r="AM1725" i="79"/>
  <c r="I1725" i="79"/>
  <c r="R1689" i="79"/>
  <c r="AJ1797" i="79"/>
  <c r="J1797" i="79"/>
  <c r="AP1725" i="79"/>
  <c r="P1725" i="79"/>
  <c r="AI1689" i="79"/>
  <c r="AQ1797" i="79"/>
  <c r="M1797" i="79"/>
  <c r="J1761" i="79"/>
  <c r="S1725" i="79"/>
  <c r="AL1689" i="79"/>
  <c r="L1689" i="79"/>
  <c r="T1653" i="79"/>
  <c r="AL1797" i="79"/>
  <c r="L1797" i="79"/>
  <c r="AN1725" i="79"/>
  <c r="N1725" i="79"/>
  <c r="AG1689" i="79"/>
  <c r="AO1653" i="79"/>
  <c r="O1653" i="79"/>
  <c r="AM1653" i="79"/>
  <c r="N1653" i="79"/>
  <c r="I1653" i="79"/>
  <c r="AN1653" i="79"/>
  <c r="J1653" i="79"/>
  <c r="S1653" i="79"/>
  <c r="AK1689" i="79"/>
  <c r="I1761" i="79"/>
  <c r="AP1797" i="79"/>
  <c r="P1689" i="79"/>
  <c r="AG1725" i="79"/>
  <c r="Q1797" i="79"/>
  <c r="AM1689" i="79"/>
  <c r="K1761" i="79"/>
  <c r="AN1797" i="79"/>
  <c r="M1725" i="79"/>
  <c r="K1797" i="79"/>
  <c r="S1833" i="79"/>
  <c r="AJ1869" i="79"/>
  <c r="L1833" i="79"/>
  <c r="S1869" i="79"/>
  <c r="AJ1905" i="79"/>
  <c r="L1869" i="79"/>
  <c r="S1905" i="79"/>
  <c r="AJ1833" i="79"/>
  <c r="L1905" i="79"/>
  <c r="T1941" i="79"/>
  <c r="AO1977" i="79"/>
  <c r="AM1941" i="79"/>
  <c r="Q2012" i="79"/>
  <c r="AN1941" i="79"/>
  <c r="K1941" i="79"/>
  <c r="AH1977" i="79"/>
  <c r="AM1977" i="79"/>
  <c r="AQ2048" i="79"/>
  <c r="I2048" i="79"/>
  <c r="AP2048" i="79"/>
  <c r="R2074" i="79"/>
  <c r="K2089" i="79"/>
  <c r="AJ2048" i="79"/>
  <c r="J2105" i="79"/>
  <c r="S2048" i="79"/>
  <c r="N2089" i="79"/>
  <c r="L2105" i="79"/>
  <c r="Y1248" i="79"/>
  <c r="Y1213" i="79"/>
  <c r="Y1281" i="79" s="1"/>
  <c r="AQ1653" i="79"/>
  <c r="AF1653" i="79"/>
  <c r="Y1255" i="79"/>
  <c r="AK1653" i="79"/>
  <c r="J1725" i="79"/>
  <c r="Q1761" i="79"/>
  <c r="P1653" i="79"/>
  <c r="AH1689" i="79"/>
  <c r="AO1725" i="79"/>
  <c r="AM1797" i="79"/>
  <c r="L1725" i="79"/>
  <c r="S1761" i="79"/>
  <c r="N1689" i="79"/>
  <c r="AI1725" i="79"/>
  <c r="S1797" i="79"/>
  <c r="AK1833" i="79"/>
  <c r="I1905" i="79"/>
  <c r="T1833" i="79"/>
  <c r="AK1869" i="79"/>
  <c r="I1833" i="79"/>
  <c r="T1869" i="79"/>
  <c r="AK1905" i="79"/>
  <c r="I1869" i="79"/>
  <c r="T1905" i="79"/>
  <c r="AL1941" i="79"/>
  <c r="AH2012" i="79"/>
  <c r="K1977" i="79"/>
  <c r="AQ2012" i="79"/>
  <c r="R1977" i="79"/>
  <c r="S1941" i="79"/>
  <c r="M2012" i="79"/>
  <c r="J2012" i="79"/>
  <c r="K2012" i="79"/>
  <c r="O2074" i="79"/>
  <c r="Q2048" i="79"/>
  <c r="Q2105" i="79"/>
  <c r="I2105" i="79"/>
  <c r="L2074" i="79"/>
  <c r="R2105" i="79"/>
  <c r="AK2048" i="79"/>
  <c r="K2105" i="79"/>
  <c r="T2105" i="79"/>
  <c r="Y1224" i="79"/>
  <c r="Y1292" i="79" s="1"/>
  <c r="Y1259" i="79"/>
  <c r="AI1653" i="79"/>
  <c r="AJ1653" i="79"/>
  <c r="Y1253" i="79"/>
  <c r="K1689" i="79"/>
  <c r="R1725" i="79"/>
  <c r="P1797" i="79"/>
  <c r="AH1653" i="79"/>
  <c r="AP1689" i="79"/>
  <c r="N1761" i="79"/>
  <c r="I1689" i="79"/>
  <c r="T1725" i="79"/>
  <c r="N1797" i="79"/>
  <c r="AF1689" i="79"/>
  <c r="AQ1725" i="79"/>
  <c r="AK1797" i="79"/>
  <c r="J1869" i="79"/>
  <c r="Q1905" i="79"/>
  <c r="AL1833" i="79"/>
  <c r="J1905" i="79"/>
  <c r="Q1833" i="79"/>
  <c r="AL1869" i="79"/>
  <c r="J1833" i="79"/>
  <c r="Q1869" i="79"/>
  <c r="AL1905" i="79"/>
  <c r="J1977" i="79"/>
  <c r="I1941" i="79"/>
  <c r="AF1977" i="79"/>
  <c r="N1941" i="79"/>
  <c r="AL1977" i="79"/>
  <c r="AK1941" i="79"/>
  <c r="I1977" i="79"/>
  <c r="R2012" i="79"/>
  <c r="S2012" i="79"/>
  <c r="M2048" i="79"/>
  <c r="L2089" i="79"/>
  <c r="L2048" i="79"/>
  <c r="J2048" i="79"/>
  <c r="T2074" i="79"/>
  <c r="O2120" i="79"/>
  <c r="I2074" i="79"/>
  <c r="S2105" i="79"/>
  <c r="M2120" i="79"/>
  <c r="AH1652" i="79"/>
  <c r="AQ1904" i="79"/>
  <c r="R1650" i="79"/>
  <c r="P1650" i="79"/>
  <c r="AQ1650" i="79"/>
  <c r="AL1722" i="79"/>
  <c r="J1686" i="79"/>
  <c r="AM1722" i="79"/>
  <c r="K1686" i="79"/>
  <c r="AN1722" i="79"/>
  <c r="L1686" i="79"/>
  <c r="AO1722" i="79"/>
  <c r="M1830" i="79"/>
  <c r="AP1866" i="79"/>
  <c r="N1830" i="79"/>
  <c r="L1902" i="79"/>
  <c r="K1830" i="79"/>
  <c r="AN1866" i="79"/>
  <c r="P1830" i="79"/>
  <c r="AO1866" i="79"/>
  <c r="R1938" i="79"/>
  <c r="AN2009" i="79"/>
  <c r="P1938" i="79"/>
  <c r="J2009" i="79"/>
  <c r="AK2009" i="79"/>
  <c r="AK2045" i="79"/>
  <c r="T2102" i="79"/>
  <c r="S2086" i="79"/>
  <c r="S2045" i="79"/>
  <c r="AP2045" i="79"/>
  <c r="N2117" i="79"/>
  <c r="Q2086" i="79"/>
  <c r="P2117" i="79"/>
  <c r="Y1265" i="79"/>
  <c r="Q1688" i="79"/>
  <c r="R1904" i="79"/>
  <c r="K1650" i="79"/>
  <c r="AP1650" i="79"/>
  <c r="AI1686" i="79"/>
  <c r="S1758" i="79"/>
  <c r="AJ1686" i="79"/>
  <c r="T1758" i="79"/>
  <c r="AK1686" i="79"/>
  <c r="L1794" i="79"/>
  <c r="AL1686" i="79"/>
  <c r="I1794" i="79"/>
  <c r="AQ1830" i="79"/>
  <c r="AG1902" i="79"/>
  <c r="AN1830" i="79"/>
  <c r="AL1902" i="79"/>
  <c r="AK1830" i="79"/>
  <c r="AI1902" i="79"/>
  <c r="AP1830" i="79"/>
  <c r="AF1902" i="79"/>
  <c r="L1974" i="79"/>
  <c r="AI1974" i="79"/>
  <c r="AP1938" i="79"/>
  <c r="O1974" i="79"/>
  <c r="P2009" i="79"/>
  <c r="Q2009" i="79"/>
  <c r="AG2045" i="79"/>
  <c r="Q2071" i="79"/>
  <c r="R2086" i="79"/>
  <c r="L2086" i="79"/>
  <c r="AQ2045" i="79"/>
  <c r="K2117" i="79"/>
  <c r="AH1796" i="79"/>
  <c r="O1650" i="79"/>
  <c r="I1650" i="79"/>
  <c r="AQ1686" i="79"/>
  <c r="J1794" i="79"/>
  <c r="AN1686" i="79"/>
  <c r="O1794" i="79"/>
  <c r="AO1686" i="79"/>
  <c r="P1794" i="79"/>
  <c r="K1722" i="79"/>
  <c r="M1794" i="79"/>
  <c r="L1866" i="79"/>
  <c r="AO1902" i="79"/>
  <c r="I1866" i="79"/>
  <c r="AP1902" i="79"/>
  <c r="J1866" i="79"/>
  <c r="AM1902" i="79"/>
  <c r="K1866" i="79"/>
  <c r="AN1902" i="79"/>
  <c r="P1974" i="79"/>
  <c r="AN1974" i="79"/>
  <c r="N1974" i="79"/>
  <c r="S1974" i="79"/>
  <c r="T2009" i="79"/>
  <c r="AM2009" i="79"/>
  <c r="O2086" i="79"/>
  <c r="N2086" i="79"/>
  <c r="Q2117" i="79"/>
  <c r="P2086" i="79"/>
  <c r="L2071" i="79"/>
  <c r="B1301" i="79"/>
  <c r="AM364" i="79"/>
  <c r="F674" i="64"/>
  <c r="S673" i="64"/>
  <c r="AS673" i="64" s="1"/>
  <c r="F694" i="64"/>
  <c r="G183" i="64" s="1"/>
  <c r="F709" i="64"/>
  <c r="G196" i="64" s="1"/>
  <c r="G326" i="64"/>
  <c r="G359" i="64"/>
  <c r="G379" i="64"/>
  <c r="S2102" i="79"/>
  <c r="O2117" i="79"/>
  <c r="J2102" i="79"/>
  <c r="T2071" i="79"/>
  <c r="AM2045" i="79"/>
  <c r="J2117" i="79"/>
  <c r="T2086" i="79"/>
  <c r="O2071" i="79"/>
  <c r="AH2045" i="79"/>
  <c r="P2102" i="79"/>
  <c r="AJ2045" i="79"/>
  <c r="M2117" i="79"/>
  <c r="I2071" i="79"/>
  <c r="N2071" i="79"/>
  <c r="I2045" i="79"/>
  <c r="K2086" i="79"/>
  <c r="R2045" i="79"/>
  <c r="AI2009" i="79"/>
  <c r="J2071" i="79"/>
  <c r="AL2009" i="79"/>
  <c r="L2009" i="79"/>
  <c r="S2009" i="79"/>
  <c r="AG1974" i="79"/>
  <c r="AJ2009" i="79"/>
  <c r="AJ1974" i="79"/>
  <c r="J1974" i="79"/>
  <c r="T1938" i="79"/>
  <c r="AG2009" i="79"/>
  <c r="Q1974" i="79"/>
  <c r="AF2009" i="79"/>
  <c r="T1974" i="79"/>
  <c r="AJ1938" i="79"/>
  <c r="J1938" i="79"/>
  <c r="AJ1902" i="79"/>
  <c r="J1902" i="79"/>
  <c r="S1866" i="79"/>
  <c r="AL1830" i="79"/>
  <c r="L1830" i="79"/>
  <c r="AQ1902" i="79"/>
  <c r="M1902" i="79"/>
  <c r="AF1866" i="79"/>
  <c r="AO1830" i="79"/>
  <c r="O1830" i="79"/>
  <c r="Q1938" i="79"/>
  <c r="AH1902" i="79"/>
  <c r="AQ1866" i="79"/>
  <c r="M1866" i="79"/>
  <c r="AF1830" i="79"/>
  <c r="AO1938" i="79"/>
  <c r="AK1902" i="79"/>
  <c r="K1902" i="79"/>
  <c r="T1866" i="79"/>
  <c r="AM1830" i="79"/>
  <c r="I1830" i="79"/>
  <c r="Q1794" i="79"/>
  <c r="N1758" i="79"/>
  <c r="AG1722" i="79"/>
  <c r="AP1686" i="79"/>
  <c r="P1686" i="79"/>
  <c r="AH1794" i="79"/>
  <c r="Q1758" i="79"/>
  <c r="AJ1722" i="79"/>
  <c r="J1722" i="79"/>
  <c r="S1686" i="79"/>
  <c r="AK1794" i="79"/>
  <c r="K1794" i="79"/>
  <c r="AQ1722" i="79"/>
  <c r="M1722" i="79"/>
  <c r="AF1686" i="79"/>
  <c r="AN1794" i="79"/>
  <c r="N1794" i="79"/>
  <c r="K1758" i="79"/>
  <c r="T1722" i="79"/>
  <c r="AM1686" i="79"/>
  <c r="I1686" i="79"/>
  <c r="Q1650" i="79"/>
  <c r="AL1650" i="79"/>
  <c r="L1650" i="79"/>
  <c r="S1650" i="79"/>
  <c r="AJ1650" i="79"/>
  <c r="J1650" i="79"/>
  <c r="Y1267" i="79"/>
  <c r="Y1243" i="79"/>
  <c r="AK2047" i="79"/>
  <c r="AN1976" i="79"/>
  <c r="AJ1832" i="79"/>
  <c r="S1688" i="79"/>
  <c r="Y1227" i="79"/>
  <c r="Y1295" i="79" s="1"/>
  <c r="Y1207" i="79"/>
  <c r="Y1275" i="79" s="1"/>
  <c r="Y1257" i="79"/>
  <c r="AF1796" i="79"/>
  <c r="T1868" i="79"/>
  <c r="T1940" i="79"/>
  <c r="N2088" i="79"/>
  <c r="AF1650" i="79"/>
  <c r="AG1650" i="79"/>
  <c r="T1650" i="79"/>
  <c r="M1650" i="79"/>
  <c r="M1686" i="79"/>
  <c r="L1722" i="79"/>
  <c r="AP1722" i="79"/>
  <c r="R1794" i="79"/>
  <c r="N1686" i="79"/>
  <c r="I1722" i="79"/>
  <c r="L1758" i="79"/>
  <c r="S1794" i="79"/>
  <c r="O1686" i="79"/>
  <c r="N1722" i="79"/>
  <c r="I1758" i="79"/>
  <c r="T1794" i="79"/>
  <c r="T1686" i="79"/>
  <c r="O1722" i="79"/>
  <c r="J1758" i="79"/>
  <c r="AI1794" i="79"/>
  <c r="Q1830" i="79"/>
  <c r="P1866" i="79"/>
  <c r="O1902" i="79"/>
  <c r="O1938" i="79"/>
  <c r="R1830" i="79"/>
  <c r="Q1866" i="79"/>
  <c r="P1902" i="79"/>
  <c r="I1938" i="79"/>
  <c r="S1830" i="79"/>
  <c r="N1866" i="79"/>
  <c r="I1902" i="79"/>
  <c r="K1938" i="79"/>
  <c r="T1830" i="79"/>
  <c r="O1866" i="79"/>
  <c r="N1902" i="79"/>
  <c r="M1938" i="79"/>
  <c r="AF1938" i="79"/>
  <c r="AH1974" i="79"/>
  <c r="I1974" i="79"/>
  <c r="O2009" i="79"/>
  <c r="AH1938" i="79"/>
  <c r="R1974" i="79"/>
  <c r="R2009" i="79"/>
  <c r="AL1974" i="79"/>
  <c r="AK1974" i="79"/>
  <c r="AH2009" i="79"/>
  <c r="I2009" i="79"/>
  <c r="AQ2009" i="79"/>
  <c r="L2045" i="79"/>
  <c r="O2045" i="79"/>
  <c r="R2071" i="79"/>
  <c r="I2117" i="79"/>
  <c r="M2071" i="79"/>
  <c r="P2045" i="79"/>
  <c r="K2071" i="79"/>
  <c r="I2102" i="79"/>
  <c r="R2117" i="79"/>
  <c r="P2071" i="79"/>
  <c r="N2102" i="79"/>
  <c r="K2102" i="79"/>
  <c r="T2117" i="79"/>
  <c r="Y1205" i="79"/>
  <c r="Y1273" i="79" s="1"/>
  <c r="Y1247" i="79"/>
  <c r="M1724" i="79"/>
  <c r="O1832" i="79"/>
  <c r="R1976" i="79"/>
  <c r="R2073" i="79"/>
  <c r="AN1650" i="79"/>
  <c r="AK1650" i="79"/>
  <c r="AH1650" i="79"/>
  <c r="AI1650" i="79"/>
  <c r="Q1686" i="79"/>
  <c r="P1722" i="79"/>
  <c r="O1758" i="79"/>
  <c r="AF1794" i="79"/>
  <c r="R1686" i="79"/>
  <c r="Q1722" i="79"/>
  <c r="P1758" i="79"/>
  <c r="AG1794" i="79"/>
  <c r="AG1686" i="79"/>
  <c r="R1722" i="79"/>
  <c r="M1758" i="79"/>
  <c r="AL1794" i="79"/>
  <c r="AH1686" i="79"/>
  <c r="S1722" i="79"/>
  <c r="R1758" i="79"/>
  <c r="AM1794" i="79"/>
  <c r="AI1830" i="79"/>
  <c r="AH1866" i="79"/>
  <c r="S1902" i="79"/>
  <c r="AG1938" i="79"/>
  <c r="AJ1830" i="79"/>
  <c r="AI1866" i="79"/>
  <c r="T1902" i="79"/>
  <c r="AI1938" i="79"/>
  <c r="AG1830" i="79"/>
  <c r="R1866" i="79"/>
  <c r="Q1902" i="79"/>
  <c r="S1938" i="79"/>
  <c r="AH1830" i="79"/>
  <c r="AG1866" i="79"/>
  <c r="R1902" i="79"/>
  <c r="AM1938" i="79"/>
  <c r="AN1938" i="79"/>
  <c r="AM1974" i="79"/>
  <c r="M1974" i="79"/>
  <c r="AO2009" i="79"/>
  <c r="AL1938" i="79"/>
  <c r="AF1974" i="79"/>
  <c r="K1974" i="79"/>
  <c r="AQ1974" i="79"/>
  <c r="AO1974" i="79"/>
  <c r="AP2009" i="79"/>
  <c r="M2009" i="79"/>
  <c r="K2045" i="79"/>
  <c r="M2045" i="79"/>
  <c r="AF2045" i="79"/>
  <c r="L2102" i="79"/>
  <c r="J2045" i="79"/>
  <c r="J2086" i="79"/>
  <c r="T2045" i="79"/>
  <c r="S2071" i="79"/>
  <c r="M2102" i="79"/>
  <c r="AI2045" i="79"/>
  <c r="I2086" i="79"/>
  <c r="R2102" i="79"/>
  <c r="O2102" i="79"/>
  <c r="N1357" i="79"/>
  <c r="J1339" i="79"/>
  <c r="Q364" i="79"/>
  <c r="BG223" i="65"/>
  <c r="BG221" i="65"/>
  <c r="BG231" i="65"/>
  <c r="AG1346" i="79"/>
  <c r="J1350" i="79"/>
  <c r="BG230" i="65"/>
  <c r="T1362" i="79"/>
  <c r="H1448" i="79"/>
  <c r="AL378" i="79"/>
  <c r="T1357" i="79"/>
  <c r="H1449" i="79"/>
  <c r="F1449" i="79"/>
  <c r="R1449" i="79" s="1"/>
  <c r="S1449" i="79" s="1"/>
  <c r="AO318" i="79"/>
  <c r="AK1346" i="79"/>
  <c r="J405" i="79"/>
  <c r="AI221" i="79"/>
  <c r="AI1346" i="79"/>
  <c r="Q460" i="79"/>
  <c r="AP441" i="79"/>
  <c r="AQ282" i="79"/>
  <c r="T241" i="79"/>
  <c r="AQ1355" i="79"/>
  <c r="R359" i="79"/>
  <c r="AI1333" i="79"/>
  <c r="R1341" i="79"/>
  <c r="R1334" i="79"/>
  <c r="Q1346" i="79"/>
  <c r="AI262" i="79"/>
  <c r="AH1532" i="79"/>
  <c r="AI460" i="79"/>
  <c r="AG255" i="79"/>
  <c r="S1341" i="79"/>
  <c r="K44" i="69"/>
  <c r="K45" i="69" s="1"/>
  <c r="J44" i="69"/>
  <c r="K61" i="69"/>
  <c r="K62" i="69" s="1"/>
  <c r="J61" i="69"/>
  <c r="J62" i="69" s="1"/>
  <c r="G383" i="77"/>
  <c r="G455" i="77"/>
  <c r="G318" i="77"/>
  <c r="G353" i="77"/>
  <c r="G138" i="77"/>
  <c r="G252" i="77"/>
  <c r="P118" i="8"/>
  <c r="R390" i="73"/>
  <c r="D36" i="25"/>
  <c r="B436" i="73"/>
  <c r="D37" i="25"/>
  <c r="C36" i="25"/>
  <c r="C37" i="25"/>
  <c r="C35" i="25"/>
  <c r="C34" i="25"/>
  <c r="Q419" i="79"/>
  <c r="AM441" i="79"/>
  <c r="S1338" i="79"/>
  <c r="Q241" i="79"/>
  <c r="AN1355" i="79"/>
  <c r="P282" i="79"/>
  <c r="AQ364" i="79"/>
  <c r="F530" i="64"/>
  <c r="AK528" i="79"/>
  <c r="K528" i="79"/>
  <c r="AQ241" i="79"/>
  <c r="AL1331" i="79"/>
  <c r="AH364" i="79"/>
  <c r="AH1335" i="79"/>
  <c r="AQ460" i="79"/>
  <c r="AM359" i="79"/>
  <c r="AL528" i="79"/>
  <c r="AK1597" i="79"/>
  <c r="AK221" i="79"/>
  <c r="R1040" i="64"/>
  <c r="AI1048" i="64"/>
  <c r="R1042" i="64"/>
  <c r="G773" i="64"/>
  <c r="G744" i="64"/>
  <c r="F703" i="64"/>
  <c r="F692" i="64"/>
  <c r="S672" i="64"/>
  <c r="S746" i="64"/>
  <c r="AF746" i="64" s="1"/>
  <c r="F702" i="64"/>
  <c r="F685" i="64"/>
  <c r="G174" i="64" s="1"/>
  <c r="AH1331" i="79"/>
  <c r="R272" i="79"/>
  <c r="AI1335" i="79"/>
  <c r="AO1341" i="79"/>
  <c r="D283" i="64"/>
  <c r="R205" i="64"/>
  <c r="G205" i="64"/>
  <c r="P205" i="64"/>
  <c r="I205" i="64"/>
  <c r="J205" i="64"/>
  <c r="D775" i="64"/>
  <c r="C704" i="64"/>
  <c r="K696" i="64"/>
  <c r="D767" i="64"/>
  <c r="P767" i="64" s="1"/>
  <c r="L696" i="64"/>
  <c r="C696" i="64"/>
  <c r="O696" i="64"/>
  <c r="P696" i="64"/>
  <c r="M696" i="64"/>
  <c r="G696" i="64"/>
  <c r="J696" i="64"/>
  <c r="H696" i="64"/>
  <c r="D759" i="64"/>
  <c r="C688" i="64"/>
  <c r="F688" i="64" s="1"/>
  <c r="AI528" i="79"/>
  <c r="Q337" i="79"/>
  <c r="AN1362" i="79"/>
  <c r="AG1597" i="79"/>
  <c r="J303" i="79"/>
  <c r="AG1353" i="79"/>
  <c r="K1346" i="79"/>
  <c r="AI1532" i="79"/>
  <c r="AP1331" i="79"/>
  <c r="L1571" i="79"/>
  <c r="S231" i="79"/>
  <c r="AG1041" i="64"/>
  <c r="G758" i="64"/>
  <c r="F701" i="64"/>
  <c r="G189" i="64" s="1"/>
  <c r="F690" i="64"/>
  <c r="F679" i="64"/>
  <c r="F672" i="64"/>
  <c r="S868" i="64"/>
  <c r="AS868" i="64" s="1"/>
  <c r="F698" i="64"/>
  <c r="F676" i="64"/>
  <c r="N1610" i="79"/>
  <c r="AJ400" i="79"/>
  <c r="K1334" i="79"/>
  <c r="AP1337" i="79"/>
  <c r="S744" i="64"/>
  <c r="AS744" i="64" s="1"/>
  <c r="F699" i="64"/>
  <c r="F677" i="64"/>
  <c r="F693" i="64"/>
  <c r="G182" i="64" s="1"/>
  <c r="AN1344" i="79"/>
  <c r="Q1545" i="79"/>
  <c r="N1339" i="79"/>
  <c r="N1335" i="79"/>
  <c r="AQ1335" i="79"/>
  <c r="G748" i="64"/>
  <c r="D779" i="64"/>
  <c r="C708" i="64"/>
  <c r="F708" i="64" s="1"/>
  <c r="E683" i="74"/>
  <c r="E555" i="74"/>
  <c r="E552" i="74"/>
  <c r="E544" i="74"/>
  <c r="E541" i="74"/>
  <c r="E533" i="74"/>
  <c r="E530" i="74"/>
  <c r="E522" i="74"/>
  <c r="E519" i="74"/>
  <c r="E511" i="74"/>
  <c r="E508" i="74"/>
  <c r="E500" i="74"/>
  <c r="E550" i="74"/>
  <c r="E701" i="74" s="1"/>
  <c r="E539" i="74"/>
  <c r="E700" i="74" s="1"/>
  <c r="E528" i="74"/>
  <c r="E699" i="74" s="1"/>
  <c r="E517" i="74"/>
  <c r="E698" i="74" s="1"/>
  <c r="E506" i="74"/>
  <c r="E697" i="74" s="1"/>
  <c r="E497" i="74"/>
  <c r="E489" i="74"/>
  <c r="E486" i="74"/>
  <c r="E478" i="74"/>
  <c r="E475" i="74"/>
  <c r="E467" i="74"/>
  <c r="E464" i="74"/>
  <c r="E456" i="74"/>
  <c r="E453" i="74"/>
  <c r="E445" i="74"/>
  <c r="E442" i="74"/>
  <c r="E434" i="74"/>
  <c r="E431" i="74"/>
  <c r="E423" i="74"/>
  <c r="E495" i="74"/>
  <c r="E696" i="74" s="1"/>
  <c r="E484" i="74"/>
  <c r="E695" i="74" s="1"/>
  <c r="E473" i="74"/>
  <c r="E694" i="74" s="1"/>
  <c r="E462" i="74"/>
  <c r="E693" i="74" s="1"/>
  <c r="E451" i="74"/>
  <c r="E692" i="74" s="1"/>
  <c r="E440" i="74"/>
  <c r="E691" i="74" s="1"/>
  <c r="E429" i="74"/>
  <c r="E690" i="74" s="1"/>
  <c r="E232" i="74"/>
  <c r="E247" i="74" s="1"/>
  <c r="E262" i="74" s="1"/>
  <c r="E277" i="74" s="1"/>
  <c r="E420" i="74"/>
  <c r="E5" i="74"/>
  <c r="E412" i="74"/>
  <c r="E409" i="74"/>
  <c r="E401" i="74"/>
  <c r="E398" i="74"/>
  <c r="E390" i="74"/>
  <c r="E387" i="74"/>
  <c r="E379" i="74"/>
  <c r="E376" i="74"/>
  <c r="E368" i="74"/>
  <c r="E365" i="74"/>
  <c r="E109" i="74"/>
  <c r="E19" i="74"/>
  <c r="E418" i="74"/>
  <c r="E689" i="74" s="1"/>
  <c r="E407" i="74"/>
  <c r="E688" i="74" s="1"/>
  <c r="E396" i="74"/>
  <c r="E687" i="74" s="1"/>
  <c r="E385" i="74"/>
  <c r="E686" i="74" s="1"/>
  <c r="E374" i="74"/>
  <c r="E685" i="74" s="1"/>
  <c r="E363" i="74"/>
  <c r="E684" i="74" s="1"/>
  <c r="E79" i="74"/>
  <c r="D240" i="64"/>
  <c r="Q197" i="64"/>
  <c r="R268" i="64"/>
  <c r="F1448" i="64"/>
  <c r="F1447" i="64"/>
  <c r="I829" i="79" s="1"/>
  <c r="F1446" i="64"/>
  <c r="I826" i="79" s="1"/>
  <c r="F1445" i="64"/>
  <c r="I823" i="79" s="1"/>
  <c r="F1444" i="64"/>
  <c r="I820" i="79" s="1"/>
  <c r="F1443" i="64"/>
  <c r="I817" i="79" s="1"/>
  <c r="F1442" i="64"/>
  <c r="I814" i="79" s="1"/>
  <c r="F1441" i="64"/>
  <c r="I811" i="79" s="1"/>
  <c r="F1440" i="64"/>
  <c r="I808" i="79" s="1"/>
  <c r="F1439" i="64"/>
  <c r="I805" i="79" s="1"/>
  <c r="F1438" i="64"/>
  <c r="F1437" i="64"/>
  <c r="I800" i="79" s="1"/>
  <c r="F1436" i="64"/>
  <c r="I797" i="79" s="1"/>
  <c r="F1435" i="64"/>
  <c r="I794" i="79" s="1"/>
  <c r="F1434" i="64"/>
  <c r="I791" i="79" s="1"/>
  <c r="F1433" i="64"/>
  <c r="I788" i="79" s="1"/>
  <c r="F1432" i="64"/>
  <c r="I785" i="79" s="1"/>
  <c r="F1431" i="64"/>
  <c r="I782" i="79" s="1"/>
  <c r="F1430" i="64"/>
  <c r="I779" i="79" s="1"/>
  <c r="F1429" i="64"/>
  <c r="I776" i="79" s="1"/>
  <c r="F1428" i="64"/>
  <c r="F1427" i="64"/>
  <c r="I770" i="79" s="1"/>
  <c r="F1426" i="64"/>
  <c r="I766" i="79" s="1"/>
  <c r="F1425" i="64"/>
  <c r="I762" i="79" s="1"/>
  <c r="F1424" i="64"/>
  <c r="I758" i="79" s="1"/>
  <c r="F1423" i="64"/>
  <c r="I754" i="79" s="1"/>
  <c r="F1422" i="64"/>
  <c r="I750" i="79" s="1"/>
  <c r="F1421" i="64"/>
  <c r="I746" i="79" s="1"/>
  <c r="F1420" i="64"/>
  <c r="I742" i="79" s="1"/>
  <c r="F1419" i="64"/>
  <c r="I738" i="79" s="1"/>
  <c r="F1418" i="64"/>
  <c r="I734" i="79" s="1"/>
  <c r="F1417" i="64"/>
  <c r="I730" i="79" s="1"/>
  <c r="F1416" i="64"/>
  <c r="I726" i="79" s="1"/>
  <c r="F1391" i="64"/>
  <c r="F1390" i="64"/>
  <c r="F1373" i="64"/>
  <c r="F1360" i="64"/>
  <c r="I616" i="79" s="1"/>
  <c r="F1357" i="64"/>
  <c r="I624" i="79" s="1"/>
  <c r="F1354" i="64"/>
  <c r="I608" i="79" s="1"/>
  <c r="F1353" i="64"/>
  <c r="I565" i="79" s="1"/>
  <c r="F1347" i="64"/>
  <c r="I548" i="79" s="1"/>
  <c r="F1348" i="64"/>
  <c r="I592" i="79" s="1"/>
  <c r="I369" i="79"/>
  <c r="I328" i="79"/>
  <c r="I164" i="79"/>
  <c r="I123" i="79"/>
  <c r="I82" i="79"/>
  <c r="I663" i="79"/>
  <c r="I547" i="79"/>
  <c r="I410" i="79"/>
  <c r="I287" i="79"/>
  <c r="I6" i="79"/>
  <c r="I451" i="79"/>
  <c r="I205" i="79"/>
  <c r="I835" i="79"/>
  <c r="I492" i="79"/>
  <c r="I246" i="79"/>
  <c r="AF41" i="79"/>
  <c r="C379" i="40"/>
  <c r="C514" i="40" s="1"/>
  <c r="F7" i="74"/>
  <c r="H5" i="77"/>
  <c r="H483" i="77" s="1"/>
  <c r="G10" i="73"/>
  <c r="J41" i="79"/>
  <c r="CQ1053" i="64"/>
  <c r="G1381" i="64"/>
  <c r="H289" i="64"/>
  <c r="H345" i="64" s="1"/>
  <c r="H214" i="64"/>
  <c r="CJ202" i="65"/>
  <c r="CJ221" i="65" s="1"/>
  <c r="BV202" i="65"/>
  <c r="BV221" i="65" s="1"/>
  <c r="BH202" i="65"/>
  <c r="G1364" i="64"/>
  <c r="G742" i="64"/>
  <c r="H258" i="64"/>
  <c r="H274" i="64" s="1"/>
  <c r="H171" i="64"/>
  <c r="H4" i="64"/>
  <c r="G1345" i="64"/>
  <c r="H637" i="64"/>
  <c r="CJ8" i="65"/>
  <c r="BV8" i="65"/>
  <c r="BV22" i="65" s="1"/>
  <c r="BH8" i="65"/>
  <c r="G1398" i="64"/>
  <c r="H120" i="64"/>
  <c r="H115" i="64" s="1"/>
  <c r="I8" i="64"/>
  <c r="H400" i="64"/>
  <c r="G813" i="64" s="1"/>
  <c r="F888" i="64" s="1"/>
  <c r="H126" i="64"/>
  <c r="H104" i="64"/>
  <c r="H111" i="64"/>
  <c r="F68" i="73"/>
  <c r="F90" i="73" s="1"/>
  <c r="F100" i="73" s="1"/>
  <c r="F128" i="73" s="1"/>
  <c r="F156" i="73" s="1"/>
  <c r="F184" i="73" s="1"/>
  <c r="F211" i="73" s="1"/>
  <c r="F238" i="73" s="1"/>
  <c r="F264" i="73" s="1"/>
  <c r="F286" i="73" s="1"/>
  <c r="F309" i="73" s="1"/>
  <c r="F331" i="73" s="1"/>
  <c r="F8" i="85" s="1"/>
  <c r="S10" i="73"/>
  <c r="F7" i="73"/>
  <c r="F11" i="73"/>
  <c r="F588" i="73" s="1"/>
  <c r="F594" i="73" s="1"/>
  <c r="DC1200" i="64"/>
  <c r="CC1274" i="64" s="1"/>
  <c r="CB1126" i="64"/>
  <c r="DF1053" i="64"/>
  <c r="CR1126" i="64" s="1"/>
  <c r="D622" i="77"/>
  <c r="D597" i="77"/>
  <c r="E646" i="77"/>
  <c r="D605" i="77" s="1"/>
  <c r="G438" i="77"/>
  <c r="D609" i="77"/>
  <c r="D631" i="77" s="1"/>
  <c r="D638" i="77" s="1"/>
  <c r="AG982" i="64"/>
  <c r="R982" i="64"/>
  <c r="C982" i="64"/>
  <c r="AY222" i="65"/>
  <c r="AT222" i="65"/>
  <c r="AX221" i="65"/>
  <c r="BD222" i="65"/>
  <c r="BB223" i="65"/>
  <c r="BU207" i="65"/>
  <c r="AX223" i="65"/>
  <c r="AZ225" i="65"/>
  <c r="AH1355" i="79"/>
  <c r="P1339" i="79"/>
  <c r="AJ1357" i="79"/>
  <c r="AM337" i="79"/>
  <c r="S1346" i="79"/>
  <c r="AG1341" i="79"/>
  <c r="AK241" i="79"/>
  <c r="J1341" i="79"/>
  <c r="J1334" i="79"/>
  <c r="AH1333" i="79"/>
  <c r="O378" i="79"/>
  <c r="AG441" i="79"/>
  <c r="AN344" i="79"/>
  <c r="AP1333" i="79"/>
  <c r="K378" i="79"/>
  <c r="O318" i="79"/>
  <c r="AH262" i="79"/>
  <c r="I337" i="79"/>
  <c r="AJ214" i="79"/>
  <c r="J277" i="79"/>
  <c r="J385" i="79"/>
  <c r="P487" i="79"/>
  <c r="S241" i="79"/>
  <c r="B1064" i="64"/>
  <c r="AN1519" i="79"/>
  <c r="S318" i="79"/>
  <c r="R1532" i="79"/>
  <c r="P405" i="79"/>
  <c r="AL467" i="79"/>
  <c r="AO1335" i="79"/>
  <c r="Q441" i="79"/>
  <c r="N400" i="79"/>
  <c r="B1211" i="64"/>
  <c r="AP467" i="79"/>
  <c r="AQ467" i="79"/>
  <c r="P400" i="79"/>
  <c r="O1571" i="79"/>
  <c r="M337" i="79"/>
  <c r="K318" i="79"/>
  <c r="T303" i="79"/>
  <c r="AK441" i="79"/>
  <c r="S303" i="79"/>
  <c r="AP1336" i="79"/>
  <c r="O528" i="79"/>
  <c r="J1571" i="79"/>
  <c r="S1347" i="79"/>
  <c r="K1339" i="79"/>
  <c r="T272" i="79"/>
  <c r="AP1532" i="79"/>
  <c r="AQ236" i="79"/>
  <c r="AI1355" i="79"/>
  <c r="AO1597" i="79"/>
  <c r="T1571" i="79"/>
  <c r="S337" i="79"/>
  <c r="AQ1340" i="79"/>
  <c r="R303" i="79"/>
  <c r="R277" i="79"/>
  <c r="AJ255" i="79"/>
  <c r="O241" i="79"/>
  <c r="AO313" i="79"/>
  <c r="AO255" i="79"/>
  <c r="AF214" i="79"/>
  <c r="AM214" i="79"/>
  <c r="S313" i="79"/>
  <c r="T282" i="79"/>
  <c r="AM1335" i="79"/>
  <c r="L385" i="79"/>
  <c r="AL1532" i="79"/>
  <c r="AQ221" i="79"/>
  <c r="AI1331" i="79"/>
  <c r="AO460" i="79"/>
  <c r="AQ1341" i="79"/>
  <c r="AQ318" i="79"/>
  <c r="K1347" i="79"/>
  <c r="AG378" i="79"/>
  <c r="AM1331" i="79"/>
  <c r="T255" i="79"/>
  <c r="AO1355" i="79"/>
  <c r="P1349" i="79"/>
  <c r="Q1358" i="79"/>
  <c r="AQ1519" i="79"/>
  <c r="AO1340" i="79"/>
  <c r="T1338" i="79"/>
  <c r="N1545" i="79"/>
  <c r="AK1331" i="79"/>
  <c r="R1338" i="79"/>
  <c r="AQ262" i="79"/>
  <c r="AO1332" i="79"/>
  <c r="N1349" i="79"/>
  <c r="AF460" i="79"/>
  <c r="AM460" i="79"/>
  <c r="AK1355" i="79"/>
  <c r="P460" i="79"/>
  <c r="N1571" i="79"/>
  <c r="T1335" i="79"/>
  <c r="T1532" i="79"/>
  <c r="AO1519" i="79"/>
  <c r="AO1331" i="79"/>
  <c r="Q385" i="79"/>
  <c r="O282" i="79"/>
  <c r="N1347" i="79"/>
  <c r="R1336" i="79"/>
  <c r="AP419" i="79"/>
  <c r="AL1519" i="79"/>
  <c r="R1545" i="79"/>
  <c r="AI214" i="79"/>
  <c r="AJ460" i="79"/>
  <c r="AM1048" i="64"/>
  <c r="AL1048" i="64"/>
  <c r="H1048" i="64" s="1"/>
  <c r="H1119" i="64" s="1"/>
  <c r="AN1048" i="64"/>
  <c r="AI1353" i="79"/>
  <c r="AK1353" i="79"/>
  <c r="AL1338" i="79"/>
  <c r="AG241" i="79"/>
  <c r="S1358" i="79"/>
  <c r="AK467" i="79"/>
  <c r="N385" i="79"/>
  <c r="R1335" i="79"/>
  <c r="T318" i="79"/>
  <c r="S236" i="79"/>
  <c r="AL1355" i="79"/>
  <c r="O1545" i="79"/>
  <c r="K441" i="79"/>
  <c r="AK255" i="79"/>
  <c r="L1353" i="79"/>
  <c r="AO400" i="79"/>
  <c r="AM1346" i="79"/>
  <c r="T337" i="79"/>
  <c r="P1358" i="79"/>
  <c r="AH467" i="79"/>
  <c r="AH282" i="79"/>
  <c r="J1337" i="79"/>
  <c r="L487" i="79"/>
  <c r="AL1597" i="79"/>
  <c r="P303" i="79"/>
  <c r="P1545" i="79"/>
  <c r="AM1519" i="79"/>
  <c r="K303" i="79"/>
  <c r="S1339" i="79"/>
  <c r="AN282" i="79"/>
  <c r="S1334" i="79"/>
  <c r="AQ1333" i="79"/>
  <c r="AL221" i="79"/>
  <c r="P318" i="79"/>
  <c r="AI282" i="79"/>
  <c r="I460" i="79"/>
  <c r="T277" i="79"/>
  <c r="T1337" i="79"/>
  <c r="AO262" i="79"/>
  <c r="AJ508" i="79"/>
  <c r="AP1597" i="79"/>
  <c r="K1571" i="79"/>
  <c r="O1362" i="79"/>
  <c r="AP1357" i="79"/>
  <c r="Q1347" i="79"/>
  <c r="Q1353" i="79"/>
  <c r="K1341" i="79"/>
  <c r="P1338" i="79"/>
  <c r="K1358" i="79"/>
  <c r="R400" i="79"/>
  <c r="AI1519" i="79"/>
  <c r="AP364" i="79"/>
  <c r="R1339" i="79"/>
  <c r="AG1048" i="64"/>
  <c r="C1048" i="64" s="1"/>
  <c r="C1119" i="64" s="1"/>
  <c r="AM1532" i="79"/>
  <c r="AI1597" i="79"/>
  <c r="AO236" i="79"/>
  <c r="M460" i="79"/>
  <c r="AN214" i="79"/>
  <c r="H268" i="64"/>
  <c r="P197" i="64"/>
  <c r="N268" i="64"/>
  <c r="N482" i="79"/>
  <c r="AG1355" i="79"/>
  <c r="J1545" i="79"/>
  <c r="AJ337" i="79"/>
  <c r="AN467" i="79"/>
  <c r="R1347" i="79"/>
  <c r="K364" i="79"/>
  <c r="L1339" i="79"/>
  <c r="J1532" i="79"/>
  <c r="AQ1331" i="79"/>
  <c r="AK1519" i="79"/>
  <c r="J460" i="79"/>
  <c r="N1532" i="79"/>
  <c r="AQ214" i="79"/>
  <c r="N277" i="79"/>
  <c r="T1336" i="79"/>
  <c r="S1332" i="79"/>
  <c r="AG1519" i="79"/>
  <c r="AP1519" i="79"/>
  <c r="O1347" i="79"/>
  <c r="L1347" i="79"/>
  <c r="L282" i="79"/>
  <c r="J1335" i="79"/>
  <c r="AO1334" i="79"/>
  <c r="AO1333" i="79"/>
  <c r="AN221" i="79"/>
  <c r="AP214" i="79"/>
  <c r="R1049" i="64"/>
  <c r="R282" i="79"/>
  <c r="AN1331" i="79"/>
  <c r="S1571" i="79"/>
  <c r="R385" i="79"/>
  <c r="AF255" i="79"/>
  <c r="AQ313" i="79"/>
  <c r="O1339" i="79"/>
  <c r="R1337" i="79"/>
  <c r="T378" i="79"/>
  <c r="L1545" i="79"/>
  <c r="AN255" i="79"/>
  <c r="AQ1332" i="79"/>
  <c r="AH221" i="79"/>
  <c r="AM1597" i="79"/>
  <c r="J378" i="79"/>
  <c r="AP1338" i="79"/>
  <c r="AQ255" i="79"/>
  <c r="AH1597" i="79"/>
  <c r="AO1353" i="79"/>
  <c r="R1571" i="79"/>
  <c r="P1571" i="79"/>
  <c r="K1545" i="79"/>
  <c r="Q1339" i="79"/>
  <c r="N262" i="79"/>
  <c r="AM1345" i="79"/>
  <c r="AL1335" i="79"/>
  <c r="G290" i="64"/>
  <c r="L460" i="79"/>
  <c r="AM378" i="79"/>
  <c r="R460" i="79"/>
  <c r="N241" i="79"/>
  <c r="AP1355" i="79"/>
  <c r="AN1353" i="79"/>
  <c r="P1347" i="79"/>
  <c r="AN337" i="79"/>
  <c r="N1342" i="79"/>
  <c r="T1347" i="79"/>
  <c r="J1347" i="79"/>
  <c r="Q1571" i="79"/>
  <c r="L1346" i="79"/>
  <c r="AM467" i="79"/>
  <c r="AO1362" i="79"/>
  <c r="AG1362" i="79"/>
  <c r="AP528" i="79"/>
  <c r="AP344" i="79"/>
  <c r="AK1341" i="79"/>
  <c r="N1337" i="79"/>
  <c r="AM236" i="79"/>
  <c r="R487" i="79"/>
  <c r="AQ1597" i="79"/>
  <c r="AN1597" i="79"/>
  <c r="O1351" i="79"/>
  <c r="L400" i="79"/>
  <c r="K1349" i="79"/>
  <c r="K1345" i="79"/>
  <c r="N1341" i="79"/>
  <c r="L303" i="79"/>
  <c r="T1339" i="79"/>
  <c r="AO282" i="79"/>
  <c r="O1338" i="79"/>
  <c r="N1334" i="79"/>
  <c r="AL1333" i="79"/>
  <c r="AQ231" i="79"/>
  <c r="S385" i="79"/>
  <c r="AO364" i="79"/>
  <c r="Q1341" i="79"/>
  <c r="S1340" i="79"/>
  <c r="S1545" i="79"/>
  <c r="R262" i="79"/>
  <c r="AQ1532" i="79"/>
  <c r="AP221" i="79"/>
  <c r="AH1519" i="79"/>
  <c r="AM282" i="79"/>
  <c r="AP1335" i="79"/>
  <c r="P241" i="79"/>
  <c r="AG221" i="79"/>
  <c r="AP272" i="79"/>
  <c r="AO1532" i="79"/>
  <c r="AO241" i="79"/>
  <c r="P1350" i="79"/>
  <c r="B1048" i="64"/>
  <c r="AP1048" i="64"/>
  <c r="L1048" i="64" s="1"/>
  <c r="L1119" i="64" s="1"/>
  <c r="G332" i="64"/>
  <c r="BA220" i="65"/>
  <c r="D251" i="64"/>
  <c r="K241" i="79"/>
  <c r="R185" i="64"/>
  <c r="L185" i="64"/>
  <c r="I185" i="64"/>
  <c r="D228" i="64"/>
  <c r="N185" i="64"/>
  <c r="G185" i="64"/>
  <c r="P185" i="64"/>
  <c r="M185" i="64"/>
  <c r="K185" i="64"/>
  <c r="Q185" i="64"/>
  <c r="AT223" i="65"/>
  <c r="AY223" i="65"/>
  <c r="AU222" i="65"/>
  <c r="AT225" i="65"/>
  <c r="BD225" i="65"/>
  <c r="O1353" i="79"/>
  <c r="AH441" i="79"/>
  <c r="T385" i="79"/>
  <c r="AP337" i="79"/>
  <c r="AP508" i="79"/>
  <c r="P1346" i="79"/>
  <c r="L337" i="79"/>
  <c r="AM1355" i="79"/>
  <c r="AO441" i="79"/>
  <c r="AM1362" i="79"/>
  <c r="M359" i="79"/>
  <c r="T1358" i="79"/>
  <c r="Q1349" i="79"/>
  <c r="O400" i="79"/>
  <c r="Q359" i="79"/>
  <c r="AM344" i="79"/>
  <c r="T1545" i="79"/>
  <c r="AK1338" i="79"/>
  <c r="K1338" i="79"/>
  <c r="AM354" i="79"/>
  <c r="L318" i="79"/>
  <c r="AP262" i="79"/>
  <c r="L241" i="79"/>
  <c r="AG1331" i="79"/>
  <c r="AO231" i="79"/>
  <c r="Q303" i="79"/>
  <c r="T262" i="79"/>
  <c r="AL441" i="79"/>
  <c r="O385" i="79"/>
  <c r="AI337" i="79"/>
  <c r="AH1610" i="79"/>
  <c r="P337" i="79"/>
  <c r="AQ528" i="79"/>
  <c r="AH1362" i="79"/>
  <c r="J1349" i="79"/>
  <c r="AO1344" i="79"/>
  <c r="O1341" i="79"/>
  <c r="L1338" i="79"/>
  <c r="O1334" i="79"/>
  <c r="J1358" i="79"/>
  <c r="N487" i="79"/>
  <c r="O1358" i="79"/>
  <c r="T1349" i="79"/>
  <c r="S1349" i="79"/>
  <c r="AI1343" i="79"/>
  <c r="AG282" i="79"/>
  <c r="AM221" i="79"/>
  <c r="AJ426" i="79"/>
  <c r="AN1349" i="79"/>
  <c r="AN1346" i="79"/>
  <c r="AL1346" i="79"/>
  <c r="O303" i="79"/>
  <c r="AM262" i="79"/>
  <c r="J262" i="79"/>
  <c r="R1348" i="79"/>
  <c r="N303" i="79"/>
  <c r="AL262" i="79"/>
  <c r="AO221" i="79"/>
  <c r="AP282" i="79"/>
  <c r="AO1048" i="64"/>
  <c r="K1048" i="64" s="1"/>
  <c r="K1119" i="64" s="1"/>
  <c r="AH1048" i="64"/>
  <c r="D1048" i="64" s="1"/>
  <c r="D1119" i="64" s="1"/>
  <c r="BU223" i="65"/>
  <c r="BU206" i="65"/>
  <c r="AT221" i="65"/>
  <c r="AY221" i="65"/>
  <c r="AZ220" i="65"/>
  <c r="AY225" i="65"/>
  <c r="H185" i="64"/>
  <c r="O185" i="64"/>
  <c r="BS23" i="65"/>
  <c r="CI220" i="65"/>
  <c r="AW220" i="65"/>
  <c r="AZ221" i="65"/>
  <c r="CG23" i="65"/>
  <c r="CI22" i="65"/>
  <c r="BG12" i="65"/>
  <c r="S674" i="64" s="1"/>
  <c r="BH12" i="65"/>
  <c r="BE13" i="65"/>
  <c r="BE14" i="65" s="1"/>
  <c r="M197" i="64"/>
  <c r="L205" i="64"/>
  <c r="L197" i="64"/>
  <c r="R269" i="64"/>
  <c r="P269" i="64"/>
  <c r="K269" i="64"/>
  <c r="O269" i="64"/>
  <c r="H269" i="64"/>
  <c r="I269" i="64"/>
  <c r="D285" i="64"/>
  <c r="Q269" i="64"/>
  <c r="G269" i="64"/>
  <c r="L269" i="64"/>
  <c r="M269" i="64"/>
  <c r="O204" i="64"/>
  <c r="H204" i="64"/>
  <c r="L204" i="64"/>
  <c r="P204" i="64"/>
  <c r="BU205" i="65"/>
  <c r="I696" i="64"/>
  <c r="F696" i="64"/>
  <c r="N205" i="64"/>
  <c r="N197" i="64"/>
  <c r="D248" i="64"/>
  <c r="Q205" i="64"/>
  <c r="I197" i="64"/>
  <c r="H205" i="64"/>
  <c r="H197" i="64"/>
  <c r="D247" i="64"/>
  <c r="G209" i="64"/>
  <c r="O205" i="64"/>
  <c r="M204" i="64"/>
  <c r="O197" i="64"/>
  <c r="D284" i="64"/>
  <c r="M268" i="64"/>
  <c r="O268" i="64"/>
  <c r="K268" i="64"/>
  <c r="I268" i="64"/>
  <c r="Q268" i="64"/>
  <c r="G268" i="64"/>
  <c r="BG226" i="65"/>
  <c r="BG229" i="65"/>
  <c r="BG225" i="65"/>
  <c r="BG222" i="65"/>
  <c r="AP482" i="79"/>
  <c r="B599" i="74"/>
  <c r="Q643" i="79"/>
  <c r="I345" i="74" s="1"/>
  <c r="Q645" i="79"/>
  <c r="I347" i="74" s="1"/>
  <c r="B690" i="74"/>
  <c r="Q431" i="74"/>
  <c r="F587" i="64"/>
  <c r="B699" i="74"/>
  <c r="Q530" i="74"/>
  <c r="B655" i="79"/>
  <c r="E2341" i="79"/>
  <c r="E2180" i="79"/>
  <c r="B641" i="79"/>
  <c r="B694" i="74"/>
  <c r="Q475" i="74"/>
  <c r="B687" i="74"/>
  <c r="Q398" i="74"/>
  <c r="B733" i="74"/>
  <c r="I430" i="73" s="1"/>
  <c r="B257" i="74"/>
  <c r="B272" i="74" s="1"/>
  <c r="D851" i="64"/>
  <c r="C780" i="64"/>
  <c r="I751" i="64"/>
  <c r="Q751" i="64"/>
  <c r="C751" i="64"/>
  <c r="L751" i="64"/>
  <c r="G751" i="64"/>
  <c r="B734" i="74"/>
  <c r="I431" i="73" s="1"/>
  <c r="B258" i="74"/>
  <c r="B273" i="74" s="1"/>
  <c r="B288" i="74" s="1"/>
  <c r="B304" i="74" s="1"/>
  <c r="B318" i="74" s="1"/>
  <c r="B332" i="74" s="1"/>
  <c r="Q725" i="64"/>
  <c r="M725" i="64"/>
  <c r="I725" i="64"/>
  <c r="L725" i="64"/>
  <c r="G725" i="64"/>
  <c r="P725" i="64"/>
  <c r="K725" i="64"/>
  <c r="O725" i="64"/>
  <c r="J725" i="64"/>
  <c r="D796" i="64"/>
  <c r="N725" i="64"/>
  <c r="H725" i="64"/>
  <c r="E2318" i="79"/>
  <c r="B653" i="79"/>
  <c r="E2203" i="79"/>
  <c r="B643" i="79"/>
  <c r="B594" i="74"/>
  <c r="B583" i="74"/>
  <c r="B727" i="74"/>
  <c r="I424" i="73" s="1"/>
  <c r="B251" i="74"/>
  <c r="B266" i="74" s="1"/>
  <c r="B281" i="74" s="1"/>
  <c r="B297" i="74" s="1"/>
  <c r="B311" i="74" s="1"/>
  <c r="B325" i="74" s="1"/>
  <c r="C146" i="74"/>
  <c r="Q145" i="74"/>
  <c r="C147" i="74"/>
  <c r="B248" i="74"/>
  <c r="B263" i="74" s="1"/>
  <c r="B278" i="74" s="1"/>
  <c r="B294" i="74" s="1"/>
  <c r="B308" i="74" s="1"/>
  <c r="B322" i="74" s="1"/>
  <c r="B724" i="74"/>
  <c r="AO1591" i="79"/>
  <c r="AK1591" i="79"/>
  <c r="AG1591" i="79"/>
  <c r="AN1591" i="79"/>
  <c r="AJ1591" i="79"/>
  <c r="AF1591" i="79"/>
  <c r="AQ1591" i="79"/>
  <c r="AM1591" i="79"/>
  <c r="AI1591" i="79"/>
  <c r="AH1591" i="79"/>
  <c r="AP1591" i="79"/>
  <c r="AL1591" i="79"/>
  <c r="B589" i="74"/>
  <c r="C226" i="74"/>
  <c r="Q225" i="74"/>
  <c r="C227" i="74"/>
  <c r="B726" i="74"/>
  <c r="I423" i="73" s="1"/>
  <c r="B250" i="74"/>
  <c r="B265" i="74" s="1"/>
  <c r="B280" i="74" s="1"/>
  <c r="B296" i="74" s="1"/>
  <c r="B310" i="74" s="1"/>
  <c r="B324" i="74" s="1"/>
  <c r="C721" i="64"/>
  <c r="D792" i="64"/>
  <c r="E2157" i="79"/>
  <c r="B639" i="79"/>
  <c r="D835" i="64"/>
  <c r="C764" i="64"/>
  <c r="F606" i="64"/>
  <c r="B597" i="74"/>
  <c r="B692" i="74"/>
  <c r="Q453" i="74"/>
  <c r="B596" i="74"/>
  <c r="B592" i="74"/>
  <c r="B585" i="74"/>
  <c r="B731" i="74"/>
  <c r="I428" i="73" s="1"/>
  <c r="B255" i="74"/>
  <c r="B270" i="74" s="1"/>
  <c r="B285" i="74" s="1"/>
  <c r="B301" i="74" s="1"/>
  <c r="B315" i="74" s="1"/>
  <c r="B329" i="74" s="1"/>
  <c r="D785" i="64"/>
  <c r="C714" i="64"/>
  <c r="R1371" i="79"/>
  <c r="N1371" i="79"/>
  <c r="J1371" i="79"/>
  <c r="R1370" i="79"/>
  <c r="N1370" i="79"/>
  <c r="J1370" i="79"/>
  <c r="R1369" i="79"/>
  <c r="N1369" i="79"/>
  <c r="T1371" i="79"/>
  <c r="P1371" i="79"/>
  <c r="L1371" i="79"/>
  <c r="T1370" i="79"/>
  <c r="P1370" i="79"/>
  <c r="L1370" i="79"/>
  <c r="T1369" i="79"/>
  <c r="P1369" i="79"/>
  <c r="L1369" i="79"/>
  <c r="S1371" i="79"/>
  <c r="K1371" i="79"/>
  <c r="O1370" i="79"/>
  <c r="S1369" i="79"/>
  <c r="K1369" i="79"/>
  <c r="S1368" i="79"/>
  <c r="O1368" i="79"/>
  <c r="K1368" i="79"/>
  <c r="Q1371" i="79"/>
  <c r="I1371" i="79"/>
  <c r="M1370" i="79"/>
  <c r="Q1369" i="79"/>
  <c r="J1369" i="79"/>
  <c r="R1368" i="79"/>
  <c r="N1368" i="79"/>
  <c r="J1368" i="79"/>
  <c r="O1371" i="79"/>
  <c r="S1370" i="79"/>
  <c r="K1370" i="79"/>
  <c r="O1369" i="79"/>
  <c r="I1369" i="79"/>
  <c r="Q1368" i="79"/>
  <c r="M1368" i="79"/>
  <c r="I1368" i="79"/>
  <c r="M1371" i="79"/>
  <c r="Q1370" i="79"/>
  <c r="I1370" i="79"/>
  <c r="M1369" i="79"/>
  <c r="T1368" i="79"/>
  <c r="P1368" i="79"/>
  <c r="L1368" i="79"/>
  <c r="B689" i="74"/>
  <c r="Q420" i="74"/>
  <c r="C126" i="74"/>
  <c r="Q125" i="74"/>
  <c r="C127" i="74"/>
  <c r="E2364" i="79"/>
  <c r="B657" i="79"/>
  <c r="D794" i="64"/>
  <c r="C723" i="64"/>
  <c r="S723" i="64" s="1"/>
  <c r="O263" i="64"/>
  <c r="K263" i="64"/>
  <c r="G263" i="64"/>
  <c r="R263" i="64"/>
  <c r="N263" i="64"/>
  <c r="J263" i="64"/>
  <c r="Q263" i="64"/>
  <c r="M263" i="64"/>
  <c r="I263" i="64"/>
  <c r="D279" i="64"/>
  <c r="P263" i="64"/>
  <c r="L263" i="64"/>
  <c r="H263" i="64"/>
  <c r="C196" i="74"/>
  <c r="Q195" i="74"/>
  <c r="C197" i="74"/>
  <c r="E2295" i="79"/>
  <c r="B651" i="79"/>
  <c r="E2249" i="79"/>
  <c r="B647" i="79"/>
  <c r="C166" i="74"/>
  <c r="Q165" i="74"/>
  <c r="C167" i="74"/>
  <c r="C137" i="74"/>
  <c r="C136" i="74"/>
  <c r="Q135" i="74"/>
  <c r="E2272" i="79"/>
  <c r="B649" i="79"/>
  <c r="Q264" i="64"/>
  <c r="M264" i="64"/>
  <c r="I264" i="64"/>
  <c r="D280" i="64"/>
  <c r="P264" i="64"/>
  <c r="L264" i="64"/>
  <c r="H264" i="64"/>
  <c r="O264" i="64"/>
  <c r="K264" i="64"/>
  <c r="G264" i="64"/>
  <c r="R264" i="64"/>
  <c r="N264" i="64"/>
  <c r="J264" i="64"/>
  <c r="AC1047" i="64"/>
  <c r="Z1047" i="64"/>
  <c r="T1047" i="64"/>
  <c r="AB1047" i="64"/>
  <c r="W1047" i="64"/>
  <c r="R1047" i="64"/>
  <c r="B697" i="74"/>
  <c r="Q508" i="74"/>
  <c r="B693" i="74"/>
  <c r="Q464" i="74"/>
  <c r="B588" i="74"/>
  <c r="B695" i="74"/>
  <c r="Q486" i="74"/>
  <c r="B590" i="74"/>
  <c r="B688" i="74"/>
  <c r="Q409" i="74"/>
  <c r="B582" i="74"/>
  <c r="D787" i="64"/>
  <c r="C716" i="64"/>
  <c r="D854" i="64"/>
  <c r="G783" i="64"/>
  <c r="L783" i="64"/>
  <c r="C206" i="74"/>
  <c r="Q205" i="74"/>
  <c r="C207" i="74"/>
  <c r="B728" i="74"/>
  <c r="I425" i="73" s="1"/>
  <c r="B252" i="74"/>
  <c r="B267" i="74" s="1"/>
  <c r="B282" i="74" s="1"/>
  <c r="B298" i="74" s="1"/>
  <c r="B312" i="74" s="1"/>
  <c r="B326" i="74" s="1"/>
  <c r="E2226" i="79"/>
  <c r="B645" i="79"/>
  <c r="E2133" i="79"/>
  <c r="B637" i="79"/>
  <c r="D834" i="64"/>
  <c r="C763" i="64"/>
  <c r="B587" i="74"/>
  <c r="B686" i="74"/>
  <c r="Q387" i="74"/>
  <c r="C216" i="74"/>
  <c r="Q215" i="74"/>
  <c r="C217" i="74"/>
  <c r="B730" i="74"/>
  <c r="I427" i="73" s="1"/>
  <c r="B254" i="74"/>
  <c r="B269" i="74" s="1"/>
  <c r="B284" i="74" s="1"/>
  <c r="B300" i="74" s="1"/>
  <c r="B314" i="74" s="1"/>
  <c r="B328" i="74" s="1"/>
  <c r="D788" i="64"/>
  <c r="C717" i="64"/>
  <c r="D782" i="64"/>
  <c r="Q711" i="64"/>
  <c r="M711" i="64"/>
  <c r="I711" i="64"/>
  <c r="L711" i="64"/>
  <c r="G711" i="64"/>
  <c r="P711" i="64"/>
  <c r="K711" i="64"/>
  <c r="F711" i="64"/>
  <c r="O711" i="64"/>
  <c r="J711" i="64"/>
  <c r="C711" i="64"/>
  <c r="N711" i="64"/>
  <c r="H711" i="64"/>
  <c r="B256" i="74"/>
  <c r="B271" i="74" s="1"/>
  <c r="B286" i="74" s="1"/>
  <c r="B302" i="74" s="1"/>
  <c r="B316" i="74" s="1"/>
  <c r="B330" i="74" s="1"/>
  <c r="B732" i="74"/>
  <c r="I429" i="73" s="1"/>
  <c r="Q115" i="74"/>
  <c r="C117" i="74"/>
  <c r="C116" i="74"/>
  <c r="B700" i="74"/>
  <c r="Q541" i="74"/>
  <c r="B735" i="74"/>
  <c r="I432" i="73" s="1"/>
  <c r="B259" i="74"/>
  <c r="B274" i="74" s="1"/>
  <c r="B289" i="74" s="1"/>
  <c r="B305" i="74" s="1"/>
  <c r="B319" i="74" s="1"/>
  <c r="B333" i="74" s="1"/>
  <c r="D786" i="64"/>
  <c r="C715" i="64"/>
  <c r="O710" i="64"/>
  <c r="K710" i="64"/>
  <c r="G710" i="64"/>
  <c r="D781" i="64"/>
  <c r="P710" i="64"/>
  <c r="J710" i="64"/>
  <c r="N710" i="64"/>
  <c r="I710" i="64"/>
  <c r="C710" i="64"/>
  <c r="M710" i="64"/>
  <c r="H710" i="64"/>
  <c r="Q710" i="64"/>
  <c r="L710" i="64"/>
  <c r="F710" i="64"/>
  <c r="F68" i="40"/>
  <c r="F66" i="40"/>
  <c r="F13" i="40"/>
  <c r="F65" i="40"/>
  <c r="F17" i="40"/>
  <c r="F12" i="40"/>
  <c r="F14" i="40"/>
  <c r="F67" i="40"/>
  <c r="F746" i="64"/>
  <c r="B701" i="74"/>
  <c r="Q552" i="74"/>
  <c r="B595" i="74"/>
  <c r="B591" i="74"/>
  <c r="AB1046" i="64"/>
  <c r="T1046" i="64"/>
  <c r="B593" i="74"/>
  <c r="B586" i="74"/>
  <c r="B684" i="74"/>
  <c r="Q365" i="74"/>
  <c r="O724" i="64"/>
  <c r="K724" i="64"/>
  <c r="G724" i="64"/>
  <c r="D795" i="64"/>
  <c r="P724" i="64"/>
  <c r="J724" i="64"/>
  <c r="N724" i="64"/>
  <c r="I724" i="64"/>
  <c r="C724" i="64"/>
  <c r="S724" i="64" s="1"/>
  <c r="M724" i="64"/>
  <c r="H724" i="64"/>
  <c r="Q724" i="64"/>
  <c r="L724" i="64"/>
  <c r="F724" i="64"/>
  <c r="B698" i="74"/>
  <c r="Q519" i="74"/>
  <c r="C186" i="74"/>
  <c r="Q185" i="74"/>
  <c r="C187" i="74"/>
  <c r="C156" i="74"/>
  <c r="Q155" i="74"/>
  <c r="C157" i="74"/>
  <c r="Q718" i="64"/>
  <c r="M718" i="64"/>
  <c r="I718" i="64"/>
  <c r="N718" i="64"/>
  <c r="H718" i="64"/>
  <c r="L718" i="64"/>
  <c r="G718" i="64"/>
  <c r="P718" i="64"/>
  <c r="K718" i="64"/>
  <c r="F718" i="64"/>
  <c r="D789" i="64"/>
  <c r="O718" i="64"/>
  <c r="J718" i="64"/>
  <c r="C718" i="64"/>
  <c r="C177" i="74"/>
  <c r="C176" i="74"/>
  <c r="Q175" i="74"/>
  <c r="B725" i="74"/>
  <c r="I422" i="73" s="1"/>
  <c r="B249" i="74"/>
  <c r="B264" i="74" s="1"/>
  <c r="B279" i="74" s="1"/>
  <c r="B295" i="74" s="1"/>
  <c r="B309" i="74" s="1"/>
  <c r="B323" i="74" s="1"/>
  <c r="D837" i="64"/>
  <c r="C766" i="64"/>
  <c r="B696" i="74"/>
  <c r="Q497" i="74"/>
  <c r="B685" i="74"/>
  <c r="Q376" i="74"/>
  <c r="C722" i="64"/>
  <c r="D793" i="64"/>
  <c r="O719" i="64"/>
  <c r="K719" i="64"/>
  <c r="G719" i="64"/>
  <c r="P719" i="64"/>
  <c r="J719" i="64"/>
  <c r="N719" i="64"/>
  <c r="I719" i="64"/>
  <c r="C719" i="64"/>
  <c r="S719" i="64" s="1"/>
  <c r="D790" i="64"/>
  <c r="M719" i="64"/>
  <c r="H719" i="64"/>
  <c r="Q719" i="64"/>
  <c r="L719" i="64"/>
  <c r="F719" i="64"/>
  <c r="D777" i="64"/>
  <c r="Q706" i="64"/>
  <c r="M706" i="64"/>
  <c r="I706" i="64"/>
  <c r="L706" i="64"/>
  <c r="G706" i="64"/>
  <c r="P706" i="64"/>
  <c r="K706" i="64"/>
  <c r="F706" i="64"/>
  <c r="O706" i="64"/>
  <c r="J706" i="64"/>
  <c r="C706" i="64"/>
  <c r="N706" i="64"/>
  <c r="H706" i="64"/>
  <c r="D816" i="64"/>
  <c r="C745" i="64"/>
  <c r="B598" i="74"/>
  <c r="B691" i="74"/>
  <c r="Q442" i="74"/>
  <c r="B729" i="74"/>
  <c r="I426" i="73" s="1"/>
  <c r="B253" i="74"/>
  <c r="B268" i="74" s="1"/>
  <c r="B283" i="74" s="1"/>
  <c r="B299" i="74" s="1"/>
  <c r="B313" i="74" s="1"/>
  <c r="B327" i="74" s="1"/>
  <c r="D843" i="64"/>
  <c r="C772" i="64"/>
  <c r="R2119" i="79"/>
  <c r="M2104" i="79"/>
  <c r="I2119" i="79"/>
  <c r="S2088" i="79"/>
  <c r="N2073" i="79"/>
  <c r="AI2047" i="79"/>
  <c r="T2119" i="79"/>
  <c r="O2104" i="79"/>
  <c r="J2088" i="79"/>
  <c r="AP2047" i="79"/>
  <c r="P2047" i="79"/>
  <c r="K2073" i="79"/>
  <c r="S2119" i="79"/>
  <c r="L2088" i="79"/>
  <c r="M2088" i="79"/>
  <c r="AG2047" i="79"/>
  <c r="O2047" i="79"/>
  <c r="S2047" i="79"/>
  <c r="Q2011" i="79"/>
  <c r="AO2047" i="79"/>
  <c r="AH2011" i="79"/>
  <c r="AO1976" i="79"/>
  <c r="O1976" i="79"/>
  <c r="O2011" i="79"/>
  <c r="M1976" i="79"/>
  <c r="AN2011" i="79"/>
  <c r="AL1976" i="79"/>
  <c r="AP1940" i="79"/>
  <c r="P1940" i="79"/>
  <c r="K2011" i="79"/>
  <c r="J1976" i="79"/>
  <c r="AJ2011" i="79"/>
  <c r="AI1976" i="79"/>
  <c r="AN1940" i="79"/>
  <c r="N1940" i="79"/>
  <c r="AN1904" i="79"/>
  <c r="N1904" i="79"/>
  <c r="AG1868" i="79"/>
  <c r="AP1832" i="79"/>
  <c r="P1832" i="79"/>
  <c r="AM1904" i="79"/>
  <c r="I1904" i="79"/>
  <c r="R1868" i="79"/>
  <c r="AK1832" i="79"/>
  <c r="K1832" i="79"/>
  <c r="AH1904" i="79"/>
  <c r="AQ1868" i="79"/>
  <c r="M1868" i="79"/>
  <c r="AF1832" i="79"/>
  <c r="S1940" i="79"/>
  <c r="AG1904" i="79"/>
  <c r="AP1868" i="79"/>
  <c r="P1868" i="79"/>
  <c r="AI1832" i="79"/>
  <c r="AQ1796" i="79"/>
  <c r="M1796" i="79"/>
  <c r="J1760" i="79"/>
  <c r="S1724" i="79"/>
  <c r="AL1688" i="79"/>
  <c r="L1688" i="79"/>
  <c r="T1796" i="79"/>
  <c r="M1760" i="79"/>
  <c r="AF1724" i="79"/>
  <c r="AO1688" i="79"/>
  <c r="O1688" i="79"/>
  <c r="AG1796" i="79"/>
  <c r="T1760" i="79"/>
  <c r="AM1724" i="79"/>
  <c r="I1724" i="79"/>
  <c r="R1688" i="79"/>
  <c r="AK1652" i="79"/>
  <c r="K1652" i="79"/>
  <c r="R1796" i="79"/>
  <c r="O1760" i="79"/>
  <c r="AH1724" i="79"/>
  <c r="AQ1688" i="79"/>
  <c r="M1688" i="79"/>
  <c r="AF1652" i="79"/>
  <c r="T1652" i="79"/>
  <c r="Q1652" i="79"/>
  <c r="P1652" i="79"/>
  <c r="N2119" i="79"/>
  <c r="I2104" i="79"/>
  <c r="T2104" i="79"/>
  <c r="O2088" i="79"/>
  <c r="J2073" i="79"/>
  <c r="Q2047" i="79"/>
  <c r="P2119" i="79"/>
  <c r="K2104" i="79"/>
  <c r="Q2073" i="79"/>
  <c r="AL2047" i="79"/>
  <c r="L2047" i="79"/>
  <c r="AN2047" i="79"/>
  <c r="O2119" i="79"/>
  <c r="O2073" i="79"/>
  <c r="J2104" i="79"/>
  <c r="K2047" i="79"/>
  <c r="Q2088" i="79"/>
  <c r="AQ2011" i="79"/>
  <c r="M2011" i="79"/>
  <c r="R2047" i="79"/>
  <c r="T2011" i="79"/>
  <c r="AK1976" i="79"/>
  <c r="K1976" i="79"/>
  <c r="AM1976" i="79"/>
  <c r="AQ1940" i="79"/>
  <c r="AF2011" i="79"/>
  <c r="AF1976" i="79"/>
  <c r="AL1940" i="79"/>
  <c r="L1940" i="79"/>
  <c r="AP1976" i="79"/>
  <c r="AO1940" i="79"/>
  <c r="R2011" i="79"/>
  <c r="T1976" i="79"/>
  <c r="AJ1940" i="79"/>
  <c r="J1940" i="79"/>
  <c r="AJ1904" i="79"/>
  <c r="J1904" i="79"/>
  <c r="S1868" i="79"/>
  <c r="AL1832" i="79"/>
  <c r="L1832" i="79"/>
  <c r="AI1904" i="79"/>
  <c r="AN1868" i="79"/>
  <c r="N1868" i="79"/>
  <c r="AG1832" i="79"/>
  <c r="M1940" i="79"/>
  <c r="T1904" i="79"/>
  <c r="AM1868" i="79"/>
  <c r="I1868" i="79"/>
  <c r="R1832" i="79"/>
  <c r="K1940" i="79"/>
  <c r="S1904" i="79"/>
  <c r="AL1868" i="79"/>
  <c r="L1868" i="79"/>
  <c r="Q1832" i="79"/>
  <c r="AM1796" i="79"/>
  <c r="I1796" i="79"/>
  <c r="AO1724" i="79"/>
  <c r="O1724" i="79"/>
  <c r="AH1688" i="79"/>
  <c r="AP1796" i="79"/>
  <c r="P1796" i="79"/>
  <c r="I1760" i="79"/>
  <c r="R1724" i="79"/>
  <c r="AK1688" i="79"/>
  <c r="K1688" i="79"/>
  <c r="S1796" i="79"/>
  <c r="P1760" i="79"/>
  <c r="AI1724" i="79"/>
  <c r="AN1688" i="79"/>
  <c r="N1688" i="79"/>
  <c r="AG1652" i="79"/>
  <c r="AN1796" i="79"/>
  <c r="N1796" i="79"/>
  <c r="K1760" i="79"/>
  <c r="T1724" i="79"/>
  <c r="AM1688" i="79"/>
  <c r="I1688" i="79"/>
  <c r="R1652" i="79"/>
  <c r="L1652" i="79"/>
  <c r="J1652" i="79"/>
  <c r="I1652" i="79"/>
  <c r="J2119" i="79"/>
  <c r="Q2119" i="79"/>
  <c r="P2104" i="79"/>
  <c r="K2088" i="79"/>
  <c r="AQ2047" i="79"/>
  <c r="M2047" i="79"/>
  <c r="L2119" i="79"/>
  <c r="R2088" i="79"/>
  <c r="M2073" i="79"/>
  <c r="AH2047" i="79"/>
  <c r="P2088" i="79"/>
  <c r="AF2047" i="79"/>
  <c r="N2104" i="79"/>
  <c r="K2119" i="79"/>
  <c r="I2088" i="79"/>
  <c r="L2073" i="79"/>
  <c r="AJ2047" i="79"/>
  <c r="AM2011" i="79"/>
  <c r="I2011" i="79"/>
  <c r="AP2011" i="79"/>
  <c r="P2011" i="79"/>
  <c r="AG1976" i="79"/>
  <c r="AO2011" i="79"/>
  <c r="AH1976" i="79"/>
  <c r="AM1940" i="79"/>
  <c r="N2011" i="79"/>
  <c r="Q1976" i="79"/>
  <c r="AH1940" i="79"/>
  <c r="AK2011" i="79"/>
  <c r="AJ1976" i="79"/>
  <c r="AK1940" i="79"/>
  <c r="J2011" i="79"/>
  <c r="N1976" i="79"/>
  <c r="AF1940" i="79"/>
  <c r="Q1940" i="79"/>
  <c r="AF1904" i="79"/>
  <c r="AO1868" i="79"/>
  <c r="O1868" i="79"/>
  <c r="AH1832" i="79"/>
  <c r="O1940" i="79"/>
  <c r="Q1904" i="79"/>
  <c r="AJ1868" i="79"/>
  <c r="J1868" i="79"/>
  <c r="S1832" i="79"/>
  <c r="AP1904" i="79"/>
  <c r="P1904" i="79"/>
  <c r="AI1868" i="79"/>
  <c r="AN1832" i="79"/>
  <c r="N1832" i="79"/>
  <c r="AO1904" i="79"/>
  <c r="O1904" i="79"/>
  <c r="AH1868" i="79"/>
  <c r="AQ1832" i="79"/>
  <c r="M1832" i="79"/>
  <c r="AI1796" i="79"/>
  <c r="R1760" i="79"/>
  <c r="AK1724" i="79"/>
  <c r="K1724" i="79"/>
  <c r="T1688" i="79"/>
  <c r="AL1796" i="79"/>
  <c r="L1796" i="79"/>
  <c r="AN1724" i="79"/>
  <c r="N1724" i="79"/>
  <c r="AG1688" i="79"/>
  <c r="AO1796" i="79"/>
  <c r="O1796" i="79"/>
  <c r="L1760" i="79"/>
  <c r="Q1724" i="79"/>
  <c r="AJ1688" i="79"/>
  <c r="J1688" i="79"/>
  <c r="S1652" i="79"/>
  <c r="AJ1796" i="79"/>
  <c r="J1796" i="79"/>
  <c r="AP1724" i="79"/>
  <c r="P1724" i="79"/>
  <c r="AI1688" i="79"/>
  <c r="AN1652" i="79"/>
  <c r="N1652" i="79"/>
  <c r="AQ1652" i="79"/>
  <c r="AP1652" i="79"/>
  <c r="AM1652" i="79"/>
  <c r="Y1225" i="79"/>
  <c r="Y1293" i="79" s="1"/>
  <c r="Y1217" i="79"/>
  <c r="Y1285" i="79" s="1"/>
  <c r="AI1652" i="79"/>
  <c r="L1724" i="79"/>
  <c r="O1652" i="79"/>
  <c r="AQ1724" i="79"/>
  <c r="J1724" i="79"/>
  <c r="P1688" i="79"/>
  <c r="Q1796" i="79"/>
  <c r="K1904" i="79"/>
  <c r="Q1868" i="79"/>
  <c r="AO1832" i="79"/>
  <c r="T1832" i="79"/>
  <c r="I1940" i="79"/>
  <c r="AG1940" i="79"/>
  <c r="L1976" i="79"/>
  <c r="AG2011" i="79"/>
  <c r="P2073" i="79"/>
  <c r="T2073" i="79"/>
  <c r="S2073" i="79"/>
  <c r="S2104" i="79"/>
  <c r="L2104" i="79"/>
  <c r="Y1231" i="79"/>
  <c r="Y1299" i="79" s="1"/>
  <c r="AL1652" i="79"/>
  <c r="AL1724" i="79"/>
  <c r="AO1652" i="79"/>
  <c r="K1796" i="79"/>
  <c r="AJ1724" i="79"/>
  <c r="AP1688" i="79"/>
  <c r="I1832" i="79"/>
  <c r="AK1904" i="79"/>
  <c r="L1904" i="79"/>
  <c r="AF1868" i="79"/>
  <c r="K1868" i="79"/>
  <c r="R1940" i="79"/>
  <c r="P1976" i="79"/>
  <c r="AQ1976" i="79"/>
  <c r="S1976" i="79"/>
  <c r="AI2011" i="79"/>
  <c r="R2104" i="79"/>
  <c r="T2047" i="79"/>
  <c r="I2047" i="79"/>
  <c r="M2119" i="79"/>
  <c r="I2220" i="79"/>
  <c r="M1652" i="79"/>
  <c r="AJ1652" i="79"/>
  <c r="S1760" i="79"/>
  <c r="AF1688" i="79"/>
  <c r="AK1796" i="79"/>
  <c r="Q1760" i="79"/>
  <c r="AG1724" i="79"/>
  <c r="AM1832" i="79"/>
  <c r="J1832" i="79"/>
  <c r="AL1904" i="79"/>
  <c r="M1904" i="79"/>
  <c r="AK1868" i="79"/>
  <c r="I1976" i="79"/>
  <c r="S2011" i="79"/>
  <c r="AI1940" i="79"/>
  <c r="L2011" i="79"/>
  <c r="J2047" i="79"/>
  <c r="T2088" i="79"/>
  <c r="I2073" i="79"/>
  <c r="AM2047" i="79"/>
  <c r="Q2104" i="79"/>
  <c r="H363" i="73"/>
  <c r="I2197" i="79"/>
  <c r="Q2220" i="79"/>
  <c r="K2174" i="79"/>
  <c r="S2266" i="79"/>
  <c r="S2381" i="79"/>
  <c r="M2197" i="79"/>
  <c r="I363" i="73"/>
  <c r="S2174" i="79"/>
  <c r="R170" i="85"/>
  <c r="P2220" i="79"/>
  <c r="T2174" i="79"/>
  <c r="M2220" i="79"/>
  <c r="T2243" i="79"/>
  <c r="I2174" i="79"/>
  <c r="P2197" i="79"/>
  <c r="S2220" i="79"/>
  <c r="I2266" i="79"/>
  <c r="N2358" i="79"/>
  <c r="S2358" i="79"/>
  <c r="I2381" i="79"/>
  <c r="P2381" i="79"/>
  <c r="Q2381" i="79"/>
  <c r="P2358" i="79"/>
  <c r="R2381" i="79"/>
  <c r="K2243" i="79"/>
  <c r="L2174" i="79"/>
  <c r="AP2044" i="79"/>
  <c r="AL2044" i="79"/>
  <c r="AH2044" i="79"/>
  <c r="T2044" i="79"/>
  <c r="P2044" i="79"/>
  <c r="L2044" i="79"/>
  <c r="AN2044" i="79"/>
  <c r="AI2044" i="79"/>
  <c r="S2044" i="79"/>
  <c r="N2044" i="79"/>
  <c r="I2044" i="79"/>
  <c r="AQ2044" i="79"/>
  <c r="AJ2044" i="79"/>
  <c r="AO2044" i="79"/>
  <c r="AM2044" i="79"/>
  <c r="AF2044" i="79"/>
  <c r="O2044" i="79"/>
  <c r="AO2008" i="79"/>
  <c r="AK2008" i="79"/>
  <c r="AG2008" i="79"/>
  <c r="S2008" i="79"/>
  <c r="O2008" i="79"/>
  <c r="K2008" i="79"/>
  <c r="AK2044" i="79"/>
  <c r="M2044" i="79"/>
  <c r="AN2008" i="79"/>
  <c r="AJ2008" i="79"/>
  <c r="AF2008" i="79"/>
  <c r="R2008" i="79"/>
  <c r="N2008" i="79"/>
  <c r="J2008" i="79"/>
  <c r="K2044" i="79"/>
  <c r="AM2008" i="79"/>
  <c r="M2008" i="79"/>
  <c r="AQ1973" i="79"/>
  <c r="AM1973" i="79"/>
  <c r="AI1973" i="79"/>
  <c r="Q1973" i="79"/>
  <c r="M1973" i="79"/>
  <c r="I1973" i="79"/>
  <c r="AG2044" i="79"/>
  <c r="J2044" i="79"/>
  <c r="AL2008" i="79"/>
  <c r="T2008" i="79"/>
  <c r="L2008" i="79"/>
  <c r="AP1973" i="79"/>
  <c r="AL1973" i="79"/>
  <c r="AH1973" i="79"/>
  <c r="T1973" i="79"/>
  <c r="P1973" i="79"/>
  <c r="L1973" i="79"/>
  <c r="AN1937" i="79"/>
  <c r="AJ1937" i="79"/>
  <c r="AF1937" i="79"/>
  <c r="R1937" i="79"/>
  <c r="N1937" i="79"/>
  <c r="J1937" i="79"/>
  <c r="R2044" i="79"/>
  <c r="AQ2008" i="79"/>
  <c r="AI2008" i="79"/>
  <c r="Q2008" i="79"/>
  <c r="I2008" i="79"/>
  <c r="AO1973" i="79"/>
  <c r="AK1973" i="79"/>
  <c r="AG1973" i="79"/>
  <c r="S1973" i="79"/>
  <c r="O1973" i="79"/>
  <c r="K1973" i="79"/>
  <c r="Q2044" i="79"/>
  <c r="AP2008" i="79"/>
  <c r="AH2008" i="79"/>
  <c r="P2008" i="79"/>
  <c r="AN1973" i="79"/>
  <c r="AJ1973" i="79"/>
  <c r="AF1973" i="79"/>
  <c r="R1973" i="79"/>
  <c r="N1973" i="79"/>
  <c r="J1973" i="79"/>
  <c r="AP1937" i="79"/>
  <c r="AL1937" i="79"/>
  <c r="AH1937" i="79"/>
  <c r="T1937" i="79"/>
  <c r="P1937" i="79"/>
  <c r="L1937" i="79"/>
  <c r="AO1937" i="79"/>
  <c r="AG1937" i="79"/>
  <c r="O1937" i="79"/>
  <c r="AP1901" i="79"/>
  <c r="AL1901" i="79"/>
  <c r="AH1901" i="79"/>
  <c r="T1901" i="79"/>
  <c r="P1901" i="79"/>
  <c r="L1901" i="79"/>
  <c r="AQ1865" i="79"/>
  <c r="AM1865" i="79"/>
  <c r="AI1865" i="79"/>
  <c r="Q1865" i="79"/>
  <c r="M1865" i="79"/>
  <c r="I1865" i="79"/>
  <c r="AN1829" i="79"/>
  <c r="AJ1829" i="79"/>
  <c r="AF1829" i="79"/>
  <c r="R1829" i="79"/>
  <c r="N1829" i="79"/>
  <c r="J1829" i="79"/>
  <c r="AM1937" i="79"/>
  <c r="M1937" i="79"/>
  <c r="AO1901" i="79"/>
  <c r="AK1901" i="79"/>
  <c r="AG1901" i="79"/>
  <c r="S1901" i="79"/>
  <c r="O1901" i="79"/>
  <c r="K1901" i="79"/>
  <c r="AP1865" i="79"/>
  <c r="AL1865" i="79"/>
  <c r="AH1865" i="79"/>
  <c r="T1865" i="79"/>
  <c r="P1865" i="79"/>
  <c r="L1865" i="79"/>
  <c r="AQ1829" i="79"/>
  <c r="AM1829" i="79"/>
  <c r="AI1829" i="79"/>
  <c r="Q1829" i="79"/>
  <c r="M1829" i="79"/>
  <c r="I1829" i="79"/>
  <c r="AK1937" i="79"/>
  <c r="S1937" i="79"/>
  <c r="K1937" i="79"/>
  <c r="AN1901" i="79"/>
  <c r="AJ1901" i="79"/>
  <c r="AF1901" i="79"/>
  <c r="R1901" i="79"/>
  <c r="N1901" i="79"/>
  <c r="J1901" i="79"/>
  <c r="AO1865" i="79"/>
  <c r="AK1865" i="79"/>
  <c r="AG1865" i="79"/>
  <c r="S1865" i="79"/>
  <c r="O1865" i="79"/>
  <c r="K1865" i="79"/>
  <c r="AP1829" i="79"/>
  <c r="AL1829" i="79"/>
  <c r="AH1829" i="79"/>
  <c r="T1829" i="79"/>
  <c r="P1829" i="79"/>
  <c r="L1829" i="79"/>
  <c r="AQ1937" i="79"/>
  <c r="AI1937" i="79"/>
  <c r="Q1937" i="79"/>
  <c r="I1937" i="79"/>
  <c r="AQ1901" i="79"/>
  <c r="AM1901" i="79"/>
  <c r="AI1901" i="79"/>
  <c r="Q1901" i="79"/>
  <c r="M1901" i="79"/>
  <c r="I1901" i="79"/>
  <c r="AN1865" i="79"/>
  <c r="AJ1865" i="79"/>
  <c r="AF1865" i="79"/>
  <c r="R1865" i="79"/>
  <c r="N1865" i="79"/>
  <c r="J1865" i="79"/>
  <c r="AO1829" i="79"/>
  <c r="AK1829" i="79"/>
  <c r="AG1829" i="79"/>
  <c r="S1829" i="79"/>
  <c r="O1829" i="79"/>
  <c r="K1829" i="79"/>
  <c r="AO1793" i="79"/>
  <c r="AK1793" i="79"/>
  <c r="AG1793" i="79"/>
  <c r="S1793" i="79"/>
  <c r="O1793" i="79"/>
  <c r="K1793" i="79"/>
  <c r="T1757" i="79"/>
  <c r="P1757" i="79"/>
  <c r="L1757" i="79"/>
  <c r="AQ1721" i="79"/>
  <c r="AM1721" i="79"/>
  <c r="AI1721" i="79"/>
  <c r="Q1721" i="79"/>
  <c r="M1721" i="79"/>
  <c r="I1721" i="79"/>
  <c r="AN1685" i="79"/>
  <c r="AJ1685" i="79"/>
  <c r="AF1685" i="79"/>
  <c r="R1685" i="79"/>
  <c r="N1685" i="79"/>
  <c r="J1685" i="79"/>
  <c r="AN1793" i="79"/>
  <c r="AJ1793" i="79"/>
  <c r="AF1793" i="79"/>
  <c r="R1793" i="79"/>
  <c r="N1793" i="79"/>
  <c r="J1793" i="79"/>
  <c r="S1757" i="79"/>
  <c r="O1757" i="79"/>
  <c r="K1757" i="79"/>
  <c r="AP1721" i="79"/>
  <c r="AL1721" i="79"/>
  <c r="AH1721" i="79"/>
  <c r="T1721" i="79"/>
  <c r="P1721" i="79"/>
  <c r="L1721" i="79"/>
  <c r="AQ1685" i="79"/>
  <c r="AM1685" i="79"/>
  <c r="AI1685" i="79"/>
  <c r="Q1685" i="79"/>
  <c r="M1685" i="79"/>
  <c r="I1685" i="79"/>
  <c r="AQ1793" i="79"/>
  <c r="AM1793" i="79"/>
  <c r="AI1793" i="79"/>
  <c r="Q1793" i="79"/>
  <c r="M1793" i="79"/>
  <c r="I1793" i="79"/>
  <c r="R1757" i="79"/>
  <c r="N1757" i="79"/>
  <c r="J1757" i="79"/>
  <c r="AO1721" i="79"/>
  <c r="AK1721" i="79"/>
  <c r="AG1721" i="79"/>
  <c r="S1721" i="79"/>
  <c r="O1721" i="79"/>
  <c r="K1721" i="79"/>
  <c r="AP1685" i="79"/>
  <c r="AL1685" i="79"/>
  <c r="AH1685" i="79"/>
  <c r="T1685" i="79"/>
  <c r="P1685" i="79"/>
  <c r="L1685" i="79"/>
  <c r="AP1793" i="79"/>
  <c r="AL1793" i="79"/>
  <c r="AH1793" i="79"/>
  <c r="T1793" i="79"/>
  <c r="P1793" i="79"/>
  <c r="L1793" i="79"/>
  <c r="Q1757" i="79"/>
  <c r="M1757" i="79"/>
  <c r="I1757" i="79"/>
  <c r="AN1721" i="79"/>
  <c r="AJ1721" i="79"/>
  <c r="AF1721" i="79"/>
  <c r="R1721" i="79"/>
  <c r="N1721" i="79"/>
  <c r="J1721" i="79"/>
  <c r="AO1685" i="79"/>
  <c r="AK1685" i="79"/>
  <c r="AG1685" i="79"/>
  <c r="S1685" i="79"/>
  <c r="O1685" i="79"/>
  <c r="K1685" i="79"/>
  <c r="AP1649" i="79"/>
  <c r="AL1649" i="79"/>
  <c r="AH1649" i="79"/>
  <c r="T1649" i="79"/>
  <c r="P1649" i="79"/>
  <c r="L1649" i="79"/>
  <c r="AO1649" i="79"/>
  <c r="AK1649" i="79"/>
  <c r="AG1649" i="79"/>
  <c r="S1649" i="79"/>
  <c r="O1649" i="79"/>
  <c r="K1649" i="79"/>
  <c r="AN1649" i="79"/>
  <c r="AJ1649" i="79"/>
  <c r="AF1649" i="79"/>
  <c r="R1649" i="79"/>
  <c r="N1649" i="79"/>
  <c r="J1649" i="79"/>
  <c r="AQ1649" i="79"/>
  <c r="AM1649" i="79"/>
  <c r="AI1649" i="79"/>
  <c r="Q1649" i="79"/>
  <c r="M1649" i="79"/>
  <c r="I1649" i="79"/>
  <c r="S2122" i="79"/>
  <c r="O2122" i="79"/>
  <c r="K2122" i="79"/>
  <c r="R2107" i="79"/>
  <c r="N2107" i="79"/>
  <c r="J2107" i="79"/>
  <c r="R2122" i="79"/>
  <c r="N2122" i="79"/>
  <c r="J2122" i="79"/>
  <c r="Q2107" i="79"/>
  <c r="M2107" i="79"/>
  <c r="I2107" i="79"/>
  <c r="T2091" i="79"/>
  <c r="P2091" i="79"/>
  <c r="L2091" i="79"/>
  <c r="S2076" i="79"/>
  <c r="O2076" i="79"/>
  <c r="K2076" i="79"/>
  <c r="AO2050" i="79"/>
  <c r="AK2050" i="79"/>
  <c r="AG2050" i="79"/>
  <c r="S2050" i="79"/>
  <c r="O2050" i="79"/>
  <c r="K2050" i="79"/>
  <c r="Q2122" i="79"/>
  <c r="M2122" i="79"/>
  <c r="I2122" i="79"/>
  <c r="T2107" i="79"/>
  <c r="P2107" i="79"/>
  <c r="L2107" i="79"/>
  <c r="S2091" i="79"/>
  <c r="O2091" i="79"/>
  <c r="K2091" i="79"/>
  <c r="R2076" i="79"/>
  <c r="N2076" i="79"/>
  <c r="J2076" i="79"/>
  <c r="AN2050" i="79"/>
  <c r="AJ2050" i="79"/>
  <c r="AF2050" i="79"/>
  <c r="R2050" i="79"/>
  <c r="N2050" i="79"/>
  <c r="J2050" i="79"/>
  <c r="P2122" i="79"/>
  <c r="O2107" i="79"/>
  <c r="Q2091" i="79"/>
  <c r="I2091" i="79"/>
  <c r="T2076" i="79"/>
  <c r="L2076" i="79"/>
  <c r="AP2050" i="79"/>
  <c r="AH2050" i="79"/>
  <c r="P2050" i="79"/>
  <c r="L2122" i="79"/>
  <c r="K2107" i="79"/>
  <c r="M2091" i="79"/>
  <c r="P2076" i="79"/>
  <c r="S2107" i="79"/>
  <c r="Q2076" i="79"/>
  <c r="T2122" i="79"/>
  <c r="R2091" i="79"/>
  <c r="M2076" i="79"/>
  <c r="AM2050" i="79"/>
  <c r="T2050" i="79"/>
  <c r="I2050" i="79"/>
  <c r="N2091" i="79"/>
  <c r="J2091" i="79"/>
  <c r="AQ2050" i="79"/>
  <c r="Q2050" i="79"/>
  <c r="AL2050" i="79"/>
  <c r="M2050" i="79"/>
  <c r="AO2014" i="79"/>
  <c r="AK2014" i="79"/>
  <c r="AG2014" i="79"/>
  <c r="S2014" i="79"/>
  <c r="O2014" i="79"/>
  <c r="K2014" i="79"/>
  <c r="I2076" i="79"/>
  <c r="AI2050" i="79"/>
  <c r="L2050" i="79"/>
  <c r="AN2014" i="79"/>
  <c r="AJ2014" i="79"/>
  <c r="AF2014" i="79"/>
  <c r="R2014" i="79"/>
  <c r="N2014" i="79"/>
  <c r="J2014" i="79"/>
  <c r="AQ1979" i="79"/>
  <c r="AM1979" i="79"/>
  <c r="AI1979" i="79"/>
  <c r="Q1979" i="79"/>
  <c r="M1979" i="79"/>
  <c r="I1979" i="79"/>
  <c r="AQ2014" i="79"/>
  <c r="AI2014" i="79"/>
  <c r="Q2014" i="79"/>
  <c r="I2014" i="79"/>
  <c r="AO1979" i="79"/>
  <c r="AJ1979" i="79"/>
  <c r="T1979" i="79"/>
  <c r="O1979" i="79"/>
  <c r="J1979" i="79"/>
  <c r="AO1943" i="79"/>
  <c r="AK1943" i="79"/>
  <c r="AG1943" i="79"/>
  <c r="S1943" i="79"/>
  <c r="O1943" i="79"/>
  <c r="K1943" i="79"/>
  <c r="AP2014" i="79"/>
  <c r="AH2014" i="79"/>
  <c r="P2014" i="79"/>
  <c r="AN1979" i="79"/>
  <c r="AH1979" i="79"/>
  <c r="S1979" i="79"/>
  <c r="N1979" i="79"/>
  <c r="AN1943" i="79"/>
  <c r="AJ1943" i="79"/>
  <c r="AF1943" i="79"/>
  <c r="R1943" i="79"/>
  <c r="N1943" i="79"/>
  <c r="J1943" i="79"/>
  <c r="AM2014" i="79"/>
  <c r="M2014" i="79"/>
  <c r="AL1979" i="79"/>
  <c r="AG1979" i="79"/>
  <c r="R1979" i="79"/>
  <c r="L1979" i="79"/>
  <c r="AQ1943" i="79"/>
  <c r="AM1943" i="79"/>
  <c r="AI1943" i="79"/>
  <c r="Q1943" i="79"/>
  <c r="M1943" i="79"/>
  <c r="I1943" i="79"/>
  <c r="AL2014" i="79"/>
  <c r="T2014" i="79"/>
  <c r="L2014" i="79"/>
  <c r="AP1979" i="79"/>
  <c r="AK1979" i="79"/>
  <c r="AF1979" i="79"/>
  <c r="P1979" i="79"/>
  <c r="K1979" i="79"/>
  <c r="AP1943" i="79"/>
  <c r="AL1943" i="79"/>
  <c r="AH1943" i="79"/>
  <c r="T1943" i="79"/>
  <c r="P1943" i="79"/>
  <c r="L1943" i="79"/>
  <c r="AP1907" i="79"/>
  <c r="AL1907" i="79"/>
  <c r="AH1907" i="79"/>
  <c r="T1907" i="79"/>
  <c r="P1907" i="79"/>
  <c r="L1907" i="79"/>
  <c r="AQ1871" i="79"/>
  <c r="AM1871" i="79"/>
  <c r="AI1871" i="79"/>
  <c r="Q1871" i="79"/>
  <c r="M1871" i="79"/>
  <c r="I1871" i="79"/>
  <c r="AN1835" i="79"/>
  <c r="AJ1835" i="79"/>
  <c r="AF1835" i="79"/>
  <c r="R1835" i="79"/>
  <c r="N1835" i="79"/>
  <c r="J1835" i="79"/>
  <c r="AO1799" i="79"/>
  <c r="AK1799" i="79"/>
  <c r="AG1799" i="79"/>
  <c r="S1799" i="79"/>
  <c r="O1799" i="79"/>
  <c r="K1799" i="79"/>
  <c r="AO1907" i="79"/>
  <c r="AK1907" i="79"/>
  <c r="AG1907" i="79"/>
  <c r="S1907" i="79"/>
  <c r="O1907" i="79"/>
  <c r="K1907" i="79"/>
  <c r="AP1871" i="79"/>
  <c r="AL1871" i="79"/>
  <c r="AH1871" i="79"/>
  <c r="T1871" i="79"/>
  <c r="P1871" i="79"/>
  <c r="L1871" i="79"/>
  <c r="AQ1835" i="79"/>
  <c r="AM1835" i="79"/>
  <c r="AI1835" i="79"/>
  <c r="Q1835" i="79"/>
  <c r="M1835" i="79"/>
  <c r="I1835" i="79"/>
  <c r="AN1799" i="79"/>
  <c r="AJ1799" i="79"/>
  <c r="AF1799" i="79"/>
  <c r="R1799" i="79"/>
  <c r="N1799" i="79"/>
  <c r="J1799" i="79"/>
  <c r="AN1907" i="79"/>
  <c r="AJ1907" i="79"/>
  <c r="AF1907" i="79"/>
  <c r="R1907" i="79"/>
  <c r="N1907" i="79"/>
  <c r="J1907" i="79"/>
  <c r="AO1871" i="79"/>
  <c r="AK1871" i="79"/>
  <c r="AG1871" i="79"/>
  <c r="S1871" i="79"/>
  <c r="O1871" i="79"/>
  <c r="K1871" i="79"/>
  <c r="AP1835" i="79"/>
  <c r="AL1835" i="79"/>
  <c r="AH1835" i="79"/>
  <c r="T1835" i="79"/>
  <c r="P1835" i="79"/>
  <c r="L1835" i="79"/>
  <c r="AQ1799" i="79"/>
  <c r="AM1799" i="79"/>
  <c r="AI1799" i="79"/>
  <c r="Q1799" i="79"/>
  <c r="M1799" i="79"/>
  <c r="I1799" i="79"/>
  <c r="AQ1907" i="79"/>
  <c r="AM1907" i="79"/>
  <c r="AI1907" i="79"/>
  <c r="Q1907" i="79"/>
  <c r="M1907" i="79"/>
  <c r="I1907" i="79"/>
  <c r="AN1871" i="79"/>
  <c r="AJ1871" i="79"/>
  <c r="AF1871" i="79"/>
  <c r="R1871" i="79"/>
  <c r="N1871" i="79"/>
  <c r="J1871" i="79"/>
  <c r="AO1835" i="79"/>
  <c r="AK1835" i="79"/>
  <c r="AG1835" i="79"/>
  <c r="S1835" i="79"/>
  <c r="O1835" i="79"/>
  <c r="K1835" i="79"/>
  <c r="AP1799" i="79"/>
  <c r="AL1799" i="79"/>
  <c r="AH1799" i="79"/>
  <c r="T1799" i="79"/>
  <c r="P1799" i="79"/>
  <c r="L1799" i="79"/>
  <c r="T1763" i="79"/>
  <c r="P1763" i="79"/>
  <c r="L1763" i="79"/>
  <c r="AQ1727" i="79"/>
  <c r="AM1727" i="79"/>
  <c r="AI1727" i="79"/>
  <c r="Q1727" i="79"/>
  <c r="M1727" i="79"/>
  <c r="I1727" i="79"/>
  <c r="AN1691" i="79"/>
  <c r="AJ1691" i="79"/>
  <c r="AF1691" i="79"/>
  <c r="R1691" i="79"/>
  <c r="N1691" i="79"/>
  <c r="J1691" i="79"/>
  <c r="S1763" i="79"/>
  <c r="O1763" i="79"/>
  <c r="K1763" i="79"/>
  <c r="AP1727" i="79"/>
  <c r="AL1727" i="79"/>
  <c r="AH1727" i="79"/>
  <c r="T1727" i="79"/>
  <c r="P1727" i="79"/>
  <c r="L1727" i="79"/>
  <c r="AQ1691" i="79"/>
  <c r="AM1691" i="79"/>
  <c r="AI1691" i="79"/>
  <c r="Q1691" i="79"/>
  <c r="M1691" i="79"/>
  <c r="I1691" i="79"/>
  <c r="R1763" i="79"/>
  <c r="N1763" i="79"/>
  <c r="J1763" i="79"/>
  <c r="AO1727" i="79"/>
  <c r="AK1727" i="79"/>
  <c r="AG1727" i="79"/>
  <c r="S1727" i="79"/>
  <c r="O1727" i="79"/>
  <c r="K1727" i="79"/>
  <c r="AP1691" i="79"/>
  <c r="AL1691" i="79"/>
  <c r="AH1691" i="79"/>
  <c r="T1691" i="79"/>
  <c r="P1691" i="79"/>
  <c r="L1691" i="79"/>
  <c r="AN1655" i="79"/>
  <c r="AJ1655" i="79"/>
  <c r="AF1655" i="79"/>
  <c r="R1655" i="79"/>
  <c r="N1655" i="79"/>
  <c r="J1655" i="79"/>
  <c r="Q1763" i="79"/>
  <c r="M1763" i="79"/>
  <c r="I1763" i="79"/>
  <c r="AN1727" i="79"/>
  <c r="AJ1727" i="79"/>
  <c r="AF1727" i="79"/>
  <c r="R1727" i="79"/>
  <c r="N1727" i="79"/>
  <c r="J1727" i="79"/>
  <c r="AO1691" i="79"/>
  <c r="AK1691" i="79"/>
  <c r="AG1691" i="79"/>
  <c r="S1691" i="79"/>
  <c r="O1691" i="79"/>
  <c r="K1691" i="79"/>
  <c r="AQ1655" i="79"/>
  <c r="AM1655" i="79"/>
  <c r="AI1655" i="79"/>
  <c r="Q1655" i="79"/>
  <c r="M1655" i="79"/>
  <c r="I1655" i="79"/>
  <c r="AK1655" i="79"/>
  <c r="S1655" i="79"/>
  <c r="K1655" i="79"/>
  <c r="AP1655" i="79"/>
  <c r="AH1655" i="79"/>
  <c r="P1655" i="79"/>
  <c r="AO1655" i="79"/>
  <c r="AG1655" i="79"/>
  <c r="O1655" i="79"/>
  <c r="AL1655" i="79"/>
  <c r="T1655" i="79"/>
  <c r="L1655" i="79"/>
  <c r="AP2042" i="79"/>
  <c r="AL2042" i="79"/>
  <c r="AH2042" i="79"/>
  <c r="T2042" i="79"/>
  <c r="P2042" i="79"/>
  <c r="L2042" i="79"/>
  <c r="AM2042" i="79"/>
  <c r="AG2042" i="79"/>
  <c r="R2042" i="79"/>
  <c r="M2042" i="79"/>
  <c r="AO2042" i="79"/>
  <c r="AI2042" i="79"/>
  <c r="Q2042" i="79"/>
  <c r="J2042" i="79"/>
  <c r="AO2006" i="79"/>
  <c r="AK2006" i="79"/>
  <c r="AG2006" i="79"/>
  <c r="S2006" i="79"/>
  <c r="O2006" i="79"/>
  <c r="K2006" i="79"/>
  <c r="AN2042" i="79"/>
  <c r="AF2042" i="79"/>
  <c r="O2042" i="79"/>
  <c r="I2042" i="79"/>
  <c r="AN2006" i="79"/>
  <c r="AJ2006" i="79"/>
  <c r="AF2006" i="79"/>
  <c r="R2006" i="79"/>
  <c r="N2006" i="79"/>
  <c r="J2006" i="79"/>
  <c r="AQ2006" i="79"/>
  <c r="AI2006" i="79"/>
  <c r="Q2006" i="79"/>
  <c r="I2006" i="79"/>
  <c r="AQ1971" i="79"/>
  <c r="AM1971" i="79"/>
  <c r="AI1971" i="79"/>
  <c r="Q1971" i="79"/>
  <c r="M1971" i="79"/>
  <c r="I1971" i="79"/>
  <c r="AQ2042" i="79"/>
  <c r="S2042" i="79"/>
  <c r="AP2006" i="79"/>
  <c r="AH2006" i="79"/>
  <c r="P2006" i="79"/>
  <c r="AP1971" i="79"/>
  <c r="AL1971" i="79"/>
  <c r="AH1971" i="79"/>
  <c r="T1971" i="79"/>
  <c r="P1971" i="79"/>
  <c r="L1971" i="79"/>
  <c r="AN1935" i="79"/>
  <c r="AJ1935" i="79"/>
  <c r="AF1935" i="79"/>
  <c r="R1935" i="79"/>
  <c r="N1935" i="79"/>
  <c r="J1935" i="79"/>
  <c r="AK2042" i="79"/>
  <c r="N2042" i="79"/>
  <c r="AM2006" i="79"/>
  <c r="M2006" i="79"/>
  <c r="AO1971" i="79"/>
  <c r="AK1971" i="79"/>
  <c r="AG1971" i="79"/>
  <c r="S1971" i="79"/>
  <c r="O1971" i="79"/>
  <c r="K1971" i="79"/>
  <c r="AJ2042" i="79"/>
  <c r="K2042" i="79"/>
  <c r="AL2006" i="79"/>
  <c r="T2006" i="79"/>
  <c r="L2006" i="79"/>
  <c r="AN1971" i="79"/>
  <c r="AJ1971" i="79"/>
  <c r="AF1971" i="79"/>
  <c r="R1971" i="79"/>
  <c r="N1971" i="79"/>
  <c r="J1971" i="79"/>
  <c r="AP1935" i="79"/>
  <c r="AL1935" i="79"/>
  <c r="AH1935" i="79"/>
  <c r="T1935" i="79"/>
  <c r="P1935" i="79"/>
  <c r="L1935" i="79"/>
  <c r="AK1935" i="79"/>
  <c r="S1935" i="79"/>
  <c r="K1935" i="79"/>
  <c r="AP1899" i="79"/>
  <c r="AL1899" i="79"/>
  <c r="AH1899" i="79"/>
  <c r="T1899" i="79"/>
  <c r="P1899" i="79"/>
  <c r="L1899" i="79"/>
  <c r="AQ1863" i="79"/>
  <c r="AM1863" i="79"/>
  <c r="AI1863" i="79"/>
  <c r="Q1863" i="79"/>
  <c r="M1863" i="79"/>
  <c r="I1863" i="79"/>
  <c r="AN1827" i="79"/>
  <c r="AJ1827" i="79"/>
  <c r="AF1827" i="79"/>
  <c r="R1827" i="79"/>
  <c r="N1827" i="79"/>
  <c r="J1827" i="79"/>
  <c r="AQ1935" i="79"/>
  <c r="AI1935" i="79"/>
  <c r="Q1935" i="79"/>
  <c r="I1935" i="79"/>
  <c r="AO1899" i="79"/>
  <c r="AK1899" i="79"/>
  <c r="AG1899" i="79"/>
  <c r="S1899" i="79"/>
  <c r="O1899" i="79"/>
  <c r="K1899" i="79"/>
  <c r="AP1863" i="79"/>
  <c r="AL1863" i="79"/>
  <c r="AH1863" i="79"/>
  <c r="T1863" i="79"/>
  <c r="P1863" i="79"/>
  <c r="L1863" i="79"/>
  <c r="AQ1827" i="79"/>
  <c r="AM1827" i="79"/>
  <c r="AI1827" i="79"/>
  <c r="Q1827" i="79"/>
  <c r="M1827" i="79"/>
  <c r="I1827" i="79"/>
  <c r="AO1935" i="79"/>
  <c r="AG1935" i="79"/>
  <c r="O1935" i="79"/>
  <c r="AN1899" i="79"/>
  <c r="AJ1899" i="79"/>
  <c r="AF1899" i="79"/>
  <c r="R1899" i="79"/>
  <c r="N1899" i="79"/>
  <c r="J1899" i="79"/>
  <c r="AO1863" i="79"/>
  <c r="AK1863" i="79"/>
  <c r="AG1863" i="79"/>
  <c r="S1863" i="79"/>
  <c r="O1863" i="79"/>
  <c r="K1863" i="79"/>
  <c r="AP1827" i="79"/>
  <c r="AL1827" i="79"/>
  <c r="AH1827" i="79"/>
  <c r="T1827" i="79"/>
  <c r="P1827" i="79"/>
  <c r="L1827" i="79"/>
  <c r="AM1935" i="79"/>
  <c r="M1935" i="79"/>
  <c r="AQ1899" i="79"/>
  <c r="AM1899" i="79"/>
  <c r="AI1899" i="79"/>
  <c r="Q1899" i="79"/>
  <c r="M1899" i="79"/>
  <c r="I1899" i="79"/>
  <c r="AN1863" i="79"/>
  <c r="AJ1863" i="79"/>
  <c r="AF1863" i="79"/>
  <c r="R1863" i="79"/>
  <c r="N1863" i="79"/>
  <c r="J1863" i="79"/>
  <c r="AO1827" i="79"/>
  <c r="AK1827" i="79"/>
  <c r="AG1827" i="79"/>
  <c r="S1827" i="79"/>
  <c r="O1827" i="79"/>
  <c r="K1827" i="79"/>
  <c r="AO1791" i="79"/>
  <c r="AK1791" i="79"/>
  <c r="AG1791" i="79"/>
  <c r="S1791" i="79"/>
  <c r="O1791" i="79"/>
  <c r="K1791" i="79"/>
  <c r="T1755" i="79"/>
  <c r="P1755" i="79"/>
  <c r="L1755" i="79"/>
  <c r="AQ1719" i="79"/>
  <c r="AM1719" i="79"/>
  <c r="AI1719" i="79"/>
  <c r="Q1719" i="79"/>
  <c r="M1719" i="79"/>
  <c r="I1719" i="79"/>
  <c r="AN1683" i="79"/>
  <c r="AJ1683" i="79"/>
  <c r="AF1683" i="79"/>
  <c r="R1683" i="79"/>
  <c r="N1683" i="79"/>
  <c r="J1683" i="79"/>
  <c r="AN1791" i="79"/>
  <c r="AJ1791" i="79"/>
  <c r="AF1791" i="79"/>
  <c r="R1791" i="79"/>
  <c r="N1791" i="79"/>
  <c r="J1791" i="79"/>
  <c r="S1755" i="79"/>
  <c r="O1755" i="79"/>
  <c r="K1755" i="79"/>
  <c r="AP1719" i="79"/>
  <c r="AL1719" i="79"/>
  <c r="AH1719" i="79"/>
  <c r="T1719" i="79"/>
  <c r="P1719" i="79"/>
  <c r="L1719" i="79"/>
  <c r="AQ1683" i="79"/>
  <c r="AM1683" i="79"/>
  <c r="AI1683" i="79"/>
  <c r="Q1683" i="79"/>
  <c r="M1683" i="79"/>
  <c r="I1683" i="79"/>
  <c r="AQ1791" i="79"/>
  <c r="AM1791" i="79"/>
  <c r="AI1791" i="79"/>
  <c r="Q1791" i="79"/>
  <c r="M1791" i="79"/>
  <c r="I1791" i="79"/>
  <c r="R1755" i="79"/>
  <c r="N1755" i="79"/>
  <c r="J1755" i="79"/>
  <c r="AO1719" i="79"/>
  <c r="AK1719" i="79"/>
  <c r="AG1719" i="79"/>
  <c r="S1719" i="79"/>
  <c r="O1719" i="79"/>
  <c r="K1719" i="79"/>
  <c r="AP1683" i="79"/>
  <c r="AL1683" i="79"/>
  <c r="AH1683" i="79"/>
  <c r="T1683" i="79"/>
  <c r="P1683" i="79"/>
  <c r="L1683" i="79"/>
  <c r="AP1791" i="79"/>
  <c r="AL1791" i="79"/>
  <c r="AH1791" i="79"/>
  <c r="T1791" i="79"/>
  <c r="P1791" i="79"/>
  <c r="L1791" i="79"/>
  <c r="Q1755" i="79"/>
  <c r="M1755" i="79"/>
  <c r="I1755" i="79"/>
  <c r="AN1719" i="79"/>
  <c r="AJ1719" i="79"/>
  <c r="AF1719" i="79"/>
  <c r="R1719" i="79"/>
  <c r="N1719" i="79"/>
  <c r="J1719" i="79"/>
  <c r="AO1683" i="79"/>
  <c r="AK1683" i="79"/>
  <c r="AG1683" i="79"/>
  <c r="S1683" i="79"/>
  <c r="O1683" i="79"/>
  <c r="K1683" i="79"/>
  <c r="AN1647" i="79"/>
  <c r="AJ1647" i="79"/>
  <c r="AF1647" i="79"/>
  <c r="R1647" i="79"/>
  <c r="N1647" i="79"/>
  <c r="J1647" i="79"/>
  <c r="AQ1647" i="79"/>
  <c r="AM1647" i="79"/>
  <c r="AI1647" i="79"/>
  <c r="Q1647" i="79"/>
  <c r="M1647" i="79"/>
  <c r="I1647" i="79"/>
  <c r="AP1647" i="79"/>
  <c r="AL1647" i="79"/>
  <c r="AH1647" i="79"/>
  <c r="T1647" i="79"/>
  <c r="P1647" i="79"/>
  <c r="L1647" i="79"/>
  <c r="AO1647" i="79"/>
  <c r="AK1647" i="79"/>
  <c r="AG1647" i="79"/>
  <c r="S1647" i="79"/>
  <c r="O1647" i="79"/>
  <c r="K1647" i="79"/>
  <c r="AQ1230" i="79"/>
  <c r="AQ1298" i="79" s="1"/>
  <c r="AM1230" i="79"/>
  <c r="AM1298" i="79" s="1"/>
  <c r="AI1230" i="79"/>
  <c r="AI1298" i="79" s="1"/>
  <c r="AP1230" i="79"/>
  <c r="AP1298" i="79" s="1"/>
  <c r="AL1230" i="79"/>
  <c r="AL1298" i="79" s="1"/>
  <c r="AH1230" i="79"/>
  <c r="AH1298" i="79" s="1"/>
  <c r="AO1230" i="79"/>
  <c r="AO1298" i="79" s="1"/>
  <c r="AK1230" i="79"/>
  <c r="AK1298" i="79" s="1"/>
  <c r="AG1230" i="79"/>
  <c r="AG1298" i="79" s="1"/>
  <c r="B1298" i="79"/>
  <c r="AN1230" i="79"/>
  <c r="AN1298" i="79" s="1"/>
  <c r="AJ1230" i="79"/>
  <c r="AJ1298" i="79" s="1"/>
  <c r="AF1230" i="79"/>
  <c r="AF1298" i="79" s="1"/>
  <c r="AQ1226" i="79"/>
  <c r="AQ1294" i="79" s="1"/>
  <c r="AM1226" i="79"/>
  <c r="AM1294" i="79" s="1"/>
  <c r="AI1226" i="79"/>
  <c r="AI1294" i="79" s="1"/>
  <c r="R1226" i="79"/>
  <c r="R1294" i="79" s="1"/>
  <c r="N1226" i="79"/>
  <c r="N1294" i="79" s="1"/>
  <c r="J1226" i="79"/>
  <c r="J1294" i="79" s="1"/>
  <c r="AP1226" i="79"/>
  <c r="AP1294" i="79" s="1"/>
  <c r="AL1226" i="79"/>
  <c r="AL1294" i="79" s="1"/>
  <c r="AH1226" i="79"/>
  <c r="AH1294" i="79" s="1"/>
  <c r="Q1226" i="79"/>
  <c r="Q1294" i="79" s="1"/>
  <c r="M1226" i="79"/>
  <c r="M1294" i="79" s="1"/>
  <c r="I1226" i="79"/>
  <c r="I1294" i="79" s="1"/>
  <c r="AO1226" i="79"/>
  <c r="AO1294" i="79" s="1"/>
  <c r="AK1226" i="79"/>
  <c r="AK1294" i="79" s="1"/>
  <c r="AG1226" i="79"/>
  <c r="AG1294" i="79" s="1"/>
  <c r="T1226" i="79"/>
  <c r="T1294" i="79" s="1"/>
  <c r="P1226" i="79"/>
  <c r="P1294" i="79" s="1"/>
  <c r="L1226" i="79"/>
  <c r="L1294" i="79" s="1"/>
  <c r="B1294" i="79"/>
  <c r="AN1226" i="79"/>
  <c r="AN1294" i="79" s="1"/>
  <c r="AJ1226" i="79"/>
  <c r="AJ1294" i="79" s="1"/>
  <c r="AF1226" i="79"/>
  <c r="AF1294" i="79" s="1"/>
  <c r="S1226" i="79"/>
  <c r="S1294" i="79" s="1"/>
  <c r="O1226" i="79"/>
  <c r="O1294" i="79" s="1"/>
  <c r="K1226" i="79"/>
  <c r="K1294" i="79" s="1"/>
  <c r="AQ1222" i="79"/>
  <c r="AQ1290" i="79" s="1"/>
  <c r="AM1222" i="79"/>
  <c r="AM1290" i="79" s="1"/>
  <c r="AI1222" i="79"/>
  <c r="AI1290" i="79" s="1"/>
  <c r="R1222" i="79"/>
  <c r="R1290" i="79" s="1"/>
  <c r="N1222" i="79"/>
  <c r="N1290" i="79" s="1"/>
  <c r="J1222" i="79"/>
  <c r="J1290" i="79" s="1"/>
  <c r="AP1222" i="79"/>
  <c r="AP1290" i="79" s="1"/>
  <c r="AL1222" i="79"/>
  <c r="AL1290" i="79" s="1"/>
  <c r="AH1222" i="79"/>
  <c r="AH1290" i="79" s="1"/>
  <c r="Q1222" i="79"/>
  <c r="Q1290" i="79" s="1"/>
  <c r="M1222" i="79"/>
  <c r="M1290" i="79" s="1"/>
  <c r="I1222" i="79"/>
  <c r="I1290" i="79" s="1"/>
  <c r="AO1222" i="79"/>
  <c r="AO1290" i="79" s="1"/>
  <c r="AK1222" i="79"/>
  <c r="AK1290" i="79" s="1"/>
  <c r="AG1222" i="79"/>
  <c r="AG1290" i="79" s="1"/>
  <c r="T1222" i="79"/>
  <c r="T1290" i="79" s="1"/>
  <c r="P1222" i="79"/>
  <c r="P1290" i="79" s="1"/>
  <c r="L1222" i="79"/>
  <c r="L1290" i="79" s="1"/>
  <c r="B1290" i="79"/>
  <c r="AN1222" i="79"/>
  <c r="AN1290" i="79" s="1"/>
  <c r="AJ1222" i="79"/>
  <c r="AJ1290" i="79" s="1"/>
  <c r="AF1222" i="79"/>
  <c r="AF1290" i="79" s="1"/>
  <c r="S1222" i="79"/>
  <c r="S1290" i="79" s="1"/>
  <c r="O1222" i="79"/>
  <c r="O1290" i="79" s="1"/>
  <c r="K1222" i="79"/>
  <c r="K1290" i="79" s="1"/>
  <c r="B1670" i="79"/>
  <c r="AQ1218" i="79"/>
  <c r="AQ1286" i="79" s="1"/>
  <c r="AM1218" i="79"/>
  <c r="AM1286" i="79" s="1"/>
  <c r="AI1218" i="79"/>
  <c r="AI1286" i="79" s="1"/>
  <c r="R1218" i="79"/>
  <c r="R1286" i="79" s="1"/>
  <c r="N1218" i="79"/>
  <c r="N1286" i="79" s="1"/>
  <c r="J1218" i="79"/>
  <c r="J1286" i="79" s="1"/>
  <c r="AP1218" i="79"/>
  <c r="AP1286" i="79" s="1"/>
  <c r="AL1218" i="79"/>
  <c r="AL1286" i="79" s="1"/>
  <c r="AH1218" i="79"/>
  <c r="AH1286" i="79" s="1"/>
  <c r="Q1218" i="79"/>
  <c r="Q1286" i="79" s="1"/>
  <c r="M1218" i="79"/>
  <c r="M1286" i="79" s="1"/>
  <c r="I1218" i="79"/>
  <c r="I1286" i="79" s="1"/>
  <c r="AO1218" i="79"/>
  <c r="AO1286" i="79" s="1"/>
  <c r="AK1218" i="79"/>
  <c r="AK1286" i="79" s="1"/>
  <c r="AG1218" i="79"/>
  <c r="AG1286" i="79" s="1"/>
  <c r="T1218" i="79"/>
  <c r="T1286" i="79" s="1"/>
  <c r="P1218" i="79"/>
  <c r="P1286" i="79" s="1"/>
  <c r="L1218" i="79"/>
  <c r="L1286" i="79" s="1"/>
  <c r="B1286" i="79"/>
  <c r="AN1218" i="79"/>
  <c r="AN1286" i="79" s="1"/>
  <c r="AJ1218" i="79"/>
  <c r="AJ1286" i="79" s="1"/>
  <c r="AF1218" i="79"/>
  <c r="AF1286" i="79" s="1"/>
  <c r="S1218" i="79"/>
  <c r="S1286" i="79" s="1"/>
  <c r="O1218" i="79"/>
  <c r="O1286" i="79" s="1"/>
  <c r="K1218" i="79"/>
  <c r="K1286" i="79" s="1"/>
  <c r="B1666" i="79"/>
  <c r="AQ1214" i="79"/>
  <c r="AQ1282" i="79" s="1"/>
  <c r="AM1214" i="79"/>
  <c r="AM1282" i="79" s="1"/>
  <c r="AI1214" i="79"/>
  <c r="AI1282" i="79" s="1"/>
  <c r="R1214" i="79"/>
  <c r="R1282" i="79" s="1"/>
  <c r="N1214" i="79"/>
  <c r="N1282" i="79" s="1"/>
  <c r="J1214" i="79"/>
  <c r="J1282" i="79" s="1"/>
  <c r="AP1214" i="79"/>
  <c r="AP1282" i="79" s="1"/>
  <c r="AL1214" i="79"/>
  <c r="AL1282" i="79" s="1"/>
  <c r="AH1214" i="79"/>
  <c r="AH1282" i="79" s="1"/>
  <c r="Q1214" i="79"/>
  <c r="Q1282" i="79" s="1"/>
  <c r="M1214" i="79"/>
  <c r="M1282" i="79" s="1"/>
  <c r="I1214" i="79"/>
  <c r="I1282" i="79" s="1"/>
  <c r="AO1214" i="79"/>
  <c r="AO1282" i="79" s="1"/>
  <c r="AK1214" i="79"/>
  <c r="AK1282" i="79" s="1"/>
  <c r="AG1214" i="79"/>
  <c r="AG1282" i="79" s="1"/>
  <c r="T1214" i="79"/>
  <c r="T1282" i="79" s="1"/>
  <c r="P1214" i="79"/>
  <c r="P1282" i="79" s="1"/>
  <c r="L1214" i="79"/>
  <c r="L1282" i="79" s="1"/>
  <c r="B1282" i="79"/>
  <c r="AN1214" i="79"/>
  <c r="AN1282" i="79" s="1"/>
  <c r="AJ1214" i="79"/>
  <c r="AJ1282" i="79" s="1"/>
  <c r="AF1214" i="79"/>
  <c r="AF1282" i="79" s="1"/>
  <c r="S1214" i="79"/>
  <c r="S1282" i="79" s="1"/>
  <c r="O1214" i="79"/>
  <c r="O1282" i="79" s="1"/>
  <c r="K1214" i="79"/>
  <c r="K1282" i="79" s="1"/>
  <c r="B1662" i="79"/>
  <c r="B1278" i="79"/>
  <c r="B1658" i="79"/>
  <c r="B1274" i="79"/>
  <c r="M363" i="73"/>
  <c r="P363" i="73"/>
  <c r="N2197" i="79"/>
  <c r="L2243" i="79"/>
  <c r="K2358" i="79"/>
  <c r="J2197" i="79"/>
  <c r="M2243" i="79"/>
  <c r="P2174" i="79"/>
  <c r="R2220" i="79"/>
  <c r="L2266" i="79"/>
  <c r="M2174" i="79"/>
  <c r="T2197" i="79"/>
  <c r="J2243" i="79"/>
  <c r="M2266" i="79"/>
  <c r="J2266" i="79"/>
  <c r="Q2358" i="79"/>
  <c r="M2381" i="79"/>
  <c r="N2381" i="79"/>
  <c r="J2358" i="79"/>
  <c r="T2358" i="79"/>
  <c r="P2266" i="79"/>
  <c r="N2220" i="79"/>
  <c r="Z1208" i="79"/>
  <c r="Z1660" i="79" s="1"/>
  <c r="Z1696" i="79" s="1"/>
  <c r="Z1732" i="79" s="1"/>
  <c r="Z1768" i="79" s="1"/>
  <c r="Z1804" i="79" s="1"/>
  <c r="Z1840" i="79" s="1"/>
  <c r="Z1876" i="79" s="1"/>
  <c r="Z1912" i="79" s="1"/>
  <c r="Z1948" i="79" s="1"/>
  <c r="Z1984" i="79" s="1"/>
  <c r="Z2019" i="79" s="1"/>
  <c r="Z2055" i="79" s="1"/>
  <c r="Z1645" i="79"/>
  <c r="Z1681" i="79" s="1"/>
  <c r="Z1717" i="79" s="1"/>
  <c r="Z1753" i="79" s="1"/>
  <c r="Z1789" i="79" s="1"/>
  <c r="Z1825" i="79" s="1"/>
  <c r="Z1861" i="79" s="1"/>
  <c r="Z1897" i="79" s="1"/>
  <c r="Z1933" i="79" s="1"/>
  <c r="Z1969" i="79" s="1"/>
  <c r="Z2004" i="79" s="1"/>
  <c r="Z2040" i="79" s="1"/>
  <c r="T2121" i="79"/>
  <c r="P2121" i="79"/>
  <c r="L2121" i="79"/>
  <c r="S2106" i="79"/>
  <c r="O2106" i="79"/>
  <c r="K2106" i="79"/>
  <c r="S2121" i="79"/>
  <c r="O2121" i="79"/>
  <c r="K2121" i="79"/>
  <c r="R2106" i="79"/>
  <c r="N2106" i="79"/>
  <c r="J2106" i="79"/>
  <c r="Q2090" i="79"/>
  <c r="M2090" i="79"/>
  <c r="I2090" i="79"/>
  <c r="T2075" i="79"/>
  <c r="P2075" i="79"/>
  <c r="L2075" i="79"/>
  <c r="AQ2049" i="79"/>
  <c r="AM2049" i="79"/>
  <c r="AI2049" i="79"/>
  <c r="Q2049" i="79"/>
  <c r="M2049" i="79"/>
  <c r="I2049" i="79"/>
  <c r="R2121" i="79"/>
  <c r="N2121" i="79"/>
  <c r="J2121" i="79"/>
  <c r="Q2106" i="79"/>
  <c r="M2106" i="79"/>
  <c r="I2106" i="79"/>
  <c r="T2090" i="79"/>
  <c r="P2090" i="79"/>
  <c r="L2090" i="79"/>
  <c r="S2075" i="79"/>
  <c r="O2075" i="79"/>
  <c r="K2075" i="79"/>
  <c r="AP2049" i="79"/>
  <c r="AL2049" i="79"/>
  <c r="AH2049" i="79"/>
  <c r="T2049" i="79"/>
  <c r="P2049" i="79"/>
  <c r="L2049" i="79"/>
  <c r="M2121" i="79"/>
  <c r="L2106" i="79"/>
  <c r="N2090" i="79"/>
  <c r="Q2075" i="79"/>
  <c r="I2075" i="79"/>
  <c r="AJ2049" i="79"/>
  <c r="R2049" i="79"/>
  <c r="J2049" i="79"/>
  <c r="I2121" i="79"/>
  <c r="T2106" i="79"/>
  <c r="R2090" i="79"/>
  <c r="J2090" i="79"/>
  <c r="M2075" i="79"/>
  <c r="S2090" i="79"/>
  <c r="N2075" i="79"/>
  <c r="P2106" i="79"/>
  <c r="O2090" i="79"/>
  <c r="J2075" i="79"/>
  <c r="AG2049" i="79"/>
  <c r="N2049" i="79"/>
  <c r="R2075" i="79"/>
  <c r="AO2049" i="79"/>
  <c r="S2049" i="79"/>
  <c r="Q2121" i="79"/>
  <c r="AN2049" i="79"/>
  <c r="O2049" i="79"/>
  <c r="K2090" i="79"/>
  <c r="AK2049" i="79"/>
  <c r="K2049" i="79"/>
  <c r="AQ2013" i="79"/>
  <c r="AM2013" i="79"/>
  <c r="AI2013" i="79"/>
  <c r="Q2013" i="79"/>
  <c r="M2013" i="79"/>
  <c r="I2013" i="79"/>
  <c r="AF2049" i="79"/>
  <c r="AP2013" i="79"/>
  <c r="AL2013" i="79"/>
  <c r="AH2013" i="79"/>
  <c r="T2013" i="79"/>
  <c r="P2013" i="79"/>
  <c r="L2013" i="79"/>
  <c r="AO1978" i="79"/>
  <c r="AK1978" i="79"/>
  <c r="AG1978" i="79"/>
  <c r="S1978" i="79"/>
  <c r="O1978" i="79"/>
  <c r="K1978" i="79"/>
  <c r="AK2013" i="79"/>
  <c r="S2013" i="79"/>
  <c r="K2013" i="79"/>
  <c r="AN1978" i="79"/>
  <c r="AI1978" i="79"/>
  <c r="T1978" i="79"/>
  <c r="N1978" i="79"/>
  <c r="I1978" i="79"/>
  <c r="AQ1942" i="79"/>
  <c r="AM1942" i="79"/>
  <c r="AI1942" i="79"/>
  <c r="Q1942" i="79"/>
  <c r="M1942" i="79"/>
  <c r="I1942" i="79"/>
  <c r="AJ2013" i="79"/>
  <c r="R2013" i="79"/>
  <c r="J2013" i="79"/>
  <c r="AM1978" i="79"/>
  <c r="AH1978" i="79"/>
  <c r="R1978" i="79"/>
  <c r="M1978" i="79"/>
  <c r="AP1942" i="79"/>
  <c r="AL1942" i="79"/>
  <c r="AH1942" i="79"/>
  <c r="T1942" i="79"/>
  <c r="P1942" i="79"/>
  <c r="L1942" i="79"/>
  <c r="AO2013" i="79"/>
  <c r="AG2013" i="79"/>
  <c r="O2013" i="79"/>
  <c r="AQ1978" i="79"/>
  <c r="AL1978" i="79"/>
  <c r="AF1978" i="79"/>
  <c r="Q1978" i="79"/>
  <c r="L1978" i="79"/>
  <c r="AO1942" i="79"/>
  <c r="AK1942" i="79"/>
  <c r="AG1942" i="79"/>
  <c r="S1942" i="79"/>
  <c r="O1942" i="79"/>
  <c r="K1942" i="79"/>
  <c r="AN2013" i="79"/>
  <c r="AF2013" i="79"/>
  <c r="N2013" i="79"/>
  <c r="AP1978" i="79"/>
  <c r="AJ1978" i="79"/>
  <c r="P1978" i="79"/>
  <c r="J1978" i="79"/>
  <c r="AN1942" i="79"/>
  <c r="AJ1942" i="79"/>
  <c r="AF1942" i="79"/>
  <c r="R1942" i="79"/>
  <c r="N1942" i="79"/>
  <c r="J1942" i="79"/>
  <c r="AN1906" i="79"/>
  <c r="AJ1906" i="79"/>
  <c r="AF1906" i="79"/>
  <c r="R1906" i="79"/>
  <c r="N1906" i="79"/>
  <c r="J1906" i="79"/>
  <c r="AO1870" i="79"/>
  <c r="AK1870" i="79"/>
  <c r="AG1870" i="79"/>
  <c r="S1870" i="79"/>
  <c r="O1870" i="79"/>
  <c r="K1870" i="79"/>
  <c r="AP1834" i="79"/>
  <c r="AL1834" i="79"/>
  <c r="AH1834" i="79"/>
  <c r="T1834" i="79"/>
  <c r="P1834" i="79"/>
  <c r="L1834" i="79"/>
  <c r="AQ1798" i="79"/>
  <c r="AM1798" i="79"/>
  <c r="AI1798" i="79"/>
  <c r="AQ1906" i="79"/>
  <c r="AM1906" i="79"/>
  <c r="AI1906" i="79"/>
  <c r="Q1906" i="79"/>
  <c r="M1906" i="79"/>
  <c r="I1906" i="79"/>
  <c r="AN1870" i="79"/>
  <c r="AJ1870" i="79"/>
  <c r="AF1870" i="79"/>
  <c r="R1870" i="79"/>
  <c r="N1870" i="79"/>
  <c r="J1870" i="79"/>
  <c r="AO1834" i="79"/>
  <c r="AK1834" i="79"/>
  <c r="AG1834" i="79"/>
  <c r="S1834" i="79"/>
  <c r="O1834" i="79"/>
  <c r="K1834" i="79"/>
  <c r="AP1798" i="79"/>
  <c r="AL1798" i="79"/>
  <c r="AH1798" i="79"/>
  <c r="T1798" i="79"/>
  <c r="AP1906" i="79"/>
  <c r="AL1906" i="79"/>
  <c r="AH1906" i="79"/>
  <c r="T1906" i="79"/>
  <c r="P1906" i="79"/>
  <c r="L1906" i="79"/>
  <c r="AQ1870" i="79"/>
  <c r="AM1870" i="79"/>
  <c r="AI1870" i="79"/>
  <c r="Q1870" i="79"/>
  <c r="M1870" i="79"/>
  <c r="I1870" i="79"/>
  <c r="AN1834" i="79"/>
  <c r="AJ1834" i="79"/>
  <c r="AF1834" i="79"/>
  <c r="R1834" i="79"/>
  <c r="N1834" i="79"/>
  <c r="J1834" i="79"/>
  <c r="AO1798" i="79"/>
  <c r="AK1798" i="79"/>
  <c r="AG1798" i="79"/>
  <c r="AO1906" i="79"/>
  <c r="AK1906" i="79"/>
  <c r="AG1906" i="79"/>
  <c r="S1906" i="79"/>
  <c r="O1906" i="79"/>
  <c r="K1906" i="79"/>
  <c r="AP1870" i="79"/>
  <c r="AL1870" i="79"/>
  <c r="AH1870" i="79"/>
  <c r="T1870" i="79"/>
  <c r="P1870" i="79"/>
  <c r="L1870" i="79"/>
  <c r="AQ1834" i="79"/>
  <c r="AM1834" i="79"/>
  <c r="AI1834" i="79"/>
  <c r="Q1834" i="79"/>
  <c r="M1834" i="79"/>
  <c r="I1834" i="79"/>
  <c r="AJ1798" i="79"/>
  <c r="Q1798" i="79"/>
  <c r="M1798" i="79"/>
  <c r="I1798" i="79"/>
  <c r="R1762" i="79"/>
  <c r="N1762" i="79"/>
  <c r="J1762" i="79"/>
  <c r="AO1726" i="79"/>
  <c r="AK1726" i="79"/>
  <c r="AG1726" i="79"/>
  <c r="S1726" i="79"/>
  <c r="O1726" i="79"/>
  <c r="K1726" i="79"/>
  <c r="AP1690" i="79"/>
  <c r="AL1690" i="79"/>
  <c r="AH1690" i="79"/>
  <c r="T1690" i="79"/>
  <c r="P1690" i="79"/>
  <c r="L1690" i="79"/>
  <c r="AF1798" i="79"/>
  <c r="P1798" i="79"/>
  <c r="L1798" i="79"/>
  <c r="Q1762" i="79"/>
  <c r="M1762" i="79"/>
  <c r="I1762" i="79"/>
  <c r="AN1726" i="79"/>
  <c r="AJ1726" i="79"/>
  <c r="AF1726" i="79"/>
  <c r="R1726" i="79"/>
  <c r="N1726" i="79"/>
  <c r="J1726" i="79"/>
  <c r="AO1690" i="79"/>
  <c r="AK1690" i="79"/>
  <c r="AG1690" i="79"/>
  <c r="S1690" i="79"/>
  <c r="O1690" i="79"/>
  <c r="K1690" i="79"/>
  <c r="S1798" i="79"/>
  <c r="O1798" i="79"/>
  <c r="K1798" i="79"/>
  <c r="T1762" i="79"/>
  <c r="P1762" i="79"/>
  <c r="L1762" i="79"/>
  <c r="AQ1726" i="79"/>
  <c r="AM1726" i="79"/>
  <c r="AI1726" i="79"/>
  <c r="Q1726" i="79"/>
  <c r="M1726" i="79"/>
  <c r="I1726" i="79"/>
  <c r="AN1690" i="79"/>
  <c r="AJ1690" i="79"/>
  <c r="AF1690" i="79"/>
  <c r="R1690" i="79"/>
  <c r="N1690" i="79"/>
  <c r="J1690" i="79"/>
  <c r="AQ1654" i="79"/>
  <c r="AM1654" i="79"/>
  <c r="AI1654" i="79"/>
  <c r="Q1654" i="79"/>
  <c r="M1654" i="79"/>
  <c r="I1654" i="79"/>
  <c r="AN1798" i="79"/>
  <c r="R1798" i="79"/>
  <c r="N1798" i="79"/>
  <c r="J1798" i="79"/>
  <c r="S1762" i="79"/>
  <c r="O1762" i="79"/>
  <c r="K1762" i="79"/>
  <c r="AP1726" i="79"/>
  <c r="AL1726" i="79"/>
  <c r="AH1726" i="79"/>
  <c r="T1726" i="79"/>
  <c r="P1726" i="79"/>
  <c r="L1726" i="79"/>
  <c r="AQ1690" i="79"/>
  <c r="AM1690" i="79"/>
  <c r="AI1690" i="79"/>
  <c r="Q1690" i="79"/>
  <c r="M1690" i="79"/>
  <c r="I1690" i="79"/>
  <c r="AP1654" i="79"/>
  <c r="AL1654" i="79"/>
  <c r="AH1654" i="79"/>
  <c r="T1654" i="79"/>
  <c r="P1654" i="79"/>
  <c r="L1654" i="79"/>
  <c r="AN1654" i="79"/>
  <c r="AF1654" i="79"/>
  <c r="N1654" i="79"/>
  <c r="AK1654" i="79"/>
  <c r="S1654" i="79"/>
  <c r="K1654" i="79"/>
  <c r="AJ1654" i="79"/>
  <c r="R1654" i="79"/>
  <c r="J1654" i="79"/>
  <c r="AO1654" i="79"/>
  <c r="AG1654" i="79"/>
  <c r="O1654" i="79"/>
  <c r="AQ1229" i="79"/>
  <c r="AQ1297" i="79" s="1"/>
  <c r="AM1229" i="79"/>
  <c r="AM1297" i="79" s="1"/>
  <c r="AI1229" i="79"/>
  <c r="AI1297" i="79" s="1"/>
  <c r="B1297" i="79"/>
  <c r="AP1229" i="79"/>
  <c r="AP1297" i="79" s="1"/>
  <c r="AL1229" i="79"/>
  <c r="AL1297" i="79" s="1"/>
  <c r="AH1229" i="79"/>
  <c r="AH1297" i="79" s="1"/>
  <c r="AO1229" i="79"/>
  <c r="AO1297" i="79" s="1"/>
  <c r="AK1229" i="79"/>
  <c r="AK1297" i="79" s="1"/>
  <c r="AG1229" i="79"/>
  <c r="AG1297" i="79" s="1"/>
  <c r="AN1229" i="79"/>
  <c r="AN1297" i="79" s="1"/>
  <c r="AJ1229" i="79"/>
  <c r="AJ1297" i="79" s="1"/>
  <c r="AF1229" i="79"/>
  <c r="AF1297" i="79" s="1"/>
  <c r="AQ1225" i="79"/>
  <c r="AQ1293" i="79" s="1"/>
  <c r="AM1225" i="79"/>
  <c r="AM1293" i="79" s="1"/>
  <c r="AI1225" i="79"/>
  <c r="AI1293" i="79" s="1"/>
  <c r="B1293" i="79"/>
  <c r="AP1225" i="79"/>
  <c r="AP1293" i="79" s="1"/>
  <c r="AL1225" i="79"/>
  <c r="AL1293" i="79" s="1"/>
  <c r="AH1225" i="79"/>
  <c r="AH1293" i="79" s="1"/>
  <c r="AO1225" i="79"/>
  <c r="AO1293" i="79" s="1"/>
  <c r="AK1225" i="79"/>
  <c r="AK1293" i="79" s="1"/>
  <c r="AG1225" i="79"/>
  <c r="AG1293" i="79" s="1"/>
  <c r="AN1225" i="79"/>
  <c r="AN1293" i="79" s="1"/>
  <c r="AJ1225" i="79"/>
  <c r="AJ1293" i="79" s="1"/>
  <c r="AF1225" i="79"/>
  <c r="AF1293" i="79" s="1"/>
  <c r="AQ1221" i="79"/>
  <c r="AQ1289" i="79" s="1"/>
  <c r="AM1221" i="79"/>
  <c r="AM1289" i="79" s="1"/>
  <c r="AI1221" i="79"/>
  <c r="AI1289" i="79" s="1"/>
  <c r="R1221" i="79"/>
  <c r="R1289" i="79" s="1"/>
  <c r="N1221" i="79"/>
  <c r="N1289" i="79" s="1"/>
  <c r="J1221" i="79"/>
  <c r="J1289" i="79" s="1"/>
  <c r="B1289" i="79"/>
  <c r="AP1221" i="79"/>
  <c r="AP1289" i="79" s="1"/>
  <c r="AL1221" i="79"/>
  <c r="AL1289" i="79" s="1"/>
  <c r="AH1221" i="79"/>
  <c r="AH1289" i="79" s="1"/>
  <c r="Q1221" i="79"/>
  <c r="Q1289" i="79" s="1"/>
  <c r="M1221" i="79"/>
  <c r="M1289" i="79" s="1"/>
  <c r="I1221" i="79"/>
  <c r="I1289" i="79" s="1"/>
  <c r="AO1221" i="79"/>
  <c r="AO1289" i="79" s="1"/>
  <c r="AK1221" i="79"/>
  <c r="AK1289" i="79" s="1"/>
  <c r="AG1221" i="79"/>
  <c r="AG1289" i="79" s="1"/>
  <c r="T1221" i="79"/>
  <c r="T1289" i="79" s="1"/>
  <c r="P1221" i="79"/>
  <c r="P1289" i="79" s="1"/>
  <c r="L1221" i="79"/>
  <c r="L1289" i="79" s="1"/>
  <c r="AN1221" i="79"/>
  <c r="AN1289" i="79" s="1"/>
  <c r="AJ1221" i="79"/>
  <c r="AJ1289" i="79" s="1"/>
  <c r="AF1221" i="79"/>
  <c r="AF1289" i="79" s="1"/>
  <c r="S1221" i="79"/>
  <c r="S1289" i="79" s="1"/>
  <c r="O1221" i="79"/>
  <c r="O1289" i="79" s="1"/>
  <c r="K1221" i="79"/>
  <c r="K1289" i="79" s="1"/>
  <c r="B1669" i="79"/>
  <c r="AQ1217" i="79"/>
  <c r="AQ1285" i="79" s="1"/>
  <c r="AM1217" i="79"/>
  <c r="AM1285" i="79" s="1"/>
  <c r="AI1217" i="79"/>
  <c r="AI1285" i="79" s="1"/>
  <c r="R1217" i="79"/>
  <c r="R1285" i="79" s="1"/>
  <c r="N1217" i="79"/>
  <c r="N1285" i="79" s="1"/>
  <c r="J1217" i="79"/>
  <c r="J1285" i="79" s="1"/>
  <c r="B1285" i="79"/>
  <c r="AP1217" i="79"/>
  <c r="AP1285" i="79" s="1"/>
  <c r="AL1217" i="79"/>
  <c r="AL1285" i="79" s="1"/>
  <c r="AH1217" i="79"/>
  <c r="AH1285" i="79" s="1"/>
  <c r="Q1217" i="79"/>
  <c r="Q1285" i="79" s="1"/>
  <c r="M1217" i="79"/>
  <c r="M1285" i="79" s="1"/>
  <c r="I1217" i="79"/>
  <c r="I1285" i="79" s="1"/>
  <c r="AO1217" i="79"/>
  <c r="AO1285" i="79" s="1"/>
  <c r="AK1217" i="79"/>
  <c r="AK1285" i="79" s="1"/>
  <c r="AG1217" i="79"/>
  <c r="AG1285" i="79" s="1"/>
  <c r="T1217" i="79"/>
  <c r="T1285" i="79" s="1"/>
  <c r="P1217" i="79"/>
  <c r="P1285" i="79" s="1"/>
  <c r="L1217" i="79"/>
  <c r="L1285" i="79" s="1"/>
  <c r="AN1217" i="79"/>
  <c r="AN1285" i="79" s="1"/>
  <c r="AJ1217" i="79"/>
  <c r="AJ1285" i="79" s="1"/>
  <c r="AF1217" i="79"/>
  <c r="AF1285" i="79" s="1"/>
  <c r="S1217" i="79"/>
  <c r="S1285" i="79" s="1"/>
  <c r="O1217" i="79"/>
  <c r="O1285" i="79" s="1"/>
  <c r="K1217" i="79"/>
  <c r="K1285" i="79" s="1"/>
  <c r="B1665" i="79"/>
  <c r="AQ1213" i="79"/>
  <c r="AQ1281" i="79" s="1"/>
  <c r="AM1213" i="79"/>
  <c r="AM1281" i="79" s="1"/>
  <c r="AI1213" i="79"/>
  <c r="AI1281" i="79" s="1"/>
  <c r="R1213" i="79"/>
  <c r="R1281" i="79" s="1"/>
  <c r="N1213" i="79"/>
  <c r="N1281" i="79" s="1"/>
  <c r="J1213" i="79"/>
  <c r="J1281" i="79" s="1"/>
  <c r="B1281" i="79"/>
  <c r="AP1213" i="79"/>
  <c r="AP1281" i="79" s="1"/>
  <c r="AL1213" i="79"/>
  <c r="AL1281" i="79" s="1"/>
  <c r="AH1213" i="79"/>
  <c r="AH1281" i="79" s="1"/>
  <c r="Q1213" i="79"/>
  <c r="Q1281" i="79" s="1"/>
  <c r="M1213" i="79"/>
  <c r="M1281" i="79" s="1"/>
  <c r="I1213" i="79"/>
  <c r="I1281" i="79" s="1"/>
  <c r="AO1213" i="79"/>
  <c r="AO1281" i="79" s="1"/>
  <c r="AK1213" i="79"/>
  <c r="AK1281" i="79" s="1"/>
  <c r="AG1213" i="79"/>
  <c r="AG1281" i="79" s="1"/>
  <c r="T1213" i="79"/>
  <c r="T1281" i="79" s="1"/>
  <c r="P1213" i="79"/>
  <c r="P1281" i="79" s="1"/>
  <c r="L1213" i="79"/>
  <c r="L1281" i="79" s="1"/>
  <c r="AN1213" i="79"/>
  <c r="AN1281" i="79" s="1"/>
  <c r="AJ1213" i="79"/>
  <c r="AJ1281" i="79" s="1"/>
  <c r="AF1213" i="79"/>
  <c r="AF1281" i="79" s="1"/>
  <c r="S1213" i="79"/>
  <c r="S1281" i="79" s="1"/>
  <c r="O1213" i="79"/>
  <c r="O1281" i="79" s="1"/>
  <c r="K1213" i="79"/>
  <c r="K1281" i="79" s="1"/>
  <c r="B1661" i="79"/>
  <c r="R1209" i="79"/>
  <c r="R1277" i="79" s="1"/>
  <c r="N1209" i="79"/>
  <c r="N1277" i="79" s="1"/>
  <c r="J1209" i="79"/>
  <c r="J1277" i="79" s="1"/>
  <c r="B1277" i="79"/>
  <c r="Q1209" i="79"/>
  <c r="Q1277" i="79" s="1"/>
  <c r="M1209" i="79"/>
  <c r="M1277" i="79" s="1"/>
  <c r="I1209" i="79"/>
  <c r="I1277" i="79" s="1"/>
  <c r="T1209" i="79"/>
  <c r="T1277" i="79" s="1"/>
  <c r="P1209" i="79"/>
  <c r="P1277" i="79" s="1"/>
  <c r="L1209" i="79"/>
  <c r="L1277" i="79" s="1"/>
  <c r="S1209" i="79"/>
  <c r="S1277" i="79" s="1"/>
  <c r="O1209" i="79"/>
  <c r="O1277" i="79" s="1"/>
  <c r="K1209" i="79"/>
  <c r="K1277" i="79" s="1"/>
  <c r="B1657" i="79"/>
  <c r="AQ1205" i="79"/>
  <c r="AQ1273" i="79" s="1"/>
  <c r="AM1205" i="79"/>
  <c r="AM1273" i="79" s="1"/>
  <c r="AI1205" i="79"/>
  <c r="AI1273" i="79" s="1"/>
  <c r="R1205" i="79"/>
  <c r="R1273" i="79" s="1"/>
  <c r="N1205" i="79"/>
  <c r="N1273" i="79" s="1"/>
  <c r="J1205" i="79"/>
  <c r="J1273" i="79" s="1"/>
  <c r="B1273" i="79"/>
  <c r="AP1205" i="79"/>
  <c r="AP1273" i="79" s="1"/>
  <c r="AL1205" i="79"/>
  <c r="AL1273" i="79" s="1"/>
  <c r="AH1205" i="79"/>
  <c r="AH1273" i="79" s="1"/>
  <c r="Q1205" i="79"/>
  <c r="Q1273" i="79" s="1"/>
  <c r="M1205" i="79"/>
  <c r="M1273" i="79" s="1"/>
  <c r="I1205" i="79"/>
  <c r="I1273" i="79" s="1"/>
  <c r="AO1205" i="79"/>
  <c r="AO1273" i="79" s="1"/>
  <c r="AK1205" i="79"/>
  <c r="AK1273" i="79" s="1"/>
  <c r="AG1205" i="79"/>
  <c r="AG1273" i="79" s="1"/>
  <c r="T1205" i="79"/>
  <c r="T1273" i="79" s="1"/>
  <c r="P1205" i="79"/>
  <c r="P1273" i="79" s="1"/>
  <c r="L1205" i="79"/>
  <c r="L1273" i="79" s="1"/>
  <c r="AN1205" i="79"/>
  <c r="AN1273" i="79" s="1"/>
  <c r="AJ1205" i="79"/>
  <c r="AJ1273" i="79" s="1"/>
  <c r="AF1205" i="79"/>
  <c r="AF1273" i="79" s="1"/>
  <c r="S1205" i="79"/>
  <c r="S1273" i="79" s="1"/>
  <c r="O1205" i="79"/>
  <c r="O1273" i="79" s="1"/>
  <c r="K1205" i="79"/>
  <c r="K1273" i="79" s="1"/>
  <c r="L363" i="73"/>
  <c r="R2174" i="79"/>
  <c r="S2197" i="79"/>
  <c r="Q2243" i="79"/>
  <c r="J2174" i="79"/>
  <c r="O2197" i="79"/>
  <c r="S2243" i="79"/>
  <c r="K2197" i="79"/>
  <c r="I2243" i="79"/>
  <c r="Q2174" i="79"/>
  <c r="K2220" i="79"/>
  <c r="N2243" i="79"/>
  <c r="Q2266" i="79"/>
  <c r="N2266" i="79"/>
  <c r="K2266" i="79"/>
  <c r="M2358" i="79"/>
  <c r="T2381" i="79"/>
  <c r="O2358" i="79"/>
  <c r="K2381" i="79"/>
  <c r="P2243" i="79"/>
  <c r="T2220" i="79"/>
  <c r="N2174" i="79"/>
  <c r="R2197" i="79"/>
  <c r="Z1216" i="79"/>
  <c r="Z1668" i="79" s="1"/>
  <c r="Z1704" i="79" s="1"/>
  <c r="Z1740" i="79" s="1"/>
  <c r="Z1776" i="79" s="1"/>
  <c r="Z1812" i="79" s="1"/>
  <c r="Z1848" i="79" s="1"/>
  <c r="Z1884" i="79" s="1"/>
  <c r="Z1920" i="79" s="1"/>
  <c r="Z1956" i="79" s="1"/>
  <c r="Z1992" i="79" s="1"/>
  <c r="Z2027" i="79" s="1"/>
  <c r="Z2063" i="79" s="1"/>
  <c r="Z1653" i="79"/>
  <c r="Z1689" i="79" s="1"/>
  <c r="Z1725" i="79" s="1"/>
  <c r="Z1761" i="79" s="1"/>
  <c r="Z1797" i="79" s="1"/>
  <c r="Z1833" i="79" s="1"/>
  <c r="Z1869" i="79" s="1"/>
  <c r="Z1905" i="79" s="1"/>
  <c r="Z1941" i="79" s="1"/>
  <c r="Z1977" i="79" s="1"/>
  <c r="Z2012" i="79" s="1"/>
  <c r="Z2048" i="79" s="1"/>
  <c r="AP2040" i="79"/>
  <c r="AL2040" i="79"/>
  <c r="AH2040" i="79"/>
  <c r="T2040" i="79"/>
  <c r="P2040" i="79"/>
  <c r="L2040" i="79"/>
  <c r="AQ2040" i="79"/>
  <c r="AK2040" i="79"/>
  <c r="AF2040" i="79"/>
  <c r="Q2040" i="79"/>
  <c r="K2040" i="79"/>
  <c r="AJ2040" i="79"/>
  <c r="S2040" i="79"/>
  <c r="M2040" i="79"/>
  <c r="AO2004" i="79"/>
  <c r="AK2004" i="79"/>
  <c r="AG2004" i="79"/>
  <c r="S2004" i="79"/>
  <c r="O2004" i="79"/>
  <c r="K2004" i="79"/>
  <c r="AO2040" i="79"/>
  <c r="AI2040" i="79"/>
  <c r="R2040" i="79"/>
  <c r="J2040" i="79"/>
  <c r="AN2004" i="79"/>
  <c r="AJ2004" i="79"/>
  <c r="AF2004" i="79"/>
  <c r="R2004" i="79"/>
  <c r="N2004" i="79"/>
  <c r="J2004" i="79"/>
  <c r="AN2040" i="79"/>
  <c r="O2040" i="79"/>
  <c r="AM2004" i="79"/>
  <c r="M2004" i="79"/>
  <c r="AQ1969" i="79"/>
  <c r="AM1969" i="79"/>
  <c r="AI1969" i="79"/>
  <c r="Q1969" i="79"/>
  <c r="M1969" i="79"/>
  <c r="I1969" i="79"/>
  <c r="AM2040" i="79"/>
  <c r="N2040" i="79"/>
  <c r="AL2004" i="79"/>
  <c r="T2004" i="79"/>
  <c r="L2004" i="79"/>
  <c r="AP1969" i="79"/>
  <c r="AL1969" i="79"/>
  <c r="AH1969" i="79"/>
  <c r="T1969" i="79"/>
  <c r="P1969" i="79"/>
  <c r="L1969" i="79"/>
  <c r="AN1933" i="79"/>
  <c r="AJ1933" i="79"/>
  <c r="AF1933" i="79"/>
  <c r="R1933" i="79"/>
  <c r="N1933" i="79"/>
  <c r="J1933" i="79"/>
  <c r="AG2040" i="79"/>
  <c r="I2040" i="79"/>
  <c r="AQ2004" i="79"/>
  <c r="AI2004" i="79"/>
  <c r="Q2004" i="79"/>
  <c r="I2004" i="79"/>
  <c r="AO1969" i="79"/>
  <c r="AK1969" i="79"/>
  <c r="AG1969" i="79"/>
  <c r="S1969" i="79"/>
  <c r="O1969" i="79"/>
  <c r="K1969" i="79"/>
  <c r="AP2004" i="79"/>
  <c r="AH2004" i="79"/>
  <c r="P2004" i="79"/>
  <c r="AN1969" i="79"/>
  <c r="AJ1969" i="79"/>
  <c r="AF1969" i="79"/>
  <c r="R1969" i="79"/>
  <c r="N1969" i="79"/>
  <c r="J1969" i="79"/>
  <c r="AP1933" i="79"/>
  <c r="AL1933" i="79"/>
  <c r="AH1933" i="79"/>
  <c r="T1933" i="79"/>
  <c r="P1933" i="79"/>
  <c r="L1933" i="79"/>
  <c r="AO1933" i="79"/>
  <c r="AG1933" i="79"/>
  <c r="O1933" i="79"/>
  <c r="AP1897" i="79"/>
  <c r="AL1897" i="79"/>
  <c r="AH1897" i="79"/>
  <c r="T1897" i="79"/>
  <c r="P1897" i="79"/>
  <c r="L1897" i="79"/>
  <c r="AQ1861" i="79"/>
  <c r="AM1861" i="79"/>
  <c r="AI1861" i="79"/>
  <c r="Q1861" i="79"/>
  <c r="M1861" i="79"/>
  <c r="I1861" i="79"/>
  <c r="AN1825" i="79"/>
  <c r="AJ1825" i="79"/>
  <c r="AF1825" i="79"/>
  <c r="R1825" i="79"/>
  <c r="N1825" i="79"/>
  <c r="J1825" i="79"/>
  <c r="AM1933" i="79"/>
  <c r="M1933" i="79"/>
  <c r="AO1897" i="79"/>
  <c r="AK1897" i="79"/>
  <c r="AG1897" i="79"/>
  <c r="S1897" i="79"/>
  <c r="O1897" i="79"/>
  <c r="K1897" i="79"/>
  <c r="AP1861" i="79"/>
  <c r="AL1861" i="79"/>
  <c r="AH1861" i="79"/>
  <c r="T1861" i="79"/>
  <c r="P1861" i="79"/>
  <c r="L1861" i="79"/>
  <c r="AQ1825" i="79"/>
  <c r="AM1825" i="79"/>
  <c r="AI1825" i="79"/>
  <c r="Q1825" i="79"/>
  <c r="M1825" i="79"/>
  <c r="I1825" i="79"/>
  <c r="AK1933" i="79"/>
  <c r="S1933" i="79"/>
  <c r="K1933" i="79"/>
  <c r="AN1897" i="79"/>
  <c r="AJ1897" i="79"/>
  <c r="AF1897" i="79"/>
  <c r="R1897" i="79"/>
  <c r="N1897" i="79"/>
  <c r="J1897" i="79"/>
  <c r="AO1861" i="79"/>
  <c r="AK1861" i="79"/>
  <c r="AG1861" i="79"/>
  <c r="S1861" i="79"/>
  <c r="O1861" i="79"/>
  <c r="K1861" i="79"/>
  <c r="AP1825" i="79"/>
  <c r="AL1825" i="79"/>
  <c r="AH1825" i="79"/>
  <c r="T1825" i="79"/>
  <c r="P1825" i="79"/>
  <c r="L1825" i="79"/>
  <c r="AQ1933" i="79"/>
  <c r="AI1933" i="79"/>
  <c r="Q1933" i="79"/>
  <c r="I1933" i="79"/>
  <c r="AQ1897" i="79"/>
  <c r="AM1897" i="79"/>
  <c r="AI1897" i="79"/>
  <c r="Q1897" i="79"/>
  <c r="M1897" i="79"/>
  <c r="I1897" i="79"/>
  <c r="AN1861" i="79"/>
  <c r="AJ1861" i="79"/>
  <c r="AF1861" i="79"/>
  <c r="R1861" i="79"/>
  <c r="N1861" i="79"/>
  <c r="J1861" i="79"/>
  <c r="AO1825" i="79"/>
  <c r="AK1825" i="79"/>
  <c r="AG1825" i="79"/>
  <c r="S1825" i="79"/>
  <c r="O1825" i="79"/>
  <c r="K1825" i="79"/>
  <c r="AO1789" i="79"/>
  <c r="AK1789" i="79"/>
  <c r="AG1789" i="79"/>
  <c r="S1789" i="79"/>
  <c r="O1789" i="79"/>
  <c r="K1789" i="79"/>
  <c r="T1753" i="79"/>
  <c r="P1753" i="79"/>
  <c r="L1753" i="79"/>
  <c r="AQ1717" i="79"/>
  <c r="AM1717" i="79"/>
  <c r="AI1717" i="79"/>
  <c r="Q1717" i="79"/>
  <c r="M1717" i="79"/>
  <c r="I1717" i="79"/>
  <c r="AN1681" i="79"/>
  <c r="AJ1681" i="79"/>
  <c r="AF1681" i="79"/>
  <c r="R1681" i="79"/>
  <c r="N1681" i="79"/>
  <c r="J1681" i="79"/>
  <c r="AN1789" i="79"/>
  <c r="AJ1789" i="79"/>
  <c r="AF1789" i="79"/>
  <c r="R1789" i="79"/>
  <c r="N1789" i="79"/>
  <c r="J1789" i="79"/>
  <c r="S1753" i="79"/>
  <c r="O1753" i="79"/>
  <c r="K1753" i="79"/>
  <c r="AP1717" i="79"/>
  <c r="AL1717" i="79"/>
  <c r="AH1717" i="79"/>
  <c r="T1717" i="79"/>
  <c r="P1717" i="79"/>
  <c r="L1717" i="79"/>
  <c r="AQ1681" i="79"/>
  <c r="AM1681" i="79"/>
  <c r="AI1681" i="79"/>
  <c r="Q1681" i="79"/>
  <c r="M1681" i="79"/>
  <c r="I1681" i="79"/>
  <c r="AQ1789" i="79"/>
  <c r="AM1789" i="79"/>
  <c r="AI1789" i="79"/>
  <c r="Q1789" i="79"/>
  <c r="M1789" i="79"/>
  <c r="I1789" i="79"/>
  <c r="R1753" i="79"/>
  <c r="N1753" i="79"/>
  <c r="J1753" i="79"/>
  <c r="AO1717" i="79"/>
  <c r="AK1717" i="79"/>
  <c r="AG1717" i="79"/>
  <c r="S1717" i="79"/>
  <c r="O1717" i="79"/>
  <c r="K1717" i="79"/>
  <c r="AP1681" i="79"/>
  <c r="AL1681" i="79"/>
  <c r="AH1681" i="79"/>
  <c r="T1681" i="79"/>
  <c r="P1681" i="79"/>
  <c r="L1681" i="79"/>
  <c r="AP1789" i="79"/>
  <c r="AL1789" i="79"/>
  <c r="AH1789" i="79"/>
  <c r="T1789" i="79"/>
  <c r="P1789" i="79"/>
  <c r="L1789" i="79"/>
  <c r="Q1753" i="79"/>
  <c r="M1753" i="79"/>
  <c r="I1753" i="79"/>
  <c r="AN1717" i="79"/>
  <c r="AJ1717" i="79"/>
  <c r="AF1717" i="79"/>
  <c r="R1717" i="79"/>
  <c r="N1717" i="79"/>
  <c r="J1717" i="79"/>
  <c r="AO1681" i="79"/>
  <c r="AK1681" i="79"/>
  <c r="AG1681" i="79"/>
  <c r="S1681" i="79"/>
  <c r="O1681" i="79"/>
  <c r="K1681" i="79"/>
  <c r="AP1645" i="79"/>
  <c r="AL1645" i="79"/>
  <c r="AH1645" i="79"/>
  <c r="T1645" i="79"/>
  <c r="P1645" i="79"/>
  <c r="L1645" i="79"/>
  <c r="AO1645" i="79"/>
  <c r="AK1645" i="79"/>
  <c r="AG1645" i="79"/>
  <c r="S1645" i="79"/>
  <c r="O1645" i="79"/>
  <c r="K1645" i="79"/>
  <c r="AN1645" i="79"/>
  <c r="AJ1645" i="79"/>
  <c r="AF1645" i="79"/>
  <c r="R1645" i="79"/>
  <c r="N1645" i="79"/>
  <c r="J1645" i="79"/>
  <c r="AQ1645" i="79"/>
  <c r="AM1645" i="79"/>
  <c r="AI1645" i="79"/>
  <c r="Q1645" i="79"/>
  <c r="M1645" i="79"/>
  <c r="I1645" i="79"/>
  <c r="S2118" i="79"/>
  <c r="O2118" i="79"/>
  <c r="K2118" i="79"/>
  <c r="R2103" i="79"/>
  <c r="N2103" i="79"/>
  <c r="J2103" i="79"/>
  <c r="R2118" i="79"/>
  <c r="N2118" i="79"/>
  <c r="J2118" i="79"/>
  <c r="Q2103" i="79"/>
  <c r="M2103" i="79"/>
  <c r="I2103" i="79"/>
  <c r="T2087" i="79"/>
  <c r="P2087" i="79"/>
  <c r="L2087" i="79"/>
  <c r="S2072" i="79"/>
  <c r="O2072" i="79"/>
  <c r="K2072" i="79"/>
  <c r="AO2046" i="79"/>
  <c r="AK2046" i="79"/>
  <c r="AG2046" i="79"/>
  <c r="S2046" i="79"/>
  <c r="O2046" i="79"/>
  <c r="K2046" i="79"/>
  <c r="Q2118" i="79"/>
  <c r="M2118" i="79"/>
  <c r="I2118" i="79"/>
  <c r="T2103" i="79"/>
  <c r="P2103" i="79"/>
  <c r="L2103" i="79"/>
  <c r="S2087" i="79"/>
  <c r="O2087" i="79"/>
  <c r="K2087" i="79"/>
  <c r="R2072" i="79"/>
  <c r="N2072" i="79"/>
  <c r="J2072" i="79"/>
  <c r="AN2046" i="79"/>
  <c r="AJ2046" i="79"/>
  <c r="AF2046" i="79"/>
  <c r="R2046" i="79"/>
  <c r="N2046" i="79"/>
  <c r="J2046" i="79"/>
  <c r="T2118" i="79"/>
  <c r="S2103" i="79"/>
  <c r="M2087" i="79"/>
  <c r="P2072" i="79"/>
  <c r="AP2046" i="79"/>
  <c r="AH2046" i="79"/>
  <c r="P2046" i="79"/>
  <c r="P2118" i="79"/>
  <c r="L2118" i="79"/>
  <c r="K2103" i="79"/>
  <c r="Q2087" i="79"/>
  <c r="I2087" i="79"/>
  <c r="T2072" i="79"/>
  <c r="L2072" i="79"/>
  <c r="J2087" i="79"/>
  <c r="Q2072" i="79"/>
  <c r="AL2046" i="79"/>
  <c r="Q2046" i="79"/>
  <c r="AI2046" i="79"/>
  <c r="L2046" i="79"/>
  <c r="O2103" i="79"/>
  <c r="M2072" i="79"/>
  <c r="I2046" i="79"/>
  <c r="R2087" i="79"/>
  <c r="I2072" i="79"/>
  <c r="AQ2046" i="79"/>
  <c r="T2046" i="79"/>
  <c r="AO2010" i="79"/>
  <c r="AK2010" i="79"/>
  <c r="AG2010" i="79"/>
  <c r="S2010" i="79"/>
  <c r="O2010" i="79"/>
  <c r="K2010" i="79"/>
  <c r="N2087" i="79"/>
  <c r="AM2046" i="79"/>
  <c r="M2046" i="79"/>
  <c r="AN2010" i="79"/>
  <c r="AJ2010" i="79"/>
  <c r="AF2010" i="79"/>
  <c r="R2010" i="79"/>
  <c r="N2010" i="79"/>
  <c r="J2010" i="79"/>
  <c r="AQ1975" i="79"/>
  <c r="AM1975" i="79"/>
  <c r="AI1975" i="79"/>
  <c r="Q1975" i="79"/>
  <c r="M1975" i="79"/>
  <c r="I1975" i="79"/>
  <c r="AQ2010" i="79"/>
  <c r="AI2010" i="79"/>
  <c r="Q2010" i="79"/>
  <c r="I2010" i="79"/>
  <c r="AL1975" i="79"/>
  <c r="AG1975" i="79"/>
  <c r="R1975" i="79"/>
  <c r="L1975" i="79"/>
  <c r="AP2010" i="79"/>
  <c r="AH2010" i="79"/>
  <c r="P2010" i="79"/>
  <c r="AP1975" i="79"/>
  <c r="AK1975" i="79"/>
  <c r="AF1975" i="79"/>
  <c r="P1975" i="79"/>
  <c r="K1975" i="79"/>
  <c r="AN1939" i="79"/>
  <c r="AJ1939" i="79"/>
  <c r="AF1939" i="79"/>
  <c r="R1939" i="79"/>
  <c r="N1939" i="79"/>
  <c r="J1939" i="79"/>
  <c r="AM2010" i="79"/>
  <c r="M2010" i="79"/>
  <c r="AO1975" i="79"/>
  <c r="AJ1975" i="79"/>
  <c r="T1975" i="79"/>
  <c r="O1975" i="79"/>
  <c r="J1975" i="79"/>
  <c r="AL2010" i="79"/>
  <c r="T2010" i="79"/>
  <c r="L2010" i="79"/>
  <c r="AN1975" i="79"/>
  <c r="AH1975" i="79"/>
  <c r="S1975" i="79"/>
  <c r="N1975" i="79"/>
  <c r="AP1939" i="79"/>
  <c r="AL1939" i="79"/>
  <c r="AH1939" i="79"/>
  <c r="T1939" i="79"/>
  <c r="P1939" i="79"/>
  <c r="L1939" i="79"/>
  <c r="AK1939" i="79"/>
  <c r="S1939" i="79"/>
  <c r="K1939" i="79"/>
  <c r="AP1903" i="79"/>
  <c r="AL1903" i="79"/>
  <c r="AH1903" i="79"/>
  <c r="T1903" i="79"/>
  <c r="P1903" i="79"/>
  <c r="L1903" i="79"/>
  <c r="AQ1867" i="79"/>
  <c r="AM1867" i="79"/>
  <c r="AI1867" i="79"/>
  <c r="Q1867" i="79"/>
  <c r="M1867" i="79"/>
  <c r="I1867" i="79"/>
  <c r="AN1831" i="79"/>
  <c r="AJ1831" i="79"/>
  <c r="AF1831" i="79"/>
  <c r="R1831" i="79"/>
  <c r="N1831" i="79"/>
  <c r="J1831" i="79"/>
  <c r="AQ1939" i="79"/>
  <c r="AI1939" i="79"/>
  <c r="Q1939" i="79"/>
  <c r="I1939" i="79"/>
  <c r="AO1903" i="79"/>
  <c r="AK1903" i="79"/>
  <c r="AG1903" i="79"/>
  <c r="S1903" i="79"/>
  <c r="O1903" i="79"/>
  <c r="K1903" i="79"/>
  <c r="AP1867" i="79"/>
  <c r="AL1867" i="79"/>
  <c r="AH1867" i="79"/>
  <c r="T1867" i="79"/>
  <c r="P1867" i="79"/>
  <c r="L1867" i="79"/>
  <c r="AQ1831" i="79"/>
  <c r="AM1831" i="79"/>
  <c r="AI1831" i="79"/>
  <c r="Q1831" i="79"/>
  <c r="M1831" i="79"/>
  <c r="I1831" i="79"/>
  <c r="AO1939" i="79"/>
  <c r="AG1939" i="79"/>
  <c r="O1939" i="79"/>
  <c r="AN1903" i="79"/>
  <c r="AJ1903" i="79"/>
  <c r="AF1903" i="79"/>
  <c r="R1903" i="79"/>
  <c r="N1903" i="79"/>
  <c r="J1903" i="79"/>
  <c r="AO1867" i="79"/>
  <c r="AK1867" i="79"/>
  <c r="AG1867" i="79"/>
  <c r="S1867" i="79"/>
  <c r="O1867" i="79"/>
  <c r="K1867" i="79"/>
  <c r="AP1831" i="79"/>
  <c r="AL1831" i="79"/>
  <c r="AH1831" i="79"/>
  <c r="T1831" i="79"/>
  <c r="P1831" i="79"/>
  <c r="L1831" i="79"/>
  <c r="AM1939" i="79"/>
  <c r="M1939" i="79"/>
  <c r="AQ1903" i="79"/>
  <c r="AM1903" i="79"/>
  <c r="AI1903" i="79"/>
  <c r="Q1903" i="79"/>
  <c r="M1903" i="79"/>
  <c r="I1903" i="79"/>
  <c r="AN1867" i="79"/>
  <c r="AJ1867" i="79"/>
  <c r="AF1867" i="79"/>
  <c r="R1867" i="79"/>
  <c r="N1867" i="79"/>
  <c r="J1867" i="79"/>
  <c r="AO1831" i="79"/>
  <c r="AK1831" i="79"/>
  <c r="AG1831" i="79"/>
  <c r="S1831" i="79"/>
  <c r="O1831" i="79"/>
  <c r="K1831" i="79"/>
  <c r="AO1795" i="79"/>
  <c r="AK1795" i="79"/>
  <c r="AG1795" i="79"/>
  <c r="S1795" i="79"/>
  <c r="O1795" i="79"/>
  <c r="K1795" i="79"/>
  <c r="T1759" i="79"/>
  <c r="P1759" i="79"/>
  <c r="L1759" i="79"/>
  <c r="AQ1723" i="79"/>
  <c r="AM1723" i="79"/>
  <c r="AI1723" i="79"/>
  <c r="Q1723" i="79"/>
  <c r="M1723" i="79"/>
  <c r="I1723" i="79"/>
  <c r="AN1687" i="79"/>
  <c r="AJ1687" i="79"/>
  <c r="AF1687" i="79"/>
  <c r="R1687" i="79"/>
  <c r="N1687" i="79"/>
  <c r="J1687" i="79"/>
  <c r="AN1795" i="79"/>
  <c r="AJ1795" i="79"/>
  <c r="AF1795" i="79"/>
  <c r="R1795" i="79"/>
  <c r="N1795" i="79"/>
  <c r="J1795" i="79"/>
  <c r="S1759" i="79"/>
  <c r="O1759" i="79"/>
  <c r="K1759" i="79"/>
  <c r="AP1723" i="79"/>
  <c r="AL1723" i="79"/>
  <c r="AH1723" i="79"/>
  <c r="T1723" i="79"/>
  <c r="P1723" i="79"/>
  <c r="L1723" i="79"/>
  <c r="AQ1687" i="79"/>
  <c r="AM1687" i="79"/>
  <c r="AI1687" i="79"/>
  <c r="Q1687" i="79"/>
  <c r="M1687" i="79"/>
  <c r="I1687" i="79"/>
  <c r="AQ1795" i="79"/>
  <c r="AM1795" i="79"/>
  <c r="AI1795" i="79"/>
  <c r="Q1795" i="79"/>
  <c r="M1795" i="79"/>
  <c r="I1795" i="79"/>
  <c r="R1759" i="79"/>
  <c r="N1759" i="79"/>
  <c r="J1759" i="79"/>
  <c r="AO1723" i="79"/>
  <c r="AK1723" i="79"/>
  <c r="AG1723" i="79"/>
  <c r="S1723" i="79"/>
  <c r="O1723" i="79"/>
  <c r="K1723" i="79"/>
  <c r="AP1687" i="79"/>
  <c r="AL1687" i="79"/>
  <c r="AH1687" i="79"/>
  <c r="T1687" i="79"/>
  <c r="P1687" i="79"/>
  <c r="L1687" i="79"/>
  <c r="AP1795" i="79"/>
  <c r="AL1795" i="79"/>
  <c r="AH1795" i="79"/>
  <c r="T1795" i="79"/>
  <c r="P1795" i="79"/>
  <c r="L1795" i="79"/>
  <c r="Q1759" i="79"/>
  <c r="M1759" i="79"/>
  <c r="I1759" i="79"/>
  <c r="AN1723" i="79"/>
  <c r="AJ1723" i="79"/>
  <c r="AF1723" i="79"/>
  <c r="R1723" i="79"/>
  <c r="N1723" i="79"/>
  <c r="J1723" i="79"/>
  <c r="AO1687" i="79"/>
  <c r="AK1687" i="79"/>
  <c r="AG1687" i="79"/>
  <c r="S1687" i="79"/>
  <c r="O1687" i="79"/>
  <c r="K1687" i="79"/>
  <c r="AN1651" i="79"/>
  <c r="AJ1651" i="79"/>
  <c r="AF1651" i="79"/>
  <c r="R1651" i="79"/>
  <c r="N1651" i="79"/>
  <c r="J1651" i="79"/>
  <c r="AQ1651" i="79"/>
  <c r="AM1651" i="79"/>
  <c r="AI1651" i="79"/>
  <c r="Q1651" i="79"/>
  <c r="M1651" i="79"/>
  <c r="I1651" i="79"/>
  <c r="AP1651" i="79"/>
  <c r="AL1651" i="79"/>
  <c r="AH1651" i="79"/>
  <c r="T1651" i="79"/>
  <c r="P1651" i="79"/>
  <c r="L1651" i="79"/>
  <c r="AO1651" i="79"/>
  <c r="AK1651" i="79"/>
  <c r="AG1651" i="79"/>
  <c r="S1651" i="79"/>
  <c r="O1651" i="79"/>
  <c r="K1651" i="79"/>
  <c r="AP2038" i="79"/>
  <c r="AL2038" i="79"/>
  <c r="AH2038" i="79"/>
  <c r="T2038" i="79"/>
  <c r="P2038" i="79"/>
  <c r="L2038" i="79"/>
  <c r="AO2038" i="79"/>
  <c r="AJ2038" i="79"/>
  <c r="O2038" i="79"/>
  <c r="J2038" i="79"/>
  <c r="AM2038" i="79"/>
  <c r="AF2038" i="79"/>
  <c r="N2038" i="79"/>
  <c r="AO2002" i="79"/>
  <c r="AK2002" i="79"/>
  <c r="AG2002" i="79"/>
  <c r="S2002" i="79"/>
  <c r="O2002" i="79"/>
  <c r="K2002" i="79"/>
  <c r="AK2038" i="79"/>
  <c r="S2038" i="79"/>
  <c r="M2038" i="79"/>
  <c r="AN2002" i="79"/>
  <c r="AJ2002" i="79"/>
  <c r="AF2002" i="79"/>
  <c r="R2002" i="79"/>
  <c r="N2002" i="79"/>
  <c r="J2002" i="79"/>
  <c r="AI2038" i="79"/>
  <c r="K2038" i="79"/>
  <c r="AQ2002" i="79"/>
  <c r="AI2002" i="79"/>
  <c r="Q2002" i="79"/>
  <c r="I2002" i="79"/>
  <c r="AQ1967" i="79"/>
  <c r="AM1967" i="79"/>
  <c r="AI1967" i="79"/>
  <c r="Q1967" i="79"/>
  <c r="M1967" i="79"/>
  <c r="I1967" i="79"/>
  <c r="AG2038" i="79"/>
  <c r="I2038" i="79"/>
  <c r="AP2002" i="79"/>
  <c r="AH2002" i="79"/>
  <c r="P2002" i="79"/>
  <c r="AP1967" i="79"/>
  <c r="AL1967" i="79"/>
  <c r="AH1967" i="79"/>
  <c r="T1967" i="79"/>
  <c r="P1967" i="79"/>
  <c r="L1967" i="79"/>
  <c r="AN1931" i="79"/>
  <c r="AJ1931" i="79"/>
  <c r="AF1931" i="79"/>
  <c r="R1931" i="79"/>
  <c r="N1931" i="79"/>
  <c r="J1931" i="79"/>
  <c r="AQ2038" i="79"/>
  <c r="R2038" i="79"/>
  <c r="AM2002" i="79"/>
  <c r="M2002" i="79"/>
  <c r="AO1967" i="79"/>
  <c r="AK1967" i="79"/>
  <c r="AG1967" i="79"/>
  <c r="S1967" i="79"/>
  <c r="O1967" i="79"/>
  <c r="K1967" i="79"/>
  <c r="AN2038" i="79"/>
  <c r="Q2038" i="79"/>
  <c r="AL2002" i="79"/>
  <c r="T2002" i="79"/>
  <c r="L2002" i="79"/>
  <c r="AN1967" i="79"/>
  <c r="AJ1967" i="79"/>
  <c r="AF1967" i="79"/>
  <c r="R1967" i="79"/>
  <c r="N1967" i="79"/>
  <c r="J1967" i="79"/>
  <c r="AP1931" i="79"/>
  <c r="AL1931" i="79"/>
  <c r="AH1931" i="79"/>
  <c r="T1931" i="79"/>
  <c r="P1931" i="79"/>
  <c r="L1931" i="79"/>
  <c r="AK1931" i="79"/>
  <c r="S1931" i="79"/>
  <c r="K1931" i="79"/>
  <c r="AP1895" i="79"/>
  <c r="AL1895" i="79"/>
  <c r="AH1895" i="79"/>
  <c r="T1895" i="79"/>
  <c r="P1895" i="79"/>
  <c r="L1895" i="79"/>
  <c r="AQ1859" i="79"/>
  <c r="AM1859" i="79"/>
  <c r="AI1859" i="79"/>
  <c r="Q1859" i="79"/>
  <c r="M1859" i="79"/>
  <c r="I1859" i="79"/>
  <c r="AN1823" i="79"/>
  <c r="AJ1823" i="79"/>
  <c r="AF1823" i="79"/>
  <c r="R1823" i="79"/>
  <c r="N1823" i="79"/>
  <c r="J1823" i="79"/>
  <c r="AQ1931" i="79"/>
  <c r="AI1931" i="79"/>
  <c r="Q1931" i="79"/>
  <c r="I1931" i="79"/>
  <c r="AO1895" i="79"/>
  <c r="AK1895" i="79"/>
  <c r="AG1895" i="79"/>
  <c r="S1895" i="79"/>
  <c r="O1895" i="79"/>
  <c r="K1895" i="79"/>
  <c r="AP1859" i="79"/>
  <c r="AL1859" i="79"/>
  <c r="AH1859" i="79"/>
  <c r="T1859" i="79"/>
  <c r="P1859" i="79"/>
  <c r="L1859" i="79"/>
  <c r="AQ1823" i="79"/>
  <c r="AM1823" i="79"/>
  <c r="AI1823" i="79"/>
  <c r="Q1823" i="79"/>
  <c r="M1823" i="79"/>
  <c r="I1823" i="79"/>
  <c r="AO1931" i="79"/>
  <c r="AG1931" i="79"/>
  <c r="O1931" i="79"/>
  <c r="AN1895" i="79"/>
  <c r="AJ1895" i="79"/>
  <c r="AF1895" i="79"/>
  <c r="R1895" i="79"/>
  <c r="N1895" i="79"/>
  <c r="J1895" i="79"/>
  <c r="AO1859" i="79"/>
  <c r="AK1859" i="79"/>
  <c r="AG1859" i="79"/>
  <c r="S1859" i="79"/>
  <c r="O1859" i="79"/>
  <c r="K1859" i="79"/>
  <c r="AP1823" i="79"/>
  <c r="AL1823" i="79"/>
  <c r="AH1823" i="79"/>
  <c r="T1823" i="79"/>
  <c r="P1823" i="79"/>
  <c r="L1823" i="79"/>
  <c r="AM1931" i="79"/>
  <c r="M1931" i="79"/>
  <c r="AQ1895" i="79"/>
  <c r="AM1895" i="79"/>
  <c r="AI1895" i="79"/>
  <c r="Q1895" i="79"/>
  <c r="M1895" i="79"/>
  <c r="I1895" i="79"/>
  <c r="AN1859" i="79"/>
  <c r="AJ1859" i="79"/>
  <c r="AF1859" i="79"/>
  <c r="R1859" i="79"/>
  <c r="N1859" i="79"/>
  <c r="J1859" i="79"/>
  <c r="AO1823" i="79"/>
  <c r="AK1823" i="79"/>
  <c r="AG1823" i="79"/>
  <c r="S1823" i="79"/>
  <c r="O1823" i="79"/>
  <c r="K1823" i="79"/>
  <c r="AO1787" i="79"/>
  <c r="AK1787" i="79"/>
  <c r="AG1787" i="79"/>
  <c r="S1787" i="79"/>
  <c r="O1787" i="79"/>
  <c r="K1787" i="79"/>
  <c r="T1751" i="79"/>
  <c r="P1751" i="79"/>
  <c r="L1751" i="79"/>
  <c r="AQ1715" i="79"/>
  <c r="AM1715" i="79"/>
  <c r="AI1715" i="79"/>
  <c r="Q1715" i="79"/>
  <c r="M1715" i="79"/>
  <c r="I1715" i="79"/>
  <c r="AN1787" i="79"/>
  <c r="AJ1787" i="79"/>
  <c r="AF1787" i="79"/>
  <c r="R1787" i="79"/>
  <c r="N1787" i="79"/>
  <c r="J1787" i="79"/>
  <c r="S1751" i="79"/>
  <c r="O1751" i="79"/>
  <c r="K1751" i="79"/>
  <c r="AP1715" i="79"/>
  <c r="AL1715" i="79"/>
  <c r="AH1715" i="79"/>
  <c r="T1715" i="79"/>
  <c r="P1715" i="79"/>
  <c r="L1715" i="79"/>
  <c r="AQ1787" i="79"/>
  <c r="AM1787" i="79"/>
  <c r="AI1787" i="79"/>
  <c r="Q1787" i="79"/>
  <c r="M1787" i="79"/>
  <c r="I1787" i="79"/>
  <c r="R1751" i="79"/>
  <c r="N1751" i="79"/>
  <c r="J1751" i="79"/>
  <c r="AO1715" i="79"/>
  <c r="AK1715" i="79"/>
  <c r="AG1715" i="79"/>
  <c r="S1715" i="79"/>
  <c r="O1715" i="79"/>
  <c r="K1715" i="79"/>
  <c r="AP1679" i="79"/>
  <c r="AL1679" i="79"/>
  <c r="AH1679" i="79"/>
  <c r="T1679" i="79"/>
  <c r="P1679" i="79"/>
  <c r="L1679" i="79"/>
  <c r="AP1787" i="79"/>
  <c r="AL1787" i="79"/>
  <c r="AH1787" i="79"/>
  <c r="T1787" i="79"/>
  <c r="P1787" i="79"/>
  <c r="L1787" i="79"/>
  <c r="Q1751" i="79"/>
  <c r="M1751" i="79"/>
  <c r="I1751" i="79"/>
  <c r="AN1715" i="79"/>
  <c r="AJ1715" i="79"/>
  <c r="AF1715" i="79"/>
  <c r="R1715" i="79"/>
  <c r="N1715" i="79"/>
  <c r="J1715" i="79"/>
  <c r="AO1679" i="79"/>
  <c r="AK1679" i="79"/>
  <c r="AG1679" i="79"/>
  <c r="S1679" i="79"/>
  <c r="O1679" i="79"/>
  <c r="K1679" i="79"/>
  <c r="AM1679" i="79"/>
  <c r="M1679" i="79"/>
  <c r="AN1643" i="79"/>
  <c r="AJ1643" i="79"/>
  <c r="AF1643" i="79"/>
  <c r="R1643" i="79"/>
  <c r="N1643" i="79"/>
  <c r="J1643" i="79"/>
  <c r="AJ1679" i="79"/>
  <c r="R1679" i="79"/>
  <c r="J1679" i="79"/>
  <c r="AQ1643" i="79"/>
  <c r="AM1643" i="79"/>
  <c r="AI1643" i="79"/>
  <c r="Q1643" i="79"/>
  <c r="M1643" i="79"/>
  <c r="I1643" i="79"/>
  <c r="AQ1679" i="79"/>
  <c r="AI1679" i="79"/>
  <c r="Q1679" i="79"/>
  <c r="I1679" i="79"/>
  <c r="AP1643" i="79"/>
  <c r="AL1643" i="79"/>
  <c r="AH1643" i="79"/>
  <c r="T1643" i="79"/>
  <c r="P1643" i="79"/>
  <c r="L1643" i="79"/>
  <c r="AN1679" i="79"/>
  <c r="AF1679" i="79"/>
  <c r="N1679" i="79"/>
  <c r="AO1643" i="79"/>
  <c r="AK1643" i="79"/>
  <c r="AG1643" i="79"/>
  <c r="S1643" i="79"/>
  <c r="O1643" i="79"/>
  <c r="K1643" i="79"/>
  <c r="AQ1232" i="79"/>
  <c r="AQ1300" i="79" s="1"/>
  <c r="AM1232" i="79"/>
  <c r="AM1300" i="79" s="1"/>
  <c r="AI1232" i="79"/>
  <c r="AI1300" i="79" s="1"/>
  <c r="R1232" i="79"/>
  <c r="R1300" i="79" s="1"/>
  <c r="N1232" i="79"/>
  <c r="N1300" i="79" s="1"/>
  <c r="J1232" i="79"/>
  <c r="J1300" i="79" s="1"/>
  <c r="AP1232" i="79"/>
  <c r="AP1300" i="79" s="1"/>
  <c r="AL1232" i="79"/>
  <c r="AL1300" i="79" s="1"/>
  <c r="AH1232" i="79"/>
  <c r="AH1300" i="79" s="1"/>
  <c r="Q1232" i="79"/>
  <c r="Q1300" i="79" s="1"/>
  <c r="M1232" i="79"/>
  <c r="M1300" i="79" s="1"/>
  <c r="I1232" i="79"/>
  <c r="I1300" i="79" s="1"/>
  <c r="AO1232" i="79"/>
  <c r="AO1300" i="79" s="1"/>
  <c r="AK1232" i="79"/>
  <c r="AK1300" i="79" s="1"/>
  <c r="AG1232" i="79"/>
  <c r="AG1300" i="79" s="1"/>
  <c r="T1232" i="79"/>
  <c r="T1300" i="79" s="1"/>
  <c r="P1232" i="79"/>
  <c r="P1300" i="79" s="1"/>
  <c r="L1232" i="79"/>
  <c r="L1300" i="79" s="1"/>
  <c r="B1300" i="79"/>
  <c r="AN1232" i="79"/>
  <c r="AN1300" i="79" s="1"/>
  <c r="AJ1232" i="79"/>
  <c r="AJ1300" i="79" s="1"/>
  <c r="AF1232" i="79"/>
  <c r="AF1300" i="79" s="1"/>
  <c r="S1232" i="79"/>
  <c r="S1300" i="79" s="1"/>
  <c r="O1232" i="79"/>
  <c r="O1300" i="79" s="1"/>
  <c r="K1232" i="79"/>
  <c r="K1300" i="79" s="1"/>
  <c r="AQ1228" i="79"/>
  <c r="AQ1296" i="79" s="1"/>
  <c r="AM1228" i="79"/>
  <c r="AM1296" i="79" s="1"/>
  <c r="AI1228" i="79"/>
  <c r="AI1296" i="79" s="1"/>
  <c r="AP1228" i="79"/>
  <c r="AP1296" i="79" s="1"/>
  <c r="AL1228" i="79"/>
  <c r="AL1296" i="79" s="1"/>
  <c r="AH1228" i="79"/>
  <c r="AH1296" i="79" s="1"/>
  <c r="AO1228" i="79"/>
  <c r="AO1296" i="79" s="1"/>
  <c r="AK1228" i="79"/>
  <c r="AK1296" i="79" s="1"/>
  <c r="AG1228" i="79"/>
  <c r="AG1296" i="79" s="1"/>
  <c r="B1296" i="79"/>
  <c r="AN1228" i="79"/>
  <c r="AN1296" i="79" s="1"/>
  <c r="AJ1228" i="79"/>
  <c r="AJ1296" i="79" s="1"/>
  <c r="AF1228" i="79"/>
  <c r="AF1296" i="79" s="1"/>
  <c r="AQ1224" i="79"/>
  <c r="AQ1292" i="79" s="1"/>
  <c r="AM1224" i="79"/>
  <c r="AM1292" i="79" s="1"/>
  <c r="AI1224" i="79"/>
  <c r="AI1292" i="79" s="1"/>
  <c r="R1224" i="79"/>
  <c r="R1292" i="79" s="1"/>
  <c r="N1224" i="79"/>
  <c r="N1292" i="79" s="1"/>
  <c r="J1224" i="79"/>
  <c r="J1292" i="79" s="1"/>
  <c r="AP1224" i="79"/>
  <c r="AP1292" i="79" s="1"/>
  <c r="AL1224" i="79"/>
  <c r="AL1292" i="79" s="1"/>
  <c r="AH1224" i="79"/>
  <c r="AH1292" i="79" s="1"/>
  <c r="Q1224" i="79"/>
  <c r="Q1292" i="79" s="1"/>
  <c r="M1224" i="79"/>
  <c r="M1292" i="79" s="1"/>
  <c r="I1224" i="79"/>
  <c r="I1292" i="79" s="1"/>
  <c r="AO1224" i="79"/>
  <c r="AO1292" i="79" s="1"/>
  <c r="AK1224" i="79"/>
  <c r="AK1292" i="79" s="1"/>
  <c r="AG1224" i="79"/>
  <c r="AG1292" i="79" s="1"/>
  <c r="T1224" i="79"/>
  <c r="T1292" i="79" s="1"/>
  <c r="P1224" i="79"/>
  <c r="P1292" i="79" s="1"/>
  <c r="L1224" i="79"/>
  <c r="L1292" i="79" s="1"/>
  <c r="B1292" i="79"/>
  <c r="AN1224" i="79"/>
  <c r="AN1292" i="79" s="1"/>
  <c r="AJ1224" i="79"/>
  <c r="AJ1292" i="79" s="1"/>
  <c r="AF1224" i="79"/>
  <c r="AF1292" i="79" s="1"/>
  <c r="S1224" i="79"/>
  <c r="S1292" i="79" s="1"/>
  <c r="O1224" i="79"/>
  <c r="O1292" i="79" s="1"/>
  <c r="K1224" i="79"/>
  <c r="K1292" i="79" s="1"/>
  <c r="AQ1220" i="79"/>
  <c r="AQ1288" i="79" s="1"/>
  <c r="AM1220" i="79"/>
  <c r="AM1288" i="79" s="1"/>
  <c r="AI1220" i="79"/>
  <c r="AI1288" i="79" s="1"/>
  <c r="AP1220" i="79"/>
  <c r="AP1288" i="79" s="1"/>
  <c r="AL1220" i="79"/>
  <c r="AL1288" i="79" s="1"/>
  <c r="AH1220" i="79"/>
  <c r="AH1288" i="79" s="1"/>
  <c r="AO1220" i="79"/>
  <c r="AO1288" i="79" s="1"/>
  <c r="AK1220" i="79"/>
  <c r="AK1288" i="79" s="1"/>
  <c r="AG1220" i="79"/>
  <c r="AG1288" i="79" s="1"/>
  <c r="B1288" i="79"/>
  <c r="AN1220" i="79"/>
  <c r="AN1288" i="79" s="1"/>
  <c r="AJ1220" i="79"/>
  <c r="AJ1288" i="79" s="1"/>
  <c r="AF1220" i="79"/>
  <c r="AF1288" i="79" s="1"/>
  <c r="B1668" i="79"/>
  <c r="AQ1216" i="79"/>
  <c r="AQ1284" i="79" s="1"/>
  <c r="AM1216" i="79"/>
  <c r="AM1284" i="79" s="1"/>
  <c r="AI1216" i="79"/>
  <c r="AI1284" i="79" s="1"/>
  <c r="R1216" i="79"/>
  <c r="R1284" i="79" s="1"/>
  <c r="N1216" i="79"/>
  <c r="N1284" i="79" s="1"/>
  <c r="J1216" i="79"/>
  <c r="J1284" i="79" s="1"/>
  <c r="AP1216" i="79"/>
  <c r="AP1284" i="79" s="1"/>
  <c r="AL1216" i="79"/>
  <c r="AL1284" i="79" s="1"/>
  <c r="AH1216" i="79"/>
  <c r="AH1284" i="79" s="1"/>
  <c r="Q1216" i="79"/>
  <c r="Q1284" i="79" s="1"/>
  <c r="M1216" i="79"/>
  <c r="M1284" i="79" s="1"/>
  <c r="I1216" i="79"/>
  <c r="I1284" i="79" s="1"/>
  <c r="AO1216" i="79"/>
  <c r="AO1284" i="79" s="1"/>
  <c r="AK1216" i="79"/>
  <c r="AK1284" i="79" s="1"/>
  <c r="AG1216" i="79"/>
  <c r="AG1284" i="79" s="1"/>
  <c r="T1216" i="79"/>
  <c r="T1284" i="79" s="1"/>
  <c r="P1216" i="79"/>
  <c r="P1284" i="79" s="1"/>
  <c r="L1216" i="79"/>
  <c r="L1284" i="79" s="1"/>
  <c r="B1284" i="79"/>
  <c r="AN1216" i="79"/>
  <c r="AN1284" i="79" s="1"/>
  <c r="AJ1216" i="79"/>
  <c r="AJ1284" i="79" s="1"/>
  <c r="AF1216" i="79"/>
  <c r="AF1284" i="79" s="1"/>
  <c r="S1216" i="79"/>
  <c r="S1284" i="79" s="1"/>
  <c r="O1216" i="79"/>
  <c r="O1284" i="79" s="1"/>
  <c r="K1216" i="79"/>
  <c r="K1284" i="79" s="1"/>
  <c r="AQ1212" i="79"/>
  <c r="AQ1280" i="79" s="1"/>
  <c r="AM1212" i="79"/>
  <c r="AM1280" i="79" s="1"/>
  <c r="AI1212" i="79"/>
  <c r="AI1280" i="79" s="1"/>
  <c r="R1212" i="79"/>
  <c r="R1280" i="79" s="1"/>
  <c r="N1212" i="79"/>
  <c r="N1280" i="79" s="1"/>
  <c r="J1212" i="79"/>
  <c r="J1280" i="79" s="1"/>
  <c r="AP1212" i="79"/>
  <c r="AP1280" i="79" s="1"/>
  <c r="AL1212" i="79"/>
  <c r="AL1280" i="79" s="1"/>
  <c r="AH1212" i="79"/>
  <c r="AH1280" i="79" s="1"/>
  <c r="Q1212" i="79"/>
  <c r="Q1280" i="79" s="1"/>
  <c r="M1212" i="79"/>
  <c r="M1280" i="79" s="1"/>
  <c r="I1212" i="79"/>
  <c r="I1280" i="79" s="1"/>
  <c r="B1664" i="79"/>
  <c r="AO1212" i="79"/>
  <c r="AO1280" i="79" s="1"/>
  <c r="AK1212" i="79"/>
  <c r="AK1280" i="79" s="1"/>
  <c r="AG1212" i="79"/>
  <c r="AG1280" i="79" s="1"/>
  <c r="T1212" i="79"/>
  <c r="T1280" i="79" s="1"/>
  <c r="P1212" i="79"/>
  <c r="P1280" i="79" s="1"/>
  <c r="L1212" i="79"/>
  <c r="L1280" i="79" s="1"/>
  <c r="B1280" i="79"/>
  <c r="AN1212" i="79"/>
  <c r="AN1280" i="79" s="1"/>
  <c r="AJ1212" i="79"/>
  <c r="AJ1280" i="79" s="1"/>
  <c r="AF1212" i="79"/>
  <c r="AF1280" i="79" s="1"/>
  <c r="S1212" i="79"/>
  <c r="S1280" i="79" s="1"/>
  <c r="O1212" i="79"/>
  <c r="O1280" i="79" s="1"/>
  <c r="K1212" i="79"/>
  <c r="K1280" i="79" s="1"/>
  <c r="B1660" i="79"/>
  <c r="B1276" i="79"/>
  <c r="J2220" i="79"/>
  <c r="T2266" i="79"/>
  <c r="O2174" i="79"/>
  <c r="L2220" i="79"/>
  <c r="Q2197" i="79"/>
  <c r="O2243" i="79"/>
  <c r="L2197" i="79"/>
  <c r="O2220" i="79"/>
  <c r="R2243" i="79"/>
  <c r="R2266" i="79"/>
  <c r="O2266" i="79"/>
  <c r="I2358" i="79"/>
  <c r="R2358" i="79"/>
  <c r="J2381" i="79"/>
  <c r="L2381" i="79"/>
  <c r="L2358" i="79"/>
  <c r="O2381" i="79"/>
  <c r="Z1654" i="79"/>
  <c r="Z1690" i="79" s="1"/>
  <c r="Z1726" i="79" s="1"/>
  <c r="Z1762" i="79" s="1"/>
  <c r="Z1798" i="79" s="1"/>
  <c r="Z1834" i="79" s="1"/>
  <c r="Z1870" i="79" s="1"/>
  <c r="Z1906" i="79" s="1"/>
  <c r="Z1942" i="79" s="1"/>
  <c r="Z1978" i="79" s="1"/>
  <c r="Z2013" i="79" s="1"/>
  <c r="Z2049" i="79" s="1"/>
  <c r="Z1217" i="79"/>
  <c r="Z1669" i="79" s="1"/>
  <c r="Z1705" i="79" s="1"/>
  <c r="Z1741" i="79" s="1"/>
  <c r="Z1777" i="79" s="1"/>
  <c r="Z1813" i="79" s="1"/>
  <c r="Z1849" i="79" s="1"/>
  <c r="Z1885" i="79" s="1"/>
  <c r="Z1921" i="79" s="1"/>
  <c r="Z1957" i="79" s="1"/>
  <c r="Z1993" i="79" s="1"/>
  <c r="Z2028" i="79" s="1"/>
  <c r="Z2064" i="79" s="1"/>
  <c r="Z1212" i="79"/>
  <c r="Z1664" i="79" s="1"/>
  <c r="Z1700" i="79" s="1"/>
  <c r="Z1736" i="79" s="1"/>
  <c r="Z1772" i="79" s="1"/>
  <c r="Z1808" i="79" s="1"/>
  <c r="Z1844" i="79" s="1"/>
  <c r="Z1880" i="79" s="1"/>
  <c r="Z1916" i="79" s="1"/>
  <c r="Z1952" i="79" s="1"/>
  <c r="Z1988" i="79" s="1"/>
  <c r="Z2023" i="79" s="1"/>
  <c r="Z2059" i="79" s="1"/>
  <c r="Z1649" i="79"/>
  <c r="Z1685" i="79" s="1"/>
  <c r="Z1721" i="79" s="1"/>
  <c r="Z1757" i="79" s="1"/>
  <c r="Z1793" i="79" s="1"/>
  <c r="Z1829" i="79" s="1"/>
  <c r="Z1865" i="79" s="1"/>
  <c r="Z1901" i="79" s="1"/>
  <c r="Z1937" i="79" s="1"/>
  <c r="Z1973" i="79" s="1"/>
  <c r="Z2008" i="79" s="1"/>
  <c r="Z2044" i="79" s="1"/>
  <c r="AQ1231" i="79"/>
  <c r="AQ1299" i="79" s="1"/>
  <c r="AM1231" i="79"/>
  <c r="AM1299" i="79" s="1"/>
  <c r="AI1231" i="79"/>
  <c r="AI1299" i="79" s="1"/>
  <c r="R1231" i="79"/>
  <c r="R1299" i="79" s="1"/>
  <c r="N1231" i="79"/>
  <c r="N1299" i="79" s="1"/>
  <c r="J1231" i="79"/>
  <c r="J1299" i="79" s="1"/>
  <c r="B1299" i="79"/>
  <c r="AP1231" i="79"/>
  <c r="AP1299" i="79" s="1"/>
  <c r="AL1231" i="79"/>
  <c r="AL1299" i="79" s="1"/>
  <c r="AH1231" i="79"/>
  <c r="AH1299" i="79" s="1"/>
  <c r="Q1231" i="79"/>
  <c r="Q1299" i="79" s="1"/>
  <c r="M1231" i="79"/>
  <c r="M1299" i="79" s="1"/>
  <c r="I1231" i="79"/>
  <c r="I1299" i="79" s="1"/>
  <c r="AO1231" i="79"/>
  <c r="AO1299" i="79" s="1"/>
  <c r="AK1231" i="79"/>
  <c r="AK1299" i="79" s="1"/>
  <c r="AG1231" i="79"/>
  <c r="AG1299" i="79" s="1"/>
  <c r="T1231" i="79"/>
  <c r="T1299" i="79" s="1"/>
  <c r="P1231" i="79"/>
  <c r="P1299" i="79" s="1"/>
  <c r="L1231" i="79"/>
  <c r="L1299" i="79" s="1"/>
  <c r="AN1231" i="79"/>
  <c r="AN1299" i="79" s="1"/>
  <c r="AJ1231" i="79"/>
  <c r="AJ1299" i="79" s="1"/>
  <c r="AF1231" i="79"/>
  <c r="AF1299" i="79" s="1"/>
  <c r="S1231" i="79"/>
  <c r="S1299" i="79" s="1"/>
  <c r="O1231" i="79"/>
  <c r="O1299" i="79" s="1"/>
  <c r="K1231" i="79"/>
  <c r="K1299" i="79" s="1"/>
  <c r="AQ1227" i="79"/>
  <c r="AQ1295" i="79" s="1"/>
  <c r="AM1227" i="79"/>
  <c r="AM1295" i="79" s="1"/>
  <c r="AI1227" i="79"/>
  <c r="AI1295" i="79" s="1"/>
  <c r="R1227" i="79"/>
  <c r="R1295" i="79" s="1"/>
  <c r="N1227" i="79"/>
  <c r="N1295" i="79" s="1"/>
  <c r="J1227" i="79"/>
  <c r="J1295" i="79" s="1"/>
  <c r="B1295" i="79"/>
  <c r="AP1227" i="79"/>
  <c r="AP1295" i="79" s="1"/>
  <c r="AL1227" i="79"/>
  <c r="AL1295" i="79" s="1"/>
  <c r="AH1227" i="79"/>
  <c r="AH1295" i="79" s="1"/>
  <c r="Q1227" i="79"/>
  <c r="Q1295" i="79" s="1"/>
  <c r="M1227" i="79"/>
  <c r="M1295" i="79" s="1"/>
  <c r="I1227" i="79"/>
  <c r="I1295" i="79" s="1"/>
  <c r="AO1227" i="79"/>
  <c r="AO1295" i="79" s="1"/>
  <c r="AK1227" i="79"/>
  <c r="AK1295" i="79" s="1"/>
  <c r="AG1227" i="79"/>
  <c r="AG1295" i="79" s="1"/>
  <c r="T1227" i="79"/>
  <c r="T1295" i="79" s="1"/>
  <c r="P1227" i="79"/>
  <c r="P1295" i="79" s="1"/>
  <c r="L1227" i="79"/>
  <c r="L1295" i="79" s="1"/>
  <c r="AN1227" i="79"/>
  <c r="AN1295" i="79" s="1"/>
  <c r="AJ1227" i="79"/>
  <c r="AJ1295" i="79" s="1"/>
  <c r="AF1227" i="79"/>
  <c r="AF1295" i="79" s="1"/>
  <c r="S1227" i="79"/>
  <c r="S1295" i="79" s="1"/>
  <c r="O1227" i="79"/>
  <c r="O1295" i="79" s="1"/>
  <c r="K1227" i="79"/>
  <c r="K1295" i="79" s="1"/>
  <c r="AQ1223" i="79"/>
  <c r="AQ1291" i="79" s="1"/>
  <c r="AM1223" i="79"/>
  <c r="AM1291" i="79" s="1"/>
  <c r="AI1223" i="79"/>
  <c r="AI1291" i="79" s="1"/>
  <c r="B1291" i="79"/>
  <c r="AP1223" i="79"/>
  <c r="AP1291" i="79" s="1"/>
  <c r="AL1223" i="79"/>
  <c r="AL1291" i="79" s="1"/>
  <c r="AH1223" i="79"/>
  <c r="AH1291" i="79" s="1"/>
  <c r="AO1223" i="79"/>
  <c r="AO1291" i="79" s="1"/>
  <c r="AK1223" i="79"/>
  <c r="AK1291" i="79" s="1"/>
  <c r="AG1223" i="79"/>
  <c r="AG1291" i="79" s="1"/>
  <c r="AN1223" i="79"/>
  <c r="AN1291" i="79" s="1"/>
  <c r="AJ1223" i="79"/>
  <c r="AJ1291" i="79" s="1"/>
  <c r="AF1223" i="79"/>
  <c r="AF1291" i="79" s="1"/>
  <c r="AQ1219" i="79"/>
  <c r="AQ1287" i="79" s="1"/>
  <c r="AM1219" i="79"/>
  <c r="AM1287" i="79" s="1"/>
  <c r="AI1219" i="79"/>
  <c r="AI1287" i="79" s="1"/>
  <c r="R1219" i="79"/>
  <c r="R1287" i="79" s="1"/>
  <c r="N1219" i="79"/>
  <c r="N1287" i="79" s="1"/>
  <c r="J1219" i="79"/>
  <c r="J1287" i="79" s="1"/>
  <c r="B1287" i="79"/>
  <c r="AP1219" i="79"/>
  <c r="AP1287" i="79" s="1"/>
  <c r="AL1219" i="79"/>
  <c r="AL1287" i="79" s="1"/>
  <c r="AH1219" i="79"/>
  <c r="AH1287" i="79" s="1"/>
  <c r="Q1219" i="79"/>
  <c r="Q1287" i="79" s="1"/>
  <c r="M1219" i="79"/>
  <c r="M1287" i="79" s="1"/>
  <c r="I1219" i="79"/>
  <c r="I1287" i="79" s="1"/>
  <c r="AO1219" i="79"/>
  <c r="AO1287" i="79" s="1"/>
  <c r="AK1219" i="79"/>
  <c r="AK1287" i="79" s="1"/>
  <c r="AG1219" i="79"/>
  <c r="AG1287" i="79" s="1"/>
  <c r="T1219" i="79"/>
  <c r="T1287" i="79" s="1"/>
  <c r="P1219" i="79"/>
  <c r="P1287" i="79" s="1"/>
  <c r="L1219" i="79"/>
  <c r="L1287" i="79" s="1"/>
  <c r="AN1219" i="79"/>
  <c r="AN1287" i="79" s="1"/>
  <c r="AJ1219" i="79"/>
  <c r="AJ1287" i="79" s="1"/>
  <c r="AF1219" i="79"/>
  <c r="AF1287" i="79" s="1"/>
  <c r="S1219" i="79"/>
  <c r="S1287" i="79" s="1"/>
  <c r="O1219" i="79"/>
  <c r="O1287" i="79" s="1"/>
  <c r="K1219" i="79"/>
  <c r="K1287" i="79" s="1"/>
  <c r="AQ1215" i="79"/>
  <c r="AQ1283" i="79" s="1"/>
  <c r="AM1215" i="79"/>
  <c r="AM1283" i="79" s="1"/>
  <c r="AI1215" i="79"/>
  <c r="AI1283" i="79" s="1"/>
  <c r="R1215" i="79"/>
  <c r="R1283" i="79" s="1"/>
  <c r="N1215" i="79"/>
  <c r="N1283" i="79" s="1"/>
  <c r="J1215" i="79"/>
  <c r="J1283" i="79" s="1"/>
  <c r="B1667" i="79"/>
  <c r="B1283" i="79"/>
  <c r="AP1215" i="79"/>
  <c r="AP1283" i="79" s="1"/>
  <c r="AL1215" i="79"/>
  <c r="AL1283" i="79" s="1"/>
  <c r="AH1215" i="79"/>
  <c r="AH1283" i="79" s="1"/>
  <c r="Q1215" i="79"/>
  <c r="Q1283" i="79" s="1"/>
  <c r="M1215" i="79"/>
  <c r="M1283" i="79" s="1"/>
  <c r="I1215" i="79"/>
  <c r="I1283" i="79" s="1"/>
  <c r="AO1215" i="79"/>
  <c r="AO1283" i="79" s="1"/>
  <c r="AK1215" i="79"/>
  <c r="AK1283" i="79" s="1"/>
  <c r="AG1215" i="79"/>
  <c r="AG1283" i="79" s="1"/>
  <c r="T1215" i="79"/>
  <c r="T1283" i="79" s="1"/>
  <c r="P1215" i="79"/>
  <c r="P1283" i="79" s="1"/>
  <c r="L1215" i="79"/>
  <c r="L1283" i="79" s="1"/>
  <c r="AN1215" i="79"/>
  <c r="AN1283" i="79" s="1"/>
  <c r="AJ1215" i="79"/>
  <c r="AJ1283" i="79" s="1"/>
  <c r="AF1215" i="79"/>
  <c r="AF1283" i="79" s="1"/>
  <c r="S1215" i="79"/>
  <c r="S1283" i="79" s="1"/>
  <c r="O1215" i="79"/>
  <c r="O1283" i="79" s="1"/>
  <c r="K1215" i="79"/>
  <c r="K1283" i="79" s="1"/>
  <c r="R1211" i="79"/>
  <c r="R1279" i="79" s="1"/>
  <c r="N1211" i="79"/>
  <c r="N1279" i="79" s="1"/>
  <c r="J1211" i="79"/>
  <c r="J1279" i="79" s="1"/>
  <c r="B1663" i="79"/>
  <c r="B1279" i="79"/>
  <c r="Q1211" i="79"/>
  <c r="Q1279" i="79" s="1"/>
  <c r="M1211" i="79"/>
  <c r="M1279" i="79" s="1"/>
  <c r="I1211" i="79"/>
  <c r="I1279" i="79" s="1"/>
  <c r="T1211" i="79"/>
  <c r="T1279" i="79" s="1"/>
  <c r="P1211" i="79"/>
  <c r="P1279" i="79" s="1"/>
  <c r="L1211" i="79"/>
  <c r="L1279" i="79" s="1"/>
  <c r="S1211" i="79"/>
  <c r="S1279" i="79" s="1"/>
  <c r="O1211" i="79"/>
  <c r="O1279" i="79" s="1"/>
  <c r="K1211" i="79"/>
  <c r="K1279" i="79" s="1"/>
  <c r="B1659" i="79"/>
  <c r="B1275" i="79"/>
  <c r="AM1344" i="79"/>
  <c r="AH1346" i="79"/>
  <c r="AN501" i="79"/>
  <c r="AH1357" i="79"/>
  <c r="AH1349" i="79"/>
  <c r="G779" i="64"/>
  <c r="G771" i="64"/>
  <c r="G756" i="64"/>
  <c r="G750" i="64"/>
  <c r="G774" i="64"/>
  <c r="G775" i="64"/>
  <c r="G755" i="64"/>
  <c r="G743" i="64"/>
  <c r="G749" i="64"/>
  <c r="G762" i="64"/>
  <c r="F604" i="73"/>
  <c r="F590" i="73"/>
  <c r="F596" i="73" s="1"/>
  <c r="G681" i="77" s="1"/>
  <c r="G135" i="85"/>
  <c r="F346" i="73"/>
  <c r="A634" i="79"/>
  <c r="A834" i="79"/>
  <c r="A664" i="79"/>
  <c r="A697" i="79" s="1"/>
  <c r="A724" i="79" s="1"/>
  <c r="A774" i="79" s="1"/>
  <c r="A803" i="79" s="1"/>
  <c r="N172" i="85"/>
  <c r="N179" i="85" s="1"/>
  <c r="N156" i="85"/>
  <c r="L59" i="8" s="1"/>
  <c r="N18" i="85"/>
  <c r="N300" i="73"/>
  <c r="L293" i="73"/>
  <c r="L48" i="73" s="1"/>
  <c r="P18" i="85"/>
  <c r="P172" i="85"/>
  <c r="P179" i="85" s="1"/>
  <c r="P156" i="85"/>
  <c r="N59" i="8" s="1"/>
  <c r="L18" i="85"/>
  <c r="L172" i="85"/>
  <c r="L179" i="85" s="1"/>
  <c r="L156" i="85"/>
  <c r="R26" i="73"/>
  <c r="G145" i="71" s="1"/>
  <c r="R476" i="73"/>
  <c r="W476" i="73"/>
  <c r="X476" i="73" s="1"/>
  <c r="I293" i="73"/>
  <c r="K300" i="73"/>
  <c r="F293" i="73"/>
  <c r="O18" i="85"/>
  <c r="O172" i="85"/>
  <c r="O179" i="85" s="1"/>
  <c r="O156" i="85"/>
  <c r="M59" i="8" s="1"/>
  <c r="R115" i="73"/>
  <c r="F116" i="73"/>
  <c r="I18" i="85"/>
  <c r="I172" i="85"/>
  <c r="I179" i="85" s="1"/>
  <c r="I156" i="85"/>
  <c r="H293" i="73"/>
  <c r="H48" i="73" s="1"/>
  <c r="M300" i="73"/>
  <c r="K293" i="73"/>
  <c r="K48" i="73" s="1"/>
  <c r="AI405" i="79"/>
  <c r="R475" i="73"/>
  <c r="W475" i="73"/>
  <c r="X475" i="73" s="1"/>
  <c r="J172" i="85"/>
  <c r="J179" i="85" s="1"/>
  <c r="J156" i="85"/>
  <c r="H59" i="8" s="1"/>
  <c r="J18" i="85"/>
  <c r="M293" i="73"/>
  <c r="O300" i="73"/>
  <c r="M18" i="85"/>
  <c r="M172" i="85"/>
  <c r="M179" i="85" s="1"/>
  <c r="M156" i="85"/>
  <c r="K59" i="8" s="1"/>
  <c r="AK1048" i="64"/>
  <c r="G1048" i="64" s="1"/>
  <c r="G1119" i="64" s="1"/>
  <c r="AJ1048" i="64"/>
  <c r="F1048" i="64" s="1"/>
  <c r="F1119" i="64" s="1"/>
  <c r="AR1048" i="64"/>
  <c r="N1048" i="64" s="1"/>
  <c r="N1119" i="64" s="1"/>
  <c r="Q300" i="73"/>
  <c r="O293" i="73"/>
  <c r="O48" i="73" s="1"/>
  <c r="G293" i="73"/>
  <c r="G48" i="73" s="1"/>
  <c r="AR1047" i="64"/>
  <c r="N1047" i="64" s="1"/>
  <c r="N1118" i="64" s="1"/>
  <c r="AL1047" i="64"/>
  <c r="AK1047" i="64"/>
  <c r="G1047" i="64" s="1"/>
  <c r="G1118" i="64" s="1"/>
  <c r="AP1047" i="64"/>
  <c r="L1047" i="64" s="1"/>
  <c r="L1118" i="64" s="1"/>
  <c r="AH1047" i="64"/>
  <c r="D1047" i="64" s="1"/>
  <c r="D1118" i="64" s="1"/>
  <c r="AO1047" i="64"/>
  <c r="K1047" i="64" s="1"/>
  <c r="K1118" i="64" s="1"/>
  <c r="AG1047" i="64"/>
  <c r="C1047" i="64" s="1"/>
  <c r="C1118" i="64" s="1"/>
  <c r="B1047" i="64"/>
  <c r="W474" i="73"/>
  <c r="X474" i="73" s="1"/>
  <c r="K18" i="85"/>
  <c r="K172" i="85"/>
  <c r="K179" i="85" s="1"/>
  <c r="K156" i="85"/>
  <c r="I59" i="8" s="1"/>
  <c r="H18" i="85"/>
  <c r="H172" i="85"/>
  <c r="H179" i="85" s="1"/>
  <c r="H156" i="85"/>
  <c r="F59" i="8" s="1"/>
  <c r="AK1362" i="79"/>
  <c r="AK1358" i="79"/>
  <c r="P385" i="79"/>
  <c r="J45" i="69"/>
  <c r="G301" i="64"/>
  <c r="G346" i="64"/>
  <c r="G316" i="64"/>
  <c r="H27" i="69"/>
  <c r="E411" i="77" s="1"/>
  <c r="AI1362" i="79"/>
  <c r="AP1350" i="79"/>
  <c r="C23" i="71"/>
  <c r="I27" i="69"/>
  <c r="E412" i="77" s="1"/>
  <c r="G181" i="71"/>
  <c r="D647" i="77"/>
  <c r="D648" i="77" s="1"/>
  <c r="E648" i="77" s="1"/>
  <c r="F648" i="77" s="1"/>
  <c r="G648" i="77" s="1"/>
  <c r="H648" i="77" s="1"/>
  <c r="I648" i="77" s="1"/>
  <c r="J648" i="77" s="1"/>
  <c r="K648" i="77" s="1"/>
  <c r="L648" i="77" s="1"/>
  <c r="M648" i="77" s="1"/>
  <c r="N648" i="77" s="1"/>
  <c r="O648" i="77" s="1"/>
  <c r="P648" i="77" s="1"/>
  <c r="E384" i="77"/>
  <c r="C79" i="80" s="1"/>
  <c r="D79" i="80" s="1"/>
  <c r="R83" i="73"/>
  <c r="R84" i="73" s="1"/>
  <c r="J84" i="73"/>
  <c r="R93" i="73"/>
  <c r="H77" i="73"/>
  <c r="R77" i="73" s="1"/>
  <c r="R76" i="73"/>
  <c r="L300" i="73"/>
  <c r="Q86" i="74"/>
  <c r="C12" i="10"/>
  <c r="O12" i="10" s="1"/>
  <c r="H6" i="25" s="1"/>
  <c r="J70" i="83"/>
  <c r="J13" i="80"/>
  <c r="L70" i="83"/>
  <c r="L13" i="80"/>
  <c r="D70" i="83"/>
  <c r="D13" i="80"/>
  <c r="K70" i="83"/>
  <c r="K13" i="80"/>
  <c r="F70" i="83"/>
  <c r="F13" i="80"/>
  <c r="F54" i="85"/>
  <c r="F52" i="85"/>
  <c r="G35" i="85"/>
  <c r="E13" i="80"/>
  <c r="E70" i="83"/>
  <c r="R154" i="85"/>
  <c r="C70" i="83"/>
  <c r="Q85" i="74"/>
  <c r="C13" i="80"/>
  <c r="J89" i="85"/>
  <c r="J107" i="85" s="1"/>
  <c r="K89" i="85" s="1"/>
  <c r="M13" i="80"/>
  <c r="M70" i="83"/>
  <c r="H70" i="83"/>
  <c r="H13" i="80"/>
  <c r="G70" i="83"/>
  <c r="G13" i="80"/>
  <c r="N70" i="83"/>
  <c r="N13" i="80"/>
  <c r="I13" i="80"/>
  <c r="I70" i="83"/>
  <c r="G78" i="85"/>
  <c r="G254" i="73"/>
  <c r="F601" i="73"/>
  <c r="F86" i="73"/>
  <c r="G69" i="73"/>
  <c r="G85" i="73" s="1"/>
  <c r="G173" i="73"/>
  <c r="G147" i="73"/>
  <c r="G145" i="73"/>
  <c r="G345" i="73"/>
  <c r="G201" i="73"/>
  <c r="G14" i="85"/>
  <c r="G156" i="85" s="1"/>
  <c r="E59" i="8" s="1"/>
  <c r="G363" i="73"/>
  <c r="G172" i="85"/>
  <c r="G179" i="85" s="1"/>
  <c r="G18" i="85"/>
  <c r="F970" i="64"/>
  <c r="I90" i="64"/>
  <c r="H482" i="64"/>
  <c r="F962" i="64"/>
  <c r="I82" i="64"/>
  <c r="H474" i="64"/>
  <c r="F954" i="64"/>
  <c r="I74" i="64"/>
  <c r="H466" i="64"/>
  <c r="F946" i="64"/>
  <c r="H458" i="64"/>
  <c r="F938" i="64"/>
  <c r="H450" i="64"/>
  <c r="F930" i="64"/>
  <c r="H442" i="64"/>
  <c r="F922" i="64"/>
  <c r="H434" i="64"/>
  <c r="G977" i="64"/>
  <c r="I489" i="64"/>
  <c r="J97" i="64"/>
  <c r="G973" i="64"/>
  <c r="I485" i="64"/>
  <c r="J93" i="64"/>
  <c r="H476" i="64"/>
  <c r="I84" i="64"/>
  <c r="F964" i="64"/>
  <c r="H472" i="64"/>
  <c r="I80" i="64"/>
  <c r="F960" i="64"/>
  <c r="H468" i="64"/>
  <c r="I76" i="64"/>
  <c r="F956" i="64"/>
  <c r="H464" i="64"/>
  <c r="I72" i="64"/>
  <c r="F952" i="64"/>
  <c r="F948" i="64"/>
  <c r="H460" i="64"/>
  <c r="H456" i="64"/>
  <c r="F944" i="64"/>
  <c r="F940" i="64"/>
  <c r="H452" i="64"/>
  <c r="F933" i="64"/>
  <c r="H445" i="64"/>
  <c r="F924" i="64"/>
  <c r="H436" i="64"/>
  <c r="H432" i="64"/>
  <c r="F920" i="64"/>
  <c r="F916" i="64"/>
  <c r="H428" i="64"/>
  <c r="G963" i="64"/>
  <c r="I475" i="64"/>
  <c r="J83" i="64"/>
  <c r="G935" i="64"/>
  <c r="I447" i="64"/>
  <c r="G931" i="64"/>
  <c r="I443" i="64"/>
  <c r="G915" i="64"/>
  <c r="I427" i="64"/>
  <c r="C22" i="71"/>
  <c r="F678" i="64"/>
  <c r="F673" i="64"/>
  <c r="H487" i="64"/>
  <c r="I95" i="64"/>
  <c r="F975" i="64"/>
  <c r="I490" i="64"/>
  <c r="G978" i="64"/>
  <c r="J98" i="64"/>
  <c r="H480" i="64"/>
  <c r="I88" i="64"/>
  <c r="F968" i="64"/>
  <c r="F953" i="64"/>
  <c r="I73" i="64"/>
  <c r="H465" i="64"/>
  <c r="F949" i="64"/>
  <c r="H461" i="64"/>
  <c r="F945" i="64"/>
  <c r="H457" i="64"/>
  <c r="F941" i="64"/>
  <c r="H453" i="64"/>
  <c r="F937" i="64"/>
  <c r="H449" i="64"/>
  <c r="H440" i="64"/>
  <c r="F928" i="64"/>
  <c r="F921" i="64"/>
  <c r="H433" i="64"/>
  <c r="F917" i="64"/>
  <c r="H429" i="64"/>
  <c r="G959" i="64"/>
  <c r="I471" i="64"/>
  <c r="J79" i="64"/>
  <c r="G951" i="64"/>
  <c r="I463" i="64"/>
  <c r="J71" i="64"/>
  <c r="G947" i="64"/>
  <c r="I459" i="64"/>
  <c r="F704" i="64"/>
  <c r="F700" i="64"/>
  <c r="F695" i="64"/>
  <c r="G184" i="64" s="1"/>
  <c r="F691" i="64"/>
  <c r="G180" i="64" s="1"/>
  <c r="F687" i="64"/>
  <c r="G176" i="64" s="1"/>
  <c r="F683" i="64"/>
  <c r="S817" i="64"/>
  <c r="H426" i="64"/>
  <c r="F914" i="64"/>
  <c r="H488" i="64"/>
  <c r="I96" i="64"/>
  <c r="F976" i="64"/>
  <c r="I486" i="64"/>
  <c r="G974" i="64"/>
  <c r="J94" i="64"/>
  <c r="H484" i="64"/>
  <c r="I92" i="64"/>
  <c r="F972" i="64"/>
  <c r="F961" i="64"/>
  <c r="I81" i="64"/>
  <c r="H473" i="64"/>
  <c r="F957" i="64"/>
  <c r="I77" i="64"/>
  <c r="H469" i="64"/>
  <c r="F932" i="64"/>
  <c r="H444" i="64"/>
  <c r="F925" i="64"/>
  <c r="H437" i="64"/>
  <c r="G971" i="64"/>
  <c r="I483" i="64"/>
  <c r="J91" i="64"/>
  <c r="G955" i="64"/>
  <c r="I467" i="64"/>
  <c r="J75" i="64"/>
  <c r="G927" i="64"/>
  <c r="I439" i="64"/>
  <c r="I435" i="64"/>
  <c r="G923" i="64"/>
  <c r="G919" i="64"/>
  <c r="I431" i="64"/>
  <c r="AR455" i="79"/>
  <c r="C3166" i="79" s="1"/>
  <c r="S528" i="79"/>
  <c r="AR212" i="79"/>
  <c r="C2965" i="79" s="1"/>
  <c r="AR210" i="79"/>
  <c r="C2963" i="79" s="1"/>
  <c r="AR209" i="79"/>
  <c r="C2962" i="79" s="1"/>
  <c r="AJ405" i="79"/>
  <c r="F966" i="64"/>
  <c r="I86" i="64"/>
  <c r="H478" i="64"/>
  <c r="F958" i="64"/>
  <c r="I78" i="64"/>
  <c r="H470" i="64"/>
  <c r="I70" i="64"/>
  <c r="H462" i="64"/>
  <c r="F950" i="64"/>
  <c r="F942" i="64"/>
  <c r="H454" i="64"/>
  <c r="H446" i="64"/>
  <c r="F934" i="64"/>
  <c r="F926" i="64"/>
  <c r="H438" i="64"/>
  <c r="F918" i="64"/>
  <c r="H430" i="64"/>
  <c r="F969" i="64"/>
  <c r="I89" i="64"/>
  <c r="H481" i="64"/>
  <c r="F965" i="64"/>
  <c r="I85" i="64"/>
  <c r="H477" i="64"/>
  <c r="H448" i="64"/>
  <c r="F936" i="64"/>
  <c r="F929" i="64"/>
  <c r="H441" i="64"/>
  <c r="G967" i="64"/>
  <c r="I479" i="64"/>
  <c r="J87" i="64"/>
  <c r="G943" i="64"/>
  <c r="I455" i="64"/>
  <c r="G939" i="64"/>
  <c r="I451" i="64"/>
  <c r="M1357" i="79"/>
  <c r="S395" i="79"/>
  <c r="L1348" i="79"/>
  <c r="Q1340" i="79"/>
  <c r="AG1344" i="79"/>
  <c r="AH344" i="79"/>
  <c r="S487" i="79"/>
  <c r="P395" i="79"/>
  <c r="P1568" i="79" s="1"/>
  <c r="O426" i="79"/>
  <c r="T1334" i="79"/>
  <c r="AQ1516" i="79"/>
  <c r="AL1362" i="79"/>
  <c r="AP436" i="79"/>
  <c r="AP1581" i="79" s="1"/>
  <c r="M1362" i="79"/>
  <c r="M508" i="79"/>
  <c r="AL1353" i="79"/>
  <c r="T1584" i="79"/>
  <c r="M1351" i="79"/>
  <c r="S419" i="79"/>
  <c r="O359" i="79"/>
  <c r="O1584" i="79"/>
  <c r="Q1345" i="79"/>
  <c r="AH236" i="79"/>
  <c r="L1334" i="79"/>
  <c r="AP1346" i="79"/>
  <c r="AN1350" i="79"/>
  <c r="AM1555" i="79"/>
  <c r="L313" i="79"/>
  <c r="L1542" i="79" s="1"/>
  <c r="J1048" i="64"/>
  <c r="J1119" i="64" s="1"/>
  <c r="T528" i="79"/>
  <c r="T1529" i="79"/>
  <c r="K385" i="79"/>
  <c r="F550" i="64"/>
  <c r="N318" i="79"/>
  <c r="P477" i="79"/>
  <c r="AQ1362" i="79"/>
  <c r="AI419" i="79"/>
  <c r="AM1357" i="79"/>
  <c r="O419" i="79"/>
  <c r="Q1348" i="79"/>
  <c r="AK282" i="79"/>
  <c r="Q487" i="79"/>
  <c r="AQ1346" i="79"/>
  <c r="P1334" i="79"/>
  <c r="U456" i="79"/>
  <c r="C2763" i="79" s="1"/>
  <c r="AL1610" i="79"/>
  <c r="U497" i="79"/>
  <c r="C2797" i="79" s="1"/>
  <c r="AQ1352" i="79"/>
  <c r="AL1352" i="79"/>
  <c r="AP426" i="79"/>
  <c r="S1359" i="79"/>
  <c r="U475" i="79"/>
  <c r="C2780" i="79" s="1"/>
  <c r="AN1352" i="79"/>
  <c r="O1345" i="79"/>
  <c r="L395" i="79"/>
  <c r="L1568" i="79" s="1"/>
  <c r="T1341" i="79"/>
  <c r="AQ1338" i="79"/>
  <c r="AJ1584" i="79"/>
  <c r="AO1348" i="79"/>
  <c r="AN405" i="79"/>
  <c r="AI344" i="79"/>
  <c r="AQ1610" i="79"/>
  <c r="AK436" i="79"/>
  <c r="AK1581" i="79" s="1"/>
  <c r="AK1584" i="79"/>
  <c r="N1358" i="79"/>
  <c r="Q1355" i="79"/>
  <c r="AM436" i="79"/>
  <c r="AM1581" i="79" s="1"/>
  <c r="L419" i="79"/>
  <c r="I1015" i="79"/>
  <c r="U1015" i="79" s="1"/>
  <c r="K508" i="79"/>
  <c r="R508" i="79"/>
  <c r="O313" i="79"/>
  <c r="J1336" i="79"/>
  <c r="AM1332" i="79"/>
  <c r="AN364" i="79"/>
  <c r="P1341" i="79"/>
  <c r="AM1338" i="79"/>
  <c r="Q1352" i="79"/>
  <c r="K1340" i="79"/>
  <c r="AR459" i="79"/>
  <c r="C3170" i="79" s="1"/>
  <c r="AR458" i="79"/>
  <c r="C3169" i="79" s="1"/>
  <c r="AR457" i="79"/>
  <c r="C3168" i="79" s="1"/>
  <c r="AQ1359" i="79"/>
  <c r="L1358" i="79"/>
  <c r="AM1353" i="79"/>
  <c r="AM518" i="79"/>
  <c r="AI1352" i="79"/>
  <c r="AR392" i="79"/>
  <c r="C3115" i="79" s="1"/>
  <c r="K400" i="79"/>
  <c r="U336" i="79"/>
  <c r="C2664" i="79" s="1"/>
  <c r="AQ323" i="79"/>
  <c r="AO528" i="79"/>
  <c r="AO395" i="79"/>
  <c r="AO1568" i="79" s="1"/>
  <c r="J1348" i="79"/>
  <c r="AK1340" i="79"/>
  <c r="U213" i="79"/>
  <c r="C2562" i="79" s="1"/>
  <c r="U212" i="79"/>
  <c r="C2561" i="79" s="1"/>
  <c r="U211" i="79"/>
  <c r="C2560" i="79" s="1"/>
  <c r="U210" i="79"/>
  <c r="C2559" i="79" s="1"/>
  <c r="T426" i="79"/>
  <c r="U89" i="79"/>
  <c r="C2458" i="79" s="1"/>
  <c r="AF337" i="79"/>
  <c r="C1040" i="64"/>
  <c r="C1111" i="64" s="1"/>
  <c r="AN528" i="79"/>
  <c r="AK214" i="79"/>
  <c r="M1048" i="64"/>
  <c r="M1119" i="64" s="1"/>
  <c r="AQ378" i="79"/>
  <c r="F912" i="64"/>
  <c r="H424" i="64"/>
  <c r="F908" i="64"/>
  <c r="H420" i="64"/>
  <c r="F904" i="64"/>
  <c r="H416" i="64"/>
  <c r="F900" i="64"/>
  <c r="H412" i="64"/>
  <c r="F896" i="64"/>
  <c r="H408" i="64"/>
  <c r="F892" i="64"/>
  <c r="H404" i="64"/>
  <c r="G369" i="64"/>
  <c r="F911" i="64"/>
  <c r="H423" i="64"/>
  <c r="G780" i="64"/>
  <c r="G763" i="64"/>
  <c r="G747" i="64"/>
  <c r="G745" i="64"/>
  <c r="G759" i="64"/>
  <c r="G562" i="64"/>
  <c r="G561" i="64"/>
  <c r="G560" i="64"/>
  <c r="G554" i="64"/>
  <c r="F907" i="64"/>
  <c r="G772" i="64"/>
  <c r="G793" i="64"/>
  <c r="G788" i="64"/>
  <c r="G770" i="64"/>
  <c r="G765" i="64"/>
  <c r="G764" i="64"/>
  <c r="G757" i="64"/>
  <c r="G754" i="64"/>
  <c r="G766" i="64"/>
  <c r="G553" i="64"/>
  <c r="G552" i="64"/>
  <c r="G551" i="64"/>
  <c r="G545" i="64"/>
  <c r="G544" i="64"/>
  <c r="G543" i="64"/>
  <c r="G542" i="64"/>
  <c r="G541" i="64"/>
  <c r="G540" i="64"/>
  <c r="G539" i="64"/>
  <c r="G538" i="64"/>
  <c r="G537" i="64"/>
  <c r="G760" i="64"/>
  <c r="H419" i="64"/>
  <c r="G786" i="64"/>
  <c r="G769" i="64"/>
  <c r="F903" i="64"/>
  <c r="H415" i="64"/>
  <c r="F899" i="64"/>
  <c r="H411" i="64"/>
  <c r="F895" i="64"/>
  <c r="H407" i="64"/>
  <c r="F891" i="64"/>
  <c r="H403" i="64"/>
  <c r="G294" i="64"/>
  <c r="AG1043" i="64"/>
  <c r="AG1039" i="64"/>
  <c r="F569" i="64"/>
  <c r="F910" i="64"/>
  <c r="H422" i="64"/>
  <c r="F906" i="64"/>
  <c r="H418" i="64"/>
  <c r="F902" i="64"/>
  <c r="H414" i="64"/>
  <c r="F898" i="64"/>
  <c r="H410" i="64"/>
  <c r="F894" i="64"/>
  <c r="H406" i="64"/>
  <c r="F890" i="64"/>
  <c r="H402" i="64"/>
  <c r="F511" i="64"/>
  <c r="R1043" i="64"/>
  <c r="R1041" i="64"/>
  <c r="C1041" i="64" s="1"/>
  <c r="C1112" i="64" s="1"/>
  <c r="R1039" i="64"/>
  <c r="R1044" i="64"/>
  <c r="C1044" i="64" s="1"/>
  <c r="C1115" i="64" s="1"/>
  <c r="R1045" i="64"/>
  <c r="C1045" i="64" s="1"/>
  <c r="C1116" i="64" s="1"/>
  <c r="F913" i="64"/>
  <c r="H425" i="64"/>
  <c r="F909" i="64"/>
  <c r="H421" i="64"/>
  <c r="F905" i="64"/>
  <c r="H417" i="64"/>
  <c r="F901" i="64"/>
  <c r="H413" i="64"/>
  <c r="F897" i="64"/>
  <c r="H409" i="64"/>
  <c r="F893" i="64"/>
  <c r="H405" i="64"/>
  <c r="F889" i="64"/>
  <c r="G521" i="64"/>
  <c r="G513" i="64"/>
  <c r="G504" i="64"/>
  <c r="G523" i="64"/>
  <c r="G515" i="64"/>
  <c r="G506" i="64"/>
  <c r="G502" i="64"/>
  <c r="G498" i="64"/>
  <c r="G522" i="64"/>
  <c r="G514" i="64"/>
  <c r="G505" i="64"/>
  <c r="G501" i="64"/>
  <c r="H381" i="64"/>
  <c r="H370" i="64"/>
  <c r="H362" i="64"/>
  <c r="H352" i="64"/>
  <c r="D18" i="71" s="1"/>
  <c r="H350" i="64"/>
  <c r="D16" i="71" s="1"/>
  <c r="H401" i="64"/>
  <c r="H360" i="64"/>
  <c r="H351" i="64"/>
  <c r="D17" i="71" s="1"/>
  <c r="H349" i="64"/>
  <c r="D15" i="71" s="1"/>
  <c r="H336" i="64"/>
  <c r="H328" i="64"/>
  <c r="H320" i="64"/>
  <c r="H313" i="64"/>
  <c r="H309" i="64"/>
  <c r="H305" i="64"/>
  <c r="H297" i="64"/>
  <c r="H293" i="64"/>
  <c r="G500" i="64"/>
  <c r="G499" i="64"/>
  <c r="H387" i="64"/>
  <c r="H384" i="64"/>
  <c r="H382" i="64"/>
  <c r="H372" i="64"/>
  <c r="H361" i="64"/>
  <c r="H353" i="64"/>
  <c r="D19" i="71" s="1"/>
  <c r="H348" i="64"/>
  <c r="D14" i="71" s="1"/>
  <c r="H341" i="64"/>
  <c r="H334" i="64"/>
  <c r="H322" i="64"/>
  <c r="H318" i="64"/>
  <c r="H311" i="64"/>
  <c r="H307" i="64"/>
  <c r="H303" i="64"/>
  <c r="H295" i="64"/>
  <c r="H291" i="64"/>
  <c r="G512" i="64"/>
  <c r="G503" i="64"/>
  <c r="H383" i="64"/>
  <c r="H363" i="64"/>
  <c r="H340" i="64"/>
  <c r="H333" i="64"/>
  <c r="H321" i="64"/>
  <c r="H317" i="64"/>
  <c r="H314" i="64"/>
  <c r="H310" i="64"/>
  <c r="H306" i="64"/>
  <c r="H302" i="64"/>
  <c r="H298" i="64"/>
  <c r="H354" i="64"/>
  <c r="D20" i="71" s="1"/>
  <c r="H323" i="64"/>
  <c r="H319" i="64"/>
  <c r="H296" i="64"/>
  <c r="H371" i="64"/>
  <c r="H335" i="64"/>
  <c r="H327" i="64"/>
  <c r="H292" i="64"/>
  <c r="H347" i="64"/>
  <c r="H312" i="64"/>
  <c r="H308" i="64"/>
  <c r="H380" i="64"/>
  <c r="H304" i="64"/>
  <c r="U459" i="79"/>
  <c r="C2766" i="79" s="1"/>
  <c r="U458" i="79"/>
  <c r="C2765" i="79" s="1"/>
  <c r="U457" i="79"/>
  <c r="C2764" i="79" s="1"/>
  <c r="U455" i="79"/>
  <c r="C2762" i="79" s="1"/>
  <c r="AR415" i="79"/>
  <c r="C3133" i="79" s="1"/>
  <c r="U521" i="79"/>
  <c r="C2818" i="79" s="1"/>
  <c r="AR445" i="79"/>
  <c r="C3159" i="79" s="1"/>
  <c r="U432" i="79"/>
  <c r="C2744" i="79" s="1"/>
  <c r="AN436" i="79"/>
  <c r="AR343" i="79"/>
  <c r="C3074" i="79" s="1"/>
  <c r="U335" i="79"/>
  <c r="C2663" i="79" s="1"/>
  <c r="AR500" i="79"/>
  <c r="C3204" i="79" s="1"/>
  <c r="AR499" i="79"/>
  <c r="C3203" i="79" s="1"/>
  <c r="Q467" i="79"/>
  <c r="AI441" i="79"/>
  <c r="AI436" i="79"/>
  <c r="AR418" i="79"/>
  <c r="C3136" i="79" s="1"/>
  <c r="U504" i="79"/>
  <c r="C2803" i="79" s="1"/>
  <c r="S1610" i="79"/>
  <c r="K1610" i="79"/>
  <c r="P364" i="79"/>
  <c r="AR253" i="79"/>
  <c r="C2999" i="79" s="1"/>
  <c r="AR252" i="79"/>
  <c r="C2998" i="79" s="1"/>
  <c r="AP405" i="79"/>
  <c r="L364" i="79"/>
  <c r="R318" i="79"/>
  <c r="J313" i="79"/>
  <c r="K282" i="79"/>
  <c r="AR251" i="79"/>
  <c r="C2997" i="79" s="1"/>
  <c r="J241" i="79"/>
  <c r="AL231" i="79"/>
  <c r="AR146" i="79"/>
  <c r="C2911" i="79" s="1"/>
  <c r="U101" i="79"/>
  <c r="C2469" i="79" s="1"/>
  <c r="AR97" i="79"/>
  <c r="C2870" i="79" s="1"/>
  <c r="AR96" i="79"/>
  <c r="C2869" i="79" s="1"/>
  <c r="AR90" i="79"/>
  <c r="C2864" i="79" s="1"/>
  <c r="AR89" i="79"/>
  <c r="C2863" i="79" s="1"/>
  <c r="AR71" i="79"/>
  <c r="C2849" i="79" s="1"/>
  <c r="AR65" i="79"/>
  <c r="C2844" i="79" s="1"/>
  <c r="AR63" i="79"/>
  <c r="C2842" i="79" s="1"/>
  <c r="AR61" i="79"/>
  <c r="C2840" i="79" s="1"/>
  <c r="S1362" i="79"/>
  <c r="N518" i="79"/>
  <c r="AJ1351" i="79"/>
  <c r="AJ1350" i="79"/>
  <c r="AO1349" i="79"/>
  <c r="P1348" i="79"/>
  <c r="AK318" i="79"/>
  <c r="AH1338" i="79"/>
  <c r="AG1334" i="79"/>
  <c r="AM1360" i="79"/>
  <c r="AP1359" i="79"/>
  <c r="O487" i="79"/>
  <c r="AM1352" i="79"/>
  <c r="AM1558" i="79"/>
  <c r="AO1338" i="79"/>
  <c r="AI236" i="79"/>
  <c r="Q318" i="79"/>
  <c r="AR112" i="79"/>
  <c r="C2883" i="79" s="1"/>
  <c r="AR456" i="79"/>
  <c r="C3167" i="79" s="1"/>
  <c r="T1353" i="79"/>
  <c r="AQ436" i="79"/>
  <c r="N1348" i="79"/>
  <c r="AR358" i="79"/>
  <c r="C3087" i="79" s="1"/>
  <c r="U333" i="79"/>
  <c r="C2661" i="79" s="1"/>
  <c r="R1359" i="79"/>
  <c r="O441" i="79"/>
  <c r="AR377" i="79"/>
  <c r="C3102" i="79" s="1"/>
  <c r="AR375" i="79"/>
  <c r="C3100" i="79" s="1"/>
  <c r="U362" i="79"/>
  <c r="C2686" i="79" s="1"/>
  <c r="U342" i="79"/>
  <c r="C2669" i="79" s="1"/>
  <c r="AR336" i="79"/>
  <c r="C3068" i="79" s="1"/>
  <c r="AR335" i="79"/>
  <c r="C3067" i="79" s="1"/>
  <c r="AR333" i="79"/>
  <c r="C3065" i="79" s="1"/>
  <c r="AI323" i="79"/>
  <c r="I1061" i="79"/>
  <c r="U1061" i="79" s="1"/>
  <c r="AN1357" i="79"/>
  <c r="AP1351" i="79"/>
  <c r="AJ482" i="79"/>
  <c r="U398" i="79"/>
  <c r="C2716" i="79" s="1"/>
  <c r="AH400" i="79"/>
  <c r="AO1542" i="79"/>
  <c r="R1340" i="79"/>
  <c r="U269" i="79"/>
  <c r="C2609" i="79" s="1"/>
  <c r="U254" i="79"/>
  <c r="C2596" i="79" s="1"/>
  <c r="U252" i="79"/>
  <c r="C2594" i="79" s="1"/>
  <c r="U250" i="79"/>
  <c r="C2592" i="79" s="1"/>
  <c r="AP1332" i="79"/>
  <c r="U186" i="79"/>
  <c r="C2540" i="79" s="1"/>
  <c r="U178" i="79"/>
  <c r="C2533" i="79" s="1"/>
  <c r="U172" i="79"/>
  <c r="C2528" i="79" s="1"/>
  <c r="AR497" i="79"/>
  <c r="C3201" i="79" s="1"/>
  <c r="AR423" i="79"/>
  <c r="C3140" i="79" s="1"/>
  <c r="AP1584" i="79"/>
  <c r="T400" i="79"/>
  <c r="AK364" i="79"/>
  <c r="M1345" i="79"/>
  <c r="K313" i="79"/>
  <c r="K1542" i="79" s="1"/>
  <c r="AP1610" i="79"/>
  <c r="P1356" i="79"/>
  <c r="AI354" i="79"/>
  <c r="U63" i="79"/>
  <c r="C2438" i="79" s="1"/>
  <c r="Q1334" i="79"/>
  <c r="AN1338" i="79"/>
  <c r="AQ508" i="79"/>
  <c r="AH436" i="79"/>
  <c r="AH1581" i="79" s="1"/>
  <c r="AR507" i="79"/>
  <c r="C3210" i="79" s="1"/>
  <c r="AH482" i="79"/>
  <c r="U418" i="79"/>
  <c r="C2732" i="79" s="1"/>
  <c r="U417" i="79"/>
  <c r="C2731" i="79" s="1"/>
  <c r="U404" i="79"/>
  <c r="C2721" i="79" s="1"/>
  <c r="AI1357" i="79"/>
  <c r="AR480" i="79"/>
  <c r="C3188" i="79" s="1"/>
  <c r="AP1353" i="79"/>
  <c r="U334" i="79"/>
  <c r="C2662" i="79" s="1"/>
  <c r="U332" i="79"/>
  <c r="C2660" i="79" s="1"/>
  <c r="M482" i="79"/>
  <c r="L441" i="79"/>
  <c r="M1359" i="79"/>
  <c r="U392" i="79"/>
  <c r="C2711" i="79" s="1"/>
  <c r="AQ1542" i="79"/>
  <c r="AG313" i="79"/>
  <c r="AR295" i="79"/>
  <c r="C3034" i="79" s="1"/>
  <c r="AR294" i="79"/>
  <c r="C3033" i="79" s="1"/>
  <c r="AR293" i="79"/>
  <c r="C3032" i="79" s="1"/>
  <c r="AR292" i="79"/>
  <c r="C3031" i="79" s="1"/>
  <c r="U234" i="79"/>
  <c r="C2580" i="79" s="1"/>
  <c r="U230" i="79"/>
  <c r="C2577" i="79" s="1"/>
  <c r="U228" i="79"/>
  <c r="C2575" i="79" s="1"/>
  <c r="U226" i="79"/>
  <c r="C2573" i="79" s="1"/>
  <c r="U224" i="79"/>
  <c r="C2571" i="79" s="1"/>
  <c r="AR213" i="79"/>
  <c r="C2966" i="79" s="1"/>
  <c r="AR211" i="79"/>
  <c r="C2964" i="79" s="1"/>
  <c r="U147" i="79"/>
  <c r="C2508" i="79" s="1"/>
  <c r="U145" i="79"/>
  <c r="C2506" i="79" s="1"/>
  <c r="U143" i="79"/>
  <c r="C2504" i="79" s="1"/>
  <c r="AR131" i="79"/>
  <c r="C2898" i="79" s="1"/>
  <c r="AR130" i="79"/>
  <c r="C2897" i="79" s="1"/>
  <c r="AR117" i="79"/>
  <c r="C2887" i="79" s="1"/>
  <c r="M426" i="79"/>
  <c r="AG364" i="79"/>
  <c r="J318" i="79"/>
  <c r="AK313" i="79"/>
  <c r="S282" i="79"/>
  <c r="AR254" i="79"/>
  <c r="C3000" i="79" s="1"/>
  <c r="R241" i="79"/>
  <c r="AR239" i="79"/>
  <c r="C2988" i="79" s="1"/>
  <c r="AR235" i="79"/>
  <c r="C2985" i="79" s="1"/>
  <c r="U90" i="79"/>
  <c r="C2459" i="79" s="1"/>
  <c r="AL501" i="79"/>
  <c r="J487" i="79"/>
  <c r="M1584" i="79"/>
  <c r="AM1333" i="79"/>
  <c r="AK487" i="79"/>
  <c r="U473" i="79"/>
  <c r="C2778" i="79" s="1"/>
  <c r="S400" i="79"/>
  <c r="R1345" i="79"/>
  <c r="AN354" i="79"/>
  <c r="AN1343" i="79"/>
  <c r="L1340" i="79"/>
  <c r="T1340" i="79"/>
  <c r="AR228" i="79"/>
  <c r="C2979" i="79" s="1"/>
  <c r="AR66" i="79"/>
  <c r="C2845" i="79" s="1"/>
  <c r="AR62" i="79"/>
  <c r="C2841" i="79" s="1"/>
  <c r="AP1529" i="79"/>
  <c r="U65" i="79"/>
  <c r="C2440" i="79" s="1"/>
  <c r="AR49" i="79"/>
  <c r="C2830" i="79" s="1"/>
  <c r="AR48" i="79"/>
  <c r="C2829" i="79" s="1"/>
  <c r="AN477" i="79"/>
  <c r="AM365" i="79"/>
  <c r="M1610" i="79"/>
  <c r="K1359" i="79"/>
  <c r="T482" i="79"/>
  <c r="J272" i="79"/>
  <c r="J1529" i="79" s="1"/>
  <c r="U431" i="79"/>
  <c r="C2743" i="79" s="1"/>
  <c r="T1351" i="79"/>
  <c r="N395" i="79"/>
  <c r="N1568" i="79" s="1"/>
  <c r="S364" i="79"/>
  <c r="J359" i="79"/>
  <c r="U253" i="79"/>
  <c r="C2595" i="79" s="1"/>
  <c r="U251" i="79"/>
  <c r="C2593" i="79" s="1"/>
  <c r="AM528" i="79"/>
  <c r="O1349" i="79"/>
  <c r="AR362" i="79"/>
  <c r="C3090" i="79" s="1"/>
  <c r="R1529" i="79"/>
  <c r="AO436" i="79"/>
  <c r="K359" i="79"/>
  <c r="AG354" i="79"/>
  <c r="AH1558" i="79"/>
  <c r="P1340" i="79"/>
  <c r="C24" i="71"/>
  <c r="AI467" i="79"/>
  <c r="T460" i="79"/>
  <c r="AK460" i="79"/>
  <c r="AP460" i="79"/>
  <c r="R255" i="79"/>
  <c r="R283" i="79" s="1"/>
  <c r="N255" i="79"/>
  <c r="AN460" i="79"/>
  <c r="I1048" i="64"/>
  <c r="I1119" i="64" s="1"/>
  <c r="B1266" i="64"/>
  <c r="CO1119" i="64"/>
  <c r="B1262" i="64"/>
  <c r="CO1115" i="64"/>
  <c r="B1042" i="64"/>
  <c r="AG1042" i="64"/>
  <c r="C1042" i="64" s="1"/>
  <c r="C1113" i="64" s="1"/>
  <c r="CA1184" i="64"/>
  <c r="DB1111" i="64"/>
  <c r="DE1111" i="64" s="1"/>
  <c r="CQ1184" i="64" s="1"/>
  <c r="B1024" i="64"/>
  <c r="AG1024" i="64"/>
  <c r="C1024" i="64" s="1"/>
  <c r="C1095" i="64" s="1"/>
  <c r="B1018" i="64"/>
  <c r="AG1018" i="64"/>
  <c r="C1018" i="64" s="1"/>
  <c r="C1089" i="64" s="1"/>
  <c r="G821" i="64"/>
  <c r="C821" i="64"/>
  <c r="Q990" i="64"/>
  <c r="F821" i="64"/>
  <c r="S814" i="64"/>
  <c r="G833" i="64"/>
  <c r="H223" i="64" s="1"/>
  <c r="Q1002" i="64"/>
  <c r="C833" i="64"/>
  <c r="F833" i="64"/>
  <c r="G223" i="64" s="1"/>
  <c r="G191" i="64"/>
  <c r="G187" i="64"/>
  <c r="C825" i="64"/>
  <c r="G825" i="64"/>
  <c r="Q994" i="64"/>
  <c r="F825" i="64"/>
  <c r="Q989" i="64"/>
  <c r="G820" i="64"/>
  <c r="F820" i="64"/>
  <c r="C820" i="64"/>
  <c r="G178" i="64"/>
  <c r="AO467" i="79"/>
  <c r="AG214" i="79"/>
  <c r="I255" i="79"/>
  <c r="AP1274" i="64"/>
  <c r="CC1200" i="64"/>
  <c r="E1048" i="64"/>
  <c r="E1119" i="64" s="1"/>
  <c r="AO1126" i="64"/>
  <c r="BP1053" i="64"/>
  <c r="CA1187" i="64"/>
  <c r="DB1114" i="64"/>
  <c r="DE1114" i="64" s="1"/>
  <c r="CQ1187" i="64" s="1"/>
  <c r="C1258" i="64"/>
  <c r="P1258" i="64" s="1"/>
  <c r="DB1258" i="64"/>
  <c r="B1263" i="64"/>
  <c r="CO1116" i="64"/>
  <c r="DB1057" i="64"/>
  <c r="DE1057" i="64" s="1"/>
  <c r="CQ1130" i="64" s="1"/>
  <c r="CA1130" i="64"/>
  <c r="C818" i="64"/>
  <c r="G818" i="64"/>
  <c r="F818" i="64"/>
  <c r="Q987" i="64"/>
  <c r="Q1013" i="64"/>
  <c r="G844" i="64"/>
  <c r="H233" i="64" s="1"/>
  <c r="C844" i="64"/>
  <c r="F844" i="64"/>
  <c r="G233" i="64" s="1"/>
  <c r="G831" i="64"/>
  <c r="H221" i="64" s="1"/>
  <c r="Q1000" i="64"/>
  <c r="F831" i="64"/>
  <c r="G221" i="64" s="1"/>
  <c r="C831" i="64"/>
  <c r="F829" i="64"/>
  <c r="G219" i="64" s="1"/>
  <c r="C829" i="64"/>
  <c r="Q998" i="64"/>
  <c r="G829" i="64"/>
  <c r="H219" i="64" s="1"/>
  <c r="G179" i="64"/>
  <c r="G175" i="64"/>
  <c r="G836" i="64"/>
  <c r="H226" i="64" s="1"/>
  <c r="C836" i="64"/>
  <c r="Q1005" i="64"/>
  <c r="F836" i="64"/>
  <c r="G226" i="64" s="1"/>
  <c r="G827" i="64"/>
  <c r="H217" i="64" s="1"/>
  <c r="Q996" i="64"/>
  <c r="C827" i="64"/>
  <c r="F827" i="64"/>
  <c r="G217" i="64" s="1"/>
  <c r="AQ441" i="79"/>
  <c r="K1353" i="79"/>
  <c r="J255" i="79"/>
  <c r="Q255" i="79"/>
  <c r="AP1049" i="64"/>
  <c r="L1049" i="64" s="1"/>
  <c r="L1120" i="64" s="1"/>
  <c r="AL1049" i="64"/>
  <c r="H1049" i="64" s="1"/>
  <c r="H1120" i="64" s="1"/>
  <c r="AH1049" i="64"/>
  <c r="D1049" i="64" s="1"/>
  <c r="D1120" i="64" s="1"/>
  <c r="AO1049" i="64"/>
  <c r="K1049" i="64" s="1"/>
  <c r="K1120" i="64" s="1"/>
  <c r="AK1049" i="64"/>
  <c r="G1049" i="64" s="1"/>
  <c r="G1120" i="64" s="1"/>
  <c r="AG1049" i="64"/>
  <c r="C1049" i="64" s="1"/>
  <c r="C1120" i="64" s="1"/>
  <c r="AN1049" i="64"/>
  <c r="J1049" i="64" s="1"/>
  <c r="J1120" i="64" s="1"/>
  <c r="AM1049" i="64"/>
  <c r="I1049" i="64" s="1"/>
  <c r="I1120" i="64" s="1"/>
  <c r="AR1049" i="64"/>
  <c r="N1049" i="64" s="1"/>
  <c r="N1120" i="64" s="1"/>
  <c r="AJ1049" i="64"/>
  <c r="F1049" i="64" s="1"/>
  <c r="F1120" i="64" s="1"/>
  <c r="B1049" i="64"/>
  <c r="AQ1049" i="64"/>
  <c r="M1049" i="64" s="1"/>
  <c r="M1120" i="64" s="1"/>
  <c r="AI1049" i="64"/>
  <c r="E1049" i="64" s="1"/>
  <c r="E1120" i="64" s="1"/>
  <c r="C1261" i="64"/>
  <c r="P1261" i="64" s="1"/>
  <c r="DB1261" i="64"/>
  <c r="CA1183" i="64"/>
  <c r="DB1110" i="64"/>
  <c r="DE1110" i="64" s="1"/>
  <c r="CQ1183" i="64" s="1"/>
  <c r="AO1046" i="64"/>
  <c r="K1046" i="64" s="1"/>
  <c r="K1117" i="64" s="1"/>
  <c r="AK1046" i="64"/>
  <c r="G1046" i="64" s="1"/>
  <c r="G1117" i="64" s="1"/>
  <c r="AG1046" i="64"/>
  <c r="C1046" i="64" s="1"/>
  <c r="C1117" i="64" s="1"/>
  <c r="AR1046" i="64"/>
  <c r="N1046" i="64" s="1"/>
  <c r="N1117" i="64" s="1"/>
  <c r="AN1046" i="64"/>
  <c r="J1046" i="64" s="1"/>
  <c r="J1117" i="64" s="1"/>
  <c r="AJ1046" i="64"/>
  <c r="F1046" i="64" s="1"/>
  <c r="F1117" i="64" s="1"/>
  <c r="B1046" i="64"/>
  <c r="AP1046" i="64"/>
  <c r="L1046" i="64" s="1"/>
  <c r="L1117" i="64" s="1"/>
  <c r="AH1046" i="64"/>
  <c r="D1046" i="64" s="1"/>
  <c r="D1117" i="64" s="1"/>
  <c r="AM1046" i="64"/>
  <c r="I1046" i="64" s="1"/>
  <c r="I1117" i="64" s="1"/>
  <c r="AL1046" i="64"/>
  <c r="H1046" i="64" s="1"/>
  <c r="H1117" i="64" s="1"/>
  <c r="AQ1046" i="64"/>
  <c r="M1046" i="64" s="1"/>
  <c r="M1117" i="64" s="1"/>
  <c r="AI1046" i="64"/>
  <c r="E1046" i="64" s="1"/>
  <c r="E1117" i="64" s="1"/>
  <c r="B1259" i="64"/>
  <c r="CO1112" i="64"/>
  <c r="CA1152" i="64"/>
  <c r="DB1079" i="64"/>
  <c r="DE1079" i="64" s="1"/>
  <c r="CQ1152" i="64" s="1"/>
  <c r="DB1064" i="64"/>
  <c r="DE1064" i="64" s="1"/>
  <c r="CQ1137" i="64" s="1"/>
  <c r="CA1137" i="64"/>
  <c r="DB1204" i="64"/>
  <c r="L1204" i="64"/>
  <c r="Y1204" i="64" s="1"/>
  <c r="H1204" i="64"/>
  <c r="U1204" i="64" s="1"/>
  <c r="D1204" i="64"/>
  <c r="Q1204" i="64" s="1"/>
  <c r="K1204" i="64"/>
  <c r="X1204" i="64" s="1"/>
  <c r="G1204" i="64"/>
  <c r="T1204" i="64" s="1"/>
  <c r="C1204" i="64"/>
  <c r="P1204" i="64" s="1"/>
  <c r="I1204" i="64"/>
  <c r="V1204" i="64" s="1"/>
  <c r="M1204" i="64"/>
  <c r="Z1204" i="64" s="1"/>
  <c r="E1204" i="64"/>
  <c r="R1204" i="64" s="1"/>
  <c r="J1204" i="64"/>
  <c r="W1204" i="64" s="1"/>
  <c r="N1204" i="64"/>
  <c r="AA1204" i="64" s="1"/>
  <c r="F1204" i="64"/>
  <c r="S1204" i="64" s="1"/>
  <c r="G840" i="64"/>
  <c r="C840" i="64"/>
  <c r="Q1009" i="64"/>
  <c r="F840" i="64"/>
  <c r="S743" i="64"/>
  <c r="G832" i="64"/>
  <c r="H222" i="64" s="1"/>
  <c r="C832" i="64"/>
  <c r="Q1001" i="64"/>
  <c r="F832" i="64"/>
  <c r="G222" i="64" s="1"/>
  <c r="G815" i="64"/>
  <c r="F815" i="64"/>
  <c r="Q984" i="64"/>
  <c r="C815" i="64"/>
  <c r="AG467" i="79"/>
  <c r="AH378" i="79"/>
  <c r="N460" i="79"/>
  <c r="S460" i="79"/>
  <c r="AG460" i="79"/>
  <c r="AO214" i="79"/>
  <c r="AO242" i="79" s="1"/>
  <c r="M255" i="79"/>
  <c r="C1257" i="64"/>
  <c r="P1257" i="64" s="1"/>
  <c r="DB1257" i="64"/>
  <c r="B1038" i="64"/>
  <c r="AG1038" i="64"/>
  <c r="C1038" i="64" s="1"/>
  <c r="C1109" i="64" s="1"/>
  <c r="DB1226" i="64"/>
  <c r="N1226" i="64"/>
  <c r="AA1226" i="64" s="1"/>
  <c r="J1226" i="64"/>
  <c r="W1226" i="64" s="1"/>
  <c r="F1226" i="64"/>
  <c r="S1226" i="64" s="1"/>
  <c r="M1226" i="64"/>
  <c r="Z1226" i="64" s="1"/>
  <c r="I1226" i="64"/>
  <c r="V1226" i="64" s="1"/>
  <c r="E1226" i="64"/>
  <c r="R1226" i="64" s="1"/>
  <c r="L1226" i="64"/>
  <c r="Y1226" i="64" s="1"/>
  <c r="H1226" i="64"/>
  <c r="U1226" i="64" s="1"/>
  <c r="D1226" i="64"/>
  <c r="Q1226" i="64" s="1"/>
  <c r="K1226" i="64"/>
  <c r="X1226" i="64" s="1"/>
  <c r="G1226" i="64"/>
  <c r="T1226" i="64" s="1"/>
  <c r="C1226" i="64"/>
  <c r="P1226" i="64" s="1"/>
  <c r="DB1211" i="64"/>
  <c r="L1211" i="64"/>
  <c r="Y1211" i="64" s="1"/>
  <c r="H1211" i="64"/>
  <c r="U1211" i="64" s="1"/>
  <c r="D1211" i="64"/>
  <c r="Q1211" i="64" s="1"/>
  <c r="K1211" i="64"/>
  <c r="X1211" i="64" s="1"/>
  <c r="G1211" i="64"/>
  <c r="T1211" i="64" s="1"/>
  <c r="C1211" i="64"/>
  <c r="P1211" i="64" s="1"/>
  <c r="I1211" i="64"/>
  <c r="V1211" i="64" s="1"/>
  <c r="M1211" i="64"/>
  <c r="Z1211" i="64" s="1"/>
  <c r="E1211" i="64"/>
  <c r="R1211" i="64" s="1"/>
  <c r="J1211" i="64"/>
  <c r="W1211" i="64" s="1"/>
  <c r="N1211" i="64"/>
  <c r="AA1211" i="64" s="1"/>
  <c r="F1211" i="64"/>
  <c r="S1211" i="64" s="1"/>
  <c r="AG1037" i="64"/>
  <c r="C1037" i="64" s="1"/>
  <c r="C1108" i="64" s="1"/>
  <c r="B1037" i="64"/>
  <c r="Q847" i="64"/>
  <c r="R236" i="64" s="1"/>
  <c r="M847" i="64"/>
  <c r="N236" i="64" s="1"/>
  <c r="I847" i="64"/>
  <c r="J236" i="64" s="1"/>
  <c r="Q1016" i="64"/>
  <c r="O847" i="64"/>
  <c r="P236" i="64" s="1"/>
  <c r="K847" i="64"/>
  <c r="L236" i="64" s="1"/>
  <c r="G847" i="64"/>
  <c r="H236" i="64" s="1"/>
  <c r="N847" i="64"/>
  <c r="O236" i="64" s="1"/>
  <c r="F847" i="64"/>
  <c r="G236" i="64" s="1"/>
  <c r="L847" i="64"/>
  <c r="M236" i="64" s="1"/>
  <c r="C847" i="64"/>
  <c r="P847" i="64"/>
  <c r="Q236" i="64" s="1"/>
  <c r="H847" i="64"/>
  <c r="I236" i="64" s="1"/>
  <c r="J847" i="64"/>
  <c r="K236" i="64" s="1"/>
  <c r="G841" i="64"/>
  <c r="H230" i="64" s="1"/>
  <c r="Q1010" i="64"/>
  <c r="C841" i="64"/>
  <c r="F841" i="64"/>
  <c r="G230" i="64" s="1"/>
  <c r="G845" i="64"/>
  <c r="H234" i="64" s="1"/>
  <c r="Q1014" i="64"/>
  <c r="C845" i="64"/>
  <c r="F845" i="64"/>
  <c r="G234" i="64" s="1"/>
  <c r="G828" i="64"/>
  <c r="H218" i="64" s="1"/>
  <c r="F828" i="64"/>
  <c r="G218" i="64" s="1"/>
  <c r="Q997" i="64"/>
  <c r="C828" i="64"/>
  <c r="F819" i="64"/>
  <c r="C819" i="64"/>
  <c r="Q988" i="64"/>
  <c r="G819" i="64"/>
  <c r="N822" i="64"/>
  <c r="J822" i="64"/>
  <c r="F822" i="64"/>
  <c r="Q822" i="64"/>
  <c r="L822" i="64"/>
  <c r="G822" i="64"/>
  <c r="P822" i="64"/>
  <c r="K822" i="64"/>
  <c r="Q991" i="64"/>
  <c r="M822" i="64"/>
  <c r="H822" i="64"/>
  <c r="O822" i="64"/>
  <c r="I822" i="64"/>
  <c r="C822" i="64"/>
  <c r="Q1031" i="64"/>
  <c r="AF1031" i="64" s="1"/>
  <c r="C862" i="64"/>
  <c r="AF983" i="64"/>
  <c r="R983" i="64"/>
  <c r="G190" i="64"/>
  <c r="G186" i="64"/>
  <c r="AJ1362" i="79"/>
  <c r="AJ528" i="79"/>
  <c r="AL460" i="79"/>
  <c r="AJ1353" i="79"/>
  <c r="AJ441" i="79"/>
  <c r="AJ1352" i="79"/>
  <c r="AJ436" i="79"/>
  <c r="M1571" i="79"/>
  <c r="M1347" i="79"/>
  <c r="M385" i="79"/>
  <c r="AJ1346" i="79"/>
  <c r="AJ364" i="79"/>
  <c r="AG528" i="79"/>
  <c r="U499" i="79"/>
  <c r="C2799" i="79" s="1"/>
  <c r="AL1357" i="79"/>
  <c r="AL482" i="79"/>
  <c r="AO1357" i="79"/>
  <c r="AO482" i="79"/>
  <c r="AH1353" i="79"/>
  <c r="I1362" i="79"/>
  <c r="I528" i="79"/>
  <c r="U525" i="79"/>
  <c r="C2821" i="79" s="1"/>
  <c r="N1362" i="79"/>
  <c r="N528" i="79"/>
  <c r="U515" i="79"/>
  <c r="C2813" i="79" s="1"/>
  <c r="N508" i="79"/>
  <c r="AN1610" i="79"/>
  <c r="AN1359" i="79"/>
  <c r="AN508" i="79"/>
  <c r="Q1610" i="79"/>
  <c r="Q1359" i="79"/>
  <c r="Q508" i="79"/>
  <c r="L1610" i="79"/>
  <c r="L1359" i="79"/>
  <c r="L508" i="79"/>
  <c r="R1357" i="79"/>
  <c r="R482" i="79"/>
  <c r="AR471" i="79"/>
  <c r="C3180" i="79" s="1"/>
  <c r="AR439" i="79"/>
  <c r="C3154" i="79" s="1"/>
  <c r="P1353" i="79"/>
  <c r="P441" i="79"/>
  <c r="J1353" i="79"/>
  <c r="J441" i="79"/>
  <c r="AG436" i="79"/>
  <c r="AG1581" i="79" s="1"/>
  <c r="U435" i="79"/>
  <c r="C2747" i="79" s="1"/>
  <c r="AG1352" i="79"/>
  <c r="U422" i="79"/>
  <c r="C2735" i="79" s="1"/>
  <c r="S1584" i="79"/>
  <c r="S1351" i="79"/>
  <c r="S426" i="79"/>
  <c r="AR416" i="79"/>
  <c r="C3134" i="79" s="1"/>
  <c r="U415" i="79"/>
  <c r="C2729" i="79" s="1"/>
  <c r="AH419" i="79"/>
  <c r="P419" i="79"/>
  <c r="R1349" i="79"/>
  <c r="AR391" i="79"/>
  <c r="C3114" i="79" s="1"/>
  <c r="U388" i="79"/>
  <c r="C2707" i="79" s="1"/>
  <c r="S1348" i="79"/>
  <c r="AK378" i="79"/>
  <c r="AO1346" i="79"/>
  <c r="I1346" i="79"/>
  <c r="I364" i="79"/>
  <c r="U361" i="79"/>
  <c r="C2685" i="79" s="1"/>
  <c r="J1345" i="79"/>
  <c r="AR341" i="79"/>
  <c r="C3072" i="79" s="1"/>
  <c r="AQ1558" i="79"/>
  <c r="AQ1343" i="79"/>
  <c r="AQ344" i="79"/>
  <c r="AK1558" i="79"/>
  <c r="AK1343" i="79"/>
  <c r="AK344" i="79"/>
  <c r="AL337" i="79"/>
  <c r="K1360" i="79"/>
  <c r="K518" i="79"/>
  <c r="N1359" i="79"/>
  <c r="AH501" i="79"/>
  <c r="AM501" i="79"/>
  <c r="AH1358" i="79"/>
  <c r="AH487" i="79"/>
  <c r="I1357" i="79"/>
  <c r="I482" i="79"/>
  <c r="U479" i="79"/>
  <c r="C2783" i="79" s="1"/>
  <c r="O1357" i="79"/>
  <c r="O482" i="79"/>
  <c r="AN1584" i="79"/>
  <c r="AN1351" i="79"/>
  <c r="AN426" i="79"/>
  <c r="Q1584" i="79"/>
  <c r="Q1351" i="79"/>
  <c r="Q426" i="79"/>
  <c r="J1584" i="79"/>
  <c r="J1351" i="79"/>
  <c r="J426" i="79"/>
  <c r="AQ1350" i="79"/>
  <c r="AQ405" i="79"/>
  <c r="AK1350" i="79"/>
  <c r="AK405" i="79"/>
  <c r="AR398" i="79"/>
  <c r="C3120" i="79" s="1"/>
  <c r="AP1349" i="79"/>
  <c r="AP400" i="79"/>
  <c r="AM1349" i="79"/>
  <c r="AM400" i="79"/>
  <c r="AR376" i="79"/>
  <c r="C3101" i="79" s="1"/>
  <c r="AR374" i="79"/>
  <c r="C3099" i="79" s="1"/>
  <c r="AO378" i="79"/>
  <c r="AN378" i="79"/>
  <c r="M378" i="79"/>
  <c r="U363" i="79"/>
  <c r="C2687" i="79" s="1"/>
  <c r="M1346" i="79"/>
  <c r="M364" i="79"/>
  <c r="U357" i="79"/>
  <c r="C2682" i="79" s="1"/>
  <c r="S1345" i="79"/>
  <c r="S359" i="79"/>
  <c r="P1345" i="79"/>
  <c r="P359" i="79"/>
  <c r="AH1344" i="79"/>
  <c r="AH354" i="79"/>
  <c r="AR334" i="79"/>
  <c r="C3066" i="79" s="1"/>
  <c r="AG337" i="79"/>
  <c r="AR332" i="79"/>
  <c r="C3064" i="79" s="1"/>
  <c r="Q1360" i="79"/>
  <c r="Q518" i="79"/>
  <c r="L1360" i="79"/>
  <c r="L518" i="79"/>
  <c r="AR505" i="79"/>
  <c r="C3208" i="79" s="1"/>
  <c r="AJ1359" i="79"/>
  <c r="AN1358" i="79"/>
  <c r="AN487" i="79"/>
  <c r="AI1358" i="79"/>
  <c r="AI487" i="79"/>
  <c r="K487" i="79"/>
  <c r="AM482" i="79"/>
  <c r="T441" i="79"/>
  <c r="AO1352" i="79"/>
  <c r="AK426" i="79"/>
  <c r="AF419" i="79"/>
  <c r="AR414" i="79"/>
  <c r="C3132" i="79" s="1"/>
  <c r="AK419" i="79"/>
  <c r="AR526" i="79"/>
  <c r="C3226" i="79" s="1"/>
  <c r="K1362" i="79"/>
  <c r="AG1360" i="79"/>
  <c r="AG518" i="79"/>
  <c r="AK1360" i="79"/>
  <c r="AK518" i="79"/>
  <c r="AL1360" i="79"/>
  <c r="AL518" i="79"/>
  <c r="Q501" i="79"/>
  <c r="N501" i="79"/>
  <c r="T501" i="79"/>
  <c r="Q1356" i="79"/>
  <c r="Q477" i="79"/>
  <c r="M1356" i="79"/>
  <c r="M477" i="79"/>
  <c r="S1356" i="79"/>
  <c r="S477" i="79"/>
  <c r="R1597" i="79"/>
  <c r="R1355" i="79"/>
  <c r="R467" i="79"/>
  <c r="J1597" i="79"/>
  <c r="J1355" i="79"/>
  <c r="J467" i="79"/>
  <c r="S1597" i="79"/>
  <c r="S1355" i="79"/>
  <c r="S467" i="79"/>
  <c r="O1354" i="79"/>
  <c r="O446" i="79"/>
  <c r="AI1350" i="79"/>
  <c r="AR389" i="79"/>
  <c r="C3112" i="79" s="1"/>
  <c r="AM1571" i="79"/>
  <c r="AM1347" i="79"/>
  <c r="AM385" i="79"/>
  <c r="AI1344" i="79"/>
  <c r="AH1343" i="79"/>
  <c r="O1558" i="79"/>
  <c r="O1343" i="79"/>
  <c r="O344" i="79"/>
  <c r="AM1342" i="79"/>
  <c r="AM323" i="79"/>
  <c r="U317" i="79"/>
  <c r="C2649" i="79" s="1"/>
  <c r="I1341" i="79"/>
  <c r="U315" i="79"/>
  <c r="C2647" i="79" s="1"/>
  <c r="I318" i="79"/>
  <c r="U311" i="79"/>
  <c r="C2644" i="79" s="1"/>
  <c r="U309" i="79"/>
  <c r="C2642" i="79" s="1"/>
  <c r="U307" i="79"/>
  <c r="C2640" i="79" s="1"/>
  <c r="I1340" i="79"/>
  <c r="I313" i="79"/>
  <c r="U305" i="79"/>
  <c r="C2638" i="79" s="1"/>
  <c r="U302" i="79"/>
  <c r="C2636" i="79" s="1"/>
  <c r="U301" i="79"/>
  <c r="C2635" i="79" s="1"/>
  <c r="U300" i="79"/>
  <c r="C2634" i="79" s="1"/>
  <c r="U299" i="79"/>
  <c r="C2633" i="79" s="1"/>
  <c r="I1545" i="79"/>
  <c r="I1339" i="79"/>
  <c r="I303" i="79"/>
  <c r="U298" i="79"/>
  <c r="C2632" i="79" s="1"/>
  <c r="U295" i="79"/>
  <c r="C2630" i="79" s="1"/>
  <c r="U294" i="79"/>
  <c r="C2629" i="79" s="1"/>
  <c r="U293" i="79"/>
  <c r="C2628" i="79" s="1"/>
  <c r="U292" i="79"/>
  <c r="C2627" i="79" s="1"/>
  <c r="U291" i="79"/>
  <c r="C2626" i="79" s="1"/>
  <c r="I296" i="79"/>
  <c r="AR281" i="79"/>
  <c r="C3023" i="79" s="1"/>
  <c r="AF1338" i="79"/>
  <c r="AR279" i="79"/>
  <c r="C3021" i="79" s="1"/>
  <c r="AF282" i="79"/>
  <c r="P1337" i="79"/>
  <c r="P277" i="79"/>
  <c r="P1336" i="79"/>
  <c r="P272" i="79"/>
  <c r="P1532" i="79"/>
  <c r="P1335" i="79"/>
  <c r="P262" i="79"/>
  <c r="L255" i="79"/>
  <c r="AM1334" i="79"/>
  <c r="AM241" i="79"/>
  <c r="AP236" i="79"/>
  <c r="AG1333" i="79"/>
  <c r="AG236" i="79"/>
  <c r="AG1332" i="79"/>
  <c r="AG231" i="79"/>
  <c r="AR220" i="79"/>
  <c r="C2972" i="79" s="1"/>
  <c r="AR219" i="79"/>
  <c r="C2971" i="79" s="1"/>
  <c r="AR218" i="79"/>
  <c r="C2970" i="79" s="1"/>
  <c r="AR217" i="79"/>
  <c r="C2969" i="79" s="1"/>
  <c r="AF1519" i="79"/>
  <c r="AF1331" i="79"/>
  <c r="AF221" i="79"/>
  <c r="AR216" i="79"/>
  <c r="C2968" i="79" s="1"/>
  <c r="AR194" i="79"/>
  <c r="C2951" i="79" s="1"/>
  <c r="U153" i="79"/>
  <c r="C2513" i="79" s="1"/>
  <c r="U138" i="79"/>
  <c r="C2500" i="79" s="1"/>
  <c r="U137" i="79"/>
  <c r="C2499" i="79" s="1"/>
  <c r="U131" i="79"/>
  <c r="C2494" i="79" s="1"/>
  <c r="U130" i="79"/>
  <c r="C2493" i="79" s="1"/>
  <c r="AJ1361" i="79"/>
  <c r="AJ523" i="79"/>
  <c r="AM1361" i="79"/>
  <c r="AM523" i="79"/>
  <c r="U514" i="79"/>
  <c r="C2812" i="79" s="1"/>
  <c r="N1360" i="79"/>
  <c r="R1610" i="79"/>
  <c r="AF501" i="79"/>
  <c r="AR472" i="79"/>
  <c r="C3181" i="79" s="1"/>
  <c r="AN1356" i="79"/>
  <c r="J1354" i="79"/>
  <c r="J446" i="79"/>
  <c r="N1354" i="79"/>
  <c r="N446" i="79"/>
  <c r="P1354" i="79"/>
  <c r="P446" i="79"/>
  <c r="U423" i="79"/>
  <c r="C2736" i="79" s="1"/>
  <c r="J400" i="79"/>
  <c r="T395" i="79"/>
  <c r="AR384" i="79"/>
  <c r="C3108" i="79" s="1"/>
  <c r="U352" i="79"/>
  <c r="C2678" i="79" s="1"/>
  <c r="AR342" i="79"/>
  <c r="C3073" i="79" s="1"/>
  <c r="AN1558" i="79"/>
  <c r="AR322" i="79"/>
  <c r="C3057" i="79" s="1"/>
  <c r="R1342" i="79"/>
  <c r="R323" i="79"/>
  <c r="AH1341" i="79"/>
  <c r="AH318" i="79"/>
  <c r="L1341" i="79"/>
  <c r="T313" i="79"/>
  <c r="T1542" i="79" s="1"/>
  <c r="AR306" i="79"/>
  <c r="C3043" i="79" s="1"/>
  <c r="AP1340" i="79"/>
  <c r="AP313" i="79"/>
  <c r="AO1545" i="79"/>
  <c r="AO1339" i="79"/>
  <c r="AO303" i="79"/>
  <c r="T296" i="79"/>
  <c r="AI1338" i="79"/>
  <c r="U275" i="79"/>
  <c r="C2614" i="79" s="1"/>
  <c r="S1337" i="79"/>
  <c r="S277" i="79"/>
  <c r="U265" i="79"/>
  <c r="C2605" i="79" s="1"/>
  <c r="S1336" i="79"/>
  <c r="S272" i="79"/>
  <c r="AJ1532" i="79"/>
  <c r="AJ1335" i="79"/>
  <c r="AJ262" i="79"/>
  <c r="K1532" i="79"/>
  <c r="K1335" i="79"/>
  <c r="K262" i="79"/>
  <c r="S255" i="79"/>
  <c r="AH1334" i="79"/>
  <c r="AH241" i="79"/>
  <c r="R1333" i="79"/>
  <c r="R236" i="79"/>
  <c r="AM231" i="79"/>
  <c r="AM1516" i="79" s="1"/>
  <c r="AR227" i="79"/>
  <c r="C2978" i="79" s="1"/>
  <c r="AN1332" i="79"/>
  <c r="AN231" i="79"/>
  <c r="N1332" i="79"/>
  <c r="N231" i="79"/>
  <c r="U179" i="79"/>
  <c r="C2534" i="79" s="1"/>
  <c r="U171" i="79"/>
  <c r="C2527" i="79" s="1"/>
  <c r="AR142" i="79"/>
  <c r="C2907" i="79" s="1"/>
  <c r="U105" i="79"/>
  <c r="C2473" i="79" s="1"/>
  <c r="I1038" i="79"/>
  <c r="U1038" i="79" s="1"/>
  <c r="AH528" i="79"/>
  <c r="AH508" i="79"/>
  <c r="AR498" i="79"/>
  <c r="C3202" i="79" s="1"/>
  <c r="AI1356" i="79"/>
  <c r="AI477" i="79"/>
  <c r="AL1356" i="79"/>
  <c r="AL477" i="79"/>
  <c r="AK1356" i="79"/>
  <c r="AK477" i="79"/>
  <c r="AN1354" i="79"/>
  <c r="AN446" i="79"/>
  <c r="L1352" i="79"/>
  <c r="L436" i="79"/>
  <c r="O1352" i="79"/>
  <c r="O436" i="79"/>
  <c r="N1352" i="79"/>
  <c r="N436" i="79"/>
  <c r="I1350" i="79"/>
  <c r="I405" i="79"/>
  <c r="U402" i="79"/>
  <c r="C2719" i="79" s="1"/>
  <c r="R1350" i="79"/>
  <c r="R405" i="79"/>
  <c r="Q400" i="79"/>
  <c r="AR390" i="79"/>
  <c r="C3113" i="79" s="1"/>
  <c r="AL1348" i="79"/>
  <c r="AL395" i="79"/>
  <c r="AM1348" i="79"/>
  <c r="AM395" i="79"/>
  <c r="K1348" i="79"/>
  <c r="AI1345" i="79"/>
  <c r="AI359" i="79"/>
  <c r="AH1345" i="79"/>
  <c r="AH359" i="79"/>
  <c r="J1344" i="79"/>
  <c r="J354" i="79"/>
  <c r="AM1343" i="79"/>
  <c r="AI1342" i="79"/>
  <c r="O1342" i="79"/>
  <c r="O323" i="79"/>
  <c r="T1342" i="79"/>
  <c r="T323" i="79"/>
  <c r="AG318" i="79"/>
  <c r="U308" i="79"/>
  <c r="C2641" i="79" s="1"/>
  <c r="AG1340" i="79"/>
  <c r="O1340" i="79"/>
  <c r="AR301" i="79"/>
  <c r="C3039" i="79" s="1"/>
  <c r="AJ1545" i="79"/>
  <c r="AJ1339" i="79"/>
  <c r="AJ303" i="79"/>
  <c r="AP296" i="79"/>
  <c r="O296" i="79"/>
  <c r="AR276" i="79"/>
  <c r="C3019" i="79" s="1"/>
  <c r="N272" i="79"/>
  <c r="AR270" i="79"/>
  <c r="C3014" i="79" s="1"/>
  <c r="AJ1336" i="79"/>
  <c r="AJ272" i="79"/>
  <c r="N1336" i="79"/>
  <c r="U235" i="79"/>
  <c r="C2581" i="79" s="1"/>
  <c r="Q1333" i="79"/>
  <c r="Q236" i="79"/>
  <c r="U227" i="79"/>
  <c r="C2574" i="79" s="1"/>
  <c r="AI1332" i="79"/>
  <c r="I1332" i="79"/>
  <c r="I231" i="79"/>
  <c r="U223" i="79"/>
  <c r="C2570" i="79" s="1"/>
  <c r="AR199" i="79"/>
  <c r="C2955" i="79" s="1"/>
  <c r="AR187" i="79"/>
  <c r="C2945" i="79" s="1"/>
  <c r="U146" i="79"/>
  <c r="C2507" i="79" s="1"/>
  <c r="K1361" i="79"/>
  <c r="K523" i="79"/>
  <c r="R1361" i="79"/>
  <c r="R523" i="79"/>
  <c r="AR514" i="79"/>
  <c r="C3216" i="79" s="1"/>
  <c r="T487" i="79"/>
  <c r="Q1597" i="79"/>
  <c r="AF1354" i="79"/>
  <c r="AR443" i="79"/>
  <c r="C3157" i="79" s="1"/>
  <c r="AF446" i="79"/>
  <c r="AQ1354" i="79"/>
  <c r="AQ446" i="79"/>
  <c r="AH1354" i="79"/>
  <c r="AH446" i="79"/>
  <c r="AR431" i="79"/>
  <c r="C3147" i="79" s="1"/>
  <c r="AR404" i="79"/>
  <c r="C3125" i="79" s="1"/>
  <c r="O395" i="79"/>
  <c r="O1568" i="79" s="1"/>
  <c r="T1348" i="79"/>
  <c r="AI1571" i="79"/>
  <c r="AI1347" i="79"/>
  <c r="AI385" i="79"/>
  <c r="AH1571" i="79"/>
  <c r="AH1347" i="79"/>
  <c r="AH385" i="79"/>
  <c r="O406" i="79"/>
  <c r="AI364" i="79"/>
  <c r="U347" i="79"/>
  <c r="C2673" i="79" s="1"/>
  <c r="AJ354" i="79"/>
  <c r="I1344" i="79"/>
  <c r="I354" i="79"/>
  <c r="U346" i="79"/>
  <c r="C2672" i="79" s="1"/>
  <c r="R1344" i="79"/>
  <c r="R354" i="79"/>
  <c r="R1555" i="79" s="1"/>
  <c r="AI1558" i="79"/>
  <c r="Q1558" i="79"/>
  <c r="Q1343" i="79"/>
  <c r="Q344" i="79"/>
  <c r="P1558" i="79"/>
  <c r="P1343" i="79"/>
  <c r="P344" i="79"/>
  <c r="AK1342" i="79"/>
  <c r="AK323" i="79"/>
  <c r="AP1342" i="79"/>
  <c r="AP323" i="79"/>
  <c r="AJ1341" i="79"/>
  <c r="AJ318" i="79"/>
  <c r="J1340" i="79"/>
  <c r="AG296" i="79"/>
  <c r="AG1338" i="79"/>
  <c r="AI1337" i="79"/>
  <c r="AI277" i="79"/>
  <c r="AI1336" i="79"/>
  <c r="AI272" i="79"/>
  <c r="U260" i="79"/>
  <c r="C2601" i="79" s="1"/>
  <c r="AR240" i="79"/>
  <c r="C2989" i="79" s="1"/>
  <c r="AN1334" i="79"/>
  <c r="AN241" i="79"/>
  <c r="P1333" i="79"/>
  <c r="P236" i="79"/>
  <c r="AR230" i="79"/>
  <c r="C2981" i="79" s="1"/>
  <c r="AR226" i="79"/>
  <c r="C2977" i="79" s="1"/>
  <c r="U199" i="79"/>
  <c r="C2551" i="79" s="1"/>
  <c r="AR176" i="79"/>
  <c r="C2935" i="79" s="1"/>
  <c r="U102" i="79"/>
  <c r="C2470" i="79" s="1"/>
  <c r="AR64" i="79"/>
  <c r="C2843" i="79" s="1"/>
  <c r="AR60" i="79"/>
  <c r="C2839" i="79" s="1"/>
  <c r="T283" i="79"/>
  <c r="U76" i="79"/>
  <c r="C2449" i="79" s="1"/>
  <c r="Q313" i="79"/>
  <c r="U71" i="79"/>
  <c r="C2445" i="79" s="1"/>
  <c r="U66" i="79"/>
  <c r="C2441" i="79" s="1"/>
  <c r="U62" i="79"/>
  <c r="C2437" i="79" s="1"/>
  <c r="M501" i="79"/>
  <c r="AL282" i="79"/>
  <c r="AR102" i="79"/>
  <c r="C2874" i="79" s="1"/>
  <c r="U49" i="79"/>
  <c r="C2426" i="79" s="1"/>
  <c r="AR104" i="79"/>
  <c r="C2876" i="79" s="1"/>
  <c r="U60" i="79"/>
  <c r="C2435" i="79" s="1"/>
  <c r="AR56" i="79"/>
  <c r="C2836" i="79" s="1"/>
  <c r="U56" i="79"/>
  <c r="C2432" i="79" s="1"/>
  <c r="AR55" i="79"/>
  <c r="C2835" i="79" s="1"/>
  <c r="U55" i="79"/>
  <c r="C2431" i="79" s="1"/>
  <c r="G340" i="40"/>
  <c r="G332" i="40"/>
  <c r="G370" i="40"/>
  <c r="G362" i="40"/>
  <c r="G343" i="40"/>
  <c r="G335" i="40"/>
  <c r="G365" i="40"/>
  <c r="G368" i="40"/>
  <c r="AF1362" i="79"/>
  <c r="AR525" i="79"/>
  <c r="C3225" i="79" s="1"/>
  <c r="AF528" i="79"/>
  <c r="AR517" i="79"/>
  <c r="C3219" i="79" s="1"/>
  <c r="AR513" i="79"/>
  <c r="C3215" i="79" s="1"/>
  <c r="U486" i="79"/>
  <c r="C2789" i="79" s="1"/>
  <c r="U480" i="79"/>
  <c r="C2784" i="79" s="1"/>
  <c r="U474" i="79"/>
  <c r="C2779" i="79" s="1"/>
  <c r="U470" i="79"/>
  <c r="C2775" i="79" s="1"/>
  <c r="AR465" i="79"/>
  <c r="C3175" i="79" s="1"/>
  <c r="AR463" i="79"/>
  <c r="C3173" i="79" s="1"/>
  <c r="AH460" i="79"/>
  <c r="AR444" i="79"/>
  <c r="C3158" i="79" s="1"/>
  <c r="AF1353" i="79"/>
  <c r="AR438" i="79"/>
  <c r="C3153" i="79" s="1"/>
  <c r="AF441" i="79"/>
  <c r="AR432" i="79"/>
  <c r="C3148" i="79" s="1"/>
  <c r="AF1352" i="79"/>
  <c r="AR428" i="79"/>
  <c r="C3144" i="79" s="1"/>
  <c r="AF436" i="79"/>
  <c r="U399" i="79"/>
  <c r="C2717" i="79" s="1"/>
  <c r="U393" i="79"/>
  <c r="C2712" i="79" s="1"/>
  <c r="U389" i="79"/>
  <c r="C2708" i="79" s="1"/>
  <c r="U384" i="79"/>
  <c r="C2704" i="79" s="1"/>
  <c r="U382" i="79"/>
  <c r="C2702" i="79" s="1"/>
  <c r="I1571" i="79"/>
  <c r="I1347" i="79"/>
  <c r="I385" i="79"/>
  <c r="U380" i="79"/>
  <c r="C2700" i="79" s="1"/>
  <c r="AF1346" i="79"/>
  <c r="AR361" i="79"/>
  <c r="C3089" i="79" s="1"/>
  <c r="AF364" i="79"/>
  <c r="AR353" i="79"/>
  <c r="C3083" i="79" s="1"/>
  <c r="AR349" i="79"/>
  <c r="C3079" i="79" s="1"/>
  <c r="I1084" i="79"/>
  <c r="U1084" i="79" s="1"/>
  <c r="I900" i="79"/>
  <c r="U900" i="79" s="1"/>
  <c r="U522" i="79"/>
  <c r="C2819" i="79" s="1"/>
  <c r="U516" i="79"/>
  <c r="C2814" i="79" s="1"/>
  <c r="AR506" i="79"/>
  <c r="C3209" i="79" s="1"/>
  <c r="R1358" i="79"/>
  <c r="AF1357" i="79"/>
  <c r="AR479" i="79"/>
  <c r="C3187" i="79" s="1"/>
  <c r="AF482" i="79"/>
  <c r="AR474" i="79"/>
  <c r="C3183" i="79" s="1"/>
  <c r="U463" i="79"/>
  <c r="C2769" i="79" s="1"/>
  <c r="U440" i="79"/>
  <c r="C2751" i="79" s="1"/>
  <c r="U433" i="79"/>
  <c r="C2745" i="79" s="1"/>
  <c r="AL436" i="79"/>
  <c r="AK1352" i="79"/>
  <c r="AR424" i="79"/>
  <c r="C3141" i="79" s="1"/>
  <c r="AR417" i="79"/>
  <c r="C3135" i="79" s="1"/>
  <c r="I1130" i="79"/>
  <c r="U1130" i="79" s="1"/>
  <c r="I992" i="79"/>
  <c r="U992" i="79" s="1"/>
  <c r="U527" i="79"/>
  <c r="C2823" i="79" s="1"/>
  <c r="L1362" i="79"/>
  <c r="L528" i="79"/>
  <c r="R1362" i="79"/>
  <c r="R528" i="79"/>
  <c r="AR516" i="79"/>
  <c r="C3218" i="79" s="1"/>
  <c r="S1360" i="79"/>
  <c r="S518" i="79"/>
  <c r="U507" i="79"/>
  <c r="C2806" i="79" s="1"/>
  <c r="AM1610" i="79"/>
  <c r="AM1359" i="79"/>
  <c r="AM508" i="79"/>
  <c r="AG1610" i="79"/>
  <c r="AG1359" i="79"/>
  <c r="AG508" i="79"/>
  <c r="I1610" i="79"/>
  <c r="I1359" i="79"/>
  <c r="U503" i="79"/>
  <c r="C2802" i="79" s="1"/>
  <c r="I508" i="79"/>
  <c r="P1610" i="79"/>
  <c r="P1359" i="79"/>
  <c r="P508" i="79"/>
  <c r="AP1358" i="79"/>
  <c r="AP487" i="79"/>
  <c r="J1357" i="79"/>
  <c r="J482" i="79"/>
  <c r="AR473" i="79"/>
  <c r="C3182" i="79" s="1"/>
  <c r="U465" i="79"/>
  <c r="C2771" i="79" s="1"/>
  <c r="U444" i="79"/>
  <c r="C2754" i="79" s="1"/>
  <c r="I1353" i="79"/>
  <c r="I441" i="79"/>
  <c r="U438" i="79"/>
  <c r="C2749" i="79" s="1"/>
  <c r="N1353" i="79"/>
  <c r="N441" i="79"/>
  <c r="U430" i="79"/>
  <c r="C2742" i="79" s="1"/>
  <c r="L1584" i="79"/>
  <c r="L1351" i="79"/>
  <c r="L426" i="79"/>
  <c r="T419" i="79"/>
  <c r="J419" i="79"/>
  <c r="L1349" i="79"/>
  <c r="AR383" i="79"/>
  <c r="C3107" i="79" s="1"/>
  <c r="S378" i="79"/>
  <c r="J1346" i="79"/>
  <c r="J364" i="79"/>
  <c r="U349" i="79"/>
  <c r="C2675" i="79" s="1"/>
  <c r="AL1558" i="79"/>
  <c r="AL1343" i="79"/>
  <c r="AL344" i="79"/>
  <c r="AO1558" i="79"/>
  <c r="AO1343" i="79"/>
  <c r="AO344" i="79"/>
  <c r="AH337" i="79"/>
  <c r="AR321" i="79"/>
  <c r="C3056" i="79" s="1"/>
  <c r="I1153" i="79"/>
  <c r="U1153" i="79" s="1"/>
  <c r="S508" i="79"/>
  <c r="AL508" i="79"/>
  <c r="U498" i="79"/>
  <c r="C2798" i="79" s="1"/>
  <c r="AJ501" i="79"/>
  <c r="AQ501" i="79"/>
  <c r="AN482" i="79"/>
  <c r="AI482" i="79"/>
  <c r="L1357" i="79"/>
  <c r="L482" i="79"/>
  <c r="S1357" i="79"/>
  <c r="S482" i="79"/>
  <c r="U425" i="79"/>
  <c r="C2738" i="79" s="1"/>
  <c r="AL1584" i="79"/>
  <c r="AL1351" i="79"/>
  <c r="AL426" i="79"/>
  <c r="AI1584" i="79"/>
  <c r="AI1351" i="79"/>
  <c r="AI426" i="79"/>
  <c r="I1584" i="79"/>
  <c r="I1351" i="79"/>
  <c r="U421" i="79"/>
  <c r="C2734" i="79" s="1"/>
  <c r="I426" i="79"/>
  <c r="N1584" i="79"/>
  <c r="N1351" i="79"/>
  <c r="N426" i="79"/>
  <c r="AL1350" i="79"/>
  <c r="AL405" i="79"/>
  <c r="AO1350" i="79"/>
  <c r="AO405" i="79"/>
  <c r="AK1349" i="79"/>
  <c r="AK400" i="79"/>
  <c r="AQ1349" i="79"/>
  <c r="AQ400" i="79"/>
  <c r="R395" i="79"/>
  <c r="R1568" i="79" s="1"/>
  <c r="AR394" i="79"/>
  <c r="C3117" i="79" s="1"/>
  <c r="U390" i="79"/>
  <c r="C2709" i="79" s="1"/>
  <c r="U376" i="79"/>
  <c r="C2697" i="79" s="1"/>
  <c r="U374" i="79"/>
  <c r="C2695" i="79" s="1"/>
  <c r="AI378" i="79"/>
  <c r="R378" i="79"/>
  <c r="Q378" i="79"/>
  <c r="N1345" i="79"/>
  <c r="N359" i="79"/>
  <c r="T1345" i="79"/>
  <c r="T359" i="79"/>
  <c r="U351" i="79"/>
  <c r="C2677" i="79" s="1"/>
  <c r="AQ1344" i="79"/>
  <c r="AQ354" i="79"/>
  <c r="AL1344" i="79"/>
  <c r="AL354" i="79"/>
  <c r="U340" i="79"/>
  <c r="C2667" i="79" s="1"/>
  <c r="AJ1558" i="79"/>
  <c r="AJ1343" i="79"/>
  <c r="AJ344" i="79"/>
  <c r="R337" i="79"/>
  <c r="U321" i="79"/>
  <c r="C2652" i="79" s="1"/>
  <c r="I1360" i="79"/>
  <c r="U510" i="79"/>
  <c r="C2808" i="79" s="1"/>
  <c r="I518" i="79"/>
  <c r="P1360" i="79"/>
  <c r="P518" i="79"/>
  <c r="AJ1610" i="79"/>
  <c r="AF1358" i="79"/>
  <c r="AF487" i="79"/>
  <c r="AR484" i="79"/>
  <c r="C3191" i="79" s="1"/>
  <c r="AM1358" i="79"/>
  <c r="AM487" i="79"/>
  <c r="AK1351" i="79"/>
  <c r="AL419" i="79"/>
  <c r="AO419" i="79"/>
  <c r="I1107" i="79"/>
  <c r="U1107" i="79" s="1"/>
  <c r="AN1361" i="79"/>
  <c r="AN523" i="79"/>
  <c r="AN1360" i="79"/>
  <c r="AN518" i="79"/>
  <c r="AJ1360" i="79"/>
  <c r="AJ518" i="79"/>
  <c r="AP1360" i="79"/>
  <c r="AP518" i="79"/>
  <c r="K501" i="79"/>
  <c r="S501" i="79"/>
  <c r="AR486" i="79"/>
  <c r="C3193" i="79" s="1"/>
  <c r="L1356" i="79"/>
  <c r="L477" i="79"/>
  <c r="R1356" i="79"/>
  <c r="R477" i="79"/>
  <c r="M1597" i="79"/>
  <c r="M1355" i="79"/>
  <c r="M467" i="79"/>
  <c r="P1597" i="79"/>
  <c r="P1355" i="79"/>
  <c r="P467" i="79"/>
  <c r="N1350" i="79"/>
  <c r="N405" i="79"/>
  <c r="AK1348" i="79"/>
  <c r="AK395" i="79"/>
  <c r="AK1345" i="79"/>
  <c r="AK359" i="79"/>
  <c r="AO354" i="79"/>
  <c r="U322" i="79"/>
  <c r="C2653" i="79" s="1"/>
  <c r="M1342" i="79"/>
  <c r="M323" i="79"/>
  <c r="AM1341" i="79"/>
  <c r="AM318" i="79"/>
  <c r="AM1340" i="79"/>
  <c r="AM313" i="79"/>
  <c r="AL1545" i="79"/>
  <c r="AL1339" i="79"/>
  <c r="AL303" i="79"/>
  <c r="AJ296" i="79"/>
  <c r="N1338" i="79"/>
  <c r="N282" i="79"/>
  <c r="L1337" i="79"/>
  <c r="L277" i="79"/>
  <c r="L1336" i="79"/>
  <c r="L272" i="79"/>
  <c r="L1532" i="79"/>
  <c r="L1335" i="79"/>
  <c r="L262" i="79"/>
  <c r="AM255" i="79"/>
  <c r="AI1334" i="79"/>
  <c r="AI241" i="79"/>
  <c r="AL236" i="79"/>
  <c r="O1333" i="79"/>
  <c r="O236" i="79"/>
  <c r="O1332" i="79"/>
  <c r="O231" i="79"/>
  <c r="AR105" i="79"/>
  <c r="C2877" i="79" s="1"/>
  <c r="AR101" i="79"/>
  <c r="C2873" i="79" s="1"/>
  <c r="AF1361" i="79"/>
  <c r="AR520" i="79"/>
  <c r="C3221" i="79" s="1"/>
  <c r="AF523" i="79"/>
  <c r="AQ1361" i="79"/>
  <c r="AQ523" i="79"/>
  <c r="AH1361" i="79"/>
  <c r="AH523" i="79"/>
  <c r="Q1354" i="79"/>
  <c r="Q446" i="79"/>
  <c r="M1354" i="79"/>
  <c r="M446" i="79"/>
  <c r="T1354" i="79"/>
  <c r="T446" i="79"/>
  <c r="Q436" i="79"/>
  <c r="Q1581" i="79" s="1"/>
  <c r="J395" i="79"/>
  <c r="AJ1348" i="79"/>
  <c r="AJ395" i="79"/>
  <c r="AJ1568" i="79" s="1"/>
  <c r="AK1571" i="79"/>
  <c r="AK1347" i="79"/>
  <c r="AK385" i="79"/>
  <c r="AL364" i="79"/>
  <c r="U358" i="79"/>
  <c r="C2683" i="79" s="1"/>
  <c r="AG1345" i="79"/>
  <c r="AG359" i="79"/>
  <c r="N1344" i="79"/>
  <c r="N354" i="79"/>
  <c r="U341" i="79"/>
  <c r="C2668" i="79" s="1"/>
  <c r="N1558" i="79"/>
  <c r="N1343" i="79"/>
  <c r="N344" i="79"/>
  <c r="J1342" i="79"/>
  <c r="J323" i="79"/>
  <c r="P313" i="79"/>
  <c r="P1542" i="79" s="1"/>
  <c r="AR312" i="79"/>
  <c r="C3049" i="79" s="1"/>
  <c r="AL1340" i="79"/>
  <c r="AL313" i="79"/>
  <c r="AK1545" i="79"/>
  <c r="AK1339" i="79"/>
  <c r="AK303" i="79"/>
  <c r="AQ296" i="79"/>
  <c r="P296" i="79"/>
  <c r="P324" i="79" s="1"/>
  <c r="Q1338" i="79"/>
  <c r="Q282" i="79"/>
  <c r="AO1337" i="79"/>
  <c r="AO277" i="79"/>
  <c r="O1337" i="79"/>
  <c r="O277" i="79"/>
  <c r="U271" i="79"/>
  <c r="C2611" i="79" s="1"/>
  <c r="AO1336" i="79"/>
  <c r="AO272" i="79"/>
  <c r="O1336" i="79"/>
  <c r="O272" i="79"/>
  <c r="AR261" i="79"/>
  <c r="C3006" i="79" s="1"/>
  <c r="AR259" i="79"/>
  <c r="C3004" i="79" s="1"/>
  <c r="AF1532" i="79"/>
  <c r="AF1335" i="79"/>
  <c r="AF262" i="79"/>
  <c r="AR257" i="79"/>
  <c r="C3002" i="79" s="1"/>
  <c r="AP255" i="79"/>
  <c r="AP283" i="79" s="1"/>
  <c r="O255" i="79"/>
  <c r="AN1333" i="79"/>
  <c r="AN236" i="79"/>
  <c r="N1333" i="79"/>
  <c r="N236" i="79"/>
  <c r="AI231" i="79"/>
  <c r="AR225" i="79"/>
  <c r="C2976" i="79" s="1"/>
  <c r="AP231" i="79"/>
  <c r="AJ1332" i="79"/>
  <c r="AJ231" i="79"/>
  <c r="J1332" i="79"/>
  <c r="J231" i="79"/>
  <c r="U194" i="79"/>
  <c r="C2547" i="79" s="1"/>
  <c r="U188" i="79"/>
  <c r="C2542" i="79" s="1"/>
  <c r="AR171" i="79"/>
  <c r="C2931" i="79" s="1"/>
  <c r="AR158" i="79"/>
  <c r="C2921" i="79" s="1"/>
  <c r="AR148" i="79"/>
  <c r="C2913" i="79" s="1"/>
  <c r="U107" i="79"/>
  <c r="C2475" i="79" s="1"/>
  <c r="U511" i="79"/>
  <c r="C2809" i="79" s="1"/>
  <c r="AH1359" i="79"/>
  <c r="AP1356" i="79"/>
  <c r="AP477" i="79"/>
  <c r="AH1356" i="79"/>
  <c r="AH477" i="79"/>
  <c r="AO1356" i="79"/>
  <c r="AO477" i="79"/>
  <c r="S1352" i="79"/>
  <c r="S436" i="79"/>
  <c r="K1352" i="79"/>
  <c r="K436" i="79"/>
  <c r="K1581" i="79" s="1"/>
  <c r="R1352" i="79"/>
  <c r="R436" i="79"/>
  <c r="L1350" i="79"/>
  <c r="L405" i="79"/>
  <c r="K1350" i="79"/>
  <c r="K405" i="79"/>
  <c r="AR388" i="79"/>
  <c r="C3111" i="79" s="1"/>
  <c r="AP1348" i="79"/>
  <c r="AP395" i="79"/>
  <c r="AH1348" i="79"/>
  <c r="AH395" i="79"/>
  <c r="AQ1348" i="79"/>
  <c r="AQ395" i="79"/>
  <c r="AN1345" i="79"/>
  <c r="AN359" i="79"/>
  <c r="AL1345" i="79"/>
  <c r="AL359" i="79"/>
  <c r="Q1342" i="79"/>
  <c r="Q323" i="79"/>
  <c r="S1342" i="79"/>
  <c r="S323" i="79"/>
  <c r="U310" i="79"/>
  <c r="C2643" i="79" s="1"/>
  <c r="AR302" i="79"/>
  <c r="C3040" i="79" s="1"/>
  <c r="AF1545" i="79"/>
  <c r="AF1339" i="79"/>
  <c r="AF303" i="79"/>
  <c r="AR298" i="79"/>
  <c r="C3036" i="79" s="1"/>
  <c r="AL296" i="79"/>
  <c r="K296" i="79"/>
  <c r="AN1337" i="79"/>
  <c r="AN277" i="79"/>
  <c r="AF1336" i="79"/>
  <c r="AF272" i="79"/>
  <c r="AR264" i="79"/>
  <c r="C3008" i="79" s="1"/>
  <c r="AK1334" i="79"/>
  <c r="M1333" i="79"/>
  <c r="M236" i="79"/>
  <c r="U229" i="79"/>
  <c r="C2576" i="79" s="1"/>
  <c r="U219" i="79"/>
  <c r="C2567" i="79" s="1"/>
  <c r="AR193" i="79"/>
  <c r="C2950" i="79" s="1"/>
  <c r="AR189" i="79"/>
  <c r="C2947" i="79" s="1"/>
  <c r="U158" i="79"/>
  <c r="C2517" i="79" s="1"/>
  <c r="U148" i="79"/>
  <c r="C2509" i="79" s="1"/>
  <c r="AR137" i="79"/>
  <c r="C2903" i="79" s="1"/>
  <c r="I1361" i="79"/>
  <c r="I523" i="79"/>
  <c r="U520" i="79"/>
  <c r="C2817" i="79" s="1"/>
  <c r="S1361" i="79"/>
  <c r="S523" i="79"/>
  <c r="L1361" i="79"/>
  <c r="L523" i="79"/>
  <c r="U500" i="79"/>
  <c r="C2800" i="79" s="1"/>
  <c r="AR485" i="79"/>
  <c r="C3192" i="79" s="1"/>
  <c r="AR470" i="79"/>
  <c r="C3179" i="79" s="1"/>
  <c r="AI1354" i="79"/>
  <c r="AI446" i="79"/>
  <c r="AK1354" i="79"/>
  <c r="AK446" i="79"/>
  <c r="AL1354" i="79"/>
  <c r="AL446" i="79"/>
  <c r="AR403" i="79"/>
  <c r="C3124" i="79" s="1"/>
  <c r="AN1571" i="79"/>
  <c r="AN1347" i="79"/>
  <c r="AN385" i="79"/>
  <c r="AL1571" i="79"/>
  <c r="AL1347" i="79"/>
  <c r="AL385" i="79"/>
  <c r="AJ1344" i="79"/>
  <c r="K1344" i="79"/>
  <c r="K354" i="79"/>
  <c r="L1344" i="79"/>
  <c r="L354" i="79"/>
  <c r="U343" i="79"/>
  <c r="C2670" i="79" s="1"/>
  <c r="S1558" i="79"/>
  <c r="S1343" i="79"/>
  <c r="S344" i="79"/>
  <c r="M1558" i="79"/>
  <c r="M1343" i="79"/>
  <c r="M344" i="79"/>
  <c r="T1558" i="79"/>
  <c r="T1343" i="79"/>
  <c r="T344" i="79"/>
  <c r="AN1342" i="79"/>
  <c r="AN323" i="79"/>
  <c r="AO1342" i="79"/>
  <c r="AO323" i="79"/>
  <c r="AF1341" i="79"/>
  <c r="AF318" i="79"/>
  <c r="AR315" i="79"/>
  <c r="C3051" i="79" s="1"/>
  <c r="R313" i="79"/>
  <c r="AR311" i="79"/>
  <c r="C3048" i="79" s="1"/>
  <c r="AR307" i="79"/>
  <c r="C3044" i="79" s="1"/>
  <c r="AN1340" i="79"/>
  <c r="AN313" i="79"/>
  <c r="AQ1545" i="79"/>
  <c r="AQ1339" i="79"/>
  <c r="AQ303" i="79"/>
  <c r="R296" i="79"/>
  <c r="U280" i="79"/>
  <c r="C2618" i="79" s="1"/>
  <c r="U276" i="79"/>
  <c r="C2615" i="79" s="1"/>
  <c r="Q1337" i="79"/>
  <c r="Q277" i="79"/>
  <c r="U270" i="79"/>
  <c r="C2610" i="79" s="1"/>
  <c r="U266" i="79"/>
  <c r="C2606" i="79" s="1"/>
  <c r="Q1336" i="79"/>
  <c r="Q272" i="79"/>
  <c r="U261" i="79"/>
  <c r="C2602" i="79" s="1"/>
  <c r="Q1532" i="79"/>
  <c r="Q1335" i="79"/>
  <c r="Q262" i="79"/>
  <c r="AJ1334" i="79"/>
  <c r="AJ241" i="79"/>
  <c r="L1333" i="79"/>
  <c r="L236" i="79"/>
  <c r="AL1332" i="79"/>
  <c r="T1332" i="79"/>
  <c r="T231" i="79"/>
  <c r="U187" i="79"/>
  <c r="C2541" i="79" s="1"/>
  <c r="U183" i="79"/>
  <c r="C2537" i="79" s="1"/>
  <c r="AR177" i="79"/>
  <c r="C2936" i="79" s="1"/>
  <c r="AR145" i="79"/>
  <c r="C2910" i="79" s="1"/>
  <c r="U96" i="79"/>
  <c r="C2465" i="79" s="1"/>
  <c r="AR76" i="79"/>
  <c r="C2853" i="79" s="1"/>
  <c r="AR106" i="79"/>
  <c r="C2878" i="79" s="1"/>
  <c r="U61" i="79"/>
  <c r="C2436" i="79" s="1"/>
  <c r="U48" i="79"/>
  <c r="C2425" i="79" s="1"/>
  <c r="U64" i="79"/>
  <c r="C2439" i="79" s="1"/>
  <c r="C21" i="71"/>
  <c r="G328" i="40"/>
  <c r="G319" i="40"/>
  <c r="G373" i="40"/>
  <c r="G337" i="40"/>
  <c r="G329" i="40"/>
  <c r="G371" i="40"/>
  <c r="G363" i="40"/>
  <c r="G338" i="40"/>
  <c r="G330" i="40"/>
  <c r="I1448" i="79"/>
  <c r="J1448" i="79" s="1"/>
  <c r="R1448" i="79"/>
  <c r="S1448" i="79" s="1"/>
  <c r="M1358" i="79"/>
  <c r="M487" i="79"/>
  <c r="AJ1597" i="79"/>
  <c r="AJ1355" i="79"/>
  <c r="AJ467" i="79"/>
  <c r="O460" i="79"/>
  <c r="M1349" i="79"/>
  <c r="M400" i="79"/>
  <c r="M1348" i="79"/>
  <c r="M395" i="79"/>
  <c r="AG1357" i="79"/>
  <c r="AG482" i="79"/>
  <c r="Q1362" i="79"/>
  <c r="Q528" i="79"/>
  <c r="M1360" i="79"/>
  <c r="M518" i="79"/>
  <c r="AF1610" i="79"/>
  <c r="AF1359" i="79"/>
  <c r="AF508" i="79"/>
  <c r="AR503" i="79"/>
  <c r="C3206" i="79" s="1"/>
  <c r="AK1610" i="79"/>
  <c r="AK1359" i="79"/>
  <c r="AK508" i="79"/>
  <c r="J1610" i="79"/>
  <c r="J1359" i="79"/>
  <c r="J508" i="79"/>
  <c r="T1610" i="79"/>
  <c r="T1359" i="79"/>
  <c r="T508" i="79"/>
  <c r="AK501" i="79"/>
  <c r="AJ1358" i="79"/>
  <c r="AJ487" i="79"/>
  <c r="AN441" i="79"/>
  <c r="M1353" i="79"/>
  <c r="M441" i="79"/>
  <c r="R1353" i="79"/>
  <c r="R441" i="79"/>
  <c r="AO1584" i="79"/>
  <c r="AO1351" i="79"/>
  <c r="AO426" i="79"/>
  <c r="M419" i="79"/>
  <c r="N419" i="79"/>
  <c r="AM1350" i="79"/>
  <c r="AM405" i="79"/>
  <c r="AL1349" i="79"/>
  <c r="AL400" i="79"/>
  <c r="N378" i="79"/>
  <c r="T1346" i="79"/>
  <c r="T364" i="79"/>
  <c r="N1346" i="79"/>
  <c r="N364" i="79"/>
  <c r="AF1558" i="79"/>
  <c r="AF1343" i="79"/>
  <c r="AR339" i="79"/>
  <c r="C3070" i="79" s="1"/>
  <c r="AF344" i="79"/>
  <c r="O337" i="79"/>
  <c r="M528" i="79"/>
  <c r="AL1359" i="79"/>
  <c r="AO501" i="79"/>
  <c r="Q1357" i="79"/>
  <c r="Q482" i="79"/>
  <c r="AR435" i="79"/>
  <c r="C3151" i="79" s="1"/>
  <c r="AR425" i="79"/>
  <c r="C3142" i="79" s="1"/>
  <c r="AF1584" i="79"/>
  <c r="AF1351" i="79"/>
  <c r="AF426" i="79"/>
  <c r="AR421" i="79"/>
  <c r="C3138" i="79" s="1"/>
  <c r="AM1584" i="79"/>
  <c r="AM1351" i="79"/>
  <c r="AM426" i="79"/>
  <c r="K1584" i="79"/>
  <c r="K1351" i="79"/>
  <c r="K426" i="79"/>
  <c r="R1584" i="79"/>
  <c r="R1351" i="79"/>
  <c r="R426" i="79"/>
  <c r="AM419" i="79"/>
  <c r="AF1350" i="79"/>
  <c r="AR402" i="79"/>
  <c r="C3123" i="79" s="1"/>
  <c r="AF405" i="79"/>
  <c r="AF1349" i="79"/>
  <c r="AF400" i="79"/>
  <c r="AR397" i="79"/>
  <c r="C3119" i="79" s="1"/>
  <c r="AR373" i="79"/>
  <c r="C3098" i="79" s="1"/>
  <c r="AF378" i="79"/>
  <c r="L378" i="79"/>
  <c r="I1345" i="79"/>
  <c r="U356" i="79"/>
  <c r="C2681" i="79" s="1"/>
  <c r="I359" i="79"/>
  <c r="AK1344" i="79"/>
  <c r="AK354" i="79"/>
  <c r="AP1344" i="79"/>
  <c r="AP354" i="79"/>
  <c r="AO337" i="79"/>
  <c r="N337" i="79"/>
  <c r="I969" i="79"/>
  <c r="U969" i="79" s="1"/>
  <c r="J1360" i="79"/>
  <c r="J518" i="79"/>
  <c r="T1360" i="79"/>
  <c r="T518" i="79"/>
  <c r="AG1358" i="79"/>
  <c r="AG487" i="79"/>
  <c r="AQ1358" i="79"/>
  <c r="AQ487" i="79"/>
  <c r="U481" i="79"/>
  <c r="C2785" i="79" s="1"/>
  <c r="U424" i="79"/>
  <c r="C2737" i="79" s="1"/>
  <c r="AQ419" i="79"/>
  <c r="AI1360" i="79"/>
  <c r="AI518" i="79"/>
  <c r="AO1360" i="79"/>
  <c r="AO518" i="79"/>
  <c r="O501" i="79"/>
  <c r="R501" i="79"/>
  <c r="L501" i="79"/>
  <c r="I1356" i="79"/>
  <c r="U469" i="79"/>
  <c r="C2774" i="79" s="1"/>
  <c r="I477" i="79"/>
  <c r="T1356" i="79"/>
  <c r="T477" i="79"/>
  <c r="K1356" i="79"/>
  <c r="K477" i="79"/>
  <c r="I1597" i="79"/>
  <c r="I1355" i="79"/>
  <c r="I467" i="79"/>
  <c r="U462" i="79"/>
  <c r="C2768" i="79" s="1"/>
  <c r="T1597" i="79"/>
  <c r="T1355" i="79"/>
  <c r="T467" i="79"/>
  <c r="K1597" i="79"/>
  <c r="K1355" i="79"/>
  <c r="K467" i="79"/>
  <c r="O1344" i="79"/>
  <c r="O354" i="79"/>
  <c r="AP1343" i="79"/>
  <c r="AI1341" i="79"/>
  <c r="AI318" i="79"/>
  <c r="AI1340" i="79"/>
  <c r="AI313" i="79"/>
  <c r="AH1545" i="79"/>
  <c r="AH1339" i="79"/>
  <c r="AH303" i="79"/>
  <c r="AR291" i="79"/>
  <c r="C3030" i="79" s="1"/>
  <c r="AF296" i="79"/>
  <c r="J1338" i="79"/>
  <c r="J282" i="79"/>
  <c r="AL1337" i="79"/>
  <c r="AL277" i="79"/>
  <c r="AL1336" i="79"/>
  <c r="AL272" i="79"/>
  <c r="AK1532" i="79"/>
  <c r="AK1335" i="79"/>
  <c r="AK262" i="79"/>
  <c r="AI255" i="79"/>
  <c r="M1334" i="79"/>
  <c r="M241" i="79"/>
  <c r="K1333" i="79"/>
  <c r="K236" i="79"/>
  <c r="K1332" i="79"/>
  <c r="K231" i="79"/>
  <c r="AL214" i="79"/>
  <c r="AI1361" i="79"/>
  <c r="AI523" i="79"/>
  <c r="AK1361" i="79"/>
  <c r="AK523" i="79"/>
  <c r="AL1361" i="79"/>
  <c r="AL523" i="79"/>
  <c r="K1354" i="79"/>
  <c r="K446" i="79"/>
  <c r="R1354" i="79"/>
  <c r="R446" i="79"/>
  <c r="AQ337" i="79"/>
  <c r="AR316" i="79"/>
  <c r="C3052" i="79" s="1"/>
  <c r="AP1341" i="79"/>
  <c r="AP318" i="79"/>
  <c r="AR310" i="79"/>
  <c r="C3047" i="79" s="1"/>
  <c r="AH1340" i="79"/>
  <c r="AH313" i="79"/>
  <c r="AG1545" i="79"/>
  <c r="AG1339" i="79"/>
  <c r="AG303" i="79"/>
  <c r="AM296" i="79"/>
  <c r="L296" i="79"/>
  <c r="M1338" i="79"/>
  <c r="M282" i="79"/>
  <c r="AK1337" i="79"/>
  <c r="AK277" i="79"/>
  <c r="K1337" i="79"/>
  <c r="K277" i="79"/>
  <c r="AK1336" i="79"/>
  <c r="AK272" i="79"/>
  <c r="K1336" i="79"/>
  <c r="K272" i="79"/>
  <c r="S1532" i="79"/>
  <c r="S1335" i="79"/>
  <c r="S262" i="79"/>
  <c r="AL255" i="79"/>
  <c r="K255" i="79"/>
  <c r="AP1334" i="79"/>
  <c r="AP241" i="79"/>
  <c r="AJ1333" i="79"/>
  <c r="AJ236" i="79"/>
  <c r="J1333" i="79"/>
  <c r="J236" i="79"/>
  <c r="AF1332" i="79"/>
  <c r="AF231" i="79"/>
  <c r="AR223" i="79"/>
  <c r="C2974" i="79" s="1"/>
  <c r="O1361" i="79"/>
  <c r="O523" i="79"/>
  <c r="AG501" i="79"/>
  <c r="AJ1356" i="79"/>
  <c r="AJ477" i="79"/>
  <c r="AM1356" i="79"/>
  <c r="AM477" i="79"/>
  <c r="M1352" i="79"/>
  <c r="M436" i="79"/>
  <c r="P1352" i="79"/>
  <c r="P436" i="79"/>
  <c r="Q1350" i="79"/>
  <c r="Q405" i="79"/>
  <c r="O1350" i="79"/>
  <c r="O405" i="79"/>
  <c r="AR399" i="79"/>
  <c r="C3121" i="79" s="1"/>
  <c r="AF1348" i="79"/>
  <c r="AF395" i="79"/>
  <c r="AR387" i="79"/>
  <c r="C3110" i="79" s="1"/>
  <c r="AN1348" i="79"/>
  <c r="AN395" i="79"/>
  <c r="AQ1345" i="79"/>
  <c r="AQ359" i="79"/>
  <c r="AJ1345" i="79"/>
  <c r="AJ359" i="79"/>
  <c r="AP1345" i="79"/>
  <c r="AP359" i="79"/>
  <c r="AR350" i="79"/>
  <c r="C3080" i="79" s="1"/>
  <c r="J1558" i="79"/>
  <c r="J1343" i="79"/>
  <c r="J344" i="79"/>
  <c r="AQ1342" i="79"/>
  <c r="I1342" i="79"/>
  <c r="I323" i="79"/>
  <c r="U320" i="79"/>
  <c r="C2651" i="79" s="1"/>
  <c r="L1342" i="79"/>
  <c r="L323" i="79"/>
  <c r="U312" i="79"/>
  <c r="C2645" i="79" s="1"/>
  <c r="AR299" i="79"/>
  <c r="C3037" i="79" s="1"/>
  <c r="AH296" i="79"/>
  <c r="AJ1337" i="79"/>
  <c r="AJ277" i="79"/>
  <c r="AR266" i="79"/>
  <c r="C3010" i="79" s="1"/>
  <c r="I1333" i="79"/>
  <c r="I236" i="79"/>
  <c r="U233" i="79"/>
  <c r="C2579" i="79" s="1"/>
  <c r="Q1332" i="79"/>
  <c r="Q231" i="79"/>
  <c r="U220" i="79"/>
  <c r="C2568" i="79" s="1"/>
  <c r="AR183" i="79"/>
  <c r="C2941" i="79" s="1"/>
  <c r="U142" i="79"/>
  <c r="C2503" i="79" s="1"/>
  <c r="AR138" i="79"/>
  <c r="C2904" i="79" s="1"/>
  <c r="J1361" i="79"/>
  <c r="J523" i="79"/>
  <c r="N1361" i="79"/>
  <c r="N523" i="79"/>
  <c r="P1361" i="79"/>
  <c r="P523" i="79"/>
  <c r="AO1354" i="79"/>
  <c r="AO446" i="79"/>
  <c r="AG1354" i="79"/>
  <c r="AG446" i="79"/>
  <c r="AP1354" i="79"/>
  <c r="AP446" i="79"/>
  <c r="AH1352" i="79"/>
  <c r="AN400" i="79"/>
  <c r="U394" i="79"/>
  <c r="C2713" i="79" s="1"/>
  <c r="O1348" i="79"/>
  <c r="Q395" i="79"/>
  <c r="AQ1571" i="79"/>
  <c r="AQ1347" i="79"/>
  <c r="AQ385" i="79"/>
  <c r="AJ1571" i="79"/>
  <c r="AJ1347" i="79"/>
  <c r="AJ385" i="79"/>
  <c r="AP1571" i="79"/>
  <c r="AP1347" i="79"/>
  <c r="AP385" i="79"/>
  <c r="U353" i="79"/>
  <c r="C2679" i="79" s="1"/>
  <c r="Q1344" i="79"/>
  <c r="Q354" i="79"/>
  <c r="Q1555" i="79" s="1"/>
  <c r="P1344" i="79"/>
  <c r="P354" i="79"/>
  <c r="AR340" i="79"/>
  <c r="C3071" i="79" s="1"/>
  <c r="I1558" i="79"/>
  <c r="I1343" i="79"/>
  <c r="I344" i="79"/>
  <c r="U339" i="79"/>
  <c r="C2666" i="79" s="1"/>
  <c r="R1558" i="79"/>
  <c r="R1343" i="79"/>
  <c r="R344" i="79"/>
  <c r="AF1342" i="79"/>
  <c r="AR320" i="79"/>
  <c r="C3055" i="79" s="1"/>
  <c r="AF323" i="79"/>
  <c r="AH1342" i="79"/>
  <c r="AH323" i="79"/>
  <c r="N313" i="79"/>
  <c r="AJ1340" i="79"/>
  <c r="AJ313" i="79"/>
  <c r="N1340" i="79"/>
  <c r="AM1545" i="79"/>
  <c r="AM1339" i="79"/>
  <c r="AM303" i="79"/>
  <c r="AO296" i="79"/>
  <c r="N296" i="79"/>
  <c r="AQ1337" i="79"/>
  <c r="AQ277" i="79"/>
  <c r="M1337" i="79"/>
  <c r="M277" i="79"/>
  <c r="AQ1336" i="79"/>
  <c r="AQ272" i="79"/>
  <c r="M1336" i="79"/>
  <c r="M272" i="79"/>
  <c r="U258" i="79"/>
  <c r="C2599" i="79" s="1"/>
  <c r="M1532" i="79"/>
  <c r="M1335" i="79"/>
  <c r="M262" i="79"/>
  <c r="AF1334" i="79"/>
  <c r="AF241" i="79"/>
  <c r="AR238" i="79"/>
  <c r="C2987" i="79" s="1"/>
  <c r="AR224" i="79"/>
  <c r="C2975" i="79" s="1"/>
  <c r="P1332" i="79"/>
  <c r="P231" i="79"/>
  <c r="AR178" i="79"/>
  <c r="C2937" i="79" s="1"/>
  <c r="U106" i="79"/>
  <c r="C2474" i="79" s="1"/>
  <c r="N323" i="79"/>
  <c r="I1449" i="79"/>
  <c r="J1449" i="79" s="1"/>
  <c r="G336" i="40"/>
  <c r="G339" i="40"/>
  <c r="G331" i="40"/>
  <c r="G323" i="40"/>
  <c r="G350" i="40"/>
  <c r="G372" i="40"/>
  <c r="G364" i="40"/>
  <c r="AR527" i="79"/>
  <c r="C3227" i="79" s="1"/>
  <c r="AR521" i="79"/>
  <c r="C3222" i="79" s="1"/>
  <c r="AR515" i="79"/>
  <c r="C3217" i="79" s="1"/>
  <c r="AR511" i="79"/>
  <c r="C3213" i="79" s="1"/>
  <c r="I1358" i="79"/>
  <c r="U484" i="79"/>
  <c r="C2787" i="79" s="1"/>
  <c r="I487" i="79"/>
  <c r="U476" i="79"/>
  <c r="C2781" i="79" s="1"/>
  <c r="U472" i="79"/>
  <c r="C2777" i="79" s="1"/>
  <c r="AR466" i="79"/>
  <c r="C3176" i="79" s="1"/>
  <c r="AR464" i="79"/>
  <c r="C3174" i="79" s="1"/>
  <c r="AF1597" i="79"/>
  <c r="AF1355" i="79"/>
  <c r="AF467" i="79"/>
  <c r="AR462" i="79"/>
  <c r="C3172" i="79" s="1"/>
  <c r="K460" i="79"/>
  <c r="AR440" i="79"/>
  <c r="C3155" i="79" s="1"/>
  <c r="AR434" i="79"/>
  <c r="C3150" i="79" s="1"/>
  <c r="AR430" i="79"/>
  <c r="C3146" i="79" s="1"/>
  <c r="U403" i="79"/>
  <c r="C2720" i="79" s="1"/>
  <c r="I1349" i="79"/>
  <c r="U397" i="79"/>
  <c r="C2715" i="79" s="1"/>
  <c r="I400" i="79"/>
  <c r="U391" i="79"/>
  <c r="C2710" i="79" s="1"/>
  <c r="I1348" i="79"/>
  <c r="I395" i="79"/>
  <c r="U387" i="79"/>
  <c r="C2706" i="79" s="1"/>
  <c r="U383" i="79"/>
  <c r="C2703" i="79" s="1"/>
  <c r="U381" i="79"/>
  <c r="C2701" i="79" s="1"/>
  <c r="AR363" i="79"/>
  <c r="C3091" i="79" s="1"/>
  <c r="AR357" i="79"/>
  <c r="C3086" i="79" s="1"/>
  <c r="AR351" i="79"/>
  <c r="C3081" i="79" s="1"/>
  <c r="AR347" i="79"/>
  <c r="C3077" i="79" s="1"/>
  <c r="U517" i="79"/>
  <c r="C2815" i="79" s="1"/>
  <c r="AR512" i="79"/>
  <c r="C3214" i="79" s="1"/>
  <c r="AR504" i="79"/>
  <c r="C3207" i="79" s="1"/>
  <c r="AQ1357" i="79"/>
  <c r="AQ482" i="79"/>
  <c r="AK1357" i="79"/>
  <c r="AK482" i="79"/>
  <c r="AR475" i="79"/>
  <c r="C3184" i="79" s="1"/>
  <c r="U471" i="79"/>
  <c r="C2776" i="79" s="1"/>
  <c r="U445" i="79"/>
  <c r="C2755" i="79" s="1"/>
  <c r="U439" i="79"/>
  <c r="C2750" i="79" s="1"/>
  <c r="U434" i="79"/>
  <c r="C2746" i="79" s="1"/>
  <c r="AR429" i="79"/>
  <c r="C3145" i="79" s="1"/>
  <c r="AP1352" i="79"/>
  <c r="AR422" i="79"/>
  <c r="C3139" i="79" s="1"/>
  <c r="I946" i="79"/>
  <c r="U946" i="79" s="1"/>
  <c r="P1362" i="79"/>
  <c r="P528" i="79"/>
  <c r="J1362" i="79"/>
  <c r="J528" i="79"/>
  <c r="AR522" i="79"/>
  <c r="C3223" i="79" s="1"/>
  <c r="U513" i="79"/>
  <c r="C2811" i="79" s="1"/>
  <c r="AI1610" i="79"/>
  <c r="AI1359" i="79"/>
  <c r="AI508" i="79"/>
  <c r="AO1610" i="79"/>
  <c r="AO1359" i="79"/>
  <c r="AO508" i="79"/>
  <c r="O1610" i="79"/>
  <c r="O1359" i="79"/>
  <c r="O508" i="79"/>
  <c r="AR476" i="79"/>
  <c r="C3185" i="79" s="1"/>
  <c r="S1353" i="79"/>
  <c r="S441" i="79"/>
  <c r="AR433" i="79"/>
  <c r="C3149" i="79" s="1"/>
  <c r="AG1584" i="79"/>
  <c r="AG1351" i="79"/>
  <c r="AG426" i="79"/>
  <c r="I419" i="79"/>
  <c r="U416" i="79"/>
  <c r="C2730" i="79" s="1"/>
  <c r="AN419" i="79"/>
  <c r="K419" i="79"/>
  <c r="R419" i="79"/>
  <c r="AH1350" i="79"/>
  <c r="AH405" i="79"/>
  <c r="AG1349" i="79"/>
  <c r="AG400" i="79"/>
  <c r="AP378" i="79"/>
  <c r="O1346" i="79"/>
  <c r="O364" i="79"/>
  <c r="R1346" i="79"/>
  <c r="R364" i="79"/>
  <c r="AR352" i="79"/>
  <c r="C3082" i="79" s="1"/>
  <c r="U348" i="79"/>
  <c r="C2674" i="79" s="1"/>
  <c r="AG1558" i="79"/>
  <c r="AG1343" i="79"/>
  <c r="AG344" i="79"/>
  <c r="K337" i="79"/>
  <c r="AP1362" i="79"/>
  <c r="R1360" i="79"/>
  <c r="R518" i="79"/>
  <c r="U506" i="79"/>
  <c r="C2805" i="79" s="1"/>
  <c r="AP501" i="79"/>
  <c r="AI501" i="79"/>
  <c r="AO1358" i="79"/>
  <c r="AO487" i="79"/>
  <c r="P1357" i="79"/>
  <c r="P482" i="79"/>
  <c r="K1357" i="79"/>
  <c r="K482" i="79"/>
  <c r="U466" i="79"/>
  <c r="C2772" i="79" s="1"/>
  <c r="AH1584" i="79"/>
  <c r="AH1351" i="79"/>
  <c r="AH426" i="79"/>
  <c r="AQ1584" i="79"/>
  <c r="AQ1351" i="79"/>
  <c r="AQ426" i="79"/>
  <c r="P1584" i="79"/>
  <c r="P1351" i="79"/>
  <c r="P426" i="79"/>
  <c r="AG1350" i="79"/>
  <c r="AG405" i="79"/>
  <c r="AI1349" i="79"/>
  <c r="AI400" i="79"/>
  <c r="AR393" i="79"/>
  <c r="C3116" i="79" s="1"/>
  <c r="AR382" i="79"/>
  <c r="C3106" i="79" s="1"/>
  <c r="U377" i="79"/>
  <c r="C2698" i="79" s="1"/>
  <c r="U375" i="79"/>
  <c r="C2696" i="79" s="1"/>
  <c r="AJ378" i="79"/>
  <c r="U373" i="79"/>
  <c r="C2694" i="79" s="1"/>
  <c r="I378" i="79"/>
  <c r="L1345" i="79"/>
  <c r="L359" i="79"/>
  <c r="U350" i="79"/>
  <c r="C2676" i="79" s="1"/>
  <c r="AF1344" i="79"/>
  <c r="AF354" i="79"/>
  <c r="AR346" i="79"/>
  <c r="C3076" i="79" s="1"/>
  <c r="AK337" i="79"/>
  <c r="J337" i="79"/>
  <c r="O1360" i="79"/>
  <c r="O518" i="79"/>
  <c r="U505" i="79"/>
  <c r="C2804" i="79" s="1"/>
  <c r="AL1358" i="79"/>
  <c r="AL487" i="79"/>
  <c r="AR481" i="79"/>
  <c r="C3189" i="79" s="1"/>
  <c r="AJ419" i="79"/>
  <c r="AG419" i="79"/>
  <c r="U414" i="79"/>
  <c r="C2728" i="79" s="1"/>
  <c r="I923" i="79"/>
  <c r="U923" i="79" s="1"/>
  <c r="AF1360" i="79"/>
  <c r="AF518" i="79"/>
  <c r="AR510" i="79"/>
  <c r="C3212" i="79" s="1"/>
  <c r="AQ1360" i="79"/>
  <c r="AQ518" i="79"/>
  <c r="AH1360" i="79"/>
  <c r="AH518" i="79"/>
  <c r="J501" i="79"/>
  <c r="I501" i="79"/>
  <c r="U496" i="79"/>
  <c r="C2796" i="79" s="1"/>
  <c r="P501" i="79"/>
  <c r="J1356" i="79"/>
  <c r="J477" i="79"/>
  <c r="N1356" i="79"/>
  <c r="N477" i="79"/>
  <c r="N1594" i="79" s="1"/>
  <c r="O1356" i="79"/>
  <c r="O477" i="79"/>
  <c r="L1597" i="79"/>
  <c r="L1355" i="79"/>
  <c r="L467" i="79"/>
  <c r="N1597" i="79"/>
  <c r="N1355" i="79"/>
  <c r="N467" i="79"/>
  <c r="O1597" i="79"/>
  <c r="O1355" i="79"/>
  <c r="O467" i="79"/>
  <c r="K395" i="79"/>
  <c r="AP1558" i="79"/>
  <c r="M1341" i="79"/>
  <c r="M318" i="79"/>
  <c r="M1340" i="79"/>
  <c r="M313" i="79"/>
  <c r="M1545" i="79"/>
  <c r="M1339" i="79"/>
  <c r="M303" i="79"/>
  <c r="M296" i="79"/>
  <c r="AJ1338" i="79"/>
  <c r="AJ282" i="79"/>
  <c r="AR275" i="79"/>
  <c r="C3018" i="79" s="1"/>
  <c r="AH1337" i="79"/>
  <c r="AH277" i="79"/>
  <c r="AR271" i="79"/>
  <c r="C3015" i="79" s="1"/>
  <c r="AR269" i="79"/>
  <c r="C3013" i="79" s="1"/>
  <c r="AR267" i="79"/>
  <c r="C3011" i="79" s="1"/>
  <c r="AR265" i="79"/>
  <c r="C3009" i="79" s="1"/>
  <c r="AH1336" i="79"/>
  <c r="AH272" i="79"/>
  <c r="AG1532" i="79"/>
  <c r="AG1335" i="79"/>
  <c r="AG262" i="79"/>
  <c r="P255" i="79"/>
  <c r="U240" i="79"/>
  <c r="C2585" i="79" s="1"/>
  <c r="I1334" i="79"/>
  <c r="U238" i="79"/>
  <c r="C2583" i="79" s="1"/>
  <c r="I241" i="79"/>
  <c r="AK1333" i="79"/>
  <c r="AK236" i="79"/>
  <c r="AK1332" i="79"/>
  <c r="AK231" i="79"/>
  <c r="AJ1519" i="79"/>
  <c r="AJ1331" i="79"/>
  <c r="AJ221" i="79"/>
  <c r="AH214" i="79"/>
  <c r="AR188" i="79"/>
  <c r="C2946" i="79" s="1"/>
  <c r="AR186" i="79"/>
  <c r="C2944" i="79" s="1"/>
  <c r="AR184" i="79"/>
  <c r="C2942" i="79" s="1"/>
  <c r="AR107" i="79"/>
  <c r="C2879" i="79" s="1"/>
  <c r="AR103" i="79"/>
  <c r="C2875" i="79" s="1"/>
  <c r="AO1361" i="79"/>
  <c r="AO523" i="79"/>
  <c r="AG1361" i="79"/>
  <c r="AG523" i="79"/>
  <c r="AP1361" i="79"/>
  <c r="AP523" i="79"/>
  <c r="AR496" i="79"/>
  <c r="C3200" i="79" s="1"/>
  <c r="U485" i="79"/>
  <c r="C2788" i="79" s="1"/>
  <c r="U464" i="79"/>
  <c r="C2770" i="79" s="1"/>
  <c r="I1354" i="79"/>
  <c r="I446" i="79"/>
  <c r="U443" i="79"/>
  <c r="C2753" i="79" s="1"/>
  <c r="S1354" i="79"/>
  <c r="S446" i="79"/>
  <c r="L1354" i="79"/>
  <c r="L446" i="79"/>
  <c r="AJ1342" i="79"/>
  <c r="AJ323" i="79"/>
  <c r="AL1341" i="79"/>
  <c r="AL318" i="79"/>
  <c r="AR308" i="79"/>
  <c r="C3045" i="79" s="1"/>
  <c r="AI296" i="79"/>
  <c r="U281" i="79"/>
  <c r="C2619" i="79" s="1"/>
  <c r="I1338" i="79"/>
  <c r="U279" i="79"/>
  <c r="C2617" i="79" s="1"/>
  <c r="I282" i="79"/>
  <c r="AG1337" i="79"/>
  <c r="AG277" i="79"/>
  <c r="U267" i="79"/>
  <c r="C2607" i="79" s="1"/>
  <c r="AG1336" i="79"/>
  <c r="AG272" i="79"/>
  <c r="AR260" i="79"/>
  <c r="C3005" i="79" s="1"/>
  <c r="AR258" i="79"/>
  <c r="C3003" i="79" s="1"/>
  <c r="AN1532" i="79"/>
  <c r="AN1335" i="79"/>
  <c r="AN262" i="79"/>
  <c r="O1532" i="79"/>
  <c r="O1335" i="79"/>
  <c r="O262" i="79"/>
  <c r="AH255" i="79"/>
  <c r="AL1334" i="79"/>
  <c r="AL241" i="79"/>
  <c r="AF1333" i="79"/>
  <c r="AR233" i="79"/>
  <c r="C2983" i="79" s="1"/>
  <c r="AF236" i="79"/>
  <c r="AR229" i="79"/>
  <c r="C2980" i="79" s="1"/>
  <c r="AH231" i="79"/>
  <c r="R1332" i="79"/>
  <c r="R231" i="79"/>
  <c r="U184" i="79"/>
  <c r="C2538" i="79" s="1"/>
  <c r="AR172" i="79"/>
  <c r="C2932" i="79" s="1"/>
  <c r="AR170" i="79"/>
  <c r="C2930" i="79" s="1"/>
  <c r="AR144" i="79"/>
  <c r="C2909" i="79" s="1"/>
  <c r="U117" i="79"/>
  <c r="C2483" i="79" s="1"/>
  <c r="U103" i="79"/>
  <c r="C2471" i="79" s="1"/>
  <c r="U526" i="79"/>
  <c r="C2822" i="79" s="1"/>
  <c r="AF1356" i="79"/>
  <c r="AF477" i="79"/>
  <c r="AR469" i="79"/>
  <c r="C3178" i="79" s="1"/>
  <c r="AQ1356" i="79"/>
  <c r="AQ477" i="79"/>
  <c r="AG1356" i="79"/>
  <c r="AG477" i="79"/>
  <c r="I1352" i="79"/>
  <c r="U428" i="79"/>
  <c r="C2740" i="79" s="1"/>
  <c r="I436" i="79"/>
  <c r="T1352" i="79"/>
  <c r="T436" i="79"/>
  <c r="J1352" i="79"/>
  <c r="J436" i="79"/>
  <c r="T1350" i="79"/>
  <c r="T405" i="79"/>
  <c r="M1350" i="79"/>
  <c r="M405" i="79"/>
  <c r="S1350" i="79"/>
  <c r="S405" i="79"/>
  <c r="AG1348" i="79"/>
  <c r="AG395" i="79"/>
  <c r="AI1348" i="79"/>
  <c r="AI395" i="79"/>
  <c r="AR381" i="79"/>
  <c r="C3105" i="79" s="1"/>
  <c r="AG1571" i="79"/>
  <c r="AG1347" i="79"/>
  <c r="AG385" i="79"/>
  <c r="AF1345" i="79"/>
  <c r="AF359" i="79"/>
  <c r="AR356" i="79"/>
  <c r="C3085" i="79" s="1"/>
  <c r="AO1345" i="79"/>
  <c r="AO359" i="79"/>
  <c r="K1342" i="79"/>
  <c r="K323" i="79"/>
  <c r="P1342" i="79"/>
  <c r="P323" i="79"/>
  <c r="U316" i="79"/>
  <c r="C2648" i="79" s="1"/>
  <c r="U306" i="79"/>
  <c r="C2639" i="79" s="1"/>
  <c r="AR300" i="79"/>
  <c r="C3038" i="79" s="1"/>
  <c r="AN1545" i="79"/>
  <c r="AN1339" i="79"/>
  <c r="AN303" i="79"/>
  <c r="S296" i="79"/>
  <c r="S324" i="79" s="1"/>
  <c r="AR280" i="79"/>
  <c r="C3022" i="79" s="1"/>
  <c r="AF1337" i="79"/>
  <c r="AR274" i="79"/>
  <c r="C3017" i="79" s="1"/>
  <c r="AF277" i="79"/>
  <c r="AR268" i="79"/>
  <c r="C3012" i="79" s="1"/>
  <c r="AN1336" i="79"/>
  <c r="AN272" i="79"/>
  <c r="U239" i="79"/>
  <c r="C2584" i="79" s="1"/>
  <c r="U225" i="79"/>
  <c r="C2572" i="79" s="1"/>
  <c r="M1332" i="79"/>
  <c r="M231" i="79"/>
  <c r="AR185" i="79"/>
  <c r="C2943" i="79" s="1"/>
  <c r="U144" i="79"/>
  <c r="C2505" i="79" s="1"/>
  <c r="Q1361" i="79"/>
  <c r="Q523" i="79"/>
  <c r="M1361" i="79"/>
  <c r="M523" i="79"/>
  <c r="T1361" i="79"/>
  <c r="T523" i="79"/>
  <c r="U512" i="79"/>
  <c r="C2810" i="79" s="1"/>
  <c r="AJ1354" i="79"/>
  <c r="AJ446" i="79"/>
  <c r="AM1354" i="79"/>
  <c r="AM446" i="79"/>
  <c r="U429" i="79"/>
  <c r="C2741" i="79" s="1"/>
  <c r="AF1571" i="79"/>
  <c r="AF1347" i="79"/>
  <c r="AF385" i="79"/>
  <c r="AR380" i="79"/>
  <c r="C3104" i="79" s="1"/>
  <c r="AO1571" i="79"/>
  <c r="AO1347" i="79"/>
  <c r="AO385" i="79"/>
  <c r="AR348" i="79"/>
  <c r="C3078" i="79" s="1"/>
  <c r="S1344" i="79"/>
  <c r="S354" i="79"/>
  <c r="M1344" i="79"/>
  <c r="M354" i="79"/>
  <c r="M1555" i="79" s="1"/>
  <c r="T1344" i="79"/>
  <c r="T354" i="79"/>
  <c r="K1558" i="79"/>
  <c r="K1343" i="79"/>
  <c r="K344" i="79"/>
  <c r="L1558" i="79"/>
  <c r="L1343" i="79"/>
  <c r="L344" i="79"/>
  <c r="AG1342" i="79"/>
  <c r="AG323" i="79"/>
  <c r="AL1342" i="79"/>
  <c r="AL323" i="79"/>
  <c r="AR317" i="79"/>
  <c r="C3053" i="79" s="1"/>
  <c r="AN1341" i="79"/>
  <c r="AN318" i="79"/>
  <c r="AR309" i="79"/>
  <c r="C3046" i="79" s="1"/>
  <c r="AF1340" i="79"/>
  <c r="AF313" i="79"/>
  <c r="AR305" i="79"/>
  <c r="C3042" i="79" s="1"/>
  <c r="AI1545" i="79"/>
  <c r="AI1339" i="79"/>
  <c r="AI303" i="79"/>
  <c r="AK296" i="79"/>
  <c r="J296" i="79"/>
  <c r="AM1337" i="79"/>
  <c r="AM277" i="79"/>
  <c r="I1337" i="79"/>
  <c r="I277" i="79"/>
  <c r="U274" i="79"/>
  <c r="C2613" i="79" s="1"/>
  <c r="U268" i="79"/>
  <c r="C2608" i="79" s="1"/>
  <c r="AM1336" i="79"/>
  <c r="AM272" i="79"/>
  <c r="I1336" i="79"/>
  <c r="I272" i="79"/>
  <c r="U264" i="79"/>
  <c r="C2604" i="79" s="1"/>
  <c r="U259" i="79"/>
  <c r="C2600" i="79" s="1"/>
  <c r="I1532" i="79"/>
  <c r="I1335" i="79"/>
  <c r="I262" i="79"/>
  <c r="U257" i="79"/>
  <c r="C2598" i="79" s="1"/>
  <c r="AR250" i="79"/>
  <c r="C2996" i="79" s="1"/>
  <c r="AR234" i="79"/>
  <c r="C2984" i="79" s="1"/>
  <c r="T1333" i="79"/>
  <c r="T236" i="79"/>
  <c r="AH1332" i="79"/>
  <c r="L1332" i="79"/>
  <c r="L231" i="79"/>
  <c r="U189" i="79"/>
  <c r="C2543" i="79" s="1"/>
  <c r="U185" i="79"/>
  <c r="C2539" i="79" s="1"/>
  <c r="AR179" i="79"/>
  <c r="C2938" i="79" s="1"/>
  <c r="AR153" i="79"/>
  <c r="C2917" i="79" s="1"/>
  <c r="AR147" i="79"/>
  <c r="C2912" i="79" s="1"/>
  <c r="AR143" i="79"/>
  <c r="C2908" i="79" s="1"/>
  <c r="U112" i="79"/>
  <c r="C2479" i="79" s="1"/>
  <c r="U104" i="79"/>
  <c r="C2472" i="79" s="1"/>
  <c r="U97" i="79"/>
  <c r="C2466" i="79" s="1"/>
  <c r="I1451" i="79"/>
  <c r="J1451" i="79" s="1"/>
  <c r="R1451" i="79"/>
  <c r="S1451" i="79" s="1"/>
  <c r="R1450" i="79"/>
  <c r="S1450" i="79" s="1"/>
  <c r="I1450" i="79"/>
  <c r="J1450" i="79" s="1"/>
  <c r="G324" i="40"/>
  <c r="G366" i="40"/>
  <c r="G369" i="40"/>
  <c r="G341" i="40"/>
  <c r="G333" i="40"/>
  <c r="G367" i="40"/>
  <c r="G342" i="40"/>
  <c r="G334" i="40"/>
  <c r="F41" i="73"/>
  <c r="R40" i="73"/>
  <c r="F363" i="73"/>
  <c r="F14" i="85"/>
  <c r="F156" i="85" s="1"/>
  <c r="D59" i="8" s="1"/>
  <c r="F172" i="85"/>
  <c r="F179" i="85" s="1"/>
  <c r="F18" i="85"/>
  <c r="R12" i="85"/>
  <c r="I48" i="73"/>
  <c r="G119" i="8" s="1"/>
  <c r="K321" i="73"/>
  <c r="K324" i="73" s="1"/>
  <c r="D29" i="25"/>
  <c r="C29" i="25"/>
  <c r="D28" i="25"/>
  <c r="D26" i="25"/>
  <c r="C26" i="25"/>
  <c r="C28" i="25"/>
  <c r="B422" i="73"/>
  <c r="L321" i="73"/>
  <c r="L403" i="73" s="1"/>
  <c r="L406" i="73" s="1"/>
  <c r="J48" i="73"/>
  <c r="Q321" i="73"/>
  <c r="Q403" i="73" s="1"/>
  <c r="Q406" i="73" s="1"/>
  <c r="Q48" i="73"/>
  <c r="P321" i="73"/>
  <c r="N48" i="73"/>
  <c r="J321" i="73"/>
  <c r="O321" i="73"/>
  <c r="M48" i="73"/>
  <c r="I321" i="73"/>
  <c r="G403" i="73"/>
  <c r="G406" i="73" s="1"/>
  <c r="G324" i="73"/>
  <c r="N321" i="73"/>
  <c r="H30" i="74"/>
  <c r="F403" i="73"/>
  <c r="F406" i="73" s="1"/>
  <c r="F324" i="73"/>
  <c r="F432" i="73"/>
  <c r="C714" i="74" s="1"/>
  <c r="C27" i="25" s="1"/>
  <c r="H321" i="73"/>
  <c r="H403" i="73" s="1"/>
  <c r="H406" i="73" s="1"/>
  <c r="M321" i="73"/>
  <c r="J59" i="8" l="1"/>
  <c r="J60" i="8" s="1"/>
  <c r="J69" i="8" s="1"/>
  <c r="J67" i="8" s="1"/>
  <c r="I21" i="10" s="1"/>
  <c r="G59" i="8"/>
  <c r="G60" i="8" s="1"/>
  <c r="G69" i="8" s="1"/>
  <c r="G67" i="8" s="1"/>
  <c r="F21" i="10" s="1"/>
  <c r="E326" i="40"/>
  <c r="G23" i="40"/>
  <c r="F326" i="40" s="1"/>
  <c r="H1047" i="64"/>
  <c r="H1118" i="64" s="1"/>
  <c r="AL1581" i="79"/>
  <c r="O1542" i="79"/>
  <c r="G181" i="64"/>
  <c r="R295" i="73"/>
  <c r="H300" i="73"/>
  <c r="H301" i="73" s="1"/>
  <c r="J277" i="73"/>
  <c r="J278" i="73" s="1"/>
  <c r="G271" i="73"/>
  <c r="G279" i="73" s="1"/>
  <c r="F122" i="8"/>
  <c r="F128" i="8"/>
  <c r="F139" i="8" s="1"/>
  <c r="F147" i="8" s="1"/>
  <c r="F155" i="8" s="1"/>
  <c r="F166" i="8" s="1"/>
  <c r="F172" i="8" s="1"/>
  <c r="E122" i="8"/>
  <c r="E128" i="8"/>
  <c r="E139" i="8" s="1"/>
  <c r="E147" i="8" s="1"/>
  <c r="E155" i="8" s="1"/>
  <c r="E166" i="8" s="1"/>
  <c r="E172" i="8" s="1"/>
  <c r="G111" i="8"/>
  <c r="H111" i="8" s="1"/>
  <c r="E177" i="8"/>
  <c r="E24" i="10"/>
  <c r="D38" i="10"/>
  <c r="E24" i="80"/>
  <c r="O20" i="10"/>
  <c r="H17" i="25" s="1"/>
  <c r="H6" i="8"/>
  <c r="G10" i="8"/>
  <c r="G58" i="8" s="1"/>
  <c r="G91" i="8" s="1"/>
  <c r="G115" i="8" s="1"/>
  <c r="K183" i="8"/>
  <c r="F183" i="8"/>
  <c r="O13" i="10"/>
  <c r="O14" i="10"/>
  <c r="P184" i="8"/>
  <c r="B287" i="74"/>
  <c r="B303" i="74" s="1"/>
  <c r="B317" i="74" s="1"/>
  <c r="B331" i="74" s="1"/>
  <c r="P48" i="73"/>
  <c r="P403" i="73"/>
  <c r="P406" i="73" s="1"/>
  <c r="C752" i="64"/>
  <c r="D823" i="64"/>
  <c r="AI1047" i="64"/>
  <c r="H767" i="64"/>
  <c r="AJ1047" i="64"/>
  <c r="F1047" i="64" s="1"/>
  <c r="F1118" i="64" s="1"/>
  <c r="AN1047" i="64"/>
  <c r="J1047" i="64" s="1"/>
  <c r="J1118" i="64" s="1"/>
  <c r="AM1047" i="64"/>
  <c r="I1047" i="64" s="1"/>
  <c r="I1118" i="64" s="1"/>
  <c r="BV204" i="65"/>
  <c r="H326" i="64"/>
  <c r="S718" i="64"/>
  <c r="M1529" i="79"/>
  <c r="Q1529" i="79"/>
  <c r="AQ283" i="79"/>
  <c r="AK1529" i="79"/>
  <c r="K1529" i="79"/>
  <c r="G877" i="64"/>
  <c r="F735" i="64"/>
  <c r="H876" i="64"/>
  <c r="H871" i="64"/>
  <c r="H870" i="64"/>
  <c r="H873" i="64"/>
  <c r="H872" i="64"/>
  <c r="H874" i="64"/>
  <c r="H869" i="64"/>
  <c r="Y359" i="64"/>
  <c r="D132" i="8" s="1"/>
  <c r="S725" i="64"/>
  <c r="G806" i="64"/>
  <c r="J752" i="64"/>
  <c r="Q752" i="64"/>
  <c r="I752" i="64"/>
  <c r="O752" i="64"/>
  <c r="P752" i="64"/>
  <c r="N752" i="64"/>
  <c r="K752" i="64"/>
  <c r="F752" i="64"/>
  <c r="F753" i="64" s="1"/>
  <c r="G752" i="64"/>
  <c r="L752" i="64"/>
  <c r="M752" i="64"/>
  <c r="H799" i="64"/>
  <c r="H801" i="64"/>
  <c r="H803" i="64"/>
  <c r="H798" i="64"/>
  <c r="H800" i="64"/>
  <c r="H802" i="64"/>
  <c r="H805" i="64"/>
  <c r="H829" i="64"/>
  <c r="I219" i="64" s="1"/>
  <c r="H833" i="64"/>
  <c r="I223" i="64" s="1"/>
  <c r="G728" i="64"/>
  <c r="G727" i="64"/>
  <c r="G729" i="64"/>
  <c r="G732" i="64"/>
  <c r="G730" i="64"/>
  <c r="G731" i="64"/>
  <c r="G734" i="64"/>
  <c r="H821" i="64"/>
  <c r="F697" i="64"/>
  <c r="I342" i="64"/>
  <c r="F707" i="64"/>
  <c r="F771" i="64"/>
  <c r="D842" i="64"/>
  <c r="C771" i="64"/>
  <c r="C381" i="40"/>
  <c r="G382" i="40"/>
  <c r="K383" i="40"/>
  <c r="E385" i="40"/>
  <c r="I386" i="40"/>
  <c r="C388" i="40"/>
  <c r="I412" i="40"/>
  <c r="M420" i="40"/>
  <c r="D382" i="40"/>
  <c r="H383" i="40"/>
  <c r="N384" i="40"/>
  <c r="F386" i="40"/>
  <c r="F412" i="40"/>
  <c r="J420" i="40"/>
  <c r="M381" i="40"/>
  <c r="E383" i="40"/>
  <c r="K384" i="40"/>
  <c r="C386" i="40"/>
  <c r="M388" i="40"/>
  <c r="C412" i="40"/>
  <c r="G420" i="40"/>
  <c r="N383" i="40"/>
  <c r="L412" i="40"/>
  <c r="G421" i="40"/>
  <c r="K425" i="40"/>
  <c r="C427" i="40"/>
  <c r="G428" i="40"/>
  <c r="K429" i="40"/>
  <c r="J380" i="40"/>
  <c r="F428" i="40"/>
  <c r="G381" i="40"/>
  <c r="K382" i="40"/>
  <c r="D384" i="40"/>
  <c r="I385" i="40"/>
  <c r="M386" i="40"/>
  <c r="G388" i="40"/>
  <c r="M412" i="40"/>
  <c r="D381" i="40"/>
  <c r="H382" i="40"/>
  <c r="L383" i="40"/>
  <c r="F385" i="40"/>
  <c r="J386" i="40"/>
  <c r="D388" i="40"/>
  <c r="J412" i="40"/>
  <c r="N420" i="40"/>
  <c r="E382" i="40"/>
  <c r="I383" i="40"/>
  <c r="C385" i="40"/>
  <c r="G386" i="40"/>
  <c r="G412" i="40"/>
  <c r="K420" i="40"/>
  <c r="H385" i="40"/>
  <c r="K421" i="40"/>
  <c r="C426" i="40"/>
  <c r="G427" i="40"/>
  <c r="K428" i="40"/>
  <c r="K381" i="40"/>
  <c r="C382" i="40"/>
  <c r="M384" i="40"/>
  <c r="I420" i="40"/>
  <c r="D383" i="40"/>
  <c r="N385" i="40"/>
  <c r="L388" i="40"/>
  <c r="I381" i="40"/>
  <c r="F384" i="40"/>
  <c r="C420" i="40"/>
  <c r="F388" i="40"/>
  <c r="C421" i="40"/>
  <c r="K426" i="40"/>
  <c r="G429" i="40"/>
  <c r="N380" i="40"/>
  <c r="F426" i="40"/>
  <c r="N382" i="40"/>
  <c r="J388" i="40"/>
  <c r="D421" i="40"/>
  <c r="H425" i="40"/>
  <c r="L426" i="40"/>
  <c r="D428" i="40"/>
  <c r="H429" i="40"/>
  <c r="M380" i="40"/>
  <c r="N426" i="40"/>
  <c r="N381" i="40"/>
  <c r="H420" i="40"/>
  <c r="E425" i="40"/>
  <c r="I426" i="40"/>
  <c r="M427" i="40"/>
  <c r="E429" i="40"/>
  <c r="F382" i="40"/>
  <c r="J421" i="40"/>
  <c r="N428" i="40"/>
  <c r="K380" i="40"/>
  <c r="C383" i="40"/>
  <c r="M385" i="40"/>
  <c r="K388" i="40"/>
  <c r="H381" i="40"/>
  <c r="E384" i="40"/>
  <c r="N386" i="40"/>
  <c r="N412" i="40"/>
  <c r="I382" i="40"/>
  <c r="G385" i="40"/>
  <c r="E388" i="40"/>
  <c r="F381" i="40"/>
  <c r="C425" i="40"/>
  <c r="K427" i="40"/>
  <c r="F380" i="40"/>
  <c r="F427" i="40"/>
  <c r="G384" i="40"/>
  <c r="H421" i="40"/>
  <c r="L425" i="40"/>
  <c r="D427" i="40"/>
  <c r="H428" i="40"/>
  <c r="L429" i="40"/>
  <c r="I380" i="40"/>
  <c r="F421" i="40"/>
  <c r="J427" i="40"/>
  <c r="F383" i="40"/>
  <c r="N388" i="40"/>
  <c r="D412" i="40"/>
  <c r="E421" i="40"/>
  <c r="I425" i="40"/>
  <c r="M426" i="40"/>
  <c r="E428" i="40"/>
  <c r="I429" i="40"/>
  <c r="L380" i="40"/>
  <c r="J383" i="40"/>
  <c r="J425" i="40"/>
  <c r="N429" i="40"/>
  <c r="G380" i="40"/>
  <c r="C380" i="40"/>
  <c r="G383" i="40"/>
  <c r="E386" i="40"/>
  <c r="E412" i="40"/>
  <c r="L381" i="40"/>
  <c r="J384" i="40"/>
  <c r="F420" i="40"/>
  <c r="M382" i="40"/>
  <c r="K385" i="40"/>
  <c r="I388" i="40"/>
  <c r="J382" i="40"/>
  <c r="G425" i="40"/>
  <c r="C428" i="40"/>
  <c r="H386" i="40"/>
  <c r="H412" i="40"/>
  <c r="F429" i="40"/>
  <c r="L385" i="40"/>
  <c r="L421" i="40"/>
  <c r="D426" i="40"/>
  <c r="H427" i="40"/>
  <c r="L428" i="40"/>
  <c r="E380" i="40"/>
  <c r="N421" i="40"/>
  <c r="J428" i="40"/>
  <c r="L384" i="40"/>
  <c r="I421" i="40"/>
  <c r="M425" i="40"/>
  <c r="E427" i="40"/>
  <c r="I428" i="40"/>
  <c r="M429" i="40"/>
  <c r="H380" i="40"/>
  <c r="J426" i="40"/>
  <c r="D380" i="40"/>
  <c r="N427" i="40"/>
  <c r="H384" i="40"/>
  <c r="E420" i="40"/>
  <c r="L382" i="40"/>
  <c r="J385" i="40"/>
  <c r="H388" i="40"/>
  <c r="E381" i="40"/>
  <c r="M383" i="40"/>
  <c r="K386" i="40"/>
  <c r="K412" i="40"/>
  <c r="L386" i="40"/>
  <c r="G426" i="40"/>
  <c r="C429" i="40"/>
  <c r="F425" i="40"/>
  <c r="J381" i="40"/>
  <c r="D420" i="40"/>
  <c r="D425" i="40"/>
  <c r="H426" i="40"/>
  <c r="L427" i="40"/>
  <c r="D429" i="40"/>
  <c r="D385" i="40"/>
  <c r="N425" i="40"/>
  <c r="J429" i="40"/>
  <c r="D386" i="40"/>
  <c r="M421" i="40"/>
  <c r="E426" i="40"/>
  <c r="I427" i="40"/>
  <c r="M428" i="40"/>
  <c r="L420" i="40"/>
  <c r="O783" i="64"/>
  <c r="P783" i="64"/>
  <c r="C783" i="64"/>
  <c r="I783" i="64"/>
  <c r="H783" i="64"/>
  <c r="M783" i="64"/>
  <c r="J783" i="64"/>
  <c r="K783" i="64"/>
  <c r="F783" i="64"/>
  <c r="N783" i="64"/>
  <c r="Q783" i="64"/>
  <c r="G188" i="64"/>
  <c r="F713" i="64"/>
  <c r="F675" i="64"/>
  <c r="F682" i="64"/>
  <c r="C755" i="64"/>
  <c r="D826" i="64"/>
  <c r="F755" i="64"/>
  <c r="G173" i="64" s="1"/>
  <c r="AH1038" i="64"/>
  <c r="D1258" i="64"/>
  <c r="Q1258" i="64" s="1"/>
  <c r="G587" i="64"/>
  <c r="G723" i="64"/>
  <c r="O13" i="80"/>
  <c r="C81" i="69"/>
  <c r="C88" i="69" s="1"/>
  <c r="C767" i="64"/>
  <c r="F228" i="73"/>
  <c r="F229" i="73" s="1"/>
  <c r="G103" i="71"/>
  <c r="G478" i="73"/>
  <c r="H478" i="73" s="1"/>
  <c r="H484" i="73" s="1"/>
  <c r="D85" i="61" s="1"/>
  <c r="D83" i="61" s="1"/>
  <c r="D88" i="61" s="1"/>
  <c r="E223" i="73"/>
  <c r="F170" i="8"/>
  <c r="E38" i="10" s="1"/>
  <c r="D148" i="83"/>
  <c r="F375" i="73"/>
  <c r="F378" i="73" s="1"/>
  <c r="D1257" i="64"/>
  <c r="Q1257" i="64" s="1"/>
  <c r="D1261" i="64"/>
  <c r="Q1261" i="64" s="1"/>
  <c r="F723" i="64"/>
  <c r="AF1581" i="79"/>
  <c r="G606" i="64"/>
  <c r="F453" i="73"/>
  <c r="F455" i="73" s="1"/>
  <c r="F301" i="73"/>
  <c r="F302" i="73" s="1"/>
  <c r="F48" i="73"/>
  <c r="R48" i="73" s="1"/>
  <c r="P300" i="73"/>
  <c r="R300" i="73" s="1"/>
  <c r="R315" i="73"/>
  <c r="R292" i="73"/>
  <c r="D118" i="9"/>
  <c r="D133" i="9" s="1"/>
  <c r="E37" i="9"/>
  <c r="E66" i="9"/>
  <c r="E81" i="9" s="1"/>
  <c r="E96" i="9" s="1"/>
  <c r="E107" i="9" s="1"/>
  <c r="G5" i="9"/>
  <c r="F7" i="9"/>
  <c r="F22" i="9" s="1"/>
  <c r="F52" i="9" s="1"/>
  <c r="D167" i="83"/>
  <c r="E31" i="80"/>
  <c r="G137" i="8"/>
  <c r="E135" i="83"/>
  <c r="E167" i="83" s="1"/>
  <c r="E30" i="10"/>
  <c r="F134" i="83"/>
  <c r="F166" i="83" s="1"/>
  <c r="F30" i="80"/>
  <c r="H135" i="8"/>
  <c r="F29" i="10"/>
  <c r="E23" i="80"/>
  <c r="E23" i="10"/>
  <c r="E107" i="83"/>
  <c r="E160" i="83" s="1"/>
  <c r="G110" i="8"/>
  <c r="D150" i="83"/>
  <c r="D162" i="83"/>
  <c r="E36" i="80"/>
  <c r="E143" i="83"/>
  <c r="E111" i="83"/>
  <c r="E162" i="83" s="1"/>
  <c r="G112" i="8"/>
  <c r="E25" i="10"/>
  <c r="E25" i="80"/>
  <c r="E145" i="83"/>
  <c r="E38" i="80"/>
  <c r="E35" i="10"/>
  <c r="G162" i="8"/>
  <c r="E37" i="80"/>
  <c r="E34" i="10"/>
  <c r="G161" i="8"/>
  <c r="E144" i="83"/>
  <c r="D160" i="83"/>
  <c r="E148" i="83"/>
  <c r="E79" i="83"/>
  <c r="G93" i="8"/>
  <c r="F95" i="8"/>
  <c r="F24" i="80"/>
  <c r="F108" i="83"/>
  <c r="F24" i="10"/>
  <c r="H156" i="8"/>
  <c r="G33" i="10" s="1"/>
  <c r="G159" i="8"/>
  <c r="AF673" i="64"/>
  <c r="N767" i="64"/>
  <c r="K767" i="64"/>
  <c r="F767" i="64"/>
  <c r="D838" i="64"/>
  <c r="L838" i="64" s="1"/>
  <c r="M228" i="64" s="1"/>
  <c r="S1542" i="79"/>
  <c r="AQ242" i="79"/>
  <c r="AO1581" i="79"/>
  <c r="I385" i="64"/>
  <c r="S983" i="64"/>
  <c r="AH1037" i="64"/>
  <c r="D1037" i="64" s="1"/>
  <c r="D1108" i="64" s="1"/>
  <c r="M1047" i="64"/>
  <c r="M1118" i="64" s="1"/>
  <c r="E1047" i="64"/>
  <c r="E1118" i="64" s="1"/>
  <c r="AS746" i="64"/>
  <c r="S745" i="64"/>
  <c r="AS745" i="64" s="1"/>
  <c r="L61" i="69"/>
  <c r="I28" i="69"/>
  <c r="U95" i="73" s="1"/>
  <c r="H28" i="69"/>
  <c r="U94" i="73" s="1"/>
  <c r="U136" i="85" s="1"/>
  <c r="H828" i="64"/>
  <c r="I218" i="64" s="1"/>
  <c r="H815" i="64"/>
  <c r="H836" i="64"/>
  <c r="I226" i="64" s="1"/>
  <c r="H820" i="64"/>
  <c r="H819" i="64"/>
  <c r="H845" i="64"/>
  <c r="I234" i="64" s="1"/>
  <c r="H831" i="64"/>
  <c r="I221" i="64" s="1"/>
  <c r="H818" i="64"/>
  <c r="H841" i="64"/>
  <c r="H827" i="64"/>
  <c r="I217" i="64" s="1"/>
  <c r="H844" i="64"/>
  <c r="I233" i="64" s="1"/>
  <c r="H825" i="64"/>
  <c r="H832" i="64"/>
  <c r="I222" i="64" s="1"/>
  <c r="H840" i="64"/>
  <c r="I229" i="64" s="1"/>
  <c r="H842" i="64"/>
  <c r="I231" i="64" s="1"/>
  <c r="J283" i="79"/>
  <c r="G388" i="64"/>
  <c r="H591" i="64"/>
  <c r="H577" i="64"/>
  <c r="H581" i="64"/>
  <c r="H575" i="64"/>
  <c r="H590" i="64"/>
  <c r="H598" i="64"/>
  <c r="H597" i="64"/>
  <c r="H576" i="64"/>
  <c r="H814" i="64"/>
  <c r="H574" i="64"/>
  <c r="H580" i="64"/>
  <c r="H588" i="64"/>
  <c r="H578" i="64"/>
  <c r="H599" i="64"/>
  <c r="H589" i="64"/>
  <c r="H579" i="64"/>
  <c r="H582" i="64"/>
  <c r="AF868" i="64"/>
  <c r="AF744" i="64"/>
  <c r="T406" i="79"/>
  <c r="AN1581" i="79"/>
  <c r="L1581" i="79"/>
  <c r="AO1516" i="79"/>
  <c r="BV222" i="65"/>
  <c r="L406" i="79"/>
  <c r="AP488" i="79"/>
  <c r="AP447" i="79"/>
  <c r="AG1555" i="79"/>
  <c r="AN1594" i="79"/>
  <c r="S1516" i="79"/>
  <c r="N283" i="79"/>
  <c r="T1594" i="79"/>
  <c r="J1542" i="79"/>
  <c r="M1594" i="79"/>
  <c r="N1542" i="79"/>
  <c r="O1555" i="79"/>
  <c r="K1568" i="79"/>
  <c r="AI242" i="79"/>
  <c r="AH1516" i="79"/>
  <c r="P1594" i="79"/>
  <c r="N406" i="79"/>
  <c r="AI365" i="79"/>
  <c r="H383" i="77"/>
  <c r="H455" i="77"/>
  <c r="H318" i="77"/>
  <c r="H353" i="77"/>
  <c r="H138" i="77"/>
  <c r="H252" i="77"/>
  <c r="D38" i="25"/>
  <c r="C38" i="25"/>
  <c r="R179" i="85"/>
  <c r="K324" i="79"/>
  <c r="AM1607" i="79"/>
  <c r="AH1568" i="79"/>
  <c r="O447" i="79"/>
  <c r="F1407" i="64"/>
  <c r="I699" i="79" s="1"/>
  <c r="BV226" i="65"/>
  <c r="BV220" i="65"/>
  <c r="BV230" i="65"/>
  <c r="BV203" i="65"/>
  <c r="BV211" i="65"/>
  <c r="BV205" i="65"/>
  <c r="BV208" i="65"/>
  <c r="BV212" i="65"/>
  <c r="BV225" i="65"/>
  <c r="BV227" i="65"/>
  <c r="BV206" i="65"/>
  <c r="BV231" i="65"/>
  <c r="BV214" i="65"/>
  <c r="BV224" i="65"/>
  <c r="BV229" i="65"/>
  <c r="BV207" i="65"/>
  <c r="BV209" i="65"/>
  <c r="BV228" i="65"/>
  <c r="BV210" i="65"/>
  <c r="BV213" i="65"/>
  <c r="G622" i="77"/>
  <c r="G597" i="77"/>
  <c r="F646" i="77"/>
  <c r="E605" i="77" s="1"/>
  <c r="G609" i="77"/>
  <c r="G631" i="77" s="1"/>
  <c r="G638" i="77" s="1"/>
  <c r="H438" i="77"/>
  <c r="AF410" i="79"/>
  <c r="AF205" i="79"/>
  <c r="AF492" i="79"/>
  <c r="AF246" i="79"/>
  <c r="AF6" i="79"/>
  <c r="AF451" i="79"/>
  <c r="AF287" i="79"/>
  <c r="AF123" i="79"/>
  <c r="AF82" i="79"/>
  <c r="AF369" i="79"/>
  <c r="AF328" i="79"/>
  <c r="I596" i="79"/>
  <c r="I599" i="79"/>
  <c r="I595" i="79"/>
  <c r="I594" i="79"/>
  <c r="I568" i="79"/>
  <c r="I569" i="79"/>
  <c r="I567" i="79"/>
  <c r="I572" i="79"/>
  <c r="I585" i="79"/>
  <c r="I584" i="79"/>
  <c r="I583" i="79"/>
  <c r="I588" i="79"/>
  <c r="I727" i="79"/>
  <c r="I1220" i="79" s="1"/>
  <c r="I1288" i="79" s="1"/>
  <c r="I728" i="79"/>
  <c r="I744" i="79"/>
  <c r="I743" i="79"/>
  <c r="I760" i="79"/>
  <c r="I759" i="79"/>
  <c r="I786" i="79"/>
  <c r="I798" i="79"/>
  <c r="I809" i="79"/>
  <c r="I821" i="79"/>
  <c r="G767" i="64"/>
  <c r="G768" i="64" s="1"/>
  <c r="L767" i="64"/>
  <c r="I767" i="64"/>
  <c r="O767" i="64"/>
  <c r="J767" i="64"/>
  <c r="M767" i="64"/>
  <c r="Q767" i="64"/>
  <c r="F5" i="85"/>
  <c r="F34" i="85"/>
  <c r="F61" i="85" s="1"/>
  <c r="F88" i="85" s="1"/>
  <c r="F117" i="85" s="1"/>
  <c r="BH10" i="65"/>
  <c r="T743" i="64" s="1"/>
  <c r="BH11" i="65"/>
  <c r="BH219" i="65"/>
  <c r="G1445" i="64"/>
  <c r="J823" i="79" s="1"/>
  <c r="J824" i="79" s="1"/>
  <c r="G1441" i="64"/>
  <c r="J811" i="79" s="1"/>
  <c r="J812" i="79" s="1"/>
  <c r="G1437" i="64"/>
  <c r="J800" i="79" s="1"/>
  <c r="J801" i="79" s="1"/>
  <c r="G1433" i="64"/>
  <c r="J788" i="79" s="1"/>
  <c r="J789" i="79" s="1"/>
  <c r="G1429" i="64"/>
  <c r="J776" i="79" s="1"/>
  <c r="J777" i="79" s="1"/>
  <c r="G1426" i="64"/>
  <c r="J766" i="79" s="1"/>
  <c r="G1425" i="64"/>
  <c r="J762" i="79" s="1"/>
  <c r="G1424" i="64"/>
  <c r="J758" i="79" s="1"/>
  <c r="G1423" i="64"/>
  <c r="J754" i="79" s="1"/>
  <c r="G1422" i="64"/>
  <c r="J750" i="79" s="1"/>
  <c r="G1448" i="64"/>
  <c r="G1444" i="64"/>
  <c r="J820" i="79" s="1"/>
  <c r="J821" i="79" s="1"/>
  <c r="G1440" i="64"/>
  <c r="J808" i="79" s="1"/>
  <c r="J809" i="79" s="1"/>
  <c r="G1436" i="64"/>
  <c r="J797" i="79" s="1"/>
  <c r="J798" i="79" s="1"/>
  <c r="G1432" i="64"/>
  <c r="J785" i="79" s="1"/>
  <c r="J786" i="79" s="1"/>
  <c r="G1428" i="64"/>
  <c r="G1443" i="64"/>
  <c r="J817" i="79" s="1"/>
  <c r="J818" i="79" s="1"/>
  <c r="G1435" i="64"/>
  <c r="J794" i="79" s="1"/>
  <c r="J795" i="79" s="1"/>
  <c r="G1442" i="64"/>
  <c r="J814" i="79" s="1"/>
  <c r="J815" i="79" s="1"/>
  <c r="G1434" i="64"/>
  <c r="J791" i="79" s="1"/>
  <c r="J792" i="79" s="1"/>
  <c r="G1421" i="64"/>
  <c r="J746" i="79" s="1"/>
  <c r="G1417" i="64"/>
  <c r="J730" i="79" s="1"/>
  <c r="G1353" i="64"/>
  <c r="J565" i="79" s="1"/>
  <c r="G1447" i="64"/>
  <c r="J829" i="79" s="1"/>
  <c r="J830" i="79" s="1"/>
  <c r="G1419" i="64"/>
  <c r="J738" i="79" s="1"/>
  <c r="G1416" i="64"/>
  <c r="J726" i="79" s="1"/>
  <c r="G1356" i="64"/>
  <c r="J581" i="79" s="1"/>
  <c r="G1351" i="64"/>
  <c r="J600" i="79" s="1"/>
  <c r="G1348" i="64"/>
  <c r="J592" i="79" s="1"/>
  <c r="G1438" i="64"/>
  <c r="G1431" i="64"/>
  <c r="J782" i="79" s="1"/>
  <c r="J783" i="79" s="1"/>
  <c r="G1430" i="64"/>
  <c r="J779" i="79" s="1"/>
  <c r="J780" i="79" s="1"/>
  <c r="G1420" i="64"/>
  <c r="J742" i="79" s="1"/>
  <c r="G1357" i="64"/>
  <c r="J624" i="79" s="1"/>
  <c r="G1439" i="64"/>
  <c r="J805" i="79" s="1"/>
  <c r="J806" i="79" s="1"/>
  <c r="G1391" i="64"/>
  <c r="J2297" i="79" s="1"/>
  <c r="G1354" i="64"/>
  <c r="J608" i="79" s="1"/>
  <c r="G1347" i="64"/>
  <c r="J548" i="79" s="1"/>
  <c r="G1446" i="64"/>
  <c r="J826" i="79" s="1"/>
  <c r="J827" i="79" s="1"/>
  <c r="G1427" i="64"/>
  <c r="J770" i="79" s="1"/>
  <c r="G1418" i="64"/>
  <c r="J734" i="79" s="1"/>
  <c r="CJ212" i="65"/>
  <c r="CJ224" i="65"/>
  <c r="CJ229" i="65"/>
  <c r="CJ230" i="65"/>
  <c r="CJ225" i="65"/>
  <c r="CJ206" i="65"/>
  <c r="CJ228" i="65"/>
  <c r="CJ203" i="65"/>
  <c r="CJ207" i="65"/>
  <c r="CJ222" i="65"/>
  <c r="CJ210" i="65"/>
  <c r="CJ214" i="65"/>
  <c r="CJ226" i="65"/>
  <c r="CJ213" i="65"/>
  <c r="CJ208" i="65"/>
  <c r="CJ209" i="65"/>
  <c r="CJ227" i="65"/>
  <c r="CJ220" i="65"/>
  <c r="CJ205" i="65"/>
  <c r="CJ204" i="65"/>
  <c r="CJ211" i="65"/>
  <c r="CJ231" i="65"/>
  <c r="DG1053" i="64"/>
  <c r="CS1126" i="64" s="1"/>
  <c r="DD1200" i="64"/>
  <c r="CD1274" i="64" s="1"/>
  <c r="CC1126" i="64"/>
  <c r="F555" i="74"/>
  <c r="F552" i="74"/>
  <c r="F544" i="74"/>
  <c r="F541" i="74"/>
  <c r="F533" i="74"/>
  <c r="F530" i="74"/>
  <c r="F522" i="74"/>
  <c r="F519" i="74"/>
  <c r="F511" i="74"/>
  <c r="F550" i="74"/>
  <c r="F701" i="74" s="1"/>
  <c r="F539" i="74"/>
  <c r="F700" i="74" s="1"/>
  <c r="F528" i="74"/>
  <c r="F699" i="74" s="1"/>
  <c r="F517" i="74"/>
  <c r="F698" i="74" s="1"/>
  <c r="F506" i="74"/>
  <c r="F697" i="74" s="1"/>
  <c r="F683" i="74"/>
  <c r="F508" i="74"/>
  <c r="F497" i="74"/>
  <c r="F489" i="74"/>
  <c r="F486" i="74"/>
  <c r="F478" i="74"/>
  <c r="F475" i="74"/>
  <c r="F467" i="74"/>
  <c r="F464" i="74"/>
  <c r="F456" i="74"/>
  <c r="F453" i="74"/>
  <c r="F445" i="74"/>
  <c r="F442" i="74"/>
  <c r="F434" i="74"/>
  <c r="F431" i="74"/>
  <c r="F423" i="74"/>
  <c r="F420" i="74"/>
  <c r="F495" i="74"/>
  <c r="F696" i="74" s="1"/>
  <c r="F484" i="74"/>
  <c r="F695" i="74" s="1"/>
  <c r="F473" i="74"/>
  <c r="F694" i="74" s="1"/>
  <c r="F462" i="74"/>
  <c r="F693" i="74" s="1"/>
  <c r="F451" i="74"/>
  <c r="F692" i="74" s="1"/>
  <c r="F440" i="74"/>
  <c r="F691" i="74" s="1"/>
  <c r="F429" i="74"/>
  <c r="F690" i="74" s="1"/>
  <c r="F500" i="74"/>
  <c r="F5" i="74"/>
  <c r="F412" i="74"/>
  <c r="F409" i="74"/>
  <c r="F401" i="74"/>
  <c r="F398" i="74"/>
  <c r="F390" i="74"/>
  <c r="F387" i="74"/>
  <c r="F379" i="74"/>
  <c r="F376" i="74"/>
  <c r="F368" i="74"/>
  <c r="F365" i="74"/>
  <c r="F109" i="74"/>
  <c r="F19" i="74"/>
  <c r="F418" i="74"/>
  <c r="F689" i="74" s="1"/>
  <c r="F407" i="74"/>
  <c r="F688" i="74" s="1"/>
  <c r="F396" i="74"/>
  <c r="F687" i="74" s="1"/>
  <c r="F385" i="74"/>
  <c r="F686" i="74" s="1"/>
  <c r="F374" i="74"/>
  <c r="F685" i="74" s="1"/>
  <c r="F363" i="74"/>
  <c r="F684" i="74" s="1"/>
  <c r="F79" i="74"/>
  <c r="F232" i="74"/>
  <c r="F247" i="74" s="1"/>
  <c r="F262" i="74" s="1"/>
  <c r="F277" i="74" s="1"/>
  <c r="I552" i="79"/>
  <c r="I553" i="79"/>
  <c r="I551" i="79"/>
  <c r="I556" i="79"/>
  <c r="I611" i="79"/>
  <c r="I612" i="79"/>
  <c r="I610" i="79"/>
  <c r="I628" i="79"/>
  <c r="I626" i="79"/>
  <c r="I627" i="79"/>
  <c r="I732" i="79"/>
  <c r="I731" i="79"/>
  <c r="I751" i="79"/>
  <c r="I752" i="79"/>
  <c r="I748" i="79"/>
  <c r="I747" i="79"/>
  <c r="I763" i="79"/>
  <c r="I764" i="79"/>
  <c r="I777" i="79"/>
  <c r="I789" i="79"/>
  <c r="I801" i="79"/>
  <c r="I812" i="79"/>
  <c r="I824" i="79"/>
  <c r="E560" i="74"/>
  <c r="E581" i="74" s="1"/>
  <c r="E602" i="74" s="1"/>
  <c r="E623" i="74" s="1"/>
  <c r="E648" i="74" s="1"/>
  <c r="E658" i="74" s="1"/>
  <c r="E359" i="74"/>
  <c r="C779" i="64"/>
  <c r="D850" i="64"/>
  <c r="F779" i="64"/>
  <c r="G195" i="64" s="1"/>
  <c r="CJ223" i="65"/>
  <c r="AH1024" i="64"/>
  <c r="D1024" i="64" s="1"/>
  <c r="D1095" i="64" s="1"/>
  <c r="C1200" i="64"/>
  <c r="C1053" i="64"/>
  <c r="BV223" i="65"/>
  <c r="G137" i="77"/>
  <c r="F110" i="85"/>
  <c r="F599" i="73"/>
  <c r="F605" i="73" s="1"/>
  <c r="F600" i="73"/>
  <c r="F81" i="85"/>
  <c r="F257" i="73"/>
  <c r="I5" i="77"/>
  <c r="I483" i="77" s="1"/>
  <c r="G7" i="74"/>
  <c r="G225" i="74" s="1"/>
  <c r="H10" i="73"/>
  <c r="H1364" i="64"/>
  <c r="CR1053" i="64"/>
  <c r="H742" i="64"/>
  <c r="I258" i="64"/>
  <c r="I274" i="64" s="1"/>
  <c r="I171" i="64"/>
  <c r="I4" i="64"/>
  <c r="K41" i="79"/>
  <c r="H1345" i="64"/>
  <c r="I637" i="64"/>
  <c r="CK8" i="65"/>
  <c r="CK23" i="65" s="1"/>
  <c r="BW8" i="65"/>
  <c r="BI8" i="65"/>
  <c r="BI14" i="65" s="1"/>
  <c r="H1398" i="64"/>
  <c r="I400" i="64"/>
  <c r="H813" i="64" s="1"/>
  <c r="G888" i="64" s="1"/>
  <c r="I126" i="64"/>
  <c r="I120" i="64"/>
  <c r="I115" i="64" s="1"/>
  <c r="I111" i="64"/>
  <c r="I104" i="64"/>
  <c r="J8" i="64"/>
  <c r="H1381" i="64"/>
  <c r="I214" i="64"/>
  <c r="CK202" i="65"/>
  <c r="BW202" i="65"/>
  <c r="BI202" i="65"/>
  <c r="I289" i="64"/>
  <c r="I345" i="64" s="1"/>
  <c r="BV15" i="65"/>
  <c r="BV16" i="65"/>
  <c r="BV11" i="65"/>
  <c r="BV10" i="65"/>
  <c r="BV12" i="65"/>
  <c r="BV17" i="65"/>
  <c r="BV19" i="65"/>
  <c r="BV14" i="65"/>
  <c r="BV219" i="65"/>
  <c r="BV18" i="65"/>
  <c r="BV21" i="65"/>
  <c r="S982" i="64"/>
  <c r="D982" i="64"/>
  <c r="AH982" i="64"/>
  <c r="J410" i="79"/>
  <c r="J205" i="79"/>
  <c r="J6" i="79"/>
  <c r="J1306" i="79" s="1"/>
  <c r="AG1306" i="79" s="1"/>
  <c r="J369" i="79"/>
  <c r="J287" i="79"/>
  <c r="J123" i="79"/>
  <c r="J492" i="79"/>
  <c r="J328" i="79"/>
  <c r="J246" i="79"/>
  <c r="J82" i="79"/>
  <c r="J835" i="79"/>
  <c r="J547" i="79"/>
  <c r="AG41" i="79"/>
  <c r="J451" i="79"/>
  <c r="J663" i="79"/>
  <c r="J164" i="79"/>
  <c r="D379" i="40"/>
  <c r="D514" i="40" s="1"/>
  <c r="I1110" i="79"/>
  <c r="I1064" i="79"/>
  <c r="I1018" i="79"/>
  <c r="I972" i="79"/>
  <c r="I926" i="79"/>
  <c r="I880" i="79"/>
  <c r="I1306" i="79"/>
  <c r="AF1306" i="79" s="1"/>
  <c r="I995" i="79"/>
  <c r="I1041" i="79"/>
  <c r="I1087" i="79"/>
  <c r="I903" i="79"/>
  <c r="I949" i="79"/>
  <c r="I1133" i="79"/>
  <c r="I735" i="79"/>
  <c r="I736" i="79"/>
  <c r="I768" i="79"/>
  <c r="I767" i="79"/>
  <c r="I780" i="79"/>
  <c r="I792" i="79"/>
  <c r="I815" i="79"/>
  <c r="I827" i="79"/>
  <c r="F348" i="73"/>
  <c r="F487" i="73"/>
  <c r="F54" i="73"/>
  <c r="CJ219" i="65"/>
  <c r="CJ14" i="65"/>
  <c r="CJ15" i="65"/>
  <c r="CJ11" i="65"/>
  <c r="CJ17" i="65"/>
  <c r="CJ16" i="65"/>
  <c r="CJ18" i="65"/>
  <c r="CJ10" i="65"/>
  <c r="CJ22" i="65"/>
  <c r="CJ21" i="65"/>
  <c r="CJ19" i="65"/>
  <c r="CJ12" i="65"/>
  <c r="BH203" i="65"/>
  <c r="BH211" i="65"/>
  <c r="BH212" i="65"/>
  <c r="T723" i="64" s="1"/>
  <c r="BH208" i="65"/>
  <c r="BH206" i="65"/>
  <c r="BH213" i="65"/>
  <c r="BH207" i="65"/>
  <c r="T718" i="64" s="1"/>
  <c r="BH210" i="65"/>
  <c r="BH209" i="65"/>
  <c r="BH205" i="65"/>
  <c r="BH214" i="65"/>
  <c r="BH204" i="65"/>
  <c r="T10" i="73"/>
  <c r="G7" i="73"/>
  <c r="G11" i="73"/>
  <c r="G604" i="73" s="1"/>
  <c r="G68" i="73"/>
  <c r="G90" i="73" s="1"/>
  <c r="G100" i="73" s="1"/>
  <c r="G128" i="73" s="1"/>
  <c r="G156" i="73" s="1"/>
  <c r="G184" i="73" s="1"/>
  <c r="G211" i="73" s="1"/>
  <c r="G238" i="73" s="1"/>
  <c r="G264" i="73" s="1"/>
  <c r="G286" i="73" s="1"/>
  <c r="G309" i="73" s="1"/>
  <c r="G331" i="73" s="1"/>
  <c r="G8" i="85" s="1"/>
  <c r="I620" i="79"/>
  <c r="I619" i="79"/>
  <c r="I618" i="79"/>
  <c r="I740" i="79"/>
  <c r="I739" i="79"/>
  <c r="I755" i="79"/>
  <c r="I756" i="79"/>
  <c r="I771" i="79"/>
  <c r="I772" i="79"/>
  <c r="I783" i="79"/>
  <c r="I795" i="79"/>
  <c r="I806" i="79"/>
  <c r="I818" i="79"/>
  <c r="I830" i="79"/>
  <c r="E557" i="74"/>
  <c r="D830" i="64"/>
  <c r="C759" i="64"/>
  <c r="F759" i="64"/>
  <c r="F775" i="64"/>
  <c r="G192" i="64" s="1"/>
  <c r="D846" i="64"/>
  <c r="C775" i="64"/>
  <c r="F587" i="73"/>
  <c r="F593" i="73" s="1"/>
  <c r="AS672" i="64"/>
  <c r="AF672" i="64"/>
  <c r="F148" i="73"/>
  <c r="L1594" i="79"/>
  <c r="T324" i="79"/>
  <c r="G746" i="64"/>
  <c r="P406" i="79"/>
  <c r="K1555" i="79"/>
  <c r="AN365" i="79"/>
  <c r="P1516" i="79"/>
  <c r="L324" i="79"/>
  <c r="AI447" i="79"/>
  <c r="E577" i="74"/>
  <c r="AL1516" i="79"/>
  <c r="O324" i="79"/>
  <c r="J1555" i="79"/>
  <c r="J324" i="79"/>
  <c r="R1542" i="79"/>
  <c r="S406" i="79"/>
  <c r="T1581" i="79"/>
  <c r="R1607" i="79"/>
  <c r="AJ1594" i="79"/>
  <c r="I1594" i="79"/>
  <c r="Q1542" i="79"/>
  <c r="E574" i="74"/>
  <c r="AS674" i="64"/>
  <c r="AF674" i="64"/>
  <c r="CG24" i="65"/>
  <c r="CJ23" i="65"/>
  <c r="CI23" i="65"/>
  <c r="E568" i="74"/>
  <c r="BE15" i="65"/>
  <c r="BG14" i="65"/>
  <c r="BH14" i="65"/>
  <c r="T747" i="64" s="1"/>
  <c r="BS24" i="65"/>
  <c r="BV23" i="65"/>
  <c r="BU23" i="65"/>
  <c r="S1555" i="79"/>
  <c r="AK1594" i="79"/>
  <c r="P1581" i="79"/>
  <c r="Q283" i="79"/>
  <c r="AO488" i="79"/>
  <c r="AG1542" i="79"/>
  <c r="S1568" i="79"/>
  <c r="G753" i="64"/>
  <c r="F188" i="74"/>
  <c r="E188" i="74"/>
  <c r="E185" i="74"/>
  <c r="E240" i="74" s="1"/>
  <c r="F185" i="74"/>
  <c r="B747" i="74"/>
  <c r="I444" i="73" s="1"/>
  <c r="B614" i="74"/>
  <c r="B635" i="74" s="1"/>
  <c r="B745" i="74"/>
  <c r="I442" i="73" s="1"/>
  <c r="B612" i="74"/>
  <c r="B633" i="74" s="1"/>
  <c r="G67" i="40"/>
  <c r="F360" i="40" s="1"/>
  <c r="E360" i="40"/>
  <c r="G17" i="40"/>
  <c r="F320" i="40" s="1"/>
  <c r="E320" i="40"/>
  <c r="E316" i="40"/>
  <c r="G13" i="40"/>
  <c r="F316" i="40" s="1"/>
  <c r="F115" i="74"/>
  <c r="E115" i="74"/>
  <c r="E233" i="74" s="1"/>
  <c r="F118" i="74"/>
  <c r="E118" i="74"/>
  <c r="B741" i="74"/>
  <c r="I438" i="73" s="1"/>
  <c r="B608" i="74"/>
  <c r="B629" i="74" s="1"/>
  <c r="D858" i="64"/>
  <c r="G787" i="64"/>
  <c r="F787" i="64"/>
  <c r="C787" i="64"/>
  <c r="I2297" i="79"/>
  <c r="E563" i="74"/>
  <c r="C785" i="64"/>
  <c r="S785" i="64" s="1"/>
  <c r="F785" i="64"/>
  <c r="G785" i="64"/>
  <c r="D856" i="64"/>
  <c r="B739" i="74"/>
  <c r="I436" i="73" s="1"/>
  <c r="B606" i="74"/>
  <c r="B627" i="74" s="1"/>
  <c r="E575" i="74"/>
  <c r="B751" i="74"/>
  <c r="I448" i="73" s="1"/>
  <c r="B618" i="74"/>
  <c r="B639" i="74" s="1"/>
  <c r="F792" i="64"/>
  <c r="C792" i="64"/>
  <c r="D863" i="64"/>
  <c r="G792" i="64"/>
  <c r="F225" i="74"/>
  <c r="F228" i="74"/>
  <c r="E225" i="74"/>
  <c r="E228" i="74"/>
  <c r="B743" i="74"/>
  <c r="I440" i="73" s="1"/>
  <c r="B610" i="74"/>
  <c r="B631" i="74" s="1"/>
  <c r="E562" i="74"/>
  <c r="H843" i="64"/>
  <c r="I232" i="64" s="1"/>
  <c r="Q1012" i="64"/>
  <c r="C843" i="64"/>
  <c r="G843" i="64"/>
  <c r="H232" i="64" s="1"/>
  <c r="F843" i="64"/>
  <c r="G232" i="64" s="1"/>
  <c r="H816" i="64"/>
  <c r="F816" i="64"/>
  <c r="F817" i="64" s="1"/>
  <c r="G816" i="64"/>
  <c r="G817" i="64" s="1"/>
  <c r="C816" i="64"/>
  <c r="Q985" i="64"/>
  <c r="D861" i="64"/>
  <c r="O790" i="64"/>
  <c r="G790" i="64"/>
  <c r="K790" i="64"/>
  <c r="F790" i="64"/>
  <c r="J790" i="64"/>
  <c r="I790" i="64"/>
  <c r="H790" i="64"/>
  <c r="N790" i="64"/>
  <c r="C790" i="64"/>
  <c r="L790" i="64"/>
  <c r="M790" i="64"/>
  <c r="P790" i="64"/>
  <c r="Q790" i="64"/>
  <c r="F837" i="64"/>
  <c r="G227" i="64" s="1"/>
  <c r="H837" i="64"/>
  <c r="I227" i="64" s="1"/>
  <c r="C837" i="64"/>
  <c r="Q1006" i="64"/>
  <c r="G837" i="64"/>
  <c r="H227" i="64" s="1"/>
  <c r="F158" i="74"/>
  <c r="E158" i="74"/>
  <c r="F155" i="74"/>
  <c r="E155" i="74"/>
  <c r="E237" i="74" s="1"/>
  <c r="E565" i="74"/>
  <c r="D852" i="64"/>
  <c r="K781" i="64"/>
  <c r="N781" i="64"/>
  <c r="P781" i="64"/>
  <c r="G781" i="64"/>
  <c r="J781" i="64"/>
  <c r="L781" i="64"/>
  <c r="H781" i="64"/>
  <c r="I781" i="64"/>
  <c r="F781" i="64"/>
  <c r="M781" i="64"/>
  <c r="C781" i="64"/>
  <c r="Q781" i="64"/>
  <c r="O781" i="64"/>
  <c r="F715" i="64"/>
  <c r="S715" i="64"/>
  <c r="K782" i="64"/>
  <c r="M782" i="64"/>
  <c r="I782" i="64"/>
  <c r="Q782" i="64"/>
  <c r="N782" i="64"/>
  <c r="G782" i="64"/>
  <c r="F782" i="64"/>
  <c r="L782" i="64"/>
  <c r="O782" i="64"/>
  <c r="D853" i="64"/>
  <c r="J782" i="64"/>
  <c r="P782" i="64"/>
  <c r="H782" i="64"/>
  <c r="C782" i="64"/>
  <c r="E208" i="74"/>
  <c r="F208" i="74"/>
  <c r="E205" i="74"/>
  <c r="F205" i="74"/>
  <c r="E561" i="74"/>
  <c r="E569" i="74"/>
  <c r="F135" i="74"/>
  <c r="F138" i="74"/>
  <c r="E138" i="74"/>
  <c r="E135" i="74"/>
  <c r="E235" i="74" s="1"/>
  <c r="F198" i="74"/>
  <c r="E198" i="74"/>
  <c r="F195" i="74"/>
  <c r="E195" i="74"/>
  <c r="AS723" i="64"/>
  <c r="AF723" i="64"/>
  <c r="E125" i="74"/>
  <c r="E234" i="74" s="1"/>
  <c r="E128" i="74"/>
  <c r="F128" i="74"/>
  <c r="F125" i="74"/>
  <c r="B605" i="74"/>
  <c r="B626" i="74" s="1"/>
  <c r="B738" i="74"/>
  <c r="I435" i="73" s="1"/>
  <c r="B613" i="74"/>
  <c r="B634" i="74" s="1"/>
  <c r="B746" i="74"/>
  <c r="I443" i="73" s="1"/>
  <c r="F607" i="64"/>
  <c r="G835" i="64"/>
  <c r="H225" i="64" s="1"/>
  <c r="C835" i="64"/>
  <c r="F835" i="64"/>
  <c r="G225" i="64" s="1"/>
  <c r="H835" i="64"/>
  <c r="I225" i="64" s="1"/>
  <c r="Q1004" i="64"/>
  <c r="F721" i="64"/>
  <c r="S721" i="64"/>
  <c r="D44" i="25"/>
  <c r="C43" i="25"/>
  <c r="C44" i="25"/>
  <c r="D42" i="25"/>
  <c r="D45" i="25"/>
  <c r="C42" i="25"/>
  <c r="C45" i="25"/>
  <c r="D43" i="25"/>
  <c r="I421" i="73"/>
  <c r="B737" i="74"/>
  <c r="I434" i="73" s="1"/>
  <c r="B604" i="74"/>
  <c r="B625" i="74" s="1"/>
  <c r="AQ1581" i="79"/>
  <c r="G172" i="64"/>
  <c r="AS719" i="64"/>
  <c r="AF719" i="64"/>
  <c r="D864" i="64"/>
  <c r="C793" i="64"/>
  <c r="S793" i="64" s="1"/>
  <c r="F793" i="64"/>
  <c r="F175" i="74"/>
  <c r="E175" i="74"/>
  <c r="E239" i="74" s="1"/>
  <c r="F178" i="74"/>
  <c r="E178" i="74"/>
  <c r="N789" i="64"/>
  <c r="J789" i="64"/>
  <c r="G789" i="64"/>
  <c r="C789" i="64"/>
  <c r="F789" i="64"/>
  <c r="D860" i="64"/>
  <c r="P789" i="64"/>
  <c r="M789" i="64"/>
  <c r="O789" i="64"/>
  <c r="L789" i="64"/>
  <c r="Q789" i="64"/>
  <c r="K789" i="64"/>
  <c r="H789" i="64"/>
  <c r="I789" i="64"/>
  <c r="AF724" i="64"/>
  <c r="AS724" i="64"/>
  <c r="B607" i="74"/>
  <c r="B628" i="74" s="1"/>
  <c r="B740" i="74"/>
  <c r="I437" i="73" s="1"/>
  <c r="B749" i="74"/>
  <c r="I446" i="73" s="1"/>
  <c r="B616" i="74"/>
  <c r="B637" i="74" s="1"/>
  <c r="E317" i="40"/>
  <c r="G14" i="40"/>
  <c r="F317" i="40" s="1"/>
  <c r="E359" i="40"/>
  <c r="G66" i="40"/>
  <c r="F359" i="40" s="1"/>
  <c r="C786" i="64"/>
  <c r="F786" i="64"/>
  <c r="D857" i="64"/>
  <c r="S717" i="64"/>
  <c r="F717" i="64"/>
  <c r="E215" i="74"/>
  <c r="E218" i="74"/>
  <c r="F218" i="74"/>
  <c r="F215" i="74"/>
  <c r="C834" i="64"/>
  <c r="H834" i="64"/>
  <c r="I224" i="64" s="1"/>
  <c r="Q1003" i="64"/>
  <c r="F834" i="64"/>
  <c r="G224" i="64" s="1"/>
  <c r="G834" i="64"/>
  <c r="H224" i="64" s="1"/>
  <c r="N854" i="64"/>
  <c r="O242" i="64" s="1"/>
  <c r="L854" i="64"/>
  <c r="M242" i="64" s="1"/>
  <c r="J854" i="64"/>
  <c r="K242" i="64" s="1"/>
  <c r="F854" i="64"/>
  <c r="G242" i="64" s="1"/>
  <c r="Q854" i="64"/>
  <c r="R242" i="64" s="1"/>
  <c r="C854" i="64"/>
  <c r="K854" i="64"/>
  <c r="L242" i="64" s="1"/>
  <c r="P854" i="64"/>
  <c r="Q242" i="64" s="1"/>
  <c r="Q1023" i="64"/>
  <c r="G854" i="64"/>
  <c r="H242" i="64" s="1"/>
  <c r="M854" i="64"/>
  <c r="N242" i="64" s="1"/>
  <c r="O854" i="64"/>
  <c r="P242" i="64" s="1"/>
  <c r="I854" i="64"/>
  <c r="J242" i="64" s="1"/>
  <c r="H854" i="64"/>
  <c r="I242" i="64" s="1"/>
  <c r="B603" i="74"/>
  <c r="B624" i="74" s="1"/>
  <c r="B736" i="74"/>
  <c r="I433" i="73" s="1"/>
  <c r="B611" i="74"/>
  <c r="B632" i="74" s="1"/>
  <c r="B744" i="74"/>
  <c r="I441" i="73" s="1"/>
  <c r="B609" i="74"/>
  <c r="B630" i="74" s="1"/>
  <c r="B742" i="74"/>
  <c r="I439" i="73" s="1"/>
  <c r="I2273" i="79"/>
  <c r="I2274" i="79"/>
  <c r="F168" i="74"/>
  <c r="E168" i="74"/>
  <c r="F165" i="74"/>
  <c r="E165" i="74"/>
  <c r="E238" i="74" s="1"/>
  <c r="D865" i="64"/>
  <c r="G794" i="64"/>
  <c r="H794" i="64"/>
  <c r="F794" i="64"/>
  <c r="C794" i="64"/>
  <c r="S794" i="64" s="1"/>
  <c r="E571" i="74"/>
  <c r="E573" i="74"/>
  <c r="D867" i="64"/>
  <c r="N796" i="64"/>
  <c r="L796" i="64"/>
  <c r="O796" i="64"/>
  <c r="J796" i="64"/>
  <c r="H796" i="64"/>
  <c r="I796" i="64"/>
  <c r="K796" i="64"/>
  <c r="F796" i="64"/>
  <c r="C796" i="64"/>
  <c r="S796" i="64" s="1"/>
  <c r="AF796" i="64" s="1"/>
  <c r="M796" i="64"/>
  <c r="G796" i="64"/>
  <c r="Q796" i="64"/>
  <c r="P796" i="64"/>
  <c r="G851" i="64"/>
  <c r="H239" i="64" s="1"/>
  <c r="H851" i="64"/>
  <c r="I239" i="64" s="1"/>
  <c r="Q1020" i="64"/>
  <c r="C851" i="64"/>
  <c r="F851" i="64"/>
  <c r="G239" i="64" s="1"/>
  <c r="E578" i="74"/>
  <c r="AK324" i="79"/>
  <c r="M1516" i="79"/>
  <c r="AI283" i="79"/>
  <c r="Q1594" i="79"/>
  <c r="B619" i="74"/>
  <c r="B640" i="74" s="1"/>
  <c r="B752" i="74"/>
  <c r="I449" i="73" s="1"/>
  <c r="N777" i="64"/>
  <c r="M777" i="64"/>
  <c r="G777" i="64"/>
  <c r="I777" i="64"/>
  <c r="H777" i="64"/>
  <c r="D848" i="64"/>
  <c r="J777" i="64"/>
  <c r="F777" i="64"/>
  <c r="P777" i="64"/>
  <c r="O777" i="64"/>
  <c r="K777" i="64"/>
  <c r="L777" i="64"/>
  <c r="Q777" i="64"/>
  <c r="C777" i="64"/>
  <c r="F722" i="64"/>
  <c r="S722" i="64"/>
  <c r="AS718" i="64"/>
  <c r="AF718" i="64"/>
  <c r="Q795" i="64"/>
  <c r="K795" i="64"/>
  <c r="F795" i="64"/>
  <c r="C795" i="64"/>
  <c r="G795" i="64"/>
  <c r="P795" i="64"/>
  <c r="D866" i="64"/>
  <c r="N795" i="64"/>
  <c r="L795" i="64"/>
  <c r="J795" i="64"/>
  <c r="H795" i="64"/>
  <c r="O795" i="64"/>
  <c r="I795" i="64"/>
  <c r="M795" i="64"/>
  <c r="E572" i="74"/>
  <c r="E570" i="74"/>
  <c r="F570" i="74" s="1"/>
  <c r="E315" i="40"/>
  <c r="G12" i="40"/>
  <c r="F315" i="40" s="1"/>
  <c r="G65" i="40"/>
  <c r="F358" i="40" s="1"/>
  <c r="E358" i="40"/>
  <c r="E361" i="40"/>
  <c r="G68" i="40"/>
  <c r="F361" i="40" s="1"/>
  <c r="D859" i="64"/>
  <c r="F788" i="64"/>
  <c r="C788" i="64"/>
  <c r="E566" i="74"/>
  <c r="F716" i="64"/>
  <c r="S716" i="64"/>
  <c r="E567" i="74"/>
  <c r="F714" i="64"/>
  <c r="S714" i="64"/>
  <c r="E564" i="74"/>
  <c r="B617" i="74"/>
  <c r="B638" i="74" s="1"/>
  <c r="B750" i="74"/>
  <c r="I447" i="73" s="1"/>
  <c r="E576" i="74"/>
  <c r="F145" i="74"/>
  <c r="E148" i="74"/>
  <c r="E145" i="74"/>
  <c r="E236" i="74" s="1"/>
  <c r="F148" i="74"/>
  <c r="B615" i="74"/>
  <c r="B636" i="74" s="1"/>
  <c r="B748" i="74"/>
  <c r="I445" i="73" s="1"/>
  <c r="AS725" i="64"/>
  <c r="AF725" i="64"/>
  <c r="B753" i="74"/>
  <c r="I450" i="73" s="1"/>
  <c r="B620" i="74"/>
  <c r="B641" i="74" s="1"/>
  <c r="S2126" i="79"/>
  <c r="O2126" i="79"/>
  <c r="K2126" i="79"/>
  <c r="P2126" i="79"/>
  <c r="J2126" i="79"/>
  <c r="R2111" i="79"/>
  <c r="N2111" i="79"/>
  <c r="J2111" i="79"/>
  <c r="T2126" i="79"/>
  <c r="N2126" i="79"/>
  <c r="I2126" i="79"/>
  <c r="Q2111" i="79"/>
  <c r="M2111" i="79"/>
  <c r="I2111" i="79"/>
  <c r="T2095" i="79"/>
  <c r="P2095" i="79"/>
  <c r="L2095" i="79"/>
  <c r="S2080" i="79"/>
  <c r="O2080" i="79"/>
  <c r="K2080" i="79"/>
  <c r="AP2054" i="79"/>
  <c r="AL2054" i="79"/>
  <c r="AH2054" i="79"/>
  <c r="T2054" i="79"/>
  <c r="P2054" i="79"/>
  <c r="L2054" i="79"/>
  <c r="R2126" i="79"/>
  <c r="M2126" i="79"/>
  <c r="T2111" i="79"/>
  <c r="P2111" i="79"/>
  <c r="L2111" i="79"/>
  <c r="S2095" i="79"/>
  <c r="O2095" i="79"/>
  <c r="K2095" i="79"/>
  <c r="R2080" i="79"/>
  <c r="N2080" i="79"/>
  <c r="J2080" i="79"/>
  <c r="AO2054" i="79"/>
  <c r="AK2054" i="79"/>
  <c r="AG2054" i="79"/>
  <c r="S2054" i="79"/>
  <c r="O2054" i="79"/>
  <c r="K2054" i="79"/>
  <c r="Q2126" i="79"/>
  <c r="Q2095" i="79"/>
  <c r="I2095" i="79"/>
  <c r="T2080" i="79"/>
  <c r="L2080" i="79"/>
  <c r="AN2054" i="79"/>
  <c r="AF2054" i="79"/>
  <c r="N2054" i="79"/>
  <c r="L2126" i="79"/>
  <c r="S2111" i="79"/>
  <c r="O2111" i="79"/>
  <c r="M2095" i="79"/>
  <c r="P2080" i="79"/>
  <c r="N2095" i="79"/>
  <c r="I2080" i="79"/>
  <c r="AJ2054" i="79"/>
  <c r="J2095" i="79"/>
  <c r="AI2054" i="79"/>
  <c r="M2054" i="79"/>
  <c r="AP2018" i="79"/>
  <c r="AM2054" i="79"/>
  <c r="J2054" i="79"/>
  <c r="K2111" i="79"/>
  <c r="Q2080" i="79"/>
  <c r="I2054" i="79"/>
  <c r="M2080" i="79"/>
  <c r="R2054" i="79"/>
  <c r="AQ2018" i="79"/>
  <c r="AL2018" i="79"/>
  <c r="AH2018" i="79"/>
  <c r="T2018" i="79"/>
  <c r="P2018" i="79"/>
  <c r="L2018" i="79"/>
  <c r="R2095" i="79"/>
  <c r="AQ2054" i="79"/>
  <c r="Q2054" i="79"/>
  <c r="AO2018" i="79"/>
  <c r="AK2018" i="79"/>
  <c r="AG2018" i="79"/>
  <c r="S2018" i="79"/>
  <c r="O2018" i="79"/>
  <c r="K2018" i="79"/>
  <c r="AN1983" i="79"/>
  <c r="AJ1983" i="79"/>
  <c r="AF1983" i="79"/>
  <c r="R1983" i="79"/>
  <c r="N1983" i="79"/>
  <c r="J1983" i="79"/>
  <c r="AI2018" i="79"/>
  <c r="Q2018" i="79"/>
  <c r="I2018" i="79"/>
  <c r="AP1983" i="79"/>
  <c r="AK1983" i="79"/>
  <c r="P1983" i="79"/>
  <c r="K1983" i="79"/>
  <c r="AO1947" i="79"/>
  <c r="AK1947" i="79"/>
  <c r="AG1947" i="79"/>
  <c r="S1947" i="79"/>
  <c r="O1947" i="79"/>
  <c r="K1947" i="79"/>
  <c r="AN2018" i="79"/>
  <c r="AF2018" i="79"/>
  <c r="N2018" i="79"/>
  <c r="AO1983" i="79"/>
  <c r="AI1983" i="79"/>
  <c r="T1983" i="79"/>
  <c r="O1983" i="79"/>
  <c r="I1983" i="79"/>
  <c r="AN1947" i="79"/>
  <c r="AJ1947" i="79"/>
  <c r="AF1947" i="79"/>
  <c r="R1947" i="79"/>
  <c r="N1947" i="79"/>
  <c r="J1947" i="79"/>
  <c r="AM2018" i="79"/>
  <c r="M2018" i="79"/>
  <c r="AM1983" i="79"/>
  <c r="AH1983" i="79"/>
  <c r="S1983" i="79"/>
  <c r="M1983" i="79"/>
  <c r="AQ1947" i="79"/>
  <c r="AM1947" i="79"/>
  <c r="AI1947" i="79"/>
  <c r="Q1947" i="79"/>
  <c r="M1947" i="79"/>
  <c r="I1947" i="79"/>
  <c r="AJ2018" i="79"/>
  <c r="R2018" i="79"/>
  <c r="J2018" i="79"/>
  <c r="AQ1983" i="79"/>
  <c r="AL1983" i="79"/>
  <c r="AG1983" i="79"/>
  <c r="Q1983" i="79"/>
  <c r="L1983" i="79"/>
  <c r="AP1947" i="79"/>
  <c r="AL1947" i="79"/>
  <c r="AH1947" i="79"/>
  <c r="T1947" i="79"/>
  <c r="P1947" i="79"/>
  <c r="L1947" i="79"/>
  <c r="AQ1911" i="79"/>
  <c r="AM1911" i="79"/>
  <c r="AI1911" i="79"/>
  <c r="Q1911" i="79"/>
  <c r="M1911" i="79"/>
  <c r="I1911" i="79"/>
  <c r="AN1875" i="79"/>
  <c r="AJ1875" i="79"/>
  <c r="AF1875" i="79"/>
  <c r="R1875" i="79"/>
  <c r="N1875" i="79"/>
  <c r="J1875" i="79"/>
  <c r="AO1839" i="79"/>
  <c r="AK1839" i="79"/>
  <c r="AG1839" i="79"/>
  <c r="S1839" i="79"/>
  <c r="O1839" i="79"/>
  <c r="K1839" i="79"/>
  <c r="AP1803" i="79"/>
  <c r="AL1803" i="79"/>
  <c r="AH1803" i="79"/>
  <c r="T1803" i="79"/>
  <c r="P1803" i="79"/>
  <c r="L1803" i="79"/>
  <c r="AP1911" i="79"/>
  <c r="AL1911" i="79"/>
  <c r="AH1911" i="79"/>
  <c r="T1911" i="79"/>
  <c r="P1911" i="79"/>
  <c r="L1911" i="79"/>
  <c r="AQ1875" i="79"/>
  <c r="AM1875" i="79"/>
  <c r="AI1875" i="79"/>
  <c r="Q1875" i="79"/>
  <c r="M1875" i="79"/>
  <c r="I1875" i="79"/>
  <c r="AN1839" i="79"/>
  <c r="AJ1839" i="79"/>
  <c r="AF1839" i="79"/>
  <c r="R1839" i="79"/>
  <c r="N1839" i="79"/>
  <c r="J1839" i="79"/>
  <c r="AO1803" i="79"/>
  <c r="AK1803" i="79"/>
  <c r="AG1803" i="79"/>
  <c r="S1803" i="79"/>
  <c r="O1803" i="79"/>
  <c r="K1803" i="79"/>
  <c r="AO1911" i="79"/>
  <c r="AK1911" i="79"/>
  <c r="AG1911" i="79"/>
  <c r="S1911" i="79"/>
  <c r="O1911" i="79"/>
  <c r="K1911" i="79"/>
  <c r="AP1875" i="79"/>
  <c r="AL1875" i="79"/>
  <c r="AH1875" i="79"/>
  <c r="T1875" i="79"/>
  <c r="P1875" i="79"/>
  <c r="L1875" i="79"/>
  <c r="AQ1839" i="79"/>
  <c r="AM1839" i="79"/>
  <c r="AI1839" i="79"/>
  <c r="Q1839" i="79"/>
  <c r="M1839" i="79"/>
  <c r="I1839" i="79"/>
  <c r="AN1803" i="79"/>
  <c r="AJ1803" i="79"/>
  <c r="AF1803" i="79"/>
  <c r="R1803" i="79"/>
  <c r="N1803" i="79"/>
  <c r="J1803" i="79"/>
  <c r="AN1911" i="79"/>
  <c r="AJ1911" i="79"/>
  <c r="AF1911" i="79"/>
  <c r="R1911" i="79"/>
  <c r="N1911" i="79"/>
  <c r="J1911" i="79"/>
  <c r="AO1875" i="79"/>
  <c r="AK1875" i="79"/>
  <c r="AG1875" i="79"/>
  <c r="S1875" i="79"/>
  <c r="O1875" i="79"/>
  <c r="K1875" i="79"/>
  <c r="AP1839" i="79"/>
  <c r="AL1839" i="79"/>
  <c r="AH1839" i="79"/>
  <c r="T1839" i="79"/>
  <c r="P1839" i="79"/>
  <c r="L1839" i="79"/>
  <c r="AQ1803" i="79"/>
  <c r="AM1803" i="79"/>
  <c r="AI1803" i="79"/>
  <c r="Q1803" i="79"/>
  <c r="M1803" i="79"/>
  <c r="I1803" i="79"/>
  <c r="AQ1767" i="79"/>
  <c r="AM1767" i="79"/>
  <c r="AI1767" i="79"/>
  <c r="Q1767" i="79"/>
  <c r="M1767" i="79"/>
  <c r="I1767" i="79"/>
  <c r="AN1731" i="79"/>
  <c r="AJ1731" i="79"/>
  <c r="AF1731" i="79"/>
  <c r="AO1695" i="79"/>
  <c r="AK1695" i="79"/>
  <c r="AG1695" i="79"/>
  <c r="AP1767" i="79"/>
  <c r="AL1767" i="79"/>
  <c r="AH1767" i="79"/>
  <c r="T1767" i="79"/>
  <c r="P1767" i="79"/>
  <c r="L1767" i="79"/>
  <c r="AQ1731" i="79"/>
  <c r="AM1731" i="79"/>
  <c r="AI1731" i="79"/>
  <c r="AN1695" i="79"/>
  <c r="AJ1695" i="79"/>
  <c r="AF1695" i="79"/>
  <c r="AO1767" i="79"/>
  <c r="AK1767" i="79"/>
  <c r="AG1767" i="79"/>
  <c r="S1767" i="79"/>
  <c r="O1767" i="79"/>
  <c r="K1767" i="79"/>
  <c r="AP1731" i="79"/>
  <c r="AL1731" i="79"/>
  <c r="AH1731" i="79"/>
  <c r="AQ1695" i="79"/>
  <c r="AM1695" i="79"/>
  <c r="AI1695" i="79"/>
  <c r="AN1767" i="79"/>
  <c r="AJ1767" i="79"/>
  <c r="AF1767" i="79"/>
  <c r="R1767" i="79"/>
  <c r="N1767" i="79"/>
  <c r="J1767" i="79"/>
  <c r="AO1731" i="79"/>
  <c r="AK1731" i="79"/>
  <c r="AG1731" i="79"/>
  <c r="AP1695" i="79"/>
  <c r="AL1695" i="79"/>
  <c r="AH1695" i="79"/>
  <c r="AP2062" i="79"/>
  <c r="AL2062" i="79"/>
  <c r="AH2062" i="79"/>
  <c r="T2062" i="79"/>
  <c r="P2062" i="79"/>
  <c r="L2062" i="79"/>
  <c r="AO2062" i="79"/>
  <c r="AK2062" i="79"/>
  <c r="AG2062" i="79"/>
  <c r="S2062" i="79"/>
  <c r="O2062" i="79"/>
  <c r="K2062" i="79"/>
  <c r="AN2062" i="79"/>
  <c r="AF2062" i="79"/>
  <c r="N2062" i="79"/>
  <c r="AN2026" i="79"/>
  <c r="AJ2026" i="79"/>
  <c r="AF2026" i="79"/>
  <c r="R2026" i="79"/>
  <c r="N2026" i="79"/>
  <c r="J2026" i="79"/>
  <c r="AJ2062" i="79"/>
  <c r="R2062" i="79"/>
  <c r="J2062" i="79"/>
  <c r="AQ2062" i="79"/>
  <c r="Q2062" i="79"/>
  <c r="AM2062" i="79"/>
  <c r="M2062" i="79"/>
  <c r="AM2026" i="79"/>
  <c r="AH2026" i="79"/>
  <c r="S2026" i="79"/>
  <c r="M2026" i="79"/>
  <c r="I2062" i="79"/>
  <c r="AP2026" i="79"/>
  <c r="AI2026" i="79"/>
  <c r="Q2026" i="79"/>
  <c r="K2026" i="79"/>
  <c r="AO1991" i="79"/>
  <c r="AK1991" i="79"/>
  <c r="AG1991" i="79"/>
  <c r="S1991" i="79"/>
  <c r="O1991" i="79"/>
  <c r="K1991" i="79"/>
  <c r="AI2062" i="79"/>
  <c r="AO2026" i="79"/>
  <c r="AG2026" i="79"/>
  <c r="P2026" i="79"/>
  <c r="I2026" i="79"/>
  <c r="AN1991" i="79"/>
  <c r="AJ1991" i="79"/>
  <c r="AF1991" i="79"/>
  <c r="R1991" i="79"/>
  <c r="N1991" i="79"/>
  <c r="J1991" i="79"/>
  <c r="AQ2026" i="79"/>
  <c r="T2026" i="79"/>
  <c r="AQ1991" i="79"/>
  <c r="AI1991" i="79"/>
  <c r="Q1991" i="79"/>
  <c r="I1991" i="79"/>
  <c r="AO1955" i="79"/>
  <c r="AK1955" i="79"/>
  <c r="AG1955" i="79"/>
  <c r="S1955" i="79"/>
  <c r="O1955" i="79"/>
  <c r="K1955" i="79"/>
  <c r="AL2026" i="79"/>
  <c r="O2026" i="79"/>
  <c r="AP1991" i="79"/>
  <c r="AH1991" i="79"/>
  <c r="P1991" i="79"/>
  <c r="AN1955" i="79"/>
  <c r="AJ1955" i="79"/>
  <c r="AF1955" i="79"/>
  <c r="R1955" i="79"/>
  <c r="N1955" i="79"/>
  <c r="J1955" i="79"/>
  <c r="AK2026" i="79"/>
  <c r="L2026" i="79"/>
  <c r="AM1991" i="79"/>
  <c r="M1991" i="79"/>
  <c r="AQ1955" i="79"/>
  <c r="AM1955" i="79"/>
  <c r="AI1955" i="79"/>
  <c r="Q1955" i="79"/>
  <c r="M1955" i="79"/>
  <c r="I1955" i="79"/>
  <c r="AL1991" i="79"/>
  <c r="T1991" i="79"/>
  <c r="L1991" i="79"/>
  <c r="AP1955" i="79"/>
  <c r="AL1955" i="79"/>
  <c r="AH1955" i="79"/>
  <c r="T1955" i="79"/>
  <c r="P1955" i="79"/>
  <c r="L1955" i="79"/>
  <c r="AQ1919" i="79"/>
  <c r="AM1919" i="79"/>
  <c r="AI1919" i="79"/>
  <c r="Q1919" i="79"/>
  <c r="M1919" i="79"/>
  <c r="I1919" i="79"/>
  <c r="AN1883" i="79"/>
  <c r="AJ1883" i="79"/>
  <c r="AF1883" i="79"/>
  <c r="R1883" i="79"/>
  <c r="N1883" i="79"/>
  <c r="J1883" i="79"/>
  <c r="AO1847" i="79"/>
  <c r="AK1847" i="79"/>
  <c r="AG1847" i="79"/>
  <c r="S1847" i="79"/>
  <c r="O1847" i="79"/>
  <c r="K1847" i="79"/>
  <c r="AP1811" i="79"/>
  <c r="AL1811" i="79"/>
  <c r="AH1811" i="79"/>
  <c r="T1811" i="79"/>
  <c r="P1811" i="79"/>
  <c r="L1811" i="79"/>
  <c r="AP1919" i="79"/>
  <c r="AL1919" i="79"/>
  <c r="AH1919" i="79"/>
  <c r="T1919" i="79"/>
  <c r="P1919" i="79"/>
  <c r="L1919" i="79"/>
  <c r="AQ1883" i="79"/>
  <c r="AM1883" i="79"/>
  <c r="AI1883" i="79"/>
  <c r="Q1883" i="79"/>
  <c r="M1883" i="79"/>
  <c r="I1883" i="79"/>
  <c r="AN1847" i="79"/>
  <c r="AJ1847" i="79"/>
  <c r="AF1847" i="79"/>
  <c r="R1847" i="79"/>
  <c r="N1847" i="79"/>
  <c r="J1847" i="79"/>
  <c r="AO1811" i="79"/>
  <c r="AK1811" i="79"/>
  <c r="AG1811" i="79"/>
  <c r="S1811" i="79"/>
  <c r="O1811" i="79"/>
  <c r="K1811" i="79"/>
  <c r="AO1919" i="79"/>
  <c r="AK1919" i="79"/>
  <c r="AG1919" i="79"/>
  <c r="S1919" i="79"/>
  <c r="O1919" i="79"/>
  <c r="K1919" i="79"/>
  <c r="AP1883" i="79"/>
  <c r="AL1883" i="79"/>
  <c r="AH1883" i="79"/>
  <c r="T1883" i="79"/>
  <c r="P1883" i="79"/>
  <c r="L1883" i="79"/>
  <c r="AQ1847" i="79"/>
  <c r="AM1847" i="79"/>
  <c r="AI1847" i="79"/>
  <c r="Q1847" i="79"/>
  <c r="M1847" i="79"/>
  <c r="I1847" i="79"/>
  <c r="AN1811" i="79"/>
  <c r="AJ1811" i="79"/>
  <c r="AF1811" i="79"/>
  <c r="R1811" i="79"/>
  <c r="N1811" i="79"/>
  <c r="J1811" i="79"/>
  <c r="AN1919" i="79"/>
  <c r="AJ1919" i="79"/>
  <c r="AF1919" i="79"/>
  <c r="R1919" i="79"/>
  <c r="N1919" i="79"/>
  <c r="J1919" i="79"/>
  <c r="AO1883" i="79"/>
  <c r="AK1883" i="79"/>
  <c r="AG1883" i="79"/>
  <c r="S1883" i="79"/>
  <c r="O1883" i="79"/>
  <c r="K1883" i="79"/>
  <c r="AP1847" i="79"/>
  <c r="AL1847" i="79"/>
  <c r="AH1847" i="79"/>
  <c r="T1847" i="79"/>
  <c r="P1847" i="79"/>
  <c r="L1847" i="79"/>
  <c r="AQ1811" i="79"/>
  <c r="AM1811" i="79"/>
  <c r="AI1811" i="79"/>
  <c r="Q1811" i="79"/>
  <c r="M1811" i="79"/>
  <c r="I1811" i="79"/>
  <c r="AQ1775" i="79"/>
  <c r="AM1775" i="79"/>
  <c r="AI1775" i="79"/>
  <c r="Q1775" i="79"/>
  <c r="M1775" i="79"/>
  <c r="I1775" i="79"/>
  <c r="AN1739" i="79"/>
  <c r="AJ1739" i="79"/>
  <c r="AF1739" i="79"/>
  <c r="R1739" i="79"/>
  <c r="N1739" i="79"/>
  <c r="J1739" i="79"/>
  <c r="AO1703" i="79"/>
  <c r="AK1703" i="79"/>
  <c r="AG1703" i="79"/>
  <c r="S1703" i="79"/>
  <c r="O1703" i="79"/>
  <c r="K1703" i="79"/>
  <c r="AP1775" i="79"/>
  <c r="AL1775" i="79"/>
  <c r="AH1775" i="79"/>
  <c r="T1775" i="79"/>
  <c r="P1775" i="79"/>
  <c r="L1775" i="79"/>
  <c r="AQ1739" i="79"/>
  <c r="AM1739" i="79"/>
  <c r="AI1739" i="79"/>
  <c r="Q1739" i="79"/>
  <c r="M1739" i="79"/>
  <c r="I1739" i="79"/>
  <c r="AN1703" i="79"/>
  <c r="AJ1703" i="79"/>
  <c r="AF1703" i="79"/>
  <c r="R1703" i="79"/>
  <c r="N1703" i="79"/>
  <c r="J1703" i="79"/>
  <c r="AO1775" i="79"/>
  <c r="AK1775" i="79"/>
  <c r="AG1775" i="79"/>
  <c r="S1775" i="79"/>
  <c r="O1775" i="79"/>
  <c r="K1775" i="79"/>
  <c r="AP1739" i="79"/>
  <c r="AL1739" i="79"/>
  <c r="AH1739" i="79"/>
  <c r="T1739" i="79"/>
  <c r="P1739" i="79"/>
  <c r="L1739" i="79"/>
  <c r="AQ1703" i="79"/>
  <c r="AM1703" i="79"/>
  <c r="AI1703" i="79"/>
  <c r="Q1703" i="79"/>
  <c r="M1703" i="79"/>
  <c r="I1703" i="79"/>
  <c r="AQ1667" i="79"/>
  <c r="AM1667" i="79"/>
  <c r="AI1667" i="79"/>
  <c r="Q1667" i="79"/>
  <c r="M1667" i="79"/>
  <c r="I1667" i="79"/>
  <c r="AN1775" i="79"/>
  <c r="AJ1775" i="79"/>
  <c r="AF1775" i="79"/>
  <c r="R1775" i="79"/>
  <c r="N1775" i="79"/>
  <c r="J1775" i="79"/>
  <c r="AO1739" i="79"/>
  <c r="AK1739" i="79"/>
  <c r="AG1739" i="79"/>
  <c r="S1739" i="79"/>
  <c r="O1739" i="79"/>
  <c r="K1739" i="79"/>
  <c r="AP1703" i="79"/>
  <c r="AL1703" i="79"/>
  <c r="AH1703" i="79"/>
  <c r="T1703" i="79"/>
  <c r="P1703" i="79"/>
  <c r="L1703" i="79"/>
  <c r="AP1667" i="79"/>
  <c r="AL1667" i="79"/>
  <c r="AH1667" i="79"/>
  <c r="T1667" i="79"/>
  <c r="P1667" i="79"/>
  <c r="L1667" i="79"/>
  <c r="AJ1667" i="79"/>
  <c r="R1667" i="79"/>
  <c r="J1667" i="79"/>
  <c r="AO1667" i="79"/>
  <c r="AG1667" i="79"/>
  <c r="O1667" i="79"/>
  <c r="AN1667" i="79"/>
  <c r="AF1667" i="79"/>
  <c r="N1667" i="79"/>
  <c r="AK1667" i="79"/>
  <c r="S1667" i="79"/>
  <c r="K1667" i="79"/>
  <c r="Q2128" i="79"/>
  <c r="M2128" i="79"/>
  <c r="I2128" i="79"/>
  <c r="P2128" i="79"/>
  <c r="K2128" i="79"/>
  <c r="S2097" i="79"/>
  <c r="O2097" i="79"/>
  <c r="K2097" i="79"/>
  <c r="T2128" i="79"/>
  <c r="O2128" i="79"/>
  <c r="J2128" i="79"/>
  <c r="R2097" i="79"/>
  <c r="N2097" i="79"/>
  <c r="J2097" i="79"/>
  <c r="AP2056" i="79"/>
  <c r="AL2056" i="79"/>
  <c r="AH2056" i="79"/>
  <c r="T2056" i="79"/>
  <c r="P2056" i="79"/>
  <c r="L2056" i="79"/>
  <c r="S2128" i="79"/>
  <c r="N2128" i="79"/>
  <c r="Q2097" i="79"/>
  <c r="M2097" i="79"/>
  <c r="I2097" i="79"/>
  <c r="AO2056" i="79"/>
  <c r="AK2056" i="79"/>
  <c r="AG2056" i="79"/>
  <c r="S2056" i="79"/>
  <c r="O2056" i="79"/>
  <c r="K2056" i="79"/>
  <c r="L2128" i="79"/>
  <c r="P2097" i="79"/>
  <c r="AJ2056" i="79"/>
  <c r="R2056" i="79"/>
  <c r="J2056" i="79"/>
  <c r="L2097" i="79"/>
  <c r="AM2056" i="79"/>
  <c r="Q2056" i="79"/>
  <c r="AI2056" i="79"/>
  <c r="N2056" i="79"/>
  <c r="AP2020" i="79"/>
  <c r="AL2020" i="79"/>
  <c r="AH2020" i="79"/>
  <c r="T2020" i="79"/>
  <c r="P2020" i="79"/>
  <c r="L2020" i="79"/>
  <c r="T2097" i="79"/>
  <c r="AQ2056" i="79"/>
  <c r="M2056" i="79"/>
  <c r="AN2056" i="79"/>
  <c r="I2056" i="79"/>
  <c r="AM2020" i="79"/>
  <c r="AG2020" i="79"/>
  <c r="R2020" i="79"/>
  <c r="M2020" i="79"/>
  <c r="R2128" i="79"/>
  <c r="AF2056" i="79"/>
  <c r="AQ2020" i="79"/>
  <c r="AK2020" i="79"/>
  <c r="AF2020" i="79"/>
  <c r="Q2020" i="79"/>
  <c r="K2020" i="79"/>
  <c r="AN1985" i="79"/>
  <c r="AJ1985" i="79"/>
  <c r="AF1985" i="79"/>
  <c r="R1985" i="79"/>
  <c r="N1985" i="79"/>
  <c r="J1985" i="79"/>
  <c r="AI2020" i="79"/>
  <c r="N2020" i="79"/>
  <c r="AQ1985" i="79"/>
  <c r="AL1985" i="79"/>
  <c r="AG1985" i="79"/>
  <c r="Q1985" i="79"/>
  <c r="L1985" i="79"/>
  <c r="AO1949" i="79"/>
  <c r="AK1949" i="79"/>
  <c r="AG1949" i="79"/>
  <c r="S1949" i="79"/>
  <c r="O1949" i="79"/>
  <c r="K1949" i="79"/>
  <c r="AO2020" i="79"/>
  <c r="J2020" i="79"/>
  <c r="AP1985" i="79"/>
  <c r="AK1985" i="79"/>
  <c r="P1985" i="79"/>
  <c r="K1985" i="79"/>
  <c r="AN1949" i="79"/>
  <c r="AJ1949" i="79"/>
  <c r="AF1949" i="79"/>
  <c r="R1949" i="79"/>
  <c r="N1949" i="79"/>
  <c r="J1949" i="79"/>
  <c r="AN2020" i="79"/>
  <c r="S2020" i="79"/>
  <c r="I2020" i="79"/>
  <c r="AO1985" i="79"/>
  <c r="AI1985" i="79"/>
  <c r="T1985" i="79"/>
  <c r="O1985" i="79"/>
  <c r="I1985" i="79"/>
  <c r="AQ1949" i="79"/>
  <c r="AM1949" i="79"/>
  <c r="AI1949" i="79"/>
  <c r="Q1949" i="79"/>
  <c r="M1949" i="79"/>
  <c r="I1949" i="79"/>
  <c r="AJ2020" i="79"/>
  <c r="O2020" i="79"/>
  <c r="AM1985" i="79"/>
  <c r="AH1985" i="79"/>
  <c r="S1985" i="79"/>
  <c r="M1985" i="79"/>
  <c r="AP1949" i="79"/>
  <c r="AL1949" i="79"/>
  <c r="AH1949" i="79"/>
  <c r="T1949" i="79"/>
  <c r="P1949" i="79"/>
  <c r="L1949" i="79"/>
  <c r="AQ1913" i="79"/>
  <c r="AM1913" i="79"/>
  <c r="AI1913" i="79"/>
  <c r="Q1913" i="79"/>
  <c r="M1913" i="79"/>
  <c r="I1913" i="79"/>
  <c r="AN1877" i="79"/>
  <c r="AJ1877" i="79"/>
  <c r="AF1877" i="79"/>
  <c r="R1877" i="79"/>
  <c r="N1877" i="79"/>
  <c r="J1877" i="79"/>
  <c r="AO1841" i="79"/>
  <c r="AK1841" i="79"/>
  <c r="AG1841" i="79"/>
  <c r="S1841" i="79"/>
  <c r="O1841" i="79"/>
  <c r="K1841" i="79"/>
  <c r="AP1805" i="79"/>
  <c r="AL1805" i="79"/>
  <c r="AH1805" i="79"/>
  <c r="T1805" i="79"/>
  <c r="P1805" i="79"/>
  <c r="L1805" i="79"/>
  <c r="AP1913" i="79"/>
  <c r="AL1913" i="79"/>
  <c r="AH1913" i="79"/>
  <c r="T1913" i="79"/>
  <c r="P1913" i="79"/>
  <c r="L1913" i="79"/>
  <c r="AQ1877" i="79"/>
  <c r="AM1877" i="79"/>
  <c r="AI1877" i="79"/>
  <c r="Q1877" i="79"/>
  <c r="M1877" i="79"/>
  <c r="I1877" i="79"/>
  <c r="AN1841" i="79"/>
  <c r="AJ1841" i="79"/>
  <c r="AF1841" i="79"/>
  <c r="R1841" i="79"/>
  <c r="N1841" i="79"/>
  <c r="J1841" i="79"/>
  <c r="AO1805" i="79"/>
  <c r="AK1805" i="79"/>
  <c r="AG1805" i="79"/>
  <c r="S1805" i="79"/>
  <c r="O1805" i="79"/>
  <c r="K1805" i="79"/>
  <c r="AO1913" i="79"/>
  <c r="AK1913" i="79"/>
  <c r="AG1913" i="79"/>
  <c r="S1913" i="79"/>
  <c r="O1913" i="79"/>
  <c r="K1913" i="79"/>
  <c r="AP1877" i="79"/>
  <c r="AL1877" i="79"/>
  <c r="AH1877" i="79"/>
  <c r="T1877" i="79"/>
  <c r="P1877" i="79"/>
  <c r="L1877" i="79"/>
  <c r="AQ1841" i="79"/>
  <c r="AM1841" i="79"/>
  <c r="AI1841" i="79"/>
  <c r="Q1841" i="79"/>
  <c r="M1841" i="79"/>
  <c r="I1841" i="79"/>
  <c r="AN1805" i="79"/>
  <c r="AJ1805" i="79"/>
  <c r="AF1805" i="79"/>
  <c r="R1805" i="79"/>
  <c r="N1805" i="79"/>
  <c r="J1805" i="79"/>
  <c r="AN1913" i="79"/>
  <c r="AJ1913" i="79"/>
  <c r="AF1913" i="79"/>
  <c r="R1913" i="79"/>
  <c r="N1913" i="79"/>
  <c r="J1913" i="79"/>
  <c r="AO1877" i="79"/>
  <c r="AK1877" i="79"/>
  <c r="AG1877" i="79"/>
  <c r="S1877" i="79"/>
  <c r="O1877" i="79"/>
  <c r="K1877" i="79"/>
  <c r="AP1841" i="79"/>
  <c r="AL1841" i="79"/>
  <c r="AH1841" i="79"/>
  <c r="T1841" i="79"/>
  <c r="P1841" i="79"/>
  <c r="L1841" i="79"/>
  <c r="AQ1805" i="79"/>
  <c r="AM1805" i="79"/>
  <c r="AI1805" i="79"/>
  <c r="Q1805" i="79"/>
  <c r="M1805" i="79"/>
  <c r="I1805" i="79"/>
  <c r="AQ1769" i="79"/>
  <c r="AM1769" i="79"/>
  <c r="AI1769" i="79"/>
  <c r="Q1769" i="79"/>
  <c r="M1769" i="79"/>
  <c r="I1769" i="79"/>
  <c r="R1733" i="79"/>
  <c r="N1733" i="79"/>
  <c r="J1733" i="79"/>
  <c r="AO1697" i="79"/>
  <c r="AK1697" i="79"/>
  <c r="AG1697" i="79"/>
  <c r="S1697" i="79"/>
  <c r="O1697" i="79"/>
  <c r="K1697" i="79"/>
  <c r="AP1769" i="79"/>
  <c r="AL1769" i="79"/>
  <c r="AH1769" i="79"/>
  <c r="T1769" i="79"/>
  <c r="P1769" i="79"/>
  <c r="L1769" i="79"/>
  <c r="Q1733" i="79"/>
  <c r="M1733" i="79"/>
  <c r="I1733" i="79"/>
  <c r="AN1697" i="79"/>
  <c r="AJ1697" i="79"/>
  <c r="AF1697" i="79"/>
  <c r="R1697" i="79"/>
  <c r="N1697" i="79"/>
  <c r="J1697" i="79"/>
  <c r="AO1769" i="79"/>
  <c r="AK1769" i="79"/>
  <c r="AG1769" i="79"/>
  <c r="S1769" i="79"/>
  <c r="O1769" i="79"/>
  <c r="K1769" i="79"/>
  <c r="T1733" i="79"/>
  <c r="P1733" i="79"/>
  <c r="L1733" i="79"/>
  <c r="AQ1697" i="79"/>
  <c r="AM1697" i="79"/>
  <c r="AI1697" i="79"/>
  <c r="Q1697" i="79"/>
  <c r="M1697" i="79"/>
  <c r="I1697" i="79"/>
  <c r="AO1661" i="79"/>
  <c r="AK1661" i="79"/>
  <c r="AG1661" i="79"/>
  <c r="S1661" i="79"/>
  <c r="O1661" i="79"/>
  <c r="K1661" i="79"/>
  <c r="AN1769" i="79"/>
  <c r="AJ1769" i="79"/>
  <c r="AF1769" i="79"/>
  <c r="R1769" i="79"/>
  <c r="N1769" i="79"/>
  <c r="J1769" i="79"/>
  <c r="S1733" i="79"/>
  <c r="O1733" i="79"/>
  <c r="K1733" i="79"/>
  <c r="AP1697" i="79"/>
  <c r="AL1697" i="79"/>
  <c r="AH1697" i="79"/>
  <c r="T1697" i="79"/>
  <c r="P1697" i="79"/>
  <c r="L1697" i="79"/>
  <c r="AN1661" i="79"/>
  <c r="AJ1661" i="79"/>
  <c r="AF1661" i="79"/>
  <c r="R1661" i="79"/>
  <c r="N1661" i="79"/>
  <c r="J1661" i="79"/>
  <c r="AP1661" i="79"/>
  <c r="AH1661" i="79"/>
  <c r="P1661" i="79"/>
  <c r="AM1661" i="79"/>
  <c r="M1661" i="79"/>
  <c r="AL1661" i="79"/>
  <c r="T1661" i="79"/>
  <c r="L1661" i="79"/>
  <c r="AQ1661" i="79"/>
  <c r="AI1661" i="79"/>
  <c r="Q1661" i="79"/>
  <c r="I1661" i="79"/>
  <c r="AP2064" i="79"/>
  <c r="AL2064" i="79"/>
  <c r="AH2064" i="79"/>
  <c r="T2064" i="79"/>
  <c r="P2064" i="79"/>
  <c r="L2064" i="79"/>
  <c r="AO2064" i="79"/>
  <c r="AK2064" i="79"/>
  <c r="AG2064" i="79"/>
  <c r="S2064" i="79"/>
  <c r="O2064" i="79"/>
  <c r="K2064" i="79"/>
  <c r="AJ2064" i="79"/>
  <c r="R2064" i="79"/>
  <c r="J2064" i="79"/>
  <c r="AN2028" i="79"/>
  <c r="AJ2028" i="79"/>
  <c r="AF2028" i="79"/>
  <c r="R2028" i="79"/>
  <c r="N2028" i="79"/>
  <c r="J2028" i="79"/>
  <c r="AN2064" i="79"/>
  <c r="AF2064" i="79"/>
  <c r="N2064" i="79"/>
  <c r="AM2064" i="79"/>
  <c r="M2064" i="79"/>
  <c r="AI2064" i="79"/>
  <c r="I2064" i="79"/>
  <c r="AO2028" i="79"/>
  <c r="AI2028" i="79"/>
  <c r="T2028" i="79"/>
  <c r="O2028" i="79"/>
  <c r="I2028" i="79"/>
  <c r="AQ2064" i="79"/>
  <c r="Q2064" i="79"/>
  <c r="AM2028" i="79"/>
  <c r="AG2028" i="79"/>
  <c r="P2028" i="79"/>
  <c r="AO1993" i="79"/>
  <c r="AK1993" i="79"/>
  <c r="AG1993" i="79"/>
  <c r="S1993" i="79"/>
  <c r="O1993" i="79"/>
  <c r="K1993" i="79"/>
  <c r="AL2028" i="79"/>
  <c r="M2028" i="79"/>
  <c r="AN1993" i="79"/>
  <c r="AJ1993" i="79"/>
  <c r="AF1993" i="79"/>
  <c r="R1993" i="79"/>
  <c r="N1993" i="79"/>
  <c r="J1993" i="79"/>
  <c r="AH2028" i="79"/>
  <c r="K2028" i="79"/>
  <c r="AM1993" i="79"/>
  <c r="M1993" i="79"/>
  <c r="AO1957" i="79"/>
  <c r="AK1957" i="79"/>
  <c r="AG1957" i="79"/>
  <c r="S1957" i="79"/>
  <c r="O1957" i="79"/>
  <c r="K1957" i="79"/>
  <c r="AQ2028" i="79"/>
  <c r="S2028" i="79"/>
  <c r="AL1993" i="79"/>
  <c r="T1993" i="79"/>
  <c r="L1993" i="79"/>
  <c r="AN1957" i="79"/>
  <c r="AJ1957" i="79"/>
  <c r="AF1957" i="79"/>
  <c r="R1957" i="79"/>
  <c r="N1957" i="79"/>
  <c r="J1957" i="79"/>
  <c r="AP2028" i="79"/>
  <c r="Q2028" i="79"/>
  <c r="AQ1993" i="79"/>
  <c r="AI1993" i="79"/>
  <c r="Q1993" i="79"/>
  <c r="I1993" i="79"/>
  <c r="AQ1957" i="79"/>
  <c r="AM1957" i="79"/>
  <c r="AI1957" i="79"/>
  <c r="Q1957" i="79"/>
  <c r="M1957" i="79"/>
  <c r="I1957" i="79"/>
  <c r="AK2028" i="79"/>
  <c r="L2028" i="79"/>
  <c r="AP1993" i="79"/>
  <c r="AH1993" i="79"/>
  <c r="P1993" i="79"/>
  <c r="AP1957" i="79"/>
  <c r="AL1957" i="79"/>
  <c r="AH1957" i="79"/>
  <c r="T1957" i="79"/>
  <c r="P1957" i="79"/>
  <c r="L1957" i="79"/>
  <c r="AQ1921" i="79"/>
  <c r="AM1921" i="79"/>
  <c r="AI1921" i="79"/>
  <c r="Q1921" i="79"/>
  <c r="M1921" i="79"/>
  <c r="I1921" i="79"/>
  <c r="AN1885" i="79"/>
  <c r="AJ1885" i="79"/>
  <c r="AF1885" i="79"/>
  <c r="R1885" i="79"/>
  <c r="N1885" i="79"/>
  <c r="J1885" i="79"/>
  <c r="AO1849" i="79"/>
  <c r="AK1849" i="79"/>
  <c r="AG1849" i="79"/>
  <c r="S1849" i="79"/>
  <c r="O1849" i="79"/>
  <c r="K1849" i="79"/>
  <c r="AP1813" i="79"/>
  <c r="AL1813" i="79"/>
  <c r="AH1813" i="79"/>
  <c r="T1813" i="79"/>
  <c r="P1813" i="79"/>
  <c r="L1813" i="79"/>
  <c r="AP1921" i="79"/>
  <c r="AL1921" i="79"/>
  <c r="AH1921" i="79"/>
  <c r="T1921" i="79"/>
  <c r="P1921" i="79"/>
  <c r="L1921" i="79"/>
  <c r="AQ1885" i="79"/>
  <c r="AM1885" i="79"/>
  <c r="AI1885" i="79"/>
  <c r="Q1885" i="79"/>
  <c r="M1885" i="79"/>
  <c r="I1885" i="79"/>
  <c r="AN1849" i="79"/>
  <c r="AJ1849" i="79"/>
  <c r="AF1849" i="79"/>
  <c r="R1849" i="79"/>
  <c r="N1849" i="79"/>
  <c r="J1849" i="79"/>
  <c r="AO1813" i="79"/>
  <c r="AK1813" i="79"/>
  <c r="AG1813" i="79"/>
  <c r="S1813" i="79"/>
  <c r="O1813" i="79"/>
  <c r="K1813" i="79"/>
  <c r="AO1921" i="79"/>
  <c r="AK1921" i="79"/>
  <c r="AG1921" i="79"/>
  <c r="S1921" i="79"/>
  <c r="O1921" i="79"/>
  <c r="K1921" i="79"/>
  <c r="AP1885" i="79"/>
  <c r="AL1885" i="79"/>
  <c r="AH1885" i="79"/>
  <c r="T1885" i="79"/>
  <c r="P1885" i="79"/>
  <c r="L1885" i="79"/>
  <c r="AQ1849" i="79"/>
  <c r="AM1849" i="79"/>
  <c r="AI1849" i="79"/>
  <c r="Q1849" i="79"/>
  <c r="M1849" i="79"/>
  <c r="I1849" i="79"/>
  <c r="AN1813" i="79"/>
  <c r="AJ1813" i="79"/>
  <c r="AF1813" i="79"/>
  <c r="R1813" i="79"/>
  <c r="N1813" i="79"/>
  <c r="J1813" i="79"/>
  <c r="AN1921" i="79"/>
  <c r="AJ1921" i="79"/>
  <c r="AF1921" i="79"/>
  <c r="R1921" i="79"/>
  <c r="N1921" i="79"/>
  <c r="J1921" i="79"/>
  <c r="AO1885" i="79"/>
  <c r="AK1885" i="79"/>
  <c r="AG1885" i="79"/>
  <c r="S1885" i="79"/>
  <c r="O1885" i="79"/>
  <c r="K1885" i="79"/>
  <c r="AP1849" i="79"/>
  <c r="AL1849" i="79"/>
  <c r="AH1849" i="79"/>
  <c r="T1849" i="79"/>
  <c r="P1849" i="79"/>
  <c r="L1849" i="79"/>
  <c r="AQ1813" i="79"/>
  <c r="AM1813" i="79"/>
  <c r="AI1813" i="79"/>
  <c r="Q1813" i="79"/>
  <c r="M1813" i="79"/>
  <c r="I1813" i="79"/>
  <c r="AQ1777" i="79"/>
  <c r="AM1777" i="79"/>
  <c r="AI1777" i="79"/>
  <c r="Q1777" i="79"/>
  <c r="M1777" i="79"/>
  <c r="I1777" i="79"/>
  <c r="AN1741" i="79"/>
  <c r="AJ1741" i="79"/>
  <c r="AF1741" i="79"/>
  <c r="R1741" i="79"/>
  <c r="N1741" i="79"/>
  <c r="J1741" i="79"/>
  <c r="AO1705" i="79"/>
  <c r="AK1705" i="79"/>
  <c r="AG1705" i="79"/>
  <c r="S1705" i="79"/>
  <c r="O1705" i="79"/>
  <c r="K1705" i="79"/>
  <c r="AP1777" i="79"/>
  <c r="AL1777" i="79"/>
  <c r="AH1777" i="79"/>
  <c r="T1777" i="79"/>
  <c r="P1777" i="79"/>
  <c r="L1777" i="79"/>
  <c r="AQ1741" i="79"/>
  <c r="AM1741" i="79"/>
  <c r="AI1741" i="79"/>
  <c r="Q1741" i="79"/>
  <c r="M1741" i="79"/>
  <c r="I1741" i="79"/>
  <c r="AN1705" i="79"/>
  <c r="AJ1705" i="79"/>
  <c r="AF1705" i="79"/>
  <c r="R1705" i="79"/>
  <c r="N1705" i="79"/>
  <c r="J1705" i="79"/>
  <c r="AO1777" i="79"/>
  <c r="AK1777" i="79"/>
  <c r="AG1777" i="79"/>
  <c r="S1777" i="79"/>
  <c r="O1777" i="79"/>
  <c r="K1777" i="79"/>
  <c r="AP1741" i="79"/>
  <c r="AL1741" i="79"/>
  <c r="AH1741" i="79"/>
  <c r="T1741" i="79"/>
  <c r="P1741" i="79"/>
  <c r="L1741" i="79"/>
  <c r="AQ1705" i="79"/>
  <c r="AM1705" i="79"/>
  <c r="AI1705" i="79"/>
  <c r="Q1705" i="79"/>
  <c r="M1705" i="79"/>
  <c r="I1705" i="79"/>
  <c r="AO1669" i="79"/>
  <c r="AK1669" i="79"/>
  <c r="AG1669" i="79"/>
  <c r="S1669" i="79"/>
  <c r="O1669" i="79"/>
  <c r="K1669" i="79"/>
  <c r="AN1777" i="79"/>
  <c r="AJ1777" i="79"/>
  <c r="AF1777" i="79"/>
  <c r="R1777" i="79"/>
  <c r="N1777" i="79"/>
  <c r="J1777" i="79"/>
  <c r="AO1741" i="79"/>
  <c r="AK1741" i="79"/>
  <c r="AG1741" i="79"/>
  <c r="S1741" i="79"/>
  <c r="O1741" i="79"/>
  <c r="K1741" i="79"/>
  <c r="AP1705" i="79"/>
  <c r="AL1705" i="79"/>
  <c r="AH1705" i="79"/>
  <c r="T1705" i="79"/>
  <c r="P1705" i="79"/>
  <c r="L1705" i="79"/>
  <c r="AN1669" i="79"/>
  <c r="AJ1669" i="79"/>
  <c r="AF1669" i="79"/>
  <c r="R1669" i="79"/>
  <c r="N1669" i="79"/>
  <c r="J1669" i="79"/>
  <c r="AL1669" i="79"/>
  <c r="T1669" i="79"/>
  <c r="L1669" i="79"/>
  <c r="AQ1669" i="79"/>
  <c r="AI1669" i="79"/>
  <c r="Q1669" i="79"/>
  <c r="I1669" i="79"/>
  <c r="AP1669" i="79"/>
  <c r="AH1669" i="79"/>
  <c r="P1669" i="79"/>
  <c r="AM1669" i="79"/>
  <c r="M1669" i="79"/>
  <c r="T2125" i="79"/>
  <c r="P2125" i="79"/>
  <c r="L2125" i="79"/>
  <c r="R2125" i="79"/>
  <c r="M2125" i="79"/>
  <c r="S2110" i="79"/>
  <c r="O2110" i="79"/>
  <c r="K2110" i="79"/>
  <c r="Q2125" i="79"/>
  <c r="K2125" i="79"/>
  <c r="R2110" i="79"/>
  <c r="N2110" i="79"/>
  <c r="J2110" i="79"/>
  <c r="Q2094" i="79"/>
  <c r="M2094" i="79"/>
  <c r="I2094" i="79"/>
  <c r="T2079" i="79"/>
  <c r="P2079" i="79"/>
  <c r="L2079" i="79"/>
  <c r="AN2053" i="79"/>
  <c r="AJ2053" i="79"/>
  <c r="AF2053" i="79"/>
  <c r="R2053" i="79"/>
  <c r="N2053" i="79"/>
  <c r="J2053" i="79"/>
  <c r="O2125" i="79"/>
  <c r="J2125" i="79"/>
  <c r="Q2110" i="79"/>
  <c r="M2110" i="79"/>
  <c r="I2110" i="79"/>
  <c r="T2094" i="79"/>
  <c r="P2094" i="79"/>
  <c r="L2094" i="79"/>
  <c r="S2079" i="79"/>
  <c r="O2079" i="79"/>
  <c r="K2079" i="79"/>
  <c r="AQ2053" i="79"/>
  <c r="AM2053" i="79"/>
  <c r="AI2053" i="79"/>
  <c r="Q2053" i="79"/>
  <c r="M2053" i="79"/>
  <c r="I2053" i="79"/>
  <c r="I2125" i="79"/>
  <c r="T2110" i="79"/>
  <c r="N2094" i="79"/>
  <c r="Q2079" i="79"/>
  <c r="I2079" i="79"/>
  <c r="AP2053" i="79"/>
  <c r="AH2053" i="79"/>
  <c r="P2053" i="79"/>
  <c r="P2110" i="79"/>
  <c r="S2125" i="79"/>
  <c r="L2110" i="79"/>
  <c r="R2094" i="79"/>
  <c r="J2094" i="79"/>
  <c r="M2079" i="79"/>
  <c r="N2125" i="79"/>
  <c r="K2094" i="79"/>
  <c r="R2079" i="79"/>
  <c r="AL2053" i="79"/>
  <c r="S2053" i="79"/>
  <c r="S2094" i="79"/>
  <c r="J2079" i="79"/>
  <c r="AG2053" i="79"/>
  <c r="K2053" i="79"/>
  <c r="O2094" i="79"/>
  <c r="T2053" i="79"/>
  <c r="AO2053" i="79"/>
  <c r="O2053" i="79"/>
  <c r="AN2017" i="79"/>
  <c r="AJ2017" i="79"/>
  <c r="AF2017" i="79"/>
  <c r="R2017" i="79"/>
  <c r="N2017" i="79"/>
  <c r="J2017" i="79"/>
  <c r="N2079" i="79"/>
  <c r="AK2053" i="79"/>
  <c r="L2053" i="79"/>
  <c r="AQ2017" i="79"/>
  <c r="AM2017" i="79"/>
  <c r="AI2017" i="79"/>
  <c r="Q2017" i="79"/>
  <c r="M2017" i="79"/>
  <c r="I2017" i="79"/>
  <c r="AP1982" i="79"/>
  <c r="AL1982" i="79"/>
  <c r="AH1982" i="79"/>
  <c r="T1982" i="79"/>
  <c r="P1982" i="79"/>
  <c r="L1982" i="79"/>
  <c r="AK2017" i="79"/>
  <c r="S2017" i="79"/>
  <c r="K2017" i="79"/>
  <c r="AO1982" i="79"/>
  <c r="AJ1982" i="79"/>
  <c r="O1982" i="79"/>
  <c r="J1982" i="79"/>
  <c r="AQ1946" i="79"/>
  <c r="AM1946" i="79"/>
  <c r="AI1946" i="79"/>
  <c r="Q1946" i="79"/>
  <c r="M1946" i="79"/>
  <c r="I1946" i="79"/>
  <c r="AP2017" i="79"/>
  <c r="AH2017" i="79"/>
  <c r="P2017" i="79"/>
  <c r="AN1982" i="79"/>
  <c r="AI1982" i="79"/>
  <c r="S1982" i="79"/>
  <c r="N1982" i="79"/>
  <c r="I1982" i="79"/>
  <c r="AP1946" i="79"/>
  <c r="AL1946" i="79"/>
  <c r="AH1946" i="79"/>
  <c r="T1946" i="79"/>
  <c r="P1946" i="79"/>
  <c r="L1946" i="79"/>
  <c r="AO2017" i="79"/>
  <c r="AG2017" i="79"/>
  <c r="O2017" i="79"/>
  <c r="AM1982" i="79"/>
  <c r="AG1982" i="79"/>
  <c r="R1982" i="79"/>
  <c r="M1982" i="79"/>
  <c r="AO1946" i="79"/>
  <c r="AK1946" i="79"/>
  <c r="AG1946" i="79"/>
  <c r="S1946" i="79"/>
  <c r="O1946" i="79"/>
  <c r="K1946" i="79"/>
  <c r="AL2017" i="79"/>
  <c r="T2017" i="79"/>
  <c r="L2017" i="79"/>
  <c r="AQ1982" i="79"/>
  <c r="AK1982" i="79"/>
  <c r="AF1982" i="79"/>
  <c r="Q1982" i="79"/>
  <c r="K1982" i="79"/>
  <c r="AN1946" i="79"/>
  <c r="AJ1946" i="79"/>
  <c r="AF1946" i="79"/>
  <c r="R1946" i="79"/>
  <c r="N1946" i="79"/>
  <c r="J1946" i="79"/>
  <c r="AO1910" i="79"/>
  <c r="AK1910" i="79"/>
  <c r="AG1910" i="79"/>
  <c r="S1910" i="79"/>
  <c r="O1910" i="79"/>
  <c r="K1910" i="79"/>
  <c r="AP1874" i="79"/>
  <c r="AL1874" i="79"/>
  <c r="AH1874" i="79"/>
  <c r="T1874" i="79"/>
  <c r="P1874" i="79"/>
  <c r="L1874" i="79"/>
  <c r="AQ1838" i="79"/>
  <c r="AM1838" i="79"/>
  <c r="AI1838" i="79"/>
  <c r="Q1838" i="79"/>
  <c r="M1838" i="79"/>
  <c r="I1838" i="79"/>
  <c r="AN1802" i="79"/>
  <c r="AJ1802" i="79"/>
  <c r="AF1802" i="79"/>
  <c r="AN1910" i="79"/>
  <c r="AJ1910" i="79"/>
  <c r="AF1910" i="79"/>
  <c r="R1910" i="79"/>
  <c r="N1910" i="79"/>
  <c r="J1910" i="79"/>
  <c r="AO1874" i="79"/>
  <c r="AK1874" i="79"/>
  <c r="AG1874" i="79"/>
  <c r="S1874" i="79"/>
  <c r="O1874" i="79"/>
  <c r="K1874" i="79"/>
  <c r="AP1838" i="79"/>
  <c r="AL1838" i="79"/>
  <c r="AH1838" i="79"/>
  <c r="T1838" i="79"/>
  <c r="P1838" i="79"/>
  <c r="L1838" i="79"/>
  <c r="AQ1802" i="79"/>
  <c r="AM1802" i="79"/>
  <c r="AI1802" i="79"/>
  <c r="AQ1910" i="79"/>
  <c r="AM1910" i="79"/>
  <c r="AI1910" i="79"/>
  <c r="Q1910" i="79"/>
  <c r="M1910" i="79"/>
  <c r="I1910" i="79"/>
  <c r="AN1874" i="79"/>
  <c r="AJ1874" i="79"/>
  <c r="AF1874" i="79"/>
  <c r="R1874" i="79"/>
  <c r="N1874" i="79"/>
  <c r="J1874" i="79"/>
  <c r="AO1838" i="79"/>
  <c r="AK1838" i="79"/>
  <c r="AG1838" i="79"/>
  <c r="S1838" i="79"/>
  <c r="O1838" i="79"/>
  <c r="K1838" i="79"/>
  <c r="AP1802" i="79"/>
  <c r="AL1802" i="79"/>
  <c r="AH1802" i="79"/>
  <c r="AP1910" i="79"/>
  <c r="AL1910" i="79"/>
  <c r="AH1910" i="79"/>
  <c r="T1910" i="79"/>
  <c r="P1910" i="79"/>
  <c r="L1910" i="79"/>
  <c r="AQ1874" i="79"/>
  <c r="AM1874" i="79"/>
  <c r="AI1874" i="79"/>
  <c r="Q1874" i="79"/>
  <c r="M1874" i="79"/>
  <c r="I1874" i="79"/>
  <c r="AN1838" i="79"/>
  <c r="AJ1838" i="79"/>
  <c r="AF1838" i="79"/>
  <c r="R1838" i="79"/>
  <c r="N1838" i="79"/>
  <c r="J1838" i="79"/>
  <c r="AO1802" i="79"/>
  <c r="AK1802" i="79"/>
  <c r="AG1802" i="79"/>
  <c r="AO1766" i="79"/>
  <c r="AK1766" i="79"/>
  <c r="AG1766" i="79"/>
  <c r="AQ1694" i="79"/>
  <c r="AM1694" i="79"/>
  <c r="AI1694" i="79"/>
  <c r="AN1766" i="79"/>
  <c r="AJ1766" i="79"/>
  <c r="AF1766" i="79"/>
  <c r="AP1694" i="79"/>
  <c r="AL1694" i="79"/>
  <c r="AH1694" i="79"/>
  <c r="AQ1766" i="79"/>
  <c r="AM1766" i="79"/>
  <c r="AI1766" i="79"/>
  <c r="AO1694" i="79"/>
  <c r="AK1694" i="79"/>
  <c r="AG1694" i="79"/>
  <c r="AP1658" i="79"/>
  <c r="AL1658" i="79"/>
  <c r="AH1658" i="79"/>
  <c r="AP1766" i="79"/>
  <c r="AL1766" i="79"/>
  <c r="AH1766" i="79"/>
  <c r="AN1694" i="79"/>
  <c r="AJ1694" i="79"/>
  <c r="AF1694" i="79"/>
  <c r="AO1658" i="79"/>
  <c r="AK1658" i="79"/>
  <c r="AG1658" i="79"/>
  <c r="AM1658" i="79"/>
  <c r="AJ1658" i="79"/>
  <c r="AQ1658" i="79"/>
  <c r="AI1658" i="79"/>
  <c r="AN1658" i="79"/>
  <c r="AF1658" i="79"/>
  <c r="AN2061" i="79"/>
  <c r="AJ2061" i="79"/>
  <c r="AF2061" i="79"/>
  <c r="R2061" i="79"/>
  <c r="N2061" i="79"/>
  <c r="J2061" i="79"/>
  <c r="AQ2061" i="79"/>
  <c r="AM2061" i="79"/>
  <c r="AI2061" i="79"/>
  <c r="Q2061" i="79"/>
  <c r="M2061" i="79"/>
  <c r="I2061" i="79"/>
  <c r="AP2061" i="79"/>
  <c r="AH2061" i="79"/>
  <c r="P2061" i="79"/>
  <c r="AP2025" i="79"/>
  <c r="AL2025" i="79"/>
  <c r="AH2025" i="79"/>
  <c r="T2025" i="79"/>
  <c r="P2025" i="79"/>
  <c r="L2025" i="79"/>
  <c r="AL2061" i="79"/>
  <c r="T2061" i="79"/>
  <c r="L2061" i="79"/>
  <c r="AK2061" i="79"/>
  <c r="K2061" i="79"/>
  <c r="AG2061" i="79"/>
  <c r="AM2025" i="79"/>
  <c r="AG2025" i="79"/>
  <c r="R2025" i="79"/>
  <c r="M2025" i="79"/>
  <c r="O2061" i="79"/>
  <c r="AO2061" i="79"/>
  <c r="AN2025" i="79"/>
  <c r="AF2025" i="79"/>
  <c r="O2025" i="79"/>
  <c r="I2025" i="79"/>
  <c r="AQ1990" i="79"/>
  <c r="AM1990" i="79"/>
  <c r="AI1990" i="79"/>
  <c r="Q1990" i="79"/>
  <c r="M1990" i="79"/>
  <c r="I1990" i="79"/>
  <c r="S2061" i="79"/>
  <c r="AK2025" i="79"/>
  <c r="N2025" i="79"/>
  <c r="AP1990" i="79"/>
  <c r="AL1990" i="79"/>
  <c r="AH1990" i="79"/>
  <c r="T1990" i="79"/>
  <c r="P1990" i="79"/>
  <c r="L1990" i="79"/>
  <c r="AO2025" i="79"/>
  <c r="Q2025" i="79"/>
  <c r="AK1990" i="79"/>
  <c r="S1990" i="79"/>
  <c r="K1990" i="79"/>
  <c r="AQ1954" i="79"/>
  <c r="AM1954" i="79"/>
  <c r="AI1954" i="79"/>
  <c r="Q1954" i="79"/>
  <c r="M1954" i="79"/>
  <c r="I1954" i="79"/>
  <c r="AJ2025" i="79"/>
  <c r="K2025" i="79"/>
  <c r="AJ1990" i="79"/>
  <c r="R1990" i="79"/>
  <c r="J1990" i="79"/>
  <c r="AP1954" i="79"/>
  <c r="AL1954" i="79"/>
  <c r="AH1954" i="79"/>
  <c r="T1954" i="79"/>
  <c r="P1954" i="79"/>
  <c r="L1954" i="79"/>
  <c r="AI2025" i="79"/>
  <c r="J2025" i="79"/>
  <c r="AO1990" i="79"/>
  <c r="AG1990" i="79"/>
  <c r="O1990" i="79"/>
  <c r="AO1954" i="79"/>
  <c r="AK1954" i="79"/>
  <c r="AG1954" i="79"/>
  <c r="S1954" i="79"/>
  <c r="O1954" i="79"/>
  <c r="K1954" i="79"/>
  <c r="AQ2025" i="79"/>
  <c r="S2025" i="79"/>
  <c r="AN1990" i="79"/>
  <c r="AF1990" i="79"/>
  <c r="N1990" i="79"/>
  <c r="AN1954" i="79"/>
  <c r="AJ1954" i="79"/>
  <c r="AF1954" i="79"/>
  <c r="R1954" i="79"/>
  <c r="N1954" i="79"/>
  <c r="J1954" i="79"/>
  <c r="AO1918" i="79"/>
  <c r="AK1918" i="79"/>
  <c r="AG1918" i="79"/>
  <c r="S1918" i="79"/>
  <c r="O1918" i="79"/>
  <c r="K1918" i="79"/>
  <c r="AP1882" i="79"/>
  <c r="AL1882" i="79"/>
  <c r="AH1882" i="79"/>
  <c r="T1882" i="79"/>
  <c r="P1882" i="79"/>
  <c r="L1882" i="79"/>
  <c r="AQ1846" i="79"/>
  <c r="AM1846" i="79"/>
  <c r="AI1846" i="79"/>
  <c r="Q1846" i="79"/>
  <c r="M1846" i="79"/>
  <c r="I1846" i="79"/>
  <c r="AN1810" i="79"/>
  <c r="AJ1810" i="79"/>
  <c r="AF1810" i="79"/>
  <c r="R1810" i="79"/>
  <c r="N1810" i="79"/>
  <c r="J1810" i="79"/>
  <c r="AN1918" i="79"/>
  <c r="AJ1918" i="79"/>
  <c r="AF1918" i="79"/>
  <c r="R1918" i="79"/>
  <c r="N1918" i="79"/>
  <c r="J1918" i="79"/>
  <c r="AO1882" i="79"/>
  <c r="AK1882" i="79"/>
  <c r="AG1882" i="79"/>
  <c r="S1882" i="79"/>
  <c r="O1882" i="79"/>
  <c r="K1882" i="79"/>
  <c r="AP1846" i="79"/>
  <c r="AL1846" i="79"/>
  <c r="AH1846" i="79"/>
  <c r="T1846" i="79"/>
  <c r="P1846" i="79"/>
  <c r="L1846" i="79"/>
  <c r="AQ1810" i="79"/>
  <c r="AM1810" i="79"/>
  <c r="AI1810" i="79"/>
  <c r="Q1810" i="79"/>
  <c r="M1810" i="79"/>
  <c r="I1810" i="79"/>
  <c r="AQ1918" i="79"/>
  <c r="AM1918" i="79"/>
  <c r="AI1918" i="79"/>
  <c r="Q1918" i="79"/>
  <c r="M1918" i="79"/>
  <c r="I1918" i="79"/>
  <c r="AN1882" i="79"/>
  <c r="AJ1882" i="79"/>
  <c r="AF1882" i="79"/>
  <c r="R1882" i="79"/>
  <c r="N1882" i="79"/>
  <c r="J1882" i="79"/>
  <c r="AO1846" i="79"/>
  <c r="AK1846" i="79"/>
  <c r="AG1846" i="79"/>
  <c r="S1846" i="79"/>
  <c r="O1846" i="79"/>
  <c r="K1846" i="79"/>
  <c r="AP1810" i="79"/>
  <c r="AL1810" i="79"/>
  <c r="AH1810" i="79"/>
  <c r="T1810" i="79"/>
  <c r="P1810" i="79"/>
  <c r="L1810" i="79"/>
  <c r="AP1918" i="79"/>
  <c r="AL1918" i="79"/>
  <c r="AH1918" i="79"/>
  <c r="T1918" i="79"/>
  <c r="P1918" i="79"/>
  <c r="L1918" i="79"/>
  <c r="AQ1882" i="79"/>
  <c r="AM1882" i="79"/>
  <c r="AI1882" i="79"/>
  <c r="Q1882" i="79"/>
  <c r="M1882" i="79"/>
  <c r="I1882" i="79"/>
  <c r="AN1846" i="79"/>
  <c r="AJ1846" i="79"/>
  <c r="AF1846" i="79"/>
  <c r="R1846" i="79"/>
  <c r="N1846" i="79"/>
  <c r="J1846" i="79"/>
  <c r="AO1810" i="79"/>
  <c r="AK1810" i="79"/>
  <c r="AG1810" i="79"/>
  <c r="S1810" i="79"/>
  <c r="O1810" i="79"/>
  <c r="K1810" i="79"/>
  <c r="AO1774" i="79"/>
  <c r="AK1774" i="79"/>
  <c r="AG1774" i="79"/>
  <c r="S1774" i="79"/>
  <c r="O1774" i="79"/>
  <c r="K1774" i="79"/>
  <c r="AP1738" i="79"/>
  <c r="AL1738" i="79"/>
  <c r="AH1738" i="79"/>
  <c r="T1738" i="79"/>
  <c r="P1738" i="79"/>
  <c r="L1738" i="79"/>
  <c r="AQ1702" i="79"/>
  <c r="AM1702" i="79"/>
  <c r="AI1702" i="79"/>
  <c r="Q1702" i="79"/>
  <c r="M1702" i="79"/>
  <c r="I1702" i="79"/>
  <c r="AN1774" i="79"/>
  <c r="AJ1774" i="79"/>
  <c r="AF1774" i="79"/>
  <c r="R1774" i="79"/>
  <c r="N1774" i="79"/>
  <c r="J1774" i="79"/>
  <c r="AO1738" i="79"/>
  <c r="AK1738" i="79"/>
  <c r="AG1738" i="79"/>
  <c r="S1738" i="79"/>
  <c r="O1738" i="79"/>
  <c r="K1738" i="79"/>
  <c r="AP1702" i="79"/>
  <c r="AL1702" i="79"/>
  <c r="AH1702" i="79"/>
  <c r="T1702" i="79"/>
  <c r="P1702" i="79"/>
  <c r="L1702" i="79"/>
  <c r="AQ1774" i="79"/>
  <c r="AM1774" i="79"/>
  <c r="AI1774" i="79"/>
  <c r="Q1774" i="79"/>
  <c r="M1774" i="79"/>
  <c r="I1774" i="79"/>
  <c r="AN1738" i="79"/>
  <c r="AJ1738" i="79"/>
  <c r="AF1738" i="79"/>
  <c r="R1738" i="79"/>
  <c r="N1738" i="79"/>
  <c r="J1738" i="79"/>
  <c r="AO1702" i="79"/>
  <c r="AK1702" i="79"/>
  <c r="AG1702" i="79"/>
  <c r="S1702" i="79"/>
  <c r="O1702" i="79"/>
  <c r="K1702" i="79"/>
  <c r="AP1666" i="79"/>
  <c r="AL1666" i="79"/>
  <c r="AH1666" i="79"/>
  <c r="T1666" i="79"/>
  <c r="P1666" i="79"/>
  <c r="L1666" i="79"/>
  <c r="AP1774" i="79"/>
  <c r="AL1774" i="79"/>
  <c r="AH1774" i="79"/>
  <c r="T1774" i="79"/>
  <c r="P1774" i="79"/>
  <c r="L1774" i="79"/>
  <c r="AQ1738" i="79"/>
  <c r="AM1738" i="79"/>
  <c r="AI1738" i="79"/>
  <c r="Q1738" i="79"/>
  <c r="M1738" i="79"/>
  <c r="I1738" i="79"/>
  <c r="AN1702" i="79"/>
  <c r="AJ1702" i="79"/>
  <c r="AF1702" i="79"/>
  <c r="R1702" i="79"/>
  <c r="N1702" i="79"/>
  <c r="J1702" i="79"/>
  <c r="AO1666" i="79"/>
  <c r="AK1666" i="79"/>
  <c r="AG1666" i="79"/>
  <c r="S1666" i="79"/>
  <c r="O1666" i="79"/>
  <c r="K1666" i="79"/>
  <c r="AM1666" i="79"/>
  <c r="M1666" i="79"/>
  <c r="AJ1666" i="79"/>
  <c r="R1666" i="79"/>
  <c r="J1666" i="79"/>
  <c r="AQ1666" i="79"/>
  <c r="AI1666" i="79"/>
  <c r="Q1666" i="79"/>
  <c r="I1666" i="79"/>
  <c r="AN1666" i="79"/>
  <c r="AF1666" i="79"/>
  <c r="N1666" i="79"/>
  <c r="S2130" i="79"/>
  <c r="O2130" i="79"/>
  <c r="K2130" i="79"/>
  <c r="Q2130" i="79"/>
  <c r="L2130" i="79"/>
  <c r="R2115" i="79"/>
  <c r="N2115" i="79"/>
  <c r="J2115" i="79"/>
  <c r="P2130" i="79"/>
  <c r="J2130" i="79"/>
  <c r="Q2115" i="79"/>
  <c r="M2115" i="79"/>
  <c r="I2115" i="79"/>
  <c r="S2084" i="79"/>
  <c r="O2084" i="79"/>
  <c r="K2084" i="79"/>
  <c r="AP2058" i="79"/>
  <c r="AL2058" i="79"/>
  <c r="AH2058" i="79"/>
  <c r="T2058" i="79"/>
  <c r="P2058" i="79"/>
  <c r="L2058" i="79"/>
  <c r="T2130" i="79"/>
  <c r="N2130" i="79"/>
  <c r="I2130" i="79"/>
  <c r="T2115" i="79"/>
  <c r="P2115" i="79"/>
  <c r="L2115" i="79"/>
  <c r="R2084" i="79"/>
  <c r="N2084" i="79"/>
  <c r="J2084" i="79"/>
  <c r="AO2058" i="79"/>
  <c r="AK2058" i="79"/>
  <c r="AG2058" i="79"/>
  <c r="S2058" i="79"/>
  <c r="O2058" i="79"/>
  <c r="K2058" i="79"/>
  <c r="S2115" i="79"/>
  <c r="P2084" i="79"/>
  <c r="AN2058" i="79"/>
  <c r="AF2058" i="79"/>
  <c r="N2058" i="79"/>
  <c r="O2115" i="79"/>
  <c r="R2130" i="79"/>
  <c r="K2115" i="79"/>
  <c r="T2084" i="79"/>
  <c r="L2084" i="79"/>
  <c r="AM2058" i="79"/>
  <c r="R2058" i="79"/>
  <c r="I2058" i="79"/>
  <c r="M2130" i="79"/>
  <c r="Q2084" i="79"/>
  <c r="AJ2058" i="79"/>
  <c r="Q2058" i="79"/>
  <c r="AP2022" i="79"/>
  <c r="AL2022" i="79"/>
  <c r="AH2022" i="79"/>
  <c r="T2022" i="79"/>
  <c r="P2022" i="79"/>
  <c r="L2022" i="79"/>
  <c r="I2084" i="79"/>
  <c r="AQ2058" i="79"/>
  <c r="J2058" i="79"/>
  <c r="AI2058" i="79"/>
  <c r="AN2022" i="79"/>
  <c r="AI2022" i="79"/>
  <c r="S2022" i="79"/>
  <c r="N2022" i="79"/>
  <c r="I2022" i="79"/>
  <c r="M2084" i="79"/>
  <c r="M2058" i="79"/>
  <c r="AM2022" i="79"/>
  <c r="AG2022" i="79"/>
  <c r="R2022" i="79"/>
  <c r="M2022" i="79"/>
  <c r="AN1987" i="79"/>
  <c r="AJ1987" i="79"/>
  <c r="AF1987" i="79"/>
  <c r="R1987" i="79"/>
  <c r="N1987" i="79"/>
  <c r="J1987" i="79"/>
  <c r="AJ2022" i="79"/>
  <c r="O2022" i="79"/>
  <c r="AM1987" i="79"/>
  <c r="AH1987" i="79"/>
  <c r="S1987" i="79"/>
  <c r="M1987" i="79"/>
  <c r="AO1951" i="79"/>
  <c r="AK1951" i="79"/>
  <c r="AG1951" i="79"/>
  <c r="S1951" i="79"/>
  <c r="O1951" i="79"/>
  <c r="K1951" i="79"/>
  <c r="AQ2022" i="79"/>
  <c r="AF2022" i="79"/>
  <c r="K2022" i="79"/>
  <c r="AQ1987" i="79"/>
  <c r="AL1987" i="79"/>
  <c r="AG1987" i="79"/>
  <c r="Q1987" i="79"/>
  <c r="L1987" i="79"/>
  <c r="AN1951" i="79"/>
  <c r="AJ1951" i="79"/>
  <c r="AF1951" i="79"/>
  <c r="R1951" i="79"/>
  <c r="N1951" i="79"/>
  <c r="J1951" i="79"/>
  <c r="AO2022" i="79"/>
  <c r="J2022" i="79"/>
  <c r="AP1987" i="79"/>
  <c r="AK1987" i="79"/>
  <c r="P1987" i="79"/>
  <c r="K1987" i="79"/>
  <c r="AQ1951" i="79"/>
  <c r="AM1951" i="79"/>
  <c r="AI1951" i="79"/>
  <c r="Q1951" i="79"/>
  <c r="M1951" i="79"/>
  <c r="I1951" i="79"/>
  <c r="AK2022" i="79"/>
  <c r="Q2022" i="79"/>
  <c r="AO1987" i="79"/>
  <c r="AI1987" i="79"/>
  <c r="T1987" i="79"/>
  <c r="O1987" i="79"/>
  <c r="I1987" i="79"/>
  <c r="AP1951" i="79"/>
  <c r="AL1951" i="79"/>
  <c r="AH1951" i="79"/>
  <c r="T1951" i="79"/>
  <c r="P1951" i="79"/>
  <c r="L1951" i="79"/>
  <c r="AQ1915" i="79"/>
  <c r="AM1915" i="79"/>
  <c r="AI1915" i="79"/>
  <c r="Q1915" i="79"/>
  <c r="M1915" i="79"/>
  <c r="I1915" i="79"/>
  <c r="AN1879" i="79"/>
  <c r="AJ1879" i="79"/>
  <c r="AF1879" i="79"/>
  <c r="R1879" i="79"/>
  <c r="N1879" i="79"/>
  <c r="J1879" i="79"/>
  <c r="AO1843" i="79"/>
  <c r="AK1843" i="79"/>
  <c r="AG1843" i="79"/>
  <c r="S1843" i="79"/>
  <c r="O1843" i="79"/>
  <c r="K1843" i="79"/>
  <c r="AP1807" i="79"/>
  <c r="AL1807" i="79"/>
  <c r="AH1807" i="79"/>
  <c r="T1807" i="79"/>
  <c r="P1807" i="79"/>
  <c r="L1807" i="79"/>
  <c r="AP1915" i="79"/>
  <c r="AL1915" i="79"/>
  <c r="AH1915" i="79"/>
  <c r="T1915" i="79"/>
  <c r="P1915" i="79"/>
  <c r="L1915" i="79"/>
  <c r="AQ1879" i="79"/>
  <c r="AM1879" i="79"/>
  <c r="AI1879" i="79"/>
  <c r="Q1879" i="79"/>
  <c r="M1879" i="79"/>
  <c r="I1879" i="79"/>
  <c r="AN1843" i="79"/>
  <c r="AJ1843" i="79"/>
  <c r="AF1843" i="79"/>
  <c r="R1843" i="79"/>
  <c r="N1843" i="79"/>
  <c r="J1843" i="79"/>
  <c r="AO1807" i="79"/>
  <c r="AK1807" i="79"/>
  <c r="AG1807" i="79"/>
  <c r="S1807" i="79"/>
  <c r="O1807" i="79"/>
  <c r="K1807" i="79"/>
  <c r="AO1915" i="79"/>
  <c r="AK1915" i="79"/>
  <c r="AG1915" i="79"/>
  <c r="S1915" i="79"/>
  <c r="O1915" i="79"/>
  <c r="K1915" i="79"/>
  <c r="AP1879" i="79"/>
  <c r="AL1879" i="79"/>
  <c r="AH1879" i="79"/>
  <c r="T1879" i="79"/>
  <c r="P1879" i="79"/>
  <c r="L1879" i="79"/>
  <c r="AQ1843" i="79"/>
  <c r="AM1843" i="79"/>
  <c r="AI1843" i="79"/>
  <c r="Q1843" i="79"/>
  <c r="M1843" i="79"/>
  <c r="I1843" i="79"/>
  <c r="AN1807" i="79"/>
  <c r="AJ1807" i="79"/>
  <c r="AF1807" i="79"/>
  <c r="R1807" i="79"/>
  <c r="N1807" i="79"/>
  <c r="J1807" i="79"/>
  <c r="AN1915" i="79"/>
  <c r="AJ1915" i="79"/>
  <c r="AF1915" i="79"/>
  <c r="R1915" i="79"/>
  <c r="N1915" i="79"/>
  <c r="J1915" i="79"/>
  <c r="AO1879" i="79"/>
  <c r="AK1879" i="79"/>
  <c r="AG1879" i="79"/>
  <c r="S1879" i="79"/>
  <c r="O1879" i="79"/>
  <c r="K1879" i="79"/>
  <c r="AP1843" i="79"/>
  <c r="AL1843" i="79"/>
  <c r="AH1843" i="79"/>
  <c r="T1843" i="79"/>
  <c r="P1843" i="79"/>
  <c r="L1843" i="79"/>
  <c r="AQ1807" i="79"/>
  <c r="AM1807" i="79"/>
  <c r="AI1807" i="79"/>
  <c r="Q1807" i="79"/>
  <c r="M1807" i="79"/>
  <c r="I1807" i="79"/>
  <c r="AQ1771" i="79"/>
  <c r="AM1771" i="79"/>
  <c r="AI1771" i="79"/>
  <c r="Q1771" i="79"/>
  <c r="M1771" i="79"/>
  <c r="I1771" i="79"/>
  <c r="AN1735" i="79"/>
  <c r="AJ1735" i="79"/>
  <c r="AF1735" i="79"/>
  <c r="R1735" i="79"/>
  <c r="N1735" i="79"/>
  <c r="J1735" i="79"/>
  <c r="S1699" i="79"/>
  <c r="O1699" i="79"/>
  <c r="K1699" i="79"/>
  <c r="AP1771" i="79"/>
  <c r="AL1771" i="79"/>
  <c r="AH1771" i="79"/>
  <c r="T1771" i="79"/>
  <c r="P1771" i="79"/>
  <c r="L1771" i="79"/>
  <c r="AQ1735" i="79"/>
  <c r="AM1735" i="79"/>
  <c r="AI1735" i="79"/>
  <c r="Q1735" i="79"/>
  <c r="M1735" i="79"/>
  <c r="I1735" i="79"/>
  <c r="R1699" i="79"/>
  <c r="N1699" i="79"/>
  <c r="J1699" i="79"/>
  <c r="AO1771" i="79"/>
  <c r="AK1771" i="79"/>
  <c r="AG1771" i="79"/>
  <c r="S1771" i="79"/>
  <c r="O1771" i="79"/>
  <c r="K1771" i="79"/>
  <c r="AP1735" i="79"/>
  <c r="AL1735" i="79"/>
  <c r="AH1735" i="79"/>
  <c r="T1735" i="79"/>
  <c r="P1735" i="79"/>
  <c r="L1735" i="79"/>
  <c r="Q1699" i="79"/>
  <c r="M1699" i="79"/>
  <c r="I1699" i="79"/>
  <c r="Q1663" i="79"/>
  <c r="M1663" i="79"/>
  <c r="I1663" i="79"/>
  <c r="AN1771" i="79"/>
  <c r="AJ1771" i="79"/>
  <c r="AF1771" i="79"/>
  <c r="R1771" i="79"/>
  <c r="N1771" i="79"/>
  <c r="J1771" i="79"/>
  <c r="AO1735" i="79"/>
  <c r="AK1735" i="79"/>
  <c r="AG1735" i="79"/>
  <c r="S1735" i="79"/>
  <c r="O1735" i="79"/>
  <c r="K1735" i="79"/>
  <c r="T1699" i="79"/>
  <c r="P1699" i="79"/>
  <c r="L1699" i="79"/>
  <c r="T1663" i="79"/>
  <c r="P1663" i="79"/>
  <c r="L1663" i="79"/>
  <c r="R1663" i="79"/>
  <c r="J1663" i="79"/>
  <c r="O1663" i="79"/>
  <c r="N1663" i="79"/>
  <c r="S1663" i="79"/>
  <c r="K1663" i="79"/>
  <c r="R2127" i="79"/>
  <c r="N2127" i="79"/>
  <c r="J2127" i="79"/>
  <c r="S2127" i="79"/>
  <c r="M2127" i="79"/>
  <c r="Q2112" i="79"/>
  <c r="M2112" i="79"/>
  <c r="I2112" i="79"/>
  <c r="T2096" i="79"/>
  <c r="P2096" i="79"/>
  <c r="L2096" i="79"/>
  <c r="Q2127" i="79"/>
  <c r="L2127" i="79"/>
  <c r="T2112" i="79"/>
  <c r="P2112" i="79"/>
  <c r="L2112" i="79"/>
  <c r="S2096" i="79"/>
  <c r="O2096" i="79"/>
  <c r="K2096" i="79"/>
  <c r="R2081" i="79"/>
  <c r="N2081" i="79"/>
  <c r="J2081" i="79"/>
  <c r="AN2055" i="79"/>
  <c r="AJ2055" i="79"/>
  <c r="AF2055" i="79"/>
  <c r="R2055" i="79"/>
  <c r="N2055" i="79"/>
  <c r="J2055" i="79"/>
  <c r="P2127" i="79"/>
  <c r="K2127" i="79"/>
  <c r="S2112" i="79"/>
  <c r="O2112" i="79"/>
  <c r="K2112" i="79"/>
  <c r="R2096" i="79"/>
  <c r="N2096" i="79"/>
  <c r="J2096" i="79"/>
  <c r="Q2081" i="79"/>
  <c r="M2081" i="79"/>
  <c r="I2081" i="79"/>
  <c r="AQ2055" i="79"/>
  <c r="AM2055" i="79"/>
  <c r="AI2055" i="79"/>
  <c r="Q2055" i="79"/>
  <c r="M2055" i="79"/>
  <c r="I2055" i="79"/>
  <c r="J2112" i="79"/>
  <c r="M2096" i="79"/>
  <c r="O2081" i="79"/>
  <c r="AL2055" i="79"/>
  <c r="T2055" i="79"/>
  <c r="L2055" i="79"/>
  <c r="T2127" i="79"/>
  <c r="O2127" i="79"/>
  <c r="R2112" i="79"/>
  <c r="S2081" i="79"/>
  <c r="K2081" i="79"/>
  <c r="L2081" i="79"/>
  <c r="AP2055" i="79"/>
  <c r="AG2055" i="79"/>
  <c r="K2055" i="79"/>
  <c r="N2112" i="79"/>
  <c r="Q2096" i="79"/>
  <c r="AO2055" i="79"/>
  <c r="S2055" i="79"/>
  <c r="AN2019" i="79"/>
  <c r="AJ2019" i="79"/>
  <c r="AF2019" i="79"/>
  <c r="R2019" i="79"/>
  <c r="N2019" i="79"/>
  <c r="J2019" i="79"/>
  <c r="I2127" i="79"/>
  <c r="P2081" i="79"/>
  <c r="AH2055" i="79"/>
  <c r="P2055" i="79"/>
  <c r="I2096" i="79"/>
  <c r="O2055" i="79"/>
  <c r="AQ2019" i="79"/>
  <c r="AL2019" i="79"/>
  <c r="AG2019" i="79"/>
  <c r="Q2019" i="79"/>
  <c r="L2019" i="79"/>
  <c r="T2081" i="79"/>
  <c r="AK2055" i="79"/>
  <c r="AP2019" i="79"/>
  <c r="AK2019" i="79"/>
  <c r="P2019" i="79"/>
  <c r="K2019" i="79"/>
  <c r="AP1984" i="79"/>
  <c r="AL1984" i="79"/>
  <c r="AH1984" i="79"/>
  <c r="T1984" i="79"/>
  <c r="P1984" i="79"/>
  <c r="L1984" i="79"/>
  <c r="AM2019" i="79"/>
  <c r="S2019" i="79"/>
  <c r="AQ1984" i="79"/>
  <c r="AK1984" i="79"/>
  <c r="AF1984" i="79"/>
  <c r="Q1984" i="79"/>
  <c r="K1984" i="79"/>
  <c r="AQ1948" i="79"/>
  <c r="AM1948" i="79"/>
  <c r="AI1948" i="79"/>
  <c r="Q1948" i="79"/>
  <c r="M1948" i="79"/>
  <c r="I1948" i="79"/>
  <c r="AI2019" i="79"/>
  <c r="O2019" i="79"/>
  <c r="AO1984" i="79"/>
  <c r="AJ1984" i="79"/>
  <c r="O1984" i="79"/>
  <c r="J1984" i="79"/>
  <c r="AP1948" i="79"/>
  <c r="AL1948" i="79"/>
  <c r="AH1948" i="79"/>
  <c r="T1948" i="79"/>
  <c r="P1948" i="79"/>
  <c r="L1948" i="79"/>
  <c r="AH2019" i="79"/>
  <c r="M2019" i="79"/>
  <c r="AN1984" i="79"/>
  <c r="AI1984" i="79"/>
  <c r="S1984" i="79"/>
  <c r="N1984" i="79"/>
  <c r="I1984" i="79"/>
  <c r="AO1948" i="79"/>
  <c r="AK1948" i="79"/>
  <c r="AG1948" i="79"/>
  <c r="S1948" i="79"/>
  <c r="O1948" i="79"/>
  <c r="K1948" i="79"/>
  <c r="AO2019" i="79"/>
  <c r="T2019" i="79"/>
  <c r="I2019" i="79"/>
  <c r="AM1984" i="79"/>
  <c r="AG1984" i="79"/>
  <c r="R1984" i="79"/>
  <c r="M1984" i="79"/>
  <c r="AN1948" i="79"/>
  <c r="AJ1948" i="79"/>
  <c r="AF1948" i="79"/>
  <c r="R1948" i="79"/>
  <c r="N1948" i="79"/>
  <c r="J1948" i="79"/>
  <c r="AO1912" i="79"/>
  <c r="AK1912" i="79"/>
  <c r="AG1912" i="79"/>
  <c r="S1912" i="79"/>
  <c r="O1912" i="79"/>
  <c r="K1912" i="79"/>
  <c r="AP1876" i="79"/>
  <c r="AL1876" i="79"/>
  <c r="AH1876" i="79"/>
  <c r="T1876" i="79"/>
  <c r="P1876" i="79"/>
  <c r="L1876" i="79"/>
  <c r="AQ1840" i="79"/>
  <c r="AM1840" i="79"/>
  <c r="AI1840" i="79"/>
  <c r="Q1840" i="79"/>
  <c r="M1840" i="79"/>
  <c r="I1840" i="79"/>
  <c r="AN1804" i="79"/>
  <c r="AJ1804" i="79"/>
  <c r="AF1804" i="79"/>
  <c r="AN1912" i="79"/>
  <c r="AJ1912" i="79"/>
  <c r="AF1912" i="79"/>
  <c r="R1912" i="79"/>
  <c r="N1912" i="79"/>
  <c r="J1912" i="79"/>
  <c r="AO1876" i="79"/>
  <c r="AK1876" i="79"/>
  <c r="AG1876" i="79"/>
  <c r="S1876" i="79"/>
  <c r="O1876" i="79"/>
  <c r="K1876" i="79"/>
  <c r="AP1840" i="79"/>
  <c r="AL1840" i="79"/>
  <c r="AH1840" i="79"/>
  <c r="T1840" i="79"/>
  <c r="P1840" i="79"/>
  <c r="L1840" i="79"/>
  <c r="AQ1804" i="79"/>
  <c r="AM1804" i="79"/>
  <c r="AI1804" i="79"/>
  <c r="AQ1912" i="79"/>
  <c r="AM1912" i="79"/>
  <c r="AI1912" i="79"/>
  <c r="Q1912" i="79"/>
  <c r="M1912" i="79"/>
  <c r="I1912" i="79"/>
  <c r="AN1876" i="79"/>
  <c r="AJ1876" i="79"/>
  <c r="AF1876" i="79"/>
  <c r="R1876" i="79"/>
  <c r="N1876" i="79"/>
  <c r="J1876" i="79"/>
  <c r="AO1840" i="79"/>
  <c r="AK1840" i="79"/>
  <c r="AG1840" i="79"/>
  <c r="S1840" i="79"/>
  <c r="O1840" i="79"/>
  <c r="K1840" i="79"/>
  <c r="AP1804" i="79"/>
  <c r="AL1804" i="79"/>
  <c r="AH1804" i="79"/>
  <c r="AP1912" i="79"/>
  <c r="AL1912" i="79"/>
  <c r="AH1912" i="79"/>
  <c r="T1912" i="79"/>
  <c r="P1912" i="79"/>
  <c r="L1912" i="79"/>
  <c r="AQ1876" i="79"/>
  <c r="AM1876" i="79"/>
  <c r="AI1876" i="79"/>
  <c r="Q1876" i="79"/>
  <c r="M1876" i="79"/>
  <c r="I1876" i="79"/>
  <c r="AN1840" i="79"/>
  <c r="AJ1840" i="79"/>
  <c r="AF1840" i="79"/>
  <c r="R1840" i="79"/>
  <c r="N1840" i="79"/>
  <c r="J1840" i="79"/>
  <c r="AO1804" i="79"/>
  <c r="AK1804" i="79"/>
  <c r="AG1804" i="79"/>
  <c r="AN2063" i="79"/>
  <c r="AJ2063" i="79"/>
  <c r="AF2063" i="79"/>
  <c r="R2063" i="79"/>
  <c r="N2063" i="79"/>
  <c r="J2063" i="79"/>
  <c r="AQ2063" i="79"/>
  <c r="AM2063" i="79"/>
  <c r="AI2063" i="79"/>
  <c r="Q2063" i="79"/>
  <c r="M2063" i="79"/>
  <c r="I2063" i="79"/>
  <c r="AL2063" i="79"/>
  <c r="T2063" i="79"/>
  <c r="L2063" i="79"/>
  <c r="AP2027" i="79"/>
  <c r="AL2027" i="79"/>
  <c r="AH2027" i="79"/>
  <c r="T2027" i="79"/>
  <c r="P2027" i="79"/>
  <c r="L2027" i="79"/>
  <c r="AP2063" i="79"/>
  <c r="AH2063" i="79"/>
  <c r="P2063" i="79"/>
  <c r="AG2063" i="79"/>
  <c r="S2063" i="79"/>
  <c r="AN2027" i="79"/>
  <c r="AI2027" i="79"/>
  <c r="S2027" i="79"/>
  <c r="N2027" i="79"/>
  <c r="I2027" i="79"/>
  <c r="AK2063" i="79"/>
  <c r="O2063" i="79"/>
  <c r="K2063" i="79"/>
  <c r="AK2027" i="79"/>
  <c r="M2027" i="79"/>
  <c r="AQ1992" i="79"/>
  <c r="AM1992" i="79"/>
  <c r="AI1992" i="79"/>
  <c r="Q1992" i="79"/>
  <c r="M1992" i="79"/>
  <c r="I1992" i="79"/>
  <c r="AO2063" i="79"/>
  <c r="AQ2027" i="79"/>
  <c r="AJ2027" i="79"/>
  <c r="R2027" i="79"/>
  <c r="K2027" i="79"/>
  <c r="AP1992" i="79"/>
  <c r="AL1992" i="79"/>
  <c r="AH1992" i="79"/>
  <c r="T1992" i="79"/>
  <c r="P1992" i="79"/>
  <c r="L1992" i="79"/>
  <c r="AF2027" i="79"/>
  <c r="AO1992" i="79"/>
  <c r="AG1992" i="79"/>
  <c r="O1992" i="79"/>
  <c r="AQ1956" i="79"/>
  <c r="AM1956" i="79"/>
  <c r="AI1956" i="79"/>
  <c r="Q1956" i="79"/>
  <c r="M1956" i="79"/>
  <c r="I1956" i="79"/>
  <c r="AO2027" i="79"/>
  <c r="Q2027" i="79"/>
  <c r="AN1992" i="79"/>
  <c r="AF1992" i="79"/>
  <c r="N1992" i="79"/>
  <c r="AP1956" i="79"/>
  <c r="AL1956" i="79"/>
  <c r="AH1956" i="79"/>
  <c r="T1956" i="79"/>
  <c r="P1956" i="79"/>
  <c r="L1956" i="79"/>
  <c r="AM2027" i="79"/>
  <c r="O2027" i="79"/>
  <c r="AK1992" i="79"/>
  <c r="S1992" i="79"/>
  <c r="K1992" i="79"/>
  <c r="AO1956" i="79"/>
  <c r="AK1956" i="79"/>
  <c r="AG1956" i="79"/>
  <c r="S1956" i="79"/>
  <c r="O1956" i="79"/>
  <c r="K1956" i="79"/>
  <c r="AG2027" i="79"/>
  <c r="J2027" i="79"/>
  <c r="AJ1992" i="79"/>
  <c r="R1992" i="79"/>
  <c r="J1992" i="79"/>
  <c r="AN1956" i="79"/>
  <c r="AJ1956" i="79"/>
  <c r="AF1956" i="79"/>
  <c r="R1956" i="79"/>
  <c r="N1956" i="79"/>
  <c r="J1956" i="79"/>
  <c r="AO1920" i="79"/>
  <c r="AK1920" i="79"/>
  <c r="AG1920" i="79"/>
  <c r="S1920" i="79"/>
  <c r="O1920" i="79"/>
  <c r="K1920" i="79"/>
  <c r="AP1884" i="79"/>
  <c r="AL1884" i="79"/>
  <c r="AH1884" i="79"/>
  <c r="T1884" i="79"/>
  <c r="P1884" i="79"/>
  <c r="L1884" i="79"/>
  <c r="AQ1848" i="79"/>
  <c r="AM1848" i="79"/>
  <c r="AI1848" i="79"/>
  <c r="Q1848" i="79"/>
  <c r="M1848" i="79"/>
  <c r="I1848" i="79"/>
  <c r="AN1812" i="79"/>
  <c r="AJ1812" i="79"/>
  <c r="AF1812" i="79"/>
  <c r="R1812" i="79"/>
  <c r="N1812" i="79"/>
  <c r="J1812" i="79"/>
  <c r="AN1920" i="79"/>
  <c r="AJ1920" i="79"/>
  <c r="AF1920" i="79"/>
  <c r="R1920" i="79"/>
  <c r="N1920" i="79"/>
  <c r="J1920" i="79"/>
  <c r="AO1884" i="79"/>
  <c r="AK1884" i="79"/>
  <c r="AG1884" i="79"/>
  <c r="S1884" i="79"/>
  <c r="O1884" i="79"/>
  <c r="K1884" i="79"/>
  <c r="AP1848" i="79"/>
  <c r="AL1848" i="79"/>
  <c r="AH1848" i="79"/>
  <c r="T1848" i="79"/>
  <c r="P1848" i="79"/>
  <c r="L1848" i="79"/>
  <c r="AQ1812" i="79"/>
  <c r="AM1812" i="79"/>
  <c r="AI1812" i="79"/>
  <c r="Q1812" i="79"/>
  <c r="M1812" i="79"/>
  <c r="I1812" i="79"/>
  <c r="AQ1920" i="79"/>
  <c r="AM1920" i="79"/>
  <c r="AI1920" i="79"/>
  <c r="Q1920" i="79"/>
  <c r="M1920" i="79"/>
  <c r="I1920" i="79"/>
  <c r="AN1884" i="79"/>
  <c r="AJ1884" i="79"/>
  <c r="AF1884" i="79"/>
  <c r="R1884" i="79"/>
  <c r="N1884" i="79"/>
  <c r="J1884" i="79"/>
  <c r="AO1848" i="79"/>
  <c r="AK1848" i="79"/>
  <c r="AG1848" i="79"/>
  <c r="S1848" i="79"/>
  <c r="O1848" i="79"/>
  <c r="K1848" i="79"/>
  <c r="AP1812" i="79"/>
  <c r="AL1812" i="79"/>
  <c r="AH1812" i="79"/>
  <c r="T1812" i="79"/>
  <c r="P1812" i="79"/>
  <c r="L1812" i="79"/>
  <c r="AP1920" i="79"/>
  <c r="AL1920" i="79"/>
  <c r="AH1920" i="79"/>
  <c r="T1920" i="79"/>
  <c r="P1920" i="79"/>
  <c r="L1920" i="79"/>
  <c r="AQ1884" i="79"/>
  <c r="AM1884" i="79"/>
  <c r="AI1884" i="79"/>
  <c r="Q1884" i="79"/>
  <c r="M1884" i="79"/>
  <c r="I1884" i="79"/>
  <c r="AN1848" i="79"/>
  <c r="AJ1848" i="79"/>
  <c r="AF1848" i="79"/>
  <c r="R1848" i="79"/>
  <c r="N1848" i="79"/>
  <c r="J1848" i="79"/>
  <c r="AO1812" i="79"/>
  <c r="AK1812" i="79"/>
  <c r="AG1812" i="79"/>
  <c r="S1812" i="79"/>
  <c r="O1812" i="79"/>
  <c r="K1812" i="79"/>
  <c r="AO1776" i="79"/>
  <c r="AK1776" i="79"/>
  <c r="AG1776" i="79"/>
  <c r="S1776" i="79"/>
  <c r="O1776" i="79"/>
  <c r="K1776" i="79"/>
  <c r="AP1740" i="79"/>
  <c r="AL1740" i="79"/>
  <c r="AH1740" i="79"/>
  <c r="T1740" i="79"/>
  <c r="P1740" i="79"/>
  <c r="L1740" i="79"/>
  <c r="AQ1704" i="79"/>
  <c r="AM1704" i="79"/>
  <c r="AI1704" i="79"/>
  <c r="Q1704" i="79"/>
  <c r="M1704" i="79"/>
  <c r="I1704" i="79"/>
  <c r="AN1776" i="79"/>
  <c r="AJ1776" i="79"/>
  <c r="AF1776" i="79"/>
  <c r="R1776" i="79"/>
  <c r="N1776" i="79"/>
  <c r="J1776" i="79"/>
  <c r="AO1740" i="79"/>
  <c r="AK1740" i="79"/>
  <c r="AG1740" i="79"/>
  <c r="S1740" i="79"/>
  <c r="O1740" i="79"/>
  <c r="K1740" i="79"/>
  <c r="AP1704" i="79"/>
  <c r="AL1704" i="79"/>
  <c r="AH1704" i="79"/>
  <c r="T1704" i="79"/>
  <c r="P1704" i="79"/>
  <c r="L1704" i="79"/>
  <c r="AQ1776" i="79"/>
  <c r="AM1776" i="79"/>
  <c r="AI1776" i="79"/>
  <c r="Q1776" i="79"/>
  <c r="M1776" i="79"/>
  <c r="I1776" i="79"/>
  <c r="AN1740" i="79"/>
  <c r="AJ1740" i="79"/>
  <c r="AF1740" i="79"/>
  <c r="R1740" i="79"/>
  <c r="N1740" i="79"/>
  <c r="J1740" i="79"/>
  <c r="AO1704" i="79"/>
  <c r="AK1704" i="79"/>
  <c r="AG1704" i="79"/>
  <c r="S1704" i="79"/>
  <c r="O1704" i="79"/>
  <c r="K1704" i="79"/>
  <c r="AN1668" i="79"/>
  <c r="AJ1668" i="79"/>
  <c r="AF1668" i="79"/>
  <c r="R1668" i="79"/>
  <c r="N1668" i="79"/>
  <c r="J1668" i="79"/>
  <c r="AP1776" i="79"/>
  <c r="AL1776" i="79"/>
  <c r="AH1776" i="79"/>
  <c r="T1776" i="79"/>
  <c r="P1776" i="79"/>
  <c r="L1776" i="79"/>
  <c r="AQ1740" i="79"/>
  <c r="AM1740" i="79"/>
  <c r="AI1740" i="79"/>
  <c r="Q1740" i="79"/>
  <c r="M1740" i="79"/>
  <c r="I1740" i="79"/>
  <c r="AN1704" i="79"/>
  <c r="AJ1704" i="79"/>
  <c r="AF1704" i="79"/>
  <c r="R1704" i="79"/>
  <c r="N1704" i="79"/>
  <c r="J1704" i="79"/>
  <c r="AQ1668" i="79"/>
  <c r="AM1668" i="79"/>
  <c r="AI1668" i="79"/>
  <c r="Q1668" i="79"/>
  <c r="M1668" i="79"/>
  <c r="I1668" i="79"/>
  <c r="AO1668" i="79"/>
  <c r="AG1668" i="79"/>
  <c r="O1668" i="79"/>
  <c r="AL1668" i="79"/>
  <c r="T1668" i="79"/>
  <c r="L1668" i="79"/>
  <c r="AK1668" i="79"/>
  <c r="S1668" i="79"/>
  <c r="K1668" i="79"/>
  <c r="AP1668" i="79"/>
  <c r="AH1668" i="79"/>
  <c r="P1668" i="79"/>
  <c r="Q2124" i="79"/>
  <c r="M2124" i="79"/>
  <c r="I2124" i="79"/>
  <c r="T2124" i="79"/>
  <c r="O2124" i="79"/>
  <c r="J2124" i="79"/>
  <c r="T2109" i="79"/>
  <c r="P2109" i="79"/>
  <c r="L2109" i="79"/>
  <c r="S2124" i="79"/>
  <c r="N2124" i="79"/>
  <c r="S2109" i="79"/>
  <c r="O2109" i="79"/>
  <c r="K2109" i="79"/>
  <c r="R2093" i="79"/>
  <c r="N2093" i="79"/>
  <c r="J2093" i="79"/>
  <c r="Q2078" i="79"/>
  <c r="M2078" i="79"/>
  <c r="I2078" i="79"/>
  <c r="AP2052" i="79"/>
  <c r="AL2052" i="79"/>
  <c r="AH2052" i="79"/>
  <c r="T2052" i="79"/>
  <c r="P2052" i="79"/>
  <c r="L2052" i="79"/>
  <c r="R2124" i="79"/>
  <c r="L2124" i="79"/>
  <c r="R2109" i="79"/>
  <c r="N2109" i="79"/>
  <c r="J2109" i="79"/>
  <c r="Q2093" i="79"/>
  <c r="M2093" i="79"/>
  <c r="I2093" i="79"/>
  <c r="T2078" i="79"/>
  <c r="P2078" i="79"/>
  <c r="L2078" i="79"/>
  <c r="AO2052" i="79"/>
  <c r="AK2052" i="79"/>
  <c r="AG2052" i="79"/>
  <c r="S2052" i="79"/>
  <c r="O2052" i="79"/>
  <c r="K2052" i="79"/>
  <c r="Q2109" i="79"/>
  <c r="S2093" i="79"/>
  <c r="K2093" i="79"/>
  <c r="N2078" i="79"/>
  <c r="AJ2052" i="79"/>
  <c r="R2052" i="79"/>
  <c r="J2052" i="79"/>
  <c r="P2124" i="79"/>
  <c r="M2109" i="79"/>
  <c r="K2124" i="79"/>
  <c r="I2109" i="79"/>
  <c r="O2093" i="79"/>
  <c r="R2078" i="79"/>
  <c r="J2078" i="79"/>
  <c r="S2078" i="79"/>
  <c r="T2093" i="79"/>
  <c r="O2078" i="79"/>
  <c r="AQ2052" i="79"/>
  <c r="AF2052" i="79"/>
  <c r="M2052" i="79"/>
  <c r="K2078" i="79"/>
  <c r="AN2052" i="79"/>
  <c r="Q2052" i="79"/>
  <c r="P2093" i="79"/>
  <c r="AM2052" i="79"/>
  <c r="N2052" i="79"/>
  <c r="AP2016" i="79"/>
  <c r="AL2016" i="79"/>
  <c r="AH2016" i="79"/>
  <c r="T2016" i="79"/>
  <c r="P2016" i="79"/>
  <c r="L2016" i="79"/>
  <c r="L2093" i="79"/>
  <c r="AI2052" i="79"/>
  <c r="I2052" i="79"/>
  <c r="AO2016" i="79"/>
  <c r="AK2016" i="79"/>
  <c r="AG2016" i="79"/>
  <c r="S2016" i="79"/>
  <c r="O2016" i="79"/>
  <c r="K2016" i="79"/>
  <c r="AN1981" i="79"/>
  <c r="AJ1981" i="79"/>
  <c r="AF1981" i="79"/>
  <c r="R1981" i="79"/>
  <c r="N1981" i="79"/>
  <c r="J1981" i="79"/>
  <c r="AM2016" i="79"/>
  <c r="M2016" i="79"/>
  <c r="AO1981" i="79"/>
  <c r="AI1981" i="79"/>
  <c r="T1981" i="79"/>
  <c r="O1981" i="79"/>
  <c r="I1981" i="79"/>
  <c r="AO1945" i="79"/>
  <c r="AK1945" i="79"/>
  <c r="AG1945" i="79"/>
  <c r="S1945" i="79"/>
  <c r="O1945" i="79"/>
  <c r="K1945" i="79"/>
  <c r="AJ2016" i="79"/>
  <c r="R2016" i="79"/>
  <c r="J2016" i="79"/>
  <c r="AM1981" i="79"/>
  <c r="AH1981" i="79"/>
  <c r="S1981" i="79"/>
  <c r="M1981" i="79"/>
  <c r="AN1945" i="79"/>
  <c r="AJ1945" i="79"/>
  <c r="AF1945" i="79"/>
  <c r="R1945" i="79"/>
  <c r="N1945" i="79"/>
  <c r="J1945" i="79"/>
  <c r="AQ2016" i="79"/>
  <c r="AI2016" i="79"/>
  <c r="Q2016" i="79"/>
  <c r="I2016" i="79"/>
  <c r="AQ1981" i="79"/>
  <c r="AL1981" i="79"/>
  <c r="AG1981" i="79"/>
  <c r="Q1981" i="79"/>
  <c r="L1981" i="79"/>
  <c r="AQ1945" i="79"/>
  <c r="AM1945" i="79"/>
  <c r="AI1945" i="79"/>
  <c r="Q1945" i="79"/>
  <c r="M1945" i="79"/>
  <c r="I1945" i="79"/>
  <c r="AN2016" i="79"/>
  <c r="AF2016" i="79"/>
  <c r="N2016" i="79"/>
  <c r="AP1981" i="79"/>
  <c r="AK1981" i="79"/>
  <c r="P1981" i="79"/>
  <c r="K1981" i="79"/>
  <c r="AP1945" i="79"/>
  <c r="AL1945" i="79"/>
  <c r="AH1945" i="79"/>
  <c r="T1945" i="79"/>
  <c r="P1945" i="79"/>
  <c r="L1945" i="79"/>
  <c r="AQ1909" i="79"/>
  <c r="AM1909" i="79"/>
  <c r="AI1909" i="79"/>
  <c r="Q1909" i="79"/>
  <c r="M1909" i="79"/>
  <c r="I1909" i="79"/>
  <c r="AN1873" i="79"/>
  <c r="AJ1873" i="79"/>
  <c r="AF1873" i="79"/>
  <c r="R1873" i="79"/>
  <c r="N1873" i="79"/>
  <c r="J1873" i="79"/>
  <c r="AO1837" i="79"/>
  <c r="AK1837" i="79"/>
  <c r="AG1837" i="79"/>
  <c r="S1837" i="79"/>
  <c r="O1837" i="79"/>
  <c r="K1837" i="79"/>
  <c r="AP1801" i="79"/>
  <c r="AL1801" i="79"/>
  <c r="AH1801" i="79"/>
  <c r="T1801" i="79"/>
  <c r="P1801" i="79"/>
  <c r="L1801" i="79"/>
  <c r="AP1909" i="79"/>
  <c r="AL1909" i="79"/>
  <c r="AH1909" i="79"/>
  <c r="T1909" i="79"/>
  <c r="P1909" i="79"/>
  <c r="L1909" i="79"/>
  <c r="AQ1873" i="79"/>
  <c r="AM1873" i="79"/>
  <c r="AI1873" i="79"/>
  <c r="Q1873" i="79"/>
  <c r="M1873" i="79"/>
  <c r="I1873" i="79"/>
  <c r="AN1837" i="79"/>
  <c r="AJ1837" i="79"/>
  <c r="AF1837" i="79"/>
  <c r="R1837" i="79"/>
  <c r="N1837" i="79"/>
  <c r="J1837" i="79"/>
  <c r="AO1801" i="79"/>
  <c r="AK1801" i="79"/>
  <c r="AG1801" i="79"/>
  <c r="S1801" i="79"/>
  <c r="O1801" i="79"/>
  <c r="K1801" i="79"/>
  <c r="AO1909" i="79"/>
  <c r="AK1909" i="79"/>
  <c r="AG1909" i="79"/>
  <c r="S1909" i="79"/>
  <c r="O1909" i="79"/>
  <c r="K1909" i="79"/>
  <c r="AP1873" i="79"/>
  <c r="AL1873" i="79"/>
  <c r="AH1873" i="79"/>
  <c r="T1873" i="79"/>
  <c r="P1873" i="79"/>
  <c r="L1873" i="79"/>
  <c r="AQ1837" i="79"/>
  <c r="AM1837" i="79"/>
  <c r="AI1837" i="79"/>
  <c r="Q1837" i="79"/>
  <c r="M1837" i="79"/>
  <c r="I1837" i="79"/>
  <c r="AN1801" i="79"/>
  <c r="AJ1801" i="79"/>
  <c r="AF1801" i="79"/>
  <c r="R1801" i="79"/>
  <c r="N1801" i="79"/>
  <c r="J1801" i="79"/>
  <c r="AN1909" i="79"/>
  <c r="AJ1909" i="79"/>
  <c r="AF1909" i="79"/>
  <c r="R1909" i="79"/>
  <c r="N1909" i="79"/>
  <c r="J1909" i="79"/>
  <c r="AO1873" i="79"/>
  <c r="AK1873" i="79"/>
  <c r="AG1873" i="79"/>
  <c r="S1873" i="79"/>
  <c r="O1873" i="79"/>
  <c r="K1873" i="79"/>
  <c r="AP1837" i="79"/>
  <c r="AL1837" i="79"/>
  <c r="AH1837" i="79"/>
  <c r="T1837" i="79"/>
  <c r="P1837" i="79"/>
  <c r="L1837" i="79"/>
  <c r="AQ1801" i="79"/>
  <c r="AM1801" i="79"/>
  <c r="AI1801" i="79"/>
  <c r="Q1801" i="79"/>
  <c r="M1801" i="79"/>
  <c r="I1801" i="79"/>
  <c r="AQ1765" i="79"/>
  <c r="AM1765" i="79"/>
  <c r="AI1765" i="79"/>
  <c r="Q1765" i="79"/>
  <c r="M1765" i="79"/>
  <c r="I1765" i="79"/>
  <c r="AN1729" i="79"/>
  <c r="AJ1729" i="79"/>
  <c r="AF1729" i="79"/>
  <c r="R1729" i="79"/>
  <c r="N1729" i="79"/>
  <c r="J1729" i="79"/>
  <c r="AO1693" i="79"/>
  <c r="AK1693" i="79"/>
  <c r="AG1693" i="79"/>
  <c r="S1693" i="79"/>
  <c r="O1693" i="79"/>
  <c r="K1693" i="79"/>
  <c r="AP1765" i="79"/>
  <c r="AL1765" i="79"/>
  <c r="AH1765" i="79"/>
  <c r="T1765" i="79"/>
  <c r="P1765" i="79"/>
  <c r="L1765" i="79"/>
  <c r="AQ1729" i="79"/>
  <c r="AM1729" i="79"/>
  <c r="AI1729" i="79"/>
  <c r="Q1729" i="79"/>
  <c r="M1729" i="79"/>
  <c r="I1729" i="79"/>
  <c r="AN1693" i="79"/>
  <c r="AJ1693" i="79"/>
  <c r="AF1693" i="79"/>
  <c r="R1693" i="79"/>
  <c r="N1693" i="79"/>
  <c r="J1693" i="79"/>
  <c r="AO1765" i="79"/>
  <c r="AK1765" i="79"/>
  <c r="AG1765" i="79"/>
  <c r="S1765" i="79"/>
  <c r="O1765" i="79"/>
  <c r="K1765" i="79"/>
  <c r="AP1729" i="79"/>
  <c r="AL1729" i="79"/>
  <c r="AH1729" i="79"/>
  <c r="T1729" i="79"/>
  <c r="P1729" i="79"/>
  <c r="L1729" i="79"/>
  <c r="AQ1693" i="79"/>
  <c r="AM1693" i="79"/>
  <c r="AI1693" i="79"/>
  <c r="Q1693" i="79"/>
  <c r="M1693" i="79"/>
  <c r="I1693" i="79"/>
  <c r="AO1657" i="79"/>
  <c r="AK1657" i="79"/>
  <c r="AG1657" i="79"/>
  <c r="S1657" i="79"/>
  <c r="O1657" i="79"/>
  <c r="K1657" i="79"/>
  <c r="AN1765" i="79"/>
  <c r="AJ1765" i="79"/>
  <c r="AF1765" i="79"/>
  <c r="R1765" i="79"/>
  <c r="N1765" i="79"/>
  <c r="J1765" i="79"/>
  <c r="AO1729" i="79"/>
  <c r="AK1729" i="79"/>
  <c r="AG1729" i="79"/>
  <c r="S1729" i="79"/>
  <c r="O1729" i="79"/>
  <c r="K1729" i="79"/>
  <c r="AP1693" i="79"/>
  <c r="AL1693" i="79"/>
  <c r="AH1693" i="79"/>
  <c r="T1693" i="79"/>
  <c r="P1693" i="79"/>
  <c r="L1693" i="79"/>
  <c r="AN1657" i="79"/>
  <c r="AJ1657" i="79"/>
  <c r="AF1657" i="79"/>
  <c r="R1657" i="79"/>
  <c r="N1657" i="79"/>
  <c r="J1657" i="79"/>
  <c r="AP1657" i="79"/>
  <c r="AH1657" i="79"/>
  <c r="P1657" i="79"/>
  <c r="AM1657" i="79"/>
  <c r="M1657" i="79"/>
  <c r="AL1657" i="79"/>
  <c r="T1657" i="79"/>
  <c r="L1657" i="79"/>
  <c r="AQ1657" i="79"/>
  <c r="AI1657" i="79"/>
  <c r="Q1657" i="79"/>
  <c r="I1657" i="79"/>
  <c r="AP2060" i="79"/>
  <c r="AL2060" i="79"/>
  <c r="AH2060" i="79"/>
  <c r="T2060" i="79"/>
  <c r="P2060" i="79"/>
  <c r="L2060" i="79"/>
  <c r="AO2060" i="79"/>
  <c r="AK2060" i="79"/>
  <c r="AG2060" i="79"/>
  <c r="S2060" i="79"/>
  <c r="O2060" i="79"/>
  <c r="K2060" i="79"/>
  <c r="AJ2060" i="79"/>
  <c r="R2060" i="79"/>
  <c r="J2060" i="79"/>
  <c r="AN2024" i="79"/>
  <c r="AJ2024" i="79"/>
  <c r="AF2024" i="79"/>
  <c r="R2024" i="79"/>
  <c r="N2024" i="79"/>
  <c r="J2024" i="79"/>
  <c r="AN2060" i="79"/>
  <c r="AF2060" i="79"/>
  <c r="N2060" i="79"/>
  <c r="AQ2060" i="79"/>
  <c r="Q2060" i="79"/>
  <c r="AQ2024" i="79"/>
  <c r="AL2024" i="79"/>
  <c r="AG2024" i="79"/>
  <c r="Q2024" i="79"/>
  <c r="L2024" i="79"/>
  <c r="I2060" i="79"/>
  <c r="AM2060" i="79"/>
  <c r="AI2060" i="79"/>
  <c r="AK2024" i="79"/>
  <c r="T2024" i="79"/>
  <c r="M2024" i="79"/>
  <c r="AO1989" i="79"/>
  <c r="AK1989" i="79"/>
  <c r="AG1989" i="79"/>
  <c r="S1989" i="79"/>
  <c r="O1989" i="79"/>
  <c r="K1989" i="79"/>
  <c r="M2060" i="79"/>
  <c r="AP2024" i="79"/>
  <c r="AI2024" i="79"/>
  <c r="S2024" i="79"/>
  <c r="K2024" i="79"/>
  <c r="AN1989" i="79"/>
  <c r="AJ1989" i="79"/>
  <c r="AF1989" i="79"/>
  <c r="R1989" i="79"/>
  <c r="N1989" i="79"/>
  <c r="J1989" i="79"/>
  <c r="AM2024" i="79"/>
  <c r="O2024" i="79"/>
  <c r="AM1989" i="79"/>
  <c r="M1989" i="79"/>
  <c r="AO1953" i="79"/>
  <c r="AK1953" i="79"/>
  <c r="AG1953" i="79"/>
  <c r="S1953" i="79"/>
  <c r="O1953" i="79"/>
  <c r="K1953" i="79"/>
  <c r="AH2024" i="79"/>
  <c r="I2024" i="79"/>
  <c r="AL1989" i="79"/>
  <c r="T1989" i="79"/>
  <c r="L1989" i="79"/>
  <c r="AN1953" i="79"/>
  <c r="AJ1953" i="79"/>
  <c r="AF1953" i="79"/>
  <c r="R1953" i="79"/>
  <c r="N1953" i="79"/>
  <c r="J1953" i="79"/>
  <c r="AQ1989" i="79"/>
  <c r="AI1989" i="79"/>
  <c r="Q1989" i="79"/>
  <c r="I1989" i="79"/>
  <c r="AQ1953" i="79"/>
  <c r="AM1953" i="79"/>
  <c r="AI1953" i="79"/>
  <c r="Q1953" i="79"/>
  <c r="M1953" i="79"/>
  <c r="I1953" i="79"/>
  <c r="AO2024" i="79"/>
  <c r="P2024" i="79"/>
  <c r="AP1989" i="79"/>
  <c r="AH1989" i="79"/>
  <c r="P1989" i="79"/>
  <c r="AP1953" i="79"/>
  <c r="AL1953" i="79"/>
  <c r="AH1953" i="79"/>
  <c r="T1953" i="79"/>
  <c r="P1953" i="79"/>
  <c r="L1953" i="79"/>
  <c r="AQ1917" i="79"/>
  <c r="AM1917" i="79"/>
  <c r="AI1917" i="79"/>
  <c r="Q1917" i="79"/>
  <c r="M1917" i="79"/>
  <c r="I1917" i="79"/>
  <c r="AN1881" i="79"/>
  <c r="AJ1881" i="79"/>
  <c r="AF1881" i="79"/>
  <c r="R1881" i="79"/>
  <c r="N1881" i="79"/>
  <c r="J1881" i="79"/>
  <c r="AO1845" i="79"/>
  <c r="AK1845" i="79"/>
  <c r="AG1845" i="79"/>
  <c r="S1845" i="79"/>
  <c r="O1845" i="79"/>
  <c r="K1845" i="79"/>
  <c r="AP1809" i="79"/>
  <c r="AL1809" i="79"/>
  <c r="AH1809" i="79"/>
  <c r="T1809" i="79"/>
  <c r="P1809" i="79"/>
  <c r="L1809" i="79"/>
  <c r="AP1917" i="79"/>
  <c r="AL1917" i="79"/>
  <c r="AH1917" i="79"/>
  <c r="T1917" i="79"/>
  <c r="P1917" i="79"/>
  <c r="L1917" i="79"/>
  <c r="AQ1881" i="79"/>
  <c r="AM1881" i="79"/>
  <c r="AI1881" i="79"/>
  <c r="Q1881" i="79"/>
  <c r="M1881" i="79"/>
  <c r="I1881" i="79"/>
  <c r="AN1845" i="79"/>
  <c r="AJ1845" i="79"/>
  <c r="AF1845" i="79"/>
  <c r="R1845" i="79"/>
  <c r="N1845" i="79"/>
  <c r="J1845" i="79"/>
  <c r="AO1809" i="79"/>
  <c r="AK1809" i="79"/>
  <c r="AG1809" i="79"/>
  <c r="S1809" i="79"/>
  <c r="O1809" i="79"/>
  <c r="K1809" i="79"/>
  <c r="AO1917" i="79"/>
  <c r="AK1917" i="79"/>
  <c r="AG1917" i="79"/>
  <c r="S1917" i="79"/>
  <c r="O1917" i="79"/>
  <c r="K1917" i="79"/>
  <c r="AP1881" i="79"/>
  <c r="AL1881" i="79"/>
  <c r="AH1881" i="79"/>
  <c r="T1881" i="79"/>
  <c r="P1881" i="79"/>
  <c r="L1881" i="79"/>
  <c r="AQ1845" i="79"/>
  <c r="AM1845" i="79"/>
  <c r="AI1845" i="79"/>
  <c r="Q1845" i="79"/>
  <c r="M1845" i="79"/>
  <c r="I1845" i="79"/>
  <c r="AN1809" i="79"/>
  <c r="AJ1809" i="79"/>
  <c r="AF1809" i="79"/>
  <c r="R1809" i="79"/>
  <c r="N1809" i="79"/>
  <c r="J1809" i="79"/>
  <c r="AN1917" i="79"/>
  <c r="AJ1917" i="79"/>
  <c r="AF1917" i="79"/>
  <c r="R1917" i="79"/>
  <c r="N1917" i="79"/>
  <c r="J1917" i="79"/>
  <c r="AO1881" i="79"/>
  <c r="AK1881" i="79"/>
  <c r="AG1881" i="79"/>
  <c r="S1881" i="79"/>
  <c r="O1881" i="79"/>
  <c r="K1881" i="79"/>
  <c r="AP1845" i="79"/>
  <c r="AL1845" i="79"/>
  <c r="AH1845" i="79"/>
  <c r="T1845" i="79"/>
  <c r="P1845" i="79"/>
  <c r="L1845" i="79"/>
  <c r="AQ1809" i="79"/>
  <c r="AM1809" i="79"/>
  <c r="AI1809" i="79"/>
  <c r="Q1809" i="79"/>
  <c r="M1809" i="79"/>
  <c r="I1809" i="79"/>
  <c r="AQ1773" i="79"/>
  <c r="AM1773" i="79"/>
  <c r="AI1773" i="79"/>
  <c r="Q1773" i="79"/>
  <c r="M1773" i="79"/>
  <c r="I1773" i="79"/>
  <c r="AN1737" i="79"/>
  <c r="AJ1737" i="79"/>
  <c r="AF1737" i="79"/>
  <c r="R1737" i="79"/>
  <c r="N1737" i="79"/>
  <c r="J1737" i="79"/>
  <c r="AO1701" i="79"/>
  <c r="AK1701" i="79"/>
  <c r="AG1701" i="79"/>
  <c r="S1701" i="79"/>
  <c r="O1701" i="79"/>
  <c r="K1701" i="79"/>
  <c r="AP1773" i="79"/>
  <c r="AL1773" i="79"/>
  <c r="AH1773" i="79"/>
  <c r="T1773" i="79"/>
  <c r="P1773" i="79"/>
  <c r="L1773" i="79"/>
  <c r="AQ1737" i="79"/>
  <c r="AM1737" i="79"/>
  <c r="AI1737" i="79"/>
  <c r="Q1737" i="79"/>
  <c r="M1737" i="79"/>
  <c r="I1737" i="79"/>
  <c r="AN1701" i="79"/>
  <c r="AJ1701" i="79"/>
  <c r="AF1701" i="79"/>
  <c r="R1701" i="79"/>
  <c r="N1701" i="79"/>
  <c r="J1701" i="79"/>
  <c r="AO1773" i="79"/>
  <c r="AK1773" i="79"/>
  <c r="AG1773" i="79"/>
  <c r="S1773" i="79"/>
  <c r="O1773" i="79"/>
  <c r="K1773" i="79"/>
  <c r="AP1737" i="79"/>
  <c r="AL1737" i="79"/>
  <c r="AH1737" i="79"/>
  <c r="T1737" i="79"/>
  <c r="P1737" i="79"/>
  <c r="L1737" i="79"/>
  <c r="AQ1701" i="79"/>
  <c r="AM1701" i="79"/>
  <c r="AI1701" i="79"/>
  <c r="Q1701" i="79"/>
  <c r="M1701" i="79"/>
  <c r="I1701" i="79"/>
  <c r="AO1665" i="79"/>
  <c r="AK1665" i="79"/>
  <c r="AG1665" i="79"/>
  <c r="S1665" i="79"/>
  <c r="O1665" i="79"/>
  <c r="K1665" i="79"/>
  <c r="AN1773" i="79"/>
  <c r="AJ1773" i="79"/>
  <c r="AF1773" i="79"/>
  <c r="R1773" i="79"/>
  <c r="N1773" i="79"/>
  <c r="J1773" i="79"/>
  <c r="AO1737" i="79"/>
  <c r="AK1737" i="79"/>
  <c r="AG1737" i="79"/>
  <c r="S1737" i="79"/>
  <c r="O1737" i="79"/>
  <c r="K1737" i="79"/>
  <c r="AP1701" i="79"/>
  <c r="AL1701" i="79"/>
  <c r="AH1701" i="79"/>
  <c r="T1701" i="79"/>
  <c r="P1701" i="79"/>
  <c r="L1701" i="79"/>
  <c r="AN1665" i="79"/>
  <c r="AJ1665" i="79"/>
  <c r="AF1665" i="79"/>
  <c r="R1665" i="79"/>
  <c r="N1665" i="79"/>
  <c r="J1665" i="79"/>
  <c r="AP1665" i="79"/>
  <c r="AH1665" i="79"/>
  <c r="P1665" i="79"/>
  <c r="AM1665" i="79"/>
  <c r="M1665" i="79"/>
  <c r="AL1665" i="79"/>
  <c r="T1665" i="79"/>
  <c r="L1665" i="79"/>
  <c r="AQ1665" i="79"/>
  <c r="AI1665" i="79"/>
  <c r="Q1665" i="79"/>
  <c r="I1665" i="79"/>
  <c r="T2129" i="79"/>
  <c r="P2129" i="79"/>
  <c r="L2129" i="79"/>
  <c r="S2129" i="79"/>
  <c r="N2129" i="79"/>
  <c r="I2129" i="79"/>
  <c r="S2114" i="79"/>
  <c r="O2114" i="79"/>
  <c r="K2114" i="79"/>
  <c r="R2129" i="79"/>
  <c r="M2129" i="79"/>
  <c r="R2114" i="79"/>
  <c r="N2114" i="79"/>
  <c r="J2114" i="79"/>
  <c r="I2098" i="79"/>
  <c r="T2083" i="79"/>
  <c r="P2083" i="79"/>
  <c r="L2083" i="79"/>
  <c r="AN2057" i="79"/>
  <c r="AJ2057" i="79"/>
  <c r="AF2057" i="79"/>
  <c r="R2057" i="79"/>
  <c r="N2057" i="79"/>
  <c r="J2057" i="79"/>
  <c r="Q2129" i="79"/>
  <c r="K2129" i="79"/>
  <c r="Q2114" i="79"/>
  <c r="M2114" i="79"/>
  <c r="I2114" i="79"/>
  <c r="S2083" i="79"/>
  <c r="O2083" i="79"/>
  <c r="K2083" i="79"/>
  <c r="AQ2057" i="79"/>
  <c r="AM2057" i="79"/>
  <c r="AI2057" i="79"/>
  <c r="Q2057" i="79"/>
  <c r="M2057" i="79"/>
  <c r="I2057" i="79"/>
  <c r="P2114" i="79"/>
  <c r="M2083" i="79"/>
  <c r="AP2057" i="79"/>
  <c r="AH2057" i="79"/>
  <c r="P2057" i="79"/>
  <c r="O2129" i="79"/>
  <c r="L2114" i="79"/>
  <c r="J2129" i="79"/>
  <c r="Q2083" i="79"/>
  <c r="I2083" i="79"/>
  <c r="R2083" i="79"/>
  <c r="AG2057" i="79"/>
  <c r="L2057" i="79"/>
  <c r="N2083" i="79"/>
  <c r="AO2057" i="79"/>
  <c r="T2057" i="79"/>
  <c r="K2057" i="79"/>
  <c r="AN2021" i="79"/>
  <c r="AJ2021" i="79"/>
  <c r="AF2021" i="79"/>
  <c r="R2021" i="79"/>
  <c r="N2021" i="79"/>
  <c r="J2021" i="79"/>
  <c r="T2114" i="79"/>
  <c r="O2057" i="79"/>
  <c r="J2083" i="79"/>
  <c r="AL2057" i="79"/>
  <c r="AK2057" i="79"/>
  <c r="AM2021" i="79"/>
  <c r="AH2021" i="79"/>
  <c r="S2021" i="79"/>
  <c r="M2021" i="79"/>
  <c r="S2057" i="79"/>
  <c r="AQ2021" i="79"/>
  <c r="AL2021" i="79"/>
  <c r="AG2021" i="79"/>
  <c r="Q2021" i="79"/>
  <c r="L2021" i="79"/>
  <c r="AP1986" i="79"/>
  <c r="AL1986" i="79"/>
  <c r="AH1986" i="79"/>
  <c r="T1986" i="79"/>
  <c r="P1986" i="79"/>
  <c r="L1986" i="79"/>
  <c r="AO2021" i="79"/>
  <c r="T2021" i="79"/>
  <c r="I2021" i="79"/>
  <c r="AM1986" i="79"/>
  <c r="AG1986" i="79"/>
  <c r="R1986" i="79"/>
  <c r="M1986" i="79"/>
  <c r="AQ1950" i="79"/>
  <c r="AM1950" i="79"/>
  <c r="AI1950" i="79"/>
  <c r="Q1950" i="79"/>
  <c r="M1950" i="79"/>
  <c r="I1950" i="79"/>
  <c r="AK2021" i="79"/>
  <c r="P2021" i="79"/>
  <c r="AQ1986" i="79"/>
  <c r="AK1986" i="79"/>
  <c r="AF1986" i="79"/>
  <c r="Q1986" i="79"/>
  <c r="K1986" i="79"/>
  <c r="AP1950" i="79"/>
  <c r="AL1950" i="79"/>
  <c r="AH1950" i="79"/>
  <c r="T1950" i="79"/>
  <c r="P1950" i="79"/>
  <c r="L1950" i="79"/>
  <c r="AI2021" i="79"/>
  <c r="O2021" i="79"/>
  <c r="AO1986" i="79"/>
  <c r="AJ1986" i="79"/>
  <c r="O1986" i="79"/>
  <c r="J1986" i="79"/>
  <c r="AO1950" i="79"/>
  <c r="AK1950" i="79"/>
  <c r="AG1950" i="79"/>
  <c r="S1950" i="79"/>
  <c r="O1950" i="79"/>
  <c r="K1950" i="79"/>
  <c r="AP2021" i="79"/>
  <c r="K2021" i="79"/>
  <c r="AN1986" i="79"/>
  <c r="AI1986" i="79"/>
  <c r="S1986" i="79"/>
  <c r="N1986" i="79"/>
  <c r="I1986" i="79"/>
  <c r="AN1950" i="79"/>
  <c r="AJ1950" i="79"/>
  <c r="AF1950" i="79"/>
  <c r="R1950" i="79"/>
  <c r="N1950" i="79"/>
  <c r="J1950" i="79"/>
  <c r="AO1914" i="79"/>
  <c r="AK1914" i="79"/>
  <c r="AG1914" i="79"/>
  <c r="S1914" i="79"/>
  <c r="O1914" i="79"/>
  <c r="K1914" i="79"/>
  <c r="AP1878" i="79"/>
  <c r="AL1878" i="79"/>
  <c r="AH1878" i="79"/>
  <c r="T1878" i="79"/>
  <c r="P1878" i="79"/>
  <c r="L1878" i="79"/>
  <c r="AQ1842" i="79"/>
  <c r="AM1842" i="79"/>
  <c r="AI1842" i="79"/>
  <c r="Q1842" i="79"/>
  <c r="M1842" i="79"/>
  <c r="I1842" i="79"/>
  <c r="AN1806" i="79"/>
  <c r="AJ1806" i="79"/>
  <c r="AF1806" i="79"/>
  <c r="AN1914" i="79"/>
  <c r="AJ1914" i="79"/>
  <c r="AF1914" i="79"/>
  <c r="R1914" i="79"/>
  <c r="N1914" i="79"/>
  <c r="J1914" i="79"/>
  <c r="AO1878" i="79"/>
  <c r="AK1878" i="79"/>
  <c r="AG1878" i="79"/>
  <c r="S1878" i="79"/>
  <c r="O1878" i="79"/>
  <c r="K1878" i="79"/>
  <c r="AP1842" i="79"/>
  <c r="AL1842" i="79"/>
  <c r="AH1842" i="79"/>
  <c r="T1842" i="79"/>
  <c r="P1842" i="79"/>
  <c r="L1842" i="79"/>
  <c r="AQ1806" i="79"/>
  <c r="AM1806" i="79"/>
  <c r="AI1806" i="79"/>
  <c r="AQ1914" i="79"/>
  <c r="AM1914" i="79"/>
  <c r="AI1914" i="79"/>
  <c r="Q1914" i="79"/>
  <c r="M1914" i="79"/>
  <c r="I1914" i="79"/>
  <c r="AN1878" i="79"/>
  <c r="AJ1878" i="79"/>
  <c r="AF1878" i="79"/>
  <c r="R1878" i="79"/>
  <c r="N1878" i="79"/>
  <c r="J1878" i="79"/>
  <c r="AO1842" i="79"/>
  <c r="AK1842" i="79"/>
  <c r="AG1842" i="79"/>
  <c r="S1842" i="79"/>
  <c r="O1842" i="79"/>
  <c r="K1842" i="79"/>
  <c r="AP1806" i="79"/>
  <c r="AL1806" i="79"/>
  <c r="AH1806" i="79"/>
  <c r="AP1914" i="79"/>
  <c r="AL1914" i="79"/>
  <c r="AH1914" i="79"/>
  <c r="T1914" i="79"/>
  <c r="P1914" i="79"/>
  <c r="L1914" i="79"/>
  <c r="AQ1878" i="79"/>
  <c r="AM1878" i="79"/>
  <c r="AI1878" i="79"/>
  <c r="Q1878" i="79"/>
  <c r="M1878" i="79"/>
  <c r="I1878" i="79"/>
  <c r="AN1842" i="79"/>
  <c r="AJ1842" i="79"/>
  <c r="AF1842" i="79"/>
  <c r="R1842" i="79"/>
  <c r="N1842" i="79"/>
  <c r="J1842" i="79"/>
  <c r="AO1806" i="79"/>
  <c r="AK1806" i="79"/>
  <c r="AG1806" i="79"/>
  <c r="AO1770" i="79"/>
  <c r="AK1770" i="79"/>
  <c r="AG1770" i="79"/>
  <c r="AP1734" i="79"/>
  <c r="AL1734" i="79"/>
  <c r="AH1734" i="79"/>
  <c r="AN1770" i="79"/>
  <c r="AJ1770" i="79"/>
  <c r="AF1770" i="79"/>
  <c r="AO1734" i="79"/>
  <c r="AK1734" i="79"/>
  <c r="AG1734" i="79"/>
  <c r="AQ1770" i="79"/>
  <c r="AM1770" i="79"/>
  <c r="AI1770" i="79"/>
  <c r="AN1734" i="79"/>
  <c r="AJ1734" i="79"/>
  <c r="AF1734" i="79"/>
  <c r="AP1770" i="79"/>
  <c r="AL1770" i="79"/>
  <c r="AH1770" i="79"/>
  <c r="AQ1734" i="79"/>
  <c r="AM1734" i="79"/>
  <c r="AI1734" i="79"/>
  <c r="AN2065" i="79"/>
  <c r="AJ2065" i="79"/>
  <c r="AF2065" i="79"/>
  <c r="R2065" i="79"/>
  <c r="N2065" i="79"/>
  <c r="J2065" i="79"/>
  <c r="AQ2065" i="79"/>
  <c r="AM2065" i="79"/>
  <c r="AI2065" i="79"/>
  <c r="Q2065" i="79"/>
  <c r="M2065" i="79"/>
  <c r="I2065" i="79"/>
  <c r="AO2065" i="79"/>
  <c r="AG2065" i="79"/>
  <c r="P2065" i="79"/>
  <c r="AP2029" i="79"/>
  <c r="AL2029" i="79"/>
  <c r="AH2029" i="79"/>
  <c r="T2029" i="79"/>
  <c r="P2029" i="79"/>
  <c r="L2029" i="79"/>
  <c r="AK2065" i="79"/>
  <c r="T2065" i="79"/>
  <c r="L2065" i="79"/>
  <c r="AL2065" i="79"/>
  <c r="O2065" i="79"/>
  <c r="AH2065" i="79"/>
  <c r="K2065" i="79"/>
  <c r="AN2029" i="79"/>
  <c r="AI2029" i="79"/>
  <c r="S2029" i="79"/>
  <c r="N2029" i="79"/>
  <c r="I2029" i="79"/>
  <c r="AP2065" i="79"/>
  <c r="S2065" i="79"/>
  <c r="AO2029" i="79"/>
  <c r="AG2029" i="79"/>
  <c r="Q2029" i="79"/>
  <c r="J2029" i="79"/>
  <c r="AM2029" i="79"/>
  <c r="AF2029" i="79"/>
  <c r="O2029" i="79"/>
  <c r="AQ1958" i="79"/>
  <c r="AM1958" i="79"/>
  <c r="AI1958" i="79"/>
  <c r="Q1958" i="79"/>
  <c r="M1958" i="79"/>
  <c r="I1958" i="79"/>
  <c r="AQ2029" i="79"/>
  <c r="R2029" i="79"/>
  <c r="AP1958" i="79"/>
  <c r="AL1958" i="79"/>
  <c r="AH1958" i="79"/>
  <c r="T1958" i="79"/>
  <c r="P1958" i="79"/>
  <c r="L1958" i="79"/>
  <c r="AK2029" i="79"/>
  <c r="M2029" i="79"/>
  <c r="AO1958" i="79"/>
  <c r="AK1958" i="79"/>
  <c r="AG1958" i="79"/>
  <c r="S1958" i="79"/>
  <c r="O1958" i="79"/>
  <c r="K1958" i="79"/>
  <c r="AJ2029" i="79"/>
  <c r="K2029" i="79"/>
  <c r="AN1958" i="79"/>
  <c r="AJ1958" i="79"/>
  <c r="AF1958" i="79"/>
  <c r="R1958" i="79"/>
  <c r="N1958" i="79"/>
  <c r="J1958" i="79"/>
  <c r="AO1922" i="79"/>
  <c r="AK1922" i="79"/>
  <c r="AG1922" i="79"/>
  <c r="S1922" i="79"/>
  <c r="O1922" i="79"/>
  <c r="K1922" i="79"/>
  <c r="AP1886" i="79"/>
  <c r="AL1886" i="79"/>
  <c r="AH1886" i="79"/>
  <c r="T1886" i="79"/>
  <c r="P1886" i="79"/>
  <c r="L1886" i="79"/>
  <c r="AQ1850" i="79"/>
  <c r="AM1850" i="79"/>
  <c r="AI1850" i="79"/>
  <c r="Q1850" i="79"/>
  <c r="M1850" i="79"/>
  <c r="I1850" i="79"/>
  <c r="AN1814" i="79"/>
  <c r="AJ1814" i="79"/>
  <c r="AF1814" i="79"/>
  <c r="R1814" i="79"/>
  <c r="N1814" i="79"/>
  <c r="J1814" i="79"/>
  <c r="AN1922" i="79"/>
  <c r="AJ1922" i="79"/>
  <c r="AF1922" i="79"/>
  <c r="R1922" i="79"/>
  <c r="N1922" i="79"/>
  <c r="J1922" i="79"/>
  <c r="AO1886" i="79"/>
  <c r="AK1886" i="79"/>
  <c r="AG1886" i="79"/>
  <c r="S1886" i="79"/>
  <c r="O1886" i="79"/>
  <c r="K1886" i="79"/>
  <c r="AP1850" i="79"/>
  <c r="AL1850" i="79"/>
  <c r="AH1850" i="79"/>
  <c r="T1850" i="79"/>
  <c r="P1850" i="79"/>
  <c r="L1850" i="79"/>
  <c r="AQ1814" i="79"/>
  <c r="AM1814" i="79"/>
  <c r="AI1814" i="79"/>
  <c r="Q1814" i="79"/>
  <c r="M1814" i="79"/>
  <c r="I1814" i="79"/>
  <c r="AQ1922" i="79"/>
  <c r="AM1922" i="79"/>
  <c r="AI1922" i="79"/>
  <c r="Q1922" i="79"/>
  <c r="M1922" i="79"/>
  <c r="I1922" i="79"/>
  <c r="AN1886" i="79"/>
  <c r="AJ1886" i="79"/>
  <c r="AF1886" i="79"/>
  <c r="R1886" i="79"/>
  <c r="N1886" i="79"/>
  <c r="J1886" i="79"/>
  <c r="AO1850" i="79"/>
  <c r="AK1850" i="79"/>
  <c r="AG1850" i="79"/>
  <c r="S1850" i="79"/>
  <c r="O1850" i="79"/>
  <c r="K1850" i="79"/>
  <c r="AP1814" i="79"/>
  <c r="AL1814" i="79"/>
  <c r="AH1814" i="79"/>
  <c r="T1814" i="79"/>
  <c r="P1814" i="79"/>
  <c r="L1814" i="79"/>
  <c r="AP1922" i="79"/>
  <c r="AL1922" i="79"/>
  <c r="AH1922" i="79"/>
  <c r="T1922" i="79"/>
  <c r="P1922" i="79"/>
  <c r="L1922" i="79"/>
  <c r="AQ1886" i="79"/>
  <c r="AM1886" i="79"/>
  <c r="AI1886" i="79"/>
  <c r="Q1886" i="79"/>
  <c r="M1886" i="79"/>
  <c r="I1886" i="79"/>
  <c r="AN1850" i="79"/>
  <c r="AJ1850" i="79"/>
  <c r="AF1850" i="79"/>
  <c r="R1850" i="79"/>
  <c r="N1850" i="79"/>
  <c r="J1850" i="79"/>
  <c r="AO1814" i="79"/>
  <c r="AK1814" i="79"/>
  <c r="AG1814" i="79"/>
  <c r="S1814" i="79"/>
  <c r="O1814" i="79"/>
  <c r="K1814" i="79"/>
  <c r="AO1778" i="79"/>
  <c r="AK1778" i="79"/>
  <c r="AG1778" i="79"/>
  <c r="S1778" i="79"/>
  <c r="O1778" i="79"/>
  <c r="K1778" i="79"/>
  <c r="AP1742" i="79"/>
  <c r="AL1742" i="79"/>
  <c r="AH1742" i="79"/>
  <c r="T1742" i="79"/>
  <c r="P1742" i="79"/>
  <c r="L1742" i="79"/>
  <c r="AQ1706" i="79"/>
  <c r="AM1706" i="79"/>
  <c r="AI1706" i="79"/>
  <c r="Q1706" i="79"/>
  <c r="M1706" i="79"/>
  <c r="I1706" i="79"/>
  <c r="AN1778" i="79"/>
  <c r="AJ1778" i="79"/>
  <c r="AF1778" i="79"/>
  <c r="R1778" i="79"/>
  <c r="N1778" i="79"/>
  <c r="J1778" i="79"/>
  <c r="AO1742" i="79"/>
  <c r="AK1742" i="79"/>
  <c r="AG1742" i="79"/>
  <c r="S1742" i="79"/>
  <c r="O1742" i="79"/>
  <c r="K1742" i="79"/>
  <c r="AP1706" i="79"/>
  <c r="AL1706" i="79"/>
  <c r="AH1706" i="79"/>
  <c r="T1706" i="79"/>
  <c r="P1706" i="79"/>
  <c r="L1706" i="79"/>
  <c r="AQ1778" i="79"/>
  <c r="AM1778" i="79"/>
  <c r="AI1778" i="79"/>
  <c r="Q1778" i="79"/>
  <c r="M1778" i="79"/>
  <c r="I1778" i="79"/>
  <c r="AN1742" i="79"/>
  <c r="AJ1742" i="79"/>
  <c r="AF1742" i="79"/>
  <c r="R1742" i="79"/>
  <c r="N1742" i="79"/>
  <c r="J1742" i="79"/>
  <c r="AO1706" i="79"/>
  <c r="AK1706" i="79"/>
  <c r="AG1706" i="79"/>
  <c r="S1706" i="79"/>
  <c r="O1706" i="79"/>
  <c r="K1706" i="79"/>
  <c r="AP1670" i="79"/>
  <c r="AL1670" i="79"/>
  <c r="AH1670" i="79"/>
  <c r="T1670" i="79"/>
  <c r="P1670" i="79"/>
  <c r="L1670" i="79"/>
  <c r="AP1778" i="79"/>
  <c r="AL1778" i="79"/>
  <c r="AH1778" i="79"/>
  <c r="T1778" i="79"/>
  <c r="P1778" i="79"/>
  <c r="L1778" i="79"/>
  <c r="AQ1742" i="79"/>
  <c r="AM1742" i="79"/>
  <c r="AI1742" i="79"/>
  <c r="Q1742" i="79"/>
  <c r="M1742" i="79"/>
  <c r="I1742" i="79"/>
  <c r="AN1706" i="79"/>
  <c r="AJ1706" i="79"/>
  <c r="AF1706" i="79"/>
  <c r="R1706" i="79"/>
  <c r="N1706" i="79"/>
  <c r="J1706" i="79"/>
  <c r="AO1670" i="79"/>
  <c r="AK1670" i="79"/>
  <c r="AG1670" i="79"/>
  <c r="S1670" i="79"/>
  <c r="O1670" i="79"/>
  <c r="K1670" i="79"/>
  <c r="AQ1670" i="79"/>
  <c r="AI1670" i="79"/>
  <c r="Q1670" i="79"/>
  <c r="I1670" i="79"/>
  <c r="AN1670" i="79"/>
  <c r="AF1670" i="79"/>
  <c r="N1670" i="79"/>
  <c r="AM1670" i="79"/>
  <c r="M1670" i="79"/>
  <c r="AJ1670" i="79"/>
  <c r="R1670" i="79"/>
  <c r="J1670" i="79"/>
  <c r="AN2059" i="79"/>
  <c r="AJ2059" i="79"/>
  <c r="AF2059" i="79"/>
  <c r="R2059" i="79"/>
  <c r="N2059" i="79"/>
  <c r="J2059" i="79"/>
  <c r="AQ2059" i="79"/>
  <c r="AM2059" i="79"/>
  <c r="AI2059" i="79"/>
  <c r="Q2059" i="79"/>
  <c r="M2059" i="79"/>
  <c r="I2059" i="79"/>
  <c r="AL2059" i="79"/>
  <c r="T2059" i="79"/>
  <c r="L2059" i="79"/>
  <c r="AP2023" i="79"/>
  <c r="AL2023" i="79"/>
  <c r="AH2023" i="79"/>
  <c r="T2023" i="79"/>
  <c r="P2023" i="79"/>
  <c r="L2023" i="79"/>
  <c r="AP2059" i="79"/>
  <c r="AH2059" i="79"/>
  <c r="P2059" i="79"/>
  <c r="AO2059" i="79"/>
  <c r="O2059" i="79"/>
  <c r="AK2059" i="79"/>
  <c r="K2059" i="79"/>
  <c r="AQ2023" i="79"/>
  <c r="AK2023" i="79"/>
  <c r="AF2023" i="79"/>
  <c r="Q2023" i="79"/>
  <c r="K2023" i="79"/>
  <c r="AG2059" i="79"/>
  <c r="S2059" i="79"/>
  <c r="AO2023" i="79"/>
  <c r="AI2023" i="79"/>
  <c r="R2023" i="79"/>
  <c r="J2023" i="79"/>
  <c r="AQ1988" i="79"/>
  <c r="AM1988" i="79"/>
  <c r="AN2023" i="79"/>
  <c r="AG2023" i="79"/>
  <c r="O2023" i="79"/>
  <c r="I2023" i="79"/>
  <c r="AP1988" i="79"/>
  <c r="AL1988" i="79"/>
  <c r="AH1988" i="79"/>
  <c r="T1988" i="79"/>
  <c r="P1988" i="79"/>
  <c r="L1988" i="79"/>
  <c r="AJ2023" i="79"/>
  <c r="M2023" i="79"/>
  <c r="AO1988" i="79"/>
  <c r="AI1988" i="79"/>
  <c r="S1988" i="79"/>
  <c r="N1988" i="79"/>
  <c r="I1988" i="79"/>
  <c r="AQ1952" i="79"/>
  <c r="AM1952" i="79"/>
  <c r="AI1952" i="79"/>
  <c r="Q1952" i="79"/>
  <c r="M1952" i="79"/>
  <c r="I1952" i="79"/>
  <c r="AN1988" i="79"/>
  <c r="AG1988" i="79"/>
  <c r="R1988" i="79"/>
  <c r="M1988" i="79"/>
  <c r="AP1952" i="79"/>
  <c r="AL1952" i="79"/>
  <c r="AH1952" i="79"/>
  <c r="T1952" i="79"/>
  <c r="P1952" i="79"/>
  <c r="L1952" i="79"/>
  <c r="S2023" i="79"/>
  <c r="AK1988" i="79"/>
  <c r="AF1988" i="79"/>
  <c r="Q1988" i="79"/>
  <c r="K1988" i="79"/>
  <c r="AO1952" i="79"/>
  <c r="AK1952" i="79"/>
  <c r="AG1952" i="79"/>
  <c r="S1952" i="79"/>
  <c r="O1952" i="79"/>
  <c r="K1952" i="79"/>
  <c r="AM2023" i="79"/>
  <c r="N2023" i="79"/>
  <c r="AJ1988" i="79"/>
  <c r="O1988" i="79"/>
  <c r="J1988" i="79"/>
  <c r="AN1952" i="79"/>
  <c r="AJ1952" i="79"/>
  <c r="AF1952" i="79"/>
  <c r="R1952" i="79"/>
  <c r="N1952" i="79"/>
  <c r="J1952" i="79"/>
  <c r="AO1916" i="79"/>
  <c r="AK1916" i="79"/>
  <c r="AG1916" i="79"/>
  <c r="S1916" i="79"/>
  <c r="O1916" i="79"/>
  <c r="K1916" i="79"/>
  <c r="AP1880" i="79"/>
  <c r="AL1880" i="79"/>
  <c r="AH1880" i="79"/>
  <c r="T1880" i="79"/>
  <c r="P1880" i="79"/>
  <c r="L1880" i="79"/>
  <c r="AQ1844" i="79"/>
  <c r="AM1844" i="79"/>
  <c r="AI1844" i="79"/>
  <c r="Q1844" i="79"/>
  <c r="M1844" i="79"/>
  <c r="I1844" i="79"/>
  <c r="AN1808" i="79"/>
  <c r="AJ1808" i="79"/>
  <c r="AF1808" i="79"/>
  <c r="R1808" i="79"/>
  <c r="N1808" i="79"/>
  <c r="J1808" i="79"/>
  <c r="AN1916" i="79"/>
  <c r="AJ1916" i="79"/>
  <c r="AF1916" i="79"/>
  <c r="R1916" i="79"/>
  <c r="N1916" i="79"/>
  <c r="J1916" i="79"/>
  <c r="AO1880" i="79"/>
  <c r="AK1880" i="79"/>
  <c r="AG1880" i="79"/>
  <c r="S1880" i="79"/>
  <c r="O1880" i="79"/>
  <c r="K1880" i="79"/>
  <c r="AP1844" i="79"/>
  <c r="AL1844" i="79"/>
  <c r="AH1844" i="79"/>
  <c r="T1844" i="79"/>
  <c r="P1844" i="79"/>
  <c r="L1844" i="79"/>
  <c r="AQ1808" i="79"/>
  <c r="AM1808" i="79"/>
  <c r="AI1808" i="79"/>
  <c r="Q1808" i="79"/>
  <c r="M1808" i="79"/>
  <c r="I1808" i="79"/>
  <c r="AQ1916" i="79"/>
  <c r="AM1916" i="79"/>
  <c r="AI1916" i="79"/>
  <c r="Q1916" i="79"/>
  <c r="M1916" i="79"/>
  <c r="I1916" i="79"/>
  <c r="AN1880" i="79"/>
  <c r="AJ1880" i="79"/>
  <c r="AF1880" i="79"/>
  <c r="R1880" i="79"/>
  <c r="N1880" i="79"/>
  <c r="J1880" i="79"/>
  <c r="AO1844" i="79"/>
  <c r="AK1844" i="79"/>
  <c r="AG1844" i="79"/>
  <c r="S1844" i="79"/>
  <c r="O1844" i="79"/>
  <c r="K1844" i="79"/>
  <c r="AP1808" i="79"/>
  <c r="AL1808" i="79"/>
  <c r="AH1808" i="79"/>
  <c r="T1808" i="79"/>
  <c r="P1808" i="79"/>
  <c r="L1808" i="79"/>
  <c r="AP1916" i="79"/>
  <c r="AL1916" i="79"/>
  <c r="AH1916" i="79"/>
  <c r="T1916" i="79"/>
  <c r="P1916" i="79"/>
  <c r="L1916" i="79"/>
  <c r="AQ1880" i="79"/>
  <c r="AM1880" i="79"/>
  <c r="AI1880" i="79"/>
  <c r="Q1880" i="79"/>
  <c r="M1880" i="79"/>
  <c r="I1880" i="79"/>
  <c r="AN1844" i="79"/>
  <c r="AJ1844" i="79"/>
  <c r="AF1844" i="79"/>
  <c r="R1844" i="79"/>
  <c r="N1844" i="79"/>
  <c r="J1844" i="79"/>
  <c r="AO1808" i="79"/>
  <c r="AK1808" i="79"/>
  <c r="AG1808" i="79"/>
  <c r="S1808" i="79"/>
  <c r="O1808" i="79"/>
  <c r="K1808" i="79"/>
  <c r="AO1772" i="79"/>
  <c r="AK1772" i="79"/>
  <c r="AG1772" i="79"/>
  <c r="S1772" i="79"/>
  <c r="O1772" i="79"/>
  <c r="K1772" i="79"/>
  <c r="AP1736" i="79"/>
  <c r="AL1736" i="79"/>
  <c r="AH1736" i="79"/>
  <c r="T1736" i="79"/>
  <c r="P1736" i="79"/>
  <c r="L1736" i="79"/>
  <c r="AQ1700" i="79"/>
  <c r="AM1700" i="79"/>
  <c r="AI1700" i="79"/>
  <c r="Q1700" i="79"/>
  <c r="M1700" i="79"/>
  <c r="I1700" i="79"/>
  <c r="AN1772" i="79"/>
  <c r="AJ1772" i="79"/>
  <c r="AF1772" i="79"/>
  <c r="R1772" i="79"/>
  <c r="N1772" i="79"/>
  <c r="J1772" i="79"/>
  <c r="AO1736" i="79"/>
  <c r="AK1736" i="79"/>
  <c r="AG1736" i="79"/>
  <c r="S1736" i="79"/>
  <c r="O1736" i="79"/>
  <c r="K1736" i="79"/>
  <c r="AP1700" i="79"/>
  <c r="AL1700" i="79"/>
  <c r="AH1700" i="79"/>
  <c r="T1700" i="79"/>
  <c r="P1700" i="79"/>
  <c r="L1700" i="79"/>
  <c r="AQ1772" i="79"/>
  <c r="AM1772" i="79"/>
  <c r="AI1772" i="79"/>
  <c r="Q1772" i="79"/>
  <c r="M1772" i="79"/>
  <c r="I1772" i="79"/>
  <c r="AN1736" i="79"/>
  <c r="AJ1736" i="79"/>
  <c r="AF1736" i="79"/>
  <c r="R1736" i="79"/>
  <c r="N1736" i="79"/>
  <c r="J1736" i="79"/>
  <c r="AO1700" i="79"/>
  <c r="AK1700" i="79"/>
  <c r="AG1700" i="79"/>
  <c r="S1700" i="79"/>
  <c r="O1700" i="79"/>
  <c r="K1700" i="79"/>
  <c r="AN1664" i="79"/>
  <c r="AJ1664" i="79"/>
  <c r="AF1664" i="79"/>
  <c r="R1664" i="79"/>
  <c r="N1664" i="79"/>
  <c r="J1664" i="79"/>
  <c r="AP1772" i="79"/>
  <c r="AL1772" i="79"/>
  <c r="AH1772" i="79"/>
  <c r="T1772" i="79"/>
  <c r="P1772" i="79"/>
  <c r="L1772" i="79"/>
  <c r="AQ1736" i="79"/>
  <c r="AM1736" i="79"/>
  <c r="AI1736" i="79"/>
  <c r="Q1736" i="79"/>
  <c r="M1736" i="79"/>
  <c r="I1736" i="79"/>
  <c r="AN1700" i="79"/>
  <c r="AJ1700" i="79"/>
  <c r="AF1700" i="79"/>
  <c r="R1700" i="79"/>
  <c r="N1700" i="79"/>
  <c r="J1700" i="79"/>
  <c r="AQ1664" i="79"/>
  <c r="AM1664" i="79"/>
  <c r="AI1664" i="79"/>
  <c r="Q1664" i="79"/>
  <c r="M1664" i="79"/>
  <c r="I1664" i="79"/>
  <c r="AK1664" i="79"/>
  <c r="S1664" i="79"/>
  <c r="K1664" i="79"/>
  <c r="AP1664" i="79"/>
  <c r="AH1664" i="79"/>
  <c r="P1664" i="79"/>
  <c r="AO1664" i="79"/>
  <c r="AG1664" i="79"/>
  <c r="O1664" i="79"/>
  <c r="AL1664" i="79"/>
  <c r="T1664" i="79"/>
  <c r="L1664" i="79"/>
  <c r="J447" i="79"/>
  <c r="R1516" i="79"/>
  <c r="O1594" i="79"/>
  <c r="AF1542" i="79"/>
  <c r="AN1529" i="79"/>
  <c r="S1006" i="64"/>
  <c r="AH1042" i="64"/>
  <c r="G590" i="73"/>
  <c r="G596" i="73" s="1"/>
  <c r="H681" i="77" s="1"/>
  <c r="A9" i="73"/>
  <c r="A53" i="73" s="1"/>
  <c r="A67" i="73" s="1"/>
  <c r="A89" i="73" s="1"/>
  <c r="A98" i="73" s="1"/>
  <c r="A126" i="73" s="1"/>
  <c r="A154" i="73" s="1"/>
  <c r="A182" i="73" s="1"/>
  <c r="A210" i="73" s="1"/>
  <c r="A237" i="73" s="1"/>
  <c r="A263" i="73" s="1"/>
  <c r="A285" i="73" s="1"/>
  <c r="A308" i="73" s="1"/>
  <c r="A330" i="73" s="1"/>
  <c r="A7" i="85" s="1"/>
  <c r="A33" i="85" s="1"/>
  <c r="A60" i="85" s="1"/>
  <c r="A87" i="85" s="1"/>
  <c r="A116" i="85" s="1"/>
  <c r="A7" i="77" s="1"/>
  <c r="A879" i="79"/>
  <c r="F60" i="8"/>
  <c r="F69" i="8" s="1"/>
  <c r="F67" i="8" s="1"/>
  <c r="E21" i="10" s="1"/>
  <c r="B1265" i="64"/>
  <c r="CO1118" i="64"/>
  <c r="Q301" i="73"/>
  <c r="Q270" i="73"/>
  <c r="Q271" i="73" s="1"/>
  <c r="K60" i="8"/>
  <c r="K69" i="8" s="1"/>
  <c r="K67" i="8" s="1"/>
  <c r="J21" i="10" s="1"/>
  <c r="R293" i="73"/>
  <c r="E299" i="73" s="1"/>
  <c r="Q245" i="73"/>
  <c r="Q247" i="73" s="1"/>
  <c r="N301" i="73"/>
  <c r="N270" i="73"/>
  <c r="T814" i="64"/>
  <c r="AT814" i="64" s="1"/>
  <c r="S475" i="73"/>
  <c r="T475" i="73"/>
  <c r="M270" i="73"/>
  <c r="M301" i="73"/>
  <c r="P245" i="73"/>
  <c r="P247" i="73" s="1"/>
  <c r="M60" i="8"/>
  <c r="M69" i="8" s="1"/>
  <c r="M67" i="8" s="1"/>
  <c r="L21" i="10" s="1"/>
  <c r="K245" i="73"/>
  <c r="K247" i="73" s="1"/>
  <c r="H270" i="73"/>
  <c r="T476" i="73"/>
  <c r="S476" i="73"/>
  <c r="N60" i="8"/>
  <c r="N69" i="8" s="1"/>
  <c r="N67" i="8" s="1"/>
  <c r="M21" i="10" s="1"/>
  <c r="I270" i="73"/>
  <c r="L245" i="73"/>
  <c r="L247" i="73" s="1"/>
  <c r="I301" i="73"/>
  <c r="H60" i="8"/>
  <c r="H69" i="8" s="1"/>
  <c r="H67" i="8" s="1"/>
  <c r="G21" i="10" s="1"/>
  <c r="J270" i="73"/>
  <c r="J301" i="73"/>
  <c r="M245" i="73"/>
  <c r="M247" i="73" s="1"/>
  <c r="K301" i="73"/>
  <c r="K270" i="73"/>
  <c r="N245" i="73"/>
  <c r="N247" i="73" s="1"/>
  <c r="L60" i="8"/>
  <c r="L69" i="8" s="1"/>
  <c r="L67" i="8" s="1"/>
  <c r="K21" i="10" s="1"/>
  <c r="I60" i="8"/>
  <c r="I69" i="8" s="1"/>
  <c r="I67" i="8" s="1"/>
  <c r="H21" i="10" s="1"/>
  <c r="S474" i="73"/>
  <c r="T474" i="73"/>
  <c r="O301" i="73"/>
  <c r="O270" i="73"/>
  <c r="O271" i="73" s="1"/>
  <c r="R116" i="73"/>
  <c r="F117" i="73"/>
  <c r="AQ1607" i="79"/>
  <c r="L1516" i="79"/>
  <c r="AL1542" i="79"/>
  <c r="O1607" i="79"/>
  <c r="K1516" i="79"/>
  <c r="U241" i="79"/>
  <c r="C2586" i="79" s="1"/>
  <c r="N488" i="79"/>
  <c r="AH1607" i="79"/>
  <c r="AH1018" i="64"/>
  <c r="D1018" i="64" s="1"/>
  <c r="D1089" i="64" s="1"/>
  <c r="M283" i="79"/>
  <c r="AO324" i="79"/>
  <c r="AM488" i="79"/>
  <c r="AI1581" i="79"/>
  <c r="AG1568" i="79"/>
  <c r="U282" i="79"/>
  <c r="C2620" i="79" s="1"/>
  <c r="AI324" i="79"/>
  <c r="AP1607" i="79"/>
  <c r="P283" i="79"/>
  <c r="P529" i="79"/>
  <c r="M488" i="79"/>
  <c r="AH365" i="79"/>
  <c r="I324" i="79"/>
  <c r="G778" i="64"/>
  <c r="U282" i="73"/>
  <c r="U305" i="73"/>
  <c r="U137" i="85"/>
  <c r="L301" i="73"/>
  <c r="O245" i="73"/>
  <c r="O247" i="73" s="1"/>
  <c r="L270" i="73"/>
  <c r="J108" i="85"/>
  <c r="H62" i="85"/>
  <c r="G79" i="85"/>
  <c r="G51" i="85"/>
  <c r="F55" i="85"/>
  <c r="G36" i="85"/>
  <c r="H239" i="73"/>
  <c r="G255" i="73"/>
  <c r="H129" i="73"/>
  <c r="G146" i="73"/>
  <c r="H157" i="73"/>
  <c r="G174" i="73"/>
  <c r="H185" i="73"/>
  <c r="G202" i="73"/>
  <c r="H332" i="73"/>
  <c r="G346" i="73"/>
  <c r="G86" i="73"/>
  <c r="G453" i="73" s="1"/>
  <c r="G455" i="73" s="1"/>
  <c r="H69" i="73"/>
  <c r="H85" i="73" s="1"/>
  <c r="G162" i="85"/>
  <c r="C30" i="25"/>
  <c r="K376" i="73"/>
  <c r="J31" i="74" s="1"/>
  <c r="K123" i="85"/>
  <c r="K126" i="85" s="1"/>
  <c r="K403" i="73"/>
  <c r="K406" i="73" s="1"/>
  <c r="H943" i="64"/>
  <c r="J455" i="64"/>
  <c r="G969" i="64"/>
  <c r="I481" i="64"/>
  <c r="J89" i="64"/>
  <c r="I430" i="64"/>
  <c r="G918" i="64"/>
  <c r="I462" i="64"/>
  <c r="G950" i="64"/>
  <c r="J70" i="64"/>
  <c r="H927" i="64"/>
  <c r="J439" i="64"/>
  <c r="G932" i="64"/>
  <c r="I444" i="64"/>
  <c r="G957" i="64"/>
  <c r="I469" i="64"/>
  <c r="J77" i="64"/>
  <c r="H974" i="64"/>
  <c r="K94" i="64"/>
  <c r="J486" i="64"/>
  <c r="G976" i="64"/>
  <c r="I488" i="64"/>
  <c r="J96" i="64"/>
  <c r="J471" i="64"/>
  <c r="H959" i="64"/>
  <c r="K79" i="64"/>
  <c r="I429" i="64"/>
  <c r="G917" i="64"/>
  <c r="I453" i="64"/>
  <c r="G941" i="64"/>
  <c r="G968" i="64"/>
  <c r="I480" i="64"/>
  <c r="J88" i="64"/>
  <c r="H935" i="64"/>
  <c r="J447" i="64"/>
  <c r="G924" i="64"/>
  <c r="I436" i="64"/>
  <c r="I445" i="64"/>
  <c r="G933" i="64"/>
  <c r="G948" i="64"/>
  <c r="I460" i="64"/>
  <c r="G952" i="64"/>
  <c r="I464" i="64"/>
  <c r="J72" i="64"/>
  <c r="I450" i="64"/>
  <c r="G938" i="64"/>
  <c r="I482" i="64"/>
  <c r="G970" i="64"/>
  <c r="J90" i="64"/>
  <c r="AN1542" i="79"/>
  <c r="AQ1594" i="79"/>
  <c r="T1568" i="79"/>
  <c r="AG1516" i="79"/>
  <c r="C1043" i="64"/>
  <c r="C1114" i="64" s="1"/>
  <c r="H939" i="64"/>
  <c r="J451" i="64"/>
  <c r="G965" i="64"/>
  <c r="I477" i="64"/>
  <c r="J85" i="64"/>
  <c r="I454" i="64"/>
  <c r="G942" i="64"/>
  <c r="I478" i="64"/>
  <c r="G966" i="64"/>
  <c r="J86" i="64"/>
  <c r="H923" i="64"/>
  <c r="J435" i="64"/>
  <c r="AS817" i="64"/>
  <c r="AF817" i="64"/>
  <c r="H951" i="64"/>
  <c r="J463" i="64"/>
  <c r="K71" i="64"/>
  <c r="I449" i="64"/>
  <c r="G937" i="64"/>
  <c r="I465" i="64"/>
  <c r="G953" i="64"/>
  <c r="J73" i="64"/>
  <c r="H931" i="64"/>
  <c r="J443" i="64"/>
  <c r="G964" i="64"/>
  <c r="I476" i="64"/>
  <c r="J84" i="64"/>
  <c r="I442" i="64"/>
  <c r="G930" i="64"/>
  <c r="I474" i="64"/>
  <c r="G962" i="64"/>
  <c r="J82" i="64"/>
  <c r="T1555" i="79"/>
  <c r="AJ447" i="79"/>
  <c r="N529" i="79"/>
  <c r="AL242" i="79"/>
  <c r="AL1555" i="79"/>
  <c r="AQ1568" i="79"/>
  <c r="AM1542" i="79"/>
  <c r="H339" i="64"/>
  <c r="G530" i="64"/>
  <c r="G936" i="64"/>
  <c r="I448" i="64"/>
  <c r="I446" i="64"/>
  <c r="G934" i="64"/>
  <c r="I470" i="64"/>
  <c r="G958" i="64"/>
  <c r="J78" i="64"/>
  <c r="H919" i="64"/>
  <c r="J431" i="64"/>
  <c r="J483" i="64"/>
  <c r="H971" i="64"/>
  <c r="K91" i="64"/>
  <c r="I437" i="64"/>
  <c r="G925" i="64"/>
  <c r="G972" i="64"/>
  <c r="J92" i="64"/>
  <c r="I484" i="64"/>
  <c r="H947" i="64"/>
  <c r="J459" i="64"/>
  <c r="G928" i="64"/>
  <c r="I440" i="64"/>
  <c r="I461" i="64"/>
  <c r="G949" i="64"/>
  <c r="H978" i="64"/>
  <c r="J490" i="64"/>
  <c r="K98" i="64"/>
  <c r="G975" i="64"/>
  <c r="J95" i="64"/>
  <c r="I487" i="64"/>
  <c r="J427" i="64"/>
  <c r="H915" i="64"/>
  <c r="G916" i="64"/>
  <c r="I428" i="64"/>
  <c r="G920" i="64"/>
  <c r="I432" i="64"/>
  <c r="G940" i="64"/>
  <c r="I452" i="64"/>
  <c r="G944" i="64"/>
  <c r="I456" i="64"/>
  <c r="G960" i="64"/>
  <c r="I472" i="64"/>
  <c r="J80" i="64"/>
  <c r="J489" i="64"/>
  <c r="H977" i="64"/>
  <c r="K97" i="64"/>
  <c r="I434" i="64"/>
  <c r="G922" i="64"/>
  <c r="I466" i="64"/>
  <c r="G954" i="64"/>
  <c r="J74" i="64"/>
  <c r="Q1607" i="79"/>
  <c r="L488" i="79"/>
  <c r="AP324" i="79"/>
  <c r="AL1607" i="79"/>
  <c r="I1542" i="79"/>
  <c r="J479" i="64"/>
  <c r="H967" i="64"/>
  <c r="K87" i="64"/>
  <c r="I441" i="64"/>
  <c r="G929" i="64"/>
  <c r="I438" i="64"/>
  <c r="G926" i="64"/>
  <c r="J467" i="64"/>
  <c r="H955" i="64"/>
  <c r="K75" i="64"/>
  <c r="G961" i="64"/>
  <c r="I473" i="64"/>
  <c r="J81" i="64"/>
  <c r="G914" i="64"/>
  <c r="I426" i="64"/>
  <c r="I433" i="64"/>
  <c r="G921" i="64"/>
  <c r="I457" i="64"/>
  <c r="G945" i="64"/>
  <c r="J475" i="64"/>
  <c r="H963" i="64"/>
  <c r="K83" i="64"/>
  <c r="G956" i="64"/>
  <c r="I468" i="64"/>
  <c r="J76" i="64"/>
  <c r="J485" i="64"/>
  <c r="H973" i="64"/>
  <c r="K93" i="64"/>
  <c r="I458" i="64"/>
  <c r="G946" i="64"/>
  <c r="AM1529" i="79"/>
  <c r="J365" i="79"/>
  <c r="Q1516" i="79"/>
  <c r="I365" i="79"/>
  <c r="AQ406" i="79"/>
  <c r="AQ365" i="79"/>
  <c r="AG1529" i="79"/>
  <c r="J529" i="79"/>
  <c r="L1555" i="79"/>
  <c r="AR467" i="79"/>
  <c r="C3177" i="79" s="1"/>
  <c r="AJ1529" i="79"/>
  <c r="AF1568" i="79"/>
  <c r="AL1529" i="79"/>
  <c r="AM447" i="79"/>
  <c r="R488" i="79"/>
  <c r="G550" i="64"/>
  <c r="K365" i="79"/>
  <c r="M324" i="79"/>
  <c r="I1568" i="79"/>
  <c r="R365" i="79"/>
  <c r="P365" i="79"/>
  <c r="AH324" i="79"/>
  <c r="AF1516" i="79"/>
  <c r="AH1542" i="79"/>
  <c r="N365" i="79"/>
  <c r="AK1555" i="79"/>
  <c r="AP242" i="79"/>
  <c r="AR460" i="79"/>
  <c r="C3171" i="79" s="1"/>
  <c r="C1039" i="64"/>
  <c r="C1110" i="64" s="1"/>
  <c r="AN324" i="79"/>
  <c r="O1516" i="79"/>
  <c r="AI1555" i="79"/>
  <c r="AK1568" i="79"/>
  <c r="K529" i="79"/>
  <c r="AJ1542" i="79"/>
  <c r="AM1568" i="79"/>
  <c r="AR359" i="79"/>
  <c r="C3088" i="79" s="1"/>
  <c r="O283" i="79"/>
  <c r="I529" i="79"/>
  <c r="AF1607" i="79"/>
  <c r="AG447" i="79"/>
  <c r="U378" i="79"/>
  <c r="C2699" i="79" s="1"/>
  <c r="AK283" i="79"/>
  <c r="AL1568" i="79"/>
  <c r="AL1594" i="79"/>
  <c r="H379" i="64"/>
  <c r="AR277" i="79"/>
  <c r="C3020" i="79" s="1"/>
  <c r="M1542" i="79"/>
  <c r="AP529" i="79"/>
  <c r="R447" i="79"/>
  <c r="U460" i="79"/>
  <c r="C2767" i="79" s="1"/>
  <c r="AJ529" i="79"/>
  <c r="L447" i="79"/>
  <c r="AN447" i="79"/>
  <c r="G889" i="64"/>
  <c r="H512" i="64"/>
  <c r="H503" i="64"/>
  <c r="H522" i="64"/>
  <c r="H514" i="64"/>
  <c r="H505" i="64"/>
  <c r="H501" i="64"/>
  <c r="H521" i="64"/>
  <c r="H513" i="64"/>
  <c r="H504" i="64"/>
  <c r="H500" i="64"/>
  <c r="I384" i="64"/>
  <c r="I380" i="64"/>
  <c r="I361" i="64"/>
  <c r="I348" i="64"/>
  <c r="H499" i="64"/>
  <c r="H498" i="64"/>
  <c r="I387" i="64"/>
  <c r="I371" i="64"/>
  <c r="I362" i="64"/>
  <c r="I354" i="64"/>
  <c r="I347" i="64"/>
  <c r="I335" i="64"/>
  <c r="I327" i="64"/>
  <c r="I323" i="64"/>
  <c r="I319" i="64"/>
  <c r="I312" i="64"/>
  <c r="I308" i="64"/>
  <c r="I304" i="64"/>
  <c r="I296" i="64"/>
  <c r="I292" i="64"/>
  <c r="I382" i="64"/>
  <c r="H523" i="64"/>
  <c r="I383" i="64"/>
  <c r="I370" i="64"/>
  <c r="I363" i="64"/>
  <c r="I340" i="64"/>
  <c r="I333" i="64"/>
  <c r="I321" i="64"/>
  <c r="I317" i="64"/>
  <c r="I314" i="64"/>
  <c r="I310" i="64"/>
  <c r="I306" i="64"/>
  <c r="I302" i="64"/>
  <c r="I298" i="64"/>
  <c r="H515" i="64"/>
  <c r="H506" i="64"/>
  <c r="H502" i="64"/>
  <c r="I401" i="64"/>
  <c r="I381" i="64"/>
  <c r="I360" i="64"/>
  <c r="I351" i="64"/>
  <c r="I350" i="64"/>
  <c r="I349" i="64"/>
  <c r="I336" i="64"/>
  <c r="I328" i="64"/>
  <c r="I320" i="64"/>
  <c r="I313" i="64"/>
  <c r="I309" i="64"/>
  <c r="I305" i="64"/>
  <c r="I297" i="64"/>
  <c r="I293" i="64"/>
  <c r="I322" i="64"/>
  <c r="I318" i="64"/>
  <c r="I295" i="64"/>
  <c r="I372" i="64"/>
  <c r="I334" i="64"/>
  <c r="I291" i="64"/>
  <c r="I353" i="64"/>
  <c r="I352" i="64"/>
  <c r="I341" i="64"/>
  <c r="I311" i="64"/>
  <c r="I307" i="64"/>
  <c r="I303" i="64"/>
  <c r="H332" i="64"/>
  <c r="G511" i="64"/>
  <c r="S1044" i="64"/>
  <c r="S1040" i="64"/>
  <c r="S1043" i="64"/>
  <c r="S1039" i="64"/>
  <c r="S1042" i="64"/>
  <c r="S1038" i="64"/>
  <c r="D1038" i="64" s="1"/>
  <c r="D1109" i="64" s="1"/>
  <c r="S1045" i="64"/>
  <c r="S1041" i="64"/>
  <c r="G897" i="64"/>
  <c r="I409" i="64"/>
  <c r="G913" i="64"/>
  <c r="I425" i="64"/>
  <c r="F531" i="64"/>
  <c r="F610" i="64"/>
  <c r="G894" i="64"/>
  <c r="I406" i="64"/>
  <c r="G910" i="64"/>
  <c r="I422" i="64"/>
  <c r="G891" i="64"/>
  <c r="I403" i="64"/>
  <c r="H785" i="64"/>
  <c r="H773" i="64"/>
  <c r="H772" i="64"/>
  <c r="H770" i="64"/>
  <c r="H764" i="64"/>
  <c r="H761" i="64"/>
  <c r="H748" i="64"/>
  <c r="H780" i="64"/>
  <c r="H766" i="64"/>
  <c r="H763" i="64"/>
  <c r="H762" i="64"/>
  <c r="H758" i="64"/>
  <c r="H745" i="64"/>
  <c r="H744" i="64"/>
  <c r="H793" i="64"/>
  <c r="H755" i="64"/>
  <c r="H747" i="64"/>
  <c r="H779" i="64"/>
  <c r="H759" i="64"/>
  <c r="H750" i="64"/>
  <c r="H562" i="64"/>
  <c r="H561" i="64"/>
  <c r="H560" i="64"/>
  <c r="H554" i="64"/>
  <c r="G907" i="64"/>
  <c r="I419" i="64"/>
  <c r="H553" i="64"/>
  <c r="H552" i="64"/>
  <c r="H551" i="64"/>
  <c r="H545" i="64"/>
  <c r="H544" i="64"/>
  <c r="H543" i="64"/>
  <c r="H542" i="64"/>
  <c r="H541" i="64"/>
  <c r="H540" i="64"/>
  <c r="H539" i="64"/>
  <c r="H538" i="64"/>
  <c r="H537" i="64"/>
  <c r="H774" i="64"/>
  <c r="H771" i="64"/>
  <c r="H775" i="64"/>
  <c r="H792" i="64"/>
  <c r="H756" i="64"/>
  <c r="H749" i="64"/>
  <c r="H760" i="64"/>
  <c r="H765" i="64"/>
  <c r="H788" i="64"/>
  <c r="H786" i="64"/>
  <c r="H754" i="64"/>
  <c r="H769" i="64"/>
  <c r="H757" i="64"/>
  <c r="H787" i="64"/>
  <c r="H743" i="64"/>
  <c r="G911" i="64"/>
  <c r="I423" i="64"/>
  <c r="G896" i="64"/>
  <c r="I408" i="64"/>
  <c r="G912" i="64"/>
  <c r="I424" i="64"/>
  <c r="AR313" i="79"/>
  <c r="C3050" i="79" s="1"/>
  <c r="J1594" i="79"/>
  <c r="S1581" i="79"/>
  <c r="U400" i="79"/>
  <c r="C2718" i="79" s="1"/>
  <c r="U487" i="79"/>
  <c r="C2790" i="79" s="1"/>
  <c r="Q1568" i="79"/>
  <c r="AN1568" i="79"/>
  <c r="AL283" i="79"/>
  <c r="N447" i="79"/>
  <c r="S1607" i="79"/>
  <c r="R1581" i="79"/>
  <c r="J406" i="79"/>
  <c r="R1594" i="79"/>
  <c r="I1607" i="79"/>
  <c r="U385" i="79"/>
  <c r="C2705" i="79" s="1"/>
  <c r="AI1529" i="79"/>
  <c r="K1607" i="79"/>
  <c r="S1529" i="79"/>
  <c r="L1607" i="79"/>
  <c r="AJ1581" i="79"/>
  <c r="AK1542" i="79"/>
  <c r="H301" i="64"/>
  <c r="H290" i="64"/>
  <c r="H359" i="64"/>
  <c r="G893" i="64"/>
  <c r="I405" i="64"/>
  <c r="G909" i="64"/>
  <c r="I421" i="64"/>
  <c r="G890" i="64"/>
  <c r="I402" i="64"/>
  <c r="G906" i="64"/>
  <c r="I418" i="64"/>
  <c r="G903" i="64"/>
  <c r="I415" i="64"/>
  <c r="G892" i="64"/>
  <c r="I404" i="64"/>
  <c r="G908" i="64"/>
  <c r="I420" i="64"/>
  <c r="H294" i="64"/>
  <c r="H316" i="64"/>
  <c r="G722" i="64"/>
  <c r="T673" i="64"/>
  <c r="T676" i="64"/>
  <c r="G698" i="64"/>
  <c r="G700" i="64"/>
  <c r="H188" i="64" s="1"/>
  <c r="G702" i="64"/>
  <c r="H190" i="64" s="1"/>
  <c r="G704" i="64"/>
  <c r="H192" i="64" s="1"/>
  <c r="T714" i="64"/>
  <c r="T716" i="64"/>
  <c r="T746" i="64"/>
  <c r="G673" i="64"/>
  <c r="G676" i="64"/>
  <c r="G678" i="64"/>
  <c r="G714" i="64"/>
  <c r="G709" i="64"/>
  <c r="H196" i="64" s="1"/>
  <c r="T721" i="64"/>
  <c r="T817" i="64"/>
  <c r="T722" i="64"/>
  <c r="T868" i="64"/>
  <c r="G683" i="64"/>
  <c r="G685" i="64"/>
  <c r="H174" i="64" s="1"/>
  <c r="G687" i="64"/>
  <c r="H176" i="64" s="1"/>
  <c r="G689" i="64"/>
  <c r="H178" i="64" s="1"/>
  <c r="G691" i="64"/>
  <c r="H180" i="64" s="1"/>
  <c r="G693" i="64"/>
  <c r="H182" i="64" s="1"/>
  <c r="G695" i="64"/>
  <c r="H184" i="64" s="1"/>
  <c r="G721" i="64"/>
  <c r="G716" i="64"/>
  <c r="T724" i="64"/>
  <c r="T672" i="64"/>
  <c r="G699" i="64"/>
  <c r="H187" i="64" s="1"/>
  <c r="G703" i="64"/>
  <c r="H191" i="64" s="1"/>
  <c r="T717" i="64"/>
  <c r="T719" i="64"/>
  <c r="T725" i="64"/>
  <c r="T744" i="64"/>
  <c r="G672" i="64"/>
  <c r="G677" i="64"/>
  <c r="G684" i="64"/>
  <c r="H173" i="64" s="1"/>
  <c r="G688" i="64"/>
  <c r="H177" i="64" s="1"/>
  <c r="G692" i="64"/>
  <c r="H181" i="64" s="1"/>
  <c r="G717" i="64"/>
  <c r="T745" i="64"/>
  <c r="T794" i="64"/>
  <c r="T674" i="64"/>
  <c r="G701" i="64"/>
  <c r="H189" i="64" s="1"/>
  <c r="G708" i="64"/>
  <c r="T715" i="64"/>
  <c r="T785" i="64"/>
  <c r="G674" i="64"/>
  <c r="G679" i="64"/>
  <c r="G686" i="64"/>
  <c r="H175" i="64" s="1"/>
  <c r="G690" i="64"/>
  <c r="H179" i="64" s="1"/>
  <c r="G694" i="64"/>
  <c r="H183" i="64" s="1"/>
  <c r="G715" i="64"/>
  <c r="H369" i="64"/>
  <c r="G905" i="64"/>
  <c r="I417" i="64"/>
  <c r="G902" i="64"/>
  <c r="I414" i="64"/>
  <c r="G899" i="64"/>
  <c r="I411" i="64"/>
  <c r="G569" i="64"/>
  <c r="AH1039" i="64"/>
  <c r="AH1043" i="64"/>
  <c r="AH1045" i="64"/>
  <c r="AH1044" i="64"/>
  <c r="AH1040" i="64"/>
  <c r="AH1041" i="64"/>
  <c r="G904" i="64"/>
  <c r="I416" i="64"/>
  <c r="U277" i="79"/>
  <c r="C2616" i="79" s="1"/>
  <c r="AO365" i="79"/>
  <c r="AR255" i="79"/>
  <c r="C3001" i="79" s="1"/>
  <c r="AJ242" i="79"/>
  <c r="AG283" i="79"/>
  <c r="AR354" i="79"/>
  <c r="C3084" i="79" s="1"/>
  <c r="AI529" i="79"/>
  <c r="AP406" i="79"/>
  <c r="N324" i="79"/>
  <c r="AP1555" i="79"/>
  <c r="AQ1555" i="79"/>
  <c r="L529" i="79"/>
  <c r="AN1516" i="79"/>
  <c r="AO1529" i="79"/>
  <c r="AQ324" i="79"/>
  <c r="AK406" i="79"/>
  <c r="AR528" i="79"/>
  <c r="C3228" i="79" s="1"/>
  <c r="H346" i="64"/>
  <c r="D13" i="71"/>
  <c r="G901" i="64"/>
  <c r="I413" i="64"/>
  <c r="G898" i="64"/>
  <c r="I410" i="64"/>
  <c r="F570" i="64"/>
  <c r="F611" i="64"/>
  <c r="G895" i="64"/>
  <c r="I407" i="64"/>
  <c r="G900" i="64"/>
  <c r="I412" i="64"/>
  <c r="U262" i="79"/>
  <c r="C2603" i="79" s="1"/>
  <c r="AK365" i="79"/>
  <c r="AO529" i="79"/>
  <c r="M1581" i="79"/>
  <c r="AF324" i="79"/>
  <c r="AK529" i="79"/>
  <c r="M365" i="79"/>
  <c r="AL406" i="79"/>
  <c r="AL324" i="79"/>
  <c r="AJ1516" i="79"/>
  <c r="AJ324" i="79"/>
  <c r="AO1555" i="79"/>
  <c r="AL447" i="79"/>
  <c r="AJ365" i="79"/>
  <c r="AG324" i="79"/>
  <c r="AJ1555" i="79"/>
  <c r="AH406" i="79"/>
  <c r="I1516" i="79"/>
  <c r="AI488" i="79"/>
  <c r="J488" i="79"/>
  <c r="AG1607" i="79"/>
  <c r="AK447" i="79"/>
  <c r="Q447" i="79"/>
  <c r="P447" i="79"/>
  <c r="AH983" i="64"/>
  <c r="D983" i="64" s="1"/>
  <c r="D1054" i="64" s="1"/>
  <c r="AG983" i="64"/>
  <c r="C983" i="64" s="1"/>
  <c r="C1054" i="64" s="1"/>
  <c r="B983" i="64"/>
  <c r="AF988" i="64"/>
  <c r="R988" i="64"/>
  <c r="S988" i="64"/>
  <c r="B1255" i="64"/>
  <c r="CO1108" i="64"/>
  <c r="CB1285" i="64"/>
  <c r="AB1211" i="64"/>
  <c r="DO1211" i="64"/>
  <c r="CB1331" i="64"/>
  <c r="AB1257" i="64"/>
  <c r="DO1257" i="64"/>
  <c r="AF1001" i="64"/>
  <c r="R1001" i="64"/>
  <c r="S1001" i="64"/>
  <c r="AF1009" i="64"/>
  <c r="R1009" i="64"/>
  <c r="S1009" i="64"/>
  <c r="B1264" i="64"/>
  <c r="CO1117" i="64"/>
  <c r="AF987" i="64"/>
  <c r="R987" i="64"/>
  <c r="S987" i="64"/>
  <c r="BB1126" i="64"/>
  <c r="CC1053" i="64"/>
  <c r="BO1126" i="64" s="1"/>
  <c r="I215" i="64"/>
  <c r="K1266" i="64"/>
  <c r="X1266" i="64" s="1"/>
  <c r="G1266" i="64"/>
  <c r="T1266" i="64" s="1"/>
  <c r="C1266" i="64"/>
  <c r="P1266" i="64" s="1"/>
  <c r="N1266" i="64"/>
  <c r="AA1266" i="64" s="1"/>
  <c r="J1266" i="64"/>
  <c r="W1266" i="64" s="1"/>
  <c r="F1266" i="64"/>
  <c r="S1266" i="64" s="1"/>
  <c r="M1266" i="64"/>
  <c r="Z1266" i="64" s="1"/>
  <c r="E1266" i="64"/>
  <c r="R1266" i="64" s="1"/>
  <c r="L1266" i="64"/>
  <c r="Y1266" i="64" s="1"/>
  <c r="D1266" i="64"/>
  <c r="Q1266" i="64" s="1"/>
  <c r="I1266" i="64"/>
  <c r="V1266" i="64" s="1"/>
  <c r="DB1266" i="64"/>
  <c r="H1266" i="64"/>
  <c r="U1266" i="64" s="1"/>
  <c r="U272" i="79"/>
  <c r="C2612" i="79" s="1"/>
  <c r="L365" i="79"/>
  <c r="AG406" i="79"/>
  <c r="AI406" i="79"/>
  <c r="U436" i="79"/>
  <c r="C2748" i="79" s="1"/>
  <c r="AG488" i="79"/>
  <c r="AH283" i="79"/>
  <c r="AN283" i="79"/>
  <c r="AO1607" i="79"/>
  <c r="AH1529" i="79"/>
  <c r="O488" i="79"/>
  <c r="I488" i="79"/>
  <c r="K1594" i="79"/>
  <c r="K447" i="79"/>
  <c r="I447" i="79"/>
  <c r="O529" i="79"/>
  <c r="J1607" i="79"/>
  <c r="AI1542" i="79"/>
  <c r="T488" i="79"/>
  <c r="R529" i="79"/>
  <c r="AI1607" i="79"/>
  <c r="AP365" i="79"/>
  <c r="O365" i="79"/>
  <c r="M447" i="79"/>
  <c r="T529" i="79"/>
  <c r="M1568" i="79"/>
  <c r="T1516" i="79"/>
  <c r="AP1568" i="79"/>
  <c r="S447" i="79"/>
  <c r="AH488" i="79"/>
  <c r="AP1594" i="79"/>
  <c r="O1529" i="79"/>
  <c r="N1555" i="79"/>
  <c r="AJ1607" i="79"/>
  <c r="P1607" i="79"/>
  <c r="Q406" i="79"/>
  <c r="AQ529" i="79"/>
  <c r="AL529" i="79"/>
  <c r="T447" i="79"/>
  <c r="AR364" i="79"/>
  <c r="C3092" i="79" s="1"/>
  <c r="N1581" i="79"/>
  <c r="O1581" i="79"/>
  <c r="AL488" i="79"/>
  <c r="N1516" i="79"/>
  <c r="AG242" i="79"/>
  <c r="L283" i="79"/>
  <c r="P1529" i="79"/>
  <c r="S488" i="79"/>
  <c r="AH1555" i="79"/>
  <c r="AO406" i="79"/>
  <c r="AM529" i="79"/>
  <c r="AH447" i="79"/>
  <c r="AN529" i="79"/>
  <c r="AH1031" i="64"/>
  <c r="D1031" i="64" s="1"/>
  <c r="D1102" i="64" s="1"/>
  <c r="B1031" i="64"/>
  <c r="AG1031" i="64"/>
  <c r="C1031" i="64" s="1"/>
  <c r="C1102" i="64" s="1"/>
  <c r="AB991" i="64"/>
  <c r="X991" i="64"/>
  <c r="T991" i="64"/>
  <c r="AF991" i="64"/>
  <c r="Z991" i="64"/>
  <c r="V991" i="64"/>
  <c r="R991" i="64"/>
  <c r="AC991" i="64"/>
  <c r="U991" i="64"/>
  <c r="AA991" i="64"/>
  <c r="S991" i="64"/>
  <c r="Y991" i="64"/>
  <c r="W991" i="64"/>
  <c r="S1014" i="64"/>
  <c r="R1014" i="64"/>
  <c r="AF1014" i="64"/>
  <c r="S1010" i="64"/>
  <c r="R1010" i="64"/>
  <c r="AF1010" i="64"/>
  <c r="AA1016" i="64"/>
  <c r="W1016" i="64"/>
  <c r="S1016" i="64"/>
  <c r="AF1016" i="64"/>
  <c r="Y1016" i="64"/>
  <c r="T1016" i="64"/>
  <c r="AB1016" i="64"/>
  <c r="V1016" i="64"/>
  <c r="Z1016" i="64"/>
  <c r="X1016" i="64"/>
  <c r="U1016" i="64"/>
  <c r="AC1016" i="64"/>
  <c r="R1016" i="64"/>
  <c r="CB1300" i="64"/>
  <c r="AB1226" i="64"/>
  <c r="DO1226" i="64"/>
  <c r="B1256" i="64"/>
  <c r="CO1109" i="64"/>
  <c r="AF743" i="64"/>
  <c r="AS743" i="64"/>
  <c r="CB1278" i="64"/>
  <c r="AB1204" i="64"/>
  <c r="DO1204" i="64"/>
  <c r="CN1152" i="64"/>
  <c r="A1152" i="64"/>
  <c r="CA1185" i="64"/>
  <c r="DB1112" i="64"/>
  <c r="DE1112" i="64" s="1"/>
  <c r="CQ1185" i="64" s="1"/>
  <c r="CN1183" i="64"/>
  <c r="A1183" i="64"/>
  <c r="B1267" i="64"/>
  <c r="CO1120" i="64"/>
  <c r="AF1005" i="64"/>
  <c r="R1005" i="64"/>
  <c r="S1005" i="64"/>
  <c r="AF1000" i="64"/>
  <c r="R1000" i="64"/>
  <c r="S1000" i="64"/>
  <c r="CN1130" i="64"/>
  <c r="A1130" i="64"/>
  <c r="CA1189" i="64"/>
  <c r="DB1116" i="64"/>
  <c r="DE1116" i="64" s="1"/>
  <c r="CQ1189" i="64" s="1"/>
  <c r="BC1274" i="64"/>
  <c r="CP1200" i="64"/>
  <c r="BP1274" i="64" s="1"/>
  <c r="G215" i="64"/>
  <c r="AS814" i="64"/>
  <c r="AF814" i="64"/>
  <c r="B1236" i="64"/>
  <c r="CO1089" i="64"/>
  <c r="CN1184" i="64"/>
  <c r="A1184" i="64"/>
  <c r="CA1188" i="64"/>
  <c r="DB1115" i="64"/>
  <c r="DE1115" i="64" s="1"/>
  <c r="CQ1188" i="64" s="1"/>
  <c r="J1581" i="79"/>
  <c r="AR214" i="79"/>
  <c r="C2967" i="79" s="1"/>
  <c r="AK1516" i="79"/>
  <c r="AJ406" i="79"/>
  <c r="AQ447" i="79"/>
  <c r="AM324" i="79"/>
  <c r="T1607" i="79"/>
  <c r="AO447" i="79"/>
  <c r="M1607" i="79"/>
  <c r="AJ488" i="79"/>
  <c r="J1516" i="79"/>
  <c r="AM283" i="79"/>
  <c r="L1529" i="79"/>
  <c r="AN1607" i="79"/>
  <c r="R406" i="79"/>
  <c r="I1555" i="79"/>
  <c r="AP1542" i="79"/>
  <c r="S1594" i="79"/>
  <c r="AK1607" i="79"/>
  <c r="AF447" i="79"/>
  <c r="AL365" i="79"/>
  <c r="AF997" i="64"/>
  <c r="R997" i="64"/>
  <c r="S997" i="64"/>
  <c r="I230" i="64"/>
  <c r="G229" i="64"/>
  <c r="CN1137" i="64"/>
  <c r="A1137" i="64"/>
  <c r="C1259" i="64"/>
  <c r="P1259" i="64" s="1"/>
  <c r="D1259" i="64"/>
  <c r="Q1259" i="64" s="1"/>
  <c r="DB1259" i="64"/>
  <c r="AF996" i="64"/>
  <c r="R996" i="64"/>
  <c r="S996" i="64"/>
  <c r="S818" i="64"/>
  <c r="T818" i="64"/>
  <c r="C1263" i="64"/>
  <c r="P1263" i="64" s="1"/>
  <c r="D1263" i="64"/>
  <c r="Q1263" i="64" s="1"/>
  <c r="DB1263" i="64"/>
  <c r="CB1332" i="64"/>
  <c r="AB1258" i="64"/>
  <c r="DO1258" i="64"/>
  <c r="AF989" i="64"/>
  <c r="R989" i="64"/>
  <c r="S989" i="64"/>
  <c r="AF994" i="64"/>
  <c r="R994" i="64"/>
  <c r="S994" i="64"/>
  <c r="B1242" i="64"/>
  <c r="CO1095" i="64"/>
  <c r="C1262" i="64"/>
  <c r="P1262" i="64" s="1"/>
  <c r="D1262" i="64"/>
  <c r="Q1262" i="64" s="1"/>
  <c r="DB1262" i="64"/>
  <c r="AG529" i="79"/>
  <c r="S365" i="79"/>
  <c r="AN406" i="79"/>
  <c r="P488" i="79"/>
  <c r="M529" i="79"/>
  <c r="Q365" i="79"/>
  <c r="AH529" i="79"/>
  <c r="AN242" i="79"/>
  <c r="S283" i="79"/>
  <c r="AJ283" i="79"/>
  <c r="Q488" i="79"/>
  <c r="M406" i="79"/>
  <c r="T815" i="64"/>
  <c r="S815" i="64"/>
  <c r="AF984" i="64"/>
  <c r="R984" i="64"/>
  <c r="S984" i="64"/>
  <c r="H229" i="64"/>
  <c r="CB1335" i="64"/>
  <c r="AB1261" i="64"/>
  <c r="DO1261" i="64"/>
  <c r="AF998" i="64"/>
  <c r="R998" i="64"/>
  <c r="S998" i="64"/>
  <c r="AF1013" i="64"/>
  <c r="S1013" i="64"/>
  <c r="R1013" i="64"/>
  <c r="CN1187" i="64"/>
  <c r="A1187" i="64"/>
  <c r="H215" i="64"/>
  <c r="AF1002" i="64"/>
  <c r="R1002" i="64"/>
  <c r="S1002" i="64"/>
  <c r="AF990" i="64"/>
  <c r="R990" i="64"/>
  <c r="S990" i="64"/>
  <c r="B1260" i="64"/>
  <c r="CO1113" i="64"/>
  <c r="CA1192" i="64"/>
  <c r="DB1119" i="64"/>
  <c r="DE1119" i="64" s="1"/>
  <c r="CQ1192" i="64" s="1"/>
  <c r="AK242" i="79"/>
  <c r="I1529" i="79"/>
  <c r="AR385" i="79"/>
  <c r="C3109" i="79" s="1"/>
  <c r="AF488" i="79"/>
  <c r="I1581" i="79"/>
  <c r="AG1594" i="79"/>
  <c r="AR236" i="79"/>
  <c r="C2986" i="79" s="1"/>
  <c r="U395" i="79"/>
  <c r="C2714" i="79" s="1"/>
  <c r="K488" i="79"/>
  <c r="G1435" i="79"/>
  <c r="AQ1529" i="79"/>
  <c r="G1420" i="79"/>
  <c r="P1555" i="79"/>
  <c r="AM1594" i="79"/>
  <c r="U255" i="79"/>
  <c r="C2597" i="79" s="1"/>
  <c r="AR378" i="79"/>
  <c r="C3103" i="79" s="1"/>
  <c r="AR405" i="79"/>
  <c r="C3126" i="79" s="1"/>
  <c r="AR344" i="79"/>
  <c r="C3075" i="79" s="1"/>
  <c r="AR508" i="79"/>
  <c r="C3211" i="79" s="1"/>
  <c r="U523" i="79"/>
  <c r="C2820" i="79" s="1"/>
  <c r="AO1594" i="79"/>
  <c r="G1422" i="79"/>
  <c r="G1424" i="79"/>
  <c r="G1421" i="79"/>
  <c r="AK488" i="79"/>
  <c r="AI1594" i="79"/>
  <c r="AR221" i="79"/>
  <c r="C2973" i="79" s="1"/>
  <c r="G1419" i="79"/>
  <c r="U318" i="79"/>
  <c r="C2650" i="79" s="1"/>
  <c r="AM406" i="79"/>
  <c r="AR337" i="79"/>
  <c r="C3069" i="79" s="1"/>
  <c r="AF242" i="79"/>
  <c r="AF365" i="79"/>
  <c r="Q324" i="79"/>
  <c r="N1529" i="79"/>
  <c r="J1568" i="79"/>
  <c r="AR477" i="79"/>
  <c r="C3186" i="79" s="1"/>
  <c r="K283" i="79"/>
  <c r="AR296" i="79"/>
  <c r="C3035" i="79" s="1"/>
  <c r="U467" i="79"/>
  <c r="C2773" i="79" s="1"/>
  <c r="AF406" i="79"/>
  <c r="G1434" i="79"/>
  <c r="AF1529" i="79"/>
  <c r="G1431" i="79"/>
  <c r="AR262" i="79"/>
  <c r="C3007" i="79" s="1"/>
  <c r="AF529" i="79"/>
  <c r="S529" i="79"/>
  <c r="U518" i="79"/>
  <c r="C2816" i="79" s="1"/>
  <c r="U426" i="79"/>
  <c r="C2739" i="79" s="1"/>
  <c r="U441" i="79"/>
  <c r="C2752" i="79" s="1"/>
  <c r="U508" i="79"/>
  <c r="C2807" i="79" s="1"/>
  <c r="AR501" i="79"/>
  <c r="C3205" i="79" s="1"/>
  <c r="Q529" i="79"/>
  <c r="U364" i="79"/>
  <c r="C2688" i="79" s="1"/>
  <c r="U528" i="79"/>
  <c r="C2824" i="79" s="1"/>
  <c r="AM242" i="79"/>
  <c r="AQ488" i="79"/>
  <c r="I283" i="79"/>
  <c r="AN488" i="79"/>
  <c r="T365" i="79"/>
  <c r="G1433" i="79"/>
  <c r="U446" i="79"/>
  <c r="C2756" i="79" s="1"/>
  <c r="AH242" i="79"/>
  <c r="U501" i="79"/>
  <c r="C2801" i="79" s="1"/>
  <c r="AR518" i="79"/>
  <c r="C3220" i="79" s="1"/>
  <c r="AF1555" i="79"/>
  <c r="I406" i="79"/>
  <c r="U419" i="79"/>
  <c r="C2733" i="79" s="1"/>
  <c r="U344" i="79"/>
  <c r="C2671" i="79" s="1"/>
  <c r="AR395" i="79"/>
  <c r="C3118" i="79" s="1"/>
  <c r="U477" i="79"/>
  <c r="C2782" i="79" s="1"/>
  <c r="AR400" i="79"/>
  <c r="C3122" i="79" s="1"/>
  <c r="G1436" i="79"/>
  <c r="R324" i="79"/>
  <c r="N1607" i="79"/>
  <c r="AR436" i="79"/>
  <c r="C3152" i="79" s="1"/>
  <c r="AF283" i="79"/>
  <c r="U354" i="79"/>
  <c r="C2680" i="79" s="1"/>
  <c r="U231" i="79"/>
  <c r="C2578" i="79" s="1"/>
  <c r="AN1555" i="79"/>
  <c r="G1429" i="79"/>
  <c r="AR282" i="79"/>
  <c r="C3024" i="79" s="1"/>
  <c r="U296" i="79"/>
  <c r="C2631" i="79" s="1"/>
  <c r="U303" i="79"/>
  <c r="C2637" i="79" s="1"/>
  <c r="U313" i="79"/>
  <c r="C2646" i="79" s="1"/>
  <c r="AR419" i="79"/>
  <c r="C3137" i="79" s="1"/>
  <c r="U482" i="79"/>
  <c r="C2786" i="79" s="1"/>
  <c r="AI1516" i="79"/>
  <c r="AP1516" i="79"/>
  <c r="AO283" i="79"/>
  <c r="G1418" i="79"/>
  <c r="AI1568" i="79"/>
  <c r="AF1594" i="79"/>
  <c r="AR241" i="79"/>
  <c r="C2990" i="79" s="1"/>
  <c r="AR323" i="79"/>
  <c r="C3058" i="79" s="1"/>
  <c r="U236" i="79"/>
  <c r="C2582" i="79" s="1"/>
  <c r="U323" i="79"/>
  <c r="C2654" i="79" s="1"/>
  <c r="AR231" i="79"/>
  <c r="C2982" i="79" s="1"/>
  <c r="G1423" i="79"/>
  <c r="U359" i="79"/>
  <c r="C2684" i="79" s="1"/>
  <c r="AR426" i="79"/>
  <c r="C3143" i="79" s="1"/>
  <c r="G1432" i="79"/>
  <c r="AR318" i="79"/>
  <c r="C3054" i="79" s="1"/>
  <c r="AR272" i="79"/>
  <c r="C3016" i="79" s="1"/>
  <c r="AR303" i="79"/>
  <c r="C3041" i="79" s="1"/>
  <c r="AH1594" i="79"/>
  <c r="G1430" i="79"/>
  <c r="AR523" i="79"/>
  <c r="C3224" i="79" s="1"/>
  <c r="AR487" i="79"/>
  <c r="C3194" i="79" s="1"/>
  <c r="AR482" i="79"/>
  <c r="C3190" i="79" s="1"/>
  <c r="AR441" i="79"/>
  <c r="C3156" i="79" s="1"/>
  <c r="AR446" i="79"/>
  <c r="C3160" i="79" s="1"/>
  <c r="U405" i="79"/>
  <c r="C2722" i="79" s="1"/>
  <c r="AG365" i="79"/>
  <c r="K406" i="79"/>
  <c r="F162" i="85"/>
  <c r="R18" i="85"/>
  <c r="F25" i="85"/>
  <c r="G12" i="73"/>
  <c r="F42" i="73"/>
  <c r="F46" i="73" s="1"/>
  <c r="E10" i="74" s="1"/>
  <c r="E11" i="74" s="1"/>
  <c r="I119" i="8"/>
  <c r="H124" i="83" s="1"/>
  <c r="F325" i="73"/>
  <c r="J119" i="8"/>
  <c r="I124" i="83" s="1"/>
  <c r="O123" i="85"/>
  <c r="O376" i="73"/>
  <c r="N31" i="74" s="1"/>
  <c r="O324" i="73"/>
  <c r="G30" i="74"/>
  <c r="L119" i="8"/>
  <c r="K124" i="83" s="1"/>
  <c r="F124" i="83"/>
  <c r="N30" i="74"/>
  <c r="H119" i="8"/>
  <c r="M376" i="73"/>
  <c r="L31" i="74" s="1"/>
  <c r="M324" i="73"/>
  <c r="M123" i="85"/>
  <c r="J30" i="74"/>
  <c r="H48" i="74"/>
  <c r="H35" i="74" s="1"/>
  <c r="N123" i="85"/>
  <c r="N376" i="73"/>
  <c r="M31" i="74" s="1"/>
  <c r="N324" i="73"/>
  <c r="E119" i="8"/>
  <c r="L30" i="74"/>
  <c r="P123" i="85"/>
  <c r="P376" i="73"/>
  <c r="O31" i="74" s="1"/>
  <c r="P324" i="73"/>
  <c r="O119" i="8"/>
  <c r="N124" i="83" s="1"/>
  <c r="O403" i="73"/>
  <c r="O406" i="73" s="1"/>
  <c r="L123" i="85"/>
  <c r="L376" i="73"/>
  <c r="K31" i="74" s="1"/>
  <c r="L324" i="73"/>
  <c r="N119" i="8"/>
  <c r="M124" i="83" s="1"/>
  <c r="O30" i="74"/>
  <c r="H123" i="85"/>
  <c r="H376" i="73"/>
  <c r="G31" i="74" s="1"/>
  <c r="H324" i="73"/>
  <c r="K30" i="74"/>
  <c r="I376" i="73"/>
  <c r="I324" i="73"/>
  <c r="I123" i="85"/>
  <c r="I403" i="73"/>
  <c r="I406" i="73" s="1"/>
  <c r="M403" i="73"/>
  <c r="M406" i="73" s="1"/>
  <c r="F119" i="8"/>
  <c r="M30" i="74"/>
  <c r="P30" i="74"/>
  <c r="M119" i="8"/>
  <c r="L124" i="83" s="1"/>
  <c r="I30" i="74"/>
  <c r="F30" i="74"/>
  <c r="G378" i="73"/>
  <c r="K119" i="8"/>
  <c r="J124" i="83" s="1"/>
  <c r="J123" i="85"/>
  <c r="J376" i="73"/>
  <c r="I31" i="74" s="1"/>
  <c r="J324" i="73"/>
  <c r="N403" i="73"/>
  <c r="N406" i="73" s="1"/>
  <c r="Q123" i="85"/>
  <c r="Q376" i="73"/>
  <c r="P31" i="74" s="1"/>
  <c r="Q324" i="73"/>
  <c r="J403" i="73"/>
  <c r="J406" i="73" s="1"/>
  <c r="E41" i="80" l="1"/>
  <c r="G170" i="8"/>
  <c r="F177" i="8"/>
  <c r="G326" i="40"/>
  <c r="G280" i="73"/>
  <c r="G588" i="73" s="1"/>
  <c r="G594" i="73" s="1"/>
  <c r="H265" i="73"/>
  <c r="AG743" i="64"/>
  <c r="G122" i="8"/>
  <c r="G128" i="8"/>
  <c r="G139" i="8" s="1"/>
  <c r="G147" i="8" s="1"/>
  <c r="G155" i="8" s="1"/>
  <c r="G166" i="8" s="1"/>
  <c r="G172" i="8" s="1"/>
  <c r="I6" i="8"/>
  <c r="H10" i="8"/>
  <c r="H58" i="8" s="1"/>
  <c r="H91" i="8" s="1"/>
  <c r="H115" i="8" s="1"/>
  <c r="P183" i="8"/>
  <c r="H7" i="25"/>
  <c r="G130" i="73"/>
  <c r="G148" i="73" s="1"/>
  <c r="H130" i="73" s="1"/>
  <c r="F149" i="73"/>
  <c r="F457" i="73" s="1"/>
  <c r="D119" i="8"/>
  <c r="P119" i="8" s="1"/>
  <c r="C18" i="25"/>
  <c r="E30" i="74"/>
  <c r="E48" i="74" s="1"/>
  <c r="AT743" i="64"/>
  <c r="L823" i="64"/>
  <c r="O823" i="64"/>
  <c r="H823" i="64"/>
  <c r="J823" i="64"/>
  <c r="C823" i="64"/>
  <c r="F823" i="64"/>
  <c r="F824" i="64" s="1"/>
  <c r="N823" i="64"/>
  <c r="Q823" i="64"/>
  <c r="I823" i="64"/>
  <c r="K823" i="64"/>
  <c r="M823" i="64"/>
  <c r="Q992" i="64"/>
  <c r="G823" i="64"/>
  <c r="G824" i="64" s="1"/>
  <c r="P823" i="64"/>
  <c r="F231" i="73"/>
  <c r="H877" i="64"/>
  <c r="AS796" i="64"/>
  <c r="I872" i="64"/>
  <c r="I874" i="64"/>
  <c r="I869" i="64"/>
  <c r="I876" i="64"/>
  <c r="I871" i="64"/>
  <c r="I870" i="64"/>
  <c r="I873" i="64"/>
  <c r="T793" i="64"/>
  <c r="AT793" i="64" s="1"/>
  <c r="F838" i="64"/>
  <c r="G228" i="64" s="1"/>
  <c r="H806" i="64"/>
  <c r="G148" i="74"/>
  <c r="J838" i="64"/>
  <c r="K228" i="64" s="1"/>
  <c r="G735" i="64"/>
  <c r="I803" i="64"/>
  <c r="I802" i="64"/>
  <c r="I798" i="64"/>
  <c r="I799" i="64"/>
  <c r="I805" i="64"/>
  <c r="I801" i="64"/>
  <c r="I800" i="64"/>
  <c r="G601" i="73"/>
  <c r="T796" i="64"/>
  <c r="AT796" i="64" s="1"/>
  <c r="I838" i="64"/>
  <c r="J228" i="64" s="1"/>
  <c r="N838" i="64"/>
  <c r="O228" i="64" s="1"/>
  <c r="H267" i="64"/>
  <c r="F563" i="74"/>
  <c r="H727" i="64"/>
  <c r="H732" i="64"/>
  <c r="H728" i="64"/>
  <c r="H731" i="64"/>
  <c r="H730" i="64"/>
  <c r="H729" i="64"/>
  <c r="H734" i="64"/>
  <c r="F576" i="74"/>
  <c r="C6" i="80"/>
  <c r="Q1011" i="64"/>
  <c r="G842" i="64"/>
  <c r="H231" i="64" s="1"/>
  <c r="F842" i="64"/>
  <c r="G231" i="64" s="1"/>
  <c r="C842" i="64"/>
  <c r="T1005" i="64"/>
  <c r="J342" i="64"/>
  <c r="Q995" i="64"/>
  <c r="F826" i="64"/>
  <c r="G216" i="64" s="1"/>
  <c r="C826" i="64"/>
  <c r="G826" i="64"/>
  <c r="H216" i="64" s="1"/>
  <c r="F720" i="64"/>
  <c r="F726" i="64"/>
  <c r="D394" i="40"/>
  <c r="D403" i="40"/>
  <c r="D411" i="40"/>
  <c r="D396" i="40"/>
  <c r="D404" i="40"/>
  <c r="D436" i="40"/>
  <c r="D397" i="40"/>
  <c r="D405" i="40"/>
  <c r="D398" i="40"/>
  <c r="D406" i="40"/>
  <c r="D401" i="40"/>
  <c r="D387" i="40"/>
  <c r="D392" i="40"/>
  <c r="D410" i="40"/>
  <c r="D438" i="40"/>
  <c r="D440" i="40"/>
  <c r="D437" i="40"/>
  <c r="D399" i="40"/>
  <c r="D408" i="40"/>
  <c r="D417" i="40"/>
  <c r="D430" i="40"/>
  <c r="D432" i="40"/>
  <c r="D434" i="40"/>
  <c r="D431" i="40"/>
  <c r="D439" i="40"/>
  <c r="D391" i="40"/>
  <c r="D409" i="40"/>
  <c r="D418" i="40"/>
  <c r="D402" i="40"/>
  <c r="D433" i="40"/>
  <c r="D441" i="40"/>
  <c r="D407" i="40"/>
  <c r="D400" i="40"/>
  <c r="D435" i="40"/>
  <c r="H826" i="64"/>
  <c r="I216" i="64" s="1"/>
  <c r="I794" i="64"/>
  <c r="H723" i="64"/>
  <c r="I267" i="64" s="1"/>
  <c r="G607" i="64"/>
  <c r="G195" i="74"/>
  <c r="G145" i="74"/>
  <c r="G138" i="74"/>
  <c r="G128" i="74"/>
  <c r="C70" i="61"/>
  <c r="C47" i="71"/>
  <c r="G212" i="73"/>
  <c r="G228" i="73" s="1"/>
  <c r="G229" i="73" s="1"/>
  <c r="G208" i="64"/>
  <c r="G267" i="64"/>
  <c r="H208" i="64"/>
  <c r="E1259" i="64"/>
  <c r="R1259" i="64" s="1"/>
  <c r="G791" i="64"/>
  <c r="H824" i="64"/>
  <c r="K32" i="71" s="1"/>
  <c r="I294" i="64"/>
  <c r="H797" i="64"/>
  <c r="U281" i="73"/>
  <c r="U304" i="73"/>
  <c r="S31" i="74"/>
  <c r="R31" i="74"/>
  <c r="G54" i="85"/>
  <c r="G55" i="85" s="1"/>
  <c r="G168" i="74"/>
  <c r="G165" i="74"/>
  <c r="G178" i="74"/>
  <c r="G125" i="74"/>
  <c r="G135" i="74"/>
  <c r="G158" i="74"/>
  <c r="G118" i="74"/>
  <c r="G188" i="74"/>
  <c r="G198" i="74"/>
  <c r="G208" i="74"/>
  <c r="G205" i="74"/>
  <c r="G155" i="74"/>
  <c r="G228" i="74"/>
  <c r="G115" i="74"/>
  <c r="F571" i="74"/>
  <c r="G218" i="74"/>
  <c r="G215" i="74"/>
  <c r="G175" i="74"/>
  <c r="AF745" i="64"/>
  <c r="I83" i="61"/>
  <c r="P301" i="73"/>
  <c r="R301" i="73" s="1"/>
  <c r="P270" i="73"/>
  <c r="P271" i="73" s="1"/>
  <c r="E118" i="9"/>
  <c r="E133" i="9" s="1"/>
  <c r="F37" i="9"/>
  <c r="F66" i="9"/>
  <c r="F81" i="9" s="1"/>
  <c r="F96" i="9" s="1"/>
  <c r="F107" i="9" s="1"/>
  <c r="H5" i="9"/>
  <c r="G7" i="9"/>
  <c r="G22" i="9" s="1"/>
  <c r="G52" i="9" s="1"/>
  <c r="G134" i="83"/>
  <c r="I135" i="8"/>
  <c r="G29" i="10"/>
  <c r="G30" i="80"/>
  <c r="F135" i="83"/>
  <c r="F167" i="83" s="1"/>
  <c r="F31" i="80"/>
  <c r="F30" i="10"/>
  <c r="H137" i="8"/>
  <c r="H159" i="8"/>
  <c r="I156" i="8"/>
  <c r="H33" i="10" s="1"/>
  <c r="F148" i="83"/>
  <c r="G177" i="8"/>
  <c r="F41" i="80"/>
  <c r="H170" i="8"/>
  <c r="F38" i="10"/>
  <c r="F23" i="80"/>
  <c r="F23" i="10"/>
  <c r="H110" i="8"/>
  <c r="F107" i="83"/>
  <c r="G108" i="83"/>
  <c r="G24" i="10"/>
  <c r="G24" i="80"/>
  <c r="I111" i="8"/>
  <c r="H93" i="8"/>
  <c r="G95" i="8"/>
  <c r="F79" i="83"/>
  <c r="F144" i="83"/>
  <c r="F34" i="10"/>
  <c r="F37" i="80"/>
  <c r="H161" i="8"/>
  <c r="F145" i="83"/>
  <c r="F38" i="80"/>
  <c r="F35" i="10"/>
  <c r="H162" i="8"/>
  <c r="E150" i="83"/>
  <c r="F36" i="80"/>
  <c r="F143" i="83"/>
  <c r="F25" i="80"/>
  <c r="F25" i="10"/>
  <c r="H112" i="8"/>
  <c r="F111" i="83"/>
  <c r="F162" i="83" s="1"/>
  <c r="AL1851" i="79"/>
  <c r="I1851" i="79"/>
  <c r="AM1851" i="79"/>
  <c r="T1887" i="79"/>
  <c r="K1923" i="79"/>
  <c r="AK1923" i="79"/>
  <c r="AG1815" i="79"/>
  <c r="O1851" i="79"/>
  <c r="AO1851" i="79"/>
  <c r="AF1887" i="79"/>
  <c r="M1923" i="79"/>
  <c r="P1851" i="79"/>
  <c r="AG1887" i="79"/>
  <c r="N1923" i="79"/>
  <c r="AN1923" i="79"/>
  <c r="P838" i="64"/>
  <c r="Q228" i="64" s="1"/>
  <c r="H838" i="64"/>
  <c r="I228" i="64" s="1"/>
  <c r="K838" i="64"/>
  <c r="L228" i="64" s="1"/>
  <c r="M838" i="64"/>
  <c r="N228" i="64" s="1"/>
  <c r="Q838" i="64"/>
  <c r="R228" i="64" s="1"/>
  <c r="C838" i="64"/>
  <c r="O838" i="64"/>
  <c r="P228" i="64" s="1"/>
  <c r="Q1007" i="64"/>
  <c r="G838" i="64"/>
  <c r="H228" i="64" s="1"/>
  <c r="R247" i="73"/>
  <c r="AQ1923" i="79"/>
  <c r="R1887" i="79"/>
  <c r="J385" i="64"/>
  <c r="H817" i="64"/>
  <c r="T984" i="64"/>
  <c r="D1044" i="64"/>
  <c r="D1115" i="64" s="1"/>
  <c r="I816" i="64"/>
  <c r="T990" i="64"/>
  <c r="T998" i="64"/>
  <c r="E1262" i="64"/>
  <c r="R1262" i="64" s="1"/>
  <c r="E1263" i="64"/>
  <c r="R1263" i="64" s="1"/>
  <c r="T1001" i="64"/>
  <c r="E1261" i="64"/>
  <c r="R1261" i="64" s="1"/>
  <c r="E1257" i="64"/>
  <c r="R1257" i="64" s="1"/>
  <c r="E1258" i="64"/>
  <c r="R1258" i="64" s="1"/>
  <c r="I835" i="64"/>
  <c r="J225" i="64" s="1"/>
  <c r="I591" i="64"/>
  <c r="I589" i="64"/>
  <c r="I590" i="64"/>
  <c r="I574" i="64"/>
  <c r="I578" i="64"/>
  <c r="I579" i="64"/>
  <c r="I814" i="64"/>
  <c r="I582" i="64"/>
  <c r="I580" i="64"/>
  <c r="I576" i="64"/>
  <c r="I577" i="64"/>
  <c r="I581" i="64"/>
  <c r="I597" i="64"/>
  <c r="I598" i="64"/>
  <c r="I575" i="64"/>
  <c r="I599" i="64"/>
  <c r="I588" i="64"/>
  <c r="I844" i="64"/>
  <c r="J233" i="64" s="1"/>
  <c r="I832" i="64"/>
  <c r="J222" i="64" s="1"/>
  <c r="I815" i="64"/>
  <c r="I821" i="64"/>
  <c r="I825" i="64"/>
  <c r="J215" i="64" s="1"/>
  <c r="I842" i="64"/>
  <c r="J231" i="64" s="1"/>
  <c r="I840" i="64"/>
  <c r="J229" i="64" s="1"/>
  <c r="I826" i="64"/>
  <c r="J216" i="64" s="1"/>
  <c r="I845" i="64"/>
  <c r="J234" i="64" s="1"/>
  <c r="I833" i="64"/>
  <c r="J223" i="64" s="1"/>
  <c r="I820" i="64"/>
  <c r="I831" i="64"/>
  <c r="J221" i="64" s="1"/>
  <c r="I836" i="64"/>
  <c r="J226" i="64" s="1"/>
  <c r="I827" i="64"/>
  <c r="J217" i="64" s="1"/>
  <c r="I818" i="64"/>
  <c r="I829" i="64"/>
  <c r="J219" i="64" s="1"/>
  <c r="I841" i="64"/>
  <c r="J230" i="64" s="1"/>
  <c r="I828" i="64"/>
  <c r="J218" i="64" s="1"/>
  <c r="I819" i="64"/>
  <c r="I851" i="64"/>
  <c r="J239" i="64" s="1"/>
  <c r="I834" i="64"/>
  <c r="J224" i="64" s="1"/>
  <c r="I843" i="64"/>
  <c r="J232" i="64" s="1"/>
  <c r="H587" i="64"/>
  <c r="AI983" i="64"/>
  <c r="I837" i="64"/>
  <c r="J227" i="64" s="1"/>
  <c r="H606" i="64"/>
  <c r="F612" i="64"/>
  <c r="G132" i="64" s="1"/>
  <c r="D1042" i="64"/>
  <c r="D1113" i="64" s="1"/>
  <c r="U818" i="64"/>
  <c r="F778" i="64"/>
  <c r="N132" i="85"/>
  <c r="N95" i="85" s="1"/>
  <c r="N97" i="85" s="1"/>
  <c r="K178" i="85"/>
  <c r="K125" i="85"/>
  <c r="K161" i="85" s="1"/>
  <c r="I65" i="8" s="1"/>
  <c r="I66" i="8" s="1"/>
  <c r="H12" i="80" s="1"/>
  <c r="H11" i="80" s="1"/>
  <c r="F572" i="74"/>
  <c r="F573" i="74"/>
  <c r="F569" i="74"/>
  <c r="F565" i="74"/>
  <c r="F575" i="74"/>
  <c r="F574" i="74"/>
  <c r="F577" i="74"/>
  <c r="F567" i="74"/>
  <c r="F562" i="74"/>
  <c r="F568" i="74"/>
  <c r="F564" i="74"/>
  <c r="F566" i="74"/>
  <c r="F578" i="74"/>
  <c r="U447" i="79"/>
  <c r="C2757" i="79" s="1"/>
  <c r="I383" i="77"/>
  <c r="I455" i="77"/>
  <c r="I318" i="77"/>
  <c r="I353" i="77"/>
  <c r="I138" i="77"/>
  <c r="I252" i="77"/>
  <c r="F238" i="74"/>
  <c r="G238" i="74" s="1"/>
  <c r="F235" i="74"/>
  <c r="K378" i="73"/>
  <c r="I702" i="79"/>
  <c r="I700" i="79"/>
  <c r="I701" i="79"/>
  <c r="E243" i="74"/>
  <c r="F243" i="74" s="1"/>
  <c r="BW229" i="65"/>
  <c r="BW203" i="65"/>
  <c r="BW213" i="65"/>
  <c r="BW211" i="65"/>
  <c r="BW212" i="65"/>
  <c r="BW230" i="65"/>
  <c r="BW209" i="65"/>
  <c r="BW228" i="65"/>
  <c r="BW227" i="65"/>
  <c r="BW226" i="65"/>
  <c r="BW207" i="65"/>
  <c r="BW210" i="65"/>
  <c r="BW220" i="65"/>
  <c r="BW224" i="65"/>
  <c r="BW223" i="65"/>
  <c r="BW231" i="65"/>
  <c r="BW214" i="65"/>
  <c r="BW225" i="65"/>
  <c r="BW206" i="65"/>
  <c r="BW208" i="65"/>
  <c r="BW221" i="65"/>
  <c r="BW222" i="65"/>
  <c r="BW204" i="65"/>
  <c r="BW205" i="65"/>
  <c r="H7" i="74"/>
  <c r="J5" i="77"/>
  <c r="J483" i="77" s="1"/>
  <c r="L41" i="79"/>
  <c r="I10" i="73"/>
  <c r="I1345" i="64"/>
  <c r="I1398" i="64"/>
  <c r="I1381" i="64"/>
  <c r="I1364" i="64"/>
  <c r="J637" i="64"/>
  <c r="CL8" i="65"/>
  <c r="BX8" i="65"/>
  <c r="BX24" i="65" s="1"/>
  <c r="BJ8" i="65"/>
  <c r="BJ15" i="65" s="1"/>
  <c r="J400" i="64"/>
  <c r="I813" i="64" s="1"/>
  <c r="H888" i="64" s="1"/>
  <c r="J126" i="64"/>
  <c r="J120" i="64"/>
  <c r="J115" i="64" s="1"/>
  <c r="J111" i="64"/>
  <c r="J104" i="64"/>
  <c r="K8" i="64"/>
  <c r="J289" i="64"/>
  <c r="J345" i="64" s="1"/>
  <c r="J214" i="64"/>
  <c r="CL202" i="65"/>
  <c r="BX202" i="65"/>
  <c r="BJ202" i="65"/>
  <c r="J171" i="64"/>
  <c r="J4" i="64"/>
  <c r="I742" i="64"/>
  <c r="CS1053" i="64"/>
  <c r="J258" i="64"/>
  <c r="J274" i="64" s="1"/>
  <c r="BW12" i="65"/>
  <c r="BW17" i="65"/>
  <c r="BW18" i="65"/>
  <c r="BW11" i="65"/>
  <c r="BW14" i="65"/>
  <c r="BW16" i="65"/>
  <c r="BW219" i="65"/>
  <c r="BW10" i="65"/>
  <c r="BW22" i="65"/>
  <c r="BW21" i="65"/>
  <c r="BW19" i="65"/>
  <c r="BW15" i="65"/>
  <c r="K547" i="79"/>
  <c r="K451" i="79"/>
  <c r="K246" i="79"/>
  <c r="AH41" i="79"/>
  <c r="K492" i="79"/>
  <c r="K328" i="79"/>
  <c r="K82" i="79"/>
  <c r="K6" i="79"/>
  <c r="K1306" i="79" s="1"/>
  <c r="AH1306" i="79" s="1"/>
  <c r="K835" i="79"/>
  <c r="K663" i="79"/>
  <c r="K410" i="79"/>
  <c r="K287" i="79"/>
  <c r="K205" i="79"/>
  <c r="K369" i="79"/>
  <c r="K164" i="79"/>
  <c r="E379" i="40"/>
  <c r="E514" i="40" s="1"/>
  <c r="K123" i="79"/>
  <c r="G683" i="74"/>
  <c r="G550" i="74"/>
  <c r="G701" i="74" s="1"/>
  <c r="G539" i="74"/>
  <c r="G700" i="74" s="1"/>
  <c r="G528" i="74"/>
  <c r="G699" i="74" s="1"/>
  <c r="G517" i="74"/>
  <c r="G698" i="74" s="1"/>
  <c r="G541" i="74"/>
  <c r="G533" i="74"/>
  <c r="G495" i="74"/>
  <c r="G696" i="74" s="1"/>
  <c r="G484" i="74"/>
  <c r="G695" i="74" s="1"/>
  <c r="G473" i="74"/>
  <c r="G694" i="74" s="1"/>
  <c r="G462" i="74"/>
  <c r="G693" i="74" s="1"/>
  <c r="G451" i="74"/>
  <c r="G692" i="74" s="1"/>
  <c r="G440" i="74"/>
  <c r="G691" i="74" s="1"/>
  <c r="G429" i="74"/>
  <c r="G690" i="74" s="1"/>
  <c r="G418" i="74"/>
  <c r="G689" i="74" s="1"/>
  <c r="G552" i="74"/>
  <c r="G544" i="74"/>
  <c r="G500" i="74"/>
  <c r="G555" i="74"/>
  <c r="G519" i="74"/>
  <c r="G511" i="74"/>
  <c r="G506" i="74"/>
  <c r="G697" i="74" s="1"/>
  <c r="G486" i="74"/>
  <c r="G478" i="74"/>
  <c r="G442" i="74"/>
  <c r="G434" i="74"/>
  <c r="G420" i="74"/>
  <c r="G412" i="74"/>
  <c r="G409" i="74"/>
  <c r="G401" i="74"/>
  <c r="G398" i="74"/>
  <c r="G390" i="74"/>
  <c r="G387" i="74"/>
  <c r="G379" i="74"/>
  <c r="G376" i="74"/>
  <c r="G368" i="74"/>
  <c r="G365" i="74"/>
  <c r="G109" i="74"/>
  <c r="G19" i="74"/>
  <c r="G522" i="74"/>
  <c r="G497" i="74"/>
  <c r="G489" i="74"/>
  <c r="G453" i="74"/>
  <c r="G445" i="74"/>
  <c r="G407" i="74"/>
  <c r="G688" i="74" s="1"/>
  <c r="G396" i="74"/>
  <c r="G687" i="74" s="1"/>
  <c r="G385" i="74"/>
  <c r="G686" i="74" s="1"/>
  <c r="G374" i="74"/>
  <c r="G685" i="74" s="1"/>
  <c r="G363" i="74"/>
  <c r="G684" i="74" s="1"/>
  <c r="G79" i="74"/>
  <c r="G530" i="74"/>
  <c r="G508" i="74"/>
  <c r="G464" i="74"/>
  <c r="G570" i="74" s="1"/>
  <c r="G456" i="74"/>
  <c r="G423" i="74"/>
  <c r="G232" i="74"/>
  <c r="G247" i="74" s="1"/>
  <c r="G262" i="74" s="1"/>
  <c r="G277" i="74" s="1"/>
  <c r="G467" i="74"/>
  <c r="G475" i="74"/>
  <c r="G431" i="74"/>
  <c r="G5" i="74"/>
  <c r="P1053" i="64"/>
  <c r="B1126" i="64" s="1"/>
  <c r="P1200" i="64"/>
  <c r="AC1200" i="64" s="1"/>
  <c r="C1274" i="64" s="1"/>
  <c r="J772" i="79"/>
  <c r="J771" i="79"/>
  <c r="J612" i="79"/>
  <c r="J610" i="79"/>
  <c r="J611" i="79"/>
  <c r="J603" i="79"/>
  <c r="J602" i="79"/>
  <c r="J604" i="79"/>
  <c r="J568" i="79"/>
  <c r="J567" i="79"/>
  <c r="J569" i="79"/>
  <c r="J572" i="79"/>
  <c r="J732" i="79"/>
  <c r="J731" i="79"/>
  <c r="J764" i="79"/>
  <c r="J763" i="79"/>
  <c r="I570" i="79"/>
  <c r="T989" i="64"/>
  <c r="T997" i="64"/>
  <c r="F239" i="74"/>
  <c r="G239" i="74" s="1"/>
  <c r="G185" i="74"/>
  <c r="BW23" i="65"/>
  <c r="Q1015" i="64"/>
  <c r="H846" i="64"/>
  <c r="I235" i="64" s="1"/>
  <c r="C846" i="64"/>
  <c r="G846" i="64"/>
  <c r="H235" i="64" s="1"/>
  <c r="I846" i="64"/>
  <c r="J235" i="64" s="1"/>
  <c r="F846" i="64"/>
  <c r="G235" i="64" s="1"/>
  <c r="H830" i="64"/>
  <c r="F830" i="64"/>
  <c r="G830" i="64"/>
  <c r="C830" i="64"/>
  <c r="Q999" i="64"/>
  <c r="I830" i="64"/>
  <c r="I621" i="79"/>
  <c r="G34" i="85"/>
  <c r="G61" i="85" s="1"/>
  <c r="G88" i="85" s="1"/>
  <c r="G117" i="85" s="1"/>
  <c r="G5" i="85"/>
  <c r="D1200" i="64"/>
  <c r="D1053" i="64"/>
  <c r="CK228" i="65"/>
  <c r="CK226" i="65"/>
  <c r="CK220" i="65"/>
  <c r="CK229" i="65"/>
  <c r="CK227" i="65"/>
  <c r="CK209" i="65"/>
  <c r="CK203" i="65"/>
  <c r="CK213" i="65"/>
  <c r="CK214" i="65"/>
  <c r="CK230" i="65"/>
  <c r="CK224" i="65"/>
  <c r="CK212" i="65"/>
  <c r="CK231" i="65"/>
  <c r="CK207" i="65"/>
  <c r="CK205" i="65"/>
  <c r="CK210" i="65"/>
  <c r="CK211" i="65"/>
  <c r="CK223" i="65"/>
  <c r="CK208" i="65"/>
  <c r="CK204" i="65"/>
  <c r="CK222" i="65"/>
  <c r="CK206" i="65"/>
  <c r="CK225" i="65"/>
  <c r="CK221" i="65"/>
  <c r="CK219" i="65"/>
  <c r="CK10" i="65"/>
  <c r="CK19" i="65"/>
  <c r="CK22" i="65"/>
  <c r="CK16" i="65"/>
  <c r="CK17" i="65"/>
  <c r="CK18" i="65"/>
  <c r="CK12" i="65"/>
  <c r="CK15" i="65"/>
  <c r="CK21" i="65"/>
  <c r="CK11" i="65"/>
  <c r="CK14" i="65"/>
  <c r="AI982" i="64"/>
  <c r="T982" i="64"/>
  <c r="E982" i="64"/>
  <c r="DE1200" i="64"/>
  <c r="CE1274" i="64" s="1"/>
  <c r="CD1126" i="64"/>
  <c r="DH1053" i="64"/>
  <c r="CT1126" i="64" s="1"/>
  <c r="G646" i="77"/>
  <c r="F605" i="77" s="1"/>
  <c r="J609" i="77"/>
  <c r="J631" i="77" s="1"/>
  <c r="J638" i="77" s="1"/>
  <c r="I438" i="77"/>
  <c r="J622" i="77"/>
  <c r="J597" i="77"/>
  <c r="D6" i="71"/>
  <c r="C30" i="71" s="1"/>
  <c r="G30" i="71" s="1"/>
  <c r="K30" i="71" s="1"/>
  <c r="G240" i="73"/>
  <c r="G257" i="73" s="1"/>
  <c r="F258" i="73"/>
  <c r="F461" i="73" s="1"/>
  <c r="G110" i="85"/>
  <c r="G111" i="85" s="1"/>
  <c r="F111" i="85"/>
  <c r="G90" i="85"/>
  <c r="I850" i="64"/>
  <c r="J238" i="64" s="1"/>
  <c r="C850" i="64"/>
  <c r="Q1019" i="64"/>
  <c r="F850" i="64"/>
  <c r="G238" i="64" s="1"/>
  <c r="G850" i="64"/>
  <c r="H238" i="64" s="1"/>
  <c r="H850" i="64"/>
  <c r="I238" i="64" s="1"/>
  <c r="I1401" i="79"/>
  <c r="D102" i="8" s="1"/>
  <c r="I629" i="79"/>
  <c r="I613" i="79"/>
  <c r="I1633" i="79"/>
  <c r="I1388" i="79"/>
  <c r="F560" i="74"/>
  <c r="F581" i="74" s="1"/>
  <c r="F602" i="74" s="1"/>
  <c r="F623" i="74" s="1"/>
  <c r="F648" i="74" s="1"/>
  <c r="F658" i="74" s="1"/>
  <c r="F359" i="74"/>
  <c r="F557" i="74"/>
  <c r="J727" i="79"/>
  <c r="J1220" i="79" s="1"/>
  <c r="J1288" i="79" s="1"/>
  <c r="J728" i="79"/>
  <c r="J751" i="79"/>
  <c r="J748" i="79"/>
  <c r="J752" i="79"/>
  <c r="J747" i="79"/>
  <c r="J768" i="79"/>
  <c r="J767" i="79"/>
  <c r="T996" i="64"/>
  <c r="T995" i="64"/>
  <c r="AI1031" i="64"/>
  <c r="E1031" i="64" s="1"/>
  <c r="E1102" i="64" s="1"/>
  <c r="C72" i="83"/>
  <c r="C16" i="80"/>
  <c r="H137" i="77"/>
  <c r="G587" i="73"/>
  <c r="G593" i="73" s="1"/>
  <c r="G600" i="73"/>
  <c r="G599" i="73"/>
  <c r="G605" i="73" s="1"/>
  <c r="G213" i="73"/>
  <c r="F232" i="73"/>
  <c r="F460" i="73" s="1"/>
  <c r="G63" i="85"/>
  <c r="G81" i="85" s="1"/>
  <c r="F82" i="85"/>
  <c r="I1387" i="79"/>
  <c r="I554" i="79"/>
  <c r="I1631" i="79"/>
  <c r="J740" i="79"/>
  <c r="J739" i="79"/>
  <c r="J756" i="79"/>
  <c r="J755" i="79"/>
  <c r="J1401" i="79"/>
  <c r="E102" i="8" s="1"/>
  <c r="I1395" i="79"/>
  <c r="I1391" i="79"/>
  <c r="I586" i="79"/>
  <c r="I1634" i="79"/>
  <c r="I607" i="79"/>
  <c r="T1013" i="64"/>
  <c r="T1000" i="64"/>
  <c r="T987" i="64"/>
  <c r="AG814" i="64"/>
  <c r="T1002" i="64"/>
  <c r="T994" i="64"/>
  <c r="T1010" i="64"/>
  <c r="T1014" i="64"/>
  <c r="T1009" i="64"/>
  <c r="F768" i="64"/>
  <c r="G177" i="64"/>
  <c r="G487" i="73"/>
  <c r="G54" i="73"/>
  <c r="G333" i="73"/>
  <c r="G348" i="73" s="1"/>
  <c r="G349" i="73" s="1"/>
  <c r="G462" i="73" s="1"/>
  <c r="F349" i="73"/>
  <c r="AG451" i="79"/>
  <c r="AG246" i="79"/>
  <c r="AG6" i="79"/>
  <c r="AG369" i="79"/>
  <c r="AG205" i="79"/>
  <c r="AG123" i="79"/>
  <c r="AG287" i="79"/>
  <c r="AG328" i="79"/>
  <c r="AG82" i="79"/>
  <c r="AG410" i="79"/>
  <c r="AG492" i="79"/>
  <c r="BI210" i="65"/>
  <c r="U721" i="64" s="1"/>
  <c r="BI204" i="65"/>
  <c r="BI208" i="65"/>
  <c r="U790" i="64" s="1"/>
  <c r="BI214" i="65"/>
  <c r="U725" i="64" s="1"/>
  <c r="BI212" i="65"/>
  <c r="U723" i="64" s="1"/>
  <c r="BI213" i="65"/>
  <c r="U724" i="64" s="1"/>
  <c r="BI207" i="65"/>
  <c r="U718" i="64" s="1"/>
  <c r="BI205" i="65"/>
  <c r="U716" i="64" s="1"/>
  <c r="BI209" i="65"/>
  <c r="BI206" i="65"/>
  <c r="U717" i="64" s="1"/>
  <c r="BI211" i="65"/>
  <c r="U722" i="64" s="1"/>
  <c r="BI203" i="65"/>
  <c r="U785" i="64" s="1"/>
  <c r="BI10" i="65"/>
  <c r="U814" i="64" s="1"/>
  <c r="BI11" i="65"/>
  <c r="U815" i="64" s="1"/>
  <c r="BI219" i="65"/>
  <c r="BI12" i="65"/>
  <c r="H1448" i="64"/>
  <c r="H1444" i="64"/>
  <c r="K820" i="79" s="1"/>
  <c r="H1440" i="64"/>
  <c r="K808" i="79" s="1"/>
  <c r="K809" i="79" s="1"/>
  <c r="H1436" i="64"/>
  <c r="K797" i="79" s="1"/>
  <c r="H1432" i="64"/>
  <c r="K785" i="79" s="1"/>
  <c r="K786" i="79" s="1"/>
  <c r="H1428" i="64"/>
  <c r="H1447" i="64"/>
  <c r="K829" i="79" s="1"/>
  <c r="H1443" i="64"/>
  <c r="K817" i="79" s="1"/>
  <c r="H1439" i="64"/>
  <c r="K805" i="79" s="1"/>
  <c r="H1435" i="64"/>
  <c r="K794" i="79" s="1"/>
  <c r="H1431" i="64"/>
  <c r="K782" i="79" s="1"/>
  <c r="H1427" i="64"/>
  <c r="K770" i="79" s="1"/>
  <c r="H1442" i="64"/>
  <c r="K814" i="79" s="1"/>
  <c r="H1434" i="64"/>
  <c r="K791" i="79" s="1"/>
  <c r="H1441" i="64"/>
  <c r="K811" i="79" s="1"/>
  <c r="H1433" i="64"/>
  <c r="K788" i="79" s="1"/>
  <c r="H1426" i="64"/>
  <c r="K766" i="79" s="1"/>
  <c r="H1424" i="64"/>
  <c r="K758" i="79" s="1"/>
  <c r="H1422" i="64"/>
  <c r="K750" i="79" s="1"/>
  <c r="H1420" i="64"/>
  <c r="K742" i="79" s="1"/>
  <c r="H1416" i="64"/>
  <c r="K726" i="79" s="1"/>
  <c r="H1357" i="64"/>
  <c r="K624" i="79" s="1"/>
  <c r="H1351" i="64"/>
  <c r="K600" i="79" s="1"/>
  <c r="H1348" i="64"/>
  <c r="K592" i="79" s="1"/>
  <c r="H1438" i="64"/>
  <c r="H1430" i="64"/>
  <c r="K779" i="79" s="1"/>
  <c r="H1429" i="64"/>
  <c r="K776" i="79" s="1"/>
  <c r="H1423" i="64"/>
  <c r="K754" i="79" s="1"/>
  <c r="H1390" i="64"/>
  <c r="K2274" i="79" s="1"/>
  <c r="H1445" i="64"/>
  <c r="K823" i="79" s="1"/>
  <c r="H1417" i="64"/>
  <c r="K730" i="79" s="1"/>
  <c r="H1353" i="64"/>
  <c r="K565" i="79" s="1"/>
  <c r="H1446" i="64"/>
  <c r="K826" i="79" s="1"/>
  <c r="H1421" i="64"/>
  <c r="K746" i="79" s="1"/>
  <c r="H1418" i="64"/>
  <c r="K734" i="79" s="1"/>
  <c r="H1359" i="64"/>
  <c r="K573" i="79" s="1"/>
  <c r="H1354" i="64"/>
  <c r="K608" i="79" s="1"/>
  <c r="H1347" i="64"/>
  <c r="K548" i="79" s="1"/>
  <c r="H1437" i="64"/>
  <c r="K800" i="79" s="1"/>
  <c r="K801" i="79" s="1"/>
  <c r="H1425" i="64"/>
  <c r="K762" i="79" s="1"/>
  <c r="H1419" i="64"/>
  <c r="K738" i="79" s="1"/>
  <c r="H1360" i="64"/>
  <c r="K616" i="79" s="1"/>
  <c r="H1356" i="64"/>
  <c r="K581" i="79" s="1"/>
  <c r="H1350" i="64"/>
  <c r="K557" i="79" s="1"/>
  <c r="H11" i="73"/>
  <c r="H68" i="73"/>
  <c r="H90" i="73" s="1"/>
  <c r="H100" i="73" s="1"/>
  <c r="H128" i="73" s="1"/>
  <c r="H156" i="73" s="1"/>
  <c r="H184" i="73" s="1"/>
  <c r="H211" i="73" s="1"/>
  <c r="H238" i="73" s="1"/>
  <c r="H264" i="73" s="1"/>
  <c r="H286" i="73" s="1"/>
  <c r="H309" i="73" s="1"/>
  <c r="H331" i="73" s="1"/>
  <c r="H8" i="85" s="1"/>
  <c r="H7" i="73"/>
  <c r="J735" i="79"/>
  <c r="J736" i="79"/>
  <c r="J552" i="79"/>
  <c r="J551" i="79"/>
  <c r="J553" i="79"/>
  <c r="J556" i="79"/>
  <c r="J744" i="79"/>
  <c r="J743" i="79"/>
  <c r="J599" i="79"/>
  <c r="J594" i="79"/>
  <c r="J595" i="79"/>
  <c r="J596" i="79"/>
  <c r="J759" i="79"/>
  <c r="J760" i="79"/>
  <c r="BH224" i="65"/>
  <c r="BH222" i="65"/>
  <c r="BH225" i="65"/>
  <c r="BH229" i="65"/>
  <c r="BH221" i="65"/>
  <c r="BH231" i="65"/>
  <c r="BH228" i="65"/>
  <c r="BH220" i="65"/>
  <c r="BH227" i="65"/>
  <c r="BH226" i="65"/>
  <c r="BH230" i="65"/>
  <c r="BH223" i="65"/>
  <c r="I1400" i="79"/>
  <c r="I597" i="79"/>
  <c r="I1632" i="79"/>
  <c r="AF164" i="79"/>
  <c r="P417" i="40" s="1"/>
  <c r="AQ1994" i="79"/>
  <c r="L1994" i="79"/>
  <c r="R1959" i="79"/>
  <c r="AP2066" i="79"/>
  <c r="AG1994" i="79"/>
  <c r="AN2030" i="79"/>
  <c r="AR447" i="79"/>
  <c r="D1434" i="79" s="1"/>
  <c r="I1434" i="79" s="1"/>
  <c r="D1045" i="64"/>
  <c r="D1116" i="64" s="1"/>
  <c r="H746" i="64"/>
  <c r="AI1959" i="79"/>
  <c r="AR324" i="79"/>
  <c r="D1431" i="79" s="1"/>
  <c r="I1431" i="79" s="1"/>
  <c r="G784" i="64"/>
  <c r="K1994" i="79"/>
  <c r="N2030" i="79"/>
  <c r="AL1994" i="79"/>
  <c r="AP2030" i="79"/>
  <c r="AF1994" i="79"/>
  <c r="AO2066" i="79"/>
  <c r="AP1851" i="79"/>
  <c r="BS25" i="65"/>
  <c r="BV24" i="65"/>
  <c r="BU24" i="65"/>
  <c r="BW24" i="65"/>
  <c r="S747" i="64"/>
  <c r="S676" i="64"/>
  <c r="AG796" i="64"/>
  <c r="R2066" i="79"/>
  <c r="M1994" i="79"/>
  <c r="AM1887" i="79"/>
  <c r="AK1994" i="79"/>
  <c r="AK2030" i="79"/>
  <c r="F237" i="74"/>
  <c r="G797" i="64"/>
  <c r="F240" i="74"/>
  <c r="BE16" i="65"/>
  <c r="BG15" i="65"/>
  <c r="BI15" i="65"/>
  <c r="U819" i="64" s="1"/>
  <c r="BH15" i="65"/>
  <c r="Q2030" i="79"/>
  <c r="AM2066" i="79"/>
  <c r="T1923" i="79"/>
  <c r="AQ1815" i="79"/>
  <c r="AH2066" i="79"/>
  <c r="F236" i="74"/>
  <c r="CG25" i="65"/>
  <c r="CJ24" i="65"/>
  <c r="CK24" i="65"/>
  <c r="CL24" i="65"/>
  <c r="CI24" i="65"/>
  <c r="AS716" i="64"/>
  <c r="AF716" i="64"/>
  <c r="AD428" i="40"/>
  <c r="AC388" i="40"/>
  <c r="C454" i="40" s="1"/>
  <c r="AC383" i="40"/>
  <c r="C449" i="40" s="1"/>
  <c r="AD429" i="40"/>
  <c r="AC426" i="40"/>
  <c r="C492" i="40" s="1"/>
  <c r="G358" i="40"/>
  <c r="T795" i="64"/>
  <c r="S795" i="64"/>
  <c r="O848" i="64"/>
  <c r="M848" i="64"/>
  <c r="J848" i="64"/>
  <c r="H848" i="64"/>
  <c r="K848" i="64"/>
  <c r="I848" i="64"/>
  <c r="N848" i="64"/>
  <c r="G848" i="64"/>
  <c r="L848" i="64"/>
  <c r="F848" i="64"/>
  <c r="Q1017" i="64"/>
  <c r="Q848" i="64"/>
  <c r="C848" i="64"/>
  <c r="P848" i="64"/>
  <c r="Q867" i="64"/>
  <c r="K867" i="64"/>
  <c r="L867" i="64"/>
  <c r="H867" i="64"/>
  <c r="M867" i="64"/>
  <c r="G867" i="64"/>
  <c r="C867" i="64"/>
  <c r="I867" i="64"/>
  <c r="N867" i="64"/>
  <c r="J867" i="64"/>
  <c r="Q1036" i="64"/>
  <c r="O867" i="64"/>
  <c r="F867" i="64"/>
  <c r="P867" i="64"/>
  <c r="F865" i="64"/>
  <c r="C865" i="64"/>
  <c r="G865" i="64"/>
  <c r="H865" i="64"/>
  <c r="I865" i="64"/>
  <c r="Q1034" i="64"/>
  <c r="E229" i="74"/>
  <c r="AS793" i="64"/>
  <c r="AF793" i="64"/>
  <c r="G206" i="64"/>
  <c r="G265" i="64"/>
  <c r="AS715" i="64"/>
  <c r="AF715" i="64"/>
  <c r="S816" i="64"/>
  <c r="T816" i="64"/>
  <c r="AF1012" i="64"/>
  <c r="R1012" i="64"/>
  <c r="S1012" i="64"/>
  <c r="F233" i="74"/>
  <c r="G360" i="40"/>
  <c r="G570" i="64"/>
  <c r="K1959" i="79"/>
  <c r="P1959" i="79"/>
  <c r="AP1959" i="79"/>
  <c r="K2030" i="79"/>
  <c r="AQ2030" i="79"/>
  <c r="T2030" i="79"/>
  <c r="AS714" i="64"/>
  <c r="AF714" i="64"/>
  <c r="S737" i="64"/>
  <c r="G261" i="64"/>
  <c r="G202" i="64"/>
  <c r="AD384" i="40"/>
  <c r="AC427" i="40"/>
  <c r="C493" i="40" s="1"/>
  <c r="AD385" i="40"/>
  <c r="AC428" i="40"/>
  <c r="C494" i="40" s="1"/>
  <c r="G859" i="64"/>
  <c r="I859" i="64"/>
  <c r="F859" i="64"/>
  <c r="C859" i="64"/>
  <c r="Q1028" i="64"/>
  <c r="H859" i="64"/>
  <c r="Q866" i="64"/>
  <c r="H866" i="64"/>
  <c r="C866" i="64"/>
  <c r="G866" i="64"/>
  <c r="P866" i="64"/>
  <c r="L866" i="64"/>
  <c r="O866" i="64"/>
  <c r="M866" i="64"/>
  <c r="N866" i="64"/>
  <c r="Q1035" i="64"/>
  <c r="K866" i="64"/>
  <c r="I866" i="64"/>
  <c r="F866" i="64"/>
  <c r="J866" i="64"/>
  <c r="R1007" i="64"/>
  <c r="W1007" i="64"/>
  <c r="S1007" i="64"/>
  <c r="AF1007" i="64"/>
  <c r="AB1007" i="64"/>
  <c r="AC1007" i="64"/>
  <c r="Y1007" i="64"/>
  <c r="Z1007" i="64"/>
  <c r="X1007" i="64"/>
  <c r="U1007" i="64"/>
  <c r="V1007" i="64"/>
  <c r="T1007" i="64"/>
  <c r="AA1007" i="64"/>
  <c r="G203" i="64"/>
  <c r="G262" i="64"/>
  <c r="H857" i="64"/>
  <c r="C857" i="64"/>
  <c r="Q1026" i="64"/>
  <c r="G857" i="64"/>
  <c r="I857" i="64"/>
  <c r="F857" i="64"/>
  <c r="K860" i="64"/>
  <c r="I860" i="64"/>
  <c r="P860" i="64"/>
  <c r="G860" i="64"/>
  <c r="L860" i="64"/>
  <c r="H860" i="64"/>
  <c r="Q1029" i="64"/>
  <c r="Q860" i="64"/>
  <c r="C860" i="64"/>
  <c r="N860" i="64"/>
  <c r="O860" i="64"/>
  <c r="M860" i="64"/>
  <c r="J860" i="64"/>
  <c r="F860" i="64"/>
  <c r="H864" i="64"/>
  <c r="C864" i="64"/>
  <c r="G864" i="64"/>
  <c r="I864" i="64"/>
  <c r="F864" i="64"/>
  <c r="Q1033" i="64"/>
  <c r="T1033" i="64" s="1"/>
  <c r="C46" i="25"/>
  <c r="R1004" i="64"/>
  <c r="S1004" i="64"/>
  <c r="AF1004" i="64"/>
  <c r="G201" i="64"/>
  <c r="G260" i="64"/>
  <c r="S790" i="64"/>
  <c r="T790" i="64"/>
  <c r="G863" i="64"/>
  <c r="H863" i="64"/>
  <c r="F863" i="64"/>
  <c r="I863" i="64"/>
  <c r="Q1032" i="64"/>
  <c r="T1032" i="64" s="1"/>
  <c r="C863" i="64"/>
  <c r="F791" i="64"/>
  <c r="H858" i="64"/>
  <c r="C858" i="64"/>
  <c r="G858" i="64"/>
  <c r="I858" i="64"/>
  <c r="F858" i="64"/>
  <c r="Q1027" i="64"/>
  <c r="G316" i="40"/>
  <c r="F229" i="74"/>
  <c r="G259" i="64"/>
  <c r="G200" i="64"/>
  <c r="AC429" i="40"/>
  <c r="C495" i="40" s="1"/>
  <c r="AD388" i="40"/>
  <c r="AD383" i="40"/>
  <c r="AF722" i="64"/>
  <c r="AS722" i="64"/>
  <c r="AS794" i="64"/>
  <c r="AF794" i="64"/>
  <c r="R1023" i="64"/>
  <c r="X1023" i="64"/>
  <c r="W1023" i="64"/>
  <c r="AF1023" i="64"/>
  <c r="AA1023" i="64"/>
  <c r="S1023" i="64"/>
  <c r="T1023" i="64"/>
  <c r="Z1023" i="64"/>
  <c r="U1023" i="64"/>
  <c r="AB1023" i="64"/>
  <c r="V1023" i="64"/>
  <c r="AC1023" i="64"/>
  <c r="Y1023" i="64"/>
  <c r="R1003" i="64"/>
  <c r="S1003" i="64"/>
  <c r="AF1003" i="64"/>
  <c r="AS717" i="64"/>
  <c r="AF717" i="64"/>
  <c r="F234" i="74"/>
  <c r="E242" i="74"/>
  <c r="F242" i="74" s="1"/>
  <c r="E241" i="74"/>
  <c r="Q1022" i="64"/>
  <c r="J853" i="64"/>
  <c r="K241" i="64" s="1"/>
  <c r="F853" i="64"/>
  <c r="G241" i="64" s="1"/>
  <c r="Q853" i="64"/>
  <c r="R241" i="64" s="1"/>
  <c r="O853" i="64"/>
  <c r="P241" i="64" s="1"/>
  <c r="P853" i="64"/>
  <c r="Q241" i="64" s="1"/>
  <c r="L853" i="64"/>
  <c r="M241" i="64" s="1"/>
  <c r="M853" i="64"/>
  <c r="N241" i="64" s="1"/>
  <c r="K853" i="64"/>
  <c r="L241" i="64" s="1"/>
  <c r="H853" i="64"/>
  <c r="I241" i="64" s="1"/>
  <c r="C853" i="64"/>
  <c r="I853" i="64"/>
  <c r="J241" i="64" s="1"/>
  <c r="G853" i="64"/>
  <c r="H241" i="64" s="1"/>
  <c r="N853" i="64"/>
  <c r="O241" i="64" s="1"/>
  <c r="F784" i="64"/>
  <c r="I861" i="64"/>
  <c r="C861" i="64"/>
  <c r="P861" i="64"/>
  <c r="Q1030" i="64"/>
  <c r="K861" i="64"/>
  <c r="H861" i="64"/>
  <c r="Q861" i="64"/>
  <c r="G861" i="64"/>
  <c r="L861" i="64"/>
  <c r="F861" i="64"/>
  <c r="M861" i="64"/>
  <c r="N861" i="64"/>
  <c r="O861" i="64"/>
  <c r="J861" i="64"/>
  <c r="T792" i="64"/>
  <c r="S792" i="64"/>
  <c r="AS785" i="64"/>
  <c r="AF785" i="64"/>
  <c r="T787" i="64"/>
  <c r="S787" i="64"/>
  <c r="G320" i="40"/>
  <c r="H388" i="64"/>
  <c r="AD426" i="40"/>
  <c r="AC385" i="40"/>
  <c r="C451" i="40" s="1"/>
  <c r="AD427" i="40"/>
  <c r="T788" i="64"/>
  <c r="S788" i="64"/>
  <c r="G361" i="40"/>
  <c r="G315" i="40"/>
  <c r="G207" i="64"/>
  <c r="G266" i="64"/>
  <c r="R1020" i="64"/>
  <c r="AF1020" i="64"/>
  <c r="S1020" i="64"/>
  <c r="I2272" i="79"/>
  <c r="T786" i="64"/>
  <c r="S786" i="64"/>
  <c r="G359" i="40"/>
  <c r="G317" i="40"/>
  <c r="T789" i="64"/>
  <c r="S789" i="64"/>
  <c r="D46" i="25"/>
  <c r="AF721" i="64"/>
  <c r="AS721" i="64"/>
  <c r="E579" i="74"/>
  <c r="F561" i="74"/>
  <c r="E244" i="74"/>
  <c r="F244" i="74" s="1"/>
  <c r="Q1021" i="64"/>
  <c r="Q852" i="64"/>
  <c r="C852" i="64"/>
  <c r="N852" i="64"/>
  <c r="O852" i="64"/>
  <c r="M852" i="64"/>
  <c r="J852" i="64"/>
  <c r="F852" i="64"/>
  <c r="K852" i="64"/>
  <c r="I852" i="64"/>
  <c r="P852" i="64"/>
  <c r="G852" i="64"/>
  <c r="L852" i="64"/>
  <c r="H852" i="64"/>
  <c r="AF1006" i="64"/>
  <c r="R1006" i="64"/>
  <c r="S985" i="64"/>
  <c r="AF985" i="64"/>
  <c r="R985" i="64"/>
  <c r="F797" i="64"/>
  <c r="G856" i="64"/>
  <c r="C856" i="64"/>
  <c r="H856" i="64"/>
  <c r="Q1025" i="64"/>
  <c r="I856" i="64"/>
  <c r="F856" i="64"/>
  <c r="AO1959" i="79"/>
  <c r="AJ1851" i="79"/>
  <c r="Q1887" i="79"/>
  <c r="AK1851" i="79"/>
  <c r="L1851" i="79"/>
  <c r="AJ1923" i="79"/>
  <c r="S2066" i="79"/>
  <c r="AF2066" i="79"/>
  <c r="S1887" i="79"/>
  <c r="J1923" i="79"/>
  <c r="J1851" i="79"/>
  <c r="L1923" i="79"/>
  <c r="AL1923" i="79"/>
  <c r="K1851" i="79"/>
  <c r="I1923" i="79"/>
  <c r="AM1923" i="79"/>
  <c r="T1959" i="79"/>
  <c r="M1959" i="79"/>
  <c r="AQ1959" i="79"/>
  <c r="J2030" i="79"/>
  <c r="O1959" i="79"/>
  <c r="J1994" i="79"/>
  <c r="AJ1994" i="79"/>
  <c r="I2066" i="79"/>
  <c r="P2030" i="79"/>
  <c r="J2066" i="79"/>
  <c r="O2066" i="79"/>
  <c r="L2066" i="79"/>
  <c r="AL2066" i="79"/>
  <c r="AN1851" i="79"/>
  <c r="AI1887" i="79"/>
  <c r="AI1815" i="79"/>
  <c r="AG2030" i="79"/>
  <c r="AF1815" i="79"/>
  <c r="M1851" i="79"/>
  <c r="AQ1851" i="79"/>
  <c r="AH1887" i="79"/>
  <c r="O1923" i="79"/>
  <c r="AO1923" i="79"/>
  <c r="N1851" i="79"/>
  <c r="P1923" i="79"/>
  <c r="AP1923" i="79"/>
  <c r="AH1815" i="79"/>
  <c r="P1994" i="79"/>
  <c r="AF2030" i="79"/>
  <c r="Q1959" i="79"/>
  <c r="AF1959" i="79"/>
  <c r="R2030" i="79"/>
  <c r="S1959" i="79"/>
  <c r="I1994" i="79"/>
  <c r="AO1994" i="79"/>
  <c r="N1994" i="79"/>
  <c r="AN1994" i="79"/>
  <c r="AI2066" i="79"/>
  <c r="N2066" i="79"/>
  <c r="AQ2066" i="79"/>
  <c r="R1851" i="79"/>
  <c r="I1887" i="79"/>
  <c r="S1994" i="79"/>
  <c r="AI2030" i="79"/>
  <c r="AH1959" i="79"/>
  <c r="S2030" i="79"/>
  <c r="P2066" i="79"/>
  <c r="Q2066" i="79"/>
  <c r="AN2066" i="79"/>
  <c r="AM1815" i="79"/>
  <c r="T1851" i="79"/>
  <c r="K1887" i="79"/>
  <c r="AK1887" i="79"/>
  <c r="R1923" i="79"/>
  <c r="AJ1815" i="79"/>
  <c r="Q1851" i="79"/>
  <c r="L1887" i="79"/>
  <c r="AL1887" i="79"/>
  <c r="S1923" i="79"/>
  <c r="AK1815" i="79"/>
  <c r="AL1815" i="79"/>
  <c r="S1851" i="79"/>
  <c r="J1887" i="79"/>
  <c r="AJ1887" i="79"/>
  <c r="Q1923" i="79"/>
  <c r="L1959" i="79"/>
  <c r="AL1959" i="79"/>
  <c r="Q1994" i="79"/>
  <c r="I2030" i="79"/>
  <c r="J1959" i="79"/>
  <c r="AJ1959" i="79"/>
  <c r="AH1994" i="79"/>
  <c r="AJ2030" i="79"/>
  <c r="AG1959" i="79"/>
  <c r="O1994" i="79"/>
  <c r="M2030" i="79"/>
  <c r="R1994" i="79"/>
  <c r="AH2030" i="79"/>
  <c r="AJ2066" i="79"/>
  <c r="AG2066" i="79"/>
  <c r="T2066" i="79"/>
  <c r="AP1815" i="79"/>
  <c r="AI1994" i="79"/>
  <c r="T1994" i="79"/>
  <c r="AH1851" i="79"/>
  <c r="O1887" i="79"/>
  <c r="AO1887" i="79"/>
  <c r="AF1923" i="79"/>
  <c r="AN1815" i="79"/>
  <c r="AI1851" i="79"/>
  <c r="P1887" i="79"/>
  <c r="AP1887" i="79"/>
  <c r="AG1923" i="79"/>
  <c r="AO1815" i="79"/>
  <c r="AF1851" i="79"/>
  <c r="M1887" i="79"/>
  <c r="AQ1887" i="79"/>
  <c r="AH1923" i="79"/>
  <c r="AG1851" i="79"/>
  <c r="N1887" i="79"/>
  <c r="AN1887" i="79"/>
  <c r="AI1923" i="79"/>
  <c r="AP1994" i="79"/>
  <c r="I1959" i="79"/>
  <c r="AM1959" i="79"/>
  <c r="N1959" i="79"/>
  <c r="AN1959" i="79"/>
  <c r="AM1994" i="79"/>
  <c r="AK1959" i="79"/>
  <c r="AM2030" i="79"/>
  <c r="O2030" i="79"/>
  <c r="AO2030" i="79"/>
  <c r="L2030" i="79"/>
  <c r="AL2030" i="79"/>
  <c r="M2066" i="79"/>
  <c r="K2066" i="79"/>
  <c r="AK2066" i="79"/>
  <c r="A852" i="79"/>
  <c r="A902" i="79"/>
  <c r="A925" i="79" s="1"/>
  <c r="A948" i="79" s="1"/>
  <c r="A971" i="79" s="1"/>
  <c r="A994" i="79" s="1"/>
  <c r="A1017" i="79" s="1"/>
  <c r="A1040" i="79" s="1"/>
  <c r="A1063" i="79" s="1"/>
  <c r="A1086" i="79" s="1"/>
  <c r="A1109" i="79" s="1"/>
  <c r="A1132" i="79" s="1"/>
  <c r="A572" i="77"/>
  <c r="A29" i="77"/>
  <c r="F118" i="73"/>
  <c r="G101" i="73"/>
  <c r="G117" i="73" s="1"/>
  <c r="G118" i="73" s="1"/>
  <c r="CA1191" i="64"/>
  <c r="DB1118" i="64"/>
  <c r="DE1118" i="64" s="1"/>
  <c r="CQ1191" i="64" s="1"/>
  <c r="I359" i="64"/>
  <c r="K271" i="73"/>
  <c r="N277" i="73"/>
  <c r="N278" i="73" s="1"/>
  <c r="M277" i="73"/>
  <c r="M278" i="73" s="1"/>
  <c r="J271" i="73"/>
  <c r="P277" i="73"/>
  <c r="P278" i="73" s="1"/>
  <c r="M271" i="73"/>
  <c r="C1265" i="64"/>
  <c r="P1265" i="64" s="1"/>
  <c r="M1265" i="64"/>
  <c r="Z1265" i="64" s="1"/>
  <c r="I1265" i="64"/>
  <c r="V1265" i="64" s="1"/>
  <c r="N1265" i="64"/>
  <c r="AA1265" i="64" s="1"/>
  <c r="E1265" i="64"/>
  <c r="R1265" i="64" s="1"/>
  <c r="DB1265" i="64"/>
  <c r="K1265" i="64"/>
  <c r="X1265" i="64" s="1"/>
  <c r="J1265" i="64"/>
  <c r="W1265" i="64" s="1"/>
  <c r="L1265" i="64"/>
  <c r="Y1265" i="64" s="1"/>
  <c r="H1265" i="64"/>
  <c r="U1265" i="64" s="1"/>
  <c r="G1265" i="64"/>
  <c r="T1265" i="64" s="1"/>
  <c r="F1265" i="64"/>
  <c r="S1265" i="64" s="1"/>
  <c r="D1265" i="64"/>
  <c r="Q1265" i="64" s="1"/>
  <c r="I271" i="73"/>
  <c r="L277" i="73"/>
  <c r="L278" i="73" s="1"/>
  <c r="K277" i="73"/>
  <c r="K278" i="73" s="1"/>
  <c r="H271" i="73"/>
  <c r="H279" i="73" s="1"/>
  <c r="Q277" i="73"/>
  <c r="Q278" i="73" s="1"/>
  <c r="N271" i="73"/>
  <c r="G287" i="73"/>
  <c r="G302" i="73" s="1"/>
  <c r="F303" i="73"/>
  <c r="U365" i="79"/>
  <c r="D1420" i="79" s="1"/>
  <c r="I1420" i="79" s="1"/>
  <c r="T988" i="64"/>
  <c r="H778" i="64"/>
  <c r="T1026" i="64"/>
  <c r="H753" i="64"/>
  <c r="G32" i="71" s="1"/>
  <c r="L271" i="73"/>
  <c r="O277" i="73"/>
  <c r="R270" i="73"/>
  <c r="F204" i="85"/>
  <c r="F202" i="85"/>
  <c r="H35" i="85"/>
  <c r="G52" i="85"/>
  <c r="H78" i="85"/>
  <c r="H345" i="73"/>
  <c r="H201" i="73"/>
  <c r="H254" i="73"/>
  <c r="H173" i="73"/>
  <c r="H147" i="73"/>
  <c r="H145" i="73"/>
  <c r="H86" i="73"/>
  <c r="H453" i="73" s="1"/>
  <c r="H455" i="73" s="1"/>
  <c r="I69" i="73"/>
  <c r="I85" i="73" s="1"/>
  <c r="E60" i="8"/>
  <c r="E69" i="8" s="1"/>
  <c r="E67" i="8" s="1"/>
  <c r="D21" i="10" s="1"/>
  <c r="O378" i="73"/>
  <c r="N378" i="73"/>
  <c r="H946" i="64"/>
  <c r="J458" i="64"/>
  <c r="I955" i="64"/>
  <c r="K467" i="64"/>
  <c r="L75" i="64"/>
  <c r="H960" i="64"/>
  <c r="K80" i="64"/>
  <c r="J472" i="64"/>
  <c r="K427" i="64"/>
  <c r="I915" i="64"/>
  <c r="J461" i="64"/>
  <c r="H949" i="64"/>
  <c r="H958" i="64"/>
  <c r="J470" i="64"/>
  <c r="K78" i="64"/>
  <c r="I931" i="64"/>
  <c r="K443" i="64"/>
  <c r="H942" i="64"/>
  <c r="J454" i="64"/>
  <c r="H970" i="64"/>
  <c r="J482" i="64"/>
  <c r="K90" i="64"/>
  <c r="J445" i="64"/>
  <c r="H933" i="64"/>
  <c r="J453" i="64"/>
  <c r="H941" i="64"/>
  <c r="H950" i="64"/>
  <c r="J462" i="64"/>
  <c r="K70" i="64"/>
  <c r="I963" i="64"/>
  <c r="K475" i="64"/>
  <c r="L83" i="64"/>
  <c r="J457" i="64"/>
  <c r="H945" i="64"/>
  <c r="J473" i="64"/>
  <c r="H961" i="64"/>
  <c r="K81" i="64"/>
  <c r="I967" i="64"/>
  <c r="L87" i="64"/>
  <c r="K479" i="64"/>
  <c r="I977" i="64"/>
  <c r="L97" i="64"/>
  <c r="K489" i="64"/>
  <c r="H920" i="64"/>
  <c r="J432" i="64"/>
  <c r="H916" i="64"/>
  <c r="J428" i="64"/>
  <c r="I978" i="64"/>
  <c r="K490" i="64"/>
  <c r="L98" i="64"/>
  <c r="H972" i="64"/>
  <c r="K92" i="64"/>
  <c r="J484" i="64"/>
  <c r="I919" i="64"/>
  <c r="K431" i="64"/>
  <c r="H964" i="64"/>
  <c r="J476" i="64"/>
  <c r="K84" i="64"/>
  <c r="I951" i="64"/>
  <c r="L71" i="64"/>
  <c r="K463" i="64"/>
  <c r="H966" i="64"/>
  <c r="J478" i="64"/>
  <c r="K86" i="64"/>
  <c r="H968" i="64"/>
  <c r="J480" i="64"/>
  <c r="K88" i="64"/>
  <c r="H976" i="64"/>
  <c r="K96" i="64"/>
  <c r="J488" i="64"/>
  <c r="I974" i="64"/>
  <c r="L94" i="64"/>
  <c r="K486" i="64"/>
  <c r="I927" i="64"/>
  <c r="K439" i="64"/>
  <c r="I943" i="64"/>
  <c r="K455" i="64"/>
  <c r="H956" i="64"/>
  <c r="K76" i="64"/>
  <c r="J468" i="64"/>
  <c r="J426" i="64"/>
  <c r="H914" i="64"/>
  <c r="J441" i="64"/>
  <c r="H929" i="64"/>
  <c r="H922" i="64"/>
  <c r="J434" i="64"/>
  <c r="I947" i="64"/>
  <c r="K459" i="64"/>
  <c r="I971" i="64"/>
  <c r="K483" i="64"/>
  <c r="L91" i="64"/>
  <c r="H936" i="64"/>
  <c r="J448" i="64"/>
  <c r="H930" i="64"/>
  <c r="J442" i="64"/>
  <c r="J449" i="64"/>
  <c r="H937" i="64"/>
  <c r="K435" i="64"/>
  <c r="I923" i="64"/>
  <c r="K451" i="64"/>
  <c r="I939" i="64"/>
  <c r="H952" i="64"/>
  <c r="K72" i="64"/>
  <c r="J464" i="64"/>
  <c r="H948" i="64"/>
  <c r="J460" i="64"/>
  <c r="I935" i="64"/>
  <c r="K447" i="64"/>
  <c r="I959" i="64"/>
  <c r="K471" i="64"/>
  <c r="L79" i="64"/>
  <c r="H932" i="64"/>
  <c r="J444" i="64"/>
  <c r="J481" i="64"/>
  <c r="H969" i="64"/>
  <c r="K89" i="64"/>
  <c r="I973" i="64"/>
  <c r="L93" i="64"/>
  <c r="K485" i="64"/>
  <c r="J433" i="64"/>
  <c r="H921" i="64"/>
  <c r="H926" i="64"/>
  <c r="J438" i="64"/>
  <c r="H954" i="64"/>
  <c r="J466" i="64"/>
  <c r="K74" i="64"/>
  <c r="H944" i="64"/>
  <c r="J456" i="64"/>
  <c r="H940" i="64"/>
  <c r="J452" i="64"/>
  <c r="J487" i="64"/>
  <c r="H975" i="64"/>
  <c r="K95" i="64"/>
  <c r="H928" i="64"/>
  <c r="J440" i="64"/>
  <c r="J437" i="64"/>
  <c r="H925" i="64"/>
  <c r="H934" i="64"/>
  <c r="J446" i="64"/>
  <c r="H962" i="64"/>
  <c r="J474" i="64"/>
  <c r="K82" i="64"/>
  <c r="J465" i="64"/>
  <c r="H953" i="64"/>
  <c r="K73" i="64"/>
  <c r="J477" i="64"/>
  <c r="H965" i="64"/>
  <c r="K85" i="64"/>
  <c r="H938" i="64"/>
  <c r="J450" i="64"/>
  <c r="H924" i="64"/>
  <c r="J436" i="64"/>
  <c r="J429" i="64"/>
  <c r="H917" i="64"/>
  <c r="J469" i="64"/>
  <c r="H957" i="64"/>
  <c r="K77" i="64"/>
  <c r="H918" i="64"/>
  <c r="J430" i="64"/>
  <c r="U488" i="79"/>
  <c r="C2791" i="79" s="1"/>
  <c r="H900" i="64"/>
  <c r="J412" i="64"/>
  <c r="J413" i="64"/>
  <c r="H901" i="64"/>
  <c r="AT719" i="64"/>
  <c r="AG719" i="64"/>
  <c r="AT722" i="64"/>
  <c r="AG722" i="64"/>
  <c r="G682" i="64"/>
  <c r="AT716" i="64"/>
  <c r="AG716" i="64"/>
  <c r="AT673" i="64"/>
  <c r="AG673" i="64"/>
  <c r="H890" i="64"/>
  <c r="J402" i="64"/>
  <c r="H912" i="64"/>
  <c r="J424" i="64"/>
  <c r="H896" i="64"/>
  <c r="J408" i="64"/>
  <c r="H907" i="64"/>
  <c r="I792" i="64"/>
  <c r="I779" i="64"/>
  <c r="I771" i="64"/>
  <c r="I769" i="64"/>
  <c r="I754" i="64"/>
  <c r="I785" i="64"/>
  <c r="I775" i="64"/>
  <c r="I770" i="64"/>
  <c r="I765" i="64"/>
  <c r="I759" i="64"/>
  <c r="I750" i="64"/>
  <c r="I787" i="64"/>
  <c r="I756" i="64"/>
  <c r="I561" i="64"/>
  <c r="I554" i="64"/>
  <c r="I562" i="64"/>
  <c r="I560" i="64"/>
  <c r="I553" i="64"/>
  <c r="I552" i="64"/>
  <c r="I551" i="64"/>
  <c r="I545" i="64"/>
  <c r="I544" i="64"/>
  <c r="I543" i="64"/>
  <c r="I542" i="64"/>
  <c r="I541" i="64"/>
  <c r="I540" i="64"/>
  <c r="I539" i="64"/>
  <c r="I538" i="64"/>
  <c r="I537" i="64"/>
  <c r="I747" i="64"/>
  <c r="J419" i="64"/>
  <c r="I755" i="64"/>
  <c r="I757" i="64"/>
  <c r="I773" i="64"/>
  <c r="I743" i="64"/>
  <c r="I748" i="64"/>
  <c r="I758" i="64"/>
  <c r="I774" i="64"/>
  <c r="I744" i="64"/>
  <c r="I761" i="64"/>
  <c r="I786" i="64"/>
  <c r="I762" i="64"/>
  <c r="I760" i="64"/>
  <c r="I745" i="64"/>
  <c r="I763" i="64"/>
  <c r="I764" i="64"/>
  <c r="I772" i="64"/>
  <c r="I793" i="64"/>
  <c r="I749" i="64"/>
  <c r="I788" i="64"/>
  <c r="I766" i="64"/>
  <c r="I780" i="64"/>
  <c r="H891" i="64"/>
  <c r="J403" i="64"/>
  <c r="D1043" i="64"/>
  <c r="D1114" i="64" s="1"/>
  <c r="I332" i="64"/>
  <c r="I369" i="64"/>
  <c r="H898" i="64"/>
  <c r="J410" i="64"/>
  <c r="H904" i="64"/>
  <c r="J416" i="64"/>
  <c r="H905" i="64"/>
  <c r="J417" i="64"/>
  <c r="AT718" i="64"/>
  <c r="AG718" i="64"/>
  <c r="AT715" i="64"/>
  <c r="AG715" i="64"/>
  <c r="H262" i="64"/>
  <c r="H203" i="64"/>
  <c r="G675" i="64"/>
  <c r="AT744" i="64"/>
  <c r="AG744" i="64"/>
  <c r="AT717" i="64"/>
  <c r="AG717" i="64"/>
  <c r="AT747" i="64"/>
  <c r="AG747" i="64"/>
  <c r="AT817" i="64"/>
  <c r="AG817" i="64"/>
  <c r="AG714" i="64"/>
  <c r="AT714" i="64"/>
  <c r="T737" i="64"/>
  <c r="H186" i="64"/>
  <c r="G707" i="64"/>
  <c r="H266" i="64"/>
  <c r="H207" i="64"/>
  <c r="H906" i="64"/>
  <c r="J418" i="64"/>
  <c r="H913" i="64"/>
  <c r="J425" i="64"/>
  <c r="H897" i="64"/>
  <c r="J409" i="64"/>
  <c r="D1040" i="64"/>
  <c r="D1111" i="64" s="1"/>
  <c r="G611" i="64"/>
  <c r="H684" i="64"/>
  <c r="I173" i="64" s="1"/>
  <c r="H686" i="64"/>
  <c r="I175" i="64" s="1"/>
  <c r="H688" i="64"/>
  <c r="I177" i="64" s="1"/>
  <c r="H690" i="64"/>
  <c r="I179" i="64" s="1"/>
  <c r="H692" i="64"/>
  <c r="I181" i="64" s="1"/>
  <c r="H694" i="64"/>
  <c r="I183" i="64" s="1"/>
  <c r="U817" i="64"/>
  <c r="U674" i="64"/>
  <c r="H699" i="64"/>
  <c r="I187" i="64" s="1"/>
  <c r="H701" i="64"/>
  <c r="I189" i="64" s="1"/>
  <c r="H703" i="64"/>
  <c r="I191" i="64" s="1"/>
  <c r="U715" i="64"/>
  <c r="H672" i="64"/>
  <c r="C31" i="71" s="1"/>
  <c r="H674" i="64"/>
  <c r="H677" i="64"/>
  <c r="H679" i="64"/>
  <c r="H715" i="64"/>
  <c r="H717" i="64"/>
  <c r="U868" i="64"/>
  <c r="U676" i="64"/>
  <c r="H708" i="64"/>
  <c r="H673" i="64"/>
  <c r="H676" i="64"/>
  <c r="H678" i="64"/>
  <c r="H689" i="64"/>
  <c r="I178" i="64" s="1"/>
  <c r="H700" i="64"/>
  <c r="I188" i="64" s="1"/>
  <c r="H704" i="64"/>
  <c r="I192" i="64" s="1"/>
  <c r="U747" i="64"/>
  <c r="H683" i="64"/>
  <c r="H691" i="64"/>
  <c r="I180" i="64" s="1"/>
  <c r="H714" i="64"/>
  <c r="H716" i="64"/>
  <c r="H722" i="64"/>
  <c r="H685" i="64"/>
  <c r="I174" i="64" s="1"/>
  <c r="H693" i="64"/>
  <c r="I182" i="64" s="1"/>
  <c r="H695" i="64"/>
  <c r="I184" i="64" s="1"/>
  <c r="H698" i="64"/>
  <c r="H702" i="64"/>
  <c r="I190" i="64" s="1"/>
  <c r="H709" i="64"/>
  <c r="I196" i="64" s="1"/>
  <c r="U746" i="64"/>
  <c r="H687" i="64"/>
  <c r="I176" i="64" s="1"/>
  <c r="H721" i="64"/>
  <c r="U745" i="64"/>
  <c r="U816" i="64"/>
  <c r="U788" i="64"/>
  <c r="U786" i="64"/>
  <c r="I339" i="64"/>
  <c r="I346" i="64"/>
  <c r="H895" i="64"/>
  <c r="J407" i="64"/>
  <c r="D12" i="71"/>
  <c r="H902" i="64"/>
  <c r="J414" i="64"/>
  <c r="G713" i="64"/>
  <c r="H195" i="64"/>
  <c r="AT674" i="64"/>
  <c r="AG674" i="64"/>
  <c r="AT745" i="64"/>
  <c r="AG745" i="64"/>
  <c r="AT725" i="64"/>
  <c r="AG725" i="64"/>
  <c r="AT672" i="64"/>
  <c r="AG672" i="64"/>
  <c r="AT724" i="64"/>
  <c r="AG724" i="64"/>
  <c r="H265" i="64"/>
  <c r="G726" i="64"/>
  <c r="H206" i="64"/>
  <c r="G697" i="64"/>
  <c r="H172" i="64"/>
  <c r="AG721" i="64"/>
  <c r="AT721" i="64"/>
  <c r="H908" i="64"/>
  <c r="J420" i="64"/>
  <c r="H892" i="64"/>
  <c r="J404" i="64"/>
  <c r="H903" i="64"/>
  <c r="J415" i="64"/>
  <c r="H768" i="64"/>
  <c r="H550" i="64"/>
  <c r="H784" i="64"/>
  <c r="H894" i="64"/>
  <c r="J406" i="64"/>
  <c r="I290" i="64"/>
  <c r="I301" i="64"/>
  <c r="I316" i="64"/>
  <c r="H511" i="64"/>
  <c r="I379" i="64"/>
  <c r="H530" i="64"/>
  <c r="T1041" i="64"/>
  <c r="T1043" i="64"/>
  <c r="T1039" i="64"/>
  <c r="T1038" i="64"/>
  <c r="T1045" i="64"/>
  <c r="T1042" i="64"/>
  <c r="T1040" i="64"/>
  <c r="T1044" i="64"/>
  <c r="T1020" i="64"/>
  <c r="T999" i="64"/>
  <c r="T1003" i="64"/>
  <c r="T985" i="64"/>
  <c r="T1028" i="64"/>
  <c r="T1006" i="64"/>
  <c r="T1004" i="64"/>
  <c r="T1012" i="64"/>
  <c r="T983" i="64"/>
  <c r="E983" i="64" s="1"/>
  <c r="H899" i="64"/>
  <c r="J411" i="64"/>
  <c r="H201" i="64"/>
  <c r="H260" i="64"/>
  <c r="AT785" i="64"/>
  <c r="AG785" i="64"/>
  <c r="AT794" i="64"/>
  <c r="AG794" i="64"/>
  <c r="AG723" i="64"/>
  <c r="AT723" i="64"/>
  <c r="H202" i="64"/>
  <c r="H261" i="64"/>
  <c r="AT868" i="64"/>
  <c r="AG868" i="64"/>
  <c r="G720" i="64"/>
  <c r="H259" i="64"/>
  <c r="H200" i="64"/>
  <c r="AT746" i="64"/>
  <c r="AG746" i="64"/>
  <c r="AT676" i="64"/>
  <c r="AG676" i="64"/>
  <c r="J421" i="64"/>
  <c r="H909" i="64"/>
  <c r="J405" i="64"/>
  <c r="H893" i="64"/>
  <c r="H911" i="64"/>
  <c r="J423" i="64"/>
  <c r="H791" i="64"/>
  <c r="H569" i="64"/>
  <c r="AI1043" i="64"/>
  <c r="AI1045" i="64"/>
  <c r="AI1040" i="64"/>
  <c r="AI1044" i="64"/>
  <c r="AI1039" i="64"/>
  <c r="AI1041" i="64"/>
  <c r="AI1018" i="64"/>
  <c r="E1018" i="64" s="1"/>
  <c r="E1089" i="64" s="1"/>
  <c r="AI1024" i="64"/>
  <c r="E1024" i="64" s="1"/>
  <c r="E1095" i="64" s="1"/>
  <c r="AI1038" i="64"/>
  <c r="AI1037" i="64"/>
  <c r="E1037" i="64" s="1"/>
  <c r="E1108" i="64" s="1"/>
  <c r="AI1042" i="64"/>
  <c r="H910" i="64"/>
  <c r="J422" i="64"/>
  <c r="D1041" i="64"/>
  <c r="D1112" i="64" s="1"/>
  <c r="D1039" i="64"/>
  <c r="D1110" i="64" s="1"/>
  <c r="G610" i="64"/>
  <c r="G531" i="64"/>
  <c r="I523" i="64"/>
  <c r="I515" i="64"/>
  <c r="I506" i="64"/>
  <c r="I502" i="64"/>
  <c r="I521" i="64"/>
  <c r="I513" i="64"/>
  <c r="I504" i="64"/>
  <c r="I500" i="64"/>
  <c r="H889" i="64"/>
  <c r="I512" i="64"/>
  <c r="I503" i="64"/>
  <c r="I499" i="64"/>
  <c r="J401" i="64"/>
  <c r="J387" i="64"/>
  <c r="J383" i="64"/>
  <c r="J372" i="64"/>
  <c r="J360" i="64"/>
  <c r="J354" i="64"/>
  <c r="J353" i="64"/>
  <c r="J351" i="64"/>
  <c r="J384" i="64"/>
  <c r="J382" i="64"/>
  <c r="J380" i="64"/>
  <c r="J352" i="64"/>
  <c r="J341" i="64"/>
  <c r="J334" i="64"/>
  <c r="J322" i="64"/>
  <c r="J318" i="64"/>
  <c r="J311" i="64"/>
  <c r="J307" i="64"/>
  <c r="J303" i="64"/>
  <c r="J295" i="64"/>
  <c r="J291" i="64"/>
  <c r="I522" i="64"/>
  <c r="J381" i="64"/>
  <c r="J350" i="64"/>
  <c r="J349" i="64"/>
  <c r="J336" i="64"/>
  <c r="J328" i="64"/>
  <c r="J320" i="64"/>
  <c r="J313" i="64"/>
  <c r="J309" i="64"/>
  <c r="J305" i="64"/>
  <c r="J297" i="64"/>
  <c r="J293" i="64"/>
  <c r="I514" i="64"/>
  <c r="I505" i="64"/>
  <c r="I501" i="64"/>
  <c r="I498" i="64"/>
  <c r="J371" i="64"/>
  <c r="J362" i="64"/>
  <c r="J347" i="64"/>
  <c r="J335" i="64"/>
  <c r="J327" i="64"/>
  <c r="J323" i="64"/>
  <c r="J319" i="64"/>
  <c r="J312" i="64"/>
  <c r="J308" i="64"/>
  <c r="J304" i="64"/>
  <c r="J296" i="64"/>
  <c r="J292" i="64"/>
  <c r="J370" i="64"/>
  <c r="J361" i="64"/>
  <c r="J348" i="64"/>
  <c r="J321" i="64"/>
  <c r="J317" i="64"/>
  <c r="J363" i="64"/>
  <c r="J333" i="64"/>
  <c r="J340" i="64"/>
  <c r="J314" i="64"/>
  <c r="J310" i="64"/>
  <c r="J306" i="64"/>
  <c r="J302" i="64"/>
  <c r="J298" i="64"/>
  <c r="I326" i="64"/>
  <c r="CA1168" i="64"/>
  <c r="DB1095" i="64"/>
  <c r="DE1095" i="64" s="1"/>
  <c r="CQ1168" i="64" s="1"/>
  <c r="AH994" i="64"/>
  <c r="D994" i="64" s="1"/>
  <c r="D1065" i="64" s="1"/>
  <c r="B994" i="64"/>
  <c r="AI994" i="64"/>
  <c r="E994" i="64" s="1"/>
  <c r="E1065" i="64" s="1"/>
  <c r="AG994" i="64"/>
  <c r="C994" i="64" s="1"/>
  <c r="C1065" i="64" s="1"/>
  <c r="CN1188" i="64"/>
  <c r="A1188" i="64"/>
  <c r="CA1162" i="64"/>
  <c r="DB1089" i="64"/>
  <c r="DE1089" i="64" s="1"/>
  <c r="CQ1162" i="64" s="1"/>
  <c r="CN1189" i="64"/>
  <c r="A1189" i="64"/>
  <c r="AH1005" i="64"/>
  <c r="D1005" i="64" s="1"/>
  <c r="D1076" i="64" s="1"/>
  <c r="AI1005" i="64"/>
  <c r="E1005" i="64" s="1"/>
  <c r="E1076" i="64" s="1"/>
  <c r="AG1005" i="64"/>
  <c r="C1005" i="64" s="1"/>
  <c r="C1076" i="64" s="1"/>
  <c r="B1005" i="64"/>
  <c r="CA1193" i="64"/>
  <c r="DB1120" i="64"/>
  <c r="DE1120" i="64" s="1"/>
  <c r="CQ1193" i="64" s="1"/>
  <c r="CB1340" i="64"/>
  <c r="AB1266" i="64"/>
  <c r="DO1266" i="64"/>
  <c r="AH1001" i="64"/>
  <c r="D1001" i="64" s="1"/>
  <c r="D1072" i="64" s="1"/>
  <c r="AI1001" i="64"/>
  <c r="E1001" i="64" s="1"/>
  <c r="E1072" i="64" s="1"/>
  <c r="AG1001" i="64"/>
  <c r="C1001" i="64" s="1"/>
  <c r="C1072" i="64" s="1"/>
  <c r="B1001" i="64"/>
  <c r="B1331" i="64"/>
  <c r="CO1331" i="64"/>
  <c r="CA1181" i="64"/>
  <c r="DB1108" i="64"/>
  <c r="DE1108" i="64" s="1"/>
  <c r="CQ1181" i="64" s="1"/>
  <c r="AH988" i="64"/>
  <c r="D988" i="64" s="1"/>
  <c r="D1059" i="64" s="1"/>
  <c r="AG988" i="64"/>
  <c r="C988" i="64" s="1"/>
  <c r="C1059" i="64" s="1"/>
  <c r="B988" i="64"/>
  <c r="AI988" i="64"/>
  <c r="AH1002" i="64"/>
  <c r="D1002" i="64" s="1"/>
  <c r="D1073" i="64" s="1"/>
  <c r="B1002" i="64"/>
  <c r="AI1002" i="64"/>
  <c r="AG1002" i="64"/>
  <c r="C1002" i="64" s="1"/>
  <c r="C1073" i="64" s="1"/>
  <c r="B1335" i="64"/>
  <c r="CO1335" i="64"/>
  <c r="AR283" i="79"/>
  <c r="C3025" i="79" s="1"/>
  <c r="AH998" i="64"/>
  <c r="D998" i="64" s="1"/>
  <c r="D1069" i="64" s="1"/>
  <c r="B998" i="64"/>
  <c r="AI998" i="64"/>
  <c r="AG998" i="64"/>
  <c r="C998" i="64" s="1"/>
  <c r="C1069" i="64" s="1"/>
  <c r="AT815" i="64"/>
  <c r="AG815" i="64"/>
  <c r="CB1336" i="64"/>
  <c r="AB1262" i="64"/>
  <c r="DO1262" i="64"/>
  <c r="DB1242" i="64"/>
  <c r="D1242" i="64"/>
  <c r="Q1242" i="64" s="1"/>
  <c r="C1242" i="64"/>
  <c r="P1242" i="64" s="1"/>
  <c r="E1242" i="64"/>
  <c r="R1242" i="64" s="1"/>
  <c r="AB1259" i="64"/>
  <c r="CB1333" i="64"/>
  <c r="DO1259" i="64"/>
  <c r="AH997" i="64"/>
  <c r="D997" i="64" s="1"/>
  <c r="D1068" i="64" s="1"/>
  <c r="AI997" i="64"/>
  <c r="E997" i="64" s="1"/>
  <c r="E1068" i="64" s="1"/>
  <c r="AG997" i="64"/>
  <c r="C997" i="64" s="1"/>
  <c r="C1068" i="64" s="1"/>
  <c r="B997" i="64"/>
  <c r="DB1236" i="64"/>
  <c r="D1236" i="64"/>
  <c r="Q1236" i="64" s="1"/>
  <c r="C1236" i="64"/>
  <c r="P1236" i="64" s="1"/>
  <c r="E1236" i="64"/>
  <c r="R1236" i="64" s="1"/>
  <c r="DB1267" i="64"/>
  <c r="K1267" i="64"/>
  <c r="X1267" i="64" s="1"/>
  <c r="G1267" i="64"/>
  <c r="T1267" i="64" s="1"/>
  <c r="C1267" i="64"/>
  <c r="P1267" i="64" s="1"/>
  <c r="N1267" i="64"/>
  <c r="AA1267" i="64" s="1"/>
  <c r="J1267" i="64"/>
  <c r="W1267" i="64" s="1"/>
  <c r="F1267" i="64"/>
  <c r="S1267" i="64" s="1"/>
  <c r="M1267" i="64"/>
  <c r="Z1267" i="64" s="1"/>
  <c r="E1267" i="64"/>
  <c r="R1267" i="64" s="1"/>
  <c r="L1267" i="64"/>
  <c r="Y1267" i="64" s="1"/>
  <c r="D1267" i="64"/>
  <c r="Q1267" i="64" s="1"/>
  <c r="I1267" i="64"/>
  <c r="V1267" i="64" s="1"/>
  <c r="H1267" i="64"/>
  <c r="U1267" i="64" s="1"/>
  <c r="CN1185" i="64"/>
  <c r="A1185" i="64"/>
  <c r="B1278" i="64"/>
  <c r="CO1278" i="64"/>
  <c r="CA1182" i="64"/>
  <c r="DB1109" i="64"/>
  <c r="DE1109" i="64" s="1"/>
  <c r="CQ1182" i="64" s="1"/>
  <c r="CO1300" i="64"/>
  <c r="B1300" i="64"/>
  <c r="AG1010" i="64"/>
  <c r="C1010" i="64" s="1"/>
  <c r="C1081" i="64" s="1"/>
  <c r="AH1010" i="64"/>
  <c r="D1010" i="64" s="1"/>
  <c r="D1081" i="64" s="1"/>
  <c r="AI1010" i="64"/>
  <c r="B1010" i="64"/>
  <c r="B1249" i="64"/>
  <c r="CO1102" i="64"/>
  <c r="CA1190" i="64"/>
  <c r="DB1117" i="64"/>
  <c r="DE1117" i="64" s="1"/>
  <c r="CQ1190" i="64" s="1"/>
  <c r="CO1285" i="64"/>
  <c r="B1285" i="64"/>
  <c r="C1255" i="64"/>
  <c r="P1255" i="64" s="1"/>
  <c r="E1255" i="64"/>
  <c r="R1255" i="64" s="1"/>
  <c r="D1255" i="64"/>
  <c r="Q1255" i="64" s="1"/>
  <c r="DB1255" i="64"/>
  <c r="CA1186" i="64"/>
  <c r="DB1113" i="64"/>
  <c r="DE1113" i="64" s="1"/>
  <c r="CQ1186" i="64" s="1"/>
  <c r="AI1013" i="64"/>
  <c r="B1013" i="64"/>
  <c r="AH1013" i="64"/>
  <c r="D1013" i="64" s="1"/>
  <c r="D1084" i="64" s="1"/>
  <c r="AG1013" i="64"/>
  <c r="C1013" i="64" s="1"/>
  <c r="C1084" i="64" s="1"/>
  <c r="AH984" i="64"/>
  <c r="D984" i="64" s="1"/>
  <c r="D1055" i="64" s="1"/>
  <c r="B984" i="64"/>
  <c r="AI984" i="64"/>
  <c r="AG984" i="64"/>
  <c r="C984" i="64" s="1"/>
  <c r="C1055" i="64" s="1"/>
  <c r="AS815" i="64"/>
  <c r="AF815" i="64"/>
  <c r="AH989" i="64"/>
  <c r="D989" i="64" s="1"/>
  <c r="D1060" i="64" s="1"/>
  <c r="AI989" i="64"/>
  <c r="AG989" i="64"/>
  <c r="C989" i="64" s="1"/>
  <c r="C1060" i="64" s="1"/>
  <c r="B989" i="64"/>
  <c r="AT818" i="64"/>
  <c r="AG818" i="64"/>
  <c r="AF818" i="64"/>
  <c r="AS818" i="64"/>
  <c r="C1256" i="64"/>
  <c r="P1256" i="64" s="1"/>
  <c r="E1256" i="64"/>
  <c r="R1256" i="64" s="1"/>
  <c r="D1256" i="64"/>
  <c r="Q1256" i="64" s="1"/>
  <c r="DB1256" i="64"/>
  <c r="AG1014" i="64"/>
  <c r="C1014" i="64" s="1"/>
  <c r="C1085" i="64" s="1"/>
  <c r="AH1014" i="64"/>
  <c r="D1014" i="64" s="1"/>
  <c r="D1085" i="64" s="1"/>
  <c r="B1014" i="64"/>
  <c r="AI1014" i="64"/>
  <c r="AP991" i="64"/>
  <c r="L991" i="64" s="1"/>
  <c r="L1062" i="64" s="1"/>
  <c r="AL991" i="64"/>
  <c r="H991" i="64" s="1"/>
  <c r="H1062" i="64" s="1"/>
  <c r="AH991" i="64"/>
  <c r="D991" i="64" s="1"/>
  <c r="D1062" i="64" s="1"/>
  <c r="AR991" i="64"/>
  <c r="N991" i="64" s="1"/>
  <c r="N1062" i="64" s="1"/>
  <c r="AN991" i="64"/>
  <c r="J991" i="64" s="1"/>
  <c r="J1062" i="64" s="1"/>
  <c r="AJ991" i="64"/>
  <c r="F991" i="64" s="1"/>
  <c r="F1062" i="64" s="1"/>
  <c r="AM991" i="64"/>
  <c r="I991" i="64" s="1"/>
  <c r="I1062" i="64" s="1"/>
  <c r="B991" i="64"/>
  <c r="AK991" i="64"/>
  <c r="G991" i="64" s="1"/>
  <c r="G1062" i="64" s="1"/>
  <c r="AQ991" i="64"/>
  <c r="M991" i="64" s="1"/>
  <c r="M1062" i="64" s="1"/>
  <c r="AI991" i="64"/>
  <c r="E991" i="64" s="1"/>
  <c r="E1062" i="64" s="1"/>
  <c r="AO991" i="64"/>
  <c r="K991" i="64" s="1"/>
  <c r="K1062" i="64" s="1"/>
  <c r="AG991" i="64"/>
  <c r="C991" i="64" s="1"/>
  <c r="C1062" i="64" s="1"/>
  <c r="K1264" i="64"/>
  <c r="X1264" i="64" s="1"/>
  <c r="G1264" i="64"/>
  <c r="T1264" i="64" s="1"/>
  <c r="C1264" i="64"/>
  <c r="P1264" i="64" s="1"/>
  <c r="N1264" i="64"/>
  <c r="AA1264" i="64" s="1"/>
  <c r="J1264" i="64"/>
  <c r="W1264" i="64" s="1"/>
  <c r="F1264" i="64"/>
  <c r="S1264" i="64" s="1"/>
  <c r="M1264" i="64"/>
  <c r="Z1264" i="64" s="1"/>
  <c r="E1264" i="64"/>
  <c r="R1264" i="64" s="1"/>
  <c r="L1264" i="64"/>
  <c r="Y1264" i="64" s="1"/>
  <c r="D1264" i="64"/>
  <c r="Q1264" i="64" s="1"/>
  <c r="I1264" i="64"/>
  <c r="V1264" i="64" s="1"/>
  <c r="DB1264" i="64"/>
  <c r="H1264" i="64"/>
  <c r="U1264" i="64" s="1"/>
  <c r="AH1009" i="64"/>
  <c r="D1009" i="64" s="1"/>
  <c r="D1080" i="64" s="1"/>
  <c r="B1009" i="64"/>
  <c r="AI1009" i="64"/>
  <c r="AG1009" i="64"/>
  <c r="C1009" i="64" s="1"/>
  <c r="C1080" i="64" s="1"/>
  <c r="U324" i="79"/>
  <c r="D1419" i="79" s="1"/>
  <c r="I1419" i="79" s="1"/>
  <c r="CN1192" i="64"/>
  <c r="A1192" i="64"/>
  <c r="C1260" i="64"/>
  <c r="P1260" i="64" s="1"/>
  <c r="E1260" i="64"/>
  <c r="R1260" i="64" s="1"/>
  <c r="D1260" i="64"/>
  <c r="Q1260" i="64" s="1"/>
  <c r="DB1260" i="64"/>
  <c r="AH990" i="64"/>
  <c r="D990" i="64" s="1"/>
  <c r="D1061" i="64" s="1"/>
  <c r="AI990" i="64"/>
  <c r="AG990" i="64"/>
  <c r="C990" i="64" s="1"/>
  <c r="C1061" i="64" s="1"/>
  <c r="B990" i="64"/>
  <c r="CO1332" i="64"/>
  <c r="B1332" i="64"/>
  <c r="AB1263" i="64"/>
  <c r="CB1337" i="64"/>
  <c r="DO1263" i="64"/>
  <c r="AH996" i="64"/>
  <c r="D996" i="64" s="1"/>
  <c r="D1067" i="64" s="1"/>
  <c r="AI996" i="64"/>
  <c r="AG996" i="64"/>
  <c r="C996" i="64" s="1"/>
  <c r="C1067" i="64" s="1"/>
  <c r="B996" i="64"/>
  <c r="AH1000" i="64"/>
  <c r="D1000" i="64" s="1"/>
  <c r="D1071" i="64" s="1"/>
  <c r="AI1000" i="64"/>
  <c r="AG1000" i="64"/>
  <c r="C1000" i="64" s="1"/>
  <c r="C1071" i="64" s="1"/>
  <c r="B1000" i="64"/>
  <c r="AO1016" i="64"/>
  <c r="K1016" i="64" s="1"/>
  <c r="K1087" i="64" s="1"/>
  <c r="AK1016" i="64"/>
  <c r="G1016" i="64" s="1"/>
  <c r="G1087" i="64" s="1"/>
  <c r="AG1016" i="64"/>
  <c r="C1016" i="64" s="1"/>
  <c r="C1087" i="64" s="1"/>
  <c r="AQ1016" i="64"/>
  <c r="M1016" i="64" s="1"/>
  <c r="M1087" i="64" s="1"/>
  <c r="AL1016" i="64"/>
  <c r="H1016" i="64" s="1"/>
  <c r="H1087" i="64" s="1"/>
  <c r="AN1016" i="64"/>
  <c r="J1016" i="64" s="1"/>
  <c r="J1087" i="64" s="1"/>
  <c r="AI1016" i="64"/>
  <c r="E1016" i="64" s="1"/>
  <c r="E1087" i="64" s="1"/>
  <c r="AM1016" i="64"/>
  <c r="I1016" i="64" s="1"/>
  <c r="I1087" i="64" s="1"/>
  <c r="AJ1016" i="64"/>
  <c r="F1016" i="64" s="1"/>
  <c r="F1087" i="64" s="1"/>
  <c r="B1016" i="64"/>
  <c r="AR1016" i="64"/>
  <c r="N1016" i="64" s="1"/>
  <c r="N1087" i="64" s="1"/>
  <c r="AH1016" i="64"/>
  <c r="D1016" i="64" s="1"/>
  <c r="D1087" i="64" s="1"/>
  <c r="AP1016" i="64"/>
  <c r="L1016" i="64" s="1"/>
  <c r="L1087" i="64" s="1"/>
  <c r="AH987" i="64"/>
  <c r="D987" i="64" s="1"/>
  <c r="D1058" i="64" s="1"/>
  <c r="B987" i="64"/>
  <c r="AI987" i="64"/>
  <c r="AG987" i="64"/>
  <c r="C987" i="64" s="1"/>
  <c r="C1058" i="64" s="1"/>
  <c r="B1201" i="64"/>
  <c r="CO1054" i="64"/>
  <c r="B1054" i="64"/>
  <c r="U283" i="79"/>
  <c r="AR529" i="79"/>
  <c r="AR406" i="79"/>
  <c r="U529" i="79"/>
  <c r="AR242" i="79"/>
  <c r="AR488" i="79"/>
  <c r="U406" i="79"/>
  <c r="AR365" i="79"/>
  <c r="G41" i="73"/>
  <c r="H12" i="73" s="1"/>
  <c r="D60" i="8"/>
  <c r="D69" i="8" s="1"/>
  <c r="D67" i="8" s="1"/>
  <c r="C21" i="10" s="1"/>
  <c r="G139" i="77"/>
  <c r="G9" i="85"/>
  <c r="F26" i="85"/>
  <c r="F28" i="85"/>
  <c r="M378" i="73"/>
  <c r="P378" i="73"/>
  <c r="R406" i="73"/>
  <c r="R324" i="73"/>
  <c r="J125" i="83"/>
  <c r="J126" i="83" s="1"/>
  <c r="Q178" i="85"/>
  <c r="Q126" i="85"/>
  <c r="Q125" i="85"/>
  <c r="Q161" i="85" s="1"/>
  <c r="J378" i="73"/>
  <c r="Q378" i="73"/>
  <c r="L378" i="73"/>
  <c r="O132" i="85"/>
  <c r="O95" i="85" s="1"/>
  <c r="L178" i="85"/>
  <c r="L126" i="85"/>
  <c r="L125" i="85"/>
  <c r="L161" i="85" s="1"/>
  <c r="L48" i="74"/>
  <c r="L35" i="74" s="1"/>
  <c r="L34" i="74"/>
  <c r="C124" i="83"/>
  <c r="J48" i="74"/>
  <c r="J35" i="74" s="1"/>
  <c r="J34" i="74"/>
  <c r="G34" i="74"/>
  <c r="G48" i="74"/>
  <c r="G35" i="74" s="1"/>
  <c r="G310" i="73"/>
  <c r="G325" i="73" s="1"/>
  <c r="G326" i="73" s="1"/>
  <c r="F326" i="73"/>
  <c r="F48" i="74"/>
  <c r="F35" i="74" s="1"/>
  <c r="F34" i="74"/>
  <c r="I48" i="74"/>
  <c r="I35" i="74" s="1"/>
  <c r="I34" i="74"/>
  <c r="P48" i="74"/>
  <c r="P35" i="74" s="1"/>
  <c r="P34" i="74"/>
  <c r="E124" i="83"/>
  <c r="I178" i="85"/>
  <c r="I126" i="85"/>
  <c r="I125" i="85"/>
  <c r="I161" i="85" s="1"/>
  <c r="L132" i="85"/>
  <c r="L95" i="85" s="1"/>
  <c r="K34" i="74"/>
  <c r="K48" i="74"/>
  <c r="K35" i="74" s="1"/>
  <c r="K132" i="85"/>
  <c r="K95" i="85" s="1"/>
  <c r="H178" i="85"/>
  <c r="R123" i="85"/>
  <c r="H126" i="85"/>
  <c r="H125" i="85"/>
  <c r="H161" i="85" s="1"/>
  <c r="M125" i="83"/>
  <c r="M126" i="83" s="1"/>
  <c r="N178" i="85"/>
  <c r="N126" i="85"/>
  <c r="N125" i="85"/>
  <c r="N161" i="85" s="1"/>
  <c r="Q132" i="85"/>
  <c r="Q95" i="85" s="1"/>
  <c r="E35" i="74"/>
  <c r="E678" i="74" s="1"/>
  <c r="N48" i="74"/>
  <c r="N35" i="74" s="1"/>
  <c r="N34" i="74"/>
  <c r="O126" i="85"/>
  <c r="O125" i="85"/>
  <c r="O161" i="85" s="1"/>
  <c r="O178" i="85"/>
  <c r="P178" i="85"/>
  <c r="P125" i="85"/>
  <c r="P161" i="85" s="1"/>
  <c r="P126" i="85"/>
  <c r="D124" i="83"/>
  <c r="K125" i="83"/>
  <c r="K126" i="83" s="1"/>
  <c r="J178" i="85"/>
  <c r="J126" i="85"/>
  <c r="J125" i="85"/>
  <c r="J161" i="85" s="1"/>
  <c r="M132" i="85"/>
  <c r="M95" i="85" s="1"/>
  <c r="L125" i="83"/>
  <c r="L126" i="83" s="1"/>
  <c r="M48" i="74"/>
  <c r="M35" i="74" s="1"/>
  <c r="M34" i="74"/>
  <c r="H31" i="74"/>
  <c r="H34" i="74" s="1"/>
  <c r="I378" i="73"/>
  <c r="O34" i="74"/>
  <c r="O48" i="74"/>
  <c r="O35" i="74" s="1"/>
  <c r="N125" i="83"/>
  <c r="N126" i="83" s="1"/>
  <c r="G182" i="8"/>
  <c r="F11" i="10"/>
  <c r="M178" i="85"/>
  <c r="M126" i="85"/>
  <c r="M125" i="85"/>
  <c r="M161" i="85" s="1"/>
  <c r="P132" i="85"/>
  <c r="P95" i="85" s="1"/>
  <c r="G124" i="83"/>
  <c r="F125" i="83"/>
  <c r="F126" i="83" s="1"/>
  <c r="H378" i="73"/>
  <c r="I125" i="83"/>
  <c r="I126" i="83" s="1"/>
  <c r="H125" i="83"/>
  <c r="H126" i="83" s="1"/>
  <c r="G638" i="64" l="1"/>
  <c r="F642" i="64" s="1"/>
  <c r="G628" i="64"/>
  <c r="G556" i="73"/>
  <c r="H333" i="73"/>
  <c r="D714" i="74"/>
  <c r="E34" i="74"/>
  <c r="H122" i="8"/>
  <c r="H128" i="8"/>
  <c r="H139" i="8" s="1"/>
  <c r="H147" i="8" s="1"/>
  <c r="H155" i="8" s="1"/>
  <c r="H166" i="8" s="1"/>
  <c r="H172" i="8" s="1"/>
  <c r="J6" i="8"/>
  <c r="I10" i="8"/>
  <c r="I58" i="8" s="1"/>
  <c r="I91" i="8" s="1"/>
  <c r="I115" i="8" s="1"/>
  <c r="G563" i="74"/>
  <c r="G149" i="73"/>
  <c r="G457" i="73" s="1"/>
  <c r="K162" i="85"/>
  <c r="AB992" i="64"/>
  <c r="Y992" i="64"/>
  <c r="X992" i="64"/>
  <c r="T992" i="64"/>
  <c r="W992" i="64"/>
  <c r="Z992" i="64"/>
  <c r="U992" i="64"/>
  <c r="AF992" i="64"/>
  <c r="AC992" i="64"/>
  <c r="V992" i="64"/>
  <c r="AA992" i="64"/>
  <c r="R992" i="64"/>
  <c r="S992" i="64"/>
  <c r="H639" i="64"/>
  <c r="G643" i="64" s="1"/>
  <c r="G639" i="64"/>
  <c r="U677" i="64"/>
  <c r="U787" i="64"/>
  <c r="N96" i="85"/>
  <c r="H638" i="64"/>
  <c r="I877" i="64"/>
  <c r="I639" i="64"/>
  <c r="F627" i="64"/>
  <c r="J871" i="64"/>
  <c r="J870" i="64"/>
  <c r="J869" i="64"/>
  <c r="J873" i="64"/>
  <c r="J876" i="64"/>
  <c r="J872" i="64"/>
  <c r="J874" i="64"/>
  <c r="AG793" i="64"/>
  <c r="U789" i="64"/>
  <c r="G236" i="74"/>
  <c r="H735" i="64"/>
  <c r="I806" i="64"/>
  <c r="G571" i="74"/>
  <c r="K385" i="64"/>
  <c r="J805" i="64"/>
  <c r="J800" i="64"/>
  <c r="J799" i="64"/>
  <c r="J801" i="64"/>
  <c r="J798" i="64"/>
  <c r="J802" i="64"/>
  <c r="J803" i="64"/>
  <c r="I730" i="64"/>
  <c r="I734" i="64"/>
  <c r="I727" i="64"/>
  <c r="I729" i="64"/>
  <c r="I728" i="64"/>
  <c r="I732" i="64"/>
  <c r="I731" i="64"/>
  <c r="AJ987" i="64"/>
  <c r="U748" i="64"/>
  <c r="U673" i="64"/>
  <c r="U744" i="64"/>
  <c r="F643" i="64"/>
  <c r="U795" i="64"/>
  <c r="F1236" i="64"/>
  <c r="S1236" i="64" s="1"/>
  <c r="H36" i="85"/>
  <c r="E391" i="40"/>
  <c r="E401" i="40"/>
  <c r="E409" i="40"/>
  <c r="E418" i="40"/>
  <c r="E400" i="40"/>
  <c r="E398" i="40"/>
  <c r="E394" i="40"/>
  <c r="E403" i="40"/>
  <c r="E411" i="40"/>
  <c r="E408" i="40"/>
  <c r="E417" i="40"/>
  <c r="E399" i="40"/>
  <c r="E434" i="40"/>
  <c r="E404" i="40"/>
  <c r="E441" i="40"/>
  <c r="E435" i="40"/>
  <c r="E437" i="40"/>
  <c r="E431" i="40"/>
  <c r="E397" i="40"/>
  <c r="E392" i="40"/>
  <c r="E436" i="40"/>
  <c r="E406" i="40"/>
  <c r="E407" i="40"/>
  <c r="E402" i="40"/>
  <c r="E430" i="40"/>
  <c r="E438" i="40"/>
  <c r="E439" i="40"/>
  <c r="E405" i="40"/>
  <c r="E387" i="40"/>
  <c r="E410" i="40"/>
  <c r="E432" i="40"/>
  <c r="E440" i="40"/>
  <c r="E396" i="40"/>
  <c r="E433" i="40"/>
  <c r="R1011" i="64"/>
  <c r="AF1011" i="64"/>
  <c r="S1011" i="64"/>
  <c r="K31" i="71"/>
  <c r="U792" i="64"/>
  <c r="U672" i="64"/>
  <c r="G642" i="64"/>
  <c r="J794" i="64"/>
  <c r="G31" i="71"/>
  <c r="G1458" i="64"/>
  <c r="H1458" i="64" s="1"/>
  <c r="E1054" i="64"/>
  <c r="U794" i="64"/>
  <c r="G554" i="73"/>
  <c r="G555" i="73" s="1"/>
  <c r="T1011" i="64"/>
  <c r="AF995" i="64"/>
  <c r="AJ995" i="64" s="1"/>
  <c r="R995" i="64"/>
  <c r="S995" i="64"/>
  <c r="AH818" i="64"/>
  <c r="U743" i="64"/>
  <c r="AU743" i="64" s="1"/>
  <c r="AH819" i="64"/>
  <c r="K342" i="64"/>
  <c r="E1010" i="64"/>
  <c r="E1081" i="64" s="1"/>
  <c r="F1256" i="64"/>
  <c r="S1256" i="64" s="1"/>
  <c r="E1000" i="64"/>
  <c r="E1071" i="64" s="1"/>
  <c r="I208" i="64"/>
  <c r="G237" i="74"/>
  <c r="G564" i="74"/>
  <c r="G572" i="74"/>
  <c r="G235" i="74"/>
  <c r="O21" i="10"/>
  <c r="H18" i="25" s="1"/>
  <c r="D27" i="25"/>
  <c r="D30" i="25" s="1"/>
  <c r="G234" i="74"/>
  <c r="I723" i="64"/>
  <c r="J267" i="64" s="1"/>
  <c r="G466" i="73"/>
  <c r="H253" i="77" s="1"/>
  <c r="H277" i="77" s="1"/>
  <c r="H212" i="73"/>
  <c r="H228" i="73" s="1"/>
  <c r="H229" i="73" s="1"/>
  <c r="I2285" i="79"/>
  <c r="J865" i="64"/>
  <c r="E1014" i="64"/>
  <c r="E1085" i="64" s="1"/>
  <c r="E1009" i="64"/>
  <c r="E1080" i="64" s="1"/>
  <c r="E989" i="64"/>
  <c r="E1060" i="64" s="1"/>
  <c r="E988" i="64"/>
  <c r="E1059" i="64" s="1"/>
  <c r="G36" i="71"/>
  <c r="E990" i="64"/>
  <c r="E1061" i="64" s="1"/>
  <c r="E1013" i="64"/>
  <c r="E1084" i="64" s="1"/>
  <c r="G35" i="71"/>
  <c r="G34" i="71"/>
  <c r="G229" i="74"/>
  <c r="E71" i="83" s="1"/>
  <c r="H101" i="73"/>
  <c r="F466" i="73"/>
  <c r="G253" i="77" s="1"/>
  <c r="G277" i="77" s="1"/>
  <c r="T31" i="74"/>
  <c r="T34" i="74" s="1"/>
  <c r="C756" i="74" s="1"/>
  <c r="C762" i="74" s="1"/>
  <c r="I148" i="61" s="1"/>
  <c r="U719" i="64"/>
  <c r="G562" i="74"/>
  <c r="C3161" i="79"/>
  <c r="G242" i="74"/>
  <c r="P433" i="40"/>
  <c r="G243" i="74"/>
  <c r="U793" i="64"/>
  <c r="G244" i="74"/>
  <c r="U796" i="64"/>
  <c r="U714" i="64"/>
  <c r="K2082" i="79"/>
  <c r="K2401" i="79" s="1"/>
  <c r="AU818" i="64"/>
  <c r="P394" i="40"/>
  <c r="P439" i="40"/>
  <c r="P399" i="40"/>
  <c r="P441" i="40"/>
  <c r="P403" i="40"/>
  <c r="F119" i="73"/>
  <c r="F118" i="9"/>
  <c r="F133" i="9" s="1"/>
  <c r="G37" i="9"/>
  <c r="G66" i="9"/>
  <c r="G81" i="9" s="1"/>
  <c r="G96" i="9" s="1"/>
  <c r="G107" i="9" s="1"/>
  <c r="I5" i="9"/>
  <c r="H7" i="9"/>
  <c r="H22" i="9" s="1"/>
  <c r="H52" i="9" s="1"/>
  <c r="G30" i="10"/>
  <c r="G31" i="80"/>
  <c r="I137" i="8"/>
  <c r="G135" i="83"/>
  <c r="G167" i="83" s="1"/>
  <c r="H29" i="10"/>
  <c r="H134" i="83"/>
  <c r="H166" i="83" s="1"/>
  <c r="H30" i="80"/>
  <c r="J135" i="8"/>
  <c r="G166" i="83"/>
  <c r="G38" i="80"/>
  <c r="G35" i="10"/>
  <c r="G145" i="83"/>
  <c r="I162" i="8"/>
  <c r="H108" i="83"/>
  <c r="H24" i="80"/>
  <c r="H24" i="10"/>
  <c r="J111" i="8"/>
  <c r="F160" i="83"/>
  <c r="G143" i="83"/>
  <c r="G36" i="80"/>
  <c r="F150" i="83"/>
  <c r="G144" i="83"/>
  <c r="G37" i="80"/>
  <c r="I161" i="8"/>
  <c r="G34" i="10"/>
  <c r="G107" i="83"/>
  <c r="G160" i="83" s="1"/>
  <c r="I110" i="8"/>
  <c r="G23" i="10"/>
  <c r="G23" i="80"/>
  <c r="G111" i="83"/>
  <c r="G25" i="80"/>
  <c r="G25" i="10"/>
  <c r="I112" i="8"/>
  <c r="G148" i="83"/>
  <c r="H177" i="8"/>
  <c r="I170" i="8"/>
  <c r="G38" i="10"/>
  <c r="G41" i="80"/>
  <c r="I159" i="8"/>
  <c r="J156" i="8"/>
  <c r="I33" i="10" s="1"/>
  <c r="H95" i="8"/>
  <c r="G79" i="83"/>
  <c r="I93" i="8"/>
  <c r="R271" i="73"/>
  <c r="I2286" i="79"/>
  <c r="I1230" i="79"/>
  <c r="I1298" i="79" s="1"/>
  <c r="I2140" i="79"/>
  <c r="I1223" i="79"/>
  <c r="I1291" i="79" s="1"/>
  <c r="I2142" i="79"/>
  <c r="I1225" i="79"/>
  <c r="I1293" i="79" s="1"/>
  <c r="K2098" i="79"/>
  <c r="AJ996" i="64"/>
  <c r="AJ1009" i="64"/>
  <c r="AJ988" i="64"/>
  <c r="AJ994" i="64"/>
  <c r="E984" i="64"/>
  <c r="E1055" i="64" s="1"/>
  <c r="AU819" i="64"/>
  <c r="E1002" i="64"/>
  <c r="E1073" i="64" s="1"/>
  <c r="C3059" i="79"/>
  <c r="AJ1013" i="64"/>
  <c r="AJ990" i="64"/>
  <c r="AJ998" i="64"/>
  <c r="E987" i="64"/>
  <c r="E1058" i="64" s="1"/>
  <c r="G33" i="71"/>
  <c r="D1422" i="79"/>
  <c r="I1422" i="79" s="1"/>
  <c r="E996" i="64"/>
  <c r="E1067" i="64" s="1"/>
  <c r="E998" i="64"/>
  <c r="E1069" i="64" s="1"/>
  <c r="G37" i="71"/>
  <c r="F1260" i="64"/>
  <c r="S1260" i="64" s="1"/>
  <c r="F1255" i="64"/>
  <c r="S1255" i="64" s="1"/>
  <c r="F1242" i="64"/>
  <c r="S1242" i="64" s="1"/>
  <c r="I817" i="64"/>
  <c r="J589" i="64"/>
  <c r="J579" i="64"/>
  <c r="J576" i="64"/>
  <c r="J588" i="64"/>
  <c r="J591" i="64"/>
  <c r="J574" i="64"/>
  <c r="J590" i="64"/>
  <c r="J597" i="64"/>
  <c r="J577" i="64"/>
  <c r="J581" i="64"/>
  <c r="J575" i="64"/>
  <c r="J599" i="64"/>
  <c r="J814" i="64"/>
  <c r="J578" i="64"/>
  <c r="J582" i="64"/>
  <c r="J598" i="64"/>
  <c r="J580" i="64"/>
  <c r="J840" i="64"/>
  <c r="K229" i="64" s="1"/>
  <c r="J832" i="64"/>
  <c r="K222" i="64" s="1"/>
  <c r="J815" i="64"/>
  <c r="J819" i="64"/>
  <c r="J818" i="64"/>
  <c r="J831" i="64"/>
  <c r="K221" i="64" s="1"/>
  <c r="J845" i="64"/>
  <c r="K234" i="64" s="1"/>
  <c r="J833" i="64"/>
  <c r="K223" i="64" s="1"/>
  <c r="J825" i="64"/>
  <c r="K215" i="64" s="1"/>
  <c r="J842" i="64"/>
  <c r="K231" i="64" s="1"/>
  <c r="J836" i="64"/>
  <c r="K226" i="64" s="1"/>
  <c r="J827" i="64"/>
  <c r="K217" i="64" s="1"/>
  <c r="J826" i="64"/>
  <c r="K216" i="64" s="1"/>
  <c r="J828" i="64"/>
  <c r="K218" i="64" s="1"/>
  <c r="J821" i="64"/>
  <c r="J820" i="64"/>
  <c r="J844" i="64"/>
  <c r="K233" i="64" s="1"/>
  <c r="J829" i="64"/>
  <c r="K219" i="64" s="1"/>
  <c r="J841" i="64"/>
  <c r="K230" i="64" s="1"/>
  <c r="J843" i="64"/>
  <c r="K232" i="64" s="1"/>
  <c r="J834" i="64"/>
  <c r="K224" i="64" s="1"/>
  <c r="J837" i="64"/>
  <c r="K227" i="64" s="1"/>
  <c r="J835" i="64"/>
  <c r="K225" i="64" s="1"/>
  <c r="J851" i="64"/>
  <c r="K239" i="64" s="1"/>
  <c r="J816" i="64"/>
  <c r="F1258" i="64"/>
  <c r="S1258" i="64" s="1"/>
  <c r="F1261" i="64"/>
  <c r="S1261" i="64" s="1"/>
  <c r="F1257" i="64"/>
  <c r="S1257" i="64" s="1"/>
  <c r="F1259" i="64"/>
  <c r="S1259" i="64" s="1"/>
  <c r="F1263" i="64"/>
  <c r="S1263" i="64" s="1"/>
  <c r="F1262" i="64"/>
  <c r="S1262" i="64" s="1"/>
  <c r="J858" i="64"/>
  <c r="K277" i="64" s="1"/>
  <c r="J850" i="64"/>
  <c r="K238" i="64" s="1"/>
  <c r="J856" i="64"/>
  <c r="K275" i="64" s="1"/>
  <c r="J863" i="64"/>
  <c r="K281" i="64" s="1"/>
  <c r="J857" i="64"/>
  <c r="K244" i="64" s="1"/>
  <c r="J859" i="64"/>
  <c r="K246" i="64" s="1"/>
  <c r="I606" i="64"/>
  <c r="J846" i="64"/>
  <c r="K235" i="64" s="1"/>
  <c r="K38" i="71"/>
  <c r="I824" i="64"/>
  <c r="I587" i="64"/>
  <c r="J864" i="64"/>
  <c r="K282" i="64" s="1"/>
  <c r="J830" i="64"/>
  <c r="K220" i="64" s="1"/>
  <c r="K39" i="71"/>
  <c r="H607" i="64"/>
  <c r="G240" i="74"/>
  <c r="P430" i="40"/>
  <c r="P435" i="40"/>
  <c r="P436" i="40"/>
  <c r="P387" i="40"/>
  <c r="P396" i="40"/>
  <c r="P400" i="40"/>
  <c r="P404" i="40"/>
  <c r="P434" i="40"/>
  <c r="P431" i="40"/>
  <c r="P432" i="40"/>
  <c r="P391" i="40"/>
  <c r="P397" i="40"/>
  <c r="P401" i="40"/>
  <c r="P406" i="40"/>
  <c r="P437" i="40"/>
  <c r="P440" i="40"/>
  <c r="P438" i="40"/>
  <c r="P392" i="40"/>
  <c r="P398" i="40"/>
  <c r="P402" i="40"/>
  <c r="P409" i="40"/>
  <c r="C2689" i="79"/>
  <c r="D1423" i="79"/>
  <c r="I1423" i="79" s="1"/>
  <c r="G567" i="74"/>
  <c r="P410" i="40"/>
  <c r="G568" i="74"/>
  <c r="P405" i="40"/>
  <c r="P418" i="40"/>
  <c r="G578" i="74"/>
  <c r="G575" i="74"/>
  <c r="G576" i="74"/>
  <c r="P407" i="40"/>
  <c r="P411" i="40"/>
  <c r="G565" i="74"/>
  <c r="P408" i="40"/>
  <c r="G566" i="74"/>
  <c r="G573" i="74"/>
  <c r="I2292" i="79"/>
  <c r="I2293" i="79" s="1"/>
  <c r="I2294" i="79" s="1"/>
  <c r="J383" i="77"/>
  <c r="J455" i="77"/>
  <c r="J318" i="77"/>
  <c r="J353" i="77"/>
  <c r="J138" i="77"/>
  <c r="J252" i="77"/>
  <c r="J1400" i="79"/>
  <c r="J613" i="79"/>
  <c r="AH815" i="64"/>
  <c r="AU815" i="64"/>
  <c r="G218" i="85"/>
  <c r="G220" i="85"/>
  <c r="D1430" i="79"/>
  <c r="I1430" i="79" s="1"/>
  <c r="J1633" i="79"/>
  <c r="J1388" i="79"/>
  <c r="H34" i="85"/>
  <c r="H61" i="85" s="1"/>
  <c r="H88" i="85" s="1"/>
  <c r="H117" i="85" s="1"/>
  <c r="H5" i="85"/>
  <c r="K740" i="79"/>
  <c r="K739" i="79"/>
  <c r="K611" i="79"/>
  <c r="K610" i="79"/>
  <c r="K612" i="79"/>
  <c r="K567" i="79"/>
  <c r="K568" i="79"/>
  <c r="K572" i="79"/>
  <c r="K569" i="79"/>
  <c r="K812" i="79"/>
  <c r="K783" i="79"/>
  <c r="K830" i="79"/>
  <c r="BI222" i="65"/>
  <c r="U858" i="64" s="1"/>
  <c r="BI227" i="65"/>
  <c r="U863" i="64" s="1"/>
  <c r="AU863" i="64" s="1"/>
  <c r="BI229" i="65"/>
  <c r="U865" i="64" s="1"/>
  <c r="AU865" i="64" s="1"/>
  <c r="BI220" i="65"/>
  <c r="U856" i="64" s="1"/>
  <c r="BI223" i="65"/>
  <c r="U859" i="64" s="1"/>
  <c r="AU859" i="64" s="1"/>
  <c r="BI230" i="65"/>
  <c r="U866" i="64" s="1"/>
  <c r="BI224" i="65"/>
  <c r="U860" i="64" s="1"/>
  <c r="BI225" i="65"/>
  <c r="U861" i="64" s="1"/>
  <c r="AU861" i="64" s="1"/>
  <c r="BI221" i="65"/>
  <c r="U857" i="64" s="1"/>
  <c r="BI231" i="65"/>
  <c r="U867" i="64" s="1"/>
  <c r="BI226" i="65"/>
  <c r="BI228" i="65"/>
  <c r="U864" i="64" s="1"/>
  <c r="AU864" i="64" s="1"/>
  <c r="AG164" i="79"/>
  <c r="Q418" i="40" s="1"/>
  <c r="G231" i="73"/>
  <c r="H213" i="73" s="1"/>
  <c r="E1053" i="64"/>
  <c r="E1200" i="64"/>
  <c r="G220" i="64"/>
  <c r="F839" i="64"/>
  <c r="G560" i="74"/>
  <c r="G581" i="74" s="1"/>
  <c r="G602" i="74" s="1"/>
  <c r="G623" i="74" s="1"/>
  <c r="G648" i="74" s="1"/>
  <c r="G658" i="74" s="1"/>
  <c r="G359" i="74"/>
  <c r="G557" i="74"/>
  <c r="F982" i="64"/>
  <c r="AJ982" i="64"/>
  <c r="U982" i="64"/>
  <c r="CL209" i="65"/>
  <c r="CL226" i="65"/>
  <c r="CL214" i="65"/>
  <c r="CL227" i="65"/>
  <c r="CL228" i="65"/>
  <c r="CL222" i="65"/>
  <c r="CL223" i="65"/>
  <c r="CL211" i="65"/>
  <c r="CL210" i="65"/>
  <c r="CL229" i="65"/>
  <c r="CL212" i="65"/>
  <c r="CL224" i="65"/>
  <c r="CL213" i="65"/>
  <c r="CL230" i="65"/>
  <c r="CL207" i="65"/>
  <c r="CL231" i="65"/>
  <c r="CL225" i="65"/>
  <c r="CL206" i="65"/>
  <c r="CL203" i="65"/>
  <c r="CL220" i="65"/>
  <c r="CL208" i="65"/>
  <c r="CL204" i="65"/>
  <c r="CL205" i="65"/>
  <c r="CL221" i="65"/>
  <c r="I1447" i="64"/>
  <c r="L829" i="79" s="1"/>
  <c r="L830" i="79" s="1"/>
  <c r="I1443" i="64"/>
  <c r="L817" i="79" s="1"/>
  <c r="L818" i="79" s="1"/>
  <c r="I1439" i="64"/>
  <c r="L805" i="79" s="1"/>
  <c r="L806" i="79" s="1"/>
  <c r="I1435" i="64"/>
  <c r="L794" i="79" s="1"/>
  <c r="L795" i="79" s="1"/>
  <c r="I1431" i="64"/>
  <c r="L782" i="79" s="1"/>
  <c r="L783" i="79" s="1"/>
  <c r="I1427" i="64"/>
  <c r="L770" i="79" s="1"/>
  <c r="I1446" i="64"/>
  <c r="L826" i="79" s="1"/>
  <c r="L827" i="79" s="1"/>
  <c r="I1442" i="64"/>
  <c r="L814" i="79" s="1"/>
  <c r="L815" i="79" s="1"/>
  <c r="I1438" i="64"/>
  <c r="I1434" i="64"/>
  <c r="L791" i="79" s="1"/>
  <c r="L792" i="79" s="1"/>
  <c r="I1430" i="64"/>
  <c r="L779" i="79" s="1"/>
  <c r="L780" i="79" s="1"/>
  <c r="I1348" i="64"/>
  <c r="L592" i="79" s="1"/>
  <c r="I1347" i="64"/>
  <c r="L548" i="79" s="1"/>
  <c r="I1441" i="64"/>
  <c r="L811" i="79" s="1"/>
  <c r="L812" i="79" s="1"/>
  <c r="I1433" i="64"/>
  <c r="L788" i="79" s="1"/>
  <c r="L789" i="79" s="1"/>
  <c r="I1448" i="64"/>
  <c r="I1440" i="64"/>
  <c r="L808" i="79" s="1"/>
  <c r="L809" i="79" s="1"/>
  <c r="I1432" i="64"/>
  <c r="L785" i="79" s="1"/>
  <c r="I1419" i="64"/>
  <c r="L738" i="79" s="1"/>
  <c r="I1391" i="64"/>
  <c r="L2297" i="79" s="1"/>
  <c r="I1356" i="64"/>
  <c r="L581" i="79" s="1"/>
  <c r="I1445" i="64"/>
  <c r="L823" i="79" s="1"/>
  <c r="L824" i="79" s="1"/>
  <c r="I1422" i="64"/>
  <c r="L750" i="79" s="1"/>
  <c r="I1420" i="64"/>
  <c r="L742" i="79" s="1"/>
  <c r="I1417" i="64"/>
  <c r="L730" i="79" s="1"/>
  <c r="I1373" i="64"/>
  <c r="I1357" i="64"/>
  <c r="L624" i="79" s="1"/>
  <c r="I1353" i="64"/>
  <c r="L565" i="79" s="1"/>
  <c r="I1436" i="64"/>
  <c r="L797" i="79" s="1"/>
  <c r="L798" i="79" s="1"/>
  <c r="I1421" i="64"/>
  <c r="L746" i="79" s="1"/>
  <c r="I1418" i="64"/>
  <c r="L734" i="79" s="1"/>
  <c r="I1359" i="64"/>
  <c r="L573" i="79" s="1"/>
  <c r="I1354" i="64"/>
  <c r="L608" i="79" s="1"/>
  <c r="I1437" i="64"/>
  <c r="L800" i="79" s="1"/>
  <c r="L801" i="79" s="1"/>
  <c r="I1426" i="64"/>
  <c r="L766" i="79" s="1"/>
  <c r="I1425" i="64"/>
  <c r="L762" i="79" s="1"/>
  <c r="I1360" i="64"/>
  <c r="L616" i="79" s="1"/>
  <c r="I1350" i="64"/>
  <c r="L557" i="79" s="1"/>
  <c r="I1444" i="64"/>
  <c r="L820" i="79" s="1"/>
  <c r="L821" i="79" s="1"/>
  <c r="I1390" i="64"/>
  <c r="L2274" i="79" s="1"/>
  <c r="I1351" i="64"/>
  <c r="L600" i="79" s="1"/>
  <c r="I1429" i="64"/>
  <c r="L776" i="79" s="1"/>
  <c r="L777" i="79" s="1"/>
  <c r="I1428" i="64"/>
  <c r="I1424" i="64"/>
  <c r="L758" i="79" s="1"/>
  <c r="I1416" i="64"/>
  <c r="L726" i="79" s="1"/>
  <c r="I1423" i="64"/>
  <c r="L754" i="79" s="1"/>
  <c r="H683" i="74"/>
  <c r="H555" i="74"/>
  <c r="H552" i="74"/>
  <c r="H544" i="74"/>
  <c r="H541" i="74"/>
  <c r="H533" i="74"/>
  <c r="H530" i="74"/>
  <c r="H522" i="74"/>
  <c r="H519" i="74"/>
  <c r="H511" i="74"/>
  <c r="H508" i="74"/>
  <c r="H500" i="74"/>
  <c r="H550" i="74"/>
  <c r="H701" i="74" s="1"/>
  <c r="H517" i="74"/>
  <c r="H698" i="74" s="1"/>
  <c r="H506" i="74"/>
  <c r="H697" i="74" s="1"/>
  <c r="H528" i="74"/>
  <c r="H699" i="74" s="1"/>
  <c r="H497" i="74"/>
  <c r="H489" i="74"/>
  <c r="H486" i="74"/>
  <c r="H478" i="74"/>
  <c r="H475" i="74"/>
  <c r="H467" i="74"/>
  <c r="H464" i="74"/>
  <c r="H570" i="74" s="1"/>
  <c r="H456" i="74"/>
  <c r="H453" i="74"/>
  <c r="H445" i="74"/>
  <c r="H442" i="74"/>
  <c r="H434" i="74"/>
  <c r="H431" i="74"/>
  <c r="H495" i="74"/>
  <c r="H696" i="74" s="1"/>
  <c r="H451" i="74"/>
  <c r="H692" i="74" s="1"/>
  <c r="H407" i="74"/>
  <c r="H688" i="74" s="1"/>
  <c r="H396" i="74"/>
  <c r="H687" i="74" s="1"/>
  <c r="H385" i="74"/>
  <c r="H686" i="74" s="1"/>
  <c r="H374" i="74"/>
  <c r="H685" i="74" s="1"/>
  <c r="H363" i="74"/>
  <c r="H684" i="74" s="1"/>
  <c r="H79" i="74"/>
  <c r="H462" i="74"/>
  <c r="H693" i="74" s="1"/>
  <c r="H423" i="74"/>
  <c r="H418" i="74"/>
  <c r="H689" i="74" s="1"/>
  <c r="H232" i="74"/>
  <c r="H247" i="74" s="1"/>
  <c r="H262" i="74" s="1"/>
  <c r="H277" i="74" s="1"/>
  <c r="H539" i="74"/>
  <c r="H700" i="74" s="1"/>
  <c r="H473" i="74"/>
  <c r="H694" i="74" s="1"/>
  <c r="H429" i="74"/>
  <c r="H690" i="74" s="1"/>
  <c r="H5" i="74"/>
  <c r="H484" i="74"/>
  <c r="H695" i="74" s="1"/>
  <c r="H19" i="74"/>
  <c r="H440" i="74"/>
  <c r="H691" i="74" s="1"/>
  <c r="H409" i="74"/>
  <c r="H398" i="74"/>
  <c r="H387" i="74"/>
  <c r="H376" i="74"/>
  <c r="H365" i="74"/>
  <c r="H412" i="74"/>
  <c r="H401" i="74"/>
  <c r="H390" i="74"/>
  <c r="H379" i="74"/>
  <c r="H368" i="74"/>
  <c r="H420" i="74"/>
  <c r="H109" i="74"/>
  <c r="H158" i="74"/>
  <c r="H205" i="74"/>
  <c r="H208" i="74"/>
  <c r="H135" i="74"/>
  <c r="H195" i="74"/>
  <c r="H125" i="74"/>
  <c r="H178" i="74"/>
  <c r="H145" i="74"/>
  <c r="H188" i="74"/>
  <c r="H118" i="74"/>
  <c r="H115" i="74"/>
  <c r="H225" i="74"/>
  <c r="H198" i="74"/>
  <c r="H218" i="74"/>
  <c r="H168" i="74"/>
  <c r="H148" i="74"/>
  <c r="H185" i="74"/>
  <c r="H155" i="74"/>
  <c r="H138" i="74"/>
  <c r="H128" i="74"/>
  <c r="H175" i="74"/>
  <c r="H239" i="74" s="1"/>
  <c r="H228" i="74"/>
  <c r="H215" i="74"/>
  <c r="H165" i="74"/>
  <c r="H238" i="74" s="1"/>
  <c r="G569" i="74"/>
  <c r="AJ1000" i="64"/>
  <c r="AJ1014" i="64"/>
  <c r="AJ989" i="64"/>
  <c r="AJ1001" i="64"/>
  <c r="AJ1011" i="64"/>
  <c r="AJ984" i="64"/>
  <c r="AJ997" i="64"/>
  <c r="AJ1002" i="64"/>
  <c r="AJ1005" i="64"/>
  <c r="I137" i="77"/>
  <c r="H587" i="73"/>
  <c r="H593" i="73" s="1"/>
  <c r="H600" i="73"/>
  <c r="H599" i="73"/>
  <c r="H605" i="73" s="1"/>
  <c r="K626" i="79"/>
  <c r="K627" i="79"/>
  <c r="K628" i="79"/>
  <c r="K764" i="79"/>
  <c r="K763" i="79"/>
  <c r="K588" i="79"/>
  <c r="K585" i="79"/>
  <c r="K583" i="79"/>
  <c r="K584" i="79"/>
  <c r="K736" i="79"/>
  <c r="K735" i="79"/>
  <c r="K755" i="79"/>
  <c r="K756" i="79"/>
  <c r="K596" i="79"/>
  <c r="K599" i="79"/>
  <c r="K595" i="79"/>
  <c r="K594" i="79"/>
  <c r="K760" i="79"/>
  <c r="K759" i="79"/>
  <c r="K792" i="79"/>
  <c r="K795" i="79"/>
  <c r="K821" i="79"/>
  <c r="F210" i="85"/>
  <c r="F211" i="85" s="1"/>
  <c r="F212" i="85"/>
  <c r="I220" i="64"/>
  <c r="H839" i="64"/>
  <c r="J605" i="79"/>
  <c r="AH492" i="79"/>
  <c r="AH287" i="79"/>
  <c r="AH451" i="79"/>
  <c r="AH369" i="79"/>
  <c r="AH205" i="79"/>
  <c r="AH123" i="79"/>
  <c r="AH410" i="79"/>
  <c r="AH328" i="79"/>
  <c r="AH82" i="79"/>
  <c r="AH6" i="79"/>
  <c r="AH246" i="79"/>
  <c r="BJ219" i="65"/>
  <c r="BJ12" i="65"/>
  <c r="V674" i="64" s="1"/>
  <c r="BJ11" i="65"/>
  <c r="V744" i="64" s="1"/>
  <c r="BJ10" i="65"/>
  <c r="V814" i="64" s="1"/>
  <c r="BJ14" i="65"/>
  <c r="V747" i="64" s="1"/>
  <c r="I11" i="73"/>
  <c r="I68" i="73"/>
  <c r="I90" i="73" s="1"/>
  <c r="I100" i="73" s="1"/>
  <c r="I128" i="73" s="1"/>
  <c r="I156" i="73" s="1"/>
  <c r="I184" i="73" s="1"/>
  <c r="I211" i="73" s="1"/>
  <c r="I238" i="73" s="1"/>
  <c r="I264" i="73" s="1"/>
  <c r="I286" i="73" s="1"/>
  <c r="I309" i="73" s="1"/>
  <c r="I331" i="73" s="1"/>
  <c r="I8" i="85" s="1"/>
  <c r="I7" i="73"/>
  <c r="AJ1010" i="64"/>
  <c r="J597" i="79"/>
  <c r="J1632" i="79"/>
  <c r="J554" i="79"/>
  <c r="J1631" i="79"/>
  <c r="J1387" i="79"/>
  <c r="K564" i="79"/>
  <c r="K560" i="79"/>
  <c r="K559" i="79"/>
  <c r="K561" i="79"/>
  <c r="K751" i="79"/>
  <c r="K748" i="79"/>
  <c r="K752" i="79"/>
  <c r="K747" i="79"/>
  <c r="K731" i="79"/>
  <c r="K732" i="79"/>
  <c r="K777" i="79"/>
  <c r="K603" i="79"/>
  <c r="K602" i="79"/>
  <c r="K604" i="79"/>
  <c r="K728" i="79"/>
  <c r="K727" i="79"/>
  <c r="K1220" i="79" s="1"/>
  <c r="K1288" i="79" s="1"/>
  <c r="K768" i="79"/>
  <c r="K767" i="79"/>
  <c r="K815" i="79"/>
  <c r="K806" i="79"/>
  <c r="F554" i="73"/>
  <c r="F462" i="73"/>
  <c r="F556" i="73"/>
  <c r="I615" i="79"/>
  <c r="H63" i="85"/>
  <c r="H81" i="85" s="1"/>
  <c r="G82" i="85"/>
  <c r="F220" i="85"/>
  <c r="F218" i="85"/>
  <c r="H240" i="73"/>
  <c r="H257" i="73" s="1"/>
  <c r="G258" i="73"/>
  <c r="G461" i="73" s="1"/>
  <c r="J570" i="79"/>
  <c r="DF1200" i="64"/>
  <c r="CF1274" i="64" s="1"/>
  <c r="CE1126" i="64"/>
  <c r="DI1053" i="64"/>
  <c r="CU1126" i="64" s="1"/>
  <c r="BJ205" i="65"/>
  <c r="V787" i="64" s="1"/>
  <c r="BJ208" i="65"/>
  <c r="V790" i="64" s="1"/>
  <c r="BJ207" i="65"/>
  <c r="V718" i="64" s="1"/>
  <c r="BJ209" i="65"/>
  <c r="BJ213" i="65"/>
  <c r="V724" i="64" s="1"/>
  <c r="BJ206" i="65"/>
  <c r="V717" i="64" s="1"/>
  <c r="BJ210" i="65"/>
  <c r="V792" i="64" s="1"/>
  <c r="BJ212" i="65"/>
  <c r="V794" i="64" s="1"/>
  <c r="BJ203" i="65"/>
  <c r="V714" i="64" s="1"/>
  <c r="BJ204" i="65"/>
  <c r="V715" i="64" s="1"/>
  <c r="BJ214" i="65"/>
  <c r="V796" i="64" s="1"/>
  <c r="BJ211" i="65"/>
  <c r="V722" i="64" s="1"/>
  <c r="BX10" i="65"/>
  <c r="BX219" i="65"/>
  <c r="BX16" i="65"/>
  <c r="BX19" i="65"/>
  <c r="BX12" i="65"/>
  <c r="BX15" i="65"/>
  <c r="BX17" i="65"/>
  <c r="BX11" i="65"/>
  <c r="BX14" i="65"/>
  <c r="BX21" i="65"/>
  <c r="BX18" i="65"/>
  <c r="BX22" i="65"/>
  <c r="BX23" i="65"/>
  <c r="L835" i="79"/>
  <c r="L663" i="79"/>
  <c r="L492" i="79"/>
  <c r="L287" i="79"/>
  <c r="L246" i="79"/>
  <c r="L451" i="79"/>
  <c r="L205" i="79"/>
  <c r="L164" i="79"/>
  <c r="AI41" i="79"/>
  <c r="L547" i="79"/>
  <c r="L6" i="79"/>
  <c r="L1306" i="79" s="1"/>
  <c r="AI1306" i="79" s="1"/>
  <c r="L369" i="79"/>
  <c r="L328" i="79"/>
  <c r="L123" i="79"/>
  <c r="L82" i="79"/>
  <c r="F379" i="40"/>
  <c r="F514" i="40" s="1"/>
  <c r="L410" i="79"/>
  <c r="G577" i="74"/>
  <c r="J1634" i="79"/>
  <c r="J607" i="79"/>
  <c r="J615" i="79" s="1"/>
  <c r="J623" i="79" s="1"/>
  <c r="J631" i="79" s="1"/>
  <c r="H487" i="73"/>
  <c r="H54" i="73"/>
  <c r="K580" i="79"/>
  <c r="K576" i="79"/>
  <c r="K575" i="79"/>
  <c r="K577" i="79"/>
  <c r="K552" i="79"/>
  <c r="K556" i="79"/>
  <c r="K551" i="79"/>
  <c r="K553" i="79"/>
  <c r="K827" i="79"/>
  <c r="K824" i="79"/>
  <c r="K780" i="79"/>
  <c r="K620" i="79"/>
  <c r="K619" i="79"/>
  <c r="K618" i="79"/>
  <c r="K743" i="79"/>
  <c r="K744" i="79"/>
  <c r="K789" i="79"/>
  <c r="K772" i="79"/>
  <c r="K771" i="79"/>
  <c r="K818" i="79"/>
  <c r="K798" i="79"/>
  <c r="D16" i="80"/>
  <c r="D72" i="83"/>
  <c r="S1019" i="64"/>
  <c r="T1019" i="64"/>
  <c r="AF1019" i="64"/>
  <c r="R1019" i="64"/>
  <c r="H90" i="85"/>
  <c r="H110" i="85"/>
  <c r="H111" i="85" s="1"/>
  <c r="Q1053" i="64"/>
  <c r="Q1200" i="64"/>
  <c r="AD1200" i="64" s="1"/>
  <c r="J220" i="64"/>
  <c r="I839" i="64"/>
  <c r="AF999" i="64"/>
  <c r="AJ999" i="64" s="1"/>
  <c r="S999" i="64"/>
  <c r="R999" i="64"/>
  <c r="H220" i="64"/>
  <c r="G839" i="64"/>
  <c r="T1015" i="64"/>
  <c r="AF1015" i="64"/>
  <c r="R1015" i="64"/>
  <c r="S1015" i="64"/>
  <c r="BX224" i="65"/>
  <c r="BX209" i="65"/>
  <c r="BX229" i="65"/>
  <c r="BX210" i="65"/>
  <c r="BX212" i="65"/>
  <c r="BX227" i="65"/>
  <c r="BX231" i="65"/>
  <c r="BX213" i="65"/>
  <c r="BX221" i="65"/>
  <c r="BX228" i="65"/>
  <c r="BX207" i="65"/>
  <c r="BX204" i="65"/>
  <c r="BX203" i="65"/>
  <c r="BX211" i="65"/>
  <c r="BX230" i="65"/>
  <c r="BX226" i="65"/>
  <c r="BX214" i="65"/>
  <c r="BX222" i="65"/>
  <c r="BX206" i="65"/>
  <c r="BX205" i="65"/>
  <c r="BX223" i="65"/>
  <c r="BX208" i="65"/>
  <c r="BX225" i="65"/>
  <c r="BX220" i="65"/>
  <c r="I7" i="74"/>
  <c r="K5" i="77"/>
  <c r="K483" i="77" s="1"/>
  <c r="J10" i="73"/>
  <c r="J1398" i="64"/>
  <c r="J1381" i="64"/>
  <c r="J1364" i="64"/>
  <c r="M41" i="79"/>
  <c r="J1345" i="64"/>
  <c r="K400" i="64"/>
  <c r="J813" i="64" s="1"/>
  <c r="I888" i="64" s="1"/>
  <c r="K126" i="64"/>
  <c r="K120" i="64"/>
  <c r="K115" i="64" s="1"/>
  <c r="K111" i="64"/>
  <c r="K104" i="64"/>
  <c r="L8" i="64"/>
  <c r="K289" i="64"/>
  <c r="K345" i="64" s="1"/>
  <c r="K214" i="64"/>
  <c r="CM202" i="65"/>
  <c r="BY202" i="65"/>
  <c r="BK202" i="65"/>
  <c r="CT1053" i="64"/>
  <c r="J742" i="64"/>
  <c r="K258" i="64"/>
  <c r="K274" i="64" s="1"/>
  <c r="K171" i="64"/>
  <c r="K4" i="64"/>
  <c r="K637" i="64"/>
  <c r="BK8" i="65"/>
  <c r="BK16" i="65" s="1"/>
  <c r="CM8" i="65"/>
  <c r="CM25" i="65" s="1"/>
  <c r="BY8" i="65"/>
  <c r="BY25" i="65" s="1"/>
  <c r="CL10" i="65"/>
  <c r="CL16" i="65"/>
  <c r="CL18" i="65"/>
  <c r="CL15" i="65"/>
  <c r="CL17" i="65"/>
  <c r="CL219" i="65"/>
  <c r="CL14" i="65"/>
  <c r="CL12" i="65"/>
  <c r="CL11" i="65"/>
  <c r="CL21" i="65"/>
  <c r="CL19" i="65"/>
  <c r="CL22" i="65"/>
  <c r="CL23" i="65"/>
  <c r="M609" i="77"/>
  <c r="M631" i="77" s="1"/>
  <c r="M638" i="77" s="1"/>
  <c r="J438" i="77"/>
  <c r="M622" i="77"/>
  <c r="M597" i="77"/>
  <c r="H646" i="77"/>
  <c r="G605" i="77" s="1"/>
  <c r="G574" i="74"/>
  <c r="S677" i="64"/>
  <c r="S748" i="64"/>
  <c r="S819" i="64"/>
  <c r="AS676" i="64"/>
  <c r="AF676" i="64"/>
  <c r="AS747" i="64"/>
  <c r="AF747" i="64"/>
  <c r="BS26" i="65"/>
  <c r="BV25" i="65"/>
  <c r="BX25" i="65"/>
  <c r="BW25" i="65"/>
  <c r="BU25" i="65"/>
  <c r="CG26" i="65"/>
  <c r="CL25" i="65"/>
  <c r="CI25" i="65"/>
  <c r="CJ25" i="65"/>
  <c r="CK25" i="65"/>
  <c r="T748" i="64"/>
  <c r="T819" i="64"/>
  <c r="T677" i="64"/>
  <c r="BE17" i="65"/>
  <c r="BI16" i="65"/>
  <c r="BJ16" i="65"/>
  <c r="V749" i="64" s="1"/>
  <c r="BG16" i="65"/>
  <c r="BH16" i="65"/>
  <c r="J275" i="64"/>
  <c r="J243" i="64"/>
  <c r="I862" i="64"/>
  <c r="H240" i="64"/>
  <c r="G855" i="64"/>
  <c r="G240" i="64"/>
  <c r="F855" i="64"/>
  <c r="O240" i="64"/>
  <c r="AF789" i="64"/>
  <c r="AS789" i="64"/>
  <c r="AH1020" i="64"/>
  <c r="D1020" i="64" s="1"/>
  <c r="D1091" i="64" s="1"/>
  <c r="AI1020" i="64"/>
  <c r="E1020" i="64" s="1"/>
  <c r="E1091" i="64" s="1"/>
  <c r="AG1020" i="64"/>
  <c r="C1020" i="64" s="1"/>
  <c r="C1091" i="64" s="1"/>
  <c r="B1020" i="64"/>
  <c r="AT788" i="64"/>
  <c r="AG788" i="64"/>
  <c r="P451" i="40"/>
  <c r="AC451" i="40" s="1"/>
  <c r="AG792" i="64"/>
  <c r="AT792" i="64"/>
  <c r="N280" i="64"/>
  <c r="N248" i="64"/>
  <c r="R280" i="64"/>
  <c r="R248" i="64"/>
  <c r="Q280" i="64"/>
  <c r="Q248" i="64"/>
  <c r="P495" i="40"/>
  <c r="AC495" i="40" s="1"/>
  <c r="G245" i="64"/>
  <c r="G277" i="64"/>
  <c r="I245" i="64"/>
  <c r="I277" i="64"/>
  <c r="I868" i="64"/>
  <c r="J281" i="64"/>
  <c r="J249" i="64"/>
  <c r="AG790" i="64"/>
  <c r="AT790" i="64"/>
  <c r="AG1004" i="64"/>
  <c r="C1004" i="64" s="1"/>
  <c r="C1075" i="64" s="1"/>
  <c r="B1004" i="64"/>
  <c r="AH1004" i="64"/>
  <c r="D1004" i="64" s="1"/>
  <c r="D1075" i="64" s="1"/>
  <c r="AI1004" i="64"/>
  <c r="E1004" i="64" s="1"/>
  <c r="E1075" i="64" s="1"/>
  <c r="AF1033" i="64"/>
  <c r="AJ1033" i="64" s="1"/>
  <c r="R1033" i="64"/>
  <c r="S1033" i="64"/>
  <c r="H282" i="64"/>
  <c r="H250" i="64"/>
  <c r="K279" i="64"/>
  <c r="K247" i="64"/>
  <c r="S860" i="64"/>
  <c r="T860" i="64"/>
  <c r="M247" i="64"/>
  <c r="M279" i="64"/>
  <c r="L279" i="64"/>
  <c r="L247" i="64"/>
  <c r="I276" i="64"/>
  <c r="I244" i="64"/>
  <c r="G252" i="64"/>
  <c r="G284" i="64"/>
  <c r="O252" i="64"/>
  <c r="O284" i="64"/>
  <c r="Q284" i="64"/>
  <c r="Q252" i="64"/>
  <c r="R284" i="64"/>
  <c r="R252" i="64"/>
  <c r="G278" i="64"/>
  <c r="G246" i="64"/>
  <c r="P494" i="40"/>
  <c r="AC494" i="40" s="1"/>
  <c r="AF737" i="64"/>
  <c r="AI1012" i="64"/>
  <c r="E1012" i="64" s="1"/>
  <c r="E1083" i="64" s="1"/>
  <c r="B1012" i="64"/>
  <c r="AH1012" i="64"/>
  <c r="D1012" i="64" s="1"/>
  <c r="D1083" i="64" s="1"/>
  <c r="AG1012" i="64"/>
  <c r="C1012" i="64" s="1"/>
  <c r="C1083" i="64" s="1"/>
  <c r="K251" i="64"/>
  <c r="K283" i="64"/>
  <c r="I283" i="64"/>
  <c r="I251" i="64"/>
  <c r="S865" i="64"/>
  <c r="T865" i="64"/>
  <c r="P285" i="64"/>
  <c r="P253" i="64"/>
  <c r="J285" i="64"/>
  <c r="J253" i="64"/>
  <c r="I253" i="64"/>
  <c r="I285" i="64"/>
  <c r="R237" i="64"/>
  <c r="H237" i="64"/>
  <c r="G849" i="64"/>
  <c r="I237" i="64"/>
  <c r="H849" i="64"/>
  <c r="AF795" i="64"/>
  <c r="AS795" i="64"/>
  <c r="E1041" i="64"/>
  <c r="E1112" i="64" s="1"/>
  <c r="Q240" i="64"/>
  <c r="K240" i="64"/>
  <c r="F579" i="74"/>
  <c r="G561" i="74"/>
  <c r="AG789" i="64"/>
  <c r="AT789" i="64"/>
  <c r="AF787" i="64"/>
  <c r="AS787" i="64"/>
  <c r="K248" i="64"/>
  <c r="K280" i="64"/>
  <c r="G280" i="64"/>
  <c r="G248" i="64"/>
  <c r="I280" i="64"/>
  <c r="I248" i="64"/>
  <c r="T861" i="64"/>
  <c r="S861" i="64"/>
  <c r="AB1022" i="64"/>
  <c r="Y1022" i="64"/>
  <c r="Z1022" i="64"/>
  <c r="R1022" i="64"/>
  <c r="T1022" i="64"/>
  <c r="AA1022" i="64"/>
  <c r="U1022" i="64"/>
  <c r="AF1022" i="64"/>
  <c r="V1022" i="64"/>
  <c r="AC1022" i="64"/>
  <c r="X1022" i="64"/>
  <c r="S1022" i="64"/>
  <c r="W1022" i="64"/>
  <c r="AH1003" i="64"/>
  <c r="D1003" i="64" s="1"/>
  <c r="D1074" i="64" s="1"/>
  <c r="AI1003" i="64"/>
  <c r="E1003" i="64" s="1"/>
  <c r="E1074" i="64" s="1"/>
  <c r="AG1003" i="64"/>
  <c r="C1003" i="64" s="1"/>
  <c r="C1074" i="64" s="1"/>
  <c r="B1003" i="64"/>
  <c r="AR1023" i="64"/>
  <c r="N1023" i="64" s="1"/>
  <c r="N1094" i="64" s="1"/>
  <c r="AH1023" i="64"/>
  <c r="D1023" i="64" s="1"/>
  <c r="D1094" i="64" s="1"/>
  <c r="AO1023" i="64"/>
  <c r="K1023" i="64" s="1"/>
  <c r="K1094" i="64" s="1"/>
  <c r="AG1023" i="64"/>
  <c r="C1023" i="64" s="1"/>
  <c r="C1094" i="64" s="1"/>
  <c r="AN1023" i="64"/>
  <c r="J1023" i="64" s="1"/>
  <c r="J1094" i="64" s="1"/>
  <c r="AP1023" i="64"/>
  <c r="L1023" i="64" s="1"/>
  <c r="L1094" i="64" s="1"/>
  <c r="AL1023" i="64"/>
  <c r="H1023" i="64" s="1"/>
  <c r="H1094" i="64" s="1"/>
  <c r="AM1023" i="64"/>
  <c r="I1023" i="64" s="1"/>
  <c r="I1094" i="64" s="1"/>
  <c r="B1023" i="64"/>
  <c r="AQ1023" i="64"/>
  <c r="M1023" i="64" s="1"/>
  <c r="M1094" i="64" s="1"/>
  <c r="AJ1023" i="64"/>
  <c r="F1023" i="64" s="1"/>
  <c r="F1094" i="64" s="1"/>
  <c r="AK1023" i="64"/>
  <c r="G1023" i="64" s="1"/>
  <c r="G1094" i="64" s="1"/>
  <c r="AI1023" i="64"/>
  <c r="E1023" i="64" s="1"/>
  <c r="E1094" i="64" s="1"/>
  <c r="D15" i="80"/>
  <c r="D71" i="83"/>
  <c r="J277" i="64"/>
  <c r="J245" i="64"/>
  <c r="H868" i="64"/>
  <c r="I249" i="64"/>
  <c r="I281" i="64"/>
  <c r="AS790" i="64"/>
  <c r="AF790" i="64"/>
  <c r="G282" i="64"/>
  <c r="G250" i="64"/>
  <c r="S864" i="64"/>
  <c r="T864" i="64"/>
  <c r="I282" i="64"/>
  <c r="I250" i="64"/>
  <c r="N247" i="64"/>
  <c r="N279" i="64"/>
  <c r="R279" i="64"/>
  <c r="R247" i="64"/>
  <c r="H279" i="64"/>
  <c r="H247" i="64"/>
  <c r="G276" i="64"/>
  <c r="G244" i="64"/>
  <c r="H244" i="64"/>
  <c r="H276" i="64"/>
  <c r="J252" i="64"/>
  <c r="J284" i="64"/>
  <c r="N252" i="64"/>
  <c r="N284" i="64"/>
  <c r="H284" i="64"/>
  <c r="H252" i="64"/>
  <c r="AF1028" i="64"/>
  <c r="AJ1028" i="64" s="1"/>
  <c r="R1028" i="64"/>
  <c r="S1028" i="64"/>
  <c r="J246" i="64"/>
  <c r="J278" i="64"/>
  <c r="H246" i="64"/>
  <c r="H278" i="64"/>
  <c r="P493" i="40"/>
  <c r="AC493" i="40" s="1"/>
  <c r="AS737" i="64"/>
  <c r="AG816" i="64"/>
  <c r="AT816" i="64"/>
  <c r="H251" i="64"/>
  <c r="H283" i="64"/>
  <c r="G251" i="64"/>
  <c r="G283" i="64"/>
  <c r="W1036" i="64"/>
  <c r="AF1036" i="64"/>
  <c r="U1036" i="64"/>
  <c r="S1036" i="64"/>
  <c r="Y1036" i="64"/>
  <c r="AC1036" i="64"/>
  <c r="AB1036" i="64"/>
  <c r="T1036" i="64"/>
  <c r="R1036" i="64"/>
  <c r="AA1036" i="64"/>
  <c r="V1036" i="64"/>
  <c r="X1036" i="64"/>
  <c r="Z1036" i="64"/>
  <c r="S867" i="64"/>
  <c r="T867" i="64"/>
  <c r="M285" i="64"/>
  <c r="M253" i="64"/>
  <c r="AC1017" i="64"/>
  <c r="V1017" i="64"/>
  <c r="AB1017" i="64"/>
  <c r="T1017" i="64"/>
  <c r="Y1017" i="64"/>
  <c r="AF1017" i="64"/>
  <c r="R1017" i="64"/>
  <c r="AA1017" i="64"/>
  <c r="S1017" i="64"/>
  <c r="W1017" i="64"/>
  <c r="U1017" i="64"/>
  <c r="X1017" i="64"/>
  <c r="Z1017" i="64"/>
  <c r="O237" i="64"/>
  <c r="K237" i="64"/>
  <c r="AT795" i="64"/>
  <c r="AG795" i="64"/>
  <c r="F862" i="64"/>
  <c r="G243" i="64"/>
  <c r="G275" i="64"/>
  <c r="I243" i="64"/>
  <c r="H862" i="64"/>
  <c r="I275" i="64"/>
  <c r="B985" i="64"/>
  <c r="AI985" i="64"/>
  <c r="E985" i="64" s="1"/>
  <c r="E1056" i="64" s="1"/>
  <c r="AH985" i="64"/>
  <c r="D985" i="64" s="1"/>
  <c r="D1056" i="64" s="1"/>
  <c r="AG985" i="64"/>
  <c r="C985" i="64" s="1"/>
  <c r="C1056" i="64" s="1"/>
  <c r="I240" i="64"/>
  <c r="H855" i="64"/>
  <c r="J240" i="64"/>
  <c r="I855" i="64"/>
  <c r="N240" i="64"/>
  <c r="R240" i="64"/>
  <c r="S808" i="64"/>
  <c r="AS786" i="64"/>
  <c r="AF786" i="64"/>
  <c r="AT787" i="64"/>
  <c r="AG787" i="64"/>
  <c r="P248" i="64"/>
  <c r="P280" i="64"/>
  <c r="M248" i="64"/>
  <c r="M280" i="64"/>
  <c r="L248" i="64"/>
  <c r="L280" i="64"/>
  <c r="J248" i="64"/>
  <c r="J280" i="64"/>
  <c r="H277" i="64"/>
  <c r="H245" i="64"/>
  <c r="F628" i="64"/>
  <c r="F647" i="64" s="1"/>
  <c r="S863" i="64"/>
  <c r="T863" i="64"/>
  <c r="G249" i="64"/>
  <c r="G281" i="64"/>
  <c r="F868" i="64"/>
  <c r="P247" i="64"/>
  <c r="P279" i="64"/>
  <c r="AF1029" i="64"/>
  <c r="AB1029" i="64"/>
  <c r="AC1029" i="64"/>
  <c r="U1029" i="64"/>
  <c r="Z1029" i="64"/>
  <c r="W1029" i="64"/>
  <c r="S1029" i="64"/>
  <c r="R1029" i="64"/>
  <c r="T1029" i="64"/>
  <c r="X1029" i="64"/>
  <c r="V1029" i="64"/>
  <c r="Y1029" i="64"/>
  <c r="AA1029" i="64"/>
  <c r="Q279" i="64"/>
  <c r="Q247" i="64"/>
  <c r="S1026" i="64"/>
  <c r="R1026" i="64"/>
  <c r="AF1026" i="64"/>
  <c r="AP1007" i="64"/>
  <c r="L1007" i="64" s="1"/>
  <c r="L1078" i="64" s="1"/>
  <c r="AG1007" i="64"/>
  <c r="C1007" i="64" s="1"/>
  <c r="C1078" i="64" s="1"/>
  <c r="AQ1007" i="64"/>
  <c r="M1007" i="64" s="1"/>
  <c r="M1078" i="64" s="1"/>
  <c r="AR1007" i="64"/>
  <c r="N1007" i="64" s="1"/>
  <c r="N1078" i="64" s="1"/>
  <c r="AL1007" i="64"/>
  <c r="H1007" i="64" s="1"/>
  <c r="H1078" i="64" s="1"/>
  <c r="AM1007" i="64"/>
  <c r="I1007" i="64" s="1"/>
  <c r="I1078" i="64" s="1"/>
  <c r="AI1007" i="64"/>
  <c r="E1007" i="64" s="1"/>
  <c r="E1078" i="64" s="1"/>
  <c r="AN1007" i="64"/>
  <c r="J1007" i="64" s="1"/>
  <c r="J1078" i="64" s="1"/>
  <c r="AH1007" i="64"/>
  <c r="D1007" i="64" s="1"/>
  <c r="D1078" i="64" s="1"/>
  <c r="B1007" i="64"/>
  <c r="AJ1007" i="64"/>
  <c r="F1007" i="64" s="1"/>
  <c r="F1078" i="64" s="1"/>
  <c r="AO1007" i="64"/>
  <c r="K1007" i="64" s="1"/>
  <c r="K1078" i="64" s="1"/>
  <c r="AK1007" i="64"/>
  <c r="G1007" i="64" s="1"/>
  <c r="G1078" i="64" s="1"/>
  <c r="L284" i="64"/>
  <c r="L252" i="64"/>
  <c r="P284" i="64"/>
  <c r="P252" i="64"/>
  <c r="T866" i="64"/>
  <c r="S866" i="64"/>
  <c r="I278" i="64"/>
  <c r="I246" i="64"/>
  <c r="T859" i="64"/>
  <c r="S859" i="64"/>
  <c r="AF816" i="64"/>
  <c r="AS816" i="64"/>
  <c r="U1034" i="64"/>
  <c r="T1034" i="64"/>
  <c r="AF1034" i="64"/>
  <c r="R1034" i="64"/>
  <c r="S1034" i="64"/>
  <c r="Q253" i="64"/>
  <c r="Q285" i="64"/>
  <c r="K253" i="64"/>
  <c r="K285" i="64"/>
  <c r="H285" i="64"/>
  <c r="H253" i="64"/>
  <c r="L285" i="64"/>
  <c r="L253" i="64"/>
  <c r="Q237" i="64"/>
  <c r="G237" i="64"/>
  <c r="F849" i="64"/>
  <c r="J237" i="64"/>
  <c r="I849" i="64"/>
  <c r="N237" i="64"/>
  <c r="S1025" i="64"/>
  <c r="R1025" i="64"/>
  <c r="AF1025" i="64"/>
  <c r="T1025" i="64"/>
  <c r="T856" i="64"/>
  <c r="S856" i="64"/>
  <c r="G862" i="64"/>
  <c r="H275" i="64"/>
  <c r="H243" i="64"/>
  <c r="AI1006" i="64"/>
  <c r="E1006" i="64" s="1"/>
  <c r="E1077" i="64" s="1"/>
  <c r="AG1006" i="64"/>
  <c r="C1006" i="64" s="1"/>
  <c r="C1077" i="64" s="1"/>
  <c r="AH1006" i="64"/>
  <c r="D1006" i="64" s="1"/>
  <c r="D1077" i="64" s="1"/>
  <c r="B1006" i="64"/>
  <c r="M240" i="64"/>
  <c r="L240" i="64"/>
  <c r="P240" i="64"/>
  <c r="V1021" i="64"/>
  <c r="Y1021" i="64"/>
  <c r="AC1021" i="64"/>
  <c r="R1021" i="64"/>
  <c r="T1021" i="64"/>
  <c r="S1021" i="64"/>
  <c r="AF1021" i="64"/>
  <c r="AB1021" i="64"/>
  <c r="X1021" i="64"/>
  <c r="AA1021" i="64"/>
  <c r="Z1021" i="64"/>
  <c r="W1021" i="64"/>
  <c r="U1021" i="64"/>
  <c r="AT786" i="64"/>
  <c r="AG786" i="64"/>
  <c r="T808" i="64"/>
  <c r="AS788" i="64"/>
  <c r="AF788" i="64"/>
  <c r="AF792" i="64"/>
  <c r="AS792" i="64"/>
  <c r="O280" i="64"/>
  <c r="O248" i="64"/>
  <c r="H280" i="64"/>
  <c r="H248" i="64"/>
  <c r="AA1030" i="64"/>
  <c r="S1030" i="64"/>
  <c r="W1030" i="64"/>
  <c r="AC1030" i="64"/>
  <c r="V1030" i="64"/>
  <c r="AB1030" i="64"/>
  <c r="T1030" i="64"/>
  <c r="Y1030" i="64"/>
  <c r="AF1030" i="64"/>
  <c r="R1030" i="64"/>
  <c r="U1030" i="64"/>
  <c r="X1030" i="64"/>
  <c r="Z1030" i="64"/>
  <c r="F241" i="74"/>
  <c r="G241" i="74" s="1"/>
  <c r="E245" i="74"/>
  <c r="T1027" i="64"/>
  <c r="AF1027" i="64"/>
  <c r="S1027" i="64"/>
  <c r="R1027" i="64"/>
  <c r="T858" i="64"/>
  <c r="S858" i="64"/>
  <c r="S1032" i="64"/>
  <c r="R1032" i="64"/>
  <c r="AF1032" i="64"/>
  <c r="H249" i="64"/>
  <c r="G868" i="64"/>
  <c r="H281" i="64"/>
  <c r="J250" i="64"/>
  <c r="J282" i="64"/>
  <c r="G279" i="64"/>
  <c r="G247" i="64"/>
  <c r="O279" i="64"/>
  <c r="O247" i="64"/>
  <c r="I279" i="64"/>
  <c r="I247" i="64"/>
  <c r="J247" i="64"/>
  <c r="J279" i="64"/>
  <c r="J244" i="64"/>
  <c r="J276" i="64"/>
  <c r="S857" i="64"/>
  <c r="T857" i="64"/>
  <c r="K284" i="64"/>
  <c r="K252" i="64"/>
  <c r="AB1035" i="64"/>
  <c r="W1035" i="64"/>
  <c r="Y1035" i="64"/>
  <c r="AA1035" i="64"/>
  <c r="X1035" i="64"/>
  <c r="R1035" i="64"/>
  <c r="V1035" i="64"/>
  <c r="T1035" i="64"/>
  <c r="Z1035" i="64"/>
  <c r="AF1035" i="64"/>
  <c r="AC1035" i="64"/>
  <c r="U1035" i="64"/>
  <c r="S1035" i="64"/>
  <c r="M252" i="64"/>
  <c r="M284" i="64"/>
  <c r="I284" i="64"/>
  <c r="I252" i="64"/>
  <c r="G121" i="64"/>
  <c r="D612" i="77"/>
  <c r="G233" i="74"/>
  <c r="C15" i="80"/>
  <c r="C71" i="83"/>
  <c r="J283" i="64"/>
  <c r="J251" i="64"/>
  <c r="G285" i="64"/>
  <c r="G253" i="64"/>
  <c r="O253" i="64"/>
  <c r="O285" i="64"/>
  <c r="N253" i="64"/>
  <c r="N285" i="64"/>
  <c r="R253" i="64"/>
  <c r="R285" i="64"/>
  <c r="M237" i="64"/>
  <c r="L237" i="64"/>
  <c r="P237" i="64"/>
  <c r="P492" i="40"/>
  <c r="AC492" i="40" s="1"/>
  <c r="P449" i="40"/>
  <c r="AC449" i="40" s="1"/>
  <c r="P454" i="40"/>
  <c r="AC454" i="40" s="1"/>
  <c r="C2655" i="79"/>
  <c r="E1039" i="64"/>
  <c r="E1110" i="64" s="1"/>
  <c r="A589" i="77"/>
  <c r="A50" i="77"/>
  <c r="A71" i="77" s="1"/>
  <c r="F602" i="73"/>
  <c r="F589" i="73"/>
  <c r="F595" i="73" s="1"/>
  <c r="I265" i="73"/>
  <c r="I279" i="73" s="1"/>
  <c r="H280" i="73"/>
  <c r="G303" i="73"/>
  <c r="H287" i="73"/>
  <c r="H302" i="73" s="1"/>
  <c r="I287" i="73" s="1"/>
  <c r="I302" i="73" s="1"/>
  <c r="CB1339" i="64"/>
  <c r="AB1265" i="64"/>
  <c r="DO1265" i="64"/>
  <c r="CN1191" i="64"/>
  <c r="A1191" i="64"/>
  <c r="O278" i="73"/>
  <c r="R278" i="73" s="1"/>
  <c r="R277" i="73"/>
  <c r="H51" i="85"/>
  <c r="H54" i="85" s="1"/>
  <c r="G204" i="85"/>
  <c r="G202" i="85"/>
  <c r="I62" i="85"/>
  <c r="H79" i="85"/>
  <c r="F203" i="85"/>
  <c r="F205" i="85" s="1"/>
  <c r="F228" i="85" s="1"/>
  <c r="I86" i="73"/>
  <c r="I453" i="73" s="1"/>
  <c r="I455" i="73" s="1"/>
  <c r="J69" i="73"/>
  <c r="J85" i="73" s="1"/>
  <c r="I157" i="73"/>
  <c r="H174" i="73"/>
  <c r="I332" i="73"/>
  <c r="H346" i="73"/>
  <c r="G557" i="73"/>
  <c r="G570" i="73" s="1"/>
  <c r="I129" i="73"/>
  <c r="H146" i="73"/>
  <c r="H117" i="73"/>
  <c r="H148" i="73"/>
  <c r="I130" i="73" s="1"/>
  <c r="I239" i="73"/>
  <c r="H255" i="73"/>
  <c r="I185" i="73"/>
  <c r="H202" i="73"/>
  <c r="H348" i="73"/>
  <c r="E66" i="8"/>
  <c r="D12" i="80" s="1"/>
  <c r="D11" i="80" s="1"/>
  <c r="I962" i="64"/>
  <c r="L82" i="64"/>
  <c r="K474" i="64"/>
  <c r="I934" i="64"/>
  <c r="K446" i="64"/>
  <c r="I954" i="64"/>
  <c r="L74" i="64"/>
  <c r="K466" i="64"/>
  <c r="I969" i="64"/>
  <c r="K481" i="64"/>
  <c r="L89" i="64"/>
  <c r="K464" i="64"/>
  <c r="I952" i="64"/>
  <c r="L72" i="64"/>
  <c r="I937" i="64"/>
  <c r="K449" i="64"/>
  <c r="I922" i="64"/>
  <c r="K434" i="64"/>
  <c r="I929" i="64"/>
  <c r="K441" i="64"/>
  <c r="I968" i="64"/>
  <c r="K480" i="64"/>
  <c r="L88" i="64"/>
  <c r="I972" i="64"/>
  <c r="K484" i="64"/>
  <c r="L92" i="64"/>
  <c r="J977" i="64"/>
  <c r="M97" i="64"/>
  <c r="L489" i="64"/>
  <c r="I945" i="64"/>
  <c r="K457" i="64"/>
  <c r="I933" i="64"/>
  <c r="K445" i="64"/>
  <c r="I958" i="64"/>
  <c r="K470" i="64"/>
  <c r="L78" i="64"/>
  <c r="J955" i="64"/>
  <c r="L467" i="64"/>
  <c r="M75" i="64"/>
  <c r="I917" i="64"/>
  <c r="K429" i="64"/>
  <c r="K436" i="64"/>
  <c r="I924" i="64"/>
  <c r="I953" i="64"/>
  <c r="K465" i="64"/>
  <c r="L73" i="64"/>
  <c r="K440" i="64"/>
  <c r="I928" i="64"/>
  <c r="K460" i="64"/>
  <c r="I948" i="64"/>
  <c r="J947" i="64"/>
  <c r="L459" i="64"/>
  <c r="J943" i="64"/>
  <c r="L455" i="64"/>
  <c r="I964" i="64"/>
  <c r="K476" i="64"/>
  <c r="L84" i="64"/>
  <c r="J919" i="64"/>
  <c r="L431" i="64"/>
  <c r="K432" i="64"/>
  <c r="I920" i="64"/>
  <c r="I961" i="64"/>
  <c r="K473" i="64"/>
  <c r="L81" i="64"/>
  <c r="I941" i="64"/>
  <c r="K453" i="64"/>
  <c r="J931" i="64"/>
  <c r="L443" i="64"/>
  <c r="I957" i="64"/>
  <c r="K469" i="64"/>
  <c r="L77" i="64"/>
  <c r="I965" i="64"/>
  <c r="K477" i="64"/>
  <c r="L85" i="64"/>
  <c r="K456" i="64"/>
  <c r="I944" i="64"/>
  <c r="I921" i="64"/>
  <c r="K433" i="64"/>
  <c r="J973" i="64"/>
  <c r="M93" i="64"/>
  <c r="L485" i="64"/>
  <c r="J959" i="64"/>
  <c r="L471" i="64"/>
  <c r="M79" i="64"/>
  <c r="J935" i="64"/>
  <c r="L447" i="64"/>
  <c r="J923" i="64"/>
  <c r="L435" i="64"/>
  <c r="J971" i="64"/>
  <c r="L483" i="64"/>
  <c r="M91" i="64"/>
  <c r="I914" i="64"/>
  <c r="K426" i="64"/>
  <c r="I956" i="64"/>
  <c r="K468" i="64"/>
  <c r="L76" i="64"/>
  <c r="I976" i="64"/>
  <c r="K488" i="64"/>
  <c r="L96" i="64"/>
  <c r="J978" i="64"/>
  <c r="L490" i="64"/>
  <c r="M98" i="64"/>
  <c r="K428" i="64"/>
  <c r="I916" i="64"/>
  <c r="I950" i="64"/>
  <c r="K462" i="64"/>
  <c r="L70" i="64"/>
  <c r="I942" i="64"/>
  <c r="K454" i="64"/>
  <c r="I960" i="64"/>
  <c r="K472" i="64"/>
  <c r="L80" i="64"/>
  <c r="I918" i="64"/>
  <c r="K430" i="64"/>
  <c r="I938" i="64"/>
  <c r="K450" i="64"/>
  <c r="I925" i="64"/>
  <c r="K437" i="64"/>
  <c r="I975" i="64"/>
  <c r="K487" i="64"/>
  <c r="L95" i="64"/>
  <c r="K452" i="64"/>
  <c r="I940" i="64"/>
  <c r="I926" i="64"/>
  <c r="K438" i="64"/>
  <c r="K444" i="64"/>
  <c r="I932" i="64"/>
  <c r="J939" i="64"/>
  <c r="L451" i="64"/>
  <c r="I930" i="64"/>
  <c r="K442" i="64"/>
  <c r="K448" i="64"/>
  <c r="I936" i="64"/>
  <c r="J927" i="64"/>
  <c r="L439" i="64"/>
  <c r="J974" i="64"/>
  <c r="L486" i="64"/>
  <c r="M94" i="64"/>
  <c r="I966" i="64"/>
  <c r="L86" i="64"/>
  <c r="K478" i="64"/>
  <c r="J951" i="64"/>
  <c r="L463" i="64"/>
  <c r="M71" i="64"/>
  <c r="J967" i="64"/>
  <c r="L479" i="64"/>
  <c r="M87" i="64"/>
  <c r="J963" i="64"/>
  <c r="L475" i="64"/>
  <c r="M83" i="64"/>
  <c r="I970" i="64"/>
  <c r="K482" i="64"/>
  <c r="L90" i="64"/>
  <c r="I949" i="64"/>
  <c r="K461" i="64"/>
  <c r="J915" i="64"/>
  <c r="L427" i="64"/>
  <c r="I946" i="64"/>
  <c r="K458" i="64"/>
  <c r="E1043" i="64"/>
  <c r="E1114" i="64" s="1"/>
  <c r="I753" i="64"/>
  <c r="E1042" i="64"/>
  <c r="E1113" i="64" s="1"/>
  <c r="I778" i="64"/>
  <c r="I784" i="64"/>
  <c r="I550" i="64"/>
  <c r="J316" i="64"/>
  <c r="J369" i="64"/>
  <c r="J339" i="64"/>
  <c r="E1038" i="64"/>
  <c r="E1109" i="64" s="1"/>
  <c r="J359" i="64"/>
  <c r="J294" i="64"/>
  <c r="J346" i="64"/>
  <c r="I893" i="64"/>
  <c r="K405" i="64"/>
  <c r="G627" i="64"/>
  <c r="E1045" i="64"/>
  <c r="E1116" i="64" s="1"/>
  <c r="I908" i="64"/>
  <c r="K420" i="64"/>
  <c r="I895" i="64"/>
  <c r="K407" i="64"/>
  <c r="AH748" i="64"/>
  <c r="AU748" i="64"/>
  <c r="AU816" i="64"/>
  <c r="AH816" i="64"/>
  <c r="AH814" i="64"/>
  <c r="AU814" i="64"/>
  <c r="AU721" i="64"/>
  <c r="AH721" i="64"/>
  <c r="H707" i="64"/>
  <c r="C34" i="71" s="1"/>
  <c r="I186" i="64"/>
  <c r="I266" i="64"/>
  <c r="I207" i="64"/>
  <c r="AU794" i="64"/>
  <c r="AH794" i="64"/>
  <c r="AU716" i="64"/>
  <c r="AH716" i="64"/>
  <c r="AU868" i="64"/>
  <c r="AH868" i="64"/>
  <c r="I203" i="64"/>
  <c r="I262" i="64"/>
  <c r="AU715" i="64"/>
  <c r="AH715" i="64"/>
  <c r="AU674" i="64"/>
  <c r="AH674" i="64"/>
  <c r="AG737" i="64"/>
  <c r="I768" i="64"/>
  <c r="I797" i="64"/>
  <c r="I890" i="64"/>
  <c r="K402" i="64"/>
  <c r="J379" i="64"/>
  <c r="I910" i="64"/>
  <c r="K422" i="64"/>
  <c r="I911" i="64"/>
  <c r="K423" i="64"/>
  <c r="I899" i="64"/>
  <c r="K411" i="64"/>
  <c r="E1044" i="64"/>
  <c r="E1115" i="64" s="1"/>
  <c r="H611" i="64"/>
  <c r="H531" i="64"/>
  <c r="C39" i="71"/>
  <c r="I892" i="64"/>
  <c r="K404" i="64"/>
  <c r="AU786" i="64"/>
  <c r="AH786" i="64"/>
  <c r="AH792" i="64"/>
  <c r="AU792" i="64"/>
  <c r="AU745" i="64"/>
  <c r="AH745" i="64"/>
  <c r="AU724" i="64"/>
  <c r="AH724" i="64"/>
  <c r="AU793" i="64"/>
  <c r="AH793" i="64"/>
  <c r="AU718" i="64"/>
  <c r="AH718" i="64"/>
  <c r="AU785" i="64"/>
  <c r="AH785" i="64"/>
  <c r="AH714" i="64"/>
  <c r="AU714" i="64"/>
  <c r="H713" i="64"/>
  <c r="C35" i="71" s="1"/>
  <c r="I195" i="64"/>
  <c r="I201" i="64"/>
  <c r="I260" i="64"/>
  <c r="AU744" i="64"/>
  <c r="AH744" i="64"/>
  <c r="AU672" i="64"/>
  <c r="AH672" i="64"/>
  <c r="AU722" i="64"/>
  <c r="AH722" i="64"/>
  <c r="G612" i="64"/>
  <c r="H132" i="64" s="1"/>
  <c r="H628" i="64"/>
  <c r="I898" i="64"/>
  <c r="K410" i="64"/>
  <c r="I891" i="64"/>
  <c r="K403" i="64"/>
  <c r="I746" i="64"/>
  <c r="I907" i="64"/>
  <c r="J788" i="64"/>
  <c r="J764" i="64"/>
  <c r="J780" i="64"/>
  <c r="J766" i="64"/>
  <c r="J763" i="64"/>
  <c r="J745" i="64"/>
  <c r="J744" i="64"/>
  <c r="J793" i="64"/>
  <c r="J561" i="64"/>
  <c r="J554" i="64"/>
  <c r="J560" i="64"/>
  <c r="J545" i="64"/>
  <c r="J541" i="64"/>
  <c r="J537" i="64"/>
  <c r="J562" i="64"/>
  <c r="J551" i="64"/>
  <c r="J542" i="64"/>
  <c r="J538" i="64"/>
  <c r="K419" i="64"/>
  <c r="J552" i="64"/>
  <c r="J543" i="64"/>
  <c r="J539" i="64"/>
  <c r="J772" i="64"/>
  <c r="J553" i="64"/>
  <c r="J544" i="64"/>
  <c r="J540" i="64"/>
  <c r="J754" i="64"/>
  <c r="J771" i="64"/>
  <c r="J775" i="64"/>
  <c r="J749" i="64"/>
  <c r="J756" i="64"/>
  <c r="J792" i="64"/>
  <c r="J787" i="64"/>
  <c r="J765" i="64"/>
  <c r="J743" i="64"/>
  <c r="J757" i="64"/>
  <c r="J773" i="64"/>
  <c r="J774" i="64"/>
  <c r="J747" i="64"/>
  <c r="J750" i="64"/>
  <c r="J785" i="64"/>
  <c r="J748" i="64"/>
  <c r="J755" i="64"/>
  <c r="J760" i="64"/>
  <c r="J761" i="64"/>
  <c r="J762" i="64"/>
  <c r="J759" i="64"/>
  <c r="J779" i="64"/>
  <c r="J758" i="64"/>
  <c r="J786" i="64"/>
  <c r="J769" i="64"/>
  <c r="J770" i="64"/>
  <c r="I569" i="64"/>
  <c r="AJ1039" i="64"/>
  <c r="AJ1045" i="64"/>
  <c r="AJ1041" i="64"/>
  <c r="AJ1044" i="64"/>
  <c r="AJ1040" i="64"/>
  <c r="AJ1043" i="64"/>
  <c r="AJ1038" i="64"/>
  <c r="AJ1042" i="64"/>
  <c r="AJ1024" i="64"/>
  <c r="F1024" i="64" s="1"/>
  <c r="F1095" i="64" s="1"/>
  <c r="AJ1037" i="64"/>
  <c r="F1037" i="64" s="1"/>
  <c r="F1108" i="64" s="1"/>
  <c r="AJ1018" i="64"/>
  <c r="F1018" i="64" s="1"/>
  <c r="F1089" i="64" s="1"/>
  <c r="AJ985" i="64"/>
  <c r="AJ1006" i="64"/>
  <c r="AJ1031" i="64"/>
  <c r="F1031" i="64" s="1"/>
  <c r="F1102" i="64" s="1"/>
  <c r="AJ1020" i="64"/>
  <c r="AJ983" i="64"/>
  <c r="AJ1004" i="64"/>
  <c r="AJ1003" i="64"/>
  <c r="AJ1012" i="64"/>
  <c r="I912" i="64"/>
  <c r="K424" i="64"/>
  <c r="I900" i="64"/>
  <c r="K412" i="64"/>
  <c r="J301" i="64"/>
  <c r="I889" i="64"/>
  <c r="J522" i="64"/>
  <c r="J514" i="64"/>
  <c r="J505" i="64"/>
  <c r="J501" i="64"/>
  <c r="J512" i="64"/>
  <c r="J503" i="64"/>
  <c r="J499" i="64"/>
  <c r="J523" i="64"/>
  <c r="J515" i="64"/>
  <c r="J506" i="64"/>
  <c r="J502" i="64"/>
  <c r="J498" i="64"/>
  <c r="K382" i="64"/>
  <c r="K371" i="64"/>
  <c r="K363" i="64"/>
  <c r="K349" i="64"/>
  <c r="E15" i="71" s="1"/>
  <c r="J500" i="64"/>
  <c r="K372" i="64"/>
  <c r="K370" i="64"/>
  <c r="K361" i="64"/>
  <c r="K353" i="64"/>
  <c r="E19" i="71" s="1"/>
  <c r="K348" i="64"/>
  <c r="E14" i="71" s="1"/>
  <c r="K340" i="64"/>
  <c r="K333" i="64"/>
  <c r="K321" i="64"/>
  <c r="K317" i="64"/>
  <c r="K314" i="64"/>
  <c r="K310" i="64"/>
  <c r="K306" i="64"/>
  <c r="K302" i="64"/>
  <c r="K298" i="64"/>
  <c r="J521" i="64"/>
  <c r="K383" i="64"/>
  <c r="J513" i="64"/>
  <c r="J504" i="64"/>
  <c r="K401" i="64"/>
  <c r="K362" i="64"/>
  <c r="K360" i="64"/>
  <c r="K351" i="64"/>
  <c r="E17" i="71" s="1"/>
  <c r="K347" i="64"/>
  <c r="E13" i="71" s="1"/>
  <c r="K335" i="64"/>
  <c r="K327" i="64"/>
  <c r="K323" i="64"/>
  <c r="K319" i="64"/>
  <c r="K312" i="64"/>
  <c r="K308" i="64"/>
  <c r="K304" i="64"/>
  <c r="K296" i="64"/>
  <c r="K292" i="64"/>
  <c r="K387" i="64"/>
  <c r="K384" i="64"/>
  <c r="K380" i="64"/>
  <c r="K354" i="64"/>
  <c r="E20" i="71" s="1"/>
  <c r="K352" i="64"/>
  <c r="E18" i="71" s="1"/>
  <c r="K341" i="64"/>
  <c r="K334" i="64"/>
  <c r="K322" i="64"/>
  <c r="K318" i="64"/>
  <c r="K311" i="64"/>
  <c r="K307" i="64"/>
  <c r="K303" i="64"/>
  <c r="K295" i="64"/>
  <c r="K291" i="64"/>
  <c r="K381" i="64"/>
  <c r="K336" i="64"/>
  <c r="K328" i="64"/>
  <c r="K293" i="64"/>
  <c r="K313" i="64"/>
  <c r="K309" i="64"/>
  <c r="K305" i="64"/>
  <c r="K350" i="64"/>
  <c r="E16" i="71" s="1"/>
  <c r="K320" i="64"/>
  <c r="K297" i="64"/>
  <c r="J326" i="64"/>
  <c r="J332" i="64"/>
  <c r="I530" i="64"/>
  <c r="E1040" i="64"/>
  <c r="E1111" i="64" s="1"/>
  <c r="I388" i="64"/>
  <c r="I903" i="64"/>
  <c r="K415" i="64"/>
  <c r="AH743" i="64"/>
  <c r="AU795" i="64"/>
  <c r="AH795" i="64"/>
  <c r="AU788" i="64"/>
  <c r="AH788" i="64"/>
  <c r="AU789" i="64"/>
  <c r="AH789" i="64"/>
  <c r="I265" i="64"/>
  <c r="I206" i="64"/>
  <c r="H726" i="64"/>
  <c r="C37" i="71" s="1"/>
  <c r="I261" i="64"/>
  <c r="I202" i="64"/>
  <c r="H682" i="64"/>
  <c r="C32" i="71" s="1"/>
  <c r="AU676" i="64"/>
  <c r="AH676" i="64"/>
  <c r="H675" i="64"/>
  <c r="AU725" i="64"/>
  <c r="AH725" i="64"/>
  <c r="AH817" i="64"/>
  <c r="AU817" i="64"/>
  <c r="I913" i="64"/>
  <c r="K425" i="64"/>
  <c r="I906" i="64"/>
  <c r="K418" i="64"/>
  <c r="G612" i="77"/>
  <c r="H121" i="64"/>
  <c r="I904" i="64"/>
  <c r="K416" i="64"/>
  <c r="I791" i="64"/>
  <c r="I896" i="64"/>
  <c r="K408" i="64"/>
  <c r="I901" i="64"/>
  <c r="K413" i="64"/>
  <c r="I511" i="64"/>
  <c r="J290" i="64"/>
  <c r="V817" i="64"/>
  <c r="I708" i="64"/>
  <c r="I722" i="64"/>
  <c r="I684" i="64"/>
  <c r="J173" i="64" s="1"/>
  <c r="I686" i="64"/>
  <c r="J175" i="64" s="1"/>
  <c r="I688" i="64"/>
  <c r="J177" i="64" s="1"/>
  <c r="I690" i="64"/>
  <c r="J179" i="64" s="1"/>
  <c r="I692" i="64"/>
  <c r="J181" i="64" s="1"/>
  <c r="I694" i="64"/>
  <c r="J183" i="64" s="1"/>
  <c r="V868" i="64"/>
  <c r="V677" i="64"/>
  <c r="I699" i="64"/>
  <c r="J187" i="64" s="1"/>
  <c r="I701" i="64"/>
  <c r="J189" i="64" s="1"/>
  <c r="I703" i="64"/>
  <c r="J191" i="64" s="1"/>
  <c r="I672" i="64"/>
  <c r="I674" i="64"/>
  <c r="I677" i="64"/>
  <c r="I679" i="64"/>
  <c r="I715" i="64"/>
  <c r="I717" i="64"/>
  <c r="I676" i="64"/>
  <c r="I683" i="64"/>
  <c r="I687" i="64"/>
  <c r="J176" i="64" s="1"/>
  <c r="I691" i="64"/>
  <c r="J180" i="64" s="1"/>
  <c r="I695" i="64"/>
  <c r="J184" i="64" s="1"/>
  <c r="I716" i="64"/>
  <c r="I700" i="64"/>
  <c r="J188" i="64" s="1"/>
  <c r="I704" i="64"/>
  <c r="J192" i="64" s="1"/>
  <c r="I673" i="64"/>
  <c r="I678" i="64"/>
  <c r="I685" i="64"/>
  <c r="J174" i="64" s="1"/>
  <c r="I689" i="64"/>
  <c r="J178" i="64" s="1"/>
  <c r="I693" i="64"/>
  <c r="J182" i="64" s="1"/>
  <c r="I714" i="64"/>
  <c r="I721" i="64"/>
  <c r="V746" i="64"/>
  <c r="I698" i="64"/>
  <c r="I702" i="64"/>
  <c r="J190" i="64" s="1"/>
  <c r="I709" i="64"/>
  <c r="J196" i="64" s="1"/>
  <c r="V748" i="64"/>
  <c r="V786" i="64"/>
  <c r="V743" i="64"/>
  <c r="V816" i="64"/>
  <c r="V819" i="64"/>
  <c r="V818" i="64"/>
  <c r="U1040" i="64"/>
  <c r="U1045" i="64"/>
  <c r="U1041" i="64"/>
  <c r="U1042" i="64"/>
  <c r="U1039" i="64"/>
  <c r="U1044" i="64"/>
  <c r="U1038" i="64"/>
  <c r="U1043" i="64"/>
  <c r="U1028" i="64"/>
  <c r="U1006" i="64"/>
  <c r="U1003" i="64"/>
  <c r="U985" i="64"/>
  <c r="U1004" i="64"/>
  <c r="U1020" i="64"/>
  <c r="U1012" i="64"/>
  <c r="U999" i="64"/>
  <c r="U1033" i="64"/>
  <c r="U983" i="64"/>
  <c r="U1032" i="64"/>
  <c r="U1027" i="64"/>
  <c r="U1025" i="64"/>
  <c r="U995" i="64"/>
  <c r="U988" i="64"/>
  <c r="U1001" i="64"/>
  <c r="U1009" i="64"/>
  <c r="U1019" i="64"/>
  <c r="U987" i="64"/>
  <c r="F987" i="64" s="1"/>
  <c r="F1058" i="64" s="1"/>
  <c r="U1010" i="64"/>
  <c r="U1005" i="64"/>
  <c r="U1000" i="64"/>
  <c r="U997" i="64"/>
  <c r="U1026" i="64"/>
  <c r="U1014" i="64"/>
  <c r="U996" i="64"/>
  <c r="F996" i="64" s="1"/>
  <c r="F1067" i="64" s="1"/>
  <c r="U994" i="64"/>
  <c r="F994" i="64" s="1"/>
  <c r="F1065" i="64" s="1"/>
  <c r="U990" i="64"/>
  <c r="U984" i="64"/>
  <c r="U1015" i="64"/>
  <c r="U998" i="64"/>
  <c r="U1002" i="64"/>
  <c r="U989" i="64"/>
  <c r="F989" i="64" s="1"/>
  <c r="F1060" i="64" s="1"/>
  <c r="U1013" i="64"/>
  <c r="U1011" i="64"/>
  <c r="H570" i="64"/>
  <c r="G39" i="71"/>
  <c r="I909" i="64"/>
  <c r="K421" i="64"/>
  <c r="H610" i="64"/>
  <c r="C38" i="71"/>
  <c r="I894" i="64"/>
  <c r="K406" i="64"/>
  <c r="G38" i="71"/>
  <c r="I902" i="64"/>
  <c r="K414" i="64"/>
  <c r="AU787" i="64"/>
  <c r="AH787" i="64"/>
  <c r="AH861" i="64"/>
  <c r="AU790" i="64"/>
  <c r="AH790" i="64"/>
  <c r="AU746" i="64"/>
  <c r="AH746" i="64"/>
  <c r="I259" i="64"/>
  <c r="I200" i="64"/>
  <c r="H720" i="64"/>
  <c r="H697" i="64"/>
  <c r="C33" i="71" s="1"/>
  <c r="I172" i="64"/>
  <c r="AU747" i="64"/>
  <c r="AH747" i="64"/>
  <c r="AU719" i="64"/>
  <c r="AU673" i="64"/>
  <c r="AH673" i="64"/>
  <c r="AU723" i="64"/>
  <c r="AH723" i="64"/>
  <c r="AU717" i="64"/>
  <c r="AH717" i="64"/>
  <c r="AU677" i="64"/>
  <c r="AH677" i="64"/>
  <c r="I897" i="64"/>
  <c r="K409" i="64"/>
  <c r="AT737" i="64"/>
  <c r="I905" i="64"/>
  <c r="K417" i="64"/>
  <c r="DB1054" i="64"/>
  <c r="CA1127" i="64"/>
  <c r="B1214" i="64"/>
  <c r="CO1067" i="64"/>
  <c r="B1067" i="64"/>
  <c r="DB1201" i="64"/>
  <c r="D1201" i="64"/>
  <c r="Q1201" i="64" s="1"/>
  <c r="F1201" i="64"/>
  <c r="S1201" i="64" s="1"/>
  <c r="E1201" i="64"/>
  <c r="R1201" i="64" s="1"/>
  <c r="C1201" i="64"/>
  <c r="P1201" i="64" s="1"/>
  <c r="B1205" i="64"/>
  <c r="CO1058" i="64"/>
  <c r="B1058" i="64"/>
  <c r="AB1260" i="64"/>
  <c r="DO1260" i="64"/>
  <c r="CB1334" i="64"/>
  <c r="AB1256" i="64"/>
  <c r="CB1330" i="64"/>
  <c r="DO1256" i="64"/>
  <c r="B1231" i="64"/>
  <c r="CO1084" i="64"/>
  <c r="CN1186" i="64"/>
  <c r="A1186" i="64"/>
  <c r="AB1255" i="64"/>
  <c r="CB1329" i="64"/>
  <c r="DO1255" i="64"/>
  <c r="CB1310" i="64"/>
  <c r="AB1236" i="64"/>
  <c r="DO1236" i="64"/>
  <c r="CO1333" i="64"/>
  <c r="B1333" i="64"/>
  <c r="CO1336" i="64"/>
  <c r="B1336" i="64"/>
  <c r="B1216" i="64"/>
  <c r="CO1069" i="64"/>
  <c r="B1069" i="64"/>
  <c r="B1206" i="64"/>
  <c r="CO1059" i="64"/>
  <c r="B1059" i="64"/>
  <c r="CN1181" i="64"/>
  <c r="A1181" i="64"/>
  <c r="B1223" i="64"/>
  <c r="CO1076" i="64"/>
  <c r="CN1168" i="64"/>
  <c r="A1168" i="64"/>
  <c r="B1218" i="64"/>
  <c r="CO1071" i="64"/>
  <c r="B1071" i="64"/>
  <c r="CO1337" i="64"/>
  <c r="B1337" i="64"/>
  <c r="B1232" i="64"/>
  <c r="CO1085" i="64"/>
  <c r="B1228" i="64"/>
  <c r="CO1081" i="64"/>
  <c r="AB1267" i="64"/>
  <c r="CB1341" i="64"/>
  <c r="DO1267" i="64"/>
  <c r="B1234" i="64"/>
  <c r="CO1087" i="64"/>
  <c r="B1208" i="64"/>
  <c r="CO1061" i="64"/>
  <c r="B1061" i="64"/>
  <c r="AB1264" i="64"/>
  <c r="CB1338" i="64"/>
  <c r="DO1264" i="64"/>
  <c r="B1209" i="64"/>
  <c r="CO1062" i="64"/>
  <c r="B1062" i="64"/>
  <c r="B1207" i="64"/>
  <c r="CO1060" i="64"/>
  <c r="B1060" i="64"/>
  <c r="B1202" i="64"/>
  <c r="CO1055" i="64"/>
  <c r="B1055" i="64"/>
  <c r="CA1175" i="64"/>
  <c r="DB1102" i="64"/>
  <c r="DE1102" i="64" s="1"/>
  <c r="CQ1175" i="64" s="1"/>
  <c r="CN1182" i="64"/>
  <c r="A1182" i="64"/>
  <c r="CB1316" i="64"/>
  <c r="AB1242" i="64"/>
  <c r="DO1242" i="64"/>
  <c r="B1220" i="64"/>
  <c r="CO1073" i="64"/>
  <c r="B1073" i="64"/>
  <c r="CN1193" i="64"/>
  <c r="A1193" i="64"/>
  <c r="CN1162" i="64"/>
  <c r="A1162" i="64"/>
  <c r="B1227" i="64"/>
  <c r="CO1080" i="64"/>
  <c r="CN1190" i="64"/>
  <c r="A1190" i="64"/>
  <c r="DB1249" i="64"/>
  <c r="D1249" i="64"/>
  <c r="Q1249" i="64" s="1"/>
  <c r="C1249" i="64"/>
  <c r="P1249" i="64" s="1"/>
  <c r="F1249" i="64"/>
  <c r="S1249" i="64" s="1"/>
  <c r="E1249" i="64"/>
  <c r="R1249" i="64" s="1"/>
  <c r="B1215" i="64"/>
  <c r="CO1068" i="64"/>
  <c r="B1068" i="64"/>
  <c r="B1219" i="64"/>
  <c r="CO1072" i="64"/>
  <c r="B1072" i="64"/>
  <c r="CO1340" i="64"/>
  <c r="B1340" i="64"/>
  <c r="B1212" i="64"/>
  <c r="CO1065" i="64"/>
  <c r="B1065" i="64"/>
  <c r="C3195" i="79"/>
  <c r="D1435" i="79"/>
  <c r="I1435" i="79" s="1"/>
  <c r="C3093" i="79"/>
  <c r="D1432" i="79"/>
  <c r="I1432" i="79" s="1"/>
  <c r="C2825" i="79"/>
  <c r="D1424" i="79"/>
  <c r="I1424" i="79" s="1"/>
  <c r="C3127" i="79"/>
  <c r="D1433" i="79"/>
  <c r="I1433" i="79" s="1"/>
  <c r="C3229" i="79"/>
  <c r="D1436" i="79"/>
  <c r="I1436" i="79" s="1"/>
  <c r="C2621" i="79"/>
  <c r="D1418" i="79"/>
  <c r="I1418" i="79" s="1"/>
  <c r="C2723" i="79"/>
  <c r="D1421" i="79"/>
  <c r="I1421" i="79" s="1"/>
  <c r="C2991" i="79"/>
  <c r="D1429" i="79"/>
  <c r="I1429" i="79" s="1"/>
  <c r="D66" i="8"/>
  <c r="C12" i="80" s="1"/>
  <c r="C11" i="80" s="1"/>
  <c r="G25" i="85"/>
  <c r="F616" i="73"/>
  <c r="F615" i="73"/>
  <c r="F50" i="73"/>
  <c r="H41" i="73"/>
  <c r="I12" i="73" s="1"/>
  <c r="F29" i="85"/>
  <c r="G10" i="85"/>
  <c r="G42" i="73"/>
  <c r="G319" i="77"/>
  <c r="R378" i="73"/>
  <c r="G65" i="8"/>
  <c r="G66" i="8" s="1"/>
  <c r="F12" i="80" s="1"/>
  <c r="F11" i="80" s="1"/>
  <c r="I162" i="85"/>
  <c r="G603" i="73"/>
  <c r="G591" i="73"/>
  <c r="G597" i="73" s="1"/>
  <c r="J65" i="8"/>
  <c r="J66" i="8" s="1"/>
  <c r="I12" i="80" s="1"/>
  <c r="I11" i="80" s="1"/>
  <c r="L162" i="85"/>
  <c r="N65" i="8"/>
  <c r="N66" i="8" s="1"/>
  <c r="M12" i="80" s="1"/>
  <c r="P162" i="85"/>
  <c r="M69" i="83"/>
  <c r="M9" i="80"/>
  <c r="M7" i="80" s="1"/>
  <c r="G125" i="83"/>
  <c r="G126" i="83" s="1"/>
  <c r="K69" i="83"/>
  <c r="K9" i="80"/>
  <c r="K7" i="80" s="1"/>
  <c r="L11" i="10"/>
  <c r="M182" i="8"/>
  <c r="C11" i="10"/>
  <c r="C17" i="10" s="1"/>
  <c r="Q35" i="74"/>
  <c r="D182" i="8"/>
  <c r="D187" i="8" s="1"/>
  <c r="K97" i="85"/>
  <c r="K96" i="85"/>
  <c r="R95" i="85"/>
  <c r="G69" i="83"/>
  <c r="G9" i="80"/>
  <c r="G7" i="80" s="1"/>
  <c r="E11" i="10"/>
  <c r="F182" i="8"/>
  <c r="H69" i="83"/>
  <c r="H9" i="80"/>
  <c r="H7" i="80" s="1"/>
  <c r="C125" i="83"/>
  <c r="C126" i="83" s="1"/>
  <c r="O65" i="8"/>
  <c r="O66" i="8" s="1"/>
  <c r="N12" i="80" s="1"/>
  <c r="Q162" i="85"/>
  <c r="K65" i="8"/>
  <c r="K66" i="8" s="1"/>
  <c r="J12" i="80" s="1"/>
  <c r="J11" i="80" s="1"/>
  <c r="M162" i="85"/>
  <c r="K11" i="10"/>
  <c r="L182" i="8"/>
  <c r="D125" i="83"/>
  <c r="D126" i="83" s="1"/>
  <c r="M65" i="8"/>
  <c r="M66" i="8" s="1"/>
  <c r="L12" i="80" s="1"/>
  <c r="L11" i="80" s="1"/>
  <c r="O162" i="85"/>
  <c r="R126" i="85"/>
  <c r="H134" i="85"/>
  <c r="F65" i="8"/>
  <c r="F66" i="8" s="1"/>
  <c r="E12" i="80" s="1"/>
  <c r="H162" i="85"/>
  <c r="I11" i="10"/>
  <c r="J182" i="8"/>
  <c r="E125" i="83"/>
  <c r="E126" i="83" s="1"/>
  <c r="G11" i="10"/>
  <c r="H182" i="8"/>
  <c r="F591" i="73"/>
  <c r="F597" i="73" s="1"/>
  <c r="F603" i="73"/>
  <c r="E69" i="83"/>
  <c r="E9" i="80"/>
  <c r="E7" i="80" s="1"/>
  <c r="H11" i="10"/>
  <c r="I182" i="8"/>
  <c r="O97" i="85"/>
  <c r="O96" i="85"/>
  <c r="P97" i="85"/>
  <c r="P96" i="85"/>
  <c r="M11" i="10"/>
  <c r="N182" i="8"/>
  <c r="M97" i="85"/>
  <c r="M96" i="85"/>
  <c r="Q97" i="85"/>
  <c r="Q96" i="85"/>
  <c r="I69" i="83"/>
  <c r="I9" i="80"/>
  <c r="I7" i="80" s="1"/>
  <c r="N69" i="83"/>
  <c r="N9" i="80"/>
  <c r="D69" i="83"/>
  <c r="D9" i="80"/>
  <c r="D7" i="80" s="1"/>
  <c r="J69" i="83"/>
  <c r="J9" i="80"/>
  <c r="J7" i="80" s="1"/>
  <c r="F9" i="80"/>
  <c r="F7" i="80" s="1"/>
  <c r="F69" i="83"/>
  <c r="H65" i="8"/>
  <c r="H66" i="8" s="1"/>
  <c r="G12" i="80" s="1"/>
  <c r="G11" i="80" s="1"/>
  <c r="J162" i="85"/>
  <c r="L69" i="83"/>
  <c r="L9" i="80"/>
  <c r="L7" i="80" s="1"/>
  <c r="C69" i="83"/>
  <c r="Q34" i="74"/>
  <c r="C9" i="80"/>
  <c r="L65" i="8"/>
  <c r="L66" i="8" s="1"/>
  <c r="K12" i="80" s="1"/>
  <c r="K11" i="80" s="1"/>
  <c r="N162" i="85"/>
  <c r="L97" i="85"/>
  <c r="L96" i="85"/>
  <c r="N11" i="10"/>
  <c r="O182" i="8"/>
  <c r="D11" i="10"/>
  <c r="E182" i="8"/>
  <c r="H310" i="73"/>
  <c r="H325" i="73" s="1"/>
  <c r="K182" i="8"/>
  <c r="J11" i="10"/>
  <c r="AH864" i="64" l="1"/>
  <c r="G647" i="64"/>
  <c r="I128" i="8"/>
  <c r="I139" i="8" s="1"/>
  <c r="I147" i="8" s="1"/>
  <c r="I155" i="8" s="1"/>
  <c r="I166" i="8" s="1"/>
  <c r="I172" i="8" s="1"/>
  <c r="I122" i="8"/>
  <c r="K6" i="8"/>
  <c r="J10" i="8"/>
  <c r="J58" i="8" s="1"/>
  <c r="J91" i="8" s="1"/>
  <c r="J115" i="8" s="1"/>
  <c r="H563" i="74"/>
  <c r="H564" i="74"/>
  <c r="H571" i="74"/>
  <c r="H572" i="74"/>
  <c r="H236" i="74"/>
  <c r="AH992" i="64"/>
  <c r="D992" i="64" s="1"/>
  <c r="D1063" i="64" s="1"/>
  <c r="AR992" i="64"/>
  <c r="N992" i="64" s="1"/>
  <c r="N1063" i="64" s="1"/>
  <c r="AM992" i="64"/>
  <c r="I992" i="64" s="1"/>
  <c r="I1063" i="64" s="1"/>
  <c r="AG992" i="64"/>
  <c r="C992" i="64" s="1"/>
  <c r="C1063" i="64" s="1"/>
  <c r="AN992" i="64"/>
  <c r="J992" i="64" s="1"/>
  <c r="J1063" i="64" s="1"/>
  <c r="B992" i="64"/>
  <c r="AJ992" i="64"/>
  <c r="F992" i="64" s="1"/>
  <c r="F1063" i="64" s="1"/>
  <c r="AK992" i="64"/>
  <c r="G992" i="64" s="1"/>
  <c r="G1063" i="64" s="1"/>
  <c r="AP992" i="64"/>
  <c r="L992" i="64" s="1"/>
  <c r="L1063" i="64" s="1"/>
  <c r="AQ992" i="64"/>
  <c r="M992" i="64" s="1"/>
  <c r="M1063" i="64" s="1"/>
  <c r="AL992" i="64"/>
  <c r="H992" i="64" s="1"/>
  <c r="H1063" i="64" s="1"/>
  <c r="AI992" i="64"/>
  <c r="E992" i="64" s="1"/>
  <c r="E1063" i="64" s="1"/>
  <c r="AO992" i="64"/>
  <c r="K992" i="64" s="1"/>
  <c r="K1063" i="64" s="1"/>
  <c r="F646" i="64"/>
  <c r="F660" i="64" s="1"/>
  <c r="G128" i="64" s="1"/>
  <c r="H562" i="74"/>
  <c r="I640" i="64"/>
  <c r="H644" i="64" s="1"/>
  <c r="V723" i="64"/>
  <c r="V678" i="64"/>
  <c r="E9" i="74"/>
  <c r="H640" i="64"/>
  <c r="J877" i="64"/>
  <c r="I638" i="64"/>
  <c r="H642" i="64" s="1"/>
  <c r="J639" i="64"/>
  <c r="I643" i="64" s="1"/>
  <c r="G640" i="64"/>
  <c r="J640" i="64"/>
  <c r="K873" i="64"/>
  <c r="K869" i="64"/>
  <c r="K876" i="64"/>
  <c r="K872" i="64"/>
  <c r="K871" i="64"/>
  <c r="K874" i="64"/>
  <c r="K870" i="64"/>
  <c r="F998" i="64"/>
  <c r="F1069" i="64" s="1"/>
  <c r="K278" i="64"/>
  <c r="V672" i="64"/>
  <c r="I735" i="64"/>
  <c r="J806" i="64"/>
  <c r="F1001" i="64"/>
  <c r="F1072" i="64" s="1"/>
  <c r="F990" i="64"/>
  <c r="F1061" i="64" s="1"/>
  <c r="V719" i="64"/>
  <c r="K250" i="64"/>
  <c r="K800" i="64"/>
  <c r="K803" i="64"/>
  <c r="K798" i="64"/>
  <c r="K802" i="64"/>
  <c r="K805" i="64"/>
  <c r="K799" i="64"/>
  <c r="K801" i="64"/>
  <c r="F997" i="64"/>
  <c r="F1068" i="64" s="1"/>
  <c r="V815" i="64"/>
  <c r="V788" i="64"/>
  <c r="G646" i="64"/>
  <c r="G660" i="64" s="1"/>
  <c r="H128" i="64" s="1"/>
  <c r="H237" i="74"/>
  <c r="F995" i="64"/>
  <c r="F1066" i="64" s="1"/>
  <c r="K276" i="64"/>
  <c r="V1034" i="64"/>
  <c r="G1249" i="64"/>
  <c r="T1249" i="64" s="1"/>
  <c r="G1457" i="64"/>
  <c r="H1457" i="64" s="1"/>
  <c r="J1457" i="64" s="1"/>
  <c r="U737" i="64"/>
  <c r="J734" i="64"/>
  <c r="J730" i="64"/>
  <c r="J728" i="64"/>
  <c r="J729" i="64"/>
  <c r="J732" i="64"/>
  <c r="J731" i="64"/>
  <c r="J727" i="64"/>
  <c r="H234" i="74"/>
  <c r="F398" i="40"/>
  <c r="F406" i="40"/>
  <c r="F399" i="40"/>
  <c r="F407" i="40"/>
  <c r="F431" i="40"/>
  <c r="F439" i="40"/>
  <c r="F400" i="40"/>
  <c r="F408" i="40"/>
  <c r="F417" i="40"/>
  <c r="F391" i="40"/>
  <c r="F401" i="40"/>
  <c r="F409" i="40"/>
  <c r="F418" i="40"/>
  <c r="F404" i="40"/>
  <c r="F397" i="40"/>
  <c r="F432" i="40"/>
  <c r="F440" i="40"/>
  <c r="F402" i="40"/>
  <c r="F394" i="40"/>
  <c r="F411" i="40"/>
  <c r="F434" i="40"/>
  <c r="F396" i="40"/>
  <c r="F405" i="40"/>
  <c r="F441" i="40"/>
  <c r="F436" i="40"/>
  <c r="F430" i="40"/>
  <c r="F387" i="40"/>
  <c r="F392" i="40"/>
  <c r="F410" i="40"/>
  <c r="F403" i="40"/>
  <c r="F433" i="40"/>
  <c r="F435" i="40"/>
  <c r="F437" i="40"/>
  <c r="F438" i="40"/>
  <c r="V676" i="64"/>
  <c r="AI676" i="64" s="1"/>
  <c r="G1201" i="64"/>
  <c r="T1201" i="64" s="1"/>
  <c r="F1013" i="64"/>
  <c r="F1084" i="64" s="1"/>
  <c r="G644" i="64"/>
  <c r="I644" i="64"/>
  <c r="AH995" i="64"/>
  <c r="D995" i="64" s="1"/>
  <c r="D1066" i="64" s="1"/>
  <c r="AG995" i="64"/>
  <c r="C995" i="64" s="1"/>
  <c r="C1066" i="64" s="1"/>
  <c r="B995" i="64"/>
  <c r="AI995" i="64"/>
  <c r="E995" i="64" s="1"/>
  <c r="E1066" i="64" s="1"/>
  <c r="AG1011" i="64"/>
  <c r="C1011" i="64" s="1"/>
  <c r="C1082" i="64" s="1"/>
  <c r="AI1011" i="64"/>
  <c r="E1011" i="64" s="1"/>
  <c r="E1082" i="64" s="1"/>
  <c r="B1011" i="64"/>
  <c r="AH1011" i="64"/>
  <c r="D1011" i="64" s="1"/>
  <c r="D1082" i="64" s="1"/>
  <c r="F984" i="64"/>
  <c r="F1055" i="64" s="1"/>
  <c r="F1009" i="64"/>
  <c r="F1080" i="64" s="1"/>
  <c r="K794" i="64"/>
  <c r="K245" i="64"/>
  <c r="U808" i="64"/>
  <c r="J635" i="77" s="1"/>
  <c r="AU796" i="64"/>
  <c r="AU808" i="64" s="1"/>
  <c r="AH796" i="64"/>
  <c r="AH719" i="64"/>
  <c r="E15" i="80"/>
  <c r="H235" i="74"/>
  <c r="O12" i="80"/>
  <c r="M11" i="80"/>
  <c r="C7" i="80"/>
  <c r="O9" i="80"/>
  <c r="J723" i="64"/>
  <c r="K208" i="64" s="1"/>
  <c r="J208" i="64"/>
  <c r="J2113" i="79"/>
  <c r="J2402" i="79" s="1"/>
  <c r="I2289" i="79"/>
  <c r="I2290" i="79" s="1"/>
  <c r="I2291" i="79" s="1"/>
  <c r="I212" i="73"/>
  <c r="I228" i="73" s="1"/>
  <c r="J212" i="73" s="1"/>
  <c r="J228" i="73" s="1"/>
  <c r="K212" i="73" s="1"/>
  <c r="L342" i="64"/>
  <c r="K865" i="64"/>
  <c r="J855" i="64"/>
  <c r="V793" i="64"/>
  <c r="F1006" i="64"/>
  <c r="F1077" i="64" s="1"/>
  <c r="G656" i="77"/>
  <c r="V820" i="64"/>
  <c r="AV820" i="64" s="1"/>
  <c r="V673" i="64"/>
  <c r="AV673" i="64" s="1"/>
  <c r="H573" i="74"/>
  <c r="L2082" i="79"/>
  <c r="L2401" i="79" s="1"/>
  <c r="Q432" i="40"/>
  <c r="Q431" i="40"/>
  <c r="G119" i="73"/>
  <c r="H119" i="73" s="1"/>
  <c r="F120" i="73"/>
  <c r="G118" i="9"/>
  <c r="G133" i="9" s="1"/>
  <c r="H37" i="9"/>
  <c r="H66" i="9"/>
  <c r="H81" i="9" s="1"/>
  <c r="H96" i="9" s="1"/>
  <c r="H107" i="9" s="1"/>
  <c r="J5" i="9"/>
  <c r="I7" i="9"/>
  <c r="I22" i="9" s="1"/>
  <c r="I52" i="9" s="1"/>
  <c r="H30" i="10"/>
  <c r="H31" i="80"/>
  <c r="J137" i="8"/>
  <c r="H135" i="83"/>
  <c r="G150" i="83"/>
  <c r="I29" i="10"/>
  <c r="I134" i="83"/>
  <c r="I30" i="80"/>
  <c r="K135" i="8"/>
  <c r="H79" i="83"/>
  <c r="J93" i="8"/>
  <c r="I95" i="8"/>
  <c r="J170" i="8"/>
  <c r="H41" i="80"/>
  <c r="H38" i="10"/>
  <c r="I177" i="8"/>
  <c r="H148" i="83"/>
  <c r="G162" i="83"/>
  <c r="H107" i="83"/>
  <c r="H160" i="83" s="1"/>
  <c r="H23" i="80"/>
  <c r="J110" i="8"/>
  <c r="H23" i="10"/>
  <c r="H38" i="80"/>
  <c r="H35" i="10"/>
  <c r="J162" i="8"/>
  <c r="H145" i="83"/>
  <c r="H143" i="83"/>
  <c r="H36" i="80"/>
  <c r="H111" i="83"/>
  <c r="H162" i="83" s="1"/>
  <c r="H25" i="80"/>
  <c r="H25" i="10"/>
  <c r="J112" i="8"/>
  <c r="K156" i="8"/>
  <c r="J33" i="10" s="1"/>
  <c r="J159" i="8"/>
  <c r="H37" i="80"/>
  <c r="H34" i="10"/>
  <c r="J161" i="8"/>
  <c r="H144" i="83"/>
  <c r="I24" i="80"/>
  <c r="I24" i="10"/>
  <c r="I108" i="83"/>
  <c r="K111" i="8"/>
  <c r="AH865" i="64"/>
  <c r="J2142" i="79"/>
  <c r="J1225" i="79"/>
  <c r="J1293" i="79" s="1"/>
  <c r="J2140" i="79"/>
  <c r="J1223" i="79"/>
  <c r="J1291" i="79" s="1"/>
  <c r="DE1054" i="64"/>
  <c r="L2098" i="79"/>
  <c r="V725" i="64"/>
  <c r="AV725" i="64" s="1"/>
  <c r="V721" i="64"/>
  <c r="AI721" i="64" s="1"/>
  <c r="V789" i="64"/>
  <c r="AV789" i="64" s="1"/>
  <c r="F1011" i="64"/>
  <c r="F1082" i="64" s="1"/>
  <c r="F988" i="64"/>
  <c r="F1059" i="64" s="1"/>
  <c r="F1000" i="64"/>
  <c r="F1071" i="64" s="1"/>
  <c r="L385" i="64"/>
  <c r="J862" i="64"/>
  <c r="AH859" i="64"/>
  <c r="K249" i="64"/>
  <c r="K243" i="64"/>
  <c r="F1002" i="64"/>
  <c r="F1073" i="64" s="1"/>
  <c r="F1010" i="64"/>
  <c r="F1081" i="64" s="1"/>
  <c r="F1043" i="64"/>
  <c r="F1114" i="64" s="1"/>
  <c r="J868" i="64"/>
  <c r="F1020" i="64"/>
  <c r="F1091" i="64" s="1"/>
  <c r="F1041" i="64"/>
  <c r="F1112" i="64" s="1"/>
  <c r="F1014" i="64"/>
  <c r="F1085" i="64" s="1"/>
  <c r="F1005" i="64"/>
  <c r="F1076" i="64" s="1"/>
  <c r="AH863" i="64"/>
  <c r="F1039" i="64"/>
  <c r="F1110" i="64" s="1"/>
  <c r="J849" i="64"/>
  <c r="J839" i="64"/>
  <c r="J817" i="64"/>
  <c r="Q396" i="40"/>
  <c r="G1258" i="64"/>
  <c r="T1258" i="64" s="1"/>
  <c r="G1261" i="64"/>
  <c r="T1261" i="64" s="1"/>
  <c r="G1257" i="64"/>
  <c r="T1257" i="64" s="1"/>
  <c r="G1259" i="64"/>
  <c r="T1259" i="64" s="1"/>
  <c r="G1263" i="64"/>
  <c r="T1263" i="64" s="1"/>
  <c r="G1262" i="64"/>
  <c r="T1262" i="64" s="1"/>
  <c r="G1256" i="64"/>
  <c r="G1242" i="64"/>
  <c r="T1242" i="64" s="1"/>
  <c r="G1236" i="64"/>
  <c r="T1236" i="64" s="1"/>
  <c r="G1255" i="64"/>
  <c r="T1255" i="64" s="1"/>
  <c r="G1260" i="64"/>
  <c r="T1260" i="64" s="1"/>
  <c r="K599" i="64"/>
  <c r="K578" i="64"/>
  <c r="K582" i="64"/>
  <c r="K597" i="64"/>
  <c r="K589" i="64"/>
  <c r="K579" i="64"/>
  <c r="K576" i="64"/>
  <c r="K588" i="64"/>
  <c r="K598" i="64"/>
  <c r="K814" i="64"/>
  <c r="K574" i="64"/>
  <c r="K590" i="64"/>
  <c r="K577" i="64"/>
  <c r="K581" i="64"/>
  <c r="K575" i="64"/>
  <c r="K580" i="64"/>
  <c r="K591" i="64"/>
  <c r="K833" i="64"/>
  <c r="L223" i="64" s="1"/>
  <c r="K825" i="64"/>
  <c r="K844" i="64"/>
  <c r="L233" i="64" s="1"/>
  <c r="K831" i="64"/>
  <c r="L221" i="64" s="1"/>
  <c r="K827" i="64"/>
  <c r="L217" i="64" s="1"/>
  <c r="K832" i="64"/>
  <c r="L222" i="64" s="1"/>
  <c r="K829" i="64"/>
  <c r="L219" i="64" s="1"/>
  <c r="K842" i="64"/>
  <c r="L231" i="64" s="1"/>
  <c r="K840" i="64"/>
  <c r="K815" i="64"/>
  <c r="K841" i="64"/>
  <c r="L230" i="64" s="1"/>
  <c r="K828" i="64"/>
  <c r="L218" i="64" s="1"/>
  <c r="K819" i="64"/>
  <c r="K821" i="64"/>
  <c r="K836" i="64"/>
  <c r="L226" i="64" s="1"/>
  <c r="K820" i="64"/>
  <c r="K818" i="64"/>
  <c r="K826" i="64"/>
  <c r="L216" i="64" s="1"/>
  <c r="K845" i="64"/>
  <c r="L234" i="64" s="1"/>
  <c r="K843" i="64"/>
  <c r="L232" i="64" s="1"/>
  <c r="K837" i="64"/>
  <c r="L227" i="64" s="1"/>
  <c r="K834" i="64"/>
  <c r="L224" i="64" s="1"/>
  <c r="K835" i="64"/>
  <c r="L225" i="64" s="1"/>
  <c r="K816" i="64"/>
  <c r="K851" i="64"/>
  <c r="L239" i="64" s="1"/>
  <c r="K830" i="64"/>
  <c r="L220" i="64" s="1"/>
  <c r="K858" i="64"/>
  <c r="K856" i="64"/>
  <c r="K850" i="64"/>
  <c r="K859" i="64"/>
  <c r="K846" i="64"/>
  <c r="L235" i="64" s="1"/>
  <c r="K863" i="64"/>
  <c r="K857" i="64"/>
  <c r="K864" i="64"/>
  <c r="J824" i="64"/>
  <c r="J587" i="64"/>
  <c r="I607" i="64"/>
  <c r="J606" i="64"/>
  <c r="G680" i="77"/>
  <c r="K34" i="71"/>
  <c r="H240" i="74"/>
  <c r="Q404" i="40"/>
  <c r="Q434" i="40"/>
  <c r="Q398" i="40"/>
  <c r="Q417" i="40"/>
  <c r="Q407" i="40"/>
  <c r="Q433" i="40"/>
  <c r="Q430" i="40"/>
  <c r="Q387" i="40"/>
  <c r="Q391" i="40"/>
  <c r="Q397" i="40"/>
  <c r="Q406" i="40"/>
  <c r="Q400" i="40"/>
  <c r="Q409" i="40"/>
  <c r="Q436" i="40"/>
  <c r="Q440" i="40"/>
  <c r="Q439" i="40"/>
  <c r="Q402" i="40"/>
  <c r="Q392" i="40"/>
  <c r="Q399" i="40"/>
  <c r="Q408" i="40"/>
  <c r="Q403" i="40"/>
  <c r="Q411" i="40"/>
  <c r="Q441" i="40"/>
  <c r="Q437" i="40"/>
  <c r="Q435" i="40"/>
  <c r="Q410" i="40"/>
  <c r="Q394" i="40"/>
  <c r="Q401" i="40"/>
  <c r="Q438" i="40"/>
  <c r="Q405" i="40"/>
  <c r="H629" i="64"/>
  <c r="J1391" i="79"/>
  <c r="V785" i="64"/>
  <c r="AV785" i="64" s="1"/>
  <c r="H574" i="74"/>
  <c r="V795" i="64"/>
  <c r="AV795" i="64" s="1"/>
  <c r="V716" i="64"/>
  <c r="AI716" i="64" s="1"/>
  <c r="V745" i="64"/>
  <c r="AV745" i="64" s="1"/>
  <c r="H575" i="74"/>
  <c r="H577" i="74"/>
  <c r="H578" i="74"/>
  <c r="H82" i="85"/>
  <c r="H212" i="85" s="1"/>
  <c r="I63" i="85"/>
  <c r="AT808" i="64"/>
  <c r="H567" i="74"/>
  <c r="H566" i="74"/>
  <c r="G232" i="73"/>
  <c r="G460" i="73" s="1"/>
  <c r="K383" i="77"/>
  <c r="K455" i="77"/>
  <c r="K318" i="77"/>
  <c r="K353" i="77"/>
  <c r="K138" i="77"/>
  <c r="K252" i="77"/>
  <c r="H242" i="74"/>
  <c r="H241" i="74"/>
  <c r="H244" i="74"/>
  <c r="H243" i="74"/>
  <c r="F245" i="74"/>
  <c r="K621" i="79"/>
  <c r="I240" i="73"/>
  <c r="H258" i="73"/>
  <c r="H461" i="73" s="1"/>
  <c r="H220" i="85"/>
  <c r="H218" i="85"/>
  <c r="BK219" i="65"/>
  <c r="BK11" i="65"/>
  <c r="W673" i="64" s="1"/>
  <c r="BK12" i="65"/>
  <c r="W674" i="64" s="1"/>
  <c r="BK10" i="65"/>
  <c r="W672" i="64" s="1"/>
  <c r="BK14" i="65"/>
  <c r="W747" i="64" s="1"/>
  <c r="BK15" i="65"/>
  <c r="W748" i="64" s="1"/>
  <c r="BY209" i="65"/>
  <c r="BY230" i="65"/>
  <c r="BY213" i="65"/>
  <c r="BY226" i="65"/>
  <c r="BY228" i="65"/>
  <c r="BY229" i="65"/>
  <c r="BY231" i="65"/>
  <c r="BY211" i="65"/>
  <c r="BY214" i="65"/>
  <c r="BY223" i="65"/>
  <c r="BY227" i="65"/>
  <c r="BY210" i="65"/>
  <c r="BY204" i="65"/>
  <c r="BY208" i="65"/>
  <c r="BY212" i="65"/>
  <c r="BY206" i="65"/>
  <c r="BY205" i="65"/>
  <c r="BY220" i="65"/>
  <c r="BY222" i="65"/>
  <c r="BY207" i="65"/>
  <c r="BY221" i="65"/>
  <c r="BY225" i="65"/>
  <c r="BY203" i="65"/>
  <c r="BY224" i="65"/>
  <c r="J7" i="74"/>
  <c r="L5" i="77"/>
  <c r="L483" i="77" s="1"/>
  <c r="K10" i="73"/>
  <c r="N41" i="79"/>
  <c r="CU1053" i="64"/>
  <c r="K1345" i="64"/>
  <c r="L289" i="64"/>
  <c r="L345" i="64" s="1"/>
  <c r="L214" i="64"/>
  <c r="CN202" i="65"/>
  <c r="BZ202" i="65"/>
  <c r="BL202" i="65"/>
  <c r="K1398" i="64"/>
  <c r="K742" i="64"/>
  <c r="L258" i="64"/>
  <c r="L274" i="64" s="1"/>
  <c r="L171" i="64"/>
  <c r="L4" i="64"/>
  <c r="K1381" i="64"/>
  <c r="L637" i="64"/>
  <c r="CN8" i="65"/>
  <c r="CN26" i="65" s="1"/>
  <c r="BZ8" i="65"/>
  <c r="BL8" i="65"/>
  <c r="K1364" i="64"/>
  <c r="L400" i="64"/>
  <c r="K813" i="64" s="1"/>
  <c r="J888" i="64" s="1"/>
  <c r="L126" i="64"/>
  <c r="L104" i="64"/>
  <c r="L111" i="64"/>
  <c r="L120" i="64"/>
  <c r="L115" i="64" s="1"/>
  <c r="M8" i="64"/>
  <c r="P622" i="77"/>
  <c r="P597" i="77"/>
  <c r="I646" i="77"/>
  <c r="H605" i="77" s="1"/>
  <c r="P609" i="77"/>
  <c r="P631" i="77" s="1"/>
  <c r="P638" i="77" s="1"/>
  <c r="K438" i="77"/>
  <c r="AG1019" i="64"/>
  <c r="C1019" i="64" s="1"/>
  <c r="C1090" i="64" s="1"/>
  <c r="AJ1019" i="64"/>
  <c r="F1019" i="64" s="1"/>
  <c r="F1090" i="64" s="1"/>
  <c r="AI1019" i="64"/>
  <c r="E1019" i="64" s="1"/>
  <c r="E1090" i="64" s="1"/>
  <c r="B1019" i="64"/>
  <c r="AH1019" i="64"/>
  <c r="D1019" i="64" s="1"/>
  <c r="D1090" i="64" s="1"/>
  <c r="K1631" i="79"/>
  <c r="K1387" i="79"/>
  <c r="K554" i="79"/>
  <c r="AI369" i="79"/>
  <c r="AI328" i="79"/>
  <c r="AI123" i="79"/>
  <c r="AI82" i="79"/>
  <c r="AI410" i="79"/>
  <c r="AI287" i="79"/>
  <c r="AI6" i="79"/>
  <c r="AI451" i="79"/>
  <c r="AI205" i="79"/>
  <c r="AI492" i="79"/>
  <c r="AI246" i="79"/>
  <c r="K562" i="79"/>
  <c r="K1389" i="79"/>
  <c r="I54" i="73"/>
  <c r="I487" i="73"/>
  <c r="K1395" i="79"/>
  <c r="K586" i="79"/>
  <c r="H557" i="74"/>
  <c r="L727" i="79"/>
  <c r="L1220" i="79" s="1"/>
  <c r="L1288" i="79" s="1"/>
  <c r="L728" i="79"/>
  <c r="L560" i="79"/>
  <c r="L559" i="79"/>
  <c r="L564" i="79"/>
  <c r="L561" i="79"/>
  <c r="L767" i="79"/>
  <c r="L768" i="79"/>
  <c r="L736" i="79"/>
  <c r="L735" i="79"/>
  <c r="L620" i="79"/>
  <c r="L619" i="79"/>
  <c r="L618" i="79"/>
  <c r="L553" i="79"/>
  <c r="L552" i="79"/>
  <c r="L556" i="79"/>
  <c r="L551" i="79"/>
  <c r="E16" i="80"/>
  <c r="E72" i="83"/>
  <c r="H576" i="74"/>
  <c r="R1200" i="64"/>
  <c r="AE1200" i="64" s="1"/>
  <c r="R1053" i="64"/>
  <c r="H231" i="73"/>
  <c r="I213" i="73" s="1"/>
  <c r="H568" i="74"/>
  <c r="K570" i="79"/>
  <c r="CM209" i="65"/>
  <c r="CM226" i="65"/>
  <c r="CM211" i="65"/>
  <c r="CM206" i="65"/>
  <c r="CM227" i="65"/>
  <c r="CM204" i="65"/>
  <c r="CM208" i="65"/>
  <c r="CM224" i="65"/>
  <c r="CM229" i="65"/>
  <c r="CM212" i="65"/>
  <c r="CM210" i="65"/>
  <c r="CM230" i="65"/>
  <c r="CM223" i="65"/>
  <c r="CM222" i="65"/>
  <c r="CM205" i="65"/>
  <c r="CM213" i="65"/>
  <c r="CM214" i="65"/>
  <c r="CM207" i="65"/>
  <c r="CM228" i="65"/>
  <c r="CM221" i="65"/>
  <c r="CM231" i="65"/>
  <c r="CM203" i="65"/>
  <c r="CM225" i="65"/>
  <c r="CM220" i="65"/>
  <c r="I683" i="74"/>
  <c r="I555" i="74"/>
  <c r="I552" i="74"/>
  <c r="I544" i="74"/>
  <c r="I541" i="74"/>
  <c r="I533" i="74"/>
  <c r="I530" i="74"/>
  <c r="I522" i="74"/>
  <c r="I519" i="74"/>
  <c r="I511" i="74"/>
  <c r="I508" i="74"/>
  <c r="I500" i="74"/>
  <c r="I550" i="74"/>
  <c r="I701" i="74" s="1"/>
  <c r="I539" i="74"/>
  <c r="I700" i="74" s="1"/>
  <c r="I528" i="74"/>
  <c r="I699" i="74" s="1"/>
  <c r="I517" i="74"/>
  <c r="I698" i="74" s="1"/>
  <c r="I506" i="74"/>
  <c r="I697" i="74" s="1"/>
  <c r="I497" i="74"/>
  <c r="I489" i="74"/>
  <c r="I486" i="74"/>
  <c r="I478" i="74"/>
  <c r="I475" i="74"/>
  <c r="I467" i="74"/>
  <c r="I464" i="74"/>
  <c r="I570" i="74" s="1"/>
  <c r="I456" i="74"/>
  <c r="I453" i="74"/>
  <c r="I445" i="74"/>
  <c r="I442" i="74"/>
  <c r="I434" i="74"/>
  <c r="I431" i="74"/>
  <c r="I423" i="74"/>
  <c r="I420" i="74"/>
  <c r="I495" i="74"/>
  <c r="I696" i="74" s="1"/>
  <c r="I484" i="74"/>
  <c r="I695" i="74" s="1"/>
  <c r="I473" i="74"/>
  <c r="I694" i="74" s="1"/>
  <c r="I462" i="74"/>
  <c r="I693" i="74" s="1"/>
  <c r="I451" i="74"/>
  <c r="I692" i="74" s="1"/>
  <c r="I440" i="74"/>
  <c r="I691" i="74" s="1"/>
  <c r="I429" i="74"/>
  <c r="I690" i="74" s="1"/>
  <c r="I418" i="74"/>
  <c r="I689" i="74" s="1"/>
  <c r="I232" i="74"/>
  <c r="I247" i="74" s="1"/>
  <c r="I262" i="74" s="1"/>
  <c r="I277" i="74" s="1"/>
  <c r="I5" i="74"/>
  <c r="I412" i="74"/>
  <c r="I409" i="74"/>
  <c r="I401" i="74"/>
  <c r="I398" i="74"/>
  <c r="I390" i="74"/>
  <c r="I387" i="74"/>
  <c r="I563" i="74" s="1"/>
  <c r="I379" i="74"/>
  <c r="I376" i="74"/>
  <c r="I368" i="74"/>
  <c r="I365" i="74"/>
  <c r="I109" i="74"/>
  <c r="I19" i="74"/>
  <c r="I407" i="74"/>
  <c r="I688" i="74" s="1"/>
  <c r="I396" i="74"/>
  <c r="I687" i="74" s="1"/>
  <c r="I385" i="74"/>
  <c r="I686" i="74" s="1"/>
  <c r="I374" i="74"/>
  <c r="I685" i="74" s="1"/>
  <c r="I363" i="74"/>
  <c r="I684" i="74" s="1"/>
  <c r="I79" i="74"/>
  <c r="I188" i="74"/>
  <c r="I155" i="74"/>
  <c r="I195" i="74"/>
  <c r="I215" i="74"/>
  <c r="I145" i="74"/>
  <c r="I115" i="74"/>
  <c r="I118" i="74"/>
  <c r="I225" i="74"/>
  <c r="I205" i="74"/>
  <c r="I178" i="74"/>
  <c r="I175" i="74"/>
  <c r="I239" i="74" s="1"/>
  <c r="I168" i="74"/>
  <c r="I185" i="74"/>
  <c r="I228" i="74"/>
  <c r="I158" i="74"/>
  <c r="I208" i="74"/>
  <c r="I128" i="74"/>
  <c r="I125" i="74"/>
  <c r="I218" i="74"/>
  <c r="I165" i="74"/>
  <c r="I238" i="74" s="1"/>
  <c r="I148" i="74"/>
  <c r="I138" i="74"/>
  <c r="I135" i="74"/>
  <c r="I198" i="74"/>
  <c r="B1015" i="64"/>
  <c r="AJ1015" i="64"/>
  <c r="F1015" i="64" s="1"/>
  <c r="F1086" i="64" s="1"/>
  <c r="AG1015" i="64"/>
  <c r="C1015" i="64" s="1"/>
  <c r="C1086" i="64" s="1"/>
  <c r="AI1015" i="64"/>
  <c r="E1015" i="64" s="1"/>
  <c r="E1086" i="64" s="1"/>
  <c r="AH1015" i="64"/>
  <c r="D1015" i="64" s="1"/>
  <c r="D1086" i="64" s="1"/>
  <c r="I110" i="85"/>
  <c r="I111" i="85" s="1"/>
  <c r="I90" i="85"/>
  <c r="K1388" i="79"/>
  <c r="K1633" i="79"/>
  <c r="F219" i="85"/>
  <c r="F221" i="85" s="1"/>
  <c r="I623" i="79"/>
  <c r="I2113" i="79" s="1"/>
  <c r="I2402" i="79" s="1"/>
  <c r="I1392" i="79"/>
  <c r="I34" i="85"/>
  <c r="I61" i="85" s="1"/>
  <c r="I88" i="85" s="1"/>
  <c r="I117" i="85" s="1"/>
  <c r="I5" i="85"/>
  <c r="AH164" i="79"/>
  <c r="R418" i="40" s="1"/>
  <c r="K1632" i="79"/>
  <c r="K597" i="79"/>
  <c r="K629" i="79"/>
  <c r="L759" i="79"/>
  <c r="L760" i="79"/>
  <c r="L603" i="79"/>
  <c r="L602" i="79"/>
  <c r="L604" i="79"/>
  <c r="L627" i="79"/>
  <c r="L626" i="79"/>
  <c r="L628" i="79"/>
  <c r="L747" i="79"/>
  <c r="L751" i="79"/>
  <c r="L752" i="79"/>
  <c r="L748" i="79"/>
  <c r="I1407" i="64"/>
  <c r="L699" i="79" s="1"/>
  <c r="L2273" i="79"/>
  <c r="L731" i="79"/>
  <c r="L732" i="79"/>
  <c r="L577" i="79"/>
  <c r="L580" i="79"/>
  <c r="L575" i="79"/>
  <c r="L576" i="79"/>
  <c r="L594" i="79"/>
  <c r="L599" i="79"/>
  <c r="L596" i="79"/>
  <c r="L595" i="79"/>
  <c r="H565" i="74"/>
  <c r="BY11" i="65"/>
  <c r="BY10" i="65"/>
  <c r="BY22" i="65"/>
  <c r="BY19" i="65"/>
  <c r="BY14" i="65"/>
  <c r="BY18" i="65"/>
  <c r="BY12" i="65"/>
  <c r="BY17" i="65"/>
  <c r="BY16" i="65"/>
  <c r="BY21" i="65"/>
  <c r="BY219" i="65"/>
  <c r="BY15" i="65"/>
  <c r="BY23" i="65"/>
  <c r="BY24" i="65"/>
  <c r="AK982" i="64"/>
  <c r="V982" i="64"/>
  <c r="G982" i="64"/>
  <c r="DG1200" i="64"/>
  <c r="CG1274" i="64" s="1"/>
  <c r="CF1126" i="64"/>
  <c r="DJ1053" i="64"/>
  <c r="CV1126" i="64" s="1"/>
  <c r="J1448" i="64"/>
  <c r="J1447" i="64"/>
  <c r="M829" i="79" s="1"/>
  <c r="M830" i="79" s="1"/>
  <c r="J1446" i="64"/>
  <c r="M826" i="79" s="1"/>
  <c r="J1445" i="64"/>
  <c r="M823" i="79" s="1"/>
  <c r="J1444" i="64"/>
  <c r="M820" i="79" s="1"/>
  <c r="J1443" i="64"/>
  <c r="M817" i="79" s="1"/>
  <c r="J1442" i="64"/>
  <c r="M814" i="79" s="1"/>
  <c r="J1441" i="64"/>
  <c r="M811" i="79" s="1"/>
  <c r="M812" i="79" s="1"/>
  <c r="J1440" i="64"/>
  <c r="M808" i="79" s="1"/>
  <c r="J1439" i="64"/>
  <c r="M805" i="79" s="1"/>
  <c r="J1438" i="64"/>
  <c r="J1437" i="64"/>
  <c r="M800" i="79" s="1"/>
  <c r="J1436" i="64"/>
  <c r="M797" i="79" s="1"/>
  <c r="J1435" i="64"/>
  <c r="M794" i="79" s="1"/>
  <c r="J1434" i="64"/>
  <c r="M791" i="79" s="1"/>
  <c r="J1433" i="64"/>
  <c r="M788" i="79" s="1"/>
  <c r="J1432" i="64"/>
  <c r="M785" i="79" s="1"/>
  <c r="M786" i="79" s="1"/>
  <c r="J1431" i="64"/>
  <c r="M782" i="79" s="1"/>
  <c r="M783" i="79" s="1"/>
  <c r="J1430" i="64"/>
  <c r="M779" i="79" s="1"/>
  <c r="J1429" i="64"/>
  <c r="M776" i="79" s="1"/>
  <c r="J1428" i="64"/>
  <c r="J1427" i="64"/>
  <c r="M770" i="79" s="1"/>
  <c r="J1426" i="64"/>
  <c r="M766" i="79" s="1"/>
  <c r="J1425" i="64"/>
  <c r="M762" i="79" s="1"/>
  <c r="J1424" i="64"/>
  <c r="M758" i="79" s="1"/>
  <c r="J1423" i="64"/>
  <c r="M754" i="79" s="1"/>
  <c r="J1422" i="64"/>
  <c r="M750" i="79" s="1"/>
  <c r="J1421" i="64"/>
  <c r="M746" i="79" s="1"/>
  <c r="J1420" i="64"/>
  <c r="M742" i="79" s="1"/>
  <c r="J1419" i="64"/>
  <c r="M738" i="79" s="1"/>
  <c r="J1418" i="64"/>
  <c r="M734" i="79" s="1"/>
  <c r="J1417" i="64"/>
  <c r="M730" i="79" s="1"/>
  <c r="J1416" i="64"/>
  <c r="M726" i="79" s="1"/>
  <c r="J1391" i="64"/>
  <c r="M2297" i="79" s="1"/>
  <c r="J1390" i="64"/>
  <c r="M2274" i="79" s="1"/>
  <c r="J1373" i="64"/>
  <c r="J1359" i="64"/>
  <c r="M573" i="79" s="1"/>
  <c r="J1357" i="64"/>
  <c r="M624" i="79" s="1"/>
  <c r="J1356" i="64"/>
  <c r="M581" i="79" s="1"/>
  <c r="J1354" i="64"/>
  <c r="M608" i="79" s="1"/>
  <c r="J1353" i="64"/>
  <c r="M565" i="79" s="1"/>
  <c r="J1351" i="64"/>
  <c r="M600" i="79" s="1"/>
  <c r="J1350" i="64"/>
  <c r="M557" i="79" s="1"/>
  <c r="D1274" i="64"/>
  <c r="AQ1200" i="64"/>
  <c r="F555" i="73"/>
  <c r="F557" i="73" s="1"/>
  <c r="F570" i="73" s="1"/>
  <c r="K1401" i="79"/>
  <c r="F102" i="8" s="1"/>
  <c r="J137" i="77"/>
  <c r="I576" i="73"/>
  <c r="I600" i="73"/>
  <c r="I599" i="73"/>
  <c r="I605" i="73" s="1"/>
  <c r="I587" i="73"/>
  <c r="I593" i="73" s="1"/>
  <c r="F213" i="85"/>
  <c r="F229" i="85" s="1"/>
  <c r="H569" i="74"/>
  <c r="H229" i="74"/>
  <c r="L755" i="79"/>
  <c r="L756" i="79"/>
  <c r="L611" i="79"/>
  <c r="L610" i="79"/>
  <c r="L612" i="79"/>
  <c r="L743" i="79"/>
  <c r="L744" i="79"/>
  <c r="L740" i="79"/>
  <c r="L739" i="79"/>
  <c r="K33" i="71"/>
  <c r="G219" i="85"/>
  <c r="G221" i="85" s="1"/>
  <c r="CM16" i="65"/>
  <c r="CM14" i="65"/>
  <c r="CM12" i="65"/>
  <c r="CM11" i="65"/>
  <c r="CM15" i="65"/>
  <c r="CM10" i="65"/>
  <c r="CM17" i="65"/>
  <c r="CM19" i="65"/>
  <c r="CM21" i="65"/>
  <c r="CM18" i="65"/>
  <c r="CM219" i="65"/>
  <c r="CM22" i="65"/>
  <c r="CM23" i="65"/>
  <c r="CM24" i="65"/>
  <c r="BK210" i="65"/>
  <c r="W721" i="64" s="1"/>
  <c r="BK205" i="65"/>
  <c r="W787" i="64" s="1"/>
  <c r="BK203" i="65"/>
  <c r="W785" i="64" s="1"/>
  <c r="BK208" i="65"/>
  <c r="W719" i="64" s="1"/>
  <c r="BK207" i="65"/>
  <c r="W718" i="64" s="1"/>
  <c r="BK206" i="65"/>
  <c r="W717" i="64" s="1"/>
  <c r="BK204" i="65"/>
  <c r="W715" i="64" s="1"/>
  <c r="BK209" i="65"/>
  <c r="BK213" i="65"/>
  <c r="W724" i="64" s="1"/>
  <c r="BK211" i="65"/>
  <c r="W793" i="64" s="1"/>
  <c r="BK212" i="65"/>
  <c r="W723" i="64" s="1"/>
  <c r="BK214" i="65"/>
  <c r="W725" i="64" s="1"/>
  <c r="M369" i="79"/>
  <c r="M328" i="79"/>
  <c r="M164" i="79"/>
  <c r="M123" i="79"/>
  <c r="M82" i="79"/>
  <c r="M835" i="79"/>
  <c r="M451" i="79"/>
  <c r="M205" i="79"/>
  <c r="AJ41" i="79"/>
  <c r="M663" i="79"/>
  <c r="M547" i="79"/>
  <c r="M410" i="79"/>
  <c r="M492" i="79"/>
  <c r="M246" i="79"/>
  <c r="M287" i="79"/>
  <c r="M6" i="79"/>
  <c r="M1306" i="79" s="1"/>
  <c r="AJ1306" i="79" s="1"/>
  <c r="G379" i="40"/>
  <c r="G514" i="40" s="1"/>
  <c r="J68" i="73"/>
  <c r="J90" i="73" s="1"/>
  <c r="J100" i="73" s="1"/>
  <c r="J128" i="73" s="1"/>
  <c r="J156" i="73" s="1"/>
  <c r="J184" i="73" s="1"/>
  <c r="J211" i="73" s="1"/>
  <c r="J238" i="73" s="1"/>
  <c r="J264" i="73" s="1"/>
  <c r="J286" i="73" s="1"/>
  <c r="J309" i="73" s="1"/>
  <c r="J331" i="73" s="1"/>
  <c r="J8" i="85" s="1"/>
  <c r="J7" i="73"/>
  <c r="J11" i="73"/>
  <c r="AH999" i="64"/>
  <c r="D999" i="64" s="1"/>
  <c r="D1070" i="64" s="1"/>
  <c r="AG999" i="64"/>
  <c r="C999" i="64" s="1"/>
  <c r="C1070" i="64" s="1"/>
  <c r="B999" i="64"/>
  <c r="AI999" i="64"/>
  <c r="E999" i="64" s="1"/>
  <c r="E1070" i="64" s="1"/>
  <c r="C1126" i="64"/>
  <c r="AD1053" i="64"/>
  <c r="K1393" i="79"/>
  <c r="K578" i="79"/>
  <c r="G212" i="85"/>
  <c r="G210" i="85"/>
  <c r="K1400" i="79"/>
  <c r="K605" i="79"/>
  <c r="BJ227" i="65"/>
  <c r="V863" i="64" s="1"/>
  <c r="AV863" i="64" s="1"/>
  <c r="BJ220" i="65"/>
  <c r="V856" i="64" s="1"/>
  <c r="AI856" i="64" s="1"/>
  <c r="BJ231" i="65"/>
  <c r="V867" i="64" s="1"/>
  <c r="AI867" i="64" s="1"/>
  <c r="BJ223" i="65"/>
  <c r="V859" i="64" s="1"/>
  <c r="AV859" i="64" s="1"/>
  <c r="BJ224" i="65"/>
  <c r="V860" i="64" s="1"/>
  <c r="AV860" i="64" s="1"/>
  <c r="BJ230" i="65"/>
  <c r="V866" i="64" s="1"/>
  <c r="AI866" i="64" s="1"/>
  <c r="BJ225" i="65"/>
  <c r="V861" i="64" s="1"/>
  <c r="AI861" i="64" s="1"/>
  <c r="BJ222" i="65"/>
  <c r="V858" i="64" s="1"/>
  <c r="AV858" i="64" s="1"/>
  <c r="BJ221" i="65"/>
  <c r="V857" i="64" s="1"/>
  <c r="AV857" i="64" s="1"/>
  <c r="BJ229" i="65"/>
  <c r="V865" i="64" s="1"/>
  <c r="AV865" i="64" s="1"/>
  <c r="BJ228" i="65"/>
  <c r="V864" i="64" s="1"/>
  <c r="AI864" i="64" s="1"/>
  <c r="BJ226" i="65"/>
  <c r="K607" i="79"/>
  <c r="K615" i="79" s="1"/>
  <c r="K623" i="79" s="1"/>
  <c r="K631" i="79" s="1"/>
  <c r="K1396" i="79" s="1"/>
  <c r="K1634" i="79"/>
  <c r="H560" i="74"/>
  <c r="H581" i="74" s="1"/>
  <c r="H602" i="74" s="1"/>
  <c r="H623" i="74" s="1"/>
  <c r="H648" i="74" s="1"/>
  <c r="H658" i="74" s="1"/>
  <c r="H359" i="74"/>
  <c r="L763" i="79"/>
  <c r="L764" i="79"/>
  <c r="L584" i="79"/>
  <c r="L583" i="79"/>
  <c r="L585" i="79"/>
  <c r="L588" i="79"/>
  <c r="L567" i="79"/>
  <c r="L569" i="79"/>
  <c r="L572" i="79"/>
  <c r="L568" i="79"/>
  <c r="L786" i="79"/>
  <c r="L1401" i="79" s="1"/>
  <c r="G102" i="8" s="1"/>
  <c r="L771" i="79"/>
  <c r="L772" i="79"/>
  <c r="F1200" i="64"/>
  <c r="F1053" i="64"/>
  <c r="J1392" i="79"/>
  <c r="K613" i="79"/>
  <c r="F999" i="64"/>
  <c r="F1070" i="64" s="1"/>
  <c r="J784" i="64"/>
  <c r="F983" i="64"/>
  <c r="F1054" i="64" s="1"/>
  <c r="AG808" i="64"/>
  <c r="AG677" i="64"/>
  <c r="AT677" i="64"/>
  <c r="F1044" i="64"/>
  <c r="F1115" i="64" s="1"/>
  <c r="H627" i="64"/>
  <c r="F1028" i="64"/>
  <c r="F1099" i="64" s="1"/>
  <c r="J746" i="64"/>
  <c r="T749" i="64"/>
  <c r="T820" i="64"/>
  <c r="T678" i="64"/>
  <c r="U820" i="64"/>
  <c r="U678" i="64"/>
  <c r="U749" i="64"/>
  <c r="AT819" i="64"/>
  <c r="AG819" i="64"/>
  <c r="BS27" i="65"/>
  <c r="BV26" i="65"/>
  <c r="BU26" i="65"/>
  <c r="BW26" i="65"/>
  <c r="BY26" i="65"/>
  <c r="BX26" i="65"/>
  <c r="AS819" i="64"/>
  <c r="AF819" i="64"/>
  <c r="S678" i="64"/>
  <c r="S749" i="64"/>
  <c r="S820" i="64"/>
  <c r="AT748" i="64"/>
  <c r="AG748" i="64"/>
  <c r="AS748" i="64"/>
  <c r="AF748" i="64"/>
  <c r="BK17" i="65"/>
  <c r="W750" i="64" s="1"/>
  <c r="BE18" i="65"/>
  <c r="BG17" i="65"/>
  <c r="BI17" i="65"/>
  <c r="BH17" i="65"/>
  <c r="BJ17" i="65"/>
  <c r="BL17" i="65"/>
  <c r="CG27" i="65"/>
  <c r="CM26" i="65"/>
  <c r="CI26" i="65"/>
  <c r="CL26" i="65"/>
  <c r="CJ26" i="65"/>
  <c r="CK26" i="65"/>
  <c r="AS677" i="64"/>
  <c r="AF677" i="64"/>
  <c r="AG1032" i="64"/>
  <c r="C1032" i="64" s="1"/>
  <c r="C1103" i="64" s="1"/>
  <c r="AI1032" i="64"/>
  <c r="E1032" i="64" s="1"/>
  <c r="E1103" i="64" s="1"/>
  <c r="AH1032" i="64"/>
  <c r="D1032" i="64" s="1"/>
  <c r="D1103" i="64" s="1"/>
  <c r="B1032" i="64"/>
  <c r="AJ1032" i="64"/>
  <c r="F1032" i="64" s="1"/>
  <c r="F1103" i="64" s="1"/>
  <c r="AT858" i="64"/>
  <c r="AG858" i="64"/>
  <c r="AO1021" i="64"/>
  <c r="K1021" i="64" s="1"/>
  <c r="K1092" i="64" s="1"/>
  <c r="AG1021" i="64"/>
  <c r="C1021" i="64" s="1"/>
  <c r="C1092" i="64" s="1"/>
  <c r="AP1021" i="64"/>
  <c r="L1021" i="64" s="1"/>
  <c r="L1092" i="64" s="1"/>
  <c r="AR1021" i="64"/>
  <c r="N1021" i="64" s="1"/>
  <c r="N1092" i="64" s="1"/>
  <c r="AI1021" i="64"/>
  <c r="E1021" i="64" s="1"/>
  <c r="E1092" i="64" s="1"/>
  <c r="AK1021" i="64"/>
  <c r="G1021" i="64" s="1"/>
  <c r="G1092" i="64" s="1"/>
  <c r="AM1021" i="64"/>
  <c r="I1021" i="64" s="1"/>
  <c r="I1092" i="64" s="1"/>
  <c r="AN1021" i="64"/>
  <c r="J1021" i="64" s="1"/>
  <c r="J1092" i="64" s="1"/>
  <c r="AQ1021" i="64"/>
  <c r="M1021" i="64" s="1"/>
  <c r="M1092" i="64" s="1"/>
  <c r="B1021" i="64"/>
  <c r="AJ1021" i="64"/>
  <c r="F1021" i="64" s="1"/>
  <c r="F1092" i="64" s="1"/>
  <c r="AL1021" i="64"/>
  <c r="H1021" i="64" s="1"/>
  <c r="H1092" i="64" s="1"/>
  <c r="AH1021" i="64"/>
  <c r="D1021" i="64" s="1"/>
  <c r="D1092" i="64" s="1"/>
  <c r="AF856" i="64"/>
  <c r="AS856" i="64"/>
  <c r="S879" i="64"/>
  <c r="B1025" i="64"/>
  <c r="AH1025" i="64"/>
  <c r="D1025" i="64" s="1"/>
  <c r="D1096" i="64" s="1"/>
  <c r="AG1025" i="64"/>
  <c r="C1025" i="64" s="1"/>
  <c r="C1096" i="64" s="1"/>
  <c r="AI1025" i="64"/>
  <c r="E1025" i="64" s="1"/>
  <c r="E1096" i="64" s="1"/>
  <c r="AJ1025" i="64"/>
  <c r="F1025" i="64" s="1"/>
  <c r="F1096" i="64" s="1"/>
  <c r="AT863" i="64"/>
  <c r="AG863" i="64"/>
  <c r="AS808" i="64"/>
  <c r="AF867" i="64"/>
  <c r="AS867" i="64"/>
  <c r="AK1036" i="64"/>
  <c r="G1036" i="64" s="1"/>
  <c r="G1107" i="64" s="1"/>
  <c r="AQ1036" i="64"/>
  <c r="M1036" i="64" s="1"/>
  <c r="M1107" i="64" s="1"/>
  <c r="AH1036" i="64"/>
  <c r="D1036" i="64" s="1"/>
  <c r="D1107" i="64" s="1"/>
  <c r="AG1036" i="64"/>
  <c r="C1036" i="64" s="1"/>
  <c r="C1107" i="64" s="1"/>
  <c r="AL1036" i="64"/>
  <c r="H1036" i="64" s="1"/>
  <c r="H1107" i="64" s="1"/>
  <c r="B1036" i="64"/>
  <c r="AN1036" i="64"/>
  <c r="J1036" i="64" s="1"/>
  <c r="J1107" i="64" s="1"/>
  <c r="AJ1036" i="64"/>
  <c r="F1036" i="64" s="1"/>
  <c r="F1107" i="64" s="1"/>
  <c r="AP1036" i="64"/>
  <c r="L1036" i="64" s="1"/>
  <c r="L1107" i="64" s="1"/>
  <c r="AO1036" i="64"/>
  <c r="K1036" i="64" s="1"/>
  <c r="K1107" i="64" s="1"/>
  <c r="AI1036" i="64"/>
  <c r="E1036" i="64" s="1"/>
  <c r="E1107" i="64" s="1"/>
  <c r="AR1036" i="64"/>
  <c r="N1036" i="64" s="1"/>
  <c r="N1107" i="64" s="1"/>
  <c r="AM1036" i="64"/>
  <c r="I1036" i="64" s="1"/>
  <c r="I1107" i="64" s="1"/>
  <c r="AS864" i="64"/>
  <c r="AF864" i="64"/>
  <c r="B1221" i="64"/>
  <c r="CO1074" i="64"/>
  <c r="B1074" i="64"/>
  <c r="AG861" i="64"/>
  <c r="AT861" i="64"/>
  <c r="H561" i="74"/>
  <c r="G579" i="74"/>
  <c r="D494" i="40"/>
  <c r="AS860" i="64"/>
  <c r="AF860" i="64"/>
  <c r="B1238" i="64"/>
  <c r="CO1091" i="64"/>
  <c r="D449" i="40"/>
  <c r="D492" i="40"/>
  <c r="H233" i="74"/>
  <c r="G245" i="74"/>
  <c r="AT857" i="64"/>
  <c r="AG857" i="64"/>
  <c r="AG1027" i="64"/>
  <c r="C1027" i="64" s="1"/>
  <c r="C1098" i="64" s="1"/>
  <c r="B1027" i="64"/>
  <c r="AH1027" i="64"/>
  <c r="D1027" i="64" s="1"/>
  <c r="D1098" i="64" s="1"/>
  <c r="AJ1027" i="64"/>
  <c r="F1027" i="64" s="1"/>
  <c r="F1098" i="64" s="1"/>
  <c r="AI1027" i="64"/>
  <c r="E1027" i="64" s="1"/>
  <c r="E1098" i="64" s="1"/>
  <c r="AN1030" i="64"/>
  <c r="J1030" i="64" s="1"/>
  <c r="J1101" i="64" s="1"/>
  <c r="AO1030" i="64"/>
  <c r="K1030" i="64" s="1"/>
  <c r="K1101" i="64" s="1"/>
  <c r="AG1030" i="64"/>
  <c r="C1030" i="64" s="1"/>
  <c r="C1101" i="64" s="1"/>
  <c r="AQ1030" i="64"/>
  <c r="M1030" i="64" s="1"/>
  <c r="M1101" i="64" s="1"/>
  <c r="AH1030" i="64"/>
  <c r="D1030" i="64" s="1"/>
  <c r="D1101" i="64" s="1"/>
  <c r="AL1030" i="64"/>
  <c r="H1030" i="64" s="1"/>
  <c r="H1101" i="64" s="1"/>
  <c r="B1030" i="64"/>
  <c r="AI1030" i="64"/>
  <c r="E1030" i="64" s="1"/>
  <c r="E1101" i="64" s="1"/>
  <c r="AK1030" i="64"/>
  <c r="G1030" i="64" s="1"/>
  <c r="G1101" i="64" s="1"/>
  <c r="AR1030" i="64"/>
  <c r="N1030" i="64" s="1"/>
  <c r="N1101" i="64" s="1"/>
  <c r="AM1030" i="64"/>
  <c r="I1030" i="64" s="1"/>
  <c r="I1101" i="64" s="1"/>
  <c r="AP1030" i="64"/>
  <c r="L1030" i="64" s="1"/>
  <c r="L1101" i="64" s="1"/>
  <c r="AJ1030" i="64"/>
  <c r="F1030" i="64" s="1"/>
  <c r="F1101" i="64" s="1"/>
  <c r="B1224" i="64"/>
  <c r="CO1077" i="64"/>
  <c r="U879" i="64"/>
  <c r="AU856" i="64"/>
  <c r="AH856" i="64"/>
  <c r="AF859" i="64"/>
  <c r="AS859" i="64"/>
  <c r="AS866" i="64"/>
  <c r="AF866" i="64"/>
  <c r="AR1029" i="64"/>
  <c r="N1029" i="64" s="1"/>
  <c r="N1100" i="64" s="1"/>
  <c r="AO1029" i="64"/>
  <c r="K1029" i="64" s="1"/>
  <c r="K1100" i="64" s="1"/>
  <c r="AG1029" i="64"/>
  <c r="C1029" i="64" s="1"/>
  <c r="C1100" i="64" s="1"/>
  <c r="AH1029" i="64"/>
  <c r="D1029" i="64" s="1"/>
  <c r="D1100" i="64" s="1"/>
  <c r="AN1029" i="64"/>
  <c r="J1029" i="64" s="1"/>
  <c r="J1100" i="64" s="1"/>
  <c r="AI1029" i="64"/>
  <c r="E1029" i="64" s="1"/>
  <c r="E1100" i="64" s="1"/>
  <c r="AP1029" i="64"/>
  <c r="L1029" i="64" s="1"/>
  <c r="L1100" i="64" s="1"/>
  <c r="AJ1029" i="64"/>
  <c r="F1029" i="64" s="1"/>
  <c r="F1100" i="64" s="1"/>
  <c r="AQ1029" i="64"/>
  <c r="M1029" i="64" s="1"/>
  <c r="M1100" i="64" s="1"/>
  <c r="AM1029" i="64"/>
  <c r="I1029" i="64" s="1"/>
  <c r="I1100" i="64" s="1"/>
  <c r="B1029" i="64"/>
  <c r="AL1029" i="64"/>
  <c r="H1029" i="64" s="1"/>
  <c r="H1100" i="64" s="1"/>
  <c r="AK1029" i="64"/>
  <c r="G1029" i="64" s="1"/>
  <c r="G1100" i="64" s="1"/>
  <c r="K37" i="71"/>
  <c r="AS863" i="64"/>
  <c r="AF863" i="64"/>
  <c r="D635" i="77"/>
  <c r="G122" i="64"/>
  <c r="AG1028" i="64"/>
  <c r="C1028" i="64" s="1"/>
  <c r="C1099" i="64" s="1"/>
  <c r="AH1028" i="64"/>
  <c r="D1028" i="64" s="1"/>
  <c r="D1099" i="64" s="1"/>
  <c r="AI1028" i="64"/>
  <c r="E1028" i="64" s="1"/>
  <c r="E1099" i="64" s="1"/>
  <c r="B1028" i="64"/>
  <c r="B1241" i="64"/>
  <c r="CO1094" i="64"/>
  <c r="AL1022" i="64"/>
  <c r="H1022" i="64" s="1"/>
  <c r="H1093" i="64" s="1"/>
  <c r="AN1022" i="64"/>
  <c r="J1022" i="64" s="1"/>
  <c r="J1093" i="64" s="1"/>
  <c r="B1022" i="64"/>
  <c r="AP1022" i="64"/>
  <c r="L1022" i="64" s="1"/>
  <c r="L1093" i="64" s="1"/>
  <c r="AK1022" i="64"/>
  <c r="G1022" i="64" s="1"/>
  <c r="G1093" i="64" s="1"/>
  <c r="AJ1022" i="64"/>
  <c r="F1022" i="64" s="1"/>
  <c r="F1093" i="64" s="1"/>
  <c r="AO1022" i="64"/>
  <c r="K1022" i="64" s="1"/>
  <c r="K1093" i="64" s="1"/>
  <c r="AH1022" i="64"/>
  <c r="D1022" i="64" s="1"/>
  <c r="D1093" i="64" s="1"/>
  <c r="AI1022" i="64"/>
  <c r="E1022" i="64" s="1"/>
  <c r="E1093" i="64" s="1"/>
  <c r="AR1022" i="64"/>
  <c r="N1022" i="64" s="1"/>
  <c r="N1093" i="64" s="1"/>
  <c r="AQ1022" i="64"/>
  <c r="M1022" i="64" s="1"/>
  <c r="M1093" i="64" s="1"/>
  <c r="AM1022" i="64"/>
  <c r="I1022" i="64" s="1"/>
  <c r="I1093" i="64" s="1"/>
  <c r="AG1022" i="64"/>
  <c r="C1022" i="64" s="1"/>
  <c r="C1093" i="64" s="1"/>
  <c r="AU860" i="64"/>
  <c r="AH860" i="64"/>
  <c r="CO1075" i="64"/>
  <c r="B1222" i="64"/>
  <c r="AL1035" i="64"/>
  <c r="H1035" i="64" s="1"/>
  <c r="H1106" i="64" s="1"/>
  <c r="AR1035" i="64"/>
  <c r="N1035" i="64" s="1"/>
  <c r="N1106" i="64" s="1"/>
  <c r="AK1035" i="64"/>
  <c r="G1035" i="64" s="1"/>
  <c r="G1106" i="64" s="1"/>
  <c r="AH1035" i="64"/>
  <c r="D1035" i="64" s="1"/>
  <c r="D1106" i="64" s="1"/>
  <c r="AM1035" i="64"/>
  <c r="I1035" i="64" s="1"/>
  <c r="I1106" i="64" s="1"/>
  <c r="AI1035" i="64"/>
  <c r="E1035" i="64" s="1"/>
  <c r="E1106" i="64" s="1"/>
  <c r="AP1035" i="64"/>
  <c r="L1035" i="64" s="1"/>
  <c r="L1106" i="64" s="1"/>
  <c r="AJ1035" i="64"/>
  <c r="F1035" i="64" s="1"/>
  <c r="F1106" i="64" s="1"/>
  <c r="B1035" i="64"/>
  <c r="AN1035" i="64"/>
  <c r="J1035" i="64" s="1"/>
  <c r="J1106" i="64" s="1"/>
  <c r="AO1035" i="64"/>
  <c r="K1035" i="64" s="1"/>
  <c r="K1106" i="64" s="1"/>
  <c r="AG1035" i="64"/>
  <c r="C1035" i="64" s="1"/>
  <c r="C1106" i="64" s="1"/>
  <c r="AQ1035" i="64"/>
  <c r="M1035" i="64" s="1"/>
  <c r="M1106" i="64" s="1"/>
  <c r="AH857" i="64"/>
  <c r="AU857" i="64"/>
  <c r="AF858" i="64"/>
  <c r="AS858" i="64"/>
  <c r="AG856" i="64"/>
  <c r="T879" i="64"/>
  <c r="AT856" i="64"/>
  <c r="B1034" i="64"/>
  <c r="AK1034" i="64"/>
  <c r="AJ1034" i="64"/>
  <c r="F1034" i="64" s="1"/>
  <c r="F1105" i="64" s="1"/>
  <c r="AI1034" i="64"/>
  <c r="E1034" i="64" s="1"/>
  <c r="E1105" i="64" s="1"/>
  <c r="AH1034" i="64"/>
  <c r="D1034" i="64" s="1"/>
  <c r="D1105" i="64" s="1"/>
  <c r="AG1034" i="64"/>
  <c r="C1034" i="64" s="1"/>
  <c r="C1105" i="64" s="1"/>
  <c r="AG859" i="64"/>
  <c r="AT859" i="64"/>
  <c r="AU866" i="64"/>
  <c r="AH866" i="64"/>
  <c r="AI1026" i="64"/>
  <c r="E1026" i="64" s="1"/>
  <c r="E1097" i="64" s="1"/>
  <c r="AH1026" i="64"/>
  <c r="D1026" i="64" s="1"/>
  <c r="D1097" i="64" s="1"/>
  <c r="B1026" i="64"/>
  <c r="AG1026" i="64"/>
  <c r="C1026" i="64" s="1"/>
  <c r="C1097" i="64" s="1"/>
  <c r="AJ1026" i="64"/>
  <c r="F1026" i="64" s="1"/>
  <c r="F1097" i="64" s="1"/>
  <c r="AQ1017" i="64"/>
  <c r="M1017" i="64" s="1"/>
  <c r="M1088" i="64" s="1"/>
  <c r="AN1017" i="64"/>
  <c r="J1017" i="64" s="1"/>
  <c r="J1088" i="64" s="1"/>
  <c r="AO1017" i="64"/>
  <c r="K1017" i="64" s="1"/>
  <c r="K1088" i="64" s="1"/>
  <c r="AG1017" i="64"/>
  <c r="C1017" i="64" s="1"/>
  <c r="C1088" i="64" s="1"/>
  <c r="AM1017" i="64"/>
  <c r="I1017" i="64" s="1"/>
  <c r="I1088" i="64" s="1"/>
  <c r="AH1017" i="64"/>
  <c r="D1017" i="64" s="1"/>
  <c r="D1088" i="64" s="1"/>
  <c r="AL1017" i="64"/>
  <c r="H1017" i="64" s="1"/>
  <c r="H1088" i="64" s="1"/>
  <c r="AI1017" i="64"/>
  <c r="E1017" i="64" s="1"/>
  <c r="E1088" i="64" s="1"/>
  <c r="AP1017" i="64"/>
  <c r="L1017" i="64" s="1"/>
  <c r="L1088" i="64" s="1"/>
  <c r="AJ1017" i="64"/>
  <c r="F1017" i="64" s="1"/>
  <c r="F1088" i="64" s="1"/>
  <c r="B1017" i="64"/>
  <c r="AK1017" i="64"/>
  <c r="G1017" i="64" s="1"/>
  <c r="G1088" i="64" s="1"/>
  <c r="AR1017" i="64"/>
  <c r="N1017" i="64" s="1"/>
  <c r="N1088" i="64" s="1"/>
  <c r="AU867" i="64"/>
  <c r="AH867" i="64"/>
  <c r="AT865" i="64"/>
  <c r="AG865" i="64"/>
  <c r="B1230" i="64"/>
  <c r="CO1083" i="64"/>
  <c r="AH1033" i="64"/>
  <c r="D1033" i="64" s="1"/>
  <c r="D1104" i="64" s="1"/>
  <c r="AI1033" i="64"/>
  <c r="E1033" i="64" s="1"/>
  <c r="E1104" i="64" s="1"/>
  <c r="B1033" i="64"/>
  <c r="AG1033" i="64"/>
  <c r="C1033" i="64" s="1"/>
  <c r="C1104" i="64" s="1"/>
  <c r="D495" i="40"/>
  <c r="D451" i="40"/>
  <c r="K35" i="71"/>
  <c r="I629" i="64"/>
  <c r="J797" i="64"/>
  <c r="D454" i="40"/>
  <c r="AS857" i="64"/>
  <c r="AF857" i="64"/>
  <c r="AH858" i="64"/>
  <c r="AU858" i="64"/>
  <c r="H122" i="64"/>
  <c r="G635" i="77"/>
  <c r="G629" i="64"/>
  <c r="AT866" i="64"/>
  <c r="AG866" i="64"/>
  <c r="CO1078" i="64"/>
  <c r="B1225" i="64"/>
  <c r="AF808" i="64"/>
  <c r="CO1056" i="64"/>
  <c r="B1056" i="64"/>
  <c r="B1203" i="64"/>
  <c r="F629" i="64"/>
  <c r="K36" i="71"/>
  <c r="AT867" i="64"/>
  <c r="AG867" i="64"/>
  <c r="D493" i="40"/>
  <c r="AT864" i="64"/>
  <c r="AG864" i="64"/>
  <c r="AS861" i="64"/>
  <c r="AF861" i="64"/>
  <c r="AS865" i="64"/>
  <c r="AF865" i="64"/>
  <c r="AT860" i="64"/>
  <c r="AG860" i="64"/>
  <c r="A596" i="77"/>
  <c r="A92" i="77"/>
  <c r="H588" i="73"/>
  <c r="H594" i="73" s="1"/>
  <c r="H601" i="73"/>
  <c r="H303" i="73"/>
  <c r="I280" i="73"/>
  <c r="J265" i="73"/>
  <c r="J279" i="73" s="1"/>
  <c r="B1339" i="64"/>
  <c r="CO1339" i="64"/>
  <c r="I303" i="73"/>
  <c r="J287" i="73"/>
  <c r="J302" i="73" s="1"/>
  <c r="G602" i="73"/>
  <c r="G606" i="73" s="1"/>
  <c r="G589" i="73"/>
  <c r="G595" i="73" s="1"/>
  <c r="G203" i="85"/>
  <c r="G205" i="85" s="1"/>
  <c r="G228" i="85" s="1"/>
  <c r="I36" i="85"/>
  <c r="H55" i="85"/>
  <c r="I78" i="85"/>
  <c r="I35" i="85"/>
  <c r="H52" i="85"/>
  <c r="I333" i="73"/>
  <c r="H349" i="73"/>
  <c r="I345" i="73"/>
  <c r="I173" i="73"/>
  <c r="I254" i="73"/>
  <c r="I147" i="73"/>
  <c r="I145" i="73"/>
  <c r="I201" i="73"/>
  <c r="H118" i="73"/>
  <c r="H466" i="73" s="1"/>
  <c r="J86" i="73"/>
  <c r="K69" i="73"/>
  <c r="K85" i="73" s="1"/>
  <c r="H149" i="73"/>
  <c r="H457" i="73" s="1"/>
  <c r="G28" i="85"/>
  <c r="G29" i="85" s="1"/>
  <c r="H42" i="73"/>
  <c r="I139" i="77" s="1"/>
  <c r="J970" i="64"/>
  <c r="L482" i="64"/>
  <c r="M90" i="64"/>
  <c r="L452" i="64"/>
  <c r="J940" i="64"/>
  <c r="J918" i="64"/>
  <c r="L430" i="64"/>
  <c r="J916" i="64"/>
  <c r="L428" i="64"/>
  <c r="L426" i="64"/>
  <c r="J914" i="64"/>
  <c r="K923" i="64"/>
  <c r="M435" i="64"/>
  <c r="J921" i="64"/>
  <c r="L433" i="64"/>
  <c r="K931" i="64"/>
  <c r="M443" i="64"/>
  <c r="K919" i="64"/>
  <c r="M431" i="64"/>
  <c r="J948" i="64"/>
  <c r="L460" i="64"/>
  <c r="J917" i="64"/>
  <c r="L429" i="64"/>
  <c r="J945" i="64"/>
  <c r="L457" i="64"/>
  <c r="K977" i="64"/>
  <c r="M489" i="64"/>
  <c r="N97" i="64"/>
  <c r="J929" i="64"/>
  <c r="L441" i="64"/>
  <c r="L434" i="64"/>
  <c r="J922" i="64"/>
  <c r="J969" i="64"/>
  <c r="M89" i="64"/>
  <c r="L481" i="64"/>
  <c r="J954" i="64"/>
  <c r="L466" i="64"/>
  <c r="M74" i="64"/>
  <c r="J949" i="64"/>
  <c r="L461" i="64"/>
  <c r="K951" i="64"/>
  <c r="M463" i="64"/>
  <c r="N71" i="64"/>
  <c r="J966" i="64"/>
  <c r="L478" i="64"/>
  <c r="M86" i="64"/>
  <c r="J936" i="64"/>
  <c r="L448" i="64"/>
  <c r="L442" i="64"/>
  <c r="J930" i="64"/>
  <c r="J926" i="64"/>
  <c r="L438" i="64"/>
  <c r="L450" i="64"/>
  <c r="J938" i="64"/>
  <c r="J950" i="64"/>
  <c r="L462" i="64"/>
  <c r="M70" i="64"/>
  <c r="M76" i="64"/>
  <c r="J956" i="64"/>
  <c r="L468" i="64"/>
  <c r="J957" i="64"/>
  <c r="M77" i="64"/>
  <c r="L469" i="64"/>
  <c r="J920" i="64"/>
  <c r="L432" i="64"/>
  <c r="K947" i="64"/>
  <c r="M459" i="64"/>
  <c r="J933" i="64"/>
  <c r="L445" i="64"/>
  <c r="M88" i="64"/>
  <c r="J968" i="64"/>
  <c r="L480" i="64"/>
  <c r="J952" i="64"/>
  <c r="M72" i="64"/>
  <c r="L464" i="64"/>
  <c r="K967" i="64"/>
  <c r="M479" i="64"/>
  <c r="N87" i="64"/>
  <c r="K927" i="64"/>
  <c r="M439" i="64"/>
  <c r="J932" i="64"/>
  <c r="L444" i="64"/>
  <c r="J925" i="64"/>
  <c r="L437" i="64"/>
  <c r="M96" i="64"/>
  <c r="J976" i="64"/>
  <c r="L488" i="64"/>
  <c r="K959" i="64"/>
  <c r="M471" i="64"/>
  <c r="N79" i="64"/>
  <c r="K973" i="64"/>
  <c r="M485" i="64"/>
  <c r="N93" i="64"/>
  <c r="J965" i="64"/>
  <c r="M85" i="64"/>
  <c r="L477" i="64"/>
  <c r="J961" i="64"/>
  <c r="M81" i="64"/>
  <c r="L473" i="64"/>
  <c r="K943" i="64"/>
  <c r="M455" i="64"/>
  <c r="J953" i="64"/>
  <c r="M73" i="64"/>
  <c r="L465" i="64"/>
  <c r="L436" i="64"/>
  <c r="J924" i="64"/>
  <c r="J958" i="64"/>
  <c r="L470" i="64"/>
  <c r="M78" i="64"/>
  <c r="M92" i="64"/>
  <c r="J972" i="64"/>
  <c r="L484" i="64"/>
  <c r="J937" i="64"/>
  <c r="L449" i="64"/>
  <c r="J962" i="64"/>
  <c r="L474" i="64"/>
  <c r="M82" i="64"/>
  <c r="L458" i="64"/>
  <c r="J946" i="64"/>
  <c r="K915" i="64"/>
  <c r="M427" i="64"/>
  <c r="K963" i="64"/>
  <c r="M475" i="64"/>
  <c r="N83" i="64"/>
  <c r="M486" i="64"/>
  <c r="K974" i="64"/>
  <c r="N94" i="64"/>
  <c r="K939" i="64"/>
  <c r="M451" i="64"/>
  <c r="J975" i="64"/>
  <c r="L487" i="64"/>
  <c r="M95" i="64"/>
  <c r="M80" i="64"/>
  <c r="J960" i="64"/>
  <c r="L472" i="64"/>
  <c r="J942" i="64"/>
  <c r="L454" i="64"/>
  <c r="M490" i="64"/>
  <c r="N98" i="64"/>
  <c r="K978" i="64"/>
  <c r="K971" i="64"/>
  <c r="M483" i="64"/>
  <c r="N91" i="64"/>
  <c r="K935" i="64"/>
  <c r="M447" i="64"/>
  <c r="J944" i="64"/>
  <c r="L456" i="64"/>
  <c r="J941" i="64"/>
  <c r="L453" i="64"/>
  <c r="M84" i="64"/>
  <c r="J964" i="64"/>
  <c r="L476" i="64"/>
  <c r="J928" i="64"/>
  <c r="L440" i="64"/>
  <c r="K955" i="64"/>
  <c r="M467" i="64"/>
  <c r="N75" i="64"/>
  <c r="J934" i="64"/>
  <c r="L446" i="64"/>
  <c r="K326" i="64"/>
  <c r="E12" i="71"/>
  <c r="AI743" i="64"/>
  <c r="AV743" i="64"/>
  <c r="AV814" i="64"/>
  <c r="AI814" i="64"/>
  <c r="I707" i="64"/>
  <c r="J186" i="64"/>
  <c r="AV718" i="64"/>
  <c r="AI718" i="64"/>
  <c r="AV794" i="64"/>
  <c r="AI794" i="64"/>
  <c r="AI747" i="64"/>
  <c r="AV747" i="64"/>
  <c r="AV678" i="64"/>
  <c r="AI678" i="64"/>
  <c r="I682" i="64"/>
  <c r="J201" i="64"/>
  <c r="J260" i="64"/>
  <c r="AV717" i="64"/>
  <c r="AI717" i="64"/>
  <c r="AV677" i="64"/>
  <c r="AI677" i="64"/>
  <c r="AV724" i="64"/>
  <c r="AI724" i="64"/>
  <c r="I713" i="64"/>
  <c r="J195" i="64"/>
  <c r="J903" i="64"/>
  <c r="L415" i="64"/>
  <c r="K290" i="64"/>
  <c r="W678" i="64"/>
  <c r="J698" i="64"/>
  <c r="J700" i="64"/>
  <c r="K188" i="64" s="1"/>
  <c r="J702" i="64"/>
  <c r="K190" i="64" s="1"/>
  <c r="J704" i="64"/>
  <c r="K192" i="64" s="1"/>
  <c r="W746" i="64"/>
  <c r="W868" i="64"/>
  <c r="J684" i="64"/>
  <c r="K173" i="64" s="1"/>
  <c r="J686" i="64"/>
  <c r="K175" i="64" s="1"/>
  <c r="J688" i="64"/>
  <c r="K177" i="64" s="1"/>
  <c r="J690" i="64"/>
  <c r="K179" i="64" s="1"/>
  <c r="J692" i="64"/>
  <c r="K181" i="64" s="1"/>
  <c r="J673" i="64"/>
  <c r="J676" i="64"/>
  <c r="J678" i="64"/>
  <c r="J714" i="64"/>
  <c r="J716" i="64"/>
  <c r="W745" i="64"/>
  <c r="W817" i="64"/>
  <c r="J709" i="64"/>
  <c r="K196" i="64" s="1"/>
  <c r="J672" i="64"/>
  <c r="J674" i="64"/>
  <c r="J677" i="64"/>
  <c r="J679" i="64"/>
  <c r="J683" i="64"/>
  <c r="J685" i="64"/>
  <c r="K174" i="64" s="1"/>
  <c r="J687" i="64"/>
  <c r="K176" i="64" s="1"/>
  <c r="J689" i="64"/>
  <c r="K178" i="64" s="1"/>
  <c r="J691" i="64"/>
  <c r="K180" i="64" s="1"/>
  <c r="J693" i="64"/>
  <c r="K182" i="64" s="1"/>
  <c r="J695" i="64"/>
  <c r="K184" i="64" s="1"/>
  <c r="J721" i="64"/>
  <c r="J715" i="64"/>
  <c r="J717" i="64"/>
  <c r="J722" i="64"/>
  <c r="J701" i="64"/>
  <c r="K189" i="64" s="1"/>
  <c r="J708" i="64"/>
  <c r="J694" i="64"/>
  <c r="K183" i="64" s="1"/>
  <c r="J699" i="64"/>
  <c r="K187" i="64" s="1"/>
  <c r="J703" i="64"/>
  <c r="K191" i="64" s="1"/>
  <c r="W749" i="64"/>
  <c r="W820" i="64"/>
  <c r="K332" i="64"/>
  <c r="J511" i="64"/>
  <c r="V1043" i="64"/>
  <c r="V1039" i="64"/>
  <c r="V1044" i="64"/>
  <c r="V1040" i="64"/>
  <c r="V1045" i="64"/>
  <c r="V1041" i="64"/>
  <c r="V1038" i="64"/>
  <c r="V1042" i="64"/>
  <c r="V999" i="64"/>
  <c r="V1028" i="64"/>
  <c r="V1006" i="64"/>
  <c r="V1004" i="64"/>
  <c r="V1003" i="64"/>
  <c r="V985" i="64"/>
  <c r="V1020" i="64"/>
  <c r="V1012" i="64"/>
  <c r="V1033" i="64"/>
  <c r="V983" i="64"/>
  <c r="V1010" i="64"/>
  <c r="V1005" i="64"/>
  <c r="V997" i="64"/>
  <c r="V1026" i="64"/>
  <c r="V1025" i="64"/>
  <c r="V1000" i="64"/>
  <c r="V995" i="64"/>
  <c r="V994" i="64"/>
  <c r="V984" i="64"/>
  <c r="V1032" i="64"/>
  <c r="V988" i="64"/>
  <c r="V1009" i="64"/>
  <c r="V1001" i="64"/>
  <c r="V987" i="64"/>
  <c r="V1027" i="64"/>
  <c r="V1014" i="64"/>
  <c r="V996" i="64"/>
  <c r="V989" i="64"/>
  <c r="V1019" i="64"/>
  <c r="V990" i="64"/>
  <c r="V1002" i="64"/>
  <c r="V1011" i="64"/>
  <c r="V1015" i="64"/>
  <c r="V998" i="64"/>
  <c r="V1013" i="64"/>
  <c r="J912" i="64"/>
  <c r="L424" i="64"/>
  <c r="F1033" i="64"/>
  <c r="F1104" i="64" s="1"/>
  <c r="F1040" i="64"/>
  <c r="F1111" i="64" s="1"/>
  <c r="K793" i="64"/>
  <c r="K788" i="64"/>
  <c r="K775" i="64"/>
  <c r="K766" i="64"/>
  <c r="K772" i="64"/>
  <c r="K771" i="64"/>
  <c r="K769" i="64"/>
  <c r="K562" i="64"/>
  <c r="K561" i="64"/>
  <c r="K560" i="64"/>
  <c r="K554" i="64"/>
  <c r="K553" i="64"/>
  <c r="K780" i="64"/>
  <c r="K763" i="64"/>
  <c r="K756" i="64"/>
  <c r="K745" i="64"/>
  <c r="J907" i="64"/>
  <c r="K552" i="64"/>
  <c r="K551" i="64"/>
  <c r="K545" i="64"/>
  <c r="K544" i="64"/>
  <c r="K543" i="64"/>
  <c r="K542" i="64"/>
  <c r="K541" i="64"/>
  <c r="K540" i="64"/>
  <c r="K539" i="64"/>
  <c r="K538" i="64"/>
  <c r="K537" i="64"/>
  <c r="K764" i="64"/>
  <c r="L419" i="64"/>
  <c r="K749" i="64"/>
  <c r="K754" i="64"/>
  <c r="K792" i="64"/>
  <c r="K765" i="64"/>
  <c r="K761" i="64"/>
  <c r="K762" i="64"/>
  <c r="K757" i="64"/>
  <c r="K759" i="64"/>
  <c r="K779" i="64"/>
  <c r="K755" i="64"/>
  <c r="K760" i="64"/>
  <c r="K770" i="64"/>
  <c r="K743" i="64"/>
  <c r="K758" i="64"/>
  <c r="K750" i="64"/>
  <c r="K786" i="64"/>
  <c r="K748" i="64"/>
  <c r="K773" i="64"/>
  <c r="K774" i="64"/>
  <c r="K787" i="64"/>
  <c r="K744" i="64"/>
  <c r="K747" i="64"/>
  <c r="K785" i="64"/>
  <c r="AH737" i="64"/>
  <c r="J892" i="64"/>
  <c r="L404" i="64"/>
  <c r="J899" i="64"/>
  <c r="L411" i="64"/>
  <c r="J890" i="64"/>
  <c r="L402" i="64"/>
  <c r="AU737" i="64"/>
  <c r="J905" i="64"/>
  <c r="L417" i="64"/>
  <c r="J897" i="64"/>
  <c r="L409" i="64"/>
  <c r="J902" i="64"/>
  <c r="L414" i="64"/>
  <c r="J909" i="64"/>
  <c r="L421" i="64"/>
  <c r="AI818" i="64"/>
  <c r="AV818" i="64"/>
  <c r="AI787" i="64"/>
  <c r="AV787" i="64"/>
  <c r="AI788" i="64"/>
  <c r="AV788" i="64"/>
  <c r="J259" i="64"/>
  <c r="I720" i="64"/>
  <c r="J200" i="64"/>
  <c r="AV793" i="64"/>
  <c r="AI793" i="64"/>
  <c r="AV721" i="64"/>
  <c r="I675" i="64"/>
  <c r="AV715" i="64"/>
  <c r="AI715" i="64"/>
  <c r="AV674" i="64"/>
  <c r="AI674" i="64"/>
  <c r="AV817" i="64"/>
  <c r="AI817" i="64"/>
  <c r="I610" i="64"/>
  <c r="I628" i="64"/>
  <c r="K294" i="64"/>
  <c r="K339" i="64"/>
  <c r="K369" i="64"/>
  <c r="J900" i="64"/>
  <c r="L412" i="64"/>
  <c r="F1003" i="64"/>
  <c r="F1074" i="64" s="1"/>
  <c r="F985" i="64"/>
  <c r="F1056" i="64" s="1"/>
  <c r="F1042" i="64"/>
  <c r="F1113" i="64" s="1"/>
  <c r="I570" i="64"/>
  <c r="J791" i="64"/>
  <c r="J550" i="64"/>
  <c r="J891" i="64"/>
  <c r="L403" i="64"/>
  <c r="I122" i="64"/>
  <c r="J895" i="64"/>
  <c r="L407" i="64"/>
  <c r="J908" i="64"/>
  <c r="L420" i="64"/>
  <c r="C36" i="71"/>
  <c r="J388" i="64"/>
  <c r="H643" i="64"/>
  <c r="H647" i="64" s="1"/>
  <c r="AV819" i="64"/>
  <c r="AI819" i="64"/>
  <c r="AI749" i="64"/>
  <c r="AV749" i="64"/>
  <c r="AI792" i="64"/>
  <c r="AV792" i="64"/>
  <c r="AV796" i="64"/>
  <c r="AI796" i="64"/>
  <c r="AV786" i="64"/>
  <c r="AI786" i="64"/>
  <c r="AV746" i="64"/>
  <c r="AI746" i="64"/>
  <c r="AV714" i="64"/>
  <c r="AI714" i="64"/>
  <c r="I697" i="64"/>
  <c r="J172" i="64"/>
  <c r="AV723" i="64"/>
  <c r="AI723" i="64"/>
  <c r="AV672" i="64"/>
  <c r="AI672" i="64"/>
  <c r="AV719" i="64"/>
  <c r="AI719" i="64"/>
  <c r="AV722" i="64"/>
  <c r="AI722" i="64"/>
  <c r="J896" i="64"/>
  <c r="L408" i="64"/>
  <c r="J904" i="64"/>
  <c r="L416" i="64"/>
  <c r="J913" i="64"/>
  <c r="L425" i="64"/>
  <c r="I611" i="64"/>
  <c r="I531" i="64"/>
  <c r="J889" i="64"/>
  <c r="K521" i="64"/>
  <c r="K513" i="64"/>
  <c r="K504" i="64"/>
  <c r="K523" i="64"/>
  <c r="K515" i="64"/>
  <c r="K506" i="64"/>
  <c r="K502" i="64"/>
  <c r="K498" i="64"/>
  <c r="K522" i="64"/>
  <c r="K514" i="64"/>
  <c r="K505" i="64"/>
  <c r="K501" i="64"/>
  <c r="L381" i="64"/>
  <c r="L370" i="64"/>
  <c r="L362" i="64"/>
  <c r="L352" i="64"/>
  <c r="L350" i="64"/>
  <c r="L383" i="64"/>
  <c r="L363" i="64"/>
  <c r="L336" i="64"/>
  <c r="L328" i="64"/>
  <c r="L320" i="64"/>
  <c r="L313" i="64"/>
  <c r="L309" i="64"/>
  <c r="L305" i="64"/>
  <c r="L297" i="64"/>
  <c r="L293" i="64"/>
  <c r="L401" i="64"/>
  <c r="K512" i="64"/>
  <c r="K503" i="64"/>
  <c r="L387" i="64"/>
  <c r="L384" i="64"/>
  <c r="L380" i="64"/>
  <c r="L371" i="64"/>
  <c r="L354" i="64"/>
  <c r="L341" i="64"/>
  <c r="L334" i="64"/>
  <c r="L322" i="64"/>
  <c r="L318" i="64"/>
  <c r="L311" i="64"/>
  <c r="L307" i="64"/>
  <c r="L303" i="64"/>
  <c r="L295" i="64"/>
  <c r="L291" i="64"/>
  <c r="K500" i="64"/>
  <c r="K499" i="64"/>
  <c r="L382" i="64"/>
  <c r="L372" i="64"/>
  <c r="L361" i="64"/>
  <c r="L353" i="64"/>
  <c r="L348" i="64"/>
  <c r="L340" i="64"/>
  <c r="L339" i="64" s="1"/>
  <c r="L333" i="64"/>
  <c r="L321" i="64"/>
  <c r="L317" i="64"/>
  <c r="L314" i="64"/>
  <c r="L310" i="64"/>
  <c r="L306" i="64"/>
  <c r="L302" i="64"/>
  <c r="L298" i="64"/>
  <c r="L349" i="64"/>
  <c r="L335" i="64"/>
  <c r="L327" i="64"/>
  <c r="L292" i="64"/>
  <c r="L347" i="64"/>
  <c r="L312" i="64"/>
  <c r="L308" i="64"/>
  <c r="L351" i="64"/>
  <c r="L304" i="64"/>
  <c r="L360" i="64"/>
  <c r="L323" i="64"/>
  <c r="L319" i="64"/>
  <c r="L296" i="64"/>
  <c r="K359" i="64"/>
  <c r="K301" i="64"/>
  <c r="K316" i="64"/>
  <c r="K346" i="64"/>
  <c r="F1038" i="64"/>
  <c r="F1109" i="64" s="1"/>
  <c r="J898" i="64"/>
  <c r="L410" i="64"/>
  <c r="J612" i="77"/>
  <c r="I121" i="64"/>
  <c r="AH808" i="64"/>
  <c r="H612" i="64"/>
  <c r="I132" i="64" s="1"/>
  <c r="J910" i="64"/>
  <c r="L422" i="64"/>
  <c r="J894" i="64"/>
  <c r="L406" i="64"/>
  <c r="AI815" i="64"/>
  <c r="AV815" i="64"/>
  <c r="AV816" i="64"/>
  <c r="AI816" i="64"/>
  <c r="AI790" i="64"/>
  <c r="AV790" i="64"/>
  <c r="AV748" i="64"/>
  <c r="AI748" i="64"/>
  <c r="J265" i="64"/>
  <c r="I726" i="64"/>
  <c r="J206" i="64"/>
  <c r="J202" i="64"/>
  <c r="J261" i="64"/>
  <c r="J203" i="64"/>
  <c r="J262" i="64"/>
  <c r="AV744" i="64"/>
  <c r="AI744" i="64"/>
  <c r="AV868" i="64"/>
  <c r="AI868" i="64"/>
  <c r="J266" i="64"/>
  <c r="J207" i="64"/>
  <c r="J901" i="64"/>
  <c r="L413" i="64"/>
  <c r="J906" i="64"/>
  <c r="L418" i="64"/>
  <c r="K379" i="64"/>
  <c r="J530" i="64"/>
  <c r="F1012" i="64"/>
  <c r="F1083" i="64" s="1"/>
  <c r="F1004" i="64"/>
  <c r="F1075" i="64" s="1"/>
  <c r="F1045" i="64"/>
  <c r="F1116" i="64" s="1"/>
  <c r="J778" i="64"/>
  <c r="J753" i="64"/>
  <c r="J768" i="64"/>
  <c r="J569" i="64"/>
  <c r="AK1044" i="64"/>
  <c r="AK1043" i="64"/>
  <c r="AK1041" i="64"/>
  <c r="AK1045" i="64"/>
  <c r="AK1039" i="64"/>
  <c r="AK1040" i="64"/>
  <c r="AK1042" i="64"/>
  <c r="AK1024" i="64"/>
  <c r="G1024" i="64" s="1"/>
  <c r="G1095" i="64" s="1"/>
  <c r="AK1037" i="64"/>
  <c r="G1037" i="64" s="1"/>
  <c r="G1108" i="64" s="1"/>
  <c r="AK1018" i="64"/>
  <c r="G1018" i="64" s="1"/>
  <c r="G1089" i="64" s="1"/>
  <c r="AK1038" i="64"/>
  <c r="AK1006" i="64"/>
  <c r="AK985" i="64"/>
  <c r="AK1004" i="64"/>
  <c r="AK983" i="64"/>
  <c r="AK999" i="64"/>
  <c r="AK1031" i="64"/>
  <c r="G1031" i="64" s="1"/>
  <c r="G1102" i="64" s="1"/>
  <c r="AK1020" i="64"/>
  <c r="AK1028" i="64"/>
  <c r="AK1012" i="64"/>
  <c r="AK1003" i="64"/>
  <c r="AK1033" i="64"/>
  <c r="AK1019" i="64"/>
  <c r="AK1010" i="64"/>
  <c r="AK1032" i="64"/>
  <c r="AK989" i="64"/>
  <c r="AK1009" i="64"/>
  <c r="AK1026" i="64"/>
  <c r="AK990" i="64"/>
  <c r="AK1011" i="64"/>
  <c r="AK994" i="64"/>
  <c r="AK1001" i="64"/>
  <c r="AK1027" i="64"/>
  <c r="AK1013" i="64"/>
  <c r="AK984" i="64"/>
  <c r="AK1014" i="64"/>
  <c r="AK987" i="64"/>
  <c r="AK996" i="64"/>
  <c r="AK1000" i="64"/>
  <c r="AK1025" i="64"/>
  <c r="AK1015" i="64"/>
  <c r="AK1005" i="64"/>
  <c r="AK997" i="64"/>
  <c r="AK995" i="64"/>
  <c r="AK988" i="64"/>
  <c r="AK1002" i="64"/>
  <c r="AK998" i="64"/>
  <c r="J911" i="64"/>
  <c r="L423" i="64"/>
  <c r="J893" i="64"/>
  <c r="L405" i="64"/>
  <c r="CB1323" i="64"/>
  <c r="AB1249" i="64"/>
  <c r="DO1249" i="64"/>
  <c r="DB1227" i="64"/>
  <c r="D1227" i="64"/>
  <c r="Q1227" i="64" s="1"/>
  <c r="G1227" i="64"/>
  <c r="T1227" i="64" s="1"/>
  <c r="C1227" i="64"/>
  <c r="P1227" i="64" s="1"/>
  <c r="F1227" i="64"/>
  <c r="S1227" i="64" s="1"/>
  <c r="E1227" i="64"/>
  <c r="R1227" i="64" s="1"/>
  <c r="CN1175" i="64"/>
  <c r="A1175" i="64"/>
  <c r="DB1060" i="64"/>
  <c r="DE1060" i="64" s="1"/>
  <c r="CQ1133" i="64" s="1"/>
  <c r="CA1133" i="64"/>
  <c r="DB1062" i="64"/>
  <c r="DE1062" i="64" s="1"/>
  <c r="CQ1135" i="64" s="1"/>
  <c r="CA1135" i="64"/>
  <c r="CO1341" i="64"/>
  <c r="B1341" i="64"/>
  <c r="CA1158" i="64"/>
  <c r="DB1085" i="64"/>
  <c r="DE1085" i="64" s="1"/>
  <c r="CQ1158" i="64" s="1"/>
  <c r="DB1218" i="64"/>
  <c r="D1218" i="64"/>
  <c r="Q1218" i="64" s="1"/>
  <c r="G1218" i="64"/>
  <c r="T1218" i="64" s="1"/>
  <c r="C1218" i="64"/>
  <c r="P1218" i="64" s="1"/>
  <c r="E1218" i="64"/>
  <c r="R1218" i="64" s="1"/>
  <c r="F1218" i="64"/>
  <c r="S1218" i="64" s="1"/>
  <c r="DB1059" i="64"/>
  <c r="DE1059" i="64" s="1"/>
  <c r="CQ1132" i="64" s="1"/>
  <c r="CA1132" i="64"/>
  <c r="DB1058" i="64"/>
  <c r="DE1058" i="64" s="1"/>
  <c r="CQ1131" i="64" s="1"/>
  <c r="CA1131" i="64"/>
  <c r="CN1127" i="64"/>
  <c r="A1127" i="64"/>
  <c r="DB1212" i="64"/>
  <c r="D1212" i="64"/>
  <c r="Q1212" i="64" s="1"/>
  <c r="G1212" i="64"/>
  <c r="T1212" i="64" s="1"/>
  <c r="C1212" i="64"/>
  <c r="P1212" i="64" s="1"/>
  <c r="E1212" i="64"/>
  <c r="R1212" i="64" s="1"/>
  <c r="F1212" i="64"/>
  <c r="S1212" i="64" s="1"/>
  <c r="CA1141" i="64"/>
  <c r="DB1068" i="64"/>
  <c r="DE1068" i="64" s="1"/>
  <c r="CQ1141" i="64" s="1"/>
  <c r="CA1146" i="64"/>
  <c r="DB1073" i="64"/>
  <c r="DE1073" i="64" s="1"/>
  <c r="CQ1146" i="64" s="1"/>
  <c r="DB1207" i="64"/>
  <c r="D1207" i="64"/>
  <c r="Q1207" i="64" s="1"/>
  <c r="G1207" i="64"/>
  <c r="T1207" i="64" s="1"/>
  <c r="C1207" i="64"/>
  <c r="P1207" i="64" s="1"/>
  <c r="E1207" i="64"/>
  <c r="R1207" i="64" s="1"/>
  <c r="F1207" i="64"/>
  <c r="S1207" i="64" s="1"/>
  <c r="DB1209" i="64"/>
  <c r="L1209" i="64"/>
  <c r="Y1209" i="64" s="1"/>
  <c r="H1209" i="64"/>
  <c r="U1209" i="64" s="1"/>
  <c r="D1209" i="64"/>
  <c r="Q1209" i="64" s="1"/>
  <c r="K1209" i="64"/>
  <c r="X1209" i="64" s="1"/>
  <c r="G1209" i="64"/>
  <c r="T1209" i="64" s="1"/>
  <c r="C1209" i="64"/>
  <c r="P1209" i="64" s="1"/>
  <c r="I1209" i="64"/>
  <c r="V1209" i="64" s="1"/>
  <c r="M1209" i="64"/>
  <c r="Z1209" i="64" s="1"/>
  <c r="E1209" i="64"/>
  <c r="R1209" i="64" s="1"/>
  <c r="J1209" i="64"/>
  <c r="W1209" i="64" s="1"/>
  <c r="N1209" i="64"/>
  <c r="AA1209" i="64" s="1"/>
  <c r="F1209" i="64"/>
  <c r="S1209" i="64" s="1"/>
  <c r="DB1061" i="64"/>
  <c r="DE1061" i="64" s="1"/>
  <c r="CQ1134" i="64" s="1"/>
  <c r="CA1134" i="64"/>
  <c r="CA1154" i="64"/>
  <c r="DB1081" i="64"/>
  <c r="DE1081" i="64" s="1"/>
  <c r="CQ1154" i="64" s="1"/>
  <c r="DB1232" i="64"/>
  <c r="D1232" i="64"/>
  <c r="Q1232" i="64" s="1"/>
  <c r="G1232" i="64"/>
  <c r="T1232" i="64" s="1"/>
  <c r="C1232" i="64"/>
  <c r="P1232" i="64" s="1"/>
  <c r="F1232" i="64"/>
  <c r="S1232" i="64" s="1"/>
  <c r="E1232" i="64"/>
  <c r="R1232" i="64" s="1"/>
  <c r="CA1149" i="64"/>
  <c r="DB1076" i="64"/>
  <c r="DE1076" i="64" s="1"/>
  <c r="CQ1149" i="64" s="1"/>
  <c r="DB1206" i="64"/>
  <c r="D1206" i="64"/>
  <c r="Q1206" i="64" s="1"/>
  <c r="G1206" i="64"/>
  <c r="T1206" i="64" s="1"/>
  <c r="C1206" i="64"/>
  <c r="P1206" i="64" s="1"/>
  <c r="E1206" i="64"/>
  <c r="R1206" i="64" s="1"/>
  <c r="F1206" i="64"/>
  <c r="S1206" i="64" s="1"/>
  <c r="CA1142" i="64"/>
  <c r="DB1069" i="64"/>
  <c r="DE1069" i="64" s="1"/>
  <c r="CQ1142" i="64" s="1"/>
  <c r="B1334" i="64"/>
  <c r="CO1334" i="64"/>
  <c r="DB1205" i="64"/>
  <c r="D1205" i="64"/>
  <c r="Q1205" i="64" s="1"/>
  <c r="G1205" i="64"/>
  <c r="T1205" i="64" s="1"/>
  <c r="C1205" i="64"/>
  <c r="P1205" i="64" s="1"/>
  <c r="E1205" i="64"/>
  <c r="R1205" i="64" s="1"/>
  <c r="F1205" i="64"/>
  <c r="S1205" i="64" s="1"/>
  <c r="CB1275" i="64"/>
  <c r="DO1201" i="64"/>
  <c r="AB1201" i="64"/>
  <c r="CQ1127" i="64"/>
  <c r="DB1065" i="64"/>
  <c r="DE1065" i="64" s="1"/>
  <c r="CQ1138" i="64" s="1"/>
  <c r="CA1138" i="64"/>
  <c r="CA1145" i="64"/>
  <c r="DB1072" i="64"/>
  <c r="DE1072" i="64" s="1"/>
  <c r="CQ1145" i="64" s="1"/>
  <c r="DB1215" i="64"/>
  <c r="D1215" i="64"/>
  <c r="Q1215" i="64" s="1"/>
  <c r="G1215" i="64"/>
  <c r="T1215" i="64" s="1"/>
  <c r="C1215" i="64"/>
  <c r="P1215" i="64" s="1"/>
  <c r="E1215" i="64"/>
  <c r="R1215" i="64" s="1"/>
  <c r="F1215" i="64"/>
  <c r="S1215" i="64" s="1"/>
  <c r="DB1220" i="64"/>
  <c r="D1220" i="64"/>
  <c r="Q1220" i="64" s="1"/>
  <c r="G1220" i="64"/>
  <c r="T1220" i="64" s="1"/>
  <c r="C1220" i="64"/>
  <c r="P1220" i="64" s="1"/>
  <c r="E1220" i="64"/>
  <c r="R1220" i="64" s="1"/>
  <c r="F1220" i="64"/>
  <c r="S1220" i="64" s="1"/>
  <c r="CO1316" i="64"/>
  <c r="B1316" i="64"/>
  <c r="DB1055" i="64"/>
  <c r="DE1055" i="64" s="1"/>
  <c r="CQ1128" i="64" s="1"/>
  <c r="CA1128" i="64"/>
  <c r="DB1208" i="64"/>
  <c r="D1208" i="64"/>
  <c r="Q1208" i="64" s="1"/>
  <c r="G1208" i="64"/>
  <c r="T1208" i="64" s="1"/>
  <c r="C1208" i="64"/>
  <c r="P1208" i="64" s="1"/>
  <c r="E1208" i="64"/>
  <c r="R1208" i="64" s="1"/>
  <c r="F1208" i="64"/>
  <c r="S1208" i="64" s="1"/>
  <c r="CA1160" i="64"/>
  <c r="DB1087" i="64"/>
  <c r="DE1087" i="64" s="1"/>
  <c r="CQ1160" i="64" s="1"/>
  <c r="DB1228" i="64"/>
  <c r="D1228" i="64"/>
  <c r="Q1228" i="64" s="1"/>
  <c r="G1228" i="64"/>
  <c r="T1228" i="64" s="1"/>
  <c r="C1228" i="64"/>
  <c r="P1228" i="64" s="1"/>
  <c r="F1228" i="64"/>
  <c r="S1228" i="64" s="1"/>
  <c r="E1228" i="64"/>
  <c r="R1228" i="64" s="1"/>
  <c r="F1223" i="64"/>
  <c r="S1223" i="64" s="1"/>
  <c r="E1223" i="64"/>
  <c r="R1223" i="64" s="1"/>
  <c r="DB1223" i="64"/>
  <c r="C1223" i="64"/>
  <c r="P1223" i="64" s="1"/>
  <c r="G1223" i="64"/>
  <c r="T1223" i="64" s="1"/>
  <c r="D1223" i="64"/>
  <c r="Q1223" i="64" s="1"/>
  <c r="DB1216" i="64"/>
  <c r="D1216" i="64"/>
  <c r="Q1216" i="64" s="1"/>
  <c r="G1216" i="64"/>
  <c r="T1216" i="64" s="1"/>
  <c r="C1216" i="64"/>
  <c r="P1216" i="64" s="1"/>
  <c r="E1216" i="64"/>
  <c r="R1216" i="64" s="1"/>
  <c r="F1216" i="64"/>
  <c r="S1216" i="64" s="1"/>
  <c r="CA1157" i="64"/>
  <c r="DB1084" i="64"/>
  <c r="DE1084" i="64" s="1"/>
  <c r="CQ1157" i="64" s="1"/>
  <c r="CA1140" i="64"/>
  <c r="DB1067" i="64"/>
  <c r="DE1067" i="64" s="1"/>
  <c r="CQ1140" i="64" s="1"/>
  <c r="DB1219" i="64"/>
  <c r="D1219" i="64"/>
  <c r="Q1219" i="64" s="1"/>
  <c r="G1219" i="64"/>
  <c r="T1219" i="64" s="1"/>
  <c r="C1219" i="64"/>
  <c r="P1219" i="64" s="1"/>
  <c r="E1219" i="64"/>
  <c r="R1219" i="64" s="1"/>
  <c r="F1219" i="64"/>
  <c r="S1219" i="64" s="1"/>
  <c r="CA1153" i="64"/>
  <c r="DB1080" i="64"/>
  <c r="DE1080" i="64" s="1"/>
  <c r="CQ1153" i="64" s="1"/>
  <c r="DB1202" i="64"/>
  <c r="D1202" i="64"/>
  <c r="Q1202" i="64" s="1"/>
  <c r="G1202" i="64"/>
  <c r="T1202" i="64" s="1"/>
  <c r="C1202" i="64"/>
  <c r="P1202" i="64" s="1"/>
  <c r="E1202" i="64"/>
  <c r="R1202" i="64" s="1"/>
  <c r="F1202" i="64"/>
  <c r="S1202" i="64" s="1"/>
  <c r="B1338" i="64"/>
  <c r="CO1338" i="64"/>
  <c r="DB1234" i="64"/>
  <c r="L1234" i="64"/>
  <c r="Y1234" i="64" s="1"/>
  <c r="H1234" i="64"/>
  <c r="U1234" i="64" s="1"/>
  <c r="D1234" i="64"/>
  <c r="Q1234" i="64" s="1"/>
  <c r="K1234" i="64"/>
  <c r="X1234" i="64" s="1"/>
  <c r="G1234" i="64"/>
  <c r="T1234" i="64" s="1"/>
  <c r="C1234" i="64"/>
  <c r="P1234" i="64" s="1"/>
  <c r="N1234" i="64"/>
  <c r="AA1234" i="64" s="1"/>
  <c r="J1234" i="64"/>
  <c r="W1234" i="64" s="1"/>
  <c r="F1234" i="64"/>
  <c r="S1234" i="64" s="1"/>
  <c r="M1234" i="64"/>
  <c r="Z1234" i="64" s="1"/>
  <c r="I1234" i="64"/>
  <c r="V1234" i="64" s="1"/>
  <c r="E1234" i="64"/>
  <c r="R1234" i="64" s="1"/>
  <c r="CA1144" i="64"/>
  <c r="DB1071" i="64"/>
  <c r="DE1071" i="64" s="1"/>
  <c r="CQ1144" i="64" s="1"/>
  <c r="B1310" i="64"/>
  <c r="CO1310" i="64"/>
  <c r="CO1329" i="64"/>
  <c r="B1329" i="64"/>
  <c r="DB1231" i="64"/>
  <c r="D1231" i="64"/>
  <c r="Q1231" i="64" s="1"/>
  <c r="G1231" i="64"/>
  <c r="T1231" i="64" s="1"/>
  <c r="C1231" i="64"/>
  <c r="P1231" i="64" s="1"/>
  <c r="F1231" i="64"/>
  <c r="S1231" i="64" s="1"/>
  <c r="E1231" i="64"/>
  <c r="R1231" i="64" s="1"/>
  <c r="B1330" i="64"/>
  <c r="CO1330" i="64"/>
  <c r="DB1214" i="64"/>
  <c r="D1214" i="64"/>
  <c r="Q1214" i="64" s="1"/>
  <c r="G1214" i="64"/>
  <c r="T1214" i="64" s="1"/>
  <c r="C1214" i="64"/>
  <c r="P1214" i="64" s="1"/>
  <c r="E1214" i="64"/>
  <c r="R1214" i="64" s="1"/>
  <c r="F1214" i="64"/>
  <c r="S1214" i="64" s="1"/>
  <c r="G46" i="73"/>
  <c r="F10" i="74" s="1"/>
  <c r="F11" i="74" s="1"/>
  <c r="H139" i="77"/>
  <c r="F239" i="85"/>
  <c r="G337" i="77" s="1"/>
  <c r="H9" i="85"/>
  <c r="G26" i="85"/>
  <c r="I41" i="73"/>
  <c r="J12" i="73" s="1"/>
  <c r="R162" i="85"/>
  <c r="P182" i="8"/>
  <c r="E11" i="80"/>
  <c r="I310" i="73"/>
  <c r="I325" i="73" s="1"/>
  <c r="H326" i="73"/>
  <c r="F607" i="73"/>
  <c r="G401" i="77" s="1"/>
  <c r="F606" i="73"/>
  <c r="H135" i="85"/>
  <c r="I118" i="85"/>
  <c r="I134" i="85" s="1"/>
  <c r="I135" i="85" s="1"/>
  <c r="K107" i="85"/>
  <c r="R97" i="85"/>
  <c r="O11" i="10"/>
  <c r="H5" i="25" s="1"/>
  <c r="D8" i="71" l="1"/>
  <c r="I386" i="77"/>
  <c r="J229" i="73"/>
  <c r="J128" i="8"/>
  <c r="J139" i="8" s="1"/>
  <c r="J147" i="8" s="1"/>
  <c r="J155" i="8" s="1"/>
  <c r="J166" i="8" s="1"/>
  <c r="J172" i="8" s="1"/>
  <c r="J122" i="8"/>
  <c r="L6" i="8"/>
  <c r="K10" i="8"/>
  <c r="K58" i="8" s="1"/>
  <c r="K91" i="8" s="1"/>
  <c r="K115" i="8" s="1"/>
  <c r="I564" i="74"/>
  <c r="I571" i="74"/>
  <c r="I572" i="74"/>
  <c r="I562" i="74"/>
  <c r="I237" i="74"/>
  <c r="I236" i="74"/>
  <c r="I234" i="74"/>
  <c r="CO1063" i="64"/>
  <c r="B1210" i="64"/>
  <c r="B1063" i="64"/>
  <c r="W788" i="64"/>
  <c r="W716" i="64"/>
  <c r="D33" i="9"/>
  <c r="I240" i="74"/>
  <c r="K639" i="64"/>
  <c r="K877" i="64"/>
  <c r="J638" i="64"/>
  <c r="K640" i="64"/>
  <c r="H1232" i="64"/>
  <c r="U1232" i="64" s="1"/>
  <c r="W722" i="64"/>
  <c r="L873" i="64"/>
  <c r="L876" i="64"/>
  <c r="L872" i="64"/>
  <c r="L871" i="64"/>
  <c r="L874" i="64"/>
  <c r="L870" i="64"/>
  <c r="L869" i="64"/>
  <c r="I235" i="74"/>
  <c r="W816" i="64"/>
  <c r="J629" i="64"/>
  <c r="J735" i="64"/>
  <c r="AI725" i="64"/>
  <c r="AV676" i="64"/>
  <c r="G1034" i="64"/>
  <c r="G1105" i="64" s="1"/>
  <c r="W676" i="64"/>
  <c r="K806" i="64"/>
  <c r="L800" i="64"/>
  <c r="L805" i="64"/>
  <c r="L801" i="64"/>
  <c r="L803" i="64"/>
  <c r="L798" i="64"/>
  <c r="L802" i="64"/>
  <c r="L799" i="64"/>
  <c r="H1212" i="64"/>
  <c r="U1212" i="64" s="1"/>
  <c r="K730" i="64"/>
  <c r="K734" i="64"/>
  <c r="K729" i="64"/>
  <c r="K732" i="64"/>
  <c r="K728" i="64"/>
  <c r="K727" i="64"/>
  <c r="K731" i="64"/>
  <c r="W818" i="64"/>
  <c r="I257" i="73"/>
  <c r="H1219" i="64"/>
  <c r="U1219" i="64" s="1"/>
  <c r="W677" i="64"/>
  <c r="G648" i="64"/>
  <c r="CO1082" i="64"/>
  <c r="B1229" i="64"/>
  <c r="B1213" i="64"/>
  <c r="CO1066" i="64"/>
  <c r="B1066" i="64"/>
  <c r="F644" i="64"/>
  <c r="F648" i="64" s="1"/>
  <c r="G1459" i="64"/>
  <c r="H1459" i="64" s="1"/>
  <c r="H1460" i="64" s="1"/>
  <c r="H1205" i="64"/>
  <c r="U1205" i="64" s="1"/>
  <c r="W1034" i="64"/>
  <c r="AI673" i="64"/>
  <c r="H1218" i="64"/>
  <c r="U1218" i="64" s="1"/>
  <c r="G396" i="40"/>
  <c r="G404" i="40"/>
  <c r="G418" i="40"/>
  <c r="G398" i="40"/>
  <c r="G406" i="40"/>
  <c r="G394" i="40"/>
  <c r="G402" i="40"/>
  <c r="G405" i="40"/>
  <c r="G437" i="40"/>
  <c r="G401" i="40"/>
  <c r="G400" i="40"/>
  <c r="G431" i="40"/>
  <c r="G439" i="40"/>
  <c r="G399" i="40"/>
  <c r="G436" i="40"/>
  <c r="G430" i="40"/>
  <c r="G432" i="40"/>
  <c r="G387" i="40"/>
  <c r="G392" i="40"/>
  <c r="G410" i="40"/>
  <c r="G411" i="40"/>
  <c r="G433" i="40"/>
  <c r="G441" i="40"/>
  <c r="G407" i="40"/>
  <c r="G438" i="40"/>
  <c r="G434" i="40"/>
  <c r="G440" i="40"/>
  <c r="G408" i="40"/>
  <c r="G417" i="40"/>
  <c r="G403" i="40"/>
  <c r="G391" i="40"/>
  <c r="G397" i="40"/>
  <c r="G435" i="40"/>
  <c r="G409" i="40"/>
  <c r="H1202" i="64"/>
  <c r="U1202" i="64" s="1"/>
  <c r="H1216" i="64"/>
  <c r="U1216" i="64" s="1"/>
  <c r="W679" i="64"/>
  <c r="AJ679" i="64" s="1"/>
  <c r="AL1034" i="64"/>
  <c r="H1034" i="64" s="1"/>
  <c r="H1105" i="64" s="1"/>
  <c r="T1256" i="64"/>
  <c r="L794" i="64"/>
  <c r="AI820" i="64"/>
  <c r="I229" i="73"/>
  <c r="K267" i="64"/>
  <c r="K723" i="64"/>
  <c r="L267" i="64" s="1"/>
  <c r="K2113" i="79"/>
  <c r="K2402" i="79" s="1"/>
  <c r="L283" i="64"/>
  <c r="L251" i="64"/>
  <c r="M342" i="64"/>
  <c r="L865" i="64"/>
  <c r="W790" i="64"/>
  <c r="AW790" i="64" s="1"/>
  <c r="W786" i="64"/>
  <c r="W714" i="64"/>
  <c r="AI789" i="64"/>
  <c r="AI795" i="64"/>
  <c r="AV866" i="64"/>
  <c r="W743" i="64"/>
  <c r="W796" i="64"/>
  <c r="AV864" i="64"/>
  <c r="H210" i="85"/>
  <c r="H211" i="85" s="1"/>
  <c r="H213" i="85" s="1"/>
  <c r="W814" i="64"/>
  <c r="G1003" i="64"/>
  <c r="G1074" i="64" s="1"/>
  <c r="I575" i="74"/>
  <c r="I81" i="85"/>
  <c r="G607" i="73"/>
  <c r="H401" i="77" s="1"/>
  <c r="H46" i="73"/>
  <c r="W821" i="64"/>
  <c r="AJ821" i="64" s="1"/>
  <c r="M2082" i="79"/>
  <c r="M2401" i="79" s="1"/>
  <c r="G102" i="73"/>
  <c r="G120" i="73" s="1"/>
  <c r="H102" i="73" s="1"/>
  <c r="H120" i="73" s="1"/>
  <c r="H121" i="73" s="1"/>
  <c r="G464" i="73" s="1"/>
  <c r="F121" i="73"/>
  <c r="F456" i="73" s="1"/>
  <c r="R119" i="73"/>
  <c r="H118" i="9"/>
  <c r="H133" i="9" s="1"/>
  <c r="I37" i="9"/>
  <c r="I66" i="9"/>
  <c r="I81" i="9" s="1"/>
  <c r="I96" i="9" s="1"/>
  <c r="I107" i="9" s="1"/>
  <c r="K5" i="9"/>
  <c r="J7" i="9"/>
  <c r="J22" i="9" s="1"/>
  <c r="J52" i="9" s="1"/>
  <c r="I166" i="83"/>
  <c r="H167" i="83"/>
  <c r="J134" i="83"/>
  <c r="J166" i="83" s="1"/>
  <c r="J30" i="80"/>
  <c r="L135" i="8"/>
  <c r="J29" i="10"/>
  <c r="I31" i="80"/>
  <c r="K137" i="8"/>
  <c r="I135" i="83"/>
  <c r="I167" i="83" s="1"/>
  <c r="I30" i="10"/>
  <c r="I36" i="80"/>
  <c r="I143" i="83"/>
  <c r="I37" i="80"/>
  <c r="I34" i="10"/>
  <c r="K161" i="8"/>
  <c r="I144" i="83"/>
  <c r="L156" i="8"/>
  <c r="K33" i="10" s="1"/>
  <c r="K159" i="8"/>
  <c r="I25" i="80"/>
  <c r="K112" i="8"/>
  <c r="I25" i="10"/>
  <c r="I111" i="83"/>
  <c r="I162" i="83" s="1"/>
  <c r="I145" i="83"/>
  <c r="I35" i="10"/>
  <c r="I38" i="80"/>
  <c r="K162" i="8"/>
  <c r="I23" i="80"/>
  <c r="I23" i="10"/>
  <c r="I107" i="83"/>
  <c r="K110" i="8"/>
  <c r="I79" i="83"/>
  <c r="J95" i="8"/>
  <c r="K93" i="8"/>
  <c r="L111" i="8"/>
  <c r="J24" i="10"/>
  <c r="J108" i="83"/>
  <c r="J24" i="80"/>
  <c r="H150" i="83"/>
  <c r="I41" i="80"/>
  <c r="I38" i="10"/>
  <c r="I148" i="83"/>
  <c r="J177" i="8"/>
  <c r="K170" i="8"/>
  <c r="AI865" i="64"/>
  <c r="M2098" i="79"/>
  <c r="K2142" i="79"/>
  <c r="K1225" i="79"/>
  <c r="K1293" i="79" s="1"/>
  <c r="K2140" i="79"/>
  <c r="K1223" i="79"/>
  <c r="K1291" i="79" s="1"/>
  <c r="W794" i="64"/>
  <c r="AJ794" i="64" s="1"/>
  <c r="AV716" i="64"/>
  <c r="AV737" i="64" s="1"/>
  <c r="I648" i="64"/>
  <c r="M385" i="64"/>
  <c r="G987" i="64"/>
  <c r="G1058" i="64" s="1"/>
  <c r="G1032" i="64"/>
  <c r="G1103" i="64" s="1"/>
  <c r="AI745" i="64"/>
  <c r="V808" i="64"/>
  <c r="G1009" i="64"/>
  <c r="G1080" i="64" s="1"/>
  <c r="G1028" i="64"/>
  <c r="G1099" i="64" s="1"/>
  <c r="G983" i="64"/>
  <c r="G1054" i="64" s="1"/>
  <c r="V737" i="64"/>
  <c r="M612" i="77" s="1"/>
  <c r="AI858" i="64"/>
  <c r="K817" i="64"/>
  <c r="AI860" i="64"/>
  <c r="AI857" i="64"/>
  <c r="H630" i="64"/>
  <c r="AI863" i="64"/>
  <c r="AI785" i="64"/>
  <c r="J628" i="64"/>
  <c r="H648" i="64"/>
  <c r="K824" i="64"/>
  <c r="L32" i="71" s="1"/>
  <c r="W789" i="64"/>
  <c r="AJ789" i="64" s="1"/>
  <c r="I578" i="74"/>
  <c r="H1231" i="64"/>
  <c r="U1231" i="64" s="1"/>
  <c r="H1213" i="64"/>
  <c r="U1213" i="64" s="1"/>
  <c r="H1220" i="64"/>
  <c r="U1220" i="64" s="1"/>
  <c r="H1207" i="64"/>
  <c r="U1207" i="64" s="1"/>
  <c r="G997" i="64"/>
  <c r="G1068" i="64" s="1"/>
  <c r="H1227" i="64"/>
  <c r="U1227" i="64" s="1"/>
  <c r="J607" i="64"/>
  <c r="H1228" i="64"/>
  <c r="U1228" i="64" s="1"/>
  <c r="H1208" i="64"/>
  <c r="U1208" i="64" s="1"/>
  <c r="H1206" i="64"/>
  <c r="U1206" i="64" s="1"/>
  <c r="G1033" i="64"/>
  <c r="G1104" i="64" s="1"/>
  <c r="H1214" i="64"/>
  <c r="U1214" i="64" s="1"/>
  <c r="H1223" i="64"/>
  <c r="U1223" i="64" s="1"/>
  <c r="H1215" i="64"/>
  <c r="U1215" i="64" s="1"/>
  <c r="H1229" i="64"/>
  <c r="U1229" i="64" s="1"/>
  <c r="H1261" i="64"/>
  <c r="U1261" i="64" s="1"/>
  <c r="H1257" i="64"/>
  <c r="U1257" i="64" s="1"/>
  <c r="H1258" i="64"/>
  <c r="U1258" i="64" s="1"/>
  <c r="H1262" i="64"/>
  <c r="U1262" i="64" s="1"/>
  <c r="H1259" i="64"/>
  <c r="U1259" i="64" s="1"/>
  <c r="H1263" i="64"/>
  <c r="U1263" i="64" s="1"/>
  <c r="H1255" i="64"/>
  <c r="U1255" i="64" s="1"/>
  <c r="H1260" i="64"/>
  <c r="U1260" i="64" s="1"/>
  <c r="H1242" i="64"/>
  <c r="U1242" i="64" s="1"/>
  <c r="H1236" i="64"/>
  <c r="U1236" i="64" s="1"/>
  <c r="H1256" i="64"/>
  <c r="U1256" i="64" s="1"/>
  <c r="H1249" i="64"/>
  <c r="U1249" i="64" s="1"/>
  <c r="H1201" i="64"/>
  <c r="U1201" i="64" s="1"/>
  <c r="L277" i="64"/>
  <c r="L245" i="64"/>
  <c r="K606" i="64"/>
  <c r="L39" i="71" s="1"/>
  <c r="J644" i="64"/>
  <c r="J648" i="64" s="1"/>
  <c r="L282" i="64"/>
  <c r="L250" i="64"/>
  <c r="L246" i="64"/>
  <c r="L278" i="64"/>
  <c r="L215" i="64"/>
  <c r="K839" i="64"/>
  <c r="L33" i="71" s="1"/>
  <c r="K587" i="64"/>
  <c r="L591" i="64"/>
  <c r="L577" i="64"/>
  <c r="L581" i="64"/>
  <c r="L580" i="64"/>
  <c r="L579" i="64"/>
  <c r="L597" i="64"/>
  <c r="L589" i="64"/>
  <c r="L576" i="64"/>
  <c r="L582" i="64"/>
  <c r="L588" i="64"/>
  <c r="L599" i="64"/>
  <c r="L814" i="64"/>
  <c r="L578" i="64"/>
  <c r="L590" i="64"/>
  <c r="L574" i="64"/>
  <c r="L575" i="64"/>
  <c r="L598" i="64"/>
  <c r="L820" i="64"/>
  <c r="L827" i="64"/>
  <c r="M217" i="64" s="1"/>
  <c r="L826" i="64"/>
  <c r="M216" i="64" s="1"/>
  <c r="L815" i="64"/>
  <c r="L821" i="64"/>
  <c r="L825" i="64"/>
  <c r="L818" i="64"/>
  <c r="L844" i="64"/>
  <c r="M233" i="64" s="1"/>
  <c r="L831" i="64"/>
  <c r="M221" i="64" s="1"/>
  <c r="L832" i="64"/>
  <c r="M222" i="64" s="1"/>
  <c r="L845" i="64"/>
  <c r="M234" i="64" s="1"/>
  <c r="L833" i="64"/>
  <c r="M223" i="64" s="1"/>
  <c r="L829" i="64"/>
  <c r="M219" i="64" s="1"/>
  <c r="L840" i="64"/>
  <c r="L828" i="64"/>
  <c r="M218" i="64" s="1"/>
  <c r="L842" i="64"/>
  <c r="M231" i="64" s="1"/>
  <c r="L836" i="64"/>
  <c r="M226" i="64" s="1"/>
  <c r="L841" i="64"/>
  <c r="M230" i="64" s="1"/>
  <c r="L819" i="64"/>
  <c r="L843" i="64"/>
  <c r="M232" i="64" s="1"/>
  <c r="L816" i="64"/>
  <c r="L835" i="64"/>
  <c r="M225" i="64" s="1"/>
  <c r="L851" i="64"/>
  <c r="M239" i="64" s="1"/>
  <c r="L837" i="64"/>
  <c r="M227" i="64" s="1"/>
  <c r="L834" i="64"/>
  <c r="M224" i="64" s="1"/>
  <c r="L864" i="64"/>
  <c r="L857" i="64"/>
  <c r="L858" i="64"/>
  <c r="L846" i="64"/>
  <c r="M235" i="64" s="1"/>
  <c r="L830" i="64"/>
  <c r="M220" i="64" s="1"/>
  <c r="L850" i="64"/>
  <c r="L859" i="64"/>
  <c r="L863" i="64"/>
  <c r="L856" i="64"/>
  <c r="L276" i="64"/>
  <c r="L244" i="64"/>
  <c r="L238" i="64"/>
  <c r="K855" i="64"/>
  <c r="L35" i="71" s="1"/>
  <c r="L229" i="64"/>
  <c r="K849" i="64"/>
  <c r="L34" i="71" s="1"/>
  <c r="AI859" i="64"/>
  <c r="L249" i="64"/>
  <c r="K868" i="64"/>
  <c r="L37" i="71" s="1"/>
  <c r="L281" i="64"/>
  <c r="L275" i="64"/>
  <c r="L243" i="64"/>
  <c r="K862" i="64"/>
  <c r="I253" i="77"/>
  <c r="I277" i="77" s="1"/>
  <c r="H656" i="77"/>
  <c r="H680" i="77"/>
  <c r="H646" i="64"/>
  <c r="H660" i="64" s="1"/>
  <c r="I128" i="64" s="1"/>
  <c r="AV861" i="64"/>
  <c r="AV867" i="64"/>
  <c r="R398" i="40"/>
  <c r="R436" i="40"/>
  <c r="R435" i="40"/>
  <c r="R402" i="40"/>
  <c r="R434" i="40"/>
  <c r="R406" i="40"/>
  <c r="R392" i="40"/>
  <c r="R410" i="40"/>
  <c r="K1391" i="79"/>
  <c r="I573" i="74"/>
  <c r="I568" i="74"/>
  <c r="L613" i="79"/>
  <c r="L383" i="77"/>
  <c r="L455" i="77"/>
  <c r="L318" i="77"/>
  <c r="L353" i="77"/>
  <c r="I241" i="74"/>
  <c r="L138" i="77"/>
  <c r="L252" i="77"/>
  <c r="I242" i="74"/>
  <c r="K1394" i="79"/>
  <c r="M739" i="79"/>
  <c r="M740" i="79"/>
  <c r="M771" i="79"/>
  <c r="M772" i="79"/>
  <c r="M806" i="79"/>
  <c r="B1233" i="64"/>
  <c r="CO1086" i="64"/>
  <c r="I560" i="74"/>
  <c r="I581" i="74" s="1"/>
  <c r="I602" i="74" s="1"/>
  <c r="I623" i="74" s="1"/>
  <c r="I648" i="74" s="1"/>
  <c r="I658" i="74" s="1"/>
  <c r="I359" i="74"/>
  <c r="I557" i="74"/>
  <c r="E1274" i="64"/>
  <c r="AR1200" i="64"/>
  <c r="I566" i="74"/>
  <c r="K7" i="74"/>
  <c r="O41" i="79"/>
  <c r="M5" i="77"/>
  <c r="M483" i="77" s="1"/>
  <c r="L10" i="73"/>
  <c r="L1398" i="64"/>
  <c r="L742" i="64"/>
  <c r="M258" i="64"/>
  <c r="M274" i="64" s="1"/>
  <c r="M171" i="64"/>
  <c r="M4" i="64"/>
  <c r="L1381" i="64"/>
  <c r="CV1053" i="64"/>
  <c r="M637" i="64"/>
  <c r="CO8" i="65"/>
  <c r="CO27" i="65" s="1"/>
  <c r="CA8" i="65"/>
  <c r="CA27" i="65" s="1"/>
  <c r="BM8" i="65"/>
  <c r="L1364" i="64"/>
  <c r="M400" i="64"/>
  <c r="L813" i="64" s="1"/>
  <c r="K888" i="64" s="1"/>
  <c r="M126" i="64"/>
  <c r="M120" i="64"/>
  <c r="M115" i="64" s="1"/>
  <c r="M111" i="64"/>
  <c r="M104" i="64"/>
  <c r="N8" i="64"/>
  <c r="M289" i="64"/>
  <c r="M345" i="64" s="1"/>
  <c r="CO202" i="65"/>
  <c r="BM202" i="65"/>
  <c r="L1345" i="64"/>
  <c r="M214" i="64"/>
  <c r="CA202" i="65"/>
  <c r="BZ14" i="65"/>
  <c r="BZ12" i="65"/>
  <c r="BZ11" i="65"/>
  <c r="BZ10" i="65"/>
  <c r="BZ16" i="65"/>
  <c r="BZ21" i="65"/>
  <c r="BZ15" i="65"/>
  <c r="BZ17" i="65"/>
  <c r="BZ19" i="65"/>
  <c r="BZ18" i="65"/>
  <c r="BZ22" i="65"/>
  <c r="BZ219" i="65"/>
  <c r="BZ23" i="65"/>
  <c r="BZ24" i="65"/>
  <c r="BZ25" i="65"/>
  <c r="AL982" i="64"/>
  <c r="W982" i="64"/>
  <c r="H982" i="64"/>
  <c r="N410" i="79"/>
  <c r="N205" i="79"/>
  <c r="N6" i="79"/>
  <c r="N1306" i="79" s="1"/>
  <c r="AK1306" i="79" s="1"/>
  <c r="N663" i="79"/>
  <c r="N547" i="79"/>
  <c r="N164" i="79"/>
  <c r="N369" i="79"/>
  <c r="N287" i="79"/>
  <c r="N123" i="79"/>
  <c r="N835" i="79"/>
  <c r="N328" i="79"/>
  <c r="N492" i="79"/>
  <c r="N246" i="79"/>
  <c r="N82" i="79"/>
  <c r="AK41" i="79"/>
  <c r="N451" i="79"/>
  <c r="H379" i="40"/>
  <c r="H514" i="40" s="1"/>
  <c r="W815" i="64"/>
  <c r="AW815" i="64" s="1"/>
  <c r="W792" i="64"/>
  <c r="AW792" i="64" s="1"/>
  <c r="AV856" i="64"/>
  <c r="I567" i="74"/>
  <c r="CO1070" i="64"/>
  <c r="B1070" i="64"/>
  <c r="B1217" i="64"/>
  <c r="K137" i="77"/>
  <c r="J576" i="73"/>
  <c r="J600" i="73"/>
  <c r="J599" i="73"/>
  <c r="J605" i="73" s="1"/>
  <c r="J587" i="73"/>
  <c r="J593" i="73" s="1"/>
  <c r="K1392" i="79"/>
  <c r="BD1200" i="64"/>
  <c r="Q1274" i="64"/>
  <c r="M567" i="79"/>
  <c r="M568" i="79"/>
  <c r="M569" i="79"/>
  <c r="M572" i="79"/>
  <c r="M583" i="79"/>
  <c r="M585" i="79"/>
  <c r="M588" i="79"/>
  <c r="M584" i="79"/>
  <c r="J1407" i="64"/>
  <c r="M699" i="79" s="1"/>
  <c r="M2273" i="79"/>
  <c r="M727" i="79"/>
  <c r="M1220" i="79" s="1"/>
  <c r="M1288" i="79" s="1"/>
  <c r="M728" i="79"/>
  <c r="M744" i="79"/>
  <c r="M743" i="79"/>
  <c r="M759" i="79"/>
  <c r="M760" i="79"/>
  <c r="M798" i="79"/>
  <c r="M809" i="79"/>
  <c r="M821" i="79"/>
  <c r="G1200" i="64"/>
  <c r="G1053" i="64"/>
  <c r="L1634" i="79"/>
  <c r="L607" i="79"/>
  <c r="L615" i="79" s="1"/>
  <c r="L623" i="79" s="1"/>
  <c r="L631" i="79" s="1"/>
  <c r="L1396" i="79" s="1"/>
  <c r="L1393" i="79"/>
  <c r="L578" i="79"/>
  <c r="R433" i="40"/>
  <c r="R439" i="40"/>
  <c r="R431" i="40"/>
  <c r="R394" i="40"/>
  <c r="R399" i="40"/>
  <c r="R403" i="40"/>
  <c r="R407" i="40"/>
  <c r="R411" i="40"/>
  <c r="I574" i="74"/>
  <c r="H232" i="73"/>
  <c r="H460" i="73" s="1"/>
  <c r="L1400" i="79"/>
  <c r="CN16" i="65"/>
  <c r="CN15" i="65"/>
  <c r="CN18" i="65"/>
  <c r="CN19" i="65"/>
  <c r="CN14" i="65"/>
  <c r="CN12" i="65"/>
  <c r="CN11" i="65"/>
  <c r="CN219" i="65"/>
  <c r="CN10" i="65"/>
  <c r="CN17" i="65"/>
  <c r="CN21" i="65"/>
  <c r="CN22" i="65"/>
  <c r="CN23" i="65"/>
  <c r="CN24" i="65"/>
  <c r="CN25" i="65"/>
  <c r="BL209" i="65"/>
  <c r="BL205" i="65"/>
  <c r="X716" i="64" s="1"/>
  <c r="BL214" i="65"/>
  <c r="BL204" i="65"/>
  <c r="X715" i="64" s="1"/>
  <c r="BL207" i="65"/>
  <c r="BL212" i="65"/>
  <c r="X723" i="64" s="1"/>
  <c r="BL203" i="65"/>
  <c r="BL211" i="65"/>
  <c r="X722" i="64" s="1"/>
  <c r="BL208" i="65"/>
  <c r="BL206" i="65"/>
  <c r="X788" i="64" s="1"/>
  <c r="BL213" i="65"/>
  <c r="BL210" i="65"/>
  <c r="X792" i="64" s="1"/>
  <c r="K7" i="73"/>
  <c r="K11" i="73"/>
  <c r="K68" i="73"/>
  <c r="K90" i="73" s="1"/>
  <c r="K100" i="73" s="1"/>
  <c r="K128" i="73" s="1"/>
  <c r="K156" i="73" s="1"/>
  <c r="K184" i="73" s="1"/>
  <c r="K211" i="73" s="1"/>
  <c r="K238" i="73" s="1"/>
  <c r="K264" i="73" s="1"/>
  <c r="K286" i="73" s="1"/>
  <c r="K309" i="73" s="1"/>
  <c r="K331" i="73" s="1"/>
  <c r="K8" i="85" s="1"/>
  <c r="BK228" i="65"/>
  <c r="W864" i="64" s="1"/>
  <c r="AJ864" i="64" s="1"/>
  <c r="BK230" i="65"/>
  <c r="W866" i="64" s="1"/>
  <c r="AW866" i="64" s="1"/>
  <c r="BK223" i="65"/>
  <c r="W859" i="64" s="1"/>
  <c r="AW859" i="64" s="1"/>
  <c r="BK229" i="65"/>
  <c r="W865" i="64" s="1"/>
  <c r="AW865" i="64" s="1"/>
  <c r="BK225" i="65"/>
  <c r="W861" i="64" s="1"/>
  <c r="AW861" i="64" s="1"/>
  <c r="BK222" i="65"/>
  <c r="W858" i="64" s="1"/>
  <c r="BK227" i="65"/>
  <c r="W863" i="64" s="1"/>
  <c r="AW863" i="64" s="1"/>
  <c r="BK220" i="65"/>
  <c r="W856" i="64" s="1"/>
  <c r="AW856" i="64" s="1"/>
  <c r="BK231" i="65"/>
  <c r="W867" i="64" s="1"/>
  <c r="AJ867" i="64" s="1"/>
  <c r="BK221" i="65"/>
  <c r="W857" i="64" s="1"/>
  <c r="BK226" i="65"/>
  <c r="BK224" i="65"/>
  <c r="W860" i="64" s="1"/>
  <c r="AW860" i="64" s="1"/>
  <c r="H219" i="85"/>
  <c r="H221" i="85" s="1"/>
  <c r="M602" i="79"/>
  <c r="M604" i="79"/>
  <c r="M603" i="79"/>
  <c r="M756" i="79"/>
  <c r="M755" i="79"/>
  <c r="M795" i="79"/>
  <c r="M818" i="79"/>
  <c r="L629" i="79"/>
  <c r="W795" i="64"/>
  <c r="AJ795" i="64" s="1"/>
  <c r="V879" i="64"/>
  <c r="I243" i="74"/>
  <c r="G211" i="85"/>
  <c r="G213" i="85" s="1"/>
  <c r="G229" i="85" s="1"/>
  <c r="I577" i="74"/>
  <c r="P1126" i="64"/>
  <c r="AQ1053" i="64"/>
  <c r="J487" i="73"/>
  <c r="J54" i="73"/>
  <c r="F71" i="83"/>
  <c r="F15" i="80"/>
  <c r="I244" i="74"/>
  <c r="M611" i="79"/>
  <c r="M610" i="79"/>
  <c r="M612" i="79"/>
  <c r="M626" i="79"/>
  <c r="M628" i="79"/>
  <c r="M627" i="79"/>
  <c r="M731" i="79"/>
  <c r="M732" i="79"/>
  <c r="M751" i="79"/>
  <c r="M748" i="79"/>
  <c r="M752" i="79"/>
  <c r="M747" i="79"/>
  <c r="M764" i="79"/>
  <c r="M763" i="79"/>
  <c r="M777" i="79"/>
  <c r="M789" i="79"/>
  <c r="M801" i="79"/>
  <c r="M824" i="79"/>
  <c r="I565" i="74"/>
  <c r="L1632" i="79"/>
  <c r="L597" i="79"/>
  <c r="L2272" i="79"/>
  <c r="K632" i="79"/>
  <c r="R441" i="40"/>
  <c r="R440" i="40"/>
  <c r="R432" i="40"/>
  <c r="R387" i="40"/>
  <c r="R396" i="40"/>
  <c r="R400" i="40"/>
  <c r="R404" i="40"/>
  <c r="R408" i="40"/>
  <c r="R417" i="40"/>
  <c r="I631" i="79"/>
  <c r="I220" i="85"/>
  <c r="I218" i="85"/>
  <c r="I229" i="74"/>
  <c r="I231" i="73"/>
  <c r="J213" i="73" s="1"/>
  <c r="J231" i="73" s="1"/>
  <c r="K213" i="73" s="1"/>
  <c r="I576" i="74"/>
  <c r="L1631" i="79"/>
  <c r="L1387" i="79"/>
  <c r="L554" i="79"/>
  <c r="L1389" i="79"/>
  <c r="L562" i="79"/>
  <c r="F72" i="83"/>
  <c r="F16" i="80"/>
  <c r="K589" i="79"/>
  <c r="BZ230" i="65"/>
  <c r="BZ203" i="65"/>
  <c r="BZ228" i="65"/>
  <c r="BZ206" i="65"/>
  <c r="BZ210" i="65"/>
  <c r="BZ212" i="65"/>
  <c r="BZ209" i="65"/>
  <c r="BZ225" i="65"/>
  <c r="BZ213" i="65"/>
  <c r="BZ205" i="65"/>
  <c r="BZ208" i="65"/>
  <c r="BZ226" i="65"/>
  <c r="BZ220" i="65"/>
  <c r="BZ227" i="65"/>
  <c r="BZ207" i="65"/>
  <c r="BZ224" i="65"/>
  <c r="BZ229" i="65"/>
  <c r="BZ211" i="65"/>
  <c r="BZ214" i="65"/>
  <c r="BZ231" i="65"/>
  <c r="BZ221" i="65"/>
  <c r="BZ223" i="65"/>
  <c r="BZ222" i="65"/>
  <c r="BZ204" i="65"/>
  <c r="K1446" i="64"/>
  <c r="N826" i="79" s="1"/>
  <c r="N827" i="79" s="1"/>
  <c r="K1442" i="64"/>
  <c r="N814" i="79" s="1"/>
  <c r="N815" i="79" s="1"/>
  <c r="K1438" i="64"/>
  <c r="K1434" i="64"/>
  <c r="N791" i="79" s="1"/>
  <c r="N792" i="79" s="1"/>
  <c r="K1430" i="64"/>
  <c r="N779" i="79" s="1"/>
  <c r="N780" i="79" s="1"/>
  <c r="K1426" i="64"/>
  <c r="N766" i="79" s="1"/>
  <c r="K1425" i="64"/>
  <c r="N762" i="79" s="1"/>
  <c r="K1424" i="64"/>
  <c r="N758" i="79" s="1"/>
  <c r="K1423" i="64"/>
  <c r="N754" i="79" s="1"/>
  <c r="K1422" i="64"/>
  <c r="N750" i="79" s="1"/>
  <c r="K1445" i="64"/>
  <c r="N823" i="79" s="1"/>
  <c r="N824" i="79" s="1"/>
  <c r="K1441" i="64"/>
  <c r="N811" i="79" s="1"/>
  <c r="N812" i="79" s="1"/>
  <c r="K1437" i="64"/>
  <c r="N800" i="79" s="1"/>
  <c r="N801" i="79" s="1"/>
  <c r="K1433" i="64"/>
  <c r="N788" i="79" s="1"/>
  <c r="N789" i="79" s="1"/>
  <c r="K1429" i="64"/>
  <c r="N776" i="79" s="1"/>
  <c r="N777" i="79" s="1"/>
  <c r="K1350" i="64"/>
  <c r="N557" i="79" s="1"/>
  <c r="K1448" i="64"/>
  <c r="K1440" i="64"/>
  <c r="N808" i="79" s="1"/>
  <c r="N809" i="79" s="1"/>
  <c r="K1432" i="64"/>
  <c r="N785" i="79" s="1"/>
  <c r="K1447" i="64"/>
  <c r="N829" i="79" s="1"/>
  <c r="N830" i="79" s="1"/>
  <c r="K1439" i="64"/>
  <c r="N805" i="79" s="1"/>
  <c r="N806" i="79" s="1"/>
  <c r="K1431" i="64"/>
  <c r="N782" i="79" s="1"/>
  <c r="N783" i="79" s="1"/>
  <c r="K1418" i="64"/>
  <c r="N734" i="79" s="1"/>
  <c r="K1390" i="64"/>
  <c r="N2274" i="79" s="1"/>
  <c r="K1373" i="64"/>
  <c r="K1360" i="64"/>
  <c r="N616" i="79" s="1"/>
  <c r="K1354" i="64"/>
  <c r="N608" i="79" s="1"/>
  <c r="K1436" i="64"/>
  <c r="N797" i="79" s="1"/>
  <c r="N798" i="79" s="1"/>
  <c r="K1421" i="64"/>
  <c r="N746" i="79" s="1"/>
  <c r="K1391" i="64"/>
  <c r="N2297" i="79" s="1"/>
  <c r="K1359" i="64"/>
  <c r="N573" i="79" s="1"/>
  <c r="K1443" i="64"/>
  <c r="N817" i="79" s="1"/>
  <c r="N818" i="79" s="1"/>
  <c r="K1347" i="64"/>
  <c r="N548" i="79" s="1"/>
  <c r="K1444" i="64"/>
  <c r="N820" i="79" s="1"/>
  <c r="N821" i="79" s="1"/>
  <c r="K1428" i="64"/>
  <c r="K1427" i="64"/>
  <c r="N770" i="79" s="1"/>
  <c r="K1419" i="64"/>
  <c r="N738" i="79" s="1"/>
  <c r="K1416" i="64"/>
  <c r="N726" i="79" s="1"/>
  <c r="K1356" i="64"/>
  <c r="N581" i="79" s="1"/>
  <c r="K1351" i="64"/>
  <c r="N600" i="79" s="1"/>
  <c r="K1348" i="64"/>
  <c r="N592" i="79" s="1"/>
  <c r="K1417" i="64"/>
  <c r="N730" i="79" s="1"/>
  <c r="K1435" i="64"/>
  <c r="N794" i="79" s="1"/>
  <c r="N795" i="79" s="1"/>
  <c r="K1357" i="64"/>
  <c r="N624" i="79" s="1"/>
  <c r="K1353" i="64"/>
  <c r="N565" i="79" s="1"/>
  <c r="K1420" i="64"/>
  <c r="N742" i="79" s="1"/>
  <c r="S622" i="77"/>
  <c r="S597" i="77"/>
  <c r="J646" i="77"/>
  <c r="I605" i="77" s="1"/>
  <c r="S609" i="77"/>
  <c r="S631" i="77" s="1"/>
  <c r="S638" i="77" s="1"/>
  <c r="L438" i="77"/>
  <c r="E6" i="71"/>
  <c r="D30" i="71" s="1"/>
  <c r="H30" i="71" s="1"/>
  <c r="L30" i="71" s="1"/>
  <c r="S1200" i="64"/>
  <c r="AF1200" i="64" s="1"/>
  <c r="S1053" i="64"/>
  <c r="L570" i="79"/>
  <c r="L1395" i="79"/>
  <c r="L586" i="79"/>
  <c r="AJ410" i="79"/>
  <c r="AJ205" i="79"/>
  <c r="AJ328" i="79"/>
  <c r="AJ287" i="79"/>
  <c r="AJ82" i="79"/>
  <c r="AJ492" i="79"/>
  <c r="AJ246" i="79"/>
  <c r="AJ6" i="79"/>
  <c r="AJ451" i="79"/>
  <c r="AJ369" i="79"/>
  <c r="AJ123" i="79"/>
  <c r="W819" i="64"/>
  <c r="AW819" i="64" s="1"/>
  <c r="W744" i="64"/>
  <c r="AW744" i="64" s="1"/>
  <c r="BZ26" i="65"/>
  <c r="J5" i="85"/>
  <c r="J34" i="85"/>
  <c r="J61" i="85" s="1"/>
  <c r="J88" i="85" s="1"/>
  <c r="J117" i="85" s="1"/>
  <c r="I569" i="74"/>
  <c r="K1390" i="79"/>
  <c r="M561" i="79"/>
  <c r="M560" i="79"/>
  <c r="M564" i="79"/>
  <c r="M559" i="79"/>
  <c r="M577" i="79"/>
  <c r="M576" i="79"/>
  <c r="M580" i="79"/>
  <c r="M575" i="79"/>
  <c r="M736" i="79"/>
  <c r="M735" i="79"/>
  <c r="M768" i="79"/>
  <c r="M767" i="79"/>
  <c r="M780" i="79"/>
  <c r="M792" i="79"/>
  <c r="M815" i="79"/>
  <c r="M827" i="79"/>
  <c r="L700" i="79"/>
  <c r="L701" i="79"/>
  <c r="L702" i="79"/>
  <c r="L605" i="79"/>
  <c r="R437" i="40"/>
  <c r="R430" i="40"/>
  <c r="R438" i="40"/>
  <c r="R391" i="40"/>
  <c r="R397" i="40"/>
  <c r="R401" i="40"/>
  <c r="R405" i="40"/>
  <c r="R409" i="40"/>
  <c r="J110" i="85"/>
  <c r="J90" i="85"/>
  <c r="D1126" i="64"/>
  <c r="AE1053" i="64"/>
  <c r="L1633" i="79"/>
  <c r="L1388" i="79"/>
  <c r="L621" i="79"/>
  <c r="AI164" i="79"/>
  <c r="S435" i="40" s="1"/>
  <c r="B1237" i="64"/>
  <c r="CO1090" i="64"/>
  <c r="BL219" i="65"/>
  <c r="BL11" i="65"/>
  <c r="BL10" i="65"/>
  <c r="X672" i="64" s="1"/>
  <c r="BL12" i="65"/>
  <c r="X745" i="64" s="1"/>
  <c r="BL14" i="65"/>
  <c r="X676" i="64" s="1"/>
  <c r="BL15" i="65"/>
  <c r="X677" i="64" s="1"/>
  <c r="BL16" i="65"/>
  <c r="X678" i="64" s="1"/>
  <c r="CN203" i="65"/>
  <c r="CN228" i="65"/>
  <c r="CN221" i="65"/>
  <c r="CN204" i="65"/>
  <c r="CN226" i="65"/>
  <c r="CN207" i="65"/>
  <c r="CN231" i="65"/>
  <c r="CN230" i="65"/>
  <c r="CN213" i="65"/>
  <c r="CN212" i="65"/>
  <c r="CN211" i="65"/>
  <c r="CN220" i="65"/>
  <c r="CN229" i="65"/>
  <c r="CN210" i="65"/>
  <c r="CN214" i="65"/>
  <c r="CN225" i="65"/>
  <c r="CN209" i="65"/>
  <c r="CN206" i="65"/>
  <c r="CN227" i="65"/>
  <c r="CN224" i="65"/>
  <c r="CN208" i="65"/>
  <c r="CN223" i="65"/>
  <c r="CN205" i="65"/>
  <c r="CN222" i="65"/>
  <c r="DK1053" i="64"/>
  <c r="CW1126" i="64" s="1"/>
  <c r="DH1200" i="64"/>
  <c r="CH1274" i="64" s="1"/>
  <c r="CG1126" i="64"/>
  <c r="J555" i="74"/>
  <c r="J552" i="74"/>
  <c r="J544" i="74"/>
  <c r="J541" i="74"/>
  <c r="J533" i="74"/>
  <c r="J530" i="74"/>
  <c r="J522" i="74"/>
  <c r="J519" i="74"/>
  <c r="J511" i="74"/>
  <c r="J683" i="74"/>
  <c r="J550" i="74"/>
  <c r="J701" i="74" s="1"/>
  <c r="J539" i="74"/>
  <c r="J700" i="74" s="1"/>
  <c r="J528" i="74"/>
  <c r="J699" i="74" s="1"/>
  <c r="J517" i="74"/>
  <c r="J698" i="74" s="1"/>
  <c r="J506" i="74"/>
  <c r="J697" i="74" s="1"/>
  <c r="J500" i="74"/>
  <c r="J497" i="74"/>
  <c r="J489" i="74"/>
  <c r="J486" i="74"/>
  <c r="J478" i="74"/>
  <c r="J475" i="74"/>
  <c r="J467" i="74"/>
  <c r="J464" i="74"/>
  <c r="J570" i="74" s="1"/>
  <c r="J456" i="74"/>
  <c r="J453" i="74"/>
  <c r="J445" i="74"/>
  <c r="J442" i="74"/>
  <c r="J434" i="74"/>
  <c r="J431" i="74"/>
  <c r="J423" i="74"/>
  <c r="J420" i="74"/>
  <c r="J495" i="74"/>
  <c r="J696" i="74" s="1"/>
  <c r="J484" i="74"/>
  <c r="J695" i="74" s="1"/>
  <c r="J473" i="74"/>
  <c r="J694" i="74" s="1"/>
  <c r="J462" i="74"/>
  <c r="J693" i="74" s="1"/>
  <c r="J451" i="74"/>
  <c r="J692" i="74" s="1"/>
  <c r="J440" i="74"/>
  <c r="J691" i="74" s="1"/>
  <c r="J429" i="74"/>
  <c r="J690" i="74" s="1"/>
  <c r="J508" i="74"/>
  <c r="J5" i="74"/>
  <c r="J412" i="74"/>
  <c r="J409" i="74"/>
  <c r="J401" i="74"/>
  <c r="J398" i="74"/>
  <c r="J390" i="74"/>
  <c r="J387" i="74"/>
  <c r="J563" i="74" s="1"/>
  <c r="J379" i="74"/>
  <c r="J376" i="74"/>
  <c r="J368" i="74"/>
  <c r="J365" i="74"/>
  <c r="J109" i="74"/>
  <c r="J19" i="74"/>
  <c r="J407" i="74"/>
  <c r="J688" i="74" s="1"/>
  <c r="J396" i="74"/>
  <c r="J687" i="74" s="1"/>
  <c r="J385" i="74"/>
  <c r="J686" i="74" s="1"/>
  <c r="J374" i="74"/>
  <c r="J685" i="74" s="1"/>
  <c r="J363" i="74"/>
  <c r="J684" i="74" s="1"/>
  <c r="J79" i="74"/>
  <c r="J418" i="74"/>
  <c r="J689" i="74" s="1"/>
  <c r="J232" i="74"/>
  <c r="J247" i="74" s="1"/>
  <c r="J262" i="74" s="1"/>
  <c r="J277" i="74" s="1"/>
  <c r="J115" i="74"/>
  <c r="J228" i="74"/>
  <c r="J185" i="74"/>
  <c r="J155" i="74"/>
  <c r="J135" i="74"/>
  <c r="J198" i="74"/>
  <c r="J178" i="74"/>
  <c r="J165" i="74"/>
  <c r="J238" i="74" s="1"/>
  <c r="J145" i="74"/>
  <c r="J188" i="74"/>
  <c r="J118" i="74"/>
  <c r="J158" i="74"/>
  <c r="J205" i="74"/>
  <c r="J138" i="74"/>
  <c r="J195" i="74"/>
  <c r="J128" i="74"/>
  <c r="J218" i="74"/>
  <c r="J215" i="74"/>
  <c r="J168" i="74"/>
  <c r="J148" i="74"/>
  <c r="J225" i="74"/>
  <c r="J208" i="74"/>
  <c r="J125" i="74"/>
  <c r="J175" i="74"/>
  <c r="J239" i="74" s="1"/>
  <c r="I612" i="64"/>
  <c r="J132" i="64" s="1"/>
  <c r="CG28" i="65"/>
  <c r="CN27" i="65"/>
  <c r="CJ27" i="65"/>
  <c r="CI27" i="65"/>
  <c r="CK27" i="65"/>
  <c r="CL27" i="65"/>
  <c r="CM27" i="65"/>
  <c r="T750" i="64"/>
  <c r="T821" i="64"/>
  <c r="T679" i="64"/>
  <c r="BE19" i="65"/>
  <c r="BG18" i="65"/>
  <c r="BK18" i="65"/>
  <c r="BM18" i="65"/>
  <c r="BJ18" i="65"/>
  <c r="BH18" i="65"/>
  <c r="BI18" i="65"/>
  <c r="BL18" i="65"/>
  <c r="AF820" i="64"/>
  <c r="AS820" i="64"/>
  <c r="BS28" i="65"/>
  <c r="BW27" i="65"/>
  <c r="BX27" i="65"/>
  <c r="BY27" i="65"/>
  <c r="BV27" i="65"/>
  <c r="BU27" i="65"/>
  <c r="BZ27" i="65"/>
  <c r="AH678" i="64"/>
  <c r="AU678" i="64"/>
  <c r="AT749" i="64"/>
  <c r="AG749" i="64"/>
  <c r="V821" i="64"/>
  <c r="V750" i="64"/>
  <c r="V679" i="64"/>
  <c r="U821" i="64"/>
  <c r="U679" i="64"/>
  <c r="U750" i="64"/>
  <c r="AF749" i="64"/>
  <c r="AS749" i="64"/>
  <c r="AU820" i="64"/>
  <c r="AH820" i="64"/>
  <c r="D1129" i="64"/>
  <c r="BB1183" i="64"/>
  <c r="S750" i="64"/>
  <c r="S679" i="64"/>
  <c r="S821" i="64"/>
  <c r="AS678" i="64"/>
  <c r="AF678" i="64"/>
  <c r="AT678" i="64"/>
  <c r="AG678" i="64"/>
  <c r="AU749" i="64"/>
  <c r="AH749" i="64"/>
  <c r="AG820" i="64"/>
  <c r="AT820" i="64"/>
  <c r="Q493" i="40"/>
  <c r="AD493" i="40" s="1"/>
  <c r="Q454" i="40"/>
  <c r="AD454" i="40" s="1"/>
  <c r="CA1156" i="64"/>
  <c r="DB1083" i="64"/>
  <c r="DE1083" i="64" s="1"/>
  <c r="CQ1156" i="64" s="1"/>
  <c r="BD1094" i="64"/>
  <c r="AP1127" i="64"/>
  <c r="BD1070" i="64"/>
  <c r="AQ1054" i="64"/>
  <c r="CD1067" i="64"/>
  <c r="AC1140" i="64"/>
  <c r="P1140" i="64"/>
  <c r="AD1067" i="64"/>
  <c r="BC1140" i="64"/>
  <c r="AD1070" i="64"/>
  <c r="BC1131" i="64"/>
  <c r="BP1131" i="64"/>
  <c r="P1148" i="64"/>
  <c r="BC1129" i="64"/>
  <c r="BP1167" i="64"/>
  <c r="C1157" i="64"/>
  <c r="AQ1102" i="64"/>
  <c r="AQ1069" i="64"/>
  <c r="AP1142" i="64"/>
  <c r="AC1142" i="64"/>
  <c r="BQ1069" i="64"/>
  <c r="BP1132" i="64"/>
  <c r="BD1059" i="64"/>
  <c r="Q1059" i="64"/>
  <c r="P1132" i="64"/>
  <c r="BD1076" i="64"/>
  <c r="C1149" i="64"/>
  <c r="Q1076" i="64"/>
  <c r="BC1149" i="64"/>
  <c r="Q1091" i="64"/>
  <c r="AC1193" i="64"/>
  <c r="BC1186" i="64"/>
  <c r="BQ1113" i="64"/>
  <c r="BQ1117" i="64"/>
  <c r="P1182" i="64"/>
  <c r="AD1116" i="64"/>
  <c r="AP1194" i="64"/>
  <c r="CD1111" i="64"/>
  <c r="BD1115" i="64"/>
  <c r="C1152" i="64"/>
  <c r="AC1130" i="64"/>
  <c r="CD1116" i="64"/>
  <c r="P1130" i="64"/>
  <c r="C1191" i="64"/>
  <c r="CD1075" i="64"/>
  <c r="C1144" i="64"/>
  <c r="BD1071" i="64"/>
  <c r="CD1071" i="64"/>
  <c r="AQ1071" i="64"/>
  <c r="BP1144" i="64"/>
  <c r="Q1085" i="64"/>
  <c r="BQ1085" i="64"/>
  <c r="BQ1063" i="64"/>
  <c r="Q1063" i="64"/>
  <c r="CD1063" i="64"/>
  <c r="AQ1063" i="64"/>
  <c r="BQ1078" i="64"/>
  <c r="BP1154" i="64"/>
  <c r="BC1154" i="64"/>
  <c r="CD1081" i="64"/>
  <c r="Q1081" i="64"/>
  <c r="BD1077" i="64"/>
  <c r="C1139" i="64"/>
  <c r="CD1074" i="64"/>
  <c r="C1187" i="64"/>
  <c r="Q1054" i="64"/>
  <c r="AC1143" i="64"/>
  <c r="C1127" i="64"/>
  <c r="AP1140" i="64"/>
  <c r="AQ1067" i="64"/>
  <c r="BD1067" i="64"/>
  <c r="AC1127" i="64"/>
  <c r="CD1058" i="64"/>
  <c r="AC1131" i="64"/>
  <c r="Q1058" i="64"/>
  <c r="BQ1075" i="64"/>
  <c r="BQ1094" i="64"/>
  <c r="AC1157" i="64"/>
  <c r="BP1157" i="64"/>
  <c r="AP1157" i="64"/>
  <c r="CD1084" i="64"/>
  <c r="AP1151" i="64"/>
  <c r="CD1102" i="64"/>
  <c r="CD1069" i="64"/>
  <c r="Q1069" i="64"/>
  <c r="AP1132" i="64"/>
  <c r="CD1059" i="64"/>
  <c r="AD1059" i="64"/>
  <c r="AD1077" i="64"/>
  <c r="AP1149" i="64"/>
  <c r="CD1054" i="64"/>
  <c r="BD1054" i="64"/>
  <c r="AD1054" i="64"/>
  <c r="BC1127" i="64"/>
  <c r="AQ1056" i="64"/>
  <c r="BQ1067" i="64"/>
  <c r="C1140" i="64"/>
  <c r="AD1058" i="64"/>
  <c r="AQ1058" i="64"/>
  <c r="BQ1058" i="64"/>
  <c r="P1131" i="64"/>
  <c r="BD1084" i="64"/>
  <c r="AD1084" i="64"/>
  <c r="BQ1084" i="64"/>
  <c r="P1157" i="64"/>
  <c r="Q1084" i="64"/>
  <c r="BC1157" i="64"/>
  <c r="BP1142" i="64"/>
  <c r="BD1069" i="64"/>
  <c r="AD1069" i="64"/>
  <c r="BQ1059" i="64"/>
  <c r="AC1132" i="64"/>
  <c r="BC1132" i="64"/>
  <c r="AQ1076" i="64"/>
  <c r="CD1091" i="64"/>
  <c r="BD1083" i="64"/>
  <c r="AQ1095" i="64"/>
  <c r="AQ1108" i="64"/>
  <c r="AQ1120" i="64"/>
  <c r="C1193" i="64"/>
  <c r="BC1168" i="64"/>
  <c r="BC1189" i="64"/>
  <c r="Q1057" i="64"/>
  <c r="AP1137" i="64"/>
  <c r="AC1191" i="64"/>
  <c r="P1184" i="64"/>
  <c r="BQ1064" i="64"/>
  <c r="BP1189" i="64"/>
  <c r="AQ1119" i="64"/>
  <c r="AP1188" i="64"/>
  <c r="BD1075" i="64"/>
  <c r="AP1144" i="64"/>
  <c r="Q1071" i="64"/>
  <c r="AC1129" i="64"/>
  <c r="P1158" i="64"/>
  <c r="BC1158" i="64"/>
  <c r="BD1085" i="64"/>
  <c r="BC1136" i="64"/>
  <c r="C1136" i="64"/>
  <c r="BC1167" i="64"/>
  <c r="CD1078" i="64"/>
  <c r="BP1175" i="64"/>
  <c r="BQ1081" i="64"/>
  <c r="BD1081" i="64"/>
  <c r="AP1154" i="64"/>
  <c r="AQ1077" i="64"/>
  <c r="CD1066" i="64"/>
  <c r="Q1066" i="64"/>
  <c r="AQ1066" i="64"/>
  <c r="P1139" i="64"/>
  <c r="BQ1074" i="64"/>
  <c r="BC1164" i="64"/>
  <c r="P1127" i="64"/>
  <c r="CD1070" i="64"/>
  <c r="BQ1054" i="64"/>
  <c r="BP1127" i="64"/>
  <c r="BP1143" i="64"/>
  <c r="BD1056" i="64"/>
  <c r="BP1140" i="64"/>
  <c r="Q1067" i="64"/>
  <c r="C1131" i="64"/>
  <c r="AP1131" i="64"/>
  <c r="BD1058" i="64"/>
  <c r="Q1075" i="64"/>
  <c r="Q1056" i="64"/>
  <c r="AC1167" i="64"/>
  <c r="P1142" i="64"/>
  <c r="AC1149" i="64"/>
  <c r="CD1076" i="64"/>
  <c r="AD1076" i="64"/>
  <c r="AD1117" i="64"/>
  <c r="CD1095" i="64"/>
  <c r="AD1108" i="64"/>
  <c r="AQ1115" i="64"/>
  <c r="BC1130" i="64"/>
  <c r="BC1184" i="64"/>
  <c r="BC1183" i="64"/>
  <c r="C1148" i="64"/>
  <c r="P1144" i="64"/>
  <c r="AD1085" i="64"/>
  <c r="CD1085" i="64"/>
  <c r="C1158" i="64"/>
  <c r="P1136" i="64"/>
  <c r="AC1136" i="64"/>
  <c r="AC1175" i="64"/>
  <c r="AC1154" i="64"/>
  <c r="BQ1077" i="64"/>
  <c r="AC1139" i="64"/>
  <c r="AP1139" i="64"/>
  <c r="BD1066" i="64"/>
  <c r="AD1091" i="64"/>
  <c r="BD1086" i="64"/>
  <c r="AQ1086" i="64"/>
  <c r="BC1156" i="64"/>
  <c r="CD1083" i="64"/>
  <c r="AQ1089" i="64"/>
  <c r="BQ1108" i="64"/>
  <c r="BQ1109" i="64"/>
  <c r="AD1120" i="64"/>
  <c r="AP1162" i="64"/>
  <c r="AD1110" i="64"/>
  <c r="BQ1110" i="64"/>
  <c r="AC1152" i="64"/>
  <c r="C1188" i="64"/>
  <c r="P1185" i="64"/>
  <c r="Q1079" i="64"/>
  <c r="P1191" i="64"/>
  <c r="Q1064" i="64"/>
  <c r="AC1189" i="64"/>
  <c r="AP1143" i="64"/>
  <c r="BC1148" i="64"/>
  <c r="P1160" i="64"/>
  <c r="BQ1087" i="64"/>
  <c r="Q1087" i="64"/>
  <c r="AC1160" i="64"/>
  <c r="CD1056" i="64"/>
  <c r="BP1134" i="64"/>
  <c r="Q1061" i="64"/>
  <c r="CD1061" i="64"/>
  <c r="AC1134" i="64"/>
  <c r="C1135" i="64"/>
  <c r="P1135" i="64"/>
  <c r="BP1135" i="64"/>
  <c r="AQ1062" i="64"/>
  <c r="BD1060" i="64"/>
  <c r="AQ1060" i="64"/>
  <c r="BQ1060" i="64"/>
  <c r="AD1060" i="64"/>
  <c r="AD1094" i="64"/>
  <c r="P1128" i="64"/>
  <c r="BP1128" i="64"/>
  <c r="Q1078" i="64"/>
  <c r="BQ1102" i="64"/>
  <c r="CD1090" i="64"/>
  <c r="Q1090" i="64"/>
  <c r="AQ1090" i="64"/>
  <c r="P1146" i="64"/>
  <c r="BQ1073" i="64"/>
  <c r="BD1073" i="64"/>
  <c r="P1150" i="64"/>
  <c r="AC1164" i="64"/>
  <c r="BD1109" i="64"/>
  <c r="P1168" i="64"/>
  <c r="BP1168" i="64"/>
  <c r="BC1181" i="64"/>
  <c r="AQ1117" i="64"/>
  <c r="AP1187" i="64"/>
  <c r="AD1079" i="64"/>
  <c r="BD1114" i="64"/>
  <c r="CD1114" i="64"/>
  <c r="C1189" i="64"/>
  <c r="BC1152" i="64"/>
  <c r="AQ1079" i="64"/>
  <c r="AC1137" i="64"/>
  <c r="AQ1070" i="64"/>
  <c r="BQ1056" i="64"/>
  <c r="AC1153" i="64"/>
  <c r="P1167" i="64"/>
  <c r="Q1094" i="64"/>
  <c r="C1142" i="64"/>
  <c r="AC1147" i="64"/>
  <c r="C1156" i="64"/>
  <c r="Q1113" i="64"/>
  <c r="CD1109" i="64"/>
  <c r="BQ1111" i="64"/>
  <c r="BP1192" i="64"/>
  <c r="AP1189" i="64"/>
  <c r="C1192" i="64"/>
  <c r="P1194" i="64"/>
  <c r="AD1075" i="64"/>
  <c r="BQ1071" i="64"/>
  <c r="AD1071" i="64"/>
  <c r="AC1144" i="64"/>
  <c r="BP1158" i="64"/>
  <c r="AC1158" i="64"/>
  <c r="AD1063" i="64"/>
  <c r="BD1091" i="64"/>
  <c r="BQ1091" i="64"/>
  <c r="C1159" i="64"/>
  <c r="P1159" i="64"/>
  <c r="AD1086" i="64"/>
  <c r="BP1159" i="64"/>
  <c r="AD1083" i="64"/>
  <c r="AP1193" i="64"/>
  <c r="BD1113" i="64"/>
  <c r="BD1117" i="64"/>
  <c r="Q1109" i="64"/>
  <c r="CD1120" i="64"/>
  <c r="C1130" i="64"/>
  <c r="BP1185" i="64"/>
  <c r="C1185" i="64"/>
  <c r="BQ1057" i="64"/>
  <c r="AP1191" i="64"/>
  <c r="BD1110" i="64"/>
  <c r="Q1110" i="64"/>
  <c r="BQ1114" i="64"/>
  <c r="BP1194" i="64"/>
  <c r="BC1143" i="64"/>
  <c r="BP1148" i="64"/>
  <c r="AD1087" i="64"/>
  <c r="BD1087" i="64"/>
  <c r="AP1129" i="64"/>
  <c r="P1134" i="64"/>
  <c r="BD1061" i="64"/>
  <c r="BC1135" i="64"/>
  <c r="AP1135" i="64"/>
  <c r="Q1062" i="64"/>
  <c r="AC1135" i="64"/>
  <c r="BQ1062" i="64"/>
  <c r="BP1133" i="64"/>
  <c r="P1133" i="64"/>
  <c r="C1167" i="64"/>
  <c r="AP1128" i="64"/>
  <c r="Q1055" i="64"/>
  <c r="AQ1078" i="64"/>
  <c r="AD1090" i="64"/>
  <c r="BQ1090" i="64"/>
  <c r="BD1090" i="64"/>
  <c r="AQ1073" i="64"/>
  <c r="AP1146" i="64"/>
  <c r="C1150" i="64"/>
  <c r="AP1150" i="64"/>
  <c r="BD1074" i="64"/>
  <c r="BC1147" i="64"/>
  <c r="AC1156" i="64"/>
  <c r="AD1095" i="64"/>
  <c r="Q1117" i="64"/>
  <c r="AD1089" i="64"/>
  <c r="AC1162" i="64"/>
  <c r="BQ1095" i="64"/>
  <c r="BD1108" i="64"/>
  <c r="CD1064" i="64"/>
  <c r="AD1114" i="64"/>
  <c r="P1187" i="64"/>
  <c r="P1152" i="64"/>
  <c r="CD1115" i="64"/>
  <c r="BP1187" i="64"/>
  <c r="AQ1057" i="64"/>
  <c r="AC1185" i="64"/>
  <c r="P1143" i="64"/>
  <c r="P1129" i="64"/>
  <c r="Q1080" i="64"/>
  <c r="P1153" i="64"/>
  <c r="AQ1094" i="64"/>
  <c r="AQ1084" i="64"/>
  <c r="C1132" i="64"/>
  <c r="BQ1076" i="64"/>
  <c r="P1147" i="64"/>
  <c r="AD1074" i="64"/>
  <c r="BP1156" i="64"/>
  <c r="CD1113" i="64"/>
  <c r="CD1089" i="64"/>
  <c r="C1186" i="64"/>
  <c r="AD1112" i="64"/>
  <c r="BP1152" i="64"/>
  <c r="Q1112" i="64"/>
  <c r="AD1115" i="64"/>
  <c r="AP1148" i="64"/>
  <c r="AQ1085" i="64"/>
  <c r="AP1158" i="64"/>
  <c r="AP1136" i="64"/>
  <c r="BD1063" i="64"/>
  <c r="BP1136" i="64"/>
  <c r="AP1167" i="64"/>
  <c r="BC1175" i="64"/>
  <c r="C1154" i="64"/>
  <c r="AD1081" i="64"/>
  <c r="BC1139" i="64"/>
  <c r="BP1139" i="64"/>
  <c r="BC1159" i="64"/>
  <c r="CD1086" i="64"/>
  <c r="BQ1086" i="64"/>
  <c r="C1182" i="64"/>
  <c r="P1186" i="64"/>
  <c r="AP1186" i="64"/>
  <c r="P1181" i="64"/>
  <c r="BC1190" i="64"/>
  <c r="AQ1064" i="64"/>
  <c r="BQ1119" i="64"/>
  <c r="BD1057" i="64"/>
  <c r="CD1110" i="64"/>
  <c r="C1184" i="64"/>
  <c r="BC1137" i="64"/>
  <c r="Q1118" i="64"/>
  <c r="BP1130" i="64"/>
  <c r="BQ1070" i="64"/>
  <c r="AP1160" i="64"/>
  <c r="C1129" i="64"/>
  <c r="AQ1061" i="64"/>
  <c r="C1134" i="64"/>
  <c r="BC1134" i="64"/>
  <c r="CD1062" i="64"/>
  <c r="BD1062" i="64"/>
  <c r="AC1133" i="64"/>
  <c r="C1133" i="64"/>
  <c r="CD1060" i="64"/>
  <c r="BC1133" i="64"/>
  <c r="BQ1055" i="64"/>
  <c r="AD1055" i="64"/>
  <c r="BC1128" i="64"/>
  <c r="AC1128" i="64"/>
  <c r="C1163" i="64"/>
  <c r="P1163" i="64"/>
  <c r="AC1146" i="64"/>
  <c r="C1146" i="64"/>
  <c r="Q1073" i="64"/>
  <c r="CD1073" i="64"/>
  <c r="Q1074" i="64"/>
  <c r="AP1164" i="64"/>
  <c r="AQ1083" i="64"/>
  <c r="BD1089" i="64"/>
  <c r="AP1181" i="64"/>
  <c r="AC1182" i="64"/>
  <c r="P1193" i="64"/>
  <c r="P1162" i="64"/>
  <c r="AC1183" i="64"/>
  <c r="BD1118" i="64"/>
  <c r="AC1184" i="64"/>
  <c r="Q1116" i="64"/>
  <c r="AC1187" i="64"/>
  <c r="BD1116" i="64"/>
  <c r="P1192" i="64"/>
  <c r="BQ1112" i="64"/>
  <c r="BC1191" i="64"/>
  <c r="C1143" i="64"/>
  <c r="CD1080" i="64"/>
  <c r="BC1153" i="64"/>
  <c r="BQ1080" i="64"/>
  <c r="BP1153" i="64"/>
  <c r="AP1153" i="64"/>
  <c r="C1151" i="64"/>
  <c r="BC1142" i="64"/>
  <c r="AQ1059" i="64"/>
  <c r="BP1149" i="64"/>
  <c r="P1149" i="64"/>
  <c r="AP1147" i="64"/>
  <c r="BQ1083" i="64"/>
  <c r="BP1162" i="64"/>
  <c r="AC1190" i="64"/>
  <c r="BQ1120" i="64"/>
  <c r="BP1183" i="64"/>
  <c r="AQ1112" i="64"/>
  <c r="BD1119" i="64"/>
  <c r="Q1111" i="64"/>
  <c r="BC1144" i="64"/>
  <c r="BD1078" i="64"/>
  <c r="P1154" i="64"/>
  <c r="AQ1081" i="64"/>
  <c r="AD1066" i="64"/>
  <c r="BQ1066" i="64"/>
  <c r="C1164" i="64"/>
  <c r="Q1086" i="64"/>
  <c r="AP1159" i="64"/>
  <c r="AC1159" i="64"/>
  <c r="P1156" i="64"/>
  <c r="AP1156" i="64"/>
  <c r="AC1168" i="64"/>
  <c r="AP1190" i="64"/>
  <c r="BC1162" i="64"/>
  <c r="C1162" i="64"/>
  <c r="BP1186" i="64"/>
  <c r="Q1108" i="64"/>
  <c r="AQ1116" i="64"/>
  <c r="BQ1116" i="64"/>
  <c r="BP1184" i="64"/>
  <c r="P1137" i="64"/>
  <c r="BD1079" i="64"/>
  <c r="BC1185" i="64"/>
  <c r="AD1119" i="64"/>
  <c r="AP1184" i="64"/>
  <c r="Q1070" i="64"/>
  <c r="AC1148" i="64"/>
  <c r="AQ1087" i="64"/>
  <c r="C1160" i="64"/>
  <c r="BC1160" i="64"/>
  <c r="BP1160" i="64"/>
  <c r="CD1087" i="64"/>
  <c r="BP1129" i="64"/>
  <c r="AD1056" i="64"/>
  <c r="AP1134" i="64"/>
  <c r="BQ1061" i="64"/>
  <c r="AD1061" i="64"/>
  <c r="AD1062" i="64"/>
  <c r="Q1060" i="64"/>
  <c r="AP1133" i="64"/>
  <c r="C1128" i="64"/>
  <c r="BD1055" i="64"/>
  <c r="AQ1055" i="64"/>
  <c r="CD1055" i="64"/>
  <c r="P1151" i="64"/>
  <c r="AD1102" i="64"/>
  <c r="C1175" i="64"/>
  <c r="BC1163" i="64"/>
  <c r="AC1163" i="64"/>
  <c r="BP1163" i="64"/>
  <c r="AP1163" i="64"/>
  <c r="BP1146" i="64"/>
  <c r="AD1073" i="64"/>
  <c r="BC1146" i="64"/>
  <c r="Q1077" i="64"/>
  <c r="BP1164" i="64"/>
  <c r="BD1120" i="64"/>
  <c r="AD1113" i="64"/>
  <c r="BP1181" i="64"/>
  <c r="C1190" i="64"/>
  <c r="BC1182" i="64"/>
  <c r="Q1115" i="64"/>
  <c r="P1188" i="64"/>
  <c r="BQ1115" i="64"/>
  <c r="AD1064" i="64"/>
  <c r="BC1192" i="64"/>
  <c r="AQ1114" i="64"/>
  <c r="CD1112" i="64"/>
  <c r="AQ1118" i="64"/>
  <c r="C1183" i="64"/>
  <c r="AQ1075" i="64"/>
  <c r="AD1080" i="64"/>
  <c r="AQ1080" i="64"/>
  <c r="C1153" i="64"/>
  <c r="BD1080" i="64"/>
  <c r="CD1094" i="64"/>
  <c r="AD1078" i="64"/>
  <c r="AP1175" i="64"/>
  <c r="AC1141" i="64"/>
  <c r="AP1141" i="64"/>
  <c r="AD1068" i="64"/>
  <c r="BC1141" i="64"/>
  <c r="AC1145" i="64"/>
  <c r="AD1072" i="64"/>
  <c r="BQ1072" i="64"/>
  <c r="C1145" i="64"/>
  <c r="AQ1074" i="64"/>
  <c r="C1138" i="64"/>
  <c r="CD1065" i="64"/>
  <c r="AP1138" i="64"/>
  <c r="BC1155" i="64"/>
  <c r="P1155" i="64"/>
  <c r="Q1082" i="64"/>
  <c r="Q1089" i="64"/>
  <c r="AC1181" i="64"/>
  <c r="AP1182" i="64"/>
  <c r="AD1109" i="64"/>
  <c r="BP1193" i="64"/>
  <c r="BP1191" i="64"/>
  <c r="AP1130" i="64"/>
  <c r="BC1188" i="64"/>
  <c r="CD1079" i="64"/>
  <c r="AC1188" i="64"/>
  <c r="BD1111" i="64"/>
  <c r="AC1194" i="64"/>
  <c r="AQ1110" i="64"/>
  <c r="AP1192" i="64"/>
  <c r="AC1151" i="64"/>
  <c r="P1175" i="64"/>
  <c r="Q1068" i="64"/>
  <c r="BP1141" i="64"/>
  <c r="AQ1068" i="64"/>
  <c r="Q1072" i="64"/>
  <c r="AQ1072" i="64"/>
  <c r="AC1150" i="64"/>
  <c r="CD1077" i="64"/>
  <c r="P1164" i="64"/>
  <c r="BP1138" i="64"/>
  <c r="BC1138" i="64"/>
  <c r="AC1138" i="64"/>
  <c r="CD1082" i="64"/>
  <c r="AQ1082" i="64"/>
  <c r="Q1120" i="64"/>
  <c r="AC1186" i="64"/>
  <c r="C1181" i="64"/>
  <c r="CD1117" i="64"/>
  <c r="AQ1109" i="64"/>
  <c r="AP1185" i="64"/>
  <c r="AC1192" i="64"/>
  <c r="BQ1079" i="64"/>
  <c r="BD1112" i="64"/>
  <c r="BC1194" i="64"/>
  <c r="AD1118" i="64"/>
  <c r="Q1114" i="64"/>
  <c r="Q1119" i="64"/>
  <c r="BP1151" i="64"/>
  <c r="BC1151" i="64"/>
  <c r="Q1102" i="64"/>
  <c r="BD1068" i="64"/>
  <c r="CD1068" i="64"/>
  <c r="BQ1068" i="64"/>
  <c r="BD1072" i="64"/>
  <c r="P1138" i="64"/>
  <c r="BQ1065" i="64"/>
  <c r="AD1065" i="64"/>
  <c r="Q1065" i="64"/>
  <c r="AD1082" i="64"/>
  <c r="AC1155" i="64"/>
  <c r="BQ1082" i="64"/>
  <c r="AQ1113" i="64"/>
  <c r="BP1182" i="64"/>
  <c r="AP1168" i="64"/>
  <c r="C1168" i="64"/>
  <c r="CD1108" i="64"/>
  <c r="P1190" i="64"/>
  <c r="C1137" i="64"/>
  <c r="CD1119" i="64"/>
  <c r="BP1137" i="64"/>
  <c r="BQ1118" i="64"/>
  <c r="C1194" i="64"/>
  <c r="AP1183" i="64"/>
  <c r="AD1111" i="64"/>
  <c r="AP1152" i="64"/>
  <c r="BD1102" i="64"/>
  <c r="C1141" i="64"/>
  <c r="P1141" i="64"/>
  <c r="P1145" i="64"/>
  <c r="BC1145" i="64"/>
  <c r="BP1145" i="64"/>
  <c r="AP1145" i="64"/>
  <c r="CD1072" i="64"/>
  <c r="BC1150" i="64"/>
  <c r="BP1150" i="64"/>
  <c r="BP1147" i="64"/>
  <c r="C1147" i="64"/>
  <c r="AQ1091" i="64"/>
  <c r="AQ1065" i="64"/>
  <c r="BD1065" i="64"/>
  <c r="C1155" i="64"/>
  <c r="BP1155" i="64"/>
  <c r="BD1082" i="64"/>
  <c r="AP1155" i="64"/>
  <c r="Q1083" i="64"/>
  <c r="Q1095" i="64"/>
  <c r="BP1190" i="64"/>
  <c r="BC1193" i="64"/>
  <c r="BQ1089" i="64"/>
  <c r="BD1095" i="64"/>
  <c r="CD1057" i="64"/>
  <c r="AQ1111" i="64"/>
  <c r="CD1118" i="64"/>
  <c r="P1189" i="64"/>
  <c r="P1183" i="64"/>
  <c r="AD1057" i="64"/>
  <c r="BP1188" i="64"/>
  <c r="BD1064" i="64"/>
  <c r="BC1187" i="64"/>
  <c r="AG879" i="64"/>
  <c r="DB1075" i="64"/>
  <c r="DE1075" i="64" s="1"/>
  <c r="CQ1148" i="64" s="1"/>
  <c r="CA1148" i="64"/>
  <c r="CO1100" i="64"/>
  <c r="AC1173" i="64"/>
  <c r="D1173" i="64"/>
  <c r="BP1173" i="64"/>
  <c r="BQ1100" i="64"/>
  <c r="P1100" i="64"/>
  <c r="BD1100" i="64"/>
  <c r="BB1173" i="64"/>
  <c r="BR1100" i="64"/>
  <c r="BE1100" i="64"/>
  <c r="BQ1173" i="64"/>
  <c r="CE1100" i="64"/>
  <c r="C1173" i="64"/>
  <c r="AB1173" i="64"/>
  <c r="B1173" i="64"/>
  <c r="AD1173" i="64"/>
  <c r="AP1100" i="64"/>
  <c r="AO1173" i="64"/>
  <c r="AQ1173" i="64"/>
  <c r="R1100" i="64"/>
  <c r="AD1100" i="64"/>
  <c r="BO1173" i="64"/>
  <c r="AQ1100" i="64"/>
  <c r="AE1100" i="64"/>
  <c r="BD1173" i="64"/>
  <c r="BC1100" i="64"/>
  <c r="P1173" i="64"/>
  <c r="CD1100" i="64"/>
  <c r="AR1100" i="64"/>
  <c r="Q1100" i="64"/>
  <c r="CC1100" i="64"/>
  <c r="B1247" i="64"/>
  <c r="Q1173" i="64"/>
  <c r="AP1173" i="64"/>
  <c r="BC1173" i="64"/>
  <c r="BP1100" i="64"/>
  <c r="AH879" i="64"/>
  <c r="I388" i="77" s="1"/>
  <c r="C1224" i="64"/>
  <c r="P1224" i="64" s="1"/>
  <c r="H1224" i="64"/>
  <c r="U1224" i="64" s="1"/>
  <c r="DB1224" i="64"/>
  <c r="E1224" i="64"/>
  <c r="R1224" i="64" s="1"/>
  <c r="D1224" i="64"/>
  <c r="Q1224" i="64" s="1"/>
  <c r="G1224" i="64"/>
  <c r="T1224" i="64" s="1"/>
  <c r="F1224" i="64"/>
  <c r="S1224" i="64" s="1"/>
  <c r="CO1101" i="64"/>
  <c r="B1248" i="64"/>
  <c r="AQ1174" i="64"/>
  <c r="CC1101" i="64"/>
  <c r="AP1101" i="64"/>
  <c r="AR1101" i="64"/>
  <c r="D1174" i="64"/>
  <c r="BP1174" i="64"/>
  <c r="BP1101" i="64"/>
  <c r="BO1174" i="64"/>
  <c r="AB1174" i="64"/>
  <c r="C1174" i="64"/>
  <c r="AP1174" i="64"/>
  <c r="AE1101" i="64"/>
  <c r="B1174" i="64"/>
  <c r="BB1174" i="64"/>
  <c r="AO1174" i="64"/>
  <c r="AQ1101" i="64"/>
  <c r="P1174" i="64"/>
  <c r="R1101" i="64"/>
  <c r="BE1101" i="64"/>
  <c r="P1101" i="64"/>
  <c r="BC1101" i="64"/>
  <c r="BQ1101" i="64"/>
  <c r="AD1174" i="64"/>
  <c r="Q1174" i="64"/>
  <c r="CD1101" i="64"/>
  <c r="BD1174" i="64"/>
  <c r="BC1174" i="64"/>
  <c r="Q1101" i="64"/>
  <c r="AC1174" i="64"/>
  <c r="AD1101" i="64"/>
  <c r="CE1101" i="64"/>
  <c r="BD1101" i="64"/>
  <c r="BQ1174" i="64"/>
  <c r="BR1101" i="64"/>
  <c r="H245" i="74"/>
  <c r="I233" i="74"/>
  <c r="Q449" i="40"/>
  <c r="AD449" i="40" s="1"/>
  <c r="Q494" i="40"/>
  <c r="AD494" i="40" s="1"/>
  <c r="H1221" i="64"/>
  <c r="U1221" i="64" s="1"/>
  <c r="G1221" i="64"/>
  <c r="T1221" i="64" s="1"/>
  <c r="E1221" i="64"/>
  <c r="R1221" i="64" s="1"/>
  <c r="D1221" i="64"/>
  <c r="Q1221" i="64" s="1"/>
  <c r="C1221" i="64"/>
  <c r="P1221" i="64" s="1"/>
  <c r="DB1221" i="64"/>
  <c r="F1221" i="64"/>
  <c r="S1221" i="64" s="1"/>
  <c r="BE1107" i="64"/>
  <c r="AD1180" i="64"/>
  <c r="Q1180" i="64"/>
  <c r="B1180" i="64"/>
  <c r="CD1107" i="64"/>
  <c r="BO1180" i="64"/>
  <c r="P1180" i="64"/>
  <c r="C1180" i="64"/>
  <c r="AQ1107" i="64"/>
  <c r="B1254" i="64"/>
  <c r="AP1180" i="64"/>
  <c r="CE1107" i="64"/>
  <c r="BR1107" i="64"/>
  <c r="BQ1180" i="64"/>
  <c r="AB1180" i="64"/>
  <c r="BP1107" i="64"/>
  <c r="BB1180" i="64"/>
  <c r="BC1107" i="64"/>
  <c r="CO1107" i="64"/>
  <c r="BD1107" i="64"/>
  <c r="AE1107" i="64"/>
  <c r="D1180" i="64"/>
  <c r="BP1180" i="64"/>
  <c r="AR1107" i="64"/>
  <c r="P1107" i="64"/>
  <c r="BQ1107" i="64"/>
  <c r="AP1107" i="64"/>
  <c r="BD1180" i="64"/>
  <c r="AD1107" i="64"/>
  <c r="R1107" i="64"/>
  <c r="AC1180" i="64"/>
  <c r="Q1107" i="64"/>
  <c r="BC1180" i="64"/>
  <c r="AQ1180" i="64"/>
  <c r="AO1180" i="64"/>
  <c r="CC1107" i="64"/>
  <c r="AF879" i="64"/>
  <c r="AQ1165" i="64"/>
  <c r="BD1092" i="64"/>
  <c r="R1092" i="64"/>
  <c r="C1165" i="64"/>
  <c r="BP1165" i="64"/>
  <c r="AD1165" i="64"/>
  <c r="CC1092" i="64"/>
  <c r="BP1092" i="64"/>
  <c r="BQ1092" i="64"/>
  <c r="CE1092" i="64"/>
  <c r="BQ1165" i="64"/>
  <c r="BE1092" i="64"/>
  <c r="AP1165" i="64"/>
  <c r="AQ1092" i="64"/>
  <c r="BC1165" i="64"/>
  <c r="P1092" i="64"/>
  <c r="BB1165" i="64"/>
  <c r="AO1165" i="64"/>
  <c r="B1239" i="64"/>
  <c r="AE1092" i="64"/>
  <c r="Q1165" i="64"/>
  <c r="BD1165" i="64"/>
  <c r="Q1092" i="64"/>
  <c r="AB1165" i="64"/>
  <c r="AD1092" i="64"/>
  <c r="P1165" i="64"/>
  <c r="AP1092" i="64"/>
  <c r="CO1092" i="64"/>
  <c r="AC1165" i="64"/>
  <c r="D1165" i="64"/>
  <c r="AR1092" i="64"/>
  <c r="CD1092" i="64"/>
  <c r="BC1092" i="64"/>
  <c r="B1165" i="64"/>
  <c r="BO1165" i="64"/>
  <c r="BR1092" i="64"/>
  <c r="BE1058" i="64"/>
  <c r="R1113" i="64"/>
  <c r="R1095" i="64"/>
  <c r="AD1140" i="64"/>
  <c r="BE1070" i="64"/>
  <c r="Q1127" i="64"/>
  <c r="BD1139" i="64"/>
  <c r="CE1064" i="64"/>
  <c r="Q1192" i="64"/>
  <c r="D1150" i="64"/>
  <c r="AE1081" i="64"/>
  <c r="AQ1151" i="64"/>
  <c r="D1136" i="64"/>
  <c r="AE1071" i="64"/>
  <c r="AE1083" i="64"/>
  <c r="AE1064" i="64"/>
  <c r="BQ1188" i="64"/>
  <c r="BD1149" i="64"/>
  <c r="AQ1132" i="64"/>
  <c r="AQ1142" i="64"/>
  <c r="BR1084" i="64"/>
  <c r="BQ1162" i="64"/>
  <c r="BR1075" i="64"/>
  <c r="AD1131" i="64"/>
  <c r="AD1186" i="64"/>
  <c r="BR1095" i="64"/>
  <c r="BR1108" i="64"/>
  <c r="AQ1193" i="64"/>
  <c r="AD1148" i="64"/>
  <c r="R1120" i="64"/>
  <c r="BE1069" i="64"/>
  <c r="BQ1151" i="64"/>
  <c r="R1108" i="64"/>
  <c r="AE1058" i="64"/>
  <c r="BQ1168" i="64"/>
  <c r="CE1095" i="64"/>
  <c r="AR1054" i="64"/>
  <c r="BQ1127" i="64"/>
  <c r="AD1143" i="64"/>
  <c r="BR1066" i="64"/>
  <c r="BE1115" i="64"/>
  <c r="R1079" i="64"/>
  <c r="D1193" i="64"/>
  <c r="AR1081" i="64"/>
  <c r="BE1108" i="64"/>
  <c r="BQ1136" i="64"/>
  <c r="AR1085" i="64"/>
  <c r="CE1091" i="64"/>
  <c r="R1110" i="64"/>
  <c r="D1192" i="64"/>
  <c r="AD1149" i="64"/>
  <c r="CE1077" i="64"/>
  <c r="AD1142" i="64"/>
  <c r="AE1084" i="64"/>
  <c r="BR1058" i="64"/>
  <c r="AQ1186" i="64"/>
  <c r="AE1067" i="64"/>
  <c r="CE1070" i="64"/>
  <c r="AE1075" i="64"/>
  <c r="BE1075" i="64"/>
  <c r="AO1140" i="64"/>
  <c r="CC1070" i="64"/>
  <c r="P1054" i="64"/>
  <c r="CC1056" i="64"/>
  <c r="CC1118" i="64"/>
  <c r="B1139" i="64"/>
  <c r="B1152" i="64"/>
  <c r="BP1119" i="64"/>
  <c r="BO1136" i="64"/>
  <c r="AO1158" i="64"/>
  <c r="BP1071" i="64"/>
  <c r="BO1149" i="64"/>
  <c r="AB1132" i="64"/>
  <c r="P1102" i="64"/>
  <c r="BC1116" i="64"/>
  <c r="AP1079" i="64"/>
  <c r="BC1089" i="64"/>
  <c r="AP1095" i="64"/>
  <c r="B1190" i="64"/>
  <c r="AB1181" i="64"/>
  <c r="B1181" i="64"/>
  <c r="BP1067" i="64"/>
  <c r="BB1148" i="64"/>
  <c r="BO1148" i="64"/>
  <c r="CC1116" i="64"/>
  <c r="AP1116" i="64"/>
  <c r="BP1059" i="64"/>
  <c r="AB1142" i="64"/>
  <c r="BP1112" i="64"/>
  <c r="BP1084" i="64"/>
  <c r="AP1120" i="64"/>
  <c r="BB1162" i="64"/>
  <c r="BB1168" i="64"/>
  <c r="BC1095" i="64"/>
  <c r="BC1058" i="64"/>
  <c r="B1140" i="64"/>
  <c r="AP1075" i="64"/>
  <c r="AO1127" i="64"/>
  <c r="BO1191" i="64"/>
  <c r="AB1191" i="64"/>
  <c r="AP1066" i="64"/>
  <c r="BP1081" i="64"/>
  <c r="BO1188" i="64"/>
  <c r="P1119" i="64"/>
  <c r="BB1158" i="64"/>
  <c r="B1144" i="64"/>
  <c r="AP1077" i="64"/>
  <c r="BB1142" i="64"/>
  <c r="BP1078" i="64"/>
  <c r="AP1057" i="64"/>
  <c r="AP1084" i="64"/>
  <c r="AB1168" i="64"/>
  <c r="BC1113" i="64"/>
  <c r="BC1117" i="64"/>
  <c r="BB1190" i="64"/>
  <c r="BP1117" i="64"/>
  <c r="AO1131" i="64"/>
  <c r="AB1127" i="64"/>
  <c r="BP1070" i="64"/>
  <c r="AO1129" i="64"/>
  <c r="AO1194" i="64"/>
  <c r="DB1056" i="64"/>
  <c r="DE1056" i="64" s="1"/>
  <c r="CQ1129" i="64" s="1"/>
  <c r="CA1129" i="64"/>
  <c r="D1225" i="64"/>
  <c r="Q1225" i="64" s="1"/>
  <c r="C1225" i="64"/>
  <c r="P1225" i="64" s="1"/>
  <c r="N1225" i="64"/>
  <c r="AA1225" i="64" s="1"/>
  <c r="DB1225" i="64"/>
  <c r="M1225" i="64"/>
  <c r="Z1225" i="64" s="1"/>
  <c r="F1225" i="64"/>
  <c r="S1225" i="64" s="1"/>
  <c r="L1225" i="64"/>
  <c r="Y1225" i="64" s="1"/>
  <c r="K1225" i="64"/>
  <c r="X1225" i="64" s="1"/>
  <c r="E1225" i="64"/>
  <c r="R1225" i="64" s="1"/>
  <c r="J1225" i="64"/>
  <c r="W1225" i="64" s="1"/>
  <c r="H1225" i="64"/>
  <c r="U1225" i="64" s="1"/>
  <c r="G1225" i="64"/>
  <c r="T1225" i="64" s="1"/>
  <c r="I1225" i="64"/>
  <c r="V1225" i="64" s="1"/>
  <c r="B1251" i="64"/>
  <c r="CO1104" i="64"/>
  <c r="AP1177" i="64"/>
  <c r="BP1104" i="64"/>
  <c r="CD1104" i="64"/>
  <c r="B1177" i="64"/>
  <c r="D1177" i="64"/>
  <c r="BO1177" i="64"/>
  <c r="BD1177" i="64"/>
  <c r="AQ1177" i="64"/>
  <c r="AO1177" i="64"/>
  <c r="BP1177" i="64"/>
  <c r="P1177" i="64"/>
  <c r="AB1177" i="64"/>
  <c r="BB1177" i="64"/>
  <c r="CE1104" i="64"/>
  <c r="BE1104" i="64"/>
  <c r="AQ1104" i="64"/>
  <c r="C1177" i="64"/>
  <c r="Q1104" i="64"/>
  <c r="BC1104" i="64"/>
  <c r="Q1177" i="64"/>
  <c r="AE1104" i="64"/>
  <c r="AC1177" i="64"/>
  <c r="AD1104" i="64"/>
  <c r="AR1104" i="64"/>
  <c r="AD1177" i="64"/>
  <c r="R1104" i="64"/>
  <c r="BD1104" i="64"/>
  <c r="BQ1104" i="64"/>
  <c r="P1104" i="64"/>
  <c r="AP1104" i="64"/>
  <c r="BR1104" i="64"/>
  <c r="CC1104" i="64"/>
  <c r="BC1177" i="64"/>
  <c r="BQ1177" i="64"/>
  <c r="DB1230" i="64"/>
  <c r="E1230" i="64"/>
  <c r="R1230" i="64" s="1"/>
  <c r="G1230" i="64"/>
  <c r="T1230" i="64" s="1"/>
  <c r="F1230" i="64"/>
  <c r="S1230" i="64" s="1"/>
  <c r="H1230" i="64"/>
  <c r="U1230" i="64" s="1"/>
  <c r="C1230" i="64"/>
  <c r="P1230" i="64" s="1"/>
  <c r="D1230" i="64"/>
  <c r="Q1230" i="64" s="1"/>
  <c r="CA1167" i="64"/>
  <c r="DB1094" i="64"/>
  <c r="DE1094" i="64" s="1"/>
  <c r="CQ1167" i="64" s="1"/>
  <c r="AU879" i="64"/>
  <c r="I387" i="77" s="1"/>
  <c r="DB1091" i="64"/>
  <c r="DE1091" i="64" s="1"/>
  <c r="CQ1164" i="64" s="1"/>
  <c r="CA1164" i="64"/>
  <c r="AQ1169" i="64"/>
  <c r="Q1096" i="64"/>
  <c r="Q1169" i="64"/>
  <c r="BR1096" i="64"/>
  <c r="P1169" i="64"/>
  <c r="BP1169" i="64"/>
  <c r="BD1096" i="64"/>
  <c r="B1169" i="64"/>
  <c r="C1169" i="64"/>
  <c r="R1096" i="64"/>
  <c r="CD1096" i="64"/>
  <c r="D1169" i="64"/>
  <c r="BC1169" i="64"/>
  <c r="AQ1096" i="64"/>
  <c r="CC1096" i="64"/>
  <c r="BO1169" i="64"/>
  <c r="BB1169" i="64"/>
  <c r="AO1169" i="64"/>
  <c r="B1243" i="64"/>
  <c r="BE1096" i="64"/>
  <c r="AD1096" i="64"/>
  <c r="CE1096" i="64"/>
  <c r="BQ1096" i="64"/>
  <c r="AB1169" i="64"/>
  <c r="P1096" i="64"/>
  <c r="BP1096" i="64"/>
  <c r="BC1096" i="64"/>
  <c r="CO1096" i="64"/>
  <c r="AC1169" i="64"/>
  <c r="BQ1169" i="64"/>
  <c r="AE1096" i="64"/>
  <c r="BD1169" i="64"/>
  <c r="AP1096" i="64"/>
  <c r="AP1169" i="64"/>
  <c r="AR1096" i="64"/>
  <c r="AD1169" i="64"/>
  <c r="CO1103" i="64"/>
  <c r="AP1176" i="64"/>
  <c r="AD1176" i="64"/>
  <c r="C1176" i="64"/>
  <c r="D1176" i="64"/>
  <c r="AC1176" i="64"/>
  <c r="BD1103" i="64"/>
  <c r="AP1103" i="64"/>
  <c r="BP1176" i="64"/>
  <c r="CE1103" i="64"/>
  <c r="AQ1103" i="64"/>
  <c r="BQ1176" i="64"/>
  <c r="B1176" i="64"/>
  <c r="BC1176" i="64"/>
  <c r="BP1103" i="64"/>
  <c r="BB1176" i="64"/>
  <c r="AO1176" i="64"/>
  <c r="CD1103" i="64"/>
  <c r="B1250" i="64"/>
  <c r="AE1103" i="64"/>
  <c r="AD1103" i="64"/>
  <c r="AR1103" i="64"/>
  <c r="Q1176" i="64"/>
  <c r="AB1176" i="64"/>
  <c r="BR1103" i="64"/>
  <c r="BC1103" i="64"/>
  <c r="CC1103" i="64"/>
  <c r="BD1176" i="64"/>
  <c r="R1103" i="64"/>
  <c r="P1103" i="64"/>
  <c r="Q1103" i="64"/>
  <c r="BO1176" i="64"/>
  <c r="BE1103" i="64"/>
  <c r="BQ1103" i="64"/>
  <c r="P1176" i="64"/>
  <c r="AQ1176" i="64"/>
  <c r="AQ1143" i="64"/>
  <c r="BE1113" i="64"/>
  <c r="AQ1140" i="64"/>
  <c r="BD1140" i="64"/>
  <c r="AR1089" i="64"/>
  <c r="Q1181" i="64"/>
  <c r="AE1066" i="64"/>
  <c r="Q1189" i="64"/>
  <c r="R1114" i="64"/>
  <c r="CE1117" i="64"/>
  <c r="CE1081" i="64"/>
  <c r="AR1094" i="64"/>
  <c r="AR1063" i="64"/>
  <c r="D1144" i="64"/>
  <c r="AD1164" i="64"/>
  <c r="AD1188" i="64"/>
  <c r="AE1110" i="64"/>
  <c r="Q1149" i="64"/>
  <c r="D1132" i="64"/>
  <c r="AR1069" i="64"/>
  <c r="R1084" i="64"/>
  <c r="AE1117" i="64"/>
  <c r="Q1131" i="64"/>
  <c r="BR1070" i="64"/>
  <c r="Q1168" i="64"/>
  <c r="BQ1140" i="64"/>
  <c r="AQ1148" i="64"/>
  <c r="AE1054" i="64"/>
  <c r="BE1076" i="64"/>
  <c r="CE1059" i="64"/>
  <c r="BD1142" i="64"/>
  <c r="AD1157" i="64"/>
  <c r="AR1056" i="64"/>
  <c r="BQ1131" i="64"/>
  <c r="AE1113" i="64"/>
  <c r="BD1168" i="64"/>
  <c r="BD1143" i="64"/>
  <c r="CE1075" i="64"/>
  <c r="AD1190" i="64"/>
  <c r="AQ1139" i="64"/>
  <c r="AE1112" i="64"/>
  <c r="AR1111" i="64"/>
  <c r="D1190" i="64"/>
  <c r="BE1102" i="64"/>
  <c r="Q1167" i="64"/>
  <c r="Q1158" i="64"/>
  <c r="AD1144" i="64"/>
  <c r="AE1074" i="64"/>
  <c r="Q1137" i="64"/>
  <c r="BD1130" i="64"/>
  <c r="R1076" i="64"/>
  <c r="BR1059" i="64"/>
  <c r="AE1078" i="64"/>
  <c r="D1167" i="64"/>
  <c r="CE1058" i="64"/>
  <c r="CE1113" i="64"/>
  <c r="BR1067" i="64"/>
  <c r="BE1120" i="64"/>
  <c r="BB1181" i="64"/>
  <c r="BO1140" i="64"/>
  <c r="P1056" i="64"/>
  <c r="P1075" i="64"/>
  <c r="CC1112" i="64"/>
  <c r="BO1194" i="64"/>
  <c r="BB1154" i="64"/>
  <c r="AB1188" i="64"/>
  <c r="BO1187" i="64"/>
  <c r="BP1063" i="64"/>
  <c r="AB1158" i="64"/>
  <c r="CC1074" i="64"/>
  <c r="B1149" i="64"/>
  <c r="P1059" i="64"/>
  <c r="AP1078" i="64"/>
  <c r="AO1130" i="64"/>
  <c r="AP1114" i="64"/>
  <c r="B1193" i="64"/>
  <c r="B1168" i="64"/>
  <c r="P1095" i="64"/>
  <c r="BB1186" i="64"/>
  <c r="BP1058" i="64"/>
  <c r="CC1067" i="64"/>
  <c r="AO1143" i="64"/>
  <c r="AP1054" i="64"/>
  <c r="AO1184" i="64"/>
  <c r="AB1185" i="64"/>
  <c r="BC1069" i="64"/>
  <c r="P1110" i="64"/>
  <c r="BP1114" i="64"/>
  <c r="P1084" i="64"/>
  <c r="P1108" i="64"/>
  <c r="BP1120" i="64"/>
  <c r="BB1193" i="64"/>
  <c r="BO1193" i="64"/>
  <c r="CC1058" i="64"/>
  <c r="BC1075" i="64"/>
  <c r="BO1129" i="64"/>
  <c r="B1129" i="64"/>
  <c r="AO1183" i="64"/>
  <c r="P1091" i="64"/>
  <c r="BC1066" i="64"/>
  <c r="AP1081" i="64"/>
  <c r="CC1079" i="64"/>
  <c r="BB1136" i="64"/>
  <c r="AP1085" i="64"/>
  <c r="CC1083" i="64"/>
  <c r="AP1059" i="64"/>
  <c r="BP1069" i="64"/>
  <c r="BB1189" i="64"/>
  <c r="AP1118" i="64"/>
  <c r="BC1084" i="64"/>
  <c r="AB1162" i="64"/>
  <c r="CC1095" i="64"/>
  <c r="BC1108" i="64"/>
  <c r="BO1186" i="64"/>
  <c r="P1058" i="64"/>
  <c r="BC1067" i="64"/>
  <c r="BC1070" i="64"/>
  <c r="P1070" i="64"/>
  <c r="AO1191" i="64"/>
  <c r="F630" i="64"/>
  <c r="CA1151" i="64"/>
  <c r="DB1078" i="64"/>
  <c r="DE1078" i="64" s="1"/>
  <c r="CQ1151" i="64" s="1"/>
  <c r="G630" i="64"/>
  <c r="Q451" i="40"/>
  <c r="AD451" i="40" s="1"/>
  <c r="R1117" i="64"/>
  <c r="BQ1182" i="64"/>
  <c r="AR1084" i="64"/>
  <c r="BQ1142" i="64"/>
  <c r="BE1059" i="64"/>
  <c r="AQ1184" i="64"/>
  <c r="R1112" i="64"/>
  <c r="AD1184" i="64"/>
  <c r="AQ1137" i="64"/>
  <c r="AR1074" i="64"/>
  <c r="AR1071" i="64"/>
  <c r="CE1071" i="64"/>
  <c r="AD1158" i="64"/>
  <c r="BR1063" i="64"/>
  <c r="CE1063" i="64"/>
  <c r="R1094" i="64"/>
  <c r="BD1154" i="64"/>
  <c r="BE1081" i="64"/>
  <c r="AD1193" i="64"/>
  <c r="BD1191" i="64"/>
  <c r="AR1064" i="64"/>
  <c r="AQ1194" i="64"/>
  <c r="BD1194" i="64"/>
  <c r="AQ1189" i="64"/>
  <c r="Q1139" i="64"/>
  <c r="CE1066" i="64"/>
  <c r="Q1147" i="64"/>
  <c r="R1091" i="64"/>
  <c r="Q1159" i="64"/>
  <c r="R1086" i="64"/>
  <c r="AR1086" i="64"/>
  <c r="BD1159" i="64"/>
  <c r="BD1156" i="64"/>
  <c r="D1148" i="64"/>
  <c r="BD1160" i="64"/>
  <c r="AD1160" i="64"/>
  <c r="D1160" i="64"/>
  <c r="Q1129" i="64"/>
  <c r="AR1061" i="64"/>
  <c r="D1181" i="64"/>
  <c r="AQ1135" i="64"/>
  <c r="AD1135" i="64"/>
  <c r="BD1135" i="64"/>
  <c r="D1135" i="64"/>
  <c r="Q1182" i="64"/>
  <c r="D1133" i="64"/>
  <c r="BD1133" i="64"/>
  <c r="BR1060" i="64"/>
  <c r="AQ1128" i="64"/>
  <c r="BR1055" i="64"/>
  <c r="D1128" i="64"/>
  <c r="CE1055" i="64"/>
  <c r="AR1102" i="64"/>
  <c r="D1163" i="64"/>
  <c r="AE1090" i="64"/>
  <c r="AQ1146" i="64"/>
  <c r="CE1073" i="64"/>
  <c r="Q1146" i="64"/>
  <c r="BQ1146" i="64"/>
  <c r="R1077" i="64"/>
  <c r="D1130" i="64"/>
  <c r="BR1116" i="64"/>
  <c r="D1152" i="64"/>
  <c r="BE1079" i="64"/>
  <c r="BR1114" i="64"/>
  <c r="CE1115" i="64"/>
  <c r="R1064" i="64"/>
  <c r="D1191" i="64"/>
  <c r="Q1191" i="64"/>
  <c r="AQ1147" i="64"/>
  <c r="AQ1164" i="64"/>
  <c r="BQ1153" i="64"/>
  <c r="AE1080" i="64"/>
  <c r="BD1153" i="64"/>
  <c r="CE1084" i="64"/>
  <c r="R1102" i="64"/>
  <c r="CE1069" i="64"/>
  <c r="BD1132" i="64"/>
  <c r="R1059" i="64"/>
  <c r="AE1059" i="64"/>
  <c r="BQ1150" i="64"/>
  <c r="D1149" i="64"/>
  <c r="AR1112" i="64"/>
  <c r="CE1057" i="64"/>
  <c r="BQ1192" i="64"/>
  <c r="AD1192" i="64"/>
  <c r="BD1188" i="64"/>
  <c r="BE1091" i="64"/>
  <c r="AQ1144" i="64"/>
  <c r="AQ1158" i="64"/>
  <c r="CE1085" i="64"/>
  <c r="BR1109" i="64"/>
  <c r="BD1136" i="64"/>
  <c r="BE1063" i="64"/>
  <c r="CE1108" i="64"/>
  <c r="BR1102" i="64"/>
  <c r="AQ1154" i="64"/>
  <c r="BQ1154" i="64"/>
  <c r="R1081" i="64"/>
  <c r="CE1089" i="64"/>
  <c r="AE1077" i="64"/>
  <c r="BR1111" i="64"/>
  <c r="Q1184" i="64"/>
  <c r="AR1110" i="64"/>
  <c r="AR1118" i="64"/>
  <c r="BE1066" i="64"/>
  <c r="R1066" i="64"/>
  <c r="D1159" i="64"/>
  <c r="AQ1159" i="64"/>
  <c r="BQ1156" i="64"/>
  <c r="AR1075" i="64"/>
  <c r="AR1087" i="64"/>
  <c r="BR1087" i="64"/>
  <c r="R1087" i="64"/>
  <c r="AE1087" i="64"/>
  <c r="AD1129" i="64"/>
  <c r="AD1134" i="64"/>
  <c r="CE1061" i="64"/>
  <c r="BE1061" i="64"/>
  <c r="BQ1134" i="64"/>
  <c r="AQ1190" i="64"/>
  <c r="BQ1135" i="64"/>
  <c r="CE1062" i="64"/>
  <c r="Q1162" i="64"/>
  <c r="AQ1133" i="64"/>
  <c r="R1060" i="64"/>
  <c r="BQ1133" i="64"/>
  <c r="AR1060" i="64"/>
  <c r="AD1133" i="64"/>
  <c r="Q1128" i="64"/>
  <c r="BD1128" i="64"/>
  <c r="AE1055" i="64"/>
  <c r="D1151" i="64"/>
  <c r="AD1175" i="64"/>
  <c r="BD1193" i="64"/>
  <c r="BE1090" i="64"/>
  <c r="R1090" i="64"/>
  <c r="AD1146" i="64"/>
  <c r="AE1073" i="64"/>
  <c r="R1073" i="64"/>
  <c r="BE1073" i="64"/>
  <c r="AE1118" i="64"/>
  <c r="R1116" i="64"/>
  <c r="BR1115" i="64"/>
  <c r="BE1112" i="64"/>
  <c r="CE1116" i="64"/>
  <c r="AD1152" i="64"/>
  <c r="R1115" i="64"/>
  <c r="AE1119" i="64"/>
  <c r="AE1091" i="64"/>
  <c r="AQ1156" i="64"/>
  <c r="AQ1153" i="64"/>
  <c r="Q1153" i="64"/>
  <c r="BR1080" i="64"/>
  <c r="AR1080" i="64"/>
  <c r="BQ1193" i="64"/>
  <c r="BQ1157" i="64"/>
  <c r="BD1151" i="64"/>
  <c r="AE1069" i="64"/>
  <c r="AD1132" i="64"/>
  <c r="AD1182" i="64"/>
  <c r="AR1076" i="64"/>
  <c r="D1194" i="64"/>
  <c r="Q1152" i="64"/>
  <c r="BR1079" i="64"/>
  <c r="AR1079" i="64"/>
  <c r="Q1164" i="64"/>
  <c r="BR1071" i="64"/>
  <c r="Q1144" i="64"/>
  <c r="AQ1136" i="64"/>
  <c r="AQ1162" i="64"/>
  <c r="BE1117" i="64"/>
  <c r="AR1078" i="64"/>
  <c r="BR1081" i="64"/>
  <c r="AE1108" i="64"/>
  <c r="BR1077" i="64"/>
  <c r="BD1182" i="64"/>
  <c r="BD1183" i="64"/>
  <c r="R1119" i="64"/>
  <c r="AE1115" i="64"/>
  <c r="D1187" i="64"/>
  <c r="AR1066" i="64"/>
  <c r="BQ1164" i="64"/>
  <c r="BR1091" i="64"/>
  <c r="CE1086" i="64"/>
  <c r="BE1086" i="64"/>
  <c r="BR1086" i="64"/>
  <c r="BE1083" i="64"/>
  <c r="Q1156" i="64"/>
  <c r="BQ1148" i="64"/>
  <c r="BQ1160" i="64"/>
  <c r="BE1087" i="64"/>
  <c r="AQ1160" i="64"/>
  <c r="AE1056" i="64"/>
  <c r="BR1061" i="64"/>
  <c r="R1061" i="64"/>
  <c r="AQ1134" i="64"/>
  <c r="Q1134" i="64"/>
  <c r="Q1135" i="64"/>
  <c r="AE1062" i="64"/>
  <c r="CE1060" i="64"/>
  <c r="Q1133" i="64"/>
  <c r="AE1094" i="64"/>
  <c r="AD1128" i="64"/>
  <c r="BQ1128" i="64"/>
  <c r="BR1117" i="64"/>
  <c r="AQ1175" i="64"/>
  <c r="BQ1163" i="64"/>
  <c r="AQ1163" i="64"/>
  <c r="BR1090" i="64"/>
  <c r="AD1163" i="64"/>
  <c r="BD1163" i="64"/>
  <c r="BR1073" i="64"/>
  <c r="BD1146" i="64"/>
  <c r="BE1077" i="64"/>
  <c r="R1109" i="64"/>
  <c r="BE1089" i="64"/>
  <c r="AD1189" i="64"/>
  <c r="Q1194" i="64"/>
  <c r="BD1185" i="64"/>
  <c r="BQ1152" i="64"/>
  <c r="AR1116" i="64"/>
  <c r="BQ1185" i="64"/>
  <c r="Q1130" i="64"/>
  <c r="Q1183" i="64"/>
  <c r="BD1147" i="64"/>
  <c r="BQ1147" i="64"/>
  <c r="R1080" i="64"/>
  <c r="D1153" i="64"/>
  <c r="BD1167" i="64"/>
  <c r="BE1084" i="64"/>
  <c r="AR1115" i="64"/>
  <c r="AE1116" i="64"/>
  <c r="BE1111" i="64"/>
  <c r="D1183" i="64"/>
  <c r="BE1071" i="64"/>
  <c r="R1071" i="64"/>
  <c r="BR1085" i="64"/>
  <c r="AE1085" i="64"/>
  <c r="D1158" i="64"/>
  <c r="AD1136" i="64"/>
  <c r="Q1136" i="64"/>
  <c r="AQ1167" i="64"/>
  <c r="BQ1175" i="64"/>
  <c r="D1154" i="64"/>
  <c r="Q1190" i="64"/>
  <c r="BD1162" i="64"/>
  <c r="BD1187" i="64"/>
  <c r="AR1119" i="64"/>
  <c r="Q1185" i="64"/>
  <c r="BD1152" i="64"/>
  <c r="CE1074" i="64"/>
  <c r="BQ1159" i="64"/>
  <c r="AE1086" i="64"/>
  <c r="AD1159" i="64"/>
  <c r="R1075" i="64"/>
  <c r="Q1160" i="64"/>
  <c r="CE1087" i="64"/>
  <c r="D1134" i="64"/>
  <c r="BD1134" i="64"/>
  <c r="AE1061" i="64"/>
  <c r="AR1108" i="64"/>
  <c r="BE1062" i="64"/>
  <c r="R1062" i="64"/>
  <c r="BR1062" i="64"/>
  <c r="AR1062" i="64"/>
  <c r="D1182" i="64"/>
  <c r="AE1060" i="64"/>
  <c r="BE1060" i="64"/>
  <c r="BQ1167" i="64"/>
  <c r="AR1055" i="64"/>
  <c r="BE1055" i="64"/>
  <c r="R1055" i="64"/>
  <c r="Q1163" i="64"/>
  <c r="CE1090" i="64"/>
  <c r="AR1090" i="64"/>
  <c r="AR1073" i="64"/>
  <c r="D1146" i="64"/>
  <c r="BD1150" i="64"/>
  <c r="CE1109" i="64"/>
  <c r="CE1120" i="64"/>
  <c r="AD1137" i="64"/>
  <c r="BE1057" i="64"/>
  <c r="AR1114" i="64"/>
  <c r="BR1118" i="64"/>
  <c r="BD1189" i="64"/>
  <c r="D1185" i="64"/>
  <c r="BQ1189" i="64"/>
  <c r="BE1110" i="64"/>
  <c r="Q1187" i="64"/>
  <c r="AD1147" i="64"/>
  <c r="BD1164" i="64"/>
  <c r="R1083" i="64"/>
  <c r="AR1083" i="64"/>
  <c r="BE1080" i="64"/>
  <c r="CE1080" i="64"/>
  <c r="AD1153" i="64"/>
  <c r="AD1181" i="64"/>
  <c r="Q1151" i="64"/>
  <c r="BD1175" i="64"/>
  <c r="R1089" i="64"/>
  <c r="AQ1141" i="64"/>
  <c r="Q1141" i="64"/>
  <c r="AR1068" i="64"/>
  <c r="BD1181" i="64"/>
  <c r="AQ1145" i="64"/>
  <c r="Q1145" i="64"/>
  <c r="AR1077" i="64"/>
  <c r="BR1119" i="64"/>
  <c r="CE1114" i="64"/>
  <c r="D1184" i="64"/>
  <c r="D1137" i="64"/>
  <c r="AQ1130" i="64"/>
  <c r="BE1119" i="64"/>
  <c r="BR1112" i="64"/>
  <c r="AE1111" i="64"/>
  <c r="BQ1191" i="64"/>
  <c r="BE1074" i="64"/>
  <c r="BR1065" i="64"/>
  <c r="BD1138" i="64"/>
  <c r="R1065" i="64"/>
  <c r="Q1155" i="64"/>
  <c r="CE1082" i="64"/>
  <c r="AD1155" i="64"/>
  <c r="AR1082" i="64"/>
  <c r="CE1083" i="64"/>
  <c r="AD1151" i="64"/>
  <c r="AR1109" i="64"/>
  <c r="CE1068" i="64"/>
  <c r="D1141" i="64"/>
  <c r="CE1072" i="64"/>
  <c r="D1145" i="64"/>
  <c r="BD1145" i="64"/>
  <c r="AE1079" i="64"/>
  <c r="AQ1152" i="64"/>
  <c r="BD1137" i="64"/>
  <c r="D1188" i="64"/>
  <c r="R1118" i="64"/>
  <c r="AQ1183" i="64"/>
  <c r="CE1118" i="64"/>
  <c r="CE1119" i="64"/>
  <c r="BR1074" i="64"/>
  <c r="AR1065" i="64"/>
  <c r="BE1065" i="64"/>
  <c r="D1155" i="64"/>
  <c r="AE1082" i="64"/>
  <c r="BR1082" i="64"/>
  <c r="AD1156" i="64"/>
  <c r="CE1094" i="64"/>
  <c r="Q1193" i="64"/>
  <c r="AE1068" i="64"/>
  <c r="BE1068" i="64"/>
  <c r="AD1141" i="64"/>
  <c r="AE1072" i="64"/>
  <c r="BE1072" i="64"/>
  <c r="AR1072" i="64"/>
  <c r="AD1145" i="64"/>
  <c r="BR1072" i="64"/>
  <c r="AR1117" i="64"/>
  <c r="AQ1150" i="64"/>
  <c r="AR1120" i="64"/>
  <c r="AQ1192" i="64"/>
  <c r="R1057" i="64"/>
  <c r="AD1187" i="64"/>
  <c r="AD1183" i="64"/>
  <c r="AR1057" i="64"/>
  <c r="AQ1187" i="64"/>
  <c r="BR1057" i="64"/>
  <c r="BQ1183" i="64"/>
  <c r="R1074" i="64"/>
  <c r="D1164" i="64"/>
  <c r="AQ1138" i="64"/>
  <c r="BQ1138" i="64"/>
  <c r="Q1138" i="64"/>
  <c r="BE1082" i="64"/>
  <c r="R1082" i="64"/>
  <c r="R1078" i="64"/>
  <c r="D1175" i="64"/>
  <c r="AE1089" i="64"/>
  <c r="R1068" i="64"/>
  <c r="BQ1141" i="64"/>
  <c r="BD1141" i="64"/>
  <c r="BR1068" i="64"/>
  <c r="R1072" i="64"/>
  <c r="BQ1145" i="64"/>
  <c r="Q1150" i="64"/>
  <c r="AQ1188" i="64"/>
  <c r="AD1130" i="64"/>
  <c r="BQ1130" i="64"/>
  <c r="CE1112" i="64"/>
  <c r="AD1191" i="64"/>
  <c r="D1189" i="64"/>
  <c r="AQ1191" i="64"/>
  <c r="BE1116" i="64"/>
  <c r="BQ1187" i="64"/>
  <c r="AR1091" i="64"/>
  <c r="AD1138" i="64"/>
  <c r="AE1065" i="64"/>
  <c r="CE1065" i="64"/>
  <c r="D1138" i="64"/>
  <c r="BQ1155" i="64"/>
  <c r="AQ1155" i="64"/>
  <c r="BD1155" i="64"/>
  <c r="AB1186" i="64"/>
  <c r="CC1108" i="64"/>
  <c r="BO1168" i="64"/>
  <c r="CC1120" i="64"/>
  <c r="BB1157" i="64"/>
  <c r="B1183" i="64"/>
  <c r="BO1184" i="64"/>
  <c r="B1175" i="64"/>
  <c r="BB1132" i="64"/>
  <c r="CC1077" i="64"/>
  <c r="P1076" i="64"/>
  <c r="BB1164" i="64"/>
  <c r="BB1156" i="64"/>
  <c r="CC1071" i="64"/>
  <c r="BB1144" i="64"/>
  <c r="CC1085" i="64"/>
  <c r="BC1094" i="64"/>
  <c r="AO1185" i="64"/>
  <c r="BC1111" i="64"/>
  <c r="BC1079" i="64"/>
  <c r="BB1191" i="64"/>
  <c r="AO1151" i="64"/>
  <c r="AO1154" i="64"/>
  <c r="BB1159" i="64"/>
  <c r="BC1086" i="64"/>
  <c r="CC1086" i="64"/>
  <c r="BB1160" i="64"/>
  <c r="AP1087" i="64"/>
  <c r="BB1134" i="64"/>
  <c r="P1061" i="64"/>
  <c r="BO1134" i="64"/>
  <c r="CC1060" i="64"/>
  <c r="AP1094" i="64"/>
  <c r="CC1055" i="64"/>
  <c r="P1055" i="64"/>
  <c r="AB1128" i="64"/>
  <c r="B1191" i="64"/>
  <c r="AO1152" i="64"/>
  <c r="BC1118" i="64"/>
  <c r="AP1119" i="64"/>
  <c r="AP1112" i="64"/>
  <c r="AB1184" i="64"/>
  <c r="BB1192" i="64"/>
  <c r="P1078" i="64"/>
  <c r="AO1175" i="64"/>
  <c r="BB1163" i="64"/>
  <c r="AO1163" i="64"/>
  <c r="AP1090" i="64"/>
  <c r="AP1073" i="64"/>
  <c r="BB1150" i="64"/>
  <c r="BB1147" i="64"/>
  <c r="AB1156" i="64"/>
  <c r="AP1080" i="64"/>
  <c r="BO1153" i="64"/>
  <c r="B1153" i="64"/>
  <c r="CC1080" i="64"/>
  <c r="BB1188" i="64"/>
  <c r="BP1108" i="64"/>
  <c r="BO1190" i="64"/>
  <c r="B1186" i="64"/>
  <c r="P1089" i="64"/>
  <c r="AB1157" i="64"/>
  <c r="AO1157" i="64"/>
  <c r="BP1057" i="64"/>
  <c r="AB1130" i="64"/>
  <c r="BC1076" i="64"/>
  <c r="AP1076" i="64"/>
  <c r="BC1063" i="64"/>
  <c r="AO1136" i="64"/>
  <c r="BP1094" i="64"/>
  <c r="CC1110" i="64"/>
  <c r="AO1188" i="64"/>
  <c r="P1064" i="64"/>
  <c r="AB1151" i="64"/>
  <c r="B1154" i="64"/>
  <c r="AO1139" i="64"/>
  <c r="BO1139" i="64"/>
  <c r="AO1147" i="64"/>
  <c r="AB1159" i="64"/>
  <c r="BP1086" i="64"/>
  <c r="BO1156" i="64"/>
  <c r="AB1160" i="64"/>
  <c r="BP1087" i="64"/>
  <c r="AO1160" i="64"/>
  <c r="B1134" i="64"/>
  <c r="AP1061" i="64"/>
  <c r="BC1061" i="64"/>
  <c r="BB1135" i="64"/>
  <c r="B1135" i="64"/>
  <c r="BO1133" i="64"/>
  <c r="AP1060" i="64"/>
  <c r="AO1167" i="64"/>
  <c r="BP1055" i="64"/>
  <c r="BC1055" i="64"/>
  <c r="BO1128" i="64"/>
  <c r="CC1114" i="64"/>
  <c r="AB1137" i="64"/>
  <c r="BO1189" i="64"/>
  <c r="BB1152" i="64"/>
  <c r="BP1111" i="64"/>
  <c r="CC1064" i="64"/>
  <c r="AB1189" i="64"/>
  <c r="B1184" i="64"/>
  <c r="CC1102" i="64"/>
  <c r="AB1163" i="64"/>
  <c r="BP1090" i="64"/>
  <c r="BC1090" i="64"/>
  <c r="B1146" i="64"/>
  <c r="BO1146" i="64"/>
  <c r="BB1146" i="64"/>
  <c r="BO1147" i="64"/>
  <c r="BO1164" i="64"/>
  <c r="BC1080" i="64"/>
  <c r="BB1153" i="64"/>
  <c r="AO1153" i="64"/>
  <c r="CC1109" i="64"/>
  <c r="BO1182" i="64"/>
  <c r="AO1182" i="64"/>
  <c r="AP1108" i="64"/>
  <c r="AO1186" i="64"/>
  <c r="P1111" i="64"/>
  <c r="B1194" i="64"/>
  <c r="P1069" i="64"/>
  <c r="BB1149" i="64"/>
  <c r="P1071" i="64"/>
  <c r="AB1144" i="64"/>
  <c r="BP1085" i="64"/>
  <c r="BO1158" i="64"/>
  <c r="BP1116" i="64"/>
  <c r="BC1112" i="64"/>
  <c r="AB1183" i="64"/>
  <c r="P1081" i="64"/>
  <c r="CC1081" i="64"/>
  <c r="AB1139" i="64"/>
  <c r="AB1147" i="64"/>
  <c r="AP1091" i="64"/>
  <c r="AP1086" i="64"/>
  <c r="BO1159" i="64"/>
  <c r="P1083" i="64"/>
  <c r="B1160" i="64"/>
  <c r="P1087" i="64"/>
  <c r="BO1160" i="64"/>
  <c r="BC1087" i="64"/>
  <c r="AO1134" i="64"/>
  <c r="AB1134" i="64"/>
  <c r="AO1135" i="64"/>
  <c r="BO1135" i="64"/>
  <c r="AB1135" i="64"/>
  <c r="BP1062" i="64"/>
  <c r="P1062" i="64"/>
  <c r="BB1133" i="64"/>
  <c r="AB1133" i="64"/>
  <c r="AO1133" i="64"/>
  <c r="CC1094" i="64"/>
  <c r="BB1128" i="64"/>
  <c r="AP1055" i="64"/>
  <c r="BO1183" i="64"/>
  <c r="P1115" i="64"/>
  <c r="B1185" i="64"/>
  <c r="AO1192" i="64"/>
  <c r="BO1152" i="64"/>
  <c r="BC1110" i="64"/>
  <c r="P1118" i="64"/>
  <c r="BC1078" i="64"/>
  <c r="BP1102" i="64"/>
  <c r="CC1090" i="64"/>
  <c r="BO1163" i="64"/>
  <c r="AB1146" i="64"/>
  <c r="BP1073" i="64"/>
  <c r="P1073" i="64"/>
  <c r="BP1077" i="64"/>
  <c r="BP1091" i="64"/>
  <c r="AO1156" i="64"/>
  <c r="BP1080" i="64"/>
  <c r="P1080" i="64"/>
  <c r="B1188" i="64"/>
  <c r="BP1089" i="64"/>
  <c r="BC1120" i="64"/>
  <c r="B1162" i="64"/>
  <c r="AO1190" i="64"/>
  <c r="BO1157" i="64"/>
  <c r="B1187" i="64"/>
  <c r="B1142" i="64"/>
  <c r="BC1059" i="64"/>
  <c r="BP1076" i="64"/>
  <c r="AO1164" i="64"/>
  <c r="BC1083" i="64"/>
  <c r="AP1071" i="64"/>
  <c r="B1158" i="64"/>
  <c r="AB1136" i="64"/>
  <c r="AP1063" i="64"/>
  <c r="BC1114" i="64"/>
  <c r="B1137" i="64"/>
  <c r="AO1137" i="64"/>
  <c r="AB1194" i="64"/>
  <c r="CC1078" i="64"/>
  <c r="BC1081" i="64"/>
  <c r="P1066" i="64"/>
  <c r="BB1139" i="64"/>
  <c r="B1164" i="64"/>
  <c r="AO1159" i="64"/>
  <c r="P1086" i="64"/>
  <c r="B1159" i="64"/>
  <c r="AP1083" i="64"/>
  <c r="CC1087" i="64"/>
  <c r="CC1061" i="64"/>
  <c r="BP1061" i="64"/>
  <c r="CC1062" i="64"/>
  <c r="BC1062" i="64"/>
  <c r="AP1062" i="64"/>
  <c r="P1060" i="64"/>
  <c r="B1133" i="64"/>
  <c r="BP1060" i="64"/>
  <c r="BC1060" i="64"/>
  <c r="BO1167" i="64"/>
  <c r="AB1167" i="64"/>
  <c r="B1128" i="64"/>
  <c r="AO1128" i="64"/>
  <c r="P1057" i="64"/>
  <c r="P1079" i="64"/>
  <c r="BP1064" i="64"/>
  <c r="CC1111" i="64"/>
  <c r="BO1192" i="64"/>
  <c r="BP1115" i="64"/>
  <c r="BB1187" i="64"/>
  <c r="B1151" i="64"/>
  <c r="BO1175" i="64"/>
  <c r="B1163" i="64"/>
  <c r="P1090" i="64"/>
  <c r="CC1073" i="64"/>
  <c r="AO1146" i="64"/>
  <c r="BC1073" i="64"/>
  <c r="BC1077" i="64"/>
  <c r="B1147" i="64"/>
  <c r="AB1153" i="64"/>
  <c r="BC1068" i="64"/>
  <c r="AO1141" i="64"/>
  <c r="BO1145" i="64"/>
  <c r="B1145" i="64"/>
  <c r="AO1145" i="64"/>
  <c r="P1077" i="64"/>
  <c r="AB1150" i="64"/>
  <c r="CC1091" i="64"/>
  <c r="BO1138" i="64"/>
  <c r="P1065" i="64"/>
  <c r="BP1065" i="64"/>
  <c r="AB1155" i="64"/>
  <c r="BO1155" i="64"/>
  <c r="AP1102" i="64"/>
  <c r="B1141" i="64"/>
  <c r="BP1068" i="64"/>
  <c r="AP1068" i="64"/>
  <c r="BB1141" i="64"/>
  <c r="AB1145" i="64"/>
  <c r="BP1072" i="64"/>
  <c r="BB1145" i="64"/>
  <c r="AP1072" i="64"/>
  <c r="AB1164" i="64"/>
  <c r="AB1138" i="64"/>
  <c r="AP1065" i="64"/>
  <c r="AO1138" i="64"/>
  <c r="P1082" i="64"/>
  <c r="B1155" i="64"/>
  <c r="CC1082" i="64"/>
  <c r="BP1083" i="64"/>
  <c r="BB1175" i="64"/>
  <c r="P1068" i="64"/>
  <c r="BO1141" i="64"/>
  <c r="P1072" i="64"/>
  <c r="BC1072" i="64"/>
  <c r="AO1150" i="64"/>
  <c r="BC1091" i="64"/>
  <c r="CC1065" i="64"/>
  <c r="BC1082" i="64"/>
  <c r="BB1155" i="64"/>
  <c r="AO1155" i="64"/>
  <c r="B1156" i="64"/>
  <c r="BB1194" i="64"/>
  <c r="BB1151" i="64"/>
  <c r="AB1175" i="64"/>
  <c r="CC1068" i="64"/>
  <c r="AB1141" i="64"/>
  <c r="CC1072" i="64"/>
  <c r="B1138" i="64"/>
  <c r="BB1138" i="64"/>
  <c r="BC1065" i="64"/>
  <c r="BP1082" i="64"/>
  <c r="AP1082" i="64"/>
  <c r="BR1097" i="64"/>
  <c r="BD1170" i="64"/>
  <c r="C1170" i="64"/>
  <c r="AC1170" i="64"/>
  <c r="P1097" i="64"/>
  <c r="AD1097" i="64"/>
  <c r="BQ1170" i="64"/>
  <c r="BO1170" i="64"/>
  <c r="BB1170" i="64"/>
  <c r="CO1097" i="64"/>
  <c r="P1170" i="64"/>
  <c r="AQ1170" i="64"/>
  <c r="CD1097" i="64"/>
  <c r="B1170" i="64"/>
  <c r="D1170" i="64"/>
  <c r="AO1170" i="64"/>
  <c r="BP1097" i="64"/>
  <c r="AP1170" i="64"/>
  <c r="B1244" i="64"/>
  <c r="AR1097" i="64"/>
  <c r="AQ1097" i="64"/>
  <c r="Q1097" i="64"/>
  <c r="BC1097" i="64"/>
  <c r="AD1170" i="64"/>
  <c r="CE1097" i="64"/>
  <c r="AB1170" i="64"/>
  <c r="CC1097" i="64"/>
  <c r="BD1097" i="64"/>
  <c r="BP1170" i="64"/>
  <c r="BC1170" i="64"/>
  <c r="AP1097" i="64"/>
  <c r="R1097" i="64"/>
  <c r="BQ1097" i="64"/>
  <c r="AE1097" i="64"/>
  <c r="BE1097" i="64"/>
  <c r="Q1170" i="64"/>
  <c r="AT879" i="64"/>
  <c r="AR1093" i="64"/>
  <c r="BD1166" i="64"/>
  <c r="CD1093" i="64"/>
  <c r="B1166" i="64"/>
  <c r="AO1166" i="64"/>
  <c r="BQ1093" i="64"/>
  <c r="BC1166" i="64"/>
  <c r="AP1093" i="64"/>
  <c r="P1093" i="64"/>
  <c r="CO1093" i="64"/>
  <c r="P1166" i="64"/>
  <c r="BE1093" i="64"/>
  <c r="R1093" i="64"/>
  <c r="BC1093" i="64"/>
  <c r="D1166" i="64"/>
  <c r="BQ1166" i="64"/>
  <c r="Q1093" i="64"/>
  <c r="Q1166" i="64"/>
  <c r="BP1166" i="64"/>
  <c r="AQ1166" i="64"/>
  <c r="CC1093" i="64"/>
  <c r="AD1093" i="64"/>
  <c r="AQ1093" i="64"/>
  <c r="BD1093" i="64"/>
  <c r="CE1093" i="64"/>
  <c r="BO1166" i="64"/>
  <c r="B1240" i="64"/>
  <c r="BR1093" i="64"/>
  <c r="AB1166" i="64"/>
  <c r="BP1093" i="64"/>
  <c r="BB1166" i="64"/>
  <c r="AD1166" i="64"/>
  <c r="AP1166" i="64"/>
  <c r="C1166" i="64"/>
  <c r="AE1093" i="64"/>
  <c r="AC1166" i="64"/>
  <c r="D1241" i="64"/>
  <c r="Q1241" i="64" s="1"/>
  <c r="N1241" i="64"/>
  <c r="AA1241" i="64" s="1"/>
  <c r="I1241" i="64"/>
  <c r="V1241" i="64" s="1"/>
  <c r="DB1241" i="64"/>
  <c r="K1241" i="64"/>
  <c r="X1241" i="64" s="1"/>
  <c r="J1241" i="64"/>
  <c r="W1241" i="64" s="1"/>
  <c r="E1241" i="64"/>
  <c r="R1241" i="64" s="1"/>
  <c r="L1241" i="64"/>
  <c r="Y1241" i="64" s="1"/>
  <c r="G1241" i="64"/>
  <c r="T1241" i="64" s="1"/>
  <c r="F1241" i="64"/>
  <c r="S1241" i="64" s="1"/>
  <c r="M1241" i="64"/>
  <c r="Z1241" i="64" s="1"/>
  <c r="H1241" i="64"/>
  <c r="U1241" i="64" s="1"/>
  <c r="C1241" i="64"/>
  <c r="P1241" i="64" s="1"/>
  <c r="J642" i="77"/>
  <c r="J600" i="77" s="1"/>
  <c r="I123" i="64"/>
  <c r="B1245" i="64"/>
  <c r="D1171" i="64"/>
  <c r="CD1098" i="64"/>
  <c r="AE1098" i="64"/>
  <c r="AD1171" i="64"/>
  <c r="P1098" i="64"/>
  <c r="CC1098" i="64"/>
  <c r="BP1098" i="64"/>
  <c r="AP1098" i="64"/>
  <c r="CO1098" i="64"/>
  <c r="BE1098" i="64"/>
  <c r="AD1098" i="64"/>
  <c r="R1098" i="64"/>
  <c r="BR1098" i="64"/>
  <c r="BC1098" i="64"/>
  <c r="AP1171" i="64"/>
  <c r="P1171" i="64"/>
  <c r="AQ1098" i="64"/>
  <c r="Q1171" i="64"/>
  <c r="CE1098" i="64"/>
  <c r="AB1171" i="64"/>
  <c r="AO1171" i="64"/>
  <c r="AR1098" i="64"/>
  <c r="C1171" i="64"/>
  <c r="BP1171" i="64"/>
  <c r="BD1171" i="64"/>
  <c r="Q1098" i="64"/>
  <c r="BC1171" i="64"/>
  <c r="BD1098" i="64"/>
  <c r="BB1171" i="64"/>
  <c r="BQ1098" i="64"/>
  <c r="BQ1171" i="64"/>
  <c r="AQ1171" i="64"/>
  <c r="AC1171" i="64"/>
  <c r="B1171" i="64"/>
  <c r="BO1171" i="64"/>
  <c r="DB1238" i="64"/>
  <c r="E1238" i="64"/>
  <c r="R1238" i="64" s="1"/>
  <c r="G1238" i="64"/>
  <c r="T1238" i="64" s="1"/>
  <c r="F1238" i="64"/>
  <c r="S1238" i="64" s="1"/>
  <c r="H1238" i="64"/>
  <c r="U1238" i="64" s="1"/>
  <c r="C1238" i="64"/>
  <c r="P1238" i="64" s="1"/>
  <c r="D1238" i="64"/>
  <c r="Q1238" i="64" s="1"/>
  <c r="G386" i="77"/>
  <c r="D642" i="77"/>
  <c r="D600" i="77" s="1"/>
  <c r="G123" i="64"/>
  <c r="R1058" i="64"/>
  <c r="BD1127" i="64"/>
  <c r="AE1095" i="64"/>
  <c r="CE1067" i="64"/>
  <c r="BR1054" i="64"/>
  <c r="R1070" i="64"/>
  <c r="BQ1143" i="64"/>
  <c r="D1139" i="64"/>
  <c r="BE1118" i="64"/>
  <c r="CE1079" i="64"/>
  <c r="BR1089" i="64"/>
  <c r="AD1154" i="64"/>
  <c r="R1063" i="64"/>
  <c r="BE1085" i="64"/>
  <c r="BQ1144" i="64"/>
  <c r="D1147" i="64"/>
  <c r="BE1064" i="64"/>
  <c r="BR1110" i="64"/>
  <c r="AE1076" i="64"/>
  <c r="D1142" i="64"/>
  <c r="AE1102" i="64"/>
  <c r="AQ1157" i="64"/>
  <c r="BQ1129" i="64"/>
  <c r="AR1058" i="64"/>
  <c r="R1054" i="64"/>
  <c r="BE1095" i="64"/>
  <c r="D1140" i="64"/>
  <c r="AQ1129" i="64"/>
  <c r="BQ1190" i="64"/>
  <c r="BQ1149" i="64"/>
  <c r="BQ1132" i="64"/>
  <c r="BR1069" i="64"/>
  <c r="D1157" i="64"/>
  <c r="AE1109" i="64"/>
  <c r="D1143" i="64"/>
  <c r="BD1186" i="64"/>
  <c r="R1067" i="64"/>
  <c r="AE1120" i="64"/>
  <c r="BE1056" i="64"/>
  <c r="BR1056" i="64"/>
  <c r="BQ1139" i="64"/>
  <c r="BQ1137" i="64"/>
  <c r="BR1064" i="64"/>
  <c r="BQ1181" i="64"/>
  <c r="CE1078" i="64"/>
  <c r="AD1167" i="64"/>
  <c r="BQ1158" i="64"/>
  <c r="BD1144" i="64"/>
  <c r="BD1192" i="64"/>
  <c r="CE1110" i="64"/>
  <c r="BQ1194" i="64"/>
  <c r="AQ1149" i="64"/>
  <c r="AR1059" i="64"/>
  <c r="BD1157" i="64"/>
  <c r="BR1120" i="64"/>
  <c r="Q1186" i="64"/>
  <c r="BQ1186" i="64"/>
  <c r="AR1067" i="64"/>
  <c r="CE1056" i="64"/>
  <c r="AQ1181" i="64"/>
  <c r="B1131" i="64"/>
  <c r="BC1054" i="64"/>
  <c r="B1127" i="64"/>
  <c r="AB1129" i="64"/>
  <c r="AP1115" i="64"/>
  <c r="BP1118" i="64"/>
  <c r="AB1154" i="64"/>
  <c r="CC1057" i="64"/>
  <c r="BC1057" i="64"/>
  <c r="CC1063" i="64"/>
  <c r="AO1144" i="64"/>
  <c r="P1074" i="64"/>
  <c r="AB1149" i="64"/>
  <c r="CC1059" i="64"/>
  <c r="B1192" i="64"/>
  <c r="BB1184" i="64"/>
  <c r="P1094" i="64"/>
  <c r="AP1117" i="64"/>
  <c r="P1120" i="64"/>
  <c r="AB1193" i="64"/>
  <c r="AO1193" i="64"/>
  <c r="P1067" i="64"/>
  <c r="CC1054" i="64"/>
  <c r="AP1056" i="64"/>
  <c r="AO1148" i="64"/>
  <c r="BP1110" i="64"/>
  <c r="B1150" i="64"/>
  <c r="AO1142" i="64"/>
  <c r="AB1187" i="64"/>
  <c r="BO1185" i="64"/>
  <c r="BP1095" i="64"/>
  <c r="AP1113" i="64"/>
  <c r="AP1109" i="64"/>
  <c r="CC1117" i="64"/>
  <c r="AB1190" i="64"/>
  <c r="AP1067" i="64"/>
  <c r="BO1143" i="64"/>
  <c r="B1143" i="64"/>
  <c r="AP1064" i="64"/>
  <c r="P1116" i="64"/>
  <c r="BC1074" i="64"/>
  <c r="CC1066" i="64"/>
  <c r="BB1185" i="64"/>
  <c r="CC1115" i="64"/>
  <c r="P1063" i="64"/>
  <c r="BC1085" i="64"/>
  <c r="AP1074" i="64"/>
  <c r="BO1132" i="64"/>
  <c r="BO1142" i="64"/>
  <c r="AB1152" i="64"/>
  <c r="BB1137" i="64"/>
  <c r="B1157" i="64"/>
  <c r="BP1109" i="64"/>
  <c r="AO1162" i="64"/>
  <c r="AP1089" i="64"/>
  <c r="BO1162" i="64"/>
  <c r="AP1058" i="64"/>
  <c r="BP1054" i="64"/>
  <c r="BP1056" i="64"/>
  <c r="BC1056" i="64"/>
  <c r="CC1119" i="64"/>
  <c r="BC1115" i="64"/>
  <c r="G1203" i="64"/>
  <c r="T1203" i="64" s="1"/>
  <c r="E1203" i="64"/>
  <c r="R1203" i="64" s="1"/>
  <c r="D1203" i="64"/>
  <c r="Q1203" i="64" s="1"/>
  <c r="C1203" i="64"/>
  <c r="P1203" i="64" s="1"/>
  <c r="DB1203" i="64"/>
  <c r="H1203" i="64"/>
  <c r="U1203" i="64" s="1"/>
  <c r="F1203" i="64"/>
  <c r="S1203" i="64" s="1"/>
  <c r="Q495" i="40"/>
  <c r="AD495" i="40" s="1"/>
  <c r="R1088" i="64"/>
  <c r="CD1088" i="64"/>
  <c r="D1161" i="64"/>
  <c r="BD1161" i="64"/>
  <c r="AB1161" i="64"/>
  <c r="P1088" i="64"/>
  <c r="BO1161" i="64"/>
  <c r="B1161" i="64"/>
  <c r="AO1161" i="64"/>
  <c r="B1235" i="64"/>
  <c r="BE1088" i="64"/>
  <c r="AD1088" i="64"/>
  <c r="CE1088" i="64"/>
  <c r="BR1088" i="64"/>
  <c r="BP1088" i="64"/>
  <c r="AD1161" i="64"/>
  <c r="BC1088" i="64"/>
  <c r="BB1161" i="64"/>
  <c r="CO1088" i="64"/>
  <c r="AC1161" i="64"/>
  <c r="BQ1161" i="64"/>
  <c r="AE1088" i="64"/>
  <c r="BC1161" i="64"/>
  <c r="AP1161" i="64"/>
  <c r="AR1088" i="64"/>
  <c r="C1161" i="64"/>
  <c r="AP1088" i="64"/>
  <c r="AQ1161" i="64"/>
  <c r="Q1088" i="64"/>
  <c r="Q1161" i="64"/>
  <c r="P1161" i="64"/>
  <c r="BD1088" i="64"/>
  <c r="CC1088" i="64"/>
  <c r="BQ1088" i="64"/>
  <c r="AQ1088" i="64"/>
  <c r="BP1161" i="64"/>
  <c r="B1252" i="64"/>
  <c r="CO1105" i="64"/>
  <c r="AQ1105" i="64"/>
  <c r="BD1178" i="64"/>
  <c r="BO1178" i="64"/>
  <c r="CD1105" i="64"/>
  <c r="P1105" i="64"/>
  <c r="R1105" i="64"/>
  <c r="BB1178" i="64"/>
  <c r="BD1105" i="64"/>
  <c r="AB1178" i="64"/>
  <c r="BE1105" i="64"/>
  <c r="AE1105" i="64"/>
  <c r="BR1105" i="64"/>
  <c r="AO1178" i="64"/>
  <c r="C1178" i="64"/>
  <c r="P1178" i="64"/>
  <c r="BC1178" i="64"/>
  <c r="BQ1105" i="64"/>
  <c r="BC1105" i="64"/>
  <c r="AD1178" i="64"/>
  <c r="AQ1178" i="64"/>
  <c r="Q1178" i="64"/>
  <c r="AC1178" i="64"/>
  <c r="AD1105" i="64"/>
  <c r="D1178" i="64"/>
  <c r="CC1105" i="64"/>
  <c r="CE1105" i="64"/>
  <c r="BQ1178" i="64"/>
  <c r="B1178" i="64"/>
  <c r="AP1105" i="64"/>
  <c r="Q1105" i="64"/>
  <c r="BP1105" i="64"/>
  <c r="AR1105" i="64"/>
  <c r="AP1178" i="64"/>
  <c r="BP1178" i="64"/>
  <c r="H386" i="77"/>
  <c r="G642" i="77"/>
  <c r="G600" i="77" s="1"/>
  <c r="H123" i="64"/>
  <c r="CO1106" i="64"/>
  <c r="AE1106" i="64"/>
  <c r="BQ1106" i="64"/>
  <c r="BD1106" i="64"/>
  <c r="BP1179" i="64"/>
  <c r="AR1106" i="64"/>
  <c r="R1106" i="64"/>
  <c r="BP1106" i="64"/>
  <c r="P1179" i="64"/>
  <c r="BQ1179" i="64"/>
  <c r="BR1106" i="64"/>
  <c r="Q1106" i="64"/>
  <c r="AD1179" i="64"/>
  <c r="AD1106" i="64"/>
  <c r="CD1106" i="64"/>
  <c r="AQ1106" i="64"/>
  <c r="CC1106" i="64"/>
  <c r="P1106" i="64"/>
  <c r="Q1179" i="64"/>
  <c r="C1179" i="64"/>
  <c r="AQ1179" i="64"/>
  <c r="BE1106" i="64"/>
  <c r="AB1179" i="64"/>
  <c r="BB1179" i="64"/>
  <c r="B1179" i="64"/>
  <c r="BD1179" i="64"/>
  <c r="BO1179" i="64"/>
  <c r="B1253" i="64"/>
  <c r="D1179" i="64"/>
  <c r="BC1179" i="64"/>
  <c r="AC1179" i="64"/>
  <c r="CE1106" i="64"/>
  <c r="AP1106" i="64"/>
  <c r="BC1106" i="64"/>
  <c r="AO1179" i="64"/>
  <c r="AP1179" i="64"/>
  <c r="H1222" i="64"/>
  <c r="U1222" i="64" s="1"/>
  <c r="C1222" i="64"/>
  <c r="P1222" i="64" s="1"/>
  <c r="E1222" i="64"/>
  <c r="R1222" i="64" s="1"/>
  <c r="DB1222" i="64"/>
  <c r="D1222" i="64"/>
  <c r="Q1222" i="64" s="1"/>
  <c r="F1222" i="64"/>
  <c r="S1222" i="64" s="1"/>
  <c r="G1222" i="64"/>
  <c r="T1222" i="64" s="1"/>
  <c r="B1246" i="64"/>
  <c r="CO1099" i="64"/>
  <c r="BP1099" i="64"/>
  <c r="BD1099" i="64"/>
  <c r="AE1099" i="64"/>
  <c r="BR1099" i="64"/>
  <c r="BC1172" i="64"/>
  <c r="AB1172" i="64"/>
  <c r="BP1172" i="64"/>
  <c r="BD1172" i="64"/>
  <c r="C1172" i="64"/>
  <c r="P1172" i="64"/>
  <c r="CD1099" i="64"/>
  <c r="R1099" i="64"/>
  <c r="AP1099" i="64"/>
  <c r="CE1099" i="64"/>
  <c r="AO1172" i="64"/>
  <c r="BQ1172" i="64"/>
  <c r="AR1099" i="64"/>
  <c r="BB1172" i="64"/>
  <c r="B1172" i="64"/>
  <c r="Q1172" i="64"/>
  <c r="AQ1099" i="64"/>
  <c r="BC1099" i="64"/>
  <c r="D1172" i="64"/>
  <c r="AQ1172" i="64"/>
  <c r="AD1172" i="64"/>
  <c r="BQ1099" i="64"/>
  <c r="BO1172" i="64"/>
  <c r="AP1172" i="64"/>
  <c r="P1099" i="64"/>
  <c r="Q1099" i="64"/>
  <c r="AC1172" i="64"/>
  <c r="AD1099" i="64"/>
  <c r="BE1099" i="64"/>
  <c r="CC1099" i="64"/>
  <c r="DB1077" i="64"/>
  <c r="DE1077" i="64" s="1"/>
  <c r="CQ1150" i="64" s="1"/>
  <c r="CA1150" i="64"/>
  <c r="Q492" i="40"/>
  <c r="AD492" i="40" s="1"/>
  <c r="H579" i="74"/>
  <c r="I561" i="74"/>
  <c r="CA1147" i="64"/>
  <c r="DB1074" i="64"/>
  <c r="DE1074" i="64" s="1"/>
  <c r="CQ1147" i="64" s="1"/>
  <c r="AS879" i="64"/>
  <c r="AS882" i="64" s="1"/>
  <c r="AQ1131" i="64"/>
  <c r="BR1113" i="64"/>
  <c r="D1186" i="64"/>
  <c r="BE1067" i="64"/>
  <c r="AD1127" i="64"/>
  <c r="BD1148" i="64"/>
  <c r="Q1148" i="64"/>
  <c r="AQ1185" i="64"/>
  <c r="Q1188" i="64"/>
  <c r="BE1114" i="64"/>
  <c r="Q1154" i="64"/>
  <c r="CE1102" i="64"/>
  <c r="AE1063" i="64"/>
  <c r="R1085" i="64"/>
  <c r="BR1083" i="64"/>
  <c r="BD1184" i="64"/>
  <c r="BQ1184" i="64"/>
  <c r="AD1185" i="64"/>
  <c r="AD1150" i="64"/>
  <c r="Q1142" i="64"/>
  <c r="BE1078" i="64"/>
  <c r="BE1094" i="64"/>
  <c r="BE1109" i="64"/>
  <c r="D1131" i="64"/>
  <c r="D1168" i="64"/>
  <c r="AR1113" i="64"/>
  <c r="AQ1127" i="64"/>
  <c r="Q1143" i="64"/>
  <c r="D1127" i="64"/>
  <c r="CE1076" i="64"/>
  <c r="Q1132" i="64"/>
  <c r="Q1175" i="64"/>
  <c r="AD1162" i="64"/>
  <c r="BD1131" i="64"/>
  <c r="BD1190" i="64"/>
  <c r="AR1095" i="64"/>
  <c r="Q1140" i="64"/>
  <c r="BD1129" i="64"/>
  <c r="BE1054" i="64"/>
  <c r="AD1139" i="64"/>
  <c r="AD1194" i="64"/>
  <c r="AE1114" i="64"/>
  <c r="R1111" i="64"/>
  <c r="D1162" i="64"/>
  <c r="BR1078" i="64"/>
  <c r="BR1094" i="64"/>
  <c r="BD1158" i="64"/>
  <c r="D1156" i="64"/>
  <c r="CE1111" i="64"/>
  <c r="AE1057" i="64"/>
  <c r="BR1076" i="64"/>
  <c r="AQ1182" i="64"/>
  <c r="R1069" i="64"/>
  <c r="Q1157" i="64"/>
  <c r="R1056" i="64"/>
  <c r="AD1168" i="64"/>
  <c r="AQ1168" i="64"/>
  <c r="CE1054" i="64"/>
  <c r="AR1070" i="64"/>
  <c r="AE1070" i="64"/>
  <c r="BB1131" i="64"/>
  <c r="BB1127" i="64"/>
  <c r="B1148" i="64"/>
  <c r="AB1143" i="64"/>
  <c r="AP1110" i="64"/>
  <c r="BP1074" i="64"/>
  <c r="BO1151" i="64"/>
  <c r="BC1119" i="64"/>
  <c r="B1167" i="64"/>
  <c r="P1085" i="64"/>
  <c r="BC1071" i="64"/>
  <c r="AO1149" i="64"/>
  <c r="BO1150" i="64"/>
  <c r="CC1069" i="64"/>
  <c r="AB1192" i="64"/>
  <c r="P1114" i="64"/>
  <c r="CC1113" i="64"/>
  <c r="BP1113" i="64"/>
  <c r="B1182" i="64"/>
  <c r="P1117" i="64"/>
  <c r="AB1182" i="64"/>
  <c r="AB1140" i="64"/>
  <c r="BO1127" i="64"/>
  <c r="BB1143" i="64"/>
  <c r="BB1167" i="64"/>
  <c r="BO1130" i="64"/>
  <c r="AO1132" i="64"/>
  <c r="AP1069" i="64"/>
  <c r="BB1130" i="64"/>
  <c r="AO1187" i="64"/>
  <c r="CC1089" i="64"/>
  <c r="AO1168" i="64"/>
  <c r="AO1181" i="64"/>
  <c r="P1113" i="64"/>
  <c r="BO1131" i="64"/>
  <c r="BB1140" i="64"/>
  <c r="BB1129" i="64"/>
  <c r="BP1075" i="64"/>
  <c r="AO1189" i="64"/>
  <c r="AP1111" i="64"/>
  <c r="BP1066" i="64"/>
  <c r="BO1154" i="64"/>
  <c r="P1112" i="64"/>
  <c r="BC1064" i="64"/>
  <c r="B1136" i="64"/>
  <c r="BO1144" i="64"/>
  <c r="CC1076" i="64"/>
  <c r="B1132" i="64"/>
  <c r="BC1102" i="64"/>
  <c r="B1189" i="64"/>
  <c r="BO1137" i="64"/>
  <c r="CC1084" i="64"/>
  <c r="BO1181" i="64"/>
  <c r="P1109" i="64"/>
  <c r="BB1182" i="64"/>
  <c r="BC1109" i="64"/>
  <c r="AB1131" i="64"/>
  <c r="AB1148" i="64"/>
  <c r="CC1075" i="64"/>
  <c r="AP1070" i="64"/>
  <c r="BP1079" i="64"/>
  <c r="B1130" i="64"/>
  <c r="K784" i="64"/>
  <c r="H35" i="71" s="1"/>
  <c r="K797" i="64"/>
  <c r="H37" i="71" s="1"/>
  <c r="I348" i="73"/>
  <c r="J333" i="73" s="1"/>
  <c r="A604" i="77"/>
  <c r="A115" i="77"/>
  <c r="J303" i="73"/>
  <c r="K287" i="73"/>
  <c r="K302" i="73" s="1"/>
  <c r="J280" i="73"/>
  <c r="K265" i="73"/>
  <c r="K279" i="73" s="1"/>
  <c r="I589" i="73"/>
  <c r="I595" i="73" s="1"/>
  <c r="I602" i="73"/>
  <c r="I588" i="73"/>
  <c r="I594" i="73" s="1"/>
  <c r="I601" i="73"/>
  <c r="H589" i="73"/>
  <c r="H595" i="73" s="1"/>
  <c r="H602" i="73"/>
  <c r="I148" i="73"/>
  <c r="J130" i="73" s="1"/>
  <c r="G1025" i="64"/>
  <c r="G1096" i="64" s="1"/>
  <c r="G1001" i="64"/>
  <c r="G1072" i="64" s="1"/>
  <c r="G984" i="64"/>
  <c r="G1055" i="64" s="1"/>
  <c r="G1038" i="64"/>
  <c r="G1109" i="64" s="1"/>
  <c r="G996" i="64"/>
  <c r="G1067" i="64" s="1"/>
  <c r="G1013" i="64"/>
  <c r="G1084" i="64" s="1"/>
  <c r="G1020" i="64"/>
  <c r="G1091" i="64" s="1"/>
  <c r="J63" i="85"/>
  <c r="I82" i="85"/>
  <c r="I51" i="85"/>
  <c r="I54" i="85" s="1"/>
  <c r="J62" i="85"/>
  <c r="I79" i="85"/>
  <c r="H204" i="85"/>
  <c r="H202" i="85"/>
  <c r="I149" i="73"/>
  <c r="H464" i="73" s="1"/>
  <c r="K86" i="73"/>
  <c r="L69" i="73"/>
  <c r="L85" i="73" s="1"/>
  <c r="J239" i="73"/>
  <c r="I255" i="73"/>
  <c r="K228" i="73"/>
  <c r="H556" i="73"/>
  <c r="H554" i="73"/>
  <c r="H555" i="73" s="1"/>
  <c r="H462" i="73"/>
  <c r="J453" i="73"/>
  <c r="J455" i="73" s="1"/>
  <c r="H456" i="73"/>
  <c r="R118" i="73"/>
  <c r="D623" i="73" s="1"/>
  <c r="H623" i="73" s="1"/>
  <c r="J185" i="73"/>
  <c r="I202" i="73"/>
  <c r="J129" i="73"/>
  <c r="I146" i="73"/>
  <c r="J240" i="73"/>
  <c r="I258" i="73"/>
  <c r="J157" i="73"/>
  <c r="I174" i="73"/>
  <c r="J332" i="73"/>
  <c r="I346" i="73"/>
  <c r="H10" i="85"/>
  <c r="G320" i="77"/>
  <c r="L955" i="64"/>
  <c r="N467" i="64"/>
  <c r="O75" i="64"/>
  <c r="K928" i="64"/>
  <c r="M440" i="64"/>
  <c r="M476" i="64"/>
  <c r="K964" i="64"/>
  <c r="N84" i="64"/>
  <c r="M454" i="64"/>
  <c r="K942" i="64"/>
  <c r="L974" i="64"/>
  <c r="N486" i="64"/>
  <c r="O94" i="64"/>
  <c r="M474" i="64"/>
  <c r="N82" i="64"/>
  <c r="K962" i="64"/>
  <c r="K937" i="64"/>
  <c r="M449" i="64"/>
  <c r="M484" i="64"/>
  <c r="K972" i="64"/>
  <c r="N92" i="64"/>
  <c r="K953" i="64"/>
  <c r="N73" i="64"/>
  <c r="M465" i="64"/>
  <c r="K957" i="64"/>
  <c r="N77" i="64"/>
  <c r="M469" i="64"/>
  <c r="M468" i="64"/>
  <c r="K956" i="64"/>
  <c r="N76" i="64"/>
  <c r="M478" i="64"/>
  <c r="K966" i="64"/>
  <c r="N86" i="64"/>
  <c r="M434" i="64"/>
  <c r="K922" i="64"/>
  <c r="K917" i="64"/>
  <c r="M429" i="64"/>
  <c r="K948" i="64"/>
  <c r="M460" i="64"/>
  <c r="L931" i="64"/>
  <c r="N443" i="64"/>
  <c r="K921" i="64"/>
  <c r="M433" i="64"/>
  <c r="K940" i="64"/>
  <c r="M452" i="64"/>
  <c r="M446" i="64"/>
  <c r="K934" i="64"/>
  <c r="K944" i="64"/>
  <c r="M456" i="64"/>
  <c r="M472" i="64"/>
  <c r="K960" i="64"/>
  <c r="N80" i="64"/>
  <c r="L939" i="64"/>
  <c r="N451" i="64"/>
  <c r="M470" i="64"/>
  <c r="K958" i="64"/>
  <c r="N78" i="64"/>
  <c r="K965" i="64"/>
  <c r="M477" i="64"/>
  <c r="N85" i="64"/>
  <c r="K925" i="64"/>
  <c r="M437" i="64"/>
  <c r="K932" i="64"/>
  <c r="M444" i="64"/>
  <c r="L967" i="64"/>
  <c r="N479" i="64"/>
  <c r="O87" i="64"/>
  <c r="K952" i="64"/>
  <c r="M464" i="64"/>
  <c r="N72" i="64"/>
  <c r="M480" i="64"/>
  <c r="K968" i="64"/>
  <c r="N88" i="64"/>
  <c r="K920" i="64"/>
  <c r="M432" i="64"/>
  <c r="M462" i="64"/>
  <c r="K950" i="64"/>
  <c r="N70" i="64"/>
  <c r="M450" i="64"/>
  <c r="K938" i="64"/>
  <c r="M466" i="64"/>
  <c r="N74" i="64"/>
  <c r="K954" i="64"/>
  <c r="K969" i="64"/>
  <c r="M481" i="64"/>
  <c r="N89" i="64"/>
  <c r="L977" i="64"/>
  <c r="N489" i="64"/>
  <c r="O97" i="64"/>
  <c r="K945" i="64"/>
  <c r="M457" i="64"/>
  <c r="M482" i="64"/>
  <c r="N90" i="64"/>
  <c r="K970" i="64"/>
  <c r="K941" i="64"/>
  <c r="M453" i="64"/>
  <c r="L971" i="64"/>
  <c r="N483" i="64"/>
  <c r="O91" i="64"/>
  <c r="L978" i="64"/>
  <c r="N490" i="64"/>
  <c r="O98" i="64"/>
  <c r="K975" i="64"/>
  <c r="M487" i="64"/>
  <c r="N95" i="64"/>
  <c r="M458" i="64"/>
  <c r="K946" i="64"/>
  <c r="K924" i="64"/>
  <c r="M436" i="64"/>
  <c r="L943" i="64"/>
  <c r="N455" i="64"/>
  <c r="K961" i="64"/>
  <c r="N81" i="64"/>
  <c r="M473" i="64"/>
  <c r="L959" i="64"/>
  <c r="N471" i="64"/>
  <c r="O79" i="64"/>
  <c r="L947" i="64"/>
  <c r="N459" i="64"/>
  <c r="K936" i="64"/>
  <c r="M448" i="64"/>
  <c r="L919" i="64"/>
  <c r="N431" i="64"/>
  <c r="L923" i="64"/>
  <c r="N435" i="64"/>
  <c r="K914" i="64"/>
  <c r="M426" i="64"/>
  <c r="K916" i="64"/>
  <c r="M428" i="64"/>
  <c r="K791" i="64"/>
  <c r="H36" i="71" s="1"/>
  <c r="L935" i="64"/>
  <c r="N447" i="64"/>
  <c r="L963" i="64"/>
  <c r="N475" i="64"/>
  <c r="O83" i="64"/>
  <c r="L915" i="64"/>
  <c r="N427" i="64"/>
  <c r="L973" i="64"/>
  <c r="N485" i="64"/>
  <c r="O93" i="64"/>
  <c r="M488" i="64"/>
  <c r="K976" i="64"/>
  <c r="N96" i="64"/>
  <c r="L927" i="64"/>
  <c r="N439" i="64"/>
  <c r="K933" i="64"/>
  <c r="M445" i="64"/>
  <c r="M438" i="64"/>
  <c r="K926" i="64"/>
  <c r="M442" i="64"/>
  <c r="K930" i="64"/>
  <c r="L951" i="64"/>
  <c r="N463" i="64"/>
  <c r="O71" i="64"/>
  <c r="K949" i="64"/>
  <c r="M461" i="64"/>
  <c r="K929" i="64"/>
  <c r="M441" i="64"/>
  <c r="M430" i="64"/>
  <c r="K918" i="64"/>
  <c r="G1012" i="64"/>
  <c r="G1083" i="64" s="1"/>
  <c r="L326" i="64"/>
  <c r="G1000" i="64"/>
  <c r="G1071" i="64" s="1"/>
  <c r="G1005" i="64"/>
  <c r="G1076" i="64" s="1"/>
  <c r="G989" i="64"/>
  <c r="G1060" i="64" s="1"/>
  <c r="R1168" i="64"/>
  <c r="AF1119" i="64"/>
  <c r="G1014" i="64"/>
  <c r="G1085" i="64" s="1"/>
  <c r="G1026" i="64"/>
  <c r="G1097" i="64" s="1"/>
  <c r="J682" i="64"/>
  <c r="K889" i="64"/>
  <c r="L512" i="64"/>
  <c r="L503" i="64"/>
  <c r="L522" i="64"/>
  <c r="L514" i="64"/>
  <c r="L505" i="64"/>
  <c r="L501" i="64"/>
  <c r="L521" i="64"/>
  <c r="L513" i="64"/>
  <c r="L504" i="64"/>
  <c r="L500" i="64"/>
  <c r="M384" i="64"/>
  <c r="M380" i="64"/>
  <c r="M361" i="64"/>
  <c r="M348" i="64"/>
  <c r="M401" i="64"/>
  <c r="M381" i="64"/>
  <c r="M360" i="64"/>
  <c r="M351" i="64"/>
  <c r="M350" i="64"/>
  <c r="M349" i="64"/>
  <c r="M347" i="64"/>
  <c r="M335" i="64"/>
  <c r="M327" i="64"/>
  <c r="M323" i="64"/>
  <c r="M319" i="64"/>
  <c r="M312" i="64"/>
  <c r="M308" i="64"/>
  <c r="M304" i="64"/>
  <c r="M296" i="64"/>
  <c r="M292" i="64"/>
  <c r="L523" i="64"/>
  <c r="M387" i="64"/>
  <c r="L515" i="64"/>
  <c r="L506" i="64"/>
  <c r="L502" i="64"/>
  <c r="L499" i="64"/>
  <c r="L498" i="64"/>
  <c r="M382" i="64"/>
  <c r="M372" i="64"/>
  <c r="M353" i="64"/>
  <c r="M352" i="64"/>
  <c r="M340" i="64"/>
  <c r="M333" i="64"/>
  <c r="M321" i="64"/>
  <c r="M317" i="64"/>
  <c r="M314" i="64"/>
  <c r="M310" i="64"/>
  <c r="M306" i="64"/>
  <c r="M302" i="64"/>
  <c r="M298" i="64"/>
  <c r="M383" i="64"/>
  <c r="M370" i="64"/>
  <c r="M363" i="64"/>
  <c r="M336" i="64"/>
  <c r="M328" i="64"/>
  <c r="M320" i="64"/>
  <c r="M313" i="64"/>
  <c r="M309" i="64"/>
  <c r="M305" i="64"/>
  <c r="M297" i="64"/>
  <c r="M293" i="64"/>
  <c r="M371" i="64"/>
  <c r="M362" i="64"/>
  <c r="M334" i="64"/>
  <c r="M291" i="64"/>
  <c r="M341" i="64"/>
  <c r="M311" i="64"/>
  <c r="M307" i="64"/>
  <c r="M303" i="64"/>
  <c r="M354" i="64"/>
  <c r="M322" i="64"/>
  <c r="M318" i="64"/>
  <c r="M295" i="64"/>
  <c r="L290" i="64"/>
  <c r="W1044" i="64"/>
  <c r="W1043" i="64"/>
  <c r="W1039" i="64"/>
  <c r="W1041" i="64"/>
  <c r="W1042" i="64"/>
  <c r="W1040" i="64"/>
  <c r="W1038" i="64"/>
  <c r="W1045" i="64"/>
  <c r="W1006" i="64"/>
  <c r="W1004" i="64"/>
  <c r="W1012" i="64"/>
  <c r="W1020" i="64"/>
  <c r="W1033" i="64"/>
  <c r="W999" i="64"/>
  <c r="W1028" i="64"/>
  <c r="W1003" i="64"/>
  <c r="W985" i="64"/>
  <c r="W983" i="64"/>
  <c r="W1027" i="64"/>
  <c r="W1014" i="64"/>
  <c r="W1010" i="64"/>
  <c r="W1005" i="64"/>
  <c r="W1000" i="64"/>
  <c r="W997" i="64"/>
  <c r="W1032" i="64"/>
  <c r="W1009" i="64"/>
  <c r="W1019" i="64"/>
  <c r="W987" i="64"/>
  <c r="W1025" i="64"/>
  <c r="W995" i="64"/>
  <c r="W996" i="64"/>
  <c r="W989" i="64"/>
  <c r="W988" i="64"/>
  <c r="W1026" i="64"/>
  <c r="W1001" i="64"/>
  <c r="W1011" i="64"/>
  <c r="W994" i="64"/>
  <c r="W998" i="64"/>
  <c r="W1002" i="64"/>
  <c r="W990" i="64"/>
  <c r="W1013" i="64"/>
  <c r="W984" i="64"/>
  <c r="W1015" i="64"/>
  <c r="K896" i="64"/>
  <c r="M408" i="64"/>
  <c r="K895" i="64"/>
  <c r="M407" i="64"/>
  <c r="AV808" i="64"/>
  <c r="K909" i="64"/>
  <c r="M421" i="64"/>
  <c r="K912" i="64"/>
  <c r="M424" i="64"/>
  <c r="G998" i="64"/>
  <c r="G1069" i="64" s="1"/>
  <c r="G994" i="64"/>
  <c r="G1065" i="64" s="1"/>
  <c r="G1041" i="64"/>
  <c r="G1112" i="64" s="1"/>
  <c r="AW858" i="64"/>
  <c r="AJ858" i="64"/>
  <c r="AJ820" i="64"/>
  <c r="AW820" i="64"/>
  <c r="AJ790" i="64"/>
  <c r="AW725" i="64"/>
  <c r="AJ725" i="64"/>
  <c r="AW674" i="64"/>
  <c r="AJ674" i="64"/>
  <c r="J713" i="64"/>
  <c r="K195" i="64"/>
  <c r="AW817" i="64"/>
  <c r="AJ817" i="64"/>
  <c r="AW745" i="64"/>
  <c r="AJ745" i="64"/>
  <c r="AW746" i="64"/>
  <c r="AJ746" i="64"/>
  <c r="AW676" i="64"/>
  <c r="AJ676" i="64"/>
  <c r="K903" i="64"/>
  <c r="M415" i="64"/>
  <c r="CF1067" i="64"/>
  <c r="BS1070" i="64"/>
  <c r="S1079" i="64"/>
  <c r="AF1111" i="64"/>
  <c r="BS1094" i="64"/>
  <c r="CF1074" i="64"/>
  <c r="BS1101" i="64"/>
  <c r="CF1118" i="64"/>
  <c r="E1137" i="64"/>
  <c r="AE1172" i="64"/>
  <c r="AE1147" i="64"/>
  <c r="AS1075" i="64"/>
  <c r="S1111" i="64"/>
  <c r="AF1094" i="64"/>
  <c r="CF1077" i="64"/>
  <c r="AF1116" i="64"/>
  <c r="BR1189" i="64"/>
  <c r="R1194" i="64"/>
  <c r="AS1104" i="64"/>
  <c r="BR1156" i="64"/>
  <c r="S1109" i="64"/>
  <c r="AR1168" i="64"/>
  <c r="AR1186" i="64"/>
  <c r="AE1181" i="64"/>
  <c r="S1117" i="64"/>
  <c r="BR1174" i="64"/>
  <c r="BR1183" i="64"/>
  <c r="E1189" i="64"/>
  <c r="E1192" i="64"/>
  <c r="BR1178" i="64"/>
  <c r="AS1056" i="64"/>
  <c r="AR1185" i="64"/>
  <c r="S1116" i="64"/>
  <c r="AR1175" i="64"/>
  <c r="AF1074" i="64"/>
  <c r="AS1070" i="64"/>
  <c r="BS1119" i="64"/>
  <c r="CF1112" i="64"/>
  <c r="BS1116" i="64"/>
  <c r="AE1178" i="64"/>
  <c r="AF1070" i="64"/>
  <c r="CF1110" i="64"/>
  <c r="AS1118" i="64"/>
  <c r="BF1104" i="64"/>
  <c r="CF1091" i="64"/>
  <c r="S1120" i="64"/>
  <c r="CF1095" i="64"/>
  <c r="CF1108" i="64"/>
  <c r="CF1117" i="64"/>
  <c r="AS1109" i="64"/>
  <c r="AF1056" i="64"/>
  <c r="S1101" i="64"/>
  <c r="AS1110" i="64"/>
  <c r="AR1184" i="64"/>
  <c r="BS1104" i="64"/>
  <c r="CF1075" i="64"/>
  <c r="BE1188" i="64"/>
  <c r="AR1191" i="64"/>
  <c r="AF1078" i="64"/>
  <c r="AF1077" i="64"/>
  <c r="AR1127" i="64"/>
  <c r="R1174" i="64"/>
  <c r="AR1183" i="64"/>
  <c r="BE1187" i="64"/>
  <c r="BR1177" i="64"/>
  <c r="BS1083" i="64"/>
  <c r="AS1115" i="64"/>
  <c r="R1137" i="64"/>
  <c r="BE1172" i="64"/>
  <c r="BF1074" i="64"/>
  <c r="CF1120" i="64"/>
  <c r="BE1186" i="64"/>
  <c r="BE1190" i="64"/>
  <c r="R1182" i="64"/>
  <c r="BR1162" i="64"/>
  <c r="E1127" i="64"/>
  <c r="BS1056" i="64"/>
  <c r="BR1191" i="64"/>
  <c r="CF1111" i="64"/>
  <c r="CF1099" i="64"/>
  <c r="E1143" i="64"/>
  <c r="BF1115" i="64"/>
  <c r="CF1114" i="64"/>
  <c r="S1094" i="64"/>
  <c r="AF1105" i="64"/>
  <c r="CF1054" i="64"/>
  <c r="S1056" i="64"/>
  <c r="CF1057" i="64"/>
  <c r="CF1115" i="64"/>
  <c r="AF1102" i="64"/>
  <c r="BE1156" i="64"/>
  <c r="AE1152" i="64"/>
  <c r="AE1188" i="64"/>
  <c r="BE1151" i="64"/>
  <c r="BS1077" i="64"/>
  <c r="BF1089" i="64"/>
  <c r="AE1186" i="64"/>
  <c r="BF1109" i="64"/>
  <c r="AS1120" i="64"/>
  <c r="J611" i="64"/>
  <c r="J531" i="64"/>
  <c r="K898" i="64"/>
  <c r="M410" i="64"/>
  <c r="K683" i="64"/>
  <c r="K685" i="64"/>
  <c r="L174" i="64" s="1"/>
  <c r="K687" i="64"/>
  <c r="L176" i="64" s="1"/>
  <c r="K689" i="64"/>
  <c r="L178" i="64" s="1"/>
  <c r="K691" i="64"/>
  <c r="L180" i="64" s="1"/>
  <c r="K693" i="64"/>
  <c r="L182" i="64" s="1"/>
  <c r="K695" i="64"/>
  <c r="L184" i="64" s="1"/>
  <c r="K721" i="64"/>
  <c r="X794" i="64"/>
  <c r="X817" i="64"/>
  <c r="K722" i="64"/>
  <c r="X673" i="64"/>
  <c r="K698" i="64"/>
  <c r="K700" i="64"/>
  <c r="L188" i="64" s="1"/>
  <c r="K702" i="64"/>
  <c r="L190" i="64" s="1"/>
  <c r="K704" i="64"/>
  <c r="L192" i="64" s="1"/>
  <c r="X714" i="64"/>
  <c r="X868" i="64"/>
  <c r="K673" i="64"/>
  <c r="K676" i="64"/>
  <c r="K678" i="64"/>
  <c r="X680" i="64"/>
  <c r="K714" i="64"/>
  <c r="K716" i="64"/>
  <c r="X718" i="64"/>
  <c r="K709" i="64"/>
  <c r="L196" i="64" s="1"/>
  <c r="K674" i="64"/>
  <c r="K679" i="64"/>
  <c r="K686" i="64"/>
  <c r="L175" i="64" s="1"/>
  <c r="K690" i="64"/>
  <c r="L179" i="64" s="1"/>
  <c r="K694" i="64"/>
  <c r="L183" i="64" s="1"/>
  <c r="K715" i="64"/>
  <c r="X724" i="64"/>
  <c r="K699" i="64"/>
  <c r="L187" i="64" s="1"/>
  <c r="K703" i="64"/>
  <c r="L191" i="64" s="1"/>
  <c r="X719" i="64"/>
  <c r="X725" i="64"/>
  <c r="X744" i="64"/>
  <c r="X785" i="64"/>
  <c r="K672" i="64"/>
  <c r="K677" i="64"/>
  <c r="K684" i="64"/>
  <c r="L173" i="64" s="1"/>
  <c r="K688" i="64"/>
  <c r="L177" i="64" s="1"/>
  <c r="K692" i="64"/>
  <c r="L181" i="64" s="1"/>
  <c r="K717" i="64"/>
  <c r="X746" i="64"/>
  <c r="X750" i="64"/>
  <c r="X751" i="64"/>
  <c r="X674" i="64"/>
  <c r="X679" i="64"/>
  <c r="K701" i="64"/>
  <c r="L189" i="64" s="1"/>
  <c r="K708" i="64"/>
  <c r="X789" i="64"/>
  <c r="X743" i="64"/>
  <c r="X796" i="64"/>
  <c r="X790" i="64"/>
  <c r="X795" i="64"/>
  <c r="X820" i="64"/>
  <c r="X818" i="64"/>
  <c r="X822" i="64"/>
  <c r="X821" i="64"/>
  <c r="X819" i="64"/>
  <c r="X815" i="64"/>
  <c r="K511" i="64"/>
  <c r="K892" i="64"/>
  <c r="M404" i="64"/>
  <c r="K388" i="64"/>
  <c r="L359" i="64"/>
  <c r="L301" i="64"/>
  <c r="L294" i="64"/>
  <c r="L316" i="64"/>
  <c r="K913" i="64"/>
  <c r="M425" i="64"/>
  <c r="K904" i="64"/>
  <c r="M416" i="64"/>
  <c r="AI737" i="64"/>
  <c r="K908" i="64"/>
  <c r="M420" i="64"/>
  <c r="K891" i="64"/>
  <c r="M403" i="64"/>
  <c r="AS1067" i="64"/>
  <c r="E1140" i="64"/>
  <c r="BF1067" i="64"/>
  <c r="BF1058" i="64"/>
  <c r="R1131" i="64"/>
  <c r="E1131" i="64"/>
  <c r="AE1157" i="64"/>
  <c r="BR1157" i="64"/>
  <c r="BF1084" i="64"/>
  <c r="R1142" i="64"/>
  <c r="AF1069" i="64"/>
  <c r="E1142" i="64"/>
  <c r="AS1059" i="64"/>
  <c r="E1132" i="64"/>
  <c r="BE1132" i="64"/>
  <c r="AE1149" i="64"/>
  <c r="E1149" i="64"/>
  <c r="BS1100" i="64"/>
  <c r="AR1173" i="64"/>
  <c r="E1173" i="64"/>
  <c r="BR1166" i="64"/>
  <c r="BF1093" i="64"/>
  <c r="BE1166" i="64"/>
  <c r="CF1093" i="64"/>
  <c r="AS1097" i="64"/>
  <c r="E1170" i="64"/>
  <c r="BS1097" i="64"/>
  <c r="BS1085" i="64"/>
  <c r="AS1085" i="64"/>
  <c r="R1136" i="64"/>
  <c r="BR1136" i="64"/>
  <c r="S1063" i="64"/>
  <c r="AS1081" i="64"/>
  <c r="BF1081" i="64"/>
  <c r="BE1154" i="64"/>
  <c r="BS1081" i="64"/>
  <c r="S1067" i="64"/>
  <c r="BE1140" i="64"/>
  <c r="AF1067" i="64"/>
  <c r="CF1058" i="64"/>
  <c r="BR1131" i="64"/>
  <c r="AE1131" i="64"/>
  <c r="AS1084" i="64"/>
  <c r="AR1157" i="64"/>
  <c r="S1084" i="64"/>
  <c r="R1157" i="64"/>
  <c r="BS1069" i="64"/>
  <c r="BF1069" i="64"/>
  <c r="BE1142" i="64"/>
  <c r="AS1069" i="64"/>
  <c r="AE1142" i="64"/>
  <c r="CF1059" i="64"/>
  <c r="BR1132" i="64"/>
  <c r="AF1059" i="64"/>
  <c r="R1132" i="64"/>
  <c r="AS1076" i="64"/>
  <c r="BR1149" i="64"/>
  <c r="AR1149" i="64"/>
  <c r="S1076" i="64"/>
  <c r="AE1173" i="64"/>
  <c r="S1100" i="64"/>
  <c r="BR1173" i="64"/>
  <c r="R1173" i="64"/>
  <c r="AR1144" i="64"/>
  <c r="BE1144" i="64"/>
  <c r="BR1144" i="64"/>
  <c r="R1166" i="64"/>
  <c r="AF1093" i="64"/>
  <c r="AE1166" i="64"/>
  <c r="E1166" i="64"/>
  <c r="AE1170" i="64"/>
  <c r="S1097" i="64"/>
  <c r="BR1158" i="64"/>
  <c r="BF1085" i="64"/>
  <c r="E1158" i="64"/>
  <c r="AE1158" i="64"/>
  <c r="AR1136" i="64"/>
  <c r="BS1063" i="64"/>
  <c r="CF1063" i="64"/>
  <c r="BF1063" i="64"/>
  <c r="E1136" i="64"/>
  <c r="AE1136" i="64"/>
  <c r="CF1081" i="64"/>
  <c r="R1140" i="64"/>
  <c r="S1058" i="64"/>
  <c r="AR1131" i="64"/>
  <c r="BS1058" i="64"/>
  <c r="AF1084" i="64"/>
  <c r="BS1084" i="64"/>
  <c r="CF1084" i="64"/>
  <c r="CF1069" i="64"/>
  <c r="AR1132" i="64"/>
  <c r="BS1059" i="64"/>
  <c r="BF1076" i="64"/>
  <c r="CF1076" i="64"/>
  <c r="R1149" i="64"/>
  <c r="BS1076" i="64"/>
  <c r="BE1149" i="64"/>
  <c r="AS1100" i="64"/>
  <c r="AF1100" i="64"/>
  <c r="BF1100" i="64"/>
  <c r="E1144" i="64"/>
  <c r="AF1071" i="64"/>
  <c r="R1144" i="64"/>
  <c r="AE1144" i="64"/>
  <c r="S1071" i="64"/>
  <c r="S1093" i="64"/>
  <c r="AS1093" i="64"/>
  <c r="BR1170" i="64"/>
  <c r="CF1097" i="64"/>
  <c r="BE1170" i="64"/>
  <c r="AF1097" i="64"/>
  <c r="R1158" i="64"/>
  <c r="AF1085" i="64"/>
  <c r="AS1063" i="64"/>
  <c r="AF1063" i="64"/>
  <c r="BR1154" i="64"/>
  <c r="E1154" i="64"/>
  <c r="AF1081" i="64"/>
  <c r="BE1139" i="64"/>
  <c r="AE1139" i="64"/>
  <c r="AS1066" i="64"/>
  <c r="BS1066" i="64"/>
  <c r="CF1086" i="64"/>
  <c r="E1159" i="64"/>
  <c r="AS1086" i="64"/>
  <c r="AE1140" i="64"/>
  <c r="BR1140" i="64"/>
  <c r="BS1067" i="64"/>
  <c r="AS1058" i="64"/>
  <c r="AF1058" i="64"/>
  <c r="BF1059" i="64"/>
  <c r="S1059" i="64"/>
  <c r="CF1100" i="64"/>
  <c r="BE1173" i="64"/>
  <c r="CF1071" i="64"/>
  <c r="BE1158" i="64"/>
  <c r="AR1154" i="64"/>
  <c r="CF1066" i="64"/>
  <c r="BR1139" i="64"/>
  <c r="R1139" i="64"/>
  <c r="BF1086" i="64"/>
  <c r="BR1159" i="64"/>
  <c r="AR1160" i="64"/>
  <c r="BF1087" i="64"/>
  <c r="R1134" i="64"/>
  <c r="AF1062" i="64"/>
  <c r="AR1135" i="64"/>
  <c r="AS1062" i="64"/>
  <c r="BF1106" i="64"/>
  <c r="AS1106" i="64"/>
  <c r="S1106" i="64"/>
  <c r="AE1169" i="64"/>
  <c r="CF1096" i="64"/>
  <c r="AS1096" i="64"/>
  <c r="AF1096" i="64"/>
  <c r="BE1133" i="64"/>
  <c r="BF1060" i="64"/>
  <c r="AS1060" i="64"/>
  <c r="BR1128" i="64"/>
  <c r="AS1107" i="64"/>
  <c r="AE1180" i="64"/>
  <c r="AS1092" i="64"/>
  <c r="AF1092" i="64"/>
  <c r="BE1165" i="64"/>
  <c r="R1163" i="64"/>
  <c r="AR1163" i="64"/>
  <c r="BS1073" i="64"/>
  <c r="BE1146" i="64"/>
  <c r="CF1073" i="64"/>
  <c r="AF1073" i="64"/>
  <c r="AF1076" i="64"/>
  <c r="S1085" i="64"/>
  <c r="R1154" i="64"/>
  <c r="S1081" i="64"/>
  <c r="S1066" i="64"/>
  <c r="AF1066" i="64"/>
  <c r="BE1159" i="64"/>
  <c r="AR1159" i="64"/>
  <c r="AE1159" i="64"/>
  <c r="AS1087" i="64"/>
  <c r="S1087" i="64"/>
  <c r="BS1087" i="64"/>
  <c r="BR1160" i="64"/>
  <c r="AE1160" i="64"/>
  <c r="AR1134" i="64"/>
  <c r="BR1134" i="64"/>
  <c r="CF1061" i="64"/>
  <c r="AS1061" i="64"/>
  <c r="BR1135" i="64"/>
  <c r="R1135" i="64"/>
  <c r="CF1062" i="64"/>
  <c r="E1135" i="64"/>
  <c r="CF1106" i="64"/>
  <c r="S1096" i="64"/>
  <c r="BR1133" i="64"/>
  <c r="S1060" i="64"/>
  <c r="AE1128" i="64"/>
  <c r="AF1055" i="64"/>
  <c r="E1128" i="64"/>
  <c r="AR1128" i="64"/>
  <c r="S1055" i="64"/>
  <c r="CF1107" i="64"/>
  <c r="AF1107" i="64"/>
  <c r="E1165" i="64"/>
  <c r="AR1165" i="64"/>
  <c r="S1092" i="64"/>
  <c r="BE1163" i="64"/>
  <c r="BR1163" i="64"/>
  <c r="AE1163" i="64"/>
  <c r="AS1073" i="64"/>
  <c r="BS1080" i="64"/>
  <c r="CF1080" i="64"/>
  <c r="AR1153" i="64"/>
  <c r="AF1080" i="64"/>
  <c r="BR1161" i="64"/>
  <c r="BF1103" i="64"/>
  <c r="BR1142" i="64"/>
  <c r="AS1071" i="64"/>
  <c r="BS1071" i="64"/>
  <c r="BS1093" i="64"/>
  <c r="BF1097" i="64"/>
  <c r="AR1158" i="64"/>
  <c r="BE1136" i="64"/>
  <c r="AE1154" i="64"/>
  <c r="BF1066" i="64"/>
  <c r="AR1139" i="64"/>
  <c r="AF1086" i="64"/>
  <c r="BS1086" i="64"/>
  <c r="R1160" i="64"/>
  <c r="AE1134" i="64"/>
  <c r="S1061" i="64"/>
  <c r="BE1134" i="64"/>
  <c r="S1062" i="64"/>
  <c r="BS1062" i="64"/>
  <c r="AE1135" i="64"/>
  <c r="BE1179" i="64"/>
  <c r="AE1179" i="64"/>
  <c r="R1179" i="64"/>
  <c r="BS1096" i="64"/>
  <c r="BE1131" i="64"/>
  <c r="E1157" i="64"/>
  <c r="BE1157" i="64"/>
  <c r="AR1142" i="64"/>
  <c r="S1069" i="64"/>
  <c r="AE1132" i="64"/>
  <c r="BF1071" i="64"/>
  <c r="AR1166" i="64"/>
  <c r="R1170" i="64"/>
  <c r="AR1170" i="64"/>
  <c r="CF1085" i="64"/>
  <c r="E1139" i="64"/>
  <c r="R1159" i="64"/>
  <c r="S1086" i="64"/>
  <c r="E1160" i="64"/>
  <c r="BE1160" i="64"/>
  <c r="CF1087" i="64"/>
  <c r="AF1087" i="64"/>
  <c r="BS1061" i="64"/>
  <c r="BF1061" i="64"/>
  <c r="AF1061" i="64"/>
  <c r="E1134" i="64"/>
  <c r="BF1062" i="64"/>
  <c r="BE1135" i="64"/>
  <c r="AF1106" i="64"/>
  <c r="BR1179" i="64"/>
  <c r="BS1106" i="64"/>
  <c r="E1179" i="64"/>
  <c r="AR1179" i="64"/>
  <c r="R1169" i="64"/>
  <c r="BE1169" i="64"/>
  <c r="AR1169" i="64"/>
  <c r="BR1169" i="64"/>
  <c r="BF1096" i="64"/>
  <c r="AF1060" i="64"/>
  <c r="AR1133" i="64"/>
  <c r="AE1133" i="64"/>
  <c r="BS1055" i="64"/>
  <c r="R1128" i="64"/>
  <c r="CF1055" i="64"/>
  <c r="AR1180" i="64"/>
  <c r="BF1107" i="64"/>
  <c r="AE1165" i="64"/>
  <c r="CF1092" i="64"/>
  <c r="R1165" i="64"/>
  <c r="BF1090" i="64"/>
  <c r="BS1090" i="64"/>
  <c r="R1146" i="64"/>
  <c r="AE1146" i="64"/>
  <c r="BF1073" i="64"/>
  <c r="AR1146" i="64"/>
  <c r="AE1153" i="64"/>
  <c r="R1153" i="64"/>
  <c r="BR1153" i="64"/>
  <c r="S1088" i="64"/>
  <c r="AF1088" i="64"/>
  <c r="R1161" i="64"/>
  <c r="AR1161" i="64"/>
  <c r="AR1176" i="64"/>
  <c r="BE1176" i="64"/>
  <c r="AS1103" i="64"/>
  <c r="AE1176" i="64"/>
  <c r="S1103" i="64"/>
  <c r="S1098" i="64"/>
  <c r="BR1171" i="64"/>
  <c r="CF1098" i="64"/>
  <c r="R1171" i="64"/>
  <c r="AE1141" i="64"/>
  <c r="AR1141" i="64"/>
  <c r="E1169" i="64"/>
  <c r="CF1060" i="64"/>
  <c r="BE1180" i="64"/>
  <c r="BF1092" i="64"/>
  <c r="CF1090" i="64"/>
  <c r="E1146" i="64"/>
  <c r="BE1153" i="64"/>
  <c r="R1176" i="64"/>
  <c r="AE1171" i="64"/>
  <c r="AS1098" i="64"/>
  <c r="CF1068" i="64"/>
  <c r="E1141" i="64"/>
  <c r="AS1068" i="64"/>
  <c r="R1141" i="64"/>
  <c r="BS1072" i="64"/>
  <c r="BR1138" i="64"/>
  <c r="CF1065" i="64"/>
  <c r="BE1138" i="64"/>
  <c r="BF1065" i="64"/>
  <c r="BF1082" i="64"/>
  <c r="AE1155" i="64"/>
  <c r="AS1082" i="64"/>
  <c r="CF1082" i="64"/>
  <c r="AS1088" i="64"/>
  <c r="BS1103" i="64"/>
  <c r="AR1171" i="64"/>
  <c r="BR1141" i="64"/>
  <c r="S1068" i="64"/>
  <c r="BS1068" i="64"/>
  <c r="AS1072" i="64"/>
  <c r="AR1138" i="64"/>
  <c r="S1065" i="64"/>
  <c r="S1082" i="64"/>
  <c r="E1133" i="64"/>
  <c r="BS1060" i="64"/>
  <c r="AS1055" i="64"/>
  <c r="BR1180" i="64"/>
  <c r="BS1107" i="64"/>
  <c r="AF1090" i="64"/>
  <c r="S1080" i="64"/>
  <c r="E1153" i="64"/>
  <c r="AE1161" i="64"/>
  <c r="CF1088" i="64"/>
  <c r="AF1103" i="64"/>
  <c r="BE1171" i="64"/>
  <c r="BS1098" i="64"/>
  <c r="AF1098" i="64"/>
  <c r="AF1068" i="64"/>
  <c r="BF1068" i="64"/>
  <c r="BE1141" i="64"/>
  <c r="AE1145" i="64"/>
  <c r="BE1145" i="64"/>
  <c r="E1145" i="64"/>
  <c r="AR1145" i="64"/>
  <c r="R1138" i="64"/>
  <c r="AS1065" i="64"/>
  <c r="AF1082" i="64"/>
  <c r="E1180" i="64"/>
  <c r="S1090" i="64"/>
  <c r="AS1080" i="64"/>
  <c r="BE1161" i="64"/>
  <c r="E1171" i="64"/>
  <c r="R1145" i="64"/>
  <c r="AE1138" i="64"/>
  <c r="AF1065" i="64"/>
  <c r="R1133" i="64"/>
  <c r="BE1128" i="64"/>
  <c r="E1163" i="64"/>
  <c r="BR1146" i="64"/>
  <c r="S1073" i="64"/>
  <c r="BF1080" i="64"/>
  <c r="BS1088" i="64"/>
  <c r="BF1088" i="64"/>
  <c r="E1161" i="64"/>
  <c r="E1176" i="64"/>
  <c r="BF1098" i="64"/>
  <c r="CF1072" i="64"/>
  <c r="S1072" i="64"/>
  <c r="BF1072" i="64"/>
  <c r="BR1145" i="64"/>
  <c r="BS1065" i="64"/>
  <c r="E1138" i="64"/>
  <c r="BE1155" i="64"/>
  <c r="BR1155" i="64"/>
  <c r="E1155" i="64"/>
  <c r="R1155" i="64"/>
  <c r="BF1055" i="64"/>
  <c r="S1107" i="64"/>
  <c r="R1180" i="64"/>
  <c r="BR1165" i="64"/>
  <c r="BS1092" i="64"/>
  <c r="AS1090" i="64"/>
  <c r="CF1103" i="64"/>
  <c r="BR1176" i="64"/>
  <c r="AF1072" i="64"/>
  <c r="BS1082" i="64"/>
  <c r="AR1155" i="64"/>
  <c r="J122" i="64"/>
  <c r="M635" i="77"/>
  <c r="K905" i="64"/>
  <c r="M417" i="64"/>
  <c r="K899" i="64"/>
  <c r="M411" i="64"/>
  <c r="K753" i="64"/>
  <c r="H32" i="71" s="1"/>
  <c r="K768" i="64"/>
  <c r="H33" i="71" s="1"/>
  <c r="AL1043" i="64"/>
  <c r="AL1039" i="64"/>
  <c r="AL1040" i="64"/>
  <c r="AL1041" i="64"/>
  <c r="AL1045" i="64"/>
  <c r="AL1044" i="64"/>
  <c r="AL1024" i="64"/>
  <c r="H1024" i="64" s="1"/>
  <c r="H1095" i="64" s="1"/>
  <c r="AL1018" i="64"/>
  <c r="H1018" i="64" s="1"/>
  <c r="H1089" i="64" s="1"/>
  <c r="AL1042" i="64"/>
  <c r="AL1038" i="64"/>
  <c r="AL1037" i="64"/>
  <c r="H1037" i="64" s="1"/>
  <c r="H1108" i="64" s="1"/>
  <c r="AL983" i="64"/>
  <c r="AL999" i="64"/>
  <c r="AL1006" i="64"/>
  <c r="AL1031" i="64"/>
  <c r="H1031" i="64" s="1"/>
  <c r="H1102" i="64" s="1"/>
  <c r="AL1028" i="64"/>
  <c r="AL985" i="64"/>
  <c r="AL1003" i="64"/>
  <c r="AL1004" i="64"/>
  <c r="AL1033" i="64"/>
  <c r="AL1012" i="64"/>
  <c r="AL1020" i="64"/>
  <c r="AL1015" i="64"/>
  <c r="AL1011" i="64"/>
  <c r="AL1005" i="64"/>
  <c r="AL1002" i="64"/>
  <c r="AL998" i="64"/>
  <c r="AL997" i="64"/>
  <c r="AL1014" i="64"/>
  <c r="AL1013" i="64"/>
  <c r="AL995" i="64"/>
  <c r="AL988" i="64"/>
  <c r="AL1032" i="64"/>
  <c r="AL989" i="64"/>
  <c r="AL1025" i="64"/>
  <c r="AL1009" i="64"/>
  <c r="AL1026" i="64"/>
  <c r="AL990" i="64"/>
  <c r="AL994" i="64"/>
  <c r="AL1027" i="64"/>
  <c r="AL984" i="64"/>
  <c r="AL987" i="64"/>
  <c r="AL1001" i="64"/>
  <c r="AL1019" i="64"/>
  <c r="AL1010" i="64"/>
  <c r="AL996" i="64"/>
  <c r="AL1000" i="64"/>
  <c r="G1015" i="64"/>
  <c r="G1086" i="64" s="1"/>
  <c r="G1019" i="64"/>
  <c r="G1090" i="64" s="1"/>
  <c r="G1027" i="64"/>
  <c r="G1098" i="64" s="1"/>
  <c r="G988" i="64"/>
  <c r="G1059" i="64" s="1"/>
  <c r="G995" i="64"/>
  <c r="G1066" i="64" s="1"/>
  <c r="G999" i="64"/>
  <c r="G1070" i="64" s="1"/>
  <c r="G1045" i="64"/>
  <c r="G1116" i="64" s="1"/>
  <c r="G1043" i="64"/>
  <c r="G1114" i="64" s="1"/>
  <c r="AJ814" i="64"/>
  <c r="AW814" i="64"/>
  <c r="AW786" i="64"/>
  <c r="AJ786" i="64"/>
  <c r="AW717" i="64"/>
  <c r="AJ717" i="64"/>
  <c r="AW747" i="64"/>
  <c r="AJ747" i="64"/>
  <c r="AW672" i="64"/>
  <c r="AJ672" i="64"/>
  <c r="K203" i="64"/>
  <c r="K262" i="64"/>
  <c r="K206" i="64"/>
  <c r="J726" i="64"/>
  <c r="K265" i="64"/>
  <c r="K172" i="64"/>
  <c r="J697" i="64"/>
  <c r="J675" i="64"/>
  <c r="AW718" i="64"/>
  <c r="AJ718" i="64"/>
  <c r="AW716" i="64"/>
  <c r="AJ716" i="64"/>
  <c r="AW673" i="64"/>
  <c r="AJ673" i="64"/>
  <c r="AR1140" i="64"/>
  <c r="R1148" i="64"/>
  <c r="BF1116" i="64"/>
  <c r="E1191" i="64"/>
  <c r="AE1175" i="64"/>
  <c r="AE1164" i="64"/>
  <c r="AF1057" i="64"/>
  <c r="E1194" i="64"/>
  <c r="AS1112" i="64"/>
  <c r="R1177" i="64"/>
  <c r="CF1083" i="64"/>
  <c r="BF1056" i="64"/>
  <c r="BF1119" i="64"/>
  <c r="AS1116" i="64"/>
  <c r="BF1102" i="64"/>
  <c r="AS1091" i="64"/>
  <c r="E1185" i="64"/>
  <c r="BS1115" i="64"/>
  <c r="BR1151" i="64"/>
  <c r="R1178" i="64"/>
  <c r="BS1095" i="64"/>
  <c r="BE1181" i="64"/>
  <c r="AR1193" i="64"/>
  <c r="R1162" i="64"/>
  <c r="BR1186" i="64"/>
  <c r="AR1181" i="64"/>
  <c r="AR1143" i="64"/>
  <c r="AS1111" i="64"/>
  <c r="AS1114" i="64"/>
  <c r="BE1167" i="64"/>
  <c r="BR1147" i="64"/>
  <c r="BF1101" i="64"/>
  <c r="BE1152" i="64"/>
  <c r="AE1185" i="64"/>
  <c r="BS1099" i="64"/>
  <c r="BE1147" i="64"/>
  <c r="BR1148" i="64"/>
  <c r="R1187" i="64"/>
  <c r="R1152" i="64"/>
  <c r="BS1078" i="64"/>
  <c r="AR1150" i="64"/>
  <c r="AS1119" i="64"/>
  <c r="E1183" i="64"/>
  <c r="E1188" i="64"/>
  <c r="AS1105" i="64"/>
  <c r="AE1156" i="64"/>
  <c r="BS1117" i="64"/>
  <c r="E1162" i="64"/>
  <c r="AF1095" i="64"/>
  <c r="AF1113" i="64"/>
  <c r="AE1190" i="64"/>
  <c r="R1127" i="64"/>
  <c r="BR1137" i="64"/>
  <c r="AS1057" i="64"/>
  <c r="BR1167" i="64"/>
  <c r="S1077" i="64"/>
  <c r="E1129" i="64"/>
  <c r="BS1112" i="64"/>
  <c r="AF1114" i="64"/>
  <c r="R1172" i="64"/>
  <c r="AR1147" i="64"/>
  <c r="R1143" i="64"/>
  <c r="R1189" i="64"/>
  <c r="BF1110" i="64"/>
  <c r="AS1094" i="64"/>
  <c r="BE1150" i="64"/>
  <c r="AE1148" i="64"/>
  <c r="AF1079" i="64"/>
  <c r="BE1183" i="64"/>
  <c r="E1177" i="64"/>
  <c r="BR1164" i="64"/>
  <c r="AE1182" i="64"/>
  <c r="AE1168" i="64"/>
  <c r="BR1181" i="64"/>
  <c r="BR1190" i="64"/>
  <c r="AR1182" i="64"/>
  <c r="BE1174" i="64"/>
  <c r="AR1174" i="64"/>
  <c r="BE1185" i="64"/>
  <c r="AE1189" i="64"/>
  <c r="BF1105" i="64"/>
  <c r="BS1075" i="64"/>
  <c r="BF1057" i="64"/>
  <c r="BF1112" i="64"/>
  <c r="S1102" i="64"/>
  <c r="BF1077" i="64"/>
  <c r="S1054" i="64"/>
  <c r="AE1192" i="64"/>
  <c r="BR1188" i="64"/>
  <c r="AR1192" i="64"/>
  <c r="AF1104" i="64"/>
  <c r="BF1054" i="64"/>
  <c r="BE1189" i="64"/>
  <c r="AF1110" i="64"/>
  <c r="BR1172" i="64"/>
  <c r="BE1164" i="64"/>
  <c r="BF1120" i="64"/>
  <c r="E1186" i="64"/>
  <c r="R1190" i="64"/>
  <c r="AF1117" i="64"/>
  <c r="E1193" i="64"/>
  <c r="I647" i="64"/>
  <c r="K893" i="64"/>
  <c r="M405" i="64"/>
  <c r="K911" i="64"/>
  <c r="M423" i="64"/>
  <c r="G990" i="64"/>
  <c r="G1061" i="64" s="1"/>
  <c r="G985" i="64"/>
  <c r="G1056" i="64" s="1"/>
  <c r="G1039" i="64"/>
  <c r="G1110" i="64" s="1"/>
  <c r="K901" i="64"/>
  <c r="M413" i="64"/>
  <c r="M406" i="64"/>
  <c r="K894" i="64"/>
  <c r="M422" i="64"/>
  <c r="K910" i="64"/>
  <c r="L369" i="64"/>
  <c r="I642" i="64"/>
  <c r="K897" i="64"/>
  <c r="M409" i="64"/>
  <c r="K890" i="64"/>
  <c r="M402" i="64"/>
  <c r="K746" i="64"/>
  <c r="K550" i="64"/>
  <c r="G1011" i="64"/>
  <c r="G1082" i="64" s="1"/>
  <c r="G1004" i="64"/>
  <c r="G1075" i="64" s="1"/>
  <c r="G1042" i="64"/>
  <c r="G1113" i="64" s="1"/>
  <c r="G1040" i="64"/>
  <c r="G1111" i="64" s="1"/>
  <c r="J610" i="64"/>
  <c r="AW818" i="64"/>
  <c r="AJ818" i="64"/>
  <c r="AJ856" i="64"/>
  <c r="AW796" i="64"/>
  <c r="AJ796" i="64"/>
  <c r="AW816" i="64"/>
  <c r="AJ816" i="64"/>
  <c r="AW749" i="64"/>
  <c r="AJ749" i="64"/>
  <c r="AW722" i="64"/>
  <c r="AJ722" i="64"/>
  <c r="AW715" i="64"/>
  <c r="AJ715" i="64"/>
  <c r="AW723" i="64"/>
  <c r="AJ723" i="64"/>
  <c r="AW679" i="64"/>
  <c r="AW719" i="64"/>
  <c r="AJ719" i="64"/>
  <c r="AW793" i="64"/>
  <c r="AJ793" i="64"/>
  <c r="K260" i="64"/>
  <c r="K201" i="64"/>
  <c r="AW724" i="64"/>
  <c r="AJ724" i="64"/>
  <c r="AW750" i="64"/>
  <c r="AJ750" i="64"/>
  <c r="K261" i="64"/>
  <c r="K202" i="64"/>
  <c r="AJ714" i="64"/>
  <c r="AW714" i="64"/>
  <c r="W737" i="64"/>
  <c r="J707" i="64"/>
  <c r="K186" i="64"/>
  <c r="BR1127" i="64"/>
  <c r="CF1056" i="64"/>
  <c r="BF1114" i="64"/>
  <c r="CF1119" i="64"/>
  <c r="AS1099" i="64"/>
  <c r="BE1143" i="64"/>
  <c r="BR1152" i="64"/>
  <c r="BR1130" i="64"/>
  <c r="AE1151" i="64"/>
  <c r="CF1105" i="64"/>
  <c r="AS1054" i="64"/>
  <c r="AE1174" i="64"/>
  <c r="BS1118" i="64"/>
  <c r="AS1079" i="64"/>
  <c r="BF1099" i="64"/>
  <c r="AF1083" i="64"/>
  <c r="E1187" i="64"/>
  <c r="BE1194" i="64"/>
  <c r="BS1102" i="64"/>
  <c r="BS1074" i="64"/>
  <c r="AE1162" i="64"/>
  <c r="S1113" i="64"/>
  <c r="BS1109" i="64"/>
  <c r="AF1109" i="64"/>
  <c r="AR1162" i="64"/>
  <c r="AF1054" i="64"/>
  <c r="AF1075" i="64"/>
  <c r="BS1111" i="64"/>
  <c r="AF1064" i="64"/>
  <c r="CF1102" i="64"/>
  <c r="E1164" i="64"/>
  <c r="BR1184" i="64"/>
  <c r="BS1064" i="64"/>
  <c r="BF1094" i="64"/>
  <c r="S1104" i="64"/>
  <c r="S1083" i="64"/>
  <c r="R1129" i="64"/>
  <c r="CF1079" i="64"/>
  <c r="BF1111" i="64"/>
  <c r="BR1175" i="64"/>
  <c r="BS1091" i="64"/>
  <c r="BF1079" i="64"/>
  <c r="BS1079" i="64"/>
  <c r="S1078" i="64"/>
  <c r="AS1077" i="64"/>
  <c r="AS1095" i="64"/>
  <c r="AF1108" i="64"/>
  <c r="BS1120" i="64"/>
  <c r="BR1193" i="64"/>
  <c r="BR1168" i="64"/>
  <c r="BF1108" i="64"/>
  <c r="S1070" i="64"/>
  <c r="AF1112" i="64"/>
  <c r="R1184" i="64"/>
  <c r="BF1078" i="64"/>
  <c r="S1074" i="64"/>
  <c r="R1188" i="64"/>
  <c r="BR1187" i="64"/>
  <c r="BE1191" i="64"/>
  <c r="AR1177" i="64"/>
  <c r="R1164" i="64"/>
  <c r="AR1148" i="64"/>
  <c r="S1115" i="64"/>
  <c r="AE1187" i="64"/>
  <c r="AS1078" i="64"/>
  <c r="BR1150" i="64"/>
  <c r="BE1137" i="64"/>
  <c r="CF1116" i="64"/>
  <c r="AR1167" i="64"/>
  <c r="E1178" i="64"/>
  <c r="AR1156" i="64"/>
  <c r="AS1117" i="64"/>
  <c r="S1089" i="64"/>
  <c r="E1168" i="64"/>
  <c r="R1186" i="64"/>
  <c r="AR1190" i="64"/>
  <c r="BR1143" i="64"/>
  <c r="E1130" i="64"/>
  <c r="AE1130" i="64"/>
  <c r="E1167" i="64"/>
  <c r="R1147" i="64"/>
  <c r="AF1101" i="64"/>
  <c r="S1064" i="64"/>
  <c r="BE1130" i="64"/>
  <c r="S1099" i="64"/>
  <c r="E1147" i="64"/>
  <c r="BF1075" i="64"/>
  <c r="AR1194" i="64"/>
  <c r="BS1110" i="64"/>
  <c r="R1167" i="64"/>
  <c r="AE1150" i="64"/>
  <c r="E1148" i="64"/>
  <c r="BE1184" i="64"/>
  <c r="AR1188" i="64"/>
  <c r="BE1177" i="64"/>
  <c r="AR1164" i="64"/>
  <c r="E1182" i="64"/>
  <c r="BE1168" i="64"/>
  <c r="S1108" i="64"/>
  <c r="E1181" i="64"/>
  <c r="BR1182" i="64"/>
  <c r="J570" i="64"/>
  <c r="K906" i="64"/>
  <c r="M418" i="64"/>
  <c r="L346" i="64"/>
  <c r="L332" i="64"/>
  <c r="L379" i="64"/>
  <c r="K530" i="64"/>
  <c r="K900" i="64"/>
  <c r="M412" i="64"/>
  <c r="I627" i="64"/>
  <c r="M414" i="64"/>
  <c r="K902" i="64"/>
  <c r="K778" i="64"/>
  <c r="H34" i="71" s="1"/>
  <c r="L780" i="64"/>
  <c r="L763" i="64"/>
  <c r="L759" i="64"/>
  <c r="L750" i="64"/>
  <c r="L745" i="64"/>
  <c r="L793" i="64"/>
  <c r="L764" i="64"/>
  <c r="L747" i="64"/>
  <c r="K907" i="64"/>
  <c r="L779" i="64"/>
  <c r="L766" i="64"/>
  <c r="L754" i="64"/>
  <c r="L744" i="64"/>
  <c r="L772" i="64"/>
  <c r="L562" i="64"/>
  <c r="L561" i="64"/>
  <c r="L560" i="64"/>
  <c r="L554" i="64"/>
  <c r="L553" i="64"/>
  <c r="L770" i="64"/>
  <c r="M419" i="64"/>
  <c r="L785" i="64"/>
  <c r="L765" i="64"/>
  <c r="L552" i="64"/>
  <c r="L551" i="64"/>
  <c r="L545" i="64"/>
  <c r="L544" i="64"/>
  <c r="L543" i="64"/>
  <c r="L542" i="64"/>
  <c r="L541" i="64"/>
  <c r="L540" i="64"/>
  <c r="L539" i="64"/>
  <c r="L538" i="64"/>
  <c r="L537" i="64"/>
  <c r="L749" i="64"/>
  <c r="L756" i="64"/>
  <c r="L771" i="64"/>
  <c r="L786" i="64"/>
  <c r="L743" i="64"/>
  <c r="L748" i="64"/>
  <c r="L761" i="64"/>
  <c r="L769" i="64"/>
  <c r="L757" i="64"/>
  <c r="L774" i="64"/>
  <c r="L788" i="64"/>
  <c r="L787" i="64"/>
  <c r="L773" i="64"/>
  <c r="L775" i="64"/>
  <c r="L792" i="64"/>
  <c r="L760" i="64"/>
  <c r="L755" i="64"/>
  <c r="L758" i="64"/>
  <c r="L762" i="64"/>
  <c r="K569" i="64"/>
  <c r="G1002" i="64"/>
  <c r="G1073" i="64" s="1"/>
  <c r="G1010" i="64"/>
  <c r="G1081" i="64" s="1"/>
  <c r="G1006" i="64"/>
  <c r="G1077" i="64" s="1"/>
  <c r="G1044" i="64"/>
  <c r="G1115" i="64" s="1"/>
  <c r="AJ857" i="64"/>
  <c r="AW857" i="64"/>
  <c r="AJ743" i="64"/>
  <c r="AW743" i="64"/>
  <c r="AW787" i="64"/>
  <c r="AJ787" i="64"/>
  <c r="AW748" i="64"/>
  <c r="AJ748" i="64"/>
  <c r="AW788" i="64"/>
  <c r="AJ788" i="64"/>
  <c r="AW677" i="64"/>
  <c r="AJ677" i="64"/>
  <c r="K266" i="64"/>
  <c r="K207" i="64"/>
  <c r="AW785" i="64"/>
  <c r="AJ785" i="64"/>
  <c r="AW721" i="64"/>
  <c r="AJ721" i="64"/>
  <c r="J720" i="64"/>
  <c r="K259" i="64"/>
  <c r="K200" i="64"/>
  <c r="AW868" i="64"/>
  <c r="AJ868" i="64"/>
  <c r="AW678" i="64"/>
  <c r="AJ678" i="64"/>
  <c r="CF1101" i="64"/>
  <c r="BF1064" i="64"/>
  <c r="R1191" i="64"/>
  <c r="BR1194" i="64"/>
  <c r="BE1178" i="64"/>
  <c r="AR1129" i="64"/>
  <c r="S1118" i="64"/>
  <c r="CF1064" i="64"/>
  <c r="R1175" i="64"/>
  <c r="R1150" i="64"/>
  <c r="CF1070" i="64"/>
  <c r="S1114" i="64"/>
  <c r="AE1194" i="64"/>
  <c r="E1184" i="64"/>
  <c r="AE1177" i="64"/>
  <c r="AE1143" i="64"/>
  <c r="AS1064" i="64"/>
  <c r="AF1118" i="64"/>
  <c r="E1172" i="64"/>
  <c r="S1091" i="64"/>
  <c r="R1193" i="64"/>
  <c r="AS1113" i="64"/>
  <c r="AS1108" i="64"/>
  <c r="E1190" i="64"/>
  <c r="AF1120" i="64"/>
  <c r="BF1070" i="64"/>
  <c r="E1174" i="64"/>
  <c r="AF1115" i="64"/>
  <c r="R1130" i="64"/>
  <c r="AF1099" i="64"/>
  <c r="S1075" i="64"/>
  <c r="S1110" i="64"/>
  <c r="R1185" i="64"/>
  <c r="E1151" i="64"/>
  <c r="S1105" i="64"/>
  <c r="AE1127" i="64"/>
  <c r="AS1101" i="64"/>
  <c r="AE1137" i="64"/>
  <c r="AR1152" i="64"/>
  <c r="AR1172" i="64"/>
  <c r="BF1083" i="64"/>
  <c r="S1057" i="64"/>
  <c r="BS1057" i="64"/>
  <c r="AS1102" i="64"/>
  <c r="AS1074" i="64"/>
  <c r="AF1089" i="64"/>
  <c r="BF1113" i="64"/>
  <c r="CF1109" i="64"/>
  <c r="BE1182" i="64"/>
  <c r="BS1089" i="64"/>
  <c r="BE1127" i="64"/>
  <c r="AE1129" i="64"/>
  <c r="AE1183" i="64"/>
  <c r="S1112" i="64"/>
  <c r="BE1175" i="64"/>
  <c r="E1156" i="64"/>
  <c r="BR1185" i="64"/>
  <c r="AR1137" i="64"/>
  <c r="AE1167" i="64"/>
  <c r="AR1178" i="64"/>
  <c r="BS1054" i="64"/>
  <c r="BR1129" i="64"/>
  <c r="AR1187" i="64"/>
  <c r="AR1130" i="64"/>
  <c r="E1175" i="64"/>
  <c r="AS1083" i="64"/>
  <c r="AE1191" i="64"/>
  <c r="R1183" i="64"/>
  <c r="R1151" i="64"/>
  <c r="E1150" i="64"/>
  <c r="CF1089" i="64"/>
  <c r="CF1113" i="64"/>
  <c r="AE1193" i="64"/>
  <c r="BE1193" i="64"/>
  <c r="S1095" i="64"/>
  <c r="BS1108" i="64"/>
  <c r="BE1148" i="64"/>
  <c r="AE1184" i="64"/>
  <c r="AR1189" i="64"/>
  <c r="AR1151" i="64"/>
  <c r="BF1091" i="64"/>
  <c r="BS1114" i="64"/>
  <c r="R1192" i="64"/>
  <c r="E1152" i="64"/>
  <c r="CF1104" i="64"/>
  <c r="R1156" i="64"/>
  <c r="BE1129" i="64"/>
  <c r="BR1192" i="64"/>
  <c r="BE1192" i="64"/>
  <c r="CF1078" i="64"/>
  <c r="AF1091" i="64"/>
  <c r="S1119" i="64"/>
  <c r="BF1118" i="64"/>
  <c r="CF1094" i="64"/>
  <c r="BS1105" i="64"/>
  <c r="BF1095" i="64"/>
  <c r="BF1117" i="64"/>
  <c r="AS1089" i="64"/>
  <c r="BE1162" i="64"/>
  <c r="BS1113" i="64"/>
  <c r="R1181" i="64"/>
  <c r="CB1288" i="64"/>
  <c r="AB1214" i="64"/>
  <c r="DO1214" i="64"/>
  <c r="CB1276" i="64"/>
  <c r="AB1202" i="64"/>
  <c r="DO1202" i="64"/>
  <c r="CN1140" i="64"/>
  <c r="A1140" i="64"/>
  <c r="CN1157" i="64"/>
  <c r="A1157" i="64"/>
  <c r="CB1290" i="64"/>
  <c r="AB1216" i="64"/>
  <c r="DO1216" i="64"/>
  <c r="AB1228" i="64"/>
  <c r="CB1302" i="64"/>
  <c r="DO1228" i="64"/>
  <c r="CB1289" i="64"/>
  <c r="AB1215" i="64"/>
  <c r="DO1215" i="64"/>
  <c r="CB1283" i="64"/>
  <c r="AB1209" i="64"/>
  <c r="DO1209" i="64"/>
  <c r="CB1281" i="64"/>
  <c r="AB1207" i="64"/>
  <c r="DO1207" i="64"/>
  <c r="CN1141" i="64"/>
  <c r="A1141" i="64"/>
  <c r="CN1153" i="64"/>
  <c r="A1153" i="64"/>
  <c r="CB1282" i="64"/>
  <c r="AB1208" i="64"/>
  <c r="DO1208" i="64"/>
  <c r="CB1279" i="64"/>
  <c r="AB1205" i="64"/>
  <c r="DO1205" i="64"/>
  <c r="CB1280" i="64"/>
  <c r="AB1206" i="64"/>
  <c r="DO1206" i="64"/>
  <c r="CN1134" i="64"/>
  <c r="A1134" i="64"/>
  <c r="CB1292" i="64"/>
  <c r="AB1218" i="64"/>
  <c r="DO1218" i="64"/>
  <c r="CN1133" i="64"/>
  <c r="A1133" i="64"/>
  <c r="CB1301" i="64"/>
  <c r="AB1227" i="64"/>
  <c r="DO1227" i="64"/>
  <c r="B1323" i="64"/>
  <c r="CO1323" i="64"/>
  <c r="CN1144" i="64"/>
  <c r="A1144" i="64"/>
  <c r="CB1297" i="64"/>
  <c r="AB1223" i="64"/>
  <c r="DO1223" i="64"/>
  <c r="CN1160" i="64"/>
  <c r="A1160" i="64"/>
  <c r="CN1149" i="64"/>
  <c r="A1149" i="64"/>
  <c r="CB1306" i="64"/>
  <c r="AB1232" i="64"/>
  <c r="DO1232" i="64"/>
  <c r="CN1146" i="64"/>
  <c r="A1146" i="64"/>
  <c r="AB1212" i="64"/>
  <c r="CB1286" i="64"/>
  <c r="DO1212" i="64"/>
  <c r="CN1131" i="64"/>
  <c r="A1131" i="64"/>
  <c r="CN1135" i="64"/>
  <c r="A1135" i="64"/>
  <c r="CB1305" i="64"/>
  <c r="AB1231" i="64"/>
  <c r="DO1231" i="64"/>
  <c r="CB1308" i="64"/>
  <c r="AB1234" i="64"/>
  <c r="DO1234" i="64"/>
  <c r="CB1293" i="64"/>
  <c r="AB1219" i="64"/>
  <c r="DO1219" i="64"/>
  <c r="CN1128" i="64"/>
  <c r="A1128" i="64"/>
  <c r="CB1294" i="64"/>
  <c r="AB1220" i="64"/>
  <c r="DO1220" i="64"/>
  <c r="CN1145" i="64"/>
  <c r="A1145" i="64"/>
  <c r="CN1138" i="64"/>
  <c r="A1138" i="64"/>
  <c r="B1275" i="64"/>
  <c r="CO1275" i="64"/>
  <c r="CN1142" i="64"/>
  <c r="A1142" i="64"/>
  <c r="CN1154" i="64"/>
  <c r="A1154" i="64"/>
  <c r="CN1132" i="64"/>
  <c r="A1132" i="64"/>
  <c r="CN1158" i="64"/>
  <c r="A1158" i="64"/>
  <c r="I42" i="73"/>
  <c r="G616" i="73"/>
  <c r="G615" i="73"/>
  <c r="G50" i="73"/>
  <c r="E33" i="9" s="1"/>
  <c r="D50" i="10" s="1"/>
  <c r="H319" i="77"/>
  <c r="J41" i="73"/>
  <c r="K12" i="73" s="1"/>
  <c r="H25" i="85"/>
  <c r="G239" i="85"/>
  <c r="H337" i="77" s="1"/>
  <c r="I604" i="73"/>
  <c r="I590" i="73"/>
  <c r="I596" i="73" s="1"/>
  <c r="J681" i="77" s="1"/>
  <c r="H604" i="73"/>
  <c r="H590" i="73"/>
  <c r="H596" i="73" s="1"/>
  <c r="I681" i="77" s="1"/>
  <c r="C44" i="80"/>
  <c r="C40" i="10"/>
  <c r="H603" i="73"/>
  <c r="H591" i="73"/>
  <c r="H597" i="73" s="1"/>
  <c r="J310" i="73"/>
  <c r="J325" i="73" s="1"/>
  <c r="L89" i="85"/>
  <c r="L107" i="85" s="1"/>
  <c r="L108" i="85" s="1"/>
  <c r="K108" i="85"/>
  <c r="J118" i="85"/>
  <c r="J134" i="85" s="1"/>
  <c r="I326" i="73"/>
  <c r="AI808" i="64" l="1"/>
  <c r="AJ865" i="64"/>
  <c r="AJ860" i="64"/>
  <c r="X717" i="64"/>
  <c r="X787" i="64"/>
  <c r="K128" i="8"/>
  <c r="K139" i="8" s="1"/>
  <c r="K147" i="8" s="1"/>
  <c r="K155" i="8" s="1"/>
  <c r="K166" i="8" s="1"/>
  <c r="K172" i="8" s="1"/>
  <c r="K122" i="8"/>
  <c r="M6" i="8"/>
  <c r="L10" i="8"/>
  <c r="L58" i="8" s="1"/>
  <c r="L91" i="8" s="1"/>
  <c r="L115" i="8" s="1"/>
  <c r="J572" i="74"/>
  <c r="J562" i="74"/>
  <c r="J564" i="74"/>
  <c r="J571" i="74"/>
  <c r="J237" i="74"/>
  <c r="J236" i="74"/>
  <c r="J235" i="74"/>
  <c r="J234" i="74"/>
  <c r="J240" i="74"/>
  <c r="J121" i="64"/>
  <c r="AJ866" i="64"/>
  <c r="L1210" i="64"/>
  <c r="Y1210" i="64" s="1"/>
  <c r="E1210" i="64"/>
  <c r="R1210" i="64" s="1"/>
  <c r="H1210" i="64"/>
  <c r="U1210" i="64" s="1"/>
  <c r="J1210" i="64"/>
  <c r="W1210" i="64" s="1"/>
  <c r="D1210" i="64"/>
  <c r="Q1210" i="64" s="1"/>
  <c r="N1210" i="64"/>
  <c r="AA1210" i="64" s="1"/>
  <c r="K1210" i="64"/>
  <c r="X1210" i="64" s="1"/>
  <c r="F1210" i="64"/>
  <c r="S1210" i="64" s="1"/>
  <c r="G1210" i="64"/>
  <c r="T1210" i="64" s="1"/>
  <c r="C1210" i="64"/>
  <c r="P1210" i="64" s="1"/>
  <c r="I1210" i="64"/>
  <c r="V1210" i="64" s="1"/>
  <c r="DB1210" i="64"/>
  <c r="M1210" i="64"/>
  <c r="Z1210" i="64" s="1"/>
  <c r="DB1063" i="64"/>
  <c r="DE1063" i="64" s="1"/>
  <c r="CQ1136" i="64" s="1"/>
  <c r="CA1136" i="64"/>
  <c r="H996" i="64"/>
  <c r="H1067" i="64" s="1"/>
  <c r="H1002" i="64"/>
  <c r="H1073" i="64" s="1"/>
  <c r="H1038" i="64"/>
  <c r="H1109" i="64" s="1"/>
  <c r="L208" i="64"/>
  <c r="L877" i="64"/>
  <c r="L639" i="64"/>
  <c r="X748" i="64"/>
  <c r="X747" i="64"/>
  <c r="C50" i="10"/>
  <c r="X814" i="64"/>
  <c r="K638" i="64"/>
  <c r="L640" i="64"/>
  <c r="M873" i="64"/>
  <c r="M876" i="64"/>
  <c r="M872" i="64"/>
  <c r="M871" i="64"/>
  <c r="M874" i="64"/>
  <c r="M870" i="64"/>
  <c r="M869" i="64"/>
  <c r="L806" i="64"/>
  <c r="X749" i="64"/>
  <c r="K735" i="64"/>
  <c r="M799" i="64"/>
  <c r="M800" i="64"/>
  <c r="M798" i="64"/>
  <c r="M803" i="64"/>
  <c r="M802" i="64"/>
  <c r="M805" i="64"/>
  <c r="M801" i="64"/>
  <c r="X816" i="64"/>
  <c r="J232" i="73"/>
  <c r="J460" i="73" s="1"/>
  <c r="L734" i="64"/>
  <c r="L729" i="64"/>
  <c r="L728" i="64"/>
  <c r="L727" i="64"/>
  <c r="L731" i="64"/>
  <c r="L732" i="64"/>
  <c r="L730" i="64"/>
  <c r="X1034" i="64"/>
  <c r="L31" i="71"/>
  <c r="CA1155" i="64"/>
  <c r="DB1082" i="64"/>
  <c r="DE1082" i="64" s="1"/>
  <c r="CQ1155" i="64" s="1"/>
  <c r="DB1066" i="64"/>
  <c r="DE1066" i="64" s="1"/>
  <c r="CQ1139" i="64" s="1"/>
  <c r="CA1139" i="64"/>
  <c r="H1033" i="64"/>
  <c r="H1104" i="64" s="1"/>
  <c r="H50" i="73"/>
  <c r="G10" i="74"/>
  <c r="G11" i="74" s="1"/>
  <c r="D1213" i="64"/>
  <c r="Q1213" i="64" s="1"/>
  <c r="F1213" i="64"/>
  <c r="S1213" i="64" s="1"/>
  <c r="G1213" i="64"/>
  <c r="T1213" i="64" s="1"/>
  <c r="C1213" i="64"/>
  <c r="P1213" i="64" s="1"/>
  <c r="DB1213" i="64"/>
  <c r="E1213" i="64"/>
  <c r="R1213" i="64" s="1"/>
  <c r="H31" i="71"/>
  <c r="H391" i="40"/>
  <c r="H401" i="40"/>
  <c r="H409" i="40"/>
  <c r="H418" i="40"/>
  <c r="H387" i="40"/>
  <c r="H392" i="40"/>
  <c r="H402" i="40"/>
  <c r="H410" i="40"/>
  <c r="H434" i="40"/>
  <c r="H394" i="40"/>
  <c r="H403" i="40"/>
  <c r="H411" i="40"/>
  <c r="H396" i="40"/>
  <c r="H404" i="40"/>
  <c r="H407" i="40"/>
  <c r="H400" i="40"/>
  <c r="H435" i="40"/>
  <c r="H405" i="40"/>
  <c r="H398" i="40"/>
  <c r="H436" i="40"/>
  <c r="H438" i="40"/>
  <c r="H440" i="40"/>
  <c r="H437" i="40"/>
  <c r="H399" i="40"/>
  <c r="H408" i="40"/>
  <c r="H417" i="40"/>
  <c r="H430" i="40"/>
  <c r="H432" i="40"/>
  <c r="H431" i="40"/>
  <c r="H439" i="40"/>
  <c r="H433" i="40"/>
  <c r="H397" i="40"/>
  <c r="H406" i="40"/>
  <c r="H441" i="40"/>
  <c r="G1229" i="64"/>
  <c r="T1229" i="64" s="1"/>
  <c r="C1229" i="64"/>
  <c r="P1229" i="64" s="1"/>
  <c r="D1229" i="64"/>
  <c r="Q1229" i="64" s="1"/>
  <c r="E1229" i="64"/>
  <c r="R1229" i="64" s="1"/>
  <c r="DB1229" i="64"/>
  <c r="F1229" i="64"/>
  <c r="S1229" i="64" s="1"/>
  <c r="M794" i="64"/>
  <c r="AM1034" i="64"/>
  <c r="I1034" i="64" s="1"/>
  <c r="I1105" i="64" s="1"/>
  <c r="H615" i="73"/>
  <c r="H616" i="73"/>
  <c r="L723" i="64"/>
  <c r="M267" i="64" s="1"/>
  <c r="L2113" i="79"/>
  <c r="L2402" i="79" s="1"/>
  <c r="L2285" i="79"/>
  <c r="M283" i="64"/>
  <c r="M251" i="64"/>
  <c r="N342" i="64"/>
  <c r="M865" i="64"/>
  <c r="X786" i="64"/>
  <c r="AX786" i="64" s="1"/>
  <c r="X793" i="64"/>
  <c r="X721" i="64"/>
  <c r="AK721" i="64" s="1"/>
  <c r="AW794" i="64"/>
  <c r="H984" i="64"/>
  <c r="H1055" i="64" s="1"/>
  <c r="H1026" i="64"/>
  <c r="H1097" i="64" s="1"/>
  <c r="AW821" i="64"/>
  <c r="AW864" i="64"/>
  <c r="AJ819" i="64"/>
  <c r="AW789" i="64"/>
  <c r="AW867" i="64"/>
  <c r="AJ861" i="64"/>
  <c r="M290" i="64"/>
  <c r="AJ792" i="64"/>
  <c r="AJ808" i="64" s="1"/>
  <c r="J386" i="77"/>
  <c r="L797" i="64"/>
  <c r="I466" i="73"/>
  <c r="J253" i="77" s="1"/>
  <c r="J277" i="77" s="1"/>
  <c r="F14" i="74"/>
  <c r="F12" i="74" s="1"/>
  <c r="E677" i="74"/>
  <c r="AJ815" i="64"/>
  <c r="S440" i="40"/>
  <c r="S438" i="40"/>
  <c r="S409" i="40"/>
  <c r="S441" i="40"/>
  <c r="S398" i="40"/>
  <c r="S403" i="40"/>
  <c r="S437" i="40"/>
  <c r="S432" i="40"/>
  <c r="S392" i="40"/>
  <c r="S433" i="40"/>
  <c r="S396" i="40"/>
  <c r="S417" i="40"/>
  <c r="N2098" i="79"/>
  <c r="N2082" i="79"/>
  <c r="N2401" i="79" s="1"/>
  <c r="S434" i="40"/>
  <c r="S430" i="40"/>
  <c r="S387" i="40"/>
  <c r="S399" i="40"/>
  <c r="AV879" i="64"/>
  <c r="AV882" i="64" s="1"/>
  <c r="S407" i="40"/>
  <c r="S394" i="40"/>
  <c r="S400" i="40"/>
  <c r="G121" i="73"/>
  <c r="F464" i="73" s="1"/>
  <c r="I118" i="9"/>
  <c r="I133" i="9" s="1"/>
  <c r="J37" i="9"/>
  <c r="J66" i="9"/>
  <c r="J81" i="9" s="1"/>
  <c r="J96" i="9" s="1"/>
  <c r="J107" i="9" s="1"/>
  <c r="L5" i="9"/>
  <c r="K7" i="9"/>
  <c r="K22" i="9" s="1"/>
  <c r="K52" i="9" s="1"/>
  <c r="K30" i="80"/>
  <c r="K29" i="10"/>
  <c r="K134" i="83"/>
  <c r="K166" i="83" s="1"/>
  <c r="M135" i="8"/>
  <c r="I150" i="83"/>
  <c r="J135" i="83"/>
  <c r="J31" i="80"/>
  <c r="J30" i="10"/>
  <c r="L137" i="8"/>
  <c r="K108" i="83"/>
  <c r="K24" i="80"/>
  <c r="M111" i="8"/>
  <c r="K24" i="10"/>
  <c r="J36" i="80"/>
  <c r="J143" i="83"/>
  <c r="J144" i="83"/>
  <c r="J37" i="80"/>
  <c r="J34" i="10"/>
  <c r="L161" i="8"/>
  <c r="J79" i="83"/>
  <c r="L93" i="8"/>
  <c r="K95" i="8"/>
  <c r="L159" i="8"/>
  <c r="M156" i="8"/>
  <c r="L33" i="10" s="1"/>
  <c r="J23" i="80"/>
  <c r="J23" i="10"/>
  <c r="J107" i="83"/>
  <c r="J160" i="83" s="1"/>
  <c r="L110" i="8"/>
  <c r="J25" i="10"/>
  <c r="J111" i="83"/>
  <c r="J162" i="83" s="1"/>
  <c r="J25" i="80"/>
  <c r="L112" i="8"/>
  <c r="J148" i="83"/>
  <c r="K177" i="8"/>
  <c r="J41" i="80"/>
  <c r="J38" i="10"/>
  <c r="L170" i="8"/>
  <c r="I160" i="83"/>
  <c r="J145" i="83"/>
  <c r="J38" i="80"/>
  <c r="L162" i="8"/>
  <c r="J35" i="10"/>
  <c r="K231" i="73"/>
  <c r="L213" i="73" s="1"/>
  <c r="W879" i="64"/>
  <c r="P642" i="77" s="1"/>
  <c r="J123" i="64"/>
  <c r="AJ863" i="64"/>
  <c r="M642" i="77"/>
  <c r="M600" i="77" s="1"/>
  <c r="H28" i="85"/>
  <c r="I10" i="85" s="1"/>
  <c r="L2286" i="79"/>
  <c r="L1230" i="79"/>
  <c r="L1298" i="79" s="1"/>
  <c r="L2140" i="79"/>
  <c r="L1223" i="79"/>
  <c r="L1291" i="79" s="1"/>
  <c r="L2142" i="79"/>
  <c r="L1225" i="79"/>
  <c r="L1293" i="79" s="1"/>
  <c r="N385" i="64"/>
  <c r="AI879" i="64"/>
  <c r="J388" i="77" s="1"/>
  <c r="AJ859" i="64"/>
  <c r="H990" i="64"/>
  <c r="H1061" i="64" s="1"/>
  <c r="AJ744" i="64"/>
  <c r="AW795" i="64"/>
  <c r="W808" i="64"/>
  <c r="K122" i="64" s="1"/>
  <c r="H987" i="64"/>
  <c r="H1058" i="64" s="1"/>
  <c r="H989" i="64"/>
  <c r="H1060" i="64" s="1"/>
  <c r="H1020" i="64"/>
  <c r="H1091" i="64" s="1"/>
  <c r="H1041" i="64"/>
  <c r="H1112" i="64" s="1"/>
  <c r="CP1094" i="64"/>
  <c r="H1042" i="64"/>
  <c r="H1113" i="64" s="1"/>
  <c r="H994" i="64"/>
  <c r="H1065" i="64" s="1"/>
  <c r="H1025" i="64"/>
  <c r="H1096" i="64" s="1"/>
  <c r="H1013" i="64"/>
  <c r="H1084" i="64" s="1"/>
  <c r="H1006" i="64"/>
  <c r="H1077" i="64" s="1"/>
  <c r="H1009" i="64"/>
  <c r="H1080" i="64" s="1"/>
  <c r="H998" i="64"/>
  <c r="H1069" i="64" s="1"/>
  <c r="CB1191" i="64"/>
  <c r="CP1112" i="64"/>
  <c r="H1012" i="64"/>
  <c r="H1083" i="64" s="1"/>
  <c r="H1019" i="64"/>
  <c r="H1090" i="64" s="1"/>
  <c r="H1027" i="64"/>
  <c r="H1098" i="64" s="1"/>
  <c r="H1028" i="64"/>
  <c r="H1099" i="64" s="1"/>
  <c r="CB1136" i="64"/>
  <c r="CP1116" i="64"/>
  <c r="L1392" i="79"/>
  <c r="H1000" i="64"/>
  <c r="H1071" i="64" s="1"/>
  <c r="CQ1083" i="64"/>
  <c r="CQ1120" i="64"/>
  <c r="L1390" i="79"/>
  <c r="L817" i="64"/>
  <c r="CQ1060" i="64"/>
  <c r="CP1085" i="64"/>
  <c r="CR1085" i="64"/>
  <c r="CD1146" i="64"/>
  <c r="CR1069" i="64"/>
  <c r="CD1147" i="64"/>
  <c r="J627" i="64"/>
  <c r="J630" i="64" s="1"/>
  <c r="CP1117" i="64"/>
  <c r="CP1114" i="64"/>
  <c r="CD1156" i="64"/>
  <c r="CP1120" i="64"/>
  <c r="CB1156" i="64"/>
  <c r="CD1186" i="64"/>
  <c r="CS1112" i="64"/>
  <c r="CR1074" i="64"/>
  <c r="I1257" i="64"/>
  <c r="V1257" i="64" s="1"/>
  <c r="I1258" i="64"/>
  <c r="V1258" i="64" s="1"/>
  <c r="I1261" i="64"/>
  <c r="V1261" i="64" s="1"/>
  <c r="I1262" i="64"/>
  <c r="V1262" i="64" s="1"/>
  <c r="I1259" i="64"/>
  <c r="V1259" i="64" s="1"/>
  <c r="I1263" i="64"/>
  <c r="V1263" i="64" s="1"/>
  <c r="I1256" i="64"/>
  <c r="V1256" i="64" s="1"/>
  <c r="I1255" i="64"/>
  <c r="V1255" i="64" s="1"/>
  <c r="I1242" i="64"/>
  <c r="V1242" i="64" s="1"/>
  <c r="I1236" i="64"/>
  <c r="V1236" i="64" s="1"/>
  <c r="I1260" i="64"/>
  <c r="V1260" i="64" s="1"/>
  <c r="I1201" i="64"/>
  <c r="V1201" i="64" s="1"/>
  <c r="I1249" i="64"/>
  <c r="V1249" i="64" s="1"/>
  <c r="I1227" i="64"/>
  <c r="V1227" i="64" s="1"/>
  <c r="I1207" i="64"/>
  <c r="V1207" i="64" s="1"/>
  <c r="I1232" i="64"/>
  <c r="V1232" i="64" s="1"/>
  <c r="I1205" i="64"/>
  <c r="V1205" i="64" s="1"/>
  <c r="I1219" i="64"/>
  <c r="V1219" i="64" s="1"/>
  <c r="I1215" i="64"/>
  <c r="V1215" i="64" s="1"/>
  <c r="I1212" i="64"/>
  <c r="V1212" i="64" s="1"/>
  <c r="I1220" i="64"/>
  <c r="V1220" i="64" s="1"/>
  <c r="I1213" i="64"/>
  <c r="V1213" i="64" s="1"/>
  <c r="I1231" i="64"/>
  <c r="V1231" i="64" s="1"/>
  <c r="I1214" i="64"/>
  <c r="V1214" i="64" s="1"/>
  <c r="I1218" i="64"/>
  <c r="V1218" i="64" s="1"/>
  <c r="I1229" i="64"/>
  <c r="V1229" i="64" s="1"/>
  <c r="I1206" i="64"/>
  <c r="V1206" i="64" s="1"/>
  <c r="I1208" i="64"/>
  <c r="V1208" i="64" s="1"/>
  <c r="I1228" i="64"/>
  <c r="V1228" i="64" s="1"/>
  <c r="I1223" i="64"/>
  <c r="V1223" i="64" s="1"/>
  <c r="I1216" i="64"/>
  <c r="V1216" i="64" s="1"/>
  <c r="I1202" i="64"/>
  <c r="V1202" i="64" s="1"/>
  <c r="I1224" i="64"/>
  <c r="V1224" i="64" s="1"/>
  <c r="M275" i="64"/>
  <c r="L862" i="64"/>
  <c r="M243" i="64"/>
  <c r="M250" i="64"/>
  <c r="M282" i="64"/>
  <c r="M229" i="64"/>
  <c r="L849" i="64"/>
  <c r="M215" i="64"/>
  <c r="L839" i="64"/>
  <c r="L587" i="64"/>
  <c r="K607" i="64"/>
  <c r="I1222" i="64"/>
  <c r="V1222" i="64" s="1"/>
  <c r="I1238" i="64"/>
  <c r="V1238" i="64" s="1"/>
  <c r="K629" i="64"/>
  <c r="L36" i="71"/>
  <c r="M249" i="64"/>
  <c r="M281" i="64"/>
  <c r="L868" i="64"/>
  <c r="L606" i="64"/>
  <c r="M577" i="64"/>
  <c r="M575" i="64"/>
  <c r="M576" i="64"/>
  <c r="M589" i="64"/>
  <c r="M578" i="64"/>
  <c r="M580" i="64"/>
  <c r="M591" i="64"/>
  <c r="M574" i="64"/>
  <c r="M590" i="64"/>
  <c r="M579" i="64"/>
  <c r="M581" i="64"/>
  <c r="M814" i="64"/>
  <c r="M597" i="64"/>
  <c r="M588" i="64"/>
  <c r="M598" i="64"/>
  <c r="M582" i="64"/>
  <c r="M599" i="64"/>
  <c r="M821" i="64"/>
  <c r="M818" i="64"/>
  <c r="M842" i="64"/>
  <c r="N231" i="64" s="1"/>
  <c r="M840" i="64"/>
  <c r="M845" i="64"/>
  <c r="N234" i="64" s="1"/>
  <c r="M833" i="64"/>
  <c r="N223" i="64" s="1"/>
  <c r="M820" i="64"/>
  <c r="M831" i="64"/>
  <c r="N221" i="64" s="1"/>
  <c r="M829" i="64"/>
  <c r="N219" i="64" s="1"/>
  <c r="M836" i="64"/>
  <c r="N226" i="64" s="1"/>
  <c r="M819" i="64"/>
  <c r="M825" i="64"/>
  <c r="M841" i="64"/>
  <c r="N230" i="64" s="1"/>
  <c r="M828" i="64"/>
  <c r="N218" i="64" s="1"/>
  <c r="M844" i="64"/>
  <c r="N233" i="64" s="1"/>
  <c r="M827" i="64"/>
  <c r="N217" i="64" s="1"/>
  <c r="M832" i="64"/>
  <c r="N222" i="64" s="1"/>
  <c r="M826" i="64"/>
  <c r="N216" i="64" s="1"/>
  <c r="M815" i="64"/>
  <c r="M843" i="64"/>
  <c r="N232" i="64" s="1"/>
  <c r="M816" i="64"/>
  <c r="M834" i="64"/>
  <c r="N224" i="64" s="1"/>
  <c r="M851" i="64"/>
  <c r="N239" i="64" s="1"/>
  <c r="M837" i="64"/>
  <c r="N227" i="64" s="1"/>
  <c r="M835" i="64"/>
  <c r="N225" i="64" s="1"/>
  <c r="M846" i="64"/>
  <c r="N235" i="64" s="1"/>
  <c r="M830" i="64"/>
  <c r="N220" i="64" s="1"/>
  <c r="M864" i="64"/>
  <c r="M863" i="64"/>
  <c r="M858" i="64"/>
  <c r="M856" i="64"/>
  <c r="M859" i="64"/>
  <c r="M857" i="64"/>
  <c r="M850" i="64"/>
  <c r="I1230" i="64"/>
  <c r="V1230" i="64" s="1"/>
  <c r="M246" i="64"/>
  <c r="M278" i="64"/>
  <c r="M277" i="64"/>
  <c r="M245" i="64"/>
  <c r="I1203" i="64"/>
  <c r="V1203" i="64" s="1"/>
  <c r="I1221" i="64"/>
  <c r="V1221" i="64" s="1"/>
  <c r="M238" i="64"/>
  <c r="L855" i="64"/>
  <c r="M244" i="64"/>
  <c r="M276" i="64"/>
  <c r="L824" i="64"/>
  <c r="L38" i="71"/>
  <c r="I680" i="77"/>
  <c r="CB1157" i="64"/>
  <c r="S436" i="40"/>
  <c r="S439" i="40"/>
  <c r="S405" i="40"/>
  <c r="S391" i="40"/>
  <c r="S397" i="40"/>
  <c r="S401" i="40"/>
  <c r="L1394" i="79"/>
  <c r="S402" i="40"/>
  <c r="CR1056" i="64"/>
  <c r="CQ1070" i="64"/>
  <c r="CC1132" i="64"/>
  <c r="CB1147" i="64"/>
  <c r="CP1077" i="64"/>
  <c r="CD1189" i="64"/>
  <c r="CC1143" i="64"/>
  <c r="S408" i="40"/>
  <c r="CP1090" i="64"/>
  <c r="S418" i="40"/>
  <c r="M629" i="79"/>
  <c r="S404" i="40"/>
  <c r="S410" i="40"/>
  <c r="S431" i="40"/>
  <c r="I349" i="73"/>
  <c r="I554" i="73" s="1"/>
  <c r="I555" i="73" s="1"/>
  <c r="J568" i="74"/>
  <c r="S406" i="40"/>
  <c r="S411" i="40"/>
  <c r="I232" i="73"/>
  <c r="I460" i="73" s="1"/>
  <c r="M383" i="77"/>
  <c r="M455" i="77"/>
  <c r="M318" i="77"/>
  <c r="M353" i="77"/>
  <c r="M138" i="77"/>
  <c r="M252" i="77"/>
  <c r="J242" i="74"/>
  <c r="CQ1114" i="64"/>
  <c r="CC1153" i="64"/>
  <c r="L589" i="79"/>
  <c r="CB1188" i="64"/>
  <c r="CD1164" i="64"/>
  <c r="CC1128" i="64"/>
  <c r="L632" i="79"/>
  <c r="BL220" i="65"/>
  <c r="X856" i="64" s="1"/>
  <c r="AX856" i="64" s="1"/>
  <c r="BL223" i="65"/>
  <c r="X859" i="64" s="1"/>
  <c r="AX859" i="64" s="1"/>
  <c r="BL222" i="65"/>
  <c r="X858" i="64" s="1"/>
  <c r="AX858" i="64" s="1"/>
  <c r="BL225" i="65"/>
  <c r="X861" i="64" s="1"/>
  <c r="AX861" i="64" s="1"/>
  <c r="BL229" i="65"/>
  <c r="X865" i="64" s="1"/>
  <c r="AK865" i="64" s="1"/>
  <c r="BL221" i="65"/>
  <c r="X857" i="64" s="1"/>
  <c r="AX857" i="64" s="1"/>
  <c r="BL231" i="65"/>
  <c r="X867" i="64" s="1"/>
  <c r="AX867" i="64" s="1"/>
  <c r="BL227" i="65"/>
  <c r="X863" i="64" s="1"/>
  <c r="AK863" i="64" s="1"/>
  <c r="BL230" i="65"/>
  <c r="X866" i="64" s="1"/>
  <c r="AX866" i="64" s="1"/>
  <c r="BL228" i="65"/>
  <c r="X864" i="64" s="1"/>
  <c r="AX864" i="64" s="1"/>
  <c r="BL226" i="65"/>
  <c r="BL224" i="65"/>
  <c r="X860" i="64" s="1"/>
  <c r="AK860" i="64" s="1"/>
  <c r="K110" i="85"/>
  <c r="K111" i="85" s="1"/>
  <c r="K90" i="85"/>
  <c r="L2292" i="79"/>
  <c r="L2293" i="79" s="1"/>
  <c r="L2294" i="79" s="1"/>
  <c r="M1389" i="79"/>
  <c r="M562" i="79"/>
  <c r="F1274" i="64"/>
  <c r="AS1200" i="64"/>
  <c r="N743" i="79"/>
  <c r="N744" i="79"/>
  <c r="N602" i="79"/>
  <c r="N604" i="79"/>
  <c r="N603" i="79"/>
  <c r="K1407" i="64"/>
  <c r="N699" i="79" s="1"/>
  <c r="N2273" i="79"/>
  <c r="N2272" i="79" s="1"/>
  <c r="N560" i="79"/>
  <c r="N559" i="79"/>
  <c r="N564" i="79"/>
  <c r="N561" i="79"/>
  <c r="N759" i="79"/>
  <c r="N760" i="79"/>
  <c r="J244" i="74"/>
  <c r="J243" i="74"/>
  <c r="L137" i="77"/>
  <c r="K599" i="73"/>
  <c r="K605" i="73" s="1"/>
  <c r="K576" i="73"/>
  <c r="K600" i="73"/>
  <c r="K587" i="73"/>
  <c r="K593" i="73" s="1"/>
  <c r="M1395" i="79"/>
  <c r="M586" i="79"/>
  <c r="M570" i="79"/>
  <c r="C1217" i="64"/>
  <c r="P1217" i="64" s="1"/>
  <c r="D1217" i="64"/>
  <c r="Q1217" i="64" s="1"/>
  <c r="I1217" i="64"/>
  <c r="V1217" i="64" s="1"/>
  <c r="F1217" i="64"/>
  <c r="S1217" i="64" s="1"/>
  <c r="DB1217" i="64"/>
  <c r="G1217" i="64"/>
  <c r="T1217" i="64" s="1"/>
  <c r="E1217" i="64"/>
  <c r="R1217" i="64" s="1"/>
  <c r="H1217" i="64"/>
  <c r="U1217" i="64" s="1"/>
  <c r="AK451" i="79"/>
  <c r="AK246" i="79"/>
  <c r="AK6" i="79"/>
  <c r="AK492" i="79"/>
  <c r="AK369" i="79"/>
  <c r="AK328" i="79"/>
  <c r="AK123" i="79"/>
  <c r="AK82" i="79"/>
  <c r="AK205" i="79"/>
  <c r="AK287" i="79"/>
  <c r="AK410" i="79"/>
  <c r="BM213" i="65"/>
  <c r="Y724" i="64" s="1"/>
  <c r="BM207" i="65"/>
  <c r="Y789" i="64" s="1"/>
  <c r="BM203" i="65"/>
  <c r="Y785" i="64" s="1"/>
  <c r="BM208" i="65"/>
  <c r="Y719" i="64" s="1"/>
  <c r="BM210" i="65"/>
  <c r="Y792" i="64" s="1"/>
  <c r="BM214" i="65"/>
  <c r="BM212" i="65"/>
  <c r="Y794" i="64" s="1"/>
  <c r="BM204" i="65"/>
  <c r="Y715" i="64" s="1"/>
  <c r="BM206" i="65"/>
  <c r="Y717" i="64" s="1"/>
  <c r="BM205" i="65"/>
  <c r="Y787" i="64" s="1"/>
  <c r="BM209" i="65"/>
  <c r="BM211" i="65"/>
  <c r="Y793" i="64" s="1"/>
  <c r="CO17" i="65"/>
  <c r="CO19" i="65"/>
  <c r="CO21" i="65"/>
  <c r="CO16" i="65"/>
  <c r="CO12" i="65"/>
  <c r="CO15" i="65"/>
  <c r="CO11" i="65"/>
  <c r="CO14" i="65"/>
  <c r="CO219" i="65"/>
  <c r="CO10" i="65"/>
  <c r="CO18" i="65"/>
  <c r="CO22" i="65"/>
  <c r="CO23" i="65"/>
  <c r="CO24" i="65"/>
  <c r="CO25" i="65"/>
  <c r="CO26" i="65"/>
  <c r="AM982" i="64"/>
  <c r="X982" i="64"/>
  <c r="I982" i="64"/>
  <c r="K683" i="74"/>
  <c r="K550" i="74"/>
  <c r="K701" i="74" s="1"/>
  <c r="K539" i="74"/>
  <c r="K700" i="74" s="1"/>
  <c r="K528" i="74"/>
  <c r="K699" i="74" s="1"/>
  <c r="K517" i="74"/>
  <c r="K698" i="74" s="1"/>
  <c r="K552" i="74"/>
  <c r="K544" i="74"/>
  <c r="K506" i="74"/>
  <c r="K697" i="74" s="1"/>
  <c r="K495" i="74"/>
  <c r="K696" i="74" s="1"/>
  <c r="K484" i="74"/>
  <c r="K695" i="74" s="1"/>
  <c r="K473" i="74"/>
  <c r="K694" i="74" s="1"/>
  <c r="K462" i="74"/>
  <c r="K693" i="74" s="1"/>
  <c r="K451" i="74"/>
  <c r="K692" i="74" s="1"/>
  <c r="K440" i="74"/>
  <c r="K691" i="74" s="1"/>
  <c r="K429" i="74"/>
  <c r="K690" i="74" s="1"/>
  <c r="K418" i="74"/>
  <c r="K689" i="74" s="1"/>
  <c r="K555" i="74"/>
  <c r="K519" i="74"/>
  <c r="K511" i="74"/>
  <c r="K508" i="74"/>
  <c r="K530" i="74"/>
  <c r="K522" i="74"/>
  <c r="K497" i="74"/>
  <c r="K489" i="74"/>
  <c r="K453" i="74"/>
  <c r="K445" i="74"/>
  <c r="K423" i="74"/>
  <c r="K412" i="74"/>
  <c r="K409" i="74"/>
  <c r="K401" i="74"/>
  <c r="K398" i="74"/>
  <c r="K390" i="74"/>
  <c r="K387" i="74"/>
  <c r="K563" i="74" s="1"/>
  <c r="K379" i="74"/>
  <c r="K376" i="74"/>
  <c r="K368" i="74"/>
  <c r="K365" i="74"/>
  <c r="K109" i="74"/>
  <c r="K19" i="74"/>
  <c r="K541" i="74"/>
  <c r="K533" i="74"/>
  <c r="K464" i="74"/>
  <c r="K570" i="74" s="1"/>
  <c r="K456" i="74"/>
  <c r="K407" i="74"/>
  <c r="K688" i="74" s="1"/>
  <c r="K396" i="74"/>
  <c r="K687" i="74" s="1"/>
  <c r="K385" i="74"/>
  <c r="K686" i="74" s="1"/>
  <c r="K374" i="74"/>
  <c r="K685" i="74" s="1"/>
  <c r="K363" i="74"/>
  <c r="K684" i="74" s="1"/>
  <c r="K79" i="74"/>
  <c r="K500" i="74"/>
  <c r="K475" i="74"/>
  <c r="K467" i="74"/>
  <c r="K431" i="74"/>
  <c r="K420" i="74"/>
  <c r="K232" i="74"/>
  <c r="K247" i="74" s="1"/>
  <c r="K262" i="74" s="1"/>
  <c r="K277" i="74" s="1"/>
  <c r="K486" i="74"/>
  <c r="K478" i="74"/>
  <c r="K442" i="74"/>
  <c r="K434" i="74"/>
  <c r="K5" i="74"/>
  <c r="K185" i="74"/>
  <c r="K115" i="74"/>
  <c r="K118" i="74"/>
  <c r="K228" i="74"/>
  <c r="K148" i="74"/>
  <c r="K145" i="74"/>
  <c r="K236" i="74" s="1"/>
  <c r="K155" i="74"/>
  <c r="K237" i="74" s="1"/>
  <c r="K205" i="74"/>
  <c r="K135" i="74"/>
  <c r="K198" i="74"/>
  <c r="K195" i="74"/>
  <c r="K175" i="74"/>
  <c r="K239" i="74" s="1"/>
  <c r="K215" i="74"/>
  <c r="K218" i="74"/>
  <c r="K225" i="74"/>
  <c r="K138" i="74"/>
  <c r="K128" i="74"/>
  <c r="K165" i="74"/>
  <c r="K238" i="74" s="1"/>
  <c r="K168" i="74"/>
  <c r="K188" i="74"/>
  <c r="K158" i="74"/>
  <c r="K208" i="74"/>
  <c r="K125" i="74"/>
  <c r="K178" i="74"/>
  <c r="J566" i="74"/>
  <c r="J573" i="74"/>
  <c r="J241" i="74"/>
  <c r="CP1086" i="64"/>
  <c r="CQ1107" i="64"/>
  <c r="CC1194" i="64"/>
  <c r="CS1194" i="64" s="1"/>
  <c r="CC1131" i="64"/>
  <c r="CA1163" i="64"/>
  <c r="DB1090" i="64"/>
  <c r="DE1090" i="64" s="1"/>
  <c r="CQ1163" i="64" s="1"/>
  <c r="J111" i="85"/>
  <c r="L1391" i="79"/>
  <c r="N568" i="79"/>
  <c r="N569" i="79"/>
  <c r="N567" i="79"/>
  <c r="N572" i="79"/>
  <c r="N575" i="79"/>
  <c r="N576" i="79"/>
  <c r="N580" i="79"/>
  <c r="N577" i="79"/>
  <c r="N728" i="79"/>
  <c r="N727" i="79"/>
  <c r="N1220" i="79" s="1"/>
  <c r="N1288" i="79" s="1"/>
  <c r="N583" i="79"/>
  <c r="N584" i="79"/>
  <c r="N585" i="79"/>
  <c r="N588" i="79"/>
  <c r="N611" i="79"/>
  <c r="N610" i="79"/>
  <c r="N612" i="79"/>
  <c r="N736" i="79"/>
  <c r="N735" i="79"/>
  <c r="N786" i="79"/>
  <c r="N1401" i="79" s="1"/>
  <c r="I102" i="8" s="1"/>
  <c r="N763" i="79"/>
  <c r="N764" i="79"/>
  <c r="G15" i="80"/>
  <c r="G71" i="83"/>
  <c r="I1396" i="79"/>
  <c r="M613" i="79"/>
  <c r="J577" i="74"/>
  <c r="K487" i="73"/>
  <c r="K54" i="73"/>
  <c r="J574" i="74"/>
  <c r="T1053" i="64"/>
  <c r="T1200" i="64"/>
  <c r="AG1200" i="64" s="1"/>
  <c r="M701" i="79"/>
  <c r="M702" i="79"/>
  <c r="M700" i="79"/>
  <c r="CA227" i="65"/>
  <c r="CA226" i="65"/>
  <c r="CA214" i="65"/>
  <c r="CA224" i="65"/>
  <c r="CA229" i="65"/>
  <c r="CA231" i="65"/>
  <c r="CA203" i="65"/>
  <c r="CA211" i="65"/>
  <c r="CA230" i="65"/>
  <c r="CA220" i="65"/>
  <c r="CA207" i="65"/>
  <c r="CA209" i="65"/>
  <c r="CA228" i="65"/>
  <c r="CA212" i="65"/>
  <c r="CA206" i="65"/>
  <c r="CA210" i="65"/>
  <c r="CA213" i="65"/>
  <c r="CA205" i="65"/>
  <c r="CA204" i="65"/>
  <c r="CA225" i="65"/>
  <c r="CA223" i="65"/>
  <c r="CA222" i="65"/>
  <c r="CA208" i="65"/>
  <c r="CA221" i="65"/>
  <c r="CO226" i="65"/>
  <c r="CO203" i="65"/>
  <c r="CO221" i="65"/>
  <c r="CO230" i="65"/>
  <c r="CO204" i="65"/>
  <c r="CO224" i="65"/>
  <c r="CO208" i="65"/>
  <c r="CO206" i="65"/>
  <c r="CO211" i="65"/>
  <c r="CO210" i="65"/>
  <c r="CO227" i="65"/>
  <c r="CO222" i="65"/>
  <c r="CO231" i="65"/>
  <c r="CO213" i="65"/>
  <c r="CO220" i="65"/>
  <c r="CO229" i="65"/>
  <c r="CO212" i="65"/>
  <c r="CO214" i="65"/>
  <c r="CO228" i="65"/>
  <c r="CO209" i="65"/>
  <c r="CO207" i="65"/>
  <c r="CO225" i="65"/>
  <c r="CO205" i="65"/>
  <c r="CO223" i="65"/>
  <c r="L11" i="73"/>
  <c r="L68" i="73"/>
  <c r="L90" i="73" s="1"/>
  <c r="L100" i="73" s="1"/>
  <c r="L128" i="73" s="1"/>
  <c r="L156" i="73" s="1"/>
  <c r="L184" i="73" s="1"/>
  <c r="L211" i="73" s="1"/>
  <c r="L238" i="73" s="1"/>
  <c r="L264" i="73" s="1"/>
  <c r="L286" i="73" s="1"/>
  <c r="L309" i="73" s="1"/>
  <c r="L331" i="73" s="1"/>
  <c r="L8" i="85" s="1"/>
  <c r="L7" i="73"/>
  <c r="BE1200" i="64"/>
  <c r="R1274" i="64"/>
  <c r="CB1158" i="64"/>
  <c r="CR1072" i="64"/>
  <c r="CR1075" i="64"/>
  <c r="CQ1086" i="64"/>
  <c r="CQ1067" i="64"/>
  <c r="J229" i="74"/>
  <c r="G1237" i="64"/>
  <c r="T1237" i="64" s="1"/>
  <c r="F1237" i="64"/>
  <c r="S1237" i="64" s="1"/>
  <c r="H1237" i="64"/>
  <c r="U1237" i="64" s="1"/>
  <c r="C1237" i="64"/>
  <c r="P1237" i="64" s="1"/>
  <c r="D1237" i="64"/>
  <c r="Q1237" i="64" s="1"/>
  <c r="I1237" i="64"/>
  <c r="V1237" i="64" s="1"/>
  <c r="DB1237" i="64"/>
  <c r="E1237" i="64"/>
  <c r="R1237" i="64" s="1"/>
  <c r="AJ164" i="79"/>
  <c r="T411" i="40" s="1"/>
  <c r="N731" i="79"/>
  <c r="N732" i="79"/>
  <c r="N739" i="79"/>
  <c r="N740" i="79"/>
  <c r="N552" i="79"/>
  <c r="N556" i="79"/>
  <c r="N553" i="79"/>
  <c r="N551" i="79"/>
  <c r="N626" i="79"/>
  <c r="N628" i="79"/>
  <c r="N627" i="79"/>
  <c r="N767" i="79"/>
  <c r="N768" i="79"/>
  <c r="J576" i="74"/>
  <c r="I219" i="85"/>
  <c r="I221" i="85" s="1"/>
  <c r="J565" i="74"/>
  <c r="CA1143" i="64"/>
  <c r="DB1070" i="64"/>
  <c r="DE1070" i="64" s="1"/>
  <c r="CQ1143" i="64" s="1"/>
  <c r="BM10" i="65"/>
  <c r="Y814" i="64" s="1"/>
  <c r="BM219" i="65"/>
  <c r="BM11" i="65"/>
  <c r="Y744" i="64" s="1"/>
  <c r="BM12" i="65"/>
  <c r="Y674" i="64" s="1"/>
  <c r="BM14" i="65"/>
  <c r="Y818" i="64" s="1"/>
  <c r="BM15" i="65"/>
  <c r="Y748" i="64" s="1"/>
  <c r="BM16" i="65"/>
  <c r="Y749" i="64" s="1"/>
  <c r="BM17" i="65"/>
  <c r="Y679" i="64" s="1"/>
  <c r="DL1053" i="64"/>
  <c r="CX1126" i="64" s="1"/>
  <c r="CH1126" i="64"/>
  <c r="DI1200" i="64"/>
  <c r="CI1274" i="64" s="1"/>
  <c r="K646" i="77"/>
  <c r="J605" i="77" s="1"/>
  <c r="V609" i="77"/>
  <c r="V631" i="77" s="1"/>
  <c r="V638" i="77" s="1"/>
  <c r="M438" i="77"/>
  <c r="V622" i="77"/>
  <c r="V597" i="77"/>
  <c r="DB1086" i="64"/>
  <c r="DE1086" i="64" s="1"/>
  <c r="CQ1159" i="64" s="1"/>
  <c r="CA1159" i="64"/>
  <c r="J575" i="74"/>
  <c r="J578" i="74"/>
  <c r="J560" i="74"/>
  <c r="J581" i="74" s="1"/>
  <c r="J602" i="74" s="1"/>
  <c r="J623" i="74" s="1"/>
  <c r="J648" i="74" s="1"/>
  <c r="J658" i="74" s="1"/>
  <c r="J359" i="74"/>
  <c r="J557" i="74"/>
  <c r="AR1053" i="64"/>
  <c r="Q1126" i="64"/>
  <c r="M1393" i="79"/>
  <c r="M578" i="79"/>
  <c r="J569" i="74"/>
  <c r="AF1053" i="64"/>
  <c r="E1126" i="64"/>
  <c r="N619" i="79"/>
  <c r="N618" i="79"/>
  <c r="N620" i="79"/>
  <c r="N599" i="79"/>
  <c r="N594" i="79"/>
  <c r="N596" i="79"/>
  <c r="N595" i="79"/>
  <c r="N771" i="79"/>
  <c r="N772" i="79"/>
  <c r="N751" i="79"/>
  <c r="N748" i="79"/>
  <c r="N752" i="79"/>
  <c r="N747" i="79"/>
  <c r="N756" i="79"/>
  <c r="N755" i="79"/>
  <c r="M1401" i="79"/>
  <c r="H102" i="8" s="1"/>
  <c r="AC1126" i="64"/>
  <c r="BD1053" i="64"/>
  <c r="M605" i="79"/>
  <c r="K34" i="85"/>
  <c r="K61" i="85" s="1"/>
  <c r="K88" i="85" s="1"/>
  <c r="K117" i="85" s="1"/>
  <c r="K5" i="85"/>
  <c r="M1400" i="79"/>
  <c r="AD1274" i="64"/>
  <c r="BQ1200" i="64"/>
  <c r="J567" i="74"/>
  <c r="H1200" i="64"/>
  <c r="H1053" i="64"/>
  <c r="L1445" i="64"/>
  <c r="O823" i="79" s="1"/>
  <c r="O824" i="79" s="1"/>
  <c r="L1441" i="64"/>
  <c r="O811" i="79" s="1"/>
  <c r="L1437" i="64"/>
  <c r="O800" i="79" s="1"/>
  <c r="O801" i="79" s="1"/>
  <c r="L1433" i="64"/>
  <c r="O788" i="79" s="1"/>
  <c r="O789" i="79" s="1"/>
  <c r="L1429" i="64"/>
  <c r="O776" i="79" s="1"/>
  <c r="O777" i="79" s="1"/>
  <c r="L1448" i="64"/>
  <c r="L1444" i="64"/>
  <c r="O820" i="79" s="1"/>
  <c r="O821" i="79" s="1"/>
  <c r="L1440" i="64"/>
  <c r="O808" i="79" s="1"/>
  <c r="O809" i="79" s="1"/>
  <c r="L1436" i="64"/>
  <c r="O797" i="79" s="1"/>
  <c r="O798" i="79" s="1"/>
  <c r="L1432" i="64"/>
  <c r="O785" i="79" s="1"/>
  <c r="O786" i="79" s="1"/>
  <c r="L1428" i="64"/>
  <c r="L1447" i="64"/>
  <c r="O829" i="79" s="1"/>
  <c r="O830" i="79" s="1"/>
  <c r="L1439" i="64"/>
  <c r="O805" i="79" s="1"/>
  <c r="O806" i="79" s="1"/>
  <c r="L1446" i="64"/>
  <c r="O826" i="79" s="1"/>
  <c r="L1438" i="64"/>
  <c r="L1430" i="64"/>
  <c r="O779" i="79" s="1"/>
  <c r="L1425" i="64"/>
  <c r="O762" i="79" s="1"/>
  <c r="L1423" i="64"/>
  <c r="O754" i="79" s="1"/>
  <c r="L1421" i="64"/>
  <c r="O746" i="79" s="1"/>
  <c r="L1417" i="64"/>
  <c r="O730" i="79" s="1"/>
  <c r="L1359" i="64"/>
  <c r="O573" i="79" s="1"/>
  <c r="L1353" i="64"/>
  <c r="O565" i="79" s="1"/>
  <c r="L1443" i="64"/>
  <c r="O817" i="79" s="1"/>
  <c r="O818" i="79" s="1"/>
  <c r="L1431" i="64"/>
  <c r="O782" i="79" s="1"/>
  <c r="O783" i="79" s="1"/>
  <c r="L1418" i="64"/>
  <c r="O734" i="79" s="1"/>
  <c r="L1354" i="64"/>
  <c r="O608" i="79" s="1"/>
  <c r="L1347" i="64"/>
  <c r="O548" i="79" s="1"/>
  <c r="L1434" i="64"/>
  <c r="O791" i="79" s="1"/>
  <c r="L1427" i="64"/>
  <c r="O770" i="79" s="1"/>
  <c r="L1426" i="64"/>
  <c r="O766" i="79" s="1"/>
  <c r="L1419" i="64"/>
  <c r="O738" i="79" s="1"/>
  <c r="L1416" i="64"/>
  <c r="O726" i="79" s="1"/>
  <c r="L1360" i="64"/>
  <c r="O616" i="79" s="1"/>
  <c r="L1356" i="64"/>
  <c r="O581" i="79" s="1"/>
  <c r="L1348" i="64"/>
  <c r="O592" i="79" s="1"/>
  <c r="L1435" i="64"/>
  <c r="O794" i="79" s="1"/>
  <c r="O795" i="79" s="1"/>
  <c r="L1424" i="64"/>
  <c r="O758" i="79" s="1"/>
  <c r="L1420" i="64"/>
  <c r="O742" i="79" s="1"/>
  <c r="L1390" i="64"/>
  <c r="O2274" i="79" s="1"/>
  <c r="L1357" i="64"/>
  <c r="O624" i="79" s="1"/>
  <c r="L1422" i="64"/>
  <c r="O750" i="79" s="1"/>
  <c r="L1373" i="64"/>
  <c r="L1442" i="64"/>
  <c r="O814" i="79" s="1"/>
  <c r="O815" i="79" s="1"/>
  <c r="L1391" i="64"/>
  <c r="O2297" i="79" s="1"/>
  <c r="L7" i="74"/>
  <c r="L368" i="74" s="1"/>
  <c r="N5" i="77"/>
  <c r="N483" i="77" s="1"/>
  <c r="P41" i="79"/>
  <c r="M10" i="73"/>
  <c r="M1345" i="64"/>
  <c r="M1381" i="64"/>
  <c r="CW1053" i="64"/>
  <c r="N637" i="64"/>
  <c r="CP8" i="65"/>
  <c r="CP28" i="65" s="1"/>
  <c r="CB8" i="65"/>
  <c r="CB28" i="65" s="1"/>
  <c r="BN8" i="65"/>
  <c r="BN19" i="65" s="1"/>
  <c r="M1364" i="64"/>
  <c r="N400" i="64"/>
  <c r="M813" i="64" s="1"/>
  <c r="L888" i="64" s="1"/>
  <c r="N126" i="64"/>
  <c r="N120" i="64"/>
  <c r="N115" i="64" s="1"/>
  <c r="N111" i="64"/>
  <c r="N104" i="64"/>
  <c r="O8" i="64"/>
  <c r="N289" i="64"/>
  <c r="N345" i="64" s="1"/>
  <c r="N214" i="64"/>
  <c r="CP202" i="65"/>
  <c r="CB202" i="65"/>
  <c r="BN202" i="65"/>
  <c r="M742" i="64"/>
  <c r="N4" i="64"/>
  <c r="N258" i="64"/>
  <c r="N274" i="64" s="1"/>
  <c r="M1398" i="64"/>
  <c r="N171" i="64"/>
  <c r="CA12" i="65"/>
  <c r="CA16" i="65"/>
  <c r="CA11" i="65"/>
  <c r="CA19" i="65"/>
  <c r="CA15" i="65"/>
  <c r="CA219" i="65"/>
  <c r="CA10" i="65"/>
  <c r="CA17" i="65"/>
  <c r="CA21" i="65"/>
  <c r="CA18" i="65"/>
  <c r="CA14" i="65"/>
  <c r="CA22" i="65"/>
  <c r="CA23" i="65"/>
  <c r="CA24" i="65"/>
  <c r="CA25" i="65"/>
  <c r="CA26" i="65"/>
  <c r="O547" i="79"/>
  <c r="O451" i="79"/>
  <c r="O246" i="79"/>
  <c r="AL41" i="79"/>
  <c r="O410" i="79"/>
  <c r="O369" i="79"/>
  <c r="O287" i="79"/>
  <c r="O123" i="79"/>
  <c r="O492" i="79"/>
  <c r="O328" i="79"/>
  <c r="O82" i="79"/>
  <c r="O6" i="79"/>
  <c r="O1306" i="79" s="1"/>
  <c r="AL1306" i="79" s="1"/>
  <c r="O835" i="79"/>
  <c r="O164" i="79"/>
  <c r="O663" i="79"/>
  <c r="O205" i="79"/>
  <c r="I379" i="40"/>
  <c r="I514" i="40" s="1"/>
  <c r="G72" i="83"/>
  <c r="G16" i="80"/>
  <c r="G1233" i="64"/>
  <c r="T1233" i="64" s="1"/>
  <c r="F1233" i="64"/>
  <c r="S1233" i="64" s="1"/>
  <c r="E1233" i="64"/>
  <c r="R1233" i="64" s="1"/>
  <c r="H1233" i="64"/>
  <c r="U1233" i="64" s="1"/>
  <c r="C1233" i="64"/>
  <c r="P1233" i="64" s="1"/>
  <c r="D1233" i="64"/>
  <c r="Q1233" i="64" s="1"/>
  <c r="I1233" i="64"/>
  <c r="V1233" i="64" s="1"/>
  <c r="DB1233" i="64"/>
  <c r="M2272" i="79"/>
  <c r="CB1132" i="64"/>
  <c r="CB1163" i="64"/>
  <c r="CB1133" i="64"/>
  <c r="CB1189" i="64"/>
  <c r="CD1127" i="64"/>
  <c r="CR1068" i="64"/>
  <c r="CR1082" i="64"/>
  <c r="CP1104" i="64"/>
  <c r="CD1129" i="64"/>
  <c r="CC1168" i="64"/>
  <c r="CC1181" i="64"/>
  <c r="AS821" i="64"/>
  <c r="AF821" i="64"/>
  <c r="AV679" i="64"/>
  <c r="AI679" i="64"/>
  <c r="BS29" i="65"/>
  <c r="BZ28" i="65"/>
  <c r="BX28" i="65"/>
  <c r="BY28" i="65"/>
  <c r="BW28" i="65"/>
  <c r="BU28" i="65"/>
  <c r="CA28" i="65"/>
  <c r="BV28" i="65"/>
  <c r="U751" i="64"/>
  <c r="U822" i="64"/>
  <c r="U680" i="64"/>
  <c r="W751" i="64"/>
  <c r="W680" i="64"/>
  <c r="W822" i="64"/>
  <c r="AT679" i="64"/>
  <c r="AG679" i="64"/>
  <c r="CR1098" i="64"/>
  <c r="CR1055" i="64"/>
  <c r="CR1071" i="64"/>
  <c r="CQ1104" i="64"/>
  <c r="AS679" i="64"/>
  <c r="AF679" i="64"/>
  <c r="AU750" i="64"/>
  <c r="AH750" i="64"/>
  <c r="AI750" i="64"/>
  <c r="AV750" i="64"/>
  <c r="T822" i="64"/>
  <c r="T680" i="64"/>
  <c r="T751" i="64"/>
  <c r="V822" i="64"/>
  <c r="V680" i="64"/>
  <c r="V751" i="64"/>
  <c r="S680" i="64"/>
  <c r="S751" i="64"/>
  <c r="S822" i="64"/>
  <c r="AT821" i="64"/>
  <c r="AG821" i="64"/>
  <c r="CQ1099" i="64"/>
  <c r="CD1179" i="64"/>
  <c r="CB1179" i="64"/>
  <c r="CQ1105" i="64"/>
  <c r="CB1161" i="64"/>
  <c r="AS750" i="64"/>
  <c r="AF750" i="64"/>
  <c r="AU679" i="64"/>
  <c r="AH679" i="64"/>
  <c r="AV821" i="64"/>
  <c r="AI821" i="64"/>
  <c r="AG750" i="64"/>
  <c r="AT750" i="64"/>
  <c r="CP1067" i="64"/>
  <c r="AH821" i="64"/>
  <c r="AU821" i="64"/>
  <c r="BE20" i="65"/>
  <c r="BE21" i="65" s="1"/>
  <c r="BK19" i="65"/>
  <c r="BG19" i="65"/>
  <c r="BH19" i="65"/>
  <c r="BL19" i="65"/>
  <c r="BI19" i="65"/>
  <c r="BM19" i="65"/>
  <c r="Y752" i="64" s="1"/>
  <c r="BJ19" i="65"/>
  <c r="CG29" i="65"/>
  <c r="CJ28" i="65"/>
  <c r="CK28" i="65"/>
  <c r="CO28" i="65"/>
  <c r="CM28" i="65"/>
  <c r="CN28" i="65"/>
  <c r="CL28" i="65"/>
  <c r="CI28" i="65"/>
  <c r="CD1162" i="64"/>
  <c r="CD1131" i="64"/>
  <c r="CP1099" i="64"/>
  <c r="CC1172" i="64"/>
  <c r="K1253" i="64"/>
  <c r="X1253" i="64" s="1"/>
  <c r="D1253" i="64"/>
  <c r="Q1253" i="64" s="1"/>
  <c r="J1253" i="64"/>
  <c r="W1253" i="64" s="1"/>
  <c r="E1253" i="64"/>
  <c r="R1253" i="64" s="1"/>
  <c r="N1253" i="64"/>
  <c r="AA1253" i="64" s="1"/>
  <c r="L1253" i="64"/>
  <c r="Y1253" i="64" s="1"/>
  <c r="F1253" i="64"/>
  <c r="S1253" i="64" s="1"/>
  <c r="M1253" i="64"/>
  <c r="Z1253" i="64" s="1"/>
  <c r="G1253" i="64"/>
  <c r="T1253" i="64" s="1"/>
  <c r="DB1253" i="64"/>
  <c r="H1253" i="64"/>
  <c r="U1253" i="64" s="1"/>
  <c r="C1253" i="64"/>
  <c r="P1253" i="64" s="1"/>
  <c r="I1253" i="64"/>
  <c r="V1253" i="64" s="1"/>
  <c r="CC1179" i="64"/>
  <c r="CQ1106" i="64"/>
  <c r="CP1105" i="64"/>
  <c r="CA1161" i="64"/>
  <c r="DB1088" i="64"/>
  <c r="DE1088" i="64" s="1"/>
  <c r="CQ1161" i="64" s="1"/>
  <c r="CD1161" i="64"/>
  <c r="DO1203" i="64"/>
  <c r="CB1277" i="64"/>
  <c r="AB1203" i="64"/>
  <c r="CB1143" i="64"/>
  <c r="CR1070" i="64"/>
  <c r="CC1171" i="64"/>
  <c r="D1240" i="64"/>
  <c r="Q1240" i="64" s="1"/>
  <c r="N1240" i="64"/>
  <c r="AA1240" i="64" s="1"/>
  <c r="I1240" i="64"/>
  <c r="V1240" i="64" s="1"/>
  <c r="DB1240" i="64"/>
  <c r="K1240" i="64"/>
  <c r="X1240" i="64" s="1"/>
  <c r="J1240" i="64"/>
  <c r="W1240" i="64" s="1"/>
  <c r="E1240" i="64"/>
  <c r="R1240" i="64" s="1"/>
  <c r="L1240" i="64"/>
  <c r="Y1240" i="64" s="1"/>
  <c r="G1240" i="64"/>
  <c r="T1240" i="64" s="1"/>
  <c r="F1240" i="64"/>
  <c r="S1240" i="64" s="1"/>
  <c r="H1240" i="64"/>
  <c r="U1240" i="64" s="1"/>
  <c r="C1240" i="64"/>
  <c r="P1240" i="64" s="1"/>
  <c r="M1240" i="64"/>
  <c r="Z1240" i="64" s="1"/>
  <c r="CD1166" i="64"/>
  <c r="AT882" i="64"/>
  <c r="H387" i="77"/>
  <c r="CP1097" i="64"/>
  <c r="CP1072" i="64"/>
  <c r="CP1065" i="64"/>
  <c r="CB1128" i="64"/>
  <c r="CB1137" i="64"/>
  <c r="CP1087" i="64"/>
  <c r="CP1071" i="64"/>
  <c r="CP1111" i="64"/>
  <c r="CB1135" i="64"/>
  <c r="CB1134" i="64"/>
  <c r="CP1064" i="64"/>
  <c r="CP1089" i="64"/>
  <c r="CD1138" i="64"/>
  <c r="CD1145" i="64"/>
  <c r="CD1137" i="64"/>
  <c r="CR1062" i="64"/>
  <c r="CD1158" i="64"/>
  <c r="CR1080" i="64"/>
  <c r="CR1109" i="64"/>
  <c r="CR1061" i="64"/>
  <c r="CR1115" i="64"/>
  <c r="CR1073" i="64"/>
  <c r="CD1159" i="64"/>
  <c r="CR1102" i="64"/>
  <c r="CD1191" i="64"/>
  <c r="CR1077" i="64"/>
  <c r="CD1135" i="64"/>
  <c r="CD1181" i="64"/>
  <c r="CR1091" i="64"/>
  <c r="CR1094" i="64"/>
  <c r="CB1193" i="64"/>
  <c r="CP1059" i="64"/>
  <c r="CC1176" i="64"/>
  <c r="CA1169" i="64"/>
  <c r="DB1096" i="64"/>
  <c r="DE1096" i="64" s="1"/>
  <c r="CQ1169" i="64" s="1"/>
  <c r="CD1169" i="64"/>
  <c r="CB1169" i="64"/>
  <c r="G387" i="77"/>
  <c r="A1164" i="64"/>
  <c r="CN1164" i="64"/>
  <c r="CC1177" i="64"/>
  <c r="CD1177" i="64"/>
  <c r="CB1190" i="64"/>
  <c r="CB1152" i="64"/>
  <c r="CP1054" i="64"/>
  <c r="CD1193" i="64"/>
  <c r="CR1095" i="64"/>
  <c r="CQ1092" i="64"/>
  <c r="L1239" i="64"/>
  <c r="Y1239" i="64" s="1"/>
  <c r="G1239" i="64"/>
  <c r="T1239" i="64" s="1"/>
  <c r="F1239" i="64"/>
  <c r="S1239" i="64" s="1"/>
  <c r="H1239" i="64"/>
  <c r="U1239" i="64" s="1"/>
  <c r="C1239" i="64"/>
  <c r="P1239" i="64" s="1"/>
  <c r="M1239" i="64"/>
  <c r="Z1239" i="64" s="1"/>
  <c r="D1239" i="64"/>
  <c r="Q1239" i="64" s="1"/>
  <c r="N1239" i="64"/>
  <c r="AA1239" i="64" s="1"/>
  <c r="I1239" i="64"/>
  <c r="V1239" i="64" s="1"/>
  <c r="DB1239" i="64"/>
  <c r="K1239" i="64"/>
  <c r="X1239" i="64" s="1"/>
  <c r="J1239" i="64"/>
  <c r="W1239" i="64" s="1"/>
  <c r="E1239" i="64"/>
  <c r="R1239" i="64" s="1"/>
  <c r="CR1092" i="64"/>
  <c r="CC1180" i="64"/>
  <c r="CB1180" i="64"/>
  <c r="CA1174" i="64"/>
  <c r="DB1101" i="64"/>
  <c r="DE1101" i="64" s="1"/>
  <c r="CQ1174" i="64" s="1"/>
  <c r="CB1173" i="64"/>
  <c r="CD1173" i="64"/>
  <c r="AG882" i="64"/>
  <c r="H388" i="77"/>
  <c r="CQ1065" i="64"/>
  <c r="CQ1102" i="64"/>
  <c r="CQ1068" i="64"/>
  <c r="CQ1089" i="64"/>
  <c r="CC1145" i="64"/>
  <c r="CC1183" i="64"/>
  <c r="CQ1115" i="64"/>
  <c r="CC1164" i="64"/>
  <c r="CC1151" i="64"/>
  <c r="CQ1116" i="64"/>
  <c r="CC1133" i="64"/>
  <c r="CQ1117" i="64"/>
  <c r="CQ1062" i="64"/>
  <c r="CQ1110" i="64"/>
  <c r="CC1185" i="64"/>
  <c r="CQ1109" i="64"/>
  <c r="CC1159" i="64"/>
  <c r="CQ1113" i="64"/>
  <c r="CQ1094" i="64"/>
  <c r="CC1189" i="64"/>
  <c r="CQ1090" i="64"/>
  <c r="CC1136" i="64"/>
  <c r="CQ1057" i="64"/>
  <c r="CQ1058" i="64"/>
  <c r="CC1139" i="64"/>
  <c r="CQ1085" i="64"/>
  <c r="CC1149" i="64"/>
  <c r="CB1182" i="64"/>
  <c r="CB1148" i="64"/>
  <c r="CR1111" i="64"/>
  <c r="CN1150" i="64"/>
  <c r="A1150" i="64"/>
  <c r="CR1099" i="64"/>
  <c r="CA1172" i="64"/>
  <c r="DB1099" i="64"/>
  <c r="DE1099" i="64" s="1"/>
  <c r="CQ1172" i="64" s="1"/>
  <c r="DO1222" i="64"/>
  <c r="AB1222" i="64"/>
  <c r="CB1296" i="64"/>
  <c r="CR1106" i="64"/>
  <c r="CB1178" i="64"/>
  <c r="CD1178" i="64"/>
  <c r="CA1178" i="64"/>
  <c r="DB1105" i="64"/>
  <c r="DE1105" i="64" s="1"/>
  <c r="CQ1178" i="64" s="1"/>
  <c r="CC1161" i="64"/>
  <c r="L1235" i="64"/>
  <c r="Y1235" i="64" s="1"/>
  <c r="G1235" i="64"/>
  <c r="T1235" i="64" s="1"/>
  <c r="F1235" i="64"/>
  <c r="S1235" i="64" s="1"/>
  <c r="H1235" i="64"/>
  <c r="U1235" i="64" s="1"/>
  <c r="C1235" i="64"/>
  <c r="P1235" i="64" s="1"/>
  <c r="M1235" i="64"/>
  <c r="Z1235" i="64" s="1"/>
  <c r="D1235" i="64"/>
  <c r="Q1235" i="64" s="1"/>
  <c r="N1235" i="64"/>
  <c r="AA1235" i="64" s="1"/>
  <c r="I1235" i="64"/>
  <c r="V1235" i="64" s="1"/>
  <c r="DB1235" i="64"/>
  <c r="K1235" i="64"/>
  <c r="X1235" i="64" s="1"/>
  <c r="J1235" i="64"/>
  <c r="W1235" i="64" s="1"/>
  <c r="E1235" i="64"/>
  <c r="R1235" i="64" s="1"/>
  <c r="CP1088" i="64"/>
  <c r="CP1063" i="64"/>
  <c r="CB1131" i="64"/>
  <c r="CR1067" i="64"/>
  <c r="CD1157" i="64"/>
  <c r="CR1054" i="64"/>
  <c r="CR1063" i="64"/>
  <c r="CR1058" i="64"/>
  <c r="CB1312" i="64"/>
  <c r="AB1238" i="64"/>
  <c r="DO1238" i="64"/>
  <c r="CB1171" i="64"/>
  <c r="CQ1098" i="64"/>
  <c r="CC1166" i="64"/>
  <c r="DB1093" i="64"/>
  <c r="DE1093" i="64" s="1"/>
  <c r="CQ1166" i="64" s="1"/>
  <c r="CA1166" i="64"/>
  <c r="CR1097" i="64"/>
  <c r="CB1138" i="64"/>
  <c r="CP1079" i="64"/>
  <c r="CB1164" i="64"/>
  <c r="CB1160" i="64"/>
  <c r="CP1081" i="64"/>
  <c r="CB1146" i="64"/>
  <c r="CB1186" i="64"/>
  <c r="CP1078" i="64"/>
  <c r="CB1175" i="64"/>
  <c r="CR1057" i="64"/>
  <c r="CD1184" i="64"/>
  <c r="CD1185" i="64"/>
  <c r="CD1182" i="64"/>
  <c r="CD1134" i="64"/>
  <c r="CD1183" i="64"/>
  <c r="CR1119" i="64"/>
  <c r="CD1194" i="64"/>
  <c r="CT1194" i="64" s="1"/>
  <c r="CR1116" i="64"/>
  <c r="CR1066" i="64"/>
  <c r="CR1081" i="64"/>
  <c r="CR1059" i="64"/>
  <c r="CR1064" i="64"/>
  <c r="CD1152" i="64"/>
  <c r="CD1128" i="64"/>
  <c r="CR1112" i="64"/>
  <c r="CN1151" i="64"/>
  <c r="A1151" i="64"/>
  <c r="CP1058" i="64"/>
  <c r="CP1091" i="64"/>
  <c r="CP1110" i="64"/>
  <c r="CB1149" i="64"/>
  <c r="CR1076" i="64"/>
  <c r="CD1190" i="64"/>
  <c r="CD1132" i="64"/>
  <c r="CQ1103" i="64"/>
  <c r="H1250" i="64"/>
  <c r="U1250" i="64" s="1"/>
  <c r="C1250" i="64"/>
  <c r="P1250" i="64" s="1"/>
  <c r="D1250" i="64"/>
  <c r="Q1250" i="64" s="1"/>
  <c r="I1250" i="64"/>
  <c r="V1250" i="64" s="1"/>
  <c r="DB1250" i="64"/>
  <c r="E1250" i="64"/>
  <c r="R1250" i="64" s="1"/>
  <c r="G1250" i="64"/>
  <c r="T1250" i="64" s="1"/>
  <c r="F1250" i="64"/>
  <c r="S1250" i="64" s="1"/>
  <c r="D1243" i="64"/>
  <c r="Q1243" i="64" s="1"/>
  <c r="I1243" i="64"/>
  <c r="V1243" i="64" s="1"/>
  <c r="DB1243" i="64"/>
  <c r="E1243" i="64"/>
  <c r="R1243" i="64" s="1"/>
  <c r="G1243" i="64"/>
  <c r="T1243" i="64" s="1"/>
  <c r="F1243" i="64"/>
  <c r="S1243" i="64" s="1"/>
  <c r="H1243" i="64"/>
  <c r="U1243" i="64" s="1"/>
  <c r="C1243" i="64"/>
  <c r="P1243" i="64" s="1"/>
  <c r="CB1177" i="64"/>
  <c r="CA1177" i="64"/>
  <c r="DB1104" i="64"/>
  <c r="DE1104" i="64" s="1"/>
  <c r="CQ1177" i="64" s="1"/>
  <c r="CB1299" i="64"/>
  <c r="DO1225" i="64"/>
  <c r="AB1225" i="64"/>
  <c r="CN1129" i="64"/>
  <c r="A1129" i="64"/>
  <c r="CB1144" i="64"/>
  <c r="CP1102" i="64"/>
  <c r="CB1139" i="64"/>
  <c r="CD1192" i="64"/>
  <c r="CR1079" i="64"/>
  <c r="CR1120" i="64"/>
  <c r="CD1150" i="64"/>
  <c r="CR1113" i="64"/>
  <c r="CB1165" i="64"/>
  <c r="CD1165" i="64"/>
  <c r="DB1107" i="64"/>
  <c r="DE1107" i="64" s="1"/>
  <c r="CQ1180" i="64" s="1"/>
  <c r="CA1180" i="64"/>
  <c r="CR1101" i="64"/>
  <c r="CC1174" i="64"/>
  <c r="CQ1100" i="64"/>
  <c r="CP1100" i="64"/>
  <c r="CC1141" i="64"/>
  <c r="CQ1072" i="64"/>
  <c r="CQ1082" i="64"/>
  <c r="CC1160" i="64"/>
  <c r="CQ1108" i="64"/>
  <c r="CQ1073" i="64"/>
  <c r="CC1163" i="64"/>
  <c r="CC1134" i="64"/>
  <c r="CC1184" i="64"/>
  <c r="CC1154" i="64"/>
  <c r="CQ1080" i="64"/>
  <c r="CQ1055" i="64"/>
  <c r="CC1156" i="64"/>
  <c r="CQ1061" i="64"/>
  <c r="CQ1087" i="64"/>
  <c r="CQ1079" i="64"/>
  <c r="CC1158" i="64"/>
  <c r="CC1148" i="64"/>
  <c r="CQ1084" i="64"/>
  <c r="CQ1054" i="64"/>
  <c r="CQ1063" i="64"/>
  <c r="CC1144" i="64"/>
  <c r="CQ1091" i="64"/>
  <c r="K628" i="64"/>
  <c r="CB1130" i="64"/>
  <c r="CP1109" i="64"/>
  <c r="CP1113" i="64"/>
  <c r="CN1147" i="64"/>
  <c r="A1147" i="64"/>
  <c r="CD1172" i="64"/>
  <c r="CB1172" i="64"/>
  <c r="D1246" i="64"/>
  <c r="Q1246" i="64" s="1"/>
  <c r="I1246" i="64"/>
  <c r="V1246" i="64" s="1"/>
  <c r="G1246" i="64"/>
  <c r="T1246" i="64" s="1"/>
  <c r="F1246" i="64"/>
  <c r="S1246" i="64" s="1"/>
  <c r="H1246" i="64"/>
  <c r="U1246" i="64" s="1"/>
  <c r="E1246" i="64"/>
  <c r="R1246" i="64" s="1"/>
  <c r="C1246" i="64"/>
  <c r="P1246" i="64" s="1"/>
  <c r="DB1246" i="64"/>
  <c r="CP1106" i="64"/>
  <c r="G1252" i="64"/>
  <c r="T1252" i="64" s="1"/>
  <c r="F1252" i="64"/>
  <c r="S1252" i="64" s="1"/>
  <c r="D1252" i="64"/>
  <c r="Q1252" i="64" s="1"/>
  <c r="I1252" i="64"/>
  <c r="V1252" i="64" s="1"/>
  <c r="H1252" i="64"/>
  <c r="U1252" i="64" s="1"/>
  <c r="E1252" i="64"/>
  <c r="R1252" i="64" s="1"/>
  <c r="C1252" i="64"/>
  <c r="P1252" i="64" s="1"/>
  <c r="DB1252" i="64"/>
  <c r="CQ1088" i="64"/>
  <c r="CR1088" i="64"/>
  <c r="CP1074" i="64"/>
  <c r="CD1142" i="64"/>
  <c r="CD1139" i="64"/>
  <c r="DB1098" i="64"/>
  <c r="DE1098" i="64" s="1"/>
  <c r="CQ1171" i="64" s="1"/>
  <c r="CA1171" i="64"/>
  <c r="CP1098" i="64"/>
  <c r="CD1171" i="64"/>
  <c r="CQ1093" i="64"/>
  <c r="CR1093" i="64"/>
  <c r="CP1093" i="64"/>
  <c r="DB1244" i="64"/>
  <c r="E1244" i="64"/>
  <c r="R1244" i="64" s="1"/>
  <c r="G1244" i="64"/>
  <c r="T1244" i="64" s="1"/>
  <c r="F1244" i="64"/>
  <c r="S1244" i="64" s="1"/>
  <c r="H1244" i="64"/>
  <c r="U1244" i="64" s="1"/>
  <c r="C1244" i="64"/>
  <c r="P1244" i="64" s="1"/>
  <c r="D1244" i="64"/>
  <c r="Q1244" i="64" s="1"/>
  <c r="I1244" i="64"/>
  <c r="V1244" i="64" s="1"/>
  <c r="CD1170" i="64"/>
  <c r="CC1170" i="64"/>
  <c r="CP1068" i="64"/>
  <c r="CB1155" i="64"/>
  <c r="CB1145" i="64"/>
  <c r="CP1057" i="64"/>
  <c r="CP1060" i="64"/>
  <c r="CB1159" i="64"/>
  <c r="CB1142" i="64"/>
  <c r="CB1162" i="64"/>
  <c r="CP1080" i="64"/>
  <c r="CP1118" i="64"/>
  <c r="CB1185" i="64"/>
  <c r="CP1083" i="64"/>
  <c r="CP1069" i="64"/>
  <c r="CB1184" i="64"/>
  <c r="CB1154" i="64"/>
  <c r="CB1153" i="64"/>
  <c r="CP1055" i="64"/>
  <c r="CP1076" i="64"/>
  <c r="CD1175" i="64"/>
  <c r="CR1118" i="64"/>
  <c r="CD1141" i="64"/>
  <c r="CR1060" i="64"/>
  <c r="CR1087" i="64"/>
  <c r="CD1149" i="64"/>
  <c r="CD1163" i="64"/>
  <c r="CD1133" i="64"/>
  <c r="CD1148" i="64"/>
  <c r="CR1086" i="64"/>
  <c r="CP1070" i="64"/>
  <c r="CP1108" i="64"/>
  <c r="CP1095" i="64"/>
  <c r="CP1075" i="64"/>
  <c r="CD1167" i="64"/>
  <c r="CD1144" i="64"/>
  <c r="CP1103" i="64"/>
  <c r="CR1096" i="64"/>
  <c r="CQ1096" i="64"/>
  <c r="AU882" i="64"/>
  <c r="CN1167" i="64"/>
  <c r="A1167" i="64"/>
  <c r="CB1304" i="64"/>
  <c r="AB1230" i="64"/>
  <c r="DO1230" i="64"/>
  <c r="H1251" i="64"/>
  <c r="U1251" i="64" s="1"/>
  <c r="C1251" i="64"/>
  <c r="P1251" i="64" s="1"/>
  <c r="D1251" i="64"/>
  <c r="Q1251" i="64" s="1"/>
  <c r="I1251" i="64"/>
  <c r="V1251" i="64" s="1"/>
  <c r="DB1251" i="64"/>
  <c r="E1251" i="64"/>
  <c r="R1251" i="64" s="1"/>
  <c r="G1251" i="64"/>
  <c r="T1251" i="64" s="1"/>
  <c r="F1251" i="64"/>
  <c r="S1251" i="64" s="1"/>
  <c r="CB1181" i="64"/>
  <c r="CR1110" i="64"/>
  <c r="CR1108" i="64"/>
  <c r="CD1136" i="64"/>
  <c r="CR1107" i="64"/>
  <c r="CD1180" i="64"/>
  <c r="C1254" i="64"/>
  <c r="P1254" i="64" s="1"/>
  <c r="M1254" i="64"/>
  <c r="Z1254" i="64" s="1"/>
  <c r="I1254" i="64"/>
  <c r="V1254" i="64" s="1"/>
  <c r="N1254" i="64"/>
  <c r="AA1254" i="64" s="1"/>
  <c r="E1254" i="64"/>
  <c r="R1254" i="64" s="1"/>
  <c r="DB1254" i="64"/>
  <c r="K1254" i="64"/>
  <c r="X1254" i="64" s="1"/>
  <c r="J1254" i="64"/>
  <c r="W1254" i="64" s="1"/>
  <c r="L1254" i="64"/>
  <c r="Y1254" i="64" s="1"/>
  <c r="H1254" i="64"/>
  <c r="U1254" i="64" s="1"/>
  <c r="G1254" i="64"/>
  <c r="T1254" i="64" s="1"/>
  <c r="F1254" i="64"/>
  <c r="S1254" i="64" s="1"/>
  <c r="D1254" i="64"/>
  <c r="Q1254" i="64" s="1"/>
  <c r="CB1295" i="64"/>
  <c r="DO1221" i="64"/>
  <c r="AB1221" i="64"/>
  <c r="CB1174" i="64"/>
  <c r="CD1174" i="64"/>
  <c r="DO1224" i="64"/>
  <c r="CB1298" i="64"/>
  <c r="AB1224" i="64"/>
  <c r="AH882" i="64"/>
  <c r="CC1173" i="64"/>
  <c r="CA1173" i="64"/>
  <c r="DB1100" i="64"/>
  <c r="DE1100" i="64" s="1"/>
  <c r="CQ1173" i="64" s="1"/>
  <c r="CQ1095" i="64"/>
  <c r="CC1137" i="64"/>
  <c r="CC1138" i="64"/>
  <c r="CC1190" i="64"/>
  <c r="CC1146" i="64"/>
  <c r="CC1182" i="64"/>
  <c r="CC1186" i="64"/>
  <c r="CC1150" i="64"/>
  <c r="CC1130" i="64"/>
  <c r="CC1135" i="64"/>
  <c r="CQ1056" i="64"/>
  <c r="CQ1071" i="64"/>
  <c r="CC1140" i="64"/>
  <c r="CQ1069" i="64"/>
  <c r="CC1187" i="64"/>
  <c r="CQ1081" i="64"/>
  <c r="A1156" i="64"/>
  <c r="CN1156" i="64"/>
  <c r="CB1167" i="64"/>
  <c r="CD1168" i="64"/>
  <c r="I579" i="74"/>
  <c r="J561" i="74"/>
  <c r="DB1106" i="64"/>
  <c r="DE1106" i="64" s="1"/>
  <c r="CQ1179" i="64" s="1"/>
  <c r="CA1179" i="64"/>
  <c r="CC1178" i="64"/>
  <c r="CR1105" i="64"/>
  <c r="CB1150" i="64"/>
  <c r="CB1192" i="64"/>
  <c r="CB1127" i="64"/>
  <c r="CD1143" i="64"/>
  <c r="CD1140" i="64"/>
  <c r="D1245" i="64"/>
  <c r="Q1245" i="64" s="1"/>
  <c r="I1245" i="64"/>
  <c r="V1245" i="64" s="1"/>
  <c r="DB1245" i="64"/>
  <c r="E1245" i="64"/>
  <c r="R1245" i="64" s="1"/>
  <c r="G1245" i="64"/>
  <c r="T1245" i="64" s="1"/>
  <c r="F1245" i="64"/>
  <c r="S1245" i="64" s="1"/>
  <c r="H1245" i="64"/>
  <c r="U1245" i="64" s="1"/>
  <c r="C1245" i="64"/>
  <c r="P1245" i="64" s="1"/>
  <c r="DO1241" i="64"/>
  <c r="CB1315" i="64"/>
  <c r="AB1241" i="64"/>
  <c r="CB1166" i="64"/>
  <c r="CQ1097" i="64"/>
  <c r="CB1170" i="64"/>
  <c r="CA1170" i="64"/>
  <c r="DB1097" i="64"/>
  <c r="DE1097" i="64" s="1"/>
  <c r="CQ1170" i="64" s="1"/>
  <c r="CP1082" i="64"/>
  <c r="CB1141" i="64"/>
  <c r="CB1151" i="64"/>
  <c r="CP1066" i="64"/>
  <c r="CB1187" i="64"/>
  <c r="CP1073" i="64"/>
  <c r="CP1115" i="64"/>
  <c r="CP1062" i="64"/>
  <c r="CB1194" i="64"/>
  <c r="CR1194" i="64" s="1"/>
  <c r="CP1061" i="64"/>
  <c r="CB1183" i="64"/>
  <c r="CR1078" i="64"/>
  <c r="CD1155" i="64"/>
  <c r="CD1188" i="64"/>
  <c r="CR1065" i="64"/>
  <c r="CR1089" i="64"/>
  <c r="CR1083" i="64"/>
  <c r="CD1154" i="64"/>
  <c r="CD1153" i="64"/>
  <c r="CD1187" i="64"/>
  <c r="CR1090" i="64"/>
  <c r="CD1151" i="64"/>
  <c r="CD1130" i="64"/>
  <c r="CD1160" i="64"/>
  <c r="CR1117" i="64"/>
  <c r="CB1129" i="64"/>
  <c r="CP1084" i="64"/>
  <c r="CB1168" i="64"/>
  <c r="CP1056" i="64"/>
  <c r="CR1084" i="64"/>
  <c r="CR1114" i="64"/>
  <c r="CR1103" i="64"/>
  <c r="CB1176" i="64"/>
  <c r="CD1176" i="64"/>
  <c r="DB1103" i="64"/>
  <c r="DE1103" i="64" s="1"/>
  <c r="CQ1176" i="64" s="1"/>
  <c r="CA1176" i="64"/>
  <c r="CP1096" i="64"/>
  <c r="CC1169" i="64"/>
  <c r="CR1104" i="64"/>
  <c r="CP1119" i="64"/>
  <c r="CB1140" i="64"/>
  <c r="DB1092" i="64"/>
  <c r="DE1092" i="64" s="1"/>
  <c r="CQ1165" i="64" s="1"/>
  <c r="CA1165" i="64"/>
  <c r="CP1092" i="64"/>
  <c r="CC1165" i="64"/>
  <c r="AF882" i="64"/>
  <c r="G388" i="77"/>
  <c r="CP1107" i="64"/>
  <c r="I245" i="74"/>
  <c r="J233" i="74"/>
  <c r="CQ1101" i="64"/>
  <c r="CP1101" i="64"/>
  <c r="DB1248" i="64"/>
  <c r="K1248" i="64"/>
  <c r="X1248" i="64" s="1"/>
  <c r="J1248" i="64"/>
  <c r="W1248" i="64" s="1"/>
  <c r="E1248" i="64"/>
  <c r="R1248" i="64" s="1"/>
  <c r="L1248" i="64"/>
  <c r="Y1248" i="64" s="1"/>
  <c r="G1248" i="64"/>
  <c r="T1248" i="64" s="1"/>
  <c r="F1248" i="64"/>
  <c r="S1248" i="64" s="1"/>
  <c r="H1248" i="64"/>
  <c r="U1248" i="64" s="1"/>
  <c r="C1248" i="64"/>
  <c r="P1248" i="64" s="1"/>
  <c r="M1248" i="64"/>
  <c r="Z1248" i="64" s="1"/>
  <c r="D1248" i="64"/>
  <c r="Q1248" i="64" s="1"/>
  <c r="N1248" i="64"/>
  <c r="AA1248" i="64" s="1"/>
  <c r="I1248" i="64"/>
  <c r="V1248" i="64" s="1"/>
  <c r="DB1247" i="64"/>
  <c r="K1247" i="64"/>
  <c r="X1247" i="64" s="1"/>
  <c r="J1247" i="64"/>
  <c r="W1247" i="64" s="1"/>
  <c r="E1247" i="64"/>
  <c r="R1247" i="64" s="1"/>
  <c r="L1247" i="64"/>
  <c r="Y1247" i="64" s="1"/>
  <c r="G1247" i="64"/>
  <c r="T1247" i="64" s="1"/>
  <c r="F1247" i="64"/>
  <c r="S1247" i="64" s="1"/>
  <c r="H1247" i="64"/>
  <c r="U1247" i="64" s="1"/>
  <c r="C1247" i="64"/>
  <c r="P1247" i="64" s="1"/>
  <c r="M1247" i="64"/>
  <c r="Z1247" i="64" s="1"/>
  <c r="D1247" i="64"/>
  <c r="Q1247" i="64" s="1"/>
  <c r="N1247" i="64"/>
  <c r="AA1247" i="64" s="1"/>
  <c r="I1247" i="64"/>
  <c r="V1247" i="64" s="1"/>
  <c r="CR1100" i="64"/>
  <c r="CN1148" i="64"/>
  <c r="A1148" i="64"/>
  <c r="CC1155" i="64"/>
  <c r="CC1147" i="64"/>
  <c r="CQ1119" i="64"/>
  <c r="CQ1077" i="64"/>
  <c r="CC1175" i="64"/>
  <c r="CC1162" i="64"/>
  <c r="CQ1111" i="64"/>
  <c r="CQ1074" i="64"/>
  <c r="CC1129" i="64"/>
  <c r="CQ1118" i="64"/>
  <c r="CQ1112" i="64"/>
  <c r="CC1167" i="64"/>
  <c r="CC1192" i="64"/>
  <c r="CC1142" i="64"/>
  <c r="CQ1078" i="64"/>
  <c r="CQ1064" i="64"/>
  <c r="CC1188" i="64"/>
  <c r="CQ1075" i="64"/>
  <c r="CQ1066" i="64"/>
  <c r="CC1193" i="64"/>
  <c r="CC1127" i="64"/>
  <c r="CC1191" i="64"/>
  <c r="CC1152" i="64"/>
  <c r="CQ1076" i="64"/>
  <c r="CQ1059" i="64"/>
  <c r="CC1157" i="64"/>
  <c r="CE1150" i="64"/>
  <c r="K570" i="64"/>
  <c r="A608" i="77"/>
  <c r="A136" i="77"/>
  <c r="A190" i="77" s="1"/>
  <c r="K280" i="73"/>
  <c r="L265" i="73"/>
  <c r="L279" i="73" s="1"/>
  <c r="J588" i="73"/>
  <c r="J594" i="73" s="1"/>
  <c r="J601" i="73"/>
  <c r="K303" i="73"/>
  <c r="L287" i="73"/>
  <c r="L302" i="73" s="1"/>
  <c r="J602" i="73"/>
  <c r="J589" i="73"/>
  <c r="J595" i="73" s="1"/>
  <c r="K232" i="73"/>
  <c r="H229" i="85"/>
  <c r="J36" i="85"/>
  <c r="I55" i="85"/>
  <c r="J78" i="85"/>
  <c r="I210" i="85"/>
  <c r="I212" i="85"/>
  <c r="H203" i="85"/>
  <c r="H205" i="85" s="1"/>
  <c r="J35" i="85"/>
  <c r="I52" i="85"/>
  <c r="I556" i="73"/>
  <c r="J173" i="73"/>
  <c r="L86" i="73"/>
  <c r="M69" i="73"/>
  <c r="M85" i="73" s="1"/>
  <c r="I457" i="73"/>
  <c r="I461" i="73"/>
  <c r="K453" i="73"/>
  <c r="K455" i="73" s="1"/>
  <c r="J201" i="73"/>
  <c r="J345" i="73"/>
  <c r="J348" i="73" s="1"/>
  <c r="J145" i="73"/>
  <c r="J147" i="73"/>
  <c r="H557" i="73"/>
  <c r="H570" i="73" s="1"/>
  <c r="L212" i="73"/>
  <c r="K229" i="73"/>
  <c r="J254" i="73"/>
  <c r="L918" i="64"/>
  <c r="N430" i="64"/>
  <c r="N441" i="64"/>
  <c r="L929" i="64"/>
  <c r="L930" i="64"/>
  <c r="N442" i="64"/>
  <c r="N438" i="64"/>
  <c r="L926" i="64"/>
  <c r="L976" i="64"/>
  <c r="N488" i="64"/>
  <c r="O96" i="64"/>
  <c r="O447" i="64"/>
  <c r="M935" i="64"/>
  <c r="N428" i="64"/>
  <c r="L916" i="64"/>
  <c r="L914" i="64"/>
  <c r="N426" i="64"/>
  <c r="L936" i="64"/>
  <c r="N448" i="64"/>
  <c r="O455" i="64"/>
  <c r="M943" i="64"/>
  <c r="M978" i="64"/>
  <c r="P98" i="64"/>
  <c r="O490" i="64"/>
  <c r="N457" i="64"/>
  <c r="L945" i="64"/>
  <c r="L938" i="64"/>
  <c r="N450" i="64"/>
  <c r="L952" i="64"/>
  <c r="N464" i="64"/>
  <c r="O72" i="64"/>
  <c r="L965" i="64"/>
  <c r="N477" i="64"/>
  <c r="O85" i="64"/>
  <c r="L944" i="64"/>
  <c r="N456" i="64"/>
  <c r="M931" i="64"/>
  <c r="O443" i="64"/>
  <c r="L966" i="64"/>
  <c r="N478" i="64"/>
  <c r="O86" i="64"/>
  <c r="L972" i="64"/>
  <c r="N484" i="64"/>
  <c r="O92" i="64"/>
  <c r="M369" i="64"/>
  <c r="O463" i="64"/>
  <c r="M951" i="64"/>
  <c r="P71" i="64"/>
  <c r="O439" i="64"/>
  <c r="M927" i="64"/>
  <c r="M963" i="64"/>
  <c r="O475" i="64"/>
  <c r="P83" i="64"/>
  <c r="O431" i="64"/>
  <c r="M919" i="64"/>
  <c r="L975" i="64"/>
  <c r="N487" i="64"/>
  <c r="O95" i="64"/>
  <c r="L968" i="64"/>
  <c r="O88" i="64"/>
  <c r="N480" i="64"/>
  <c r="L960" i="64"/>
  <c r="N472" i="64"/>
  <c r="O80" i="64"/>
  <c r="L922" i="64"/>
  <c r="N434" i="64"/>
  <c r="M974" i="64"/>
  <c r="P94" i="64"/>
  <c r="O486" i="64"/>
  <c r="N454" i="64"/>
  <c r="L942" i="64"/>
  <c r="M955" i="64"/>
  <c r="O467" i="64"/>
  <c r="P75" i="64"/>
  <c r="N445" i="64"/>
  <c r="L933" i="64"/>
  <c r="M915" i="64"/>
  <c r="O427" i="64"/>
  <c r="M923" i="64"/>
  <c r="O435" i="64"/>
  <c r="M959" i="64"/>
  <c r="O471" i="64"/>
  <c r="P79" i="64"/>
  <c r="L961" i="64"/>
  <c r="N473" i="64"/>
  <c r="O81" i="64"/>
  <c r="L946" i="64"/>
  <c r="N458" i="64"/>
  <c r="N453" i="64"/>
  <c r="L941" i="64"/>
  <c r="L970" i="64"/>
  <c r="O90" i="64"/>
  <c r="N482" i="64"/>
  <c r="L969" i="64"/>
  <c r="N481" i="64"/>
  <c r="O89" i="64"/>
  <c r="L954" i="64"/>
  <c r="N466" i="64"/>
  <c r="O74" i="64"/>
  <c r="L920" i="64"/>
  <c r="N432" i="64"/>
  <c r="L932" i="64"/>
  <c r="N444" i="64"/>
  <c r="N437" i="64"/>
  <c r="L925" i="64"/>
  <c r="M939" i="64"/>
  <c r="O451" i="64"/>
  <c r="L940" i="64"/>
  <c r="N452" i="64"/>
  <c r="N433" i="64"/>
  <c r="L921" i="64"/>
  <c r="N465" i="64"/>
  <c r="L953" i="64"/>
  <c r="O73" i="64"/>
  <c r="N440" i="64"/>
  <c r="L928" i="64"/>
  <c r="N461" i="64"/>
  <c r="L949" i="64"/>
  <c r="O485" i="64"/>
  <c r="M973" i="64"/>
  <c r="P93" i="64"/>
  <c r="M947" i="64"/>
  <c r="O459" i="64"/>
  <c r="L924" i="64"/>
  <c r="N436" i="64"/>
  <c r="M971" i="64"/>
  <c r="O483" i="64"/>
  <c r="P91" i="64"/>
  <c r="O489" i="64"/>
  <c r="P97" i="64"/>
  <c r="M977" i="64"/>
  <c r="L950" i="64"/>
  <c r="N462" i="64"/>
  <c r="O70" i="64"/>
  <c r="M967" i="64"/>
  <c r="O479" i="64"/>
  <c r="P87" i="64"/>
  <c r="L958" i="64"/>
  <c r="N470" i="64"/>
  <c r="O78" i="64"/>
  <c r="L934" i="64"/>
  <c r="N446" i="64"/>
  <c r="L948" i="64"/>
  <c r="N460" i="64"/>
  <c r="N429" i="64"/>
  <c r="L917" i="64"/>
  <c r="L956" i="64"/>
  <c r="O76" i="64"/>
  <c r="N468" i="64"/>
  <c r="L957" i="64"/>
  <c r="N469" i="64"/>
  <c r="O77" i="64"/>
  <c r="N449" i="64"/>
  <c r="L937" i="64"/>
  <c r="L962" i="64"/>
  <c r="N474" i="64"/>
  <c r="O82" i="64"/>
  <c r="L964" i="64"/>
  <c r="O84" i="64"/>
  <c r="N476" i="64"/>
  <c r="CS1119" i="64"/>
  <c r="CS1110" i="64"/>
  <c r="CE1157" i="64"/>
  <c r="CS1095" i="64"/>
  <c r="CS1075" i="64"/>
  <c r="CE1174" i="64"/>
  <c r="CE1172" i="64"/>
  <c r="L746" i="64"/>
  <c r="M294" i="64"/>
  <c r="L511" i="64"/>
  <c r="CE1175" i="64"/>
  <c r="L550" i="64"/>
  <c r="L784" i="64"/>
  <c r="I646" i="64"/>
  <c r="I660" i="64" s="1"/>
  <c r="J128" i="64" s="1"/>
  <c r="CE1147" i="64"/>
  <c r="H39" i="71"/>
  <c r="CG1120" i="64"/>
  <c r="CS1077" i="64"/>
  <c r="CE1134" i="64"/>
  <c r="CE1186" i="64"/>
  <c r="CE1176" i="64"/>
  <c r="CS1090" i="64"/>
  <c r="CE1179" i="64"/>
  <c r="CE1139" i="64"/>
  <c r="CS1066" i="64"/>
  <c r="CS1106" i="64"/>
  <c r="CS1057" i="64"/>
  <c r="CE1151" i="64"/>
  <c r="CE1184" i="64"/>
  <c r="L778" i="64"/>
  <c r="L791" i="64"/>
  <c r="L907" i="64"/>
  <c r="M786" i="64"/>
  <c r="M774" i="64"/>
  <c r="M762" i="64"/>
  <c r="M747" i="64"/>
  <c r="M785" i="64"/>
  <c r="M770" i="64"/>
  <c r="M760" i="64"/>
  <c r="M748" i="64"/>
  <c r="M761" i="64"/>
  <c r="M757" i="64"/>
  <c r="M773" i="64"/>
  <c r="M769" i="64"/>
  <c r="M758" i="64"/>
  <c r="M755" i="64"/>
  <c r="M562" i="64"/>
  <c r="M560" i="64"/>
  <c r="M553" i="64"/>
  <c r="M750" i="64"/>
  <c r="M561" i="64"/>
  <c r="M554" i="64"/>
  <c r="M552" i="64"/>
  <c r="M551" i="64"/>
  <c r="M545" i="64"/>
  <c r="M544" i="64"/>
  <c r="M543" i="64"/>
  <c r="M542" i="64"/>
  <c r="M541" i="64"/>
  <c r="M540" i="64"/>
  <c r="M539" i="64"/>
  <c r="M538" i="64"/>
  <c r="M537" i="64"/>
  <c r="M779" i="64"/>
  <c r="N419" i="64"/>
  <c r="M759" i="64"/>
  <c r="M744" i="64"/>
  <c r="M743" i="64"/>
  <c r="M775" i="64"/>
  <c r="M792" i="64"/>
  <c r="M788" i="64"/>
  <c r="M766" i="64"/>
  <c r="M780" i="64"/>
  <c r="M749" i="64"/>
  <c r="M787" i="64"/>
  <c r="M765" i="64"/>
  <c r="M745" i="64"/>
  <c r="M754" i="64"/>
  <c r="M756" i="64"/>
  <c r="M771" i="64"/>
  <c r="M763" i="64"/>
  <c r="M764" i="64"/>
  <c r="M772" i="64"/>
  <c r="M793" i="64"/>
  <c r="CE1182" i="64"/>
  <c r="CS1099" i="64"/>
  <c r="CS1089" i="64"/>
  <c r="CE1187" i="64"/>
  <c r="AJ737" i="64"/>
  <c r="K643" i="64"/>
  <c r="L910" i="64"/>
  <c r="N422" i="64"/>
  <c r="L894" i="64"/>
  <c r="N406" i="64"/>
  <c r="L893" i="64"/>
  <c r="N405" i="64"/>
  <c r="CE1193" i="64"/>
  <c r="CS1102" i="64"/>
  <c r="CE1129" i="64"/>
  <c r="CE1185" i="64"/>
  <c r="CS1107" i="64"/>
  <c r="CE1163" i="64"/>
  <c r="CS1080" i="64"/>
  <c r="CS1065" i="64"/>
  <c r="CS1068" i="64"/>
  <c r="CE1141" i="64"/>
  <c r="CS1069" i="64"/>
  <c r="CE1165" i="64"/>
  <c r="CS1060" i="64"/>
  <c r="CE1135" i="64"/>
  <c r="CS1085" i="64"/>
  <c r="CS1059" i="64"/>
  <c r="CE1159" i="64"/>
  <c r="CS1058" i="64"/>
  <c r="CE1136" i="64"/>
  <c r="CS1100" i="64"/>
  <c r="CS1084" i="64"/>
  <c r="CS1067" i="64"/>
  <c r="CE1149" i="64"/>
  <c r="L904" i="64"/>
  <c r="N416" i="64"/>
  <c r="AK815" i="64"/>
  <c r="AX815" i="64"/>
  <c r="AK790" i="64"/>
  <c r="AX790" i="64"/>
  <c r="AX750" i="64"/>
  <c r="AK750" i="64"/>
  <c r="AX719" i="64"/>
  <c r="AK719" i="64"/>
  <c r="AK724" i="64"/>
  <c r="AX724" i="64"/>
  <c r="L260" i="64"/>
  <c r="L201" i="64"/>
  <c r="AX718" i="64"/>
  <c r="AK718" i="64"/>
  <c r="AX714" i="64"/>
  <c r="AK714" i="64"/>
  <c r="K707" i="64"/>
  <c r="D34" i="71" s="1"/>
  <c r="L186" i="64"/>
  <c r="L207" i="64"/>
  <c r="L266" i="64"/>
  <c r="K726" i="64"/>
  <c r="D37" i="71" s="1"/>
  <c r="L265" i="64"/>
  <c r="L206" i="64"/>
  <c r="K697" i="64"/>
  <c r="D33" i="71" s="1"/>
  <c r="L172" i="64"/>
  <c r="L898" i="64"/>
  <c r="N410" i="64"/>
  <c r="J612" i="64"/>
  <c r="K132" i="64" s="1"/>
  <c r="S1145" i="64"/>
  <c r="T1088" i="64"/>
  <c r="AG1107" i="64"/>
  <c r="CG1065" i="64"/>
  <c r="BT1098" i="64"/>
  <c r="AF1161" i="64"/>
  <c r="AF1153" i="64"/>
  <c r="AT1092" i="64"/>
  <c r="F1145" i="64"/>
  <c r="F1141" i="64"/>
  <c r="AT1082" i="64"/>
  <c r="BT1065" i="64"/>
  <c r="AF1141" i="64"/>
  <c r="T1080" i="64"/>
  <c r="BF1163" i="64"/>
  <c r="T1060" i="64"/>
  <c r="BF1145" i="64"/>
  <c r="T1082" i="64"/>
  <c r="AT1065" i="64"/>
  <c r="BT1072" i="64"/>
  <c r="BS1141" i="64"/>
  <c r="BS1171" i="64"/>
  <c r="BF1161" i="64"/>
  <c r="BT1092" i="64"/>
  <c r="BF1171" i="64"/>
  <c r="BG1103" i="64"/>
  <c r="S1161" i="64"/>
  <c r="BF1153" i="64"/>
  <c r="BF1146" i="64"/>
  <c r="BG1090" i="64"/>
  <c r="AS1180" i="64"/>
  <c r="BG1055" i="64"/>
  <c r="F1128" i="64"/>
  <c r="BF1169" i="64"/>
  <c r="F1179" i="64"/>
  <c r="AT1061" i="64"/>
  <c r="BG1087" i="64"/>
  <c r="T1086" i="64"/>
  <c r="BT1063" i="64"/>
  <c r="S1132" i="64"/>
  <c r="F1131" i="64"/>
  <c r="BF1179" i="64"/>
  <c r="BF1135" i="64"/>
  <c r="S1160" i="64"/>
  <c r="BS1159" i="64"/>
  <c r="BS1154" i="64"/>
  <c r="BS1166" i="64"/>
  <c r="AS1140" i="64"/>
  <c r="BG1080" i="64"/>
  <c r="BT1090" i="64"/>
  <c r="AG1092" i="64"/>
  <c r="AF1180" i="64"/>
  <c r="T1055" i="64"/>
  <c r="AG1096" i="64"/>
  <c r="S1179" i="64"/>
  <c r="S1134" i="64"/>
  <c r="F1139" i="64"/>
  <c r="AF1173" i="64"/>
  <c r="T1073" i="64"/>
  <c r="BF1165" i="64"/>
  <c r="T1107" i="64"/>
  <c r="AT1060" i="64"/>
  <c r="CG1096" i="64"/>
  <c r="BS1179" i="64"/>
  <c r="BS1135" i="64"/>
  <c r="BT1061" i="64"/>
  <c r="BF1160" i="64"/>
  <c r="CG1066" i="64"/>
  <c r="F1170" i="64"/>
  <c r="CG1100" i="64"/>
  <c r="CG1069" i="64"/>
  <c r="F1167" i="64"/>
  <c r="AT1091" i="64"/>
  <c r="BS1177" i="64"/>
  <c r="BF1152" i="64"/>
  <c r="AG1112" i="64"/>
  <c r="S1159" i="64"/>
  <c r="BS1139" i="64"/>
  <c r="BG1063" i="64"/>
  <c r="AT1085" i="64"/>
  <c r="T1093" i="64"/>
  <c r="BS1144" i="64"/>
  <c r="AT1076" i="64"/>
  <c r="AG1076" i="64"/>
  <c r="BF1132" i="64"/>
  <c r="AG1084" i="64"/>
  <c r="S1131" i="64"/>
  <c r="AG1067" i="64"/>
  <c r="T1118" i="64"/>
  <c r="BF1130" i="64"/>
  <c r="T1070" i="64"/>
  <c r="AS1164" i="64"/>
  <c r="AS1178" i="64"/>
  <c r="AF1136" i="64"/>
  <c r="CG1085" i="64"/>
  <c r="BG1097" i="64"/>
  <c r="CG1093" i="64"/>
  <c r="F1144" i="64"/>
  <c r="BF1173" i="64"/>
  <c r="S1149" i="64"/>
  <c r="AF1142" i="64"/>
  <c r="AT1084" i="64"/>
  <c r="CG1067" i="64"/>
  <c r="AS1148" i="64"/>
  <c r="BS1178" i="64"/>
  <c r="AT1102" i="64"/>
  <c r="BT1116" i="64"/>
  <c r="BT1079" i="64"/>
  <c r="AS1154" i="64"/>
  <c r="BS1158" i="64"/>
  <c r="S1170" i="64"/>
  <c r="AG1071" i="64"/>
  <c r="CG1059" i="64"/>
  <c r="S1157" i="64"/>
  <c r="AG1058" i="64"/>
  <c r="BG1067" i="64"/>
  <c r="CG1057" i="64"/>
  <c r="AG1101" i="64"/>
  <c r="S1164" i="64"/>
  <c r="BT1105" i="64"/>
  <c r="BS1172" i="64"/>
  <c r="AF1127" i="64"/>
  <c r="BS1167" i="64"/>
  <c r="AT1114" i="64"/>
  <c r="BS1183" i="64"/>
  <c r="AG1104" i="64"/>
  <c r="AF1143" i="64"/>
  <c r="F1188" i="64"/>
  <c r="AT1115" i="64"/>
  <c r="AF1151" i="64"/>
  <c r="AS1150" i="64"/>
  <c r="AS1143" i="64"/>
  <c r="AG1057" i="64"/>
  <c r="AF1189" i="64"/>
  <c r="AF1175" i="64"/>
  <c r="AG1091" i="64"/>
  <c r="S1194" i="64"/>
  <c r="CG1118" i="64"/>
  <c r="F1137" i="64"/>
  <c r="BG1105" i="64"/>
  <c r="T1113" i="64"/>
  <c r="BF1181" i="64"/>
  <c r="BT1117" i="64"/>
  <c r="AS1182" i="64"/>
  <c r="BG1095" i="64"/>
  <c r="AF1181" i="64"/>
  <c r="F1143" i="64"/>
  <c r="CG1079" i="64"/>
  <c r="BT1064" i="64"/>
  <c r="BS1187" i="64"/>
  <c r="AT1105" i="64"/>
  <c r="BS1148" i="64"/>
  <c r="AT1064" i="64"/>
  <c r="CG1064" i="64"/>
  <c r="T1078" i="64"/>
  <c r="CG1077" i="64"/>
  <c r="S1143" i="64"/>
  <c r="AS1183" i="64"/>
  <c r="F1191" i="64"/>
  <c r="BT1099" i="64"/>
  <c r="F1164" i="64"/>
  <c r="AS1152" i="64"/>
  <c r="S1185" i="64"/>
  <c r="BT1078" i="64"/>
  <c r="BT1077" i="64"/>
  <c r="AS1168" i="64"/>
  <c r="BF1186" i="64"/>
  <c r="F1190" i="64"/>
  <c r="BG1109" i="64"/>
  <c r="BT1095" i="64"/>
  <c r="AG1108" i="64"/>
  <c r="S1127" i="64"/>
  <c r="BT1094" i="64"/>
  <c r="AF1191" i="64"/>
  <c r="BT1115" i="64"/>
  <c r="T1104" i="64"/>
  <c r="BF1156" i="64"/>
  <c r="AT1111" i="64"/>
  <c r="AF1188" i="64"/>
  <c r="F1151" i="64"/>
  <c r="BF1178" i="64"/>
  <c r="CG1070" i="64"/>
  <c r="BS1189" i="64"/>
  <c r="CG1114" i="64"/>
  <c r="AF1194" i="64"/>
  <c r="S1147" i="64"/>
  <c r="S1167" i="64"/>
  <c r="BG1057" i="64"/>
  <c r="S1187" i="64"/>
  <c r="F1178" i="64"/>
  <c r="AG1083" i="64"/>
  <c r="AF1190" i="64"/>
  <c r="BS1182" i="64"/>
  <c r="BG1120" i="64"/>
  <c r="T1095" i="64"/>
  <c r="BF1190" i="64"/>
  <c r="F1156" i="64"/>
  <c r="AF1182" i="64"/>
  <c r="AT1120" i="64"/>
  <c r="AF1162" i="64"/>
  <c r="BT1113" i="64"/>
  <c r="T1109" i="64"/>
  <c r="CS1094" i="64"/>
  <c r="CE1127" i="64"/>
  <c r="CS1101" i="64"/>
  <c r="CE1189" i="64"/>
  <c r="L912" i="64"/>
  <c r="N424" i="64"/>
  <c r="L909" i="64"/>
  <c r="N421" i="64"/>
  <c r="H38" i="71"/>
  <c r="L895" i="64"/>
  <c r="N407" i="64"/>
  <c r="H1011" i="64"/>
  <c r="H1082" i="64" s="1"/>
  <c r="H997" i="64"/>
  <c r="H1068" i="64" s="1"/>
  <c r="H1014" i="64"/>
  <c r="H1085" i="64" s="1"/>
  <c r="H1003" i="64"/>
  <c r="H1074" i="64" s="1"/>
  <c r="H1045" i="64"/>
  <c r="H1116" i="64" s="1"/>
  <c r="M339" i="64"/>
  <c r="L889" i="64"/>
  <c r="M523" i="64"/>
  <c r="M515" i="64"/>
  <c r="M506" i="64"/>
  <c r="M502" i="64"/>
  <c r="M521" i="64"/>
  <c r="M513" i="64"/>
  <c r="M504" i="64"/>
  <c r="M500" i="64"/>
  <c r="M512" i="64"/>
  <c r="M503" i="64"/>
  <c r="M499" i="64"/>
  <c r="N401" i="64"/>
  <c r="N387" i="64"/>
  <c r="N383" i="64"/>
  <c r="N372" i="64"/>
  <c r="N360" i="64"/>
  <c r="N354" i="64"/>
  <c r="F20" i="71" s="1"/>
  <c r="N353" i="64"/>
  <c r="F19" i="71" s="1"/>
  <c r="N351" i="64"/>
  <c r="F17" i="71" s="1"/>
  <c r="N371" i="64"/>
  <c r="N362" i="64"/>
  <c r="N341" i="64"/>
  <c r="N334" i="64"/>
  <c r="N322" i="64"/>
  <c r="N318" i="64"/>
  <c r="N311" i="64"/>
  <c r="N307" i="64"/>
  <c r="N303" i="64"/>
  <c r="N295" i="64"/>
  <c r="N291" i="64"/>
  <c r="M522" i="64"/>
  <c r="M498" i="64"/>
  <c r="N384" i="64"/>
  <c r="N382" i="64"/>
  <c r="M514" i="64"/>
  <c r="M505" i="64"/>
  <c r="M501" i="64"/>
  <c r="N370" i="64"/>
  <c r="N363" i="64"/>
  <c r="N361" i="64"/>
  <c r="N348" i="64"/>
  <c r="F14" i="71" s="1"/>
  <c r="N336" i="64"/>
  <c r="N328" i="64"/>
  <c r="N320" i="64"/>
  <c r="N313" i="64"/>
  <c r="N309" i="64"/>
  <c r="N305" i="64"/>
  <c r="N297" i="64"/>
  <c r="N293" i="64"/>
  <c r="N381" i="64"/>
  <c r="N350" i="64"/>
  <c r="F16" i="71" s="1"/>
  <c r="N349" i="64"/>
  <c r="F15" i="71" s="1"/>
  <c r="N347" i="64"/>
  <c r="F13" i="71" s="1"/>
  <c r="N335" i="64"/>
  <c r="N327" i="64"/>
  <c r="N323" i="64"/>
  <c r="N319" i="64"/>
  <c r="N312" i="64"/>
  <c r="N308" i="64"/>
  <c r="N304" i="64"/>
  <c r="N296" i="64"/>
  <c r="N292" i="64"/>
  <c r="N333" i="64"/>
  <c r="N352" i="64"/>
  <c r="F18" i="71" s="1"/>
  <c r="N340" i="64"/>
  <c r="N314" i="64"/>
  <c r="N310" i="64"/>
  <c r="N306" i="64"/>
  <c r="N380" i="64"/>
  <c r="N302" i="64"/>
  <c r="N298" i="64"/>
  <c r="N321" i="64"/>
  <c r="N317" i="64"/>
  <c r="M326" i="64"/>
  <c r="Y817" i="64"/>
  <c r="L708" i="64"/>
  <c r="Y747" i="64"/>
  <c r="L673" i="64"/>
  <c r="L676" i="64"/>
  <c r="L678" i="64"/>
  <c r="Y680" i="64"/>
  <c r="L684" i="64"/>
  <c r="M173" i="64" s="1"/>
  <c r="L686" i="64"/>
  <c r="M175" i="64" s="1"/>
  <c r="L688" i="64"/>
  <c r="M177" i="64" s="1"/>
  <c r="L690" i="64"/>
  <c r="M179" i="64" s="1"/>
  <c r="L692" i="64"/>
  <c r="M181" i="64" s="1"/>
  <c r="L694" i="64"/>
  <c r="M183" i="64" s="1"/>
  <c r="L699" i="64"/>
  <c r="M187" i="64" s="1"/>
  <c r="L701" i="64"/>
  <c r="M189" i="64" s="1"/>
  <c r="L703" i="64"/>
  <c r="M191" i="64" s="1"/>
  <c r="Y725" i="64"/>
  <c r="L722" i="64"/>
  <c r="L683" i="64"/>
  <c r="L685" i="64"/>
  <c r="M174" i="64" s="1"/>
  <c r="L687" i="64"/>
  <c r="M176" i="64" s="1"/>
  <c r="L689" i="64"/>
  <c r="M178" i="64" s="1"/>
  <c r="L691" i="64"/>
  <c r="M180" i="64" s="1"/>
  <c r="L693" i="64"/>
  <c r="M182" i="64" s="1"/>
  <c r="L672" i="64"/>
  <c r="L674" i="64"/>
  <c r="L677" i="64"/>
  <c r="L679" i="64"/>
  <c r="L715" i="64"/>
  <c r="L717" i="64"/>
  <c r="Y868" i="64"/>
  <c r="L698" i="64"/>
  <c r="L700" i="64"/>
  <c r="M188" i="64" s="1"/>
  <c r="L702" i="64"/>
  <c r="M190" i="64" s="1"/>
  <c r="L721" i="64"/>
  <c r="Y751" i="64"/>
  <c r="L704" i="64"/>
  <c r="M192" i="64" s="1"/>
  <c r="L714" i="64"/>
  <c r="L716" i="64"/>
  <c r="L695" i="64"/>
  <c r="M184" i="64" s="1"/>
  <c r="L709" i="64"/>
  <c r="M196" i="64" s="1"/>
  <c r="Y721" i="64"/>
  <c r="Y746" i="64"/>
  <c r="Y796" i="64"/>
  <c r="Y786" i="64"/>
  <c r="Y822" i="64"/>
  <c r="Y815" i="64"/>
  <c r="L902" i="64"/>
  <c r="N414" i="64"/>
  <c r="K611" i="64"/>
  <c r="K531" i="64"/>
  <c r="CE1181" i="64"/>
  <c r="CE1148" i="64"/>
  <c r="CE1167" i="64"/>
  <c r="CS1074" i="64"/>
  <c r="CS1070" i="64"/>
  <c r="CS1078" i="64"/>
  <c r="CS1083" i="64"/>
  <c r="L897" i="64"/>
  <c r="N409" i="64"/>
  <c r="L911" i="64"/>
  <c r="N423" i="64"/>
  <c r="CE1162" i="64"/>
  <c r="CE1188" i="64"/>
  <c r="CE1194" i="64"/>
  <c r="CE1191" i="64"/>
  <c r="L899" i="64"/>
  <c r="N411" i="64"/>
  <c r="CS1098" i="64"/>
  <c r="CS1061" i="64"/>
  <c r="CE1128" i="64"/>
  <c r="CS1097" i="64"/>
  <c r="CS1063" i="64"/>
  <c r="CE1173" i="64"/>
  <c r="CE1142" i="64"/>
  <c r="D39" i="71"/>
  <c r="K610" i="64"/>
  <c r="D38" i="71"/>
  <c r="AK819" i="64"/>
  <c r="AX819" i="64"/>
  <c r="AK821" i="64"/>
  <c r="AX821" i="64"/>
  <c r="AK818" i="64"/>
  <c r="AX818" i="64"/>
  <c r="AX796" i="64"/>
  <c r="AK796" i="64"/>
  <c r="AK814" i="64"/>
  <c r="AX814" i="64"/>
  <c r="AK743" i="64"/>
  <c r="AX743" i="64"/>
  <c r="AX789" i="64"/>
  <c r="AK789" i="64"/>
  <c r="AK746" i="64"/>
  <c r="AX746" i="64"/>
  <c r="AX744" i="64"/>
  <c r="AK744" i="64"/>
  <c r="AX717" i="64"/>
  <c r="AK717" i="64"/>
  <c r="AX677" i="64"/>
  <c r="AK677" i="64"/>
  <c r="AX716" i="64"/>
  <c r="AK716" i="64"/>
  <c r="L202" i="64"/>
  <c r="L261" i="64"/>
  <c r="AX680" i="64"/>
  <c r="AK680" i="64"/>
  <c r="AX868" i="64"/>
  <c r="AK868" i="64"/>
  <c r="AX678" i="64"/>
  <c r="AK678" i="64"/>
  <c r="AX817" i="64"/>
  <c r="AK817" i="64"/>
  <c r="AX793" i="64"/>
  <c r="AK793" i="64"/>
  <c r="AF1155" i="64"/>
  <c r="AS1141" i="64"/>
  <c r="AG1088" i="64"/>
  <c r="BT1096" i="64"/>
  <c r="F1138" i="64"/>
  <c r="T1098" i="64"/>
  <c r="BS1161" i="64"/>
  <c r="AG1073" i="64"/>
  <c r="AF1169" i="64"/>
  <c r="S1141" i="64"/>
  <c r="AT1098" i="64"/>
  <c r="BG1082" i="64"/>
  <c r="AT1072" i="64"/>
  <c r="S1171" i="64"/>
  <c r="CG1080" i="64"/>
  <c r="T1090" i="64"/>
  <c r="BS1169" i="64"/>
  <c r="BG1098" i="64"/>
  <c r="AS1155" i="64"/>
  <c r="BG1065" i="64"/>
  <c r="AG1072" i="64"/>
  <c r="AG1068" i="64"/>
  <c r="S1176" i="64"/>
  <c r="AT1080" i="64"/>
  <c r="AG1055" i="64"/>
  <c r="CG1098" i="64"/>
  <c r="AG1103" i="64"/>
  <c r="BG1088" i="64"/>
  <c r="S1153" i="64"/>
  <c r="BT1073" i="64"/>
  <c r="BS1163" i="64"/>
  <c r="BG1107" i="64"/>
  <c r="AS1128" i="64"/>
  <c r="BS1133" i="64"/>
  <c r="T1096" i="64"/>
  <c r="AG1062" i="64"/>
  <c r="T1061" i="64"/>
  <c r="F1160" i="64"/>
  <c r="AF1139" i="64"/>
  <c r="CG1063" i="64"/>
  <c r="AS1142" i="64"/>
  <c r="BG1058" i="64"/>
  <c r="BT1062" i="64"/>
  <c r="AF1134" i="64"/>
  <c r="AS1160" i="64"/>
  <c r="BF1139" i="64"/>
  <c r="BT1081" i="64"/>
  <c r="F1149" i="64"/>
  <c r="T1103" i="64"/>
  <c r="AS1153" i="64"/>
  <c r="AS1163" i="64"/>
  <c r="BS1165" i="64"/>
  <c r="BS1180" i="64"/>
  <c r="AG1060" i="64"/>
  <c r="AT1106" i="64"/>
  <c r="T1062" i="64"/>
  <c r="AT1087" i="64"/>
  <c r="T1085" i="64"/>
  <c r="BS1142" i="64"/>
  <c r="BG1073" i="64"/>
  <c r="AT1107" i="64"/>
  <c r="BT1055" i="64"/>
  <c r="CG1060" i="64"/>
  <c r="AG1106" i="64"/>
  <c r="F1135" i="64"/>
  <c r="CG1061" i="64"/>
  <c r="T1087" i="64"/>
  <c r="AT1086" i="64"/>
  <c r="S1154" i="64"/>
  <c r="F1166" i="64"/>
  <c r="T1100" i="64"/>
  <c r="AS1157" i="64"/>
  <c r="T1112" i="64"/>
  <c r="BS1137" i="64"/>
  <c r="BS1127" i="64"/>
  <c r="BG1077" i="64"/>
  <c r="BF1177" i="64"/>
  <c r="AG1066" i="64"/>
  <c r="F1154" i="64"/>
  <c r="T1063" i="64"/>
  <c r="BF1170" i="64"/>
  <c r="AF1166" i="64"/>
  <c r="S1173" i="64"/>
  <c r="AF1149" i="64"/>
  <c r="BG1059" i="64"/>
  <c r="F1132" i="64"/>
  <c r="BT1084" i="64"/>
  <c r="AF1131" i="64"/>
  <c r="AT1067" i="64"/>
  <c r="AG1118" i="64"/>
  <c r="BF1194" i="64"/>
  <c r="AG1119" i="64"/>
  <c r="BT1118" i="64"/>
  <c r="BF1154" i="64"/>
  <c r="S1136" i="64"/>
  <c r="BF1158" i="64"/>
  <c r="BT1097" i="64"/>
  <c r="BG1071" i="64"/>
  <c r="BF1144" i="64"/>
  <c r="F1173" i="64"/>
  <c r="BG1076" i="64"/>
  <c r="BG1069" i="64"/>
  <c r="AF1157" i="64"/>
  <c r="BF1140" i="64"/>
  <c r="T1110" i="64"/>
  <c r="BG1056" i="64"/>
  <c r="AF1150" i="64"/>
  <c r="T1099" i="64"/>
  <c r="BS1151" i="64"/>
  <c r="BS1136" i="64"/>
  <c r="S1158" i="64"/>
  <c r="AF1170" i="64"/>
  <c r="AT1071" i="64"/>
  <c r="AT1059" i="64"/>
  <c r="T1084" i="64"/>
  <c r="AS1131" i="64"/>
  <c r="BS1140" i="64"/>
  <c r="AG1064" i="64"/>
  <c r="BS1185" i="64"/>
  <c r="F1129" i="64"/>
  <c r="AT1075" i="64"/>
  <c r="AT1070" i="64"/>
  <c r="T1075" i="64"/>
  <c r="F1183" i="64"/>
  <c r="AF1187" i="64"/>
  <c r="AS1151" i="64"/>
  <c r="S1150" i="64"/>
  <c r="AG1056" i="64"/>
  <c r="BG1064" i="64"/>
  <c r="AF1185" i="64"/>
  <c r="F1175" i="64"/>
  <c r="T1074" i="64"/>
  <c r="F1148" i="64"/>
  <c r="BS1188" i="64"/>
  <c r="AG1111" i="64"/>
  <c r="AF1177" i="64"/>
  <c r="AT1083" i="64"/>
  <c r="BG1116" i="64"/>
  <c r="BT1057" i="64"/>
  <c r="BT1102" i="64"/>
  <c r="BT1074" i="64"/>
  <c r="AF1168" i="64"/>
  <c r="AS1186" i="64"/>
  <c r="BG1108" i="64"/>
  <c r="AS1190" i="64"/>
  <c r="BF1162" i="64"/>
  <c r="AG1054" i="64"/>
  <c r="S1148" i="64"/>
  <c r="BT1111" i="64"/>
  <c r="AS1192" i="64"/>
  <c r="AT1078" i="64"/>
  <c r="AT1077" i="64"/>
  <c r="BF1129" i="64"/>
  <c r="T1116" i="64"/>
  <c r="BF1191" i="64"/>
  <c r="T1102" i="64"/>
  <c r="BT1091" i="64"/>
  <c r="S1129" i="64"/>
  <c r="BG1112" i="64"/>
  <c r="AF1152" i="64"/>
  <c r="F1177" i="64"/>
  <c r="BT1070" i="64"/>
  <c r="BT1114" i="64"/>
  <c r="AS1137" i="64"/>
  <c r="BG1102" i="64"/>
  <c r="AG1074" i="64"/>
  <c r="F1162" i="64"/>
  <c r="AF1186" i="64"/>
  <c r="BT1108" i="64"/>
  <c r="CG1117" i="64"/>
  <c r="BS1162" i="64"/>
  <c r="BT1054" i="64"/>
  <c r="BG1075" i="64"/>
  <c r="CG1115" i="64"/>
  <c r="AS1130" i="64"/>
  <c r="BS1191" i="64"/>
  <c r="T1105" i="64"/>
  <c r="BF1148" i="64"/>
  <c r="AS1184" i="64"/>
  <c r="CG1116" i="64"/>
  <c r="CG1102" i="64"/>
  <c r="F1150" i="64"/>
  <c r="AF1148" i="64"/>
  <c r="AG1079" i="64"/>
  <c r="BS1130" i="64"/>
  <c r="AF1172" i="64"/>
  <c r="BT1083" i="64"/>
  <c r="T1079" i="64"/>
  <c r="AS1191" i="64"/>
  <c r="AG1078" i="64"/>
  <c r="BS1150" i="64"/>
  <c r="CG1095" i="64"/>
  <c r="BS1186" i="64"/>
  <c r="AG1117" i="64"/>
  <c r="S1182" i="64"/>
  <c r="AT1089" i="64"/>
  <c r="BS1181" i="64"/>
  <c r="AS1156" i="64"/>
  <c r="AT1108" i="64"/>
  <c r="AG1109" i="64"/>
  <c r="AS1193" i="64"/>
  <c r="F1168" i="64"/>
  <c r="T1117" i="64"/>
  <c r="CS1056" i="64"/>
  <c r="CS1079" i="64"/>
  <c r="J643" i="64"/>
  <c r="J647" i="64" s="1"/>
  <c r="H1015" i="64"/>
  <c r="H1086" i="64" s="1"/>
  <c r="H1001" i="64"/>
  <c r="H1072" i="64" s="1"/>
  <c r="H1039" i="64"/>
  <c r="H1110" i="64" s="1"/>
  <c r="M301" i="64"/>
  <c r="M316" i="64"/>
  <c r="CE1152" i="64"/>
  <c r="CE1156" i="64"/>
  <c r="CE1190" i="64"/>
  <c r="CS1091" i="64"/>
  <c r="CS1114" i="64"/>
  <c r="L753" i="64"/>
  <c r="L569" i="64"/>
  <c r="AM1040" i="64"/>
  <c r="AM1044" i="64"/>
  <c r="AM1039" i="64"/>
  <c r="AM1041" i="64"/>
  <c r="AM1043" i="64"/>
  <c r="AM1045" i="64"/>
  <c r="AM1024" i="64"/>
  <c r="I1024" i="64" s="1"/>
  <c r="I1095" i="64" s="1"/>
  <c r="AM1018" i="64"/>
  <c r="I1018" i="64" s="1"/>
  <c r="I1089" i="64" s="1"/>
  <c r="AM1038" i="64"/>
  <c r="AM1042" i="64"/>
  <c r="AM1037" i="64"/>
  <c r="I1037" i="64" s="1"/>
  <c r="I1108" i="64" s="1"/>
  <c r="AM983" i="64"/>
  <c r="AM1004" i="64"/>
  <c r="AM999" i="64"/>
  <c r="AM1031" i="64"/>
  <c r="I1031" i="64" s="1"/>
  <c r="I1102" i="64" s="1"/>
  <c r="AM1006" i="64"/>
  <c r="AM985" i="64"/>
  <c r="AM1003" i="64"/>
  <c r="AM1020" i="64"/>
  <c r="AM1033" i="64"/>
  <c r="AM1028" i="64"/>
  <c r="AM1012" i="64"/>
  <c r="AM1011" i="64"/>
  <c r="AM1027" i="64"/>
  <c r="AM1014" i="64"/>
  <c r="AM990" i="64"/>
  <c r="AM996" i="64"/>
  <c r="AM1000" i="64"/>
  <c r="AM995" i="64"/>
  <c r="AM988" i="64"/>
  <c r="AM1002" i="64"/>
  <c r="AM998" i="64"/>
  <c r="AM1010" i="64"/>
  <c r="AM1013" i="64"/>
  <c r="AM1025" i="64"/>
  <c r="AM1026" i="64"/>
  <c r="AM1032" i="64"/>
  <c r="AM984" i="64"/>
  <c r="AM1015" i="64"/>
  <c r="AM1001" i="64"/>
  <c r="AM1019" i="64"/>
  <c r="AM989" i="64"/>
  <c r="AM1009" i="64"/>
  <c r="AM1005" i="64"/>
  <c r="AM997" i="64"/>
  <c r="AM994" i="64"/>
  <c r="AM987" i="64"/>
  <c r="L388" i="64"/>
  <c r="CS1108" i="64"/>
  <c r="CS1064" i="64"/>
  <c r="CS1115" i="64"/>
  <c r="CS1104" i="64"/>
  <c r="CE1164" i="64"/>
  <c r="K121" i="64"/>
  <c r="P612" i="77"/>
  <c r="J642" i="64"/>
  <c r="J646" i="64" s="1"/>
  <c r="J660" i="64" s="1"/>
  <c r="K128" i="64" s="1"/>
  <c r="L890" i="64"/>
  <c r="N402" i="64"/>
  <c r="CS1054" i="64"/>
  <c r="CE1183" i="64"/>
  <c r="L905" i="64"/>
  <c r="N417" i="64"/>
  <c r="CE1138" i="64"/>
  <c r="CS1072" i="64"/>
  <c r="CE1161" i="64"/>
  <c r="CS1073" i="64"/>
  <c r="CE1171" i="64"/>
  <c r="CE1180" i="64"/>
  <c r="CE1133" i="64"/>
  <c r="CE1146" i="64"/>
  <c r="CS1103" i="64"/>
  <c r="CS1088" i="64"/>
  <c r="CE1160" i="64"/>
  <c r="CS1092" i="64"/>
  <c r="CS1096" i="64"/>
  <c r="CS1081" i="64"/>
  <c r="CS1093" i="64"/>
  <c r="CE1158" i="64"/>
  <c r="CS1076" i="64"/>
  <c r="L908" i="64"/>
  <c r="N420" i="64"/>
  <c r="AX822" i="64"/>
  <c r="AK822" i="64"/>
  <c r="AX748" i="64"/>
  <c r="AK748" i="64"/>
  <c r="AX792" i="64"/>
  <c r="AK792" i="64"/>
  <c r="AK788" i="64"/>
  <c r="AX788" i="64"/>
  <c r="AX749" i="64"/>
  <c r="AK749" i="64"/>
  <c r="AX715" i="64"/>
  <c r="AK715" i="64"/>
  <c r="AX679" i="64"/>
  <c r="AK679" i="64"/>
  <c r="L203" i="64"/>
  <c r="L262" i="64"/>
  <c r="K675" i="64"/>
  <c r="D31" i="71"/>
  <c r="AK725" i="64"/>
  <c r="AX725" i="64"/>
  <c r="AX672" i="64"/>
  <c r="AK672" i="64"/>
  <c r="K720" i="64"/>
  <c r="L200" i="64"/>
  <c r="L259" i="64"/>
  <c r="AX676" i="64"/>
  <c r="AK676" i="64"/>
  <c r="AK794" i="64"/>
  <c r="AX794" i="64"/>
  <c r="F1155" i="64"/>
  <c r="BT1068" i="64"/>
  <c r="AF1146" i="64"/>
  <c r="F1169" i="64"/>
  <c r="BS1145" i="64"/>
  <c r="AS1171" i="64"/>
  <c r="AS1161" i="64"/>
  <c r="AS1146" i="64"/>
  <c r="AG1065" i="64"/>
  <c r="BG1068" i="64"/>
  <c r="CG1090" i="64"/>
  <c r="S1155" i="64"/>
  <c r="BG1072" i="64"/>
  <c r="AF1176" i="64"/>
  <c r="CG1073" i="64"/>
  <c r="BT1060" i="64"/>
  <c r="BT1082" i="64"/>
  <c r="BF1155" i="64"/>
  <c r="BS1155" i="64"/>
  <c r="BS1138" i="64"/>
  <c r="AS1145" i="64"/>
  <c r="T1068" i="64"/>
  <c r="BT1103" i="64"/>
  <c r="BS1153" i="64"/>
  <c r="AF1128" i="64"/>
  <c r="AF1171" i="64"/>
  <c r="BS1176" i="64"/>
  <c r="BT1088" i="64"/>
  <c r="AG1080" i="64"/>
  <c r="AG1090" i="64"/>
  <c r="T1092" i="64"/>
  <c r="S1180" i="64"/>
  <c r="S1128" i="64"/>
  <c r="S1133" i="64"/>
  <c r="BG1096" i="64"/>
  <c r="AT1062" i="64"/>
  <c r="AG1087" i="64"/>
  <c r="BG1086" i="64"/>
  <c r="AS1139" i="64"/>
  <c r="AT1093" i="64"/>
  <c r="AT1069" i="64"/>
  <c r="T1106" i="64"/>
  <c r="S1135" i="64"/>
  <c r="BG1061" i="64"/>
  <c r="BT1086" i="64"/>
  <c r="S1139" i="64"/>
  <c r="BS1170" i="64"/>
  <c r="BS1132" i="64"/>
  <c r="AT1088" i="64"/>
  <c r="F1146" i="64"/>
  <c r="AF1165" i="64"/>
  <c r="S1165" i="64"/>
  <c r="BT1107" i="64"/>
  <c r="AF1133" i="64"/>
  <c r="CG1106" i="64"/>
  <c r="AF1135" i="64"/>
  <c r="BT1087" i="64"/>
  <c r="F1158" i="64"/>
  <c r="S1142" i="64"/>
  <c r="F1163" i="64"/>
  <c r="F1180" i="64"/>
  <c r="BS1128" i="64"/>
  <c r="F1133" i="64"/>
  <c r="AF1179" i="64"/>
  <c r="AS1135" i="64"/>
  <c r="AS1134" i="64"/>
  <c r="AF1160" i="64"/>
  <c r="AG1086" i="64"/>
  <c r="BF1136" i="64"/>
  <c r="CG1071" i="64"/>
  <c r="T1076" i="64"/>
  <c r="CG1058" i="64"/>
  <c r="BF1189" i="64"/>
  <c r="BG1114" i="64"/>
  <c r="CG1101" i="64"/>
  <c r="F1174" i="64"/>
  <c r="AF1159" i="64"/>
  <c r="AT1066" i="64"/>
  <c r="AT1081" i="64"/>
  <c r="AT1063" i="64"/>
  <c r="AS1170" i="64"/>
  <c r="BT1071" i="64"/>
  <c r="AT1100" i="64"/>
  <c r="BT1076" i="64"/>
  <c r="AS1132" i="64"/>
  <c r="T1069" i="64"/>
  <c r="BF1157" i="64"/>
  <c r="AT1058" i="64"/>
  <c r="CG1054" i="64"/>
  <c r="AT1104" i="64"/>
  <c r="BF1151" i="64"/>
  <c r="S1184" i="64"/>
  <c r="AG1116" i="64"/>
  <c r="T1081" i="64"/>
  <c r="BG1085" i="64"/>
  <c r="AF1158" i="64"/>
  <c r="AG1093" i="64"/>
  <c r="AF1144" i="64"/>
  <c r="BS1173" i="64"/>
  <c r="BF1149" i="64"/>
  <c r="BT1059" i="64"/>
  <c r="BT1069" i="64"/>
  <c r="T1058" i="64"/>
  <c r="S1140" i="64"/>
  <c r="AF1137" i="64"/>
  <c r="AT1079" i="64"/>
  <c r="AG1075" i="64"/>
  <c r="AF1156" i="64"/>
  <c r="CG1081" i="64"/>
  <c r="AG1063" i="64"/>
  <c r="AS1158" i="64"/>
  <c r="BT1093" i="64"/>
  <c r="AG1100" i="64"/>
  <c r="AG1069" i="64"/>
  <c r="BG1084" i="64"/>
  <c r="BS1131" i="64"/>
  <c r="F1127" i="64"/>
  <c r="CG1078" i="64"/>
  <c r="S1137" i="64"/>
  <c r="BT1119" i="64"/>
  <c r="AT1118" i="64"/>
  <c r="BF1143" i="64"/>
  <c r="AS1129" i="64"/>
  <c r="AT1112" i="64"/>
  <c r="BT1110" i="64"/>
  <c r="AS1175" i="64"/>
  <c r="BG1074" i="64"/>
  <c r="AS1167" i="64"/>
  <c r="AF1192" i="64"/>
  <c r="AG1110" i="64"/>
  <c r="CG1099" i="64"/>
  <c r="BF1164" i="64"/>
  <c r="BS1174" i="64"/>
  <c r="BS1152" i="64"/>
  <c r="BG1110" i="64"/>
  <c r="AF1178" i="64"/>
  <c r="AT1056" i="64"/>
  <c r="BG1119" i="64"/>
  <c r="AS1188" i="64"/>
  <c r="S1172" i="64"/>
  <c r="BS1147" i="64"/>
  <c r="BT1120" i="64"/>
  <c r="S1162" i="64"/>
  <c r="BF1168" i="64"/>
  <c r="AS1181" i="64"/>
  <c r="F1193" i="64"/>
  <c r="BS1143" i="64"/>
  <c r="BT1101" i="64"/>
  <c r="F1194" i="64"/>
  <c r="T1119" i="64"/>
  <c r="BF1175" i="64"/>
  <c r="AF1164" i="64"/>
  <c r="BF1167" i="64"/>
  <c r="F1152" i="64"/>
  <c r="CG1119" i="64"/>
  <c r="S1177" i="64"/>
  <c r="T1083" i="64"/>
  <c r="BG1101" i="64"/>
  <c r="S1188" i="64"/>
  <c r="T1064" i="64"/>
  <c r="BF1150" i="64"/>
  <c r="T1056" i="64"/>
  <c r="CG1110" i="64"/>
  <c r="BS1194" i="64"/>
  <c r="AT1099" i="64"/>
  <c r="BG1091" i="64"/>
  <c r="AT1109" i="64"/>
  <c r="AS1162" i="64"/>
  <c r="CG1089" i="64"/>
  <c r="CG1113" i="64"/>
  <c r="BF1182" i="64"/>
  <c r="AT1054" i="64"/>
  <c r="AF1129" i="64"/>
  <c r="S1192" i="64"/>
  <c r="AT1110" i="64"/>
  <c r="BG1078" i="64"/>
  <c r="AF1147" i="64"/>
  <c r="S1174" i="64"/>
  <c r="AT1116" i="64"/>
  <c r="F1192" i="64"/>
  <c r="BS1175" i="64"/>
  <c r="BS1164" i="64"/>
  <c r="CG1056" i="64"/>
  <c r="BT1112" i="64"/>
  <c r="AS1187" i="64"/>
  <c r="S1178" i="64"/>
  <c r="CG1075" i="64"/>
  <c r="F1130" i="64"/>
  <c r="AG1115" i="64"/>
  <c r="AG1102" i="64"/>
  <c r="F1147" i="64"/>
  <c r="BG1089" i="64"/>
  <c r="AG1095" i="64"/>
  <c r="AT1113" i="64"/>
  <c r="CG1108" i="64"/>
  <c r="S1193" i="64"/>
  <c r="T1077" i="64"/>
  <c r="S1168" i="64"/>
  <c r="S1186" i="64"/>
  <c r="T1108" i="64"/>
  <c r="CG1109" i="64"/>
  <c r="T1089" i="64"/>
  <c r="F1181" i="64"/>
  <c r="CS1120" i="64"/>
  <c r="L896" i="64"/>
  <c r="N408" i="64"/>
  <c r="H995" i="64"/>
  <c r="H1066" i="64" s="1"/>
  <c r="H1005" i="64"/>
  <c r="H1076" i="64" s="1"/>
  <c r="H983" i="64"/>
  <c r="H1054" i="64" s="1"/>
  <c r="H999" i="64"/>
  <c r="H1070" i="64" s="1"/>
  <c r="H1004" i="64"/>
  <c r="H1075" i="64" s="1"/>
  <c r="H1040" i="64"/>
  <c r="H1111" i="64" s="1"/>
  <c r="H1043" i="64"/>
  <c r="H1114" i="64" s="1"/>
  <c r="M346" i="64"/>
  <c r="M359" i="64"/>
  <c r="CS1105" i="64"/>
  <c r="CS1118" i="64"/>
  <c r="L768" i="64"/>
  <c r="L900" i="64"/>
  <c r="N412" i="64"/>
  <c r="L906" i="64"/>
  <c r="N418" i="64"/>
  <c r="CE1130" i="64"/>
  <c r="CE1168" i="64"/>
  <c r="CE1178" i="64"/>
  <c r="CS1113" i="64"/>
  <c r="AW737" i="64"/>
  <c r="L901" i="64"/>
  <c r="N413" i="64"/>
  <c r="CE1177" i="64"/>
  <c r="CE1155" i="64"/>
  <c r="CE1145" i="64"/>
  <c r="CE1153" i="64"/>
  <c r="CS1082" i="64"/>
  <c r="CE1169" i="64"/>
  <c r="CS1086" i="64"/>
  <c r="CS1062" i="64"/>
  <c r="CS1055" i="64"/>
  <c r="CS1087" i="64"/>
  <c r="CE1154" i="64"/>
  <c r="CS1071" i="64"/>
  <c r="CE1144" i="64"/>
  <c r="CE1166" i="64"/>
  <c r="CE1170" i="64"/>
  <c r="CE1132" i="64"/>
  <c r="CE1131" i="64"/>
  <c r="CE1140" i="64"/>
  <c r="L891" i="64"/>
  <c r="N403" i="64"/>
  <c r="L913" i="64"/>
  <c r="N425" i="64"/>
  <c r="L892" i="64"/>
  <c r="N404" i="64"/>
  <c r="AX820" i="64"/>
  <c r="AK820" i="64"/>
  <c r="AX863" i="64"/>
  <c r="AK795" i="64"/>
  <c r="AX795" i="64"/>
  <c r="AK787" i="64"/>
  <c r="AX787" i="64"/>
  <c r="AK816" i="64"/>
  <c r="AX816" i="64"/>
  <c r="K713" i="64"/>
  <c r="D35" i="71" s="1"/>
  <c r="L195" i="64"/>
  <c r="AX674" i="64"/>
  <c r="AK674" i="64"/>
  <c r="AX751" i="64"/>
  <c r="AK751" i="64"/>
  <c r="AX785" i="64"/>
  <c r="AK785" i="64"/>
  <c r="AK723" i="64"/>
  <c r="AX723" i="64"/>
  <c r="AX745" i="64"/>
  <c r="AK745" i="64"/>
  <c r="K682" i="64"/>
  <c r="D32" i="71" s="1"/>
  <c r="AX747" i="64"/>
  <c r="AK747" i="64"/>
  <c r="AX673" i="64"/>
  <c r="AK673" i="64"/>
  <c r="AK722" i="64"/>
  <c r="AX722" i="64"/>
  <c r="T1065" i="64"/>
  <c r="F1176" i="64"/>
  <c r="AS1165" i="64"/>
  <c r="S1138" i="64"/>
  <c r="BF1141" i="64"/>
  <c r="AT1103" i="64"/>
  <c r="BT1080" i="64"/>
  <c r="BS1146" i="64"/>
  <c r="CG1072" i="64"/>
  <c r="CG1068" i="64"/>
  <c r="AG1082" i="64"/>
  <c r="BF1138" i="64"/>
  <c r="T1072" i="64"/>
  <c r="AS1176" i="64"/>
  <c r="AF1163" i="64"/>
  <c r="BF1133" i="64"/>
  <c r="AF1138" i="64"/>
  <c r="CG1082" i="64"/>
  <c r="AS1138" i="64"/>
  <c r="AF1145" i="64"/>
  <c r="AT1068" i="64"/>
  <c r="AG1098" i="64"/>
  <c r="BF1176" i="64"/>
  <c r="F1153" i="64"/>
  <c r="BG1060" i="64"/>
  <c r="F1171" i="64"/>
  <c r="CG1103" i="64"/>
  <c r="F1161" i="64"/>
  <c r="AT1073" i="64"/>
  <c r="AT1090" i="64"/>
  <c r="BG1092" i="64"/>
  <c r="BF1180" i="64"/>
  <c r="AT1055" i="64"/>
  <c r="AS1133" i="64"/>
  <c r="AS1169" i="64"/>
  <c r="AG1061" i="64"/>
  <c r="CG1087" i="64"/>
  <c r="CG1086" i="64"/>
  <c r="BG1081" i="64"/>
  <c r="T1071" i="64"/>
  <c r="CG1084" i="64"/>
  <c r="BG1106" i="64"/>
  <c r="CG1062" i="64"/>
  <c r="F1134" i="64"/>
  <c r="BF1159" i="64"/>
  <c r="BG1066" i="64"/>
  <c r="CG1097" i="64"/>
  <c r="T1067" i="64"/>
  <c r="CG1088" i="64"/>
  <c r="S1146" i="64"/>
  <c r="CG1092" i="64"/>
  <c r="F1165" i="64"/>
  <c r="CG1055" i="64"/>
  <c r="AT1096" i="64"/>
  <c r="BT1106" i="64"/>
  <c r="BF1134" i="64"/>
  <c r="F1159" i="64"/>
  <c r="BG1093" i="64"/>
  <c r="AF1140" i="64"/>
  <c r="S1163" i="64"/>
  <c r="CG1107" i="64"/>
  <c r="BF1128" i="64"/>
  <c r="S1169" i="64"/>
  <c r="AS1179" i="64"/>
  <c r="BG1062" i="64"/>
  <c r="BS1134" i="64"/>
  <c r="BS1160" i="64"/>
  <c r="BT1066" i="64"/>
  <c r="AG1097" i="64"/>
  <c r="BG1100" i="64"/>
  <c r="T1059" i="64"/>
  <c r="BT1075" i="64"/>
  <c r="BG1099" i="64"/>
  <c r="BF1188" i="64"/>
  <c r="F1184" i="64"/>
  <c r="S1189" i="64"/>
  <c r="AS1159" i="64"/>
  <c r="T1066" i="64"/>
  <c r="AF1154" i="64"/>
  <c r="AG1085" i="64"/>
  <c r="AS1166" i="64"/>
  <c r="AS1144" i="64"/>
  <c r="AS1173" i="64"/>
  <c r="CG1076" i="64"/>
  <c r="AF1132" i="64"/>
  <c r="BF1142" i="64"/>
  <c r="F1157" i="64"/>
  <c r="BT1067" i="64"/>
  <c r="CG1094" i="64"/>
  <c r="T1054" i="64"/>
  <c r="CG1105" i="64"/>
  <c r="S1151" i="64"/>
  <c r="S1191" i="64"/>
  <c r="F1136" i="64"/>
  <c r="BT1085" i="64"/>
  <c r="AT1097" i="64"/>
  <c r="BF1166" i="64"/>
  <c r="S1144" i="64"/>
  <c r="BT1100" i="64"/>
  <c r="BS1149" i="64"/>
  <c r="AG1059" i="64"/>
  <c r="BS1157" i="64"/>
  <c r="BF1131" i="64"/>
  <c r="AG1070" i="64"/>
  <c r="F1185" i="64"/>
  <c r="BF1137" i="64"/>
  <c r="BG1111" i="64"/>
  <c r="BF1187" i="64"/>
  <c r="AG1081" i="64"/>
  <c r="AS1136" i="64"/>
  <c r="T1097" i="64"/>
  <c r="S1166" i="64"/>
  <c r="AS1149" i="64"/>
  <c r="F1142" i="64"/>
  <c r="BT1058" i="64"/>
  <c r="F1140" i="64"/>
  <c r="BS1129" i="64"/>
  <c r="CG1074" i="64"/>
  <c r="F1172" i="64"/>
  <c r="BS1192" i="64"/>
  <c r="AF1183" i="64"/>
  <c r="BT1056" i="64"/>
  <c r="AT1094" i="64"/>
  <c r="AG1114" i="64"/>
  <c r="F1187" i="64"/>
  <c r="AG1099" i="64"/>
  <c r="BS1156" i="64"/>
  <c r="BF1185" i="64"/>
  <c r="T1111" i="64"/>
  <c r="BF1192" i="64"/>
  <c r="AS1177" i="64"/>
  <c r="BF1127" i="64"/>
  <c r="T1094" i="64"/>
  <c r="S1130" i="64"/>
  <c r="AS1185" i="64"/>
  <c r="AS1147" i="64"/>
  <c r="T1101" i="64"/>
  <c r="T1114" i="64"/>
  <c r="T1115" i="64"/>
  <c r="BG1104" i="64"/>
  <c r="BG1083" i="64"/>
  <c r="S1190" i="64"/>
  <c r="T1120" i="64"/>
  <c r="AF1193" i="64"/>
  <c r="BG1113" i="64"/>
  <c r="BS1190" i="64"/>
  <c r="AS1174" i="64"/>
  <c r="BG1094" i="64"/>
  <c r="BS1184" i="64"/>
  <c r="AF1130" i="64"/>
  <c r="AS1172" i="64"/>
  <c r="CG1083" i="64"/>
  <c r="T1057" i="64"/>
  <c r="S1152" i="64"/>
  <c r="F1189" i="64"/>
  <c r="AG1105" i="64"/>
  <c r="BG1054" i="64"/>
  <c r="BG1118" i="64"/>
  <c r="CG1112" i="64"/>
  <c r="AS1189" i="64"/>
  <c r="AT1074" i="64"/>
  <c r="AG1094" i="64"/>
  <c r="BG1079" i="64"/>
  <c r="S1183" i="64"/>
  <c r="BT1104" i="64"/>
  <c r="S1156" i="64"/>
  <c r="BG1117" i="64"/>
  <c r="AG1120" i="64"/>
  <c r="BF1193" i="64"/>
  <c r="F1186" i="64"/>
  <c r="AT1117" i="64"/>
  <c r="BG1070" i="64"/>
  <c r="AF1174" i="64"/>
  <c r="AT1057" i="64"/>
  <c r="AF1184" i="64"/>
  <c r="S1175" i="64"/>
  <c r="T1091" i="64"/>
  <c r="AF1167" i="64"/>
  <c r="AT1119" i="64"/>
  <c r="BF1184" i="64"/>
  <c r="CG1104" i="64"/>
  <c r="AS1127" i="64"/>
  <c r="BF1174" i="64"/>
  <c r="AS1194" i="64"/>
  <c r="CG1111" i="64"/>
  <c r="AG1077" i="64"/>
  <c r="AT1101" i="64"/>
  <c r="BF1183" i="64"/>
  <c r="BG1115" i="64"/>
  <c r="BF1172" i="64"/>
  <c r="CG1091" i="64"/>
  <c r="F1182" i="64"/>
  <c r="BT1089" i="64"/>
  <c r="AG1089" i="64"/>
  <c r="AG1113" i="64"/>
  <c r="BT1109" i="64"/>
  <c r="BF1147" i="64"/>
  <c r="BS1193" i="64"/>
  <c r="AT1095" i="64"/>
  <c r="BS1168" i="64"/>
  <c r="S1181" i="64"/>
  <c r="CE1143" i="64"/>
  <c r="CS1116" i="64"/>
  <c r="CE1192" i="64"/>
  <c r="CS1117" i="64"/>
  <c r="CS1109" i="64"/>
  <c r="CS1111" i="64"/>
  <c r="CE1137" i="64"/>
  <c r="L903" i="64"/>
  <c r="N415" i="64"/>
  <c r="I630" i="64"/>
  <c r="H988" i="64"/>
  <c r="H1059" i="64" s="1"/>
  <c r="H1032" i="64"/>
  <c r="H1103" i="64" s="1"/>
  <c r="H1010" i="64"/>
  <c r="H1081" i="64" s="1"/>
  <c r="H985" i="64"/>
  <c r="H1056" i="64" s="1"/>
  <c r="H1044" i="64"/>
  <c r="H1115" i="64" s="1"/>
  <c r="M332" i="64"/>
  <c r="M379" i="64"/>
  <c r="L530" i="64"/>
  <c r="X1042" i="64"/>
  <c r="X1043" i="64"/>
  <c r="X1041" i="64"/>
  <c r="X1039" i="64"/>
  <c r="X1038" i="64"/>
  <c r="X1045" i="64"/>
  <c r="X1044" i="64"/>
  <c r="X1040" i="64"/>
  <c r="X1003" i="64"/>
  <c r="X985" i="64"/>
  <c r="X1028" i="64"/>
  <c r="X1006" i="64"/>
  <c r="X1004" i="64"/>
  <c r="X1012" i="64"/>
  <c r="X1033" i="64"/>
  <c r="X983" i="64"/>
  <c r="X1020" i="64"/>
  <c r="X999" i="64"/>
  <c r="X995" i="64"/>
  <c r="X988" i="64"/>
  <c r="X1026" i="64"/>
  <c r="X1027" i="64"/>
  <c r="X1014" i="64"/>
  <c r="X1025" i="64"/>
  <c r="X1000" i="64"/>
  <c r="X994" i="64"/>
  <c r="X984" i="64"/>
  <c r="X1032" i="64"/>
  <c r="X1001" i="64"/>
  <c r="X1009" i="64"/>
  <c r="X987" i="64"/>
  <c r="X1010" i="64"/>
  <c r="X1005" i="64"/>
  <c r="X997" i="64"/>
  <c r="X996" i="64"/>
  <c r="X989" i="64"/>
  <c r="X1002" i="64"/>
  <c r="X1015" i="64"/>
  <c r="X1013" i="64"/>
  <c r="X1019" i="64"/>
  <c r="X998" i="64"/>
  <c r="X1011" i="64"/>
  <c r="X990" i="64"/>
  <c r="CO1293" i="64"/>
  <c r="B1293" i="64"/>
  <c r="CO1308" i="64"/>
  <c r="B1308" i="64"/>
  <c r="CO1305" i="64"/>
  <c r="B1305" i="64"/>
  <c r="CO1297" i="64"/>
  <c r="B1297" i="64"/>
  <c r="CO1292" i="64"/>
  <c r="B1292" i="64"/>
  <c r="CO1280" i="64"/>
  <c r="B1280" i="64"/>
  <c r="B1282" i="64"/>
  <c r="CO1282" i="64"/>
  <c r="B1283" i="64"/>
  <c r="CO1283" i="64"/>
  <c r="CO1289" i="64"/>
  <c r="B1289" i="64"/>
  <c r="B1290" i="64"/>
  <c r="CO1290" i="64"/>
  <c r="CO1288" i="64"/>
  <c r="B1288" i="64"/>
  <c r="B1306" i="64"/>
  <c r="CO1306" i="64"/>
  <c r="B1294" i="64"/>
  <c r="CO1294" i="64"/>
  <c r="CO1281" i="64"/>
  <c r="B1281" i="64"/>
  <c r="B1286" i="64"/>
  <c r="CO1286" i="64"/>
  <c r="CO1301" i="64"/>
  <c r="B1301" i="64"/>
  <c r="B1279" i="64"/>
  <c r="CO1279" i="64"/>
  <c r="B1302" i="64"/>
  <c r="CO1302" i="64"/>
  <c r="CO1276" i="64"/>
  <c r="B1276" i="64"/>
  <c r="J42" i="73"/>
  <c r="J46" i="73" s="1"/>
  <c r="I10" i="74" s="1"/>
  <c r="I11" i="74" s="1"/>
  <c r="K41" i="73"/>
  <c r="L12" i="73" s="1"/>
  <c r="C68" i="83"/>
  <c r="G15" i="74"/>
  <c r="J139" i="77"/>
  <c r="I46" i="73"/>
  <c r="H10" i="74" s="1"/>
  <c r="H11" i="74" s="1"/>
  <c r="E6" i="80"/>
  <c r="E19" i="80" s="1"/>
  <c r="I15" i="74"/>
  <c r="E68" i="83"/>
  <c r="G677" i="74"/>
  <c r="F9" i="74"/>
  <c r="I9" i="85"/>
  <c r="H26" i="85"/>
  <c r="H320" i="77"/>
  <c r="K310" i="73"/>
  <c r="K325" i="73" s="1"/>
  <c r="K326" i="73" s="1"/>
  <c r="M89" i="85"/>
  <c r="M107" i="85" s="1"/>
  <c r="M108" i="85" s="1"/>
  <c r="H606" i="73"/>
  <c r="H607" i="73"/>
  <c r="I401" i="77" s="1"/>
  <c r="C45" i="80"/>
  <c r="I656" i="77"/>
  <c r="K118" i="85"/>
  <c r="K134" i="85" s="1"/>
  <c r="I603" i="73"/>
  <c r="I591" i="73"/>
  <c r="I597" i="73" s="1"/>
  <c r="J656" i="77" s="1"/>
  <c r="J135" i="85"/>
  <c r="J326" i="73"/>
  <c r="K562" i="74" l="1"/>
  <c r="L2289" i="79"/>
  <c r="L2290" i="79" s="1"/>
  <c r="L2291" i="79" s="1"/>
  <c r="M208" i="64"/>
  <c r="L122" i="8"/>
  <c r="L128" i="8"/>
  <c r="L139" i="8" s="1"/>
  <c r="L147" i="8" s="1"/>
  <c r="L155" i="8" s="1"/>
  <c r="L166" i="8" s="1"/>
  <c r="L172" i="8" s="1"/>
  <c r="N6" i="8"/>
  <c r="M10" i="8"/>
  <c r="M58" i="8" s="1"/>
  <c r="M91" i="8" s="1"/>
  <c r="M115" i="8" s="1"/>
  <c r="K234" i="74"/>
  <c r="K572" i="74"/>
  <c r="K564" i="74"/>
  <c r="K571" i="74"/>
  <c r="K235" i="74"/>
  <c r="K240" i="74"/>
  <c r="AX721" i="64"/>
  <c r="CN1136" i="64"/>
  <c r="A1136" i="64"/>
  <c r="CB1284" i="64"/>
  <c r="AB1210" i="64"/>
  <c r="DO1210" i="64"/>
  <c r="Y673" i="64"/>
  <c r="N326" i="64"/>
  <c r="K1458" i="79"/>
  <c r="K1638" i="79" s="1"/>
  <c r="I1458" i="79"/>
  <c r="I1638" i="79" s="1"/>
  <c r="Y820" i="64"/>
  <c r="Y678" i="64"/>
  <c r="AK858" i="64"/>
  <c r="AI882" i="64"/>
  <c r="Y716" i="64"/>
  <c r="J387" i="77"/>
  <c r="Y676" i="64"/>
  <c r="Y743" i="64"/>
  <c r="G9" i="74"/>
  <c r="H14" i="74" s="1"/>
  <c r="M640" i="64"/>
  <c r="L638" i="64"/>
  <c r="M639" i="64"/>
  <c r="M877" i="64"/>
  <c r="Y672" i="64"/>
  <c r="AK857" i="64"/>
  <c r="N872" i="64"/>
  <c r="N874" i="64"/>
  <c r="N869" i="64"/>
  <c r="N873" i="64"/>
  <c r="N876" i="64"/>
  <c r="N871" i="64"/>
  <c r="N870" i="64"/>
  <c r="H29" i="85"/>
  <c r="K123" i="64"/>
  <c r="M806" i="64"/>
  <c r="Y821" i="64"/>
  <c r="Y745" i="64"/>
  <c r="Y750" i="64"/>
  <c r="Y816" i="64"/>
  <c r="X737" i="64"/>
  <c r="L735" i="64"/>
  <c r="AK859" i="64"/>
  <c r="Y819" i="64"/>
  <c r="Y795" i="64"/>
  <c r="N794" i="64"/>
  <c r="Y788" i="64"/>
  <c r="N799" i="64"/>
  <c r="N802" i="64"/>
  <c r="N805" i="64"/>
  <c r="N800" i="64"/>
  <c r="N803" i="64"/>
  <c r="N798" i="64"/>
  <c r="N801" i="64"/>
  <c r="M730" i="64"/>
  <c r="M734" i="64"/>
  <c r="M728" i="64"/>
  <c r="M729" i="64"/>
  <c r="M731" i="64"/>
  <c r="M727" i="64"/>
  <c r="M732" i="64"/>
  <c r="AJ879" i="64"/>
  <c r="AJ882" i="64" s="1"/>
  <c r="AW879" i="64"/>
  <c r="I462" i="73"/>
  <c r="X808" i="64"/>
  <c r="Y681" i="64"/>
  <c r="Y1034" i="64"/>
  <c r="K569" i="74"/>
  <c r="K578" i="74"/>
  <c r="T432" i="40"/>
  <c r="K642" i="64"/>
  <c r="AK786" i="64"/>
  <c r="Y722" i="64"/>
  <c r="Y677" i="64"/>
  <c r="T434" i="40"/>
  <c r="CB1287" i="64"/>
  <c r="AB1213" i="64"/>
  <c r="DO1213" i="64"/>
  <c r="I1041" i="64"/>
  <c r="I1112" i="64" s="1"/>
  <c r="AK866" i="64"/>
  <c r="AX865" i="64"/>
  <c r="Y823" i="64"/>
  <c r="T397" i="40"/>
  <c r="DO1229" i="64"/>
  <c r="CB1303" i="64"/>
  <c r="AB1229" i="64"/>
  <c r="CN1155" i="64"/>
  <c r="A1155" i="64"/>
  <c r="CN1139" i="64"/>
  <c r="A1139" i="64"/>
  <c r="AW808" i="64"/>
  <c r="J1252" i="64"/>
  <c r="W1252" i="64" s="1"/>
  <c r="M723" i="64"/>
  <c r="N208" i="64" s="1"/>
  <c r="AK864" i="64"/>
  <c r="AN1034" i="64"/>
  <c r="D10" i="10"/>
  <c r="D17" i="10" s="1"/>
  <c r="K575" i="74"/>
  <c r="K576" i="74"/>
  <c r="K567" i="74"/>
  <c r="K565" i="74"/>
  <c r="M2285" i="79"/>
  <c r="N283" i="64"/>
  <c r="N251" i="64"/>
  <c r="O342" i="64"/>
  <c r="N865" i="64"/>
  <c r="Y718" i="64"/>
  <c r="P635" i="77"/>
  <c r="AK867" i="64"/>
  <c r="K386" i="77"/>
  <c r="AH1458" i="79"/>
  <c r="AH1638" i="79" s="1"/>
  <c r="AF1458" i="79"/>
  <c r="AF1638" i="79" s="1"/>
  <c r="AG1458" i="79"/>
  <c r="AG1638" i="79" s="1"/>
  <c r="N339" i="64"/>
  <c r="F678" i="74"/>
  <c r="T431" i="40"/>
  <c r="T438" i="40"/>
  <c r="T391" i="40"/>
  <c r="T404" i="40"/>
  <c r="AF1471" i="79"/>
  <c r="AF1674" i="79" s="1"/>
  <c r="T441" i="40"/>
  <c r="T440" i="40"/>
  <c r="T396" i="40"/>
  <c r="T409" i="40"/>
  <c r="T435" i="40"/>
  <c r="T439" i="40"/>
  <c r="T387" i="40"/>
  <c r="T400" i="40"/>
  <c r="E181" i="8"/>
  <c r="E187" i="8" s="1"/>
  <c r="D40" i="10" s="1"/>
  <c r="T401" i="40"/>
  <c r="T405" i="40"/>
  <c r="T410" i="40"/>
  <c r="T430" i="40"/>
  <c r="T392" i="40"/>
  <c r="T398" i="40"/>
  <c r="T402" i="40"/>
  <c r="T406" i="40"/>
  <c r="T417" i="40"/>
  <c r="T436" i="40"/>
  <c r="T433" i="40"/>
  <c r="T437" i="40"/>
  <c r="T394" i="40"/>
  <c r="T399" i="40"/>
  <c r="T403" i="40"/>
  <c r="T408" i="40"/>
  <c r="T418" i="40"/>
  <c r="Y790" i="64"/>
  <c r="Y723" i="64"/>
  <c r="AH1471" i="79"/>
  <c r="AH1674" i="79" s="1"/>
  <c r="O2098" i="79"/>
  <c r="G456" i="73"/>
  <c r="R121" i="73"/>
  <c r="J148" i="73"/>
  <c r="K130" i="73" s="1"/>
  <c r="J118" i="9"/>
  <c r="J133" i="9" s="1"/>
  <c r="K37" i="9"/>
  <c r="K66" i="9"/>
  <c r="K81" i="9" s="1"/>
  <c r="K96" i="9" s="1"/>
  <c r="K107" i="9" s="1"/>
  <c r="M5" i="9"/>
  <c r="L7" i="9"/>
  <c r="L22" i="9" s="1"/>
  <c r="L52" i="9" s="1"/>
  <c r="L29" i="10"/>
  <c r="L134" i="83"/>
  <c r="L166" i="83" s="1"/>
  <c r="L30" i="80"/>
  <c r="N135" i="8"/>
  <c r="J167" i="83"/>
  <c r="K135" i="83"/>
  <c r="K167" i="83" s="1"/>
  <c r="K30" i="10"/>
  <c r="K31" i="80"/>
  <c r="M137" i="8"/>
  <c r="K148" i="83"/>
  <c r="L177" i="8"/>
  <c r="M170" i="8"/>
  <c r="K41" i="80"/>
  <c r="K38" i="10"/>
  <c r="L108" i="83"/>
  <c r="L24" i="80"/>
  <c r="L24" i="10"/>
  <c r="N111" i="8"/>
  <c r="K111" i="83"/>
  <c r="K162" i="83" s="1"/>
  <c r="K25" i="80"/>
  <c r="K25" i="10"/>
  <c r="M112" i="8"/>
  <c r="K107" i="83"/>
  <c r="K23" i="80"/>
  <c r="M110" i="8"/>
  <c r="K23" i="10"/>
  <c r="M159" i="8"/>
  <c r="N156" i="8"/>
  <c r="M33" i="10" s="1"/>
  <c r="K144" i="83"/>
  <c r="K37" i="80"/>
  <c r="K34" i="10"/>
  <c r="M161" i="8"/>
  <c r="J150" i="83"/>
  <c r="K143" i="83"/>
  <c r="K36" i="80"/>
  <c r="L95" i="8"/>
  <c r="K79" i="83"/>
  <c r="M93" i="8"/>
  <c r="K38" i="80"/>
  <c r="K35" i="10"/>
  <c r="M162" i="8"/>
  <c r="K145" i="83"/>
  <c r="K647" i="64"/>
  <c r="M2286" i="79"/>
  <c r="M1230" i="79"/>
  <c r="M1298" i="79" s="1"/>
  <c r="M2142" i="79"/>
  <c r="M1225" i="79"/>
  <c r="M1293" i="79" s="1"/>
  <c r="M2140" i="79"/>
  <c r="M1223" i="79"/>
  <c r="M1291" i="79" s="1"/>
  <c r="AG1471" i="79"/>
  <c r="AG1674" i="79" s="1"/>
  <c r="O385" i="64"/>
  <c r="I1025" i="64"/>
  <c r="I1096" i="64" s="1"/>
  <c r="I1011" i="64"/>
  <c r="I1082" i="64" s="1"/>
  <c r="I1015" i="64"/>
  <c r="I1086" i="64" s="1"/>
  <c r="I1019" i="64"/>
  <c r="I1090" i="64" s="1"/>
  <c r="I1032" i="64"/>
  <c r="I1103" i="64" s="1"/>
  <c r="I1040" i="64"/>
  <c r="I1111" i="64" s="1"/>
  <c r="AK856" i="64"/>
  <c r="I1002" i="64"/>
  <c r="I1073" i="64" s="1"/>
  <c r="CF1153" i="64"/>
  <c r="I1028" i="64"/>
  <c r="I1099" i="64" s="1"/>
  <c r="I1004" i="64"/>
  <c r="I1075" i="64" s="1"/>
  <c r="M824" i="64"/>
  <c r="J1261" i="64"/>
  <c r="W1261" i="64" s="1"/>
  <c r="J1257" i="64"/>
  <c r="W1257" i="64" s="1"/>
  <c r="J1258" i="64"/>
  <c r="W1258" i="64" s="1"/>
  <c r="J1262" i="64"/>
  <c r="W1262" i="64" s="1"/>
  <c r="J1259" i="64"/>
  <c r="W1259" i="64" s="1"/>
  <c r="J1263" i="64"/>
  <c r="W1263" i="64" s="1"/>
  <c r="J1242" i="64"/>
  <c r="W1242" i="64" s="1"/>
  <c r="J1236" i="64"/>
  <c r="W1236" i="64" s="1"/>
  <c r="J1255" i="64"/>
  <c r="W1255" i="64" s="1"/>
  <c r="J1260" i="64"/>
  <c r="W1260" i="64" s="1"/>
  <c r="J1256" i="64"/>
  <c r="W1256" i="64" s="1"/>
  <c r="J1249" i="64"/>
  <c r="W1249" i="64" s="1"/>
  <c r="J1201" i="64"/>
  <c r="W1201" i="64" s="1"/>
  <c r="J1229" i="64"/>
  <c r="W1229" i="64" s="1"/>
  <c r="J1215" i="64"/>
  <c r="W1215" i="64" s="1"/>
  <c r="J1228" i="64"/>
  <c r="W1228" i="64" s="1"/>
  <c r="J1223" i="64"/>
  <c r="W1223" i="64" s="1"/>
  <c r="J1214" i="64"/>
  <c r="W1214" i="64" s="1"/>
  <c r="J1227" i="64"/>
  <c r="W1227" i="64" s="1"/>
  <c r="J1212" i="64"/>
  <c r="W1212" i="64" s="1"/>
  <c r="J1232" i="64"/>
  <c r="W1232" i="64" s="1"/>
  <c r="J1220" i="64"/>
  <c r="W1220" i="64" s="1"/>
  <c r="J1213" i="64"/>
  <c r="W1213" i="64" s="1"/>
  <c r="J1218" i="64"/>
  <c r="W1218" i="64" s="1"/>
  <c r="J1206" i="64"/>
  <c r="W1206" i="64" s="1"/>
  <c r="J1208" i="64"/>
  <c r="W1208" i="64" s="1"/>
  <c r="J1216" i="64"/>
  <c r="W1216" i="64" s="1"/>
  <c r="J1202" i="64"/>
  <c r="W1202" i="64" s="1"/>
  <c r="J1207" i="64"/>
  <c r="W1207" i="64" s="1"/>
  <c r="J1205" i="64"/>
  <c r="W1205" i="64" s="1"/>
  <c r="J1219" i="64"/>
  <c r="W1219" i="64" s="1"/>
  <c r="J1231" i="64"/>
  <c r="W1231" i="64" s="1"/>
  <c r="J1238" i="64"/>
  <c r="W1238" i="64" s="1"/>
  <c r="J1222" i="64"/>
  <c r="W1222" i="64" s="1"/>
  <c r="J1221" i="64"/>
  <c r="W1221" i="64" s="1"/>
  <c r="J1203" i="64"/>
  <c r="W1203" i="64" s="1"/>
  <c r="J1224" i="64"/>
  <c r="W1224" i="64" s="1"/>
  <c r="J1230" i="64"/>
  <c r="W1230" i="64" s="1"/>
  <c r="J1250" i="64"/>
  <c r="W1250" i="64" s="1"/>
  <c r="N238" i="64"/>
  <c r="M855" i="64"/>
  <c r="N277" i="64"/>
  <c r="N245" i="64"/>
  <c r="I1027" i="64"/>
  <c r="I1098" i="64" s="1"/>
  <c r="N574" i="64"/>
  <c r="N590" i="64"/>
  <c r="N597" i="64"/>
  <c r="N577" i="64"/>
  <c r="N581" i="64"/>
  <c r="N575" i="64"/>
  <c r="N591" i="64"/>
  <c r="N599" i="64"/>
  <c r="N814" i="64"/>
  <c r="N578" i="64"/>
  <c r="N582" i="64"/>
  <c r="N598" i="64"/>
  <c r="N580" i="64"/>
  <c r="N589" i="64"/>
  <c r="N579" i="64"/>
  <c r="N576" i="64"/>
  <c r="N588" i="64"/>
  <c r="N821" i="64"/>
  <c r="N825" i="64"/>
  <c r="N844" i="64"/>
  <c r="O233" i="64" s="1"/>
  <c r="N842" i="64"/>
  <c r="O231" i="64" s="1"/>
  <c r="N827" i="64"/>
  <c r="O217" i="64" s="1"/>
  <c r="N845" i="64"/>
  <c r="O234" i="64" s="1"/>
  <c r="N833" i="64"/>
  <c r="O223" i="64" s="1"/>
  <c r="N820" i="64"/>
  <c r="N832" i="64"/>
  <c r="O222" i="64" s="1"/>
  <c r="N826" i="64"/>
  <c r="O216" i="64" s="1"/>
  <c r="N841" i="64"/>
  <c r="O230" i="64" s="1"/>
  <c r="N818" i="64"/>
  <c r="N829" i="64"/>
  <c r="O219" i="64" s="1"/>
  <c r="N840" i="64"/>
  <c r="N831" i="64"/>
  <c r="O221" i="64" s="1"/>
  <c r="N836" i="64"/>
  <c r="O226" i="64" s="1"/>
  <c r="N815" i="64"/>
  <c r="N828" i="64"/>
  <c r="O218" i="64" s="1"/>
  <c r="N819" i="64"/>
  <c r="N816" i="64"/>
  <c r="N835" i="64"/>
  <c r="O225" i="64" s="1"/>
  <c r="N851" i="64"/>
  <c r="O239" i="64" s="1"/>
  <c r="N834" i="64"/>
  <c r="O224" i="64" s="1"/>
  <c r="N843" i="64"/>
  <c r="O232" i="64" s="1"/>
  <c r="N837" i="64"/>
  <c r="O227" i="64" s="1"/>
  <c r="N859" i="64"/>
  <c r="N857" i="64"/>
  <c r="N846" i="64"/>
  <c r="O235" i="64" s="1"/>
  <c r="N863" i="64"/>
  <c r="N830" i="64"/>
  <c r="O220" i="64" s="1"/>
  <c r="N858" i="64"/>
  <c r="N850" i="64"/>
  <c r="N864" i="64"/>
  <c r="N856" i="64"/>
  <c r="J1233" i="64"/>
  <c r="W1233" i="64" s="1"/>
  <c r="J1237" i="64"/>
  <c r="W1237" i="64" s="1"/>
  <c r="N276" i="64"/>
  <c r="N244" i="64"/>
  <c r="N249" i="64"/>
  <c r="M868" i="64"/>
  <c r="N281" i="64"/>
  <c r="M606" i="64"/>
  <c r="L644" i="64"/>
  <c r="L629" i="64"/>
  <c r="I1005" i="64"/>
  <c r="I1076" i="64" s="1"/>
  <c r="I1001" i="64"/>
  <c r="I1072" i="64" s="1"/>
  <c r="J1245" i="64"/>
  <c r="W1245" i="64" s="1"/>
  <c r="J1251" i="64"/>
  <c r="W1251" i="64" s="1"/>
  <c r="J1244" i="64"/>
  <c r="W1244" i="64" s="1"/>
  <c r="J1243" i="64"/>
  <c r="W1243" i="64" s="1"/>
  <c r="J1217" i="64"/>
  <c r="W1217" i="64" s="1"/>
  <c r="N246" i="64"/>
  <c r="N278" i="64"/>
  <c r="N282" i="64"/>
  <c r="N250" i="64"/>
  <c r="N215" i="64"/>
  <c r="M839" i="64"/>
  <c r="N229" i="64"/>
  <c r="M849" i="64"/>
  <c r="I998" i="64"/>
  <c r="I1069" i="64" s="1"/>
  <c r="I983" i="64"/>
  <c r="I1054" i="64" s="1"/>
  <c r="I1006" i="64"/>
  <c r="I1077" i="64" s="1"/>
  <c r="J1246" i="64"/>
  <c r="W1246" i="64" s="1"/>
  <c r="K644" i="64"/>
  <c r="K648" i="64" s="1"/>
  <c r="M862" i="64"/>
  <c r="N275" i="64"/>
  <c r="N243" i="64"/>
  <c r="M817" i="64"/>
  <c r="M587" i="64"/>
  <c r="L607" i="64"/>
  <c r="J680" i="77"/>
  <c r="CF1182" i="64"/>
  <c r="CF1161" i="64"/>
  <c r="AX860" i="64"/>
  <c r="X879" i="64"/>
  <c r="Y714" i="64"/>
  <c r="AK861" i="64"/>
  <c r="M791" i="64"/>
  <c r="K574" i="74"/>
  <c r="K566" i="74"/>
  <c r="L610" i="64"/>
  <c r="N605" i="79"/>
  <c r="K460" i="73"/>
  <c r="K577" i="74"/>
  <c r="K573" i="74"/>
  <c r="K568" i="74"/>
  <c r="CF1142" i="64"/>
  <c r="A208" i="77"/>
  <c r="A621" i="77" s="1"/>
  <c r="A230" i="77"/>
  <c r="N383" i="77"/>
  <c r="N455" i="77"/>
  <c r="N318" i="77"/>
  <c r="N353" i="77"/>
  <c r="N138" i="77"/>
  <c r="N252" i="77"/>
  <c r="K241" i="74"/>
  <c r="K242" i="74"/>
  <c r="N1400" i="79"/>
  <c r="AB1233" i="64"/>
  <c r="DO1233" i="64"/>
  <c r="CB1307" i="64"/>
  <c r="BN209" i="65"/>
  <c r="BN211" i="65"/>
  <c r="Z722" i="64" s="1"/>
  <c r="BN205" i="65"/>
  <c r="BN207" i="65"/>
  <c r="BN204" i="65"/>
  <c r="BN213" i="65"/>
  <c r="Z724" i="64" s="1"/>
  <c r="BN206" i="65"/>
  <c r="BN212" i="65"/>
  <c r="BN203" i="65"/>
  <c r="BN214" i="65"/>
  <c r="Z725" i="64" s="1"/>
  <c r="BN208" i="65"/>
  <c r="BN210" i="65"/>
  <c r="BN219" i="65"/>
  <c r="BN11" i="65"/>
  <c r="BN12" i="65"/>
  <c r="BN10" i="65"/>
  <c r="BN14" i="65"/>
  <c r="BN15" i="65"/>
  <c r="BN16" i="65"/>
  <c r="BN17" i="65"/>
  <c r="BN18" i="65"/>
  <c r="CI1126" i="64"/>
  <c r="DJ1200" i="64"/>
  <c r="CJ1274" i="64" s="1"/>
  <c r="DM1053" i="64"/>
  <c r="CY1126" i="64" s="1"/>
  <c r="P835" i="79"/>
  <c r="P663" i="79"/>
  <c r="P492" i="79"/>
  <c r="P287" i="79"/>
  <c r="P328" i="79"/>
  <c r="P82" i="79"/>
  <c r="P6" i="79"/>
  <c r="P1306" i="79" s="1"/>
  <c r="AM1306" i="79" s="1"/>
  <c r="P246" i="79"/>
  <c r="P164" i="79"/>
  <c r="P451" i="79"/>
  <c r="P369" i="79"/>
  <c r="P205" i="79"/>
  <c r="P123" i="79"/>
  <c r="AM41" i="79"/>
  <c r="P547" i="79"/>
  <c r="P410" i="79"/>
  <c r="J379" i="40"/>
  <c r="J514" i="40" s="1"/>
  <c r="O743" i="79"/>
  <c r="O744" i="79"/>
  <c r="O767" i="79"/>
  <c r="O768" i="79"/>
  <c r="O612" i="79"/>
  <c r="O610" i="79"/>
  <c r="O611" i="79"/>
  <c r="O567" i="79"/>
  <c r="O569" i="79"/>
  <c r="O572" i="79"/>
  <c r="O568" i="79"/>
  <c r="O732" i="79"/>
  <c r="O731" i="79"/>
  <c r="O780" i="79"/>
  <c r="U1053" i="64"/>
  <c r="U1200" i="64"/>
  <c r="AH1200" i="64" s="1"/>
  <c r="AP1126" i="64"/>
  <c r="BQ1053" i="64"/>
  <c r="N1632" i="79"/>
  <c r="N597" i="79"/>
  <c r="BE1053" i="64"/>
  <c r="AD1126" i="64"/>
  <c r="CN1159" i="64"/>
  <c r="A1159" i="64"/>
  <c r="N1633" i="79"/>
  <c r="N1388" i="79"/>
  <c r="T407" i="40"/>
  <c r="AB1237" i="64"/>
  <c r="DO1237" i="64"/>
  <c r="CB1311" i="64"/>
  <c r="L487" i="73"/>
  <c r="L54" i="73"/>
  <c r="N1393" i="79"/>
  <c r="N578" i="79"/>
  <c r="A1163" i="64"/>
  <c r="CN1163" i="64"/>
  <c r="I1053" i="64"/>
  <c r="I1200" i="64"/>
  <c r="K244" i="74"/>
  <c r="CB204" i="65"/>
  <c r="CB224" i="65"/>
  <c r="CB230" i="65"/>
  <c r="CB214" i="65"/>
  <c r="CB207" i="65"/>
  <c r="CB229" i="65"/>
  <c r="CB212" i="65"/>
  <c r="CB226" i="65"/>
  <c r="CB227" i="65"/>
  <c r="CB231" i="65"/>
  <c r="CB206" i="65"/>
  <c r="CB210" i="65"/>
  <c r="CB221" i="65"/>
  <c r="CB211" i="65"/>
  <c r="CB213" i="65"/>
  <c r="CB209" i="65"/>
  <c r="CB228" i="65"/>
  <c r="CB203" i="65"/>
  <c r="CB225" i="65"/>
  <c r="CB223" i="65"/>
  <c r="CB208" i="65"/>
  <c r="CB220" i="65"/>
  <c r="CB222" i="65"/>
  <c r="CB205" i="65"/>
  <c r="M7" i="74"/>
  <c r="O5" i="77"/>
  <c r="O483" i="77" s="1"/>
  <c r="N10" i="73"/>
  <c r="N1398" i="64"/>
  <c r="N1381" i="64"/>
  <c r="N1364" i="64"/>
  <c r="Q41" i="79"/>
  <c r="O400" i="64"/>
  <c r="N813" i="64" s="1"/>
  <c r="M888" i="64" s="1"/>
  <c r="O126" i="64"/>
  <c r="O120" i="64"/>
  <c r="O115" i="64" s="1"/>
  <c r="O111" i="64"/>
  <c r="O104" i="64"/>
  <c r="P8" i="64"/>
  <c r="O289" i="64"/>
  <c r="O345" i="64" s="1"/>
  <c r="O214" i="64"/>
  <c r="CQ202" i="65"/>
  <c r="CC202" i="65"/>
  <c r="BO202" i="65"/>
  <c r="N1345" i="64"/>
  <c r="N742" i="64"/>
  <c r="O258" i="64"/>
  <c r="O274" i="64" s="1"/>
  <c r="O171" i="64"/>
  <c r="O4" i="64"/>
  <c r="BO8" i="65"/>
  <c r="BO21" i="65" s="1"/>
  <c r="CC8" i="65"/>
  <c r="CX1053" i="64"/>
  <c r="CQ8" i="65"/>
  <c r="CQ29" i="65" s="1"/>
  <c r="O637" i="64"/>
  <c r="CB219" i="65"/>
  <c r="CB16" i="65"/>
  <c r="CB21" i="65"/>
  <c r="CB19" i="65"/>
  <c r="CB12" i="65"/>
  <c r="CB15" i="65"/>
  <c r="CB17" i="65"/>
  <c r="CB11" i="65"/>
  <c r="CB14" i="65"/>
  <c r="CB18" i="65"/>
  <c r="CB10" i="65"/>
  <c r="CB22" i="65"/>
  <c r="CB23" i="65"/>
  <c r="CB24" i="65"/>
  <c r="CB25" i="65"/>
  <c r="CB26" i="65"/>
  <c r="CB27" i="65"/>
  <c r="Y609" i="77"/>
  <c r="Y631" i="77" s="1"/>
  <c r="Y638" i="77" s="1"/>
  <c r="N438" i="77"/>
  <c r="Y622" i="77"/>
  <c r="Y597" i="77"/>
  <c r="L646" i="77"/>
  <c r="K605" i="77" s="1"/>
  <c r="L1407" i="64"/>
  <c r="O699" i="79" s="1"/>
  <c r="O2273" i="79"/>
  <c r="O759" i="79"/>
  <c r="O760" i="79"/>
  <c r="O771" i="79"/>
  <c r="O772" i="79"/>
  <c r="O735" i="79"/>
  <c r="O736" i="79"/>
  <c r="O583" i="79"/>
  <c r="O588" i="79"/>
  <c r="O585" i="79"/>
  <c r="O584" i="79"/>
  <c r="O751" i="79"/>
  <c r="O748" i="79"/>
  <c r="O752" i="79"/>
  <c r="O747" i="79"/>
  <c r="AQ1274" i="64"/>
  <c r="CD1200" i="64"/>
  <c r="N607" i="79"/>
  <c r="N1634" i="79"/>
  <c r="R1126" i="64"/>
  <c r="AS1053" i="64"/>
  <c r="CN1143" i="64"/>
  <c r="A1143" i="64"/>
  <c r="J1458" i="79"/>
  <c r="J1638" i="79" s="1"/>
  <c r="L34" i="85"/>
  <c r="L61" i="85" s="1"/>
  <c r="L88" i="85" s="1"/>
  <c r="L117" i="85" s="1"/>
  <c r="L5" i="85"/>
  <c r="M2292" i="79"/>
  <c r="M2293" i="79" s="1"/>
  <c r="M2294" i="79" s="1"/>
  <c r="AT1200" i="64"/>
  <c r="G1274" i="64"/>
  <c r="N613" i="79"/>
  <c r="K560" i="74"/>
  <c r="K581" i="74" s="1"/>
  <c r="K602" i="74" s="1"/>
  <c r="K623" i="74" s="1"/>
  <c r="K648" i="74" s="1"/>
  <c r="K658" i="74" s="1"/>
  <c r="K359" i="74"/>
  <c r="CB1291" i="64"/>
  <c r="AB1217" i="64"/>
  <c r="DO1217" i="64"/>
  <c r="K243" i="74"/>
  <c r="N700" i="79"/>
  <c r="N701" i="79"/>
  <c r="N702" i="79"/>
  <c r="L90" i="85"/>
  <c r="L110" i="85"/>
  <c r="L111" i="85" s="1"/>
  <c r="Y982" i="64"/>
  <c r="J982" i="64"/>
  <c r="AN982" i="64"/>
  <c r="CP226" i="65"/>
  <c r="CP209" i="65"/>
  <c r="CP221" i="65"/>
  <c r="CP213" i="65"/>
  <c r="CP203" i="65"/>
  <c r="CP206" i="65"/>
  <c r="CP228" i="65"/>
  <c r="CP223" i="65"/>
  <c r="CP231" i="65"/>
  <c r="CP214" i="65"/>
  <c r="CP230" i="65"/>
  <c r="CP227" i="65"/>
  <c r="CP210" i="65"/>
  <c r="CP207" i="65"/>
  <c r="CP229" i="65"/>
  <c r="CP211" i="65"/>
  <c r="CP224" i="65"/>
  <c r="CP205" i="65"/>
  <c r="CP212" i="65"/>
  <c r="CP204" i="65"/>
  <c r="CP222" i="65"/>
  <c r="CP220" i="65"/>
  <c r="CP225" i="65"/>
  <c r="CP208" i="65"/>
  <c r="CP21" i="65"/>
  <c r="CP19" i="65"/>
  <c r="CP16" i="65"/>
  <c r="CP18" i="65"/>
  <c r="CP11" i="65"/>
  <c r="CP219" i="65"/>
  <c r="CP15" i="65"/>
  <c r="CP17" i="65"/>
  <c r="CP22" i="65"/>
  <c r="CP14" i="65"/>
  <c r="CP10" i="65"/>
  <c r="CP12" i="65"/>
  <c r="CP23" i="65"/>
  <c r="CP24" i="65"/>
  <c r="CP25" i="65"/>
  <c r="CP26" i="65"/>
  <c r="CP27" i="65"/>
  <c r="M1448" i="64"/>
  <c r="M1444" i="64"/>
  <c r="P820" i="79" s="1"/>
  <c r="P821" i="79" s="1"/>
  <c r="M1440" i="64"/>
  <c r="P808" i="79" s="1"/>
  <c r="P809" i="79" s="1"/>
  <c r="M1436" i="64"/>
  <c r="P797" i="79" s="1"/>
  <c r="P798" i="79" s="1"/>
  <c r="M1432" i="64"/>
  <c r="P785" i="79" s="1"/>
  <c r="P786" i="79" s="1"/>
  <c r="M1428" i="64"/>
  <c r="M1447" i="64"/>
  <c r="P829" i="79" s="1"/>
  <c r="P830" i="79" s="1"/>
  <c r="M1443" i="64"/>
  <c r="P817" i="79" s="1"/>
  <c r="P818" i="79" s="1"/>
  <c r="M1439" i="64"/>
  <c r="P805" i="79" s="1"/>
  <c r="P806" i="79" s="1"/>
  <c r="M1435" i="64"/>
  <c r="P794" i="79" s="1"/>
  <c r="P795" i="79" s="1"/>
  <c r="M1431" i="64"/>
  <c r="P782" i="79" s="1"/>
  <c r="P783" i="79" s="1"/>
  <c r="M1427" i="64"/>
  <c r="P770" i="79" s="1"/>
  <c r="M1348" i="64"/>
  <c r="P592" i="79" s="1"/>
  <c r="M1347" i="64"/>
  <c r="P548" i="79" s="1"/>
  <c r="M1446" i="64"/>
  <c r="P826" i="79" s="1"/>
  <c r="P827" i="79" s="1"/>
  <c r="M1438" i="64"/>
  <c r="M1445" i="64"/>
  <c r="P823" i="79" s="1"/>
  <c r="M1437" i="64"/>
  <c r="P800" i="79" s="1"/>
  <c r="P801" i="79" s="1"/>
  <c r="M1429" i="64"/>
  <c r="P776" i="79" s="1"/>
  <c r="P777" i="79" s="1"/>
  <c r="M1420" i="64"/>
  <c r="P742" i="79" s="1"/>
  <c r="M1416" i="64"/>
  <c r="P726" i="79" s="1"/>
  <c r="M1357" i="64"/>
  <c r="P624" i="79" s="1"/>
  <c r="M1351" i="64"/>
  <c r="P600" i="79" s="1"/>
  <c r="M1434" i="64"/>
  <c r="P791" i="79" s="1"/>
  <c r="P792" i="79" s="1"/>
  <c r="M1426" i="64"/>
  <c r="P766" i="79" s="1"/>
  <c r="M1419" i="64"/>
  <c r="P738" i="79" s="1"/>
  <c r="M1356" i="64"/>
  <c r="P581" i="79" s="1"/>
  <c r="M1350" i="64"/>
  <c r="P557" i="79" s="1"/>
  <c r="M1441" i="64"/>
  <c r="P811" i="79" s="1"/>
  <c r="P812" i="79" s="1"/>
  <c r="M1425" i="64"/>
  <c r="P762" i="79" s="1"/>
  <c r="M1424" i="64"/>
  <c r="P758" i="79" s="1"/>
  <c r="M1442" i="64"/>
  <c r="P814" i="79" s="1"/>
  <c r="P815" i="79" s="1"/>
  <c r="M1423" i="64"/>
  <c r="P754" i="79" s="1"/>
  <c r="M1422" i="64"/>
  <c r="P750" i="79" s="1"/>
  <c r="M1417" i="64"/>
  <c r="P730" i="79" s="1"/>
  <c r="M1391" i="64"/>
  <c r="P2297" i="79" s="1"/>
  <c r="M1353" i="64"/>
  <c r="P565" i="79" s="1"/>
  <c r="M1430" i="64"/>
  <c r="P779" i="79" s="1"/>
  <c r="P780" i="79" s="1"/>
  <c r="M1354" i="64"/>
  <c r="P608" i="79" s="1"/>
  <c r="M1421" i="64"/>
  <c r="P746" i="79" s="1"/>
  <c r="M1433" i="64"/>
  <c r="P788" i="79" s="1"/>
  <c r="M1418" i="64"/>
  <c r="P734" i="79" s="1"/>
  <c r="M1359" i="64"/>
  <c r="P573" i="79" s="1"/>
  <c r="L683" i="74"/>
  <c r="L555" i="74"/>
  <c r="L552" i="74"/>
  <c r="L544" i="74"/>
  <c r="L541" i="74"/>
  <c r="L533" i="74"/>
  <c r="L530" i="74"/>
  <c r="L522" i="74"/>
  <c r="L519" i="74"/>
  <c r="L511" i="74"/>
  <c r="L508" i="74"/>
  <c r="L500" i="74"/>
  <c r="L517" i="74"/>
  <c r="L698" i="74" s="1"/>
  <c r="L528" i="74"/>
  <c r="L699" i="74" s="1"/>
  <c r="L539" i="74"/>
  <c r="L700" i="74" s="1"/>
  <c r="L497" i="74"/>
  <c r="L489" i="74"/>
  <c r="L486" i="74"/>
  <c r="L478" i="74"/>
  <c r="L475" i="74"/>
  <c r="L467" i="74"/>
  <c r="L464" i="74"/>
  <c r="L570" i="74" s="1"/>
  <c r="L456" i="74"/>
  <c r="L453" i="74"/>
  <c r="L445" i="74"/>
  <c r="L442" i="74"/>
  <c r="L434" i="74"/>
  <c r="L431" i="74"/>
  <c r="L462" i="74"/>
  <c r="L693" i="74" s="1"/>
  <c r="L407" i="74"/>
  <c r="L688" i="74" s="1"/>
  <c r="L396" i="74"/>
  <c r="L687" i="74" s="1"/>
  <c r="L385" i="74"/>
  <c r="L686" i="74" s="1"/>
  <c r="L374" i="74"/>
  <c r="L685" i="74" s="1"/>
  <c r="L363" i="74"/>
  <c r="L684" i="74" s="1"/>
  <c r="L79" i="74"/>
  <c r="L550" i="74"/>
  <c r="L701" i="74" s="1"/>
  <c r="L473" i="74"/>
  <c r="L694" i="74" s="1"/>
  <c r="L429" i="74"/>
  <c r="L690" i="74" s="1"/>
  <c r="L420" i="74"/>
  <c r="L232" i="74"/>
  <c r="L247" i="74" s="1"/>
  <c r="L262" i="74" s="1"/>
  <c r="L277" i="74" s="1"/>
  <c r="L484" i="74"/>
  <c r="L695" i="74" s="1"/>
  <c r="L440" i="74"/>
  <c r="L691" i="74" s="1"/>
  <c r="L418" i="74"/>
  <c r="L689" i="74" s="1"/>
  <c r="L5" i="74"/>
  <c r="L506" i="74"/>
  <c r="L697" i="74" s="1"/>
  <c r="L495" i="74"/>
  <c r="L696" i="74" s="1"/>
  <c r="L19" i="74"/>
  <c r="L451" i="74"/>
  <c r="L692" i="74" s="1"/>
  <c r="L423" i="74"/>
  <c r="L409" i="74"/>
  <c r="L398" i="74"/>
  <c r="L387" i="74"/>
  <c r="L563" i="74" s="1"/>
  <c r="L376" i="74"/>
  <c r="L562" i="74" s="1"/>
  <c r="L365" i="74"/>
  <c r="L412" i="74"/>
  <c r="L401" i="74"/>
  <c r="L390" i="74"/>
  <c r="L379" i="74"/>
  <c r="L109" i="74"/>
  <c r="L155" i="74"/>
  <c r="L237" i="74" s="1"/>
  <c r="L205" i="74"/>
  <c r="L198" i="74"/>
  <c r="L195" i="74"/>
  <c r="L178" i="74"/>
  <c r="L145" i="74"/>
  <c r="L236" i="74" s="1"/>
  <c r="L228" i="74"/>
  <c r="L225" i="74"/>
  <c r="L138" i="74"/>
  <c r="L128" i="74"/>
  <c r="L125" i="74"/>
  <c r="L234" i="74" s="1"/>
  <c r="L175" i="74"/>
  <c r="L239" i="74" s="1"/>
  <c r="L215" i="74"/>
  <c r="L115" i="74"/>
  <c r="L148" i="74"/>
  <c r="L185" i="74"/>
  <c r="L188" i="74"/>
  <c r="L118" i="74"/>
  <c r="L158" i="74"/>
  <c r="L208" i="74"/>
  <c r="L135" i="74"/>
  <c r="L235" i="74" s="1"/>
  <c r="L218" i="74"/>
  <c r="L165" i="74"/>
  <c r="L238" i="74" s="1"/>
  <c r="L168" i="74"/>
  <c r="O575" i="79"/>
  <c r="O576" i="79"/>
  <c r="O580" i="79"/>
  <c r="O577" i="79"/>
  <c r="O727" i="79"/>
  <c r="O1220" i="79" s="1"/>
  <c r="O1288" i="79" s="1"/>
  <c r="O728" i="79"/>
  <c r="O792" i="79"/>
  <c r="O756" i="79"/>
  <c r="O755" i="79"/>
  <c r="O827" i="79"/>
  <c r="O812" i="79"/>
  <c r="H16" i="80"/>
  <c r="H72" i="83"/>
  <c r="BM231" i="65"/>
  <c r="Y867" i="64" s="1"/>
  <c r="BM225" i="65"/>
  <c r="Y861" i="64" s="1"/>
  <c r="BM222" i="65"/>
  <c r="Y858" i="64" s="1"/>
  <c r="BM227" i="65"/>
  <c r="Y863" i="64" s="1"/>
  <c r="BM229" i="65"/>
  <c r="Y865" i="64" s="1"/>
  <c r="BM223" i="65"/>
  <c r="Y859" i="64" s="1"/>
  <c r="BM224" i="65"/>
  <c r="Y860" i="64" s="1"/>
  <c r="BM230" i="65"/>
  <c r="Y866" i="64" s="1"/>
  <c r="BM220" i="65"/>
  <c r="Y856" i="64" s="1"/>
  <c r="BM228" i="65"/>
  <c r="Y864" i="64" s="1"/>
  <c r="BM226" i="65"/>
  <c r="BM221" i="65"/>
  <c r="Y857" i="64" s="1"/>
  <c r="N1631" i="79"/>
  <c r="N1387" i="79"/>
  <c r="N554" i="79"/>
  <c r="M137" i="77"/>
  <c r="L576" i="73"/>
  <c r="L565" i="73"/>
  <c r="L577" i="73"/>
  <c r="L599" i="73"/>
  <c r="L605" i="73" s="1"/>
  <c r="L600" i="73"/>
  <c r="L587" i="73"/>
  <c r="L593" i="73" s="1"/>
  <c r="F1126" i="64"/>
  <c r="AG1053" i="64"/>
  <c r="J220" i="85"/>
  <c r="J218" i="85"/>
  <c r="K229" i="74"/>
  <c r="N562" i="79"/>
  <c r="N1389" i="79"/>
  <c r="S1274" i="64"/>
  <c r="BF1200" i="64"/>
  <c r="K218" i="85"/>
  <c r="K220" i="85"/>
  <c r="AL492" i="79"/>
  <c r="AL287" i="79"/>
  <c r="AL246" i="79"/>
  <c r="AL6" i="79"/>
  <c r="AL451" i="79"/>
  <c r="AL369" i="79"/>
  <c r="AL205" i="79"/>
  <c r="AL123" i="79"/>
  <c r="AL410" i="79"/>
  <c r="AL328" i="79"/>
  <c r="AL82" i="79"/>
  <c r="M11" i="73"/>
  <c r="M68" i="73"/>
  <c r="M90" i="73" s="1"/>
  <c r="M100" i="73" s="1"/>
  <c r="M128" i="73" s="1"/>
  <c r="M156" i="73" s="1"/>
  <c r="M184" i="73" s="1"/>
  <c r="M211" i="73" s="1"/>
  <c r="M238" i="73" s="1"/>
  <c r="M264" i="73" s="1"/>
  <c r="M286" i="73" s="1"/>
  <c r="M309" i="73" s="1"/>
  <c r="M331" i="73" s="1"/>
  <c r="M8" i="85" s="1"/>
  <c r="M7" i="73"/>
  <c r="O620" i="79"/>
  <c r="O619" i="79"/>
  <c r="O618" i="79"/>
  <c r="O599" i="79"/>
  <c r="O596" i="79"/>
  <c r="O594" i="79"/>
  <c r="O595" i="79"/>
  <c r="O628" i="79"/>
  <c r="O627" i="79"/>
  <c r="O626" i="79"/>
  <c r="O739" i="79"/>
  <c r="O740" i="79"/>
  <c r="O552" i="79"/>
  <c r="O556" i="79"/>
  <c r="O551" i="79"/>
  <c r="O553" i="79"/>
  <c r="O763" i="79"/>
  <c r="O764" i="79"/>
  <c r="N621" i="79"/>
  <c r="N629" i="79"/>
  <c r="H71" i="83"/>
  <c r="H15" i="80"/>
  <c r="BR1200" i="64"/>
  <c r="AE1274" i="64"/>
  <c r="N586" i="79"/>
  <c r="N1395" i="79"/>
  <c r="N570" i="79"/>
  <c r="K557" i="74"/>
  <c r="AK164" i="79"/>
  <c r="U401" i="40" s="1"/>
  <c r="U396" i="40"/>
  <c r="U394" i="40"/>
  <c r="U436" i="40"/>
  <c r="U437" i="40"/>
  <c r="U431" i="40"/>
  <c r="U430" i="40"/>
  <c r="U434" i="40"/>
  <c r="U433" i="40"/>
  <c r="CG30" i="65"/>
  <c r="CM29" i="65"/>
  <c r="CI29" i="65"/>
  <c r="CO29" i="65"/>
  <c r="CL29" i="65"/>
  <c r="CN29" i="65"/>
  <c r="CK29" i="65"/>
  <c r="CP29" i="65"/>
  <c r="CJ29" i="65"/>
  <c r="BG21" i="65"/>
  <c r="BL21" i="65"/>
  <c r="BK21" i="65"/>
  <c r="BE22" i="65"/>
  <c r="BH21" i="65"/>
  <c r="BJ21" i="65"/>
  <c r="BI21" i="65"/>
  <c r="BM21" i="65"/>
  <c r="BN21" i="65"/>
  <c r="AV751" i="64"/>
  <c r="AI751" i="64"/>
  <c r="AT680" i="64"/>
  <c r="AG680" i="64"/>
  <c r="AW751" i="64"/>
  <c r="AJ751" i="64"/>
  <c r="BS30" i="65"/>
  <c r="BZ29" i="65"/>
  <c r="BV29" i="65"/>
  <c r="BW29" i="65"/>
  <c r="BU29" i="65"/>
  <c r="CC29" i="65"/>
  <c r="CA29" i="65"/>
  <c r="BX29" i="65"/>
  <c r="CB29" i="65"/>
  <c r="BY29" i="65"/>
  <c r="CT1065" i="64"/>
  <c r="M753" i="64"/>
  <c r="V681" i="64"/>
  <c r="V752" i="64"/>
  <c r="V823" i="64"/>
  <c r="U823" i="64"/>
  <c r="U681" i="64"/>
  <c r="U752" i="64"/>
  <c r="S681" i="64"/>
  <c r="S752" i="64"/>
  <c r="S823" i="64"/>
  <c r="AS822" i="64"/>
  <c r="AF822" i="64"/>
  <c r="AV680" i="64"/>
  <c r="AI680" i="64"/>
  <c r="AT822" i="64"/>
  <c r="AG822" i="64"/>
  <c r="AU680" i="64"/>
  <c r="AH680" i="64"/>
  <c r="I1045" i="64"/>
  <c r="I1116" i="64" s="1"/>
  <c r="X752" i="64"/>
  <c r="X681" i="64"/>
  <c r="X823" i="64"/>
  <c r="AS751" i="64"/>
  <c r="AF751" i="64"/>
  <c r="AI822" i="64"/>
  <c r="AV822" i="64"/>
  <c r="AJ822" i="64"/>
  <c r="AW822" i="64"/>
  <c r="AU822" i="64"/>
  <c r="AH822" i="64"/>
  <c r="T752" i="64"/>
  <c r="T681" i="64"/>
  <c r="T823" i="64"/>
  <c r="W752" i="64"/>
  <c r="W823" i="64"/>
  <c r="W681" i="64"/>
  <c r="AS680" i="64"/>
  <c r="AF680" i="64"/>
  <c r="AT751" i="64"/>
  <c r="AG751" i="64"/>
  <c r="AJ680" i="64"/>
  <c r="AW680" i="64"/>
  <c r="AH751" i="64"/>
  <c r="AU751" i="64"/>
  <c r="CN1176" i="64"/>
  <c r="A1176" i="64"/>
  <c r="B1315" i="64"/>
  <c r="CO1315" i="64"/>
  <c r="CN1179" i="64"/>
  <c r="A1179" i="64"/>
  <c r="J579" i="74"/>
  <c r="K561" i="74"/>
  <c r="B1298" i="64"/>
  <c r="CO1298" i="64"/>
  <c r="DO1244" i="64"/>
  <c r="AB1244" i="64"/>
  <c r="CB1318" i="64"/>
  <c r="CN1180" i="64"/>
  <c r="A1180" i="64"/>
  <c r="B1299" i="64"/>
  <c r="CO1299" i="64"/>
  <c r="R1288" i="64"/>
  <c r="BE1288" i="64"/>
  <c r="CE1214" i="64"/>
  <c r="BE1247" i="64"/>
  <c r="AE1240" i="64"/>
  <c r="CR1240" i="64"/>
  <c r="AE1318" i="64"/>
  <c r="BE1284" i="64"/>
  <c r="AR1308" i="64"/>
  <c r="AE1234" i="64"/>
  <c r="BE1243" i="64"/>
  <c r="BE1235" i="64"/>
  <c r="BE1276" i="64"/>
  <c r="R1305" i="64"/>
  <c r="BR1288" i="64"/>
  <c r="E1288" i="64"/>
  <c r="BR1231" i="64"/>
  <c r="BE1305" i="64"/>
  <c r="BR1202" i="64"/>
  <c r="CE1202" i="64"/>
  <c r="CE1231" i="64"/>
  <c r="AE1288" i="64"/>
  <c r="AE1321" i="64"/>
  <c r="AE1314" i="64"/>
  <c r="BR1210" i="64"/>
  <c r="CE1210" i="64"/>
  <c r="BE1317" i="64"/>
  <c r="AR1276" i="64"/>
  <c r="AR1231" i="64"/>
  <c r="AR1288" i="64"/>
  <c r="CR1247" i="64"/>
  <c r="AR1314" i="64"/>
  <c r="BR1318" i="64"/>
  <c r="CR1210" i="64"/>
  <c r="BE1308" i="64"/>
  <c r="AR1317" i="64"/>
  <c r="R1317" i="64"/>
  <c r="E1324" i="64"/>
  <c r="CR1219" i="64"/>
  <c r="AR1223" i="64"/>
  <c r="AR1302" i="64"/>
  <c r="AR1228" i="64"/>
  <c r="AR1254" i="64"/>
  <c r="CE1254" i="64"/>
  <c r="R1328" i="64"/>
  <c r="BR1220" i="64"/>
  <c r="CR1220" i="64"/>
  <c r="AE1280" i="64"/>
  <c r="AE1232" i="64"/>
  <c r="CR1232" i="64"/>
  <c r="AR1293" i="64"/>
  <c r="BE1254" i="64"/>
  <c r="E1289" i="64"/>
  <c r="BE1279" i="64"/>
  <c r="AE1279" i="64"/>
  <c r="BR1206" i="64"/>
  <c r="CR1209" i="64"/>
  <c r="AE1209" i="64"/>
  <c r="BE1283" i="64"/>
  <c r="BR1207" i="64"/>
  <c r="CR1250" i="64"/>
  <c r="AR1216" i="64"/>
  <c r="BE1233" i="64"/>
  <c r="BR1233" i="64"/>
  <c r="AE1282" i="64"/>
  <c r="AE1208" i="64"/>
  <c r="BE1294" i="64"/>
  <c r="BR1289" i="64"/>
  <c r="CE1215" i="64"/>
  <c r="AR1279" i="64"/>
  <c r="AE1306" i="64"/>
  <c r="BR1293" i="64"/>
  <c r="AR1322" i="64"/>
  <c r="BR1290" i="64"/>
  <c r="BE1223" i="64"/>
  <c r="CE1228" i="64"/>
  <c r="AE1287" i="64"/>
  <c r="E1287" i="64"/>
  <c r="BE1307" i="64"/>
  <c r="CE1233" i="64"/>
  <c r="AR1208" i="64"/>
  <c r="E1282" i="64"/>
  <c r="R1294" i="64"/>
  <c r="AR1205" i="64"/>
  <c r="AE1206" i="64"/>
  <c r="R1280" i="64"/>
  <c r="AR1306" i="64"/>
  <c r="AR1207" i="64"/>
  <c r="BE1239" i="64"/>
  <c r="BE1245" i="64"/>
  <c r="AR1229" i="64"/>
  <c r="BR1212" i="64"/>
  <c r="BE1256" i="64"/>
  <c r="AE1334" i="64"/>
  <c r="BE1310" i="64"/>
  <c r="CE1255" i="64"/>
  <c r="AR1260" i="64"/>
  <c r="AR1337" i="64"/>
  <c r="R1340" i="64"/>
  <c r="R1336" i="64"/>
  <c r="CE1226" i="64"/>
  <c r="E1285" i="64"/>
  <c r="AE1285" i="64"/>
  <c r="BE1258" i="64"/>
  <c r="AE1204" i="64"/>
  <c r="AE1300" i="64"/>
  <c r="AR1218" i="64"/>
  <c r="BE1253" i="64"/>
  <c r="CR1227" i="64"/>
  <c r="BR1244" i="64"/>
  <c r="AE1284" i="64"/>
  <c r="E1308" i="64"/>
  <c r="BR1317" i="64"/>
  <c r="R1324" i="64"/>
  <c r="BR1216" i="64"/>
  <c r="CE1223" i="64"/>
  <c r="AE1233" i="64"/>
  <c r="AE1307" i="64"/>
  <c r="CE1208" i="64"/>
  <c r="AE1254" i="64"/>
  <c r="BR1294" i="64"/>
  <c r="AR1280" i="64"/>
  <c r="AE1283" i="64"/>
  <c r="BR1209" i="64"/>
  <c r="AE1245" i="64"/>
  <c r="CR1229" i="64"/>
  <c r="CE1229" i="64"/>
  <c r="E1341" i="64"/>
  <c r="AE1255" i="64"/>
  <c r="BR1338" i="64"/>
  <c r="CE1242" i="64"/>
  <c r="AE1341" i="64"/>
  <c r="BR1336" i="64"/>
  <c r="CE1259" i="64"/>
  <c r="CR1259" i="64"/>
  <c r="CR1226" i="64"/>
  <c r="BE1204" i="64"/>
  <c r="BE1300" i="64"/>
  <c r="E1332" i="64"/>
  <c r="AR1278" i="64"/>
  <c r="BE1227" i="64"/>
  <c r="CR1235" i="64"/>
  <c r="BR1214" i="64"/>
  <c r="AE1237" i="64"/>
  <c r="E1303" i="64"/>
  <c r="E1286" i="64"/>
  <c r="CE1212" i="64"/>
  <c r="AE1329" i="64"/>
  <c r="AE1330" i="64"/>
  <c r="R1316" i="64"/>
  <c r="BR1341" i="64"/>
  <c r="CR1264" i="64"/>
  <c r="BE1259" i="64"/>
  <c r="AE1262" i="64"/>
  <c r="AE1337" i="64"/>
  <c r="AR1265" i="64"/>
  <c r="AR1204" i="64"/>
  <c r="AR1335" i="64"/>
  <c r="AE1258" i="64"/>
  <c r="BR1226" i="64"/>
  <c r="E1292" i="64"/>
  <c r="AR1253" i="64"/>
  <c r="AE1309" i="64"/>
  <c r="E1284" i="64"/>
  <c r="AR1284" i="64"/>
  <c r="BR1234" i="64"/>
  <c r="AE1243" i="64"/>
  <c r="BR1250" i="64"/>
  <c r="AE1293" i="64"/>
  <c r="R1290" i="64"/>
  <c r="AE1216" i="64"/>
  <c r="BE1302" i="64"/>
  <c r="CR1233" i="64"/>
  <c r="AR1307" i="64"/>
  <c r="BR1254" i="64"/>
  <c r="AE1294" i="64"/>
  <c r="BE1289" i="64"/>
  <c r="BR1279" i="64"/>
  <c r="AR1206" i="64"/>
  <c r="BE1306" i="64"/>
  <c r="E1313" i="64"/>
  <c r="AR1311" i="64"/>
  <c r="CR1260" i="64"/>
  <c r="E1316" i="64"/>
  <c r="BE1267" i="64"/>
  <c r="E1330" i="64"/>
  <c r="BE1260" i="64"/>
  <c r="AE1242" i="64"/>
  <c r="BR1333" i="64"/>
  <c r="BE1266" i="64"/>
  <c r="AE1266" i="64"/>
  <c r="AE1257" i="64"/>
  <c r="AE1261" i="64"/>
  <c r="CE1211" i="64"/>
  <c r="BR1300" i="64"/>
  <c r="BR1335" i="64"/>
  <c r="AE1253" i="64"/>
  <c r="R1321" i="64"/>
  <c r="E1314" i="64"/>
  <c r="AE1214" i="64"/>
  <c r="AR1214" i="64"/>
  <c r="AE1313" i="64"/>
  <c r="AR1237" i="64"/>
  <c r="BR1237" i="64"/>
  <c r="CR1267" i="64"/>
  <c r="AR1329" i="64"/>
  <c r="R1338" i="64"/>
  <c r="AE1310" i="64"/>
  <c r="AR1267" i="64"/>
  <c r="CE1262" i="64"/>
  <c r="AR1263" i="64"/>
  <c r="AR1333" i="64"/>
  <c r="BR1211" i="64"/>
  <c r="R1285" i="64"/>
  <c r="E1339" i="64"/>
  <c r="AE1331" i="64"/>
  <c r="CE1265" i="64"/>
  <c r="BR1292" i="64"/>
  <c r="CR1253" i="64"/>
  <c r="CE1253" i="64"/>
  <c r="E1301" i="64"/>
  <c r="BE1244" i="64"/>
  <c r="AE1322" i="64"/>
  <c r="AE1297" i="64"/>
  <c r="R1302" i="64"/>
  <c r="BR1213" i="64"/>
  <c r="AR1215" i="64"/>
  <c r="CE1205" i="64"/>
  <c r="CR1205" i="64"/>
  <c r="CE1206" i="64"/>
  <c r="BR1280" i="64"/>
  <c r="BE1207" i="64"/>
  <c r="BR1281" i="64"/>
  <c r="AR1313" i="64"/>
  <c r="AE1311" i="64"/>
  <c r="BE1311" i="64"/>
  <c r="CR1245" i="64"/>
  <c r="CE1245" i="64"/>
  <c r="AE1286" i="64"/>
  <c r="R1330" i="64"/>
  <c r="BE1264" i="64"/>
  <c r="R1310" i="64"/>
  <c r="BR1329" i="64"/>
  <c r="AE1264" i="64"/>
  <c r="AE1263" i="64"/>
  <c r="BR1266" i="64"/>
  <c r="AR1336" i="64"/>
  <c r="AR1257" i="64"/>
  <c r="AE1335" i="64"/>
  <c r="BE1339" i="64"/>
  <c r="BR1261" i="64"/>
  <c r="CE1204" i="64"/>
  <c r="AE1332" i="64"/>
  <c r="CE1218" i="64"/>
  <c r="AE1327" i="64"/>
  <c r="BR1253" i="64"/>
  <c r="BR1227" i="64"/>
  <c r="BE1301" i="64"/>
  <c r="E1309" i="64"/>
  <c r="E1321" i="64"/>
  <c r="BE1314" i="64"/>
  <c r="BE1214" i="64"/>
  <c r="R1281" i="64"/>
  <c r="CR1239" i="64"/>
  <c r="CR1237" i="64"/>
  <c r="R1311" i="64"/>
  <c r="E1319" i="64"/>
  <c r="R1334" i="64"/>
  <c r="AR1236" i="64"/>
  <c r="R1341" i="64"/>
  <c r="BR1330" i="64"/>
  <c r="BR1316" i="64"/>
  <c r="BE1316" i="64"/>
  <c r="BE1337" i="64"/>
  <c r="AR1266" i="64"/>
  <c r="BE1340" i="64"/>
  <c r="BE1265" i="64"/>
  <c r="BE1261" i="64"/>
  <c r="BR1204" i="64"/>
  <c r="R1300" i="64"/>
  <c r="R1335" i="64"/>
  <c r="AE1218" i="64"/>
  <c r="AR1301" i="64"/>
  <c r="AR1235" i="64"/>
  <c r="AE1247" i="64"/>
  <c r="E1318" i="64"/>
  <c r="R1284" i="64"/>
  <c r="BR1243" i="64"/>
  <c r="E1276" i="64"/>
  <c r="AE1219" i="64"/>
  <c r="BR1223" i="64"/>
  <c r="CR1223" i="64"/>
  <c r="CR1228" i="64"/>
  <c r="R1307" i="64"/>
  <c r="BR1208" i="64"/>
  <c r="AE1328" i="64"/>
  <c r="E1279" i="64"/>
  <c r="E1306" i="64"/>
  <c r="AR1209" i="64"/>
  <c r="CR1207" i="64"/>
  <c r="BR1239" i="64"/>
  <c r="AE1239" i="64"/>
  <c r="BR1311" i="64"/>
  <c r="AR1303" i="64"/>
  <c r="AR1286" i="64"/>
  <c r="CR1255" i="64"/>
  <c r="AR1330" i="64"/>
  <c r="AE1316" i="64"/>
  <c r="AE1267" i="64"/>
  <c r="BR1256" i="64"/>
  <c r="AR1340" i="64"/>
  <c r="BR1262" i="64"/>
  <c r="CR1263" i="64"/>
  <c r="BE1278" i="64"/>
  <c r="CR1257" i="64"/>
  <c r="R1339" i="64"/>
  <c r="AE1278" i="64"/>
  <c r="CE1257" i="64"/>
  <c r="CR1218" i="64"/>
  <c r="R1327" i="64"/>
  <c r="R1301" i="64"/>
  <c r="CE1235" i="64"/>
  <c r="AR1321" i="64"/>
  <c r="BR1305" i="64"/>
  <c r="BE1231" i="64"/>
  <c r="BR1247" i="64"/>
  <c r="BE1321" i="64"/>
  <c r="CE1244" i="64"/>
  <c r="BR1284" i="64"/>
  <c r="CR1234" i="64"/>
  <c r="AE1276" i="64"/>
  <c r="BR1276" i="64"/>
  <c r="AR1202" i="64"/>
  <c r="BE1250" i="64"/>
  <c r="CE1219" i="64"/>
  <c r="AR1290" i="64"/>
  <c r="R1297" i="64"/>
  <c r="AR1297" i="64"/>
  <c r="AE1302" i="64"/>
  <c r="AR1282" i="64"/>
  <c r="BE1328" i="64"/>
  <c r="AR1220" i="64"/>
  <c r="BR1215" i="64"/>
  <c r="CE1239" i="64"/>
  <c r="BE1229" i="64"/>
  <c r="BE1212" i="64"/>
  <c r="CE1256" i="64"/>
  <c r="BR1264" i="64"/>
  <c r="CR1236" i="64"/>
  <c r="BE1329" i="64"/>
  <c r="AE1338" i="64"/>
  <c r="BE1333" i="64"/>
  <c r="E1336" i="64"/>
  <c r="BE1336" i="64"/>
  <c r="CE1258" i="64"/>
  <c r="AR1300" i="64"/>
  <c r="R1331" i="64"/>
  <c r="BR1265" i="64"/>
  <c r="AR1211" i="64"/>
  <c r="BR1327" i="64"/>
  <c r="E1305" i="64"/>
  <c r="AR1240" i="64"/>
  <c r="BE1210" i="64"/>
  <c r="CR1243" i="64"/>
  <c r="BE1322" i="64"/>
  <c r="AR1201" i="64"/>
  <c r="AR1296" i="64"/>
  <c r="BR1277" i="64"/>
  <c r="R1320" i="64"/>
  <c r="BE1252" i="64"/>
  <c r="BE1291" i="64"/>
  <c r="CE1251" i="64"/>
  <c r="BE1221" i="64"/>
  <c r="AR1304" i="64"/>
  <c r="BR1323" i="64"/>
  <c r="AE1315" i="64"/>
  <c r="AE1203" i="64"/>
  <c r="AE1320" i="64"/>
  <c r="BR1291" i="64"/>
  <c r="AR1244" i="64"/>
  <c r="AE1317" i="64"/>
  <c r="BE1202" i="64"/>
  <c r="BR1324" i="64"/>
  <c r="BR1322" i="64"/>
  <c r="CE1216" i="64"/>
  <c r="AE1223" i="64"/>
  <c r="E1307" i="64"/>
  <c r="BE1282" i="64"/>
  <c r="CR1254" i="64"/>
  <c r="E1294" i="64"/>
  <c r="CR1206" i="64"/>
  <c r="BR1232" i="64"/>
  <c r="AR1283" i="64"/>
  <c r="AE1207" i="64"/>
  <c r="BR1313" i="64"/>
  <c r="BE1313" i="64"/>
  <c r="E1311" i="64"/>
  <c r="AE1319" i="64"/>
  <c r="BR1229" i="64"/>
  <c r="CR1212" i="64"/>
  <c r="BR1286" i="64"/>
  <c r="AR1212" i="64"/>
  <c r="BE1255" i="64"/>
  <c r="CR1256" i="64"/>
  <c r="AE1260" i="64"/>
  <c r="AE1236" i="64"/>
  <c r="R1329" i="64"/>
  <c r="E1340" i="64"/>
  <c r="R1337" i="64"/>
  <c r="BE1263" i="64"/>
  <c r="BR1285" i="64"/>
  <c r="AR1261" i="64"/>
  <c r="BR1339" i="64"/>
  <c r="AR1285" i="64"/>
  <c r="BR1258" i="64"/>
  <c r="R1292" i="64"/>
  <c r="BR1301" i="64"/>
  <c r="AR1305" i="64"/>
  <c r="BE1318" i="64"/>
  <c r="AR1234" i="64"/>
  <c r="E1322" i="64"/>
  <c r="CR1201" i="64"/>
  <c r="AR1222" i="64"/>
  <c r="R1277" i="64"/>
  <c r="AR1252" i="64"/>
  <c r="BR1217" i="64"/>
  <c r="BE1299" i="64"/>
  <c r="AR1224" i="64"/>
  <c r="AE1221" i="64"/>
  <c r="R1304" i="64"/>
  <c r="BE1323" i="64"/>
  <c r="BR1315" i="64"/>
  <c r="BE1203" i="64"/>
  <c r="E1320" i="64"/>
  <c r="CE1217" i="64"/>
  <c r="AE1325" i="64"/>
  <c r="CE1224" i="64"/>
  <c r="AE1305" i="64"/>
  <c r="BE1240" i="64"/>
  <c r="R1308" i="64"/>
  <c r="R1276" i="64"/>
  <c r="AE1324" i="64"/>
  <c r="BR1219" i="64"/>
  <c r="E1293" i="64"/>
  <c r="AE1248" i="64"/>
  <c r="AR1213" i="64"/>
  <c r="BE1213" i="64"/>
  <c r="BR1307" i="64"/>
  <c r="BE1208" i="64"/>
  <c r="R1282" i="64"/>
  <c r="R1289" i="64"/>
  <c r="R1279" i="64"/>
  <c r="BE1280" i="64"/>
  <c r="BE1232" i="64"/>
  <c r="CE1209" i="64"/>
  <c r="R1283" i="64"/>
  <c r="AR1245" i="64"/>
  <c r="BR1245" i="64"/>
  <c r="AE1303" i="64"/>
  <c r="R1303" i="64"/>
  <c r="AR1334" i="64"/>
  <c r="BE1236" i="64"/>
  <c r="BR1267" i="64"/>
  <c r="CE1264" i="64"/>
  <c r="AR1316" i="64"/>
  <c r="E1310" i="64"/>
  <c r="BE1262" i="64"/>
  <c r="AR1259" i="64"/>
  <c r="E1333" i="64"/>
  <c r="BE1257" i="64"/>
  <c r="AR1226" i="64"/>
  <c r="BE1332" i="64"/>
  <c r="BE1335" i="64"/>
  <c r="BE1285" i="64"/>
  <c r="BE1218" i="64"/>
  <c r="AR1327" i="64"/>
  <c r="AE1227" i="64"/>
  <c r="BR1235" i="64"/>
  <c r="BE1309" i="64"/>
  <c r="AE1231" i="64"/>
  <c r="BR1321" i="64"/>
  <c r="BR1240" i="64"/>
  <c r="AE1244" i="64"/>
  <c r="R1318" i="64"/>
  <c r="AE1210" i="64"/>
  <c r="CE1234" i="64"/>
  <c r="BE1234" i="64"/>
  <c r="E1317" i="64"/>
  <c r="AE1202" i="64"/>
  <c r="R1322" i="64"/>
  <c r="E1315" i="64"/>
  <c r="AR1203" i="64"/>
  <c r="AR1320" i="64"/>
  <c r="CE1252" i="64"/>
  <c r="BE1217" i="64"/>
  <c r="E1325" i="64"/>
  <c r="CR1224" i="64"/>
  <c r="AR1312" i="64"/>
  <c r="AR1323" i="64"/>
  <c r="BR1201" i="64"/>
  <c r="AE1222" i="64"/>
  <c r="BE1320" i="64"/>
  <c r="CR1231" i="64"/>
  <c r="CE1247" i="64"/>
  <c r="R1314" i="64"/>
  <c r="AR1318" i="64"/>
  <c r="AE1308" i="64"/>
  <c r="AR1243" i="64"/>
  <c r="AR1250" i="64"/>
  <c r="E1290" i="64"/>
  <c r="BR1297" i="64"/>
  <c r="E1297" i="64"/>
  <c r="AE1228" i="64"/>
  <c r="BR1302" i="64"/>
  <c r="R1287" i="64"/>
  <c r="BR1328" i="64"/>
  <c r="AR1328" i="64"/>
  <c r="CR1215" i="64"/>
  <c r="AE1281" i="64"/>
  <c r="R1319" i="64"/>
  <c r="E1338" i="64"/>
  <c r="BR1242" i="64"/>
  <c r="AR1310" i="64"/>
  <c r="BE1330" i="64"/>
  <c r="BR1260" i="64"/>
  <c r="CR1262" i="64"/>
  <c r="AE1259" i="64"/>
  <c r="BR1340" i="64"/>
  <c r="CR1204" i="64"/>
  <c r="AE1265" i="64"/>
  <c r="R1278" i="64"/>
  <c r="BE1226" i="64"/>
  <c r="R1332" i="64"/>
  <c r="AR1339" i="64"/>
  <c r="BR1218" i="64"/>
  <c r="BE1327" i="64"/>
  <c r="R1309" i="64"/>
  <c r="CR1214" i="64"/>
  <c r="AR1247" i="64"/>
  <c r="BR1314" i="64"/>
  <c r="CE1240" i="64"/>
  <c r="CR1244" i="64"/>
  <c r="AR1210" i="64"/>
  <c r="BR1308" i="64"/>
  <c r="CE1243" i="64"/>
  <c r="CR1202" i="64"/>
  <c r="R1275" i="64"/>
  <c r="BE1241" i="64"/>
  <c r="CE1203" i="64"/>
  <c r="AR1246" i="64"/>
  <c r="BR1252" i="64"/>
  <c r="AR1217" i="64"/>
  <c r="CR1251" i="64"/>
  <c r="CE1221" i="64"/>
  <c r="BR1312" i="64"/>
  <c r="AE1323" i="64"/>
  <c r="AR1315" i="64"/>
  <c r="BR1222" i="64"/>
  <c r="AE1246" i="64"/>
  <c r="AR1326" i="64"/>
  <c r="CE1225" i="64"/>
  <c r="AR1325" i="64"/>
  <c r="AR1221" i="64"/>
  <c r="CE1238" i="64"/>
  <c r="AE1230" i="64"/>
  <c r="BR1249" i="64"/>
  <c r="AR1248" i="64"/>
  <c r="E1275" i="64"/>
  <c r="BE1315" i="64"/>
  <c r="E1326" i="64"/>
  <c r="E1298" i="64"/>
  <c r="AE1312" i="64"/>
  <c r="AE1304" i="64"/>
  <c r="CR1249" i="64"/>
  <c r="BE1275" i="64"/>
  <c r="R1315" i="64"/>
  <c r="BE1222" i="64"/>
  <c r="BR1246" i="64"/>
  <c r="BR1326" i="64"/>
  <c r="CR1217" i="64"/>
  <c r="AR1225" i="64"/>
  <c r="BR1251" i="64"/>
  <c r="BR1298" i="64"/>
  <c r="BR1238" i="64"/>
  <c r="BR1230" i="64"/>
  <c r="AR1230" i="64"/>
  <c r="BE1201" i="64"/>
  <c r="CR1241" i="64"/>
  <c r="R1296" i="64"/>
  <c r="E1277" i="64"/>
  <c r="CR1252" i="64"/>
  <c r="AE1291" i="64"/>
  <c r="BR1225" i="64"/>
  <c r="BE1224" i="64"/>
  <c r="R1295" i="64"/>
  <c r="CR1230" i="64"/>
  <c r="AR1324" i="64"/>
  <c r="BE1324" i="64"/>
  <c r="CR1248" i="64"/>
  <c r="BE1228" i="64"/>
  <c r="BR1228" i="64"/>
  <c r="AR1287" i="64"/>
  <c r="CE1213" i="64"/>
  <c r="BE1287" i="64"/>
  <c r="AR1233" i="64"/>
  <c r="BR1282" i="64"/>
  <c r="E1328" i="64"/>
  <c r="CE1220" i="64"/>
  <c r="AR1289" i="64"/>
  <c r="BE1206" i="64"/>
  <c r="E1283" i="64"/>
  <c r="BR1283" i="64"/>
  <c r="BE1281" i="64"/>
  <c r="E1281" i="64"/>
  <c r="BR1319" i="64"/>
  <c r="BR1303" i="64"/>
  <c r="BE1338" i="64"/>
  <c r="BR1334" i="64"/>
  <c r="BR1236" i="64"/>
  <c r="BR1255" i="64"/>
  <c r="CE1260" i="64"/>
  <c r="E1337" i="64"/>
  <c r="CR1266" i="64"/>
  <c r="AE1340" i="64"/>
  <c r="BE1211" i="64"/>
  <c r="BR1278" i="64"/>
  <c r="E1278" i="64"/>
  <c r="BR1257" i="64"/>
  <c r="BR1332" i="64"/>
  <c r="E1335" i="64"/>
  <c r="AE1235" i="64"/>
  <c r="E1299" i="64"/>
  <c r="E1295" i="64"/>
  <c r="R1312" i="64"/>
  <c r="E1304" i="64"/>
  <c r="AE1249" i="64"/>
  <c r="AE1275" i="64"/>
  <c r="BE1296" i="64"/>
  <c r="BR1296" i="64"/>
  <c r="BE1246" i="64"/>
  <c r="AE1252" i="64"/>
  <c r="AR1299" i="64"/>
  <c r="AE1225" i="64"/>
  <c r="BE1298" i="64"/>
  <c r="BR1295" i="64"/>
  <c r="BE1238" i="64"/>
  <c r="BE1230" i="64"/>
  <c r="BE1249" i="64"/>
  <c r="AE1201" i="64"/>
  <c r="AE1241" i="64"/>
  <c r="E1296" i="64"/>
  <c r="BR1203" i="64"/>
  <c r="R1326" i="64"/>
  <c r="R1291" i="64"/>
  <c r="BE1251" i="64"/>
  <c r="AR1298" i="64"/>
  <c r="BE1295" i="64"/>
  <c r="E1323" i="64"/>
  <c r="CE1250" i="64"/>
  <c r="AE1250" i="64"/>
  <c r="BE1293" i="64"/>
  <c r="BE1248" i="64"/>
  <c r="AE1290" i="64"/>
  <c r="E1302" i="64"/>
  <c r="AE1213" i="64"/>
  <c r="BR1287" i="64"/>
  <c r="AR1294" i="64"/>
  <c r="AE1220" i="64"/>
  <c r="AE1289" i="64"/>
  <c r="BR1306" i="64"/>
  <c r="AR1281" i="64"/>
  <c r="R1313" i="64"/>
  <c r="CE1237" i="64"/>
  <c r="AR1256" i="64"/>
  <c r="AE1256" i="64"/>
  <c r="AR1242" i="64"/>
  <c r="AR1341" i="64"/>
  <c r="AR1338" i="64"/>
  <c r="R1333" i="64"/>
  <c r="AE1336" i="64"/>
  <c r="BR1337" i="64"/>
  <c r="CR1261" i="64"/>
  <c r="AR1332" i="64"/>
  <c r="BR1331" i="64"/>
  <c r="AE1226" i="64"/>
  <c r="CR1211" i="64"/>
  <c r="BE1292" i="64"/>
  <c r="E1327" i="64"/>
  <c r="AE1301" i="64"/>
  <c r="R1299" i="64"/>
  <c r="BE1312" i="64"/>
  <c r="E1312" i="64"/>
  <c r="CE1249" i="64"/>
  <c r="CE1248" i="64"/>
  <c r="CE1241" i="64"/>
  <c r="CR1222" i="64"/>
  <c r="BE1277" i="64"/>
  <c r="CR1246" i="64"/>
  <c r="E1291" i="64"/>
  <c r="AE1299" i="64"/>
  <c r="AE1251" i="64"/>
  <c r="AE1298" i="64"/>
  <c r="CR1221" i="64"/>
  <c r="CR1238" i="64"/>
  <c r="BR1304" i="64"/>
  <c r="AR1249" i="64"/>
  <c r="AR1275" i="64"/>
  <c r="AR1241" i="64"/>
  <c r="CR1203" i="64"/>
  <c r="CE1246" i="64"/>
  <c r="BE1326" i="64"/>
  <c r="BE1225" i="64"/>
  <c r="R1325" i="64"/>
  <c r="R1298" i="64"/>
  <c r="AR1295" i="64"/>
  <c r="R1293" i="64"/>
  <c r="CR1216" i="64"/>
  <c r="BE1215" i="64"/>
  <c r="AE1215" i="64"/>
  <c r="AE1205" i="64"/>
  <c r="BE1205" i="64"/>
  <c r="R1306" i="64"/>
  <c r="CE1232" i="64"/>
  <c r="CE1207" i="64"/>
  <c r="AR1239" i="64"/>
  <c r="AR1319" i="64"/>
  <c r="AE1229" i="64"/>
  <c r="CE1267" i="64"/>
  <c r="E1329" i="64"/>
  <c r="E1334" i="64"/>
  <c r="BR1310" i="64"/>
  <c r="AR1255" i="64"/>
  <c r="AR1262" i="64"/>
  <c r="CE1263" i="64"/>
  <c r="BR1259" i="64"/>
  <c r="BE1331" i="64"/>
  <c r="CR1265" i="64"/>
  <c r="E1331" i="64"/>
  <c r="E1300" i="64"/>
  <c r="CE1261" i="64"/>
  <c r="AE1292" i="64"/>
  <c r="CE1227" i="64"/>
  <c r="AR1309" i="64"/>
  <c r="AR1251" i="64"/>
  <c r="AE1238" i="64"/>
  <c r="BE1304" i="64"/>
  <c r="R1323" i="64"/>
  <c r="BR1248" i="64"/>
  <c r="BR1241" i="64"/>
  <c r="AE1296" i="64"/>
  <c r="AE1277" i="64"/>
  <c r="AE1326" i="64"/>
  <c r="AE1217" i="64"/>
  <c r="BR1299" i="64"/>
  <c r="BR1325" i="64"/>
  <c r="BR1224" i="64"/>
  <c r="BR1221" i="64"/>
  <c r="AR1238" i="64"/>
  <c r="CE1230" i="64"/>
  <c r="BR1275" i="64"/>
  <c r="CE1201" i="64"/>
  <c r="CE1222" i="64"/>
  <c r="AR1277" i="64"/>
  <c r="BR1320" i="64"/>
  <c r="AR1291" i="64"/>
  <c r="CR1225" i="64"/>
  <c r="BE1325" i="64"/>
  <c r="AE1224" i="64"/>
  <c r="AE1295" i="64"/>
  <c r="BE1219" i="64"/>
  <c r="AR1219" i="64"/>
  <c r="BE1216" i="64"/>
  <c r="BE1290" i="64"/>
  <c r="BE1297" i="64"/>
  <c r="CR1213" i="64"/>
  <c r="CR1208" i="64"/>
  <c r="BE1220" i="64"/>
  <c r="BR1205" i="64"/>
  <c r="E1280" i="64"/>
  <c r="AR1232" i="64"/>
  <c r="BE1209" i="64"/>
  <c r="BE1237" i="64"/>
  <c r="BE1319" i="64"/>
  <c r="BE1303" i="64"/>
  <c r="R1286" i="64"/>
  <c r="BE1286" i="64"/>
  <c r="AE1212" i="64"/>
  <c r="BE1334" i="64"/>
  <c r="CE1236" i="64"/>
  <c r="BE1341" i="64"/>
  <c r="AR1264" i="64"/>
  <c r="BE1242" i="64"/>
  <c r="CR1242" i="64"/>
  <c r="BR1263" i="64"/>
  <c r="AE1333" i="64"/>
  <c r="CE1266" i="64"/>
  <c r="CR1258" i="64"/>
  <c r="AR1258" i="64"/>
  <c r="AE1211" i="64"/>
  <c r="AE1339" i="64"/>
  <c r="AR1331" i="64"/>
  <c r="AR1292" i="64"/>
  <c r="AR1227" i="64"/>
  <c r="BR1309" i="64"/>
  <c r="V1288" i="64"/>
  <c r="I1318" i="64"/>
  <c r="BI1214" i="64"/>
  <c r="AV1318" i="64"/>
  <c r="CI1214" i="64"/>
  <c r="AI1288" i="64"/>
  <c r="AI1240" i="64"/>
  <c r="AI1214" i="64"/>
  <c r="AV1305" i="64"/>
  <c r="V1305" i="64"/>
  <c r="CV1247" i="64"/>
  <c r="V1284" i="64"/>
  <c r="CV1243" i="64"/>
  <c r="V1314" i="64"/>
  <c r="AI1321" i="64"/>
  <c r="AI1314" i="64"/>
  <c r="BV1322" i="64"/>
  <c r="CV1214" i="64"/>
  <c r="BI1288" i="64"/>
  <c r="BV1240" i="64"/>
  <c r="AI1244" i="64"/>
  <c r="AI1210" i="64"/>
  <c r="AI1308" i="64"/>
  <c r="BV1305" i="64"/>
  <c r="BV1214" i="64"/>
  <c r="CV1240" i="64"/>
  <c r="BV1321" i="64"/>
  <c r="I1305" i="64"/>
  <c r="AV1321" i="64"/>
  <c r="CI1231" i="64"/>
  <c r="AI1247" i="64"/>
  <c r="BI1240" i="64"/>
  <c r="AI1318" i="64"/>
  <c r="AI1234" i="64"/>
  <c r="BI1317" i="64"/>
  <c r="I1288" i="64"/>
  <c r="CI1247" i="64"/>
  <c r="CI1210" i="64"/>
  <c r="BV1210" i="64"/>
  <c r="BV1318" i="64"/>
  <c r="AV1214" i="64"/>
  <c r="AV1210" i="64"/>
  <c r="BV1288" i="64"/>
  <c r="AV1231" i="64"/>
  <c r="AV1288" i="64"/>
  <c r="BI1244" i="64"/>
  <c r="AI1231" i="64"/>
  <c r="BI1305" i="64"/>
  <c r="BI1247" i="64"/>
  <c r="AV1240" i="64"/>
  <c r="CI1244" i="64"/>
  <c r="V1318" i="64"/>
  <c r="I1308" i="64"/>
  <c r="AV1219" i="64"/>
  <c r="BI1219" i="64"/>
  <c r="BV1216" i="64"/>
  <c r="BV1297" i="64"/>
  <c r="BV1267" i="64"/>
  <c r="BV1256" i="64"/>
  <c r="AI1338" i="64"/>
  <c r="AI1242" i="64"/>
  <c r="AV1341" i="64"/>
  <c r="AI1259" i="64"/>
  <c r="CV1266" i="64"/>
  <c r="CV1263" i="64"/>
  <c r="BV1265" i="64"/>
  <c r="V1335" i="64"/>
  <c r="AI1331" i="64"/>
  <c r="I1285" i="64"/>
  <c r="BV1332" i="64"/>
  <c r="BI1279" i="64"/>
  <c r="BV1279" i="64"/>
  <c r="AI1209" i="64"/>
  <c r="I1283" i="64"/>
  <c r="AV1207" i="64"/>
  <c r="AI1324" i="64"/>
  <c r="AV1275" i="64"/>
  <c r="BI1290" i="64"/>
  <c r="CI1213" i="64"/>
  <c r="AV1213" i="64"/>
  <c r="AI1287" i="64"/>
  <c r="BI1233" i="64"/>
  <c r="I1282" i="64"/>
  <c r="BI1254" i="64"/>
  <c r="BV1215" i="64"/>
  <c r="AV1260" i="64"/>
  <c r="BI1242" i="64"/>
  <c r="CV1267" i="64"/>
  <c r="V1330" i="64"/>
  <c r="BI1264" i="64"/>
  <c r="I1310" i="64"/>
  <c r="AI1340" i="64"/>
  <c r="AV1263" i="64"/>
  <c r="I1333" i="64"/>
  <c r="I1331" i="64"/>
  <c r="CI1226" i="64"/>
  <c r="AV1332" i="64"/>
  <c r="BI1332" i="64"/>
  <c r="BV1285" i="64"/>
  <c r="AV1206" i="64"/>
  <c r="BV1232" i="64"/>
  <c r="BV1209" i="64"/>
  <c r="BI1202" i="64"/>
  <c r="AV1250" i="64"/>
  <c r="AI1293" i="64"/>
  <c r="I1275" i="64"/>
  <c r="AV1216" i="64"/>
  <c r="BV1290" i="64"/>
  <c r="AI1223" i="64"/>
  <c r="AV1297" i="64"/>
  <c r="BV1302" i="64"/>
  <c r="AV1287" i="64"/>
  <c r="BV1233" i="64"/>
  <c r="CV1208" i="64"/>
  <c r="BI1328" i="64"/>
  <c r="I1322" i="64"/>
  <c r="AI1264" i="64"/>
  <c r="CI1260" i="64"/>
  <c r="BV1242" i="64"/>
  <c r="AI1267" i="64"/>
  <c r="AI1330" i="64"/>
  <c r="AI1336" i="64"/>
  <c r="AI1263" i="64"/>
  <c r="BI1333" i="64"/>
  <c r="AI1211" i="64"/>
  <c r="BI1211" i="64"/>
  <c r="AV1261" i="64"/>
  <c r="CV1226" i="64"/>
  <c r="BI1285" i="64"/>
  <c r="V1339" i="64"/>
  <c r="BV1280" i="64"/>
  <c r="BI1232" i="64"/>
  <c r="AV1202" i="64"/>
  <c r="V1324" i="64"/>
  <c r="I1297" i="64"/>
  <c r="AV1228" i="64"/>
  <c r="BI1228" i="64"/>
  <c r="I1307" i="64"/>
  <c r="CV1254" i="64"/>
  <c r="AI1220" i="64"/>
  <c r="CI1220" i="64"/>
  <c r="BI1289" i="64"/>
  <c r="CV1255" i="64"/>
  <c r="CI1264" i="64"/>
  <c r="V1334" i="64"/>
  <c r="CI1236" i="64"/>
  <c r="AV1329" i="64"/>
  <c r="AI1337" i="64"/>
  <c r="BV1259" i="64"/>
  <c r="BV1262" i="64"/>
  <c r="BI1226" i="64"/>
  <c r="CI1261" i="64"/>
  <c r="AI1257" i="64"/>
  <c r="BI1261" i="64"/>
  <c r="I1335" i="64"/>
  <c r="AV1232" i="64"/>
  <c r="CV1239" i="64"/>
  <c r="AI1229" i="64"/>
  <c r="AV1303" i="64"/>
  <c r="AV1286" i="64"/>
  <c r="CV1212" i="64"/>
  <c r="V1301" i="64"/>
  <c r="AV1309" i="64"/>
  <c r="BI1276" i="64"/>
  <c r="V1322" i="64"/>
  <c r="CI1201" i="64"/>
  <c r="I1315" i="64"/>
  <c r="BI1222" i="64"/>
  <c r="I1320" i="64"/>
  <c r="BI1252" i="64"/>
  <c r="BI1299" i="64"/>
  <c r="AV1251" i="64"/>
  <c r="I1298" i="64"/>
  <c r="I1312" i="64"/>
  <c r="CV1230" i="64"/>
  <c r="CI1249" i="64"/>
  <c r="AI1241" i="64"/>
  <c r="CV1222" i="64"/>
  <c r="AV1277" i="64"/>
  <c r="AV1326" i="64"/>
  <c r="BI1326" i="64"/>
  <c r="AV1217" i="64"/>
  <c r="I1299" i="64"/>
  <c r="BV1298" i="64"/>
  <c r="V1295" i="64"/>
  <c r="AV1230" i="64"/>
  <c r="AV1201" i="64"/>
  <c r="BV1241" i="64"/>
  <c r="BI1203" i="64"/>
  <c r="AI1326" i="64"/>
  <c r="AI1217" i="64"/>
  <c r="CI1251" i="64"/>
  <c r="AI1224" i="64"/>
  <c r="AV1221" i="64"/>
  <c r="BV1323" i="64"/>
  <c r="BV1315" i="64"/>
  <c r="AI1222" i="64"/>
  <c r="CV1246" i="64"/>
  <c r="AV1252" i="64"/>
  <c r="AI1299" i="64"/>
  <c r="BI1251" i="64"/>
  <c r="BV1295" i="64"/>
  <c r="AI1312" i="64"/>
  <c r="BI1304" i="64"/>
  <c r="BI1230" i="64"/>
  <c r="AI1323" i="64"/>
  <c r="AV1293" i="64"/>
  <c r="BI1213" i="64"/>
  <c r="AI1233" i="64"/>
  <c r="AI1282" i="64"/>
  <c r="BV1328" i="64"/>
  <c r="CV1220" i="64"/>
  <c r="AV1220" i="64"/>
  <c r="BV1220" i="64"/>
  <c r="I1289" i="64"/>
  <c r="V1289" i="64"/>
  <c r="AV1322" i="64"/>
  <c r="V1338" i="64"/>
  <c r="CV1260" i="64"/>
  <c r="AV1316" i="64"/>
  <c r="BV1341" i="64"/>
  <c r="BI1330" i="64"/>
  <c r="BV1336" i="64"/>
  <c r="CI1263" i="64"/>
  <c r="AV1333" i="64"/>
  <c r="CI1204" i="64"/>
  <c r="BV1226" i="64"/>
  <c r="CV1261" i="64"/>
  <c r="BI1257" i="64"/>
  <c r="BI1331" i="64"/>
  <c r="BV1339" i="64"/>
  <c r="CV1206" i="64"/>
  <c r="CV1232" i="64"/>
  <c r="V1306" i="64"/>
  <c r="BI1283" i="64"/>
  <c r="CV1207" i="64"/>
  <c r="CI1239" i="64"/>
  <c r="BI1237" i="64"/>
  <c r="V1292" i="64"/>
  <c r="AI1292" i="64"/>
  <c r="BI1253" i="64"/>
  <c r="CV1227" i="64"/>
  <c r="AI1235" i="64"/>
  <c r="BV1207" i="64"/>
  <c r="CV1245" i="64"/>
  <c r="AI1319" i="64"/>
  <c r="AI1201" i="64"/>
  <c r="BI1218" i="64"/>
  <c r="I1327" i="64"/>
  <c r="AV1227" i="64"/>
  <c r="I1301" i="64"/>
  <c r="BV1276" i="64"/>
  <c r="BV1248" i="64"/>
  <c r="BI1275" i="64"/>
  <c r="AV1296" i="64"/>
  <c r="CI1203" i="64"/>
  <c r="AV1246" i="64"/>
  <c r="CV1217" i="64"/>
  <c r="AV1299" i="64"/>
  <c r="BI1298" i="64"/>
  <c r="CI1221" i="64"/>
  <c r="CV1238" i="64"/>
  <c r="CI1230" i="64"/>
  <c r="AI1249" i="64"/>
  <c r="I1296" i="64"/>
  <c r="BV1296" i="64"/>
  <c r="AI1203" i="64"/>
  <c r="I1326" i="64"/>
  <c r="BV1291" i="64"/>
  <c r="V1299" i="64"/>
  <c r="AV1325" i="64"/>
  <c r="AV1298" i="64"/>
  <c r="BI1221" i="64"/>
  <c r="BV1230" i="64"/>
  <c r="BV1275" i="64"/>
  <c r="BV1222" i="64"/>
  <c r="AI1277" i="64"/>
  <c r="CV1252" i="64"/>
  <c r="AI1291" i="64"/>
  <c r="AI1251" i="64"/>
  <c r="CV1224" i="64"/>
  <c r="V1312" i="64"/>
  <c r="BI1323" i="64"/>
  <c r="BI1315" i="64"/>
  <c r="CV1203" i="64"/>
  <c r="BV1246" i="64"/>
  <c r="I1291" i="64"/>
  <c r="BV1225" i="64"/>
  <c r="CV1251" i="64"/>
  <c r="BI1295" i="64"/>
  <c r="CI1238" i="64"/>
  <c r="AV1304" i="64"/>
  <c r="V1323" i="64"/>
  <c r="CV1219" i="64"/>
  <c r="BV1293" i="64"/>
  <c r="CV1216" i="64"/>
  <c r="V1287" i="64"/>
  <c r="CV1213" i="64"/>
  <c r="I1287" i="64"/>
  <c r="BI1215" i="64"/>
  <c r="BI1255" i="64"/>
  <c r="AV1338" i="64"/>
  <c r="BV1260" i="64"/>
  <c r="AV1236" i="64"/>
  <c r="BV1329" i="64"/>
  <c r="BI1263" i="64"/>
  <c r="BV1333" i="64"/>
  <c r="CI1262" i="64"/>
  <c r="BV1257" i="64"/>
  <c r="CI1265" i="64"/>
  <c r="AV1278" i="64"/>
  <c r="BI1265" i="64"/>
  <c r="V1300" i="64"/>
  <c r="AI1205" i="64"/>
  <c r="AI1281" i="64"/>
  <c r="AI1313" i="64"/>
  <c r="CI1237" i="64"/>
  <c r="BI1319" i="64"/>
  <c r="I1319" i="64"/>
  <c r="BV1286" i="64"/>
  <c r="BI1322" i="64"/>
  <c r="I1292" i="64"/>
  <c r="AV1218" i="64"/>
  <c r="CI1253" i="64"/>
  <c r="CI1227" i="64"/>
  <c r="BI1235" i="64"/>
  <c r="I1309" i="64"/>
  <c r="AI1239" i="64"/>
  <c r="AI1245" i="64"/>
  <c r="AV1319" i="64"/>
  <c r="BI1229" i="64"/>
  <c r="CI1218" i="64"/>
  <c r="AI1218" i="64"/>
  <c r="BV1235" i="64"/>
  <c r="V1309" i="64"/>
  <c r="BI1308" i="64"/>
  <c r="AV1234" i="64"/>
  <c r="CI1243" i="64"/>
  <c r="CI1202" i="64"/>
  <c r="CV1202" i="64"/>
  <c r="AV1248" i="64"/>
  <c r="V1315" i="64"/>
  <c r="AI1296" i="64"/>
  <c r="I1277" i="64"/>
  <c r="BV1320" i="64"/>
  <c r="CI1217" i="64"/>
  <c r="CV1225" i="64"/>
  <c r="CI1224" i="64"/>
  <c r="CV1221" i="64"/>
  <c r="BV1238" i="64"/>
  <c r="AI1230" i="64"/>
  <c r="CV1241" i="64"/>
  <c r="AV1222" i="64"/>
  <c r="BV1277" i="64"/>
  <c r="CI1246" i="64"/>
  <c r="BV1252" i="64"/>
  <c r="BI1291" i="64"/>
  <c r="CI1225" i="64"/>
  <c r="V1325" i="64"/>
  <c r="BV1224" i="64"/>
  <c r="BV1221" i="64"/>
  <c r="BV1249" i="64"/>
  <c r="AV1315" i="64"/>
  <c r="V1277" i="64"/>
  <c r="AI1246" i="64"/>
  <c r="CI1252" i="64"/>
  <c r="AI1225" i="64"/>
  <c r="BI1325" i="64"/>
  <c r="AV1295" i="64"/>
  <c r="BV1312" i="64"/>
  <c r="BI1249" i="64"/>
  <c r="BI1241" i="64"/>
  <c r="BI1320" i="64"/>
  <c r="BI1246" i="64"/>
  <c r="AV1291" i="64"/>
  <c r="AV1225" i="64"/>
  <c r="AV1224" i="64"/>
  <c r="BI1312" i="64"/>
  <c r="AI1238" i="64"/>
  <c r="BV1304" i="64"/>
  <c r="CV1249" i="64"/>
  <c r="CI1250" i="64"/>
  <c r="CV1250" i="64"/>
  <c r="CI1219" i="64"/>
  <c r="AI1297" i="64"/>
  <c r="CV1228" i="64"/>
  <c r="BI1302" i="64"/>
  <c r="BV1208" i="64"/>
  <c r="AI1328" i="64"/>
  <c r="AI1215" i="64"/>
  <c r="I1341" i="64"/>
  <c r="AI1255" i="64"/>
  <c r="AV1256" i="64"/>
  <c r="AV1242" i="64"/>
  <c r="BI1310" i="64"/>
  <c r="BI1340" i="64"/>
  <c r="BV1340" i="64"/>
  <c r="AV1259" i="64"/>
  <c r="I1300" i="64"/>
  <c r="AV1339" i="64"/>
  <c r="BI1335" i="64"/>
  <c r="AV1331" i="64"/>
  <c r="AI1258" i="64"/>
  <c r="BV1205" i="64"/>
  <c r="AI1232" i="64"/>
  <c r="I1313" i="64"/>
  <c r="BV1237" i="64"/>
  <c r="BV1303" i="64"/>
  <c r="I1286" i="64"/>
  <c r="BI1286" i="64"/>
  <c r="BI1212" i="64"/>
  <c r="BI1248" i="64"/>
  <c r="AV1235" i="64"/>
  <c r="BI1239" i="64"/>
  <c r="V1303" i="64"/>
  <c r="AI1303" i="64"/>
  <c r="BV1212" i="64"/>
  <c r="BV1218" i="64"/>
  <c r="BI1301" i="64"/>
  <c r="BI1234" i="64"/>
  <c r="V1308" i="64"/>
  <c r="AI1317" i="64"/>
  <c r="BV1202" i="64"/>
  <c r="AV1276" i="64"/>
  <c r="AI1275" i="64"/>
  <c r="AI1315" i="64"/>
  <c r="V1296" i="64"/>
  <c r="AV1203" i="64"/>
  <c r="V1326" i="64"/>
  <c r="BV1299" i="64"/>
  <c r="I1325" i="64"/>
  <c r="BI1224" i="64"/>
  <c r="AI1221" i="64"/>
  <c r="I1304" i="64"/>
  <c r="AV1249" i="64"/>
  <c r="CI1241" i="64"/>
  <c r="CI1222" i="64"/>
  <c r="BV1203" i="64"/>
  <c r="AI1320" i="64"/>
  <c r="BV1326" i="64"/>
  <c r="BI1217" i="64"/>
  <c r="BI1225" i="64"/>
  <c r="BV1325" i="64"/>
  <c r="I1295" i="64"/>
  <c r="AV1238" i="64"/>
  <c r="BI1201" i="64"/>
  <c r="AV1241" i="64"/>
  <c r="BI1277" i="64"/>
  <c r="V1320" i="64"/>
  <c r="V1291" i="64"/>
  <c r="AI1325" i="64"/>
  <c r="V1298" i="64"/>
  <c r="AI1295" i="64"/>
  <c r="V1304" i="64"/>
  <c r="I1323" i="64"/>
  <c r="BI1296" i="64"/>
  <c r="AV1320" i="64"/>
  <c r="AI1252" i="64"/>
  <c r="BV1217" i="64"/>
  <c r="BV1251" i="64"/>
  <c r="AI1298" i="64"/>
  <c r="AV1312" i="64"/>
  <c r="BI1238" i="64"/>
  <c r="AI1304" i="64"/>
  <c r="AV1323" i="64"/>
  <c r="BI1250" i="64"/>
  <c r="BV1324" i="64"/>
  <c r="I1290" i="64"/>
  <c r="BI1208" i="64"/>
  <c r="AI1294" i="64"/>
  <c r="CI1215" i="64"/>
  <c r="BI1260" i="64"/>
  <c r="CI1242" i="64"/>
  <c r="BI1267" i="64"/>
  <c r="CI1255" i="64"/>
  <c r="BV1264" i="64"/>
  <c r="AV1310" i="64"/>
  <c r="BI1262" i="64"/>
  <c r="I1337" i="64"/>
  <c r="BV1266" i="64"/>
  <c r="AI1204" i="64"/>
  <c r="AV1257" i="64"/>
  <c r="BV1204" i="64"/>
  <c r="AI1265" i="64"/>
  <c r="V1331" i="64"/>
  <c r="I1306" i="64"/>
  <c r="CI1209" i="64"/>
  <c r="AV1209" i="64"/>
  <c r="BI1207" i="64"/>
  <c r="AV1229" i="64"/>
  <c r="I1303" i="64"/>
  <c r="CV1231" i="64"/>
  <c r="AV1244" i="64"/>
  <c r="BI1318" i="64"/>
  <c r="CV1234" i="64"/>
  <c r="AV1317" i="64"/>
  <c r="AV1324" i="64"/>
  <c r="CI1216" i="64"/>
  <c r="BI1216" i="64"/>
  <c r="BI1220" i="64"/>
  <c r="BV1294" i="64"/>
  <c r="AV1294" i="64"/>
  <c r="I1330" i="64"/>
  <c r="BI1334" i="64"/>
  <c r="BV1316" i="64"/>
  <c r="CI1267" i="64"/>
  <c r="BV1330" i="64"/>
  <c r="AV1336" i="64"/>
  <c r="BI1337" i="64"/>
  <c r="AV1340" i="64"/>
  <c r="AV1211" i="64"/>
  <c r="CI1257" i="64"/>
  <c r="AV1265" i="64"/>
  <c r="AV1258" i="64"/>
  <c r="AI1335" i="64"/>
  <c r="AI1300" i="64"/>
  <c r="CI1205" i="64"/>
  <c r="CI1206" i="64"/>
  <c r="BI1280" i="64"/>
  <c r="BI1209" i="64"/>
  <c r="BI1281" i="64"/>
  <c r="CI1207" i="64"/>
  <c r="V1313" i="64"/>
  <c r="AI1237" i="64"/>
  <c r="AV1311" i="64"/>
  <c r="BI1245" i="64"/>
  <c r="AI1212" i="64"/>
  <c r="AV1292" i="64"/>
  <c r="AI1301" i="64"/>
  <c r="CV1235" i="64"/>
  <c r="BV1231" i="64"/>
  <c r="I1314" i="64"/>
  <c r="BV1244" i="64"/>
  <c r="BV1234" i="64"/>
  <c r="V1317" i="64"/>
  <c r="I1321" i="64"/>
  <c r="AV1314" i="64"/>
  <c r="I1284" i="64"/>
  <c r="CV1210" i="64"/>
  <c r="AV1308" i="64"/>
  <c r="BV1308" i="64"/>
  <c r="I1293" i="64"/>
  <c r="AV1290" i="64"/>
  <c r="BV1228" i="64"/>
  <c r="BV1287" i="64"/>
  <c r="CI1233" i="64"/>
  <c r="AI1208" i="64"/>
  <c r="BV1282" i="64"/>
  <c r="CI1254" i="64"/>
  <c r="BV1289" i="64"/>
  <c r="AI1289" i="64"/>
  <c r="BV1255" i="64"/>
  <c r="BI1338" i="64"/>
  <c r="I1334" i="64"/>
  <c r="BV1236" i="64"/>
  <c r="BI1341" i="64"/>
  <c r="BV1263" i="64"/>
  <c r="AI1333" i="64"/>
  <c r="CV1262" i="64"/>
  <c r="BI1258" i="64"/>
  <c r="AI1226" i="64"/>
  <c r="I1278" i="64"/>
  <c r="BI1278" i="64"/>
  <c r="BV1300" i="64"/>
  <c r="AV1205" i="64"/>
  <c r="BI1205" i="64"/>
  <c r="V1283" i="64"/>
  <c r="CV1209" i="64"/>
  <c r="CI1245" i="64"/>
  <c r="CV1229" i="64"/>
  <c r="AI1286" i="64"/>
  <c r="CI1248" i="64"/>
  <c r="V1275" i="64"/>
  <c r="AI1253" i="64"/>
  <c r="BI1231" i="64"/>
  <c r="AV1247" i="64"/>
  <c r="BI1210" i="64"/>
  <c r="CI1234" i="64"/>
  <c r="AV1243" i="64"/>
  <c r="I1317" i="64"/>
  <c r="AI1202" i="64"/>
  <c r="BI1321" i="64"/>
  <c r="BI1314" i="64"/>
  <c r="AI1284" i="64"/>
  <c r="AV1284" i="64"/>
  <c r="BV1243" i="64"/>
  <c r="BV1317" i="64"/>
  <c r="BV1250" i="64"/>
  <c r="BI1293" i="64"/>
  <c r="CV1201" i="64"/>
  <c r="AV1223" i="64"/>
  <c r="AI1302" i="64"/>
  <c r="BI1287" i="64"/>
  <c r="AI1307" i="64"/>
  <c r="AV1233" i="64"/>
  <c r="V1307" i="64"/>
  <c r="CI1208" i="64"/>
  <c r="I1328" i="64"/>
  <c r="V1294" i="64"/>
  <c r="BV1310" i="64"/>
  <c r="I1329" i="64"/>
  <c r="BI1256" i="64"/>
  <c r="BV1334" i="64"/>
  <c r="CV1236" i="64"/>
  <c r="AV1266" i="64"/>
  <c r="V1336" i="64"/>
  <c r="V1333" i="64"/>
  <c r="I1332" i="64"/>
  <c r="BI1204" i="64"/>
  <c r="I1339" i="64"/>
  <c r="BV1335" i="64"/>
  <c r="AI1278" i="64"/>
  <c r="AI1279" i="64"/>
  <c r="AI1280" i="64"/>
  <c r="BI1306" i="64"/>
  <c r="AV1281" i="64"/>
  <c r="AV1313" i="64"/>
  <c r="V1311" i="64"/>
  <c r="BV1327" i="64"/>
  <c r="AV1253" i="64"/>
  <c r="AI1305" i="64"/>
  <c r="BV1247" i="64"/>
  <c r="CV1244" i="64"/>
  <c r="V1276" i="64"/>
  <c r="V1321" i="64"/>
  <c r="CI1240" i="64"/>
  <c r="BV1314" i="64"/>
  <c r="BI1284" i="64"/>
  <c r="BI1243" i="64"/>
  <c r="I1276" i="64"/>
  <c r="AI1276" i="64"/>
  <c r="I1324" i="64"/>
  <c r="V1293" i="64"/>
  <c r="BV1201" i="64"/>
  <c r="CI1228" i="64"/>
  <c r="V1302" i="64"/>
  <c r="BV1213" i="64"/>
  <c r="I1294" i="64"/>
  <c r="AV1215" i="64"/>
  <c r="CV1264" i="64"/>
  <c r="BI1316" i="64"/>
  <c r="BI1236" i="64"/>
  <c r="BI1329" i="64"/>
  <c r="CI1256" i="64"/>
  <c r="CV1242" i="64"/>
  <c r="BI1336" i="64"/>
  <c r="BV1337" i="64"/>
  <c r="I1340" i="64"/>
  <c r="AV1204" i="64"/>
  <c r="CV1257" i="64"/>
  <c r="CI1211" i="64"/>
  <c r="V1278" i="64"/>
  <c r="BV1331" i="64"/>
  <c r="I1279" i="64"/>
  <c r="BI1206" i="64"/>
  <c r="CI1232" i="64"/>
  <c r="AV1306" i="64"/>
  <c r="BV1306" i="64"/>
  <c r="BV1281" i="64"/>
  <c r="BI1313" i="64"/>
  <c r="BV1311" i="64"/>
  <c r="AV1237" i="64"/>
  <c r="AI1311" i="64"/>
  <c r="AI1248" i="64"/>
  <c r="CV1218" i="64"/>
  <c r="BV1253" i="64"/>
  <c r="BV1227" i="64"/>
  <c r="BV1301" i="64"/>
  <c r="BV1309" i="64"/>
  <c r="BV1284" i="64"/>
  <c r="AI1243" i="64"/>
  <c r="BV1219" i="64"/>
  <c r="BI1223" i="64"/>
  <c r="CI1223" i="64"/>
  <c r="AV1302" i="64"/>
  <c r="CV1233" i="64"/>
  <c r="BV1307" i="64"/>
  <c r="V1282" i="64"/>
  <c r="BV1254" i="64"/>
  <c r="V1328" i="64"/>
  <c r="CV1215" i="64"/>
  <c r="AI1322" i="64"/>
  <c r="AI1256" i="64"/>
  <c r="AI1334" i="64"/>
  <c r="AI1260" i="64"/>
  <c r="AI1341" i="64"/>
  <c r="AV1255" i="64"/>
  <c r="AI1262" i="64"/>
  <c r="V1337" i="64"/>
  <c r="CI1266" i="64"/>
  <c r="CV1211" i="64"/>
  <c r="BV1258" i="64"/>
  <c r="CV1265" i="64"/>
  <c r="CV1258" i="64"/>
  <c r="BI1339" i="64"/>
  <c r="AI1332" i="64"/>
  <c r="AV1279" i="64"/>
  <c r="AI1207" i="64"/>
  <c r="CV1237" i="64"/>
  <c r="I1311" i="64"/>
  <c r="BV1292" i="64"/>
  <c r="BI1327" i="64"/>
  <c r="AV1327" i="64"/>
  <c r="AV1301" i="64"/>
  <c r="BI1309" i="64"/>
  <c r="CV1223" i="64"/>
  <c r="BI1297" i="64"/>
  <c r="AV1328" i="64"/>
  <c r="BI1294" i="64"/>
  <c r="AV1267" i="64"/>
  <c r="BV1338" i="64"/>
  <c r="AV1334" i="64"/>
  <c r="AI1310" i="64"/>
  <c r="V1341" i="64"/>
  <c r="CV1259" i="64"/>
  <c r="BI1266" i="64"/>
  <c r="I1336" i="64"/>
  <c r="BV1261" i="64"/>
  <c r="AI1261" i="64"/>
  <c r="AI1285" i="64"/>
  <c r="AV1285" i="64"/>
  <c r="V1332" i="64"/>
  <c r="CV1205" i="64"/>
  <c r="V1279" i="64"/>
  <c r="I1280" i="64"/>
  <c r="AI1206" i="64"/>
  <c r="V1281" i="64"/>
  <c r="BV1239" i="64"/>
  <c r="BI1311" i="64"/>
  <c r="BV1319" i="64"/>
  <c r="CV1248" i="64"/>
  <c r="CI1235" i="64"/>
  <c r="AI1250" i="64"/>
  <c r="AI1219" i="64"/>
  <c r="AI1290" i="64"/>
  <c r="AI1216" i="64"/>
  <c r="V1290" i="64"/>
  <c r="BV1223" i="64"/>
  <c r="V1297" i="64"/>
  <c r="AI1228" i="64"/>
  <c r="AV1282" i="64"/>
  <c r="AI1254" i="64"/>
  <c r="V1310" i="64"/>
  <c r="AI1329" i="64"/>
  <c r="AV1330" i="64"/>
  <c r="AV1264" i="64"/>
  <c r="AI1236" i="64"/>
  <c r="V1340" i="64"/>
  <c r="AV1262" i="64"/>
  <c r="CI1259" i="64"/>
  <c r="AI1339" i="64"/>
  <c r="BV1211" i="64"/>
  <c r="AV1300" i="64"/>
  <c r="BI1300" i="64"/>
  <c r="V1285" i="64"/>
  <c r="AV1280" i="64"/>
  <c r="V1280" i="64"/>
  <c r="AV1283" i="64"/>
  <c r="V1319" i="64"/>
  <c r="AV1245" i="64"/>
  <c r="CI1229" i="64"/>
  <c r="CI1212" i="64"/>
  <c r="AV1212" i="64"/>
  <c r="V1286" i="64"/>
  <c r="V1327" i="64"/>
  <c r="AI1227" i="64"/>
  <c r="AI1309" i="64"/>
  <c r="BI1324" i="64"/>
  <c r="I1302" i="64"/>
  <c r="AI1213" i="64"/>
  <c r="AV1307" i="64"/>
  <c r="BI1307" i="64"/>
  <c r="AV1208" i="64"/>
  <c r="BI1282" i="64"/>
  <c r="AV1254" i="64"/>
  <c r="AV1289" i="64"/>
  <c r="I1338" i="64"/>
  <c r="V1316" i="64"/>
  <c r="I1316" i="64"/>
  <c r="V1329" i="64"/>
  <c r="CV1256" i="64"/>
  <c r="AI1316" i="64"/>
  <c r="AV1337" i="64"/>
  <c r="BI1259" i="64"/>
  <c r="AI1266" i="64"/>
  <c r="CV1204" i="64"/>
  <c r="CI1258" i="64"/>
  <c r="AV1226" i="64"/>
  <c r="BV1278" i="64"/>
  <c r="AV1335" i="64"/>
  <c r="BV1206" i="64"/>
  <c r="AI1306" i="64"/>
  <c r="BV1283" i="64"/>
  <c r="AI1283" i="64"/>
  <c r="I1281" i="64"/>
  <c r="AV1239" i="64"/>
  <c r="BV1313" i="64"/>
  <c r="BV1245" i="64"/>
  <c r="BV1229" i="64"/>
  <c r="BI1303" i="64"/>
  <c r="BI1292" i="64"/>
  <c r="CV1253" i="64"/>
  <c r="AI1327" i="64"/>
  <c r="BI1227" i="64"/>
  <c r="BC1284" i="64"/>
  <c r="CC1247" i="64"/>
  <c r="CC1214" i="64"/>
  <c r="BP1321" i="64"/>
  <c r="BC1214" i="64"/>
  <c r="BC1231" i="64"/>
  <c r="AC1305" i="64"/>
  <c r="BP1247" i="64"/>
  <c r="AC1314" i="64"/>
  <c r="C1284" i="64"/>
  <c r="CC1234" i="64"/>
  <c r="BP1243" i="64"/>
  <c r="AP1317" i="64"/>
  <c r="BC1288" i="64"/>
  <c r="BC1305" i="64"/>
  <c r="CC1248" i="64"/>
  <c r="AP1288" i="64"/>
  <c r="CP1214" i="64"/>
  <c r="BC1240" i="64"/>
  <c r="BC1276" i="64"/>
  <c r="AC1214" i="64"/>
  <c r="AP1322" i="64"/>
  <c r="AC1231" i="64"/>
  <c r="C1321" i="64"/>
  <c r="AC1318" i="64"/>
  <c r="CP1210" i="64"/>
  <c r="AC1243" i="64"/>
  <c r="BP1288" i="64"/>
  <c r="AC1240" i="64"/>
  <c r="BP1214" i="64"/>
  <c r="CP1231" i="64"/>
  <c r="AP1321" i="64"/>
  <c r="BP1314" i="64"/>
  <c r="CP1234" i="64"/>
  <c r="AP1308" i="64"/>
  <c r="AC1276" i="64"/>
  <c r="CC1250" i="64"/>
  <c r="BP1293" i="64"/>
  <c r="AP1297" i="64"/>
  <c r="BC1302" i="64"/>
  <c r="AC1307" i="64"/>
  <c r="CP1208" i="64"/>
  <c r="BP1254" i="64"/>
  <c r="CP1256" i="64"/>
  <c r="BP1264" i="64"/>
  <c r="CP1264" i="64"/>
  <c r="CC1242" i="64"/>
  <c r="BP1316" i="64"/>
  <c r="CC1262" i="64"/>
  <c r="BC1337" i="64"/>
  <c r="CP1258" i="64"/>
  <c r="BC1226" i="64"/>
  <c r="BP1226" i="64"/>
  <c r="BP1211" i="64"/>
  <c r="CP1205" i="64"/>
  <c r="AC1279" i="64"/>
  <c r="BC1306" i="64"/>
  <c r="BP1283" i="64"/>
  <c r="BP1281" i="64"/>
  <c r="AC1293" i="64"/>
  <c r="CP1219" i="64"/>
  <c r="BP1290" i="64"/>
  <c r="CP1228" i="64"/>
  <c r="AC1287" i="64"/>
  <c r="AC1254" i="64"/>
  <c r="CP1220" i="64"/>
  <c r="BC1220" i="64"/>
  <c r="CC1215" i="64"/>
  <c r="BP1329" i="64"/>
  <c r="BP1330" i="64"/>
  <c r="AC1256" i="64"/>
  <c r="BC1334" i="64"/>
  <c r="C1337" i="64"/>
  <c r="BC1333" i="64"/>
  <c r="BP1336" i="64"/>
  <c r="AP1300" i="64"/>
  <c r="BC1265" i="64"/>
  <c r="BP1265" i="64"/>
  <c r="CC1226" i="64"/>
  <c r="CC1206" i="64"/>
  <c r="BC1322" i="64"/>
  <c r="BP1216" i="64"/>
  <c r="BC1228" i="64"/>
  <c r="CP1213" i="64"/>
  <c r="BC1213" i="64"/>
  <c r="BC1289" i="64"/>
  <c r="CP1248" i="64"/>
  <c r="C1341" i="64"/>
  <c r="BP1267" i="64"/>
  <c r="AC1341" i="64"/>
  <c r="BP1256" i="64"/>
  <c r="BP1259" i="64"/>
  <c r="BP1340" i="64"/>
  <c r="CC1259" i="64"/>
  <c r="C1332" i="64"/>
  <c r="AP1331" i="64"/>
  <c r="AC1278" i="64"/>
  <c r="CC1265" i="64"/>
  <c r="CP1206" i="64"/>
  <c r="BC1207" i="64"/>
  <c r="CP1250" i="64"/>
  <c r="AP1324" i="64"/>
  <c r="BC1223" i="64"/>
  <c r="C1302" i="64"/>
  <c r="AC1282" i="64"/>
  <c r="BC1328" i="64"/>
  <c r="BC1254" i="64"/>
  <c r="AC1220" i="64"/>
  <c r="BP1289" i="64"/>
  <c r="AC1289" i="64"/>
  <c r="BP1334" i="64"/>
  <c r="AP1316" i="64"/>
  <c r="C1316" i="64"/>
  <c r="AC1236" i="64"/>
  <c r="BC1310" i="64"/>
  <c r="CC1266" i="64"/>
  <c r="C1336" i="64"/>
  <c r="C1278" i="64"/>
  <c r="CP1204" i="64"/>
  <c r="BC1204" i="64"/>
  <c r="AP1335" i="64"/>
  <c r="AC1332" i="64"/>
  <c r="BC1206" i="64"/>
  <c r="AP1306" i="64"/>
  <c r="BP1207" i="64"/>
  <c r="C1313" i="64"/>
  <c r="CC1229" i="64"/>
  <c r="BP1275" i="64"/>
  <c r="CP1218" i="64"/>
  <c r="BC1327" i="64"/>
  <c r="AP1309" i="64"/>
  <c r="BP1244" i="64"/>
  <c r="CC1244" i="64"/>
  <c r="AC1234" i="64"/>
  <c r="BC1202" i="64"/>
  <c r="AC1250" i="64"/>
  <c r="BC1219" i="64"/>
  <c r="CC1201" i="64"/>
  <c r="AC1290" i="64"/>
  <c r="C1297" i="64"/>
  <c r="BP1302" i="64"/>
  <c r="CC1213" i="64"/>
  <c r="AP1328" i="64"/>
  <c r="CC1220" i="64"/>
  <c r="AP1289" i="64"/>
  <c r="CC1267" i="64"/>
  <c r="BP1341" i="64"/>
  <c r="BC1267" i="64"/>
  <c r="AC1255" i="64"/>
  <c r="AP1333" i="64"/>
  <c r="BC1266" i="64"/>
  <c r="BP1266" i="64"/>
  <c r="BP1335" i="64"/>
  <c r="AC1335" i="64"/>
  <c r="BP1300" i="64"/>
  <c r="AC1258" i="64"/>
  <c r="AC1280" i="64"/>
  <c r="C1281" i="64"/>
  <c r="BC1245" i="64"/>
  <c r="BC1303" i="64"/>
  <c r="CC1212" i="64"/>
  <c r="CP1212" i="64"/>
  <c r="BC1275" i="64"/>
  <c r="BP1218" i="64"/>
  <c r="BP1227" i="64"/>
  <c r="AP1301" i="64"/>
  <c r="CP1235" i="64"/>
  <c r="AC1288" i="64"/>
  <c r="BP1327" i="64"/>
  <c r="CC1227" i="64"/>
  <c r="AC1317" i="64"/>
  <c r="C1317" i="64"/>
  <c r="CC1202" i="64"/>
  <c r="AC1216" i="64"/>
  <c r="AC1228" i="64"/>
  <c r="C1287" i="64"/>
  <c r="CP1233" i="64"/>
  <c r="BC1233" i="64"/>
  <c r="AC1260" i="64"/>
  <c r="AC1316" i="64"/>
  <c r="BC1242" i="64"/>
  <c r="CC1236" i="64"/>
  <c r="BP1236" i="64"/>
  <c r="AC1336" i="64"/>
  <c r="BC1336" i="64"/>
  <c r="BC1285" i="64"/>
  <c r="CP1211" i="64"/>
  <c r="BC1211" i="64"/>
  <c r="AC1339" i="64"/>
  <c r="BP1331" i="64"/>
  <c r="CC1205" i="64"/>
  <c r="AC1206" i="64"/>
  <c r="CC1209" i="64"/>
  <c r="CP1207" i="64"/>
  <c r="BP1237" i="64"/>
  <c r="BP1245" i="64"/>
  <c r="BC1212" i="64"/>
  <c r="AC1275" i="64"/>
  <c r="C1309" i="64"/>
  <c r="CC1245" i="64"/>
  <c r="C1327" i="64"/>
  <c r="AC1210" i="64"/>
  <c r="BC1210" i="64"/>
  <c r="AP1293" i="64"/>
  <c r="CP1223" i="64"/>
  <c r="AP1302" i="64"/>
  <c r="BC1287" i="64"/>
  <c r="BP1213" i="64"/>
  <c r="C1307" i="64"/>
  <c r="C1282" i="64"/>
  <c r="BP1328" i="64"/>
  <c r="C1294" i="64"/>
  <c r="BP1220" i="64"/>
  <c r="AP1330" i="64"/>
  <c r="CC1264" i="64"/>
  <c r="BP1338" i="64"/>
  <c r="CP1260" i="64"/>
  <c r="AC1242" i="64"/>
  <c r="CP1263" i="64"/>
  <c r="BP1333" i="64"/>
  <c r="CP1261" i="64"/>
  <c r="BC1257" i="64"/>
  <c r="BP1257" i="64"/>
  <c r="AC1204" i="64"/>
  <c r="BP1279" i="64"/>
  <c r="C1279" i="64"/>
  <c r="BC1280" i="64"/>
  <c r="BC1232" i="64"/>
  <c r="CP1209" i="64"/>
  <c r="AC1207" i="64"/>
  <c r="AC1313" i="64"/>
  <c r="CC1239" i="64"/>
  <c r="CC1237" i="64"/>
  <c r="BC1319" i="64"/>
  <c r="BC1229" i="64"/>
  <c r="BP1212" i="64"/>
  <c r="AC1248" i="64"/>
  <c r="BP1292" i="64"/>
  <c r="AC1227" i="64"/>
  <c r="CC1235" i="64"/>
  <c r="BP1313" i="64"/>
  <c r="BC1239" i="64"/>
  <c r="CP1237" i="64"/>
  <c r="BP1248" i="64"/>
  <c r="CC1218" i="64"/>
  <c r="CP1227" i="64"/>
  <c r="BP1308" i="64"/>
  <c r="BC1234" i="64"/>
  <c r="C1308" i="64"/>
  <c r="BC1317" i="64"/>
  <c r="BC1243" i="64"/>
  <c r="C1276" i="64"/>
  <c r="BP1324" i="64"/>
  <c r="BC1250" i="64"/>
  <c r="C1324" i="64"/>
  <c r="AC1297" i="64"/>
  <c r="AC1328" i="64"/>
  <c r="BC1294" i="64"/>
  <c r="BP1322" i="64"/>
  <c r="BC1255" i="64"/>
  <c r="AC1329" i="64"/>
  <c r="CP1255" i="64"/>
  <c r="BC1338" i="64"/>
  <c r="BP1337" i="64"/>
  <c r="BC1259" i="64"/>
  <c r="AP1337" i="64"/>
  <c r="AP1332" i="64"/>
  <c r="BP1278" i="64"/>
  <c r="AC1257" i="64"/>
  <c r="CC1257" i="64"/>
  <c r="BP1205" i="64"/>
  <c r="BP1209" i="64"/>
  <c r="BC1281" i="64"/>
  <c r="AP1311" i="64"/>
  <c r="BP1229" i="64"/>
  <c r="AC1218" i="64"/>
  <c r="BC1218" i="64"/>
  <c r="CP1253" i="64"/>
  <c r="C1288" i="64"/>
  <c r="BP1231" i="64"/>
  <c r="C1318" i="64"/>
  <c r="CC1210" i="64"/>
  <c r="BC1248" i="64"/>
  <c r="BC1315" i="64"/>
  <c r="AC1203" i="64"/>
  <c r="CP1252" i="64"/>
  <c r="CP1225" i="64"/>
  <c r="CC1224" i="64"/>
  <c r="AC1295" i="64"/>
  <c r="BC1230" i="64"/>
  <c r="CP1249" i="64"/>
  <c r="AC1296" i="64"/>
  <c r="BP1320" i="64"/>
  <c r="AP1291" i="64"/>
  <c r="BC1299" i="64"/>
  <c r="CC1221" i="64"/>
  <c r="AC1323" i="64"/>
  <c r="BP1241" i="64"/>
  <c r="BC1296" i="64"/>
  <c r="AC1246" i="64"/>
  <c r="AC1252" i="64"/>
  <c r="AC1217" i="64"/>
  <c r="BC1251" i="64"/>
  <c r="BC1295" i="64"/>
  <c r="AC1230" i="64"/>
  <c r="AC1249" i="64"/>
  <c r="CC1222" i="64"/>
  <c r="BC1277" i="64"/>
  <c r="AP1320" i="64"/>
  <c r="AC1291" i="64"/>
  <c r="AC1299" i="64"/>
  <c r="BP1298" i="64"/>
  <c r="C1295" i="64"/>
  <c r="AC1238" i="64"/>
  <c r="CC1230" i="64"/>
  <c r="CC1249" i="64"/>
  <c r="AC1324" i="64"/>
  <c r="CC1223" i="64"/>
  <c r="BC1282" i="64"/>
  <c r="AC1294" i="64"/>
  <c r="CP1236" i="64"/>
  <c r="C1310" i="64"/>
  <c r="BC1341" i="64"/>
  <c r="AP1329" i="64"/>
  <c r="CP1266" i="64"/>
  <c r="C1340" i="64"/>
  <c r="CC1204" i="64"/>
  <c r="BC1339" i="64"/>
  <c r="BP1339" i="64"/>
  <c r="BP1332" i="64"/>
  <c r="AP1278" i="64"/>
  <c r="BC1283" i="64"/>
  <c r="BP1239" i="64"/>
  <c r="BC1313" i="64"/>
  <c r="AC1311" i="64"/>
  <c r="AC1303" i="64"/>
  <c r="C1286" i="64"/>
  <c r="AP1327" i="64"/>
  <c r="BC1301" i="64"/>
  <c r="BC1227" i="64"/>
  <c r="BP1309" i="64"/>
  <c r="AC1247" i="64"/>
  <c r="BP1318" i="64"/>
  <c r="BP1284" i="64"/>
  <c r="AC1202" i="64"/>
  <c r="BP1202" i="64"/>
  <c r="C1314" i="64"/>
  <c r="BC1318" i="64"/>
  <c r="AC1308" i="64"/>
  <c r="BP1276" i="64"/>
  <c r="BP1201" i="64"/>
  <c r="BC1241" i="64"/>
  <c r="BC1246" i="64"/>
  <c r="C1291" i="64"/>
  <c r="CC1251" i="64"/>
  <c r="BP1224" i="64"/>
  <c r="CP1221" i="64"/>
  <c r="CP1230" i="64"/>
  <c r="AC1241" i="64"/>
  <c r="BP1296" i="64"/>
  <c r="AC1326" i="64"/>
  <c r="BC1217" i="64"/>
  <c r="AC1225" i="64"/>
  <c r="AC1221" i="64"/>
  <c r="BC1201" i="64"/>
  <c r="AP1296" i="64"/>
  <c r="C1277" i="64"/>
  <c r="BC1320" i="64"/>
  <c r="AP1326" i="64"/>
  <c r="BP1225" i="64"/>
  <c r="AC1325" i="64"/>
  <c r="AP1312" i="64"/>
  <c r="BC1304" i="64"/>
  <c r="CC1241" i="64"/>
  <c r="AC1222" i="64"/>
  <c r="CC1203" i="64"/>
  <c r="AC1320" i="64"/>
  <c r="CC1217" i="64"/>
  <c r="BP1325" i="64"/>
  <c r="BC1298" i="64"/>
  <c r="BP1221" i="64"/>
  <c r="BP1238" i="64"/>
  <c r="BP1230" i="64"/>
  <c r="BP1249" i="64"/>
  <c r="BC1324" i="64"/>
  <c r="AC1219" i="64"/>
  <c r="CC1216" i="64"/>
  <c r="BC1290" i="64"/>
  <c r="AC1213" i="64"/>
  <c r="BC1208" i="64"/>
  <c r="C1289" i="64"/>
  <c r="AP1334" i="64"/>
  <c r="AC1334" i="64"/>
  <c r="BP1260" i="64"/>
  <c r="BC1316" i="64"/>
  <c r="AC1310" i="64"/>
  <c r="AP1336" i="64"/>
  <c r="AC1262" i="64"/>
  <c r="CP1226" i="64"/>
  <c r="BP1285" i="64"/>
  <c r="AC1211" i="64"/>
  <c r="C1339" i="64"/>
  <c r="BC1335" i="64"/>
  <c r="AC1205" i="64"/>
  <c r="AP1280" i="64"/>
  <c r="AC1232" i="64"/>
  <c r="AC1283" i="64"/>
  <c r="AC1281" i="64"/>
  <c r="AC1319" i="64"/>
  <c r="AC1229" i="64"/>
  <c r="AC1212" i="64"/>
  <c r="AC1292" i="64"/>
  <c r="AP1292" i="64"/>
  <c r="BP1235" i="64"/>
  <c r="C1305" i="64"/>
  <c r="CC1231" i="64"/>
  <c r="BC1321" i="64"/>
  <c r="CP1240" i="64"/>
  <c r="AC1244" i="64"/>
  <c r="BP1234" i="64"/>
  <c r="CC1243" i="64"/>
  <c r="CP1247" i="64"/>
  <c r="BP1240" i="64"/>
  <c r="CP1244" i="64"/>
  <c r="AC1284" i="64"/>
  <c r="BC1308" i="64"/>
  <c r="AP1276" i="64"/>
  <c r="CP1201" i="64"/>
  <c r="AC1315" i="64"/>
  <c r="CP1246" i="64"/>
  <c r="CC1225" i="64"/>
  <c r="C1325" i="64"/>
  <c r="BC1224" i="64"/>
  <c r="CC1238" i="64"/>
  <c r="C1323" i="64"/>
  <c r="CP1241" i="64"/>
  <c r="BC1203" i="64"/>
  <c r="BP1252" i="64"/>
  <c r="BP1291" i="64"/>
  <c r="AP1325" i="64"/>
  <c r="C1312" i="64"/>
  <c r="C1275" i="64"/>
  <c r="BP1222" i="64"/>
  <c r="CP1203" i="64"/>
  <c r="C1320" i="64"/>
  <c r="BP1217" i="64"/>
  <c r="C1299" i="64"/>
  <c r="AP1298" i="64"/>
  <c r="AC1312" i="64"/>
  <c r="C1304" i="64"/>
  <c r="AP1315" i="64"/>
  <c r="CP1222" i="64"/>
  <c r="CC1246" i="64"/>
  <c r="BC1252" i="64"/>
  <c r="BP1299" i="64"/>
  <c r="BP1251" i="64"/>
  <c r="C1298" i="64"/>
  <c r="BC1221" i="64"/>
  <c r="BC1238" i="64"/>
  <c r="AP1304" i="64"/>
  <c r="BP1323" i="64"/>
  <c r="CP1216" i="64"/>
  <c r="AC1302" i="64"/>
  <c r="CC1233" i="64"/>
  <c r="BP1208" i="64"/>
  <c r="AP1294" i="64"/>
  <c r="BP1294" i="64"/>
  <c r="BC1215" i="64"/>
  <c r="AC1322" i="64"/>
  <c r="BC1330" i="64"/>
  <c r="AC1330" i="64"/>
  <c r="AC1338" i="64"/>
  <c r="BC1260" i="64"/>
  <c r="CP1262" i="64"/>
  <c r="BC1263" i="64"/>
  <c r="AC1340" i="64"/>
  <c r="CP1265" i="64"/>
  <c r="BC1258" i="64"/>
  <c r="BP1258" i="64"/>
  <c r="AC1226" i="64"/>
  <c r="C1280" i="64"/>
  <c r="BP1206" i="64"/>
  <c r="BP1232" i="64"/>
  <c r="CC1232" i="64"/>
  <c r="AP1281" i="64"/>
  <c r="BC1237" i="64"/>
  <c r="AC1245" i="64"/>
  <c r="CP1229" i="64"/>
  <c r="BC1292" i="64"/>
  <c r="BP1253" i="64"/>
  <c r="AC1301" i="64"/>
  <c r="C1301" i="64"/>
  <c r="BP1305" i="64"/>
  <c r="AP1318" i="64"/>
  <c r="AP1305" i="64"/>
  <c r="BC1247" i="64"/>
  <c r="AC1321" i="64"/>
  <c r="BC1244" i="64"/>
  <c r="AP1284" i="64"/>
  <c r="BP1210" i="64"/>
  <c r="BP1317" i="64"/>
  <c r="CP1202" i="64"/>
  <c r="AC1201" i="64"/>
  <c r="BP1203" i="64"/>
  <c r="BP1326" i="64"/>
  <c r="BC1225" i="64"/>
  <c r="CP1251" i="64"/>
  <c r="CP1224" i="64"/>
  <c r="CP1238" i="64"/>
  <c r="BC1249" i="64"/>
  <c r="C1296" i="64"/>
  <c r="AP1277" i="64"/>
  <c r="BC1326" i="64"/>
  <c r="BC1291" i="64"/>
  <c r="AC1224" i="64"/>
  <c r="BP1304" i="64"/>
  <c r="BP1315" i="64"/>
  <c r="BC1222" i="64"/>
  <c r="AC1277" i="64"/>
  <c r="CC1252" i="64"/>
  <c r="CP1217" i="64"/>
  <c r="BC1325" i="64"/>
  <c r="BP1295" i="64"/>
  <c r="BP1312" i="64"/>
  <c r="AP1323" i="64"/>
  <c r="C1315" i="64"/>
  <c r="BP1277" i="64"/>
  <c r="BP1246" i="64"/>
  <c r="C1326" i="64"/>
  <c r="AP1299" i="64"/>
  <c r="AC1251" i="64"/>
  <c r="AC1298" i="64"/>
  <c r="AP1295" i="64"/>
  <c r="BC1312" i="64"/>
  <c r="AC1304" i="64"/>
  <c r="BC1323" i="64"/>
  <c r="C1293" i="64"/>
  <c r="BP1297" i="64"/>
  <c r="AP1287" i="64"/>
  <c r="BC1307" i="64"/>
  <c r="BP1307" i="64"/>
  <c r="BP1233" i="64"/>
  <c r="CC1208" i="64"/>
  <c r="C1328" i="64"/>
  <c r="C1329" i="64"/>
  <c r="CC1255" i="64"/>
  <c r="BP1255" i="64"/>
  <c r="AP1338" i="64"/>
  <c r="CC1263" i="64"/>
  <c r="AC1333" i="64"/>
  <c r="BP1263" i="64"/>
  <c r="C1300" i="64"/>
  <c r="BC1300" i="64"/>
  <c r="AC1261" i="64"/>
  <c r="CC1258" i="64"/>
  <c r="AP1279" i="64"/>
  <c r="AC1209" i="64"/>
  <c r="CP1239" i="64"/>
  <c r="AC1237" i="64"/>
  <c r="CP1245" i="64"/>
  <c r="AC1286" i="64"/>
  <c r="AP1286" i="64"/>
  <c r="CC1253" i="64"/>
  <c r="AC1235" i="64"/>
  <c r="AP1314" i="64"/>
  <c r="BC1314" i="64"/>
  <c r="CC1240" i="64"/>
  <c r="CP1243" i="64"/>
  <c r="BP1250" i="64"/>
  <c r="BC1293" i="64"/>
  <c r="AP1275" i="64"/>
  <c r="AP1290" i="64"/>
  <c r="CC1228" i="64"/>
  <c r="AP1307" i="64"/>
  <c r="AC1208" i="64"/>
  <c r="BP1310" i="64"/>
  <c r="BC1236" i="64"/>
  <c r="AP1310" i="64"/>
  <c r="AP1341" i="64"/>
  <c r="AP1340" i="64"/>
  <c r="AC1266" i="64"/>
  <c r="CC1211" i="64"/>
  <c r="C1331" i="64"/>
  <c r="C1335" i="64"/>
  <c r="BC1331" i="64"/>
  <c r="AC1300" i="64"/>
  <c r="BP1280" i="64"/>
  <c r="CC1207" i="64"/>
  <c r="BP1311" i="64"/>
  <c r="BP1319" i="64"/>
  <c r="BP1303" i="64"/>
  <c r="AC1327" i="64"/>
  <c r="BC1309" i="64"/>
  <c r="CC1219" i="64"/>
  <c r="BC1216" i="64"/>
  <c r="AC1223" i="64"/>
  <c r="AC1233" i="64"/>
  <c r="AP1282" i="64"/>
  <c r="CC1254" i="64"/>
  <c r="C1322" i="64"/>
  <c r="BC1264" i="64"/>
  <c r="AC1264" i="64"/>
  <c r="CC1260" i="64"/>
  <c r="BP1242" i="64"/>
  <c r="CP1242" i="64"/>
  <c r="BP1262" i="64"/>
  <c r="AC1263" i="64"/>
  <c r="CP1257" i="64"/>
  <c r="C1285" i="64"/>
  <c r="AC1285" i="64"/>
  <c r="BP1204" i="64"/>
  <c r="AP1339" i="64"/>
  <c r="BC1279" i="64"/>
  <c r="BC1205" i="64"/>
  <c r="BP1306" i="64"/>
  <c r="AP1283" i="64"/>
  <c r="C1311" i="64"/>
  <c r="C1292" i="64"/>
  <c r="BP1219" i="64"/>
  <c r="BP1223" i="64"/>
  <c r="BC1297" i="64"/>
  <c r="CP1215" i="64"/>
  <c r="CC1256" i="64"/>
  <c r="BC1256" i="64"/>
  <c r="C1338" i="64"/>
  <c r="C1334" i="64"/>
  <c r="BC1262" i="64"/>
  <c r="AC1337" i="64"/>
  <c r="BC1340" i="64"/>
  <c r="BC1278" i="64"/>
  <c r="BC1261" i="64"/>
  <c r="BP1261" i="64"/>
  <c r="AP1285" i="64"/>
  <c r="AC1306" i="64"/>
  <c r="C1306" i="64"/>
  <c r="BC1209" i="64"/>
  <c r="AC1239" i="64"/>
  <c r="C1319" i="64"/>
  <c r="C1303" i="64"/>
  <c r="BC1286" i="64"/>
  <c r="BC1253" i="64"/>
  <c r="AC1309" i="64"/>
  <c r="BC1235" i="64"/>
  <c r="C1290" i="64"/>
  <c r="BP1228" i="64"/>
  <c r="BP1287" i="64"/>
  <c r="BP1282" i="64"/>
  <c r="CP1254" i="64"/>
  <c r="AC1215" i="64"/>
  <c r="BP1215" i="64"/>
  <c r="CP1267" i="64"/>
  <c r="AC1267" i="64"/>
  <c r="BC1329" i="64"/>
  <c r="C1330" i="64"/>
  <c r="AC1259" i="64"/>
  <c r="C1333" i="64"/>
  <c r="CP1259" i="64"/>
  <c r="AC1331" i="64"/>
  <c r="BC1332" i="64"/>
  <c r="AC1265" i="64"/>
  <c r="CC1261" i="64"/>
  <c r="CP1232" i="64"/>
  <c r="C1283" i="64"/>
  <c r="AP1313" i="64"/>
  <c r="BC1311" i="64"/>
  <c r="AP1319" i="64"/>
  <c r="AP1303" i="64"/>
  <c r="BP1286" i="64"/>
  <c r="AC1253" i="64"/>
  <c r="BP1301" i="64"/>
  <c r="CN1169" i="64"/>
  <c r="A1169" i="64"/>
  <c r="J1575" i="79"/>
  <c r="J1962" i="79" s="1"/>
  <c r="J1497" i="79"/>
  <c r="J1746" i="79" s="1"/>
  <c r="J1471" i="79"/>
  <c r="J1674" i="79" s="1"/>
  <c r="J1536" i="79"/>
  <c r="J1854" i="79" s="1"/>
  <c r="J1484" i="79"/>
  <c r="J1710" i="79" s="1"/>
  <c r="J1601" i="79"/>
  <c r="J2033" i="79" s="1"/>
  <c r="J1562" i="79"/>
  <c r="J1926" i="79" s="1"/>
  <c r="J1549" i="79"/>
  <c r="J1890" i="79" s="1"/>
  <c r="J1523" i="79"/>
  <c r="J1818" i="79" s="1"/>
  <c r="J1510" i="79"/>
  <c r="J1782" i="79" s="1"/>
  <c r="J1588" i="79"/>
  <c r="J1997" i="79" s="1"/>
  <c r="CB1325" i="64"/>
  <c r="AB1251" i="64"/>
  <c r="DO1251" i="64"/>
  <c r="AB1246" i="64"/>
  <c r="DO1246" i="64"/>
  <c r="CB1320" i="64"/>
  <c r="CB1317" i="64"/>
  <c r="AB1243" i="64"/>
  <c r="DO1243" i="64"/>
  <c r="CO1312" i="64"/>
  <c r="B1312" i="64"/>
  <c r="AW1214" i="64"/>
  <c r="BW1244" i="64"/>
  <c r="BW1216" i="64"/>
  <c r="CJ1265" i="64"/>
  <c r="BJ1229" i="64"/>
  <c r="BJ1260" i="64"/>
  <c r="BW1280" i="64"/>
  <c r="CW1260" i="64"/>
  <c r="AW1213" i="64"/>
  <c r="BJ1330" i="64"/>
  <c r="AJ1215" i="64"/>
  <c r="J1327" i="64"/>
  <c r="BJ1296" i="64"/>
  <c r="AJ1203" i="64"/>
  <c r="BJ1206" i="64"/>
  <c r="J1336" i="64"/>
  <c r="AW1308" i="64"/>
  <c r="J1276" i="64"/>
  <c r="CW1249" i="64"/>
  <c r="J1322" i="64"/>
  <c r="BW1304" i="64"/>
  <c r="W1323" i="64"/>
  <c r="BW1289" i="64"/>
  <c r="CJ1236" i="64"/>
  <c r="AJ1331" i="64"/>
  <c r="AW1210" i="64"/>
  <c r="W1299" i="64"/>
  <c r="CJ1251" i="64"/>
  <c r="AW1299" i="64"/>
  <c r="AJ1225" i="64"/>
  <c r="BJ1216" i="64"/>
  <c r="AW1209" i="64"/>
  <c r="J1286" i="64"/>
  <c r="AW1263" i="64"/>
  <c r="W1285" i="64"/>
  <c r="BJ1247" i="64"/>
  <c r="BJ1202" i="64"/>
  <c r="AJ1248" i="64"/>
  <c r="BW1326" i="64"/>
  <c r="BJ1230" i="64"/>
  <c r="J1291" i="64"/>
  <c r="BJ1248" i="64"/>
  <c r="AJ1252" i="64"/>
  <c r="AJ1275" i="64"/>
  <c r="BW1217" i="64"/>
  <c r="W1304" i="64"/>
  <c r="BJ1287" i="64"/>
  <c r="AJ1208" i="64"/>
  <c r="CJ1245" i="64"/>
  <c r="J1334" i="64"/>
  <c r="AJ1263" i="64"/>
  <c r="BJ1261" i="64"/>
  <c r="J1305" i="64"/>
  <c r="BW1308" i="64"/>
  <c r="CJ1216" i="64"/>
  <c r="BW1205" i="64"/>
  <c r="AJ1209" i="64"/>
  <c r="BJ1212" i="64"/>
  <c r="AJ1266" i="64"/>
  <c r="CJ1226" i="64"/>
  <c r="CW1253" i="64"/>
  <c r="BW1302" i="64"/>
  <c r="BJ1282" i="64"/>
  <c r="AJ1313" i="64"/>
  <c r="AW1310" i="64"/>
  <c r="CW1262" i="64"/>
  <c r="AW1261" i="64"/>
  <c r="BJ1302" i="64"/>
  <c r="AJ1294" i="64"/>
  <c r="BW1281" i="64"/>
  <c r="BW1341" i="64"/>
  <c r="CW1204" i="64"/>
  <c r="J1332" i="64"/>
  <c r="AW1297" i="64"/>
  <c r="BJ1245" i="64"/>
  <c r="AW1236" i="64"/>
  <c r="AJ1211" i="64"/>
  <c r="AJ1227" i="64"/>
  <c r="AH1262" i="64"/>
  <c r="CH1267" i="64"/>
  <c r="AU1214" i="64"/>
  <c r="BH1260" i="64"/>
  <c r="BH1338" i="64"/>
  <c r="BH1340" i="64"/>
  <c r="AH1257" i="64"/>
  <c r="AH1300" i="64"/>
  <c r="CU1256" i="64"/>
  <c r="BU1278" i="64"/>
  <c r="CH1261" i="64"/>
  <c r="BU1267" i="64"/>
  <c r="AU1265" i="64"/>
  <c r="CH1255" i="64"/>
  <c r="BU1255" i="64"/>
  <c r="BU1257" i="64"/>
  <c r="CU1258" i="64"/>
  <c r="AH1314" i="64"/>
  <c r="AH1236" i="64"/>
  <c r="AH1260" i="64"/>
  <c r="BU1288" i="64"/>
  <c r="AU1329" i="64"/>
  <c r="H1330" i="64"/>
  <c r="BU1334" i="64"/>
  <c r="AU1310" i="64"/>
  <c r="AH1329" i="64"/>
  <c r="BH1337" i="64"/>
  <c r="U1336" i="64"/>
  <c r="BU1337" i="64"/>
  <c r="BH1285" i="64"/>
  <c r="U1285" i="64"/>
  <c r="AU1211" i="64"/>
  <c r="BH1332" i="64"/>
  <c r="AU1258" i="64"/>
  <c r="BU1314" i="64"/>
  <c r="BU1240" i="64"/>
  <c r="AU1318" i="64"/>
  <c r="BU1244" i="64"/>
  <c r="H1308" i="64"/>
  <c r="BH1317" i="64"/>
  <c r="BU1210" i="64"/>
  <c r="BH1278" i="64"/>
  <c r="BU1333" i="64"/>
  <c r="BU1316" i="64"/>
  <c r="AU1316" i="64"/>
  <c r="H1332" i="64"/>
  <c r="BU1332" i="64"/>
  <c r="AH1248" i="64"/>
  <c r="H1339" i="64"/>
  <c r="AH1266" i="64"/>
  <c r="AU1247" i="64"/>
  <c r="AU1263" i="64"/>
  <c r="U1339" i="64"/>
  <c r="AH1214" i="64"/>
  <c r="BU1330" i="64"/>
  <c r="AU1333" i="64"/>
  <c r="BU1285" i="64"/>
  <c r="BU1247" i="64"/>
  <c r="AU1334" i="64"/>
  <c r="BU1341" i="64"/>
  <c r="AH1255" i="64"/>
  <c r="CU1264" i="64"/>
  <c r="BH1316" i="64"/>
  <c r="U1341" i="64"/>
  <c r="CU1266" i="64"/>
  <c r="AH1263" i="64"/>
  <c r="BH1259" i="64"/>
  <c r="BU1265" i="64"/>
  <c r="BU1258" i="64"/>
  <c r="AU1226" i="64"/>
  <c r="BU1226" i="64"/>
  <c r="H1331" i="64"/>
  <c r="BH1247" i="64"/>
  <c r="CH1247" i="64"/>
  <c r="BH1284" i="64"/>
  <c r="CU1234" i="64"/>
  <c r="BU1276" i="64"/>
  <c r="BH1321" i="64"/>
  <c r="H1337" i="64"/>
  <c r="AU1204" i="64"/>
  <c r="CH1236" i="64"/>
  <c r="CU1263" i="64"/>
  <c r="AU1332" i="64"/>
  <c r="U1305" i="64"/>
  <c r="U1338" i="64"/>
  <c r="CH1264" i="64"/>
  <c r="AH1226" i="64"/>
  <c r="H1305" i="64"/>
  <c r="BU1340" i="64"/>
  <c r="AH1231" i="64"/>
  <c r="AU1260" i="64"/>
  <c r="H1336" i="64"/>
  <c r="CU1211" i="64"/>
  <c r="AH1322" i="64"/>
  <c r="H1288" i="64"/>
  <c r="AH1264" i="64"/>
  <c r="AU1341" i="64"/>
  <c r="AU1288" i="64"/>
  <c r="AH1334" i="64"/>
  <c r="AH1242" i="64"/>
  <c r="BH1341" i="64"/>
  <c r="AH1256" i="64"/>
  <c r="H1334" i="64"/>
  <c r="H1316" i="64"/>
  <c r="CU1262" i="64"/>
  <c r="U1333" i="64"/>
  <c r="AU1340" i="64"/>
  <c r="AH1331" i="64"/>
  <c r="AU1300" i="64"/>
  <c r="AU1257" i="64"/>
  <c r="CU1226" i="64"/>
  <c r="U1332" i="64"/>
  <c r="AU1305" i="64"/>
  <c r="H1314" i="64"/>
  <c r="U1318" i="64"/>
  <c r="U1284" i="64"/>
  <c r="H1329" i="64"/>
  <c r="AH1341" i="64"/>
  <c r="AH1321" i="64"/>
  <c r="BH1214" i="64"/>
  <c r="AH1330" i="64"/>
  <c r="CH1259" i="64"/>
  <c r="CU1257" i="64"/>
  <c r="AH1293" i="64"/>
  <c r="CU1242" i="64"/>
  <c r="BH1242" i="64"/>
  <c r="AU1339" i="64"/>
  <c r="AH1288" i="64"/>
  <c r="BH1330" i="64"/>
  <c r="CH1211" i="64"/>
  <c r="BH1310" i="64"/>
  <c r="BH1263" i="64"/>
  <c r="BH1331" i="64"/>
  <c r="BU1214" i="64"/>
  <c r="BU1329" i="64"/>
  <c r="AU1338" i="64"/>
  <c r="CU1214" i="64"/>
  <c r="U1288" i="64"/>
  <c r="AU1330" i="64"/>
  <c r="BU1260" i="64"/>
  <c r="BU1236" i="64"/>
  <c r="H1341" i="64"/>
  <c r="CH1256" i="64"/>
  <c r="AU1262" i="64"/>
  <c r="BU1259" i="64"/>
  <c r="CH1266" i="64"/>
  <c r="BU1211" i="64"/>
  <c r="BU1204" i="64"/>
  <c r="BU1335" i="64"/>
  <c r="CU1261" i="64"/>
  <c r="U1278" i="64"/>
  <c r="AU1335" i="64"/>
  <c r="CU1231" i="64"/>
  <c r="BU1321" i="64"/>
  <c r="CU1210" i="64"/>
  <c r="AU1317" i="64"/>
  <c r="BU1202" i="64"/>
  <c r="H1324" i="64"/>
  <c r="BU1322" i="64"/>
  <c r="U1315" i="64"/>
  <c r="BH1223" i="64"/>
  <c r="AH1228" i="64"/>
  <c r="AH1287" i="64"/>
  <c r="AU1282" i="64"/>
  <c r="AH1254" i="64"/>
  <c r="AU1289" i="64"/>
  <c r="H1279" i="64"/>
  <c r="BU1306" i="64"/>
  <c r="AH1306" i="64"/>
  <c r="U1281" i="64"/>
  <c r="CU1250" i="64"/>
  <c r="CU1223" i="64"/>
  <c r="H1302" i="64"/>
  <c r="BH1287" i="64"/>
  <c r="CH1233" i="64"/>
  <c r="CU1233" i="64"/>
  <c r="H1282" i="64"/>
  <c r="AH1328" i="64"/>
  <c r="U1322" i="64"/>
  <c r="AH1201" i="64"/>
  <c r="BU1206" i="64"/>
  <c r="H1283" i="64"/>
  <c r="BU1219" i="64"/>
  <c r="AH1216" i="64"/>
  <c r="AU1328" i="64"/>
  <c r="BU1220" i="64"/>
  <c r="BU1275" i="64"/>
  <c r="CH1205" i="64"/>
  <c r="AH1206" i="64"/>
  <c r="BH1306" i="64"/>
  <c r="AU1283" i="64"/>
  <c r="CH1207" i="64"/>
  <c r="BH1293" i="64"/>
  <c r="CU1219" i="64"/>
  <c r="AH1290" i="64"/>
  <c r="CU1228" i="64"/>
  <c r="BH1213" i="64"/>
  <c r="U1307" i="64"/>
  <c r="AH1220" i="64"/>
  <c r="AU1220" i="64"/>
  <c r="AH1215" i="64"/>
  <c r="BH1280" i="64"/>
  <c r="AU1209" i="64"/>
  <c r="CU1207" i="64"/>
  <c r="BU1313" i="64"/>
  <c r="AU1311" i="64"/>
  <c r="AU1229" i="64"/>
  <c r="AU1286" i="64"/>
  <c r="AH1218" i="64"/>
  <c r="BU1253" i="64"/>
  <c r="CH1253" i="64"/>
  <c r="CU1227" i="64"/>
  <c r="AU1235" i="64"/>
  <c r="AH1240" i="64"/>
  <c r="AH1284" i="64"/>
  <c r="BH1210" i="64"/>
  <c r="AH1234" i="64"/>
  <c r="H1317" i="64"/>
  <c r="U1293" i="64"/>
  <c r="AH1297" i="64"/>
  <c r="U1287" i="64"/>
  <c r="AH1233" i="64"/>
  <c r="CH1208" i="64"/>
  <c r="H1328" i="64"/>
  <c r="AU1294" i="64"/>
  <c r="CH1220" i="64"/>
  <c r="BU1215" i="64"/>
  <c r="AH1205" i="64"/>
  <c r="AH1280" i="64"/>
  <c r="AH1232" i="64"/>
  <c r="AH1283" i="64"/>
  <c r="BU1281" i="64"/>
  <c r="H1313" i="64"/>
  <c r="BH1313" i="64"/>
  <c r="BU1245" i="64"/>
  <c r="CU1229" i="64"/>
  <c r="CH1248" i="64"/>
  <c r="AU1327" i="64"/>
  <c r="BH1301" i="64"/>
  <c r="AH1309" i="64"/>
  <c r="AU1236" i="64"/>
  <c r="BH1329" i="64"/>
  <c r="BU1264" i="64"/>
  <c r="CU1260" i="64"/>
  <c r="BU1310" i="64"/>
  <c r="BU1262" i="64"/>
  <c r="AU1259" i="64"/>
  <c r="AH1333" i="64"/>
  <c r="AH1332" i="64"/>
  <c r="CH1265" i="64"/>
  <c r="H1278" i="64"/>
  <c r="CU1204" i="64"/>
  <c r="U1300" i="64"/>
  <c r="AU1313" i="64"/>
  <c r="CH1239" i="64"/>
  <c r="BH1311" i="64"/>
  <c r="H1311" i="64"/>
  <c r="U1319" i="64"/>
  <c r="H1286" i="64"/>
  <c r="AU1212" i="64"/>
  <c r="AU1292" i="64"/>
  <c r="BH1227" i="64"/>
  <c r="AH1235" i="64"/>
  <c r="AU1244" i="64"/>
  <c r="BU1284" i="64"/>
  <c r="U1308" i="64"/>
  <c r="BU1243" i="64"/>
  <c r="BH1202" i="64"/>
  <c r="U1324" i="64"/>
  <c r="U1290" i="64"/>
  <c r="CH1223" i="64"/>
  <c r="AH1223" i="64"/>
  <c r="CH1228" i="64"/>
  <c r="AU1287" i="64"/>
  <c r="BU1307" i="64"/>
  <c r="AU1280" i="64"/>
  <c r="AU1239" i="64"/>
  <c r="U1311" i="64"/>
  <c r="BU1319" i="64"/>
  <c r="AH1229" i="64"/>
  <c r="AH1286" i="64"/>
  <c r="AH1315" i="64"/>
  <c r="BH1292" i="64"/>
  <c r="BU1218" i="64"/>
  <c r="BH1327" i="64"/>
  <c r="H1327" i="64"/>
  <c r="CU1235" i="64"/>
  <c r="BH1288" i="64"/>
  <c r="H1338" i="64"/>
  <c r="U1334" i="64"/>
  <c r="CU1236" i="64"/>
  <c r="CU1255" i="64"/>
  <c r="BU1338" i="64"/>
  <c r="U1316" i="64"/>
  <c r="AU1337" i="64"/>
  <c r="BH1266" i="64"/>
  <c r="AU1266" i="64"/>
  <c r="BH1335" i="64"/>
  <c r="AU1331" i="64"/>
  <c r="CH1258" i="64"/>
  <c r="AH1261" i="64"/>
  <c r="U1331" i="64"/>
  <c r="AU1237" i="64"/>
  <c r="AU1245" i="64"/>
  <c r="BH1241" i="64"/>
  <c r="BH1218" i="64"/>
  <c r="BU1301" i="64"/>
  <c r="U1309" i="64"/>
  <c r="BH1318" i="64"/>
  <c r="CH1202" i="64"/>
  <c r="BH1276" i="64"/>
  <c r="AU1241" i="64"/>
  <c r="AU1223" i="64"/>
  <c r="AH1302" i="64"/>
  <c r="H1289" i="64"/>
  <c r="BU1248" i="64"/>
  <c r="AH1279" i="64"/>
  <c r="CU1209" i="64"/>
  <c r="AH1207" i="64"/>
  <c r="CU1237" i="64"/>
  <c r="CU1245" i="64"/>
  <c r="BU1229" i="64"/>
  <c r="CH1212" i="64"/>
  <c r="AU1253" i="64"/>
  <c r="BH1235" i="64"/>
  <c r="AU1240" i="64"/>
  <c r="U1330" i="64"/>
  <c r="AU1264" i="64"/>
  <c r="CH1242" i="64"/>
  <c r="U1310" i="64"/>
  <c r="BH1256" i="64"/>
  <c r="AH1337" i="64"/>
  <c r="U1340" i="64"/>
  <c r="BH1336" i="64"/>
  <c r="AH1258" i="64"/>
  <c r="AH1211" i="64"/>
  <c r="CH1226" i="64"/>
  <c r="CU1265" i="64"/>
  <c r="AU1285" i="64"/>
  <c r="BU1339" i="64"/>
  <c r="U1303" i="64"/>
  <c r="BH1212" i="64"/>
  <c r="BH1253" i="64"/>
  <c r="AH1301" i="64"/>
  <c r="CH1235" i="64"/>
  <c r="BU1318" i="64"/>
  <c r="AU1202" i="64"/>
  <c r="AH1250" i="64"/>
  <c r="AU1293" i="64"/>
  <c r="H1275" i="64"/>
  <c r="BH1216" i="64"/>
  <c r="BU1216" i="64"/>
  <c r="BH1228" i="64"/>
  <c r="BU1287" i="64"/>
  <c r="AU1307" i="64"/>
  <c r="BH1307" i="64"/>
  <c r="BU1208" i="64"/>
  <c r="BH1254" i="64"/>
  <c r="BU1254" i="64"/>
  <c r="U1294" i="64"/>
  <c r="BU1205" i="64"/>
  <c r="BH1206" i="64"/>
  <c r="H1306" i="64"/>
  <c r="BH1209" i="64"/>
  <c r="BH1281" i="64"/>
  <c r="AH1239" i="64"/>
  <c r="AH1245" i="64"/>
  <c r="BU1303" i="64"/>
  <c r="CU1212" i="64"/>
  <c r="AU1248" i="64"/>
  <c r="H1292" i="64"/>
  <c r="AU1301" i="64"/>
  <c r="BU1309" i="64"/>
  <c r="CH1214" i="64"/>
  <c r="CU1267" i="64"/>
  <c r="BU1256" i="64"/>
  <c r="BH1334" i="64"/>
  <c r="AH1316" i="64"/>
  <c r="AU1267" i="64"/>
  <c r="BH1333" i="64"/>
  <c r="AU1336" i="64"/>
  <c r="CH1263" i="64"/>
  <c r="BH1258" i="64"/>
  <c r="H1285" i="64"/>
  <c r="BH1226" i="64"/>
  <c r="AH1335" i="64"/>
  <c r="BH1261" i="64"/>
  <c r="CU1244" i="64"/>
  <c r="AU1284" i="64"/>
  <c r="AH1243" i="64"/>
  <c r="CU1202" i="64"/>
  <c r="AH1275" i="64"/>
  <c r="AH1241" i="64"/>
  <c r="AH1296" i="64"/>
  <c r="CU1203" i="64"/>
  <c r="AU1246" i="64"/>
  <c r="H1291" i="64"/>
  <c r="BH1299" i="64"/>
  <c r="BH1251" i="64"/>
  <c r="H1298" i="64"/>
  <c r="CU1238" i="64"/>
  <c r="CH1230" i="64"/>
  <c r="AU1323" i="64"/>
  <c r="AH1222" i="64"/>
  <c r="BU1320" i="64"/>
  <c r="BU1291" i="64"/>
  <c r="U1299" i="64"/>
  <c r="U1325" i="64"/>
  <c r="BH1298" i="64"/>
  <c r="AU1238" i="64"/>
  <c r="BH1304" i="64"/>
  <c r="H1315" i="64"/>
  <c r="AU1320" i="64"/>
  <c r="BH1326" i="64"/>
  <c r="AH1291" i="64"/>
  <c r="CU1225" i="64"/>
  <c r="AH1298" i="64"/>
  <c r="AU1221" i="64"/>
  <c r="BH1238" i="64"/>
  <c r="BH1230" i="64"/>
  <c r="H1296" i="64"/>
  <c r="AH1277" i="64"/>
  <c r="BU1246" i="64"/>
  <c r="CU1252" i="64"/>
  <c r="AU1225" i="64"/>
  <c r="AU1325" i="64"/>
  <c r="CH1221" i="64"/>
  <c r="AU1312" i="64"/>
  <c r="AH1304" i="64"/>
  <c r="BU1249" i="64"/>
  <c r="BH1250" i="64"/>
  <c r="H1293" i="64"/>
  <c r="CH1219" i="64"/>
  <c r="AU1275" i="64"/>
  <c r="AU1302" i="64"/>
  <c r="BU1228" i="64"/>
  <c r="H1287" i="64"/>
  <c r="BU1213" i="64"/>
  <c r="CH1213" i="64"/>
  <c r="BU1233" i="64"/>
  <c r="BH1208" i="64"/>
  <c r="CU1220" i="64"/>
  <c r="BH1294" i="64"/>
  <c r="BH1215" i="64"/>
  <c r="AU1322" i="64"/>
  <c r="AU1201" i="64"/>
  <c r="U1279" i="64"/>
  <c r="BH1283" i="64"/>
  <c r="H1281" i="64"/>
  <c r="AH1311" i="64"/>
  <c r="BH1245" i="64"/>
  <c r="BH1303" i="64"/>
  <c r="CH1229" i="64"/>
  <c r="BU1286" i="64"/>
  <c r="AU1309" i="64"/>
  <c r="H1322" i="64"/>
  <c r="AU1255" i="64"/>
  <c r="BH1255" i="64"/>
  <c r="U1329" i="64"/>
  <c r="BU1263" i="64"/>
  <c r="BH1262" i="64"/>
  <c r="BU1336" i="64"/>
  <c r="AH1278" i="64"/>
  <c r="AU1278" i="64"/>
  <c r="CH1204" i="64"/>
  <c r="BH1300" i="64"/>
  <c r="BH1257" i="64"/>
  <c r="AU1231" i="64"/>
  <c r="U1321" i="64"/>
  <c r="H1284" i="64"/>
  <c r="CU1243" i="64"/>
  <c r="U1276" i="64"/>
  <c r="BH1231" i="64"/>
  <c r="CH1231" i="64"/>
  <c r="AU1321" i="64"/>
  <c r="CH1240" i="64"/>
  <c r="CU1240" i="64"/>
  <c r="AH1244" i="64"/>
  <c r="CH1210" i="64"/>
  <c r="BH1234" i="64"/>
  <c r="U1317" i="64"/>
  <c r="BH1201" i="64"/>
  <c r="CU1241" i="64"/>
  <c r="BU1296" i="64"/>
  <c r="H1277" i="64"/>
  <c r="CH1246" i="64"/>
  <c r="BH1291" i="64"/>
  <c r="BH1225" i="64"/>
  <c r="CU1251" i="64"/>
  <c r="BH1224" i="64"/>
  <c r="CH1238" i="64"/>
  <c r="BU1323" i="64"/>
  <c r="AU1296" i="64"/>
  <c r="AU1203" i="64"/>
  <c r="BH1320" i="64"/>
  <c r="AH1217" i="64"/>
  <c r="AH1225" i="64"/>
  <c r="AH1251" i="64"/>
  <c r="BU1224" i="64"/>
  <c r="U1312" i="64"/>
  <c r="U1323" i="64"/>
  <c r="CH1222" i="64"/>
  <c r="H1320" i="64"/>
  <c r="AU1326" i="64"/>
  <c r="CH1217" i="64"/>
  <c r="AH1299" i="64"/>
  <c r="CH1224" i="64"/>
  <c r="BH1295" i="64"/>
  <c r="AU1304" i="64"/>
  <c r="H1323" i="64"/>
  <c r="BH1222" i="64"/>
  <c r="AH1203" i="64"/>
  <c r="AH1246" i="64"/>
  <c r="CH1252" i="64"/>
  <c r="CH1225" i="64"/>
  <c r="AU1224" i="64"/>
  <c r="BU1221" i="64"/>
  <c r="AH1312" i="64"/>
  <c r="BU1230" i="64"/>
  <c r="BU1250" i="64"/>
  <c r="CH1250" i="64"/>
  <c r="BU1293" i="64"/>
  <c r="CH1241" i="64"/>
  <c r="BU1290" i="64"/>
  <c r="AU1216" i="64"/>
  <c r="AU1213" i="64"/>
  <c r="U1282" i="64"/>
  <c r="U1289" i="64"/>
  <c r="AU1205" i="64"/>
  <c r="H1280" i="64"/>
  <c r="AU1206" i="64"/>
  <c r="CH1232" i="64"/>
  <c r="AU1232" i="64"/>
  <c r="U1283" i="64"/>
  <c r="BU1207" i="64"/>
  <c r="BH1239" i="64"/>
  <c r="AH1237" i="64"/>
  <c r="BH1319" i="64"/>
  <c r="CH1245" i="64"/>
  <c r="AH1212" i="64"/>
  <c r="AH1292" i="64"/>
  <c r="AU1218" i="64"/>
  <c r="H1301" i="64"/>
  <c r="BH1309" i="64"/>
  <c r="CH1260" i="64"/>
  <c r="BH1236" i="64"/>
  <c r="AH1310" i="64"/>
  <c r="AH1267" i="64"/>
  <c r="H1340" i="64"/>
  <c r="U1337" i="64"/>
  <c r="CU1259" i="64"/>
  <c r="BU1261" i="64"/>
  <c r="CH1257" i="64"/>
  <c r="AH1204" i="64"/>
  <c r="BH1339" i="64"/>
  <c r="BH1265" i="64"/>
  <c r="U1314" i="64"/>
  <c r="CH1244" i="64"/>
  <c r="AH1210" i="64"/>
  <c r="BH1243" i="64"/>
  <c r="AH1276" i="64"/>
  <c r="CU1247" i="64"/>
  <c r="H1318" i="64"/>
  <c r="BU1234" i="64"/>
  <c r="CH1234" i="64"/>
  <c r="CH1243" i="64"/>
  <c r="AU1276" i="64"/>
  <c r="BH1275" i="64"/>
  <c r="AU1315" i="64"/>
  <c r="AU1222" i="64"/>
  <c r="CH1203" i="64"/>
  <c r="AH1252" i="64"/>
  <c r="U1291" i="64"/>
  <c r="AH1325" i="64"/>
  <c r="AH1224" i="64"/>
  <c r="BH1221" i="64"/>
  <c r="BU1312" i="64"/>
  <c r="AH1249" i="64"/>
  <c r="CU1222" i="64"/>
  <c r="BU1277" i="64"/>
  <c r="H1326" i="64"/>
  <c r="BU1217" i="64"/>
  <c r="AU1299" i="64"/>
  <c r="AU1251" i="64"/>
  <c r="AU1295" i="64"/>
  <c r="BH1312" i="64"/>
  <c r="CU1249" i="64"/>
  <c r="BU1222" i="64"/>
  <c r="U1320" i="64"/>
  <c r="AH1326" i="64"/>
  <c r="AU1217" i="64"/>
  <c r="BU1251" i="64"/>
  <c r="CU1221" i="64"/>
  <c r="H1312" i="64"/>
  <c r="H1304" i="64"/>
  <c r="AU1249" i="64"/>
  <c r="BH1296" i="64"/>
  <c r="CU1246" i="64"/>
  <c r="BU1252" i="64"/>
  <c r="AU1291" i="64"/>
  <c r="BU1225" i="64"/>
  <c r="CU1224" i="64"/>
  <c r="BU1295" i="64"/>
  <c r="AH1238" i="64"/>
  <c r="AH1230" i="64"/>
  <c r="BU1324" i="64"/>
  <c r="BH1322" i="64"/>
  <c r="AU1297" i="64"/>
  <c r="BH1297" i="64"/>
  <c r="U1302" i="64"/>
  <c r="BH1233" i="64"/>
  <c r="AH1208" i="64"/>
  <c r="BH1328" i="64"/>
  <c r="U1328" i="64"/>
  <c r="CH1209" i="64"/>
  <c r="AU1281" i="64"/>
  <c r="AH1303" i="64"/>
  <c r="U1286" i="64"/>
  <c r="CH1201" i="64"/>
  <c r="U1327" i="64"/>
  <c r="BU1227" i="64"/>
  <c r="BH1267" i="64"/>
  <c r="AU1242" i="64"/>
  <c r="BU1242" i="64"/>
  <c r="H1310" i="64"/>
  <c r="AH1336" i="64"/>
  <c r="AH1259" i="64"/>
  <c r="AH1340" i="64"/>
  <c r="H1300" i="64"/>
  <c r="H1335" i="64"/>
  <c r="AH1285" i="64"/>
  <c r="BH1211" i="64"/>
  <c r="BU1300" i="64"/>
  <c r="AH1247" i="64"/>
  <c r="AH1318" i="64"/>
  <c r="AU1210" i="64"/>
  <c r="AH1308" i="64"/>
  <c r="BU1317" i="64"/>
  <c r="BU1305" i="64"/>
  <c r="BH1240" i="64"/>
  <c r="BU1308" i="64"/>
  <c r="AU1243" i="64"/>
  <c r="AH1202" i="64"/>
  <c r="BU1315" i="64"/>
  <c r="BU1241" i="64"/>
  <c r="BH1203" i="64"/>
  <c r="BH1277" i="64"/>
  <c r="AU1252" i="64"/>
  <c r="BU1299" i="64"/>
  <c r="BU1325" i="64"/>
  <c r="BU1298" i="64"/>
  <c r="U1295" i="64"/>
  <c r="AU1230" i="64"/>
  <c r="BH1323" i="64"/>
  <c r="U1296" i="64"/>
  <c r="BU1203" i="64"/>
  <c r="BU1326" i="64"/>
  <c r="CU1217" i="64"/>
  <c r="CH1251" i="64"/>
  <c r="U1298" i="64"/>
  <c r="H1295" i="64"/>
  <c r="BU1304" i="64"/>
  <c r="CH1249" i="64"/>
  <c r="U1277" i="64"/>
  <c r="BH1246" i="64"/>
  <c r="U1326" i="64"/>
  <c r="H1299" i="64"/>
  <c r="H1325" i="64"/>
  <c r="AH1295" i="64"/>
  <c r="BU1238" i="64"/>
  <c r="U1304" i="64"/>
  <c r="AH1323" i="64"/>
  <c r="AU1277" i="64"/>
  <c r="AH1320" i="64"/>
  <c r="BH1252" i="64"/>
  <c r="BH1217" i="64"/>
  <c r="BH1325" i="64"/>
  <c r="AU1298" i="64"/>
  <c r="AH1221" i="64"/>
  <c r="CU1230" i="64"/>
  <c r="BH1249" i="64"/>
  <c r="BH1219" i="64"/>
  <c r="AU1290" i="64"/>
  <c r="BH1290" i="64"/>
  <c r="U1297" i="64"/>
  <c r="AU1208" i="64"/>
  <c r="AU1254" i="64"/>
  <c r="BU1294" i="64"/>
  <c r="AH1289" i="64"/>
  <c r="AU1215" i="64"/>
  <c r="BU1201" i="64"/>
  <c r="BH1205" i="64"/>
  <c r="BH1279" i="64"/>
  <c r="U1280" i="64"/>
  <c r="BH1232" i="64"/>
  <c r="CU1239" i="64"/>
  <c r="BU1311" i="64"/>
  <c r="AH1319" i="64"/>
  <c r="BH1229" i="64"/>
  <c r="BH1315" i="64"/>
  <c r="U1292" i="64"/>
  <c r="CU1253" i="64"/>
  <c r="BH1264" i="64"/>
  <c r="AU1256" i="64"/>
  <c r="AH1338" i="64"/>
  <c r="CH1262" i="64"/>
  <c r="H1333" i="64"/>
  <c r="BU1266" i="64"/>
  <c r="BH1204" i="64"/>
  <c r="AH1339" i="64"/>
  <c r="U1335" i="64"/>
  <c r="AU1261" i="64"/>
  <c r="AH1265" i="64"/>
  <c r="BU1331" i="64"/>
  <c r="AH1305" i="64"/>
  <c r="BU1231" i="64"/>
  <c r="BH1305" i="64"/>
  <c r="H1321" i="64"/>
  <c r="AU1314" i="64"/>
  <c r="BH1314" i="64"/>
  <c r="BH1244" i="64"/>
  <c r="AU1308" i="64"/>
  <c r="BH1308" i="64"/>
  <c r="AU1234" i="64"/>
  <c r="AH1317" i="64"/>
  <c r="H1276" i="64"/>
  <c r="H1297" i="64"/>
  <c r="H1307" i="64"/>
  <c r="AH1282" i="64"/>
  <c r="BH1220" i="64"/>
  <c r="CU1215" i="64"/>
  <c r="BU1279" i="64"/>
  <c r="AH1209" i="64"/>
  <c r="BH1207" i="64"/>
  <c r="AH1313" i="64"/>
  <c r="BU1239" i="64"/>
  <c r="BH1248" i="64"/>
  <c r="U1275" i="64"/>
  <c r="CH1218" i="64"/>
  <c r="AH1327" i="64"/>
  <c r="AH1227" i="64"/>
  <c r="BU1235" i="64"/>
  <c r="AH1324" i="64"/>
  <c r="H1290" i="64"/>
  <c r="BU1297" i="64"/>
  <c r="BH1302" i="64"/>
  <c r="CU1208" i="64"/>
  <c r="BU1328" i="64"/>
  <c r="CH1254" i="64"/>
  <c r="AH1294" i="64"/>
  <c r="H1294" i="64"/>
  <c r="BH1289" i="64"/>
  <c r="CU1205" i="64"/>
  <c r="BU1280" i="64"/>
  <c r="AU1306" i="64"/>
  <c r="CU1232" i="64"/>
  <c r="AU1319" i="64"/>
  <c r="AU1303" i="64"/>
  <c r="CU1218" i="64"/>
  <c r="AH1253" i="64"/>
  <c r="U1301" i="64"/>
  <c r="AU1324" i="64"/>
  <c r="BH1324" i="64"/>
  <c r="AU1250" i="64"/>
  <c r="CU1201" i="64"/>
  <c r="CH1216" i="64"/>
  <c r="BU1223" i="64"/>
  <c r="AH1213" i="64"/>
  <c r="AH1307" i="64"/>
  <c r="AU1233" i="64"/>
  <c r="BH1282" i="64"/>
  <c r="CU1254" i="64"/>
  <c r="BU1289" i="64"/>
  <c r="CH1206" i="64"/>
  <c r="AH1281" i="64"/>
  <c r="U1313" i="64"/>
  <c r="BH1237" i="64"/>
  <c r="H1319" i="64"/>
  <c r="H1303" i="64"/>
  <c r="BU1212" i="64"/>
  <c r="CH1227" i="64"/>
  <c r="AH1219" i="64"/>
  <c r="AU1219" i="64"/>
  <c r="CU1216" i="64"/>
  <c r="BU1302" i="64"/>
  <c r="AU1228" i="64"/>
  <c r="CU1213" i="64"/>
  <c r="BU1282" i="64"/>
  <c r="CH1215" i="64"/>
  <c r="CU1248" i="64"/>
  <c r="AU1279" i="64"/>
  <c r="CU1206" i="64"/>
  <c r="U1306" i="64"/>
  <c r="BU1232" i="64"/>
  <c r="BU1283" i="64"/>
  <c r="BU1209" i="64"/>
  <c r="AU1207" i="64"/>
  <c r="BU1237" i="64"/>
  <c r="CH1237" i="64"/>
  <c r="BH1286" i="64"/>
  <c r="BU1292" i="64"/>
  <c r="BU1327" i="64"/>
  <c r="AU1227" i="64"/>
  <c r="H1309" i="64"/>
  <c r="CB1321" i="64"/>
  <c r="AB1247" i="64"/>
  <c r="DO1247" i="64"/>
  <c r="K233" i="74"/>
  <c r="J245" i="74"/>
  <c r="CN1165" i="64"/>
  <c r="A1165" i="64"/>
  <c r="B1295" i="64"/>
  <c r="CO1295" i="64"/>
  <c r="AB1254" i="64"/>
  <c r="DO1254" i="64"/>
  <c r="CB1328" i="64"/>
  <c r="CO1304" i="64"/>
  <c r="B1304" i="64"/>
  <c r="AF1601" i="79"/>
  <c r="AF2033" i="79" s="1"/>
  <c r="AF1536" i="79"/>
  <c r="AF1854" i="79" s="1"/>
  <c r="AF1562" i="79"/>
  <c r="AF1926" i="79" s="1"/>
  <c r="AF1549" i="79"/>
  <c r="AF1890" i="79" s="1"/>
  <c r="AF1588" i="79"/>
  <c r="AF1497" i="79"/>
  <c r="AF1746" i="79" s="1"/>
  <c r="AF1484" i="79"/>
  <c r="AF1710" i="79" s="1"/>
  <c r="AF1523" i="79"/>
  <c r="AF1818" i="79" s="1"/>
  <c r="AF1575" i="79"/>
  <c r="AF1962" i="79" s="1"/>
  <c r="AF1510" i="79"/>
  <c r="AF1782" i="79" s="1"/>
  <c r="CN1171" i="64"/>
  <c r="A1171" i="64"/>
  <c r="CN1177" i="64"/>
  <c r="A1177" i="64"/>
  <c r="A1166" i="64"/>
  <c r="CN1166" i="64"/>
  <c r="CQ1214" i="64"/>
  <c r="BQ1318" i="64"/>
  <c r="AQ1321" i="64"/>
  <c r="BD1240" i="64"/>
  <c r="BQ1210" i="64"/>
  <c r="BD1284" i="64"/>
  <c r="CQ1240" i="64"/>
  <c r="AQ1214" i="64"/>
  <c r="D1284" i="64"/>
  <c r="Q1305" i="64"/>
  <c r="AQ1284" i="64"/>
  <c r="D1317" i="64"/>
  <c r="D1288" i="64"/>
  <c r="BD1288" i="64"/>
  <c r="CQ1231" i="64"/>
  <c r="BD1214" i="64"/>
  <c r="BQ1305" i="64"/>
  <c r="BQ1314" i="64"/>
  <c r="BD1318" i="64"/>
  <c r="BD1210" i="64"/>
  <c r="D1308" i="64"/>
  <c r="CD1234" i="64"/>
  <c r="AQ1234" i="64"/>
  <c r="CD1243" i="64"/>
  <c r="BQ1276" i="64"/>
  <c r="CD1214" i="64"/>
  <c r="AD1244" i="64"/>
  <c r="AD1214" i="64"/>
  <c r="BQ1214" i="64"/>
  <c r="AD1318" i="64"/>
  <c r="AD1322" i="64"/>
  <c r="BQ1288" i="64"/>
  <c r="AD1288" i="64"/>
  <c r="BQ1231" i="64"/>
  <c r="AD1240" i="64"/>
  <c r="AD1234" i="64"/>
  <c r="AD1231" i="64"/>
  <c r="AQ1231" i="64"/>
  <c r="AD1321" i="64"/>
  <c r="CD1247" i="64"/>
  <c r="BD1321" i="64"/>
  <c r="AQ1240" i="64"/>
  <c r="Q1308" i="64"/>
  <c r="AQ1243" i="64"/>
  <c r="AQ1202" i="64"/>
  <c r="AQ1288" i="64"/>
  <c r="D1318" i="64"/>
  <c r="Q1288" i="64"/>
  <c r="Q1314" i="64"/>
  <c r="BD1247" i="64"/>
  <c r="D1305" i="64"/>
  <c r="Q1318" i="64"/>
  <c r="BD1244" i="64"/>
  <c r="AD1284" i="64"/>
  <c r="CQ1219" i="64"/>
  <c r="AD1264" i="64"/>
  <c r="CQ1242" i="64"/>
  <c r="AQ1310" i="64"/>
  <c r="AD1329" i="64"/>
  <c r="BD1330" i="64"/>
  <c r="AD1262" i="64"/>
  <c r="Q1337" i="64"/>
  <c r="CQ1263" i="64"/>
  <c r="BD1204" i="64"/>
  <c r="BD1335" i="64"/>
  <c r="D1335" i="64"/>
  <c r="AQ1258" i="64"/>
  <c r="AD1261" i="64"/>
  <c r="BQ1331" i="64"/>
  <c r="BQ1287" i="64"/>
  <c r="AD1287" i="64"/>
  <c r="D1307" i="64"/>
  <c r="CD1220" i="64"/>
  <c r="AQ1220" i="64"/>
  <c r="AD1215" i="64"/>
  <c r="BQ1280" i="64"/>
  <c r="CQ1209" i="64"/>
  <c r="BD1281" i="64"/>
  <c r="D1324" i="64"/>
  <c r="CD1250" i="64"/>
  <c r="AQ1250" i="64"/>
  <c r="AD1330" i="64"/>
  <c r="AQ1338" i="64"/>
  <c r="BD1316" i="64"/>
  <c r="Q1341" i="64"/>
  <c r="AQ1329" i="64"/>
  <c r="BD1263" i="64"/>
  <c r="AD1259" i="64"/>
  <c r="AD1333" i="64"/>
  <c r="AD1278" i="64"/>
  <c r="AQ1226" i="64"/>
  <c r="Q1335" i="64"/>
  <c r="BD1300" i="64"/>
  <c r="AQ1285" i="64"/>
  <c r="AQ1290" i="64"/>
  <c r="BQ1216" i="64"/>
  <c r="BQ1228" i="64"/>
  <c r="Q1287" i="64"/>
  <c r="CD1233" i="64"/>
  <c r="BQ1254" i="64"/>
  <c r="CD1254" i="64"/>
  <c r="BD1215" i="64"/>
  <c r="D1279" i="64"/>
  <c r="BD1206" i="64"/>
  <c r="BQ1306" i="64"/>
  <c r="BD1209" i="64"/>
  <c r="Q1281" i="64"/>
  <c r="Q1324" i="64"/>
  <c r="BD1219" i="64"/>
  <c r="AQ1341" i="64"/>
  <c r="AQ1256" i="64"/>
  <c r="AD1260" i="64"/>
  <c r="AD1316" i="64"/>
  <c r="BQ1341" i="64"/>
  <c r="AQ1259" i="64"/>
  <c r="AQ1340" i="64"/>
  <c r="BD1262" i="64"/>
  <c r="BQ1258" i="64"/>
  <c r="BQ1285" i="64"/>
  <c r="AQ1211" i="64"/>
  <c r="BD1339" i="64"/>
  <c r="BQ1265" i="64"/>
  <c r="BD1223" i="64"/>
  <c r="AQ1223" i="64"/>
  <c r="AQ1287" i="64"/>
  <c r="AQ1307" i="64"/>
  <c r="BQ1208" i="64"/>
  <c r="AD1328" i="64"/>
  <c r="BQ1215" i="64"/>
  <c r="BD1205" i="64"/>
  <c r="Q1279" i="64"/>
  <c r="D1280" i="64"/>
  <c r="AQ1232" i="64"/>
  <c r="AQ1283" i="64"/>
  <c r="BQ1207" i="64"/>
  <c r="BD1202" i="64"/>
  <c r="AQ1293" i="64"/>
  <c r="CQ1260" i="64"/>
  <c r="BQ1236" i="64"/>
  <c r="D1341" i="64"/>
  <c r="CQ1256" i="64"/>
  <c r="AQ1264" i="64"/>
  <c r="AD1236" i="64"/>
  <c r="Q1340" i="64"/>
  <c r="BQ1336" i="64"/>
  <c r="AQ1333" i="64"/>
  <c r="AD1332" i="64"/>
  <c r="AQ1261" i="64"/>
  <c r="BD1278" i="64"/>
  <c r="CQ1204" i="64"/>
  <c r="BQ1300" i="64"/>
  <c r="AD1216" i="64"/>
  <c r="AD1223" i="64"/>
  <c r="AQ1228" i="64"/>
  <c r="CD1208" i="64"/>
  <c r="BD1220" i="64"/>
  <c r="CD1205" i="64"/>
  <c r="AD1206" i="64"/>
  <c r="D1306" i="64"/>
  <c r="AD1207" i="64"/>
  <c r="AD1245" i="64"/>
  <c r="D1303" i="64"/>
  <c r="AD1286" i="64"/>
  <c r="AQ1327" i="64"/>
  <c r="AD1309" i="64"/>
  <c r="CQ1202" i="64"/>
  <c r="CD1201" i="64"/>
  <c r="CQ1222" i="64"/>
  <c r="BQ1277" i="64"/>
  <c r="AD1246" i="64"/>
  <c r="AQ1252" i="64"/>
  <c r="BQ1225" i="64"/>
  <c r="AD1298" i="64"/>
  <c r="CD1221" i="64"/>
  <c r="AD1238" i="64"/>
  <c r="AD1230" i="64"/>
  <c r="BD1201" i="64"/>
  <c r="AQ1315" i="64"/>
  <c r="AQ1277" i="64"/>
  <c r="BD1246" i="64"/>
  <c r="BQ1326" i="64"/>
  <c r="Q1299" i="64"/>
  <c r="BQ1325" i="64"/>
  <c r="Q1298" i="64"/>
  <c r="D1295" i="64"/>
  <c r="BQ1312" i="64"/>
  <c r="AQ1323" i="64"/>
  <c r="BD1275" i="64"/>
  <c r="BD1241" i="64"/>
  <c r="AQ1222" i="64"/>
  <c r="AD1203" i="64"/>
  <c r="BD1320" i="64"/>
  <c r="AD1291" i="64"/>
  <c r="AD1225" i="64"/>
  <c r="AD1224" i="64"/>
  <c r="BD1238" i="64"/>
  <c r="D1304" i="64"/>
  <c r="BD1323" i="64"/>
  <c r="AQ1201" i="64"/>
  <c r="AQ1296" i="64"/>
  <c r="CD1203" i="64"/>
  <c r="BQ1246" i="64"/>
  <c r="CD1217" i="64"/>
  <c r="CQ1225" i="64"/>
  <c r="CD1251" i="64"/>
  <c r="AQ1295" i="64"/>
  <c r="AD1312" i="64"/>
  <c r="Q1304" i="64"/>
  <c r="BD1249" i="64"/>
  <c r="AD1250" i="64"/>
  <c r="D1293" i="64"/>
  <c r="CD1219" i="64"/>
  <c r="D1322" i="64"/>
  <c r="AD1255" i="64"/>
  <c r="BD1264" i="64"/>
  <c r="BD1242" i="64"/>
  <c r="CQ1267" i="64"/>
  <c r="CQ1255" i="64"/>
  <c r="AQ1337" i="64"/>
  <c r="Q1333" i="64"/>
  <c r="BQ1266" i="64"/>
  <c r="BD1285" i="64"/>
  <c r="AD1211" i="64"/>
  <c r="BQ1335" i="64"/>
  <c r="BD1332" i="64"/>
  <c r="BQ1257" i="64"/>
  <c r="BD1290" i="64"/>
  <c r="AQ1302" i="64"/>
  <c r="CD1228" i="64"/>
  <c r="D1287" i="64"/>
  <c r="Q1282" i="64"/>
  <c r="BD1328" i="64"/>
  <c r="Q1328" i="64"/>
  <c r="Q1294" i="64"/>
  <c r="BD1289" i="64"/>
  <c r="BD1279" i="64"/>
  <c r="BQ1279" i="64"/>
  <c r="AD1280" i="64"/>
  <c r="AD1283" i="64"/>
  <c r="D1281" i="64"/>
  <c r="BQ1239" i="64"/>
  <c r="AD1237" i="64"/>
  <c r="BQ1245" i="64"/>
  <c r="Q1303" i="64"/>
  <c r="Q1286" i="64"/>
  <c r="AD1292" i="64"/>
  <c r="AQ1218" i="64"/>
  <c r="D1301" i="64"/>
  <c r="AD1239" i="64"/>
  <c r="BD1319" i="64"/>
  <c r="AD1303" i="64"/>
  <c r="BD1248" i="64"/>
  <c r="AD1218" i="64"/>
  <c r="AQ1253" i="64"/>
  <c r="AQ1301" i="64"/>
  <c r="BD1235" i="64"/>
  <c r="AQ1308" i="64"/>
  <c r="CQ1234" i="64"/>
  <c r="AD1243" i="64"/>
  <c r="CD1248" i="64"/>
  <c r="AD1275" i="64"/>
  <c r="AD1296" i="64"/>
  <c r="AQ1320" i="64"/>
  <c r="CD1252" i="64"/>
  <c r="BD1291" i="64"/>
  <c r="CD1225" i="64"/>
  <c r="BQ1298" i="64"/>
  <c r="Q1295" i="64"/>
  <c r="AQ1304" i="64"/>
  <c r="Q1323" i="64"/>
  <c r="Q1275" i="64"/>
  <c r="AD1315" i="64"/>
  <c r="CQ1203" i="64"/>
  <c r="AQ1246" i="64"/>
  <c r="D1291" i="64"/>
  <c r="BD1299" i="64"/>
  <c r="BQ1251" i="64"/>
  <c r="BD1298" i="64"/>
  <c r="CQ1221" i="64"/>
  <c r="BD1230" i="64"/>
  <c r="CD1249" i="64"/>
  <c r="D1275" i="64"/>
  <c r="CQ1241" i="64"/>
  <c r="BD1296" i="64"/>
  <c r="BD1277" i="64"/>
  <c r="D1326" i="64"/>
  <c r="BD1217" i="64"/>
  <c r="CQ1251" i="64"/>
  <c r="CQ1224" i="64"/>
  <c r="D1312" i="64"/>
  <c r="BQ1304" i="64"/>
  <c r="CQ1249" i="64"/>
  <c r="BQ1315" i="64"/>
  <c r="D1296" i="64"/>
  <c r="BQ1203" i="64"/>
  <c r="BD1326" i="64"/>
  <c r="BQ1217" i="64"/>
  <c r="AQ1299" i="64"/>
  <c r="D1325" i="64"/>
  <c r="AD1295" i="64"/>
  <c r="CD1238" i="64"/>
  <c r="BQ1230" i="64"/>
  <c r="AQ1249" i="64"/>
  <c r="AQ1324" i="64"/>
  <c r="CQ1250" i="64"/>
  <c r="Q1293" i="64"/>
  <c r="BD1341" i="64"/>
  <c r="BQ1330" i="64"/>
  <c r="D1334" i="64"/>
  <c r="Q1316" i="64"/>
  <c r="AD1341" i="64"/>
  <c r="D1340" i="64"/>
  <c r="CQ1266" i="64"/>
  <c r="AD1337" i="64"/>
  <c r="CD1261" i="64"/>
  <c r="AQ1257" i="64"/>
  <c r="CQ1211" i="64"/>
  <c r="BQ1226" i="64"/>
  <c r="D1331" i="64"/>
  <c r="BD1287" i="64"/>
  <c r="AD1208" i="64"/>
  <c r="D1328" i="64"/>
  <c r="BD1254" i="64"/>
  <c r="AD1294" i="64"/>
  <c r="BQ1220" i="64"/>
  <c r="Q1289" i="64"/>
  <c r="AD1205" i="64"/>
  <c r="AD1232" i="64"/>
  <c r="CD1232" i="64"/>
  <c r="CD1209" i="64"/>
  <c r="BQ1281" i="64"/>
  <c r="CD1237" i="64"/>
  <c r="CD1227" i="64"/>
  <c r="D1313" i="64"/>
  <c r="BD1313" i="64"/>
  <c r="CQ1237" i="64"/>
  <c r="D1319" i="64"/>
  <c r="AD1229" i="64"/>
  <c r="D1286" i="64"/>
  <c r="CQ1212" i="64"/>
  <c r="AQ1322" i="64"/>
  <c r="BQ1327" i="64"/>
  <c r="BD1253" i="64"/>
  <c r="BD1301" i="64"/>
  <c r="BQ1235" i="64"/>
  <c r="BQ1308" i="64"/>
  <c r="Q1317" i="64"/>
  <c r="BD1276" i="64"/>
  <c r="AD1248" i="64"/>
  <c r="BQ1275" i="64"/>
  <c r="Q1296" i="64"/>
  <c r="CQ1246" i="64"/>
  <c r="BQ1252" i="64"/>
  <c r="AQ1217" i="64"/>
  <c r="BD1325" i="64"/>
  <c r="D1298" i="64"/>
  <c r="AD1221" i="64"/>
  <c r="CQ1230" i="64"/>
  <c r="AD1323" i="64"/>
  <c r="D1315" i="64"/>
  <c r="CD1222" i="64"/>
  <c r="Q1277" i="64"/>
  <c r="AD1252" i="64"/>
  <c r="BQ1291" i="64"/>
  <c r="AQ1225" i="64"/>
  <c r="BD1251" i="64"/>
  <c r="AQ1298" i="64"/>
  <c r="AQ1312" i="64"/>
  <c r="AQ1230" i="64"/>
  <c r="Q1322" i="64"/>
  <c r="CQ1201" i="64"/>
  <c r="CD1241" i="64"/>
  <c r="BD1203" i="64"/>
  <c r="D1320" i="64"/>
  <c r="Q1326" i="64"/>
  <c r="AQ1291" i="64"/>
  <c r="Q1325" i="64"/>
  <c r="BQ1224" i="64"/>
  <c r="Q1312" i="64"/>
  <c r="BD1304" i="64"/>
  <c r="AD1201" i="64"/>
  <c r="AD1241" i="64"/>
  <c r="BQ1296" i="64"/>
  <c r="AD1320" i="64"/>
  <c r="AQ1326" i="64"/>
  <c r="CQ1217" i="64"/>
  <c r="AD1299" i="64"/>
  <c r="CD1224" i="64"/>
  <c r="BQ1295" i="64"/>
  <c r="BQ1238" i="64"/>
  <c r="BQ1323" i="64"/>
  <c r="BQ1324" i="64"/>
  <c r="AQ1334" i="64"/>
  <c r="CD1236" i="64"/>
  <c r="CD1267" i="64"/>
  <c r="BD1256" i="64"/>
  <c r="D1338" i="64"/>
  <c r="D1316" i="64"/>
  <c r="BQ1262" i="64"/>
  <c r="D1336" i="64"/>
  <c r="BD1333" i="64"/>
  <c r="D1300" i="64"/>
  <c r="CQ1261" i="64"/>
  <c r="D1278" i="64"/>
  <c r="BD1211" i="64"/>
  <c r="Q1332" i="64"/>
  <c r="Q1290" i="64"/>
  <c r="AQ1216" i="64"/>
  <c r="AQ1297" i="64"/>
  <c r="BD1297" i="64"/>
  <c r="CQ1228" i="64"/>
  <c r="Q1307" i="64"/>
  <c r="AQ1208" i="64"/>
  <c r="BD1280" i="64"/>
  <c r="AQ1206" i="64"/>
  <c r="AD1281" i="64"/>
  <c r="BD1239" i="64"/>
  <c r="D1311" i="64"/>
  <c r="Q1319" i="64"/>
  <c r="BQ1229" i="64"/>
  <c r="BQ1286" i="64"/>
  <c r="BQ1212" i="64"/>
  <c r="D1292" i="64"/>
  <c r="CQ1253" i="64"/>
  <c r="AQ1227" i="64"/>
  <c r="AQ1309" i="64"/>
  <c r="AD1311" i="64"/>
  <c r="AD1319" i="64"/>
  <c r="BD1303" i="64"/>
  <c r="BQ1218" i="64"/>
  <c r="BQ1309" i="64"/>
  <c r="CQ1243" i="64"/>
  <c r="CD1202" i="64"/>
  <c r="CQ1248" i="64"/>
  <c r="Q1315" i="64"/>
  <c r="AD1277" i="64"/>
  <c r="CD1246" i="64"/>
  <c r="AD1326" i="64"/>
  <c r="BQ1299" i="64"/>
  <c r="AQ1325" i="64"/>
  <c r="BQ1221" i="64"/>
  <c r="CQ1238" i="64"/>
  <c r="CD1230" i="64"/>
  <c r="AQ1275" i="64"/>
  <c r="BD1315" i="64"/>
  <c r="BD1222" i="64"/>
  <c r="D1277" i="64"/>
  <c r="BD1252" i="64"/>
  <c r="Q1291" i="64"/>
  <c r="AD1325" i="64"/>
  <c r="AQ1224" i="64"/>
  <c r="AQ1221" i="64"/>
  <c r="AQ1238" i="64"/>
  <c r="D1323" i="64"/>
  <c r="BD1322" i="64"/>
  <c r="BQ1241" i="64"/>
  <c r="BQ1222" i="64"/>
  <c r="AQ1203" i="64"/>
  <c r="BQ1320" i="64"/>
  <c r="AD1217" i="64"/>
  <c r="D1299" i="64"/>
  <c r="AD1251" i="64"/>
  <c r="BD1221" i="64"/>
  <c r="BD1312" i="64"/>
  <c r="BQ1249" i="64"/>
  <c r="BQ1201" i="64"/>
  <c r="AQ1241" i="64"/>
  <c r="AD1222" i="64"/>
  <c r="Q1320" i="64"/>
  <c r="CQ1252" i="64"/>
  <c r="BD1225" i="64"/>
  <c r="AQ1251" i="64"/>
  <c r="BD1224" i="64"/>
  <c r="BD1295" i="64"/>
  <c r="AD1304" i="64"/>
  <c r="AD1249" i="64"/>
  <c r="AD1293" i="64"/>
  <c r="CD1264" i="64"/>
  <c r="Q1334" i="64"/>
  <c r="BD1310" i="64"/>
  <c r="CD1255" i="64"/>
  <c r="BQ1256" i="64"/>
  <c r="CD1262" i="64"/>
  <c r="AD1263" i="64"/>
  <c r="BD1259" i="64"/>
  <c r="BQ1211" i="64"/>
  <c r="AD1339" i="64"/>
  <c r="AQ1300" i="64"/>
  <c r="CQ1258" i="64"/>
  <c r="AD1265" i="64"/>
  <c r="AQ1335" i="64"/>
  <c r="BQ1223" i="64"/>
  <c r="AD1307" i="64"/>
  <c r="BD1208" i="64"/>
  <c r="D1289" i="64"/>
  <c r="AQ1215" i="64"/>
  <c r="AQ1279" i="64"/>
  <c r="CQ1232" i="64"/>
  <c r="Q1283" i="64"/>
  <c r="AQ1281" i="64"/>
  <c r="CD1212" i="64"/>
  <c r="AD1327" i="64"/>
  <c r="BD1309" i="64"/>
  <c r="BQ1240" i="64"/>
  <c r="CD1240" i="64"/>
  <c r="AQ1244" i="64"/>
  <c r="BD1243" i="64"/>
  <c r="AD1202" i="64"/>
  <c r="CD1260" i="64"/>
  <c r="AD1242" i="64"/>
  <c r="AQ1267" i="64"/>
  <c r="AD1256" i="64"/>
  <c r="BQ1338" i="64"/>
  <c r="AQ1242" i="64"/>
  <c r="Q1336" i="64"/>
  <c r="BQ1337" i="64"/>
  <c r="AD1340" i="64"/>
  <c r="AD1331" i="64"/>
  <c r="AQ1265" i="64"/>
  <c r="AD1285" i="64"/>
  <c r="CD1226" i="64"/>
  <c r="BQ1332" i="64"/>
  <c r="D1290" i="64"/>
  <c r="Q1297" i="64"/>
  <c r="BQ1307" i="64"/>
  <c r="CQ1208" i="64"/>
  <c r="AQ1328" i="64"/>
  <c r="BQ1294" i="64"/>
  <c r="AD1220" i="64"/>
  <c r="AD1289" i="64"/>
  <c r="CQ1215" i="64"/>
  <c r="BQ1206" i="64"/>
  <c r="BQ1232" i="64"/>
  <c r="AD1306" i="64"/>
  <c r="Q1313" i="64"/>
  <c r="Q1311" i="64"/>
  <c r="AQ1303" i="64"/>
  <c r="Q1292" i="64"/>
  <c r="CQ1227" i="64"/>
  <c r="AQ1305" i="64"/>
  <c r="D1314" i="64"/>
  <c r="AQ1318" i="64"/>
  <c r="CD1244" i="64"/>
  <c r="BQ1284" i="64"/>
  <c r="BD1234" i="64"/>
  <c r="AD1247" i="64"/>
  <c r="AQ1247" i="64"/>
  <c r="Q1284" i="64"/>
  <c r="BQ1243" i="64"/>
  <c r="AQ1276" i="64"/>
  <c r="BQ1250" i="64"/>
  <c r="AD1219" i="64"/>
  <c r="D1330" i="64"/>
  <c r="BD1260" i="64"/>
  <c r="BQ1242" i="64"/>
  <c r="AQ1255" i="64"/>
  <c r="CD1256" i="64"/>
  <c r="CQ1262" i="64"/>
  <c r="D1337" i="64"/>
  <c r="BQ1259" i="64"/>
  <c r="AD1226" i="64"/>
  <c r="BQ1204" i="64"/>
  <c r="AQ1332" i="64"/>
  <c r="BD1261" i="64"/>
  <c r="Q1278" i="64"/>
  <c r="Q1339" i="64"/>
  <c r="CQ1223" i="64"/>
  <c r="BD1302" i="64"/>
  <c r="CD1213" i="64"/>
  <c r="AQ1233" i="64"/>
  <c r="BD1233" i="64"/>
  <c r="BD1282" i="64"/>
  <c r="BD1294" i="64"/>
  <c r="AD1279" i="64"/>
  <c r="BQ1283" i="64"/>
  <c r="AQ1319" i="64"/>
  <c r="AQ1229" i="64"/>
  <c r="AQ1286" i="64"/>
  <c r="AD1253" i="64"/>
  <c r="D1309" i="64"/>
  <c r="BD1231" i="64"/>
  <c r="BQ1321" i="64"/>
  <c r="AD1314" i="64"/>
  <c r="AQ1317" i="64"/>
  <c r="AD1276" i="64"/>
  <c r="AD1305" i="64"/>
  <c r="CD1231" i="64"/>
  <c r="BD1305" i="64"/>
  <c r="D1321" i="64"/>
  <c r="AQ1314" i="64"/>
  <c r="BD1314" i="64"/>
  <c r="BQ1244" i="64"/>
  <c r="CD1210" i="64"/>
  <c r="BQ1234" i="64"/>
  <c r="BQ1317" i="64"/>
  <c r="BD1324" i="64"/>
  <c r="BQ1293" i="64"/>
  <c r="D1329" i="64"/>
  <c r="BQ1264" i="64"/>
  <c r="BQ1334" i="64"/>
  <c r="Q1310" i="64"/>
  <c r="BD1267" i="64"/>
  <c r="D1333" i="64"/>
  <c r="CQ1259" i="64"/>
  <c r="BD1340" i="64"/>
  <c r="D1285" i="64"/>
  <c r="AQ1278" i="64"/>
  <c r="AQ1339" i="64"/>
  <c r="BD1331" i="64"/>
  <c r="BD1258" i="64"/>
  <c r="BQ1290" i="64"/>
  <c r="CQ1216" i="64"/>
  <c r="AQ1213" i="64"/>
  <c r="BQ1282" i="64"/>
  <c r="BQ1289" i="64"/>
  <c r="AQ1205" i="64"/>
  <c r="CQ1206" i="64"/>
  <c r="AQ1306" i="64"/>
  <c r="BD1232" i="64"/>
  <c r="BQ1209" i="64"/>
  <c r="AD1313" i="64"/>
  <c r="CD1239" i="64"/>
  <c r="AQ1239" i="64"/>
  <c r="BQ1237" i="64"/>
  <c r="AQ1245" i="64"/>
  <c r="BQ1303" i="64"/>
  <c r="AD1212" i="64"/>
  <c r="CQ1218" i="64"/>
  <c r="CD1253" i="64"/>
  <c r="AD1227" i="64"/>
  <c r="CD1235" i="64"/>
  <c r="AQ1235" i="64"/>
  <c r="CQ1244" i="64"/>
  <c r="AD1210" i="64"/>
  <c r="BD1317" i="64"/>
  <c r="D1276" i="64"/>
  <c r="Q1276" i="64"/>
  <c r="Q1321" i="64"/>
  <c r="AQ1210" i="64"/>
  <c r="BD1308" i="64"/>
  <c r="AD1317" i="64"/>
  <c r="BQ1202" i="64"/>
  <c r="AQ1248" i="64"/>
  <c r="AQ1236" i="64"/>
  <c r="BD1255" i="64"/>
  <c r="BD1338" i="64"/>
  <c r="AQ1260" i="64"/>
  <c r="BQ1310" i="64"/>
  <c r="CD1266" i="64"/>
  <c r="BQ1340" i="64"/>
  <c r="CD1263" i="64"/>
  <c r="CD1265" i="64"/>
  <c r="CQ1257" i="64"/>
  <c r="CQ1226" i="64"/>
  <c r="BD1226" i="64"/>
  <c r="D1339" i="64"/>
  <c r="D1297" i="64"/>
  <c r="Q1302" i="64"/>
  <c r="BD1228" i="64"/>
  <c r="AD1233" i="64"/>
  <c r="AD1282" i="64"/>
  <c r="BQ1328" i="64"/>
  <c r="AQ1254" i="64"/>
  <c r="AD1209" i="64"/>
  <c r="AQ1207" i="64"/>
  <c r="BD1311" i="64"/>
  <c r="BQ1319" i="64"/>
  <c r="BQ1248" i="64"/>
  <c r="BD1218" i="64"/>
  <c r="D1327" i="64"/>
  <c r="Q1301" i="64"/>
  <c r="BQ1247" i="64"/>
  <c r="CQ1247" i="64"/>
  <c r="CQ1210" i="64"/>
  <c r="AD1308" i="64"/>
  <c r="BD1293" i="64"/>
  <c r="AQ1219" i="64"/>
  <c r="BQ1322" i="64"/>
  <c r="CQ1264" i="64"/>
  <c r="CD1242" i="64"/>
  <c r="CQ1236" i="64"/>
  <c r="Q1329" i="64"/>
  <c r="AQ1330" i="64"/>
  <c r="BQ1316" i="64"/>
  <c r="AD1336" i="64"/>
  <c r="BQ1263" i="64"/>
  <c r="BD1266" i="64"/>
  <c r="D1332" i="64"/>
  <c r="CQ1265" i="64"/>
  <c r="BD1257" i="64"/>
  <c r="AD1257" i="64"/>
  <c r="Q1331" i="64"/>
  <c r="AD1290" i="64"/>
  <c r="CD1223" i="64"/>
  <c r="BQ1302" i="64"/>
  <c r="AD1302" i="64"/>
  <c r="CQ1213" i="64"/>
  <c r="CQ1220" i="64"/>
  <c r="CD1215" i="64"/>
  <c r="Q1280" i="64"/>
  <c r="Q1306" i="64"/>
  <c r="D1283" i="64"/>
  <c r="CQ1207" i="64"/>
  <c r="AQ1237" i="64"/>
  <c r="BD1245" i="64"/>
  <c r="BD1229" i="64"/>
  <c r="BD1286" i="64"/>
  <c r="AQ1212" i="64"/>
  <c r="BQ1292" i="64"/>
  <c r="Q1327" i="64"/>
  <c r="BD1227" i="64"/>
  <c r="AD1235" i="64"/>
  <c r="Q1330" i="64"/>
  <c r="BD1334" i="64"/>
  <c r="AQ1316" i="64"/>
  <c r="AD1267" i="64"/>
  <c r="BQ1329" i="64"/>
  <c r="AQ1336" i="64"/>
  <c r="AQ1263" i="64"/>
  <c r="BQ1333" i="64"/>
  <c r="AD1258" i="64"/>
  <c r="CD1211" i="64"/>
  <c r="AQ1331" i="64"/>
  <c r="BD1265" i="64"/>
  <c r="BQ1278" i="64"/>
  <c r="BQ1339" i="64"/>
  <c r="BD1216" i="64"/>
  <c r="AD1228" i="64"/>
  <c r="BQ1233" i="64"/>
  <c r="AD1254" i="64"/>
  <c r="AQ1294" i="64"/>
  <c r="AQ1289" i="64"/>
  <c r="BD1283" i="64"/>
  <c r="BD1207" i="64"/>
  <c r="AQ1313" i="64"/>
  <c r="CQ1239" i="64"/>
  <c r="BQ1311" i="64"/>
  <c r="BD1237" i="64"/>
  <c r="CD1218" i="64"/>
  <c r="BQ1227" i="64"/>
  <c r="Q1309" i="64"/>
  <c r="AD1324" i="64"/>
  <c r="BD1329" i="64"/>
  <c r="AD1338" i="64"/>
  <c r="AD1334" i="64"/>
  <c r="D1310" i="64"/>
  <c r="BQ1267" i="64"/>
  <c r="CD1259" i="64"/>
  <c r="AD1266" i="64"/>
  <c r="AQ1262" i="64"/>
  <c r="CD1257" i="64"/>
  <c r="Q1285" i="64"/>
  <c r="CD1204" i="64"/>
  <c r="AD1335" i="64"/>
  <c r="BQ1261" i="64"/>
  <c r="BQ1297" i="64"/>
  <c r="D1302" i="64"/>
  <c r="BD1213" i="64"/>
  <c r="BQ1213" i="64"/>
  <c r="AQ1282" i="64"/>
  <c r="CQ1254" i="64"/>
  <c r="D1294" i="64"/>
  <c r="CQ1205" i="64"/>
  <c r="AQ1280" i="64"/>
  <c r="BD1306" i="64"/>
  <c r="AQ1209" i="64"/>
  <c r="CD1245" i="64"/>
  <c r="CD1229" i="64"/>
  <c r="BD1212" i="64"/>
  <c r="AQ1292" i="64"/>
  <c r="BQ1253" i="64"/>
  <c r="BQ1301" i="64"/>
  <c r="CQ1235" i="64"/>
  <c r="BD1250" i="64"/>
  <c r="BQ1219" i="64"/>
  <c r="AD1310" i="64"/>
  <c r="BQ1255" i="64"/>
  <c r="Q1338" i="64"/>
  <c r="BQ1260" i="64"/>
  <c r="BD1236" i="64"/>
  <c r="AQ1266" i="64"/>
  <c r="BD1336" i="64"/>
  <c r="BD1337" i="64"/>
  <c r="AD1300" i="64"/>
  <c r="CD1258" i="64"/>
  <c r="AD1204" i="64"/>
  <c r="AQ1204" i="64"/>
  <c r="Q1300" i="64"/>
  <c r="CD1216" i="64"/>
  <c r="AD1297" i="64"/>
  <c r="AD1213" i="64"/>
  <c r="CQ1233" i="64"/>
  <c r="BD1307" i="64"/>
  <c r="D1282" i="64"/>
  <c r="BQ1205" i="64"/>
  <c r="CD1206" i="64"/>
  <c r="CD1207" i="64"/>
  <c r="BQ1313" i="64"/>
  <c r="AQ1311" i="64"/>
  <c r="CQ1245" i="64"/>
  <c r="CQ1229" i="64"/>
  <c r="BD1292" i="64"/>
  <c r="BD1327" i="64"/>
  <c r="AD1301" i="64"/>
  <c r="S1330" i="64"/>
  <c r="BS1266" i="64"/>
  <c r="CF1258" i="64"/>
  <c r="BF1267" i="64"/>
  <c r="BS1336" i="64"/>
  <c r="CS1265" i="64"/>
  <c r="BF1285" i="64"/>
  <c r="BS1331" i="64"/>
  <c r="BF1257" i="64"/>
  <c r="CS1261" i="64"/>
  <c r="AS1332" i="64"/>
  <c r="AS1333" i="64"/>
  <c r="CS1262" i="64"/>
  <c r="CS1266" i="64"/>
  <c r="AF1236" i="64"/>
  <c r="CS1242" i="64"/>
  <c r="BS1264" i="64"/>
  <c r="BF1329" i="64"/>
  <c r="AS1236" i="64"/>
  <c r="CS1260" i="64"/>
  <c r="BF1288" i="64"/>
  <c r="CS1240" i="64"/>
  <c r="BF1284" i="64"/>
  <c r="AF1240" i="64"/>
  <c r="BS1288" i="64"/>
  <c r="AF1329" i="64"/>
  <c r="F1333" i="64"/>
  <c r="AF1261" i="64"/>
  <c r="CF1219" i="64"/>
  <c r="AS1329" i="64"/>
  <c r="AF1256" i="64"/>
  <c r="CF1261" i="64"/>
  <c r="BF1258" i="64"/>
  <c r="AS1288" i="64"/>
  <c r="BS1248" i="64"/>
  <c r="BF1260" i="64"/>
  <c r="S1310" i="64"/>
  <c r="S1329" i="64"/>
  <c r="CF1264" i="64"/>
  <c r="BF1242" i="64"/>
  <c r="BS1242" i="64"/>
  <c r="BF1266" i="64"/>
  <c r="BS1263" i="64"/>
  <c r="CF1266" i="64"/>
  <c r="AS1331" i="64"/>
  <c r="AS1265" i="64"/>
  <c r="AS1258" i="64"/>
  <c r="AS1335" i="64"/>
  <c r="AF1300" i="64"/>
  <c r="S1321" i="64"/>
  <c r="S1314" i="64"/>
  <c r="S1284" i="64"/>
  <c r="F1317" i="64"/>
  <c r="AF1332" i="64"/>
  <c r="AS1334" i="64"/>
  <c r="AF1266" i="64"/>
  <c r="AS1226" i="64"/>
  <c r="CS1256" i="64"/>
  <c r="AS1263" i="64"/>
  <c r="CS1258" i="64"/>
  <c r="BS1265" i="64"/>
  <c r="BS1300" i="64"/>
  <c r="BS1211" i="64"/>
  <c r="AS1257" i="64"/>
  <c r="AS1278" i="64"/>
  <c r="BF1262" i="64"/>
  <c r="AS1340" i="64"/>
  <c r="BS1259" i="64"/>
  <c r="AS1255" i="64"/>
  <c r="BF1236" i="64"/>
  <c r="F1316" i="64"/>
  <c r="AS1256" i="64"/>
  <c r="CS1255" i="64"/>
  <c r="S1322" i="64"/>
  <c r="BS1214" i="64"/>
  <c r="BS1321" i="64"/>
  <c r="BF1210" i="64"/>
  <c r="AF1247" i="64"/>
  <c r="BS1231" i="64"/>
  <c r="F1330" i="64"/>
  <c r="BF1264" i="64"/>
  <c r="CS1211" i="64"/>
  <c r="CF1211" i="64"/>
  <c r="AF1338" i="64"/>
  <c r="S1337" i="64"/>
  <c r="AF1211" i="64"/>
  <c r="BS1338" i="64"/>
  <c r="AF1316" i="64"/>
  <c r="F1341" i="64"/>
  <c r="BS1330" i="64"/>
  <c r="AS1264" i="64"/>
  <c r="F1336" i="64"/>
  <c r="AF1337" i="64"/>
  <c r="AF1333" i="64"/>
  <c r="AS1211" i="64"/>
  <c r="F1331" i="64"/>
  <c r="AF1285" i="64"/>
  <c r="AF1257" i="64"/>
  <c r="BS1204" i="64"/>
  <c r="F1332" i="64"/>
  <c r="BS1305" i="64"/>
  <c r="BF1321" i="64"/>
  <c r="BF1240" i="64"/>
  <c r="BF1314" i="64"/>
  <c r="S1318" i="64"/>
  <c r="BS1244" i="64"/>
  <c r="BS1210" i="64"/>
  <c r="BF1308" i="64"/>
  <c r="AS1234" i="64"/>
  <c r="F1308" i="64"/>
  <c r="BS1243" i="64"/>
  <c r="BS1315" i="64"/>
  <c r="F1277" i="64"/>
  <c r="CF1246" i="64"/>
  <c r="AS1252" i="64"/>
  <c r="BS1217" i="64"/>
  <c r="CF1225" i="64"/>
  <c r="BF1298" i="64"/>
  <c r="F1295" i="64"/>
  <c r="AF1312" i="64"/>
  <c r="F1304" i="64"/>
  <c r="F1323" i="64"/>
  <c r="AF1214" i="64"/>
  <c r="BF1248" i="64"/>
  <c r="AS1310" i="64"/>
  <c r="F1337" i="64"/>
  <c r="BS1332" i="64"/>
  <c r="AF1334" i="64"/>
  <c r="AS1260" i="64"/>
  <c r="AS1266" i="64"/>
  <c r="S1339" i="64"/>
  <c r="BF1226" i="64"/>
  <c r="S1278" i="64"/>
  <c r="BF1331" i="64"/>
  <c r="CS1204" i="64"/>
  <c r="CF1257" i="64"/>
  <c r="AF1340" i="64"/>
  <c r="AF1259" i="64"/>
  <c r="AS1337" i="64"/>
  <c r="S1338" i="64"/>
  <c r="BS1329" i="64"/>
  <c r="AF1310" i="64"/>
  <c r="F1334" i="64"/>
  <c r="CF1256" i="64"/>
  <c r="CF1214" i="64"/>
  <c r="S1288" i="64"/>
  <c r="AS1210" i="64"/>
  <c r="AF1318" i="64"/>
  <c r="BF1214" i="64"/>
  <c r="BF1334" i="64"/>
  <c r="AF1262" i="64"/>
  <c r="F1339" i="64"/>
  <c r="BF1335" i="64"/>
  <c r="CF1242" i="64"/>
  <c r="CF1259" i="64"/>
  <c r="BF1339" i="64"/>
  <c r="F1288" i="64"/>
  <c r="AS1214" i="64"/>
  <c r="BF1255" i="64"/>
  <c r="CF1260" i="64"/>
  <c r="CF1236" i="64"/>
  <c r="AF1267" i="64"/>
  <c r="AF1330" i="64"/>
  <c r="CF1263" i="64"/>
  <c r="S1333" i="64"/>
  <c r="BS1262" i="64"/>
  <c r="BS1258" i="64"/>
  <c r="BF1211" i="64"/>
  <c r="AF1335" i="64"/>
  <c r="BS1278" i="64"/>
  <c r="BS1257" i="64"/>
  <c r="BF1305" i="64"/>
  <c r="BF1247" i="64"/>
  <c r="AS1321" i="64"/>
  <c r="AS1240" i="64"/>
  <c r="BF1318" i="64"/>
  <c r="BS1234" i="64"/>
  <c r="BF1243" i="64"/>
  <c r="AS1276" i="64"/>
  <c r="AS1202" i="64"/>
  <c r="BF1222" i="64"/>
  <c r="AS1277" i="64"/>
  <c r="S1320" i="64"/>
  <c r="AF1291" i="64"/>
  <c r="AF1299" i="64"/>
  <c r="CS1251" i="64"/>
  <c r="AS1298" i="64"/>
  <c r="AF1295" i="64"/>
  <c r="S1312" i="64"/>
  <c r="S1304" i="64"/>
  <c r="AS1296" i="64"/>
  <c r="BF1203" i="64"/>
  <c r="BS1246" i="64"/>
  <c r="AF1217" i="64"/>
  <c r="AF1225" i="64"/>
  <c r="BF1325" i="64"/>
  <c r="AF1298" i="64"/>
  <c r="AS1238" i="64"/>
  <c r="AF1304" i="64"/>
  <c r="CS1249" i="64"/>
  <c r="CS1241" i="64"/>
  <c r="CF1222" i="64"/>
  <c r="CS1246" i="64"/>
  <c r="BF1326" i="64"/>
  <c r="BF1225" i="64"/>
  <c r="AF1251" i="64"/>
  <c r="AS1221" i="64"/>
  <c r="CF1267" i="64"/>
  <c r="BS1267" i="64"/>
  <c r="BS1285" i="64"/>
  <c r="AF1258" i="64"/>
  <c r="BS1236" i="64"/>
  <c r="S1316" i="64"/>
  <c r="S1335" i="64"/>
  <c r="F1335" i="64"/>
  <c r="BF1265" i="64"/>
  <c r="F1278" i="64"/>
  <c r="AS1339" i="64"/>
  <c r="CF1204" i="64"/>
  <c r="BS1333" i="64"/>
  <c r="BF1336" i="64"/>
  <c r="S1336" i="64"/>
  <c r="BS1260" i="64"/>
  <c r="BF1330" i="64"/>
  <c r="AF1341" i="64"/>
  <c r="BS1316" i="64"/>
  <c r="AF1264" i="64"/>
  <c r="AS1231" i="64"/>
  <c r="BS1314" i="64"/>
  <c r="BS1284" i="64"/>
  <c r="BS1318" i="64"/>
  <c r="AF1288" i="64"/>
  <c r="CS1236" i="64"/>
  <c r="BF1337" i="64"/>
  <c r="BF1300" i="64"/>
  <c r="CS1214" i="64"/>
  <c r="AS1341" i="64"/>
  <c r="AF1336" i="64"/>
  <c r="AS1285" i="64"/>
  <c r="S1341" i="64"/>
  <c r="BS1256" i="64"/>
  <c r="S1334" i="64"/>
  <c r="F1310" i="64"/>
  <c r="BF1341" i="64"/>
  <c r="AS1259" i="64"/>
  <c r="S1340" i="64"/>
  <c r="BF1263" i="64"/>
  <c r="S1285" i="64"/>
  <c r="CS1257" i="64"/>
  <c r="AF1204" i="64"/>
  <c r="S1332" i="64"/>
  <c r="AF1226" i="64"/>
  <c r="AF1305" i="64"/>
  <c r="S1276" i="64"/>
  <c r="AS1275" i="64"/>
  <c r="AF1203" i="64"/>
  <c r="BS1291" i="64"/>
  <c r="S1325" i="64"/>
  <c r="BF1238" i="64"/>
  <c r="AF1249" i="64"/>
  <c r="BS1203" i="64"/>
  <c r="AS1326" i="64"/>
  <c r="CF1217" i="64"/>
  <c r="BS1251" i="64"/>
  <c r="AS1295" i="64"/>
  <c r="BS1238" i="64"/>
  <c r="BF1249" i="64"/>
  <c r="AS1315" i="64"/>
  <c r="BS1277" i="64"/>
  <c r="AF1252" i="64"/>
  <c r="F1299" i="64"/>
  <c r="CS1224" i="64"/>
  <c r="BF1304" i="64"/>
  <c r="BS1323" i="64"/>
  <c r="AS1222" i="64"/>
  <c r="S1277" i="64"/>
  <c r="BS1320" i="64"/>
  <c r="AS1217" i="64"/>
  <c r="AS1299" i="64"/>
  <c r="BF1251" i="64"/>
  <c r="BF1221" i="64"/>
  <c r="F1312" i="64"/>
  <c r="S1323" i="64"/>
  <c r="BF1250" i="64"/>
  <c r="F1293" i="64"/>
  <c r="BS1290" i="64"/>
  <c r="CS1223" i="64"/>
  <c r="CF1213" i="64"/>
  <c r="AS1233" i="64"/>
  <c r="BS1233" i="64"/>
  <c r="CS1208" i="64"/>
  <c r="BF1208" i="64"/>
  <c r="BS1328" i="64"/>
  <c r="AF1201" i="64"/>
  <c r="S1306" i="64"/>
  <c r="S1283" i="64"/>
  <c r="BS1275" i="64"/>
  <c r="CS1203" i="64"/>
  <c r="BF1291" i="64"/>
  <c r="S1298" i="64"/>
  <c r="CS1238" i="64"/>
  <c r="BF1323" i="64"/>
  <c r="AS1203" i="64"/>
  <c r="BS1252" i="64"/>
  <c r="BS1225" i="64"/>
  <c r="CF1224" i="64"/>
  <c r="CS1221" i="64"/>
  <c r="CS1230" i="64"/>
  <c r="AS1323" i="64"/>
  <c r="BF1296" i="64"/>
  <c r="AF1246" i="64"/>
  <c r="BF1217" i="64"/>
  <c r="AS1325" i="64"/>
  <c r="AF1221" i="64"/>
  <c r="AS1230" i="64"/>
  <c r="AS1249" i="64"/>
  <c r="S1296" i="64"/>
  <c r="BF1246" i="64"/>
  <c r="F1326" i="64"/>
  <c r="AS1291" i="64"/>
  <c r="F1325" i="64"/>
  <c r="BS1298" i="64"/>
  <c r="CF1221" i="64"/>
  <c r="BS1312" i="64"/>
  <c r="S1324" i="64"/>
  <c r="BS1223" i="64"/>
  <c r="BF1297" i="64"/>
  <c r="BF1228" i="64"/>
  <c r="F1287" i="64"/>
  <c r="AS1307" i="64"/>
  <c r="BS1307" i="64"/>
  <c r="S1282" i="64"/>
  <c r="BF1254" i="64"/>
  <c r="BF1215" i="64"/>
  <c r="BF1232" i="64"/>
  <c r="BF1306" i="64"/>
  <c r="S1281" i="64"/>
  <c r="F1296" i="64"/>
  <c r="AF1326" i="64"/>
  <c r="S1299" i="64"/>
  <c r="F1298" i="64"/>
  <c r="BF1230" i="64"/>
  <c r="AF1296" i="64"/>
  <c r="BF1320" i="64"/>
  <c r="S1326" i="64"/>
  <c r="AS1225" i="64"/>
  <c r="BS1224" i="64"/>
  <c r="BS1295" i="64"/>
  <c r="BS1230" i="64"/>
  <c r="AF1315" i="64"/>
  <c r="CS1222" i="64"/>
  <c r="F1320" i="64"/>
  <c r="CS1217" i="64"/>
  <c r="AF1325" i="64"/>
  <c r="S1295" i="64"/>
  <c r="CF1230" i="64"/>
  <c r="CF1249" i="64"/>
  <c r="BF1277" i="64"/>
  <c r="AS1246" i="64"/>
  <c r="BF1252" i="64"/>
  <c r="BS1299" i="64"/>
  <c r="CF1251" i="64"/>
  <c r="AS1224" i="64"/>
  <c r="AF1238" i="64"/>
  <c r="AF1230" i="64"/>
  <c r="BS1250" i="64"/>
  <c r="AS1219" i="64"/>
  <c r="AF1293" i="64"/>
  <c r="AS1248" i="64"/>
  <c r="AS1228" i="64"/>
  <c r="AF1302" i="64"/>
  <c r="AS1254" i="64"/>
  <c r="BF1294" i="64"/>
  <c r="BS1294" i="64"/>
  <c r="F1294" i="64"/>
  <c r="CS1215" i="64"/>
  <c r="BS1279" i="64"/>
  <c r="AF1279" i="64"/>
  <c r="AF1280" i="64"/>
  <c r="AS1232" i="64"/>
  <c r="AS1207" i="64"/>
  <c r="AF1207" i="64"/>
  <c r="BS1202" i="64"/>
  <c r="BS1222" i="64"/>
  <c r="BS1326" i="64"/>
  <c r="CS1225" i="64"/>
  <c r="BS1221" i="64"/>
  <c r="AS1304" i="64"/>
  <c r="CF1203" i="64"/>
  <c r="AS1320" i="64"/>
  <c r="S1291" i="64"/>
  <c r="AS1251" i="64"/>
  <c r="AF1224" i="64"/>
  <c r="CF1238" i="64"/>
  <c r="AF1323" i="64"/>
  <c r="AF1241" i="64"/>
  <c r="BS1296" i="64"/>
  <c r="CF1252" i="64"/>
  <c r="F1291" i="64"/>
  <c r="BF1224" i="64"/>
  <c r="BF1312" i="64"/>
  <c r="BS1249" i="64"/>
  <c r="AF1222" i="64"/>
  <c r="AF1277" i="64"/>
  <c r="AF1320" i="64"/>
  <c r="CS1252" i="64"/>
  <c r="BF1299" i="64"/>
  <c r="BS1325" i="64"/>
  <c r="BF1295" i="64"/>
  <c r="AS1312" i="64"/>
  <c r="BS1304" i="64"/>
  <c r="BS1293" i="64"/>
  <c r="S1315" i="64"/>
  <c r="S1290" i="64"/>
  <c r="AS1213" i="64"/>
  <c r="AF1213" i="64"/>
  <c r="BS1208" i="64"/>
  <c r="F1328" i="64"/>
  <c r="BS1289" i="64"/>
  <c r="F1322" i="64"/>
  <c r="AF1206" i="64"/>
  <c r="CS1206" i="64"/>
  <c r="F1283" i="64"/>
  <c r="CF1207" i="64"/>
  <c r="S1313" i="64"/>
  <c r="AS1237" i="64"/>
  <c r="AS1311" i="64"/>
  <c r="AS1292" i="64"/>
  <c r="AS1218" i="64"/>
  <c r="CF1253" i="64"/>
  <c r="BF1309" i="64"/>
  <c r="AS1235" i="64"/>
  <c r="BF1234" i="64"/>
  <c r="CS1202" i="64"/>
  <c r="AF1250" i="64"/>
  <c r="BF1275" i="64"/>
  <c r="S1297" i="64"/>
  <c r="AF1228" i="64"/>
  <c r="AF1287" i="64"/>
  <c r="AF1254" i="64"/>
  <c r="AF1215" i="64"/>
  <c r="F1279" i="64"/>
  <c r="CS1237" i="64"/>
  <c r="F1311" i="64"/>
  <c r="CF1245" i="64"/>
  <c r="F1286" i="64"/>
  <c r="CS1253" i="64"/>
  <c r="F1327" i="64"/>
  <c r="AS1301" i="64"/>
  <c r="BS1309" i="64"/>
  <c r="AS1330" i="64"/>
  <c r="AF1260" i="64"/>
  <c r="BS1310" i="64"/>
  <c r="BS1255" i="64"/>
  <c r="BF1338" i="64"/>
  <c r="AF1263" i="64"/>
  <c r="BS1337" i="64"/>
  <c r="BS1340" i="64"/>
  <c r="BS1226" i="64"/>
  <c r="AS1204" i="64"/>
  <c r="BF1332" i="64"/>
  <c r="BF1313" i="64"/>
  <c r="S1311" i="64"/>
  <c r="BF1303" i="64"/>
  <c r="AF1248" i="64"/>
  <c r="BF1241" i="64"/>
  <c r="BS1292" i="64"/>
  <c r="F1301" i="64"/>
  <c r="CF1235" i="64"/>
  <c r="CS1234" i="64"/>
  <c r="AS1317" i="64"/>
  <c r="BS1276" i="64"/>
  <c r="BS1324" i="64"/>
  <c r="AS1293" i="64"/>
  <c r="F1275" i="64"/>
  <c r="BF1315" i="64"/>
  <c r="F1297" i="64"/>
  <c r="CS1228" i="64"/>
  <c r="F1302" i="64"/>
  <c r="S1287" i="64"/>
  <c r="BF1282" i="64"/>
  <c r="CS1254" i="64"/>
  <c r="BS1205" i="64"/>
  <c r="BS1306" i="64"/>
  <c r="AS1209" i="64"/>
  <c r="BF1209" i="64"/>
  <c r="BS1281" i="64"/>
  <c r="AF1239" i="64"/>
  <c r="BS1311" i="64"/>
  <c r="BF1229" i="64"/>
  <c r="S1286" i="64"/>
  <c r="BF1292" i="64"/>
  <c r="S1327" i="64"/>
  <c r="BS1227" i="64"/>
  <c r="CS1235" i="64"/>
  <c r="CF1255" i="64"/>
  <c r="AS1338" i="64"/>
  <c r="AS1242" i="64"/>
  <c r="BF1310" i="64"/>
  <c r="F1329" i="64"/>
  <c r="BF1259" i="64"/>
  <c r="CS1259" i="64"/>
  <c r="AS1336" i="64"/>
  <c r="CF1265" i="64"/>
  <c r="BF1239" i="64"/>
  <c r="AS1313" i="64"/>
  <c r="AF1303" i="64"/>
  <c r="F1303" i="64"/>
  <c r="BF1286" i="64"/>
  <c r="AF1286" i="64"/>
  <c r="BS1218" i="64"/>
  <c r="BS1253" i="64"/>
  <c r="AS1308" i="64"/>
  <c r="S1317" i="64"/>
  <c r="BF1276" i="64"/>
  <c r="AS1324" i="64"/>
  <c r="BF1290" i="64"/>
  <c r="BF1223" i="64"/>
  <c r="CS1233" i="64"/>
  <c r="BF1233" i="64"/>
  <c r="AF1307" i="64"/>
  <c r="AF1282" i="64"/>
  <c r="AF1208" i="64"/>
  <c r="AS1220" i="64"/>
  <c r="BF1220" i="64"/>
  <c r="BS1215" i="64"/>
  <c r="BF1289" i="64"/>
  <c r="AS1201" i="64"/>
  <c r="S1280" i="64"/>
  <c r="BF1280" i="64"/>
  <c r="AF1232" i="64"/>
  <c r="CS1207" i="64"/>
  <c r="F1281" i="64"/>
  <c r="BS1245" i="64"/>
  <c r="CF1229" i="64"/>
  <c r="BF1227" i="64"/>
  <c r="CS1267" i="64"/>
  <c r="AF1255" i="64"/>
  <c r="F1338" i="64"/>
  <c r="BF1316" i="64"/>
  <c r="AS1267" i="64"/>
  <c r="BF1340" i="64"/>
  <c r="CF1262" i="64"/>
  <c r="CS1263" i="64"/>
  <c r="AS1300" i="64"/>
  <c r="AS1261" i="64"/>
  <c r="BS1237" i="64"/>
  <c r="AF1245" i="64"/>
  <c r="AS1286" i="64"/>
  <c r="BS1286" i="64"/>
  <c r="AS1253" i="64"/>
  <c r="AS1327" i="64"/>
  <c r="S1309" i="64"/>
  <c r="AF1243" i="64"/>
  <c r="CS1219" i="64"/>
  <c r="BF1219" i="64"/>
  <c r="CF1216" i="64"/>
  <c r="BF1216" i="64"/>
  <c r="CF1228" i="64"/>
  <c r="CS1213" i="64"/>
  <c r="BF1287" i="64"/>
  <c r="F1307" i="64"/>
  <c r="BS1282" i="64"/>
  <c r="AS1205" i="64"/>
  <c r="CF1206" i="64"/>
  <c r="CS1232" i="64"/>
  <c r="BS1283" i="64"/>
  <c r="AF1281" i="64"/>
  <c r="BS1313" i="64"/>
  <c r="BF1311" i="64"/>
  <c r="AS1245" i="64"/>
  <c r="AS1319" i="64"/>
  <c r="AS1241" i="64"/>
  <c r="CS1218" i="64"/>
  <c r="BF1327" i="64"/>
  <c r="AF1309" i="64"/>
  <c r="CS1248" i="64"/>
  <c r="CS1264" i="64"/>
  <c r="AS1316" i="64"/>
  <c r="BS1341" i="64"/>
  <c r="BF1256" i="64"/>
  <c r="BS1334" i="64"/>
  <c r="AF1242" i="64"/>
  <c r="AS1262" i="64"/>
  <c r="BF1333" i="64"/>
  <c r="F1340" i="64"/>
  <c r="BS1335" i="64"/>
  <c r="BF1278" i="64"/>
  <c r="BF1261" i="64"/>
  <c r="BS1339" i="64"/>
  <c r="F1300" i="64"/>
  <c r="CS1226" i="64"/>
  <c r="F1285" i="64"/>
  <c r="CS1231" i="64"/>
  <c r="AS1243" i="64"/>
  <c r="BF1202" i="64"/>
  <c r="BF1293" i="64"/>
  <c r="AF1219" i="64"/>
  <c r="F1315" i="64"/>
  <c r="AS1302" i="64"/>
  <c r="AS1287" i="64"/>
  <c r="BF1307" i="64"/>
  <c r="AF1233" i="64"/>
  <c r="AS1282" i="64"/>
  <c r="CF1254" i="64"/>
  <c r="AS1328" i="64"/>
  <c r="AS1322" i="64"/>
  <c r="AS1239" i="64"/>
  <c r="CS1245" i="64"/>
  <c r="F1319" i="64"/>
  <c r="S1303" i="64"/>
  <c r="BF1322" i="64"/>
  <c r="BF1218" i="64"/>
  <c r="BF1253" i="64"/>
  <c r="AF1227" i="64"/>
  <c r="F1309" i="64"/>
  <c r="AF1331" i="64"/>
  <c r="AF1231" i="64"/>
  <c r="AS1305" i="64"/>
  <c r="CS1247" i="64"/>
  <c r="CF1240" i="64"/>
  <c r="AF1244" i="64"/>
  <c r="AS1284" i="64"/>
  <c r="AF1284" i="64"/>
  <c r="BS1308" i="64"/>
  <c r="CF1202" i="64"/>
  <c r="AF1265" i="64"/>
  <c r="BS1261" i="64"/>
  <c r="BS1247" i="64"/>
  <c r="AS1314" i="64"/>
  <c r="CF1244" i="64"/>
  <c r="F1284" i="64"/>
  <c r="CF1243" i="64"/>
  <c r="AF1276" i="64"/>
  <c r="CF1250" i="64"/>
  <c r="AS1250" i="64"/>
  <c r="AF1324" i="64"/>
  <c r="BS1297" i="64"/>
  <c r="S1302" i="64"/>
  <c r="BS1254" i="64"/>
  <c r="BS1220" i="64"/>
  <c r="S1289" i="64"/>
  <c r="AS1279" i="64"/>
  <c r="AS1306" i="64"/>
  <c r="BF1237" i="64"/>
  <c r="S1319" i="64"/>
  <c r="CF1218" i="64"/>
  <c r="AF1292" i="64"/>
  <c r="AF1327" i="64"/>
  <c r="AS1227" i="64"/>
  <c r="CF1247" i="64"/>
  <c r="BS1240" i="64"/>
  <c r="CS1244" i="64"/>
  <c r="CF1210" i="64"/>
  <c r="CS1243" i="64"/>
  <c r="CF1226" i="64"/>
  <c r="S1300" i="64"/>
  <c r="AF1278" i="64"/>
  <c r="BF1231" i="64"/>
  <c r="F1305" i="64"/>
  <c r="AF1321" i="64"/>
  <c r="AF1314" i="64"/>
  <c r="BF1244" i="64"/>
  <c r="AF1210" i="64"/>
  <c r="AF1234" i="64"/>
  <c r="BS1317" i="64"/>
  <c r="AS1216" i="64"/>
  <c r="AS1297" i="64"/>
  <c r="BF1302" i="64"/>
  <c r="BS1287" i="64"/>
  <c r="CS1220" i="64"/>
  <c r="AF1220" i="64"/>
  <c r="AF1275" i="64"/>
  <c r="BS1280" i="64"/>
  <c r="F1280" i="64"/>
  <c r="AF1306" i="64"/>
  <c r="AS1281" i="64"/>
  <c r="BF1281" i="64"/>
  <c r="BS1239" i="64"/>
  <c r="AF1311" i="64"/>
  <c r="AS1212" i="64"/>
  <c r="CF1241" i="64"/>
  <c r="BS1327" i="64"/>
  <c r="CF1227" i="64"/>
  <c r="BF1235" i="64"/>
  <c r="S1305" i="64"/>
  <c r="AF1317" i="64"/>
  <c r="BF1204" i="64"/>
  <c r="S1331" i="64"/>
  <c r="AF1339" i="64"/>
  <c r="AS1247" i="64"/>
  <c r="AS1244" i="64"/>
  <c r="F1318" i="64"/>
  <c r="CS1210" i="64"/>
  <c r="S1308" i="64"/>
  <c r="BF1317" i="64"/>
  <c r="F1276" i="64"/>
  <c r="F1290" i="64"/>
  <c r="AF1216" i="64"/>
  <c r="AF1223" i="64"/>
  <c r="F1282" i="64"/>
  <c r="BF1328" i="64"/>
  <c r="AS1289" i="64"/>
  <c r="CF1205" i="64"/>
  <c r="CS1205" i="64"/>
  <c r="BF1205" i="64"/>
  <c r="AS1280" i="64"/>
  <c r="CF1209" i="64"/>
  <c r="CS1209" i="64"/>
  <c r="AF1209" i="64"/>
  <c r="AF1313" i="64"/>
  <c r="BF1319" i="64"/>
  <c r="AS1229" i="64"/>
  <c r="AF1229" i="64"/>
  <c r="BF1212" i="64"/>
  <c r="S1301" i="64"/>
  <c r="CF1248" i="64"/>
  <c r="CF1231" i="64"/>
  <c r="F1321" i="64"/>
  <c r="F1314" i="64"/>
  <c r="AS1318" i="64"/>
  <c r="CF1234" i="64"/>
  <c r="AF1308" i="64"/>
  <c r="AF1202" i="64"/>
  <c r="S1293" i="64"/>
  <c r="CS1216" i="64"/>
  <c r="S1328" i="64"/>
  <c r="AF1289" i="64"/>
  <c r="BS1232" i="64"/>
  <c r="CF1239" i="64"/>
  <c r="BF1245" i="64"/>
  <c r="BS1229" i="64"/>
  <c r="CS1212" i="64"/>
  <c r="BS1212" i="64"/>
  <c r="BS1322" i="64"/>
  <c r="AF1218" i="64"/>
  <c r="CS1227" i="64"/>
  <c r="AS1309" i="64"/>
  <c r="AS1290" i="64"/>
  <c r="AF1290" i="64"/>
  <c r="AF1297" i="64"/>
  <c r="BF1213" i="64"/>
  <c r="AS1208" i="64"/>
  <c r="AF1283" i="64"/>
  <c r="AS1283" i="64"/>
  <c r="BF1283" i="64"/>
  <c r="BS1207" i="64"/>
  <c r="F1313" i="64"/>
  <c r="AF1319" i="64"/>
  <c r="CS1229" i="64"/>
  <c r="AS1303" i="64"/>
  <c r="CF1212" i="64"/>
  <c r="AF1212" i="64"/>
  <c r="BF1201" i="64"/>
  <c r="BS1241" i="64"/>
  <c r="S1292" i="64"/>
  <c r="F1292" i="64"/>
  <c r="AF1253" i="64"/>
  <c r="AF1301" i="64"/>
  <c r="BS1235" i="64"/>
  <c r="BF1324" i="64"/>
  <c r="CS1250" i="64"/>
  <c r="F1324" i="64"/>
  <c r="CS1201" i="64"/>
  <c r="AS1223" i="64"/>
  <c r="BS1302" i="64"/>
  <c r="BS1228" i="64"/>
  <c r="CF1233" i="64"/>
  <c r="S1307" i="64"/>
  <c r="CF1208" i="64"/>
  <c r="AS1294" i="64"/>
  <c r="AS1215" i="64"/>
  <c r="F1289" i="64"/>
  <c r="BS1201" i="64"/>
  <c r="BS1206" i="64"/>
  <c r="F1306" i="64"/>
  <c r="BS1209" i="64"/>
  <c r="BF1207" i="64"/>
  <c r="AF1237" i="64"/>
  <c r="BS1319" i="64"/>
  <c r="BS1303" i="64"/>
  <c r="AF1322" i="64"/>
  <c r="CF1201" i="64"/>
  <c r="BS1301" i="64"/>
  <c r="AF1235" i="64"/>
  <c r="BS1219" i="64"/>
  <c r="S1275" i="64"/>
  <c r="BS1216" i="64"/>
  <c r="CF1223" i="64"/>
  <c r="BS1213" i="64"/>
  <c r="AF1328" i="64"/>
  <c r="CF1220" i="64"/>
  <c r="S1294" i="64"/>
  <c r="AF1294" i="64"/>
  <c r="CF1215" i="64"/>
  <c r="BF1279" i="64"/>
  <c r="S1279" i="64"/>
  <c r="AF1205" i="64"/>
  <c r="BF1206" i="64"/>
  <c r="AS1206" i="64"/>
  <c r="CF1232" i="64"/>
  <c r="CS1239" i="64"/>
  <c r="CF1237" i="64"/>
  <c r="BF1301" i="64"/>
  <c r="CB1313" i="64"/>
  <c r="AB1239" i="64"/>
  <c r="DO1239" i="64"/>
  <c r="CB1327" i="64"/>
  <c r="AB1253" i="64"/>
  <c r="DO1253" i="64"/>
  <c r="AB1248" i="64"/>
  <c r="DO1248" i="64"/>
  <c r="CB1322" i="64"/>
  <c r="K1523" i="79"/>
  <c r="K1818" i="79" s="1"/>
  <c r="K1588" i="79"/>
  <c r="K1997" i="79" s="1"/>
  <c r="K1471" i="79"/>
  <c r="K1674" i="79" s="1"/>
  <c r="K1497" i="79"/>
  <c r="K1746" i="79" s="1"/>
  <c r="K1575" i="79"/>
  <c r="K1962" i="79" s="1"/>
  <c r="K1549" i="79"/>
  <c r="K1890" i="79" s="1"/>
  <c r="K1484" i="79"/>
  <c r="K1710" i="79" s="1"/>
  <c r="K1510" i="79"/>
  <c r="K1782" i="79" s="1"/>
  <c r="K1562" i="79"/>
  <c r="K1926" i="79" s="1"/>
  <c r="K1536" i="79"/>
  <c r="K1854" i="79" s="1"/>
  <c r="K1601" i="79"/>
  <c r="K2033" i="79" s="1"/>
  <c r="CN1170" i="64"/>
  <c r="A1170" i="64"/>
  <c r="AB1245" i="64"/>
  <c r="DO1245" i="64"/>
  <c r="CB1319" i="64"/>
  <c r="CN1173" i="64"/>
  <c r="A1173" i="64"/>
  <c r="DO1252" i="64"/>
  <c r="CB1326" i="64"/>
  <c r="AB1252" i="64"/>
  <c r="I1484" i="79"/>
  <c r="I1710" i="79" s="1"/>
  <c r="I1601" i="79"/>
  <c r="I2033" i="79" s="1"/>
  <c r="I1510" i="79"/>
  <c r="I1782" i="79" s="1"/>
  <c r="I1549" i="79"/>
  <c r="I1890" i="79" s="1"/>
  <c r="I1471" i="79"/>
  <c r="I1674" i="79" s="1"/>
  <c r="I1588" i="79"/>
  <c r="I1997" i="79" s="1"/>
  <c r="I1523" i="79"/>
  <c r="I1818" i="79" s="1"/>
  <c r="I1562" i="79"/>
  <c r="I1926" i="79" s="1"/>
  <c r="I1536" i="79"/>
  <c r="I1854" i="79" s="1"/>
  <c r="I1575" i="79"/>
  <c r="I1962" i="79" s="1"/>
  <c r="I1497" i="79"/>
  <c r="I1746" i="79" s="1"/>
  <c r="AB1250" i="64"/>
  <c r="DO1250" i="64"/>
  <c r="CB1324" i="64"/>
  <c r="AH1523" i="79"/>
  <c r="AH1818" i="79" s="1"/>
  <c r="AH1536" i="79"/>
  <c r="AH1854" i="79" s="1"/>
  <c r="AH1588" i="79"/>
  <c r="AH1562" i="79"/>
  <c r="AH1926" i="79" s="1"/>
  <c r="AH1497" i="79"/>
  <c r="AH1746" i="79" s="1"/>
  <c r="AH1549" i="79"/>
  <c r="AH1890" i="79" s="1"/>
  <c r="AH1510" i="79"/>
  <c r="AH1782" i="79" s="1"/>
  <c r="AH1484" i="79"/>
  <c r="AH1710" i="79" s="1"/>
  <c r="AH1575" i="79"/>
  <c r="AH1962" i="79" s="1"/>
  <c r="AH1601" i="79"/>
  <c r="AH2033" i="79" s="1"/>
  <c r="CB1309" i="64"/>
  <c r="AB1235" i="64"/>
  <c r="DO1235" i="64"/>
  <c r="BG1288" i="64"/>
  <c r="G1321" i="64"/>
  <c r="T1314" i="64"/>
  <c r="AT1214" i="64"/>
  <c r="AG1231" i="64"/>
  <c r="AT1240" i="64"/>
  <c r="CG1244" i="64"/>
  <c r="CG1210" i="64"/>
  <c r="AG1321" i="64"/>
  <c r="T1288" i="64"/>
  <c r="BT1214" i="64"/>
  <c r="CT1214" i="64"/>
  <c r="BT1288" i="64"/>
  <c r="T1305" i="64"/>
  <c r="AG1288" i="64"/>
  <c r="T1318" i="64"/>
  <c r="AT1243" i="64"/>
  <c r="BG1202" i="64"/>
  <c r="CT1240" i="64"/>
  <c r="BG1214" i="64"/>
  <c r="BT1276" i="64"/>
  <c r="BT1247" i="64"/>
  <c r="BT1248" i="64"/>
  <c r="CG1240" i="64"/>
  <c r="CT1231" i="64"/>
  <c r="BT1321" i="64"/>
  <c r="BG1240" i="64"/>
  <c r="AG1240" i="64"/>
  <c r="AG1318" i="64"/>
  <c r="BG1210" i="64"/>
  <c r="BG1317" i="64"/>
  <c r="G1276" i="64"/>
  <c r="AT1288" i="64"/>
  <c r="BG1314" i="64"/>
  <c r="CG1214" i="64"/>
  <c r="AT1247" i="64"/>
  <c r="CG1231" i="64"/>
  <c r="AT1305" i="64"/>
  <c r="BG1247" i="64"/>
  <c r="BG1321" i="64"/>
  <c r="AT1318" i="64"/>
  <c r="G1284" i="64"/>
  <c r="BT1210" i="64"/>
  <c r="BT1308" i="64"/>
  <c r="AG1243" i="64"/>
  <c r="AT1276" i="64"/>
  <c r="AT1264" i="64"/>
  <c r="CT1242" i="64"/>
  <c r="AG1267" i="64"/>
  <c r="T1330" i="64"/>
  <c r="T1338" i="64"/>
  <c r="G1336" i="64"/>
  <c r="CG1259" i="64"/>
  <c r="AG1266" i="64"/>
  <c r="BG1204" i="64"/>
  <c r="BG1332" i="64"/>
  <c r="AG1258" i="64"/>
  <c r="CT1257" i="64"/>
  <c r="BG1211" i="64"/>
  <c r="BT1331" i="64"/>
  <c r="T1287" i="64"/>
  <c r="CT1254" i="64"/>
  <c r="BT1215" i="64"/>
  <c r="CG1206" i="64"/>
  <c r="G1283" i="64"/>
  <c r="BT1256" i="64"/>
  <c r="AT1334" i="64"/>
  <c r="BG1316" i="64"/>
  <c r="T1341" i="64"/>
  <c r="T1329" i="64"/>
  <c r="AG1337" i="64"/>
  <c r="AT1266" i="64"/>
  <c r="AT1336" i="64"/>
  <c r="AG1285" i="64"/>
  <c r="BG1335" i="64"/>
  <c r="T1332" i="64"/>
  <c r="AT1265" i="64"/>
  <c r="G1285" i="64"/>
  <c r="AT1216" i="64"/>
  <c r="AT1223" i="64"/>
  <c r="AT1228" i="64"/>
  <c r="BG1213" i="64"/>
  <c r="T1282" i="64"/>
  <c r="BT1279" i="64"/>
  <c r="AT1306" i="64"/>
  <c r="G1281" i="64"/>
  <c r="CT1202" i="64"/>
  <c r="AT1219" i="64"/>
  <c r="BG1267" i="64"/>
  <c r="AT1256" i="64"/>
  <c r="BG1334" i="64"/>
  <c r="AG1310" i="64"/>
  <c r="AT1341" i="64"/>
  <c r="AG1259" i="64"/>
  <c r="CT1262" i="64"/>
  <c r="BG1263" i="64"/>
  <c r="BT1261" i="64"/>
  <c r="BT1204" i="64"/>
  <c r="BT1335" i="64"/>
  <c r="AG1332" i="64"/>
  <c r="AT1258" i="64"/>
  <c r="BG1290" i="64"/>
  <c r="G1297" i="64"/>
  <c r="AG1223" i="64"/>
  <c r="CG1213" i="64"/>
  <c r="T1307" i="64"/>
  <c r="CT1208" i="64"/>
  <c r="BT1294" i="64"/>
  <c r="AT1220" i="64"/>
  <c r="CT1215" i="64"/>
  <c r="BG1215" i="64"/>
  <c r="BG1232" i="64"/>
  <c r="T1306" i="64"/>
  <c r="BG1283" i="64"/>
  <c r="BT1324" i="64"/>
  <c r="G1293" i="64"/>
  <c r="BG1219" i="64"/>
  <c r="T1322" i="64"/>
  <c r="CT1260" i="64"/>
  <c r="G1310" i="64"/>
  <c r="G1329" i="64"/>
  <c r="AG1264" i="64"/>
  <c r="AT1260" i="64"/>
  <c r="T1310" i="64"/>
  <c r="CT1263" i="64"/>
  <c r="AT1333" i="64"/>
  <c r="G1333" i="64"/>
  <c r="AG1265" i="64"/>
  <c r="CG1257" i="64"/>
  <c r="CT1211" i="64"/>
  <c r="G1335" i="64"/>
  <c r="BG1278" i="64"/>
  <c r="BT1290" i="64"/>
  <c r="CG1223" i="64"/>
  <c r="AG1228" i="64"/>
  <c r="G1307" i="64"/>
  <c r="AT1307" i="64"/>
  <c r="CT1233" i="64"/>
  <c r="AG1208" i="64"/>
  <c r="AG1279" i="64"/>
  <c r="BG1205" i="64"/>
  <c r="BT1206" i="64"/>
  <c r="BT1283" i="64"/>
  <c r="T1311" i="64"/>
  <c r="BT1319" i="64"/>
  <c r="AG1229" i="64"/>
  <c r="BG1286" i="64"/>
  <c r="AG1292" i="64"/>
  <c r="AG1327" i="64"/>
  <c r="BT1227" i="64"/>
  <c r="BG1318" i="64"/>
  <c r="AG1284" i="64"/>
  <c r="T1317" i="64"/>
  <c r="CG1243" i="64"/>
  <c r="BT1202" i="64"/>
  <c r="AG1219" i="64"/>
  <c r="BT1329" i="64"/>
  <c r="AG1338" i="64"/>
  <c r="BT1242" i="64"/>
  <c r="CG1267" i="64"/>
  <c r="AG1329" i="64"/>
  <c r="BT1263" i="64"/>
  <c r="BG1262" i="64"/>
  <c r="BG1336" i="64"/>
  <c r="BG1226" i="64"/>
  <c r="AG1339" i="64"/>
  <c r="BT1332" i="64"/>
  <c r="CT1265" i="64"/>
  <c r="AT1226" i="64"/>
  <c r="CT1216" i="64"/>
  <c r="CT1228" i="64"/>
  <c r="BT1233" i="64"/>
  <c r="BT1307" i="64"/>
  <c r="AG1282" i="64"/>
  <c r="CG1215" i="64"/>
  <c r="AT1206" i="64"/>
  <c r="CG1232" i="64"/>
  <c r="CG1207" i="64"/>
  <c r="AT1239" i="64"/>
  <c r="BT1311" i="64"/>
  <c r="AT1237" i="64"/>
  <c r="AT1245" i="64"/>
  <c r="BG1303" i="64"/>
  <c r="T1327" i="64"/>
  <c r="BG1235" i="64"/>
  <c r="G1311" i="64"/>
  <c r="G1319" i="64"/>
  <c r="AT1292" i="64"/>
  <c r="BG1253" i="64"/>
  <c r="G1301" i="64"/>
  <c r="BT1309" i="64"/>
  <c r="AG1309" i="64"/>
  <c r="AT1210" i="64"/>
  <c r="AG1210" i="64"/>
  <c r="BT1219" i="64"/>
  <c r="BT1267" i="64"/>
  <c r="BG1256" i="64"/>
  <c r="BT1334" i="64"/>
  <c r="BT1236" i="64"/>
  <c r="BT1341" i="64"/>
  <c r="BT1340" i="64"/>
  <c r="T1337" i="64"/>
  <c r="BG1337" i="64"/>
  <c r="BT1265" i="64"/>
  <c r="CG1211" i="64"/>
  <c r="AT1339" i="64"/>
  <c r="BG1331" i="64"/>
  <c r="CT1258" i="64"/>
  <c r="AT1290" i="64"/>
  <c r="CT1223" i="64"/>
  <c r="BG1228" i="64"/>
  <c r="AG1213" i="64"/>
  <c r="BT1213" i="64"/>
  <c r="BG1307" i="64"/>
  <c r="AT1282" i="64"/>
  <c r="BG1254" i="64"/>
  <c r="BT1254" i="64"/>
  <c r="AG1220" i="64"/>
  <c r="AT1289" i="64"/>
  <c r="AG1215" i="64"/>
  <c r="AG1205" i="64"/>
  <c r="BT1205" i="64"/>
  <c r="BG1206" i="64"/>
  <c r="AT1232" i="64"/>
  <c r="BG1209" i="64"/>
  <c r="AT1207" i="64"/>
  <c r="G1313" i="64"/>
  <c r="AT1212" i="64"/>
  <c r="CG1218" i="64"/>
  <c r="G1327" i="64"/>
  <c r="AT1227" i="64"/>
  <c r="BT1235" i="64"/>
  <c r="BT1313" i="64"/>
  <c r="AT1311" i="64"/>
  <c r="AG1245" i="64"/>
  <c r="BT1303" i="64"/>
  <c r="T1286" i="64"/>
  <c r="AG1286" i="64"/>
  <c r="BG1327" i="64"/>
  <c r="BT1318" i="64"/>
  <c r="AT1284" i="64"/>
  <c r="BG1234" i="64"/>
  <c r="BT1234" i="64"/>
  <c r="CG1234" i="64"/>
  <c r="CT1243" i="64"/>
  <c r="BG1276" i="64"/>
  <c r="BG1250" i="64"/>
  <c r="BT1250" i="64"/>
  <c r="CG1250" i="64"/>
  <c r="BG1260" i="64"/>
  <c r="BG1242" i="64"/>
  <c r="AT1329" i="64"/>
  <c r="CG1256" i="64"/>
  <c r="AG1260" i="64"/>
  <c r="AG1236" i="64"/>
  <c r="AG1263" i="64"/>
  <c r="BT1333" i="64"/>
  <c r="G1340" i="64"/>
  <c r="T1278" i="64"/>
  <c r="BT1258" i="64"/>
  <c r="BG1285" i="64"/>
  <c r="AG1226" i="64"/>
  <c r="AT1300" i="64"/>
  <c r="G1290" i="64"/>
  <c r="BG1223" i="64"/>
  <c r="G1302" i="64"/>
  <c r="CG1254" i="64"/>
  <c r="BG1280" i="64"/>
  <c r="BT1209" i="64"/>
  <c r="BG1207" i="64"/>
  <c r="AT1313" i="64"/>
  <c r="BT1237" i="64"/>
  <c r="BG1319" i="64"/>
  <c r="AT1229" i="64"/>
  <c r="CT1218" i="64"/>
  <c r="AT1327" i="64"/>
  <c r="BG1301" i="64"/>
  <c r="G1309" i="64"/>
  <c r="G1288" i="64"/>
  <c r="AG1214" i="64"/>
  <c r="AG1239" i="64"/>
  <c r="BG1313" i="64"/>
  <c r="G1303" i="64"/>
  <c r="AT1286" i="64"/>
  <c r="AT1218" i="64"/>
  <c r="CG1253" i="64"/>
  <c r="BG1227" i="64"/>
  <c r="AT1309" i="64"/>
  <c r="BT1244" i="64"/>
  <c r="AT1234" i="64"/>
  <c r="AG1202" i="64"/>
  <c r="AT1250" i="64"/>
  <c r="CT1219" i="64"/>
  <c r="BG1338" i="64"/>
  <c r="CG1260" i="64"/>
  <c r="AT1236" i="64"/>
  <c r="CT1255" i="64"/>
  <c r="AG1330" i="64"/>
  <c r="BT1336" i="64"/>
  <c r="BG1266" i="64"/>
  <c r="AG1340" i="64"/>
  <c r="BT1211" i="64"/>
  <c r="G1300" i="64"/>
  <c r="AG1278" i="64"/>
  <c r="CG1258" i="64"/>
  <c r="AG1211" i="64"/>
  <c r="AT1335" i="64"/>
  <c r="BT1223" i="64"/>
  <c r="BG1297" i="64"/>
  <c r="AT1213" i="64"/>
  <c r="BT1282" i="64"/>
  <c r="T1328" i="64"/>
  <c r="BT1220" i="64"/>
  <c r="T1289" i="64"/>
  <c r="T1280" i="64"/>
  <c r="BG1306" i="64"/>
  <c r="BT1306" i="64"/>
  <c r="BT1207" i="64"/>
  <c r="BG1212" i="64"/>
  <c r="AG1227" i="64"/>
  <c r="G1314" i="64"/>
  <c r="AG1244" i="64"/>
  <c r="BG1308" i="64"/>
  <c r="AG1234" i="64"/>
  <c r="AG1308" i="64"/>
  <c r="BT1317" i="64"/>
  <c r="AG1317" i="64"/>
  <c r="T1276" i="64"/>
  <c r="CT1250" i="64"/>
  <c r="T1293" i="64"/>
  <c r="BG1248" i="64"/>
  <c r="G1334" i="64"/>
  <c r="BT1316" i="64"/>
  <c r="AT1267" i="64"/>
  <c r="CT1256" i="64"/>
  <c r="AT1338" i="64"/>
  <c r="T1316" i="64"/>
  <c r="CT1259" i="64"/>
  <c r="AG1333" i="64"/>
  <c r="T1340" i="64"/>
  <c r="BT1278" i="64"/>
  <c r="CG1261" i="64"/>
  <c r="CG1226" i="64"/>
  <c r="AT1204" i="64"/>
  <c r="AT1332" i="64"/>
  <c r="BG1216" i="64"/>
  <c r="AG1290" i="64"/>
  <c r="AT1297" i="64"/>
  <c r="CG1228" i="64"/>
  <c r="CT1213" i="64"/>
  <c r="CG1208" i="64"/>
  <c r="AG1328" i="64"/>
  <c r="AG1254" i="64"/>
  <c r="BT1289" i="64"/>
  <c r="AT1205" i="64"/>
  <c r="CT1206" i="64"/>
  <c r="CT1232" i="64"/>
  <c r="AG1283" i="64"/>
  <c r="CG1209" i="64"/>
  <c r="T1281" i="64"/>
  <c r="AG1237" i="64"/>
  <c r="CG1245" i="64"/>
  <c r="CT1229" i="64"/>
  <c r="CT1212" i="64"/>
  <c r="CT1248" i="64"/>
  <c r="T1292" i="64"/>
  <c r="BG1218" i="64"/>
  <c r="AG1235" i="64"/>
  <c r="G1305" i="64"/>
  <c r="CG1247" i="64"/>
  <c r="CT1244" i="64"/>
  <c r="BT1243" i="64"/>
  <c r="CT1247" i="64"/>
  <c r="CT1210" i="64"/>
  <c r="CT1234" i="64"/>
  <c r="AG1276" i="64"/>
  <c r="AG1293" i="64"/>
  <c r="BT1338" i="64"/>
  <c r="T1334" i="64"/>
  <c r="BG1236" i="64"/>
  <c r="BG1255" i="64"/>
  <c r="G1330" i="64"/>
  <c r="AT1263" i="64"/>
  <c r="BT1266" i="64"/>
  <c r="CT1266" i="64"/>
  <c r="AG1204" i="64"/>
  <c r="AG1331" i="64"/>
  <c r="T1300" i="64"/>
  <c r="AT1261" i="64"/>
  <c r="T1285" i="64"/>
  <c r="T1339" i="64"/>
  <c r="T1302" i="64"/>
  <c r="BG1328" i="64"/>
  <c r="CG1220" i="64"/>
  <c r="BG1220" i="64"/>
  <c r="AG1289" i="64"/>
  <c r="AT1279" i="64"/>
  <c r="BG1279" i="64"/>
  <c r="AG1206" i="64"/>
  <c r="BT1232" i="64"/>
  <c r="CT1207" i="64"/>
  <c r="CT1245" i="64"/>
  <c r="BG1229" i="64"/>
  <c r="BT1327" i="64"/>
  <c r="AT1253" i="64"/>
  <c r="T1301" i="64"/>
  <c r="CG1227" i="64"/>
  <c r="AG1305" i="64"/>
  <c r="BT1231" i="64"/>
  <c r="AT1321" i="64"/>
  <c r="BG1244" i="64"/>
  <c r="BG1284" i="64"/>
  <c r="G1308" i="64"/>
  <c r="T1308" i="64"/>
  <c r="G1317" i="64"/>
  <c r="BT1305" i="64"/>
  <c r="BT1314" i="64"/>
  <c r="AT1244" i="64"/>
  <c r="T1284" i="64"/>
  <c r="AT1317" i="64"/>
  <c r="AT1293" i="64"/>
  <c r="CG1219" i="64"/>
  <c r="AG1255" i="64"/>
  <c r="CT1264" i="64"/>
  <c r="AG1316" i="64"/>
  <c r="CG1236" i="64"/>
  <c r="BT1255" i="64"/>
  <c r="AT1259" i="64"/>
  <c r="AG1262" i="64"/>
  <c r="T1336" i="64"/>
  <c r="BT1257" i="64"/>
  <c r="G1331" i="64"/>
  <c r="AT1331" i="64"/>
  <c r="AT1278" i="64"/>
  <c r="CT1226" i="64"/>
  <c r="T1297" i="64"/>
  <c r="AG1302" i="64"/>
  <c r="AG1287" i="64"/>
  <c r="BG1287" i="64"/>
  <c r="AG1233" i="64"/>
  <c r="BT1328" i="64"/>
  <c r="CT1220" i="64"/>
  <c r="BG1289" i="64"/>
  <c r="CG1205" i="64"/>
  <c r="AT1209" i="64"/>
  <c r="AG1207" i="64"/>
  <c r="CT1239" i="64"/>
  <c r="CT1237" i="64"/>
  <c r="BG1245" i="64"/>
  <c r="AG1212" i="64"/>
  <c r="AT1235" i="64"/>
  <c r="AT1314" i="64"/>
  <c r="BT1240" i="64"/>
  <c r="G1318" i="64"/>
  <c r="BT1284" i="64"/>
  <c r="AT1308" i="64"/>
  <c r="CG1202" i="64"/>
  <c r="BG1231" i="64"/>
  <c r="BG1305" i="64"/>
  <c r="AG1247" i="64"/>
  <c r="AG1314" i="64"/>
  <c r="BG1324" i="64"/>
  <c r="AG1250" i="64"/>
  <c r="AG1324" i="64"/>
  <c r="G1341" i="64"/>
  <c r="AG1256" i="64"/>
  <c r="BT1260" i="64"/>
  <c r="G1316" i="64"/>
  <c r="AG1341" i="64"/>
  <c r="BT1262" i="64"/>
  <c r="AT1337" i="64"/>
  <c r="BG1259" i="64"/>
  <c r="AG1257" i="64"/>
  <c r="AT1285" i="64"/>
  <c r="CG1204" i="64"/>
  <c r="AG1335" i="64"/>
  <c r="BG1261" i="64"/>
  <c r="CG1216" i="64"/>
  <c r="AG1297" i="64"/>
  <c r="AT1302" i="64"/>
  <c r="BT1208" i="64"/>
  <c r="G1294" i="64"/>
  <c r="BT1280" i="64"/>
  <c r="AG1306" i="64"/>
  <c r="AG1209" i="64"/>
  <c r="BG1281" i="64"/>
  <c r="BG1239" i="64"/>
  <c r="CG1229" i="64"/>
  <c r="BG1292" i="64"/>
  <c r="BT1253" i="64"/>
  <c r="CT1227" i="64"/>
  <c r="BG1309" i="64"/>
  <c r="AT1231" i="64"/>
  <c r="T1321" i="64"/>
  <c r="BG1243" i="64"/>
  <c r="AT1202" i="64"/>
  <c r="AT1248" i="64"/>
  <c r="AT1201" i="64"/>
  <c r="BT1296" i="64"/>
  <c r="AG1203" i="64"/>
  <c r="BT1320" i="64"/>
  <c r="T1291" i="64"/>
  <c r="G1325" i="64"/>
  <c r="AT1224" i="64"/>
  <c r="G1312" i="64"/>
  <c r="BT1323" i="64"/>
  <c r="BT1275" i="64"/>
  <c r="BT1241" i="64"/>
  <c r="G1277" i="64"/>
  <c r="BG1320" i="64"/>
  <c r="T1326" i="64"/>
  <c r="CT1217" i="64"/>
  <c r="AG1325" i="64"/>
  <c r="AT1298" i="64"/>
  <c r="BT1312" i="64"/>
  <c r="T1304" i="64"/>
  <c r="T1323" i="64"/>
  <c r="AG1248" i="64"/>
  <c r="BG1275" i="64"/>
  <c r="CT1222" i="64"/>
  <c r="BG1277" i="64"/>
  <c r="BG1246" i="64"/>
  <c r="CG1252" i="64"/>
  <c r="T1299" i="64"/>
  <c r="CG1251" i="64"/>
  <c r="BG1224" i="64"/>
  <c r="CT1221" i="64"/>
  <c r="CG1238" i="64"/>
  <c r="CG1230" i="64"/>
  <c r="AT1249" i="64"/>
  <c r="AG1275" i="64"/>
  <c r="AG1315" i="64"/>
  <c r="CT1203" i="64"/>
  <c r="AT1326" i="64"/>
  <c r="BT1217" i="64"/>
  <c r="CG1225" i="64"/>
  <c r="AT1251" i="64"/>
  <c r="BG1221" i="64"/>
  <c r="CT1238" i="64"/>
  <c r="G1324" i="64"/>
  <c r="T1324" i="64"/>
  <c r="CG1264" i="64"/>
  <c r="CG1242" i="64"/>
  <c r="BG1341" i="64"/>
  <c r="BG1330" i="64"/>
  <c r="BG1264" i="64"/>
  <c r="AT1242" i="64"/>
  <c r="T1333" i="64"/>
  <c r="BG1340" i="64"/>
  <c r="AT1340" i="64"/>
  <c r="BG1300" i="64"/>
  <c r="CG1265" i="64"/>
  <c r="AT1257" i="64"/>
  <c r="CT1204" i="64"/>
  <c r="T1331" i="64"/>
  <c r="BT1297" i="64"/>
  <c r="AT1287" i="64"/>
  <c r="BT1287" i="64"/>
  <c r="AG1307" i="64"/>
  <c r="CG1233" i="64"/>
  <c r="AT1233" i="64"/>
  <c r="BG1208" i="64"/>
  <c r="G1328" i="64"/>
  <c r="AT1254" i="64"/>
  <c r="AT1294" i="64"/>
  <c r="CT1205" i="64"/>
  <c r="G1306" i="64"/>
  <c r="CT1209" i="64"/>
  <c r="BG1237" i="64"/>
  <c r="G1286" i="64"/>
  <c r="BT1212" i="64"/>
  <c r="BT1292" i="64"/>
  <c r="AG1218" i="64"/>
  <c r="AG1253" i="64"/>
  <c r="BT1301" i="64"/>
  <c r="AG1301" i="64"/>
  <c r="CG1248" i="64"/>
  <c r="BT1315" i="64"/>
  <c r="G1296" i="64"/>
  <c r="AT1203" i="64"/>
  <c r="G1320" i="64"/>
  <c r="G1291" i="64"/>
  <c r="BT1251" i="64"/>
  <c r="G1295" i="64"/>
  <c r="AT1312" i="64"/>
  <c r="BG1323" i="64"/>
  <c r="T1315" i="64"/>
  <c r="T1296" i="64"/>
  <c r="BG1203" i="64"/>
  <c r="AT1320" i="64"/>
  <c r="BG1326" i="64"/>
  <c r="BT1299" i="64"/>
  <c r="BT1325" i="64"/>
  <c r="AG1298" i="64"/>
  <c r="BG1312" i="64"/>
  <c r="BG1304" i="64"/>
  <c r="CT1249" i="64"/>
  <c r="G1322" i="64"/>
  <c r="BG1241" i="64"/>
  <c r="CG1222" i="64"/>
  <c r="CT1246" i="64"/>
  <c r="BT1252" i="64"/>
  <c r="BG1291" i="64"/>
  <c r="AG1225" i="64"/>
  <c r="T1325" i="64"/>
  <c r="G1298" i="64"/>
  <c r="CG1221" i="64"/>
  <c r="BT1238" i="64"/>
  <c r="AG1230" i="64"/>
  <c r="CG1249" i="64"/>
  <c r="AG1201" i="64"/>
  <c r="AT1222" i="64"/>
  <c r="AT1277" i="64"/>
  <c r="BG1252" i="64"/>
  <c r="AT1291" i="64"/>
  <c r="BT1225" i="64"/>
  <c r="T1298" i="64"/>
  <c r="AT1221" i="64"/>
  <c r="AT1230" i="64"/>
  <c r="AT1324" i="64"/>
  <c r="BG1293" i="64"/>
  <c r="AT1322" i="64"/>
  <c r="AT1330" i="64"/>
  <c r="AG1334" i="64"/>
  <c r="AT1310" i="64"/>
  <c r="CT1267" i="64"/>
  <c r="BT1330" i="64"/>
  <c r="G1337" i="64"/>
  <c r="CG1266" i="64"/>
  <c r="AG1336" i="64"/>
  <c r="G1278" i="64"/>
  <c r="G1332" i="64"/>
  <c r="BT1300" i="64"/>
  <c r="CT1261" i="64"/>
  <c r="BT1285" i="64"/>
  <c r="BT1339" i="64"/>
  <c r="BG1302" i="64"/>
  <c r="BG1282" i="64"/>
  <c r="G1289" i="64"/>
  <c r="G1279" i="64"/>
  <c r="G1280" i="64"/>
  <c r="AG1232" i="64"/>
  <c r="T1283" i="64"/>
  <c r="BT1281" i="64"/>
  <c r="T1313" i="64"/>
  <c r="BG1311" i="64"/>
  <c r="T1319" i="64"/>
  <c r="T1303" i="64"/>
  <c r="CG1212" i="64"/>
  <c r="BT1218" i="64"/>
  <c r="CT1235" i="64"/>
  <c r="BT1322" i="64"/>
  <c r="BT1201" i="64"/>
  <c r="CT1241" i="64"/>
  <c r="BT1222" i="64"/>
  <c r="CG1203" i="64"/>
  <c r="G1326" i="64"/>
  <c r="AG1291" i="64"/>
  <c r="BG1251" i="64"/>
  <c r="BT1295" i="64"/>
  <c r="BT1304" i="64"/>
  <c r="BT1249" i="64"/>
  <c r="AT1241" i="64"/>
  <c r="BG1296" i="64"/>
  <c r="BT1203" i="64"/>
  <c r="AG1320" i="64"/>
  <c r="CG1217" i="64"/>
  <c r="AT1225" i="64"/>
  <c r="AT1325" i="64"/>
  <c r="AG1295" i="64"/>
  <c r="AG1238" i="64"/>
  <c r="AT1304" i="64"/>
  <c r="AT1323" i="64"/>
  <c r="AT1275" i="64"/>
  <c r="CG1241" i="64"/>
  <c r="AG1222" i="64"/>
  <c r="CG1246" i="64"/>
  <c r="AG1326" i="64"/>
  <c r="BG1217" i="64"/>
  <c r="AT1299" i="64"/>
  <c r="CT1251" i="64"/>
  <c r="CG1224" i="64"/>
  <c r="BG1295" i="64"/>
  <c r="BG1238" i="64"/>
  <c r="BG1230" i="64"/>
  <c r="AG1323" i="64"/>
  <c r="CT1201" i="64"/>
  <c r="AT1296" i="64"/>
  <c r="AT1246" i="64"/>
  <c r="AT1252" i="64"/>
  <c r="BG1225" i="64"/>
  <c r="AG1251" i="64"/>
  <c r="AG1224" i="64"/>
  <c r="AG1221" i="64"/>
  <c r="BT1230" i="64"/>
  <c r="BG1329" i="64"/>
  <c r="BT1264" i="64"/>
  <c r="AT1316" i="64"/>
  <c r="CT1236" i="64"/>
  <c r="CG1255" i="64"/>
  <c r="BG1333" i="64"/>
  <c r="CG1262" i="64"/>
  <c r="BT1337" i="64"/>
  <c r="BG1258" i="64"/>
  <c r="G1339" i="64"/>
  <c r="T1335" i="64"/>
  <c r="AG1300" i="64"/>
  <c r="BG1257" i="64"/>
  <c r="AG1216" i="64"/>
  <c r="T1290" i="64"/>
  <c r="BT1302" i="64"/>
  <c r="G1287" i="64"/>
  <c r="G1282" i="64"/>
  <c r="BG1294" i="64"/>
  <c r="AG1294" i="64"/>
  <c r="AT1215" i="64"/>
  <c r="T1279" i="64"/>
  <c r="AG1280" i="64"/>
  <c r="AT1283" i="64"/>
  <c r="AG1281" i="64"/>
  <c r="AG1313" i="64"/>
  <c r="BT1239" i="64"/>
  <c r="CG1239" i="64"/>
  <c r="CG1237" i="64"/>
  <c r="AG1319" i="64"/>
  <c r="AG1303" i="64"/>
  <c r="BT1286" i="64"/>
  <c r="AG1322" i="64"/>
  <c r="CT1253" i="64"/>
  <c r="AT1301" i="64"/>
  <c r="BG1322" i="64"/>
  <c r="BG1201" i="64"/>
  <c r="AG1241" i="64"/>
  <c r="AG1296" i="64"/>
  <c r="AG1277" i="64"/>
  <c r="BT1326" i="64"/>
  <c r="CT1225" i="64"/>
  <c r="BT1224" i="64"/>
  <c r="AT1238" i="64"/>
  <c r="G1304" i="64"/>
  <c r="G1275" i="64"/>
  <c r="AT1315" i="64"/>
  <c r="BG1222" i="64"/>
  <c r="T1320" i="64"/>
  <c r="AG1252" i="64"/>
  <c r="AG1217" i="64"/>
  <c r="G1299" i="64"/>
  <c r="BG1298" i="64"/>
  <c r="T1295" i="64"/>
  <c r="AG1312" i="64"/>
  <c r="AG1304" i="64"/>
  <c r="G1323" i="64"/>
  <c r="T1275" i="64"/>
  <c r="G1315" i="64"/>
  <c r="BT1277" i="64"/>
  <c r="AG1246" i="64"/>
  <c r="CT1252" i="64"/>
  <c r="AT1217" i="64"/>
  <c r="AG1299" i="64"/>
  <c r="BT1298" i="64"/>
  <c r="AT1295" i="64"/>
  <c r="T1312" i="64"/>
  <c r="CT1230" i="64"/>
  <c r="BG1249" i="64"/>
  <c r="CG1201" i="64"/>
  <c r="BG1315" i="64"/>
  <c r="T1277" i="64"/>
  <c r="BT1246" i="64"/>
  <c r="BT1291" i="64"/>
  <c r="BG1299" i="64"/>
  <c r="BG1325" i="64"/>
  <c r="CT1224" i="64"/>
  <c r="BT1221" i="64"/>
  <c r="AG1249" i="64"/>
  <c r="BT1293" i="64"/>
  <c r="BT1310" i="64"/>
  <c r="AT1255" i="64"/>
  <c r="G1338" i="64"/>
  <c r="AG1242" i="64"/>
  <c r="BG1310" i="64"/>
  <c r="AT1262" i="64"/>
  <c r="CG1263" i="64"/>
  <c r="BT1259" i="64"/>
  <c r="AG1261" i="64"/>
  <c r="BT1226" i="64"/>
  <c r="AT1211" i="64"/>
  <c r="BG1339" i="64"/>
  <c r="BG1265" i="64"/>
  <c r="BT1216" i="64"/>
  <c r="BT1228" i="64"/>
  <c r="BG1233" i="64"/>
  <c r="AT1208" i="64"/>
  <c r="AT1328" i="64"/>
  <c r="T1294" i="64"/>
  <c r="AT1280" i="64"/>
  <c r="AT1281" i="64"/>
  <c r="AG1311" i="64"/>
  <c r="BT1245" i="64"/>
  <c r="AT1319" i="64"/>
  <c r="BT1229" i="64"/>
  <c r="AT1303" i="64"/>
  <c r="G1292" i="64"/>
  <c r="T1309" i="64"/>
  <c r="CG1235" i="64"/>
  <c r="CN1178" i="64"/>
  <c r="A1178" i="64"/>
  <c r="CO1296" i="64"/>
  <c r="B1296" i="64"/>
  <c r="CN1172" i="64"/>
  <c r="A1172" i="64"/>
  <c r="AG1562" i="79"/>
  <c r="AG1926" i="79" s="1"/>
  <c r="AG1497" i="79"/>
  <c r="AG1746" i="79" s="1"/>
  <c r="AG1575" i="79"/>
  <c r="AG1962" i="79" s="1"/>
  <c r="AG1549" i="79"/>
  <c r="AG1890" i="79" s="1"/>
  <c r="AG1484" i="79"/>
  <c r="AG1710" i="79" s="1"/>
  <c r="AG1523" i="79"/>
  <c r="AG1818" i="79" s="1"/>
  <c r="AG1536" i="79"/>
  <c r="AG1854" i="79" s="1"/>
  <c r="AG1601" i="79"/>
  <c r="AG2033" i="79" s="1"/>
  <c r="AG1588" i="79"/>
  <c r="AG1510" i="79"/>
  <c r="AG1782" i="79" s="1"/>
  <c r="CN1174" i="64"/>
  <c r="A1174" i="64"/>
  <c r="AB1240" i="64"/>
  <c r="CB1314" i="64"/>
  <c r="DO1240" i="64"/>
  <c r="CO1277" i="64"/>
  <c r="B1277" i="64"/>
  <c r="CN1161" i="64"/>
  <c r="A1161" i="64"/>
  <c r="I1044" i="64"/>
  <c r="I1115" i="64" s="1"/>
  <c r="CT1072" i="64"/>
  <c r="I994" i="64"/>
  <c r="I1065" i="64" s="1"/>
  <c r="N379" i="64"/>
  <c r="N369" i="64"/>
  <c r="L303" i="73"/>
  <c r="M287" i="73"/>
  <c r="M302" i="73" s="1"/>
  <c r="L280" i="73"/>
  <c r="M265" i="73"/>
  <c r="M279" i="73" s="1"/>
  <c r="K589" i="73"/>
  <c r="K595" i="73" s="1"/>
  <c r="K602" i="73"/>
  <c r="K588" i="73"/>
  <c r="K594" i="73" s="1"/>
  <c r="K601" i="73"/>
  <c r="K139" i="77"/>
  <c r="H228" i="85"/>
  <c r="K62" i="85"/>
  <c r="J79" i="85"/>
  <c r="J51" i="85"/>
  <c r="J54" i="85" s="1"/>
  <c r="J81" i="85"/>
  <c r="I211" i="85"/>
  <c r="I213" i="85" s="1"/>
  <c r="I204" i="85"/>
  <c r="I202" i="85"/>
  <c r="I557" i="73"/>
  <c r="I570" i="73" s="1"/>
  <c r="K239" i="73"/>
  <c r="J255" i="73"/>
  <c r="K129" i="73"/>
  <c r="J146" i="73"/>
  <c r="L453" i="73"/>
  <c r="L455" i="73" s="1"/>
  <c r="K332" i="73"/>
  <c r="J346" i="73"/>
  <c r="K157" i="73"/>
  <c r="J174" i="73"/>
  <c r="L228" i="73"/>
  <c r="L231" i="73" s="1"/>
  <c r="M213" i="73" s="1"/>
  <c r="K333" i="73"/>
  <c r="J349" i="73"/>
  <c r="J257" i="73"/>
  <c r="J149" i="73"/>
  <c r="I464" i="73" s="1"/>
  <c r="K185" i="73"/>
  <c r="J202" i="73"/>
  <c r="M86" i="73"/>
  <c r="N69" i="73"/>
  <c r="N85" i="73" s="1"/>
  <c r="O449" i="64"/>
  <c r="M937" i="64"/>
  <c r="M948" i="64"/>
  <c r="O460" i="64"/>
  <c r="M950" i="64"/>
  <c r="O462" i="64"/>
  <c r="P70" i="64"/>
  <c r="Q97" i="64"/>
  <c r="P489" i="64"/>
  <c r="N977" i="64"/>
  <c r="P459" i="64"/>
  <c r="N947" i="64"/>
  <c r="M928" i="64"/>
  <c r="O440" i="64"/>
  <c r="M940" i="64"/>
  <c r="O452" i="64"/>
  <c r="M920" i="64"/>
  <c r="O432" i="64"/>
  <c r="P435" i="64"/>
  <c r="N923" i="64"/>
  <c r="M942" i="64"/>
  <c r="O454" i="64"/>
  <c r="N974" i="64"/>
  <c r="Q94" i="64"/>
  <c r="P486" i="64"/>
  <c r="P439" i="64"/>
  <c r="N927" i="64"/>
  <c r="O457" i="64"/>
  <c r="M945" i="64"/>
  <c r="N978" i="64"/>
  <c r="Q98" i="64"/>
  <c r="P490" i="64"/>
  <c r="M914" i="64"/>
  <c r="O426" i="64"/>
  <c r="M916" i="64"/>
  <c r="O428" i="64"/>
  <c r="M926" i="64"/>
  <c r="O438" i="64"/>
  <c r="M930" i="64"/>
  <c r="O442" i="64"/>
  <c r="M962" i="64"/>
  <c r="O474" i="64"/>
  <c r="P82" i="64"/>
  <c r="P479" i="64"/>
  <c r="Q87" i="64"/>
  <c r="N967" i="64"/>
  <c r="O433" i="64"/>
  <c r="M921" i="64"/>
  <c r="O453" i="64"/>
  <c r="M941" i="64"/>
  <c r="P471" i="64"/>
  <c r="Q79" i="64"/>
  <c r="N959" i="64"/>
  <c r="P467" i="64"/>
  <c r="Q75" i="64"/>
  <c r="N955" i="64"/>
  <c r="O472" i="64"/>
  <c r="M960" i="64"/>
  <c r="P80" i="64"/>
  <c r="O480" i="64"/>
  <c r="M968" i="64"/>
  <c r="P88" i="64"/>
  <c r="P475" i="64"/>
  <c r="Q83" i="64"/>
  <c r="N963" i="64"/>
  <c r="P443" i="64"/>
  <c r="N931" i="64"/>
  <c r="M944" i="64"/>
  <c r="O456" i="64"/>
  <c r="O488" i="64"/>
  <c r="M976" i="64"/>
  <c r="P96" i="64"/>
  <c r="M918" i="64"/>
  <c r="O430" i="64"/>
  <c r="N301" i="64"/>
  <c r="O429" i="64"/>
  <c r="M917" i="64"/>
  <c r="M958" i="64"/>
  <c r="O470" i="64"/>
  <c r="P78" i="64"/>
  <c r="P483" i="64"/>
  <c r="Q91" i="64"/>
  <c r="N971" i="64"/>
  <c r="M924" i="64"/>
  <c r="O436" i="64"/>
  <c r="O461" i="64"/>
  <c r="M949" i="64"/>
  <c r="O465" i="64"/>
  <c r="M953" i="64"/>
  <c r="P73" i="64"/>
  <c r="M932" i="64"/>
  <c r="O444" i="64"/>
  <c r="O481" i="64"/>
  <c r="M969" i="64"/>
  <c r="P89" i="64"/>
  <c r="M970" i="64"/>
  <c r="O482" i="64"/>
  <c r="P90" i="64"/>
  <c r="O473" i="64"/>
  <c r="M961" i="64"/>
  <c r="P81" i="64"/>
  <c r="O445" i="64"/>
  <c r="M933" i="64"/>
  <c r="M922" i="64"/>
  <c r="O434" i="64"/>
  <c r="P431" i="64"/>
  <c r="N919" i="64"/>
  <c r="M966" i="64"/>
  <c r="O478" i="64"/>
  <c r="P86" i="64"/>
  <c r="M952" i="64"/>
  <c r="O464" i="64"/>
  <c r="P72" i="64"/>
  <c r="M938" i="64"/>
  <c r="O450" i="64"/>
  <c r="M936" i="64"/>
  <c r="O448" i="64"/>
  <c r="P447" i="64"/>
  <c r="N935" i="64"/>
  <c r="O441" i="64"/>
  <c r="M929" i="64"/>
  <c r="CT1115" i="64"/>
  <c r="CT1059" i="64"/>
  <c r="O476" i="64"/>
  <c r="M964" i="64"/>
  <c r="P84" i="64"/>
  <c r="O469" i="64"/>
  <c r="M957" i="64"/>
  <c r="P77" i="64"/>
  <c r="O468" i="64"/>
  <c r="M956" i="64"/>
  <c r="P76" i="64"/>
  <c r="M934" i="64"/>
  <c r="O446" i="64"/>
  <c r="Q93" i="64"/>
  <c r="N973" i="64"/>
  <c r="P485" i="64"/>
  <c r="P451" i="64"/>
  <c r="N939" i="64"/>
  <c r="O437" i="64"/>
  <c r="M925" i="64"/>
  <c r="M954" i="64"/>
  <c r="O466" i="64"/>
  <c r="P74" i="64"/>
  <c r="M946" i="64"/>
  <c r="O458" i="64"/>
  <c r="P427" i="64"/>
  <c r="N915" i="64"/>
  <c r="M975" i="64"/>
  <c r="O487" i="64"/>
  <c r="P95" i="64"/>
  <c r="P463" i="64"/>
  <c r="Q71" i="64"/>
  <c r="N951" i="64"/>
  <c r="O484" i="64"/>
  <c r="M972" i="64"/>
  <c r="P92" i="64"/>
  <c r="O477" i="64"/>
  <c r="M965" i="64"/>
  <c r="P85" i="64"/>
  <c r="P455" i="64"/>
  <c r="N943" i="64"/>
  <c r="N316" i="64"/>
  <c r="CF1171" i="64"/>
  <c r="CT1064" i="64"/>
  <c r="CF1187" i="64"/>
  <c r="M784" i="64"/>
  <c r="M569" i="64"/>
  <c r="CF1189" i="64"/>
  <c r="CT1120" i="64"/>
  <c r="CT1097" i="64"/>
  <c r="CF1158" i="64"/>
  <c r="CF1186" i="64"/>
  <c r="CT1114" i="64"/>
  <c r="CT1054" i="64"/>
  <c r="CT1066" i="64"/>
  <c r="CF1148" i="64"/>
  <c r="E8" i="71"/>
  <c r="CT1091" i="64"/>
  <c r="CT1057" i="64"/>
  <c r="CT1101" i="64"/>
  <c r="CT1094" i="64"/>
  <c r="CT1111" i="64"/>
  <c r="CF1185" i="64"/>
  <c r="CF1159" i="64"/>
  <c r="S635" i="77"/>
  <c r="L122" i="64"/>
  <c r="M891" i="64"/>
  <c r="O403" i="64"/>
  <c r="M900" i="64"/>
  <c r="O412" i="64"/>
  <c r="M388" i="64"/>
  <c r="CT1077" i="64"/>
  <c r="CT1083" i="64"/>
  <c r="CF1194" i="64"/>
  <c r="CV1194" i="64" s="1"/>
  <c r="CF1127" i="64"/>
  <c r="CF1180" i="64"/>
  <c r="CF1155" i="64"/>
  <c r="AX879" i="64"/>
  <c r="AX882" i="64" s="1"/>
  <c r="M908" i="64"/>
  <c r="O420" i="64"/>
  <c r="M905" i="64"/>
  <c r="O417" i="64"/>
  <c r="I997" i="64"/>
  <c r="I1068" i="64" s="1"/>
  <c r="I1010" i="64"/>
  <c r="I1081" i="64" s="1"/>
  <c r="I995" i="64"/>
  <c r="I1066" i="64" s="1"/>
  <c r="I1014" i="64"/>
  <c r="I1085" i="64" s="1"/>
  <c r="I985" i="64"/>
  <c r="I1056" i="64" s="1"/>
  <c r="I1038" i="64"/>
  <c r="I1109" i="64" s="1"/>
  <c r="I1043" i="64"/>
  <c r="I1114" i="64" s="1"/>
  <c r="CT1079" i="64"/>
  <c r="CT1102" i="64"/>
  <c r="CT1074" i="64"/>
  <c r="CF1183" i="64"/>
  <c r="CF1129" i="64"/>
  <c r="CT1099" i="64"/>
  <c r="CF1173" i="64"/>
  <c r="CT1063" i="64"/>
  <c r="CT1062" i="64"/>
  <c r="CF1149" i="64"/>
  <c r="CT1090" i="64"/>
  <c r="CU1194" i="64"/>
  <c r="K612" i="64"/>
  <c r="L132" i="64" s="1"/>
  <c r="C10" i="61" s="1"/>
  <c r="AY823" i="64"/>
  <c r="AL823" i="64"/>
  <c r="AY857" i="64"/>
  <c r="AL857" i="64"/>
  <c r="AL867" i="64"/>
  <c r="AY867" i="64"/>
  <c r="AY818" i="64"/>
  <c r="AL818" i="64"/>
  <c r="AY821" i="64"/>
  <c r="AL821" i="64"/>
  <c r="AL789" i="64"/>
  <c r="AY789" i="64"/>
  <c r="AL749" i="64"/>
  <c r="AY749" i="64"/>
  <c r="AL859" i="64"/>
  <c r="AY859" i="64"/>
  <c r="AL748" i="64"/>
  <c r="AY748" i="64"/>
  <c r="AL788" i="64"/>
  <c r="AY788" i="64"/>
  <c r="AL721" i="64"/>
  <c r="AY721" i="64"/>
  <c r="AY718" i="64"/>
  <c r="AL718" i="64"/>
  <c r="AY673" i="64"/>
  <c r="AL673" i="64"/>
  <c r="AY723" i="64"/>
  <c r="AL723" i="64"/>
  <c r="AY715" i="64"/>
  <c r="AL715" i="64"/>
  <c r="AY674" i="64"/>
  <c r="AL674" i="64"/>
  <c r="AY680" i="64"/>
  <c r="AL680" i="64"/>
  <c r="L713" i="64"/>
  <c r="M195" i="64"/>
  <c r="AL817" i="64"/>
  <c r="AY817" i="64"/>
  <c r="N294" i="64"/>
  <c r="N346" i="64"/>
  <c r="M530" i="64"/>
  <c r="CT1109" i="64"/>
  <c r="CF1178" i="64"/>
  <c r="CF1144" i="64"/>
  <c r="CT1086" i="64"/>
  <c r="CT1082" i="64"/>
  <c r="CT1080" i="64"/>
  <c r="CF1141" i="64"/>
  <c r="CT1088" i="64"/>
  <c r="M904" i="64"/>
  <c r="O416" i="64"/>
  <c r="M910" i="64"/>
  <c r="O422" i="64"/>
  <c r="AW882" i="64"/>
  <c r="M778" i="64"/>
  <c r="M746" i="64"/>
  <c r="AI1562" i="79"/>
  <c r="AI1926" i="79" s="1"/>
  <c r="AI1484" i="79"/>
  <c r="AI1710" i="79" s="1"/>
  <c r="AI1510" i="79"/>
  <c r="AI1782" i="79" s="1"/>
  <c r="AI1575" i="79"/>
  <c r="AI1962" i="79" s="1"/>
  <c r="AI1549" i="79"/>
  <c r="AI1890" i="79" s="1"/>
  <c r="AI1523" i="79"/>
  <c r="AI1818" i="79" s="1"/>
  <c r="AI1536" i="79"/>
  <c r="AI1854" i="79" s="1"/>
  <c r="AI1497" i="79"/>
  <c r="AI1746" i="79" s="1"/>
  <c r="AI1601" i="79"/>
  <c r="AI2033" i="79" s="1"/>
  <c r="AI1588" i="79"/>
  <c r="CF1140" i="64"/>
  <c r="CF1165" i="64"/>
  <c r="CT1067" i="64"/>
  <c r="CF1134" i="64"/>
  <c r="CT1071" i="64"/>
  <c r="AK808" i="64"/>
  <c r="M892" i="64"/>
  <c r="O404" i="64"/>
  <c r="M913" i="64"/>
  <c r="O425" i="64"/>
  <c r="L1458" i="79"/>
  <c r="L1638" i="79" s="1"/>
  <c r="M901" i="64"/>
  <c r="O413" i="64"/>
  <c r="M906" i="64"/>
  <c r="O418" i="64"/>
  <c r="M896" i="64"/>
  <c r="O408" i="64"/>
  <c r="CT1108" i="64"/>
  <c r="CF1130" i="64"/>
  <c r="CF1192" i="64"/>
  <c r="CF1174" i="64"/>
  <c r="CF1163" i="64"/>
  <c r="CF1169" i="64"/>
  <c r="K627" i="64"/>
  <c r="K630" i="64" s="1"/>
  <c r="D36" i="71"/>
  <c r="S642" i="77"/>
  <c r="L123" i="64"/>
  <c r="I1026" i="64"/>
  <c r="I1097" i="64" s="1"/>
  <c r="I1000" i="64"/>
  <c r="I1071" i="64" s="1"/>
  <c r="I1033" i="64"/>
  <c r="I1104" i="64" s="1"/>
  <c r="L570" i="64"/>
  <c r="CT1117" i="64"/>
  <c r="CF1162" i="64"/>
  <c r="CF1175" i="64"/>
  <c r="CT1075" i="64"/>
  <c r="CT1084" i="64"/>
  <c r="CF1154" i="64"/>
  <c r="CT1100" i="64"/>
  <c r="CT1087" i="64"/>
  <c r="CT1096" i="64"/>
  <c r="M902" i="64"/>
  <c r="O414" i="64"/>
  <c r="AY858" i="64"/>
  <c r="AL858" i="64"/>
  <c r="AY860" i="64"/>
  <c r="AL860" i="64"/>
  <c r="AY820" i="64"/>
  <c r="AL820" i="64"/>
  <c r="AL866" i="64"/>
  <c r="AY866" i="64"/>
  <c r="AY816" i="64"/>
  <c r="AL816" i="64"/>
  <c r="Y808" i="64"/>
  <c r="AY786" i="64"/>
  <c r="AL786" i="64"/>
  <c r="AY864" i="64"/>
  <c r="AL864" i="64"/>
  <c r="AY752" i="64"/>
  <c r="AL752" i="64"/>
  <c r="AY792" i="64"/>
  <c r="AL792" i="64"/>
  <c r="AY796" i="64"/>
  <c r="AL796" i="64"/>
  <c r="AL790" i="64"/>
  <c r="AY790" i="64"/>
  <c r="AY724" i="64"/>
  <c r="AL724" i="64"/>
  <c r="AY722" i="64"/>
  <c r="AL722" i="64"/>
  <c r="M202" i="64"/>
  <c r="M261" i="64"/>
  <c r="AY745" i="64"/>
  <c r="AL745" i="64"/>
  <c r="L707" i="64"/>
  <c r="M186" i="64"/>
  <c r="M203" i="64"/>
  <c r="M262" i="64"/>
  <c r="L697" i="64"/>
  <c r="M172" i="64"/>
  <c r="AY744" i="64"/>
  <c r="AL744" i="64"/>
  <c r="AY672" i="64"/>
  <c r="AL672" i="64"/>
  <c r="AY747" i="64"/>
  <c r="AL747" i="64"/>
  <c r="N359" i="64"/>
  <c r="M511" i="64"/>
  <c r="M722" i="64"/>
  <c r="Z751" i="64"/>
  <c r="M672" i="64"/>
  <c r="M674" i="64"/>
  <c r="M677" i="64"/>
  <c r="M679" i="64"/>
  <c r="M715" i="64"/>
  <c r="M717" i="64"/>
  <c r="Z723" i="64"/>
  <c r="Z868" i="64"/>
  <c r="Z681" i="64"/>
  <c r="M708" i="64"/>
  <c r="Z817" i="64"/>
  <c r="M684" i="64"/>
  <c r="N173" i="64" s="1"/>
  <c r="M686" i="64"/>
  <c r="N175" i="64" s="1"/>
  <c r="M688" i="64"/>
  <c r="N177" i="64" s="1"/>
  <c r="M690" i="64"/>
  <c r="N179" i="64" s="1"/>
  <c r="M692" i="64"/>
  <c r="N181" i="64" s="1"/>
  <c r="M694" i="64"/>
  <c r="N183" i="64" s="1"/>
  <c r="Z754" i="64"/>
  <c r="Z672" i="64"/>
  <c r="Z674" i="64"/>
  <c r="Z677" i="64"/>
  <c r="Z679" i="64"/>
  <c r="M699" i="64"/>
  <c r="N187" i="64" s="1"/>
  <c r="M701" i="64"/>
  <c r="N189" i="64" s="1"/>
  <c r="M703" i="64"/>
  <c r="N191" i="64" s="1"/>
  <c r="Z715" i="64"/>
  <c r="Z717" i="64"/>
  <c r="Z744" i="64"/>
  <c r="Z719" i="64"/>
  <c r="Z676" i="64"/>
  <c r="Z683" i="64"/>
  <c r="M698" i="64"/>
  <c r="M702" i="64"/>
  <c r="N190" i="64" s="1"/>
  <c r="M709" i="64"/>
  <c r="N196" i="64" s="1"/>
  <c r="Z716" i="64"/>
  <c r="Z747" i="64"/>
  <c r="Z785" i="64"/>
  <c r="M676" i="64"/>
  <c r="Z680" i="64"/>
  <c r="M683" i="64"/>
  <c r="M687" i="64"/>
  <c r="N176" i="64" s="1"/>
  <c r="M691" i="64"/>
  <c r="N180" i="64" s="1"/>
  <c r="M695" i="64"/>
  <c r="N184" i="64" s="1"/>
  <c r="M716" i="64"/>
  <c r="Z745" i="64"/>
  <c r="Z750" i="64"/>
  <c r="Z673" i="64"/>
  <c r="Z678" i="64"/>
  <c r="M700" i="64"/>
  <c r="N188" i="64" s="1"/>
  <c r="M704" i="64"/>
  <c r="N192" i="64" s="1"/>
  <c r="Z714" i="64"/>
  <c r="Z721" i="64"/>
  <c r="Z794" i="64"/>
  <c r="M673" i="64"/>
  <c r="M678" i="64"/>
  <c r="M685" i="64"/>
  <c r="N174" i="64" s="1"/>
  <c r="M689" i="64"/>
  <c r="N178" i="64" s="1"/>
  <c r="M693" i="64"/>
  <c r="N182" i="64" s="1"/>
  <c r="M714" i="64"/>
  <c r="Z718" i="64"/>
  <c r="M721" i="64"/>
  <c r="Z746" i="64"/>
  <c r="Z787" i="64"/>
  <c r="Z792" i="64"/>
  <c r="Z789" i="64"/>
  <c r="Z748" i="64"/>
  <c r="Z816" i="64"/>
  <c r="Z786" i="64"/>
  <c r="Z814" i="64"/>
  <c r="Z790" i="64"/>
  <c r="Z752" i="64"/>
  <c r="Z749" i="64"/>
  <c r="Z743" i="64"/>
  <c r="Z788" i="64"/>
  <c r="Z822" i="64"/>
  <c r="Z821" i="64"/>
  <c r="Z818" i="64"/>
  <c r="Z820" i="64"/>
  <c r="Z823" i="64"/>
  <c r="Z819" i="64"/>
  <c r="Z825" i="64"/>
  <c r="Z815" i="64"/>
  <c r="Y1041" i="64"/>
  <c r="Y1040" i="64"/>
  <c r="Y1045" i="64"/>
  <c r="Y1039" i="64"/>
  <c r="Y1044" i="64"/>
  <c r="Y1038" i="64"/>
  <c r="Y1042" i="64"/>
  <c r="Y1043" i="64"/>
  <c r="Y1028" i="64"/>
  <c r="Y1012" i="64"/>
  <c r="Y1033" i="64"/>
  <c r="Y1020" i="64"/>
  <c r="Y999" i="64"/>
  <c r="Y983" i="64"/>
  <c r="Y1006" i="64"/>
  <c r="Y1004" i="64"/>
  <c r="Y1003" i="64"/>
  <c r="Y985" i="64"/>
  <c r="Y988" i="64"/>
  <c r="Y1009" i="64"/>
  <c r="Y1027" i="64"/>
  <c r="Y1025" i="64"/>
  <c r="Y1032" i="64"/>
  <c r="Y987" i="64"/>
  <c r="Y996" i="64"/>
  <c r="Y989" i="64"/>
  <c r="Y1026" i="64"/>
  <c r="Y1001" i="64"/>
  <c r="Y1014" i="64"/>
  <c r="Y1010" i="64"/>
  <c r="Y1005" i="64"/>
  <c r="Y1000" i="64"/>
  <c r="Y997" i="64"/>
  <c r="Y995" i="64"/>
  <c r="Y994" i="64"/>
  <c r="Y984" i="64"/>
  <c r="Y1013" i="64"/>
  <c r="Y1011" i="64"/>
  <c r="Y998" i="64"/>
  <c r="Y1019" i="64"/>
  <c r="Y1015" i="64"/>
  <c r="Y1002" i="64"/>
  <c r="Y990" i="64"/>
  <c r="CF1156" i="64"/>
  <c r="CF1164" i="64"/>
  <c r="CT1113" i="64"/>
  <c r="CT1118" i="64"/>
  <c r="CT1093" i="64"/>
  <c r="CF1170" i="64"/>
  <c r="CT1107" i="64"/>
  <c r="CF1139" i="64"/>
  <c r="CT1055" i="64"/>
  <c r="CF1131" i="64"/>
  <c r="CF1128" i="64"/>
  <c r="CF1145" i="64"/>
  <c r="S612" i="77"/>
  <c r="L121" i="64"/>
  <c r="L386" i="77"/>
  <c r="M894" i="64"/>
  <c r="O406" i="64"/>
  <c r="K388" i="77"/>
  <c r="AN1039" i="64"/>
  <c r="AN1040" i="64"/>
  <c r="AN1043" i="64"/>
  <c r="AN1044" i="64"/>
  <c r="AN1045" i="64"/>
  <c r="AN1041" i="64"/>
  <c r="AN1042" i="64"/>
  <c r="AN1037" i="64"/>
  <c r="J1037" i="64" s="1"/>
  <c r="J1108" i="64" s="1"/>
  <c r="AN1024" i="64"/>
  <c r="J1024" i="64" s="1"/>
  <c r="J1095" i="64" s="1"/>
  <c r="AN1018" i="64"/>
  <c r="J1018" i="64" s="1"/>
  <c r="J1089" i="64" s="1"/>
  <c r="AN1038" i="64"/>
  <c r="AN1006" i="64"/>
  <c r="AN983" i="64"/>
  <c r="AN999" i="64"/>
  <c r="AN1004" i="64"/>
  <c r="AN1020" i="64"/>
  <c r="AN1031" i="64"/>
  <c r="J1031" i="64" s="1"/>
  <c r="J1102" i="64" s="1"/>
  <c r="AN985" i="64"/>
  <c r="AN1003" i="64"/>
  <c r="AN1033" i="64"/>
  <c r="AN1012" i="64"/>
  <c r="AN1028" i="64"/>
  <c r="AN1011" i="64"/>
  <c r="AN1001" i="64"/>
  <c r="AN1032" i="64"/>
  <c r="AN989" i="64"/>
  <c r="AN1025" i="64"/>
  <c r="AN1009" i="64"/>
  <c r="AN1026" i="64"/>
  <c r="AN1015" i="64"/>
  <c r="AN994" i="64"/>
  <c r="AN1005" i="64"/>
  <c r="AN1019" i="64"/>
  <c r="AN997" i="64"/>
  <c r="AN984" i="64"/>
  <c r="AN987" i="64"/>
  <c r="AN996" i="64"/>
  <c r="AN1000" i="64"/>
  <c r="AN1002" i="64"/>
  <c r="AN998" i="64"/>
  <c r="AN1010" i="64"/>
  <c r="AN995" i="64"/>
  <c r="AN988" i="64"/>
  <c r="AN1027" i="64"/>
  <c r="AN1013" i="64"/>
  <c r="AN990" i="64"/>
  <c r="AN1014" i="64"/>
  <c r="M903" i="64"/>
  <c r="O415" i="64"/>
  <c r="CF1172" i="64"/>
  <c r="CF1157" i="64"/>
  <c r="CF1184" i="64"/>
  <c r="AX808" i="64"/>
  <c r="L1562" i="79"/>
  <c r="L1926" i="79" s="1"/>
  <c r="L1510" i="79"/>
  <c r="L1782" i="79" s="1"/>
  <c r="L1523" i="79"/>
  <c r="L1818" i="79" s="1"/>
  <c r="L1549" i="79"/>
  <c r="L1890" i="79" s="1"/>
  <c r="L1536" i="79"/>
  <c r="L1854" i="79" s="1"/>
  <c r="L1588" i="79"/>
  <c r="L1997" i="79" s="1"/>
  <c r="L1601" i="79"/>
  <c r="L2033" i="79" s="1"/>
  <c r="L1497" i="79"/>
  <c r="L1746" i="79" s="1"/>
  <c r="L1471" i="79"/>
  <c r="L1674" i="79" s="1"/>
  <c r="L1575" i="79"/>
  <c r="L1962" i="79" s="1"/>
  <c r="L1484" i="79"/>
  <c r="L1710" i="79" s="1"/>
  <c r="BH1075" i="64"/>
  <c r="AU1054" i="64"/>
  <c r="BT1190" i="64"/>
  <c r="BG1127" i="64"/>
  <c r="AG1129" i="64"/>
  <c r="T1193" i="64"/>
  <c r="BU1075" i="64"/>
  <c r="BH1056" i="64"/>
  <c r="AU1070" i="64"/>
  <c r="AG1143" i="64"/>
  <c r="G1143" i="64"/>
  <c r="AH1054" i="64"/>
  <c r="BT1127" i="64"/>
  <c r="BU1056" i="64"/>
  <c r="BH1109" i="64"/>
  <c r="BT1143" i="64"/>
  <c r="AT1193" i="64"/>
  <c r="BH1054" i="64"/>
  <c r="G1182" i="64"/>
  <c r="CH1070" i="64"/>
  <c r="AH1070" i="64"/>
  <c r="T1127" i="64"/>
  <c r="T1129" i="64"/>
  <c r="G1129" i="64"/>
  <c r="AH1075" i="64"/>
  <c r="BG1143" i="64"/>
  <c r="BT1148" i="64"/>
  <c r="CH1054" i="64"/>
  <c r="G1185" i="64"/>
  <c r="AG1148" i="64"/>
  <c r="BU1070" i="64"/>
  <c r="T1190" i="64"/>
  <c r="BU1054" i="64"/>
  <c r="AT1129" i="64"/>
  <c r="BT1129" i="64"/>
  <c r="AT1148" i="64"/>
  <c r="AH1056" i="64"/>
  <c r="BH1070" i="64"/>
  <c r="BT1140" i="64"/>
  <c r="BG1140" i="64"/>
  <c r="BH1067" i="64"/>
  <c r="AG1127" i="64"/>
  <c r="U1070" i="64"/>
  <c r="U1058" i="64"/>
  <c r="AH1058" i="64"/>
  <c r="G1131" i="64"/>
  <c r="BT1131" i="64"/>
  <c r="BG1148" i="64"/>
  <c r="CH1101" i="64"/>
  <c r="AU1089" i="64"/>
  <c r="AT1186" i="64"/>
  <c r="AU1113" i="64"/>
  <c r="AG1162" i="64"/>
  <c r="AG1168" i="64"/>
  <c r="AH1095" i="64"/>
  <c r="BH1113" i="64"/>
  <c r="BH1095" i="64"/>
  <c r="G1157" i="64"/>
  <c r="BU1084" i="64"/>
  <c r="AU1084" i="64"/>
  <c r="BH1084" i="64"/>
  <c r="T1181" i="64"/>
  <c r="BU1078" i="64"/>
  <c r="AH1102" i="64"/>
  <c r="BG1182" i="64"/>
  <c r="CH1114" i="64"/>
  <c r="AG1194" i="64"/>
  <c r="CH1111" i="64"/>
  <c r="G1130" i="64"/>
  <c r="T1185" i="64"/>
  <c r="AH1064" i="64"/>
  <c r="BG1188" i="64"/>
  <c r="T1152" i="64"/>
  <c r="G1189" i="64"/>
  <c r="AT1142" i="64"/>
  <c r="BU1069" i="64"/>
  <c r="AU1069" i="64"/>
  <c r="T1142" i="64"/>
  <c r="BH1069" i="64"/>
  <c r="BG1142" i="64"/>
  <c r="T1177" i="64"/>
  <c r="AG1132" i="64"/>
  <c r="BG1132" i="64"/>
  <c r="CH1059" i="64"/>
  <c r="U1059" i="64"/>
  <c r="U1077" i="64"/>
  <c r="AG1149" i="64"/>
  <c r="AH1076" i="64"/>
  <c r="AT1149" i="64"/>
  <c r="BG1147" i="64"/>
  <c r="BG1173" i="64"/>
  <c r="AG1173" i="64"/>
  <c r="AT1173" i="64"/>
  <c r="T1173" i="64"/>
  <c r="G1156" i="64"/>
  <c r="U1071" i="64"/>
  <c r="CH1071" i="64"/>
  <c r="BT1174" i="64"/>
  <c r="AH1093" i="64"/>
  <c r="BH1093" i="64"/>
  <c r="BU1093" i="64"/>
  <c r="U1097" i="64"/>
  <c r="CH1097" i="64"/>
  <c r="AH1097" i="64"/>
  <c r="BH1108" i="64"/>
  <c r="AG1158" i="64"/>
  <c r="AH1085" i="64"/>
  <c r="BH1085" i="64"/>
  <c r="T1136" i="64"/>
  <c r="AU1063" i="64"/>
  <c r="G1136" i="64"/>
  <c r="G1167" i="64"/>
  <c r="BH1078" i="64"/>
  <c r="CH1078" i="64"/>
  <c r="AT1154" i="64"/>
  <c r="BG1154" i="64"/>
  <c r="BH1081" i="64"/>
  <c r="BG1193" i="64"/>
  <c r="AU1115" i="64"/>
  <c r="U1111" i="64"/>
  <c r="BU1112" i="64"/>
  <c r="AU1057" i="64"/>
  <c r="AT1192" i="64"/>
  <c r="AU1110" i="64"/>
  <c r="U1110" i="64"/>
  <c r="BG1185" i="64"/>
  <c r="BH1099" i="64"/>
  <c r="AH1099" i="64"/>
  <c r="AU1104" i="64"/>
  <c r="T1140" i="64"/>
  <c r="AU1067" i="64"/>
  <c r="G1140" i="64"/>
  <c r="CH1067" i="64"/>
  <c r="G1127" i="64"/>
  <c r="U1054" i="64"/>
  <c r="CH1108" i="64"/>
  <c r="BH1058" i="64"/>
  <c r="BH1120" i="64"/>
  <c r="T1162" i="64"/>
  <c r="BT1168" i="64"/>
  <c r="G1186" i="64"/>
  <c r="U1113" i="64"/>
  <c r="T1168" i="64"/>
  <c r="BG1186" i="64"/>
  <c r="BG1168" i="64"/>
  <c r="AG1186" i="64"/>
  <c r="AU1095" i="64"/>
  <c r="BG1157" i="64"/>
  <c r="T1157" i="64"/>
  <c r="AT1157" i="64"/>
  <c r="BU1117" i="64"/>
  <c r="G1151" i="64"/>
  <c r="BG1175" i="64"/>
  <c r="U1102" i="64"/>
  <c r="U1089" i="64"/>
  <c r="CH1115" i="64"/>
  <c r="BU1119" i="64"/>
  <c r="U1079" i="64"/>
  <c r="BH1116" i="64"/>
  <c r="AT1191" i="64"/>
  <c r="U1112" i="64"/>
  <c r="G1191" i="64"/>
  <c r="BT1184" i="64"/>
  <c r="CH1069" i="64"/>
  <c r="U1105" i="64"/>
  <c r="T1178" i="64"/>
  <c r="AU1059" i="64"/>
  <c r="BU1059" i="64"/>
  <c r="BH1059" i="64"/>
  <c r="AH1059" i="64"/>
  <c r="AT1150" i="64"/>
  <c r="G1149" i="64"/>
  <c r="BU1076" i="64"/>
  <c r="BT1149" i="64"/>
  <c r="U1076" i="64"/>
  <c r="BH1076" i="64"/>
  <c r="AU1091" i="64"/>
  <c r="CH1100" i="64"/>
  <c r="BT1173" i="64"/>
  <c r="BH1100" i="64"/>
  <c r="AH1100" i="64"/>
  <c r="BT1144" i="64"/>
  <c r="BH1071" i="64"/>
  <c r="AH1071" i="64"/>
  <c r="BG1174" i="64"/>
  <c r="BU1101" i="64"/>
  <c r="AU1093" i="64"/>
  <c r="G1170" i="64"/>
  <c r="BU1097" i="64"/>
  <c r="AT1158" i="64"/>
  <c r="BT1158" i="64"/>
  <c r="AU1085" i="64"/>
  <c r="BG1158" i="64"/>
  <c r="G1193" i="64"/>
  <c r="U1063" i="64"/>
  <c r="AG1136" i="64"/>
  <c r="U1108" i="64"/>
  <c r="BG1151" i="64"/>
  <c r="AU1081" i="64"/>
  <c r="T1154" i="64"/>
  <c r="BH1112" i="64"/>
  <c r="BH1110" i="64"/>
  <c r="AG1152" i="64"/>
  <c r="BG1152" i="64"/>
  <c r="U1116" i="64"/>
  <c r="G1194" i="64"/>
  <c r="T1130" i="64"/>
  <c r="U1118" i="64"/>
  <c r="BG1189" i="64"/>
  <c r="CH1104" i="64"/>
  <c r="BH1077" i="64"/>
  <c r="AG1140" i="64"/>
  <c r="AT1140" i="64"/>
  <c r="AG1181" i="64"/>
  <c r="T1143" i="64"/>
  <c r="AT1143" i="64"/>
  <c r="AG1131" i="64"/>
  <c r="BG1131" i="64"/>
  <c r="AT1131" i="64"/>
  <c r="AU1075" i="64"/>
  <c r="G1148" i="64"/>
  <c r="U1101" i="64"/>
  <c r="BT1181" i="64"/>
  <c r="BT1167" i="64"/>
  <c r="G1162" i="64"/>
  <c r="U1095" i="64"/>
  <c r="T1186" i="64"/>
  <c r="BU1089" i="64"/>
  <c r="CH1095" i="64"/>
  <c r="BT1186" i="64"/>
  <c r="CH1113" i="64"/>
  <c r="BH1089" i="64"/>
  <c r="U1084" i="64"/>
  <c r="AH1084" i="64"/>
  <c r="AT1190" i="64"/>
  <c r="AU1078" i="64"/>
  <c r="AH1078" i="64"/>
  <c r="AG1193" i="64"/>
  <c r="AT1189" i="64"/>
  <c r="AH1112" i="64"/>
  <c r="AG1137" i="64"/>
  <c r="BT1137" i="64"/>
  <c r="U1064" i="64"/>
  <c r="G1188" i="64"/>
  <c r="U1119" i="64"/>
  <c r="CH1116" i="64"/>
  <c r="BT1188" i="64"/>
  <c r="G1142" i="64"/>
  <c r="AH1069" i="64"/>
  <c r="BT1132" i="64"/>
  <c r="AH1109" i="64"/>
  <c r="BG1149" i="64"/>
  <c r="AU1076" i="64"/>
  <c r="CH1076" i="64"/>
  <c r="BH1074" i="64"/>
  <c r="G1164" i="64"/>
  <c r="BU1100" i="64"/>
  <c r="AU1100" i="64"/>
  <c r="T1144" i="64"/>
  <c r="AT1144" i="64"/>
  <c r="G1144" i="64"/>
  <c r="AH1101" i="64"/>
  <c r="AT1166" i="64"/>
  <c r="BT1166" i="64"/>
  <c r="T1166" i="64"/>
  <c r="AT1170" i="64"/>
  <c r="BG1170" i="64"/>
  <c r="CH1085" i="64"/>
  <c r="BU1085" i="64"/>
  <c r="U1085" i="64"/>
  <c r="U1120" i="64"/>
  <c r="BU1063" i="64"/>
  <c r="BH1063" i="64"/>
  <c r="CH1063" i="64"/>
  <c r="AH1094" i="64"/>
  <c r="G1190" i="64"/>
  <c r="BU1102" i="64"/>
  <c r="U1081" i="64"/>
  <c r="BU1081" i="64"/>
  <c r="AG1154" i="64"/>
  <c r="BG1191" i="64"/>
  <c r="BT1185" i="64"/>
  <c r="BT1194" i="64"/>
  <c r="G1187" i="64"/>
  <c r="BG1130" i="64"/>
  <c r="BH1079" i="64"/>
  <c r="AT1184" i="64"/>
  <c r="BU1118" i="64"/>
  <c r="AT1194" i="64"/>
  <c r="AH1104" i="64"/>
  <c r="AU1105" i="64"/>
  <c r="BG1178" i="64"/>
  <c r="AU1077" i="64"/>
  <c r="AH1066" i="64"/>
  <c r="U1074" i="64"/>
  <c r="AH1086" i="64"/>
  <c r="AT1159" i="64"/>
  <c r="T1159" i="64"/>
  <c r="BU1067" i="64"/>
  <c r="AH1067" i="64"/>
  <c r="CH1058" i="64"/>
  <c r="BU1058" i="64"/>
  <c r="AH1113" i="64"/>
  <c r="BU1113" i="64"/>
  <c r="BT1157" i="64"/>
  <c r="AG1157" i="64"/>
  <c r="CH1084" i="64"/>
  <c r="T1191" i="64"/>
  <c r="U1115" i="64"/>
  <c r="AT1172" i="64"/>
  <c r="BT1142" i="64"/>
  <c r="AG1142" i="64"/>
  <c r="CH1120" i="64"/>
  <c r="BT1147" i="64"/>
  <c r="G1173" i="64"/>
  <c r="CH1083" i="64"/>
  <c r="AG1166" i="64"/>
  <c r="T1170" i="64"/>
  <c r="AH1081" i="64"/>
  <c r="AH1079" i="64"/>
  <c r="BT1152" i="64"/>
  <c r="BT1178" i="64"/>
  <c r="BH1066" i="64"/>
  <c r="BT1139" i="64"/>
  <c r="AH1091" i="64"/>
  <c r="U1086" i="64"/>
  <c r="AH1087" i="64"/>
  <c r="BU1087" i="64"/>
  <c r="BG1129" i="64"/>
  <c r="T1174" i="64"/>
  <c r="AU1061" i="64"/>
  <c r="CH1061" i="64"/>
  <c r="AH1117" i="64"/>
  <c r="AG1135" i="64"/>
  <c r="U1062" i="64"/>
  <c r="AH1062" i="64"/>
  <c r="AU1062" i="64"/>
  <c r="BG1179" i="64"/>
  <c r="BU1106" i="64"/>
  <c r="AH1106" i="64"/>
  <c r="G1179" i="64"/>
  <c r="G1169" i="64"/>
  <c r="T1169" i="64"/>
  <c r="BT1169" i="64"/>
  <c r="CH1096" i="64"/>
  <c r="CH1060" i="64"/>
  <c r="AU1060" i="64"/>
  <c r="CH1094" i="64"/>
  <c r="BU1055" i="64"/>
  <c r="BG1128" i="64"/>
  <c r="AG1128" i="64"/>
  <c r="BH1117" i="64"/>
  <c r="BT1180" i="64"/>
  <c r="G1180" i="64"/>
  <c r="AT1180" i="64"/>
  <c r="CH1107" i="64"/>
  <c r="AU1092" i="64"/>
  <c r="T1165" i="64"/>
  <c r="CH1092" i="64"/>
  <c r="BH1115" i="64"/>
  <c r="AU1118" i="64"/>
  <c r="AG1184" i="64"/>
  <c r="BG1184" i="64"/>
  <c r="CH1110" i="64"/>
  <c r="AH1111" i="64"/>
  <c r="AT1137" i="64"/>
  <c r="BU1110" i="64"/>
  <c r="AG1191" i="64"/>
  <c r="T1163" i="64"/>
  <c r="AH1090" i="64"/>
  <c r="AT1163" i="64"/>
  <c r="T1146" i="64"/>
  <c r="AU1073" i="64"/>
  <c r="AG1146" i="64"/>
  <c r="BH1073" i="64"/>
  <c r="BT1146" i="64"/>
  <c r="T1150" i="64"/>
  <c r="CH1056" i="64"/>
  <c r="BH1101" i="64"/>
  <c r="BG1162" i="64"/>
  <c r="BT1162" i="64"/>
  <c r="AG1151" i="64"/>
  <c r="T1183" i="64"/>
  <c r="BH1118" i="64"/>
  <c r="BT1192" i="64"/>
  <c r="AT1132" i="64"/>
  <c r="BG1164" i="64"/>
  <c r="BT1164" i="64"/>
  <c r="AU1071" i="64"/>
  <c r="BU1071" i="64"/>
  <c r="BG1144" i="64"/>
  <c r="AG1174" i="64"/>
  <c r="G1166" i="64"/>
  <c r="BH1097" i="64"/>
  <c r="AU1097" i="64"/>
  <c r="AG1170" i="64"/>
  <c r="AH1063" i="64"/>
  <c r="BU1094" i="64"/>
  <c r="AT1175" i="64"/>
  <c r="BT1154" i="64"/>
  <c r="AG1185" i="64"/>
  <c r="T1187" i="64"/>
  <c r="CH1109" i="64"/>
  <c r="AH1120" i="64"/>
  <c r="T1139" i="64"/>
  <c r="BU1066" i="64"/>
  <c r="AT1139" i="64"/>
  <c r="G1159" i="64"/>
  <c r="BH1086" i="64"/>
  <c r="BU1086" i="64"/>
  <c r="BG1156" i="64"/>
  <c r="BH1087" i="64"/>
  <c r="BG1160" i="64"/>
  <c r="G1160" i="64"/>
  <c r="BU1109" i="64"/>
  <c r="AU1056" i="64"/>
  <c r="BG1134" i="64"/>
  <c r="BH1062" i="64"/>
  <c r="G1135" i="64"/>
  <c r="T1135" i="64"/>
  <c r="BU1062" i="64"/>
  <c r="AG1179" i="64"/>
  <c r="CH1106" i="64"/>
  <c r="AT1179" i="64"/>
  <c r="BG1169" i="64"/>
  <c r="BU1096" i="64"/>
  <c r="BH1096" i="64"/>
  <c r="AG1169" i="64"/>
  <c r="G1133" i="64"/>
  <c r="AH1060" i="64"/>
  <c r="BT1133" i="64"/>
  <c r="T1133" i="64"/>
  <c r="T1167" i="64"/>
  <c r="BH1094" i="64"/>
  <c r="AG1167" i="64"/>
  <c r="BT1128" i="64"/>
  <c r="AU1055" i="64"/>
  <c r="AH1055" i="64"/>
  <c r="AT1181" i="64"/>
  <c r="T1180" i="64"/>
  <c r="AG1180" i="64"/>
  <c r="AU1107" i="64"/>
  <c r="G1165" i="64"/>
  <c r="U1057" i="64"/>
  <c r="BT1187" i="64"/>
  <c r="G1152" i="64"/>
  <c r="AU1112" i="64"/>
  <c r="T1137" i="64"/>
  <c r="AU1119" i="64"/>
  <c r="AT1185" i="64"/>
  <c r="AT1130" i="64"/>
  <c r="G1137" i="64"/>
  <c r="CH1099" i="64"/>
  <c r="BH1090" i="64"/>
  <c r="BG1163" i="64"/>
  <c r="BU1090" i="64"/>
  <c r="G1163" i="64"/>
  <c r="AT1177" i="64"/>
  <c r="AT1146" i="64"/>
  <c r="BU1073" i="64"/>
  <c r="AH1073" i="64"/>
  <c r="CH1073" i="64"/>
  <c r="U1073" i="64"/>
  <c r="CH1117" i="64"/>
  <c r="BT1150" i="64"/>
  <c r="BU1091" i="64"/>
  <c r="T1156" i="64"/>
  <c r="BG1153" i="64"/>
  <c r="AH1080" i="64"/>
  <c r="U1080" i="64"/>
  <c r="AU1088" i="64"/>
  <c r="AT1161" i="64"/>
  <c r="AG1161" i="64"/>
  <c r="U1088" i="64"/>
  <c r="BT1176" i="64"/>
  <c r="BH1103" i="64"/>
  <c r="CH1103" i="64"/>
  <c r="BU1103" i="64"/>
  <c r="BG1176" i="64"/>
  <c r="G1181" i="64"/>
  <c r="AG1190" i="64"/>
  <c r="U1067" i="64"/>
  <c r="AT1127" i="64"/>
  <c r="T1131" i="64"/>
  <c r="AU1058" i="64"/>
  <c r="U1056" i="64"/>
  <c r="AU1094" i="64"/>
  <c r="CH1089" i="64"/>
  <c r="BU1095" i="64"/>
  <c r="BG1183" i="64"/>
  <c r="AH1119" i="64"/>
  <c r="G1132" i="64"/>
  <c r="U1100" i="64"/>
  <c r="AU1101" i="64"/>
  <c r="CH1093" i="64"/>
  <c r="BG1166" i="64"/>
  <c r="U1117" i="64"/>
  <c r="T1158" i="64"/>
  <c r="BT1136" i="64"/>
  <c r="AT1136" i="64"/>
  <c r="G1154" i="64"/>
  <c r="CH1081" i="64"/>
  <c r="G1192" i="64"/>
  <c r="CH1064" i="64"/>
  <c r="AT1178" i="64"/>
  <c r="T1182" i="64"/>
  <c r="AG1139" i="64"/>
  <c r="BG1139" i="64"/>
  <c r="CH1066" i="64"/>
  <c r="AU1066" i="64"/>
  <c r="G1139" i="64"/>
  <c r="BU1074" i="64"/>
  <c r="AG1159" i="64"/>
  <c r="BT1159" i="64"/>
  <c r="AU1086" i="64"/>
  <c r="U1075" i="64"/>
  <c r="CH1075" i="64"/>
  <c r="BT1160" i="64"/>
  <c r="AT1160" i="64"/>
  <c r="AG1160" i="64"/>
  <c r="AU1087" i="64"/>
  <c r="G1174" i="64"/>
  <c r="AG1134" i="64"/>
  <c r="U1061" i="64"/>
  <c r="AH1061" i="64"/>
  <c r="BT1135" i="64"/>
  <c r="AU1106" i="64"/>
  <c r="T1179" i="64"/>
  <c r="AT1182" i="64"/>
  <c r="AU1108" i="64"/>
  <c r="G1168" i="64"/>
  <c r="AT1168" i="64"/>
  <c r="BT1175" i="64"/>
  <c r="AG1182" i="64"/>
  <c r="BG1192" i="64"/>
  <c r="AT1183" i="64"/>
  <c r="U1069" i="64"/>
  <c r="T1132" i="64"/>
  <c r="G1150" i="64"/>
  <c r="AG1150" i="64"/>
  <c r="T1149" i="64"/>
  <c r="AT1156" i="64"/>
  <c r="AG1144" i="64"/>
  <c r="U1093" i="64"/>
  <c r="BT1170" i="64"/>
  <c r="G1158" i="64"/>
  <c r="BG1136" i="64"/>
  <c r="G1175" i="64"/>
  <c r="CH1119" i="64"/>
  <c r="BT1189" i="64"/>
  <c r="AG1178" i="64"/>
  <c r="CH1077" i="64"/>
  <c r="U1066" i="64"/>
  <c r="CH1086" i="64"/>
  <c r="BG1159" i="64"/>
  <c r="BG1181" i="64"/>
  <c r="T1148" i="64"/>
  <c r="T1160" i="64"/>
  <c r="CH1087" i="64"/>
  <c r="U1087" i="64"/>
  <c r="AT1174" i="64"/>
  <c r="AT1134" i="64"/>
  <c r="BU1061" i="64"/>
  <c r="BT1134" i="64"/>
  <c r="G1134" i="64"/>
  <c r="BH1061" i="64"/>
  <c r="T1134" i="64"/>
  <c r="AT1135" i="64"/>
  <c r="CH1062" i="64"/>
  <c r="BG1135" i="64"/>
  <c r="U1106" i="64"/>
  <c r="BH1106" i="64"/>
  <c r="BT1179" i="64"/>
  <c r="AU1096" i="64"/>
  <c r="U1096" i="64"/>
  <c r="AG1133" i="64"/>
  <c r="BH1060" i="64"/>
  <c r="AT1133" i="64"/>
  <c r="BG1167" i="64"/>
  <c r="AT1128" i="64"/>
  <c r="BH1055" i="64"/>
  <c r="CH1055" i="64"/>
  <c r="T1151" i="64"/>
  <c r="U1078" i="64"/>
  <c r="AU1102" i="64"/>
  <c r="CH1102" i="64"/>
  <c r="BT1182" i="64"/>
  <c r="BG1180" i="64"/>
  <c r="BH1107" i="64"/>
  <c r="BU1092" i="64"/>
  <c r="BT1165" i="64"/>
  <c r="AH1092" i="64"/>
  <c r="U1092" i="64"/>
  <c r="BH1092" i="64"/>
  <c r="AH1089" i="64"/>
  <c r="CH1057" i="64"/>
  <c r="CH1118" i="64"/>
  <c r="BU1115" i="64"/>
  <c r="BH1064" i="64"/>
  <c r="BG1194" i="64"/>
  <c r="AH1114" i="64"/>
  <c r="CH1112" i="64"/>
  <c r="AG1187" i="64"/>
  <c r="BU1099" i="64"/>
  <c r="CH1090" i="64"/>
  <c r="BT1163" i="64"/>
  <c r="BG1177" i="64"/>
  <c r="G1178" i="64"/>
  <c r="BG1146" i="64"/>
  <c r="AH1074" i="64"/>
  <c r="T1147" i="64"/>
  <c r="CH1091" i="64"/>
  <c r="AH1108" i="64"/>
  <c r="AU1080" i="64"/>
  <c r="BU1080" i="64"/>
  <c r="AU1109" i="64"/>
  <c r="G1161" i="64"/>
  <c r="BH1088" i="64"/>
  <c r="AT1167" i="64"/>
  <c r="AH1103" i="64"/>
  <c r="AT1176" i="64"/>
  <c r="G1176" i="64"/>
  <c r="BH1098" i="64"/>
  <c r="CH1098" i="64"/>
  <c r="BU1098" i="64"/>
  <c r="U1098" i="64"/>
  <c r="BU1111" i="64"/>
  <c r="AG1192" i="64"/>
  <c r="G1184" i="64"/>
  <c r="AU1116" i="64"/>
  <c r="BT1183" i="64"/>
  <c r="BU1057" i="64"/>
  <c r="BG1187" i="64"/>
  <c r="BG1137" i="64"/>
  <c r="U1055" i="64"/>
  <c r="AG1175" i="64"/>
  <c r="U1107" i="64"/>
  <c r="AT1165" i="64"/>
  <c r="AH1116" i="64"/>
  <c r="AG1188" i="64"/>
  <c r="U1090" i="64"/>
  <c r="BU1105" i="64"/>
  <c r="BU1083" i="64"/>
  <c r="T1153" i="64"/>
  <c r="AG1153" i="64"/>
  <c r="BG1161" i="64"/>
  <c r="U1103" i="64"/>
  <c r="BG1171" i="64"/>
  <c r="T1171" i="64"/>
  <c r="G1171" i="64"/>
  <c r="AU1098" i="64"/>
  <c r="T1175" i="64"/>
  <c r="BH1057" i="64"/>
  <c r="AG1130" i="64"/>
  <c r="AH1057" i="64"/>
  <c r="BH1119" i="64"/>
  <c r="AH1115" i="64"/>
  <c r="T1194" i="64"/>
  <c r="T1188" i="64"/>
  <c r="BG1141" i="64"/>
  <c r="AH1068" i="64"/>
  <c r="AG1141" i="64"/>
  <c r="BU1068" i="64"/>
  <c r="BG1172" i="64"/>
  <c r="G1177" i="64"/>
  <c r="BG1145" i="64"/>
  <c r="AH1072" i="64"/>
  <c r="U1072" i="64"/>
  <c r="AU1072" i="64"/>
  <c r="AH1077" i="64"/>
  <c r="U1109" i="64"/>
  <c r="AT1147" i="64"/>
  <c r="CH1074" i="64"/>
  <c r="AT1138" i="64"/>
  <c r="BG1138" i="64"/>
  <c r="T1138" i="64"/>
  <c r="BH1065" i="64"/>
  <c r="AH1082" i="64"/>
  <c r="BT1155" i="64"/>
  <c r="AG1156" i="64"/>
  <c r="BH1083" i="64"/>
  <c r="BG1190" i="64"/>
  <c r="AG1176" i="64"/>
  <c r="AT1152" i="64"/>
  <c r="BU1104" i="64"/>
  <c r="U1104" i="64"/>
  <c r="BU1108" i="64"/>
  <c r="G1145" i="64"/>
  <c r="CH1072" i="64"/>
  <c r="BU1120" i="64"/>
  <c r="AU1082" i="64"/>
  <c r="AU1083" i="64"/>
  <c r="T1128" i="64"/>
  <c r="G1128" i="64"/>
  <c r="AH1107" i="64"/>
  <c r="AU1079" i="64"/>
  <c r="BH1111" i="64"/>
  <c r="AU1099" i="64"/>
  <c r="AU1090" i="64"/>
  <c r="BG1150" i="64"/>
  <c r="AT1153" i="64"/>
  <c r="BT1153" i="64"/>
  <c r="T1161" i="64"/>
  <c r="CH1088" i="64"/>
  <c r="AU1103" i="64"/>
  <c r="AH1098" i="64"/>
  <c r="AT1162" i="64"/>
  <c r="AH1110" i="64"/>
  <c r="BU1064" i="64"/>
  <c r="BH1114" i="64"/>
  <c r="BU1114" i="64"/>
  <c r="BU1116" i="64"/>
  <c r="U1114" i="64"/>
  <c r="T1192" i="64"/>
  <c r="U1068" i="64"/>
  <c r="AU1068" i="64"/>
  <c r="G1172" i="64"/>
  <c r="CH1105" i="64"/>
  <c r="BH1072" i="64"/>
  <c r="BT1145" i="64"/>
  <c r="BU1077" i="64"/>
  <c r="G1147" i="64"/>
  <c r="AU1074" i="64"/>
  <c r="AG1164" i="64"/>
  <c r="T1164" i="64"/>
  <c r="BU1065" i="64"/>
  <c r="AU1065" i="64"/>
  <c r="AH1065" i="64"/>
  <c r="BT1138" i="64"/>
  <c r="AG1138" i="64"/>
  <c r="AG1155" i="64"/>
  <c r="BG1155" i="64"/>
  <c r="BU1082" i="64"/>
  <c r="U1083" i="64"/>
  <c r="BT1156" i="64"/>
  <c r="CH1079" i="64"/>
  <c r="BH1104" i="64"/>
  <c r="BH1080" i="64"/>
  <c r="AG1171" i="64"/>
  <c r="BT1151" i="64"/>
  <c r="AU1064" i="64"/>
  <c r="T1184" i="64"/>
  <c r="G1141" i="64"/>
  <c r="CH1068" i="64"/>
  <c r="AT1141" i="64"/>
  <c r="AT1145" i="64"/>
  <c r="AG1145" i="64"/>
  <c r="AG1147" i="64"/>
  <c r="BH1091" i="64"/>
  <c r="U1065" i="64"/>
  <c r="CH1082" i="64"/>
  <c r="AT1169" i="64"/>
  <c r="BT1193" i="64"/>
  <c r="U1060" i="64"/>
  <c r="BU1060" i="64"/>
  <c r="AG1165" i="64"/>
  <c r="BU1079" i="64"/>
  <c r="BT1191" i="64"/>
  <c r="AG1172" i="64"/>
  <c r="T1172" i="64"/>
  <c r="AG1163" i="64"/>
  <c r="G1146" i="64"/>
  <c r="AT1164" i="64"/>
  <c r="G1153" i="64"/>
  <c r="CH1080" i="64"/>
  <c r="AU1120" i="64"/>
  <c r="BU1088" i="64"/>
  <c r="BT1161" i="64"/>
  <c r="AH1088" i="64"/>
  <c r="U1094" i="64"/>
  <c r="T1176" i="64"/>
  <c r="BT1171" i="64"/>
  <c r="BH1102" i="64"/>
  <c r="AT1187" i="64"/>
  <c r="BT1130" i="64"/>
  <c r="T1189" i="64"/>
  <c r="AG1189" i="64"/>
  <c r="AH1118" i="64"/>
  <c r="AU1114" i="64"/>
  <c r="BT1141" i="64"/>
  <c r="BH1068" i="64"/>
  <c r="U1099" i="64"/>
  <c r="BT1172" i="64"/>
  <c r="AG1177" i="64"/>
  <c r="AH1105" i="64"/>
  <c r="BH1105" i="64"/>
  <c r="T1145" i="64"/>
  <c r="BU1072" i="64"/>
  <c r="CH1065" i="64"/>
  <c r="U1082" i="64"/>
  <c r="T1155" i="64"/>
  <c r="G1155" i="64"/>
  <c r="AT1155" i="64"/>
  <c r="AH1096" i="64"/>
  <c r="BG1133" i="64"/>
  <c r="AT1151" i="64"/>
  <c r="BU1107" i="64"/>
  <c r="BG1165" i="64"/>
  <c r="AG1183" i="64"/>
  <c r="AU1117" i="64"/>
  <c r="AT1171" i="64"/>
  <c r="AT1188" i="64"/>
  <c r="AU1111" i="64"/>
  <c r="G1183" i="64"/>
  <c r="T1141" i="64"/>
  <c r="BT1177" i="64"/>
  <c r="U1091" i="64"/>
  <c r="G1138" i="64"/>
  <c r="BH1082" i="64"/>
  <c r="AH1083" i="64"/>
  <c r="CF1181" i="64"/>
  <c r="CF1147" i="64"/>
  <c r="CT1058" i="64"/>
  <c r="CT1076" i="64"/>
  <c r="CF1133" i="64"/>
  <c r="CT1092" i="64"/>
  <c r="M890" i="64"/>
  <c r="O402" i="64"/>
  <c r="I987" i="64"/>
  <c r="I1058" i="64" s="1"/>
  <c r="I1009" i="64"/>
  <c r="I1080" i="64" s="1"/>
  <c r="I996" i="64"/>
  <c r="I1067" i="64" s="1"/>
  <c r="I1020" i="64"/>
  <c r="I1091" i="64" s="1"/>
  <c r="I1039" i="64"/>
  <c r="I1110" i="64" s="1"/>
  <c r="CF1168" i="64"/>
  <c r="CF1150" i="64"/>
  <c r="CT1116" i="64"/>
  <c r="CF1132" i="64"/>
  <c r="CF1166" i="64"/>
  <c r="CT1085" i="64"/>
  <c r="CF1160" i="64"/>
  <c r="CT1098" i="64"/>
  <c r="M897" i="64"/>
  <c r="O409" i="64"/>
  <c r="P600" i="77"/>
  <c r="AL815" i="64"/>
  <c r="AY815" i="64"/>
  <c r="AL861" i="64"/>
  <c r="AY861" i="64"/>
  <c r="AL795" i="64"/>
  <c r="AY795" i="64"/>
  <c r="AY793" i="64"/>
  <c r="AL793" i="64"/>
  <c r="L720" i="64"/>
  <c r="M259" i="64"/>
  <c r="M200" i="64"/>
  <c r="AY716" i="64"/>
  <c r="AL716" i="64"/>
  <c r="L726" i="64"/>
  <c r="M265" i="64"/>
  <c r="M206" i="64"/>
  <c r="AY678" i="64"/>
  <c r="AL678" i="64"/>
  <c r="AY750" i="64"/>
  <c r="AL750" i="64"/>
  <c r="M201" i="64"/>
  <c r="M260" i="64"/>
  <c r="AL785" i="64"/>
  <c r="AY785" i="64"/>
  <c r="AY725" i="64"/>
  <c r="AL725" i="64"/>
  <c r="AY679" i="64"/>
  <c r="AL679" i="64"/>
  <c r="L682" i="64"/>
  <c r="AY719" i="64"/>
  <c r="AL719" i="64"/>
  <c r="N522" i="64"/>
  <c r="N514" i="64"/>
  <c r="N505" i="64"/>
  <c r="N501" i="64"/>
  <c r="M889" i="64"/>
  <c r="N512" i="64"/>
  <c r="N503" i="64"/>
  <c r="N499" i="64"/>
  <c r="N523" i="64"/>
  <c r="N515" i="64"/>
  <c r="N506" i="64"/>
  <c r="N502" i="64"/>
  <c r="N498" i="64"/>
  <c r="O382" i="64"/>
  <c r="O371" i="64"/>
  <c r="O363" i="64"/>
  <c r="O349" i="64"/>
  <c r="N521" i="64"/>
  <c r="O387" i="64"/>
  <c r="O384" i="64"/>
  <c r="O380" i="64"/>
  <c r="O354" i="64"/>
  <c r="O352" i="64"/>
  <c r="O340" i="64"/>
  <c r="O333" i="64"/>
  <c r="O321" i="64"/>
  <c r="O317" i="64"/>
  <c r="O314" i="64"/>
  <c r="O310" i="64"/>
  <c r="O306" i="64"/>
  <c r="O302" i="64"/>
  <c r="O298" i="64"/>
  <c r="N513" i="64"/>
  <c r="N504" i="64"/>
  <c r="N500" i="64"/>
  <c r="O383" i="64"/>
  <c r="O381" i="64"/>
  <c r="O350" i="64"/>
  <c r="O347" i="64"/>
  <c r="O335" i="64"/>
  <c r="O327" i="64"/>
  <c r="O323" i="64"/>
  <c r="O319" i="64"/>
  <c r="O312" i="64"/>
  <c r="O308" i="64"/>
  <c r="O304" i="64"/>
  <c r="O296" i="64"/>
  <c r="O292" i="64"/>
  <c r="O401" i="64"/>
  <c r="O362" i="64"/>
  <c r="O360" i="64"/>
  <c r="O351" i="64"/>
  <c r="O341" i="64"/>
  <c r="O334" i="64"/>
  <c r="O322" i="64"/>
  <c r="O318" i="64"/>
  <c r="O311" i="64"/>
  <c r="O307" i="64"/>
  <c r="O303" i="64"/>
  <c r="O295" i="64"/>
  <c r="O291" i="64"/>
  <c r="O372" i="64"/>
  <c r="O313" i="64"/>
  <c r="O309" i="64"/>
  <c r="O353" i="64"/>
  <c r="O305" i="64"/>
  <c r="O320" i="64"/>
  <c r="O297" i="64"/>
  <c r="O370" i="64"/>
  <c r="O361" i="64"/>
  <c r="O348" i="64"/>
  <c r="O336" i="64"/>
  <c r="O328" i="64"/>
  <c r="O293" i="64"/>
  <c r="N332" i="64"/>
  <c r="M912" i="64"/>
  <c r="O424" i="64"/>
  <c r="CF1151" i="64"/>
  <c r="CT1104" i="64"/>
  <c r="CF1190" i="64"/>
  <c r="CF1188" i="64"/>
  <c r="CF1167" i="64"/>
  <c r="CT1060" i="64"/>
  <c r="AK737" i="64"/>
  <c r="M893" i="64"/>
  <c r="O405" i="64"/>
  <c r="M768" i="64"/>
  <c r="M797" i="64"/>
  <c r="N785" i="64"/>
  <c r="N772" i="64"/>
  <c r="N764" i="64"/>
  <c r="N779" i="64"/>
  <c r="N750" i="64"/>
  <c r="N769" i="64"/>
  <c r="N793" i="64"/>
  <c r="N771" i="64"/>
  <c r="N745" i="64"/>
  <c r="N744" i="64"/>
  <c r="N788" i="64"/>
  <c r="N756" i="64"/>
  <c r="M907" i="64"/>
  <c r="N780" i="64"/>
  <c r="N775" i="64"/>
  <c r="N766" i="64"/>
  <c r="N562" i="64"/>
  <c r="N560" i="64"/>
  <c r="N553" i="64"/>
  <c r="N551" i="64"/>
  <c r="N542" i="64"/>
  <c r="N538" i="64"/>
  <c r="N763" i="64"/>
  <c r="N554" i="64"/>
  <c r="N552" i="64"/>
  <c r="N543" i="64"/>
  <c r="N539" i="64"/>
  <c r="N561" i="64"/>
  <c r="N544" i="64"/>
  <c r="N540" i="64"/>
  <c r="N545" i="64"/>
  <c r="N541" i="64"/>
  <c r="N537" i="64"/>
  <c r="O419" i="64"/>
  <c r="N762" i="64"/>
  <c r="N748" i="64"/>
  <c r="N757" i="64"/>
  <c r="N749" i="64"/>
  <c r="N774" i="64"/>
  <c r="N743" i="64"/>
  <c r="N765" i="64"/>
  <c r="N786" i="64"/>
  <c r="N760" i="64"/>
  <c r="N754" i="64"/>
  <c r="N773" i="64"/>
  <c r="N747" i="64"/>
  <c r="N792" i="64"/>
  <c r="N755" i="64"/>
  <c r="N761" i="64"/>
  <c r="N759" i="64"/>
  <c r="N787" i="64"/>
  <c r="N758" i="64"/>
  <c r="N770" i="64"/>
  <c r="M550" i="64"/>
  <c r="L628" i="64"/>
  <c r="L611" i="64"/>
  <c r="L612" i="64" s="1"/>
  <c r="M132" i="64" s="1"/>
  <c r="L531" i="64"/>
  <c r="AI1471" i="79"/>
  <c r="CF1136" i="64"/>
  <c r="CF1176" i="64"/>
  <c r="F12" i="71"/>
  <c r="CT1089" i="64"/>
  <c r="CT1056" i="64"/>
  <c r="CF1152" i="64"/>
  <c r="CT1119" i="64"/>
  <c r="CF1193" i="64"/>
  <c r="CT1081" i="64"/>
  <c r="CT1069" i="64"/>
  <c r="CF1146" i="64"/>
  <c r="CT1106" i="64"/>
  <c r="CT1068" i="64"/>
  <c r="AK879" i="64"/>
  <c r="AK882" i="64" s="1"/>
  <c r="AI1458" i="79"/>
  <c r="AI1638" i="79" s="1"/>
  <c r="I989" i="64"/>
  <c r="I1060" i="64" s="1"/>
  <c r="I984" i="64"/>
  <c r="I1055" i="64" s="1"/>
  <c r="I1013" i="64"/>
  <c r="I1084" i="64" s="1"/>
  <c r="I988" i="64"/>
  <c r="I1059" i="64" s="1"/>
  <c r="I990" i="64"/>
  <c r="I1061" i="64" s="1"/>
  <c r="I1012" i="64"/>
  <c r="I1083" i="64" s="1"/>
  <c r="I1003" i="64"/>
  <c r="I1074" i="64" s="1"/>
  <c r="I999" i="64"/>
  <c r="I1070" i="64" s="1"/>
  <c r="I1042" i="64"/>
  <c r="I1113" i="64" s="1"/>
  <c r="CT1105" i="64"/>
  <c r="CF1177" i="64"/>
  <c r="CT1110" i="64"/>
  <c r="CT1112" i="64"/>
  <c r="CF1135" i="64"/>
  <c r="CT1103" i="64"/>
  <c r="CT1061" i="64"/>
  <c r="CF1138" i="64"/>
  <c r="M899" i="64"/>
  <c r="O411" i="64"/>
  <c r="M911" i="64"/>
  <c r="O423" i="64"/>
  <c r="AY819" i="64"/>
  <c r="AL819" i="64"/>
  <c r="AY863" i="64"/>
  <c r="AL863" i="64"/>
  <c r="AY822" i="64"/>
  <c r="AL822" i="64"/>
  <c r="AY856" i="64"/>
  <c r="Y879" i="64"/>
  <c r="AL856" i="64"/>
  <c r="AY814" i="64"/>
  <c r="AL814" i="64"/>
  <c r="AY865" i="64"/>
  <c r="AL865" i="64"/>
  <c r="AL743" i="64"/>
  <c r="AY743" i="64"/>
  <c r="AY787" i="64"/>
  <c r="AL787" i="64"/>
  <c r="AY746" i="64"/>
  <c r="AL746" i="64"/>
  <c r="AY794" i="64"/>
  <c r="AL794" i="64"/>
  <c r="AL714" i="64"/>
  <c r="AY714" i="64"/>
  <c r="Y737" i="64"/>
  <c r="AY751" i="64"/>
  <c r="AL751" i="64"/>
  <c r="AY676" i="64"/>
  <c r="AL676" i="64"/>
  <c r="AY868" i="64"/>
  <c r="AL868" i="64"/>
  <c r="L675" i="64"/>
  <c r="M266" i="64"/>
  <c r="M207" i="64"/>
  <c r="AY717" i="64"/>
  <c r="AL717" i="64"/>
  <c r="AY677" i="64"/>
  <c r="AL677" i="64"/>
  <c r="AY681" i="64"/>
  <c r="AL681" i="64"/>
  <c r="N290" i="64"/>
  <c r="M895" i="64"/>
  <c r="O407" i="64"/>
  <c r="M909" i="64"/>
  <c r="O421" i="64"/>
  <c r="CT1095" i="64"/>
  <c r="CF1191" i="64"/>
  <c r="CT1078" i="64"/>
  <c r="CF1143" i="64"/>
  <c r="CF1137" i="64"/>
  <c r="CT1070" i="64"/>
  <c r="CT1073" i="64"/>
  <c r="CF1179" i="64"/>
  <c r="M898" i="64"/>
  <c r="O410" i="64"/>
  <c r="AX737" i="64"/>
  <c r="K387" i="77"/>
  <c r="I319" i="77"/>
  <c r="H239" i="85"/>
  <c r="I337" i="77" s="1"/>
  <c r="C75" i="83"/>
  <c r="I25" i="85"/>
  <c r="E75" i="83"/>
  <c r="I615" i="73"/>
  <c r="I616" i="73"/>
  <c r="I50" i="73"/>
  <c r="G33" i="9" s="1"/>
  <c r="F50" i="10" s="1"/>
  <c r="L41" i="73"/>
  <c r="M12" i="73" s="1"/>
  <c r="G14" i="74"/>
  <c r="G12" i="74" s="1"/>
  <c r="J616" i="73"/>
  <c r="J615" i="73"/>
  <c r="J50" i="73"/>
  <c r="C19" i="80"/>
  <c r="K42" i="73"/>
  <c r="K603" i="73"/>
  <c r="K591" i="73"/>
  <c r="K597" i="73" s="1"/>
  <c r="L118" i="85"/>
  <c r="L134" i="85" s="1"/>
  <c r="L135" i="85" s="1"/>
  <c r="J591" i="73"/>
  <c r="J597" i="73" s="1"/>
  <c r="K680" i="77" s="1"/>
  <c r="J603" i="73"/>
  <c r="I607" i="73"/>
  <c r="J401" i="77" s="1"/>
  <c r="I606" i="73"/>
  <c r="N89" i="85"/>
  <c r="N107" i="85" s="1"/>
  <c r="L310" i="73"/>
  <c r="L325" i="73" s="1"/>
  <c r="L326" i="73" s="1"/>
  <c r="J590" i="73"/>
  <c r="J596" i="73" s="1"/>
  <c r="K681" i="77" s="1"/>
  <c r="J604" i="73"/>
  <c r="K135" i="85"/>
  <c r="U441" i="40" l="1"/>
  <c r="M1458" i="79"/>
  <c r="M1638" i="79" s="1"/>
  <c r="U438" i="40"/>
  <c r="U440" i="40"/>
  <c r="U407" i="40"/>
  <c r="M122" i="8"/>
  <c r="M128" i="8"/>
  <c r="M139" i="8" s="1"/>
  <c r="M147" i="8" s="1"/>
  <c r="M155" i="8" s="1"/>
  <c r="M166" i="8" s="1"/>
  <c r="M172" i="8" s="1"/>
  <c r="O6" i="8"/>
  <c r="O10" i="8" s="1"/>
  <c r="O58" i="8" s="1"/>
  <c r="O91" i="8" s="1"/>
  <c r="O115" i="8" s="1"/>
  <c r="N10" i="8"/>
  <c r="N58" i="8" s="1"/>
  <c r="N91" i="8" s="1"/>
  <c r="N115" i="8" s="1"/>
  <c r="L572" i="74"/>
  <c r="L240" i="74"/>
  <c r="L571" i="74"/>
  <c r="L564" i="74"/>
  <c r="CO1284" i="64"/>
  <c r="B1284" i="64"/>
  <c r="J1034" i="64"/>
  <c r="J1105" i="64" s="1"/>
  <c r="M638" i="64"/>
  <c r="I9" i="74"/>
  <c r="J14" i="74" s="1"/>
  <c r="H33" i="9"/>
  <c r="G50" i="10" s="1"/>
  <c r="F33" i="9"/>
  <c r="N639" i="64"/>
  <c r="N640" i="64"/>
  <c r="N877" i="64"/>
  <c r="U398" i="40"/>
  <c r="O876" i="64"/>
  <c r="O872" i="64"/>
  <c r="O871" i="64"/>
  <c r="O874" i="64"/>
  <c r="O870" i="64"/>
  <c r="O869" i="64"/>
  <c r="O873" i="64"/>
  <c r="U406" i="40"/>
  <c r="M735" i="64"/>
  <c r="N806" i="64"/>
  <c r="O805" i="64"/>
  <c r="O803" i="64"/>
  <c r="O799" i="64"/>
  <c r="O802" i="64"/>
  <c r="O801" i="64"/>
  <c r="O800" i="64"/>
  <c r="O798" i="64"/>
  <c r="N730" i="64"/>
  <c r="N731" i="64"/>
  <c r="N732" i="64"/>
  <c r="N727" i="64"/>
  <c r="N734" i="64"/>
  <c r="N729" i="64"/>
  <c r="N728" i="64"/>
  <c r="U435" i="40"/>
  <c r="U392" i="40"/>
  <c r="U408" i="40"/>
  <c r="N267" i="64"/>
  <c r="J399" i="40"/>
  <c r="J407" i="40"/>
  <c r="J406" i="40"/>
  <c r="J391" i="40"/>
  <c r="J401" i="40"/>
  <c r="J409" i="40"/>
  <c r="J418" i="40"/>
  <c r="J405" i="40"/>
  <c r="J432" i="40"/>
  <c r="J440" i="40"/>
  <c r="J387" i="40"/>
  <c r="J410" i="40"/>
  <c r="J441" i="40"/>
  <c r="J403" i="40"/>
  <c r="J400" i="40"/>
  <c r="J434" i="40"/>
  <c r="J397" i="40"/>
  <c r="J398" i="40"/>
  <c r="J408" i="40"/>
  <c r="J417" i="40"/>
  <c r="J436" i="40"/>
  <c r="J404" i="40"/>
  <c r="J392" i="40"/>
  <c r="J431" i="40"/>
  <c r="J439" i="40"/>
  <c r="J433" i="40"/>
  <c r="J394" i="40"/>
  <c r="J411" i="40"/>
  <c r="J430" i="40"/>
  <c r="J438" i="40"/>
  <c r="J402" i="40"/>
  <c r="J396" i="40"/>
  <c r="J437" i="40"/>
  <c r="J435" i="40"/>
  <c r="B1303" i="64"/>
  <c r="CO1303" i="64"/>
  <c r="U417" i="40"/>
  <c r="U405" i="40"/>
  <c r="Z1034" i="64"/>
  <c r="B1287" i="64"/>
  <c r="CO1287" i="64"/>
  <c r="O794" i="64"/>
  <c r="CJ1231" i="64"/>
  <c r="BJ1218" i="64"/>
  <c r="AJ1262" i="64"/>
  <c r="J1316" i="64"/>
  <c r="AW1245" i="64"/>
  <c r="AW1324" i="64"/>
  <c r="CJ1211" i="64"/>
  <c r="BJ1340" i="64"/>
  <c r="AJ1260" i="64"/>
  <c r="AJ1206" i="64"/>
  <c r="W1294" i="64"/>
  <c r="W1301" i="64"/>
  <c r="AJ1265" i="64"/>
  <c r="BW1242" i="64"/>
  <c r="W1303" i="64"/>
  <c r="J1306" i="64"/>
  <c r="AJ1307" i="64"/>
  <c r="J1324" i="64"/>
  <c r="J1292" i="64"/>
  <c r="CJ1261" i="64"/>
  <c r="AW1242" i="64"/>
  <c r="AW1303" i="64"/>
  <c r="CW1209" i="64"/>
  <c r="CW1208" i="64"/>
  <c r="BJ1293" i="64"/>
  <c r="AJ1210" i="64"/>
  <c r="J1309" i="64"/>
  <c r="W1332" i="64"/>
  <c r="CJ1262" i="64"/>
  <c r="AJ1255" i="64"/>
  <c r="CJ1239" i="64"/>
  <c r="J1282" i="64"/>
  <c r="AJ1293" i="64"/>
  <c r="W1312" i="64"/>
  <c r="CJ1252" i="64"/>
  <c r="BW1221" i="64"/>
  <c r="AJ1320" i="64"/>
  <c r="AW1249" i="64"/>
  <c r="BW1296" i="64"/>
  <c r="BW1238" i="64"/>
  <c r="AW1320" i="64"/>
  <c r="BJ1234" i="64"/>
  <c r="BW1317" i="64"/>
  <c r="BW1214" i="64"/>
  <c r="BJ1211" i="64"/>
  <c r="BJ1329" i="64"/>
  <c r="CW1229" i="64"/>
  <c r="AW1289" i="64"/>
  <c r="BJ1250" i="64"/>
  <c r="J1277" i="64"/>
  <c r="BW1277" i="64"/>
  <c r="AJ1241" i="64"/>
  <c r="BJ1315" i="64"/>
  <c r="AW1202" i="64"/>
  <c r="BW1335" i="64"/>
  <c r="BJ1313" i="64"/>
  <c r="J1302" i="64"/>
  <c r="W1325" i="64"/>
  <c r="BJ1299" i="64"/>
  <c r="AW1224" i="64"/>
  <c r="AJ1325" i="64"/>
  <c r="AW1244" i="64"/>
  <c r="AJ1253" i="64"/>
  <c r="W1310" i="64"/>
  <c r="W1302" i="64"/>
  <c r="CW1217" i="64"/>
  <c r="AJ1217" i="64"/>
  <c r="J1333" i="64"/>
  <c r="CJ1235" i="64"/>
  <c r="AJ1257" i="64"/>
  <c r="BW1321" i="64"/>
  <c r="CJ1257" i="64"/>
  <c r="CJ1248" i="64"/>
  <c r="AJ1339" i="64"/>
  <c r="W1287" i="64"/>
  <c r="W1322" i="64"/>
  <c r="BJ1228" i="64"/>
  <c r="AJ1305" i="64"/>
  <c r="M2289" i="79"/>
  <c r="M2290" i="79" s="1"/>
  <c r="M2291" i="79" s="1"/>
  <c r="BW1285" i="64"/>
  <c r="W1340" i="64"/>
  <c r="CW1264" i="64"/>
  <c r="BW1215" i="64"/>
  <c r="CW1227" i="64"/>
  <c r="AJ1226" i="64"/>
  <c r="AJ1336" i="64"/>
  <c r="AW1264" i="64"/>
  <c r="AJ1205" i="64"/>
  <c r="BW1254" i="64"/>
  <c r="AJ1327" i="64"/>
  <c r="AW1332" i="64"/>
  <c r="CW1255" i="64"/>
  <c r="W1319" i="64"/>
  <c r="J1289" i="64"/>
  <c r="BJ1307" i="64"/>
  <c r="AJ1250" i="64"/>
  <c r="CJ1218" i="64"/>
  <c r="BJ1333" i="64"/>
  <c r="J1338" i="64"/>
  <c r="CJ1229" i="64"/>
  <c r="AW1306" i="64"/>
  <c r="BW1228" i="64"/>
  <c r="AJ1276" i="64"/>
  <c r="AJ1247" i="64"/>
  <c r="AW1227" i="64"/>
  <c r="AJ1204" i="64"/>
  <c r="CJ1267" i="64"/>
  <c r="BW1286" i="64"/>
  <c r="BW1306" i="64"/>
  <c r="CW1233" i="64"/>
  <c r="AJ1219" i="64"/>
  <c r="AJ1295" i="64"/>
  <c r="W1277" i="64"/>
  <c r="BJ1298" i="64"/>
  <c r="BJ1277" i="64"/>
  <c r="BJ1295" i="64"/>
  <c r="AW1315" i="64"/>
  <c r="J1295" i="64"/>
  <c r="J1315" i="64"/>
  <c r="J1284" i="64"/>
  <c r="AJ1308" i="64"/>
  <c r="BW1218" i="64"/>
  <c r="CW1211" i="64"/>
  <c r="AJ1236" i="64"/>
  <c r="CW1239" i="64"/>
  <c r="BJ1294" i="64"/>
  <c r="J1304" i="64"/>
  <c r="AW1241" i="64"/>
  <c r="BJ1201" i="64"/>
  <c r="W1275" i="64"/>
  <c r="BW1275" i="64"/>
  <c r="AW1314" i="64"/>
  <c r="AW1204" i="64"/>
  <c r="AJ1281" i="64"/>
  <c r="BJ1297" i="64"/>
  <c r="BW1299" i="64"/>
  <c r="BJ1291" i="64"/>
  <c r="BJ1217" i="64"/>
  <c r="BW1291" i="64"/>
  <c r="AJ1314" i="64"/>
  <c r="AJ1285" i="64"/>
  <c r="BW1245" i="64"/>
  <c r="BW1297" i="64"/>
  <c r="CJ1241" i="64"/>
  <c r="AW1296" i="64"/>
  <c r="AW1337" i="64"/>
  <c r="AW1258" i="64"/>
  <c r="W1336" i="64"/>
  <c r="BW1301" i="64"/>
  <c r="AJ1341" i="64"/>
  <c r="BJ1318" i="64"/>
  <c r="AW1226" i="64"/>
  <c r="J1293" i="64"/>
  <c r="BW1232" i="64"/>
  <c r="AW1280" i="64"/>
  <c r="J1321" i="64"/>
  <c r="AW1309" i="64"/>
  <c r="BJ1339" i="64"/>
  <c r="J1337" i="64"/>
  <c r="AW1212" i="64"/>
  <c r="BJ1254" i="64"/>
  <c r="BW1327" i="64"/>
  <c r="AW1339" i="64"/>
  <c r="BW1330" i="64"/>
  <c r="AJ1311" i="64"/>
  <c r="CJ1205" i="64"/>
  <c r="AJ1287" i="64"/>
  <c r="AJ1300" i="64"/>
  <c r="CW1259" i="64"/>
  <c r="W1329" i="64"/>
  <c r="BJ1311" i="64"/>
  <c r="BJ1328" i="64"/>
  <c r="AW1287" i="64"/>
  <c r="AJ1309" i="64"/>
  <c r="BW1332" i="64"/>
  <c r="BJ1336" i="64"/>
  <c r="AW1330" i="64"/>
  <c r="BJ1239" i="64"/>
  <c r="CJ1206" i="64"/>
  <c r="CW1223" i="64"/>
  <c r="BJ1317" i="64"/>
  <c r="AJ1321" i="64"/>
  <c r="BJ1253" i="64"/>
  <c r="BW1261" i="64"/>
  <c r="AJ1242" i="64"/>
  <c r="BW1229" i="64"/>
  <c r="AJ1254" i="64"/>
  <c r="AJ1233" i="64"/>
  <c r="CW1219" i="64"/>
  <c r="BW1225" i="64"/>
  <c r="AW1222" i="64"/>
  <c r="AW1325" i="64"/>
  <c r="CW1241" i="64"/>
  <c r="BW1251" i="64"/>
  <c r="BW1201" i="64"/>
  <c r="CJ1225" i="64"/>
  <c r="BJ1275" i="64"/>
  <c r="BW1314" i="64"/>
  <c r="J1314" i="64"/>
  <c r="CW1226" i="64"/>
  <c r="BW1262" i="64"/>
  <c r="J1330" i="64"/>
  <c r="BJ1209" i="64"/>
  <c r="CW1254" i="64"/>
  <c r="AW1221" i="64"/>
  <c r="BW1298" i="64"/>
  <c r="AJ1298" i="64"/>
  <c r="J1298" i="64"/>
  <c r="BJ1308" i="64"/>
  <c r="W1327" i="64"/>
  <c r="BJ1256" i="64"/>
  <c r="J1280" i="64"/>
  <c r="AW1293" i="64"/>
  <c r="BJ1222" i="64"/>
  <c r="BW1241" i="64"/>
  <c r="AW1201" i="64"/>
  <c r="BW1315" i="64"/>
  <c r="AJ1243" i="64"/>
  <c r="CJ1263" i="64"/>
  <c r="BJ1306" i="64"/>
  <c r="BJ1225" i="64"/>
  <c r="CW1246" i="64"/>
  <c r="AW1240" i="64"/>
  <c r="CJ1237" i="64"/>
  <c r="BJ1338" i="64"/>
  <c r="AW1205" i="64"/>
  <c r="AW1336" i="64"/>
  <c r="CW1206" i="64"/>
  <c r="W1316" i="64"/>
  <c r="AJ1334" i="64"/>
  <c r="W1331" i="64"/>
  <c r="AW1206" i="64"/>
  <c r="BW1250" i="64"/>
  <c r="AO1034" i="64"/>
  <c r="K1252" i="64"/>
  <c r="X1252" i="64" s="1"/>
  <c r="N723" i="64"/>
  <c r="O267" i="64" s="1"/>
  <c r="O1401" i="79"/>
  <c r="J102" i="8" s="1"/>
  <c r="N2285" i="79"/>
  <c r="O283" i="64"/>
  <c r="O251" i="64"/>
  <c r="P342" i="64"/>
  <c r="O865" i="64"/>
  <c r="Z795" i="64"/>
  <c r="Z793" i="64"/>
  <c r="Z796" i="64"/>
  <c r="AZ796" i="64" s="1"/>
  <c r="AW1259" i="64"/>
  <c r="AJ1239" i="64"/>
  <c r="BJ1279" i="64"/>
  <c r="W1318" i="64"/>
  <c r="J1288" i="64"/>
  <c r="BW1240" i="64"/>
  <c r="AW1302" i="64"/>
  <c r="J1279" i="64"/>
  <c r="W1280" i="64"/>
  <c r="W1289" i="64"/>
  <c r="CW1236" i="64"/>
  <c r="BW1234" i="64"/>
  <c r="CJ1228" i="64"/>
  <c r="AW1229" i="64"/>
  <c r="AJ1340" i="64"/>
  <c r="BW1247" i="64"/>
  <c r="AJ1330" i="64"/>
  <c r="AJ1240" i="64"/>
  <c r="BJ1208" i="64"/>
  <c r="CW1207" i="64"/>
  <c r="BJ1258" i="64"/>
  <c r="AJ1322" i="64"/>
  <c r="BJ1332" i="64"/>
  <c r="AW1243" i="64"/>
  <c r="BW1328" i="64"/>
  <c r="J1310" i="64"/>
  <c r="AW1247" i="64"/>
  <c r="W1337" i="64"/>
  <c r="CW1235" i="64"/>
  <c r="AW1254" i="64"/>
  <c r="AW1334" i="64"/>
  <c r="AW1265" i="64"/>
  <c r="AW1321" i="64"/>
  <c r="AJ1315" i="64"/>
  <c r="BJ1238" i="64"/>
  <c r="CW1251" i="64"/>
  <c r="BW1320" i="64"/>
  <c r="J1296" i="64"/>
  <c r="AW1230" i="64"/>
  <c r="J1287" i="64"/>
  <c r="CW1232" i="64"/>
  <c r="BJ1237" i="64"/>
  <c r="W1330" i="64"/>
  <c r="AW1300" i="64"/>
  <c r="AJ1292" i="64"/>
  <c r="J1318" i="64"/>
  <c r="BJ1305" i="64"/>
  <c r="BJ1210" i="64"/>
  <c r="CW1201" i="64"/>
  <c r="BW1252" i="64"/>
  <c r="BW1295" i="64"/>
  <c r="W1315" i="64"/>
  <c r="J1299" i="64"/>
  <c r="BW1249" i="64"/>
  <c r="AW1246" i="64"/>
  <c r="AW1251" i="64"/>
  <c r="CJ1201" i="64"/>
  <c r="AW1217" i="64"/>
  <c r="AJ1238" i="64"/>
  <c r="AW1216" i="64"/>
  <c r="AJ1228" i="64"/>
  <c r="AJ1220" i="64"/>
  <c r="AJ1306" i="64"/>
  <c r="AJ1237" i="64"/>
  <c r="AW1267" i="64"/>
  <c r="BJ1266" i="64"/>
  <c r="CW1265" i="64"/>
  <c r="BW1309" i="64"/>
  <c r="BW1210" i="64"/>
  <c r="AJ1318" i="64"/>
  <c r="CW1243" i="64"/>
  <c r="BW1203" i="64"/>
  <c r="BJ1251" i="64"/>
  <c r="AJ1249" i="64"/>
  <c r="J1320" i="64"/>
  <c r="W1295" i="64"/>
  <c r="CW1222" i="64"/>
  <c r="AW1291" i="64"/>
  <c r="J1312" i="64"/>
  <c r="BW1246" i="64"/>
  <c r="W1298" i="64"/>
  <c r="BJ1323" i="64"/>
  <c r="W1282" i="64"/>
  <c r="CW1205" i="64"/>
  <c r="CJ1207" i="64"/>
  <c r="BJ1303" i="64"/>
  <c r="CJ1242" i="64"/>
  <c r="CJ1217" i="64"/>
  <c r="BW1323" i="64"/>
  <c r="CW1252" i="64"/>
  <c r="BW1322" i="64"/>
  <c r="W1291" i="64"/>
  <c r="AJ1304" i="64"/>
  <c r="BJ1252" i="64"/>
  <c r="BW1248" i="64"/>
  <c r="CJ1247" i="64"/>
  <c r="W1305" i="64"/>
  <c r="BW1204" i="64"/>
  <c r="BW1337" i="64"/>
  <c r="AJ1316" i="64"/>
  <c r="W1281" i="64"/>
  <c r="BJ1220" i="64"/>
  <c r="J1297" i="64"/>
  <c r="AW1304" i="64"/>
  <c r="AJ1326" i="64"/>
  <c r="AW1312" i="64"/>
  <c r="J1326" i="64"/>
  <c r="CJ1230" i="64"/>
  <c r="AJ1246" i="64"/>
  <c r="AJ1230" i="64"/>
  <c r="BJ1203" i="64"/>
  <c r="W1317" i="64"/>
  <c r="CW1247" i="64"/>
  <c r="CJ1244" i="64"/>
  <c r="CJ1258" i="64"/>
  <c r="BW1236" i="64"/>
  <c r="AW1237" i="64"/>
  <c r="BJ1289" i="64"/>
  <c r="AJ1323" i="64"/>
  <c r="CW1238" i="64"/>
  <c r="CW1248" i="64"/>
  <c r="BJ1249" i="64"/>
  <c r="CW1240" i="64"/>
  <c r="CJ1253" i="64"/>
  <c r="J1341" i="64"/>
  <c r="W1297" i="64"/>
  <c r="W1300" i="64"/>
  <c r="AW1288" i="64"/>
  <c r="AJ1267" i="64"/>
  <c r="W1290" i="64"/>
  <c r="AJ1258" i="64"/>
  <c r="BJ1319" i="64"/>
  <c r="W1334" i="64"/>
  <c r="AW1220" i="64"/>
  <c r="CW1261" i="64"/>
  <c r="BW1212" i="64"/>
  <c r="AW1211" i="64"/>
  <c r="BW1207" i="64"/>
  <c r="BW1324" i="64"/>
  <c r="AW1266" i="64"/>
  <c r="CJ1219" i="64"/>
  <c r="AJ1207" i="64"/>
  <c r="BW1233" i="64"/>
  <c r="W1276" i="64"/>
  <c r="AJ1288" i="64"/>
  <c r="BJ1257" i="64"/>
  <c r="BJ1226" i="64"/>
  <c r="CJ1255" i="64"/>
  <c r="CW1256" i="64"/>
  <c r="BJ1281" i="64"/>
  <c r="CW1216" i="64"/>
  <c r="BJ1292" i="64"/>
  <c r="BJ1300" i="64"/>
  <c r="BW1310" i="64"/>
  <c r="AW1328" i="64"/>
  <c r="AW1235" i="64"/>
  <c r="W1339" i="64"/>
  <c r="AW1340" i="64"/>
  <c r="BW1264" i="64"/>
  <c r="AW1260" i="64"/>
  <c r="CW1237" i="64"/>
  <c r="AW1215" i="64"/>
  <c r="W1307" i="64"/>
  <c r="CJ1223" i="64"/>
  <c r="BJ1327" i="64"/>
  <c r="BJ1265" i="64"/>
  <c r="BW1265" i="64"/>
  <c r="BJ1310" i="64"/>
  <c r="BJ1341" i="64"/>
  <c r="AJ1245" i="64"/>
  <c r="CJ1209" i="64"/>
  <c r="BW1282" i="64"/>
  <c r="AJ1216" i="64"/>
  <c r="CJ1202" i="64"/>
  <c r="CW1244" i="64"/>
  <c r="AW1231" i="64"/>
  <c r="AW1253" i="64"/>
  <c r="BW1258" i="64"/>
  <c r="CJ1259" i="64"/>
  <c r="CJ1256" i="64"/>
  <c r="J1319" i="64"/>
  <c r="BW1206" i="64"/>
  <c r="BJ1233" i="64"/>
  <c r="CW1213" i="64"/>
  <c r="J1323" i="64"/>
  <c r="BJ1224" i="64"/>
  <c r="W1320" i="64"/>
  <c r="BW1312" i="64"/>
  <c r="AJ1299" i="64"/>
  <c r="CJ1222" i="64"/>
  <c r="BJ1312" i="64"/>
  <c r="W1326" i="64"/>
  <c r="AW1323" i="64"/>
  <c r="BJ1325" i="64"/>
  <c r="AW1203" i="64"/>
  <c r="CJ1243" i="64"/>
  <c r="AJ1231" i="64"/>
  <c r="BJ1284" i="64"/>
  <c r="BJ1227" i="64"/>
  <c r="AJ1335" i="64"/>
  <c r="BW1266" i="64"/>
  <c r="AJ1338" i="64"/>
  <c r="BW1311" i="64"/>
  <c r="BJ1205" i="64"/>
  <c r="AW1223" i="64"/>
  <c r="AJ1312" i="64"/>
  <c r="AW1252" i="64"/>
  <c r="CW1221" i="64"/>
  <c r="CJ1246" i="64"/>
  <c r="BW1230" i="64"/>
  <c r="BW1222" i="64"/>
  <c r="CJ1238" i="64"/>
  <c r="BJ1320" i="64"/>
  <c r="W1308" i="64"/>
  <c r="BJ1276" i="64"/>
  <c r="BW1288" i="64"/>
  <c r="BJ1285" i="64"/>
  <c r="BJ1262" i="64"/>
  <c r="AJ1264" i="64"/>
  <c r="BJ1280" i="64"/>
  <c r="BW1287" i="64"/>
  <c r="BW1290" i="64"/>
  <c r="CJ1224" i="64"/>
  <c r="CW1203" i="64"/>
  <c r="BJ1221" i="64"/>
  <c r="AJ1277" i="64"/>
  <c r="CJ1221" i="64"/>
  <c r="AJ1222" i="64"/>
  <c r="CW1224" i="64"/>
  <c r="AJ1296" i="64"/>
  <c r="CJ1296" i="64" s="1"/>
  <c r="CW1234" i="64"/>
  <c r="BJ1231" i="64"/>
  <c r="BW1235" i="64"/>
  <c r="AJ1261" i="64"/>
  <c r="AW1329" i="64"/>
  <c r="J1283" i="64"/>
  <c r="AJ1282" i="64"/>
  <c r="J1325" i="64"/>
  <c r="AJ1224" i="64"/>
  <c r="AW1295" i="64"/>
  <c r="AJ1251" i="64"/>
  <c r="BJ1321" i="64"/>
  <c r="J1335" i="64"/>
  <c r="J1311" i="64"/>
  <c r="CW1250" i="64"/>
  <c r="BJ1263" i="64"/>
  <c r="BW1331" i="64"/>
  <c r="AW1319" i="64"/>
  <c r="BW1202" i="64"/>
  <c r="BJ1259" i="64"/>
  <c r="CW1245" i="64"/>
  <c r="J1281" i="64"/>
  <c r="AJ1290" i="64"/>
  <c r="AW1331" i="64"/>
  <c r="J1313" i="64"/>
  <c r="AW1341" i="64"/>
  <c r="W1306" i="64"/>
  <c r="AJ1234" i="64"/>
  <c r="BJ1267" i="64"/>
  <c r="AW1250" i="64"/>
  <c r="W1279" i="64"/>
  <c r="W1324" i="64"/>
  <c r="AW1284" i="64"/>
  <c r="J1308" i="64"/>
  <c r="AW1298" i="64"/>
  <c r="AW1307" i="64"/>
  <c r="BW1340" i="64"/>
  <c r="BJ1214" i="64"/>
  <c r="M570" i="64"/>
  <c r="CJ1210" i="64"/>
  <c r="CJ1227" i="64"/>
  <c r="AW1335" i="64"/>
  <c r="AW1333" i="64"/>
  <c r="CJ1264" i="64"/>
  <c r="CJ1260" i="64"/>
  <c r="AW1281" i="64"/>
  <c r="AJ1280" i="64"/>
  <c r="J1307" i="64"/>
  <c r="AJ1324" i="64"/>
  <c r="AW1238" i="64"/>
  <c r="AJ1291" i="64"/>
  <c r="J1275" i="64"/>
  <c r="BW1325" i="64"/>
  <c r="AW1277" i="64"/>
  <c r="CJ1249" i="64"/>
  <c r="CW1225" i="64"/>
  <c r="BJ1241" i="64"/>
  <c r="AJ1221" i="64"/>
  <c r="BJ1246" i="64"/>
  <c r="AW1275" i="64"/>
  <c r="CW1214" i="64"/>
  <c r="W1309" i="64"/>
  <c r="BW1292" i="64"/>
  <c r="BW1278" i="64"/>
  <c r="AW1256" i="64"/>
  <c r="AW1248" i="64"/>
  <c r="BW1239" i="64"/>
  <c r="CJ1213" i="64"/>
  <c r="AW1276" i="64"/>
  <c r="BJ1301" i="64"/>
  <c r="BW1226" i="64"/>
  <c r="CW1267" i="64"/>
  <c r="AJ1319" i="64"/>
  <c r="AW1292" i="64"/>
  <c r="AW1285" i="64"/>
  <c r="BW1260" i="64"/>
  <c r="BJ1283" i="64"/>
  <c r="CJ1208" i="64"/>
  <c r="BW1219" i="64"/>
  <c r="AW1318" i="64"/>
  <c r="AW1327" i="64"/>
  <c r="J1331" i="64"/>
  <c r="BW1267" i="64"/>
  <c r="AJ1212" i="64"/>
  <c r="CW1258" i="64"/>
  <c r="BW1336" i="64"/>
  <c r="BW1338" i="64"/>
  <c r="BW1283" i="64"/>
  <c r="AW1294" i="64"/>
  <c r="AW1282" i="64"/>
  <c r="AJ1317" i="64"/>
  <c r="AJ1332" i="64"/>
  <c r="CJ1266" i="64"/>
  <c r="BW1255" i="64"/>
  <c r="J1303" i="64"/>
  <c r="BJ1309" i="64"/>
  <c r="AJ1278" i="64"/>
  <c r="AW1262" i="64"/>
  <c r="W1338" i="64"/>
  <c r="W1311" i="64"/>
  <c r="CJ1254" i="64"/>
  <c r="BW1223" i="64"/>
  <c r="BJ1324" i="64"/>
  <c r="W1292" i="64"/>
  <c r="BJ1278" i="64"/>
  <c r="BW1334" i="64"/>
  <c r="BW1237" i="64"/>
  <c r="W1328" i="64"/>
  <c r="AW1283" i="64"/>
  <c r="BJ1213" i="64"/>
  <c r="AW1207" i="64"/>
  <c r="CW1215" i="64"/>
  <c r="CJ1220" i="64"/>
  <c r="AW1228" i="64"/>
  <c r="J1317" i="64"/>
  <c r="BW1231" i="64"/>
  <c r="AW1305" i="64"/>
  <c r="AJ1202" i="64"/>
  <c r="BJ1288" i="64"/>
  <c r="BW1305" i="64"/>
  <c r="CJ1214" i="64"/>
  <c r="AJ1458" i="79"/>
  <c r="AJ1638" i="79" s="1"/>
  <c r="CJ1250" i="64"/>
  <c r="AW1326" i="64"/>
  <c r="CW1230" i="64"/>
  <c r="AW1225" i="64"/>
  <c r="W1296" i="64"/>
  <c r="BJ1304" i="64"/>
  <c r="BJ1326" i="64"/>
  <c r="AJ1201" i="64"/>
  <c r="BW1224" i="64"/>
  <c r="CJ1203" i="64"/>
  <c r="BJ1314" i="64"/>
  <c r="W1288" i="64"/>
  <c r="AW1301" i="64"/>
  <c r="J1300" i="64"/>
  <c r="J1340" i="64"/>
  <c r="BW1329" i="64"/>
  <c r="AW1286" i="64"/>
  <c r="AW1279" i="64"/>
  <c r="CW1228" i="64"/>
  <c r="AW1234" i="64"/>
  <c r="AJ1218" i="64"/>
  <c r="BW1257" i="64"/>
  <c r="AJ1310" i="64"/>
  <c r="W1313" i="64"/>
  <c r="J1278" i="64"/>
  <c r="BW1259" i="64"/>
  <c r="AW1255" i="64"/>
  <c r="AJ1232" i="64"/>
  <c r="AW1219" i="64"/>
  <c r="W1314" i="64"/>
  <c r="BJ1335" i="64"/>
  <c r="BJ1236" i="64"/>
  <c r="CJ1212" i="64"/>
  <c r="BW1211" i="64"/>
  <c r="AJ1333" i="64"/>
  <c r="J1329" i="64"/>
  <c r="AW1232" i="64"/>
  <c r="BW1220" i="64"/>
  <c r="AW1233" i="64"/>
  <c r="BJ1244" i="64"/>
  <c r="BW1339" i="64"/>
  <c r="W1333" i="64"/>
  <c r="BJ1316" i="64"/>
  <c r="AJ1229" i="64"/>
  <c r="AJ1301" i="64"/>
  <c r="J1339" i="64"/>
  <c r="BJ1255" i="64"/>
  <c r="AJ1286" i="64"/>
  <c r="AW1239" i="64"/>
  <c r="BW1208" i="64"/>
  <c r="BJ1223" i="64"/>
  <c r="AW1317" i="64"/>
  <c r="AW1278" i="64"/>
  <c r="BW1333" i="64"/>
  <c r="BW1256" i="64"/>
  <c r="BW1209" i="64"/>
  <c r="AJ1223" i="64"/>
  <c r="W1283" i="64"/>
  <c r="AJ1297" i="64"/>
  <c r="BJ1207" i="64"/>
  <c r="BW1294" i="64"/>
  <c r="BW1307" i="64"/>
  <c r="CJ1307" i="64" s="1"/>
  <c r="AW1290" i="64"/>
  <c r="W1284" i="64"/>
  <c r="CW1210" i="64"/>
  <c r="CW1231" i="64"/>
  <c r="CJ1240" i="64"/>
  <c r="BW1243" i="64"/>
  <c r="CE1320" i="64"/>
  <c r="CT1172" i="64" s="1"/>
  <c r="D44" i="80"/>
  <c r="D45" i="80" s="1"/>
  <c r="AJ1235" i="64"/>
  <c r="CJ1234" i="64"/>
  <c r="W1293" i="64"/>
  <c r="AJ1244" i="64"/>
  <c r="AJ1214" i="64"/>
  <c r="CW1202" i="64"/>
  <c r="W1321" i="64"/>
  <c r="AJ1284" i="64"/>
  <c r="BJ1290" i="64"/>
  <c r="BW1213" i="64"/>
  <c r="BJ1215" i="64"/>
  <c r="J1294" i="64"/>
  <c r="CJ1232" i="64"/>
  <c r="BW1293" i="64"/>
  <c r="AJ1328" i="64"/>
  <c r="AJ1283" i="64"/>
  <c r="J1290" i="64"/>
  <c r="AJ1279" i="64"/>
  <c r="BW1319" i="64"/>
  <c r="AW1338" i="64"/>
  <c r="AJ1337" i="64"/>
  <c r="AW1257" i="64"/>
  <c r="J1301" i="64"/>
  <c r="BW1276" i="64"/>
  <c r="AW1322" i="64"/>
  <c r="AJ1302" i="64"/>
  <c r="AJ1289" i="64"/>
  <c r="AW1313" i="64"/>
  <c r="BJ1286" i="64"/>
  <c r="BJ1242" i="64"/>
  <c r="AJ1259" i="64"/>
  <c r="BJ1331" i="64"/>
  <c r="BW1253" i="64"/>
  <c r="BJ1240" i="64"/>
  <c r="CW1212" i="64"/>
  <c r="W1341" i="64"/>
  <c r="CW1263" i="64"/>
  <c r="W1278" i="64"/>
  <c r="BW1227" i="64"/>
  <c r="BJ1243" i="64"/>
  <c r="CJ1233" i="64"/>
  <c r="J1328" i="64"/>
  <c r="CJ1215" i="64"/>
  <c r="BJ1232" i="64"/>
  <c r="AJ1303" i="64"/>
  <c r="AW1316" i="64"/>
  <c r="BJ1337" i="64"/>
  <c r="BW1300" i="64"/>
  <c r="BW1303" i="64"/>
  <c r="BJ1264" i="64"/>
  <c r="AJ1329" i="64"/>
  <c r="CJ1204" i="64"/>
  <c r="J1285" i="64"/>
  <c r="BJ1235" i="64"/>
  <c r="BW1284" i="64"/>
  <c r="BJ1219" i="64"/>
  <c r="AJ1213" i="64"/>
  <c r="CW1220" i="64"/>
  <c r="BW1313" i="64"/>
  <c r="AJ1256" i="64"/>
  <c r="BW1263" i="64"/>
  <c r="CW1257" i="64"/>
  <c r="CW1218" i="64"/>
  <c r="AW1311" i="64"/>
  <c r="CJ1311" i="64" s="1"/>
  <c r="BJ1334" i="64"/>
  <c r="CW1266" i="64"/>
  <c r="BJ1204" i="64"/>
  <c r="AW1218" i="64"/>
  <c r="BW1318" i="64"/>
  <c r="BJ1322" i="64"/>
  <c r="AW1208" i="64"/>
  <c r="BW1279" i="64"/>
  <c r="W1286" i="64"/>
  <c r="BW1316" i="64"/>
  <c r="CW1242" i="64"/>
  <c r="W1335" i="64"/>
  <c r="L576" i="74"/>
  <c r="L566" i="74"/>
  <c r="L573" i="74"/>
  <c r="L575" i="74"/>
  <c r="L577" i="74"/>
  <c r="U432" i="40"/>
  <c r="U411" i="40"/>
  <c r="U400" i="40"/>
  <c r="U418" i="40"/>
  <c r="U409" i="40"/>
  <c r="U391" i="40"/>
  <c r="U410" i="40"/>
  <c r="U404" i="40"/>
  <c r="U403" i="40"/>
  <c r="U387" i="40"/>
  <c r="J466" i="73"/>
  <c r="K253" i="77" s="1"/>
  <c r="K277" i="77" s="1"/>
  <c r="P2082" i="79"/>
  <c r="P2401" i="79" s="1"/>
  <c r="F181" i="8"/>
  <c r="F187" i="8" s="1"/>
  <c r="E10" i="10"/>
  <c r="E17" i="10" s="1"/>
  <c r="G678" i="74"/>
  <c r="K118" i="9"/>
  <c r="K133" i="9" s="1"/>
  <c r="L37" i="9"/>
  <c r="L66" i="9"/>
  <c r="L81" i="9" s="1"/>
  <c r="L96" i="9" s="1"/>
  <c r="L107" i="9" s="1"/>
  <c r="N5" i="9"/>
  <c r="M7" i="9"/>
  <c r="M22" i="9" s="1"/>
  <c r="M52" i="9" s="1"/>
  <c r="M29" i="10"/>
  <c r="M134" i="83"/>
  <c r="M166" i="83" s="1"/>
  <c r="M30" i="80"/>
  <c r="O135" i="8"/>
  <c r="L30" i="10"/>
  <c r="L31" i="80"/>
  <c r="N137" i="8"/>
  <c r="O137" i="8" s="1"/>
  <c r="P137" i="8" s="1"/>
  <c r="L135" i="83"/>
  <c r="L167" i="83" s="1"/>
  <c r="L37" i="80"/>
  <c r="L34" i="10"/>
  <c r="L144" i="83"/>
  <c r="N161" i="8"/>
  <c r="L107" i="83"/>
  <c r="L160" i="83" s="1"/>
  <c r="L23" i="10"/>
  <c r="N110" i="8"/>
  <c r="L23" i="80"/>
  <c r="O156" i="8"/>
  <c r="N33" i="10" s="1"/>
  <c r="N159" i="8"/>
  <c r="N170" i="8"/>
  <c r="L41" i="80"/>
  <c r="L38" i="10"/>
  <c r="L148" i="83"/>
  <c r="M177" i="8"/>
  <c r="L79" i="83"/>
  <c r="N93" i="8"/>
  <c r="O93" i="8" s="1"/>
  <c r="M95" i="8"/>
  <c r="K150" i="83"/>
  <c r="L143" i="83"/>
  <c r="L36" i="80"/>
  <c r="K160" i="83"/>
  <c r="L38" i="80"/>
  <c r="L35" i="10"/>
  <c r="N162" i="8"/>
  <c r="L145" i="83"/>
  <c r="L111" i="83"/>
  <c r="L162" i="83" s="1"/>
  <c r="L25" i="80"/>
  <c r="L25" i="10"/>
  <c r="N112" i="8"/>
  <c r="M24" i="80"/>
  <c r="M24" i="10"/>
  <c r="O111" i="8"/>
  <c r="M108" i="83"/>
  <c r="P2098" i="79"/>
  <c r="M644" i="64"/>
  <c r="N2286" i="79"/>
  <c r="N1230" i="79"/>
  <c r="N1298" i="79" s="1"/>
  <c r="N2142" i="79"/>
  <c r="N1225" i="79"/>
  <c r="N1293" i="79" s="1"/>
  <c r="N2140" i="79"/>
  <c r="N1223" i="79"/>
  <c r="N1291" i="79" s="1"/>
  <c r="AJ1471" i="79"/>
  <c r="AJ1674" i="79" s="1"/>
  <c r="N1391" i="79"/>
  <c r="P385" i="64"/>
  <c r="M629" i="64"/>
  <c r="CH1292" i="64"/>
  <c r="DE1213" i="64"/>
  <c r="DH1066" i="64" s="1"/>
  <c r="CE1310" i="64"/>
  <c r="CT1162" i="64" s="1"/>
  <c r="CH1311" i="64"/>
  <c r="DE1208" i="64"/>
  <c r="DH1061" i="64" s="1"/>
  <c r="DI1242" i="64"/>
  <c r="DE1254" i="64"/>
  <c r="DH1107" i="64" s="1"/>
  <c r="J1011" i="64"/>
  <c r="J1082" i="64" s="1"/>
  <c r="J1038" i="64"/>
  <c r="J1109" i="64" s="1"/>
  <c r="N817" i="64"/>
  <c r="N606" i="64"/>
  <c r="M39" i="71" s="1"/>
  <c r="CF1341" i="64"/>
  <c r="CU1193" i="64" s="1"/>
  <c r="DG1267" i="64"/>
  <c r="DJ1120" i="64" s="1"/>
  <c r="DI1240" i="64"/>
  <c r="CI1318" i="64"/>
  <c r="CI1331" i="64"/>
  <c r="DI1253" i="64"/>
  <c r="CI1299" i="64"/>
  <c r="CE1282" i="64"/>
  <c r="CT1134" i="64" s="1"/>
  <c r="DE1214" i="64"/>
  <c r="DH1067" i="64" s="1"/>
  <c r="CC1317" i="64"/>
  <c r="CR1169" i="64" s="1"/>
  <c r="DI1265" i="64"/>
  <c r="DI1218" i="64"/>
  <c r="DE1204" i="64"/>
  <c r="DH1057" i="64" s="1"/>
  <c r="AH370" i="79" s="1"/>
  <c r="AH1564" i="79" s="1"/>
  <c r="CE1321" i="64"/>
  <c r="CT1173" i="64" s="1"/>
  <c r="DI1244" i="64"/>
  <c r="O589" i="64"/>
  <c r="O579" i="64"/>
  <c r="O576" i="64"/>
  <c r="O588" i="64"/>
  <c r="O814" i="64"/>
  <c r="O599" i="64"/>
  <c r="O574" i="64"/>
  <c r="O590" i="64"/>
  <c r="O597" i="64"/>
  <c r="O598" i="64"/>
  <c r="O577" i="64"/>
  <c r="O581" i="64"/>
  <c r="O575" i="64"/>
  <c r="O580" i="64"/>
  <c r="O591" i="64"/>
  <c r="O578" i="64"/>
  <c r="O582" i="64"/>
  <c r="O818" i="64"/>
  <c r="O842" i="64"/>
  <c r="P231" i="64" s="1"/>
  <c r="O840" i="64"/>
  <c r="O826" i="64"/>
  <c r="P216" i="64" s="1"/>
  <c r="O815" i="64"/>
  <c r="O841" i="64"/>
  <c r="P230" i="64" s="1"/>
  <c r="O828" i="64"/>
  <c r="P218" i="64" s="1"/>
  <c r="O821" i="64"/>
  <c r="O825" i="64"/>
  <c r="O820" i="64"/>
  <c r="O836" i="64"/>
  <c r="P226" i="64" s="1"/>
  <c r="O829" i="64"/>
  <c r="P219" i="64" s="1"/>
  <c r="O845" i="64"/>
  <c r="P234" i="64" s="1"/>
  <c r="O819" i="64"/>
  <c r="O833" i="64"/>
  <c r="P223" i="64" s="1"/>
  <c r="O844" i="64"/>
  <c r="P233" i="64" s="1"/>
  <c r="O831" i="64"/>
  <c r="P221" i="64" s="1"/>
  <c r="O827" i="64"/>
  <c r="P217" i="64" s="1"/>
  <c r="O832" i="64"/>
  <c r="P222" i="64" s="1"/>
  <c r="O816" i="64"/>
  <c r="O835" i="64"/>
  <c r="P225" i="64" s="1"/>
  <c r="O834" i="64"/>
  <c r="P224" i="64" s="1"/>
  <c r="O851" i="64"/>
  <c r="P239" i="64" s="1"/>
  <c r="O837" i="64"/>
  <c r="P227" i="64" s="1"/>
  <c r="O843" i="64"/>
  <c r="P232" i="64" s="1"/>
  <c r="O864" i="64"/>
  <c r="O863" i="64"/>
  <c r="O858" i="64"/>
  <c r="O856" i="64"/>
  <c r="O830" i="64"/>
  <c r="P220" i="64" s="1"/>
  <c r="O850" i="64"/>
  <c r="O859" i="64"/>
  <c r="O846" i="64"/>
  <c r="P235" i="64" s="1"/>
  <c r="O857" i="64"/>
  <c r="K1261" i="64"/>
  <c r="X1261" i="64" s="1"/>
  <c r="K1257" i="64"/>
  <c r="X1257" i="64" s="1"/>
  <c r="K1258" i="64"/>
  <c r="X1258" i="64" s="1"/>
  <c r="K1262" i="64"/>
  <c r="X1262" i="64" s="1"/>
  <c r="K1259" i="64"/>
  <c r="X1259" i="64" s="1"/>
  <c r="K1263" i="64"/>
  <c r="X1263" i="64" s="1"/>
  <c r="K1242" i="64"/>
  <c r="X1242" i="64" s="1"/>
  <c r="K1236" i="64"/>
  <c r="X1236" i="64" s="1"/>
  <c r="K1255" i="64"/>
  <c r="X1255" i="64" s="1"/>
  <c r="K1260" i="64"/>
  <c r="X1260" i="64" s="1"/>
  <c r="K1256" i="64"/>
  <c r="X1256" i="64" s="1"/>
  <c r="K1249" i="64"/>
  <c r="X1249" i="64" s="1"/>
  <c r="K1201" i="64"/>
  <c r="X1201" i="64" s="1"/>
  <c r="K1218" i="64"/>
  <c r="X1218" i="64" s="1"/>
  <c r="K1229" i="64"/>
  <c r="X1229" i="64" s="1"/>
  <c r="K1206" i="64"/>
  <c r="K1208" i="64"/>
  <c r="X1208" i="64" s="1"/>
  <c r="K1228" i="64"/>
  <c r="K1216" i="64"/>
  <c r="K1202" i="64"/>
  <c r="X1202" i="64" s="1"/>
  <c r="K1219" i="64"/>
  <c r="X1219" i="64" s="1"/>
  <c r="K1227" i="64"/>
  <c r="X1227" i="64" s="1"/>
  <c r="K1207" i="64"/>
  <c r="X1207" i="64" s="1"/>
  <c r="K1232" i="64"/>
  <c r="X1232" i="64" s="1"/>
  <c r="K1205" i="64"/>
  <c r="X1205" i="64" s="1"/>
  <c r="K1215" i="64"/>
  <c r="X1215" i="64" s="1"/>
  <c r="K1223" i="64"/>
  <c r="X1223" i="64" s="1"/>
  <c r="K1214" i="64"/>
  <c r="X1214" i="64" s="1"/>
  <c r="K1212" i="64"/>
  <c r="X1212" i="64" s="1"/>
  <c r="K1220" i="64"/>
  <c r="X1220" i="64" s="1"/>
  <c r="K1213" i="64"/>
  <c r="X1213" i="64" s="1"/>
  <c r="K1231" i="64"/>
  <c r="X1231" i="64" s="1"/>
  <c r="K1224" i="64"/>
  <c r="K1230" i="64"/>
  <c r="X1230" i="64" s="1"/>
  <c r="K1221" i="64"/>
  <c r="X1221" i="64" s="1"/>
  <c r="K1238" i="64"/>
  <c r="X1238" i="64" s="1"/>
  <c r="K1203" i="64"/>
  <c r="X1203" i="64" s="1"/>
  <c r="K1222" i="64"/>
  <c r="X1222" i="64" s="1"/>
  <c r="K1243" i="64"/>
  <c r="X1243" i="64" s="1"/>
  <c r="K1246" i="64"/>
  <c r="X1246" i="64" s="1"/>
  <c r="K1244" i="64"/>
  <c r="X1244" i="64" s="1"/>
  <c r="K1251" i="64"/>
  <c r="X1251" i="64" s="1"/>
  <c r="K1245" i="64"/>
  <c r="X1245" i="64" s="1"/>
  <c r="K1217" i="64"/>
  <c r="X1217" i="64" s="1"/>
  <c r="K1233" i="64"/>
  <c r="X1233" i="64" s="1"/>
  <c r="K1250" i="64"/>
  <c r="X1250" i="64" s="1"/>
  <c r="K1237" i="64"/>
  <c r="X1237" i="64" s="1"/>
  <c r="O282" i="64"/>
  <c r="O250" i="64"/>
  <c r="O249" i="64"/>
  <c r="O281" i="64"/>
  <c r="N868" i="64"/>
  <c r="M37" i="71" s="1"/>
  <c r="DI1257" i="64"/>
  <c r="CE1299" i="64"/>
  <c r="CT1151" i="64" s="1"/>
  <c r="CE1287" i="64"/>
  <c r="CT1139" i="64" s="1"/>
  <c r="L648" i="64"/>
  <c r="O238" i="64"/>
  <c r="N855" i="64"/>
  <c r="M35" i="71" s="1"/>
  <c r="N824" i="64"/>
  <c r="M32" i="71" s="1"/>
  <c r="N587" i="64"/>
  <c r="O245" i="64"/>
  <c r="O277" i="64"/>
  <c r="O276" i="64"/>
  <c r="O244" i="64"/>
  <c r="M607" i="64"/>
  <c r="O243" i="64"/>
  <c r="O275" i="64"/>
  <c r="N862" i="64"/>
  <c r="O278" i="64"/>
  <c r="O246" i="64"/>
  <c r="O229" i="64"/>
  <c r="N849" i="64"/>
  <c r="M34" i="71" s="1"/>
  <c r="O215" i="64"/>
  <c r="N839" i="64"/>
  <c r="M33" i="71" s="1"/>
  <c r="L680" i="77"/>
  <c r="CH1283" i="64"/>
  <c r="CI1314" i="64"/>
  <c r="CI1313" i="64"/>
  <c r="DC1257" i="64"/>
  <c r="DF1110" i="64" s="1"/>
  <c r="CF1334" i="64"/>
  <c r="CU1186" i="64" s="1"/>
  <c r="CD1318" i="64"/>
  <c r="CS1170" i="64" s="1"/>
  <c r="CC1280" i="64"/>
  <c r="CR1132" i="64" s="1"/>
  <c r="CU1078" i="64"/>
  <c r="DG1236" i="64"/>
  <c r="DJ1089" i="64" s="1"/>
  <c r="CG1288" i="64"/>
  <c r="CV1140" i="64" s="1"/>
  <c r="CF1337" i="64"/>
  <c r="CU1189" i="64" s="1"/>
  <c r="CH1280" i="64"/>
  <c r="CH1331" i="64"/>
  <c r="CC1301" i="64"/>
  <c r="CR1153" i="64" s="1"/>
  <c r="DC1232" i="64"/>
  <c r="DF1085" i="64" s="1"/>
  <c r="CC1287" i="64"/>
  <c r="CR1139" i="64" s="1"/>
  <c r="CH1300" i="64"/>
  <c r="CI1278" i="64"/>
  <c r="O1602" i="79" s="1"/>
  <c r="O2034" i="79" s="1"/>
  <c r="DE1265" i="64"/>
  <c r="DH1118" i="64" s="1"/>
  <c r="DE1203" i="64"/>
  <c r="DH1056" i="64" s="1"/>
  <c r="CE1337" i="64"/>
  <c r="CT1189" i="64" s="1"/>
  <c r="J995" i="64"/>
  <c r="J1066" i="64" s="1"/>
  <c r="J989" i="64"/>
  <c r="J1060" i="64" s="1"/>
  <c r="DH1218" i="64"/>
  <c r="DI1205" i="64"/>
  <c r="DI1237" i="64"/>
  <c r="CG1293" i="64"/>
  <c r="CV1145" i="64" s="1"/>
  <c r="CH1327" i="64"/>
  <c r="DF1263" i="64"/>
  <c r="DI1116" i="64" s="1"/>
  <c r="DF1264" i="64"/>
  <c r="DI1117" i="64" s="1"/>
  <c r="CD1322" i="64"/>
  <c r="CS1174" i="64" s="1"/>
  <c r="DG1230" i="64"/>
  <c r="DJ1083" i="64" s="1"/>
  <c r="CG1302" i="64"/>
  <c r="CV1154" i="64" s="1"/>
  <c r="CG1330" i="64"/>
  <c r="CV1182" i="64" s="1"/>
  <c r="U397" i="40"/>
  <c r="DC1217" i="64"/>
  <c r="DF1070" i="64" s="1"/>
  <c r="J1013" i="64"/>
  <c r="J1084" i="64" s="1"/>
  <c r="J996" i="64"/>
  <c r="J1067" i="64" s="1"/>
  <c r="DC1229" i="64"/>
  <c r="DF1082" i="64" s="1"/>
  <c r="U399" i="40"/>
  <c r="L574" i="74"/>
  <c r="L569" i="74"/>
  <c r="N589" i="79"/>
  <c r="CU1094" i="64"/>
  <c r="CG1158" i="64"/>
  <c r="J1009" i="64"/>
  <c r="J1080" i="64" s="1"/>
  <c r="DG1240" i="64"/>
  <c r="DJ1093" i="64" s="1"/>
  <c r="DC1259" i="64"/>
  <c r="DF1112" i="64" s="1"/>
  <c r="DC1238" i="64"/>
  <c r="DF1091" i="64" s="1"/>
  <c r="CC1305" i="64"/>
  <c r="CR1157" i="64" s="1"/>
  <c r="CI1283" i="64"/>
  <c r="DI1256" i="64"/>
  <c r="AL1498" i="79" s="1"/>
  <c r="AL1747" i="79" s="1"/>
  <c r="DI1215" i="64"/>
  <c r="CE1284" i="64"/>
  <c r="CT1136" i="64" s="1"/>
  <c r="CU1069" i="64"/>
  <c r="CG1154" i="64"/>
  <c r="J1003" i="64"/>
  <c r="J1074" i="64" s="1"/>
  <c r="CG1327" i="64"/>
  <c r="CF1335" i="64"/>
  <c r="CU1187" i="64" s="1"/>
  <c r="DH1206" i="64"/>
  <c r="DH1216" i="64"/>
  <c r="DC1245" i="64"/>
  <c r="DF1098" i="64" s="1"/>
  <c r="DC1241" i="64"/>
  <c r="DF1094" i="64" s="1"/>
  <c r="O383" i="77"/>
  <c r="O455" i="77"/>
  <c r="O318" i="77"/>
  <c r="O353" i="77"/>
  <c r="O138" i="77"/>
  <c r="O252" i="77"/>
  <c r="L242" i="74"/>
  <c r="CC1310" i="64"/>
  <c r="CR1162" i="64" s="1"/>
  <c r="O1400" i="79"/>
  <c r="CH1328" i="64"/>
  <c r="CC1286" i="64"/>
  <c r="CR1138" i="64" s="1"/>
  <c r="DC1254" i="64"/>
  <c r="DF1107" i="64" s="1"/>
  <c r="DC1243" i="64"/>
  <c r="CC1304" i="64"/>
  <c r="CR1156" i="64" s="1"/>
  <c r="DC1224" i="64"/>
  <c r="DF1077" i="64" s="1"/>
  <c r="DI1233" i="64"/>
  <c r="DI1209" i="64"/>
  <c r="CI1326" i="64"/>
  <c r="CE1309" i="64"/>
  <c r="CT1161" i="64" s="1"/>
  <c r="CE1275" i="64"/>
  <c r="CT1127" i="64" s="1"/>
  <c r="CE1308" i="64"/>
  <c r="CT1160" i="64" s="1"/>
  <c r="CE1314" i="64"/>
  <c r="CT1166" i="64" s="1"/>
  <c r="CE1307" i="64"/>
  <c r="CT1159" i="64" s="1"/>
  <c r="U402" i="40"/>
  <c r="O554" i="79"/>
  <c r="O1631" i="79"/>
  <c r="O1387" i="79"/>
  <c r="O621" i="79"/>
  <c r="M54" i="73"/>
  <c r="M487" i="73"/>
  <c r="BS1200" i="64"/>
  <c r="AF1274" i="64"/>
  <c r="L567" i="74"/>
  <c r="O1393" i="79"/>
  <c r="O578" i="79"/>
  <c r="L557" i="74"/>
  <c r="P747" i="79"/>
  <c r="P751" i="79"/>
  <c r="P748" i="79"/>
  <c r="P752" i="79"/>
  <c r="P568" i="79"/>
  <c r="P572" i="79"/>
  <c r="P569" i="79"/>
  <c r="P567" i="79"/>
  <c r="P755" i="79"/>
  <c r="P756" i="79"/>
  <c r="P764" i="79"/>
  <c r="P763" i="79"/>
  <c r="P626" i="79"/>
  <c r="P628" i="79"/>
  <c r="P627" i="79"/>
  <c r="P739" i="79"/>
  <c r="P740" i="79"/>
  <c r="P744" i="79"/>
  <c r="P743" i="79"/>
  <c r="P772" i="79"/>
  <c r="P771" i="79"/>
  <c r="M110" i="85"/>
  <c r="M90" i="85"/>
  <c r="N2292" i="79"/>
  <c r="N2293" i="79" s="1"/>
  <c r="N2294" i="79" s="1"/>
  <c r="L241" i="74"/>
  <c r="BF1053" i="64"/>
  <c r="AE1126" i="64"/>
  <c r="O1395" i="79"/>
  <c r="O586" i="79"/>
  <c r="CC12" i="65"/>
  <c r="CC10" i="65"/>
  <c r="CC15" i="65"/>
  <c r="CC11" i="65"/>
  <c r="CC219" i="65"/>
  <c r="CC19" i="65"/>
  <c r="CC14" i="65"/>
  <c r="CC22" i="65"/>
  <c r="CC18" i="65"/>
  <c r="CC21" i="65"/>
  <c r="CC17" i="65"/>
  <c r="CC16" i="65"/>
  <c r="CC23" i="65"/>
  <c r="CC24" i="65"/>
  <c r="CC25" i="65"/>
  <c r="CC26" i="65"/>
  <c r="CC27" i="65"/>
  <c r="CC28" i="65"/>
  <c r="CC224" i="65"/>
  <c r="CC220" i="65"/>
  <c r="CC214" i="65"/>
  <c r="CC213" i="65"/>
  <c r="CC225" i="65"/>
  <c r="CC227" i="65"/>
  <c r="CC204" i="65"/>
  <c r="CC207" i="65"/>
  <c r="CC223" i="65"/>
  <c r="CC222" i="65"/>
  <c r="CC203" i="65"/>
  <c r="CC205" i="65"/>
  <c r="CC206" i="65"/>
  <c r="CC228" i="65"/>
  <c r="CC221" i="65"/>
  <c r="CC229" i="65"/>
  <c r="CC210" i="65"/>
  <c r="CC211" i="65"/>
  <c r="CC208" i="65"/>
  <c r="CC226" i="65"/>
  <c r="CC231" i="65"/>
  <c r="CC209" i="65"/>
  <c r="CC212" i="65"/>
  <c r="CC230" i="65"/>
  <c r="N7" i="74"/>
  <c r="P5" i="77"/>
  <c r="P483" i="77" s="1"/>
  <c r="O10" i="73"/>
  <c r="CY1053" i="64"/>
  <c r="O1398" i="64"/>
  <c r="O1381" i="64"/>
  <c r="O1364" i="64"/>
  <c r="R41" i="79"/>
  <c r="P289" i="64"/>
  <c r="P345" i="64" s="1"/>
  <c r="P214" i="64"/>
  <c r="CR202" i="65"/>
  <c r="CD202" i="65"/>
  <c r="BP202" i="65"/>
  <c r="O1345" i="64"/>
  <c r="O742" i="64"/>
  <c r="P258" i="64"/>
  <c r="P274" i="64" s="1"/>
  <c r="P171" i="64"/>
  <c r="P4" i="64"/>
  <c r="P637" i="64"/>
  <c r="CR8" i="65"/>
  <c r="CR30" i="65" s="1"/>
  <c r="CD8" i="65"/>
  <c r="CD30" i="65" s="1"/>
  <c r="BP8" i="65"/>
  <c r="BP22" i="65" s="1"/>
  <c r="P111" i="64"/>
  <c r="P126" i="64"/>
  <c r="P104" i="64"/>
  <c r="P120" i="64"/>
  <c r="P115" i="64" s="1"/>
  <c r="Q8" i="64"/>
  <c r="C142" i="69" s="1"/>
  <c r="P400" i="64"/>
  <c r="O813" i="64" s="1"/>
  <c r="N888" i="64" s="1"/>
  <c r="M683" i="74"/>
  <c r="M555" i="74"/>
  <c r="M552" i="74"/>
  <c r="M544" i="74"/>
  <c r="M541" i="74"/>
  <c r="M533" i="74"/>
  <c r="M530" i="74"/>
  <c r="M522" i="74"/>
  <c r="M519" i="74"/>
  <c r="M511" i="74"/>
  <c r="M508" i="74"/>
  <c r="M500" i="74"/>
  <c r="M497" i="74"/>
  <c r="M550" i="74"/>
  <c r="M701" i="74" s="1"/>
  <c r="M539" i="74"/>
  <c r="M700" i="74" s="1"/>
  <c r="M528" i="74"/>
  <c r="M517" i="74"/>
  <c r="M698" i="74" s="1"/>
  <c r="M506" i="74"/>
  <c r="M489" i="74"/>
  <c r="M486" i="74"/>
  <c r="M478" i="74"/>
  <c r="M475" i="74"/>
  <c r="M467" i="74"/>
  <c r="M464" i="74"/>
  <c r="M570" i="74" s="1"/>
  <c r="M456" i="74"/>
  <c r="M453" i="74"/>
  <c r="M445" i="74"/>
  <c r="M442" i="74"/>
  <c r="M434" i="74"/>
  <c r="M431" i="74"/>
  <c r="M423" i="74"/>
  <c r="M420" i="74"/>
  <c r="M495" i="74"/>
  <c r="M484" i="74"/>
  <c r="M695" i="74" s="1"/>
  <c r="M473" i="74"/>
  <c r="M694" i="74" s="1"/>
  <c r="M462" i="74"/>
  <c r="M693" i="74" s="1"/>
  <c r="M451" i="74"/>
  <c r="M692" i="74" s="1"/>
  <c r="M440" i="74"/>
  <c r="M691" i="74" s="1"/>
  <c r="M429" i="74"/>
  <c r="M690" i="74" s="1"/>
  <c r="M232" i="74"/>
  <c r="M247" i="74" s="1"/>
  <c r="M262" i="74" s="1"/>
  <c r="M277" i="74" s="1"/>
  <c r="M418" i="74"/>
  <c r="M689" i="74" s="1"/>
  <c r="M5" i="74"/>
  <c r="M412" i="74"/>
  <c r="M409" i="74"/>
  <c r="M401" i="74"/>
  <c r="M398" i="74"/>
  <c r="M390" i="74"/>
  <c r="M387" i="74"/>
  <c r="M563" i="74" s="1"/>
  <c r="M379" i="74"/>
  <c r="M376" i="74"/>
  <c r="M562" i="74" s="1"/>
  <c r="M368" i="74"/>
  <c r="M365" i="74"/>
  <c r="M109" i="74"/>
  <c r="M19" i="74"/>
  <c r="M407" i="74"/>
  <c r="M688" i="74" s="1"/>
  <c r="M396" i="74"/>
  <c r="M687" i="74" s="1"/>
  <c r="M385" i="74"/>
  <c r="M686" i="74" s="1"/>
  <c r="M374" i="74"/>
  <c r="M685" i="74" s="1"/>
  <c r="M363" i="74"/>
  <c r="M684" i="74" s="1"/>
  <c r="M79" i="74"/>
  <c r="M115" i="74"/>
  <c r="M228" i="74"/>
  <c r="M225" i="74"/>
  <c r="M158" i="74"/>
  <c r="M205" i="74"/>
  <c r="M125" i="74"/>
  <c r="M234" i="74" s="1"/>
  <c r="M175" i="74"/>
  <c r="M239" i="74" s="1"/>
  <c r="M218" i="74"/>
  <c r="M165" i="74"/>
  <c r="M238" i="74" s="1"/>
  <c r="M168" i="74"/>
  <c r="M148" i="74"/>
  <c r="M188" i="74"/>
  <c r="M185" i="74"/>
  <c r="M195" i="74"/>
  <c r="M128" i="74"/>
  <c r="M145" i="74"/>
  <c r="M236" i="74" s="1"/>
  <c r="M118" i="74"/>
  <c r="M208" i="74"/>
  <c r="M138" i="74"/>
  <c r="M135" i="74"/>
  <c r="M235" i="74" s="1"/>
  <c r="M215" i="74"/>
  <c r="M155" i="74"/>
  <c r="M237" i="74" s="1"/>
  <c r="M198" i="74"/>
  <c r="M178" i="74"/>
  <c r="CD1053" i="64"/>
  <c r="BP1126" i="64" s="1"/>
  <c r="BC1126" i="64"/>
  <c r="G1126" i="64"/>
  <c r="AH1053" i="64"/>
  <c r="CG1298" i="64"/>
  <c r="CV1150" i="64" s="1"/>
  <c r="U439" i="40"/>
  <c r="O1388" i="79"/>
  <c r="O1633" i="79"/>
  <c r="O629" i="79"/>
  <c r="O1632" i="79"/>
  <c r="O597" i="79"/>
  <c r="M34" i="85"/>
  <c r="M61" i="85" s="1"/>
  <c r="M88" i="85" s="1"/>
  <c r="M117" i="85" s="1"/>
  <c r="M5" i="85"/>
  <c r="I71" i="83"/>
  <c r="I15" i="80"/>
  <c r="J219" i="85"/>
  <c r="J221" i="85" s="1"/>
  <c r="AT1053" i="64"/>
  <c r="S1126" i="64"/>
  <c r="L229" i="74"/>
  <c r="P736" i="79"/>
  <c r="P735" i="79"/>
  <c r="P610" i="79"/>
  <c r="P612" i="79"/>
  <c r="P611" i="79"/>
  <c r="P768" i="79"/>
  <c r="P767" i="79"/>
  <c r="L220" i="85"/>
  <c r="L218" i="85"/>
  <c r="L243" i="74"/>
  <c r="CO1291" i="64"/>
  <c r="B1291" i="64"/>
  <c r="T1274" i="64"/>
  <c r="BG1200" i="64"/>
  <c r="O2272" i="79"/>
  <c r="BO219" i="65"/>
  <c r="BO11" i="65"/>
  <c r="BO10" i="65"/>
  <c r="AA672" i="64" s="1"/>
  <c r="BO12" i="65"/>
  <c r="AA674" i="64" s="1"/>
  <c r="BO14" i="65"/>
  <c r="AA747" i="64" s="1"/>
  <c r="BO15" i="65"/>
  <c r="AA677" i="64" s="1"/>
  <c r="BO16" i="65"/>
  <c r="AA678" i="64" s="1"/>
  <c r="BO17" i="65"/>
  <c r="BO18" i="65"/>
  <c r="BO19" i="65"/>
  <c r="CQ210" i="65"/>
  <c r="CQ203" i="65"/>
  <c r="CQ204" i="65"/>
  <c r="CQ205" i="65"/>
  <c r="CQ227" i="65"/>
  <c r="CQ214" i="65"/>
  <c r="CQ213" i="65"/>
  <c r="CQ207" i="65"/>
  <c r="CQ206" i="65"/>
  <c r="CQ209" i="65"/>
  <c r="CQ226" i="65"/>
  <c r="CQ229" i="65"/>
  <c r="CQ231" i="65"/>
  <c r="CQ228" i="65"/>
  <c r="CQ222" i="65"/>
  <c r="CQ224" i="65"/>
  <c r="CQ223" i="65"/>
  <c r="CQ212" i="65"/>
  <c r="CQ230" i="65"/>
  <c r="CQ211" i="65"/>
  <c r="CQ220" i="65"/>
  <c r="CQ221" i="65"/>
  <c r="CQ225" i="65"/>
  <c r="CQ208" i="65"/>
  <c r="L565" i="74"/>
  <c r="BR1053" i="64"/>
  <c r="AQ1126" i="64"/>
  <c r="O570" i="79"/>
  <c r="AM369" i="79"/>
  <c r="AM328" i="79"/>
  <c r="AM123" i="79"/>
  <c r="AM82" i="79"/>
  <c r="AM451" i="79"/>
  <c r="AM205" i="79"/>
  <c r="AM410" i="79"/>
  <c r="AM6" i="79"/>
  <c r="AM492" i="79"/>
  <c r="AM246" i="79"/>
  <c r="AM287" i="79"/>
  <c r="DD1264" i="64"/>
  <c r="DG1117" i="64" s="1"/>
  <c r="CD1319" i="64"/>
  <c r="CS1171" i="64" s="1"/>
  <c r="CD1296" i="64"/>
  <c r="CS1148" i="64" s="1"/>
  <c r="CH1293" i="64"/>
  <c r="DC1202" i="64"/>
  <c r="DF1055" i="64" s="1"/>
  <c r="DI1204" i="64"/>
  <c r="AL1511" i="79" s="1"/>
  <c r="AL1783" i="79" s="1"/>
  <c r="DE1225" i="64"/>
  <c r="DH1078" i="64" s="1"/>
  <c r="DE1202" i="64"/>
  <c r="DH1055" i="64" s="1"/>
  <c r="DE1244" i="64"/>
  <c r="DH1097" i="64" s="1"/>
  <c r="CE1200" i="64"/>
  <c r="AR1274" i="64"/>
  <c r="N137" i="77"/>
  <c r="M565" i="73"/>
  <c r="M577" i="73"/>
  <c r="M576" i="73"/>
  <c r="M587" i="73"/>
  <c r="M593" i="73" s="1"/>
  <c r="M600" i="73"/>
  <c r="M599" i="73"/>
  <c r="M605" i="73" s="1"/>
  <c r="AL164" i="79"/>
  <c r="V411" i="40" s="1"/>
  <c r="P789" i="79"/>
  <c r="P731" i="79"/>
  <c r="P732" i="79"/>
  <c r="P560" i="79"/>
  <c r="P564" i="79"/>
  <c r="P561" i="79"/>
  <c r="P559" i="79"/>
  <c r="P552" i="79"/>
  <c r="P556" i="79"/>
  <c r="P553" i="79"/>
  <c r="P551" i="79"/>
  <c r="J1200" i="64"/>
  <c r="J1053" i="64"/>
  <c r="CQ1200" i="64"/>
  <c r="BQ1274" i="64" s="1"/>
  <c r="BD1274" i="64"/>
  <c r="O702" i="79"/>
  <c r="O701" i="79"/>
  <c r="O700" i="79"/>
  <c r="CQ14" i="65"/>
  <c r="CQ12" i="65"/>
  <c r="CQ11" i="65"/>
  <c r="CQ10" i="65"/>
  <c r="CQ219" i="65"/>
  <c r="CQ22" i="65"/>
  <c r="CQ16" i="65"/>
  <c r="CQ21" i="65"/>
  <c r="CQ17" i="65"/>
  <c r="CQ19" i="65"/>
  <c r="CQ15" i="65"/>
  <c r="CQ18" i="65"/>
  <c r="CQ23" i="65"/>
  <c r="CQ24" i="65"/>
  <c r="CQ25" i="65"/>
  <c r="CQ26" i="65"/>
  <c r="CQ27" i="65"/>
  <c r="CQ28" i="65"/>
  <c r="K982" i="64"/>
  <c r="AO982" i="64"/>
  <c r="Z982" i="64"/>
  <c r="N1448" i="64"/>
  <c r="N1447" i="64"/>
  <c r="Q829" i="79" s="1"/>
  <c r="Q830" i="79" s="1"/>
  <c r="N1446" i="64"/>
  <c r="Q826" i="79" s="1"/>
  <c r="N1445" i="64"/>
  <c r="Q823" i="79" s="1"/>
  <c r="Q824" i="79" s="1"/>
  <c r="N1444" i="64"/>
  <c r="Q820" i="79" s="1"/>
  <c r="Q821" i="79" s="1"/>
  <c r="N1443" i="64"/>
  <c r="Q817" i="79" s="1"/>
  <c r="Q818" i="79" s="1"/>
  <c r="N1442" i="64"/>
  <c r="Q814" i="79" s="1"/>
  <c r="Q815" i="79" s="1"/>
  <c r="N1441" i="64"/>
  <c r="Q811" i="79" s="1"/>
  <c r="Q812" i="79" s="1"/>
  <c r="N1440" i="64"/>
  <c r="Q808" i="79" s="1"/>
  <c r="Q809" i="79" s="1"/>
  <c r="N1439" i="64"/>
  <c r="Q805" i="79" s="1"/>
  <c r="Q806" i="79" s="1"/>
  <c r="N1438" i="64"/>
  <c r="N1437" i="64"/>
  <c r="Q800" i="79" s="1"/>
  <c r="Q801" i="79" s="1"/>
  <c r="N1436" i="64"/>
  <c r="Q797" i="79" s="1"/>
  <c r="Q798" i="79" s="1"/>
  <c r="N1435" i="64"/>
  <c r="Q794" i="79" s="1"/>
  <c r="Q795" i="79" s="1"/>
  <c r="N1434" i="64"/>
  <c r="Q791" i="79" s="1"/>
  <c r="Q792" i="79" s="1"/>
  <c r="N1433" i="64"/>
  <c r="Q788" i="79" s="1"/>
  <c r="Q789" i="79" s="1"/>
  <c r="N1432" i="64"/>
  <c r="Q785" i="79" s="1"/>
  <c r="Q786" i="79" s="1"/>
  <c r="N1431" i="64"/>
  <c r="Q782" i="79" s="1"/>
  <c r="Q783" i="79" s="1"/>
  <c r="N1430" i="64"/>
  <c r="Q779" i="79" s="1"/>
  <c r="Q780" i="79" s="1"/>
  <c r="N1429" i="64"/>
  <c r="Q776" i="79" s="1"/>
  <c r="Q777" i="79" s="1"/>
  <c r="N1428" i="64"/>
  <c r="N1427" i="64"/>
  <c r="Q770" i="79" s="1"/>
  <c r="N1426" i="64"/>
  <c r="Q766" i="79" s="1"/>
  <c r="N1425" i="64"/>
  <c r="Q762" i="79" s="1"/>
  <c r="N1424" i="64"/>
  <c r="Q758" i="79" s="1"/>
  <c r="N1423" i="64"/>
  <c r="Q754" i="79" s="1"/>
  <c r="N1422" i="64"/>
  <c r="Q750" i="79" s="1"/>
  <c r="N1421" i="64"/>
  <c r="Q746" i="79" s="1"/>
  <c r="N1420" i="64"/>
  <c r="Q742" i="79" s="1"/>
  <c r="N1419" i="64"/>
  <c r="Q738" i="79" s="1"/>
  <c r="N1418" i="64"/>
  <c r="Q734" i="79" s="1"/>
  <c r="N1417" i="64"/>
  <c r="Q730" i="79" s="1"/>
  <c r="N1416" i="64"/>
  <c r="Q726" i="79" s="1"/>
  <c r="N1390" i="64"/>
  <c r="Q2274" i="79" s="1"/>
  <c r="N1373" i="64"/>
  <c r="N1360" i="64"/>
  <c r="Q616" i="79" s="1"/>
  <c r="N1359" i="64"/>
  <c r="Q573" i="79" s="1"/>
  <c r="N1357" i="64"/>
  <c r="Q624" i="79" s="1"/>
  <c r="N1356" i="64"/>
  <c r="Q581" i="79" s="1"/>
  <c r="N1354" i="64"/>
  <c r="Q608" i="79" s="1"/>
  <c r="N1353" i="64"/>
  <c r="Q565" i="79" s="1"/>
  <c r="N1351" i="64"/>
  <c r="Q600" i="79" s="1"/>
  <c r="N1348" i="64"/>
  <c r="Q592" i="79" s="1"/>
  <c r="N1350" i="64"/>
  <c r="Q557" i="79" s="1"/>
  <c r="Q369" i="79"/>
  <c r="Q328" i="79"/>
  <c r="Q164" i="79"/>
  <c r="Q123" i="79"/>
  <c r="Q82" i="79"/>
  <c r="Q492" i="79"/>
  <c r="Q246" i="79"/>
  <c r="Q835" i="79"/>
  <c r="Q451" i="79"/>
  <c r="Q205" i="79"/>
  <c r="AN41" i="79"/>
  <c r="Q663" i="79"/>
  <c r="Q547" i="79"/>
  <c r="Q287" i="79"/>
  <c r="Q6" i="79"/>
  <c r="Q1306" i="79" s="1"/>
  <c r="AN1306" i="79" s="1"/>
  <c r="Q410" i="79"/>
  <c r="K379" i="40"/>
  <c r="K514" i="40" s="1"/>
  <c r="N68" i="73"/>
  <c r="N90" i="73" s="1"/>
  <c r="N100" i="73" s="1"/>
  <c r="N128" i="73" s="1"/>
  <c r="N156" i="73" s="1"/>
  <c r="N184" i="73" s="1"/>
  <c r="N211" i="73" s="1"/>
  <c r="N238" i="73" s="1"/>
  <c r="N264" i="73" s="1"/>
  <c r="N286" i="73" s="1"/>
  <c r="N309" i="73" s="1"/>
  <c r="N331" i="73" s="1"/>
  <c r="N8" i="85" s="1"/>
  <c r="N7" i="73"/>
  <c r="N11" i="73"/>
  <c r="I175" i="73" s="1"/>
  <c r="V1200" i="64"/>
  <c r="AI1200" i="64" s="1"/>
  <c r="V1053" i="64"/>
  <c r="BN226" i="65"/>
  <c r="BN227" i="65"/>
  <c r="Z863" i="64" s="1"/>
  <c r="AZ863" i="64" s="1"/>
  <c r="BN220" i="65"/>
  <c r="Z856" i="64" s="1"/>
  <c r="AM856" i="64" s="1"/>
  <c r="BN231" i="65"/>
  <c r="Z867" i="64" s="1"/>
  <c r="BN223" i="65"/>
  <c r="Z859" i="64" s="1"/>
  <c r="AM859" i="64" s="1"/>
  <c r="BN224" i="65"/>
  <c r="Z860" i="64" s="1"/>
  <c r="AZ860" i="64" s="1"/>
  <c r="BN229" i="65"/>
  <c r="Z865" i="64" s="1"/>
  <c r="AM865" i="64" s="1"/>
  <c r="BN221" i="65"/>
  <c r="Z857" i="64" s="1"/>
  <c r="AM857" i="64" s="1"/>
  <c r="BN230" i="65"/>
  <c r="Z866" i="64" s="1"/>
  <c r="AZ866" i="64" s="1"/>
  <c r="BN222" i="65"/>
  <c r="Z858" i="64" s="1"/>
  <c r="AZ858" i="64" s="1"/>
  <c r="BN225" i="65"/>
  <c r="Z861" i="64" s="1"/>
  <c r="AZ861" i="64" s="1"/>
  <c r="BN228" i="65"/>
  <c r="Z864" i="64" s="1"/>
  <c r="AZ864" i="64" s="1"/>
  <c r="L568" i="74"/>
  <c r="I16" i="80"/>
  <c r="I72" i="83"/>
  <c r="O1634" i="79"/>
  <c r="O607" i="79"/>
  <c r="K219" i="85"/>
  <c r="K221" i="85" s="1"/>
  <c r="L578" i="74"/>
  <c r="L560" i="74"/>
  <c r="L581" i="74" s="1"/>
  <c r="L602" i="74" s="1"/>
  <c r="L623" i="74" s="1"/>
  <c r="L648" i="74" s="1"/>
  <c r="L658" i="74" s="1"/>
  <c r="L359" i="74"/>
  <c r="P584" i="79"/>
  <c r="P588" i="79"/>
  <c r="P585" i="79"/>
  <c r="P583" i="79"/>
  <c r="P760" i="79"/>
  <c r="P759" i="79"/>
  <c r="P576" i="79"/>
  <c r="P580" i="79"/>
  <c r="P575" i="79"/>
  <c r="P577" i="79"/>
  <c r="P602" i="79"/>
  <c r="P603" i="79"/>
  <c r="P604" i="79"/>
  <c r="P728" i="79"/>
  <c r="P727" i="79"/>
  <c r="P1220" i="79" s="1"/>
  <c r="P1288" i="79" s="1"/>
  <c r="P824" i="79"/>
  <c r="P595" i="79"/>
  <c r="P594" i="79"/>
  <c r="P596" i="79"/>
  <c r="P599" i="79"/>
  <c r="N1390" i="79"/>
  <c r="N615" i="79"/>
  <c r="DK1200" i="64"/>
  <c r="CK1274" i="64" s="1"/>
  <c r="CJ1126" i="64"/>
  <c r="DN1053" i="64"/>
  <c r="CZ1126" i="64" s="1"/>
  <c r="BO209" i="65"/>
  <c r="BO204" i="65"/>
  <c r="AA786" i="64" s="1"/>
  <c r="BO213" i="65"/>
  <c r="AA724" i="64" s="1"/>
  <c r="BO206" i="65"/>
  <c r="AA717" i="64" s="1"/>
  <c r="BO211" i="65"/>
  <c r="AA722" i="64" s="1"/>
  <c r="BO212" i="65"/>
  <c r="AA794" i="64" s="1"/>
  <c r="BO214" i="65"/>
  <c r="AA796" i="64" s="1"/>
  <c r="BO205" i="65"/>
  <c r="AA787" i="64" s="1"/>
  <c r="BO203" i="65"/>
  <c r="AA785" i="64" s="1"/>
  <c r="BO207" i="65"/>
  <c r="AA718" i="64" s="1"/>
  <c r="BO210" i="65"/>
  <c r="AA721" i="64" s="1"/>
  <c r="BO208" i="65"/>
  <c r="AA719" i="64" s="1"/>
  <c r="AB622" i="77"/>
  <c r="AB597" i="77"/>
  <c r="M646" i="77"/>
  <c r="L605" i="77" s="1"/>
  <c r="AB609" i="77"/>
  <c r="AB631" i="77" s="1"/>
  <c r="AB638" i="77" s="1"/>
  <c r="O438" i="77"/>
  <c r="F6" i="71"/>
  <c r="E30" i="71" s="1"/>
  <c r="I30" i="71" s="1"/>
  <c r="M30" i="71" s="1"/>
  <c r="L244" i="74"/>
  <c r="CO1311" i="64"/>
  <c r="B1311" i="64"/>
  <c r="H1274" i="64"/>
  <c r="AU1200" i="64"/>
  <c r="O613" i="79"/>
  <c r="B1307" i="64"/>
  <c r="CO1307" i="64"/>
  <c r="DI1248" i="64"/>
  <c r="DE1231" i="64"/>
  <c r="DH1084" i="64" s="1"/>
  <c r="CF1304" i="64"/>
  <c r="CU1156" i="64" s="1"/>
  <c r="CI1284" i="64"/>
  <c r="CF1322" i="64"/>
  <c r="CU1174" i="64" s="1"/>
  <c r="DD1223" i="64"/>
  <c r="DG1076" i="64" s="1"/>
  <c r="CD1323" i="64"/>
  <c r="CS1175" i="64" s="1"/>
  <c r="CG1339" i="64"/>
  <c r="CV1191" i="64" s="1"/>
  <c r="DG1209" i="64"/>
  <c r="DJ1062" i="64" s="1"/>
  <c r="CG1297" i="64"/>
  <c r="CV1149" i="64" s="1"/>
  <c r="CG1305" i="64"/>
  <c r="DG1206" i="64"/>
  <c r="DJ1059" i="64" s="1"/>
  <c r="CH1282" i="64"/>
  <c r="DH1254" i="64"/>
  <c r="DH1232" i="64"/>
  <c r="CH1279" i="64"/>
  <c r="DH1230" i="64"/>
  <c r="CH1278" i="64"/>
  <c r="AW681" i="64"/>
  <c r="AJ681" i="64"/>
  <c r="AT681" i="64"/>
  <c r="AG681" i="64"/>
  <c r="AS681" i="64"/>
  <c r="AF681" i="64"/>
  <c r="AV823" i="64"/>
  <c r="AI823" i="64"/>
  <c r="Y754" i="64"/>
  <c r="Y683" i="64"/>
  <c r="Y825" i="64"/>
  <c r="W754" i="64"/>
  <c r="W683" i="64"/>
  <c r="W825" i="64"/>
  <c r="CG31" i="65"/>
  <c r="CM30" i="65"/>
  <c r="CI30" i="65"/>
  <c r="CN30" i="65"/>
  <c r="CO30" i="65"/>
  <c r="CL30" i="65"/>
  <c r="CJ30" i="65"/>
  <c r="CK30" i="65"/>
  <c r="CQ30" i="65"/>
  <c r="CP30" i="65"/>
  <c r="CD1289" i="64"/>
  <c r="CS1141" i="64" s="1"/>
  <c r="DC1242" i="64"/>
  <c r="DF1095" i="64" s="1"/>
  <c r="CC1307" i="64"/>
  <c r="CR1159" i="64" s="1"/>
  <c r="CC1315" i="64"/>
  <c r="CR1167" i="64" s="1"/>
  <c r="CI1308" i="64"/>
  <c r="DE1242" i="64"/>
  <c r="DH1095" i="64" s="1"/>
  <c r="AW823" i="64"/>
  <c r="AJ823" i="64"/>
  <c r="AT752" i="64"/>
  <c r="AG752" i="64"/>
  <c r="AX823" i="64"/>
  <c r="AK823" i="64"/>
  <c r="AH752" i="64"/>
  <c r="AU752" i="64"/>
  <c r="AI752" i="64"/>
  <c r="AV752" i="64"/>
  <c r="U825" i="64"/>
  <c r="U754" i="64"/>
  <c r="U683" i="64"/>
  <c r="T754" i="64"/>
  <c r="T825" i="64"/>
  <c r="T683" i="64"/>
  <c r="X683" i="64"/>
  <c r="X754" i="64"/>
  <c r="X825" i="64"/>
  <c r="J1012" i="64"/>
  <c r="J1083" i="64" s="1"/>
  <c r="DG1241" i="64"/>
  <c r="DJ1094" i="64" s="1"/>
  <c r="DG1205" i="64"/>
  <c r="DJ1058" i="64" s="1"/>
  <c r="DG1204" i="64"/>
  <c r="AJ1550" i="79" s="1"/>
  <c r="AJ1891" i="79" s="1"/>
  <c r="DG1220" i="64"/>
  <c r="DJ1073" i="64" s="1"/>
  <c r="DG1210" i="64"/>
  <c r="DJ1063" i="64" s="1"/>
  <c r="DG1213" i="64"/>
  <c r="DJ1066" i="64" s="1"/>
  <c r="DF1210" i="64"/>
  <c r="DI1063" i="64" s="1"/>
  <c r="DF1252" i="64"/>
  <c r="DI1105" i="64" s="1"/>
  <c r="CD1339" i="64"/>
  <c r="CS1191" i="64" s="1"/>
  <c r="DH1248" i="64"/>
  <c r="CH1304" i="64"/>
  <c r="CH1317" i="64"/>
  <c r="DH1224" i="64"/>
  <c r="DH1246" i="64"/>
  <c r="CH1287" i="64"/>
  <c r="DJ1209" i="64"/>
  <c r="AW752" i="64"/>
  <c r="AJ752" i="64"/>
  <c r="AX681" i="64"/>
  <c r="AK681" i="64"/>
  <c r="AS823" i="64"/>
  <c r="AF823" i="64"/>
  <c r="AU681" i="64"/>
  <c r="AH681" i="64"/>
  <c r="AV681" i="64"/>
  <c r="AI681" i="64"/>
  <c r="S683" i="64"/>
  <c r="S754" i="64"/>
  <c r="S825" i="64"/>
  <c r="CF1303" i="64"/>
  <c r="CU1155" i="64" s="1"/>
  <c r="DF1227" i="64"/>
  <c r="DI1080" i="64" s="1"/>
  <c r="DF1205" i="64"/>
  <c r="DI1058" i="64" s="1"/>
  <c r="DF1244" i="64"/>
  <c r="DI1097" i="64" s="1"/>
  <c r="CF1311" i="64"/>
  <c r="CU1163" i="64" s="1"/>
  <c r="CF1296" i="64"/>
  <c r="CU1148" i="64" s="1"/>
  <c r="CF1326" i="64"/>
  <c r="CU1178" i="64" s="1"/>
  <c r="DF1217" i="64"/>
  <c r="DI1070" i="64" s="1"/>
  <c r="DF1238" i="64"/>
  <c r="DI1091" i="64" s="1"/>
  <c r="CF1277" i="64"/>
  <c r="CU1129" i="64" s="1"/>
  <c r="DF1257" i="64"/>
  <c r="DI1110" i="64" s="1"/>
  <c r="DF1236" i="64"/>
  <c r="DI1089" i="64" s="1"/>
  <c r="DD1229" i="64"/>
  <c r="DG1082" i="64" s="1"/>
  <c r="DD1235" i="64"/>
  <c r="DG1088" i="64" s="1"/>
  <c r="DD1254" i="64"/>
  <c r="DG1107" i="64" s="1"/>
  <c r="CD1278" i="64"/>
  <c r="J1550" i="79" s="1"/>
  <c r="J1891" i="79" s="1"/>
  <c r="CD1329" i="64"/>
  <c r="CS1181" i="64" s="1"/>
  <c r="CD1292" i="64"/>
  <c r="CS1144" i="64" s="1"/>
  <c r="DD1265" i="64"/>
  <c r="DG1118" i="64" s="1"/>
  <c r="DD1236" i="64"/>
  <c r="DG1089" i="64" s="1"/>
  <c r="DD1247" i="64"/>
  <c r="DG1100" i="64" s="1"/>
  <c r="DD1244" i="64"/>
  <c r="DG1097" i="64" s="1"/>
  <c r="DD1206" i="64"/>
  <c r="DG1059" i="64" s="1"/>
  <c r="CD1293" i="64"/>
  <c r="CS1145" i="64" s="1"/>
  <c r="DD1240" i="64"/>
  <c r="DG1093" i="64" s="1"/>
  <c r="CD1295" i="64"/>
  <c r="CS1147" i="64" s="1"/>
  <c r="DH1201" i="64"/>
  <c r="CC1282" i="64"/>
  <c r="CR1134" i="64" s="1"/>
  <c r="AG823" i="64"/>
  <c r="AT823" i="64"/>
  <c r="AK752" i="64"/>
  <c r="AX752" i="64"/>
  <c r="AF752" i="64"/>
  <c r="AS752" i="64"/>
  <c r="AH823" i="64"/>
  <c r="AU823" i="64"/>
  <c r="BS31" i="65"/>
  <c r="BV30" i="65"/>
  <c r="CB30" i="65"/>
  <c r="BU30" i="65"/>
  <c r="CC30" i="65"/>
  <c r="BZ30" i="65"/>
  <c r="BW30" i="65"/>
  <c r="BX30" i="65"/>
  <c r="BY30" i="65"/>
  <c r="CA30" i="65"/>
  <c r="V825" i="64"/>
  <c r="V754" i="64"/>
  <c r="V683" i="64"/>
  <c r="BO22" i="65"/>
  <c r="AA755" i="64" s="1"/>
  <c r="BK22" i="65"/>
  <c r="BE23" i="65"/>
  <c r="BG22" i="65"/>
  <c r="BI22" i="65"/>
  <c r="BM22" i="65"/>
  <c r="BN22" i="65"/>
  <c r="BL22" i="65"/>
  <c r="BJ22" i="65"/>
  <c r="BH22" i="65"/>
  <c r="CG1277" i="64"/>
  <c r="CV1129" i="64" s="1"/>
  <c r="CG1286" i="64"/>
  <c r="CV1138" i="64" s="1"/>
  <c r="CG1337" i="64"/>
  <c r="CV1189" i="64" s="1"/>
  <c r="DG1201" i="64"/>
  <c r="DJ1054" i="64" s="1"/>
  <c r="DG1235" i="64"/>
  <c r="DJ1088" i="64" s="1"/>
  <c r="CG1285" i="64"/>
  <c r="CV1137" i="64" s="1"/>
  <c r="CG1301" i="64"/>
  <c r="DG1238" i="64"/>
  <c r="DJ1091" i="64" s="1"/>
  <c r="DG1221" i="64"/>
  <c r="DJ1074" i="64" s="1"/>
  <c r="CG1312" i="64"/>
  <c r="CV1164" i="64" s="1"/>
  <c r="CG1275" i="64"/>
  <c r="CV1127" i="64" s="1"/>
  <c r="CG1296" i="64"/>
  <c r="CV1148" i="64" s="1"/>
  <c r="DG1227" i="64"/>
  <c r="DJ1080" i="64" s="1"/>
  <c r="CG1280" i="64"/>
  <c r="CV1132" i="64" s="1"/>
  <c r="CG1284" i="64"/>
  <c r="CV1136" i="64" s="1"/>
  <c r="DG1239" i="64"/>
  <c r="DJ1092" i="64" s="1"/>
  <c r="DG1226" i="64"/>
  <c r="DJ1079" i="64" s="1"/>
  <c r="DG1234" i="64"/>
  <c r="DJ1087" i="64" s="1"/>
  <c r="DG1244" i="64"/>
  <c r="DJ1097" i="64" s="1"/>
  <c r="DG1229" i="64"/>
  <c r="DJ1082" i="64" s="1"/>
  <c r="DG1256" i="64"/>
  <c r="CG1282" i="64"/>
  <c r="CV1134" i="64" s="1"/>
  <c r="CG1336" i="64"/>
  <c r="CV1188" i="64" s="1"/>
  <c r="DG1218" i="64"/>
  <c r="CG1309" i="64"/>
  <c r="CV1161" i="64" s="1"/>
  <c r="DG1228" i="64"/>
  <c r="DJ1081" i="64" s="1"/>
  <c r="CG1332" i="64"/>
  <c r="CV1184" i="64" s="1"/>
  <c r="CG1283" i="64"/>
  <c r="DG1260" i="64"/>
  <c r="DJ1113" i="64" s="1"/>
  <c r="CG1324" i="64"/>
  <c r="DG1208" i="64"/>
  <c r="DJ1061" i="64" s="1"/>
  <c r="CG1335" i="64"/>
  <c r="CV1187" i="64" s="1"/>
  <c r="DG1262" i="64"/>
  <c r="DJ1115" i="64" s="1"/>
  <c r="DG1202" i="64"/>
  <c r="DJ1055" i="64" s="1"/>
  <c r="B1326" i="64"/>
  <c r="CO1326" i="64"/>
  <c r="B1319" i="64"/>
  <c r="CO1319" i="64"/>
  <c r="B1322" i="64"/>
  <c r="CO1322" i="64"/>
  <c r="DF1239" i="64"/>
  <c r="DI1092" i="64" s="1"/>
  <c r="CF1302" i="64"/>
  <c r="CU1154" i="64" s="1"/>
  <c r="DF1250" i="64"/>
  <c r="DI1103" i="64" s="1"/>
  <c r="DF1229" i="64"/>
  <c r="DI1082" i="64" s="1"/>
  <c r="DF1216" i="64"/>
  <c r="DI1069" i="64" s="1"/>
  <c r="CF1280" i="64"/>
  <c r="CU1132" i="64" s="1"/>
  <c r="CF1287" i="64"/>
  <c r="CU1139" i="64" s="1"/>
  <c r="CF1317" i="64"/>
  <c r="CU1169" i="64" s="1"/>
  <c r="CF1297" i="64"/>
  <c r="CU1149" i="64" s="1"/>
  <c r="DF1231" i="64"/>
  <c r="DI1084" i="64" s="1"/>
  <c r="CF1339" i="64"/>
  <c r="CU1191" i="64" s="1"/>
  <c r="DF1218" i="64"/>
  <c r="DI1071" i="64" s="1"/>
  <c r="DF1232" i="64"/>
  <c r="DI1085" i="64" s="1"/>
  <c r="CF1286" i="64"/>
  <c r="CU1138" i="64" s="1"/>
  <c r="DF1259" i="64"/>
  <c r="DI1112" i="64" s="1"/>
  <c r="DF1254" i="64"/>
  <c r="DF1228" i="64"/>
  <c r="DI1081" i="64" s="1"/>
  <c r="DF1234" i="64"/>
  <c r="DI1087" i="64" s="1"/>
  <c r="CF1340" i="64"/>
  <c r="CU1192" i="64" s="1"/>
  <c r="CF1309" i="64"/>
  <c r="CU1161" i="64" s="1"/>
  <c r="DF1202" i="64"/>
  <c r="DI1055" i="64" s="1"/>
  <c r="DF1206" i="64"/>
  <c r="DI1059" i="64" s="1"/>
  <c r="DF1225" i="64"/>
  <c r="DI1078" i="64" s="1"/>
  <c r="CF1294" i="64"/>
  <c r="CU1146" i="64" s="1"/>
  <c r="CF1298" i="64"/>
  <c r="CU1150" i="64" s="1"/>
  <c r="DF1203" i="64"/>
  <c r="DI1056" i="64" s="1"/>
  <c r="CF1290" i="64"/>
  <c r="CU1142" i="64" s="1"/>
  <c r="CF1323" i="64"/>
  <c r="CU1175" i="64" s="1"/>
  <c r="CF1284" i="64"/>
  <c r="CU1136" i="64" s="1"/>
  <c r="CF1316" i="64"/>
  <c r="CU1168" i="64" s="1"/>
  <c r="CF1285" i="64"/>
  <c r="CU1137" i="64" s="1"/>
  <c r="DF1251" i="64"/>
  <c r="DI1104" i="64" s="1"/>
  <c r="CF1278" i="64"/>
  <c r="CF1330" i="64"/>
  <c r="CU1182" i="64" s="1"/>
  <c r="DF1211" i="64"/>
  <c r="DI1064" i="64" s="1"/>
  <c r="CF1300" i="64"/>
  <c r="CU1152" i="64" s="1"/>
  <c r="DF1256" i="64"/>
  <c r="DF1240" i="64"/>
  <c r="DI1093" i="64" s="1"/>
  <c r="DF1266" i="64"/>
  <c r="DI1119" i="64" s="1"/>
  <c r="DF1261" i="64"/>
  <c r="DI1114" i="64" s="1"/>
  <c r="DF1265" i="64"/>
  <c r="DI1118" i="64" s="1"/>
  <c r="CD1313" i="64"/>
  <c r="CS1165" i="64" s="1"/>
  <c r="DD1220" i="64"/>
  <c r="DG1073" i="64" s="1"/>
  <c r="DD1210" i="64"/>
  <c r="DG1063" i="64" s="1"/>
  <c r="CD1328" i="64"/>
  <c r="CS1180" i="64" s="1"/>
  <c r="DD1226" i="64"/>
  <c r="DG1079" i="64" s="1"/>
  <c r="CD1340" i="64"/>
  <c r="CS1192" i="64" s="1"/>
  <c r="CD1303" i="64"/>
  <c r="CS1155" i="64" s="1"/>
  <c r="CD1282" i="64"/>
  <c r="CD1321" i="64"/>
  <c r="CS1173" i="64" s="1"/>
  <c r="DD1262" i="64"/>
  <c r="DG1115" i="64" s="1"/>
  <c r="DD1208" i="64"/>
  <c r="DG1061" i="64" s="1"/>
  <c r="CD1332" i="64"/>
  <c r="CS1184" i="64" s="1"/>
  <c r="DD1232" i="64"/>
  <c r="DD1252" i="64"/>
  <c r="DG1105" i="64" s="1"/>
  <c r="DD1238" i="64"/>
  <c r="DD1248" i="64"/>
  <c r="DG1101" i="64" s="1"/>
  <c r="DD1217" i="64"/>
  <c r="DD1230" i="64"/>
  <c r="DG1083" i="64" s="1"/>
  <c r="CD1275" i="64"/>
  <c r="CS1127" i="64" s="1"/>
  <c r="CD1308" i="64"/>
  <c r="CS1160" i="64" s="1"/>
  <c r="CD1327" i="64"/>
  <c r="CS1179" i="64" s="1"/>
  <c r="DD1234" i="64"/>
  <c r="DG1087" i="64" s="1"/>
  <c r="DD1255" i="64"/>
  <c r="DG1108" i="64" s="1"/>
  <c r="CD1312" i="64"/>
  <c r="CS1164" i="64" s="1"/>
  <c r="DD1202" i="64"/>
  <c r="DD1204" i="64"/>
  <c r="DD1260" i="64"/>
  <c r="DG1113" i="64" s="1"/>
  <c r="CD1341" i="64"/>
  <c r="CS1193" i="64" s="1"/>
  <c r="CD1287" i="64"/>
  <c r="CD1314" i="64"/>
  <c r="CS1166" i="64" s="1"/>
  <c r="CO1328" i="64"/>
  <c r="B1328" i="64"/>
  <c r="CH1302" i="64"/>
  <c r="CH1289" i="64"/>
  <c r="DH1205" i="64"/>
  <c r="CH1297" i="64"/>
  <c r="CH1326" i="64"/>
  <c r="CH1299" i="64"/>
  <c r="CH1308" i="64"/>
  <c r="DH1221" i="64"/>
  <c r="CH1312" i="64"/>
  <c r="DH1251" i="64"/>
  <c r="DH1240" i="64"/>
  <c r="CH1320" i="64"/>
  <c r="DH1238" i="64"/>
  <c r="CH1309" i="64"/>
  <c r="DH1212" i="64"/>
  <c r="DH1245" i="64"/>
  <c r="CH1338" i="64"/>
  <c r="CH1284" i="64"/>
  <c r="CH1310" i="64"/>
  <c r="CH1313" i="64"/>
  <c r="DH1231" i="64"/>
  <c r="CH1335" i="64"/>
  <c r="DH1214" i="64"/>
  <c r="DH1242" i="64"/>
  <c r="DH1262" i="64"/>
  <c r="DH1211" i="64"/>
  <c r="CH1340" i="64"/>
  <c r="CH1276" i="64"/>
  <c r="DH1266" i="64"/>
  <c r="CH1285" i="64"/>
  <c r="CH1337" i="64"/>
  <c r="CH1288" i="64"/>
  <c r="DH1258" i="64"/>
  <c r="DH1256" i="64"/>
  <c r="DJ1260" i="64"/>
  <c r="CC1312" i="64"/>
  <c r="DC1222" i="64"/>
  <c r="DC1203" i="64"/>
  <c r="DC1201" i="64"/>
  <c r="DC1244" i="64"/>
  <c r="CC1285" i="64"/>
  <c r="CC1296" i="64"/>
  <c r="CC1284" i="64"/>
  <c r="CC1298" i="64"/>
  <c r="CC1278" i="64"/>
  <c r="CC1337" i="64"/>
  <c r="CC1333" i="64"/>
  <c r="CC1338" i="64"/>
  <c r="CC1275" i="64"/>
  <c r="DC1213" i="64"/>
  <c r="CC1316" i="64"/>
  <c r="DC1256" i="64"/>
  <c r="CC1288" i="64"/>
  <c r="CI1301" i="64"/>
  <c r="O1459" i="79" s="1"/>
  <c r="O1639" i="79" s="1"/>
  <c r="DI1264" i="64"/>
  <c r="DI1236" i="64"/>
  <c r="CI1310" i="64"/>
  <c r="CI1300" i="64"/>
  <c r="CI1282" i="64"/>
  <c r="O1498" i="79" s="1"/>
  <c r="O1747" i="79" s="1"/>
  <c r="DI1231" i="64"/>
  <c r="CI1303" i="64"/>
  <c r="CI1304" i="64"/>
  <c r="DI1241" i="64"/>
  <c r="DI1202" i="64"/>
  <c r="CI1286" i="64"/>
  <c r="DI1216" i="64"/>
  <c r="CI1276" i="64"/>
  <c r="DI1207" i="64"/>
  <c r="DI1206" i="64"/>
  <c r="DI1261" i="64"/>
  <c r="DI1220" i="64"/>
  <c r="CI1315" i="64"/>
  <c r="CI1298" i="64"/>
  <c r="DI1226" i="64"/>
  <c r="CI1290" i="64"/>
  <c r="DI1267" i="64"/>
  <c r="CI1279" i="64"/>
  <c r="DI1266" i="64"/>
  <c r="CI1305" i="64"/>
  <c r="DE1238" i="64"/>
  <c r="DH1091" i="64" s="1"/>
  <c r="DE1222" i="64"/>
  <c r="DH1075" i="64" s="1"/>
  <c r="CE1331" i="64"/>
  <c r="CT1183" i="64" s="1"/>
  <c r="CE1303" i="64"/>
  <c r="CT1155" i="64" s="1"/>
  <c r="CE1283" i="64"/>
  <c r="CT1135" i="64" s="1"/>
  <c r="DE1230" i="64"/>
  <c r="DH1083" i="64" s="1"/>
  <c r="DE1241" i="64"/>
  <c r="DH1094" i="64" s="1"/>
  <c r="DE1217" i="64"/>
  <c r="DH1070" i="64" s="1"/>
  <c r="CE1340" i="64"/>
  <c r="CT1192" i="64" s="1"/>
  <c r="CE1328" i="64"/>
  <c r="CT1180" i="64" s="1"/>
  <c r="CE1315" i="64"/>
  <c r="CT1167" i="64" s="1"/>
  <c r="DE1256" i="64"/>
  <c r="DE1212" i="64"/>
  <c r="DH1065" i="64" s="1"/>
  <c r="CE1322" i="64"/>
  <c r="CT1174" i="64" s="1"/>
  <c r="CE1277" i="64"/>
  <c r="CT1129" i="64" s="1"/>
  <c r="DE1243" i="64"/>
  <c r="CE1327" i="64"/>
  <c r="CT1179" i="64" s="1"/>
  <c r="CE1276" i="64"/>
  <c r="CT1128" i="64" s="1"/>
  <c r="CE1305" i="64"/>
  <c r="CT1157" i="64" s="1"/>
  <c r="DE1207" i="64"/>
  <c r="DH1060" i="64" s="1"/>
  <c r="DE1223" i="64"/>
  <c r="DH1076" i="64" s="1"/>
  <c r="CE1316" i="64"/>
  <c r="CT1168" i="64" s="1"/>
  <c r="DE1239" i="64"/>
  <c r="DH1092" i="64" s="1"/>
  <c r="CE1335" i="64"/>
  <c r="CT1187" i="64" s="1"/>
  <c r="DE1264" i="64"/>
  <c r="DH1117" i="64" s="1"/>
  <c r="DE1226" i="64"/>
  <c r="DH1079" i="64" s="1"/>
  <c r="CE1293" i="64"/>
  <c r="CT1145" i="64" s="1"/>
  <c r="CE1289" i="64"/>
  <c r="CT1141" i="64" s="1"/>
  <c r="B1314" i="64"/>
  <c r="CO1314" i="64"/>
  <c r="DG1261" i="64"/>
  <c r="DJ1114" i="64" s="1"/>
  <c r="CG1315" i="64"/>
  <c r="CV1167" i="64" s="1"/>
  <c r="CG1287" i="64"/>
  <c r="CV1139" i="64" s="1"/>
  <c r="CG1323" i="64"/>
  <c r="CV1175" i="64" s="1"/>
  <c r="DG1245" i="64"/>
  <c r="DJ1098" i="64" s="1"/>
  <c r="CG1338" i="64"/>
  <c r="CV1190" i="64" s="1"/>
  <c r="CG1289" i="64"/>
  <c r="CV1141" i="64" s="1"/>
  <c r="DG1259" i="64"/>
  <c r="CG1317" i="64"/>
  <c r="CV1169" i="64" s="1"/>
  <c r="DG1223" i="64"/>
  <c r="DJ1076" i="64" s="1"/>
  <c r="CG1334" i="64"/>
  <c r="CV1186" i="64" s="1"/>
  <c r="DG1216" i="64"/>
  <c r="DJ1069" i="64" s="1"/>
  <c r="DG1233" i="64"/>
  <c r="DJ1086" i="64" s="1"/>
  <c r="DG1211" i="64"/>
  <c r="DJ1064" i="64" s="1"/>
  <c r="DG1215" i="64"/>
  <c r="DJ1068" i="64" s="1"/>
  <c r="DG1254" i="64"/>
  <c r="DJ1107" i="64" s="1"/>
  <c r="DG1257" i="64"/>
  <c r="DJ1110" i="64" s="1"/>
  <c r="CG1321" i="64"/>
  <c r="CV1173" i="64" s="1"/>
  <c r="B1309" i="64"/>
  <c r="CO1309" i="64"/>
  <c r="B1324" i="64"/>
  <c r="CO1324" i="64"/>
  <c r="CO1327" i="64"/>
  <c r="B1327" i="64"/>
  <c r="CO1313" i="64"/>
  <c r="B1313" i="64"/>
  <c r="DF1212" i="64"/>
  <c r="DI1065" i="64" s="1"/>
  <c r="DF1209" i="64"/>
  <c r="DI1062" i="64" s="1"/>
  <c r="CF1308" i="64"/>
  <c r="CU1160" i="64" s="1"/>
  <c r="DF1245" i="64"/>
  <c r="DI1098" i="64" s="1"/>
  <c r="DF1248" i="64"/>
  <c r="DI1101" i="64" s="1"/>
  <c r="CF1313" i="64"/>
  <c r="CU1165" i="64" s="1"/>
  <c r="DF1267" i="64"/>
  <c r="DI1120" i="64" s="1"/>
  <c r="CF1324" i="64"/>
  <c r="CU1176" i="64" s="1"/>
  <c r="CF1310" i="64"/>
  <c r="CU1162" i="64" s="1"/>
  <c r="CF1279" i="64"/>
  <c r="CU1131" i="64" s="1"/>
  <c r="CF1299" i="64"/>
  <c r="CU1151" i="64" s="1"/>
  <c r="CF1275" i="64"/>
  <c r="CU1127" i="64" s="1"/>
  <c r="CF1328" i="64"/>
  <c r="CU1180" i="64" s="1"/>
  <c r="CF1320" i="64"/>
  <c r="CU1172" i="64" s="1"/>
  <c r="CF1291" i="64"/>
  <c r="CU1143" i="64" s="1"/>
  <c r="CF1314" i="64"/>
  <c r="CU1166" i="64" s="1"/>
  <c r="DF1241" i="64"/>
  <c r="DI1094" i="64" s="1"/>
  <c r="CF1329" i="64"/>
  <c r="CU1181" i="64" s="1"/>
  <c r="CF1305" i="64"/>
  <c r="CU1157" i="64" s="1"/>
  <c r="DF1255" i="64"/>
  <c r="DI1108" i="64" s="1"/>
  <c r="CF1288" i="64"/>
  <c r="CU1140" i="64" s="1"/>
  <c r="DF1262" i="64"/>
  <c r="DI1115" i="64" s="1"/>
  <c r="CF1336" i="64"/>
  <c r="CU1188" i="64" s="1"/>
  <c r="CD1311" i="64"/>
  <c r="CS1163" i="64" s="1"/>
  <c r="DD1213" i="64"/>
  <c r="DG1066" i="64" s="1"/>
  <c r="DD1257" i="64"/>
  <c r="CD1307" i="64"/>
  <c r="CD1338" i="64"/>
  <c r="CS1190" i="64" s="1"/>
  <c r="DD1258" i="64"/>
  <c r="DG1111" i="64" s="1"/>
  <c r="CD1286" i="64"/>
  <c r="DD1211" i="64"/>
  <c r="DG1064" i="64" s="1"/>
  <c r="DD1266" i="64"/>
  <c r="DG1119" i="64" s="1"/>
  <c r="DD1250" i="64"/>
  <c r="DG1103" i="64" s="1"/>
  <c r="CD1315" i="64"/>
  <c r="DD1224" i="64"/>
  <c r="DD1203" i="64"/>
  <c r="DG1056" i="64" s="1"/>
  <c r="CD1279" i="64"/>
  <c r="CS1131" i="64" s="1"/>
  <c r="DD1267" i="64"/>
  <c r="DG1120" i="64" s="1"/>
  <c r="CD1326" i="64"/>
  <c r="CS1178" i="64" s="1"/>
  <c r="CD1277" i="64"/>
  <c r="CS1129" i="64" s="1"/>
  <c r="CD1336" i="64"/>
  <c r="CS1188" i="64" s="1"/>
  <c r="DD1256" i="64"/>
  <c r="CD1306" i="64"/>
  <c r="CS1158" i="64" s="1"/>
  <c r="DD1209" i="64"/>
  <c r="DG1062" i="64" s="1"/>
  <c r="CD1331" i="64"/>
  <c r="CS1183" i="64" s="1"/>
  <c r="DD1242" i="64"/>
  <c r="CD1276" i="64"/>
  <c r="CS1128" i="64" s="1"/>
  <c r="CD1305" i="64"/>
  <c r="DD1214" i="64"/>
  <c r="DG1067" i="64" s="1"/>
  <c r="CO1321" i="64"/>
  <c r="B1321" i="64"/>
  <c r="DH1239" i="64"/>
  <c r="CH1294" i="64"/>
  <c r="CH1315" i="64"/>
  <c r="CH1277" i="64"/>
  <c r="CH1290" i="64"/>
  <c r="CH1323" i="64"/>
  <c r="CH1296" i="64"/>
  <c r="DH1252" i="64"/>
  <c r="DH1225" i="64"/>
  <c r="DH1244" i="64"/>
  <c r="CH1303" i="64"/>
  <c r="CH1339" i="64"/>
  <c r="DH1237" i="64"/>
  <c r="DH1255" i="64"/>
  <c r="DH1204" i="64"/>
  <c r="DH1260" i="64"/>
  <c r="DH1229" i="64"/>
  <c r="CH1281" i="64"/>
  <c r="DH1227" i="64"/>
  <c r="DH1207" i="64"/>
  <c r="DH1228" i="64"/>
  <c r="DH1233" i="64"/>
  <c r="DH1223" i="64"/>
  <c r="CH1306" i="64"/>
  <c r="DH1234" i="64"/>
  <c r="CH1341" i="64"/>
  <c r="CH1316" i="64"/>
  <c r="CH1334" i="64"/>
  <c r="CJ1332" i="64"/>
  <c r="DJ1252" i="64"/>
  <c r="CO1320" i="64"/>
  <c r="B1320" i="64"/>
  <c r="DC1267" i="64"/>
  <c r="CC1306" i="64"/>
  <c r="CC1303" i="64"/>
  <c r="CC1277" i="64"/>
  <c r="CC1295" i="64"/>
  <c r="DC1251" i="64"/>
  <c r="CC1294" i="64"/>
  <c r="CC1299" i="64"/>
  <c r="CC1291" i="64"/>
  <c r="DC1226" i="64"/>
  <c r="CC1325" i="64"/>
  <c r="CC1318" i="64"/>
  <c r="DC1249" i="64"/>
  <c r="DC1225" i="64"/>
  <c r="CC1322" i="64"/>
  <c r="CC1308" i="64"/>
  <c r="DC1237" i="64"/>
  <c r="DC1263" i="64"/>
  <c r="CC1328" i="64"/>
  <c r="DC1211" i="64"/>
  <c r="DC1235" i="64"/>
  <c r="CC1300" i="64"/>
  <c r="CC1341" i="64"/>
  <c r="DC1204" i="64"/>
  <c r="CC1334" i="64"/>
  <c r="DC1206" i="64"/>
  <c r="DC1248" i="64"/>
  <c r="CC1336" i="64"/>
  <c r="DC1228" i="64"/>
  <c r="CC1281" i="64"/>
  <c r="DC1205" i="64"/>
  <c r="DC1258" i="64"/>
  <c r="DC1231" i="64"/>
  <c r="DI1259" i="64"/>
  <c r="CI1338" i="64"/>
  <c r="DI1211" i="64"/>
  <c r="CI1281" i="64"/>
  <c r="CI1337" i="64"/>
  <c r="CI1327" i="64"/>
  <c r="CI1335" i="64"/>
  <c r="CI1334" i="64"/>
  <c r="CI1317" i="64"/>
  <c r="DI1262" i="64"/>
  <c r="DI1210" i="64"/>
  <c r="CI1330" i="64"/>
  <c r="DI1234" i="64"/>
  <c r="CI1324" i="64"/>
  <c r="CI1325" i="64"/>
  <c r="DI1250" i="64"/>
  <c r="DI1225" i="64"/>
  <c r="CI1333" i="64"/>
  <c r="CI1293" i="64"/>
  <c r="CI1275" i="64"/>
  <c r="CI1339" i="64"/>
  <c r="CI1336" i="64"/>
  <c r="DI1260" i="64"/>
  <c r="CI1328" i="64"/>
  <c r="CI1323" i="64"/>
  <c r="DI1230" i="64"/>
  <c r="DI1255" i="64"/>
  <c r="DI1254" i="64"/>
  <c r="CI1280" i="64"/>
  <c r="O1485" i="79" s="1"/>
  <c r="O1711" i="79" s="1"/>
  <c r="CI1302" i="64"/>
  <c r="O1472" i="79" s="1"/>
  <c r="O1675" i="79" s="1"/>
  <c r="CI1285" i="64"/>
  <c r="CI1321" i="64"/>
  <c r="CI1288" i="64"/>
  <c r="DI1247" i="64"/>
  <c r="CE1325" i="64"/>
  <c r="CT1177" i="64" s="1"/>
  <c r="DE1221" i="64"/>
  <c r="DH1074" i="64" s="1"/>
  <c r="CE1296" i="64"/>
  <c r="CT1148" i="64" s="1"/>
  <c r="DE1266" i="64"/>
  <c r="DH1119" i="64" s="1"/>
  <c r="CE1319" i="64"/>
  <c r="CT1171" i="64" s="1"/>
  <c r="DE1248" i="64"/>
  <c r="DH1101" i="64" s="1"/>
  <c r="DE1252" i="64"/>
  <c r="DH1105" i="64" s="1"/>
  <c r="CE1298" i="64"/>
  <c r="CT1150" i="64" s="1"/>
  <c r="CE1326" i="64"/>
  <c r="CT1178" i="64" s="1"/>
  <c r="CE1312" i="64"/>
  <c r="CT1164" i="64" s="1"/>
  <c r="CE1297" i="64"/>
  <c r="CT1149" i="64" s="1"/>
  <c r="CE1285" i="64"/>
  <c r="CT1137" i="64" s="1"/>
  <c r="CE1313" i="64"/>
  <c r="CT1165" i="64" s="1"/>
  <c r="DE1206" i="64"/>
  <c r="DH1059" i="64" s="1"/>
  <c r="CE1324" i="64"/>
  <c r="CT1176" i="64" s="1"/>
  <c r="CE1291" i="64"/>
  <c r="CT1143" i="64" s="1"/>
  <c r="CE1323" i="64"/>
  <c r="CT1175" i="64" s="1"/>
  <c r="DE1218" i="64"/>
  <c r="DH1071" i="64" s="1"/>
  <c r="DE1257" i="64"/>
  <c r="DH1110" i="64" s="1"/>
  <c r="CE1311" i="64"/>
  <c r="CT1163" i="64" s="1"/>
  <c r="CE1330" i="64"/>
  <c r="CT1182" i="64" s="1"/>
  <c r="CE1329" i="64"/>
  <c r="CT1181" i="64" s="1"/>
  <c r="CE1280" i="64"/>
  <c r="CT1132" i="64" s="1"/>
  <c r="DE1253" i="64"/>
  <c r="DH1106" i="64" s="1"/>
  <c r="CE1300" i="64"/>
  <c r="CT1152" i="64" s="1"/>
  <c r="DE1260" i="64"/>
  <c r="DH1113" i="64" s="1"/>
  <c r="CE1341" i="64"/>
  <c r="CT1193" i="64" s="1"/>
  <c r="DE1259" i="64"/>
  <c r="DH1112" i="64" s="1"/>
  <c r="DE1220" i="64"/>
  <c r="DH1073" i="64" s="1"/>
  <c r="DE1219" i="64"/>
  <c r="DH1072" i="64" s="1"/>
  <c r="DE1247" i="64"/>
  <c r="DH1100" i="64" s="1"/>
  <c r="CE1288" i="64"/>
  <c r="CT1140" i="64" s="1"/>
  <c r="CU1067" i="64"/>
  <c r="J1027" i="64"/>
  <c r="J1098" i="64" s="1"/>
  <c r="AG1997" i="79"/>
  <c r="AG2031" i="79" s="1"/>
  <c r="AG2032" i="79" s="1"/>
  <c r="AG1592" i="79"/>
  <c r="CG1291" i="64"/>
  <c r="CV1143" i="64" s="1"/>
  <c r="DG1252" i="64"/>
  <c r="DJ1105" i="64" s="1"/>
  <c r="DG1225" i="64"/>
  <c r="DJ1078" i="64" s="1"/>
  <c r="DG1253" i="64"/>
  <c r="DG1251" i="64"/>
  <c r="DJ1104" i="64" s="1"/>
  <c r="CG1304" i="64"/>
  <c r="CV1156" i="64" s="1"/>
  <c r="CG1300" i="64"/>
  <c r="CV1152" i="64" s="1"/>
  <c r="DG1246" i="64"/>
  <c r="DJ1099" i="64" s="1"/>
  <c r="DG1249" i="64"/>
  <c r="DJ1102" i="64" s="1"/>
  <c r="CG1325" i="64"/>
  <c r="CV1177" i="64" s="1"/>
  <c r="DG1203" i="64"/>
  <c r="DJ1056" i="64" s="1"/>
  <c r="CG1320" i="64"/>
  <c r="CV1172" i="64" s="1"/>
  <c r="CG1328" i="64"/>
  <c r="CV1180" i="64" s="1"/>
  <c r="CG1314" i="64"/>
  <c r="CV1166" i="64" s="1"/>
  <c r="DG1207" i="64"/>
  <c r="DJ1060" i="64" s="1"/>
  <c r="DG1266" i="64"/>
  <c r="DG1247" i="64"/>
  <c r="DJ1100" i="64" s="1"/>
  <c r="DG1248" i="64"/>
  <c r="DJ1101" i="64" s="1"/>
  <c r="DG1232" i="64"/>
  <c r="DJ1085" i="64" s="1"/>
  <c r="CG1278" i="64"/>
  <c r="CG1316" i="64"/>
  <c r="CV1168" i="64" s="1"/>
  <c r="DG1250" i="64"/>
  <c r="DJ1103" i="64" s="1"/>
  <c r="CG1306" i="64"/>
  <c r="CV1158" i="64" s="1"/>
  <c r="DG1255" i="64"/>
  <c r="DJ1108" i="64" s="1"/>
  <c r="DG1219" i="64"/>
  <c r="DJ1072" i="64" s="1"/>
  <c r="CG1333" i="64"/>
  <c r="CV1185" i="64" s="1"/>
  <c r="DG1243" i="64"/>
  <c r="CG1313" i="64"/>
  <c r="CV1165" i="64" s="1"/>
  <c r="CG1340" i="64"/>
  <c r="CV1192" i="64" s="1"/>
  <c r="CG1307" i="64"/>
  <c r="CV1159" i="64" s="1"/>
  <c r="CG1329" i="64"/>
  <c r="CV1181" i="64" s="1"/>
  <c r="CG1319" i="64"/>
  <c r="CV1171" i="64" s="1"/>
  <c r="CG1290" i="64"/>
  <c r="CV1142" i="64" s="1"/>
  <c r="DG1263" i="64"/>
  <c r="DJ1116" i="64" s="1"/>
  <c r="DG1231" i="64"/>
  <c r="DJ1084" i="64" s="1"/>
  <c r="CG1276" i="64"/>
  <c r="CV1128" i="64" s="1"/>
  <c r="AH247" i="79"/>
  <c r="AH1525" i="79" s="1"/>
  <c r="AH1592" i="79"/>
  <c r="AH1997" i="79"/>
  <c r="AH2031" i="79" s="1"/>
  <c r="AH2032" i="79" s="1"/>
  <c r="CF1301" i="64"/>
  <c r="CF1319" i="64"/>
  <c r="CU1171" i="64" s="1"/>
  <c r="DF1201" i="64"/>
  <c r="DI1054" i="64" s="1"/>
  <c r="DF1247" i="64"/>
  <c r="DI1100" i="64" s="1"/>
  <c r="DF1226" i="64"/>
  <c r="DI1079" i="64" s="1"/>
  <c r="DF1213" i="64"/>
  <c r="DI1066" i="64" s="1"/>
  <c r="DF1207" i="64"/>
  <c r="DI1060" i="64" s="1"/>
  <c r="CF1306" i="64"/>
  <c r="CU1158" i="64" s="1"/>
  <c r="CF1276" i="64"/>
  <c r="CU1128" i="64" s="1"/>
  <c r="CF1293" i="64"/>
  <c r="CU1145" i="64" s="1"/>
  <c r="CF1325" i="64"/>
  <c r="CU1177" i="64" s="1"/>
  <c r="DF1215" i="64"/>
  <c r="DI1068" i="64" s="1"/>
  <c r="CF1295" i="64"/>
  <c r="CU1147" i="64" s="1"/>
  <c r="CF1312" i="64"/>
  <c r="CU1164" i="64" s="1"/>
  <c r="DF1230" i="64"/>
  <c r="DI1083" i="64" s="1"/>
  <c r="DF1224" i="64"/>
  <c r="DI1077" i="64" s="1"/>
  <c r="DF1214" i="64"/>
  <c r="DI1067" i="64" s="1"/>
  <c r="CF1333" i="64"/>
  <c r="CU1185" i="64" s="1"/>
  <c r="DF1249" i="64"/>
  <c r="DI1102" i="64" s="1"/>
  <c r="CF1315" i="64"/>
  <c r="CU1167" i="64" s="1"/>
  <c r="CF1321" i="64"/>
  <c r="CU1173" i="64" s="1"/>
  <c r="DF1258" i="64"/>
  <c r="DI1111" i="64" s="1"/>
  <c r="DF1260" i="64"/>
  <c r="DI1113" i="64" s="1"/>
  <c r="DF1242" i="64"/>
  <c r="DI1095" i="64" s="1"/>
  <c r="CF1331" i="64"/>
  <c r="CU1183" i="64" s="1"/>
  <c r="DD1245" i="64"/>
  <c r="DD1233" i="64"/>
  <c r="DG1086" i="64" s="1"/>
  <c r="CD1301" i="64"/>
  <c r="CD1297" i="64"/>
  <c r="CS1149" i="64" s="1"/>
  <c r="DD1239" i="64"/>
  <c r="DG1092" i="64" s="1"/>
  <c r="CD1333" i="64"/>
  <c r="CS1185" i="64" s="1"/>
  <c r="CD1316" i="64"/>
  <c r="CS1168" i="64" s="1"/>
  <c r="CD1310" i="64"/>
  <c r="DD1218" i="64"/>
  <c r="DG1071" i="64" s="1"/>
  <c r="DD1216" i="64"/>
  <c r="DG1069" i="64" s="1"/>
  <c r="DD1259" i="64"/>
  <c r="CD1334" i="64"/>
  <c r="CS1186" i="64" s="1"/>
  <c r="CD1284" i="64"/>
  <c r="CS1136" i="64" s="1"/>
  <c r="CD1294" i="64"/>
  <c r="CS1146" i="64" s="1"/>
  <c r="CD1337" i="64"/>
  <c r="CS1189" i="64" s="1"/>
  <c r="DD1243" i="64"/>
  <c r="DD1253" i="64"/>
  <c r="DG1106" i="64" s="1"/>
  <c r="CD1324" i="64"/>
  <c r="CS1176" i="64" s="1"/>
  <c r="CD1291" i="64"/>
  <c r="CS1143" i="64" s="1"/>
  <c r="DD1246" i="64"/>
  <c r="DG1099" i="64" s="1"/>
  <c r="DD1212" i="64"/>
  <c r="DG1065" i="64" s="1"/>
  <c r="DD1237" i="64"/>
  <c r="DG1090" i="64" s="1"/>
  <c r="CD1330" i="64"/>
  <c r="CS1182" i="64" s="1"/>
  <c r="DD1249" i="64"/>
  <c r="DG1102" i="64" s="1"/>
  <c r="DD1251" i="64"/>
  <c r="DG1104" i="64" s="1"/>
  <c r="CD1335" i="64"/>
  <c r="CS1187" i="64" s="1"/>
  <c r="DD1225" i="64"/>
  <c r="DG1078" i="64" s="1"/>
  <c r="DD1222" i="64"/>
  <c r="DG1075" i="64" s="1"/>
  <c r="CD1280" i="64"/>
  <c r="CD1288" i="64"/>
  <c r="CS1140" i="64" s="1"/>
  <c r="L233" i="74"/>
  <c r="K245" i="74"/>
  <c r="DH1213" i="64"/>
  <c r="DH1208" i="64"/>
  <c r="DH1215" i="64"/>
  <c r="CH1298" i="64"/>
  <c r="CH1305" i="64"/>
  <c r="CH1295" i="64"/>
  <c r="DH1249" i="64"/>
  <c r="DH1222" i="64"/>
  <c r="DH1259" i="64"/>
  <c r="DH1241" i="64"/>
  <c r="DH1243" i="64"/>
  <c r="DH1203" i="64"/>
  <c r="DH1202" i="64"/>
  <c r="DH1267" i="64"/>
  <c r="CH1301" i="64"/>
  <c r="N1459" i="79" s="1"/>
  <c r="N1639" i="79" s="1"/>
  <c r="DH1236" i="64"/>
  <c r="DH1235" i="64"/>
  <c r="CH1319" i="64"/>
  <c r="CH1307" i="64"/>
  <c r="CH1275" i="64"/>
  <c r="DH1250" i="64"/>
  <c r="CH1322" i="64"/>
  <c r="DH1210" i="64"/>
  <c r="CH1329" i="64"/>
  <c r="DH1257" i="64"/>
  <c r="DH1226" i="64"/>
  <c r="CH1330" i="64"/>
  <c r="CH1332" i="64"/>
  <c r="CH1333" i="64"/>
  <c r="CH1314" i="64"/>
  <c r="CJ1335" i="64"/>
  <c r="DJ1238" i="64"/>
  <c r="CO1317" i="64"/>
  <c r="B1317" i="64"/>
  <c r="CO1325" i="64"/>
  <c r="B1325" i="64"/>
  <c r="DC1215" i="64"/>
  <c r="CC1319" i="64"/>
  <c r="DC1239" i="64"/>
  <c r="CC1297" i="64"/>
  <c r="DC1262" i="64"/>
  <c r="DC1216" i="64"/>
  <c r="DC1246" i="64"/>
  <c r="DC1247" i="64"/>
  <c r="DC1240" i="64"/>
  <c r="DC1230" i="64"/>
  <c r="CC1276" i="64"/>
  <c r="CC1332" i="64"/>
  <c r="DC1252" i="64"/>
  <c r="DC1253" i="64"/>
  <c r="DC1255" i="64"/>
  <c r="DC1227" i="64"/>
  <c r="CC1292" i="64"/>
  <c r="DC1207" i="64"/>
  <c r="CC1331" i="64"/>
  <c r="DC1212" i="64"/>
  <c r="CC1330" i="64"/>
  <c r="DC1220" i="64"/>
  <c r="CC1290" i="64"/>
  <c r="CC1283" i="64"/>
  <c r="DC1264" i="64"/>
  <c r="DC1208" i="64"/>
  <c r="CC1293" i="64"/>
  <c r="DC1234" i="64"/>
  <c r="DC1210" i="64"/>
  <c r="DC1214" i="64"/>
  <c r="CI1319" i="64"/>
  <c r="DI1223" i="64"/>
  <c r="DI1258" i="64"/>
  <c r="CI1306" i="64"/>
  <c r="DI1201" i="64"/>
  <c r="DI1229" i="64"/>
  <c r="CI1289" i="64"/>
  <c r="DI1235" i="64"/>
  <c r="DI1228" i="64"/>
  <c r="CI1312" i="64"/>
  <c r="CI1277" i="64"/>
  <c r="DI1213" i="64"/>
  <c r="DI1219" i="64"/>
  <c r="DI1252" i="64"/>
  <c r="CI1296" i="64"/>
  <c r="DI1238" i="64"/>
  <c r="DI1217" i="64"/>
  <c r="DI1227" i="64"/>
  <c r="CI1295" i="64"/>
  <c r="DI1246" i="64"/>
  <c r="DI1222" i="64"/>
  <c r="DI1208" i="64"/>
  <c r="CI1332" i="64"/>
  <c r="DI1214" i="64"/>
  <c r="DE1246" i="64"/>
  <c r="DH1099" i="64" s="1"/>
  <c r="DE1211" i="64"/>
  <c r="DH1064" i="64" s="1"/>
  <c r="DE1261" i="64"/>
  <c r="DH1114" i="64" s="1"/>
  <c r="CE1306" i="64"/>
  <c r="CT1158" i="64" s="1"/>
  <c r="CE1278" i="64"/>
  <c r="CE1334" i="64"/>
  <c r="CT1186" i="64" s="1"/>
  <c r="DE1249" i="64"/>
  <c r="DH1102" i="64" s="1"/>
  <c r="DE1262" i="64"/>
  <c r="DH1115" i="64" s="1"/>
  <c r="DE1215" i="64"/>
  <c r="DH1068" i="64" s="1"/>
  <c r="CE1302" i="64"/>
  <c r="CT1154" i="64" s="1"/>
  <c r="DE1201" i="64"/>
  <c r="DH1054" i="64" s="1"/>
  <c r="DE1234" i="64"/>
  <c r="DH1087" i="64" s="1"/>
  <c r="DE1255" i="64"/>
  <c r="DH1108" i="64" s="1"/>
  <c r="CE1292" i="64"/>
  <c r="CT1144" i="64" s="1"/>
  <c r="CE1279" i="64"/>
  <c r="CT1131" i="64" s="1"/>
  <c r="DE1235" i="64"/>
  <c r="DH1088" i="64" s="1"/>
  <c r="CE1338" i="64"/>
  <c r="CT1190" i="64" s="1"/>
  <c r="DE1229" i="64"/>
  <c r="CE1290" i="64"/>
  <c r="CT1142" i="64" s="1"/>
  <c r="DE1232" i="64"/>
  <c r="DH1085" i="64" s="1"/>
  <c r="DE1210" i="64"/>
  <c r="DH1063" i="64" s="1"/>
  <c r="DE1240" i="64"/>
  <c r="DH1093" i="64" s="1"/>
  <c r="B1318" i="64"/>
  <c r="CO1318" i="64"/>
  <c r="L561" i="74"/>
  <c r="K579" i="74"/>
  <c r="CG1310" i="64"/>
  <c r="CV1162" i="64" s="1"/>
  <c r="DG1224" i="64"/>
  <c r="CG1326" i="64"/>
  <c r="CV1178" i="64" s="1"/>
  <c r="CG1295" i="64"/>
  <c r="CV1147" i="64" s="1"/>
  <c r="CG1322" i="64"/>
  <c r="CV1174" i="64" s="1"/>
  <c r="CG1281" i="64"/>
  <c r="CV1133" i="64" s="1"/>
  <c r="CG1299" i="64"/>
  <c r="CV1151" i="64" s="1"/>
  <c r="CG1292" i="64"/>
  <c r="CV1144" i="64" s="1"/>
  <c r="DG1222" i="64"/>
  <c r="DJ1075" i="64" s="1"/>
  <c r="DG1217" i="64"/>
  <c r="DJ1070" i="64" s="1"/>
  <c r="DG1237" i="64"/>
  <c r="DG1264" i="64"/>
  <c r="DJ1117" i="64" s="1"/>
  <c r="DG1212" i="64"/>
  <c r="DJ1065" i="64" s="1"/>
  <c r="CG1318" i="64"/>
  <c r="CV1170" i="64" s="1"/>
  <c r="CG1303" i="64"/>
  <c r="CV1155" i="64" s="1"/>
  <c r="DG1258" i="64"/>
  <c r="DJ1111" i="64" s="1"/>
  <c r="CG1341" i="64"/>
  <c r="CV1193" i="64" s="1"/>
  <c r="CG1311" i="64"/>
  <c r="CV1163" i="64" s="1"/>
  <c r="DG1265" i="64"/>
  <c r="DJ1118" i="64" s="1"/>
  <c r="CG1294" i="64"/>
  <c r="CV1146" i="64" s="1"/>
  <c r="CG1279" i="64"/>
  <c r="CV1131" i="64" s="1"/>
  <c r="CG1331" i="64"/>
  <c r="CV1183" i="64" s="1"/>
  <c r="DG1242" i="64"/>
  <c r="DJ1095" i="64" s="1"/>
  <c r="CG1308" i="64"/>
  <c r="DG1214" i="64"/>
  <c r="DJ1067" i="64" s="1"/>
  <c r="CF1327" i="64"/>
  <c r="CU1179" i="64" s="1"/>
  <c r="DF1220" i="64"/>
  <c r="DI1073" i="64" s="1"/>
  <c r="DF1243" i="64"/>
  <c r="CF1283" i="64"/>
  <c r="CU1135" i="64" s="1"/>
  <c r="CF1282" i="64"/>
  <c r="CU1134" i="64" s="1"/>
  <c r="DF1219" i="64"/>
  <c r="DI1072" i="64" s="1"/>
  <c r="DF1233" i="64"/>
  <c r="DI1086" i="64" s="1"/>
  <c r="DF1235" i="64"/>
  <c r="DI1088" i="64" s="1"/>
  <c r="CF1281" i="64"/>
  <c r="CU1133" i="64" s="1"/>
  <c r="CF1292" i="64"/>
  <c r="CU1144" i="64" s="1"/>
  <c r="DF1253" i="64"/>
  <c r="DI1106" i="64" s="1"/>
  <c r="DF1237" i="64"/>
  <c r="DI1090" i="64" s="1"/>
  <c r="CF1289" i="64"/>
  <c r="CU1141" i="64" s="1"/>
  <c r="DF1222" i="64"/>
  <c r="DI1075" i="64" s="1"/>
  <c r="CF1307" i="64"/>
  <c r="CU1159" i="64" s="1"/>
  <c r="DF1221" i="64"/>
  <c r="DI1074" i="64" s="1"/>
  <c r="DF1208" i="64"/>
  <c r="DI1061" i="64" s="1"/>
  <c r="DF1223" i="64"/>
  <c r="DI1076" i="64" s="1"/>
  <c r="CF1318" i="64"/>
  <c r="CU1170" i="64" s="1"/>
  <c r="DF1246" i="64"/>
  <c r="DI1099" i="64" s="1"/>
  <c r="DF1204" i="64"/>
  <c r="CF1332" i="64"/>
  <c r="CU1184" i="64" s="1"/>
  <c r="CF1338" i="64"/>
  <c r="CU1190" i="64" s="1"/>
  <c r="DD1205" i="64"/>
  <c r="DG1058" i="64" s="1"/>
  <c r="DD1207" i="64"/>
  <c r="DG1060" i="64" s="1"/>
  <c r="CD1302" i="64"/>
  <c r="CS1154" i="64" s="1"/>
  <c r="CD1290" i="64"/>
  <c r="CS1142" i="64" s="1"/>
  <c r="CD1317" i="64"/>
  <c r="CD1283" i="64"/>
  <c r="CS1135" i="64" s="1"/>
  <c r="DD1227" i="64"/>
  <c r="DG1080" i="64" s="1"/>
  <c r="DD1215" i="64"/>
  <c r="DG1068" i="64" s="1"/>
  <c r="CD1320" i="64"/>
  <c r="CS1172" i="64" s="1"/>
  <c r="CD1299" i="64"/>
  <c r="CS1151" i="64" s="1"/>
  <c r="CD1309" i="64"/>
  <c r="CS1161" i="64" s="1"/>
  <c r="DD1228" i="64"/>
  <c r="DG1081" i="64" s="1"/>
  <c r="DD1261" i="64"/>
  <c r="DG1114" i="64" s="1"/>
  <c r="DD1201" i="64"/>
  <c r="DG1054" i="64" s="1"/>
  <c r="CD1281" i="64"/>
  <c r="CS1133" i="64" s="1"/>
  <c r="CD1304" i="64"/>
  <c r="DD1241" i="64"/>
  <c r="DD1221" i="64"/>
  <c r="DG1074" i="64" s="1"/>
  <c r="CD1298" i="64"/>
  <c r="CS1150" i="64" s="1"/>
  <c r="CD1325" i="64"/>
  <c r="CS1177" i="64" s="1"/>
  <c r="CD1300" i="64"/>
  <c r="CS1152" i="64" s="1"/>
  <c r="CD1285" i="64"/>
  <c r="CS1137" i="64" s="1"/>
  <c r="DD1263" i="64"/>
  <c r="DG1116" i="64" s="1"/>
  <c r="DD1219" i="64"/>
  <c r="DG1072" i="64" s="1"/>
  <c r="DD1231" i="64"/>
  <c r="DG1084" i="64" s="1"/>
  <c r="AF1997" i="79"/>
  <c r="AF2031" i="79" s="1"/>
  <c r="AF2032" i="79" s="1"/>
  <c r="AF1592" i="79"/>
  <c r="DH1253" i="64"/>
  <c r="DH1217" i="64"/>
  <c r="CH1325" i="64"/>
  <c r="CH1324" i="64"/>
  <c r="DH1247" i="64"/>
  <c r="CH1336" i="64"/>
  <c r="CH1286" i="64"/>
  <c r="DH1220" i="64"/>
  <c r="CH1291" i="64"/>
  <c r="CH1318" i="64"/>
  <c r="DH1265" i="64"/>
  <c r="DH1209" i="64"/>
  <c r="DH1219" i="64"/>
  <c r="CH1321" i="64"/>
  <c r="DH1261" i="64"/>
  <c r="DH1263" i="64"/>
  <c r="DH1264" i="64"/>
  <c r="CJ1302" i="64"/>
  <c r="CJ1277" i="64"/>
  <c r="CJ1320" i="64"/>
  <c r="CC1311" i="64"/>
  <c r="CC1326" i="64"/>
  <c r="DC1265" i="64"/>
  <c r="CC1323" i="64"/>
  <c r="CC1321" i="64"/>
  <c r="DC1221" i="64"/>
  <c r="CC1309" i="64"/>
  <c r="CC1339" i="64"/>
  <c r="DC1266" i="64"/>
  <c r="DC1236" i="64"/>
  <c r="CC1320" i="64"/>
  <c r="CC1324" i="64"/>
  <c r="CC1313" i="64"/>
  <c r="DC1209" i="64"/>
  <c r="CC1279" i="64"/>
  <c r="DC1261" i="64"/>
  <c r="DC1260" i="64"/>
  <c r="DC1223" i="64"/>
  <c r="DC1233" i="64"/>
  <c r="CC1327" i="64"/>
  <c r="CC1335" i="64"/>
  <c r="CC1302" i="64"/>
  <c r="DC1218" i="64"/>
  <c r="CC1289" i="64"/>
  <c r="DC1250" i="64"/>
  <c r="CC1340" i="64"/>
  <c r="CC1329" i="64"/>
  <c r="DC1219" i="64"/>
  <c r="CC1314" i="64"/>
  <c r="CI1292" i="64"/>
  <c r="CI1307" i="64"/>
  <c r="CI1309" i="64"/>
  <c r="CI1311" i="64"/>
  <c r="CI1287" i="64"/>
  <c r="CI1316" i="64"/>
  <c r="CI1294" i="64"/>
  <c r="CI1340" i="64"/>
  <c r="DI1249" i="64"/>
  <c r="DI1221" i="64"/>
  <c r="CI1320" i="64"/>
  <c r="CI1329" i="64"/>
  <c r="DI1251" i="64"/>
  <c r="DI1203" i="64"/>
  <c r="DI1224" i="64"/>
  <c r="CI1291" i="64"/>
  <c r="DI1245" i="64"/>
  <c r="DI1232" i="64"/>
  <c r="CI1341" i="64"/>
  <c r="DI1212" i="64"/>
  <c r="DI1239" i="64"/>
  <c r="DI1263" i="64"/>
  <c r="CI1297" i="64"/>
  <c r="CI1322" i="64"/>
  <c r="DI1243" i="64"/>
  <c r="DE1258" i="64"/>
  <c r="DH1111" i="64" s="1"/>
  <c r="DE1216" i="64"/>
  <c r="DH1069" i="64" s="1"/>
  <c r="CE1304" i="64"/>
  <c r="CT1156" i="64" s="1"/>
  <c r="CE1295" i="64"/>
  <c r="CT1147" i="64" s="1"/>
  <c r="CE1332" i="64"/>
  <c r="CT1184" i="64" s="1"/>
  <c r="DE1251" i="64"/>
  <c r="DH1104" i="64" s="1"/>
  <c r="DE1224" i="64"/>
  <c r="DH1077" i="64" s="1"/>
  <c r="CE1301" i="64"/>
  <c r="CE1339" i="64"/>
  <c r="CT1191" i="64" s="1"/>
  <c r="CE1286" i="64"/>
  <c r="CT1138" i="64" s="1"/>
  <c r="DE1236" i="64"/>
  <c r="DH1089" i="64" s="1"/>
  <c r="DE1263" i="64"/>
  <c r="DH1116" i="64" s="1"/>
  <c r="DE1228" i="64"/>
  <c r="DH1081" i="64" s="1"/>
  <c r="DE1237" i="64"/>
  <c r="DH1090" i="64" s="1"/>
  <c r="DE1245" i="64"/>
  <c r="DH1098" i="64" s="1"/>
  <c r="CE1281" i="64"/>
  <c r="CT1133" i="64" s="1"/>
  <c r="DE1205" i="64"/>
  <c r="DH1058" i="64" s="1"/>
  <c r="DE1267" i="64"/>
  <c r="DH1120" i="64" s="1"/>
  <c r="CE1333" i="64"/>
  <c r="CT1185" i="64" s="1"/>
  <c r="DE1233" i="64"/>
  <c r="DH1086" i="64" s="1"/>
  <c r="CE1336" i="64"/>
  <c r="CT1188" i="64" s="1"/>
  <c r="CE1294" i="64"/>
  <c r="CT1146" i="64" s="1"/>
  <c r="CE1317" i="64"/>
  <c r="CT1169" i="64" s="1"/>
  <c r="DE1227" i="64"/>
  <c r="DH1080" i="64" s="1"/>
  <c r="DE1250" i="64"/>
  <c r="DH1103" i="64" s="1"/>
  <c r="DE1209" i="64"/>
  <c r="DH1062" i="64" s="1"/>
  <c r="CE1318" i="64"/>
  <c r="CT1170" i="64" s="1"/>
  <c r="CU1100" i="64"/>
  <c r="J1004" i="64"/>
  <c r="J1075" i="64" s="1"/>
  <c r="N746" i="64"/>
  <c r="CU1099" i="64"/>
  <c r="J998" i="64"/>
  <c r="J1069" i="64" s="1"/>
  <c r="J1006" i="64"/>
  <c r="J1077" i="64" s="1"/>
  <c r="CG1173" i="64"/>
  <c r="I229" i="85"/>
  <c r="A251" i="77"/>
  <c r="A296" i="77" s="1"/>
  <c r="A630" i="77"/>
  <c r="L588" i="73"/>
  <c r="L594" i="73" s="1"/>
  <c r="L601" i="73"/>
  <c r="M303" i="73"/>
  <c r="N287" i="73"/>
  <c r="N302" i="73" s="1"/>
  <c r="L589" i="73"/>
  <c r="L595" i="73" s="1"/>
  <c r="L602" i="73"/>
  <c r="M280" i="73"/>
  <c r="N265" i="73"/>
  <c r="N279" i="73" s="1"/>
  <c r="J1019" i="64"/>
  <c r="J1090" i="64" s="1"/>
  <c r="K656" i="77"/>
  <c r="L232" i="73"/>
  <c r="K35" i="85"/>
  <c r="J52" i="85"/>
  <c r="K78" i="85"/>
  <c r="K36" i="85"/>
  <c r="J55" i="85"/>
  <c r="K63" i="85"/>
  <c r="J82" i="85"/>
  <c r="I203" i="85"/>
  <c r="I205" i="85" s="1"/>
  <c r="J556" i="73"/>
  <c r="J554" i="73"/>
  <c r="J555" i="73" s="1"/>
  <c r="J462" i="73"/>
  <c r="K147" i="73"/>
  <c r="R147" i="73" s="1"/>
  <c r="K145" i="73"/>
  <c r="N86" i="73"/>
  <c r="O69" i="73"/>
  <c r="O85" i="73" s="1"/>
  <c r="K201" i="73"/>
  <c r="K254" i="73"/>
  <c r="M453" i="73"/>
  <c r="M455" i="73" s="1"/>
  <c r="K240" i="73"/>
  <c r="J258" i="73"/>
  <c r="J461" i="73" s="1"/>
  <c r="M212" i="73"/>
  <c r="L229" i="73"/>
  <c r="K173" i="73"/>
  <c r="K175" i="73"/>
  <c r="K345" i="73"/>
  <c r="J457" i="73"/>
  <c r="P487" i="64"/>
  <c r="Q95" i="64"/>
  <c r="N975" i="64"/>
  <c r="O915" i="64"/>
  <c r="Q427" i="64"/>
  <c r="N925" i="64"/>
  <c r="P437" i="64"/>
  <c r="O939" i="64"/>
  <c r="Q451" i="64"/>
  <c r="O973" i="64"/>
  <c r="R93" i="64"/>
  <c r="Q485" i="64"/>
  <c r="N956" i="64"/>
  <c r="Q76" i="64"/>
  <c r="P468" i="64"/>
  <c r="N929" i="64"/>
  <c r="P441" i="64"/>
  <c r="O935" i="64"/>
  <c r="Q447" i="64"/>
  <c r="Q72" i="64"/>
  <c r="P464" i="64"/>
  <c r="N952" i="64"/>
  <c r="N933" i="64"/>
  <c r="P445" i="64"/>
  <c r="N932" i="64"/>
  <c r="P444" i="64"/>
  <c r="N944" i="64"/>
  <c r="P456" i="64"/>
  <c r="O931" i="64"/>
  <c r="Q443" i="64"/>
  <c r="N960" i="64"/>
  <c r="Q80" i="64"/>
  <c r="P472" i="64"/>
  <c r="R75" i="64"/>
  <c r="Q467" i="64"/>
  <c r="O955" i="64"/>
  <c r="N921" i="64"/>
  <c r="P433" i="64"/>
  <c r="O967" i="64"/>
  <c r="R87" i="64"/>
  <c r="Q479" i="64"/>
  <c r="N926" i="64"/>
  <c r="P438" i="64"/>
  <c r="N945" i="64"/>
  <c r="P457" i="64"/>
  <c r="O927" i="64"/>
  <c r="Q439" i="64"/>
  <c r="N937" i="64"/>
  <c r="P449" i="64"/>
  <c r="O943" i="64"/>
  <c r="Q455" i="64"/>
  <c r="N954" i="64"/>
  <c r="Q74" i="64"/>
  <c r="P466" i="64"/>
  <c r="N934" i="64"/>
  <c r="P446" i="64"/>
  <c r="N938" i="64"/>
  <c r="P450" i="64"/>
  <c r="N922" i="64"/>
  <c r="P434" i="64"/>
  <c r="Q89" i="64"/>
  <c r="P481" i="64"/>
  <c r="N969" i="64"/>
  <c r="N924" i="64"/>
  <c r="P436" i="64"/>
  <c r="Q483" i="64"/>
  <c r="R91" i="64"/>
  <c r="O971" i="64"/>
  <c r="N976" i="64"/>
  <c r="Q96" i="64"/>
  <c r="P488" i="64"/>
  <c r="N968" i="64"/>
  <c r="Q88" i="64"/>
  <c r="P480" i="64"/>
  <c r="N941" i="64"/>
  <c r="P453" i="64"/>
  <c r="N930" i="64"/>
  <c r="P442" i="64"/>
  <c r="N942" i="64"/>
  <c r="P454" i="64"/>
  <c r="O923" i="64"/>
  <c r="Q435" i="64"/>
  <c r="N928" i="64"/>
  <c r="P440" i="64"/>
  <c r="O947" i="64"/>
  <c r="Q459" i="64"/>
  <c r="O977" i="64"/>
  <c r="R97" i="64"/>
  <c r="Q489" i="64"/>
  <c r="N948" i="64"/>
  <c r="P460" i="64"/>
  <c r="N972" i="64"/>
  <c r="Q92" i="64"/>
  <c r="P484" i="64"/>
  <c r="O951" i="64"/>
  <c r="R71" i="64"/>
  <c r="Q463" i="64"/>
  <c r="N964" i="64"/>
  <c r="Q84" i="64"/>
  <c r="P476" i="64"/>
  <c r="P448" i="64"/>
  <c r="N936" i="64"/>
  <c r="N970" i="64"/>
  <c r="Q90" i="64"/>
  <c r="P482" i="64"/>
  <c r="N949" i="64"/>
  <c r="P461" i="64"/>
  <c r="N917" i="64"/>
  <c r="P429" i="64"/>
  <c r="N962" i="64"/>
  <c r="Q82" i="64"/>
  <c r="P474" i="64"/>
  <c r="O978" i="64"/>
  <c r="Q490" i="64"/>
  <c r="R98" i="64"/>
  <c r="N940" i="64"/>
  <c r="P452" i="64"/>
  <c r="N950" i="64"/>
  <c r="Q70" i="64"/>
  <c r="P462" i="64"/>
  <c r="AY879" i="64"/>
  <c r="AY882" i="64" s="1"/>
  <c r="J1000" i="64"/>
  <c r="J1071" i="64" s="1"/>
  <c r="J997" i="64"/>
  <c r="J1068" i="64" s="1"/>
  <c r="J999" i="64"/>
  <c r="J1070" i="64" s="1"/>
  <c r="J1041" i="64"/>
  <c r="J1112" i="64" s="1"/>
  <c r="Q85" i="64"/>
  <c r="N965" i="64"/>
  <c r="P477" i="64"/>
  <c r="N946" i="64"/>
  <c r="P458" i="64"/>
  <c r="Q77" i="64"/>
  <c r="N957" i="64"/>
  <c r="P469" i="64"/>
  <c r="N966" i="64"/>
  <c r="Q86" i="64"/>
  <c r="P478" i="64"/>
  <c r="O919" i="64"/>
  <c r="Q431" i="64"/>
  <c r="Q81" i="64"/>
  <c r="P473" i="64"/>
  <c r="N961" i="64"/>
  <c r="N953" i="64"/>
  <c r="Q73" i="64"/>
  <c r="P465" i="64"/>
  <c r="N958" i="64"/>
  <c r="Q78" i="64"/>
  <c r="P470" i="64"/>
  <c r="N918" i="64"/>
  <c r="P430" i="64"/>
  <c r="R83" i="64"/>
  <c r="O963" i="64"/>
  <c r="Q475" i="64"/>
  <c r="O959" i="64"/>
  <c r="R79" i="64"/>
  <c r="Q471" i="64"/>
  <c r="N916" i="64"/>
  <c r="P428" i="64"/>
  <c r="N914" i="64"/>
  <c r="P426" i="64"/>
  <c r="O974" i="64"/>
  <c r="Q486" i="64"/>
  <c r="R94" i="64"/>
  <c r="P432" i="64"/>
  <c r="N920" i="64"/>
  <c r="O326" i="64"/>
  <c r="CG1184" i="64"/>
  <c r="CU1066" i="64"/>
  <c r="CU1114" i="64"/>
  <c r="CU1090" i="64"/>
  <c r="CU1084" i="64"/>
  <c r="J1026" i="64"/>
  <c r="J1097" i="64" s="1"/>
  <c r="J1032" i="64"/>
  <c r="J1103" i="64" s="1"/>
  <c r="J1045" i="64"/>
  <c r="J1116" i="64" s="1"/>
  <c r="CI1095" i="64"/>
  <c r="O359" i="64"/>
  <c r="O339" i="64"/>
  <c r="CG1138" i="64"/>
  <c r="CG1183" i="64"/>
  <c r="CG1153" i="64"/>
  <c r="CG1178" i="64"/>
  <c r="CU1087" i="64"/>
  <c r="CU1093" i="64"/>
  <c r="CU1061" i="64"/>
  <c r="CU1075" i="64"/>
  <c r="CG1132" i="64"/>
  <c r="J1015" i="64"/>
  <c r="J1086" i="64" s="1"/>
  <c r="AI1071" i="64"/>
  <c r="N791" i="64"/>
  <c r="N797" i="64"/>
  <c r="I37" i="71" s="1"/>
  <c r="N784" i="64"/>
  <c r="I35" i="71" s="1"/>
  <c r="CG1146" i="64"/>
  <c r="CU1060" i="64"/>
  <c r="V612" i="77"/>
  <c r="M121" i="64"/>
  <c r="M386" i="77"/>
  <c r="AU1155" i="64"/>
  <c r="N911" i="64"/>
  <c r="P423" i="64"/>
  <c r="BV1082" i="64"/>
  <c r="CI1107" i="64"/>
  <c r="BI1068" i="64"/>
  <c r="BI1103" i="64"/>
  <c r="U1146" i="64"/>
  <c r="BU1155" i="64"/>
  <c r="BV1072" i="64"/>
  <c r="BH1171" i="64"/>
  <c r="BH1165" i="64"/>
  <c r="CI1082" i="64"/>
  <c r="AV1065" i="64"/>
  <c r="V1060" i="64"/>
  <c r="H1171" i="64"/>
  <c r="U1176" i="64"/>
  <c r="AU1146" i="64"/>
  <c r="AV1062" i="64"/>
  <c r="N898" i="64"/>
  <c r="P410" i="64"/>
  <c r="N909" i="64"/>
  <c r="P421" i="64"/>
  <c r="N895" i="64"/>
  <c r="P407" i="64"/>
  <c r="AL737" i="64"/>
  <c r="AL879" i="64"/>
  <c r="AL882" i="64" s="1"/>
  <c r="N899" i="64"/>
  <c r="P411" i="64"/>
  <c r="BV1065" i="64"/>
  <c r="AV1088" i="64"/>
  <c r="AI1060" i="64"/>
  <c r="H1155" i="64"/>
  <c r="BI1072" i="64"/>
  <c r="H1141" i="64"/>
  <c r="BU1171" i="64"/>
  <c r="BU1161" i="64"/>
  <c r="U1138" i="64"/>
  <c r="H1161" i="64"/>
  <c r="BU1138" i="64"/>
  <c r="AH1145" i="64"/>
  <c r="AH1141" i="64"/>
  <c r="AU1171" i="64"/>
  <c r="U1153" i="64"/>
  <c r="H1165" i="64"/>
  <c r="AV1082" i="64"/>
  <c r="V1088" i="64"/>
  <c r="V1065" i="64"/>
  <c r="BH1145" i="64"/>
  <c r="CI1103" i="64"/>
  <c r="CI1092" i="64"/>
  <c r="AU1133" i="64"/>
  <c r="CI1098" i="64"/>
  <c r="AU1176" i="64"/>
  <c r="CI1088" i="64"/>
  <c r="CI1080" i="64"/>
  <c r="V1073" i="64"/>
  <c r="AU1163" i="64"/>
  <c r="BV1107" i="64"/>
  <c r="AV1055" i="64"/>
  <c r="BV1060" i="64"/>
  <c r="AV1096" i="64"/>
  <c r="BI1062" i="64"/>
  <c r="BU1135" i="64"/>
  <c r="U1160" i="64"/>
  <c r="V1086" i="64"/>
  <c r="BH1158" i="64"/>
  <c r="AH1149" i="64"/>
  <c r="U1169" i="64"/>
  <c r="AH1135" i="64"/>
  <c r="CI1061" i="64"/>
  <c r="BI1086" i="64"/>
  <c r="CI1066" i="64"/>
  <c r="V1081" i="64"/>
  <c r="CI1071" i="64"/>
  <c r="AV1103" i="64"/>
  <c r="U1161" i="64"/>
  <c r="BU1153" i="64"/>
  <c r="U1163" i="64"/>
  <c r="AU1165" i="64"/>
  <c r="U1128" i="64"/>
  <c r="BI1060" i="64"/>
  <c r="CI1096" i="64"/>
  <c r="H1179" i="64"/>
  <c r="BV1061" i="64"/>
  <c r="V1087" i="64"/>
  <c r="H1139" i="64"/>
  <c r="BH1170" i="64"/>
  <c r="U1173" i="64"/>
  <c r="BU1146" i="64"/>
  <c r="AI1090" i="64"/>
  <c r="BU1165" i="64"/>
  <c r="H1128" i="64"/>
  <c r="BH1169" i="64"/>
  <c r="AI1062" i="64"/>
  <c r="U1134" i="64"/>
  <c r="AH1160" i="64"/>
  <c r="BH1139" i="64"/>
  <c r="BI1085" i="64"/>
  <c r="AV1084" i="64"/>
  <c r="U1140" i="64"/>
  <c r="U1139" i="64"/>
  <c r="BU1154" i="64"/>
  <c r="AU1158" i="64"/>
  <c r="AH1170" i="64"/>
  <c r="BV1071" i="64"/>
  <c r="AH1173" i="64"/>
  <c r="BV1076" i="64"/>
  <c r="AU1142" i="64"/>
  <c r="AI1084" i="64"/>
  <c r="U1131" i="64"/>
  <c r="AU1140" i="64"/>
  <c r="BH1154" i="64"/>
  <c r="CI1085" i="64"/>
  <c r="V1097" i="64"/>
  <c r="U1144" i="64"/>
  <c r="BH1173" i="64"/>
  <c r="U1149" i="64"/>
  <c r="BU1142" i="64"/>
  <c r="BV1084" i="64"/>
  <c r="BU1140" i="64"/>
  <c r="AI1081" i="64"/>
  <c r="CI1063" i="64"/>
  <c r="AH1158" i="64"/>
  <c r="H1170" i="64"/>
  <c r="AH1166" i="64"/>
  <c r="AU1173" i="64"/>
  <c r="AI1076" i="64"/>
  <c r="BV1059" i="64"/>
  <c r="CI1084" i="64"/>
  <c r="AI1067" i="64"/>
  <c r="AI1075" i="64"/>
  <c r="V1070" i="64"/>
  <c r="BH1193" i="64"/>
  <c r="AH1168" i="64"/>
  <c r="BI1064" i="64"/>
  <c r="V1079" i="64"/>
  <c r="BV1077" i="64"/>
  <c r="BI1056" i="64"/>
  <c r="BH1175" i="64"/>
  <c r="CI1114" i="64"/>
  <c r="AI1079" i="64"/>
  <c r="U1150" i="64"/>
  <c r="H1190" i="64"/>
  <c r="U1167" i="64"/>
  <c r="BU1172" i="64"/>
  <c r="BI1118" i="64"/>
  <c r="CI1057" i="64"/>
  <c r="H1147" i="64"/>
  <c r="BH1182" i="64"/>
  <c r="AH1151" i="64"/>
  <c r="V1112" i="64"/>
  <c r="H1189" i="64"/>
  <c r="BU1177" i="64"/>
  <c r="AV1083" i="64"/>
  <c r="U1186" i="64"/>
  <c r="BU1182" i="64"/>
  <c r="V1075" i="64"/>
  <c r="AH1162" i="64"/>
  <c r="U1168" i="64"/>
  <c r="AV1111" i="64"/>
  <c r="AV1115" i="64"/>
  <c r="U1162" i="64"/>
  <c r="AI1101" i="64"/>
  <c r="U1172" i="64"/>
  <c r="BI1112" i="64"/>
  <c r="AI1057" i="64"/>
  <c r="H1150" i="64"/>
  <c r="AU1143" i="64"/>
  <c r="AV1108" i="64"/>
  <c r="H1172" i="64"/>
  <c r="H1187" i="64"/>
  <c r="H1194" i="64"/>
  <c r="BU1147" i="64"/>
  <c r="AU1129" i="64"/>
  <c r="V1078" i="64"/>
  <c r="BU1188" i="64"/>
  <c r="BH1183" i="64"/>
  <c r="CI1105" i="64"/>
  <c r="AH1156" i="64"/>
  <c r="CI1113" i="64"/>
  <c r="H1148" i="64"/>
  <c r="AV1070" i="64"/>
  <c r="BI1109" i="64"/>
  <c r="AU1193" i="64"/>
  <c r="V1110" i="64"/>
  <c r="U1130" i="64"/>
  <c r="V1077" i="64"/>
  <c r="U1129" i="64"/>
  <c r="BI1078" i="64"/>
  <c r="H1185" i="64"/>
  <c r="AI1110" i="64"/>
  <c r="BH1190" i="64"/>
  <c r="BH1156" i="64"/>
  <c r="AH1167" i="64"/>
  <c r="AV1089" i="64"/>
  <c r="AH1187" i="64"/>
  <c r="H1137" i="64"/>
  <c r="H1181" i="64"/>
  <c r="BU1148" i="64"/>
  <c r="U1190" i="64"/>
  <c r="U1188" i="64"/>
  <c r="BI1114" i="64"/>
  <c r="AH1192" i="64"/>
  <c r="BI1091" i="64"/>
  <c r="BV1113" i="64"/>
  <c r="U1181" i="64"/>
  <c r="AH1143" i="64"/>
  <c r="H1174" i="64"/>
  <c r="AU1175" i="64"/>
  <c r="AI1114" i="64"/>
  <c r="AU1189" i="64"/>
  <c r="AV1077" i="64"/>
  <c r="BH1148" i="64"/>
  <c r="H1167" i="64"/>
  <c r="H1183" i="64"/>
  <c r="U1183" i="64"/>
  <c r="BV1105" i="64"/>
  <c r="AU1164" i="64"/>
  <c r="BU1174" i="64"/>
  <c r="AH1182" i="64"/>
  <c r="BU1192" i="64"/>
  <c r="BU1187" i="64"/>
  <c r="AV1105" i="64"/>
  <c r="U1127" i="64"/>
  <c r="BU1167" i="64"/>
  <c r="AH1172" i="64"/>
  <c r="AU1137" i="64"/>
  <c r="U1137" i="64"/>
  <c r="BU1164" i="64"/>
  <c r="BH1168" i="64"/>
  <c r="M643" i="64"/>
  <c r="N753" i="64"/>
  <c r="I32" i="71" s="1"/>
  <c r="O770" i="64"/>
  <c r="O765" i="64"/>
  <c r="N907" i="64"/>
  <c r="O788" i="64"/>
  <c r="O780" i="64"/>
  <c r="O766" i="64"/>
  <c r="O763" i="64"/>
  <c r="O759" i="64"/>
  <c r="O745" i="64"/>
  <c r="O562" i="64"/>
  <c r="O561" i="64"/>
  <c r="O560" i="64"/>
  <c r="O554" i="64"/>
  <c r="O553" i="64"/>
  <c r="O793" i="64"/>
  <c r="O772" i="64"/>
  <c r="O764" i="64"/>
  <c r="O747" i="64"/>
  <c r="O552" i="64"/>
  <c r="O551" i="64"/>
  <c r="O545" i="64"/>
  <c r="O544" i="64"/>
  <c r="O543" i="64"/>
  <c r="O542" i="64"/>
  <c r="O541" i="64"/>
  <c r="O540" i="64"/>
  <c r="O539" i="64"/>
  <c r="O538" i="64"/>
  <c r="O537" i="64"/>
  <c r="O754" i="64"/>
  <c r="P419" i="64"/>
  <c r="O761" i="64"/>
  <c r="O744" i="64"/>
  <c r="O755" i="64"/>
  <c r="O773" i="64"/>
  <c r="O758" i="64"/>
  <c r="O792" i="64"/>
  <c r="O756" i="64"/>
  <c r="O786" i="64"/>
  <c r="O749" i="64"/>
  <c r="O769" i="64"/>
  <c r="O775" i="64"/>
  <c r="O757" i="64"/>
  <c r="O750" i="64"/>
  <c r="O771" i="64"/>
  <c r="O748" i="64"/>
  <c r="O774" i="64"/>
  <c r="O787" i="64"/>
  <c r="O785" i="64"/>
  <c r="O743" i="64"/>
  <c r="O760" i="64"/>
  <c r="O762" i="64"/>
  <c r="O779" i="64"/>
  <c r="N893" i="64"/>
  <c r="P405" i="64"/>
  <c r="O369" i="64"/>
  <c r="O290" i="64"/>
  <c r="N683" i="64"/>
  <c r="N685" i="64"/>
  <c r="O174" i="64" s="1"/>
  <c r="N687" i="64"/>
  <c r="O176" i="64" s="1"/>
  <c r="N689" i="64"/>
  <c r="O178" i="64" s="1"/>
  <c r="N691" i="64"/>
  <c r="O180" i="64" s="1"/>
  <c r="N693" i="64"/>
  <c r="O182" i="64" s="1"/>
  <c r="N695" i="64"/>
  <c r="O184" i="64" s="1"/>
  <c r="N721" i="64"/>
  <c r="AA751" i="64"/>
  <c r="AA681" i="64"/>
  <c r="AA673" i="64"/>
  <c r="AA676" i="64"/>
  <c r="N698" i="64"/>
  <c r="N700" i="64"/>
  <c r="O188" i="64" s="1"/>
  <c r="N702" i="64"/>
  <c r="O190" i="64" s="1"/>
  <c r="N704" i="64"/>
  <c r="O192" i="64" s="1"/>
  <c r="AA746" i="64"/>
  <c r="N673" i="64"/>
  <c r="N676" i="64"/>
  <c r="N678" i="64"/>
  <c r="AA680" i="64"/>
  <c r="N714" i="64"/>
  <c r="N716" i="64"/>
  <c r="AA679" i="64"/>
  <c r="AA817" i="64"/>
  <c r="AA683" i="64"/>
  <c r="N709" i="64"/>
  <c r="O196" i="64" s="1"/>
  <c r="AA754" i="64"/>
  <c r="AA868" i="64"/>
  <c r="N672" i="64"/>
  <c r="N674" i="64"/>
  <c r="N677" i="64"/>
  <c r="N679" i="64"/>
  <c r="N684" i="64"/>
  <c r="O173" i="64" s="1"/>
  <c r="N692" i="64"/>
  <c r="O181" i="64" s="1"/>
  <c r="N699" i="64"/>
  <c r="O187" i="64" s="1"/>
  <c r="N703" i="64"/>
  <c r="O191" i="64" s="1"/>
  <c r="AA750" i="64"/>
  <c r="N686" i="64"/>
  <c r="O175" i="64" s="1"/>
  <c r="N715" i="64"/>
  <c r="N717" i="64"/>
  <c r="N722" i="64"/>
  <c r="N688" i="64"/>
  <c r="O177" i="64" s="1"/>
  <c r="N701" i="64"/>
  <c r="O189" i="64" s="1"/>
  <c r="N708" i="64"/>
  <c r="AA744" i="64"/>
  <c r="N690" i="64"/>
  <c r="O179" i="64" s="1"/>
  <c r="N694" i="64"/>
  <c r="O183" i="64" s="1"/>
  <c r="AA723" i="64"/>
  <c r="AA752" i="64"/>
  <c r="AA822" i="64"/>
  <c r="AA821" i="64"/>
  <c r="AA818" i="64"/>
  <c r="AA823" i="64"/>
  <c r="AA815" i="64"/>
  <c r="AA825" i="64"/>
  <c r="N530" i="64"/>
  <c r="AY808" i="64"/>
  <c r="N897" i="64"/>
  <c r="P409" i="64"/>
  <c r="CU1091" i="64"/>
  <c r="CG1141" i="64"/>
  <c r="CU1068" i="64"/>
  <c r="CU1109" i="64"/>
  <c r="CU1103" i="64"/>
  <c r="CU1055" i="64"/>
  <c r="CU1096" i="64"/>
  <c r="CU1106" i="64"/>
  <c r="CG1150" i="64"/>
  <c r="CG1168" i="64"/>
  <c r="CG1139" i="64"/>
  <c r="CG1192" i="64"/>
  <c r="CU1073" i="64"/>
  <c r="CG1165" i="64"/>
  <c r="CG1135" i="64"/>
  <c r="CW1135" i="64" s="1"/>
  <c r="CU1062" i="64"/>
  <c r="CU1074" i="64"/>
  <c r="CU1120" i="64"/>
  <c r="CU1064" i="64"/>
  <c r="CU1063" i="64"/>
  <c r="CU1076" i="64"/>
  <c r="CU1089" i="64"/>
  <c r="CU1054" i="64"/>
  <c r="CG1136" i="64"/>
  <c r="CG1156" i="64"/>
  <c r="CU1070" i="64"/>
  <c r="CG1182" i="64"/>
  <c r="CG1143" i="64"/>
  <c r="L387" i="77"/>
  <c r="J990" i="64"/>
  <c r="J1061" i="64" s="1"/>
  <c r="N894" i="64"/>
  <c r="P406" i="64"/>
  <c r="J1002" i="64"/>
  <c r="J1073" i="64" s="1"/>
  <c r="J1010" i="64"/>
  <c r="J1081" i="64" s="1"/>
  <c r="J1025" i="64"/>
  <c r="J1096" i="64" s="1"/>
  <c r="J985" i="64"/>
  <c r="J1056" i="64" s="1"/>
  <c r="J983" i="64"/>
  <c r="J1054" i="64" s="1"/>
  <c r="J1040" i="64"/>
  <c r="J1111" i="64" s="1"/>
  <c r="AZ815" i="64"/>
  <c r="AM815" i="64"/>
  <c r="AZ823" i="64"/>
  <c r="AM823" i="64"/>
  <c r="AZ818" i="64"/>
  <c r="AM818" i="64"/>
  <c r="AZ821" i="64"/>
  <c r="AM821" i="64"/>
  <c r="AZ859" i="64"/>
  <c r="AZ743" i="64"/>
  <c r="AM743" i="64"/>
  <c r="AZ746" i="64"/>
  <c r="AM746" i="64"/>
  <c r="AM721" i="64"/>
  <c r="AZ721" i="64"/>
  <c r="AZ673" i="64"/>
  <c r="AM673" i="64"/>
  <c r="AZ750" i="64"/>
  <c r="AM750" i="64"/>
  <c r="AM785" i="64"/>
  <c r="AZ785" i="64"/>
  <c r="AZ716" i="64"/>
  <c r="AM716" i="64"/>
  <c r="AZ676" i="64"/>
  <c r="AM676" i="64"/>
  <c r="AZ719" i="64"/>
  <c r="AM719" i="64"/>
  <c r="AZ717" i="64"/>
  <c r="AM717" i="64"/>
  <c r="AZ677" i="64"/>
  <c r="AM677" i="64"/>
  <c r="N195" i="64"/>
  <c r="M713" i="64"/>
  <c r="AZ868" i="64"/>
  <c r="AM868" i="64"/>
  <c r="N201" i="64"/>
  <c r="N260" i="64"/>
  <c r="M610" i="64"/>
  <c r="N896" i="64"/>
  <c r="P408" i="64"/>
  <c r="N892" i="64"/>
  <c r="P404" i="64"/>
  <c r="AY737" i="64"/>
  <c r="N905" i="64"/>
  <c r="P417" i="64"/>
  <c r="N908" i="64"/>
  <c r="P420" i="64"/>
  <c r="N891" i="64"/>
  <c r="P403" i="64"/>
  <c r="M123" i="64"/>
  <c r="V642" i="77"/>
  <c r="L642" i="64"/>
  <c r="AI1072" i="64"/>
  <c r="U1180" i="64"/>
  <c r="AH1169" i="64"/>
  <c r="U1155" i="64"/>
  <c r="U1145" i="64"/>
  <c r="U1141" i="64"/>
  <c r="V1098" i="64"/>
  <c r="BH1153" i="64"/>
  <c r="CI1065" i="64"/>
  <c r="BV1088" i="64"/>
  <c r="BI1065" i="64"/>
  <c r="AU1145" i="64"/>
  <c r="BU1141" i="64"/>
  <c r="V1103" i="64"/>
  <c r="BV1073" i="64"/>
  <c r="AI1107" i="64"/>
  <c r="AH1138" i="64"/>
  <c r="AI1088" i="64"/>
  <c r="AU1138" i="64"/>
  <c r="CI1072" i="64"/>
  <c r="AH1176" i="64"/>
  <c r="BV1092" i="64"/>
  <c r="BH1133" i="64"/>
  <c r="U1171" i="64"/>
  <c r="AI1103" i="64"/>
  <c r="AU1161" i="64"/>
  <c r="AV1080" i="64"/>
  <c r="H1146" i="64"/>
  <c r="AV1092" i="64"/>
  <c r="BI1107" i="64"/>
  <c r="AU1128" i="64"/>
  <c r="BU1133" i="64"/>
  <c r="AH1179" i="64"/>
  <c r="U1135" i="64"/>
  <c r="V1062" i="64"/>
  <c r="BU1160" i="64"/>
  <c r="U1159" i="64"/>
  <c r="BU1144" i="64"/>
  <c r="BH1132" i="64"/>
  <c r="V1106" i="64"/>
  <c r="H1135" i="64"/>
  <c r="BI1087" i="64"/>
  <c r="BV1086" i="64"/>
  <c r="BI1066" i="64"/>
  <c r="BV1097" i="64"/>
  <c r="BU1131" i="64"/>
  <c r="H1176" i="64"/>
  <c r="AI1080" i="64"/>
  <c r="BI1073" i="64"/>
  <c r="V1090" i="64"/>
  <c r="U1165" i="64"/>
  <c r="AI1055" i="64"/>
  <c r="AH1133" i="64"/>
  <c r="BU1169" i="64"/>
  <c r="U1179" i="64"/>
  <c r="BH1134" i="64"/>
  <c r="H1159" i="64"/>
  <c r="BV1066" i="64"/>
  <c r="V1093" i="64"/>
  <c r="V1076" i="64"/>
  <c r="AH1146" i="64"/>
  <c r="BU1163" i="64"/>
  <c r="V1107" i="64"/>
  <c r="AH1128" i="64"/>
  <c r="V1096" i="64"/>
  <c r="CI1062" i="64"/>
  <c r="AH1134" i="64"/>
  <c r="CI1086" i="64"/>
  <c r="AU1139" i="64"/>
  <c r="H1132" i="64"/>
  <c r="BU1157" i="64"/>
  <c r="AH1159" i="64"/>
  <c r="V1066" i="64"/>
  <c r="H1154" i="64"/>
  <c r="AV1085" i="64"/>
  <c r="AV1097" i="64"/>
  <c r="H1144" i="64"/>
  <c r="H1173" i="64"/>
  <c r="AU1132" i="64"/>
  <c r="BV1069" i="64"/>
  <c r="AH1157" i="64"/>
  <c r="BH1131" i="64"/>
  <c r="BV1067" i="64"/>
  <c r="V1063" i="64"/>
  <c r="U1158" i="64"/>
  <c r="AV1093" i="64"/>
  <c r="AU1144" i="64"/>
  <c r="CI1100" i="64"/>
  <c r="BU1132" i="64"/>
  <c r="AV1069" i="64"/>
  <c r="AH1131" i="64"/>
  <c r="BH1140" i="64"/>
  <c r="AV1081" i="64"/>
  <c r="BI1063" i="64"/>
  <c r="H1158" i="64"/>
  <c r="CI1093" i="64"/>
  <c r="BH1166" i="64"/>
  <c r="BI1100" i="64"/>
  <c r="BU1149" i="64"/>
  <c r="BI1069" i="64"/>
  <c r="U1157" i="64"/>
  <c r="AH1140" i="64"/>
  <c r="AI1054" i="64"/>
  <c r="AH1193" i="64"/>
  <c r="AU1167" i="64"/>
  <c r="BU1184" i="64"/>
  <c r="AI1118" i="64"/>
  <c r="U1189" i="64"/>
  <c r="V1091" i="64"/>
  <c r="BH1174" i="64"/>
  <c r="BV1099" i="64"/>
  <c r="AU1184" i="64"/>
  <c r="AH1152" i="64"/>
  <c r="AH1147" i="64"/>
  <c r="BI1075" i="64"/>
  <c r="BH1151" i="64"/>
  <c r="V1115" i="64"/>
  <c r="V1111" i="64"/>
  <c r="AU1187" i="64"/>
  <c r="H1164" i="64"/>
  <c r="BV1101" i="64"/>
  <c r="BI1102" i="64"/>
  <c r="V1057" i="64"/>
  <c r="BH1188" i="64"/>
  <c r="AU1150" i="64"/>
  <c r="H1186" i="64"/>
  <c r="AV1095" i="64"/>
  <c r="BI1054" i="64"/>
  <c r="AI1089" i="64"/>
  <c r="AH1181" i="64"/>
  <c r="AV1112" i="64"/>
  <c r="BI1057" i="64"/>
  <c r="BH1194" i="64"/>
  <c r="AH1164" i="64"/>
  <c r="BV1117" i="64"/>
  <c r="AU1194" i="64"/>
  <c r="U1194" i="64"/>
  <c r="BU1185" i="64"/>
  <c r="AV1074" i="64"/>
  <c r="U1182" i="64"/>
  <c r="U1151" i="64"/>
  <c r="AV1119" i="64"/>
  <c r="BU1130" i="64"/>
  <c r="AU1191" i="64"/>
  <c r="BH1164" i="64"/>
  <c r="V1108" i="64"/>
  <c r="BU1175" i="64"/>
  <c r="BV1057" i="64"/>
  <c r="BH1192" i="64"/>
  <c r="BI1077" i="64"/>
  <c r="BU1168" i="64"/>
  <c r="BV1095" i="64"/>
  <c r="AI1056" i="64"/>
  <c r="AU1148" i="64"/>
  <c r="BI1094" i="64"/>
  <c r="BH1172" i="64"/>
  <c r="AU1152" i="64"/>
  <c r="BU1137" i="64"/>
  <c r="AI1074" i="64"/>
  <c r="V1101" i="64"/>
  <c r="V1099" i="64"/>
  <c r="BV1114" i="64"/>
  <c r="BV1112" i="64"/>
  <c r="CI1120" i="64"/>
  <c r="AV1075" i="64"/>
  <c r="AI1117" i="64"/>
  <c r="AV1099" i="64"/>
  <c r="AI1119" i="64"/>
  <c r="BV1119" i="64"/>
  <c r="AU1147" i="64"/>
  <c r="AV1056" i="64"/>
  <c r="BU1151" i="64"/>
  <c r="AV1057" i="64"/>
  <c r="BU1194" i="64"/>
  <c r="BU1178" i="64"/>
  <c r="BU1181" i="64"/>
  <c r="AH1186" i="64"/>
  <c r="BV1075" i="64"/>
  <c r="BU1143" i="64"/>
  <c r="BU1193" i="64"/>
  <c r="CI1089" i="64"/>
  <c r="BI1079" i="64"/>
  <c r="BI1116" i="64"/>
  <c r="AH1150" i="64"/>
  <c r="BU1129" i="64"/>
  <c r="AV1078" i="64"/>
  <c r="U1184" i="64"/>
  <c r="V1119" i="64"/>
  <c r="BU1150" i="64"/>
  <c r="AH1127" i="64"/>
  <c r="V1094" i="64"/>
  <c r="H1168" i="64"/>
  <c r="BH1130" i="64"/>
  <c r="CI1079" i="64"/>
  <c r="BH1150" i="64"/>
  <c r="AH1148" i="64"/>
  <c r="AI1078" i="64"/>
  <c r="AH1191" i="64"/>
  <c r="BV1118" i="64"/>
  <c r="V1104" i="64"/>
  <c r="BU1156" i="64"/>
  <c r="AI1113" i="64"/>
  <c r="N778" i="64"/>
  <c r="I34" i="71" s="1"/>
  <c r="N550" i="64"/>
  <c r="I38" i="71" s="1"/>
  <c r="O294" i="64"/>
  <c r="N889" i="64"/>
  <c r="O521" i="64"/>
  <c r="O513" i="64"/>
  <c r="O504" i="64"/>
  <c r="O523" i="64"/>
  <c r="O515" i="64"/>
  <c r="O506" i="64"/>
  <c r="O502" i="64"/>
  <c r="O498" i="64"/>
  <c r="O522" i="64"/>
  <c r="O514" i="64"/>
  <c r="O505" i="64"/>
  <c r="O501" i="64"/>
  <c r="P381" i="64"/>
  <c r="P370" i="64"/>
  <c r="P362" i="64"/>
  <c r="P352" i="64"/>
  <c r="P350" i="64"/>
  <c r="P382" i="64"/>
  <c r="P372" i="64"/>
  <c r="P361" i="64"/>
  <c r="P353" i="64"/>
  <c r="P348" i="64"/>
  <c r="P336" i="64"/>
  <c r="P328" i="64"/>
  <c r="P320" i="64"/>
  <c r="P313" i="64"/>
  <c r="P309" i="64"/>
  <c r="P305" i="64"/>
  <c r="P297" i="64"/>
  <c r="P293" i="64"/>
  <c r="O512" i="64"/>
  <c r="O503" i="64"/>
  <c r="O500" i="64"/>
  <c r="O499" i="64"/>
  <c r="P383" i="64"/>
  <c r="P401" i="64"/>
  <c r="P360" i="64"/>
  <c r="P351" i="64"/>
  <c r="P349" i="64"/>
  <c r="P341" i="64"/>
  <c r="P334" i="64"/>
  <c r="P322" i="64"/>
  <c r="P318" i="64"/>
  <c r="P311" i="64"/>
  <c r="P307" i="64"/>
  <c r="P303" i="64"/>
  <c r="P295" i="64"/>
  <c r="P291" i="64"/>
  <c r="P387" i="64"/>
  <c r="P384" i="64"/>
  <c r="P380" i="64"/>
  <c r="P371" i="64"/>
  <c r="P354" i="64"/>
  <c r="P340" i="64"/>
  <c r="P333" i="64"/>
  <c r="P321" i="64"/>
  <c r="P317" i="64"/>
  <c r="P314" i="64"/>
  <c r="P310" i="64"/>
  <c r="P306" i="64"/>
  <c r="P302" i="64"/>
  <c r="P298" i="64"/>
  <c r="P363" i="64"/>
  <c r="P347" i="64"/>
  <c r="P312" i="64"/>
  <c r="P308" i="64"/>
  <c r="P304" i="64"/>
  <c r="P323" i="64"/>
  <c r="P319" i="64"/>
  <c r="P296" i="64"/>
  <c r="P335" i="64"/>
  <c r="P327" i="64"/>
  <c r="P292" i="64"/>
  <c r="O332" i="64"/>
  <c r="O379" i="64"/>
  <c r="N511" i="64"/>
  <c r="Z1045" i="64"/>
  <c r="Z1041" i="64"/>
  <c r="Z1039" i="64"/>
  <c r="Z1043" i="64"/>
  <c r="Z1040" i="64"/>
  <c r="Z1044" i="64"/>
  <c r="Z1038" i="64"/>
  <c r="Z1042" i="64"/>
  <c r="Z1006" i="64"/>
  <c r="Z1004" i="64"/>
  <c r="Z1003" i="64"/>
  <c r="Z985" i="64"/>
  <c r="Z1012" i="64"/>
  <c r="Z1020" i="64"/>
  <c r="Z1033" i="64"/>
  <c r="Z983" i="64"/>
  <c r="Z1028" i="64"/>
  <c r="Z999" i="64"/>
  <c r="Z1026" i="64"/>
  <c r="Z1000" i="64"/>
  <c r="Z995" i="64"/>
  <c r="Z988" i="64"/>
  <c r="Z1009" i="64"/>
  <c r="Z1010" i="64"/>
  <c r="Z1001" i="64"/>
  <c r="Z987" i="64"/>
  <c r="Z1014" i="64"/>
  <c r="Z996" i="64"/>
  <c r="Z989" i="64"/>
  <c r="Z1032" i="64"/>
  <c r="Z1027" i="64"/>
  <c r="Z1025" i="64"/>
  <c r="Z1005" i="64"/>
  <c r="Z997" i="64"/>
  <c r="Z1019" i="64"/>
  <c r="Z994" i="64"/>
  <c r="Z1011" i="64"/>
  <c r="Z1015" i="64"/>
  <c r="Z998" i="64"/>
  <c r="Z1002" i="64"/>
  <c r="Z984" i="64"/>
  <c r="Z1013" i="64"/>
  <c r="Z990" i="64"/>
  <c r="AL808" i="64"/>
  <c r="CU1082" i="64"/>
  <c r="CU1065" i="64"/>
  <c r="CU1083" i="64"/>
  <c r="CG1147" i="64"/>
  <c r="CG1128" i="64"/>
  <c r="CU1104" i="64"/>
  <c r="CG1171" i="64"/>
  <c r="CU1098" i="64"/>
  <c r="DK1098" i="64" s="1"/>
  <c r="CG1176" i="64"/>
  <c r="CG1174" i="64"/>
  <c r="CU1056" i="64"/>
  <c r="CU1088" i="64"/>
  <c r="CU1080" i="64"/>
  <c r="CG1152" i="64"/>
  <c r="CW1152" i="64" s="1"/>
  <c r="CG1160" i="64"/>
  <c r="CG1180" i="64"/>
  <c r="CG1169" i="64"/>
  <c r="CU1086" i="64"/>
  <c r="CU1081" i="64"/>
  <c r="DK1081" i="64" s="1"/>
  <c r="CU1085" i="64"/>
  <c r="CU1095" i="64"/>
  <c r="CU1101" i="64"/>
  <c r="CG1194" i="64"/>
  <c r="CG1193" i="64"/>
  <c r="CG1191" i="64"/>
  <c r="CU1079" i="64"/>
  <c r="CU1102" i="64"/>
  <c r="CU1113" i="64"/>
  <c r="CG1127" i="64"/>
  <c r="CU1097" i="64"/>
  <c r="CU1077" i="64"/>
  <c r="CG1189" i="64"/>
  <c r="CG1157" i="64"/>
  <c r="CG1131" i="64"/>
  <c r="CW1131" i="64" s="1"/>
  <c r="N903" i="64"/>
  <c r="P415" i="64"/>
  <c r="CV1176" i="64"/>
  <c r="J1014" i="64"/>
  <c r="J1085" i="64" s="1"/>
  <c r="J1028" i="64"/>
  <c r="J1099" i="64" s="1"/>
  <c r="J1044" i="64"/>
  <c r="J1115" i="64" s="1"/>
  <c r="AM867" i="64"/>
  <c r="AZ867" i="64"/>
  <c r="AM819" i="64"/>
  <c r="AZ819" i="64"/>
  <c r="AZ820" i="64"/>
  <c r="AM820" i="64"/>
  <c r="AM788" i="64"/>
  <c r="AZ788" i="64"/>
  <c r="AZ749" i="64"/>
  <c r="AM749" i="64"/>
  <c r="AZ789" i="64"/>
  <c r="AM789" i="64"/>
  <c r="AZ792" i="64"/>
  <c r="AM792" i="64"/>
  <c r="AM864" i="64"/>
  <c r="N265" i="64"/>
  <c r="N206" i="64"/>
  <c r="M726" i="64"/>
  <c r="AZ714" i="64"/>
  <c r="AM714" i="64"/>
  <c r="Z737" i="64"/>
  <c r="AM745" i="64"/>
  <c r="AZ745" i="64"/>
  <c r="M697" i="64"/>
  <c r="N172" i="64"/>
  <c r="AZ747" i="64"/>
  <c r="AM747" i="64"/>
  <c r="AZ715" i="64"/>
  <c r="AM715" i="64"/>
  <c r="AZ674" i="64"/>
  <c r="AM674" i="64"/>
  <c r="AZ754" i="64"/>
  <c r="AM754" i="64"/>
  <c r="AM724" i="64"/>
  <c r="AZ724" i="64"/>
  <c r="M675" i="64"/>
  <c r="M122" i="64"/>
  <c r="V635" i="77"/>
  <c r="L643" i="64"/>
  <c r="L647" i="64" s="1"/>
  <c r="S600" i="77"/>
  <c r="M1484" i="79"/>
  <c r="M1710" i="79" s="1"/>
  <c r="M1588" i="79"/>
  <c r="M1997" i="79" s="1"/>
  <c r="M1497" i="79"/>
  <c r="M1746" i="79" s="1"/>
  <c r="M1510" i="79"/>
  <c r="M1782" i="79" s="1"/>
  <c r="M1601" i="79"/>
  <c r="M2033" i="79" s="1"/>
  <c r="M1562" i="79"/>
  <c r="M1926" i="79" s="1"/>
  <c r="M1549" i="79"/>
  <c r="M1890" i="79" s="1"/>
  <c r="M1536" i="79"/>
  <c r="M1854" i="79" s="1"/>
  <c r="M1471" i="79"/>
  <c r="M1674" i="79" s="1"/>
  <c r="M1523" i="79"/>
  <c r="M1818" i="79" s="1"/>
  <c r="M1575" i="79"/>
  <c r="M1962" i="79" s="1"/>
  <c r="N913" i="64"/>
  <c r="P425" i="64"/>
  <c r="AJ1510" i="79"/>
  <c r="AJ1782" i="79" s="1"/>
  <c r="AJ1497" i="79"/>
  <c r="AJ1746" i="79" s="1"/>
  <c r="AJ1523" i="79"/>
  <c r="AJ1818" i="79" s="1"/>
  <c r="AJ1484" i="79"/>
  <c r="AJ1710" i="79" s="1"/>
  <c r="AJ1536" i="79"/>
  <c r="AJ1854" i="79" s="1"/>
  <c r="AJ1588" i="79"/>
  <c r="AJ1601" i="79"/>
  <c r="AJ2033" i="79" s="1"/>
  <c r="AJ1562" i="79"/>
  <c r="AJ1926" i="79" s="1"/>
  <c r="AJ1575" i="79"/>
  <c r="AJ1962" i="79" s="1"/>
  <c r="AJ1549" i="79"/>
  <c r="AJ1890" i="79" s="1"/>
  <c r="AI1674" i="79"/>
  <c r="BI1082" i="64"/>
  <c r="V1072" i="64"/>
  <c r="BU1180" i="64"/>
  <c r="CI1068" i="64"/>
  <c r="BI1098" i="64"/>
  <c r="BU1176" i="64"/>
  <c r="V1080" i="64"/>
  <c r="AV1072" i="64"/>
  <c r="BH1155" i="64"/>
  <c r="BH1138" i="64"/>
  <c r="BU1145" i="64"/>
  <c r="AI1098" i="64"/>
  <c r="BH1161" i="64"/>
  <c r="BI1090" i="64"/>
  <c r="BV1096" i="64"/>
  <c r="AI1068" i="64"/>
  <c r="V1082" i="64"/>
  <c r="AI1065" i="64"/>
  <c r="BV1068" i="64"/>
  <c r="BH1146" i="64"/>
  <c r="V1055" i="64"/>
  <c r="AI1096" i="64"/>
  <c r="BV1098" i="64"/>
  <c r="BV1103" i="64"/>
  <c r="BV1080" i="64"/>
  <c r="AV1073" i="64"/>
  <c r="CI1090" i="64"/>
  <c r="V1092" i="64"/>
  <c r="AH1180" i="64"/>
  <c r="CI1060" i="64"/>
  <c r="BI1096" i="64"/>
  <c r="AI1106" i="64"/>
  <c r="BH1135" i="64"/>
  <c r="H1134" i="64"/>
  <c r="AV1087" i="64"/>
  <c r="BU1136" i="64"/>
  <c r="BV1100" i="64"/>
  <c r="CI1069" i="64"/>
  <c r="AV1106" i="64"/>
  <c r="AU1134" i="64"/>
  <c r="H1160" i="64"/>
  <c r="AI1086" i="64"/>
  <c r="AI1066" i="64"/>
  <c r="AU1166" i="64"/>
  <c r="BI1058" i="64"/>
  <c r="BH1176" i="64"/>
  <c r="H1153" i="64"/>
  <c r="AI1073" i="64"/>
  <c r="AH1165" i="64"/>
  <c r="AU1180" i="64"/>
  <c r="BU1128" i="64"/>
  <c r="AV1060" i="64"/>
  <c r="BI1106" i="64"/>
  <c r="BV1062" i="64"/>
  <c r="AU1160" i="64"/>
  <c r="BH1159" i="64"/>
  <c r="H1136" i="64"/>
  <c r="U1166" i="64"/>
  <c r="U1132" i="64"/>
  <c r="CI1073" i="64"/>
  <c r="BV1090" i="64"/>
  <c r="AV1107" i="64"/>
  <c r="BI1055" i="64"/>
  <c r="BU1179" i="64"/>
  <c r="AU1135" i="64"/>
  <c r="BU1134" i="64"/>
  <c r="AU1159" i="64"/>
  <c r="BV1081" i="64"/>
  <c r="U1142" i="64"/>
  <c r="AV1058" i="64"/>
  <c r="BU1139" i="64"/>
  <c r="AU1154" i="64"/>
  <c r="BH1136" i="64"/>
  <c r="AI1097" i="64"/>
  <c r="BU1166" i="64"/>
  <c r="AV1071" i="64"/>
  <c r="BU1173" i="64"/>
  <c r="CI1059" i="64"/>
  <c r="H1142" i="64"/>
  <c r="AU1157" i="64"/>
  <c r="V1058" i="64"/>
  <c r="U1154" i="64"/>
  <c r="BV1063" i="64"/>
  <c r="BV1085" i="64"/>
  <c r="H1166" i="64"/>
  <c r="AH1144" i="64"/>
  <c r="BI1076" i="64"/>
  <c r="V1059" i="64"/>
  <c r="BH1142" i="64"/>
  <c r="AI1058" i="64"/>
  <c r="V1067" i="64"/>
  <c r="AI1063" i="64"/>
  <c r="V1085" i="64"/>
  <c r="BI1097" i="64"/>
  <c r="BI1093" i="64"/>
  <c r="BH1144" i="64"/>
  <c r="CI1076" i="64"/>
  <c r="AV1059" i="64"/>
  <c r="AH1142" i="64"/>
  <c r="H1131" i="64"/>
  <c r="CI1054" i="64"/>
  <c r="V1054" i="64"/>
  <c r="AU1174" i="64"/>
  <c r="CI1078" i="64"/>
  <c r="U1192" i="64"/>
  <c r="AH1185" i="64"/>
  <c r="V1105" i="64"/>
  <c r="BH1143" i="64"/>
  <c r="H1182" i="64"/>
  <c r="AV1116" i="64"/>
  <c r="H1152" i="64"/>
  <c r="BH1177" i="64"/>
  <c r="U1147" i="64"/>
  <c r="BV1056" i="64"/>
  <c r="BV1102" i="64"/>
  <c r="BH1185" i="64"/>
  <c r="BI1119" i="64"/>
  <c r="AU1177" i="64"/>
  <c r="BV1083" i="64"/>
  <c r="AV1117" i="64"/>
  <c r="BV1120" i="64"/>
  <c r="AV1110" i="64"/>
  <c r="BI1110" i="64"/>
  <c r="BU1162" i="64"/>
  <c r="BU1186" i="64"/>
  <c r="BH1127" i="64"/>
  <c r="BH1181" i="64"/>
  <c r="BI1101" i="64"/>
  <c r="CI1102" i="64"/>
  <c r="BV1116" i="64"/>
  <c r="BH1152" i="64"/>
  <c r="U1178" i="64"/>
  <c r="BV1070" i="64"/>
  <c r="BI1120" i="64"/>
  <c r="AH1137" i="64"/>
  <c r="BV1115" i="64"/>
  <c r="BI1104" i="64"/>
  <c r="BV1074" i="64"/>
  <c r="CI1056" i="64"/>
  <c r="H1175" i="64"/>
  <c r="H1130" i="64"/>
  <c r="BH1191" i="64"/>
  <c r="U1177" i="64"/>
  <c r="AU1156" i="64"/>
  <c r="AU1162" i="64"/>
  <c r="CI1099" i="64"/>
  <c r="AH1130" i="64"/>
  <c r="AV1064" i="64"/>
  <c r="CI1074" i="64"/>
  <c r="BH1186" i="64"/>
  <c r="AV1054" i="64"/>
  <c r="AU1127" i="64"/>
  <c r="BH1129" i="64"/>
  <c r="CI1108" i="64"/>
  <c r="AI1112" i="64"/>
  <c r="AU1130" i="64"/>
  <c r="AV1104" i="64"/>
  <c r="H1156" i="64"/>
  <c r="AU1190" i="64"/>
  <c r="BV1079" i="64"/>
  <c r="AV1114" i="64"/>
  <c r="BU1189" i="64"/>
  <c r="BH1147" i="64"/>
  <c r="V1120" i="64"/>
  <c r="AU1151" i="64"/>
  <c r="BU1152" i="64"/>
  <c r="BV1110" i="64"/>
  <c r="H1177" i="64"/>
  <c r="V1083" i="64"/>
  <c r="AI1108" i="64"/>
  <c r="AV1102" i="64"/>
  <c r="CI1115" i="64"/>
  <c r="V1114" i="64"/>
  <c r="CI1109" i="64"/>
  <c r="BI1095" i="64"/>
  <c r="AU1168" i="64"/>
  <c r="AH1129" i="64"/>
  <c r="BV1109" i="64"/>
  <c r="BH1167" i="64"/>
  <c r="BV1064" i="64"/>
  <c r="AU1192" i="64"/>
  <c r="U1185" i="64"/>
  <c r="V1074" i="64"/>
  <c r="U1174" i="64"/>
  <c r="AI1099" i="64"/>
  <c r="AI1115" i="64"/>
  <c r="V1116" i="64"/>
  <c r="BI1089" i="64"/>
  <c r="U1148" i="64"/>
  <c r="H1151" i="64"/>
  <c r="BI1099" i="64"/>
  <c r="BH1187" i="64"/>
  <c r="AU1183" i="64"/>
  <c r="AV1091" i="64"/>
  <c r="AV1101" i="64"/>
  <c r="AH1175" i="64"/>
  <c r="BH1137" i="64"/>
  <c r="BH1184" i="64"/>
  <c r="BH1178" i="64"/>
  <c r="AU1186" i="64"/>
  <c r="AV1113" i="64"/>
  <c r="N768" i="64"/>
  <c r="I33" i="71" s="1"/>
  <c r="AO1043" i="64"/>
  <c r="AO1039" i="64"/>
  <c r="AO1044" i="64"/>
  <c r="AO1045" i="64"/>
  <c r="AO1040" i="64"/>
  <c r="AO1041" i="64"/>
  <c r="AO1018" i="64"/>
  <c r="K1018" i="64" s="1"/>
  <c r="K1089" i="64" s="1"/>
  <c r="AO1037" i="64"/>
  <c r="K1037" i="64" s="1"/>
  <c r="K1108" i="64" s="1"/>
  <c r="AO1042" i="64"/>
  <c r="AO1038" i="64"/>
  <c r="AO1024" i="64"/>
  <c r="K1024" i="64" s="1"/>
  <c r="K1095" i="64" s="1"/>
  <c r="AO1031" i="64"/>
  <c r="K1031" i="64" s="1"/>
  <c r="K1102" i="64" s="1"/>
  <c r="AO985" i="64"/>
  <c r="AO1020" i="64"/>
  <c r="AO1033" i="64"/>
  <c r="AO983" i="64"/>
  <c r="AO1004" i="64"/>
  <c r="AO999" i="64"/>
  <c r="AO1006" i="64"/>
  <c r="AO1003" i="64"/>
  <c r="AO1028" i="64"/>
  <c r="AO1012" i="64"/>
  <c r="AO994" i="64"/>
  <c r="AO1001" i="64"/>
  <c r="AO984" i="64"/>
  <c r="AO989" i="64"/>
  <c r="AO1014" i="64"/>
  <c r="AO987" i="64"/>
  <c r="AO1009" i="64"/>
  <c r="AO1015" i="64"/>
  <c r="AO1005" i="64"/>
  <c r="AO997" i="64"/>
  <c r="AO996" i="64"/>
  <c r="K996" i="64" s="1"/>
  <c r="K1067" i="64" s="1"/>
  <c r="AO988" i="64"/>
  <c r="AO1027" i="64"/>
  <c r="AO1032" i="64"/>
  <c r="AO1011" i="64"/>
  <c r="AO1002" i="64"/>
  <c r="AO1019" i="64"/>
  <c r="AO998" i="64"/>
  <c r="AO1013" i="64"/>
  <c r="AO1025" i="64"/>
  <c r="AO990" i="64"/>
  <c r="AO1000" i="64"/>
  <c r="AO995" i="64"/>
  <c r="AO1010" i="64"/>
  <c r="AO1026" i="64"/>
  <c r="L388" i="77"/>
  <c r="N890" i="64"/>
  <c r="P402" i="64"/>
  <c r="CG1172" i="64"/>
  <c r="CG1177" i="64"/>
  <c r="CU1107" i="64"/>
  <c r="CG1161" i="64"/>
  <c r="CU1092" i="64"/>
  <c r="CG1134" i="64"/>
  <c r="CW1134" i="64" s="1"/>
  <c r="CU1117" i="64"/>
  <c r="DK1117" i="64" s="1"/>
  <c r="CG1163" i="64"/>
  <c r="CG1133" i="64"/>
  <c r="CG1166" i="64"/>
  <c r="CG1179" i="64"/>
  <c r="CW1179" i="64" s="1"/>
  <c r="CU1115" i="64"/>
  <c r="CG1144" i="64"/>
  <c r="CW1144" i="64" s="1"/>
  <c r="CU1119" i="64"/>
  <c r="DK1119" i="64" s="1"/>
  <c r="CG1162" i="64"/>
  <c r="CG1148" i="64"/>
  <c r="CW1148" i="64" s="1"/>
  <c r="CU1116" i="64"/>
  <c r="DK1116" i="64" s="1"/>
  <c r="CU1108" i="64"/>
  <c r="CU1105" i="64"/>
  <c r="CU1112" i="64"/>
  <c r="CG1186" i="64"/>
  <c r="CU1110" i="64"/>
  <c r="CU1059" i="64"/>
  <c r="CG1130" i="64"/>
  <c r="CG1185" i="64"/>
  <c r="CV1160" i="64"/>
  <c r="J984" i="64"/>
  <c r="J1055" i="64" s="1"/>
  <c r="J1001" i="64"/>
  <c r="J1072" i="64" s="1"/>
  <c r="J987" i="64"/>
  <c r="J1058" i="64" s="1"/>
  <c r="J1020" i="64"/>
  <c r="J1091" i="64" s="1"/>
  <c r="J1043" i="64"/>
  <c r="J1114" i="64" s="1"/>
  <c r="J1039" i="64"/>
  <c r="J1110" i="64" s="1"/>
  <c r="AZ825" i="64"/>
  <c r="AM825" i="64"/>
  <c r="AM866" i="64"/>
  <c r="AM752" i="64"/>
  <c r="AZ752" i="64"/>
  <c r="AZ790" i="64"/>
  <c r="AM790" i="64"/>
  <c r="AZ786" i="64"/>
  <c r="AM786" i="64"/>
  <c r="AZ748" i="64"/>
  <c r="AM748" i="64"/>
  <c r="AZ795" i="64"/>
  <c r="AM795" i="64"/>
  <c r="AZ718" i="64"/>
  <c r="AM718" i="64"/>
  <c r="AZ794" i="64"/>
  <c r="AM794" i="64"/>
  <c r="N202" i="64"/>
  <c r="N261" i="64"/>
  <c r="AZ680" i="64"/>
  <c r="AM680" i="64"/>
  <c r="AZ672" i="64"/>
  <c r="AM672" i="64"/>
  <c r="AM722" i="64"/>
  <c r="AZ722" i="64"/>
  <c r="AZ817" i="64"/>
  <c r="AM817" i="64"/>
  <c r="AZ723" i="64"/>
  <c r="AM723" i="64"/>
  <c r="AZ751" i="64"/>
  <c r="AM751" i="64"/>
  <c r="N902" i="64"/>
  <c r="P414" i="64"/>
  <c r="K646" i="64"/>
  <c r="K660" i="64" s="1"/>
  <c r="L128" i="64" s="1"/>
  <c r="N901" i="64"/>
  <c r="P413" i="64"/>
  <c r="DJ1071" i="64"/>
  <c r="AI1997" i="79"/>
  <c r="AI2031" i="79" s="1"/>
  <c r="AI2032" i="79" s="1"/>
  <c r="AI1592" i="79"/>
  <c r="N910" i="64"/>
  <c r="P422" i="64"/>
  <c r="N904" i="64"/>
  <c r="P416" i="64"/>
  <c r="DJ1077" i="64"/>
  <c r="N900" i="64"/>
  <c r="P412" i="64"/>
  <c r="DJ1112" i="64"/>
  <c r="DJ1119" i="64"/>
  <c r="DJ1090" i="64"/>
  <c r="AI1082" i="64"/>
  <c r="CV1179" i="64"/>
  <c r="N388" i="64"/>
  <c r="V1068" i="64"/>
  <c r="AH1155" i="64"/>
  <c r="H1138" i="64"/>
  <c r="AV1098" i="64"/>
  <c r="BH1141" i="64"/>
  <c r="AU1141" i="64"/>
  <c r="AU1153" i="64"/>
  <c r="AV1068" i="64"/>
  <c r="H1145" i="64"/>
  <c r="AH1171" i="64"/>
  <c r="AV1090" i="64"/>
  <c r="BI1088" i="64"/>
  <c r="BI1080" i="64"/>
  <c r="H1163" i="64"/>
  <c r="H1180" i="64"/>
  <c r="CI1055" i="64"/>
  <c r="H1133" i="64"/>
  <c r="AU1169" i="64"/>
  <c r="BV1106" i="64"/>
  <c r="AI1061" i="64"/>
  <c r="AI1087" i="64"/>
  <c r="AH1136" i="64"/>
  <c r="BH1149" i="64"/>
  <c r="BI1084" i="64"/>
  <c r="AU1179" i="64"/>
  <c r="V1061" i="64"/>
  <c r="CI1087" i="64"/>
  <c r="BU1159" i="64"/>
  <c r="BI1081" i="64"/>
  <c r="V1071" i="64"/>
  <c r="AV1067" i="64"/>
  <c r="AH1161" i="64"/>
  <c r="AH1153" i="64"/>
  <c r="BH1163" i="64"/>
  <c r="BI1092" i="64"/>
  <c r="BH1180" i="64"/>
  <c r="BH1128" i="64"/>
  <c r="H1169" i="64"/>
  <c r="BH1179" i="64"/>
  <c r="AV1061" i="64"/>
  <c r="BV1087" i="64"/>
  <c r="AV1086" i="64"/>
  <c r="U1170" i="64"/>
  <c r="AV1100" i="64"/>
  <c r="H1157" i="64"/>
  <c r="AH1163" i="64"/>
  <c r="AI1092" i="64"/>
  <c r="BV1055" i="64"/>
  <c r="U1133" i="64"/>
  <c r="CI1106" i="64"/>
  <c r="BI1061" i="64"/>
  <c r="BH1160" i="64"/>
  <c r="AH1139" i="64"/>
  <c r="U1136" i="64"/>
  <c r="V1069" i="64"/>
  <c r="CI1067" i="64"/>
  <c r="AV1066" i="64"/>
  <c r="CI1081" i="64"/>
  <c r="AI1085" i="64"/>
  <c r="AU1170" i="64"/>
  <c r="BV1093" i="64"/>
  <c r="BI1071" i="64"/>
  <c r="AV1076" i="64"/>
  <c r="BI1059" i="64"/>
  <c r="BH1157" i="64"/>
  <c r="CI1058" i="64"/>
  <c r="H1140" i="64"/>
  <c r="AH1154" i="64"/>
  <c r="AV1063" i="64"/>
  <c r="CI1097" i="64"/>
  <c r="AI1100" i="64"/>
  <c r="AU1149" i="64"/>
  <c r="AH1132" i="64"/>
  <c r="V1084" i="64"/>
  <c r="BV1058" i="64"/>
  <c r="BI1067" i="64"/>
  <c r="AU1136" i="64"/>
  <c r="BU1158" i="64"/>
  <c r="BU1170" i="64"/>
  <c r="AI1093" i="64"/>
  <c r="V1100" i="64"/>
  <c r="H1149" i="64"/>
  <c r="AI1059" i="64"/>
  <c r="AI1069" i="64"/>
  <c r="AU1131" i="64"/>
  <c r="BV1108" i="64"/>
  <c r="AI1070" i="64"/>
  <c r="BI1108" i="64"/>
  <c r="V1109" i="64"/>
  <c r="AI1064" i="64"/>
  <c r="AH1194" i="64"/>
  <c r="CI1077" i="64"/>
  <c r="H1162" i="64"/>
  <c r="AI1094" i="64"/>
  <c r="BH1189" i="64"/>
  <c r="U1187" i="64"/>
  <c r="AH1178" i="64"/>
  <c r="U1156" i="64"/>
  <c r="CI1101" i="64"/>
  <c r="AU1182" i="64"/>
  <c r="AV1079" i="64"/>
  <c r="BU1191" i="64"/>
  <c r="H1178" i="64"/>
  <c r="BU1127" i="64"/>
  <c r="AV1094" i="64"/>
  <c r="CI1110" i="64"/>
  <c r="AH1189" i="64"/>
  <c r="AH1184" i="64"/>
  <c r="AI1091" i="64"/>
  <c r="AI1095" i="64"/>
  <c r="CI1070" i="64"/>
  <c r="BI1070" i="64"/>
  <c r="AI1109" i="64"/>
  <c r="U1193" i="64"/>
  <c r="U1152" i="64"/>
  <c r="AI1116" i="64"/>
  <c r="AI1077" i="64"/>
  <c r="BV1089" i="64"/>
  <c r="BV1094" i="64"/>
  <c r="CI1118" i="64"/>
  <c r="U1191" i="64"/>
  <c r="BI1105" i="64"/>
  <c r="CI1083" i="64"/>
  <c r="AI1120" i="64"/>
  <c r="AV1120" i="64"/>
  <c r="AI1111" i="64"/>
  <c r="CI1112" i="64"/>
  <c r="AU1181" i="64"/>
  <c r="U1143" i="64"/>
  <c r="CI1117" i="64"/>
  <c r="BI1111" i="64"/>
  <c r="CI1116" i="64"/>
  <c r="AH1188" i="64"/>
  <c r="BV1091" i="64"/>
  <c r="BI1113" i="64"/>
  <c r="BV1054" i="64"/>
  <c r="BU1190" i="64"/>
  <c r="AH1174" i="64"/>
  <c r="V1102" i="64"/>
  <c r="AH1183" i="64"/>
  <c r="AU1185" i="64"/>
  <c r="AI1105" i="64"/>
  <c r="CI1075" i="64"/>
  <c r="V1089" i="64"/>
  <c r="V1118" i="64"/>
  <c r="AU1188" i="64"/>
  <c r="CI1104" i="64"/>
  <c r="CI1091" i="64"/>
  <c r="H1129" i="64"/>
  <c r="U1175" i="64"/>
  <c r="BI1115" i="64"/>
  <c r="BU1183" i="64"/>
  <c r="AU1178" i="64"/>
  <c r="BI1083" i="64"/>
  <c r="CI1094" i="64"/>
  <c r="AU1172" i="64"/>
  <c r="H1192" i="64"/>
  <c r="BV1111" i="64"/>
  <c r="U1164" i="64"/>
  <c r="V1113" i="64"/>
  <c r="BI1117" i="64"/>
  <c r="H1127" i="64"/>
  <c r="V1056" i="64"/>
  <c r="BV1078" i="64"/>
  <c r="CI1119" i="64"/>
  <c r="CI1111" i="64"/>
  <c r="AH1177" i="64"/>
  <c r="H1143" i="64"/>
  <c r="V1117" i="64"/>
  <c r="H1188" i="64"/>
  <c r="CI1064" i="64"/>
  <c r="AI1104" i="64"/>
  <c r="BI1074" i="64"/>
  <c r="H1193" i="64"/>
  <c r="AI1102" i="64"/>
  <c r="H1191" i="64"/>
  <c r="H1184" i="64"/>
  <c r="BV1104" i="64"/>
  <c r="AI1083" i="64"/>
  <c r="AH1190" i="64"/>
  <c r="AV1109" i="64"/>
  <c r="V1064" i="64"/>
  <c r="AV1118" i="64"/>
  <c r="BH1162" i="64"/>
  <c r="V1095" i="64"/>
  <c r="CV1135" i="64"/>
  <c r="N569" i="64"/>
  <c r="M628" i="64"/>
  <c r="N912" i="64"/>
  <c r="P424" i="64"/>
  <c r="O346" i="64"/>
  <c r="O301" i="64"/>
  <c r="O316" i="64"/>
  <c r="L627" i="64"/>
  <c r="L646" i="64" s="1"/>
  <c r="L660" i="64" s="1"/>
  <c r="M128" i="64" s="1"/>
  <c r="CG1155" i="64"/>
  <c r="CG1145" i="64"/>
  <c r="CU1072" i="64"/>
  <c r="CG1175" i="64"/>
  <c r="CG1181" i="64"/>
  <c r="CW1181" i="64" s="1"/>
  <c r="CG1137" i="64"/>
  <c r="CW1137" i="64" s="1"/>
  <c r="CU1057" i="64"/>
  <c r="CG1159" i="64"/>
  <c r="CG1187" i="64"/>
  <c r="CG1190" i="64"/>
  <c r="CG1164" i="64"/>
  <c r="CG1142" i="64"/>
  <c r="CG1188" i="64"/>
  <c r="CU1118" i="64"/>
  <c r="CG1170" i="64"/>
  <c r="CG1149" i="64"/>
  <c r="CG1151" i="64"/>
  <c r="CG1140" i="64"/>
  <c r="CU1111" i="64"/>
  <c r="CG1167" i="64"/>
  <c r="CU1071" i="64"/>
  <c r="CU1058" i="64"/>
  <c r="CG1129" i="64"/>
  <c r="DJ1106" i="64"/>
  <c r="J994" i="64"/>
  <c r="J1065" i="64" s="1"/>
  <c r="J1005" i="64"/>
  <c r="J1076" i="64" s="1"/>
  <c r="J988" i="64"/>
  <c r="J1059" i="64" s="1"/>
  <c r="J1033" i="64"/>
  <c r="J1104" i="64" s="1"/>
  <c r="J1042" i="64"/>
  <c r="J1113" i="64" s="1"/>
  <c r="AZ857" i="64"/>
  <c r="AZ822" i="64"/>
  <c r="AM822" i="64"/>
  <c r="AZ814" i="64"/>
  <c r="AM814" i="64"/>
  <c r="AZ816" i="64"/>
  <c r="AM816" i="64"/>
  <c r="AM787" i="64"/>
  <c r="AZ787" i="64"/>
  <c r="N200" i="64"/>
  <c r="M720" i="64"/>
  <c r="N259" i="64"/>
  <c r="AZ793" i="64"/>
  <c r="AM793" i="64"/>
  <c r="AZ678" i="64"/>
  <c r="AM678" i="64"/>
  <c r="M682" i="64"/>
  <c r="N186" i="64"/>
  <c r="M707" i="64"/>
  <c r="AZ683" i="64"/>
  <c r="AM683" i="64"/>
  <c r="AM744" i="64"/>
  <c r="AZ744" i="64"/>
  <c r="AZ679" i="64"/>
  <c r="AM679" i="64"/>
  <c r="AM725" i="64"/>
  <c r="AZ725" i="64"/>
  <c r="AZ681" i="64"/>
  <c r="AM681" i="64"/>
  <c r="N203" i="64"/>
  <c r="N262" i="64"/>
  <c r="N207" i="64"/>
  <c r="N266" i="64"/>
  <c r="N906" i="64"/>
  <c r="P418" i="64"/>
  <c r="M611" i="64"/>
  <c r="M531" i="64"/>
  <c r="CV1157" i="64"/>
  <c r="J9" i="85"/>
  <c r="I26" i="85"/>
  <c r="I320" i="77"/>
  <c r="G6" i="80"/>
  <c r="G19" i="80" s="1"/>
  <c r="K15" i="74"/>
  <c r="G68" i="83"/>
  <c r="I677" i="74"/>
  <c r="D68" i="83"/>
  <c r="D6" i="80"/>
  <c r="H15" i="74"/>
  <c r="H12" i="74" s="1"/>
  <c r="F677" i="74"/>
  <c r="M41" i="73"/>
  <c r="N12" i="73" s="1"/>
  <c r="L42" i="73"/>
  <c r="H9" i="74"/>
  <c r="K46" i="73"/>
  <c r="J10" i="74" s="1"/>
  <c r="J11" i="74" s="1"/>
  <c r="L139" i="77"/>
  <c r="I28" i="85"/>
  <c r="L604" i="73"/>
  <c r="L590" i="73"/>
  <c r="L596" i="73" s="1"/>
  <c r="M681" i="77" s="1"/>
  <c r="J607" i="73"/>
  <c r="K401" i="77" s="1"/>
  <c r="J606" i="73"/>
  <c r="K604" i="73"/>
  <c r="K607" i="73" s="1"/>
  <c r="L401" i="77" s="1"/>
  <c r="K590" i="73"/>
  <c r="K596" i="73" s="1"/>
  <c r="M310" i="73"/>
  <c r="M325" i="73" s="1"/>
  <c r="M326" i="73" s="1"/>
  <c r="O89" i="85"/>
  <c r="O107" i="85" s="1"/>
  <c r="O108" i="85" s="1"/>
  <c r="L603" i="73"/>
  <c r="L591" i="73"/>
  <c r="L597" i="73" s="1"/>
  <c r="N108" i="85"/>
  <c r="M118" i="85"/>
  <c r="M134" i="85" s="1"/>
  <c r="CJ1301" i="64" l="1"/>
  <c r="DJ1231" i="64"/>
  <c r="AA793" i="64"/>
  <c r="CW1177" i="64"/>
  <c r="AM863" i="64"/>
  <c r="CW1193" i="64"/>
  <c r="CW1133" i="64"/>
  <c r="CW1139" i="64"/>
  <c r="CW1158" i="64"/>
  <c r="CJ1318" i="64"/>
  <c r="N122" i="8"/>
  <c r="N128" i="8"/>
  <c r="N139" i="8" s="1"/>
  <c r="N147" i="8" s="1"/>
  <c r="N155" i="8" s="1"/>
  <c r="N166" i="8" s="1"/>
  <c r="N172" i="8" s="1"/>
  <c r="O122" i="8"/>
  <c r="O128" i="8"/>
  <c r="O139" i="8" s="1"/>
  <c r="O147" i="8" s="1"/>
  <c r="O155" i="8" s="1"/>
  <c r="O166" i="8" s="1"/>
  <c r="O172" i="8" s="1"/>
  <c r="M697" i="74"/>
  <c r="M696" i="74"/>
  <c r="M699" i="74"/>
  <c r="M572" i="74"/>
  <c r="M240" i="74"/>
  <c r="M564" i="74"/>
  <c r="M571" i="74"/>
  <c r="DJ1215" i="64"/>
  <c r="DJ1225" i="64"/>
  <c r="DJ1263" i="64"/>
  <c r="CJ1289" i="64"/>
  <c r="DJ1230" i="64"/>
  <c r="DJ1254" i="64"/>
  <c r="DJ1229" i="64"/>
  <c r="CJ1275" i="64"/>
  <c r="DJ1262" i="64"/>
  <c r="DJ1245" i="64"/>
  <c r="K1034" i="64"/>
  <c r="K1105" i="64" s="1"/>
  <c r="DK1104" i="64"/>
  <c r="CJ1313" i="64"/>
  <c r="CJ1329" i="64"/>
  <c r="CJ1319" i="64"/>
  <c r="DJ1210" i="64"/>
  <c r="CJ1306" i="64"/>
  <c r="DJ1248" i="64"/>
  <c r="CJ1323" i="64"/>
  <c r="DJ1201" i="64"/>
  <c r="DJ1259" i="64"/>
  <c r="DJ1206" i="64"/>
  <c r="DJ1261" i="64"/>
  <c r="CJ1336" i="64"/>
  <c r="CJ1295" i="64"/>
  <c r="CJ1310" i="64"/>
  <c r="DJ1208" i="64"/>
  <c r="DK1085" i="64"/>
  <c r="AZ865" i="64"/>
  <c r="DK1071" i="64"/>
  <c r="CW1175" i="64"/>
  <c r="AA816" i="64"/>
  <c r="AA745" i="64"/>
  <c r="DK1105" i="64"/>
  <c r="K985" i="64"/>
  <c r="K1056" i="64" s="1"/>
  <c r="DJ1249" i="64"/>
  <c r="CW1188" i="64"/>
  <c r="CW1190" i="64"/>
  <c r="DJ1057" i="64"/>
  <c r="DK1058" i="64"/>
  <c r="CW1160" i="64"/>
  <c r="AA820" i="64"/>
  <c r="AH1550" i="79"/>
  <c r="AH1891" i="79" s="1"/>
  <c r="AH1511" i="79"/>
  <c r="AH1783" i="79" s="1"/>
  <c r="AA743" i="64"/>
  <c r="CJ1297" i="64"/>
  <c r="AA814" i="64"/>
  <c r="CJ1298" i="64"/>
  <c r="CW1154" i="64"/>
  <c r="AA749" i="64"/>
  <c r="O208" i="64"/>
  <c r="DK1082" i="64"/>
  <c r="AA819" i="64"/>
  <c r="AA748" i="64"/>
  <c r="DK1092" i="64"/>
  <c r="CW1136" i="64"/>
  <c r="DJ1226" i="64"/>
  <c r="CJ1299" i="64"/>
  <c r="CJ1291" i="64"/>
  <c r="AA826" i="64"/>
  <c r="AA684" i="64"/>
  <c r="AA789" i="64"/>
  <c r="AA715" i="64"/>
  <c r="AA714" i="64"/>
  <c r="E50" i="10"/>
  <c r="N638" i="64"/>
  <c r="CW1173" i="64"/>
  <c r="O639" i="64"/>
  <c r="O640" i="64"/>
  <c r="N644" i="64" s="1"/>
  <c r="O877" i="64"/>
  <c r="CJ1276" i="64"/>
  <c r="N2289" i="79"/>
  <c r="N2290" i="79" s="1"/>
  <c r="N2291" i="79" s="1"/>
  <c r="M578" i="74"/>
  <c r="AA792" i="64"/>
  <c r="P876" i="64"/>
  <c r="P872" i="64"/>
  <c r="P871" i="64"/>
  <c r="P874" i="64"/>
  <c r="P870" i="64"/>
  <c r="P873" i="64"/>
  <c r="P869" i="64"/>
  <c r="N735" i="64"/>
  <c r="O806" i="64"/>
  <c r="P803" i="64"/>
  <c r="P798" i="64"/>
  <c r="P802" i="64"/>
  <c r="P801" i="64"/>
  <c r="P800" i="64"/>
  <c r="P805" i="64"/>
  <c r="P799" i="64"/>
  <c r="P794" i="64"/>
  <c r="CJ1322" i="64"/>
  <c r="DJ1257" i="64"/>
  <c r="DJ1264" i="64"/>
  <c r="DJ1202" i="64"/>
  <c r="O730" i="64"/>
  <c r="O734" i="64"/>
  <c r="O731" i="64"/>
  <c r="O727" i="64"/>
  <c r="O729" i="64"/>
  <c r="O732" i="64"/>
  <c r="O728" i="64"/>
  <c r="K396" i="40"/>
  <c r="K404" i="40"/>
  <c r="K397" i="40"/>
  <c r="K405" i="40"/>
  <c r="K437" i="40"/>
  <c r="K398" i="40"/>
  <c r="K406" i="40"/>
  <c r="K399" i="40"/>
  <c r="K407" i="40"/>
  <c r="K387" i="40"/>
  <c r="K392" i="40"/>
  <c r="K410" i="40"/>
  <c r="K403" i="40"/>
  <c r="K431" i="40"/>
  <c r="K433" i="40"/>
  <c r="K435" i="40"/>
  <c r="K430" i="40"/>
  <c r="K438" i="40"/>
  <c r="K408" i="40"/>
  <c r="K417" i="40"/>
  <c r="K401" i="40"/>
  <c r="K432" i="40"/>
  <c r="K440" i="40"/>
  <c r="K402" i="40"/>
  <c r="K394" i="40"/>
  <c r="K411" i="40"/>
  <c r="K434" i="40"/>
  <c r="K436" i="40"/>
  <c r="K400" i="40"/>
  <c r="K391" i="40"/>
  <c r="K409" i="40"/>
  <c r="K418" i="40"/>
  <c r="K439" i="40"/>
  <c r="K441" i="40"/>
  <c r="X1206" i="64"/>
  <c r="F175" i="73"/>
  <c r="F176" i="73" s="1"/>
  <c r="G175" i="73"/>
  <c r="J175" i="73"/>
  <c r="I31" i="71"/>
  <c r="X1216" i="64"/>
  <c r="X1228" i="64"/>
  <c r="AA1034" i="64"/>
  <c r="M568" i="74"/>
  <c r="X1224" i="64"/>
  <c r="M31" i="71"/>
  <c r="H175" i="73"/>
  <c r="DJ1242" i="64"/>
  <c r="CJ1293" i="64"/>
  <c r="CJ1294" i="64"/>
  <c r="CJ1339" i="64"/>
  <c r="CJ1286" i="64"/>
  <c r="CJ1303" i="64"/>
  <c r="DJ1267" i="64"/>
  <c r="DJ1239" i="64"/>
  <c r="DJ1224" i="64"/>
  <c r="CJ1300" i="64"/>
  <c r="DJ1211" i="64"/>
  <c r="CJ1334" i="64"/>
  <c r="DJ1222" i="64"/>
  <c r="CJ1321" i="64"/>
  <c r="CJ1328" i="64"/>
  <c r="CJ1330" i="64"/>
  <c r="O1550" i="79"/>
  <c r="O1891" i="79" s="1"/>
  <c r="O1511" i="79"/>
  <c r="O1783" i="79" s="1"/>
  <c r="CJ1285" i="64"/>
  <c r="DK1056" i="64"/>
  <c r="O1589" i="79"/>
  <c r="O1998" i="79" s="1"/>
  <c r="DJ1241" i="64"/>
  <c r="AP1034" i="64"/>
  <c r="AL1485" i="79"/>
  <c r="AL1711" i="79" s="1"/>
  <c r="M573" i="74"/>
  <c r="L1252" i="64"/>
  <c r="Y1252" i="64" s="1"/>
  <c r="O723" i="64"/>
  <c r="P267" i="64" s="1"/>
  <c r="DJ1217" i="64"/>
  <c r="CJ1315" i="64"/>
  <c r="O2285" i="79"/>
  <c r="AM860" i="64"/>
  <c r="AM858" i="64"/>
  <c r="P283" i="64"/>
  <c r="P251" i="64"/>
  <c r="Q342" i="64"/>
  <c r="P865" i="64"/>
  <c r="AA716" i="64"/>
  <c r="AN716" i="64" s="1"/>
  <c r="DK1080" i="64"/>
  <c r="CW1176" i="64"/>
  <c r="AA788" i="64"/>
  <c r="BA788" i="64" s="1"/>
  <c r="CW1147" i="64"/>
  <c r="CW1192" i="64"/>
  <c r="AA790" i="64"/>
  <c r="BA790" i="64" s="1"/>
  <c r="AM796" i="64"/>
  <c r="AA795" i="64"/>
  <c r="AA725" i="64"/>
  <c r="BA725" i="64" s="1"/>
  <c r="Z808" i="64"/>
  <c r="P581" i="64"/>
  <c r="P863" i="64"/>
  <c r="Q249" i="64" s="1"/>
  <c r="P830" i="64"/>
  <c r="Q220" i="64" s="1"/>
  <c r="P834" i="64"/>
  <c r="Q224" i="64" s="1"/>
  <c r="P816" i="64"/>
  <c r="P825" i="64"/>
  <c r="Q215" i="64" s="1"/>
  <c r="P827" i="64"/>
  <c r="Q217" i="64" s="1"/>
  <c r="P826" i="64"/>
  <c r="Q216" i="64" s="1"/>
  <c r="P821" i="64"/>
  <c r="P841" i="64"/>
  <c r="Q230" i="64" s="1"/>
  <c r="P578" i="64"/>
  <c r="P588" i="64"/>
  <c r="P582" i="64"/>
  <c r="P591" i="64"/>
  <c r="P864" i="64"/>
  <c r="Q282" i="64" s="1"/>
  <c r="P846" i="64"/>
  <c r="Q235" i="64" s="1"/>
  <c r="P837" i="64"/>
  <c r="Q227" i="64" s="1"/>
  <c r="P843" i="64"/>
  <c r="Q232" i="64" s="1"/>
  <c r="P828" i="64"/>
  <c r="Q218" i="64" s="1"/>
  <c r="P836" i="64"/>
  <c r="Q226" i="64" s="1"/>
  <c r="P840" i="64"/>
  <c r="Q229" i="64" s="1"/>
  <c r="P845" i="64"/>
  <c r="Q234" i="64" s="1"/>
  <c r="P580" i="64"/>
  <c r="P590" i="64"/>
  <c r="P577" i="64"/>
  <c r="P574" i="64"/>
  <c r="P598" i="64"/>
  <c r="P859" i="64"/>
  <c r="Q278" i="64" s="1"/>
  <c r="P858" i="64"/>
  <c r="Q245" i="64" s="1"/>
  <c r="P851" i="64"/>
  <c r="Q239" i="64" s="1"/>
  <c r="P818" i="64"/>
  <c r="P815" i="64"/>
  <c r="P842" i="64"/>
  <c r="Q231" i="64" s="1"/>
  <c r="P829" i="64"/>
  <c r="Q219" i="64" s="1"/>
  <c r="P831" i="64"/>
  <c r="Q221" i="64" s="1"/>
  <c r="P599" i="64"/>
  <c r="P579" i="64"/>
  <c r="P589" i="64"/>
  <c r="P597" i="64"/>
  <c r="P856" i="64"/>
  <c r="Q243" i="64" s="1"/>
  <c r="P850" i="64"/>
  <c r="Q238" i="64" s="1"/>
  <c r="P857" i="64"/>
  <c r="P835" i="64"/>
  <c r="Q225" i="64" s="1"/>
  <c r="P844" i="64"/>
  <c r="Q233" i="64" s="1"/>
  <c r="P832" i="64"/>
  <c r="Q222" i="64" s="1"/>
  <c r="P819" i="64"/>
  <c r="P833" i="64"/>
  <c r="Q223" i="64" s="1"/>
  <c r="P820" i="64"/>
  <c r="P814" i="64"/>
  <c r="P576" i="64"/>
  <c r="P575" i="64"/>
  <c r="CJ1331" i="64"/>
  <c r="CJ1327" i="64"/>
  <c r="AL1459" i="79"/>
  <c r="AL1639" i="79" s="1"/>
  <c r="CJ1338" i="64"/>
  <c r="DJ1258" i="64"/>
  <c r="CJ1325" i="64"/>
  <c r="CJ1308" i="64"/>
  <c r="CJ1279" i="64"/>
  <c r="DJ1219" i="64"/>
  <c r="DJ1218" i="64"/>
  <c r="DJ1204" i="64"/>
  <c r="AM1602" i="79" s="1"/>
  <c r="AM2034" i="79" s="1"/>
  <c r="AM2067" i="79" s="1"/>
  <c r="AM2068" i="79" s="1"/>
  <c r="DJ1232" i="64"/>
  <c r="CJ1284" i="64"/>
  <c r="DJ1244" i="64"/>
  <c r="DJ1240" i="64"/>
  <c r="CJ1290" i="64"/>
  <c r="CJ1316" i="64"/>
  <c r="DJ1233" i="64"/>
  <c r="CJ1333" i="64"/>
  <c r="DJ1228" i="64"/>
  <c r="CJ1314" i="64"/>
  <c r="CJ1326" i="64"/>
  <c r="DJ1214" i="64"/>
  <c r="CJ1305" i="64"/>
  <c r="DJ1220" i="64"/>
  <c r="CJ1278" i="64"/>
  <c r="P1589" i="79" s="1"/>
  <c r="P1998" i="79" s="1"/>
  <c r="DJ1266" i="64"/>
  <c r="CJ1324" i="64"/>
  <c r="DJ1227" i="64"/>
  <c r="DJ1250" i="64"/>
  <c r="CJ1281" i="64"/>
  <c r="DJ1203" i="64"/>
  <c r="CJ1280" i="64"/>
  <c r="CJ1288" i="64"/>
  <c r="DJ1221" i="64"/>
  <c r="CJ1312" i="64"/>
  <c r="CJ1282" i="64"/>
  <c r="DJ1235" i="64"/>
  <c r="CJ1292" i="64"/>
  <c r="DJ1212" i="64"/>
  <c r="DJ1253" i="64"/>
  <c r="DJ1236" i="64"/>
  <c r="CJ1317" i="64"/>
  <c r="CJ1304" i="64"/>
  <c r="DJ1247" i="64"/>
  <c r="DJ1246" i="64"/>
  <c r="CJ1309" i="64"/>
  <c r="DJ1237" i="64"/>
  <c r="DJ1216" i="64"/>
  <c r="CJ1287" i="64"/>
  <c r="DJ1265" i="64"/>
  <c r="CJ1337" i="64"/>
  <c r="DJ1207" i="64"/>
  <c r="DJ1234" i="64"/>
  <c r="CJ1283" i="64"/>
  <c r="CJ1340" i="64"/>
  <c r="CJ1341" i="64"/>
  <c r="DJ1243" i="64"/>
  <c r="DJ1256" i="64"/>
  <c r="AM1498" i="79" s="1"/>
  <c r="AM1747" i="79" s="1"/>
  <c r="DJ1223" i="64"/>
  <c r="DJ1255" i="64"/>
  <c r="DJ1205" i="64"/>
  <c r="DJ1251" i="64"/>
  <c r="M612" i="64"/>
  <c r="N132" i="64" s="1"/>
  <c r="CW1132" i="64"/>
  <c r="AH124" i="79"/>
  <c r="AH1486" i="79" s="1"/>
  <c r="AH1712" i="79" s="1"/>
  <c r="AH1589" i="79"/>
  <c r="AH1998" i="79" s="1"/>
  <c r="AH1498" i="79"/>
  <c r="AH1747" i="79" s="1"/>
  <c r="AH1537" i="79"/>
  <c r="AH1855" i="79" s="1"/>
  <c r="AH1888" i="79" s="1"/>
  <c r="AH1889" i="79" s="1"/>
  <c r="AL1589" i="79"/>
  <c r="AL1998" i="79" s="1"/>
  <c r="DK1094" i="64"/>
  <c r="AH493" i="79"/>
  <c r="AH1603" i="79" s="1"/>
  <c r="AH288" i="79"/>
  <c r="AH1538" i="79" s="1"/>
  <c r="AH1856" i="79" s="1"/>
  <c r="AJ1563" i="79"/>
  <c r="AJ1927" i="79" s="1"/>
  <c r="DK1068" i="64"/>
  <c r="AH1576" i="79"/>
  <c r="AH1602" i="79"/>
  <c r="AH2034" i="79" s="1"/>
  <c r="AH2067" i="79" s="1"/>
  <c r="AH2068" i="79" s="1"/>
  <c r="AH206" i="79"/>
  <c r="AH1512" i="79" s="1"/>
  <c r="AH1784" i="79" s="1"/>
  <c r="AH1816" i="79" s="1"/>
  <c r="AH1817" i="79" s="1"/>
  <c r="AH329" i="79"/>
  <c r="AH1551" i="79" s="1"/>
  <c r="AH411" i="79"/>
  <c r="AH1577" i="79" s="1"/>
  <c r="DK1078" i="64"/>
  <c r="AH1563" i="79"/>
  <c r="AH1927" i="79" s="1"/>
  <c r="AH1524" i="79"/>
  <c r="AH1819" i="79" s="1"/>
  <c r="AH452" i="79"/>
  <c r="DK1110" i="64"/>
  <c r="DK1077" i="64"/>
  <c r="DK1055" i="64"/>
  <c r="O1537" i="79"/>
  <c r="O1855" i="79" s="1"/>
  <c r="O1888" i="79" s="1"/>
  <c r="O1889" i="79" s="1"/>
  <c r="O1563" i="79"/>
  <c r="O1927" i="79" s="1"/>
  <c r="CW1172" i="64"/>
  <c r="DK1103" i="64"/>
  <c r="CW1183" i="64"/>
  <c r="O1576" i="79"/>
  <c r="O1963" i="79" s="1"/>
  <c r="I1459" i="79"/>
  <c r="I1639" i="79" s="1"/>
  <c r="M648" i="64"/>
  <c r="DK1112" i="64"/>
  <c r="CW1157" i="64"/>
  <c r="CW1191" i="64"/>
  <c r="DK1095" i="64"/>
  <c r="CW1128" i="64"/>
  <c r="CW1143" i="64"/>
  <c r="DK1106" i="64"/>
  <c r="O1524" i="79"/>
  <c r="O1819" i="79" s="1"/>
  <c r="DK1099" i="64"/>
  <c r="AK1459" i="79"/>
  <c r="AK1639" i="79" s="1"/>
  <c r="DJ1213" i="64"/>
  <c r="CH1193" i="64"/>
  <c r="CX1193" i="64" s="1"/>
  <c r="K989" i="64"/>
  <c r="K1060" i="64" s="1"/>
  <c r="K1012" i="64"/>
  <c r="K1083" i="64" s="1"/>
  <c r="DK1070" i="64"/>
  <c r="CW1174" i="64"/>
  <c r="Q385" i="64"/>
  <c r="AM1459" i="79"/>
  <c r="AM1639" i="79" s="1"/>
  <c r="AJ1602" i="79"/>
  <c r="AJ2034" i="79" s="1"/>
  <c r="AJ2067" i="79" s="1"/>
  <c r="AJ2068" i="79" s="1"/>
  <c r="AJ1485" i="79"/>
  <c r="AJ1711" i="79" s="1"/>
  <c r="K1003" i="64"/>
  <c r="K1074" i="64" s="1"/>
  <c r="N453" i="73"/>
  <c r="N455" i="73" s="1"/>
  <c r="DK1073" i="64"/>
  <c r="M627" i="64"/>
  <c r="M630" i="64" s="1"/>
  <c r="K1044" i="64"/>
  <c r="K1115" i="64" s="1"/>
  <c r="CW1168" i="64"/>
  <c r="AL1524" i="79"/>
  <c r="AL1819" i="79" s="1"/>
  <c r="AL1563" i="79"/>
  <c r="AL1927" i="79" s="1"/>
  <c r="CH1145" i="64"/>
  <c r="CX1145" i="64" s="1"/>
  <c r="CW1150" i="64"/>
  <c r="AL1550" i="79"/>
  <c r="AL1891" i="79" s="1"/>
  <c r="AL1602" i="79"/>
  <c r="AL2034" i="79" s="1"/>
  <c r="AL2067" i="79" s="1"/>
  <c r="AL2068" i="79" s="1"/>
  <c r="AL1576" i="79"/>
  <c r="AL1963" i="79" s="1"/>
  <c r="AL1537" i="79"/>
  <c r="AL1855" i="79" s="1"/>
  <c r="AL1888" i="79" s="1"/>
  <c r="AL1889" i="79" s="1"/>
  <c r="AK1472" i="79"/>
  <c r="AJ1511" i="79"/>
  <c r="AJ1783" i="79" s="1"/>
  <c r="M575" i="74"/>
  <c r="AJ1576" i="79"/>
  <c r="AJ1963" i="79" s="1"/>
  <c r="AJ1498" i="79"/>
  <c r="AJ1747" i="79" s="1"/>
  <c r="AJ1589" i="79"/>
  <c r="AJ1593" i="79" s="1"/>
  <c r="AJ1524" i="79"/>
  <c r="AJ1819" i="79" s="1"/>
  <c r="Q2098" i="79"/>
  <c r="Q2082" i="79"/>
  <c r="Q2401" i="79" s="1"/>
  <c r="L118" i="9"/>
  <c r="L133" i="9" s="1"/>
  <c r="M37" i="9"/>
  <c r="M66" i="9"/>
  <c r="M81" i="9" s="1"/>
  <c r="M96" i="9" s="1"/>
  <c r="M107" i="9" s="1"/>
  <c r="O5" i="9"/>
  <c r="O7" i="9" s="1"/>
  <c r="O22" i="9" s="1"/>
  <c r="O52" i="9" s="1"/>
  <c r="N7" i="9"/>
  <c r="N22" i="9" s="1"/>
  <c r="N52" i="9" s="1"/>
  <c r="N134" i="83"/>
  <c r="N30" i="80"/>
  <c r="O30" i="80" s="1"/>
  <c r="N29" i="10"/>
  <c r="P135" i="8"/>
  <c r="O29" i="10" s="1"/>
  <c r="H27" i="25" s="1"/>
  <c r="M31" i="80"/>
  <c r="M135" i="83"/>
  <c r="M167" i="83" s="1"/>
  <c r="M30" i="10"/>
  <c r="L150" i="83"/>
  <c r="N24" i="80"/>
  <c r="N108" i="83"/>
  <c r="N24" i="10"/>
  <c r="P111" i="8"/>
  <c r="M145" i="83"/>
  <c r="M38" i="80"/>
  <c r="M35" i="10"/>
  <c r="O162" i="8"/>
  <c r="M36" i="80"/>
  <c r="M143" i="83"/>
  <c r="M23" i="80"/>
  <c r="M23" i="10"/>
  <c r="M107" i="83"/>
  <c r="M160" i="83" s="1"/>
  <c r="O110" i="8"/>
  <c r="M37" i="80"/>
  <c r="M34" i="10"/>
  <c r="O161" i="8"/>
  <c r="M144" i="83"/>
  <c r="M79" i="83"/>
  <c r="N95" i="8"/>
  <c r="O159" i="8"/>
  <c r="P159" i="8" s="1"/>
  <c r="O33" i="10" s="1"/>
  <c r="P156" i="8"/>
  <c r="M111" i="83"/>
  <c r="M162" i="83" s="1"/>
  <c r="O112" i="8"/>
  <c r="M25" i="10"/>
  <c r="M25" i="80"/>
  <c r="M41" i="80"/>
  <c r="M38" i="10"/>
  <c r="M148" i="83"/>
  <c r="N177" i="8"/>
  <c r="O170" i="8"/>
  <c r="K257" i="73"/>
  <c r="L240" i="73" s="1"/>
  <c r="O2286" i="79"/>
  <c r="O1230" i="79"/>
  <c r="O1298" i="79" s="1"/>
  <c r="O2140" i="79"/>
  <c r="O1223" i="79"/>
  <c r="O1291" i="79" s="1"/>
  <c r="O2142" i="79"/>
  <c r="O1225" i="79"/>
  <c r="O1293" i="79" s="1"/>
  <c r="N1472" i="79"/>
  <c r="N1675" i="79" s="1"/>
  <c r="AL1472" i="79"/>
  <c r="AL1675" i="79" s="1"/>
  <c r="AH1485" i="79"/>
  <c r="AH1711" i="79" s="1"/>
  <c r="N1576" i="79"/>
  <c r="N1963" i="79" s="1"/>
  <c r="N1602" i="79"/>
  <c r="N2034" i="79" s="1"/>
  <c r="DK1061" i="64"/>
  <c r="N1537" i="79"/>
  <c r="N1855" i="79" s="1"/>
  <c r="N1888" i="79" s="1"/>
  <c r="N1889" i="79" s="1"/>
  <c r="N1511" i="79"/>
  <c r="N1783" i="79" s="1"/>
  <c r="N629" i="64"/>
  <c r="AJ1537" i="79"/>
  <c r="AJ1855" i="79" s="1"/>
  <c r="AJ1888" i="79" s="1"/>
  <c r="AJ1889" i="79" s="1"/>
  <c r="DK1093" i="64"/>
  <c r="DK1084" i="64"/>
  <c r="K1026" i="64"/>
  <c r="K1097" i="64" s="1"/>
  <c r="K990" i="64"/>
  <c r="K1061" i="64" s="1"/>
  <c r="K1027" i="64"/>
  <c r="K1098" i="64" s="1"/>
  <c r="K1014" i="64"/>
  <c r="K1085" i="64" s="1"/>
  <c r="K1033" i="64"/>
  <c r="K1104" i="64" s="1"/>
  <c r="CV1114" i="64"/>
  <c r="K1038" i="64"/>
  <c r="K1109" i="64" s="1"/>
  <c r="CH1140" i="64"/>
  <c r="CX1140" i="64" s="1"/>
  <c r="K1009" i="64"/>
  <c r="K1080" i="64" s="1"/>
  <c r="N1589" i="79"/>
  <c r="N1998" i="79" s="1"/>
  <c r="N1550" i="79"/>
  <c r="N1891" i="79" s="1"/>
  <c r="K1010" i="64"/>
  <c r="K1081" i="64" s="1"/>
  <c r="K1025" i="64"/>
  <c r="K1096" i="64" s="1"/>
  <c r="K1020" i="64"/>
  <c r="K1091" i="64" s="1"/>
  <c r="K1041" i="64"/>
  <c r="K1112" i="64" s="1"/>
  <c r="N1498" i="79"/>
  <c r="N1747" i="79" s="1"/>
  <c r="N1524" i="79"/>
  <c r="N1819" i="79" s="1"/>
  <c r="N1485" i="79"/>
  <c r="N1711" i="79" s="1"/>
  <c r="CH1169" i="64"/>
  <c r="CX1169" i="64" s="1"/>
  <c r="K1032" i="64"/>
  <c r="K1103" i="64" s="1"/>
  <c r="K997" i="64"/>
  <c r="K1068" i="64" s="1"/>
  <c r="K987" i="64"/>
  <c r="K1058" i="64" s="1"/>
  <c r="K983" i="64"/>
  <c r="K1054" i="64" s="1"/>
  <c r="CW1184" i="64"/>
  <c r="DK1087" i="64"/>
  <c r="DK1090" i="64"/>
  <c r="CW1146" i="64"/>
  <c r="DK1066" i="64"/>
  <c r="J1602" i="79"/>
  <c r="J2034" i="79" s="1"/>
  <c r="CS1130" i="64"/>
  <c r="J83" i="79" s="1"/>
  <c r="J1473" i="79" s="1"/>
  <c r="DK1060" i="64"/>
  <c r="L460" i="73"/>
  <c r="Q281" i="64"/>
  <c r="P238" i="64"/>
  <c r="O855" i="64"/>
  <c r="O868" i="64"/>
  <c r="P281" i="64"/>
  <c r="P249" i="64"/>
  <c r="P229" i="64"/>
  <c r="O849" i="64"/>
  <c r="O606" i="64"/>
  <c r="L1261" i="64"/>
  <c r="Y1261" i="64" s="1"/>
  <c r="L1257" i="64"/>
  <c r="Y1257" i="64" s="1"/>
  <c r="L1258" i="64"/>
  <c r="Y1258" i="64" s="1"/>
  <c r="L1262" i="64"/>
  <c r="Y1262" i="64" s="1"/>
  <c r="L1259" i="64"/>
  <c r="Y1259" i="64" s="1"/>
  <c r="L1263" i="64"/>
  <c r="Y1263" i="64" s="1"/>
  <c r="L1255" i="64"/>
  <c r="Y1255" i="64" s="1"/>
  <c r="L1242" i="64"/>
  <c r="Y1242" i="64" s="1"/>
  <c r="L1236" i="64"/>
  <c r="Y1236" i="64" s="1"/>
  <c r="L1256" i="64"/>
  <c r="Y1256" i="64" s="1"/>
  <c r="L1260" i="64"/>
  <c r="Y1260" i="64" s="1"/>
  <c r="L1201" i="64"/>
  <c r="Y1201" i="64" s="1"/>
  <c r="L1249" i="64"/>
  <c r="Y1249" i="64" s="1"/>
  <c r="L1212" i="64"/>
  <c r="Y1212" i="64" s="1"/>
  <c r="L1220" i="64"/>
  <c r="Y1220" i="64" s="1"/>
  <c r="L1213" i="64"/>
  <c r="Y1213" i="64" s="1"/>
  <c r="L1231" i="64"/>
  <c r="Y1231" i="64" s="1"/>
  <c r="L1206" i="64"/>
  <c r="Y1206" i="64" s="1"/>
  <c r="L1208" i="64"/>
  <c r="Y1208" i="64" s="1"/>
  <c r="L1228" i="64"/>
  <c r="Y1228" i="64" s="1"/>
  <c r="L1216" i="64"/>
  <c r="Y1216" i="64" s="1"/>
  <c r="L1202" i="64"/>
  <c r="Y1202" i="64" s="1"/>
  <c r="L1218" i="64"/>
  <c r="Y1218" i="64" s="1"/>
  <c r="L1229" i="64"/>
  <c r="Y1229" i="64" s="1"/>
  <c r="L1223" i="64"/>
  <c r="Y1223" i="64" s="1"/>
  <c r="L1227" i="64"/>
  <c r="Y1227" i="64" s="1"/>
  <c r="L1207" i="64"/>
  <c r="Y1207" i="64" s="1"/>
  <c r="L1232" i="64"/>
  <c r="Y1232" i="64" s="1"/>
  <c r="L1205" i="64"/>
  <c r="Y1205" i="64" s="1"/>
  <c r="L1219" i="64"/>
  <c r="Y1219" i="64" s="1"/>
  <c r="L1215" i="64"/>
  <c r="Y1215" i="64" s="1"/>
  <c r="L1214" i="64"/>
  <c r="Y1214" i="64" s="1"/>
  <c r="L1224" i="64"/>
  <c r="Y1224" i="64" s="1"/>
  <c r="L1203" i="64"/>
  <c r="Y1203" i="64" s="1"/>
  <c r="L1230" i="64"/>
  <c r="Y1230" i="64" s="1"/>
  <c r="L1221" i="64"/>
  <c r="Y1221" i="64" s="1"/>
  <c r="L1238" i="64"/>
  <c r="Y1238" i="64" s="1"/>
  <c r="L1222" i="64"/>
  <c r="Y1222" i="64" s="1"/>
  <c r="L1237" i="64"/>
  <c r="Y1237" i="64" s="1"/>
  <c r="L1217" i="64"/>
  <c r="Y1217" i="64" s="1"/>
  <c r="L1250" i="64"/>
  <c r="Y1250" i="64" s="1"/>
  <c r="L1233" i="64"/>
  <c r="Y1233" i="64" s="1"/>
  <c r="L1243" i="64"/>
  <c r="Y1243" i="64" s="1"/>
  <c r="L1246" i="64"/>
  <c r="Y1246" i="64" s="1"/>
  <c r="L1244" i="64"/>
  <c r="Y1244" i="64" s="1"/>
  <c r="L1251" i="64"/>
  <c r="Y1251" i="64" s="1"/>
  <c r="L1245" i="64"/>
  <c r="Y1245" i="64" s="1"/>
  <c r="N607" i="64"/>
  <c r="P276" i="64"/>
  <c r="P244" i="64"/>
  <c r="P250" i="64"/>
  <c r="P282" i="64"/>
  <c r="O587" i="64"/>
  <c r="P275" i="64"/>
  <c r="P243" i="64"/>
  <c r="O862" i="64"/>
  <c r="P215" i="64"/>
  <c r="O839" i="64"/>
  <c r="O824" i="64"/>
  <c r="M36" i="71"/>
  <c r="M38" i="71"/>
  <c r="P246" i="64"/>
  <c r="P278" i="64"/>
  <c r="P277" i="64"/>
  <c r="P245" i="64"/>
  <c r="O817" i="64"/>
  <c r="K81" i="85"/>
  <c r="L63" i="85" s="1"/>
  <c r="M680" i="77"/>
  <c r="L656" i="77"/>
  <c r="L681" i="77"/>
  <c r="AZ856" i="64"/>
  <c r="AZ879" i="64" s="1"/>
  <c r="Z879" i="64"/>
  <c r="N123" i="64" s="1"/>
  <c r="AM861" i="64"/>
  <c r="V433" i="40"/>
  <c r="V435" i="40"/>
  <c r="V431" i="40"/>
  <c r="V396" i="40"/>
  <c r="V430" i="40"/>
  <c r="V436" i="40"/>
  <c r="V387" i="40"/>
  <c r="V397" i="40"/>
  <c r="V437" i="40"/>
  <c r="V440" i="40"/>
  <c r="V391" i="40"/>
  <c r="V400" i="40"/>
  <c r="V438" i="40"/>
  <c r="V441" i="40"/>
  <c r="V434" i="40"/>
  <c r="V394" i="40"/>
  <c r="V405" i="40"/>
  <c r="O797" i="64"/>
  <c r="V401" i="40"/>
  <c r="V406" i="40"/>
  <c r="M576" i="74"/>
  <c r="V432" i="40"/>
  <c r="V439" i="40"/>
  <c r="V392" i="40"/>
  <c r="V398" i="40"/>
  <c r="V402" i="40"/>
  <c r="V410" i="40"/>
  <c r="V399" i="40"/>
  <c r="V404" i="40"/>
  <c r="V417" i="40"/>
  <c r="M565" i="74"/>
  <c r="M569" i="74"/>
  <c r="V403" i="40"/>
  <c r="V408" i="40"/>
  <c r="P1400" i="79"/>
  <c r="J1537" i="79"/>
  <c r="J1855" i="79" s="1"/>
  <c r="J1888" i="79" s="1"/>
  <c r="J1889" i="79" s="1"/>
  <c r="J1576" i="79"/>
  <c r="J1963" i="79" s="1"/>
  <c r="DK1075" i="64"/>
  <c r="CW1178" i="64"/>
  <c r="N1563" i="79"/>
  <c r="N1927" i="79" s="1"/>
  <c r="J1472" i="79"/>
  <c r="J1675" i="79" s="1"/>
  <c r="J1498" i="79"/>
  <c r="J1747" i="79" s="1"/>
  <c r="J1524" i="79"/>
  <c r="J1819" i="79" s="1"/>
  <c r="DK1069" i="64"/>
  <c r="M244" i="74"/>
  <c r="P383" i="77"/>
  <c r="P455" i="77"/>
  <c r="M243" i="74"/>
  <c r="P318" i="77"/>
  <c r="P353" i="77"/>
  <c r="M242" i="74"/>
  <c r="P138" i="77"/>
  <c r="P252" i="77"/>
  <c r="P1401" i="79"/>
  <c r="K102" i="8" s="1"/>
  <c r="P629" i="79"/>
  <c r="Q604" i="79"/>
  <c r="Q602" i="79"/>
  <c r="Q603" i="79"/>
  <c r="Q619" i="79"/>
  <c r="Q618" i="79"/>
  <c r="Q620" i="79"/>
  <c r="Q739" i="79"/>
  <c r="Q740" i="79"/>
  <c r="Q755" i="79"/>
  <c r="Q756" i="79"/>
  <c r="Q771" i="79"/>
  <c r="Q772" i="79"/>
  <c r="K1200" i="64"/>
  <c r="K1053" i="64"/>
  <c r="BO225" i="65"/>
  <c r="AA861" i="64" s="1"/>
  <c r="BA861" i="64" s="1"/>
  <c r="BO231" i="65"/>
  <c r="AA867" i="64" s="1"/>
  <c r="AN867" i="64" s="1"/>
  <c r="BO224" i="65"/>
  <c r="AA860" i="64" s="1"/>
  <c r="AN860" i="64" s="1"/>
  <c r="BO223" i="65"/>
  <c r="AA859" i="64" s="1"/>
  <c r="AN859" i="64" s="1"/>
  <c r="BO222" i="65"/>
  <c r="AA858" i="64" s="1"/>
  <c r="AN858" i="64" s="1"/>
  <c r="BO230" i="65"/>
  <c r="AA866" i="64" s="1"/>
  <c r="BA866" i="64" s="1"/>
  <c r="BO220" i="65"/>
  <c r="AA856" i="64" s="1"/>
  <c r="BA856" i="64" s="1"/>
  <c r="BO227" i="65"/>
  <c r="AA863" i="64" s="1"/>
  <c r="AN863" i="64" s="1"/>
  <c r="BO228" i="65"/>
  <c r="AA864" i="64" s="1"/>
  <c r="BA864" i="64" s="1"/>
  <c r="BO221" i="65"/>
  <c r="AA857" i="64" s="1"/>
  <c r="AN857" i="64" s="1"/>
  <c r="BO226" i="65"/>
  <c r="BO229" i="65"/>
  <c r="AA865" i="64" s="1"/>
  <c r="BA865" i="64" s="1"/>
  <c r="J15" i="80"/>
  <c r="J71" i="83"/>
  <c r="M557" i="74"/>
  <c r="CD15" i="65"/>
  <c r="CD11" i="65"/>
  <c r="CD16" i="65"/>
  <c r="CD10" i="65"/>
  <c r="CD22" i="65"/>
  <c r="CD219" i="65"/>
  <c r="CD18" i="65"/>
  <c r="CD12" i="65"/>
  <c r="CD21" i="65"/>
  <c r="CD17" i="65"/>
  <c r="CD19" i="65"/>
  <c r="CD14" i="65"/>
  <c r="CD23" i="65"/>
  <c r="CD24" i="65"/>
  <c r="CD25" i="65"/>
  <c r="CD26" i="65"/>
  <c r="CD27" i="65"/>
  <c r="CD28" i="65"/>
  <c r="CD29" i="65"/>
  <c r="BP212" i="65"/>
  <c r="AB794" i="64" s="1"/>
  <c r="BP208" i="65"/>
  <c r="AB719" i="64" s="1"/>
  <c r="BP206" i="65"/>
  <c r="AB717" i="64" s="1"/>
  <c r="BP213" i="65"/>
  <c r="BP203" i="65"/>
  <c r="AB714" i="64" s="1"/>
  <c r="BP210" i="65"/>
  <c r="AB721" i="64" s="1"/>
  <c r="BP209" i="65"/>
  <c r="BP205" i="65"/>
  <c r="AB716" i="64" s="1"/>
  <c r="BP214" i="65"/>
  <c r="AB725" i="64" s="1"/>
  <c r="BP204" i="65"/>
  <c r="AB786" i="64" s="1"/>
  <c r="BP207" i="65"/>
  <c r="AB718" i="64" s="1"/>
  <c r="BP211" i="65"/>
  <c r="AB722" i="64" s="1"/>
  <c r="N683" i="74"/>
  <c r="N555" i="74"/>
  <c r="N552" i="74"/>
  <c r="N544" i="74"/>
  <c r="N541" i="74"/>
  <c r="N533" i="74"/>
  <c r="N530" i="74"/>
  <c r="N522" i="74"/>
  <c r="N519" i="74"/>
  <c r="N511" i="74"/>
  <c r="N550" i="74"/>
  <c r="N701" i="74" s="1"/>
  <c r="N539" i="74"/>
  <c r="N700" i="74" s="1"/>
  <c r="N528" i="74"/>
  <c r="N517" i="74"/>
  <c r="N698" i="74" s="1"/>
  <c r="N506" i="74"/>
  <c r="N697" i="74" s="1"/>
  <c r="N508" i="74"/>
  <c r="N489" i="74"/>
  <c r="N486" i="74"/>
  <c r="N478" i="74"/>
  <c r="N475" i="74"/>
  <c r="N467" i="74"/>
  <c r="N464" i="74"/>
  <c r="N570" i="74" s="1"/>
  <c r="N456" i="74"/>
  <c r="N453" i="74"/>
  <c r="N445" i="74"/>
  <c r="N442" i="74"/>
  <c r="N434" i="74"/>
  <c r="N431" i="74"/>
  <c r="N423" i="74"/>
  <c r="N420" i="74"/>
  <c r="N497" i="74"/>
  <c r="N495" i="74"/>
  <c r="N696" i="74" s="1"/>
  <c r="N484" i="74"/>
  <c r="N473" i="74"/>
  <c r="N694" i="74" s="1"/>
  <c r="N462" i="74"/>
  <c r="N693" i="74" s="1"/>
  <c r="N451" i="74"/>
  <c r="N692" i="74" s="1"/>
  <c r="N440" i="74"/>
  <c r="N691" i="74" s="1"/>
  <c r="N429" i="74"/>
  <c r="N690" i="74" s="1"/>
  <c r="N500" i="74"/>
  <c r="N418" i="74"/>
  <c r="N689" i="74" s="1"/>
  <c r="N5" i="74"/>
  <c r="N412" i="74"/>
  <c r="N409" i="74"/>
  <c r="N401" i="74"/>
  <c r="N398" i="74"/>
  <c r="N390" i="74"/>
  <c r="N387" i="74"/>
  <c r="N563" i="74" s="1"/>
  <c r="N379" i="74"/>
  <c r="N376" i="74"/>
  <c r="N562" i="74" s="1"/>
  <c r="N368" i="74"/>
  <c r="N365" i="74"/>
  <c r="N109" i="74"/>
  <c r="N19" i="74"/>
  <c r="N407" i="74"/>
  <c r="N688" i="74" s="1"/>
  <c r="N396" i="74"/>
  <c r="N687" i="74" s="1"/>
  <c r="N385" i="74"/>
  <c r="N686" i="74" s="1"/>
  <c r="N374" i="74"/>
  <c r="N685" i="74" s="1"/>
  <c r="N363" i="74"/>
  <c r="N684" i="74" s="1"/>
  <c r="N79" i="74"/>
  <c r="N232" i="74"/>
  <c r="N247" i="74" s="1"/>
  <c r="N262" i="74" s="1"/>
  <c r="N277" i="74" s="1"/>
  <c r="N115" i="74"/>
  <c r="N225" i="74"/>
  <c r="N135" i="74"/>
  <c r="N235" i="74" s="1"/>
  <c r="N178" i="74"/>
  <c r="N215" i="74"/>
  <c r="N145" i="74"/>
  <c r="N236" i="74" s="1"/>
  <c r="N185" i="74"/>
  <c r="N118" i="74"/>
  <c r="N158" i="74"/>
  <c r="N205" i="74"/>
  <c r="N125" i="74"/>
  <c r="N234" i="74" s="1"/>
  <c r="N128" i="74"/>
  <c r="N175" i="74"/>
  <c r="N239" i="74" s="1"/>
  <c r="N168" i="74"/>
  <c r="N165" i="74"/>
  <c r="N238" i="74" s="1"/>
  <c r="N148" i="74"/>
  <c r="N228" i="74"/>
  <c r="N155" i="74"/>
  <c r="N237" i="74" s="1"/>
  <c r="N208" i="74"/>
  <c r="N138" i="74"/>
  <c r="N195" i="74"/>
  <c r="N188" i="74"/>
  <c r="N198" i="74"/>
  <c r="N218" i="74"/>
  <c r="J72" i="83"/>
  <c r="J16" i="80"/>
  <c r="BH1200" i="64"/>
  <c r="U1274" i="64"/>
  <c r="N623" i="79"/>
  <c r="N2113" i="79" s="1"/>
  <c r="N2402" i="79" s="1"/>
  <c r="N1392" i="79"/>
  <c r="P597" i="79"/>
  <c r="P1632" i="79"/>
  <c r="P578" i="79"/>
  <c r="P1393" i="79"/>
  <c r="O615" i="79"/>
  <c r="O137" i="77"/>
  <c r="N577" i="73"/>
  <c r="N576" i="73"/>
  <c r="N565" i="73"/>
  <c r="N599" i="73"/>
  <c r="N605" i="73" s="1"/>
  <c r="N600" i="73"/>
  <c r="N587" i="73"/>
  <c r="N593" i="73" s="1"/>
  <c r="Q560" i="79"/>
  <c r="Q561" i="79"/>
  <c r="Q564" i="79"/>
  <c r="Q559" i="79"/>
  <c r="Q568" i="79"/>
  <c r="Q567" i="79"/>
  <c r="Q569" i="79"/>
  <c r="Q572" i="79"/>
  <c r="Q588" i="79"/>
  <c r="Q585" i="79"/>
  <c r="Q583" i="79"/>
  <c r="Q584" i="79"/>
  <c r="N1407" i="64"/>
  <c r="Q699" i="79" s="1"/>
  <c r="Q2273" i="79"/>
  <c r="Q2272" i="79" s="1"/>
  <c r="Q728" i="79"/>
  <c r="Q727" i="79"/>
  <c r="Q1220" i="79" s="1"/>
  <c r="Q1288" i="79" s="1"/>
  <c r="Q744" i="79"/>
  <c r="Q743" i="79"/>
  <c r="Q760" i="79"/>
  <c r="Q759" i="79"/>
  <c r="P554" i="79"/>
  <c r="P1631" i="79"/>
  <c r="P1387" i="79"/>
  <c r="V409" i="40"/>
  <c r="V418" i="40"/>
  <c r="AG1274" i="64"/>
  <c r="BT1200" i="64"/>
  <c r="P613" i="79"/>
  <c r="AU1053" i="64"/>
  <c r="T1126" i="64"/>
  <c r="M229" i="74"/>
  <c r="M560" i="74"/>
  <c r="M581" i="74" s="1"/>
  <c r="M602" i="74" s="1"/>
  <c r="M623" i="74" s="1"/>
  <c r="M648" i="74" s="1"/>
  <c r="M658" i="74" s="1"/>
  <c r="M359" i="74"/>
  <c r="CR15" i="65"/>
  <c r="CR14" i="65"/>
  <c r="CR17" i="65"/>
  <c r="CR12" i="65"/>
  <c r="CR19" i="65"/>
  <c r="CR16" i="65"/>
  <c r="CR18" i="65"/>
  <c r="CR11" i="65"/>
  <c r="CR219" i="65"/>
  <c r="CR21" i="65"/>
  <c r="CR10" i="65"/>
  <c r="CR22" i="65"/>
  <c r="CR23" i="65"/>
  <c r="CR24" i="65"/>
  <c r="CR25" i="65"/>
  <c r="CR26" i="65"/>
  <c r="CR27" i="65"/>
  <c r="CR28" i="65"/>
  <c r="CR29" i="65"/>
  <c r="CD220" i="65"/>
  <c r="CD203" i="65"/>
  <c r="CD210" i="65"/>
  <c r="CD214" i="65"/>
  <c r="CD213" i="65"/>
  <c r="CD207" i="65"/>
  <c r="CD226" i="65"/>
  <c r="CD222" i="65"/>
  <c r="CD231" i="65"/>
  <c r="CD224" i="65"/>
  <c r="CD229" i="65"/>
  <c r="CD211" i="65"/>
  <c r="CD212" i="65"/>
  <c r="CD227" i="65"/>
  <c r="CD228" i="65"/>
  <c r="CD206" i="65"/>
  <c r="CD205" i="65"/>
  <c r="CD204" i="65"/>
  <c r="CD225" i="65"/>
  <c r="CD209" i="65"/>
  <c r="CD208" i="65"/>
  <c r="CD230" i="65"/>
  <c r="CD223" i="65"/>
  <c r="CD221" i="65"/>
  <c r="R410" i="79"/>
  <c r="R205" i="79"/>
  <c r="R6" i="79"/>
  <c r="R1306" i="79" s="1"/>
  <c r="AO1306" i="79" s="1"/>
  <c r="R835" i="79"/>
  <c r="R451" i="79"/>
  <c r="AO41" i="79"/>
  <c r="R663" i="79"/>
  <c r="R547" i="79"/>
  <c r="R164" i="79"/>
  <c r="R369" i="79"/>
  <c r="R123" i="79"/>
  <c r="R328" i="79"/>
  <c r="R82" i="79"/>
  <c r="R492" i="79"/>
  <c r="R246" i="79"/>
  <c r="R287" i="79"/>
  <c r="L379" i="40"/>
  <c r="L514" i="40" s="1"/>
  <c r="DO1053" i="64"/>
  <c r="DA1126" i="64" s="1"/>
  <c r="DL1200" i="64"/>
  <c r="CL1274" i="64" s="1"/>
  <c r="CK1126" i="64"/>
  <c r="M577" i="74"/>
  <c r="H1126" i="64"/>
  <c r="AI1053" i="64"/>
  <c r="N487" i="73"/>
  <c r="N54" i="73"/>
  <c r="AN410" i="79"/>
  <c r="AN205" i="79"/>
  <c r="AN369" i="79"/>
  <c r="AN123" i="79"/>
  <c r="AN328" i="79"/>
  <c r="AN287" i="79"/>
  <c r="AN82" i="79"/>
  <c r="AN492" i="79"/>
  <c r="AN451" i="79"/>
  <c r="AN246" i="79"/>
  <c r="AN6" i="79"/>
  <c r="Q611" i="79"/>
  <c r="Q612" i="79"/>
  <c r="Q610" i="79"/>
  <c r="Q626" i="79"/>
  <c r="Q627" i="79"/>
  <c r="Q628" i="79"/>
  <c r="Q732" i="79"/>
  <c r="Q731" i="79"/>
  <c r="Q751" i="79"/>
  <c r="Q748" i="79"/>
  <c r="Q752" i="79"/>
  <c r="Q747" i="79"/>
  <c r="Q763" i="79"/>
  <c r="Q764" i="79"/>
  <c r="AF1126" i="64"/>
  <c r="BG1053" i="64"/>
  <c r="O7" i="74"/>
  <c r="Q5" i="77"/>
  <c r="Q483" i="77" s="1"/>
  <c r="P10" i="73"/>
  <c r="S41" i="79"/>
  <c r="P1345" i="64"/>
  <c r="P1364" i="64"/>
  <c r="P742" i="64"/>
  <c r="Q258" i="64"/>
  <c r="Q274" i="64" s="1"/>
  <c r="Q171" i="64"/>
  <c r="Q4" i="64"/>
  <c r="Q637" i="64"/>
  <c r="CS8" i="65"/>
  <c r="CS31" i="65" s="1"/>
  <c r="CE8" i="65"/>
  <c r="CE31" i="65" s="1"/>
  <c r="BQ8" i="65"/>
  <c r="BQ23" i="65" s="1"/>
  <c r="P1398" i="64"/>
  <c r="CZ1053" i="64"/>
  <c r="Q400" i="64"/>
  <c r="P813" i="64" s="1"/>
  <c r="O888" i="64" s="1"/>
  <c r="Q126" i="64"/>
  <c r="Q120" i="64"/>
  <c r="Q115" i="64" s="1"/>
  <c r="Q111" i="64"/>
  <c r="Q104" i="64"/>
  <c r="R8" i="64"/>
  <c r="C139" i="69" s="1"/>
  <c r="Q289" i="64"/>
  <c r="Q345" i="64" s="1"/>
  <c r="Q214" i="64"/>
  <c r="CS202" i="65"/>
  <c r="CE202" i="65"/>
  <c r="BQ202" i="65"/>
  <c r="P1381" i="64"/>
  <c r="CR226" i="65"/>
  <c r="CR231" i="65"/>
  <c r="CR211" i="65"/>
  <c r="CR207" i="65"/>
  <c r="CR209" i="65"/>
  <c r="CR220" i="65"/>
  <c r="CR224" i="65"/>
  <c r="CR227" i="65"/>
  <c r="CR212" i="65"/>
  <c r="CR228" i="65"/>
  <c r="CR203" i="65"/>
  <c r="CR229" i="65"/>
  <c r="CR213" i="65"/>
  <c r="CR230" i="65"/>
  <c r="CR223" i="65"/>
  <c r="CR210" i="65"/>
  <c r="CR214" i="65"/>
  <c r="CR205" i="65"/>
  <c r="CR208" i="65"/>
  <c r="CR221" i="65"/>
  <c r="CR206" i="65"/>
  <c r="CR222" i="65"/>
  <c r="CR204" i="65"/>
  <c r="CR225" i="65"/>
  <c r="O7" i="73"/>
  <c r="O11" i="73"/>
  <c r="O68" i="73"/>
  <c r="O90" i="73" s="1"/>
  <c r="O100" i="73" s="1"/>
  <c r="O128" i="73" s="1"/>
  <c r="O156" i="73" s="1"/>
  <c r="O184" i="73" s="1"/>
  <c r="O211" i="73" s="1"/>
  <c r="O238" i="73" s="1"/>
  <c r="O264" i="73" s="1"/>
  <c r="O286" i="73" s="1"/>
  <c r="O309" i="73" s="1"/>
  <c r="O331" i="73" s="1"/>
  <c r="O8" i="85" s="1"/>
  <c r="AR1126" i="64"/>
  <c r="BS1053" i="64"/>
  <c r="M241" i="74"/>
  <c r="N110" i="85"/>
  <c r="N111" i="85" s="1"/>
  <c r="N90" i="85"/>
  <c r="P570" i="79"/>
  <c r="M567" i="74"/>
  <c r="M574" i="74"/>
  <c r="P1634" i="79"/>
  <c r="P607" i="79"/>
  <c r="P615" i="79" s="1"/>
  <c r="P623" i="79" s="1"/>
  <c r="P631" i="79" s="1"/>
  <c r="P1396" i="79" s="1"/>
  <c r="P605" i="79"/>
  <c r="P1395" i="79"/>
  <c r="P586" i="79"/>
  <c r="I1274" i="64"/>
  <c r="AV1200" i="64"/>
  <c r="N5" i="85"/>
  <c r="N34" i="85"/>
  <c r="N61" i="85" s="1"/>
  <c r="N88" i="85" s="1"/>
  <c r="N117" i="85" s="1"/>
  <c r="Q594" i="79"/>
  <c r="Q596" i="79"/>
  <c r="Q599" i="79"/>
  <c r="Q595" i="79"/>
  <c r="Q575" i="79"/>
  <c r="Q580" i="79"/>
  <c r="Q576" i="79"/>
  <c r="Q577" i="79"/>
  <c r="Q736" i="79"/>
  <c r="Q735" i="79"/>
  <c r="Q767" i="79"/>
  <c r="Q768" i="79"/>
  <c r="Q827" i="79"/>
  <c r="Q1401" i="79" s="1"/>
  <c r="L102" i="8" s="1"/>
  <c r="O2292" i="79"/>
  <c r="O2293" i="79" s="1"/>
  <c r="O2294" i="79" s="1"/>
  <c r="W1200" i="64"/>
  <c r="AJ1200" i="64" s="1"/>
  <c r="W1053" i="64"/>
  <c r="P1388" i="79"/>
  <c r="P1633" i="79"/>
  <c r="P562" i="79"/>
  <c r="P1389" i="79"/>
  <c r="V407" i="40"/>
  <c r="BE1274" i="64"/>
  <c r="CR1200" i="64"/>
  <c r="BR1274" i="64" s="1"/>
  <c r="AM164" i="79"/>
  <c r="W417" i="40" s="1"/>
  <c r="CE1053" i="64"/>
  <c r="BQ1126" i="64" s="1"/>
  <c r="BD1126" i="64"/>
  <c r="L219" i="85"/>
  <c r="L221" i="85" s="1"/>
  <c r="BP11" i="65"/>
  <c r="AB744" i="64" s="1"/>
  <c r="BP219" i="65"/>
  <c r="BP10" i="65"/>
  <c r="BP12" i="65"/>
  <c r="AB674" i="64" s="1"/>
  <c r="BP14" i="65"/>
  <c r="AB676" i="64" s="1"/>
  <c r="BP15" i="65"/>
  <c r="AB677" i="64" s="1"/>
  <c r="BP16" i="65"/>
  <c r="BP17" i="65"/>
  <c r="AB679" i="64" s="1"/>
  <c r="BP18" i="65"/>
  <c r="AB751" i="64" s="1"/>
  <c r="BP19" i="65"/>
  <c r="BP21" i="65"/>
  <c r="AP982" i="64"/>
  <c r="AA982" i="64"/>
  <c r="L982" i="64"/>
  <c r="O1447" i="64"/>
  <c r="R829" i="79" s="1"/>
  <c r="R830" i="79" s="1"/>
  <c r="O1443" i="64"/>
  <c r="R817" i="79" s="1"/>
  <c r="R818" i="79" s="1"/>
  <c r="O1439" i="64"/>
  <c r="R805" i="79" s="1"/>
  <c r="R806" i="79" s="1"/>
  <c r="O1435" i="64"/>
  <c r="R794" i="79" s="1"/>
  <c r="R795" i="79" s="1"/>
  <c r="O1431" i="64"/>
  <c r="R782" i="79" s="1"/>
  <c r="R783" i="79" s="1"/>
  <c r="O1427" i="64"/>
  <c r="R770" i="79" s="1"/>
  <c r="O1425" i="64"/>
  <c r="R762" i="79" s="1"/>
  <c r="O1424" i="64"/>
  <c r="R758" i="79" s="1"/>
  <c r="O1423" i="64"/>
  <c r="R754" i="79" s="1"/>
  <c r="O1422" i="64"/>
  <c r="R750" i="79" s="1"/>
  <c r="O1421" i="64"/>
  <c r="R746" i="79" s="1"/>
  <c r="O1446" i="64"/>
  <c r="R826" i="79" s="1"/>
  <c r="R827" i="79" s="1"/>
  <c r="O1442" i="64"/>
  <c r="R814" i="79" s="1"/>
  <c r="R815" i="79" s="1"/>
  <c r="O1438" i="64"/>
  <c r="O1434" i="64"/>
  <c r="R791" i="79" s="1"/>
  <c r="R792" i="79" s="1"/>
  <c r="O1430" i="64"/>
  <c r="R779" i="79" s="1"/>
  <c r="R780" i="79" s="1"/>
  <c r="O1426" i="64"/>
  <c r="R766" i="79" s="1"/>
  <c r="O1350" i="64"/>
  <c r="R557" i="79" s="1"/>
  <c r="O1445" i="64"/>
  <c r="R823" i="79" s="1"/>
  <c r="R824" i="79" s="1"/>
  <c r="O1437" i="64"/>
  <c r="R800" i="79" s="1"/>
  <c r="R801" i="79" s="1"/>
  <c r="O1444" i="64"/>
  <c r="R820" i="79" s="1"/>
  <c r="R821" i="79" s="1"/>
  <c r="O1436" i="64"/>
  <c r="R797" i="79" s="1"/>
  <c r="R798" i="79" s="1"/>
  <c r="O1428" i="64"/>
  <c r="O1419" i="64"/>
  <c r="R738" i="79" s="1"/>
  <c r="O1391" i="64"/>
  <c r="R2297" i="79" s="1"/>
  <c r="O1356" i="64"/>
  <c r="R581" i="79" s="1"/>
  <c r="O1441" i="64"/>
  <c r="R811" i="79" s="1"/>
  <c r="R812" i="79" s="1"/>
  <c r="O1416" i="64"/>
  <c r="R726" i="79" s="1"/>
  <c r="O1390" i="64"/>
  <c r="R2274" i="79" s="1"/>
  <c r="O1351" i="64"/>
  <c r="R600" i="79" s="1"/>
  <c r="O1348" i="64"/>
  <c r="R592" i="79" s="1"/>
  <c r="O1448" i="64"/>
  <c r="O1432" i="64"/>
  <c r="R785" i="79" s="1"/>
  <c r="R786" i="79" s="1"/>
  <c r="O1420" i="64"/>
  <c r="R742" i="79" s="1"/>
  <c r="O1417" i="64"/>
  <c r="R730" i="79" s="1"/>
  <c r="O1373" i="64"/>
  <c r="O1357" i="64"/>
  <c r="R624" i="79" s="1"/>
  <c r="O1353" i="64"/>
  <c r="R565" i="79" s="1"/>
  <c r="O1433" i="64"/>
  <c r="R788" i="79" s="1"/>
  <c r="R789" i="79" s="1"/>
  <c r="O1429" i="64"/>
  <c r="R776" i="79" s="1"/>
  <c r="R777" i="79" s="1"/>
  <c r="O1418" i="64"/>
  <c r="R734" i="79" s="1"/>
  <c r="O1359" i="64"/>
  <c r="R573" i="79" s="1"/>
  <c r="O1354" i="64"/>
  <c r="R608" i="79" s="1"/>
  <c r="O1360" i="64"/>
  <c r="R616" i="79" s="1"/>
  <c r="O1440" i="64"/>
  <c r="R808" i="79" s="1"/>
  <c r="R809" i="79" s="1"/>
  <c r="AE622" i="77"/>
  <c r="AE597" i="77"/>
  <c r="N646" i="77"/>
  <c r="M605" i="77" s="1"/>
  <c r="AE609" i="77"/>
  <c r="AE631" i="77" s="1"/>
  <c r="AE638" i="77" s="1"/>
  <c r="P438" i="77"/>
  <c r="M111" i="85"/>
  <c r="AS1274" i="64"/>
  <c r="CF1200" i="64"/>
  <c r="M566" i="74"/>
  <c r="AF1459" i="79"/>
  <c r="AF1639" i="79" s="1"/>
  <c r="DF1096" i="64"/>
  <c r="DK1114" i="64"/>
  <c r="DK1100" i="64"/>
  <c r="Z684" i="64"/>
  <c r="Z826" i="64"/>
  <c r="Z755" i="64"/>
  <c r="BE24" i="65"/>
  <c r="BK23" i="65"/>
  <c r="BG23" i="65"/>
  <c r="BM23" i="65"/>
  <c r="BL23" i="65"/>
  <c r="BO23" i="65"/>
  <c r="BI23" i="65"/>
  <c r="BP23" i="65"/>
  <c r="AB685" i="64" s="1"/>
  <c r="BH23" i="65"/>
  <c r="BJ23" i="65"/>
  <c r="BN23" i="65"/>
  <c r="AV754" i="64"/>
  <c r="AI754" i="64"/>
  <c r="AS683" i="64"/>
  <c r="AF683" i="64"/>
  <c r="AX754" i="64"/>
  <c r="AK754" i="64"/>
  <c r="AT754" i="64"/>
  <c r="AG754" i="64"/>
  <c r="CG32" i="65"/>
  <c r="CJ31" i="65"/>
  <c r="CI31" i="65"/>
  <c r="CN31" i="65"/>
  <c r="CM31" i="65"/>
  <c r="CP31" i="65"/>
  <c r="CR31" i="65"/>
  <c r="CK31" i="65"/>
  <c r="CO31" i="65"/>
  <c r="CL31" i="65"/>
  <c r="CQ31" i="65"/>
  <c r="AW683" i="64"/>
  <c r="AJ683" i="64"/>
  <c r="AY754" i="64"/>
  <c r="AL754" i="64"/>
  <c r="DK1067" i="64"/>
  <c r="V755" i="64"/>
  <c r="V684" i="64"/>
  <c r="V826" i="64"/>
  <c r="Y755" i="64"/>
  <c r="Y684" i="64"/>
  <c r="Y826" i="64"/>
  <c r="W684" i="64"/>
  <c r="W755" i="64"/>
  <c r="W826" i="64"/>
  <c r="AI825" i="64"/>
  <c r="AV825" i="64"/>
  <c r="AX683" i="64"/>
  <c r="AK683" i="64"/>
  <c r="AU683" i="64"/>
  <c r="AH683" i="64"/>
  <c r="AJ754" i="64"/>
  <c r="AW754" i="64"/>
  <c r="T755" i="64"/>
  <c r="T684" i="64"/>
  <c r="T826" i="64"/>
  <c r="U826" i="64"/>
  <c r="U684" i="64"/>
  <c r="U755" i="64"/>
  <c r="AS825" i="64"/>
  <c r="AF825" i="64"/>
  <c r="AT683" i="64"/>
  <c r="AG683" i="64"/>
  <c r="AU754" i="64"/>
  <c r="AH754" i="64"/>
  <c r="AY825" i="64"/>
  <c r="AL825" i="64"/>
  <c r="X755" i="64"/>
  <c r="X826" i="64"/>
  <c r="X684" i="64"/>
  <c r="S684" i="64"/>
  <c r="S755" i="64"/>
  <c r="S826" i="64"/>
  <c r="AI683" i="64"/>
  <c r="AV683" i="64"/>
  <c r="BS32" i="65"/>
  <c r="CD31" i="65"/>
  <c r="CB31" i="65"/>
  <c r="BW31" i="65"/>
  <c r="CA31" i="65"/>
  <c r="BY31" i="65"/>
  <c r="BX31" i="65"/>
  <c r="BZ31" i="65"/>
  <c r="BU31" i="65"/>
  <c r="CC31" i="65"/>
  <c r="BV31" i="65"/>
  <c r="P1485" i="79"/>
  <c r="P1711" i="79" s="1"/>
  <c r="P1472" i="79"/>
  <c r="P1675" i="79" s="1"/>
  <c r="J1485" i="79"/>
  <c r="J1711" i="79" s="1"/>
  <c r="J1563" i="79"/>
  <c r="J1927" i="79" s="1"/>
  <c r="J1511" i="79"/>
  <c r="J1783" i="79" s="1"/>
  <c r="J1589" i="79"/>
  <c r="J1998" i="79" s="1"/>
  <c r="AS754" i="64"/>
  <c r="AF754" i="64"/>
  <c r="AK825" i="64"/>
  <c r="AX825" i="64"/>
  <c r="AG825" i="64"/>
  <c r="AT825" i="64"/>
  <c r="AH825" i="64"/>
  <c r="AU825" i="64"/>
  <c r="AW825" i="64"/>
  <c r="AJ825" i="64"/>
  <c r="AL683" i="64"/>
  <c r="AY683" i="64"/>
  <c r="CR1166" i="64"/>
  <c r="DF1103" i="64"/>
  <c r="CR1187" i="64"/>
  <c r="DF1113" i="64"/>
  <c r="CR1165" i="64"/>
  <c r="DF1119" i="64"/>
  <c r="CR1173" i="64"/>
  <c r="CR1163" i="64"/>
  <c r="CS1156" i="64"/>
  <c r="AI1459" i="79"/>
  <c r="DI1096" i="64"/>
  <c r="AI42" i="79" s="1"/>
  <c r="AI1460" i="79" s="1"/>
  <c r="L579" i="74"/>
  <c r="M561" i="74"/>
  <c r="K1472" i="79"/>
  <c r="K1675" i="79" s="1"/>
  <c r="K1589" i="79"/>
  <c r="K1998" i="79" s="1"/>
  <c r="K1485" i="79"/>
  <c r="K1711" i="79" s="1"/>
  <c r="K1524" i="79"/>
  <c r="K1819" i="79" s="1"/>
  <c r="K1498" i="79"/>
  <c r="K1747" i="79" s="1"/>
  <c r="CT1130" i="64"/>
  <c r="K1576" i="79"/>
  <c r="K1963" i="79" s="1"/>
  <c r="K1602" i="79"/>
  <c r="K2034" i="79" s="1"/>
  <c r="K1563" i="79"/>
  <c r="K1927" i="79" s="1"/>
  <c r="K1511" i="79"/>
  <c r="K1783" i="79" s="1"/>
  <c r="K1537" i="79"/>
  <c r="K1855" i="79" s="1"/>
  <c r="K1888" i="79" s="1"/>
  <c r="K1889" i="79" s="1"/>
  <c r="K1550" i="79"/>
  <c r="K1891" i="79" s="1"/>
  <c r="DF1063" i="64"/>
  <c r="DF1117" i="64"/>
  <c r="CR1182" i="64"/>
  <c r="CR1144" i="64"/>
  <c r="DF1105" i="64"/>
  <c r="DF1093" i="64"/>
  <c r="DF1115" i="64"/>
  <c r="DF1068" i="64"/>
  <c r="DG1112" i="64"/>
  <c r="J1459" i="79"/>
  <c r="CS1153" i="64"/>
  <c r="J42" i="79" s="1"/>
  <c r="J1460" i="79" s="1"/>
  <c r="AH2035" i="79"/>
  <c r="AH1604" i="79"/>
  <c r="AH1539" i="79"/>
  <c r="DF1111" i="64"/>
  <c r="CR1188" i="64"/>
  <c r="DF1057" i="64"/>
  <c r="AF1576" i="79"/>
  <c r="AF1963" i="79" s="1"/>
  <c r="AF1589" i="79"/>
  <c r="AF1511" i="79"/>
  <c r="AF1783" i="79" s="1"/>
  <c r="AF1485" i="79"/>
  <c r="AF1711" i="79" s="1"/>
  <c r="AF1498" i="79"/>
  <c r="AF1747" i="79" s="1"/>
  <c r="AF1524" i="79"/>
  <c r="AF1819" i="79" s="1"/>
  <c r="AF1602" i="79"/>
  <c r="AF2034" i="79" s="1"/>
  <c r="AF2067" i="79" s="1"/>
  <c r="AF2068" i="79" s="1"/>
  <c r="AF1537" i="79"/>
  <c r="AF1855" i="79" s="1"/>
  <c r="AF1888" i="79" s="1"/>
  <c r="AF1889" i="79" s="1"/>
  <c r="AF1563" i="79"/>
  <c r="AF1927" i="79" s="1"/>
  <c r="AF1550" i="79"/>
  <c r="AF1891" i="79" s="1"/>
  <c r="DF1064" i="64"/>
  <c r="CR1160" i="64"/>
  <c r="CR1170" i="64"/>
  <c r="CR1151" i="64"/>
  <c r="CR1129" i="64"/>
  <c r="CS1157" i="64"/>
  <c r="AF1472" i="79"/>
  <c r="DF1109" i="64"/>
  <c r="CR1190" i="64"/>
  <c r="CR1150" i="64"/>
  <c r="DF1097" i="64"/>
  <c r="CR1164" i="64"/>
  <c r="CS1134" i="64"/>
  <c r="AI1472" i="79"/>
  <c r="DI1109" i="64"/>
  <c r="L1589" i="79"/>
  <c r="L1998" i="79" s="1"/>
  <c r="L1602" i="79"/>
  <c r="L2034" i="79" s="1"/>
  <c r="L1498" i="79"/>
  <c r="L1747" i="79" s="1"/>
  <c r="L1537" i="79"/>
  <c r="L1855" i="79" s="1"/>
  <c r="L1888" i="79" s="1"/>
  <c r="L1889" i="79" s="1"/>
  <c r="L1563" i="79"/>
  <c r="L1927" i="79" s="1"/>
  <c r="L1485" i="79"/>
  <c r="L1711" i="79" s="1"/>
  <c r="L1472" i="79"/>
  <c r="L1675" i="79" s="1"/>
  <c r="L1524" i="79"/>
  <c r="L1819" i="79" s="1"/>
  <c r="L1511" i="79"/>
  <c r="L1783" i="79" s="1"/>
  <c r="L1550" i="79"/>
  <c r="L1891" i="79" s="1"/>
  <c r="CU1130" i="64"/>
  <c r="L1576" i="79"/>
  <c r="L1963" i="79" s="1"/>
  <c r="AJ1472" i="79"/>
  <c r="DJ1109" i="64"/>
  <c r="AJ83" i="79" s="1"/>
  <c r="AJ1473" i="79" s="1"/>
  <c r="CW1138" i="64"/>
  <c r="AH1963" i="79"/>
  <c r="DF1072" i="64"/>
  <c r="CR1141" i="64"/>
  <c r="CR1179" i="64"/>
  <c r="DF1114" i="64"/>
  <c r="CR1176" i="64"/>
  <c r="CR1191" i="64"/>
  <c r="CR1175" i="64"/>
  <c r="DF1087" i="64"/>
  <c r="CR1135" i="64"/>
  <c r="DF1065" i="64"/>
  <c r="DF1080" i="64"/>
  <c r="CR1184" i="64"/>
  <c r="DF1100" i="64"/>
  <c r="CR1149" i="64"/>
  <c r="AH1552" i="79"/>
  <c r="AH1892" i="79"/>
  <c r="AH1924" i="79" s="1"/>
  <c r="AH1925" i="79" s="1"/>
  <c r="AH1964" i="79"/>
  <c r="AH1995" i="79" s="1"/>
  <c r="AH1996" i="79" s="1"/>
  <c r="AH1578" i="79"/>
  <c r="AH1579" i="79" s="1"/>
  <c r="M1511" i="79"/>
  <c r="M1783" i="79" s="1"/>
  <c r="M1589" i="79"/>
  <c r="M1998" i="79" s="1"/>
  <c r="M1524" i="79"/>
  <c r="M1819" i="79" s="1"/>
  <c r="M1563" i="79"/>
  <c r="M1927" i="79" s="1"/>
  <c r="M1550" i="79"/>
  <c r="M1891" i="79" s="1"/>
  <c r="M1498" i="79"/>
  <c r="M1747" i="79" s="1"/>
  <c r="M1602" i="79"/>
  <c r="M2034" i="79" s="1"/>
  <c r="M1537" i="79"/>
  <c r="M1855" i="79" s="1"/>
  <c r="M1888" i="79" s="1"/>
  <c r="M1889" i="79" s="1"/>
  <c r="M1485" i="79"/>
  <c r="M1711" i="79" s="1"/>
  <c r="M1472" i="79"/>
  <c r="M1675" i="79" s="1"/>
  <c r="CV1130" i="64"/>
  <c r="M1576" i="79"/>
  <c r="M1963" i="79" s="1"/>
  <c r="AG1595" i="79"/>
  <c r="AG1598" i="79"/>
  <c r="DF1058" i="64"/>
  <c r="DF1101" i="64"/>
  <c r="CR1193" i="64"/>
  <c r="CR1180" i="64"/>
  <c r="CR1174" i="64"/>
  <c r="CR1177" i="64"/>
  <c r="CR1146" i="64"/>
  <c r="CR1155" i="64"/>
  <c r="DG1077" i="64"/>
  <c r="CS1159" i="64"/>
  <c r="AH1459" i="79"/>
  <c r="DH1096" i="64"/>
  <c r="AH42" i="79" s="1"/>
  <c r="AH1460" i="79" s="1"/>
  <c r="AH1472" i="79"/>
  <c r="DH1109" i="64"/>
  <c r="CR1168" i="64"/>
  <c r="CR1185" i="64"/>
  <c r="CR1136" i="64"/>
  <c r="DF1054" i="64"/>
  <c r="DG1091" i="64"/>
  <c r="DI1107" i="64"/>
  <c r="CT1153" i="64"/>
  <c r="K1459" i="79"/>
  <c r="K1639" i="79" s="1"/>
  <c r="CR1181" i="64"/>
  <c r="DF1071" i="64"/>
  <c r="DF1086" i="64"/>
  <c r="CR1131" i="64"/>
  <c r="CR1172" i="64"/>
  <c r="CR1161" i="64"/>
  <c r="DF1118" i="64"/>
  <c r="AF1598" i="79"/>
  <c r="AF1595" i="79"/>
  <c r="AI1511" i="79"/>
  <c r="AI1783" i="79" s="1"/>
  <c r="AI1537" i="79"/>
  <c r="AI1855" i="79" s="1"/>
  <c r="AI1888" i="79" s="1"/>
  <c r="AI1889" i="79" s="1"/>
  <c r="AI1563" i="79"/>
  <c r="AI1927" i="79" s="1"/>
  <c r="AI1589" i="79"/>
  <c r="AI1550" i="79"/>
  <c r="AI1891" i="79" s="1"/>
  <c r="DI1057" i="64"/>
  <c r="AI1576" i="79"/>
  <c r="AI1963" i="79" s="1"/>
  <c r="AI1485" i="79"/>
  <c r="AI1711" i="79" s="1"/>
  <c r="AI1498" i="79"/>
  <c r="AI1747" i="79" s="1"/>
  <c r="AI1524" i="79"/>
  <c r="AI1819" i="79" s="1"/>
  <c r="AI1602" i="79"/>
  <c r="AI2034" i="79" s="1"/>
  <c r="AI2067" i="79" s="1"/>
  <c r="AI2068" i="79" s="1"/>
  <c r="CR1145" i="64"/>
  <c r="CR1142" i="64"/>
  <c r="CR1183" i="64"/>
  <c r="DF1108" i="64"/>
  <c r="CR1128" i="64"/>
  <c r="DF1099" i="64"/>
  <c r="DF1092" i="64"/>
  <c r="L245" i="74"/>
  <c r="M233" i="74"/>
  <c r="CS1132" i="64"/>
  <c r="J124" i="79" s="1"/>
  <c r="J1486" i="79" s="1"/>
  <c r="DG1098" i="64"/>
  <c r="AH1928" i="79"/>
  <c r="AH1960" i="79" s="1"/>
  <c r="AH1961" i="79" s="1"/>
  <c r="AH1565" i="79"/>
  <c r="AH1566" i="79" s="1"/>
  <c r="AJ1459" i="79"/>
  <c r="AJ1639" i="79" s="1"/>
  <c r="DJ1096" i="64"/>
  <c r="AJ42" i="79" s="1"/>
  <c r="AJ1460" i="79" s="1"/>
  <c r="CR1133" i="64"/>
  <c r="DF1059" i="64"/>
  <c r="CR1152" i="64"/>
  <c r="DF1116" i="64"/>
  <c r="DF1078" i="64"/>
  <c r="DF1079" i="64"/>
  <c r="DF1104" i="64"/>
  <c r="CR1158" i="64"/>
  <c r="AK1524" i="79"/>
  <c r="AK1819" i="79" s="1"/>
  <c r="AK1589" i="79"/>
  <c r="AK1537" i="79"/>
  <c r="AK1855" i="79" s="1"/>
  <c r="AK1888" i="79" s="1"/>
  <c r="AK1889" i="79" s="1"/>
  <c r="AK1550" i="79"/>
  <c r="AK1891" i="79" s="1"/>
  <c r="AK1563" i="79"/>
  <c r="AK1927" i="79" s="1"/>
  <c r="AK1602" i="79"/>
  <c r="AK2034" i="79" s="1"/>
  <c r="AK2067" i="79" s="1"/>
  <c r="AK2068" i="79" s="1"/>
  <c r="AK1498" i="79"/>
  <c r="AK1747" i="79" s="1"/>
  <c r="AK1485" i="79"/>
  <c r="AK1711" i="79" s="1"/>
  <c r="AK1511" i="79"/>
  <c r="AK1783" i="79" s="1"/>
  <c r="AK1576" i="79"/>
  <c r="AK1963" i="79" s="1"/>
  <c r="DG1095" i="64"/>
  <c r="AG1472" i="79"/>
  <c r="DG1109" i="64"/>
  <c r="CS1167" i="64"/>
  <c r="CS1138" i="64"/>
  <c r="DG1110" i="64"/>
  <c r="DF1066" i="64"/>
  <c r="CR1189" i="64"/>
  <c r="CR1148" i="64"/>
  <c r="DF1056" i="64"/>
  <c r="AG1537" i="79"/>
  <c r="AG1855" i="79" s="1"/>
  <c r="AG1888" i="79" s="1"/>
  <c r="AG1889" i="79" s="1"/>
  <c r="AG1589" i="79"/>
  <c r="AG1550" i="79"/>
  <c r="AG1891" i="79" s="1"/>
  <c r="AG1563" i="79"/>
  <c r="AG1927" i="79" s="1"/>
  <c r="AG1485" i="79"/>
  <c r="AG1711" i="79" s="1"/>
  <c r="AG1498" i="79"/>
  <c r="AG1747" i="79" s="1"/>
  <c r="AG1576" i="79"/>
  <c r="AG1963" i="79" s="1"/>
  <c r="AG1602" i="79"/>
  <c r="AG2034" i="79" s="1"/>
  <c r="AG2067" i="79" s="1"/>
  <c r="AG2068" i="79" s="1"/>
  <c r="DG1057" i="64"/>
  <c r="AG1524" i="79"/>
  <c r="AG1819" i="79" s="1"/>
  <c r="AG1511" i="79"/>
  <c r="AG1783" i="79" s="1"/>
  <c r="M1459" i="79"/>
  <c r="M1639" i="79" s="1"/>
  <c r="CV1153" i="64"/>
  <c r="CR1192" i="64"/>
  <c r="CR1154" i="64"/>
  <c r="DF1076" i="64"/>
  <c r="DF1062" i="64"/>
  <c r="DF1089" i="64"/>
  <c r="DF1074" i="64"/>
  <c r="CR1178" i="64"/>
  <c r="DG1094" i="64"/>
  <c r="CS1169" i="64"/>
  <c r="DH1082" i="64"/>
  <c r="DF1067" i="64"/>
  <c r="DF1061" i="64"/>
  <c r="DF1073" i="64"/>
  <c r="DF1060" i="64"/>
  <c r="DF1106" i="64"/>
  <c r="DF1083" i="64"/>
  <c r="DF1069" i="64"/>
  <c r="CR1171" i="64"/>
  <c r="AM1485" i="79"/>
  <c r="AM1711" i="79" s="1"/>
  <c r="AM1550" i="79"/>
  <c r="AM1891" i="79" s="1"/>
  <c r="DG1096" i="64"/>
  <c r="AG1459" i="79"/>
  <c r="AG1639" i="79" s="1"/>
  <c r="CS1162" i="64"/>
  <c r="L1459" i="79"/>
  <c r="CU1153" i="64"/>
  <c r="L42" i="79" s="1"/>
  <c r="L1460" i="79" s="1"/>
  <c r="AH1598" i="79"/>
  <c r="AH1595" i="79"/>
  <c r="AH1526" i="79"/>
  <c r="AH1820" i="79"/>
  <c r="AH1852" i="79" s="1"/>
  <c r="AH1853" i="79" s="1"/>
  <c r="DF1084" i="64"/>
  <c r="DF1081" i="64"/>
  <c r="CR1186" i="64"/>
  <c r="DF1088" i="64"/>
  <c r="DF1090" i="64"/>
  <c r="DF1102" i="64"/>
  <c r="CR1143" i="64"/>
  <c r="CR1147" i="64"/>
  <c r="DF1120" i="64"/>
  <c r="J206" i="79"/>
  <c r="J1512" i="79" s="1"/>
  <c r="J288" i="79"/>
  <c r="J1538" i="79" s="1"/>
  <c r="CR1140" i="64"/>
  <c r="CR1127" i="64"/>
  <c r="I1563" i="79"/>
  <c r="I1927" i="79" s="1"/>
  <c r="I1511" i="79"/>
  <c r="I1783" i="79" s="1"/>
  <c r="I1537" i="79"/>
  <c r="I1855" i="79" s="1"/>
  <c r="I1888" i="79" s="1"/>
  <c r="I1889" i="79" s="1"/>
  <c r="I1589" i="79"/>
  <c r="I1998" i="79" s="1"/>
  <c r="I1550" i="79"/>
  <c r="I1891" i="79" s="1"/>
  <c r="I1498" i="79"/>
  <c r="I1747" i="79" s="1"/>
  <c r="I1576" i="79"/>
  <c r="I1963" i="79" s="1"/>
  <c r="I1602" i="79"/>
  <c r="I2034" i="79" s="1"/>
  <c r="I1485" i="79"/>
  <c r="I1711" i="79" s="1"/>
  <c r="CR1130" i="64"/>
  <c r="I42" i="79" s="1"/>
  <c r="I1460" i="79" s="1"/>
  <c r="I1524" i="79"/>
  <c r="I1819" i="79" s="1"/>
  <c r="I1472" i="79"/>
  <c r="I1675" i="79" s="1"/>
  <c r="CR1137" i="64"/>
  <c r="DF1075" i="64"/>
  <c r="CS1139" i="64"/>
  <c r="DG1055" i="64"/>
  <c r="DG1070" i="64"/>
  <c r="DG1085" i="64"/>
  <c r="J557" i="73"/>
  <c r="A637" i="77"/>
  <c r="A317" i="77"/>
  <c r="A352" i="77" s="1"/>
  <c r="A382" i="77" s="1"/>
  <c r="A415" i="77" s="1"/>
  <c r="O265" i="73"/>
  <c r="O279" i="73" s="1"/>
  <c r="N280" i="73"/>
  <c r="N303" i="73"/>
  <c r="O287" i="73"/>
  <c r="O302" i="73" s="1"/>
  <c r="M601" i="73"/>
  <c r="M588" i="73"/>
  <c r="M594" i="73" s="1"/>
  <c r="M602" i="73"/>
  <c r="M589" i="73"/>
  <c r="M595" i="73" s="1"/>
  <c r="I228" i="85"/>
  <c r="J204" i="85"/>
  <c r="J202" i="85"/>
  <c r="J212" i="85"/>
  <c r="J210" i="85"/>
  <c r="L62" i="85"/>
  <c r="K79" i="85"/>
  <c r="K51" i="85"/>
  <c r="K54" i="85" s="1"/>
  <c r="L185" i="73"/>
  <c r="K202" i="73"/>
  <c r="O86" i="73"/>
  <c r="O453" i="73" s="1"/>
  <c r="O455" i="73" s="1"/>
  <c r="P69" i="73"/>
  <c r="P85" i="73" s="1"/>
  <c r="L157" i="73"/>
  <c r="K174" i="73"/>
  <c r="M228" i="73"/>
  <c r="L332" i="73"/>
  <c r="K346" i="73"/>
  <c r="L239" i="73"/>
  <c r="K255" i="73"/>
  <c r="K146" i="73"/>
  <c r="K348" i="73"/>
  <c r="K148" i="73"/>
  <c r="K149" i="73" s="1"/>
  <c r="J464" i="73" s="1"/>
  <c r="O920" i="64"/>
  <c r="Q432" i="64"/>
  <c r="O914" i="64"/>
  <c r="Q426" i="64"/>
  <c r="O916" i="64"/>
  <c r="Q428" i="64"/>
  <c r="O958" i="64"/>
  <c r="Q470" i="64"/>
  <c r="R78" i="64"/>
  <c r="O966" i="64"/>
  <c r="Q478" i="64"/>
  <c r="R86" i="64"/>
  <c r="O957" i="64"/>
  <c r="Q469" i="64"/>
  <c r="R77" i="64"/>
  <c r="O940" i="64"/>
  <c r="Q452" i="64"/>
  <c r="O949" i="64"/>
  <c r="Q461" i="64"/>
  <c r="P951" i="64"/>
  <c r="R463" i="64"/>
  <c r="P947" i="64"/>
  <c r="R459" i="64"/>
  <c r="O928" i="64"/>
  <c r="Q440" i="64"/>
  <c r="Q442" i="64"/>
  <c r="O930" i="64"/>
  <c r="P971" i="64"/>
  <c r="R483" i="64"/>
  <c r="Q450" i="64"/>
  <c r="O938" i="64"/>
  <c r="P943" i="64"/>
  <c r="R455" i="64"/>
  <c r="P927" i="64"/>
  <c r="R439" i="64"/>
  <c r="Q433" i="64"/>
  <c r="O921" i="64"/>
  <c r="P955" i="64"/>
  <c r="R467" i="64"/>
  <c r="P935" i="64"/>
  <c r="R447" i="64"/>
  <c r="P974" i="64"/>
  <c r="R486" i="64"/>
  <c r="Q430" i="64"/>
  <c r="O918" i="64"/>
  <c r="P919" i="64"/>
  <c r="R431" i="64"/>
  <c r="Q462" i="64"/>
  <c r="O950" i="64"/>
  <c r="R70" i="64"/>
  <c r="O917" i="64"/>
  <c r="Q429" i="64"/>
  <c r="O964" i="64"/>
  <c r="Q476" i="64"/>
  <c r="R84" i="64"/>
  <c r="P977" i="64"/>
  <c r="R489" i="64"/>
  <c r="Q454" i="64"/>
  <c r="O942" i="64"/>
  <c r="O976" i="64"/>
  <c r="R96" i="64"/>
  <c r="Q488" i="64"/>
  <c r="Q434" i="64"/>
  <c r="O922" i="64"/>
  <c r="O937" i="64"/>
  <c r="Q449" i="64"/>
  <c r="P967" i="64"/>
  <c r="R479" i="64"/>
  <c r="P931" i="64"/>
  <c r="R443" i="64"/>
  <c r="O944" i="64"/>
  <c r="Q456" i="64"/>
  <c r="P973" i="64"/>
  <c r="R485" i="64"/>
  <c r="O975" i="64"/>
  <c r="Q487" i="64"/>
  <c r="R95" i="64"/>
  <c r="Q458" i="64"/>
  <c r="O946" i="64"/>
  <c r="O965" i="64"/>
  <c r="Q477" i="64"/>
  <c r="R85" i="64"/>
  <c r="P978" i="64"/>
  <c r="R490" i="64"/>
  <c r="O962" i="64"/>
  <c r="Q474" i="64"/>
  <c r="R82" i="64"/>
  <c r="O948" i="64"/>
  <c r="Q460" i="64"/>
  <c r="P923" i="64"/>
  <c r="R435" i="64"/>
  <c r="O968" i="64"/>
  <c r="Q480" i="64"/>
  <c r="R88" i="64"/>
  <c r="O954" i="64"/>
  <c r="Q466" i="64"/>
  <c r="R74" i="64"/>
  <c r="Q438" i="64"/>
  <c r="O926" i="64"/>
  <c r="O960" i="64"/>
  <c r="Q472" i="64"/>
  <c r="R80" i="64"/>
  <c r="O933" i="64"/>
  <c r="Q445" i="64"/>
  <c r="O952" i="64"/>
  <c r="Q464" i="64"/>
  <c r="R72" i="64"/>
  <c r="O956" i="64"/>
  <c r="Q468" i="64"/>
  <c r="R76" i="64"/>
  <c r="P915" i="64"/>
  <c r="R427" i="64"/>
  <c r="P959" i="64"/>
  <c r="R471" i="64"/>
  <c r="P963" i="64"/>
  <c r="R475" i="64"/>
  <c r="Q465" i="64"/>
  <c r="O953" i="64"/>
  <c r="R73" i="64"/>
  <c r="O961" i="64"/>
  <c r="Q473" i="64"/>
  <c r="R81" i="64"/>
  <c r="O970" i="64"/>
  <c r="Q482" i="64"/>
  <c r="R90" i="64"/>
  <c r="O936" i="64"/>
  <c r="Q448" i="64"/>
  <c r="O972" i="64"/>
  <c r="R92" i="64"/>
  <c r="Q484" i="64"/>
  <c r="O941" i="64"/>
  <c r="Q453" i="64"/>
  <c r="O924" i="64"/>
  <c r="Q436" i="64"/>
  <c r="O969" i="64"/>
  <c r="Q481" i="64"/>
  <c r="R89" i="64"/>
  <c r="Q446" i="64"/>
  <c r="O934" i="64"/>
  <c r="O945" i="64"/>
  <c r="Q457" i="64"/>
  <c r="O932" i="64"/>
  <c r="Q444" i="64"/>
  <c r="O929" i="64"/>
  <c r="Q441" i="64"/>
  <c r="P939" i="64"/>
  <c r="R451" i="64"/>
  <c r="O925" i="64"/>
  <c r="Q437" i="64"/>
  <c r="CV1113" i="64"/>
  <c r="DL1113" i="64" s="1"/>
  <c r="P339" i="64"/>
  <c r="P369" i="64"/>
  <c r="CH1192" i="64"/>
  <c r="CX1192" i="64" s="1"/>
  <c r="CH1129" i="64"/>
  <c r="CX1129" i="64" s="1"/>
  <c r="N1458" i="79"/>
  <c r="N1638" i="79" s="1"/>
  <c r="CW1153" i="64"/>
  <c r="CH1143" i="64"/>
  <c r="CX1143" i="64" s="1"/>
  <c r="K984" i="64"/>
  <c r="K1055" i="64" s="1"/>
  <c r="K1028" i="64"/>
  <c r="K1099" i="64" s="1"/>
  <c r="K1040" i="64"/>
  <c r="K1111" i="64" s="1"/>
  <c r="CV1074" i="64"/>
  <c r="DL1074" i="64" s="1"/>
  <c r="N628" i="64"/>
  <c r="I36" i="71"/>
  <c r="CV1056" i="64"/>
  <c r="DL1056" i="64" s="1"/>
  <c r="CH1138" i="64"/>
  <c r="CX1138" i="64" s="1"/>
  <c r="K1001" i="64"/>
  <c r="K1072" i="64" s="1"/>
  <c r="CV1064" i="64"/>
  <c r="DL1064" i="64" s="1"/>
  <c r="CH1188" i="64"/>
  <c r="CX1188" i="64" s="1"/>
  <c r="CH1127" i="64"/>
  <c r="CX1127" i="64" s="1"/>
  <c r="CH1149" i="64"/>
  <c r="CX1149" i="64" s="1"/>
  <c r="CV1084" i="64"/>
  <c r="DL1084" i="64" s="1"/>
  <c r="CV1061" i="64"/>
  <c r="DL1061" i="64" s="1"/>
  <c r="K1005" i="64"/>
  <c r="K1076" i="64" s="1"/>
  <c r="O784" i="64"/>
  <c r="O791" i="64"/>
  <c r="CW1151" i="64"/>
  <c r="CW1155" i="64"/>
  <c r="CV1071" i="64"/>
  <c r="DL1071" i="64" s="1"/>
  <c r="CH1163" i="64"/>
  <c r="CX1163" i="64" s="1"/>
  <c r="I1187" i="64"/>
  <c r="DK1108" i="64"/>
  <c r="CW1166" i="64"/>
  <c r="CW1167" i="64"/>
  <c r="CW1149" i="64"/>
  <c r="CW1142" i="64"/>
  <c r="CW1159" i="64"/>
  <c r="O912" i="64"/>
  <c r="Q424" i="64"/>
  <c r="CV1095" i="64"/>
  <c r="DL1095" i="64" s="1"/>
  <c r="CH1184" i="64"/>
  <c r="CV1117" i="64"/>
  <c r="DL1117" i="64" s="1"/>
  <c r="CV1118" i="64"/>
  <c r="DL1118" i="64" s="1"/>
  <c r="CH1162" i="64"/>
  <c r="CX1162" i="64" s="1"/>
  <c r="CV1109" i="64"/>
  <c r="CV1100" i="64"/>
  <c r="CH1157" i="64"/>
  <c r="CH1133" i="64"/>
  <c r="CX1133" i="64" s="1"/>
  <c r="CV1068" i="64"/>
  <c r="DL1068" i="64" s="1"/>
  <c r="O900" i="64"/>
  <c r="Q412" i="64"/>
  <c r="AI1595" i="79"/>
  <c r="AI1598" i="79"/>
  <c r="O902" i="64"/>
  <c r="Q414" i="64"/>
  <c r="CW1185" i="64"/>
  <c r="CW1186" i="64"/>
  <c r="L630" i="64"/>
  <c r="CH1151" i="64"/>
  <c r="CX1151" i="64" s="1"/>
  <c r="CH1156" i="64"/>
  <c r="CX1156" i="64" s="1"/>
  <c r="CV1054" i="64"/>
  <c r="DL1054" i="64" s="1"/>
  <c r="CH1134" i="64"/>
  <c r="CX1134" i="64" s="1"/>
  <c r="CV1072" i="64"/>
  <c r="DL1072" i="64" s="1"/>
  <c r="AJ1592" i="79"/>
  <c r="AJ1997" i="79"/>
  <c r="AJ2031" i="79" s="1"/>
  <c r="AJ2032" i="79" s="1"/>
  <c r="AM737" i="64"/>
  <c r="DK1097" i="64"/>
  <c r="DK1079" i="64"/>
  <c r="DK1101" i="64"/>
  <c r="DK1086" i="64"/>
  <c r="DK1065" i="64"/>
  <c r="K1002" i="64"/>
  <c r="K1073" i="64" s="1"/>
  <c r="K994" i="64"/>
  <c r="K1065" i="64" s="1"/>
  <c r="K1000" i="64"/>
  <c r="K1071" i="64" s="1"/>
  <c r="K1042" i="64"/>
  <c r="K1113" i="64" s="1"/>
  <c r="K1043" i="64"/>
  <c r="K1114" i="64" s="1"/>
  <c r="N610" i="64"/>
  <c r="P326" i="64"/>
  <c r="P301" i="64"/>
  <c r="P316" i="64"/>
  <c r="P359" i="64"/>
  <c r="CV1104" i="64"/>
  <c r="CH1168" i="64"/>
  <c r="CX1168" i="64" s="1"/>
  <c r="CV1119" i="64"/>
  <c r="DL1119" i="64" s="1"/>
  <c r="CV1101" i="64"/>
  <c r="DL1101" i="64" s="1"/>
  <c r="CH1164" i="64"/>
  <c r="CX1164" i="64" s="1"/>
  <c r="CV1063" i="64"/>
  <c r="DL1063" i="64" s="1"/>
  <c r="CV1076" i="64"/>
  <c r="DL1076" i="64" s="1"/>
  <c r="CV1106" i="64"/>
  <c r="DL1106" i="64" s="1"/>
  <c r="CH1146" i="64"/>
  <c r="O891" i="64"/>
  <c r="Q403" i="64"/>
  <c r="M642" i="64"/>
  <c r="AZ737" i="64"/>
  <c r="I1181" i="64"/>
  <c r="BW1070" i="64"/>
  <c r="W1054" i="64"/>
  <c r="BV1127" i="64"/>
  <c r="AW1070" i="64"/>
  <c r="AJ1108" i="64"/>
  <c r="AV1143" i="64"/>
  <c r="AV1181" i="64"/>
  <c r="BW1054" i="64"/>
  <c r="I1127" i="64"/>
  <c r="BJ1054" i="64"/>
  <c r="BI1127" i="64"/>
  <c r="BV1190" i="64"/>
  <c r="W1075" i="64"/>
  <c r="AW1054" i="64"/>
  <c r="V1190" i="64"/>
  <c r="I1148" i="64"/>
  <c r="W1067" i="64"/>
  <c r="AW1067" i="64"/>
  <c r="BI1140" i="64"/>
  <c r="AJ1054" i="64"/>
  <c r="BV1181" i="64"/>
  <c r="V1143" i="64"/>
  <c r="V1131" i="64"/>
  <c r="I1131" i="64"/>
  <c r="AV1131" i="64"/>
  <c r="BW1120" i="64"/>
  <c r="W1056" i="64"/>
  <c r="AI1129" i="64"/>
  <c r="I1174" i="64"/>
  <c r="V1181" i="64"/>
  <c r="AJ1094" i="64"/>
  <c r="BW1094" i="64"/>
  <c r="AW1110" i="64"/>
  <c r="BW1119" i="64"/>
  <c r="W1064" i="64"/>
  <c r="W1057" i="64"/>
  <c r="BI1184" i="64"/>
  <c r="W1079" i="64"/>
  <c r="V1184" i="64"/>
  <c r="AI1188" i="64"/>
  <c r="AW1084" i="64"/>
  <c r="AI1157" i="64"/>
  <c r="BV1157" i="64"/>
  <c r="I1190" i="64"/>
  <c r="AV1151" i="64"/>
  <c r="I1151" i="64"/>
  <c r="BI1175" i="64"/>
  <c r="BV1162" i="64"/>
  <c r="I1142" i="64"/>
  <c r="AI1142" i="64"/>
  <c r="AJ1104" i="64"/>
  <c r="W1105" i="64"/>
  <c r="BV1132" i="64"/>
  <c r="AJ1059" i="64"/>
  <c r="BV1150" i="64"/>
  <c r="BI1149" i="64"/>
  <c r="W1076" i="64"/>
  <c r="BJ1076" i="64"/>
  <c r="BI1164" i="64"/>
  <c r="AI1164" i="64"/>
  <c r="V1164" i="64"/>
  <c r="BV1173" i="64"/>
  <c r="W1100" i="64"/>
  <c r="CJ1100" i="64"/>
  <c r="BJ1100" i="64"/>
  <c r="BJ1083" i="64"/>
  <c r="AV1148" i="64"/>
  <c r="I1182" i="64"/>
  <c r="V1144" i="64"/>
  <c r="AV1144" i="64"/>
  <c r="AI1144" i="64"/>
  <c r="AW1101" i="64"/>
  <c r="BI1166" i="64"/>
  <c r="CJ1093" i="64"/>
  <c r="BW1093" i="64"/>
  <c r="AI1170" i="64"/>
  <c r="BV1170" i="64"/>
  <c r="AV1170" i="64"/>
  <c r="AJ1085" i="64"/>
  <c r="BV1158" i="64"/>
  <c r="BI1158" i="64"/>
  <c r="BJ1063" i="64"/>
  <c r="AI1136" i="64"/>
  <c r="CJ1064" i="64"/>
  <c r="AV1137" i="64"/>
  <c r="W1111" i="64"/>
  <c r="AW1118" i="64"/>
  <c r="W1110" i="64"/>
  <c r="BI1185" i="64"/>
  <c r="BW1110" i="64"/>
  <c r="AI1185" i="64"/>
  <c r="V1189" i="64"/>
  <c r="W1081" i="64"/>
  <c r="AW1081" i="64"/>
  <c r="AW1109" i="64"/>
  <c r="AJ1089" i="64"/>
  <c r="BW1095" i="64"/>
  <c r="BJ1067" i="64"/>
  <c r="AV1140" i="64"/>
  <c r="I1140" i="64"/>
  <c r="I1168" i="64"/>
  <c r="AV1127" i="64"/>
  <c r="BJ1117" i="64"/>
  <c r="CJ1070" i="64"/>
  <c r="BV1131" i="64"/>
  <c r="W1058" i="64"/>
  <c r="BI1148" i="64"/>
  <c r="CJ1056" i="64"/>
  <c r="CJ1108" i="64"/>
  <c r="BV1168" i="64"/>
  <c r="BV1183" i="64"/>
  <c r="BW1057" i="64"/>
  <c r="V1130" i="64"/>
  <c r="AI1183" i="64"/>
  <c r="AJ1115" i="64"/>
  <c r="V1191" i="64"/>
  <c r="BI1137" i="64"/>
  <c r="AV1189" i="64"/>
  <c r="AI1192" i="64"/>
  <c r="W1084" i="64"/>
  <c r="V1157" i="64"/>
  <c r="AV1190" i="64"/>
  <c r="AW1102" i="64"/>
  <c r="AV1175" i="64"/>
  <c r="BW1109" i="64"/>
  <c r="AV1142" i="64"/>
  <c r="W1069" i="64"/>
  <c r="BW1069" i="64"/>
  <c r="AV1177" i="64"/>
  <c r="AI1132" i="64"/>
  <c r="I1132" i="64"/>
  <c r="AW1077" i="64"/>
  <c r="AV1193" i="64"/>
  <c r="AW1076" i="64"/>
  <c r="BW1076" i="64"/>
  <c r="BV1147" i="64"/>
  <c r="CJ1074" i="64"/>
  <c r="V1173" i="64"/>
  <c r="BI1173" i="64"/>
  <c r="CJ1120" i="64"/>
  <c r="I1144" i="64"/>
  <c r="CJ1071" i="64"/>
  <c r="BW1071" i="64"/>
  <c r="I1129" i="64"/>
  <c r="AJ1093" i="64"/>
  <c r="AV1166" i="64"/>
  <c r="BI1170" i="64"/>
  <c r="BJ1097" i="64"/>
  <c r="W1097" i="64"/>
  <c r="AW1097" i="64"/>
  <c r="AV1158" i="64"/>
  <c r="V1158" i="64"/>
  <c r="CJ1063" i="64"/>
  <c r="BW1063" i="64"/>
  <c r="W1094" i="64"/>
  <c r="BI1130" i="64"/>
  <c r="AJ1064" i="64"/>
  <c r="BJ1079" i="64"/>
  <c r="AV1185" i="64"/>
  <c r="W1118" i="64"/>
  <c r="V1192" i="64"/>
  <c r="CJ1110" i="64"/>
  <c r="BI1191" i="64"/>
  <c r="BI1194" i="64"/>
  <c r="BW1117" i="64"/>
  <c r="CJ1078" i="64"/>
  <c r="AI1151" i="64"/>
  <c r="BV1175" i="64"/>
  <c r="W1102" i="64"/>
  <c r="I1154" i="64"/>
  <c r="CJ1081" i="64"/>
  <c r="BW1081" i="64"/>
  <c r="BJ1109" i="64"/>
  <c r="AW1120" i="64"/>
  <c r="AJ1095" i="64"/>
  <c r="I1177" i="64"/>
  <c r="W1070" i="64"/>
  <c r="AI1148" i="64"/>
  <c r="BV1140" i="64"/>
  <c r="CJ1067" i="64"/>
  <c r="AI1140" i="64"/>
  <c r="V1127" i="64"/>
  <c r="AJ1117" i="64"/>
  <c r="BW1058" i="64"/>
  <c r="BI1131" i="64"/>
  <c r="AI1131" i="64"/>
  <c r="BV1148" i="64"/>
  <c r="AJ1101" i="64"/>
  <c r="BJ1094" i="64"/>
  <c r="CJ1115" i="64"/>
  <c r="AW1115" i="64"/>
  <c r="AI1152" i="64"/>
  <c r="BV1191" i="64"/>
  <c r="AW1119" i="64"/>
  <c r="I1184" i="64"/>
  <c r="I1137" i="64"/>
  <c r="I1192" i="64"/>
  <c r="I1191" i="64"/>
  <c r="BW1084" i="64"/>
  <c r="BJ1084" i="64"/>
  <c r="AV1157" i="64"/>
  <c r="BW1078" i="64"/>
  <c r="AJ1099" i="64"/>
  <c r="AI1172" i="64"/>
  <c r="CJ1069" i="64"/>
  <c r="BV1142" i="64"/>
  <c r="BJ1069" i="64"/>
  <c r="AW1069" i="64"/>
  <c r="BI1142" i="64"/>
  <c r="CJ1104" i="64"/>
  <c r="AV1178" i="64"/>
  <c r="W1059" i="64"/>
  <c r="V1132" i="64"/>
  <c r="BI1132" i="64"/>
  <c r="AV1132" i="64"/>
  <c r="AI1150" i="64"/>
  <c r="AV1149" i="64"/>
  <c r="V1162" i="64"/>
  <c r="W1074" i="64"/>
  <c r="W1091" i="64"/>
  <c r="BW1100" i="64"/>
  <c r="AI1173" i="64"/>
  <c r="I1156" i="64"/>
  <c r="AI1156" i="64"/>
  <c r="BV1156" i="64"/>
  <c r="W1071" i="64"/>
  <c r="AJ1071" i="64"/>
  <c r="AW1071" i="64"/>
  <c r="BV1129" i="64"/>
  <c r="BW1056" i="64"/>
  <c r="V1174" i="64"/>
  <c r="V1166" i="64"/>
  <c r="BJ1093" i="64"/>
  <c r="I1166" i="64"/>
  <c r="CJ1097" i="64"/>
  <c r="V1170" i="64"/>
  <c r="W1085" i="64"/>
  <c r="BJ1085" i="64"/>
  <c r="AW1085" i="64"/>
  <c r="AI1158" i="64"/>
  <c r="V1136" i="64"/>
  <c r="AJ1063" i="64"/>
  <c r="AV1136" i="64"/>
  <c r="BI1136" i="64"/>
  <c r="CJ1079" i="64"/>
  <c r="BJ1111" i="64"/>
  <c r="AV1184" i="64"/>
  <c r="V1194" i="64"/>
  <c r="BV1130" i="64"/>
  <c r="I1189" i="64"/>
  <c r="AW1111" i="64"/>
  <c r="AW1112" i="64"/>
  <c r="BW1112" i="64"/>
  <c r="BI1151" i="64"/>
  <c r="BW1102" i="64"/>
  <c r="AV1154" i="64"/>
  <c r="BV1154" i="64"/>
  <c r="AJ1081" i="64"/>
  <c r="BI1154" i="64"/>
  <c r="AJ1105" i="64"/>
  <c r="BW1108" i="64"/>
  <c r="I1150" i="64"/>
  <c r="AV1139" i="64"/>
  <c r="BW1074" i="64"/>
  <c r="BV1164" i="64"/>
  <c r="BW1086" i="64"/>
  <c r="AV1159" i="64"/>
  <c r="BV1159" i="64"/>
  <c r="CJ1054" i="64"/>
  <c r="W1117" i="64"/>
  <c r="BI1143" i="64"/>
  <c r="V1140" i="64"/>
  <c r="AJ1067" i="64"/>
  <c r="BW1067" i="64"/>
  <c r="AI1127" i="64"/>
  <c r="AJ1058" i="64"/>
  <c r="CJ1058" i="64"/>
  <c r="AV1162" i="64"/>
  <c r="AI1174" i="64"/>
  <c r="CJ1116" i="64"/>
  <c r="BJ1110" i="64"/>
  <c r="I1157" i="64"/>
  <c r="AJ1084" i="64"/>
  <c r="AJ1069" i="64"/>
  <c r="V1142" i="64"/>
  <c r="V1178" i="64"/>
  <c r="AJ1100" i="64"/>
  <c r="BJ1071" i="64"/>
  <c r="AI1168" i="64"/>
  <c r="I1136" i="64"/>
  <c r="BJ1116" i="64"/>
  <c r="V1152" i="64"/>
  <c r="I1175" i="64"/>
  <c r="I1139" i="64"/>
  <c r="BJ1086" i="64"/>
  <c r="V1159" i="64"/>
  <c r="BW1075" i="64"/>
  <c r="V1160" i="64"/>
  <c r="AV1160" i="64"/>
  <c r="BI1160" i="64"/>
  <c r="AJ1109" i="64"/>
  <c r="W1089" i="64"/>
  <c r="AV1134" i="64"/>
  <c r="BI1134" i="64"/>
  <c r="AI1134" i="64"/>
  <c r="BI1181" i="64"/>
  <c r="V1135" i="64"/>
  <c r="CJ1062" i="64"/>
  <c r="W1062" i="64"/>
  <c r="CJ1106" i="64"/>
  <c r="W1106" i="64"/>
  <c r="BJ1106" i="64"/>
  <c r="AJ1106" i="64"/>
  <c r="AI1182" i="64"/>
  <c r="V1169" i="64"/>
  <c r="AV1169" i="64"/>
  <c r="I1169" i="64"/>
  <c r="BV1133" i="64"/>
  <c r="W1060" i="64"/>
  <c r="CJ1060" i="64"/>
  <c r="AJ1060" i="64"/>
  <c r="BI1168" i="64"/>
  <c r="BV1184" i="64"/>
  <c r="BI1152" i="64"/>
  <c r="BI1188" i="64"/>
  <c r="BJ1112" i="64"/>
  <c r="V1137" i="64"/>
  <c r="I1194" i="64"/>
  <c r="I1130" i="64"/>
  <c r="AJ1116" i="64"/>
  <c r="AW1116" i="64"/>
  <c r="AV1128" i="64"/>
  <c r="I1128" i="64"/>
  <c r="AI1128" i="64"/>
  <c r="BV1151" i="64"/>
  <c r="BJ1107" i="64"/>
  <c r="AV1180" i="64"/>
  <c r="BW1107" i="64"/>
  <c r="W1107" i="64"/>
  <c r="BI1180" i="64"/>
  <c r="I1165" i="64"/>
  <c r="W1092" i="64"/>
  <c r="I1163" i="64"/>
  <c r="BW1090" i="64"/>
  <c r="AW1090" i="64"/>
  <c r="W1090" i="64"/>
  <c r="BJ1104" i="64"/>
  <c r="BV1178" i="64"/>
  <c r="AJ1073" i="64"/>
  <c r="W1073" i="64"/>
  <c r="AW1073" i="64"/>
  <c r="BW1073" i="64"/>
  <c r="BJ1108" i="64"/>
  <c r="BJ1074" i="64"/>
  <c r="AJ1074" i="64"/>
  <c r="AW1058" i="64"/>
  <c r="AJ1056" i="64"/>
  <c r="W1101" i="64"/>
  <c r="AI1167" i="64"/>
  <c r="AI1191" i="64"/>
  <c r="BW1116" i="64"/>
  <c r="CJ1084" i="64"/>
  <c r="AW1078" i="64"/>
  <c r="BV1172" i="64"/>
  <c r="BW1104" i="64"/>
  <c r="AW1105" i="64"/>
  <c r="BJ1059" i="64"/>
  <c r="CJ1059" i="64"/>
  <c r="BW1059" i="64"/>
  <c r="W1108" i="64"/>
  <c r="AV1150" i="64"/>
  <c r="AV1173" i="64"/>
  <c r="BI1144" i="64"/>
  <c r="I1170" i="64"/>
  <c r="BW1085" i="64"/>
  <c r="BI1167" i="64"/>
  <c r="I1167" i="64"/>
  <c r="W1112" i="64"/>
  <c r="V1185" i="64"/>
  <c r="AI1154" i="64"/>
  <c r="BI1177" i="64"/>
  <c r="BJ1105" i="64"/>
  <c r="AW1108" i="64"/>
  <c r="BW1077" i="64"/>
  <c r="AI1139" i="64"/>
  <c r="BI1139" i="64"/>
  <c r="CJ1066" i="64"/>
  <c r="BV1139" i="64"/>
  <c r="V1139" i="64"/>
  <c r="BI1159" i="64"/>
  <c r="AJ1086" i="64"/>
  <c r="BJ1070" i="64"/>
  <c r="I1143" i="64"/>
  <c r="BJ1075" i="64"/>
  <c r="CJ1075" i="64"/>
  <c r="AW1087" i="64"/>
  <c r="BW1087" i="64"/>
  <c r="AJ1087" i="64"/>
  <c r="CJ1087" i="64"/>
  <c r="AI1162" i="64"/>
  <c r="BJ1056" i="64"/>
  <c r="W1095" i="64"/>
  <c r="AV1174" i="64"/>
  <c r="CJ1061" i="64"/>
  <c r="W1061" i="64"/>
  <c r="BI1190" i="64"/>
  <c r="BW1062" i="64"/>
  <c r="BV1135" i="64"/>
  <c r="BJ1062" i="64"/>
  <c r="I1179" i="64"/>
  <c r="BW1106" i="64"/>
  <c r="AI1169" i="64"/>
  <c r="BI1169" i="64"/>
  <c r="CJ1096" i="64"/>
  <c r="AJ1096" i="64"/>
  <c r="BJ1096" i="64"/>
  <c r="AI1193" i="64"/>
  <c r="V1133" i="64"/>
  <c r="I1133" i="64"/>
  <c r="AI1133" i="64"/>
  <c r="AW1094" i="64"/>
  <c r="AJ1110" i="64"/>
  <c r="AW1057" i="64"/>
  <c r="BJ1064" i="64"/>
  <c r="W1116" i="64"/>
  <c r="AV1152" i="64"/>
  <c r="CJ1057" i="64"/>
  <c r="BV1152" i="64"/>
  <c r="BV1185" i="64"/>
  <c r="BJ1055" i="64"/>
  <c r="CJ1055" i="64"/>
  <c r="V1128" i="64"/>
  <c r="AW1055" i="64"/>
  <c r="V1175" i="64"/>
  <c r="CJ1102" i="64"/>
  <c r="AJ1107" i="64"/>
  <c r="CJ1107" i="64"/>
  <c r="BV1165" i="64"/>
  <c r="AW1092" i="64"/>
  <c r="BW1092" i="64"/>
  <c r="AI1165" i="64"/>
  <c r="W1099" i="64"/>
  <c r="AV1163" i="64"/>
  <c r="BJ1090" i="64"/>
  <c r="BV1163" i="64"/>
  <c r="V1177" i="64"/>
  <c r="AI1178" i="64"/>
  <c r="BI1178" i="64"/>
  <c r="I1146" i="64"/>
  <c r="BJ1073" i="64"/>
  <c r="BI1146" i="64"/>
  <c r="CJ1077" i="64"/>
  <c r="BV1182" i="64"/>
  <c r="I1193" i="64"/>
  <c r="BW1089" i="64"/>
  <c r="AI1147" i="64"/>
  <c r="AJ1091" i="64"/>
  <c r="AJ1075" i="64"/>
  <c r="AW1089" i="64"/>
  <c r="BI1174" i="64"/>
  <c r="BI1153" i="64"/>
  <c r="AV1153" i="64"/>
  <c r="AV1182" i="64"/>
  <c r="W1088" i="64"/>
  <c r="AI1161" i="64"/>
  <c r="AJ1088" i="64"/>
  <c r="BV1161" i="64"/>
  <c r="BJ1088" i="64"/>
  <c r="V1167" i="64"/>
  <c r="AV1192" i="64"/>
  <c r="CJ1119" i="64"/>
  <c r="BV1137" i="64"/>
  <c r="BI1189" i="64"/>
  <c r="AW1114" i="64"/>
  <c r="I1152" i="64"/>
  <c r="CJ1118" i="64"/>
  <c r="BV1194" i="64"/>
  <c r="I1186" i="64"/>
  <c r="AI1186" i="64"/>
  <c r="W1113" i="64"/>
  <c r="AW1095" i="64"/>
  <c r="AI1176" i="64"/>
  <c r="AW1103" i="64"/>
  <c r="BW1103" i="64"/>
  <c r="I1171" i="64"/>
  <c r="BJ1058" i="64"/>
  <c r="AW1075" i="64"/>
  <c r="BJ1101" i="64"/>
  <c r="BV1174" i="64"/>
  <c r="AV1167" i="64"/>
  <c r="I1188" i="64"/>
  <c r="BJ1118" i="64"/>
  <c r="AW1059" i="64"/>
  <c r="BV1149" i="64"/>
  <c r="V1149" i="64"/>
  <c r="CJ1076" i="64"/>
  <c r="I1173" i="64"/>
  <c r="AW1093" i="64"/>
  <c r="BV1166" i="64"/>
  <c r="AW1063" i="64"/>
  <c r="AI1137" i="64"/>
  <c r="BJ1115" i="64"/>
  <c r="BI1172" i="64"/>
  <c r="BI1150" i="64"/>
  <c r="BW1066" i="64"/>
  <c r="AW1066" i="64"/>
  <c r="AJ1066" i="64"/>
  <c r="W1066" i="64"/>
  <c r="AV1147" i="64"/>
  <c r="AW1091" i="64"/>
  <c r="AI1159" i="64"/>
  <c r="I1160" i="64"/>
  <c r="W1087" i="64"/>
  <c r="BJ1087" i="64"/>
  <c r="AI1160" i="64"/>
  <c r="BJ1120" i="64"/>
  <c r="AJ1061" i="64"/>
  <c r="BJ1061" i="64"/>
  <c r="BV1134" i="64"/>
  <c r="V1134" i="64"/>
  <c r="BW1061" i="64"/>
  <c r="AW1062" i="64"/>
  <c r="AJ1062" i="64"/>
  <c r="I1135" i="64"/>
  <c r="AV1179" i="64"/>
  <c r="BV1179" i="64"/>
  <c r="W1096" i="64"/>
  <c r="BW1064" i="64"/>
  <c r="AI1184" i="64"/>
  <c r="BI1157" i="64"/>
  <c r="I1149" i="64"/>
  <c r="AI1149" i="64"/>
  <c r="AJ1076" i="64"/>
  <c r="AW1100" i="64"/>
  <c r="AW1083" i="64"/>
  <c r="BV1144" i="64"/>
  <c r="W1093" i="64"/>
  <c r="AI1166" i="64"/>
  <c r="AJ1097" i="64"/>
  <c r="BW1097" i="64"/>
  <c r="CJ1085" i="64"/>
  <c r="I1158" i="64"/>
  <c r="W1063" i="64"/>
  <c r="BV1136" i="64"/>
  <c r="AJ1112" i="64"/>
  <c r="AJ1057" i="64"/>
  <c r="BJ1081" i="64"/>
  <c r="V1154" i="64"/>
  <c r="AJ1077" i="64"/>
  <c r="BJ1066" i="64"/>
  <c r="I1164" i="64"/>
  <c r="I1159" i="64"/>
  <c r="AW1086" i="64"/>
  <c r="W1086" i="64"/>
  <c r="CJ1086" i="64"/>
  <c r="AV1156" i="64"/>
  <c r="AI1143" i="64"/>
  <c r="BV1160" i="64"/>
  <c r="BI1129" i="64"/>
  <c r="BW1101" i="64"/>
  <c r="AW1061" i="64"/>
  <c r="I1134" i="64"/>
  <c r="AI1190" i="64"/>
  <c r="BI1135" i="64"/>
  <c r="AV1135" i="64"/>
  <c r="AI1135" i="64"/>
  <c r="AW1106" i="64"/>
  <c r="AI1179" i="64"/>
  <c r="V1179" i="64"/>
  <c r="BI1179" i="64"/>
  <c r="CJ1109" i="64"/>
  <c r="BV1169" i="64"/>
  <c r="BW1096" i="64"/>
  <c r="BW1060" i="64"/>
  <c r="AV1133" i="64"/>
  <c r="V1188" i="64"/>
  <c r="CJ1111" i="64"/>
  <c r="BJ1119" i="64"/>
  <c r="BI1187" i="64"/>
  <c r="AJ1119" i="64"/>
  <c r="AI1194" i="64"/>
  <c r="CJ1114" i="64"/>
  <c r="BI1192" i="64"/>
  <c r="I1183" i="64"/>
  <c r="W1055" i="64"/>
  <c r="BI1128" i="64"/>
  <c r="BW1055" i="64"/>
  <c r="CJ1117" i="64"/>
  <c r="BJ1078" i="64"/>
  <c r="BV1180" i="64"/>
  <c r="AW1107" i="64"/>
  <c r="V1180" i="64"/>
  <c r="I1180" i="64"/>
  <c r="W1120" i="64"/>
  <c r="AV1165" i="64"/>
  <c r="AJ1092" i="64"/>
  <c r="I1172" i="64"/>
  <c r="BW1099" i="64"/>
  <c r="AI1163" i="64"/>
  <c r="BI1163" i="64"/>
  <c r="AJ1090" i="64"/>
  <c r="AW1104" i="64"/>
  <c r="CJ1073" i="64"/>
  <c r="V1146" i="64"/>
  <c r="AI1146" i="64"/>
  <c r="BJ1077" i="64"/>
  <c r="BI1182" i="64"/>
  <c r="V1129" i="64"/>
  <c r="BW1080" i="64"/>
  <c r="AW1080" i="64"/>
  <c r="V1153" i="64"/>
  <c r="BV1153" i="64"/>
  <c r="BJ1089" i="64"/>
  <c r="I1161" i="64"/>
  <c r="AV1161" i="64"/>
  <c r="AV1168" i="64"/>
  <c r="AJ1118" i="64"/>
  <c r="BW1111" i="64"/>
  <c r="BW1115" i="64"/>
  <c r="AV1130" i="64"/>
  <c r="BI1183" i="64"/>
  <c r="AW1064" i="64"/>
  <c r="V1183" i="64"/>
  <c r="AV1187" i="64"/>
  <c r="V1186" i="64"/>
  <c r="CJ1113" i="64"/>
  <c r="AJ1113" i="64"/>
  <c r="BI1176" i="64"/>
  <c r="BV1176" i="64"/>
  <c r="BW1098" i="64"/>
  <c r="V1171" i="64"/>
  <c r="BI1133" i="64"/>
  <c r="AV1194" i="64"/>
  <c r="BV1187" i="64"/>
  <c r="AI1175" i="64"/>
  <c r="AI1180" i="64"/>
  <c r="V1193" i="64"/>
  <c r="BI1165" i="64"/>
  <c r="AV1146" i="64"/>
  <c r="I1147" i="64"/>
  <c r="BW1083" i="64"/>
  <c r="AJ1070" i="64"/>
  <c r="AW1056" i="64"/>
  <c r="CJ1101" i="64"/>
  <c r="W1080" i="64"/>
  <c r="AJ1080" i="64"/>
  <c r="BV1193" i="64"/>
  <c r="BI1161" i="64"/>
  <c r="V1161" i="64"/>
  <c r="CJ1088" i="64"/>
  <c r="AJ1114" i="64"/>
  <c r="W1119" i="64"/>
  <c r="W1114" i="64"/>
  <c r="BW1118" i="64"/>
  <c r="AV1191" i="64"/>
  <c r="BW1113" i="64"/>
  <c r="BJ1103" i="64"/>
  <c r="AV1176" i="64"/>
  <c r="CJ1098" i="64"/>
  <c r="BI1171" i="64"/>
  <c r="BJ1098" i="64"/>
  <c r="W1109" i="64"/>
  <c r="I1141" i="64"/>
  <c r="BJ1068" i="64"/>
  <c r="V1172" i="64"/>
  <c r="BW1105" i="64"/>
  <c r="I1178" i="64"/>
  <c r="BI1145" i="64"/>
  <c r="W1072" i="64"/>
  <c r="BV1145" i="64"/>
  <c r="AV1145" i="64"/>
  <c r="AJ1072" i="64"/>
  <c r="W1065" i="64"/>
  <c r="BI1138" i="64"/>
  <c r="I1138" i="64"/>
  <c r="BI1155" i="64"/>
  <c r="AJ1082" i="64"/>
  <c r="BJ1082" i="64"/>
  <c r="V1155" i="64"/>
  <c r="W1083" i="64"/>
  <c r="CJ1080" i="64"/>
  <c r="AW1088" i="64"/>
  <c r="BJ1113" i="64"/>
  <c r="V1151" i="64"/>
  <c r="W1068" i="64"/>
  <c r="CJ1068" i="64"/>
  <c r="CJ1095" i="64"/>
  <c r="V1145" i="64"/>
  <c r="V1182" i="64"/>
  <c r="AJ1065" i="64"/>
  <c r="BW1082" i="64"/>
  <c r="AV1155" i="64"/>
  <c r="W1082" i="64"/>
  <c r="W1115" i="64"/>
  <c r="BW1114" i="64"/>
  <c r="CJ1092" i="64"/>
  <c r="V1163" i="64"/>
  <c r="BV1146" i="64"/>
  <c r="AW1074" i="64"/>
  <c r="V1148" i="64"/>
  <c r="AI1181" i="64"/>
  <c r="AI1153" i="64"/>
  <c r="BJ1080" i="64"/>
  <c r="I1153" i="64"/>
  <c r="BW1088" i="64"/>
  <c r="AI1189" i="64"/>
  <c r="BV1192" i="64"/>
  <c r="BW1079" i="64"/>
  <c r="AW1079" i="64"/>
  <c r="AW1113" i="64"/>
  <c r="BI1186" i="64"/>
  <c r="V1176" i="64"/>
  <c r="W1103" i="64"/>
  <c r="CJ1103" i="64"/>
  <c r="AJ1098" i="64"/>
  <c r="AJ1102" i="64"/>
  <c r="AW1068" i="64"/>
  <c r="BV1141" i="64"/>
  <c r="AJ1068" i="64"/>
  <c r="BJ1099" i="64"/>
  <c r="AW1099" i="64"/>
  <c r="BV1177" i="64"/>
  <c r="AW1072" i="64"/>
  <c r="AI1145" i="64"/>
  <c r="BJ1072" i="64"/>
  <c r="CJ1072" i="64"/>
  <c r="W1077" i="64"/>
  <c r="BI1193" i="64"/>
  <c r="AV1138" i="64"/>
  <c r="BJ1065" i="64"/>
  <c r="AW1065" i="64"/>
  <c r="AI1138" i="64"/>
  <c r="I1155" i="64"/>
  <c r="AW1082" i="64"/>
  <c r="CJ1082" i="64"/>
  <c r="CJ1083" i="64"/>
  <c r="AJ1078" i="64"/>
  <c r="V1187" i="64"/>
  <c r="CJ1112" i="64"/>
  <c r="AV1183" i="64"/>
  <c r="AW1117" i="64"/>
  <c r="V1147" i="64"/>
  <c r="V1138" i="64"/>
  <c r="I1162" i="64"/>
  <c r="AW1060" i="64"/>
  <c r="BJ1060" i="64"/>
  <c r="CJ1094" i="64"/>
  <c r="BJ1114" i="64"/>
  <c r="AI1187" i="64"/>
  <c r="BV1128" i="64"/>
  <c r="V1165" i="64"/>
  <c r="W1104" i="64"/>
  <c r="AV1164" i="64"/>
  <c r="BV1143" i="64"/>
  <c r="BV1167" i="64"/>
  <c r="I1185" i="64"/>
  <c r="AI1130" i="64"/>
  <c r="BV1188" i="64"/>
  <c r="AV1188" i="64"/>
  <c r="BV1186" i="64"/>
  <c r="AV1186" i="64"/>
  <c r="I1176" i="64"/>
  <c r="AJ1103" i="64"/>
  <c r="AI1171" i="64"/>
  <c r="BV1171" i="64"/>
  <c r="BJ1102" i="64"/>
  <c r="AI1141" i="64"/>
  <c r="V1141" i="64"/>
  <c r="AV1141" i="64"/>
  <c r="V1168" i="64"/>
  <c r="CJ1099" i="64"/>
  <c r="CJ1105" i="64"/>
  <c r="BW1072" i="64"/>
  <c r="V1150" i="64"/>
  <c r="BI1147" i="64"/>
  <c r="BJ1091" i="64"/>
  <c r="BW1091" i="64"/>
  <c r="CJ1065" i="64"/>
  <c r="BV1138" i="64"/>
  <c r="BW1065" i="64"/>
  <c r="AI1155" i="64"/>
  <c r="BV1155" i="64"/>
  <c r="BI1156" i="64"/>
  <c r="AJ1083" i="64"/>
  <c r="V1156" i="64"/>
  <c r="AW1096" i="64"/>
  <c r="AJ1079" i="64"/>
  <c r="AJ1111" i="64"/>
  <c r="BV1189" i="64"/>
  <c r="AJ1055" i="64"/>
  <c r="BJ1092" i="64"/>
  <c r="BI1162" i="64"/>
  <c r="CJ1090" i="64"/>
  <c r="AV1129" i="64"/>
  <c r="CJ1089" i="64"/>
  <c r="BJ1057" i="64"/>
  <c r="BJ1095" i="64"/>
  <c r="AV1171" i="64"/>
  <c r="AW1098" i="64"/>
  <c r="W1098" i="64"/>
  <c r="W1078" i="64"/>
  <c r="AJ1120" i="64"/>
  <c r="BI1141" i="64"/>
  <c r="BW1068" i="64"/>
  <c r="AV1172" i="64"/>
  <c r="AI1177" i="64"/>
  <c r="I1145" i="64"/>
  <c r="CJ1091" i="64"/>
  <c r="DK1089" i="64"/>
  <c r="DK1120" i="64"/>
  <c r="CW1165" i="64"/>
  <c r="CW1141" i="64"/>
  <c r="O897" i="64"/>
  <c r="Q409" i="64"/>
  <c r="M387" i="77"/>
  <c r="BA825" i="64"/>
  <c r="AN825" i="64"/>
  <c r="BA815" i="64"/>
  <c r="AN815" i="64"/>
  <c r="BA820" i="64"/>
  <c r="AN820" i="64"/>
  <c r="AN826" i="64"/>
  <c r="BA826" i="64"/>
  <c r="BA789" i="64"/>
  <c r="AN789" i="64"/>
  <c r="AN790" i="64"/>
  <c r="BA723" i="64"/>
  <c r="AN723" i="64"/>
  <c r="N713" i="64"/>
  <c r="E35" i="71" s="1"/>
  <c r="O195" i="64"/>
  <c r="O203" i="64"/>
  <c r="O262" i="64"/>
  <c r="BA785" i="64"/>
  <c r="AN785" i="64"/>
  <c r="N675" i="64"/>
  <c r="E31" i="71"/>
  <c r="BA721" i="64"/>
  <c r="AN721" i="64"/>
  <c r="BA683" i="64"/>
  <c r="AN683" i="64"/>
  <c r="BA677" i="64"/>
  <c r="AN677" i="64"/>
  <c r="N720" i="64"/>
  <c r="O259" i="64"/>
  <c r="O200" i="64"/>
  <c r="BA716" i="64"/>
  <c r="BA673" i="64"/>
  <c r="AN673" i="64"/>
  <c r="BA724" i="64"/>
  <c r="AN724" i="64"/>
  <c r="O893" i="64"/>
  <c r="Q405" i="64"/>
  <c r="O550" i="64"/>
  <c r="CH1183" i="64"/>
  <c r="CV1077" i="64"/>
  <c r="CV1078" i="64"/>
  <c r="CH1187" i="64"/>
  <c r="CX1187" i="64" s="1"/>
  <c r="CH1150" i="64"/>
  <c r="CV1112" i="64"/>
  <c r="DL1112" i="64" s="1"/>
  <c r="CH1190" i="64"/>
  <c r="CX1190" i="64" s="1"/>
  <c r="CH1179" i="64"/>
  <c r="CV1065" i="64"/>
  <c r="DL1065" i="64" s="1"/>
  <c r="O899" i="64"/>
  <c r="Q411" i="64"/>
  <c r="O898" i="64"/>
  <c r="Q410" i="64"/>
  <c r="CH1171" i="64"/>
  <c r="CX1171" i="64" s="1"/>
  <c r="O906" i="64"/>
  <c r="Q418" i="64"/>
  <c r="DK1111" i="64"/>
  <c r="CW1170" i="64"/>
  <c r="CW1164" i="64"/>
  <c r="AK1575" i="79"/>
  <c r="AK1962" i="79" s="1"/>
  <c r="AK1549" i="79"/>
  <c r="AK1890" i="79" s="1"/>
  <c r="AK1601" i="79"/>
  <c r="AK2033" i="79" s="1"/>
  <c r="AK1523" i="79"/>
  <c r="AK1818" i="79" s="1"/>
  <c r="AK1562" i="79"/>
  <c r="AK1926" i="79" s="1"/>
  <c r="AK1588" i="79"/>
  <c r="AK1536" i="79"/>
  <c r="AK1854" i="79" s="1"/>
  <c r="AK1497" i="79"/>
  <c r="AK1746" i="79" s="1"/>
  <c r="AK1510" i="79"/>
  <c r="AK1782" i="79" s="1"/>
  <c r="AK1484" i="79"/>
  <c r="AK1710" i="79" s="1"/>
  <c r="DK1057" i="64"/>
  <c r="DK1072" i="64"/>
  <c r="N570" i="64"/>
  <c r="I39" i="71"/>
  <c r="CV1089" i="64"/>
  <c r="DL1089" i="64" s="1"/>
  <c r="O910" i="64"/>
  <c r="Q422" i="64"/>
  <c r="N1510" i="79"/>
  <c r="N1782" i="79" s="1"/>
  <c r="N1497" i="79"/>
  <c r="N1746" i="79" s="1"/>
  <c r="N1588" i="79"/>
  <c r="N1997" i="79" s="1"/>
  <c r="N1575" i="79"/>
  <c r="N1962" i="79" s="1"/>
  <c r="N1601" i="79"/>
  <c r="N2033" i="79" s="1"/>
  <c r="N1484" i="79"/>
  <c r="N1710" i="79" s="1"/>
  <c r="N1549" i="79"/>
  <c r="N1890" i="79" s="1"/>
  <c r="N1562" i="79"/>
  <c r="N1926" i="79" s="1"/>
  <c r="N1523" i="79"/>
  <c r="N1818" i="79" s="1"/>
  <c r="N1536" i="79"/>
  <c r="N1854" i="79" s="1"/>
  <c r="N1471" i="79"/>
  <c r="N1674" i="79" s="1"/>
  <c r="CW1130" i="64"/>
  <c r="DK1115" i="64"/>
  <c r="CW1163" i="64"/>
  <c r="CW1161" i="64"/>
  <c r="DL1114" i="64"/>
  <c r="CV1083" i="64"/>
  <c r="DL1083" i="64" s="1"/>
  <c r="CH1130" i="64"/>
  <c r="CH1182" i="64"/>
  <c r="CX1182" i="64" s="1"/>
  <c r="CV1085" i="64"/>
  <c r="DL1085" i="64" s="1"/>
  <c r="CH1166" i="64"/>
  <c r="CX1166" i="64" s="1"/>
  <c r="CV1058" i="64"/>
  <c r="DL1058" i="64" s="1"/>
  <c r="CH1136" i="64"/>
  <c r="CX1136" i="64" s="1"/>
  <c r="CH1160" i="64"/>
  <c r="CX1160" i="64" s="1"/>
  <c r="CV1055" i="64"/>
  <c r="CV1082" i="64"/>
  <c r="DL1082" i="64" s="1"/>
  <c r="O903" i="64"/>
  <c r="Q415" i="64"/>
  <c r="CW1127" i="64"/>
  <c r="CW1169" i="64"/>
  <c r="K998" i="64"/>
  <c r="K1069" i="64" s="1"/>
  <c r="K1019" i="64"/>
  <c r="K1090" i="64" s="1"/>
  <c r="K1039" i="64"/>
  <c r="K1110" i="64" s="1"/>
  <c r="O388" i="64"/>
  <c r="P346" i="64"/>
  <c r="P290" i="64"/>
  <c r="AB683" i="64"/>
  <c r="O709" i="64"/>
  <c r="P196" i="64" s="1"/>
  <c r="AB817" i="64"/>
  <c r="AB868" i="64"/>
  <c r="O683" i="64"/>
  <c r="O685" i="64"/>
  <c r="P174" i="64" s="1"/>
  <c r="O687" i="64"/>
  <c r="P176" i="64" s="1"/>
  <c r="O689" i="64"/>
  <c r="P178" i="64" s="1"/>
  <c r="O691" i="64"/>
  <c r="P180" i="64" s="1"/>
  <c r="O693" i="64"/>
  <c r="P182" i="64" s="1"/>
  <c r="O695" i="64"/>
  <c r="P184" i="64" s="1"/>
  <c r="AB723" i="64"/>
  <c r="AB724" i="64"/>
  <c r="AB672" i="64"/>
  <c r="AB681" i="64"/>
  <c r="O722" i="64"/>
  <c r="AB678" i="64"/>
  <c r="O698" i="64"/>
  <c r="O700" i="64"/>
  <c r="P188" i="64" s="1"/>
  <c r="O702" i="64"/>
  <c r="P190" i="64" s="1"/>
  <c r="O704" i="64"/>
  <c r="P192" i="64" s="1"/>
  <c r="AB746" i="64"/>
  <c r="AB754" i="64"/>
  <c r="AB684" i="64"/>
  <c r="O673" i="64"/>
  <c r="O676" i="64"/>
  <c r="O678" i="64"/>
  <c r="O714" i="64"/>
  <c r="O716" i="64"/>
  <c r="O701" i="64"/>
  <c r="P189" i="64" s="1"/>
  <c r="O708" i="64"/>
  <c r="O721" i="64"/>
  <c r="O674" i="64"/>
  <c r="O679" i="64"/>
  <c r="O686" i="64"/>
  <c r="P175" i="64" s="1"/>
  <c r="O690" i="64"/>
  <c r="P179" i="64" s="1"/>
  <c r="O694" i="64"/>
  <c r="P183" i="64" s="1"/>
  <c r="O715" i="64"/>
  <c r="O699" i="64"/>
  <c r="P187" i="64" s="1"/>
  <c r="O703" i="64"/>
  <c r="P191" i="64" s="1"/>
  <c r="O672" i="64"/>
  <c r="O677" i="64"/>
  <c r="O684" i="64"/>
  <c r="P173" i="64" s="1"/>
  <c r="O688" i="64"/>
  <c r="P177" i="64" s="1"/>
  <c r="O692" i="64"/>
  <c r="P181" i="64" s="1"/>
  <c r="O717" i="64"/>
  <c r="AB814" i="64"/>
  <c r="AB816" i="64"/>
  <c r="AB749" i="64"/>
  <c r="AB795" i="64"/>
  <c r="AB792" i="64"/>
  <c r="AB789" i="64"/>
  <c r="AB752" i="64"/>
  <c r="AB743" i="64"/>
  <c r="AB755" i="64"/>
  <c r="AB826" i="64"/>
  <c r="AB823" i="64"/>
  <c r="AB820" i="64"/>
  <c r="AB825" i="64"/>
  <c r="O511" i="64"/>
  <c r="AA1044" i="64"/>
  <c r="AA1043" i="64"/>
  <c r="AA1039" i="64"/>
  <c r="AA1038" i="64"/>
  <c r="AA1040" i="64"/>
  <c r="AA1042" i="64"/>
  <c r="AA1045" i="64"/>
  <c r="AA1041" i="64"/>
  <c r="AA999" i="64"/>
  <c r="AA983" i="64"/>
  <c r="AA1028" i="64"/>
  <c r="AA1006" i="64"/>
  <c r="AA1020" i="64"/>
  <c r="AA1003" i="64"/>
  <c r="AA1033" i="64"/>
  <c r="AA985" i="64"/>
  <c r="AA1004" i="64"/>
  <c r="AA1012" i="64"/>
  <c r="AA1032" i="64"/>
  <c r="AA1026" i="64"/>
  <c r="AA1001" i="64"/>
  <c r="AA1025" i="64"/>
  <c r="AA1005" i="64"/>
  <c r="AA997" i="64"/>
  <c r="AA995" i="64"/>
  <c r="AA996" i="64"/>
  <c r="AA989" i="64"/>
  <c r="AA994" i="64"/>
  <c r="AA984" i="64"/>
  <c r="AA988" i="64"/>
  <c r="AA1009" i="64"/>
  <c r="AA1027" i="64"/>
  <c r="AA987" i="64"/>
  <c r="AA1014" i="64"/>
  <c r="AA1010" i="64"/>
  <c r="AA1000" i="64"/>
  <c r="AA1019" i="64"/>
  <c r="AA1002" i="64"/>
  <c r="AA990" i="64"/>
  <c r="AA1011" i="64"/>
  <c r="AA998" i="64"/>
  <c r="AA1013" i="64"/>
  <c r="AA1015" i="64"/>
  <c r="CV1094" i="64"/>
  <c r="CV1057" i="64"/>
  <c r="CH1158" i="64"/>
  <c r="CV1107" i="64"/>
  <c r="DL1107" i="64" s="1"/>
  <c r="CV1093" i="64"/>
  <c r="DL1093" i="64" s="1"/>
  <c r="CH1176" i="64"/>
  <c r="CX1176" i="64" s="1"/>
  <c r="CV1062" i="64"/>
  <c r="DL1062" i="64" s="1"/>
  <c r="CV1098" i="64"/>
  <c r="DL1098" i="64" s="1"/>
  <c r="O892" i="64"/>
  <c r="Q404" i="64"/>
  <c r="Y635" i="77"/>
  <c r="N122" i="64"/>
  <c r="CW1156" i="64"/>
  <c r="DK1076" i="64"/>
  <c r="DK1074" i="64"/>
  <c r="DK1091" i="64"/>
  <c r="N531" i="64"/>
  <c r="N611" i="64"/>
  <c r="E39" i="71"/>
  <c r="BA823" i="64"/>
  <c r="AN823" i="64"/>
  <c r="BA821" i="64"/>
  <c r="AN821" i="64"/>
  <c r="BA786" i="64"/>
  <c r="AN786" i="64"/>
  <c r="AN748" i="64"/>
  <c r="BA748" i="64"/>
  <c r="AN755" i="64"/>
  <c r="BA755" i="64"/>
  <c r="AN787" i="64"/>
  <c r="BA787" i="64"/>
  <c r="AN792" i="64"/>
  <c r="BA792" i="64"/>
  <c r="BA744" i="64"/>
  <c r="AN744" i="64"/>
  <c r="O266" i="64"/>
  <c r="O207" i="64"/>
  <c r="O260" i="64"/>
  <c r="O201" i="64"/>
  <c r="BA717" i="64"/>
  <c r="AN717" i="64"/>
  <c r="BA868" i="64"/>
  <c r="AN868" i="64"/>
  <c r="BA817" i="64"/>
  <c r="AN817" i="64"/>
  <c r="BA674" i="64"/>
  <c r="AN674" i="64"/>
  <c r="BA745" i="64"/>
  <c r="AN745" i="64"/>
  <c r="N682" i="64"/>
  <c r="E32" i="71" s="1"/>
  <c r="BA714" i="64"/>
  <c r="AN714" i="64"/>
  <c r="AA737" i="64"/>
  <c r="O186" i="64"/>
  <c r="N707" i="64"/>
  <c r="E34" i="71" s="1"/>
  <c r="BA684" i="64"/>
  <c r="AN684" i="64"/>
  <c r="BA751" i="64"/>
  <c r="AN751" i="64"/>
  <c r="P793" i="64"/>
  <c r="P766" i="64"/>
  <c r="P744" i="64"/>
  <c r="P764" i="64"/>
  <c r="O907" i="64"/>
  <c r="P780" i="64"/>
  <c r="P763" i="64"/>
  <c r="P745" i="64"/>
  <c r="P562" i="64"/>
  <c r="P561" i="64"/>
  <c r="P560" i="64"/>
  <c r="P554" i="64"/>
  <c r="P553" i="64"/>
  <c r="P772" i="64"/>
  <c r="Q419" i="64"/>
  <c r="P552" i="64"/>
  <c r="P551" i="64"/>
  <c r="P545" i="64"/>
  <c r="P544" i="64"/>
  <c r="P543" i="64"/>
  <c r="P542" i="64"/>
  <c r="P541" i="64"/>
  <c r="P540" i="64"/>
  <c r="P539" i="64"/>
  <c r="P538" i="64"/>
  <c r="P537" i="64"/>
  <c r="P754" i="64"/>
  <c r="P771" i="64"/>
  <c r="P775" i="64"/>
  <c r="P792" i="64"/>
  <c r="P749" i="64"/>
  <c r="P765" i="64"/>
  <c r="P757" i="64"/>
  <c r="P773" i="64"/>
  <c r="P747" i="64"/>
  <c r="P756" i="64"/>
  <c r="P761" i="64"/>
  <c r="P787" i="64"/>
  <c r="P743" i="64"/>
  <c r="P759" i="64"/>
  <c r="P755" i="64"/>
  <c r="P760" i="64"/>
  <c r="P774" i="64"/>
  <c r="P750" i="64"/>
  <c r="P770" i="64"/>
  <c r="P785" i="64"/>
  <c r="P788" i="64"/>
  <c r="P748" i="64"/>
  <c r="P758" i="64"/>
  <c r="P762" i="64"/>
  <c r="P786" i="64"/>
  <c r="P769" i="64"/>
  <c r="P779" i="64"/>
  <c r="O569" i="64"/>
  <c r="CH1167" i="64"/>
  <c r="CX1167" i="64" s="1"/>
  <c r="CH1181" i="64"/>
  <c r="CX1181" i="64" s="1"/>
  <c r="CH1185" i="64"/>
  <c r="CX1185" i="64" s="1"/>
  <c r="CH1172" i="64"/>
  <c r="CV1097" i="64"/>
  <c r="DL1097" i="64" s="1"/>
  <c r="CH1139" i="64"/>
  <c r="CV1088" i="64"/>
  <c r="DL1088" i="64" s="1"/>
  <c r="CH1161" i="64"/>
  <c r="CX1161" i="64" s="1"/>
  <c r="CH1141" i="64"/>
  <c r="CX1141" i="64" s="1"/>
  <c r="M388" i="77"/>
  <c r="O909" i="64"/>
  <c r="Q421" i="64"/>
  <c r="CV1060" i="64"/>
  <c r="CW1129" i="64"/>
  <c r="CH1191" i="64"/>
  <c r="CX1191" i="64" s="1"/>
  <c r="CW1140" i="64"/>
  <c r="DK1118" i="64"/>
  <c r="CW1145" i="64"/>
  <c r="CV1102" i="64"/>
  <c r="DL1102" i="64" s="1"/>
  <c r="CH1178" i="64"/>
  <c r="CV1069" i="64"/>
  <c r="CH1180" i="64"/>
  <c r="CX1180" i="64" s="1"/>
  <c r="O904" i="64"/>
  <c r="Q416" i="64"/>
  <c r="O901" i="64"/>
  <c r="Q413" i="64"/>
  <c r="DK1059" i="64"/>
  <c r="CW1162" i="64"/>
  <c r="DK1107" i="64"/>
  <c r="O890" i="64"/>
  <c r="Q402" i="64"/>
  <c r="CH1177" i="64"/>
  <c r="CX1177" i="64" s="1"/>
  <c r="CV1120" i="64"/>
  <c r="DL1120" i="64" s="1"/>
  <c r="CH1175" i="64"/>
  <c r="CX1175" i="64" s="1"/>
  <c r="CH1131" i="64"/>
  <c r="CX1131" i="64" s="1"/>
  <c r="CV1059" i="64"/>
  <c r="DL1059" i="64" s="1"/>
  <c r="CV1092" i="64"/>
  <c r="DL1092" i="64" s="1"/>
  <c r="CW1189" i="64"/>
  <c r="DK1113" i="64"/>
  <c r="CW1180" i="64"/>
  <c r="DK1088" i="64"/>
  <c r="K1013" i="64"/>
  <c r="K1084" i="64" s="1"/>
  <c r="K1015" i="64"/>
  <c r="K1086" i="64" s="1"/>
  <c r="K988" i="64"/>
  <c r="K1059" i="64" s="1"/>
  <c r="K999" i="64"/>
  <c r="K1070" i="64" s="1"/>
  <c r="K1004" i="64"/>
  <c r="K1075" i="64" s="1"/>
  <c r="O889" i="64"/>
  <c r="P512" i="64"/>
  <c r="P503" i="64"/>
  <c r="P522" i="64"/>
  <c r="P514" i="64"/>
  <c r="P505" i="64"/>
  <c r="P501" i="64"/>
  <c r="P521" i="64"/>
  <c r="P513" i="64"/>
  <c r="P504" i="64"/>
  <c r="P500" i="64"/>
  <c r="Q384" i="64"/>
  <c r="Q380" i="64"/>
  <c r="Q361" i="64"/>
  <c r="Q348" i="64"/>
  <c r="G14" i="71" s="1"/>
  <c r="C14" i="71" s="1"/>
  <c r="P523" i="64"/>
  <c r="P499" i="64"/>
  <c r="P498" i="64"/>
  <c r="Q383" i="64"/>
  <c r="Q370" i="64"/>
  <c r="Q363" i="64"/>
  <c r="Q347" i="64"/>
  <c r="Q335" i="64"/>
  <c r="Q327" i="64"/>
  <c r="Q323" i="64"/>
  <c r="Q319" i="64"/>
  <c r="Q312" i="64"/>
  <c r="Q308" i="64"/>
  <c r="Q304" i="64"/>
  <c r="Q296" i="64"/>
  <c r="Q292" i="64"/>
  <c r="P515" i="64"/>
  <c r="P506" i="64"/>
  <c r="P502" i="64"/>
  <c r="Q401" i="64"/>
  <c r="Q381" i="64"/>
  <c r="Q387" i="64"/>
  <c r="Q371" i="64"/>
  <c r="Q362" i="64"/>
  <c r="Q354" i="64"/>
  <c r="G20" i="71" s="1"/>
  <c r="C20" i="71" s="1"/>
  <c r="Q340" i="64"/>
  <c r="Q333" i="64"/>
  <c r="Q321" i="64"/>
  <c r="Q317" i="64"/>
  <c r="Q314" i="64"/>
  <c r="Q310" i="64"/>
  <c r="Q306" i="64"/>
  <c r="Q302" i="64"/>
  <c r="Q298" i="64"/>
  <c r="Q382" i="64"/>
  <c r="Q372" i="64"/>
  <c r="Q353" i="64"/>
  <c r="G19" i="71" s="1"/>
  <c r="C19" i="71" s="1"/>
  <c r="Q352" i="64"/>
  <c r="G18" i="71" s="1"/>
  <c r="C18" i="71" s="1"/>
  <c r="Q336" i="64"/>
  <c r="Q328" i="64"/>
  <c r="Q320" i="64"/>
  <c r="Q313" i="64"/>
  <c r="Q309" i="64"/>
  <c r="Q305" i="64"/>
  <c r="Q297" i="64"/>
  <c r="Q293" i="64"/>
  <c r="Q341" i="64"/>
  <c r="Q311" i="64"/>
  <c r="Q307" i="64"/>
  <c r="Q351" i="64"/>
  <c r="G17" i="71" s="1"/>
  <c r="C17" i="71" s="1"/>
  <c r="Q303" i="64"/>
  <c r="Q360" i="64"/>
  <c r="Q350" i="64"/>
  <c r="G16" i="71" s="1"/>
  <c r="C16" i="71" s="1"/>
  <c r="Q322" i="64"/>
  <c r="Q318" i="64"/>
  <c r="Q295" i="64"/>
  <c r="Q349" i="64"/>
  <c r="G15" i="71" s="1"/>
  <c r="C15" i="71" s="1"/>
  <c r="Q334" i="64"/>
  <c r="Q291" i="64"/>
  <c r="P379" i="64"/>
  <c r="P294" i="64"/>
  <c r="O530" i="64"/>
  <c r="P332" i="64"/>
  <c r="CV1108" i="64"/>
  <c r="DL1108" i="64" s="1"/>
  <c r="CH1186" i="64"/>
  <c r="CX1186" i="64" s="1"/>
  <c r="CV1111" i="64"/>
  <c r="DL1111" i="64" s="1"/>
  <c r="CH1173" i="64"/>
  <c r="CH1154" i="64"/>
  <c r="CH1132" i="64"/>
  <c r="CV1090" i="64"/>
  <c r="CV1103" i="64"/>
  <c r="DL1103" i="64" s="1"/>
  <c r="V600" i="77"/>
  <c r="O908" i="64"/>
  <c r="Q420" i="64"/>
  <c r="O905" i="64"/>
  <c r="Q417" i="64"/>
  <c r="E38" i="71"/>
  <c r="AZ808" i="64"/>
  <c r="DK1063" i="64"/>
  <c r="DK1062" i="64"/>
  <c r="AK1471" i="79"/>
  <c r="DK1109" i="64"/>
  <c r="BA858" i="64"/>
  <c r="BA819" i="64"/>
  <c r="AN819" i="64"/>
  <c r="BA818" i="64"/>
  <c r="AN818" i="64"/>
  <c r="BA822" i="64"/>
  <c r="AN822" i="64"/>
  <c r="AN749" i="64"/>
  <c r="BA749" i="64"/>
  <c r="AN816" i="64"/>
  <c r="BA816" i="64"/>
  <c r="AN752" i="64"/>
  <c r="BA752" i="64"/>
  <c r="BA795" i="64"/>
  <c r="AN795" i="64"/>
  <c r="AN861" i="64"/>
  <c r="BA719" i="64"/>
  <c r="AN719" i="64"/>
  <c r="BA750" i="64"/>
  <c r="AN750" i="64"/>
  <c r="BA715" i="64"/>
  <c r="AN715" i="64"/>
  <c r="BA672" i="64"/>
  <c r="AN672" i="64"/>
  <c r="BA718" i="64"/>
  <c r="AN718" i="64"/>
  <c r="BA678" i="64"/>
  <c r="AN678" i="64"/>
  <c r="BA681" i="64"/>
  <c r="AN681" i="64"/>
  <c r="O265" i="64"/>
  <c r="O206" i="64"/>
  <c r="N726" i="64"/>
  <c r="E37" i="71" s="1"/>
  <c r="N697" i="64"/>
  <c r="E33" i="71" s="1"/>
  <c r="O172" i="64"/>
  <c r="O746" i="64"/>
  <c r="O753" i="64"/>
  <c r="O768" i="64"/>
  <c r="AP1043" i="64"/>
  <c r="AP1041" i="64"/>
  <c r="AP1045" i="64"/>
  <c r="AP1044" i="64"/>
  <c r="AP1040" i="64"/>
  <c r="AP1039" i="64"/>
  <c r="AP1042" i="64"/>
  <c r="AP1018" i="64"/>
  <c r="L1018" i="64" s="1"/>
  <c r="L1089" i="64" s="1"/>
  <c r="AP1038" i="64"/>
  <c r="AP1024" i="64"/>
  <c r="L1024" i="64" s="1"/>
  <c r="L1095" i="64" s="1"/>
  <c r="AP1037" i="64"/>
  <c r="L1037" i="64" s="1"/>
  <c r="L1108" i="64" s="1"/>
  <c r="AP983" i="64"/>
  <c r="AP999" i="64"/>
  <c r="AP1006" i="64"/>
  <c r="AP1031" i="64"/>
  <c r="L1031" i="64" s="1"/>
  <c r="L1102" i="64" s="1"/>
  <c r="AP985" i="64"/>
  <c r="AP1003" i="64"/>
  <c r="AP1028" i="64"/>
  <c r="AP1004" i="64"/>
  <c r="AP1020" i="64"/>
  <c r="AP1012" i="64"/>
  <c r="AP1033" i="64"/>
  <c r="AP1015" i="64"/>
  <c r="AP995" i="64"/>
  <c r="AP988" i="64"/>
  <c r="AP1013" i="64"/>
  <c r="AP989" i="64"/>
  <c r="AP1009" i="64"/>
  <c r="AP990" i="64"/>
  <c r="AP994" i="64"/>
  <c r="AP1027" i="64"/>
  <c r="AP984" i="64"/>
  <c r="AP1025" i="64"/>
  <c r="AP987" i="64"/>
  <c r="AP996" i="64"/>
  <c r="AP1000" i="64"/>
  <c r="AP1001" i="64"/>
  <c r="AP1010" i="64"/>
  <c r="AP1032" i="64"/>
  <c r="AP1014" i="64"/>
  <c r="AP1026" i="64"/>
  <c r="AP1005" i="64"/>
  <c r="AP1002" i="64"/>
  <c r="AP1019" i="64"/>
  <c r="AP998" i="64"/>
  <c r="AP997" i="64"/>
  <c r="AP1011" i="64"/>
  <c r="CH1137" i="64"/>
  <c r="CX1137" i="64" s="1"/>
  <c r="CV1110" i="64"/>
  <c r="DL1110" i="64" s="1"/>
  <c r="CH1148" i="64"/>
  <c r="CX1148" i="64" s="1"/>
  <c r="CV1075" i="64"/>
  <c r="CV1087" i="64"/>
  <c r="CV1081" i="64"/>
  <c r="DL1081" i="64" s="1"/>
  <c r="CV1086" i="64"/>
  <c r="DL1086" i="64" s="1"/>
  <c r="O895" i="64"/>
  <c r="Q407" i="64"/>
  <c r="CW1187" i="64"/>
  <c r="CV1116" i="64"/>
  <c r="DL1116" i="64" s="1"/>
  <c r="CH1152" i="64"/>
  <c r="CX1152" i="64" s="1"/>
  <c r="CV1105" i="64"/>
  <c r="DL1105" i="64" s="1"/>
  <c r="CV1067" i="64"/>
  <c r="CH1142" i="64"/>
  <c r="CX1142" i="64" s="1"/>
  <c r="CH1153" i="64"/>
  <c r="CV1080" i="64"/>
  <c r="DL1080" i="64" s="1"/>
  <c r="AJ452" i="79"/>
  <c r="AJ288" i="79"/>
  <c r="AJ1538" i="79" s="1"/>
  <c r="AJ370" i="79"/>
  <c r="AJ1564" i="79" s="1"/>
  <c r="AJ329" i="79"/>
  <c r="AJ1551" i="79" s="1"/>
  <c r="AJ206" i="79"/>
  <c r="AJ1512" i="79" s="1"/>
  <c r="AJ411" i="79"/>
  <c r="AJ1577" i="79" s="1"/>
  <c r="AJ493" i="79"/>
  <c r="AJ1603" i="79" s="1"/>
  <c r="AJ124" i="79"/>
  <c r="AJ1486" i="79" s="1"/>
  <c r="AJ247" i="79"/>
  <c r="AJ1525" i="79" s="1"/>
  <c r="AJ165" i="79"/>
  <c r="AJ1499" i="79" s="1"/>
  <c r="O913" i="64"/>
  <c r="Q425" i="64"/>
  <c r="N121" i="64"/>
  <c r="Y612" i="77"/>
  <c r="DK1102" i="64"/>
  <c r="CW1194" i="64"/>
  <c r="CW1171" i="64"/>
  <c r="DK1083" i="64"/>
  <c r="K1011" i="64"/>
  <c r="K1082" i="64" s="1"/>
  <c r="K995" i="64"/>
  <c r="K1066" i="64" s="1"/>
  <c r="K1006" i="64"/>
  <c r="K1077" i="64" s="1"/>
  <c r="K1045" i="64"/>
  <c r="K1116" i="64" s="1"/>
  <c r="CV1099" i="64"/>
  <c r="CV1115" i="64"/>
  <c r="DL1115" i="64" s="1"/>
  <c r="CV1091" i="64"/>
  <c r="DL1091" i="64" s="1"/>
  <c r="CH1144" i="64"/>
  <c r="CX1144" i="64" s="1"/>
  <c r="CV1066" i="64"/>
  <c r="CV1096" i="64"/>
  <c r="CH1159" i="64"/>
  <c r="CX1159" i="64" s="1"/>
  <c r="CH1135" i="64"/>
  <c r="CX1135" i="64" s="1"/>
  <c r="O896" i="64"/>
  <c r="Q408" i="64"/>
  <c r="AM808" i="64"/>
  <c r="O894" i="64"/>
  <c r="Q406" i="64"/>
  <c r="CW1182" i="64"/>
  <c r="DK1054" i="64"/>
  <c r="DK1064" i="64"/>
  <c r="AK1458" i="79"/>
  <c r="AK1638" i="79" s="1"/>
  <c r="DK1096" i="64"/>
  <c r="BA743" i="64"/>
  <c r="AN743" i="64"/>
  <c r="BA814" i="64"/>
  <c r="AN814" i="64"/>
  <c r="BA796" i="64"/>
  <c r="AN796" i="64"/>
  <c r="AN788" i="64"/>
  <c r="BA793" i="64"/>
  <c r="AN793" i="64"/>
  <c r="BA747" i="64"/>
  <c r="AN747" i="64"/>
  <c r="BA794" i="64"/>
  <c r="AN794" i="64"/>
  <c r="BA754" i="64"/>
  <c r="AN754" i="64"/>
  <c r="BA679" i="64"/>
  <c r="AN679" i="64"/>
  <c r="O261" i="64"/>
  <c r="O202" i="64"/>
  <c r="BA680" i="64"/>
  <c r="AN680" i="64"/>
  <c r="BA746" i="64"/>
  <c r="AN746" i="64"/>
  <c r="BA676" i="64"/>
  <c r="AN676" i="64"/>
  <c r="BA722" i="64"/>
  <c r="AN722" i="64"/>
  <c r="O778" i="64"/>
  <c r="M647" i="64"/>
  <c r="CH1174" i="64"/>
  <c r="CH1194" i="64"/>
  <c r="CX1194" i="64" s="1"/>
  <c r="CH1189" i="64"/>
  <c r="CX1189" i="64" s="1"/>
  <c r="CH1147" i="64"/>
  <c r="CX1147" i="64" s="1"/>
  <c r="CV1079" i="64"/>
  <c r="DL1079" i="64" s="1"/>
  <c r="CV1070" i="64"/>
  <c r="CH1170" i="64"/>
  <c r="CX1170" i="64" s="1"/>
  <c r="CH1128" i="64"/>
  <c r="CX1128" i="64" s="1"/>
  <c r="CV1073" i="64"/>
  <c r="CH1165" i="64"/>
  <c r="CX1165" i="64" s="1"/>
  <c r="CH1155" i="64"/>
  <c r="CX1155" i="64" s="1"/>
  <c r="O911" i="64"/>
  <c r="Q423" i="64"/>
  <c r="K606" i="73"/>
  <c r="I29" i="85"/>
  <c r="J10" i="85"/>
  <c r="N41" i="73"/>
  <c r="O12" i="73" s="1"/>
  <c r="D75" i="83"/>
  <c r="K616" i="73"/>
  <c r="K615" i="73"/>
  <c r="K50" i="73"/>
  <c r="I14" i="74"/>
  <c r="I12" i="74" s="1"/>
  <c r="M139" i="77"/>
  <c r="L46" i="73"/>
  <c r="K10" i="74" s="1"/>
  <c r="K11" i="74" s="1"/>
  <c r="J319" i="77"/>
  <c r="H678" i="74"/>
  <c r="F10" i="10"/>
  <c r="F17" i="10" s="1"/>
  <c r="G181" i="8"/>
  <c r="G187" i="8" s="1"/>
  <c r="G75" i="83"/>
  <c r="J25" i="85"/>
  <c r="E40" i="10"/>
  <c r="E44" i="80"/>
  <c r="M42" i="73"/>
  <c r="D19" i="80"/>
  <c r="N310" i="73"/>
  <c r="N325" i="73" s="1"/>
  <c r="N326" i="73" s="1"/>
  <c r="L606" i="73"/>
  <c r="L607" i="73"/>
  <c r="M401" i="77" s="1"/>
  <c r="P89" i="85"/>
  <c r="P107" i="85" s="1"/>
  <c r="P108" i="85" s="1"/>
  <c r="M603" i="73"/>
  <c r="M591" i="73"/>
  <c r="M597" i="73" s="1"/>
  <c r="N118" i="85"/>
  <c r="N134" i="85" s="1"/>
  <c r="N135" i="85" s="1"/>
  <c r="M135" i="85"/>
  <c r="M656" i="77"/>
  <c r="M42" i="79" l="1"/>
  <c r="M1460" i="79" s="1"/>
  <c r="I1640" i="79"/>
  <c r="I1461" i="79"/>
  <c r="AB818" i="64"/>
  <c r="N42" i="79"/>
  <c r="N1460" i="79" s="1"/>
  <c r="K42" i="79"/>
  <c r="K1460" i="79" s="1"/>
  <c r="AK83" i="79"/>
  <c r="AB747" i="64"/>
  <c r="AM1472" i="79"/>
  <c r="AM1675" i="79" s="1"/>
  <c r="AF42" i="79"/>
  <c r="AF1460" i="79" s="1"/>
  <c r="AF1640" i="79" s="1"/>
  <c r="P1498" i="79"/>
  <c r="P1747" i="79" s="1"/>
  <c r="P1459" i="79"/>
  <c r="P1639" i="79" s="1"/>
  <c r="K258" i="73"/>
  <c r="AB788" i="64"/>
  <c r="AB796" i="64"/>
  <c r="Q250" i="64"/>
  <c r="AH1513" i="79"/>
  <c r="AH1514" i="79" s="1"/>
  <c r="AK1281" i="64"/>
  <c r="K1306" i="64"/>
  <c r="X1333" i="64"/>
  <c r="AK1336" i="64"/>
  <c r="AK1318" i="64"/>
  <c r="P208" i="64"/>
  <c r="AK1216" i="64"/>
  <c r="CX1228" i="64"/>
  <c r="CK1206" i="64"/>
  <c r="BK1263" i="64"/>
  <c r="AK1329" i="64"/>
  <c r="N572" i="74"/>
  <c r="N240" i="74"/>
  <c r="N699" i="74"/>
  <c r="N695" i="74"/>
  <c r="N571" i="74"/>
  <c r="N564" i="74"/>
  <c r="AK1258" i="64"/>
  <c r="BX1319" i="64"/>
  <c r="AK1252" i="64"/>
  <c r="AX1310" i="64"/>
  <c r="BX1323" i="64"/>
  <c r="AX1246" i="64"/>
  <c r="AK1282" i="64"/>
  <c r="CX1204" i="64"/>
  <c r="AK1284" i="64"/>
  <c r="BX1320" i="64"/>
  <c r="BK1201" i="64"/>
  <c r="BX1250" i="64"/>
  <c r="CX1219" i="64"/>
  <c r="CK1215" i="64"/>
  <c r="BX1217" i="64"/>
  <c r="AX1228" i="64"/>
  <c r="AK1285" i="64"/>
  <c r="K1297" i="64"/>
  <c r="BX1214" i="64"/>
  <c r="AX1290" i="64"/>
  <c r="X1281" i="64"/>
  <c r="CK1245" i="64"/>
  <c r="BK1215" i="64"/>
  <c r="AX1227" i="64"/>
  <c r="BX1297" i="64"/>
  <c r="BK1285" i="64"/>
  <c r="K1326" i="64"/>
  <c r="K1330" i="64"/>
  <c r="X1309" i="64"/>
  <c r="X1289" i="64"/>
  <c r="K1331" i="64"/>
  <c r="CK1216" i="64"/>
  <c r="CX1202" i="64"/>
  <c r="AK1321" i="64"/>
  <c r="AX1256" i="64"/>
  <c r="X1300" i="64"/>
  <c r="BX1337" i="64"/>
  <c r="AX1265" i="64"/>
  <c r="CK1227" i="64"/>
  <c r="X1297" i="64"/>
  <c r="CX1253" i="64"/>
  <c r="X1338" i="64"/>
  <c r="K1319" i="64"/>
  <c r="CX1212" i="64"/>
  <c r="BK1238" i="64"/>
  <c r="BX1256" i="64"/>
  <c r="BK1316" i="64"/>
  <c r="BX1291" i="64"/>
  <c r="K1284" i="64"/>
  <c r="K1293" i="64"/>
  <c r="CK1239" i="64"/>
  <c r="BX1252" i="64"/>
  <c r="AA808" i="64"/>
  <c r="P1563" i="79"/>
  <c r="P1927" i="79" s="1"/>
  <c r="BX1281" i="64"/>
  <c r="BA867" i="64"/>
  <c r="AB815" i="64"/>
  <c r="AH1487" i="79"/>
  <c r="AH1488" i="79" s="1"/>
  <c r="AB827" i="64"/>
  <c r="AB673" i="64"/>
  <c r="N648" i="64"/>
  <c r="N386" i="77"/>
  <c r="AM1511" i="79"/>
  <c r="AM1783" i="79" s="1"/>
  <c r="AM1576" i="79"/>
  <c r="AM1963" i="79" s="1"/>
  <c r="AM1589" i="79"/>
  <c r="AM1524" i="79"/>
  <c r="AM1819" i="79" s="1"/>
  <c r="AH1593" i="79"/>
  <c r="AB819" i="64"/>
  <c r="X1334" i="64"/>
  <c r="AN725" i="64"/>
  <c r="AM1537" i="79"/>
  <c r="AM1855" i="79" s="1"/>
  <c r="AM1888" i="79" s="1"/>
  <c r="AM1889" i="79" s="1"/>
  <c r="Y642" i="77"/>
  <c r="AB748" i="64"/>
  <c r="AM1563" i="79"/>
  <c r="AM1927" i="79" s="1"/>
  <c r="BX1211" i="64"/>
  <c r="Q277" i="64"/>
  <c r="AB745" i="64"/>
  <c r="AX1212" i="64"/>
  <c r="CK1220" i="64"/>
  <c r="BX1229" i="64"/>
  <c r="CX1242" i="64"/>
  <c r="BK1244" i="64"/>
  <c r="AK1341" i="64"/>
  <c r="K1337" i="64"/>
  <c r="X1313" i="64"/>
  <c r="BK1337" i="64"/>
  <c r="CK1253" i="64"/>
  <c r="CX1218" i="64"/>
  <c r="AK1283" i="64"/>
  <c r="AK1313" i="64"/>
  <c r="X1282" i="64"/>
  <c r="AK1296" i="64"/>
  <c r="AX1277" i="64"/>
  <c r="BX1312" i="64"/>
  <c r="X1287" i="64"/>
  <c r="X1283" i="64"/>
  <c r="BK1318" i="64"/>
  <c r="BX1293" i="64"/>
  <c r="BX1316" i="64"/>
  <c r="CX1260" i="64"/>
  <c r="BX1307" i="64"/>
  <c r="BK1211" i="64"/>
  <c r="BX1286" i="64"/>
  <c r="BX1213" i="64"/>
  <c r="AK1233" i="64"/>
  <c r="CK1233" i="64"/>
  <c r="AK1317" i="64"/>
  <c r="BK1322" i="64"/>
  <c r="BK1216" i="64"/>
  <c r="AK1211" i="64"/>
  <c r="CX1247" i="64"/>
  <c r="BK1233" i="64"/>
  <c r="CK1205" i="64"/>
  <c r="BX1294" i="64"/>
  <c r="X1276" i="64"/>
  <c r="AK1249" i="64"/>
  <c r="BK1328" i="64"/>
  <c r="AX1208" i="64"/>
  <c r="BX1340" i="64"/>
  <c r="K1318" i="64"/>
  <c r="BK1308" i="64"/>
  <c r="AK1208" i="64"/>
  <c r="AK1202" i="64"/>
  <c r="AX1222" i="64"/>
  <c r="X1310" i="64"/>
  <c r="X1312" i="64"/>
  <c r="AK1295" i="64"/>
  <c r="BX1224" i="64"/>
  <c r="BK1333" i="64"/>
  <c r="BX1333" i="64"/>
  <c r="BK1204" i="64"/>
  <c r="BX1246" i="64"/>
  <c r="CK1203" i="64"/>
  <c r="CK1228" i="64"/>
  <c r="BK1329" i="64"/>
  <c r="CK1236" i="64"/>
  <c r="BX1318" i="64"/>
  <c r="BK1320" i="64"/>
  <c r="CX1231" i="64"/>
  <c r="AK1247" i="64"/>
  <c r="Q276" i="64"/>
  <c r="Q244" i="64"/>
  <c r="CX1211" i="64"/>
  <c r="BK1214" i="64"/>
  <c r="CK1214" i="64"/>
  <c r="AX1244" i="64"/>
  <c r="X1340" i="64"/>
  <c r="AX1267" i="64"/>
  <c r="BK1295" i="64"/>
  <c r="BX1275" i="64"/>
  <c r="BX1238" i="64"/>
  <c r="AK1209" i="64"/>
  <c r="K1339" i="64"/>
  <c r="AK1333" i="64"/>
  <c r="K1310" i="64"/>
  <c r="AK1214" i="64"/>
  <c r="AX1308" i="64"/>
  <c r="X1277" i="64"/>
  <c r="AX1295" i="64"/>
  <c r="AX1322" i="64"/>
  <c r="X1295" i="64"/>
  <c r="BX1280" i="64"/>
  <c r="X1330" i="64"/>
  <c r="BK1338" i="64"/>
  <c r="K1288" i="64"/>
  <c r="AK1236" i="64"/>
  <c r="AX1248" i="64"/>
  <c r="AX1214" i="64"/>
  <c r="CK1267" i="64"/>
  <c r="AX1335" i="64"/>
  <c r="AK1246" i="64"/>
  <c r="CX1222" i="64"/>
  <c r="X1325" i="64"/>
  <c r="AX1296" i="64"/>
  <c r="K1307" i="64"/>
  <c r="AK1277" i="64"/>
  <c r="AX1293" i="64"/>
  <c r="AX1225" i="64"/>
  <c r="BK1224" i="64"/>
  <c r="CK1232" i="64"/>
  <c r="AX1319" i="64"/>
  <c r="BX1237" i="64"/>
  <c r="AX1242" i="64"/>
  <c r="BK1242" i="64"/>
  <c r="AK1261" i="64"/>
  <c r="AX1292" i="64"/>
  <c r="AX1261" i="64"/>
  <c r="BK1266" i="64"/>
  <c r="CK1202" i="64"/>
  <c r="BX1262" i="64"/>
  <c r="BK1223" i="64"/>
  <c r="AX1281" i="64"/>
  <c r="K1301" i="64"/>
  <c r="BK1291" i="64"/>
  <c r="BK1228" i="64"/>
  <c r="AX1297" i="64"/>
  <c r="BK1235" i="64"/>
  <c r="AX1253" i="64"/>
  <c r="CK1218" i="64"/>
  <c r="K1336" i="64"/>
  <c r="AX1258" i="64"/>
  <c r="BX1314" i="64"/>
  <c r="CK1260" i="64"/>
  <c r="AK1276" i="64"/>
  <c r="AK1204" i="64"/>
  <c r="AK1213" i="64"/>
  <c r="AX1257" i="64"/>
  <c r="BX1220" i="64"/>
  <c r="BK1292" i="64"/>
  <c r="AX1318" i="64"/>
  <c r="CX1225" i="64"/>
  <c r="X1315" i="64"/>
  <c r="CX1215" i="64"/>
  <c r="X1303" i="64"/>
  <c r="K1303" i="64"/>
  <c r="AX1202" i="64"/>
  <c r="BX1258" i="64"/>
  <c r="AX1231" i="64"/>
  <c r="BX1276" i="64"/>
  <c r="AK1257" i="64"/>
  <c r="AK1288" i="64"/>
  <c r="X1314" i="64"/>
  <c r="AX1204" i="64"/>
  <c r="BX1204" i="64"/>
  <c r="BK1310" i="64"/>
  <c r="BK1277" i="64"/>
  <c r="BX1228" i="64"/>
  <c r="AK1203" i="64"/>
  <c r="BK1241" i="64"/>
  <c r="CK1247" i="64"/>
  <c r="AX1285" i="64"/>
  <c r="AK1310" i="64"/>
  <c r="X1335" i="64"/>
  <c r="BK1296" i="64"/>
  <c r="AK1325" i="64"/>
  <c r="BX1222" i="64"/>
  <c r="BX1208" i="64"/>
  <c r="AK1222" i="64"/>
  <c r="BX1296" i="64"/>
  <c r="AK1242" i="64"/>
  <c r="BX1266" i="64"/>
  <c r="CK1211" i="64"/>
  <c r="X1336" i="64"/>
  <c r="BX1242" i="64"/>
  <c r="BK1259" i="64"/>
  <c r="CX1226" i="64"/>
  <c r="AK1314" i="64"/>
  <c r="BX1221" i="64"/>
  <c r="CK1225" i="64"/>
  <c r="BK1249" i="64"/>
  <c r="K1325" i="64"/>
  <c r="AX1328" i="64"/>
  <c r="CK1221" i="64"/>
  <c r="BX1241" i="64"/>
  <c r="CX1216" i="64"/>
  <c r="AX1324" i="64"/>
  <c r="K1327" i="64"/>
  <c r="AK1218" i="64"/>
  <c r="AK1315" i="64"/>
  <c r="AK1316" i="64"/>
  <c r="AX1337" i="64"/>
  <c r="CX1240" i="64"/>
  <c r="AK1256" i="64"/>
  <c r="BK1317" i="64"/>
  <c r="CK1261" i="64"/>
  <c r="BX1223" i="64"/>
  <c r="AK1265" i="64"/>
  <c r="BK1208" i="64"/>
  <c r="BX1315" i="64"/>
  <c r="BK1258" i="64"/>
  <c r="K1323" i="64"/>
  <c r="K1283" i="64"/>
  <c r="AK1254" i="64"/>
  <c r="CX1245" i="64"/>
  <c r="BK1311" i="64"/>
  <c r="BX1317" i="64"/>
  <c r="BX1265" i="64"/>
  <c r="CX1261" i="64"/>
  <c r="AK1243" i="64"/>
  <c r="BK1340" i="64"/>
  <c r="CX1223" i="64"/>
  <c r="BK1314" i="64"/>
  <c r="BX1205" i="64"/>
  <c r="BK1243" i="64"/>
  <c r="BK1306" i="64"/>
  <c r="X1324" i="64"/>
  <c r="BX1278" i="64"/>
  <c r="AK1223" i="64"/>
  <c r="BX1295" i="64"/>
  <c r="BK1209" i="64"/>
  <c r="AX1234" i="64"/>
  <c r="AK1235" i="64"/>
  <c r="AX1247" i="64"/>
  <c r="AK1255" i="64"/>
  <c r="BX1305" i="64"/>
  <c r="CK1263" i="64"/>
  <c r="K1308" i="64"/>
  <c r="X1337" i="64"/>
  <c r="AK1251" i="64"/>
  <c r="CX1220" i="64"/>
  <c r="K1298" i="64"/>
  <c r="CK1217" i="64"/>
  <c r="BK1335" i="64"/>
  <c r="X1305" i="64"/>
  <c r="K1316" i="64"/>
  <c r="BX1267" i="64"/>
  <c r="BX1299" i="64"/>
  <c r="AX1323" i="64"/>
  <c r="AK1299" i="64"/>
  <c r="BX1215" i="64"/>
  <c r="CK1251" i="64"/>
  <c r="AK1217" i="64"/>
  <c r="CX1259" i="64"/>
  <c r="K1338" i="64"/>
  <c r="AX1316" i="64"/>
  <c r="X1278" i="64"/>
  <c r="AX1333" i="64"/>
  <c r="BK1332" i="64"/>
  <c r="CX1244" i="64"/>
  <c r="BX1202" i="64"/>
  <c r="CK1252" i="64"/>
  <c r="BX1304" i="64"/>
  <c r="K1287" i="64"/>
  <c r="AX1230" i="64"/>
  <c r="K1281" i="64"/>
  <c r="AX1340" i="64"/>
  <c r="BX1298" i="64"/>
  <c r="X1279" i="64"/>
  <c r="K1328" i="64"/>
  <c r="AX1237" i="64"/>
  <c r="CX1239" i="64"/>
  <c r="BK1309" i="64"/>
  <c r="K1300" i="64"/>
  <c r="AK1332" i="64"/>
  <c r="CK1210" i="64"/>
  <c r="AK1259" i="64"/>
  <c r="AX1275" i="64"/>
  <c r="BX1321" i="64"/>
  <c r="K1322" i="64"/>
  <c r="BX1284" i="64"/>
  <c r="BK1280" i="64"/>
  <c r="BK1324" i="64"/>
  <c r="AX1255" i="64"/>
  <c r="AK1304" i="64"/>
  <c r="K1299" i="64"/>
  <c r="BX1283" i="64"/>
  <c r="BK1253" i="64"/>
  <c r="AX1301" i="64"/>
  <c r="BK1302" i="64"/>
  <c r="CK1231" i="64"/>
  <c r="BK1247" i="64"/>
  <c r="CK1257" i="64"/>
  <c r="CK1255" i="64"/>
  <c r="K1334" i="64"/>
  <c r="BK1210" i="64"/>
  <c r="BX1263" i="64"/>
  <c r="AX1226" i="64"/>
  <c r="K1341" i="64"/>
  <c r="AK1293" i="64"/>
  <c r="AK1335" i="64"/>
  <c r="CK1240" i="64"/>
  <c r="AX1249" i="64"/>
  <c r="BK1251" i="64"/>
  <c r="AK1219" i="64"/>
  <c r="K1340" i="64"/>
  <c r="BX1261" i="64"/>
  <c r="X1339" i="64"/>
  <c r="BX1308" i="64"/>
  <c r="CK1266" i="64"/>
  <c r="CX1221" i="64"/>
  <c r="BK1248" i="64"/>
  <c r="AK1221" i="64"/>
  <c r="AX1299" i="64"/>
  <c r="K1324" i="64"/>
  <c r="AX1298" i="64"/>
  <c r="BX1334" i="64"/>
  <c r="K1321" i="64"/>
  <c r="X1288" i="64"/>
  <c r="CX1210" i="64"/>
  <c r="CX1214" i="64"/>
  <c r="BX1226" i="64"/>
  <c r="CK1242" i="64"/>
  <c r="X1296" i="64"/>
  <c r="CK1223" i="64"/>
  <c r="CK1222" i="64"/>
  <c r="AX1201" i="64"/>
  <c r="X1291" i="64"/>
  <c r="BX1249" i="64"/>
  <c r="X1285" i="64"/>
  <c r="BK1312" i="64"/>
  <c r="CX1249" i="64"/>
  <c r="K1309" i="64"/>
  <c r="X1290" i="64"/>
  <c r="X1328" i="64"/>
  <c r="X1311" i="64"/>
  <c r="BX1254" i="64"/>
  <c r="AX1276" i="64"/>
  <c r="BX1328" i="64"/>
  <c r="CX1255" i="64"/>
  <c r="BK1286" i="64"/>
  <c r="BK1226" i="64"/>
  <c r="CK1201" i="64"/>
  <c r="AX1280" i="64"/>
  <c r="CX1235" i="64"/>
  <c r="BK1275" i="64"/>
  <c r="CX1230" i="64"/>
  <c r="AX1238" i="64"/>
  <c r="X1298" i="64"/>
  <c r="BX1233" i="64"/>
  <c r="AX1206" i="64"/>
  <c r="AX1232" i="64"/>
  <c r="AX1303" i="64"/>
  <c r="AK1245" i="64"/>
  <c r="CX1256" i="64"/>
  <c r="CX1232" i="64"/>
  <c r="AX1259" i="64"/>
  <c r="AX1264" i="64"/>
  <c r="K1314" i="64"/>
  <c r="BK1330" i="64"/>
  <c r="BK1237" i="64"/>
  <c r="CX1254" i="64"/>
  <c r="CX1207" i="64"/>
  <c r="CK1246" i="64"/>
  <c r="K1296" i="64"/>
  <c r="AX1217" i="64"/>
  <c r="AK1201" i="64"/>
  <c r="CX1237" i="64"/>
  <c r="BK1327" i="64"/>
  <c r="AX1309" i="64"/>
  <c r="CK1256" i="64"/>
  <c r="AK1339" i="64"/>
  <c r="BK1303" i="64"/>
  <c r="BX1335" i="64"/>
  <c r="CX1262" i="64"/>
  <c r="BK1234" i="64"/>
  <c r="AK1263" i="64"/>
  <c r="K1275" i="64"/>
  <c r="X1280" i="64"/>
  <c r="BX1292" i="64"/>
  <c r="AX1215" i="64"/>
  <c r="AK1227" i="64"/>
  <c r="CX1205" i="64"/>
  <c r="BX1212" i="64"/>
  <c r="BK1265" i="64"/>
  <c r="BK1319" i="64"/>
  <c r="AK1234" i="64"/>
  <c r="BK1282" i="64"/>
  <c r="BX1243" i="64"/>
  <c r="X1302" i="64"/>
  <c r="AK1239" i="64"/>
  <c r="AX1282" i="64"/>
  <c r="AK1322" i="64"/>
  <c r="BX1227" i="64"/>
  <c r="BK1221" i="64"/>
  <c r="AX1325" i="64"/>
  <c r="AX1211" i="64"/>
  <c r="BK1301" i="64"/>
  <c r="BX1302" i="64"/>
  <c r="AX1334" i="64"/>
  <c r="BK1339" i="64"/>
  <c r="AX1207" i="64"/>
  <c r="AK1278" i="64"/>
  <c r="BX1244" i="64"/>
  <c r="X1327" i="64"/>
  <c r="BX1206" i="64"/>
  <c r="CK1229" i="64"/>
  <c r="AX1218" i="64"/>
  <c r="AX1241" i="64"/>
  <c r="X1322" i="64"/>
  <c r="BX1327" i="64"/>
  <c r="BX1330" i="64"/>
  <c r="BK1264" i="64"/>
  <c r="AK1330" i="64"/>
  <c r="CK1226" i="64"/>
  <c r="X1341" i="64"/>
  <c r="BX1303" i="64"/>
  <c r="AK1238" i="64"/>
  <c r="BX1216" i="64"/>
  <c r="BK1289" i="64"/>
  <c r="BX1341" i="64"/>
  <c r="AX1329" i="64"/>
  <c r="BX1311" i="64"/>
  <c r="BX1301" i="64"/>
  <c r="BX1201" i="64"/>
  <c r="AK1215" i="64"/>
  <c r="AK1225" i="64"/>
  <c r="X1304" i="64"/>
  <c r="K1295" i="64"/>
  <c r="AX1306" i="64"/>
  <c r="K1332" i="64"/>
  <c r="CX1265" i="64"/>
  <c r="K1333" i="64"/>
  <c r="BX1288" i="64"/>
  <c r="CK1208" i="64"/>
  <c r="AX1312" i="64"/>
  <c r="BX1325" i="64"/>
  <c r="K1329" i="64"/>
  <c r="BK1256" i="64"/>
  <c r="AK1289" i="64"/>
  <c r="K1304" i="64"/>
  <c r="BX1285" i="64"/>
  <c r="CX1258" i="64"/>
  <c r="AB787" i="64"/>
  <c r="J493" i="79"/>
  <c r="J1603" i="79" s="1"/>
  <c r="AK1307" i="64"/>
  <c r="AK1212" i="64"/>
  <c r="AX1287" i="64"/>
  <c r="BK1313" i="64"/>
  <c r="CX1236" i="64"/>
  <c r="K1294" i="64"/>
  <c r="AX1314" i="64"/>
  <c r="CK1213" i="64"/>
  <c r="AK1210" i="64"/>
  <c r="BX1210" i="64"/>
  <c r="X1307" i="64"/>
  <c r="CX1243" i="64"/>
  <c r="CK1243" i="64"/>
  <c r="BK1281" i="64"/>
  <c r="AX1304" i="64"/>
  <c r="X1294" i="64"/>
  <c r="BK1288" i="64"/>
  <c r="AX1245" i="64"/>
  <c r="BX1245" i="64"/>
  <c r="CX1227" i="64"/>
  <c r="BX1259" i="64"/>
  <c r="BX1282" i="64"/>
  <c r="AX1278" i="64"/>
  <c r="BX1339" i="64"/>
  <c r="AX1205" i="64"/>
  <c r="AK1228" i="64"/>
  <c r="AX1209" i="64"/>
  <c r="AK1287" i="64"/>
  <c r="X1320" i="64"/>
  <c r="AX1315" i="64"/>
  <c r="AK1319" i="64"/>
  <c r="X1292" i="64"/>
  <c r="CK1204" i="64"/>
  <c r="AX1284" i="64"/>
  <c r="K1278" i="64"/>
  <c r="AK1301" i="64"/>
  <c r="BX1239" i="64"/>
  <c r="AX1326" i="64"/>
  <c r="AX1224" i="64"/>
  <c r="AX1233" i="64"/>
  <c r="AK1309" i="64"/>
  <c r="AX1235" i="64"/>
  <c r="CX1206" i="64"/>
  <c r="BX1207" i="64"/>
  <c r="K1279" i="64"/>
  <c r="AX1213" i="64"/>
  <c r="CX1224" i="64"/>
  <c r="X1299" i="64"/>
  <c r="BX1326" i="64"/>
  <c r="BK1294" i="64"/>
  <c r="AX1336" i="64"/>
  <c r="AX1236" i="64"/>
  <c r="AK1305" i="64"/>
  <c r="AK1240" i="64"/>
  <c r="AK1302" i="64"/>
  <c r="BK1326" i="64"/>
  <c r="K1315" i="64"/>
  <c r="K1276" i="64"/>
  <c r="BK1260" i="64"/>
  <c r="CX1233" i="64"/>
  <c r="AX1291" i="64"/>
  <c r="BX1247" i="64"/>
  <c r="BK1267" i="64"/>
  <c r="CX1241" i="64"/>
  <c r="AK1207" i="64"/>
  <c r="AK1250" i="64"/>
  <c r="AK1232" i="64"/>
  <c r="BX1236" i="64"/>
  <c r="BK1213" i="64"/>
  <c r="BX1257" i="64"/>
  <c r="AX1219" i="64"/>
  <c r="BX1231" i="64"/>
  <c r="AK1226" i="64"/>
  <c r="AK1290" i="64"/>
  <c r="K1292" i="64"/>
  <c r="AX1286" i="64"/>
  <c r="AX1279" i="64"/>
  <c r="AX1203" i="64"/>
  <c r="AK1323" i="64"/>
  <c r="AK1308" i="64"/>
  <c r="BK1254" i="64"/>
  <c r="BK1283" i="64"/>
  <c r="X1286" i="64"/>
  <c r="BX1260" i="64"/>
  <c r="AX1302" i="64"/>
  <c r="BK1236" i="64"/>
  <c r="BX1336" i="64"/>
  <c r="CK1219" i="64"/>
  <c r="AK1327" i="64"/>
  <c r="K1302" i="64"/>
  <c r="CK1230" i="64"/>
  <c r="AX1320" i="64"/>
  <c r="AK1205" i="64"/>
  <c r="BK1297" i="64"/>
  <c r="AK1229" i="64"/>
  <c r="AX1338" i="64"/>
  <c r="K1335" i="64"/>
  <c r="AX1330" i="64"/>
  <c r="CK1237" i="64"/>
  <c r="AX1223" i="64"/>
  <c r="BK1315" i="64"/>
  <c r="AX1321" i="64"/>
  <c r="AK1248" i="64"/>
  <c r="AX1311" i="64"/>
  <c r="BK1206" i="64"/>
  <c r="CX1213" i="64"/>
  <c r="CK1234" i="64"/>
  <c r="X1293" i="64"/>
  <c r="K1311" i="64"/>
  <c r="K1280" i="64"/>
  <c r="BK1298" i="64"/>
  <c r="X1306" i="64"/>
  <c r="BK1219" i="64"/>
  <c r="BK1261" i="64"/>
  <c r="BK1240" i="64"/>
  <c r="BX1255" i="64"/>
  <c r="X1318" i="64"/>
  <c r="AX1251" i="64"/>
  <c r="AX1252" i="64"/>
  <c r="BK1246" i="64"/>
  <c r="AX1300" i="64"/>
  <c r="CK1258" i="64"/>
  <c r="CK1224" i="64"/>
  <c r="CX1217" i="64"/>
  <c r="AX1262" i="64"/>
  <c r="BK1336" i="64"/>
  <c r="J452" i="79"/>
  <c r="J1590" i="79" s="1"/>
  <c r="P640" i="64"/>
  <c r="BX1309" i="64"/>
  <c r="BK1205" i="64"/>
  <c r="AK1244" i="64"/>
  <c r="BX1289" i="64"/>
  <c r="AK1231" i="64"/>
  <c r="BK1250" i="64"/>
  <c r="AK1340" i="64"/>
  <c r="CK1244" i="64"/>
  <c r="AX1339" i="64"/>
  <c r="AK1266" i="64"/>
  <c r="BK1227" i="64"/>
  <c r="BX1235" i="64"/>
  <c r="K1313" i="64"/>
  <c r="CX1208" i="64"/>
  <c r="AK1328" i="64"/>
  <c r="K1277" i="64"/>
  <c r="K1286" i="64"/>
  <c r="AX1216" i="64"/>
  <c r="AK1279" i="64"/>
  <c r="AX1313" i="64"/>
  <c r="AX1317" i="64"/>
  <c r="CX1250" i="64"/>
  <c r="BX1310" i="64"/>
  <c r="AX1260" i="64"/>
  <c r="X1321" i="64"/>
  <c r="CX1229" i="64"/>
  <c r="BK1293" i="64"/>
  <c r="AK1230" i="64"/>
  <c r="CK1238" i="64"/>
  <c r="CK1254" i="64"/>
  <c r="BX1219" i="64"/>
  <c r="BK1207" i="64"/>
  <c r="BK1218" i="64"/>
  <c r="BK1334" i="64"/>
  <c r="X1308" i="64"/>
  <c r="X1275" i="64"/>
  <c r="AX1250" i="64"/>
  <c r="CX1252" i="64"/>
  <c r="BX1338" i="64"/>
  <c r="AX1239" i="64"/>
  <c r="CX1209" i="64"/>
  <c r="AX1307" i="64"/>
  <c r="K1290" i="64"/>
  <c r="X1331" i="64"/>
  <c r="BX1218" i="64"/>
  <c r="AK1306" i="64"/>
  <c r="AK1291" i="64"/>
  <c r="CX1246" i="64"/>
  <c r="AK1220" i="64"/>
  <c r="K1312" i="64"/>
  <c r="BK1231" i="64"/>
  <c r="BK1331" i="64"/>
  <c r="X1316" i="64"/>
  <c r="AX1331" i="64"/>
  <c r="BK1203" i="64"/>
  <c r="BK1230" i="64"/>
  <c r="CX1238" i="64"/>
  <c r="BK1300" i="64"/>
  <c r="BX1300" i="64"/>
  <c r="K1320" i="64"/>
  <c r="CK1249" i="64"/>
  <c r="BK1202" i="64"/>
  <c r="CX1257" i="64"/>
  <c r="AX1229" i="64"/>
  <c r="BX1287" i="64"/>
  <c r="BX1332" i="64"/>
  <c r="BX1290" i="64"/>
  <c r="BK1278" i="64"/>
  <c r="BK1284" i="64"/>
  <c r="BK1255" i="64"/>
  <c r="K1305" i="64"/>
  <c r="AK1262" i="64"/>
  <c r="AK1338" i="64"/>
  <c r="AK1286" i="64"/>
  <c r="CX1248" i="64"/>
  <c r="AK1241" i="64"/>
  <c r="BK1323" i="64"/>
  <c r="BX1324" i="64"/>
  <c r="BK1279" i="64"/>
  <c r="AK1280" i="64"/>
  <c r="AK1253" i="64"/>
  <c r="AK1297" i="64"/>
  <c r="AK1206" i="64"/>
  <c r="BX1331" i="64"/>
  <c r="BK1321" i="64"/>
  <c r="CK1207" i="64"/>
  <c r="BX1234" i="64"/>
  <c r="CX1266" i="64"/>
  <c r="BX1306" i="64"/>
  <c r="CK1248" i="64"/>
  <c r="BK1222" i="64"/>
  <c r="K1282" i="64"/>
  <c r="BK1287" i="64"/>
  <c r="BK1232" i="64"/>
  <c r="CK1250" i="64"/>
  <c r="CK1209" i="64"/>
  <c r="AK1237" i="64"/>
  <c r="BK1341" i="64"/>
  <c r="X1319" i="64"/>
  <c r="AX1283" i="64"/>
  <c r="AK1298" i="64"/>
  <c r="CX1201" i="64"/>
  <c r="CK1235" i="64"/>
  <c r="X1284" i="64"/>
  <c r="BK1257" i="64"/>
  <c r="BK1262" i="64"/>
  <c r="BX1253" i="64"/>
  <c r="BK1239" i="64"/>
  <c r="CX1203" i="64"/>
  <c r="BX1277" i="64"/>
  <c r="AK1324" i="64"/>
  <c r="BX1203" i="64"/>
  <c r="BX1230" i="64"/>
  <c r="X1317" i="64"/>
  <c r="AK1337" i="64"/>
  <c r="CX1263" i="64"/>
  <c r="K1285" i="64"/>
  <c r="BK1252" i="64"/>
  <c r="AK1326" i="64"/>
  <c r="BK1305" i="64"/>
  <c r="AX1332" i="64"/>
  <c r="AX1263" i="64"/>
  <c r="K1291" i="64"/>
  <c r="BK1217" i="64"/>
  <c r="AK1334" i="64"/>
  <c r="BX1329" i="64"/>
  <c r="J247" i="79"/>
  <c r="J1525" i="79" s="1"/>
  <c r="AH83" i="79"/>
  <c r="AH1473" i="79" s="1"/>
  <c r="AH165" i="79"/>
  <c r="AH1499" i="79" s="1"/>
  <c r="AX1327" i="64"/>
  <c r="BX1232" i="64"/>
  <c r="BK1290" i="64"/>
  <c r="CK1259" i="64"/>
  <c r="K1317" i="64"/>
  <c r="CK1262" i="64"/>
  <c r="AK1300" i="64"/>
  <c r="CK1212" i="64"/>
  <c r="X1332" i="64"/>
  <c r="BX1264" i="64"/>
  <c r="CK1264" i="64"/>
  <c r="X1301" i="64"/>
  <c r="BK1245" i="64"/>
  <c r="BX1279" i="64"/>
  <c r="BK1299" i="64"/>
  <c r="AK1320" i="64"/>
  <c r="AK1224" i="64"/>
  <c r="AX1294" i="64"/>
  <c r="AK1303" i="64"/>
  <c r="BK1276" i="64"/>
  <c r="AX1254" i="64"/>
  <c r="AK1331" i="64"/>
  <c r="AX1266" i="64"/>
  <c r="AX1289" i="64"/>
  <c r="BX1240" i="64"/>
  <c r="X1329" i="64"/>
  <c r="BK1220" i="64"/>
  <c r="BK1212" i="64"/>
  <c r="BK1325" i="64"/>
  <c r="X1326" i="64"/>
  <c r="AK1311" i="64"/>
  <c r="K1289" i="64"/>
  <c r="CX1234" i="64"/>
  <c r="BK1307" i="64"/>
  <c r="AX1220" i="64"/>
  <c r="AX1341" i="64"/>
  <c r="AK1292" i="64"/>
  <c r="BX1248" i="64"/>
  <c r="AX1221" i="64"/>
  <c r="BX1209" i="64"/>
  <c r="BX1313" i="64"/>
  <c r="AX1305" i="64"/>
  <c r="AK1267" i="64"/>
  <c r="CX1267" i="64"/>
  <c r="BK1229" i="64"/>
  <c r="AK1294" i="64"/>
  <c r="BK1225" i="64"/>
  <c r="BX1251" i="64"/>
  <c r="AK1312" i="64"/>
  <c r="CX1251" i="64"/>
  <c r="BX1225" i="64"/>
  <c r="AX1210" i="64"/>
  <c r="AX1288" i="64"/>
  <c r="AX1243" i="64"/>
  <c r="CX1264" i="64"/>
  <c r="BK1304" i="64"/>
  <c r="AK1275" i="64"/>
  <c r="CK1265" i="64"/>
  <c r="AX1240" i="64"/>
  <c r="AK1264" i="64"/>
  <c r="X1323" i="64"/>
  <c r="CK1241" i="64"/>
  <c r="AK1260" i="64"/>
  <c r="BX1322" i="64"/>
  <c r="L1034" i="64"/>
  <c r="L1105" i="64" s="1"/>
  <c r="AB822" i="64"/>
  <c r="AB756" i="64"/>
  <c r="AB680" i="64"/>
  <c r="AB821" i="64"/>
  <c r="I33" i="9"/>
  <c r="AB750" i="64"/>
  <c r="P877" i="64"/>
  <c r="P639" i="64"/>
  <c r="O638" i="64"/>
  <c r="N642" i="64" s="1"/>
  <c r="AM879" i="64"/>
  <c r="AM882" i="64" s="1"/>
  <c r="Q876" i="64"/>
  <c r="Q872" i="64"/>
  <c r="Q871" i="64"/>
  <c r="Q874" i="64"/>
  <c r="Q870" i="64"/>
  <c r="Q869" i="64"/>
  <c r="Q873" i="64"/>
  <c r="O735" i="64"/>
  <c r="N573" i="74"/>
  <c r="P806" i="64"/>
  <c r="Q805" i="64"/>
  <c r="Q801" i="64"/>
  <c r="Q803" i="64"/>
  <c r="Q800" i="64"/>
  <c r="Q798" i="64"/>
  <c r="Q802" i="64"/>
  <c r="Q799" i="64"/>
  <c r="P734" i="64"/>
  <c r="P731" i="64"/>
  <c r="P727" i="64"/>
  <c r="P732" i="64"/>
  <c r="P729" i="64"/>
  <c r="P730" i="64"/>
  <c r="P728" i="64"/>
  <c r="N578" i="74"/>
  <c r="N567" i="74"/>
  <c r="AB1034" i="64"/>
  <c r="N566" i="74"/>
  <c r="L387" i="40"/>
  <c r="L392" i="40"/>
  <c r="L402" i="40"/>
  <c r="L410" i="40"/>
  <c r="L391" i="40"/>
  <c r="L396" i="40"/>
  <c r="L404" i="40"/>
  <c r="L401" i="40"/>
  <c r="L408" i="40"/>
  <c r="L417" i="40"/>
  <c r="L411" i="40"/>
  <c r="L435" i="40"/>
  <c r="L397" i="40"/>
  <c r="L434" i="40"/>
  <c r="L430" i="40"/>
  <c r="L406" i="40"/>
  <c r="L409" i="40"/>
  <c r="L407" i="40"/>
  <c r="L437" i="40"/>
  <c r="L399" i="40"/>
  <c r="L405" i="40"/>
  <c r="L436" i="40"/>
  <c r="L438" i="40"/>
  <c r="L400" i="40"/>
  <c r="L394" i="40"/>
  <c r="L431" i="40"/>
  <c r="L439" i="40"/>
  <c r="L432" i="40"/>
  <c r="L440" i="40"/>
  <c r="L398" i="40"/>
  <c r="L418" i="40"/>
  <c r="L403" i="40"/>
  <c r="L433" i="40"/>
  <c r="L441" i="40"/>
  <c r="P868" i="64"/>
  <c r="G158" i="73"/>
  <c r="F177" i="73"/>
  <c r="F458" i="73" s="1"/>
  <c r="Q794" i="64"/>
  <c r="M1252" i="64"/>
  <c r="Z1252" i="64" s="1"/>
  <c r="AG42" i="79"/>
  <c r="AG1460" i="79" s="1"/>
  <c r="AG1640" i="79" s="1"/>
  <c r="Q275" i="64"/>
  <c r="Q246" i="64"/>
  <c r="O2289" i="79"/>
  <c r="O2290" i="79" s="1"/>
  <c r="O2291" i="79" s="1"/>
  <c r="P824" i="64"/>
  <c r="P606" i="64"/>
  <c r="P587" i="64"/>
  <c r="AL1593" i="79"/>
  <c r="AL1599" i="79" s="1"/>
  <c r="P1524" i="79"/>
  <c r="P1819" i="79" s="1"/>
  <c r="P1576" i="79"/>
  <c r="P1963" i="79" s="1"/>
  <c r="P1537" i="79"/>
  <c r="P1855" i="79" s="1"/>
  <c r="P1888" i="79" s="1"/>
  <c r="P1889" i="79" s="1"/>
  <c r="P1511" i="79"/>
  <c r="P1783" i="79" s="1"/>
  <c r="P1602" i="79"/>
  <c r="P2034" i="79" s="1"/>
  <c r="P1550" i="79"/>
  <c r="P1891" i="79" s="1"/>
  <c r="P855" i="64"/>
  <c r="AQ1034" i="64"/>
  <c r="M1034" i="64" s="1"/>
  <c r="M1105" i="64" s="1"/>
  <c r="P862" i="64"/>
  <c r="P817" i="64"/>
  <c r="P849" i="64"/>
  <c r="AK42" i="79"/>
  <c r="P2113" i="79"/>
  <c r="P2402" i="79" s="1"/>
  <c r="P723" i="64"/>
  <c r="Q208" i="64" s="1"/>
  <c r="R342" i="64"/>
  <c r="Q865" i="64"/>
  <c r="Q283" i="64"/>
  <c r="Q251" i="64"/>
  <c r="AB793" i="64"/>
  <c r="AB715" i="64"/>
  <c r="AB737" i="64" s="1"/>
  <c r="AN866" i="64"/>
  <c r="BA857" i="64"/>
  <c r="P839" i="64"/>
  <c r="P784" i="64"/>
  <c r="AI83" i="79"/>
  <c r="AI1473" i="79" s="1"/>
  <c r="AI1474" i="79" s="1"/>
  <c r="AG83" i="79"/>
  <c r="AG1473" i="79" s="1"/>
  <c r="AG1676" i="79" s="1"/>
  <c r="AB785" i="64"/>
  <c r="AO785" i="64" s="1"/>
  <c r="AH1676" i="79"/>
  <c r="AH1474" i="79"/>
  <c r="AH1475" i="79" s="1"/>
  <c r="AJ1676" i="79"/>
  <c r="AJ1474" i="79"/>
  <c r="AJ1475" i="79" s="1"/>
  <c r="AF1461" i="79"/>
  <c r="AF1463" i="79" s="1"/>
  <c r="AI1676" i="79"/>
  <c r="AN864" i="64"/>
  <c r="AK1675" i="79"/>
  <c r="AJ1998" i="79"/>
  <c r="M646" i="64"/>
  <c r="M660" i="64" s="1"/>
  <c r="N128" i="64" s="1"/>
  <c r="F8" i="71" s="1"/>
  <c r="DK1242" i="64"/>
  <c r="DK1228" i="64"/>
  <c r="DK1261" i="64"/>
  <c r="N577" i="74"/>
  <c r="N575" i="74"/>
  <c r="K466" i="73"/>
  <c r="L253" i="77" s="1"/>
  <c r="L277" i="77" s="1"/>
  <c r="K82" i="85"/>
  <c r="K212" i="85" s="1"/>
  <c r="L1026" i="64"/>
  <c r="L1097" i="64" s="1"/>
  <c r="L1038" i="64"/>
  <c r="L1109" i="64" s="1"/>
  <c r="L990" i="64"/>
  <c r="L1061" i="64" s="1"/>
  <c r="N574" i="74"/>
  <c r="BA863" i="64"/>
  <c r="N568" i="74"/>
  <c r="R2082" i="79"/>
  <c r="R2401" i="79" s="1"/>
  <c r="I678" i="74"/>
  <c r="H181" i="8"/>
  <c r="H187" i="8" s="1"/>
  <c r="G10" i="10"/>
  <c r="G17" i="10" s="1"/>
  <c r="M118" i="9"/>
  <c r="M133" i="9" s="1"/>
  <c r="N37" i="9"/>
  <c r="N66" i="9"/>
  <c r="N81" i="9" s="1"/>
  <c r="N96" i="9" s="1"/>
  <c r="N107" i="9" s="1"/>
  <c r="O37" i="9"/>
  <c r="O66" i="9"/>
  <c r="O81" i="9" s="1"/>
  <c r="O96" i="9" s="1"/>
  <c r="O107" i="9" s="1"/>
  <c r="O118" i="9" s="1"/>
  <c r="O133" i="9" s="1"/>
  <c r="N135" i="83"/>
  <c r="N31" i="80"/>
  <c r="O31" i="80" s="1"/>
  <c r="N30" i="10"/>
  <c r="O30" i="10"/>
  <c r="H28" i="25" s="1"/>
  <c r="N166" i="83"/>
  <c r="O166" i="83" s="1"/>
  <c r="D31" i="83" s="1"/>
  <c r="O134" i="83"/>
  <c r="N36" i="80"/>
  <c r="O36" i="80" s="1"/>
  <c r="N143" i="83"/>
  <c r="O24" i="10"/>
  <c r="H22" i="25" s="1"/>
  <c r="O24" i="80"/>
  <c r="N25" i="80"/>
  <c r="N111" i="83"/>
  <c r="N25" i="10"/>
  <c r="P112" i="8"/>
  <c r="N23" i="80"/>
  <c r="N23" i="10"/>
  <c r="N107" i="83"/>
  <c r="P110" i="8"/>
  <c r="M150" i="83"/>
  <c r="N145" i="83"/>
  <c r="N38" i="80"/>
  <c r="O38" i="80" s="1"/>
  <c r="N35" i="10"/>
  <c r="P162" i="8"/>
  <c r="N148" i="83"/>
  <c r="O177" i="8"/>
  <c r="P177" i="8" s="1"/>
  <c r="N41" i="80"/>
  <c r="O41" i="80" s="1"/>
  <c r="N38" i="10"/>
  <c r="P170" i="8"/>
  <c r="O95" i="8"/>
  <c r="P95" i="8" s="1"/>
  <c r="N79" i="83"/>
  <c r="P93" i="8"/>
  <c r="N144" i="83"/>
  <c r="N34" i="10"/>
  <c r="N37" i="80"/>
  <c r="O37" i="80" s="1"/>
  <c r="P161" i="8"/>
  <c r="P2286" i="79"/>
  <c r="P1230" i="79"/>
  <c r="P1298" i="79" s="1"/>
  <c r="P2140" i="79"/>
  <c r="P1223" i="79"/>
  <c r="P1291" i="79" s="1"/>
  <c r="P2142" i="79"/>
  <c r="P1225" i="79"/>
  <c r="P1293" i="79" s="1"/>
  <c r="AF83" i="79"/>
  <c r="AF1473" i="79" s="1"/>
  <c r="R2098" i="79"/>
  <c r="R385" i="64"/>
  <c r="O628" i="64"/>
  <c r="DK1218" i="64"/>
  <c r="CK1312" i="64"/>
  <c r="AN865" i="64"/>
  <c r="J370" i="79"/>
  <c r="J1564" i="79" s="1"/>
  <c r="J329" i="79"/>
  <c r="J1551" i="79" s="1"/>
  <c r="J1552" i="79" s="1"/>
  <c r="J411" i="79"/>
  <c r="J1577" i="79" s="1"/>
  <c r="J1964" i="79" s="1"/>
  <c r="J1995" i="79" s="1"/>
  <c r="J1996" i="79" s="1"/>
  <c r="DK1208" i="64"/>
  <c r="CK1295" i="64"/>
  <c r="BA859" i="64"/>
  <c r="J165" i="79"/>
  <c r="J1499" i="79" s="1"/>
  <c r="J1748" i="79" s="1"/>
  <c r="L1039" i="64"/>
  <c r="L1110" i="64" s="1"/>
  <c r="CK1291" i="64"/>
  <c r="CK1336" i="64"/>
  <c r="CW1078" i="64"/>
  <c r="DM1078" i="64" s="1"/>
  <c r="CK1289" i="64"/>
  <c r="L1014" i="64"/>
  <c r="L1085" i="64" s="1"/>
  <c r="L994" i="64"/>
  <c r="L1065" i="64" s="1"/>
  <c r="L1006" i="64"/>
  <c r="L1077" i="64" s="1"/>
  <c r="L985" i="64"/>
  <c r="L1056" i="64" s="1"/>
  <c r="N387" i="77"/>
  <c r="L998" i="64"/>
  <c r="L1069" i="64" s="1"/>
  <c r="N612" i="64"/>
  <c r="O132" i="64" s="1"/>
  <c r="CK1309" i="64"/>
  <c r="DK1248" i="64"/>
  <c r="CK1324" i="64"/>
  <c r="DK1225" i="64"/>
  <c r="CK1332" i="64"/>
  <c r="DK1252" i="64"/>
  <c r="CK1335" i="64"/>
  <c r="DK1237" i="64"/>
  <c r="CK1330" i="64"/>
  <c r="CK1287" i="64"/>
  <c r="DK1205" i="64"/>
  <c r="DK1260" i="64"/>
  <c r="DK1236" i="64"/>
  <c r="CK1279" i="64"/>
  <c r="DK1247" i="64"/>
  <c r="DK1241" i="64"/>
  <c r="CK1293" i="64"/>
  <c r="Q591" i="64"/>
  <c r="Q574" i="64"/>
  <c r="Q578" i="64"/>
  <c r="Q599" i="64"/>
  <c r="Q597" i="64"/>
  <c r="Q814" i="64"/>
  <c r="Q588" i="64"/>
  <c r="Q575" i="64"/>
  <c r="Q598" i="64"/>
  <c r="Q582" i="64"/>
  <c r="Q589" i="64"/>
  <c r="Q579" i="64"/>
  <c r="Q590" i="64"/>
  <c r="Q576" i="64"/>
  <c r="Q580" i="64"/>
  <c r="Q577" i="64"/>
  <c r="Q581" i="64"/>
  <c r="Q844" i="64"/>
  <c r="R233" i="64" s="1"/>
  <c r="Q829" i="64"/>
  <c r="R219" i="64" s="1"/>
  <c r="Q842" i="64"/>
  <c r="R231" i="64" s="1"/>
  <c r="Q845" i="64"/>
  <c r="R234" i="64" s="1"/>
  <c r="Q833" i="64"/>
  <c r="R223" i="64" s="1"/>
  <c r="Q831" i="64"/>
  <c r="R221" i="64" s="1"/>
  <c r="Q827" i="64"/>
  <c r="R217" i="64" s="1"/>
  <c r="Q841" i="64"/>
  <c r="R230" i="64" s="1"/>
  <c r="Q821" i="64"/>
  <c r="Q836" i="64"/>
  <c r="R226" i="64" s="1"/>
  <c r="Q840" i="64"/>
  <c r="Q832" i="64"/>
  <c r="R222" i="64" s="1"/>
  <c r="Q826" i="64"/>
  <c r="R216" i="64" s="1"/>
  <c r="Q815" i="64"/>
  <c r="Q825" i="64"/>
  <c r="Q820" i="64"/>
  <c r="Q818" i="64"/>
  <c r="Q828" i="64"/>
  <c r="R218" i="64" s="1"/>
  <c r="Q819" i="64"/>
  <c r="Q835" i="64"/>
  <c r="R225" i="64" s="1"/>
  <c r="Q843" i="64"/>
  <c r="R232" i="64" s="1"/>
  <c r="Q816" i="64"/>
  <c r="Q834" i="64"/>
  <c r="R224" i="64" s="1"/>
  <c r="Q851" i="64"/>
  <c r="R239" i="64" s="1"/>
  <c r="Q837" i="64"/>
  <c r="R227" i="64" s="1"/>
  <c r="Q846" i="64"/>
  <c r="R235" i="64" s="1"/>
  <c r="Q863" i="64"/>
  <c r="Q856" i="64"/>
  <c r="Q859" i="64"/>
  <c r="Q864" i="64"/>
  <c r="Q830" i="64"/>
  <c r="R220" i="64" s="1"/>
  <c r="Q850" i="64"/>
  <c r="Q857" i="64"/>
  <c r="Q858" i="64"/>
  <c r="M1257" i="64"/>
  <c r="Z1257" i="64" s="1"/>
  <c r="M1258" i="64"/>
  <c r="Z1258" i="64" s="1"/>
  <c r="M1261" i="64"/>
  <c r="Z1261" i="64" s="1"/>
  <c r="M1262" i="64"/>
  <c r="Z1262" i="64" s="1"/>
  <c r="M1259" i="64"/>
  <c r="Z1259" i="64" s="1"/>
  <c r="M1263" i="64"/>
  <c r="Z1263" i="64" s="1"/>
  <c r="M1256" i="64"/>
  <c r="Z1256" i="64" s="1"/>
  <c r="M1242" i="64"/>
  <c r="Z1242" i="64" s="1"/>
  <c r="M1236" i="64"/>
  <c r="Z1236" i="64" s="1"/>
  <c r="M1255" i="64"/>
  <c r="Z1255" i="64" s="1"/>
  <c r="M1260" i="64"/>
  <c r="Z1260" i="64" s="1"/>
  <c r="M1201" i="64"/>
  <c r="Z1201" i="64" s="1"/>
  <c r="M1249" i="64"/>
  <c r="Z1249" i="64" s="1"/>
  <c r="M1218" i="64"/>
  <c r="Z1218" i="64" s="1"/>
  <c r="M1206" i="64"/>
  <c r="Z1206" i="64" s="1"/>
  <c r="M1208" i="64"/>
  <c r="Z1208" i="64" s="1"/>
  <c r="M1216" i="64"/>
  <c r="Z1216" i="64" s="1"/>
  <c r="M1202" i="64"/>
  <c r="Z1202" i="64" s="1"/>
  <c r="M1205" i="64"/>
  <c r="Z1205" i="64" s="1"/>
  <c r="M1231" i="64"/>
  <c r="Z1231" i="64" s="1"/>
  <c r="M1207" i="64"/>
  <c r="Z1207" i="64" s="1"/>
  <c r="M1229" i="64"/>
  <c r="Z1229" i="64" s="1"/>
  <c r="M1215" i="64"/>
  <c r="Z1215" i="64" s="1"/>
  <c r="M1228" i="64"/>
  <c r="M1223" i="64"/>
  <c r="Z1223" i="64" s="1"/>
  <c r="M1214" i="64"/>
  <c r="Z1214" i="64" s="1"/>
  <c r="M1227" i="64"/>
  <c r="Z1227" i="64" s="1"/>
  <c r="M1212" i="64"/>
  <c r="Z1212" i="64" s="1"/>
  <c r="M1232" i="64"/>
  <c r="Z1232" i="64" s="1"/>
  <c r="M1220" i="64"/>
  <c r="Z1220" i="64" s="1"/>
  <c r="M1213" i="64"/>
  <c r="Z1213" i="64" s="1"/>
  <c r="M1219" i="64"/>
  <c r="Z1219" i="64" s="1"/>
  <c r="M1221" i="64"/>
  <c r="Z1221" i="64" s="1"/>
  <c r="M1203" i="64"/>
  <c r="Z1203" i="64" s="1"/>
  <c r="M1224" i="64"/>
  <c r="Z1224" i="64" s="1"/>
  <c r="M1230" i="64"/>
  <c r="Z1230" i="64" s="1"/>
  <c r="M1238" i="64"/>
  <c r="Z1238" i="64" s="1"/>
  <c r="M1222" i="64"/>
  <c r="Z1222" i="64" s="1"/>
  <c r="M1217" i="64"/>
  <c r="Z1217" i="64" s="1"/>
  <c r="M1243" i="64"/>
  <c r="Z1243" i="64" s="1"/>
  <c r="M1244" i="64"/>
  <c r="Z1244" i="64" s="1"/>
  <c r="M1245" i="64"/>
  <c r="Z1245" i="64" s="1"/>
  <c r="M1237" i="64"/>
  <c r="Z1237" i="64" s="1"/>
  <c r="M1233" i="64"/>
  <c r="Z1233" i="64" s="1"/>
  <c r="M1250" i="64"/>
  <c r="Z1250" i="64" s="1"/>
  <c r="M1246" i="64"/>
  <c r="Z1246" i="64" s="1"/>
  <c r="M1251" i="64"/>
  <c r="Z1251" i="64" s="1"/>
  <c r="AY1314" i="64"/>
  <c r="BL1247" i="64"/>
  <c r="CL1234" i="64"/>
  <c r="CY1214" i="64"/>
  <c r="L1288" i="64"/>
  <c r="AL1305" i="64"/>
  <c r="CL1240" i="64"/>
  <c r="CL1243" i="64"/>
  <c r="CY1231" i="64"/>
  <c r="AY1317" i="64"/>
  <c r="AL1240" i="64"/>
  <c r="L1308" i="64"/>
  <c r="CL1250" i="64"/>
  <c r="BL1223" i="64"/>
  <c r="AY1233" i="64"/>
  <c r="CY1215" i="64"/>
  <c r="CY1219" i="64"/>
  <c r="L1282" i="64"/>
  <c r="BL1279" i="64"/>
  <c r="BL1306" i="64"/>
  <c r="CL1219" i="64"/>
  <c r="AY1228" i="64"/>
  <c r="CY1220" i="64"/>
  <c r="AL1223" i="64"/>
  <c r="CL1220" i="64"/>
  <c r="CL1235" i="64"/>
  <c r="AL1247" i="64"/>
  <c r="CY1234" i="64"/>
  <c r="Y1305" i="64"/>
  <c r="AY1240" i="64"/>
  <c r="BY1231" i="64"/>
  <c r="L1314" i="64"/>
  <c r="BY1276" i="64"/>
  <c r="BY1321" i="64"/>
  <c r="AY1276" i="64"/>
  <c r="AL1214" i="64"/>
  <c r="BL1243" i="64"/>
  <c r="CY1250" i="64"/>
  <c r="BL1302" i="64"/>
  <c r="CY1208" i="64"/>
  <c r="BL1280" i="64"/>
  <c r="AL1216" i="64"/>
  <c r="CY1254" i="64"/>
  <c r="BY1205" i="64"/>
  <c r="AL1209" i="64"/>
  <c r="CL1216" i="64"/>
  <c r="AY1213" i="64"/>
  <c r="BY1215" i="64"/>
  <c r="BL1213" i="64"/>
  <c r="L1289" i="64"/>
  <c r="AL1313" i="64"/>
  <c r="Y1319" i="64"/>
  <c r="CL1260" i="64"/>
  <c r="AY1263" i="64"/>
  <c r="BL1335" i="64"/>
  <c r="Y1339" i="64"/>
  <c r="AY1308" i="64"/>
  <c r="AY1202" i="64"/>
  <c r="Y1290" i="64"/>
  <c r="AL1294" i="64"/>
  <c r="AY1239" i="64"/>
  <c r="CY1212" i="64"/>
  <c r="BY1334" i="64"/>
  <c r="CY1259" i="64"/>
  <c r="CY1211" i="64"/>
  <c r="BY1301" i="64"/>
  <c r="BY1329" i="64"/>
  <c r="BL1329" i="64"/>
  <c r="AL1258" i="64"/>
  <c r="CY1258" i="64"/>
  <c r="BY1244" i="64"/>
  <c r="AL1215" i="64"/>
  <c r="BY1207" i="64"/>
  <c r="AY1338" i="64"/>
  <c r="BL1338" i="64"/>
  <c r="AY1266" i="64"/>
  <c r="AL1265" i="64"/>
  <c r="AL1288" i="64"/>
  <c r="AL1267" i="64"/>
  <c r="AL1310" i="64"/>
  <c r="BL1258" i="64"/>
  <c r="L1339" i="64"/>
  <c r="AL1250" i="64"/>
  <c r="CY1213" i="64"/>
  <c r="BL1208" i="64"/>
  <c r="AY1306" i="64"/>
  <c r="BY1303" i="64"/>
  <c r="BL1242" i="64"/>
  <c r="BL1333" i="64"/>
  <c r="AY1339" i="64"/>
  <c r="L1292" i="64"/>
  <c r="BL1237" i="64"/>
  <c r="BL1267" i="64"/>
  <c r="CY1263" i="64"/>
  <c r="AY1300" i="64"/>
  <c r="AL1218" i="64"/>
  <c r="AY1318" i="64"/>
  <c r="AL1234" i="64"/>
  <c r="BY1322" i="64"/>
  <c r="AL1287" i="64"/>
  <c r="BL1289" i="64"/>
  <c r="AL1232" i="64"/>
  <c r="AY1311" i="64"/>
  <c r="AY1334" i="64"/>
  <c r="BL1340" i="64"/>
  <c r="AL1204" i="64"/>
  <c r="Y1288" i="64"/>
  <c r="L1284" i="64"/>
  <c r="BY1317" i="64"/>
  <c r="BY1288" i="64"/>
  <c r="Y1318" i="64"/>
  <c r="CL1231" i="64"/>
  <c r="CL1244" i="64"/>
  <c r="CL1214" i="64"/>
  <c r="AL1318" i="64"/>
  <c r="AY1247" i="64"/>
  <c r="BY1314" i="64"/>
  <c r="L1276" i="64"/>
  <c r="AY1290" i="64"/>
  <c r="Y1287" i="64"/>
  <c r="BY1328" i="64"/>
  <c r="BY1283" i="64"/>
  <c r="BL1297" i="64"/>
  <c r="BY1289" i="64"/>
  <c r="AL1206" i="64"/>
  <c r="BY1281" i="64"/>
  <c r="BY1297" i="64"/>
  <c r="BY1307" i="64"/>
  <c r="CL1206" i="64"/>
  <c r="AL1213" i="64"/>
  <c r="L1279" i="64"/>
  <c r="BY1239" i="64"/>
  <c r="BL1286" i="64"/>
  <c r="AL1236" i="64"/>
  <c r="L1333" i="64"/>
  <c r="BY1335" i="64"/>
  <c r="CL1218" i="64"/>
  <c r="BL1308" i="64"/>
  <c r="AY1324" i="64"/>
  <c r="CY1223" i="64"/>
  <c r="AL1280" i="64"/>
  <c r="BY1237" i="64"/>
  <c r="Y1341" i="64"/>
  <c r="AY1310" i="64"/>
  <c r="BY1261" i="64"/>
  <c r="Y1300" i="64"/>
  <c r="CY1235" i="64"/>
  <c r="BL1264" i="64"/>
  <c r="BY1333" i="64"/>
  <c r="AL1211" i="64"/>
  <c r="AL1327" i="64"/>
  <c r="AL1290" i="64"/>
  <c r="BL1305" i="64"/>
  <c r="AY1305" i="64"/>
  <c r="BY1234" i="64"/>
  <c r="BL1276" i="64"/>
  <c r="BY1214" i="64"/>
  <c r="BL1214" i="64"/>
  <c r="L1321" i="64"/>
  <c r="AL1210" i="64"/>
  <c r="BL1288" i="64"/>
  <c r="CL1210" i="64"/>
  <c r="AY1288" i="64"/>
  <c r="BL1244" i="64"/>
  <c r="BY1250" i="64"/>
  <c r="L1290" i="64"/>
  <c r="BY1233" i="64"/>
  <c r="AL1233" i="64"/>
  <c r="BY1302" i="64"/>
  <c r="BY1306" i="64"/>
  <c r="BL1248" i="64"/>
  <c r="BL1266" i="64"/>
  <c r="AL1227" i="64"/>
  <c r="BL1324" i="64"/>
  <c r="BY1232" i="64"/>
  <c r="AY1255" i="64"/>
  <c r="CL1261" i="64"/>
  <c r="AY1214" i="64"/>
  <c r="AY1340" i="64"/>
  <c r="Y1301" i="64"/>
  <c r="AL1279" i="64"/>
  <c r="AY1245" i="64"/>
  <c r="AL1255" i="64"/>
  <c r="L1300" i="64"/>
  <c r="CL1227" i="64"/>
  <c r="AY1212" i="64"/>
  <c r="CL1266" i="64"/>
  <c r="BY1285" i="64"/>
  <c r="AL1317" i="64"/>
  <c r="AL1307" i="64"/>
  <c r="AY1220" i="64"/>
  <c r="CL1207" i="64"/>
  <c r="BL1341" i="64"/>
  <c r="CY1204" i="64"/>
  <c r="BY1339" i="64"/>
  <c r="AY1319" i="64"/>
  <c r="CL1264" i="64"/>
  <c r="AL1332" i="64"/>
  <c r="CL1253" i="64"/>
  <c r="AY1210" i="64"/>
  <c r="Y1293" i="64"/>
  <c r="BL1233" i="64"/>
  <c r="AL1205" i="64"/>
  <c r="AY1313" i="64"/>
  <c r="BL1236" i="64"/>
  <c r="AL1278" i="64"/>
  <c r="AY1292" i="64"/>
  <c r="AL1321" i="64"/>
  <c r="AY1284" i="64"/>
  <c r="BY1290" i="64"/>
  <c r="Y1282" i="64"/>
  <c r="CY1209" i="64"/>
  <c r="AY1286" i="64"/>
  <c r="AY1316" i="64"/>
  <c r="AL1333" i="64"/>
  <c r="BY1204" i="64"/>
  <c r="AY1327" i="64"/>
  <c r="AL1314" i="64"/>
  <c r="L1305" i="64"/>
  <c r="BY1324" i="64"/>
  <c r="BY1208" i="64"/>
  <c r="AL1207" i="64"/>
  <c r="Y1286" i="64"/>
  <c r="BY1260" i="64"/>
  <c r="Y1340" i="64"/>
  <c r="BL1278" i="64"/>
  <c r="Y1327" i="64"/>
  <c r="AL1308" i="64"/>
  <c r="BY1284" i="64"/>
  <c r="BL1202" i="64"/>
  <c r="AL1302" i="64"/>
  <c r="AY1206" i="64"/>
  <c r="BL1311" i="64"/>
  <c r="CY1260" i="64"/>
  <c r="AY1260" i="64"/>
  <c r="AL1259" i="64"/>
  <c r="BL1226" i="64"/>
  <c r="AY1253" i="64"/>
  <c r="BL1314" i="64"/>
  <c r="BY1240" i="64"/>
  <c r="CL1202" i="64"/>
  <c r="AY1287" i="64"/>
  <c r="Y1279" i="64"/>
  <c r="BL1281" i="64"/>
  <c r="AL1286" i="64"/>
  <c r="L1329" i="64"/>
  <c r="AY1259" i="64"/>
  <c r="CY1261" i="64"/>
  <c r="CY1205" i="64"/>
  <c r="AL1282" i="64"/>
  <c r="AY1207" i="64"/>
  <c r="BY1264" i="64"/>
  <c r="AY1204" i="64"/>
  <c r="BL1284" i="64"/>
  <c r="Y1324" i="64"/>
  <c r="AY1283" i="64"/>
  <c r="AY1330" i="64"/>
  <c r="L1285" i="64"/>
  <c r="AY1303" i="64"/>
  <c r="L1336" i="64"/>
  <c r="BY1235" i="64"/>
  <c r="AY1280" i="64"/>
  <c r="BL1212" i="64"/>
  <c r="Y1316" i="64"/>
  <c r="AY1332" i="64"/>
  <c r="AL1235" i="64"/>
  <c r="BY1330" i="64"/>
  <c r="BY1262" i="64"/>
  <c r="AY1211" i="64"/>
  <c r="BL1219" i="64"/>
  <c r="CY1233" i="64"/>
  <c r="AY1289" i="64"/>
  <c r="CL1212" i="64"/>
  <c r="BY1256" i="64"/>
  <c r="AL1339" i="64"/>
  <c r="AY1301" i="64"/>
  <c r="L1334" i="64"/>
  <c r="CL1242" i="64"/>
  <c r="CL1258" i="64"/>
  <c r="CY1227" i="64"/>
  <c r="BL1210" i="64"/>
  <c r="BY1223" i="64"/>
  <c r="AL1328" i="64"/>
  <c r="BL1206" i="64"/>
  <c r="AY1229" i="64"/>
  <c r="AY1267" i="64"/>
  <c r="AY1278" i="64"/>
  <c r="BL1253" i="64"/>
  <c r="BY1247" i="64"/>
  <c r="BL1234" i="64"/>
  <c r="AL1297" i="64"/>
  <c r="BL1215" i="64"/>
  <c r="BL1207" i="64"/>
  <c r="BY1212" i="64"/>
  <c r="AL1341" i="64"/>
  <c r="BL1262" i="64"/>
  <c r="BL1332" i="64"/>
  <c r="L1301" i="64"/>
  <c r="BY1210" i="64"/>
  <c r="CY1247" i="64"/>
  <c r="AY1297" i="64"/>
  <c r="BL1254" i="64"/>
  <c r="L1313" i="64"/>
  <c r="AY1248" i="64"/>
  <c r="BY1236" i="64"/>
  <c r="BY1337" i="64"/>
  <c r="AY1226" i="64"/>
  <c r="BL1301" i="64"/>
  <c r="Y1317" i="64"/>
  <c r="BY1308" i="64"/>
  <c r="AY1216" i="64"/>
  <c r="L1328" i="64"/>
  <c r="BL1232" i="64"/>
  <c r="BY1311" i="64"/>
  <c r="BY1310" i="64"/>
  <c r="BL1310" i="64"/>
  <c r="BY1265" i="64"/>
  <c r="BY1300" i="64"/>
  <c r="BL1231" i="64"/>
  <c r="AL1244" i="64"/>
  <c r="BY1318" i="64"/>
  <c r="BL1250" i="64"/>
  <c r="BL1220" i="64"/>
  <c r="Y1280" i="64"/>
  <c r="CL1254" i="64"/>
  <c r="CL1232" i="64"/>
  <c r="L1324" i="64"/>
  <c r="L1311" i="64"/>
  <c r="L1341" i="64"/>
  <c r="CY1265" i="64"/>
  <c r="Y1308" i="64"/>
  <c r="BL1287" i="64"/>
  <c r="Y1311" i="64"/>
  <c r="CY1266" i="64"/>
  <c r="AY1218" i="64"/>
  <c r="Y1334" i="64"/>
  <c r="BY1226" i="64"/>
  <c r="CY1228" i="64"/>
  <c r="L1281" i="64"/>
  <c r="BY1242" i="64"/>
  <c r="AL1337" i="64"/>
  <c r="AY1261" i="64"/>
  <c r="BL1303" i="64"/>
  <c r="Y1338" i="64"/>
  <c r="L1337" i="64"/>
  <c r="BY1292" i="64"/>
  <c r="AL1293" i="64"/>
  <c r="BL1282" i="64"/>
  <c r="L1306" i="64"/>
  <c r="BL1330" i="64"/>
  <c r="BL1263" i="64"/>
  <c r="BL1300" i="64"/>
  <c r="Y1309" i="64"/>
  <c r="AL1242" i="64"/>
  <c r="AY1337" i="64"/>
  <c r="AL1261" i="64"/>
  <c r="AY1235" i="64"/>
  <c r="L1317" i="64"/>
  <c r="L1302" i="64"/>
  <c r="BL1294" i="64"/>
  <c r="L1283" i="64"/>
  <c r="AL1329" i="64"/>
  <c r="CL1259" i="64"/>
  <c r="BL1339" i="64"/>
  <c r="BL1227" i="64"/>
  <c r="CL1247" i="64"/>
  <c r="BY1243" i="64"/>
  <c r="CL1233" i="64"/>
  <c r="L1280" i="64"/>
  <c r="AL1239" i="64"/>
  <c r="Y1330" i="64"/>
  <c r="Y1329" i="64"/>
  <c r="BL1211" i="64"/>
  <c r="BL1257" i="64"/>
  <c r="BL1235" i="64"/>
  <c r="AL1243" i="64"/>
  <c r="BL1318" i="64"/>
  <c r="CL1228" i="64"/>
  <c r="BY1254" i="64"/>
  <c r="CL1239" i="64"/>
  <c r="BY1255" i="64"/>
  <c r="BY1267" i="64"/>
  <c r="AY1285" i="64"/>
  <c r="BL1265" i="64"/>
  <c r="BY1309" i="64"/>
  <c r="BY1305" i="64"/>
  <c r="AY1243" i="64"/>
  <c r="BL1216" i="64"/>
  <c r="Y1294" i="64"/>
  <c r="AY1281" i="64"/>
  <c r="CY1245" i="64"/>
  <c r="AY1329" i="64"/>
  <c r="CL1262" i="64"/>
  <c r="CL1265" i="64"/>
  <c r="CY1218" i="64"/>
  <c r="AY1321" i="64"/>
  <c r="AY1234" i="64"/>
  <c r="AY1244" i="64"/>
  <c r="AY1293" i="64"/>
  <c r="AL1220" i="64"/>
  <c r="AL1306" i="64"/>
  <c r="AL1245" i="64"/>
  <c r="BL1316" i="64"/>
  <c r="BL1336" i="64"/>
  <c r="AL1331" i="64"/>
  <c r="BY1331" i="64"/>
  <c r="Y1321" i="64"/>
  <c r="AL1202" i="64"/>
  <c r="Y1277" i="64"/>
  <c r="BL1209" i="64"/>
  <c r="AL1219" i="64"/>
  <c r="CL1208" i="64"/>
  <c r="BL1319" i="64"/>
  <c r="BL1256" i="64"/>
  <c r="L1278" i="64"/>
  <c r="BL1317" i="64"/>
  <c r="AY1328" i="64"/>
  <c r="BY1319" i="64"/>
  <c r="AL1336" i="64"/>
  <c r="L1327" i="64"/>
  <c r="CY1236" i="64"/>
  <c r="AL1335" i="64"/>
  <c r="AY1282" i="64"/>
  <c r="AY1237" i="64"/>
  <c r="BY1341" i="64"/>
  <c r="BL1337" i="64"/>
  <c r="Y1331" i="64"/>
  <c r="Y1303" i="64"/>
  <c r="CY1242" i="64"/>
  <c r="BY1258" i="64"/>
  <c r="AL1253" i="64"/>
  <c r="AL1228" i="64"/>
  <c r="AL1254" i="64"/>
  <c r="AY1209" i="64"/>
  <c r="AL1334" i="64"/>
  <c r="BY1340" i="64"/>
  <c r="AL1285" i="64"/>
  <c r="BY1313" i="64"/>
  <c r="CY1255" i="64"/>
  <c r="AL1340" i="64"/>
  <c r="BY1332" i="64"/>
  <c r="Y1284" i="64"/>
  <c r="BL1293" i="64"/>
  <c r="BY1287" i="64"/>
  <c r="AY1279" i="64"/>
  <c r="CY1207" i="64"/>
  <c r="AL1338" i="64"/>
  <c r="AY1336" i="64"/>
  <c r="BL1261" i="64"/>
  <c r="AL1231" i="64"/>
  <c r="CY1240" i="64"/>
  <c r="BY1293" i="64"/>
  <c r="BL1307" i="64"/>
  <c r="AY1232" i="64"/>
  <c r="CL1245" i="64"/>
  <c r="BL1260" i="64"/>
  <c r="AY1333" i="64"/>
  <c r="BL1204" i="64"/>
  <c r="AL1292" i="64"/>
  <c r="Y1314" i="64"/>
  <c r="Y1276" i="64"/>
  <c r="CY1202" i="64"/>
  <c r="L1307" i="64"/>
  <c r="AL1283" i="64"/>
  <c r="CY1229" i="64"/>
  <c r="CL1256" i="64"/>
  <c r="L1340" i="64"/>
  <c r="BL1285" i="64"/>
  <c r="BY1253" i="64"/>
  <c r="CY1244" i="64"/>
  <c r="BL1240" i="64"/>
  <c r="BY1202" i="64"/>
  <c r="AY1223" i="64"/>
  <c r="AL1289" i="64"/>
  <c r="CY1239" i="64"/>
  <c r="AL1229" i="64"/>
  <c r="AY1256" i="64"/>
  <c r="CY1262" i="64"/>
  <c r="AY1257" i="64"/>
  <c r="AL1276" i="64"/>
  <c r="CL1209" i="64"/>
  <c r="CL1267" i="64"/>
  <c r="AY1331" i="64"/>
  <c r="AY1231" i="64"/>
  <c r="BY1248" i="64"/>
  <c r="CL1217" i="64"/>
  <c r="BY1304" i="64"/>
  <c r="AY1320" i="64"/>
  <c r="BL1298" i="64"/>
  <c r="Y1322" i="64"/>
  <c r="CY1246" i="64"/>
  <c r="BL1325" i="64"/>
  <c r="Y1323" i="64"/>
  <c r="AY1246" i="64"/>
  <c r="AY1221" i="64"/>
  <c r="CY1216" i="64"/>
  <c r="BY1228" i="64"/>
  <c r="AY1294" i="64"/>
  <c r="CY1232" i="64"/>
  <c r="BL1229" i="64"/>
  <c r="CL1255" i="64"/>
  <c r="BY1259" i="64"/>
  <c r="AY1265" i="64"/>
  <c r="AL1248" i="64"/>
  <c r="AL1291" i="64"/>
  <c r="AY1238" i="64"/>
  <c r="AL1277" i="64"/>
  <c r="BY1251" i="64"/>
  <c r="AL1249" i="64"/>
  <c r="L1277" i="64"/>
  <c r="BY1225" i="64"/>
  <c r="AL1304" i="64"/>
  <c r="BY1277" i="64"/>
  <c r="AL1224" i="64"/>
  <c r="AY1250" i="64"/>
  <c r="BY1213" i="64"/>
  <c r="BY1206" i="64"/>
  <c r="Y1313" i="64"/>
  <c r="BY1229" i="64"/>
  <c r="AY1264" i="64"/>
  <c r="BL1259" i="64"/>
  <c r="BY1211" i="64"/>
  <c r="AL1309" i="64"/>
  <c r="BL1320" i="64"/>
  <c r="AY1295" i="64"/>
  <c r="AL1315" i="64"/>
  <c r="Y1299" i="64"/>
  <c r="Y1304" i="64"/>
  <c r="BL1222" i="64"/>
  <c r="AY1217" i="64"/>
  <c r="AL1312" i="64"/>
  <c r="AL1222" i="64"/>
  <c r="BY1325" i="64"/>
  <c r="L1293" i="64"/>
  <c r="CL1213" i="64"/>
  <c r="BL1205" i="64"/>
  <c r="CL1237" i="64"/>
  <c r="CY1264" i="64"/>
  <c r="AL1262" i="64"/>
  <c r="Y1285" i="64"/>
  <c r="Y1292" i="64"/>
  <c r="L1309" i="64"/>
  <c r="L1326" i="64"/>
  <c r="Y1295" i="64"/>
  <c r="CL1222" i="64"/>
  <c r="CL1225" i="64"/>
  <c r="BL1230" i="64"/>
  <c r="BL1296" i="64"/>
  <c r="L1299" i="64"/>
  <c r="AL1238" i="64"/>
  <c r="CY1222" i="64"/>
  <c r="BL1251" i="64"/>
  <c r="CL1248" i="64"/>
  <c r="AL1208" i="64"/>
  <c r="BY1209" i="64"/>
  <c r="L1286" i="64"/>
  <c r="AY1341" i="64"/>
  <c r="AY1262" i="64"/>
  <c r="L1335" i="64"/>
  <c r="BY1218" i="64"/>
  <c r="CY1210" i="64"/>
  <c r="CY1237" i="64"/>
  <c r="BY1338" i="64"/>
  <c r="Y1278" i="64"/>
  <c r="L1318" i="64"/>
  <c r="AY1275" i="64"/>
  <c r="Y1325" i="64"/>
  <c r="AL1323" i="64"/>
  <c r="BL1326" i="64"/>
  <c r="AL1221" i="64"/>
  <c r="Y1315" i="64"/>
  <c r="BY1252" i="64"/>
  <c r="CY1224" i="64"/>
  <c r="BL1275" i="64"/>
  <c r="L1291" i="64"/>
  <c r="BY1312" i="64"/>
  <c r="BL1290" i="64"/>
  <c r="BL1328" i="64"/>
  <c r="AY1215" i="64"/>
  <c r="BL1313" i="64"/>
  <c r="AL1264" i="64"/>
  <c r="CY1256" i="64"/>
  <c r="CL1226" i="64"/>
  <c r="BY1278" i="64"/>
  <c r="L1275" i="64"/>
  <c r="BY1299" i="64"/>
  <c r="BL1304" i="64"/>
  <c r="L1320" i="64"/>
  <c r="CL1221" i="64"/>
  <c r="CY1248" i="64"/>
  <c r="AL1320" i="64"/>
  <c r="L1325" i="64"/>
  <c r="AY1323" i="64"/>
  <c r="CL1246" i="64"/>
  <c r="BY1295" i="64"/>
  <c r="AY1219" i="64"/>
  <c r="AY1208" i="64"/>
  <c r="BY1280" i="64"/>
  <c r="AL1237" i="64"/>
  <c r="L1303" i="64"/>
  <c r="AY1242" i="64"/>
  <c r="AL1266" i="64"/>
  <c r="CL1211" i="64"/>
  <c r="L1322" i="64"/>
  <c r="BY1217" i="64"/>
  <c r="Y1312" i="64"/>
  <c r="CL1203" i="64"/>
  <c r="AY1251" i="64"/>
  <c r="AY1249" i="64"/>
  <c r="AL1203" i="64"/>
  <c r="BL1225" i="64"/>
  <c r="BY1230" i="64"/>
  <c r="BY1203" i="64"/>
  <c r="Y1298" i="64"/>
  <c r="BY1219" i="64"/>
  <c r="AY1307" i="64"/>
  <c r="Y1306" i="64"/>
  <c r="AL1212" i="64"/>
  <c r="AL1316" i="64"/>
  <c r="AL1263" i="64"/>
  <c r="CL1204" i="64"/>
  <c r="BL1327" i="64"/>
  <c r="AY1322" i="64"/>
  <c r="BY1291" i="64"/>
  <c r="BL1312" i="64"/>
  <c r="BL1277" i="64"/>
  <c r="AL1298" i="64"/>
  <c r="BY1249" i="64"/>
  <c r="AY1277" i="64"/>
  <c r="AL1325" i="64"/>
  <c r="AL1230" i="64"/>
  <c r="BL1203" i="64"/>
  <c r="BY1224" i="64"/>
  <c r="L1297" i="64"/>
  <c r="BY1294" i="64"/>
  <c r="BL1239" i="64"/>
  <c r="AL1322" i="64"/>
  <c r="AL1256" i="64"/>
  <c r="Y1337" i="64"/>
  <c r="CY1257" i="64"/>
  <c r="CY1253" i="64"/>
  <c r="BL1218" i="64"/>
  <c r="BL1228" i="64"/>
  <c r="CL1229" i="64"/>
  <c r="BY1263" i="64"/>
  <c r="AL1301" i="64"/>
  <c r="AL1284" i="64"/>
  <c r="BL1241" i="64"/>
  <c r="BL1224" i="64"/>
  <c r="BY1315" i="64"/>
  <c r="AY1291" i="64"/>
  <c r="AY1304" i="64"/>
  <c r="AY1296" i="64"/>
  <c r="BL1291" i="64"/>
  <c r="CY1221" i="64"/>
  <c r="BY1222" i="64"/>
  <c r="AY1225" i="64"/>
  <c r="BL1323" i="64"/>
  <c r="Y1297" i="64"/>
  <c r="Y1328" i="64"/>
  <c r="CL1205" i="64"/>
  <c r="AL1311" i="64"/>
  <c r="BY1316" i="64"/>
  <c r="BY1336" i="64"/>
  <c r="L1332" i="64"/>
  <c r="AY1335" i="64"/>
  <c r="AY1241" i="64"/>
  <c r="AL1251" i="64"/>
  <c r="AL1201" i="64"/>
  <c r="AY1326" i="64"/>
  <c r="L1312" i="64"/>
  <c r="BL1315" i="64"/>
  <c r="BL1252" i="64"/>
  <c r="AY1298" i="64"/>
  <c r="L1315" i="64"/>
  <c r="AL1217" i="64"/>
  <c r="AY1230" i="64"/>
  <c r="BY1216" i="64"/>
  <c r="AY1254" i="64"/>
  <c r="BL1283" i="64"/>
  <c r="BY1245" i="64"/>
  <c r="BY1286" i="64"/>
  <c r="CL1236" i="64"/>
  <c r="Y1336" i="64"/>
  <c r="BL1331" i="64"/>
  <c r="AY1201" i="64"/>
  <c r="CY1225" i="64"/>
  <c r="BL1249" i="64"/>
  <c r="Y1320" i="64"/>
  <c r="AL1295" i="64"/>
  <c r="BY1201" i="64"/>
  <c r="BY1246" i="64"/>
  <c r="AY1224" i="64"/>
  <c r="AL1275" i="64"/>
  <c r="AL1252" i="64"/>
  <c r="CY1238" i="64"/>
  <c r="BL1322" i="64"/>
  <c r="BY1282" i="64"/>
  <c r="Y1283" i="64"/>
  <c r="CY1267" i="64"/>
  <c r="Y1310" i="64"/>
  <c r="BY1257" i="64"/>
  <c r="L1331" i="64"/>
  <c r="BY1327" i="64"/>
  <c r="CL1201" i="64"/>
  <c r="AY1299" i="64"/>
  <c r="CY1249" i="64"/>
  <c r="BL1246" i="64"/>
  <c r="L1295" i="64"/>
  <c r="Y1275" i="64"/>
  <c r="AL1246" i="64"/>
  <c r="BY1298" i="64"/>
  <c r="CY1201" i="64"/>
  <c r="AY1252" i="64"/>
  <c r="CL1238" i="64"/>
  <c r="CL1223" i="64"/>
  <c r="CL1215" i="64"/>
  <c r="AL1319" i="64"/>
  <c r="AL1260" i="64"/>
  <c r="BL1334" i="64"/>
  <c r="Y1333" i="64"/>
  <c r="AL1257" i="64"/>
  <c r="BL1309" i="64"/>
  <c r="BL1321" i="64"/>
  <c r="L1294" i="64"/>
  <c r="L1338" i="64"/>
  <c r="CY1226" i="64"/>
  <c r="AY1309" i="64"/>
  <c r="CY1243" i="64"/>
  <c r="BY1326" i="64"/>
  <c r="BL1295" i="64"/>
  <c r="Y1296" i="64"/>
  <c r="AL1299" i="64"/>
  <c r="BY1323" i="64"/>
  <c r="CY1203" i="64"/>
  <c r="BL1299" i="64"/>
  <c r="CY1230" i="64"/>
  <c r="AY1203" i="64"/>
  <c r="AY1325" i="64"/>
  <c r="AL1324" i="64"/>
  <c r="AY1302" i="64"/>
  <c r="BY1220" i="64"/>
  <c r="CY1206" i="64"/>
  <c r="BL1245" i="64"/>
  <c r="AY1236" i="64"/>
  <c r="CL1263" i="64"/>
  <c r="Y1335" i="64"/>
  <c r="BY1227" i="64"/>
  <c r="BY1320" i="64"/>
  <c r="L1298" i="64"/>
  <c r="AL1241" i="64"/>
  <c r="CY1217" i="64"/>
  <c r="L1304" i="64"/>
  <c r="AY1222" i="64"/>
  <c r="BL1217" i="64"/>
  <c r="AY1312" i="64"/>
  <c r="L1296" i="64"/>
  <c r="CL1251" i="64"/>
  <c r="CL1249" i="64"/>
  <c r="L1287" i="64"/>
  <c r="Y1289" i="64"/>
  <c r="Y1281" i="64"/>
  <c r="L1319" i="64"/>
  <c r="AL1330" i="64"/>
  <c r="BL1255" i="64"/>
  <c r="AL1226" i="64"/>
  <c r="AY1258" i="64"/>
  <c r="AL1296" i="64"/>
  <c r="CY1251" i="64"/>
  <c r="BL1201" i="64"/>
  <c r="AL1326" i="64"/>
  <c r="BY1238" i="64"/>
  <c r="AY1315" i="64"/>
  <c r="CY1252" i="64"/>
  <c r="BY1221" i="64"/>
  <c r="CY1241" i="64"/>
  <c r="Y1291" i="64"/>
  <c r="CL1230" i="64"/>
  <c r="Y1302" i="64"/>
  <c r="AY1205" i="64"/>
  <c r="AL1281" i="64"/>
  <c r="L1330" i="64"/>
  <c r="BY1266" i="64"/>
  <c r="CL1257" i="64"/>
  <c r="BL1292" i="64"/>
  <c r="AY1227" i="64"/>
  <c r="BY1296" i="64"/>
  <c r="CL1224" i="64"/>
  <c r="BY1275" i="64"/>
  <c r="Y1326" i="64"/>
  <c r="BL1238" i="64"/>
  <c r="BY1241" i="64"/>
  <c r="CL1252" i="64"/>
  <c r="BL1221" i="64"/>
  <c r="CL1241" i="64"/>
  <c r="AL1225" i="64"/>
  <c r="L1323" i="64"/>
  <c r="Y1307" i="64"/>
  <c r="BY1279" i="64"/>
  <c r="AL1303" i="64"/>
  <c r="L1310" i="64"/>
  <c r="L1316" i="64"/>
  <c r="AL1300" i="64"/>
  <c r="Y1332" i="64"/>
  <c r="O607" i="64"/>
  <c r="DK1243" i="64"/>
  <c r="DK1227" i="64"/>
  <c r="CK1331" i="64"/>
  <c r="DK1253" i="64"/>
  <c r="DK1250" i="64"/>
  <c r="DK1266" i="64"/>
  <c r="CK1319" i="64"/>
  <c r="CK1327" i="64"/>
  <c r="DK1202" i="64"/>
  <c r="CK1303" i="64"/>
  <c r="CK1338" i="64"/>
  <c r="DK1201" i="64"/>
  <c r="DK1219" i="64"/>
  <c r="CK1341" i="64"/>
  <c r="DK1209" i="64"/>
  <c r="CK1311" i="64"/>
  <c r="CK1301" i="64"/>
  <c r="DK1212" i="64"/>
  <c r="DK1203" i="64"/>
  <c r="CK1277" i="64"/>
  <c r="DK1246" i="64"/>
  <c r="DK1265" i="64"/>
  <c r="DK1263" i="64"/>
  <c r="CK1337" i="64"/>
  <c r="CK1288" i="64"/>
  <c r="CK1325" i="64"/>
  <c r="DK1238" i="64"/>
  <c r="CK1300" i="64"/>
  <c r="CK1281" i="64"/>
  <c r="CK1285" i="64"/>
  <c r="CK1322" i="64"/>
  <c r="CK1302" i="64"/>
  <c r="CK1310" i="64"/>
  <c r="CK1307" i="64"/>
  <c r="CK1339" i="64"/>
  <c r="DK1229" i="64"/>
  <c r="CK1323" i="64"/>
  <c r="DK1234" i="64"/>
  <c r="DK1204" i="64"/>
  <c r="CK1297" i="64"/>
  <c r="CK1283" i="64"/>
  <c r="CK1313" i="64"/>
  <c r="CK1284" i="64"/>
  <c r="CK1321" i="64"/>
  <c r="DK1206" i="64"/>
  <c r="DK1267" i="64"/>
  <c r="DK1239" i="64"/>
  <c r="DK1224" i="64"/>
  <c r="CK1298" i="64"/>
  <c r="CK1326" i="64"/>
  <c r="DK1251" i="64"/>
  <c r="CK1304" i="64"/>
  <c r="DK1244" i="64"/>
  <c r="DK1259" i="64"/>
  <c r="DK1264" i="64"/>
  <c r="CK1299" i="64"/>
  <c r="DK1233" i="64"/>
  <c r="DK1220" i="64"/>
  <c r="DK1258" i="64"/>
  <c r="CK1305" i="64"/>
  <c r="DK1257" i="64"/>
  <c r="O629" i="64"/>
  <c r="CK1320" i="64"/>
  <c r="CK1292" i="64"/>
  <c r="DK1262" i="64"/>
  <c r="CK1282" i="64"/>
  <c r="CK1278" i="64"/>
  <c r="DK1207" i="64"/>
  <c r="DK1254" i="64"/>
  <c r="DK1223" i="64"/>
  <c r="DK1232" i="64"/>
  <c r="DK1256" i="64"/>
  <c r="CK1317" i="64"/>
  <c r="DK1245" i="64"/>
  <c r="DK1230" i="64"/>
  <c r="CK1315" i="64"/>
  <c r="DK1235" i="64"/>
  <c r="DK1255" i="64"/>
  <c r="CK1328" i="64"/>
  <c r="DK1240" i="64"/>
  <c r="DK1249" i="64"/>
  <c r="DK1216" i="64"/>
  <c r="DK1226" i="64"/>
  <c r="DK1214" i="64"/>
  <c r="DK1210" i="64"/>
  <c r="CK1334" i="64"/>
  <c r="CK1296" i="64"/>
  <c r="DK1221" i="64"/>
  <c r="CK1308" i="64"/>
  <c r="CK1290" i="64"/>
  <c r="CK1316" i="64"/>
  <c r="CK1276" i="64"/>
  <c r="CK1286" i="64"/>
  <c r="CK1306" i="64"/>
  <c r="DK1215" i="64"/>
  <c r="CK1314" i="64"/>
  <c r="CK1294" i="64"/>
  <c r="CK1340" i="64"/>
  <c r="DK1213" i="64"/>
  <c r="DK1222" i="64"/>
  <c r="CK1333" i="64"/>
  <c r="CK1280" i="64"/>
  <c r="CK1318" i="64"/>
  <c r="CK1275" i="64"/>
  <c r="DK1217" i="64"/>
  <c r="DK1231" i="64"/>
  <c r="CK1329" i="64"/>
  <c r="DK1211" i="64"/>
  <c r="N680" i="77"/>
  <c r="CI1158" i="64"/>
  <c r="CY1158" i="64" s="1"/>
  <c r="CI1170" i="64"/>
  <c r="CY1170" i="64" s="1"/>
  <c r="AA879" i="64"/>
  <c r="O386" i="77" s="1"/>
  <c r="BA860" i="64"/>
  <c r="AN856" i="64"/>
  <c r="AB790" i="64"/>
  <c r="AO790" i="64" s="1"/>
  <c r="W435" i="40"/>
  <c r="W439" i="40"/>
  <c r="W406" i="40"/>
  <c r="W438" i="40"/>
  <c r="W391" i="40"/>
  <c r="W431" i="40"/>
  <c r="W397" i="40"/>
  <c r="W433" i="40"/>
  <c r="W434" i="40"/>
  <c r="W408" i="40"/>
  <c r="W392" i="40"/>
  <c r="W400" i="40"/>
  <c r="W437" i="40"/>
  <c r="W436" i="40"/>
  <c r="W402" i="40"/>
  <c r="W430" i="40"/>
  <c r="W394" i="40"/>
  <c r="W401" i="40"/>
  <c r="W441" i="40"/>
  <c r="W440" i="40"/>
  <c r="W404" i="40"/>
  <c r="W387" i="40"/>
  <c r="W396" i="40"/>
  <c r="W407" i="40"/>
  <c r="L1032" i="64"/>
  <c r="L1103" i="64" s="1"/>
  <c r="CI1173" i="64"/>
  <c r="CY1173" i="64" s="1"/>
  <c r="L1009" i="64"/>
  <c r="L1080" i="64" s="1"/>
  <c r="CI1185" i="64"/>
  <c r="CY1185" i="64" s="1"/>
  <c r="CW1104" i="64"/>
  <c r="DM1104" i="64" s="1"/>
  <c r="L989" i="64"/>
  <c r="L1060" i="64" s="1"/>
  <c r="L1033" i="64"/>
  <c r="L1104" i="64" s="1"/>
  <c r="L1028" i="64"/>
  <c r="L1099" i="64" s="1"/>
  <c r="W399" i="40"/>
  <c r="W411" i="40"/>
  <c r="L987" i="64"/>
  <c r="L1058" i="64" s="1"/>
  <c r="L984" i="64"/>
  <c r="L1055" i="64" s="1"/>
  <c r="L1020" i="64"/>
  <c r="L1091" i="64" s="1"/>
  <c r="N569" i="74"/>
  <c r="W398" i="40"/>
  <c r="W403" i="40"/>
  <c r="K461" i="73"/>
  <c r="W405" i="40"/>
  <c r="W432" i="40"/>
  <c r="W410" i="40"/>
  <c r="L1002" i="64"/>
  <c r="L1073" i="64" s="1"/>
  <c r="CW1077" i="64"/>
  <c r="DM1077" i="64" s="1"/>
  <c r="CI1178" i="64"/>
  <c r="CY1178" i="64" s="1"/>
  <c r="L1013" i="64"/>
  <c r="L1084" i="64" s="1"/>
  <c r="L1025" i="64"/>
  <c r="L1096" i="64" s="1"/>
  <c r="L1012" i="64"/>
  <c r="L1083" i="64" s="1"/>
  <c r="L1003" i="64"/>
  <c r="L1074" i="64" s="1"/>
  <c r="P589" i="79"/>
  <c r="A436" i="77"/>
  <c r="A454" i="77" s="1"/>
  <c r="A5" i="71" s="1"/>
  <c r="A28" i="71" s="1"/>
  <c r="A42" i="71" s="1"/>
  <c r="A96" i="71" s="1"/>
  <c r="A645" i="77"/>
  <c r="N244" i="74"/>
  <c r="Q383" i="77"/>
  <c r="Q455" i="77"/>
  <c r="N243" i="74"/>
  <c r="N241" i="74"/>
  <c r="Q318" i="77"/>
  <c r="Q353" i="77"/>
  <c r="N242" i="74"/>
  <c r="Q138" i="77"/>
  <c r="Q252" i="77"/>
  <c r="Q613" i="79"/>
  <c r="Q1400" i="79"/>
  <c r="Q605" i="79"/>
  <c r="Q629" i="79"/>
  <c r="M220" i="85"/>
  <c r="M218" i="85"/>
  <c r="R583" i="79"/>
  <c r="R584" i="79"/>
  <c r="R585" i="79"/>
  <c r="R588" i="79"/>
  <c r="R568" i="79"/>
  <c r="R567" i="79"/>
  <c r="R569" i="79"/>
  <c r="R572" i="79"/>
  <c r="R580" i="79"/>
  <c r="R576" i="79"/>
  <c r="R575" i="79"/>
  <c r="R577" i="79"/>
  <c r="R768" i="79"/>
  <c r="R767" i="79"/>
  <c r="R755" i="79"/>
  <c r="R756" i="79"/>
  <c r="W409" i="40"/>
  <c r="W418" i="40"/>
  <c r="AJ1053" i="64"/>
  <c r="I1126" i="64"/>
  <c r="Q578" i="79"/>
  <c r="Q1393" i="79"/>
  <c r="Q1632" i="79"/>
  <c r="Q597" i="79"/>
  <c r="P137" i="77"/>
  <c r="O599" i="73"/>
  <c r="O605" i="73" s="1"/>
  <c r="O600" i="73"/>
  <c r="O576" i="73"/>
  <c r="O565" i="73"/>
  <c r="O577" i="73"/>
  <c r="O587" i="73"/>
  <c r="O593" i="73" s="1"/>
  <c r="BQ204" i="65"/>
  <c r="AC715" i="64" s="1"/>
  <c r="BQ212" i="65"/>
  <c r="BQ209" i="65"/>
  <c r="BQ205" i="65"/>
  <c r="AC716" i="64" s="1"/>
  <c r="BQ208" i="65"/>
  <c r="AC790" i="64" s="1"/>
  <c r="BQ206" i="65"/>
  <c r="AC717" i="64" s="1"/>
  <c r="BQ211" i="65"/>
  <c r="AC722" i="64" s="1"/>
  <c r="BQ203" i="65"/>
  <c r="AC714" i="64" s="1"/>
  <c r="BQ207" i="65"/>
  <c r="AC789" i="64" s="1"/>
  <c r="BQ210" i="65"/>
  <c r="BQ213" i="65"/>
  <c r="BQ214" i="65"/>
  <c r="AC796" i="64" s="1"/>
  <c r="P11" i="73"/>
  <c r="P68" i="73"/>
  <c r="P90" i="73" s="1"/>
  <c r="P100" i="73" s="1"/>
  <c r="P128" i="73" s="1"/>
  <c r="P156" i="73" s="1"/>
  <c r="P184" i="73" s="1"/>
  <c r="P211" i="73" s="1"/>
  <c r="P238" i="73" s="1"/>
  <c r="P264" i="73" s="1"/>
  <c r="P286" i="73" s="1"/>
  <c r="P309" i="73" s="1"/>
  <c r="P331" i="73" s="1"/>
  <c r="P8" i="85" s="1"/>
  <c r="P7" i="73"/>
  <c r="AT1274" i="64"/>
  <c r="CG1200" i="64"/>
  <c r="P1390" i="79"/>
  <c r="Q700" i="79"/>
  <c r="Q701" i="79"/>
  <c r="Q702" i="79"/>
  <c r="Q1395" i="79"/>
  <c r="Q586" i="79"/>
  <c r="O623" i="79"/>
  <c r="O2113" i="79" s="1"/>
  <c r="O2402" i="79" s="1"/>
  <c r="O1392" i="79"/>
  <c r="P1392" i="79"/>
  <c r="K72" i="83"/>
  <c r="K16" i="80"/>
  <c r="N565" i="74"/>
  <c r="X1053" i="64"/>
  <c r="X1200" i="64"/>
  <c r="AK1200" i="64" s="1"/>
  <c r="R735" i="79"/>
  <c r="R736" i="79"/>
  <c r="R618" i="79"/>
  <c r="R619" i="79"/>
  <c r="R620" i="79"/>
  <c r="R727" i="79"/>
  <c r="R1220" i="79" s="1"/>
  <c r="R1288" i="79" s="1"/>
  <c r="R728" i="79"/>
  <c r="R740" i="79"/>
  <c r="R739" i="79"/>
  <c r="R759" i="79"/>
  <c r="R760" i="79"/>
  <c r="L1200" i="64"/>
  <c r="L1053" i="64"/>
  <c r="BP221" i="65"/>
  <c r="AB857" i="64" s="1"/>
  <c r="BB857" i="64" s="1"/>
  <c r="BP230" i="65"/>
  <c r="AB866" i="64" s="1"/>
  <c r="BB866" i="64" s="1"/>
  <c r="BP223" i="65"/>
  <c r="AB859" i="64" s="1"/>
  <c r="BB859" i="64" s="1"/>
  <c r="BP229" i="65"/>
  <c r="AB865" i="64" s="1"/>
  <c r="BB865" i="64" s="1"/>
  <c r="BP226" i="65"/>
  <c r="BP231" i="65"/>
  <c r="AB867" i="64" s="1"/>
  <c r="AO867" i="64" s="1"/>
  <c r="BP220" i="65"/>
  <c r="AB856" i="64" s="1"/>
  <c r="BB856" i="64" s="1"/>
  <c r="BP222" i="65"/>
  <c r="AB858" i="64" s="1"/>
  <c r="AO858" i="64" s="1"/>
  <c r="BP225" i="65"/>
  <c r="AB861" i="64" s="1"/>
  <c r="BB861" i="64" s="1"/>
  <c r="BP227" i="65"/>
  <c r="AB863" i="64" s="1"/>
  <c r="AO863" i="64" s="1"/>
  <c r="BP228" i="65"/>
  <c r="AB864" i="64" s="1"/>
  <c r="BB864" i="64" s="1"/>
  <c r="BP224" i="65"/>
  <c r="AB860" i="64" s="1"/>
  <c r="BB860" i="64" s="1"/>
  <c r="J1274" i="64"/>
  <c r="AW1200" i="64"/>
  <c r="BE1126" i="64"/>
  <c r="CF1053" i="64"/>
  <c r="BR1126" i="64" s="1"/>
  <c r="O487" i="73"/>
  <c r="O54" i="73"/>
  <c r="CE209" i="65"/>
  <c r="CE207" i="65"/>
  <c r="CE230" i="65"/>
  <c r="CE203" i="65"/>
  <c r="CE227" i="65"/>
  <c r="CE228" i="65"/>
  <c r="CE214" i="65"/>
  <c r="CE220" i="65"/>
  <c r="CE212" i="65"/>
  <c r="CE210" i="65"/>
  <c r="CE231" i="65"/>
  <c r="CE213" i="65"/>
  <c r="CE211" i="65"/>
  <c r="CE205" i="65"/>
  <c r="CE224" i="65"/>
  <c r="CE229" i="65"/>
  <c r="CE204" i="65"/>
  <c r="CE206" i="65"/>
  <c r="CE226" i="65"/>
  <c r="CE221" i="65"/>
  <c r="CE223" i="65"/>
  <c r="CE225" i="65"/>
  <c r="CE222" i="65"/>
  <c r="CE208" i="65"/>
  <c r="P7" i="74"/>
  <c r="R5" i="77"/>
  <c r="R483" i="77" s="1"/>
  <c r="T41" i="79"/>
  <c r="Q10" i="73"/>
  <c r="Q1345" i="64"/>
  <c r="R637" i="64"/>
  <c r="CT8" i="65"/>
  <c r="CT32" i="65" s="1"/>
  <c r="CF8" i="65"/>
  <c r="CF32" i="65" s="1"/>
  <c r="BR8" i="65"/>
  <c r="BR24" i="65" s="1"/>
  <c r="Q1398" i="64"/>
  <c r="DA1053" i="64"/>
  <c r="R400" i="64"/>
  <c r="Q813" i="64" s="1"/>
  <c r="P888" i="64" s="1"/>
  <c r="R126" i="64"/>
  <c r="R120" i="64"/>
  <c r="R115" i="64" s="1"/>
  <c r="R111" i="64"/>
  <c r="R104" i="64"/>
  <c r="Q1381" i="64"/>
  <c r="R289" i="64"/>
  <c r="R345" i="64" s="1"/>
  <c r="R214" i="64"/>
  <c r="F8" i="64"/>
  <c r="F4" i="64" s="1"/>
  <c r="CT202" i="65"/>
  <c r="CF202" i="65"/>
  <c r="BR202" i="65"/>
  <c r="R258" i="64"/>
  <c r="R274" i="64" s="1"/>
  <c r="R171" i="64"/>
  <c r="T250" i="64" s="1"/>
  <c r="V250" i="64" s="1"/>
  <c r="R4" i="64"/>
  <c r="Q1364" i="64"/>
  <c r="Q742" i="64"/>
  <c r="BQ10" i="65"/>
  <c r="AC743" i="64" s="1"/>
  <c r="BQ11" i="65"/>
  <c r="BQ12" i="65"/>
  <c r="BQ219" i="65"/>
  <c r="BQ14" i="65"/>
  <c r="AC747" i="64" s="1"/>
  <c r="BQ15" i="65"/>
  <c r="BQ16" i="65"/>
  <c r="AC678" i="64" s="1"/>
  <c r="BQ17" i="65"/>
  <c r="AC750" i="64" s="1"/>
  <c r="BQ18" i="65"/>
  <c r="AC680" i="64" s="1"/>
  <c r="BQ19" i="65"/>
  <c r="BQ21" i="65"/>
  <c r="BQ22" i="65"/>
  <c r="AC684" i="64" s="1"/>
  <c r="AQ982" i="64"/>
  <c r="AB982" i="64"/>
  <c r="M982" i="64"/>
  <c r="O646" i="77"/>
  <c r="N605" i="77" s="1"/>
  <c r="AH609" i="77"/>
  <c r="AH631" i="77" s="1"/>
  <c r="AH638" i="77" s="1"/>
  <c r="Q438" i="77"/>
  <c r="AH622" i="77"/>
  <c r="AH597" i="77"/>
  <c r="AS1126" i="64"/>
  <c r="BT1053" i="64"/>
  <c r="AN164" i="79"/>
  <c r="X410" i="40" s="1"/>
  <c r="K71" i="83"/>
  <c r="K15" i="80"/>
  <c r="BH1053" i="64"/>
  <c r="AG1126" i="64"/>
  <c r="Q570" i="79"/>
  <c r="N229" i="74"/>
  <c r="N560" i="74"/>
  <c r="N581" i="74" s="1"/>
  <c r="N602" i="74" s="1"/>
  <c r="N623" i="74" s="1"/>
  <c r="N648" i="74" s="1"/>
  <c r="N658" i="74" s="1"/>
  <c r="N359" i="74"/>
  <c r="R1401" i="79"/>
  <c r="M102" i="8" s="1"/>
  <c r="O1407" i="64"/>
  <c r="R699" i="79" s="1"/>
  <c r="R2273" i="79"/>
  <c r="R2272" i="79" s="1"/>
  <c r="R732" i="79"/>
  <c r="R731" i="79"/>
  <c r="R599" i="79"/>
  <c r="R596" i="79"/>
  <c r="R594" i="79"/>
  <c r="R595" i="79"/>
  <c r="R747" i="79"/>
  <c r="R751" i="79"/>
  <c r="R748" i="79"/>
  <c r="R752" i="79"/>
  <c r="R764" i="79"/>
  <c r="R763" i="79"/>
  <c r="Q1634" i="79"/>
  <c r="Q607" i="79"/>
  <c r="Q615" i="79" s="1"/>
  <c r="Q623" i="79" s="1"/>
  <c r="Q631" i="79" s="1"/>
  <c r="Q1396" i="79" s="1"/>
  <c r="O110" i="85"/>
  <c r="O111" i="85" s="1"/>
  <c r="O90" i="85"/>
  <c r="CS227" i="65"/>
  <c r="CS230" i="65"/>
  <c r="CS224" i="65"/>
  <c r="CS223" i="65"/>
  <c r="CS226" i="65"/>
  <c r="CS220" i="65"/>
  <c r="CS208" i="65"/>
  <c r="CS206" i="65"/>
  <c r="CS211" i="65"/>
  <c r="CS210" i="65"/>
  <c r="CS207" i="65"/>
  <c r="CS212" i="65"/>
  <c r="CS228" i="65"/>
  <c r="CS221" i="65"/>
  <c r="CS204" i="65"/>
  <c r="CS229" i="65"/>
  <c r="CS203" i="65"/>
  <c r="CS209" i="65"/>
  <c r="CS213" i="65"/>
  <c r="CS231" i="65"/>
  <c r="CS214" i="65"/>
  <c r="CS225" i="65"/>
  <c r="CS222" i="65"/>
  <c r="CS205" i="65"/>
  <c r="CE219" i="65"/>
  <c r="CE11" i="65"/>
  <c r="CE14" i="65"/>
  <c r="CE22" i="65"/>
  <c r="CE10" i="65"/>
  <c r="CE15" i="65"/>
  <c r="CE21" i="65"/>
  <c r="CE19" i="65"/>
  <c r="CE18" i="65"/>
  <c r="CE12" i="65"/>
  <c r="CE17" i="65"/>
  <c r="CE16" i="65"/>
  <c r="CE23" i="65"/>
  <c r="CE24" i="65"/>
  <c r="CE25" i="65"/>
  <c r="CE26" i="65"/>
  <c r="CE27" i="65"/>
  <c r="CE28" i="65"/>
  <c r="CE29" i="65"/>
  <c r="CE30" i="65"/>
  <c r="P1446" i="64"/>
  <c r="S826" i="79" s="1"/>
  <c r="S827" i="79" s="1"/>
  <c r="P1442" i="64"/>
  <c r="S814" i="79" s="1"/>
  <c r="S815" i="79" s="1"/>
  <c r="P1438" i="64"/>
  <c r="P1434" i="64"/>
  <c r="S791" i="79" s="1"/>
  <c r="S792" i="79" s="1"/>
  <c r="P1430" i="64"/>
  <c r="S779" i="79" s="1"/>
  <c r="S780" i="79" s="1"/>
  <c r="P1426" i="64"/>
  <c r="S766" i="79" s="1"/>
  <c r="P1445" i="64"/>
  <c r="S823" i="79" s="1"/>
  <c r="S824" i="79" s="1"/>
  <c r="P1441" i="64"/>
  <c r="S811" i="79" s="1"/>
  <c r="S812" i="79" s="1"/>
  <c r="P1437" i="64"/>
  <c r="S800" i="79" s="1"/>
  <c r="S801" i="79" s="1"/>
  <c r="P1433" i="64"/>
  <c r="S788" i="79" s="1"/>
  <c r="S789" i="79" s="1"/>
  <c r="P1429" i="64"/>
  <c r="S776" i="79" s="1"/>
  <c r="S777" i="79" s="1"/>
  <c r="P1444" i="64"/>
  <c r="S820" i="79" s="1"/>
  <c r="S821" i="79" s="1"/>
  <c r="P1436" i="64"/>
  <c r="S797" i="79" s="1"/>
  <c r="S798" i="79" s="1"/>
  <c r="P1443" i="64"/>
  <c r="S817" i="79" s="1"/>
  <c r="S818" i="79" s="1"/>
  <c r="P1435" i="64"/>
  <c r="S794" i="79" s="1"/>
  <c r="S795" i="79" s="1"/>
  <c r="P1427" i="64"/>
  <c r="S770" i="79" s="1"/>
  <c r="P1424" i="64"/>
  <c r="S758" i="79" s="1"/>
  <c r="P1422" i="64"/>
  <c r="S750" i="79" s="1"/>
  <c r="P1418" i="64"/>
  <c r="S734" i="79" s="1"/>
  <c r="P1390" i="64"/>
  <c r="S2274" i="79" s="1"/>
  <c r="P1373" i="64"/>
  <c r="P1354" i="64"/>
  <c r="S608" i="79" s="1"/>
  <c r="P1350" i="64"/>
  <c r="S557" i="79" s="1"/>
  <c r="P1448" i="64"/>
  <c r="P1432" i="64"/>
  <c r="S785" i="79" s="1"/>
  <c r="S786" i="79" s="1"/>
  <c r="P1425" i="64"/>
  <c r="S762" i="79" s="1"/>
  <c r="P1420" i="64"/>
  <c r="S742" i="79" s="1"/>
  <c r="P1417" i="64"/>
  <c r="S730" i="79" s="1"/>
  <c r="P1357" i="64"/>
  <c r="S624" i="79" s="1"/>
  <c r="P1353" i="64"/>
  <c r="S565" i="79" s="1"/>
  <c r="P1439" i="64"/>
  <c r="S805" i="79" s="1"/>
  <c r="S806" i="79" s="1"/>
  <c r="P1428" i="64"/>
  <c r="P1423" i="64"/>
  <c r="S754" i="79" s="1"/>
  <c r="P1391" i="64"/>
  <c r="S2297" i="79" s="1"/>
  <c r="P1359" i="64"/>
  <c r="S573" i="79" s="1"/>
  <c r="P1440" i="64"/>
  <c r="S808" i="79" s="1"/>
  <c r="S809" i="79" s="1"/>
  <c r="P1421" i="64"/>
  <c r="S746" i="79" s="1"/>
  <c r="P1419" i="64"/>
  <c r="S738" i="79" s="1"/>
  <c r="P1416" i="64"/>
  <c r="S726" i="79" s="1"/>
  <c r="P1447" i="64"/>
  <c r="S829" i="79" s="1"/>
  <c r="S830" i="79" s="1"/>
  <c r="P1356" i="64"/>
  <c r="S581" i="79" s="1"/>
  <c r="P1431" i="64"/>
  <c r="S782" i="79" s="1"/>
  <c r="S783" i="79" s="1"/>
  <c r="P1351" i="64"/>
  <c r="S600" i="79" s="1"/>
  <c r="O683" i="74"/>
  <c r="O550" i="74"/>
  <c r="O701" i="74" s="1"/>
  <c r="O539" i="74"/>
  <c r="O700" i="74" s="1"/>
  <c r="O528" i="74"/>
  <c r="O699" i="74" s="1"/>
  <c r="O517" i="74"/>
  <c r="O698" i="74" s="1"/>
  <c r="O555" i="74"/>
  <c r="O519" i="74"/>
  <c r="O511" i="74"/>
  <c r="O497" i="74"/>
  <c r="O495" i="74"/>
  <c r="O696" i="74" s="1"/>
  <c r="O484" i="74"/>
  <c r="O695" i="74" s="1"/>
  <c r="O473" i="74"/>
  <c r="O694" i="74" s="1"/>
  <c r="O462" i="74"/>
  <c r="O693" i="74" s="1"/>
  <c r="O451" i="74"/>
  <c r="O692" i="74" s="1"/>
  <c r="O440" i="74"/>
  <c r="O691" i="74" s="1"/>
  <c r="O429" i="74"/>
  <c r="O690" i="74" s="1"/>
  <c r="O418" i="74"/>
  <c r="O689" i="74" s="1"/>
  <c r="O530" i="74"/>
  <c r="O522" i="74"/>
  <c r="O500" i="74"/>
  <c r="O541" i="74"/>
  <c r="O533" i="74"/>
  <c r="O506" i="74"/>
  <c r="O697" i="74" s="1"/>
  <c r="O552" i="74"/>
  <c r="O544" i="74"/>
  <c r="O464" i="74"/>
  <c r="O570" i="74" s="1"/>
  <c r="O456" i="74"/>
  <c r="O420" i="74"/>
  <c r="O412" i="74"/>
  <c r="O409" i="74"/>
  <c r="O401" i="74"/>
  <c r="O398" i="74"/>
  <c r="O564" i="74" s="1"/>
  <c r="O390" i="74"/>
  <c r="O387" i="74"/>
  <c r="O563" i="74" s="1"/>
  <c r="O379" i="74"/>
  <c r="O376" i="74"/>
  <c r="O562" i="74" s="1"/>
  <c r="O368" i="74"/>
  <c r="O365" i="74"/>
  <c r="O109" i="74"/>
  <c r="O19" i="74"/>
  <c r="O508" i="74"/>
  <c r="O475" i="74"/>
  <c r="O467" i="74"/>
  <c r="O431" i="74"/>
  <c r="O407" i="74"/>
  <c r="O688" i="74" s="1"/>
  <c r="O396" i="74"/>
  <c r="O687" i="74" s="1"/>
  <c r="O385" i="74"/>
  <c r="O686" i="74" s="1"/>
  <c r="O374" i="74"/>
  <c r="O685" i="74" s="1"/>
  <c r="O363" i="74"/>
  <c r="O684" i="74" s="1"/>
  <c r="O79" i="74"/>
  <c r="O486" i="74"/>
  <c r="O572" i="74" s="1"/>
  <c r="O478" i="74"/>
  <c r="O442" i="74"/>
  <c r="O434" i="74"/>
  <c r="O423" i="74"/>
  <c r="O232" i="74"/>
  <c r="O247" i="74" s="1"/>
  <c r="O262" i="74" s="1"/>
  <c r="O277" i="74" s="1"/>
  <c r="O453" i="74"/>
  <c r="O445" i="74"/>
  <c r="O5" i="74"/>
  <c r="O489" i="74"/>
  <c r="O185" i="74"/>
  <c r="O240" i="74" s="1"/>
  <c r="O115" i="74"/>
  <c r="O228" i="74"/>
  <c r="O165" i="74"/>
  <c r="O238" i="74" s="1"/>
  <c r="O168" i="74"/>
  <c r="O118" i="74"/>
  <c r="O225" i="74"/>
  <c r="O155" i="74"/>
  <c r="O237" i="74" s="1"/>
  <c r="O138" i="74"/>
  <c r="O198" i="74"/>
  <c r="O125" i="74"/>
  <c r="O234" i="74" s="1"/>
  <c r="O218" i="74"/>
  <c r="O145" i="74"/>
  <c r="O236" i="74" s="1"/>
  <c r="O188" i="74"/>
  <c r="O158" i="74"/>
  <c r="O195" i="74"/>
  <c r="O128" i="74"/>
  <c r="O175" i="74"/>
  <c r="O239" i="74" s="1"/>
  <c r="O178" i="74"/>
  <c r="O148" i="74"/>
  <c r="O205" i="74"/>
  <c r="O208" i="74"/>
  <c r="O135" i="74"/>
  <c r="O235" i="74" s="1"/>
  <c r="O215" i="74"/>
  <c r="P1394" i="79"/>
  <c r="AO451" i="79"/>
  <c r="AO246" i="79"/>
  <c r="AO6" i="79"/>
  <c r="AO410" i="79"/>
  <c r="AO328" i="79"/>
  <c r="AO287" i="79"/>
  <c r="AO82" i="79"/>
  <c r="AO492" i="79"/>
  <c r="AO205" i="79"/>
  <c r="AO369" i="79"/>
  <c r="AO123" i="79"/>
  <c r="AH1274" i="64"/>
  <c r="BU1200" i="64"/>
  <c r="N557" i="74"/>
  <c r="N576" i="74"/>
  <c r="Q621" i="79"/>
  <c r="BF1274" i="64"/>
  <c r="CS1200" i="64"/>
  <c r="BS1274" i="64" s="1"/>
  <c r="R627" i="79"/>
  <c r="R628" i="79"/>
  <c r="R626" i="79"/>
  <c r="R610" i="79"/>
  <c r="R612" i="79"/>
  <c r="R611" i="79"/>
  <c r="R744" i="79"/>
  <c r="R743" i="79"/>
  <c r="R604" i="79"/>
  <c r="R602" i="79"/>
  <c r="R603" i="79"/>
  <c r="R560" i="79"/>
  <c r="R564" i="79"/>
  <c r="R561" i="79"/>
  <c r="R559" i="79"/>
  <c r="R772" i="79"/>
  <c r="R771" i="79"/>
  <c r="BI1200" i="64"/>
  <c r="V1274" i="64"/>
  <c r="P1391" i="79"/>
  <c r="N220" i="85"/>
  <c r="N218" i="85"/>
  <c r="O34" i="85"/>
  <c r="O61" i="85" s="1"/>
  <c r="O88" i="85" s="1"/>
  <c r="O117" i="85" s="1"/>
  <c r="O5" i="85"/>
  <c r="DM1200" i="64"/>
  <c r="CM1274" i="64" s="1"/>
  <c r="DP1053" i="64"/>
  <c r="DB1126" i="64" s="1"/>
  <c r="CL1126" i="64"/>
  <c r="CS18" i="65"/>
  <c r="CS219" i="65"/>
  <c r="CS21" i="65"/>
  <c r="CS19" i="65"/>
  <c r="CS12" i="65"/>
  <c r="CS16" i="65"/>
  <c r="CS17" i="65"/>
  <c r="CS11" i="65"/>
  <c r="CS15" i="65"/>
  <c r="CS10" i="65"/>
  <c r="CS14" i="65"/>
  <c r="CS22" i="65"/>
  <c r="CS23" i="65"/>
  <c r="CS24" i="65"/>
  <c r="CS25" i="65"/>
  <c r="CS26" i="65"/>
  <c r="CS27" i="65"/>
  <c r="CS28" i="65"/>
  <c r="CS29" i="65"/>
  <c r="CS30" i="65"/>
  <c r="S547" i="79"/>
  <c r="S451" i="79"/>
  <c r="S246" i="79"/>
  <c r="AP41" i="79"/>
  <c r="S663" i="79"/>
  <c r="S205" i="79"/>
  <c r="S164" i="79"/>
  <c r="S410" i="79"/>
  <c r="S369" i="79"/>
  <c r="S287" i="79"/>
  <c r="S123" i="79"/>
  <c r="S328" i="79"/>
  <c r="S82" i="79"/>
  <c r="S492" i="79"/>
  <c r="S835" i="79"/>
  <c r="S6" i="79"/>
  <c r="S1306" i="79" s="1"/>
  <c r="AP1306" i="79" s="1"/>
  <c r="M379" i="40"/>
  <c r="M514" i="40" s="1"/>
  <c r="AV1053" i="64"/>
  <c r="U1126" i="64"/>
  <c r="Q1389" i="79"/>
  <c r="Q562" i="79"/>
  <c r="N631" i="79"/>
  <c r="N1394" i="79"/>
  <c r="T192" i="64"/>
  <c r="V192" i="64" s="1"/>
  <c r="AH1567" i="79"/>
  <c r="AH1573" i="79" s="1"/>
  <c r="BZ32" i="65"/>
  <c r="BS33" i="65"/>
  <c r="CD32" i="65"/>
  <c r="CE32" i="65"/>
  <c r="BY32" i="65"/>
  <c r="BW32" i="65"/>
  <c r="CB32" i="65"/>
  <c r="CA32" i="65"/>
  <c r="BU32" i="65"/>
  <c r="CC32" i="65"/>
  <c r="BV32" i="65"/>
  <c r="BX32" i="65"/>
  <c r="AS755" i="64"/>
  <c r="AF755" i="64"/>
  <c r="AX755" i="64"/>
  <c r="AK755" i="64"/>
  <c r="AH826" i="64"/>
  <c r="AU826" i="64"/>
  <c r="AW826" i="64"/>
  <c r="AJ826" i="64"/>
  <c r="AL684" i="64"/>
  <c r="AY684" i="64"/>
  <c r="AV755" i="64"/>
  <c r="AI755" i="64"/>
  <c r="X685" i="64"/>
  <c r="X827" i="64"/>
  <c r="X756" i="64"/>
  <c r="BE25" i="65"/>
  <c r="BG24" i="65"/>
  <c r="BN24" i="65"/>
  <c r="BP24" i="65"/>
  <c r="BI24" i="65"/>
  <c r="BJ24" i="65"/>
  <c r="BH24" i="65"/>
  <c r="BK24" i="65"/>
  <c r="BQ24" i="65"/>
  <c r="AC757" i="64" s="1"/>
  <c r="BM24" i="65"/>
  <c r="BO24" i="65"/>
  <c r="BL24" i="65"/>
  <c r="AS684" i="64"/>
  <c r="AF684" i="64"/>
  <c r="AG826" i="64"/>
  <c r="AT826" i="64"/>
  <c r="AJ755" i="64"/>
  <c r="AW755" i="64"/>
  <c r="AY755" i="64"/>
  <c r="AL755" i="64"/>
  <c r="Z685" i="64"/>
  <c r="Z827" i="64"/>
  <c r="Z756" i="64"/>
  <c r="Y685" i="64"/>
  <c r="Y827" i="64"/>
  <c r="Y756" i="64"/>
  <c r="AM755" i="64"/>
  <c r="AZ755" i="64"/>
  <c r="AK684" i="64"/>
  <c r="AX684" i="64"/>
  <c r="AH755" i="64"/>
  <c r="AU755" i="64"/>
  <c r="AT684" i="64"/>
  <c r="AG684" i="64"/>
  <c r="AW684" i="64"/>
  <c r="AJ684" i="64"/>
  <c r="AI826" i="64"/>
  <c r="AV826" i="64"/>
  <c r="CG33" i="65"/>
  <c r="CJ32" i="65"/>
  <c r="CQ32" i="65"/>
  <c r="CO32" i="65"/>
  <c r="CP32" i="65"/>
  <c r="CR32" i="65"/>
  <c r="CI32" i="65"/>
  <c r="CN32" i="65"/>
  <c r="CK32" i="65"/>
  <c r="CL32" i="65"/>
  <c r="CS32" i="65"/>
  <c r="CM32" i="65"/>
  <c r="V827" i="64"/>
  <c r="V685" i="64"/>
  <c r="V756" i="64"/>
  <c r="U827" i="64"/>
  <c r="U685" i="64"/>
  <c r="U756" i="64"/>
  <c r="S685" i="64"/>
  <c r="S756" i="64"/>
  <c r="S827" i="64"/>
  <c r="AZ826" i="64"/>
  <c r="AM826" i="64"/>
  <c r="AH1580" i="79"/>
  <c r="AH1586" i="79" s="1"/>
  <c r="AF826" i="64"/>
  <c r="AS826" i="64"/>
  <c r="AX826" i="64"/>
  <c r="AK826" i="64"/>
  <c r="AU684" i="64"/>
  <c r="AH684" i="64"/>
  <c r="AT755" i="64"/>
  <c r="AG755" i="64"/>
  <c r="AY826" i="64"/>
  <c r="AL826" i="64"/>
  <c r="AI684" i="64"/>
  <c r="AV684" i="64"/>
  <c r="T756" i="64"/>
  <c r="T685" i="64"/>
  <c r="T827" i="64"/>
  <c r="AA756" i="64"/>
  <c r="AA827" i="64"/>
  <c r="AA685" i="64"/>
  <c r="W685" i="64"/>
  <c r="W756" i="64"/>
  <c r="W827" i="64"/>
  <c r="AM684" i="64"/>
  <c r="AZ684" i="64"/>
  <c r="J1676" i="79"/>
  <c r="J1474" i="79"/>
  <c r="AI1998" i="79"/>
  <c r="AI1593" i="79"/>
  <c r="K1640" i="79"/>
  <c r="K1461" i="79"/>
  <c r="AH1640" i="79"/>
  <c r="AH1461" i="79"/>
  <c r="AH1462" i="79" s="1"/>
  <c r="M206" i="79"/>
  <c r="M1512" i="79" s="1"/>
  <c r="M329" i="79"/>
  <c r="M1551" i="79" s="1"/>
  <c r="M165" i="79"/>
  <c r="M1499" i="79" s="1"/>
  <c r="M288" i="79"/>
  <c r="M1538" i="79" s="1"/>
  <c r="M124" i="79"/>
  <c r="M1486" i="79" s="1"/>
  <c r="M452" i="79"/>
  <c r="M1590" i="79" s="1"/>
  <c r="M411" i="79"/>
  <c r="M1577" i="79" s="1"/>
  <c r="M493" i="79"/>
  <c r="M1603" i="79" s="1"/>
  <c r="M247" i="79"/>
  <c r="M1525" i="79" s="1"/>
  <c r="M83" i="79"/>
  <c r="M1473" i="79" s="1"/>
  <c r="M370" i="79"/>
  <c r="M1564" i="79" s="1"/>
  <c r="AH1553" i="79"/>
  <c r="AH1554" i="79"/>
  <c r="AH1489" i="79"/>
  <c r="AJ1596" i="79"/>
  <c r="AJ1599" i="79"/>
  <c r="AH1540" i="79"/>
  <c r="AH1541" i="79"/>
  <c r="AH1515" i="79"/>
  <c r="M579" i="74"/>
  <c r="N561" i="74"/>
  <c r="J1604" i="79"/>
  <c r="J2035" i="79"/>
  <c r="J2067" i="79" s="1"/>
  <c r="J1591" i="79"/>
  <c r="J1999" i="79"/>
  <c r="J2031" i="79" s="1"/>
  <c r="J2032" i="79" s="1"/>
  <c r="J1820" i="79"/>
  <c r="J1852" i="79" s="1"/>
  <c r="J1853" i="79" s="1"/>
  <c r="J1526" i="79"/>
  <c r="AM1998" i="79"/>
  <c r="AM1593" i="79"/>
  <c r="AG1593" i="79"/>
  <c r="AG1998" i="79"/>
  <c r="AG1675" i="79"/>
  <c r="AH1569" i="79"/>
  <c r="AH1572" i="79"/>
  <c r="M245" i="74"/>
  <c r="N233" i="74"/>
  <c r="I1462" i="79"/>
  <c r="I1463" i="79"/>
  <c r="AH1639" i="79"/>
  <c r="AH1582" i="79"/>
  <c r="AH1585" i="79"/>
  <c r="L83" i="79"/>
  <c r="L1473" i="79" s="1"/>
  <c r="L493" i="79"/>
  <c r="L1603" i="79" s="1"/>
  <c r="L288" i="79"/>
  <c r="L1538" i="79" s="1"/>
  <c r="L329" i="79"/>
  <c r="L1551" i="79" s="1"/>
  <c r="L124" i="79"/>
  <c r="L1486" i="79" s="1"/>
  <c r="L206" i="79"/>
  <c r="L1512" i="79" s="1"/>
  <c r="L165" i="79"/>
  <c r="L1499" i="79" s="1"/>
  <c r="L452" i="79"/>
  <c r="L1590" i="79" s="1"/>
  <c r="L247" i="79"/>
  <c r="L1525" i="79" s="1"/>
  <c r="L411" i="79"/>
  <c r="L1577" i="79" s="1"/>
  <c r="L370" i="79"/>
  <c r="L1564" i="79" s="1"/>
  <c r="AI1675" i="79"/>
  <c r="AF124" i="79"/>
  <c r="AF1486" i="79" s="1"/>
  <c r="AF1712" i="79" s="1"/>
  <c r="AF329" i="79"/>
  <c r="AF1551" i="79" s="1"/>
  <c r="AF1892" i="79" s="1"/>
  <c r="AF1924" i="79" s="1"/>
  <c r="AF1925" i="79" s="1"/>
  <c r="AF493" i="79"/>
  <c r="AF1603" i="79" s="1"/>
  <c r="AF2035" i="79" s="1"/>
  <c r="AF247" i="79"/>
  <c r="AF1525" i="79" s="1"/>
  <c r="AF1526" i="79" s="1"/>
  <c r="AF165" i="79"/>
  <c r="AF1499" i="79" s="1"/>
  <c r="AF1500" i="79" s="1"/>
  <c r="AF206" i="79"/>
  <c r="AF1512" i="79" s="1"/>
  <c r="AF1513" i="79" s="1"/>
  <c r="AF452" i="79"/>
  <c r="AF370" i="79"/>
  <c r="AF1564" i="79" s="1"/>
  <c r="AF1565" i="79" s="1"/>
  <c r="AF288" i="79"/>
  <c r="AF1538" i="79" s="1"/>
  <c r="AF1856" i="79" s="1"/>
  <c r="AF411" i="79"/>
  <c r="AF1577" i="79" s="1"/>
  <c r="AF1578" i="79" s="1"/>
  <c r="J1640" i="79"/>
  <c r="J1461" i="79"/>
  <c r="J1462" i="79" s="1"/>
  <c r="I411" i="79"/>
  <c r="I1577" i="79" s="1"/>
  <c r="I1578" i="79" s="1"/>
  <c r="I288" i="79"/>
  <c r="I1538" i="79" s="1"/>
  <c r="I1856" i="79" s="1"/>
  <c r="I206" i="79"/>
  <c r="I1512" i="79" s="1"/>
  <c r="I1513" i="79" s="1"/>
  <c r="I124" i="79"/>
  <c r="I1486" i="79" s="1"/>
  <c r="I1487" i="79" s="1"/>
  <c r="I83" i="79"/>
  <c r="I1473" i="79" s="1"/>
  <c r="I1676" i="79" s="1"/>
  <c r="I493" i="79"/>
  <c r="I1603" i="79" s="1"/>
  <c r="I2035" i="79" s="1"/>
  <c r="I2067" i="79" s="1"/>
  <c r="I370" i="79"/>
  <c r="I1564" i="79" s="1"/>
  <c r="I1928" i="79" s="1"/>
  <c r="I1960" i="79" s="1"/>
  <c r="I1961" i="79" s="1"/>
  <c r="I247" i="79"/>
  <c r="I1525" i="79" s="1"/>
  <c r="I1526" i="79" s="1"/>
  <c r="I329" i="79"/>
  <c r="I1551" i="79" s="1"/>
  <c r="I1892" i="79" s="1"/>
  <c r="I1924" i="79" s="1"/>
  <c r="I1925" i="79" s="1"/>
  <c r="I165" i="79"/>
  <c r="I1499" i="79" s="1"/>
  <c r="I1748" i="79" s="1"/>
  <c r="I452" i="79"/>
  <c r="I1590" i="79" s="1"/>
  <c r="I1591" i="79" s="1"/>
  <c r="J1856" i="79"/>
  <c r="J1539" i="79"/>
  <c r="J1513" i="79"/>
  <c r="J1784" i="79"/>
  <c r="J1712" i="79"/>
  <c r="J1487" i="79"/>
  <c r="L1461" i="79"/>
  <c r="L1462" i="79" s="1"/>
  <c r="L1640" i="79"/>
  <c r="M1461" i="79"/>
  <c r="M1640" i="79"/>
  <c r="AG329" i="79"/>
  <c r="AG1551" i="79" s="1"/>
  <c r="AG124" i="79"/>
  <c r="AG1486" i="79" s="1"/>
  <c r="AG165" i="79"/>
  <c r="AG1499" i="79" s="1"/>
  <c r="AG452" i="79"/>
  <c r="AG288" i="79"/>
  <c r="AG1538" i="79" s="1"/>
  <c r="AG247" i="79"/>
  <c r="AG1525" i="79" s="1"/>
  <c r="AG370" i="79"/>
  <c r="AG1564" i="79" s="1"/>
  <c r="AG493" i="79"/>
  <c r="AG1603" i="79" s="1"/>
  <c r="AG206" i="79"/>
  <c r="AG1512" i="79" s="1"/>
  <c r="AG411" i="79"/>
  <c r="AG1577" i="79" s="1"/>
  <c r="AK1593" i="79"/>
  <c r="AK1998" i="79"/>
  <c r="AI165" i="79"/>
  <c r="AI1499" i="79" s="1"/>
  <c r="AI370" i="79"/>
  <c r="AI1564" i="79" s="1"/>
  <c r="AI288" i="79"/>
  <c r="AI1538" i="79" s="1"/>
  <c r="AI452" i="79"/>
  <c r="AI493" i="79"/>
  <c r="AI1603" i="79" s="1"/>
  <c r="AI206" i="79"/>
  <c r="AI1512" i="79" s="1"/>
  <c r="AI329" i="79"/>
  <c r="AI1551" i="79" s="1"/>
  <c r="AI411" i="79"/>
  <c r="AI1577" i="79" s="1"/>
  <c r="AI247" i="79"/>
  <c r="AI1525" i="79" s="1"/>
  <c r="AI124" i="79"/>
  <c r="AI1486" i="79" s="1"/>
  <c r="AF1675" i="79"/>
  <c r="AH1605" i="79"/>
  <c r="AH1606" i="79"/>
  <c r="J1639" i="79"/>
  <c r="K124" i="79"/>
  <c r="K1486" i="79" s="1"/>
  <c r="K83" i="79"/>
  <c r="K1473" i="79" s="1"/>
  <c r="K329" i="79"/>
  <c r="K1551" i="79" s="1"/>
  <c r="K165" i="79"/>
  <c r="K1499" i="79" s="1"/>
  <c r="K206" i="79"/>
  <c r="K1512" i="79" s="1"/>
  <c r="K452" i="79"/>
  <c r="K1590" i="79" s="1"/>
  <c r="K370" i="79"/>
  <c r="K1564" i="79" s="1"/>
  <c r="K411" i="79"/>
  <c r="K1577" i="79" s="1"/>
  <c r="K493" i="79"/>
  <c r="K1603" i="79" s="1"/>
  <c r="K288" i="79"/>
  <c r="K1538" i="79" s="1"/>
  <c r="K247" i="79"/>
  <c r="K1525" i="79" s="1"/>
  <c r="AI1461" i="79"/>
  <c r="AI1462" i="79" s="1"/>
  <c r="AI1640" i="79"/>
  <c r="AH1599" i="79"/>
  <c r="AH1596" i="79"/>
  <c r="J1565" i="79"/>
  <c r="J1928" i="79"/>
  <c r="J1960" i="79" s="1"/>
  <c r="J1961" i="79" s="1"/>
  <c r="AH1527" i="79"/>
  <c r="AH1528" i="79"/>
  <c r="L1639" i="79"/>
  <c r="AJ1461" i="79"/>
  <c r="AJ1640" i="79"/>
  <c r="AH1675" i="79"/>
  <c r="AJ1476" i="79"/>
  <c r="AJ1675" i="79"/>
  <c r="AF1998" i="79"/>
  <c r="AF1593" i="79"/>
  <c r="AL1596" i="79"/>
  <c r="AI1639" i="79"/>
  <c r="CI1176" i="64"/>
  <c r="CY1176" i="64" s="1"/>
  <c r="CI1187" i="64"/>
  <c r="CY1187" i="64" s="1"/>
  <c r="CW1115" i="64"/>
  <c r="DM1115" i="64" s="1"/>
  <c r="CW1109" i="64"/>
  <c r="DM1109" i="64" s="1"/>
  <c r="CI1134" i="64"/>
  <c r="CY1134" i="64" s="1"/>
  <c r="CW1116" i="64"/>
  <c r="DM1116" i="64" s="1"/>
  <c r="CW1119" i="64"/>
  <c r="DM1119" i="64" s="1"/>
  <c r="CI1159" i="64"/>
  <c r="CY1159" i="64" s="1"/>
  <c r="J570" i="73"/>
  <c r="N589" i="73"/>
  <c r="N595" i="73" s="1"/>
  <c r="N602" i="73"/>
  <c r="P746" i="64"/>
  <c r="N601" i="73"/>
  <c r="N588" i="73"/>
  <c r="N594" i="73" s="1"/>
  <c r="O280" i="73"/>
  <c r="P265" i="73"/>
  <c r="P279" i="73" s="1"/>
  <c r="O303" i="73"/>
  <c r="P287" i="73"/>
  <c r="P302" i="73" s="1"/>
  <c r="L78" i="85"/>
  <c r="L81" i="85" s="1"/>
  <c r="J211" i="85"/>
  <c r="J213" i="85" s="1"/>
  <c r="L36" i="85"/>
  <c r="K55" i="85"/>
  <c r="L35" i="85"/>
  <c r="K52" i="85"/>
  <c r="J203" i="85"/>
  <c r="J205" i="85" s="1"/>
  <c r="L345" i="73"/>
  <c r="N212" i="73"/>
  <c r="M229" i="73"/>
  <c r="Q69" i="73"/>
  <c r="Q85" i="73" s="1"/>
  <c r="P86" i="73"/>
  <c r="P453" i="73" s="1"/>
  <c r="P455" i="73" s="1"/>
  <c r="L201" i="73"/>
  <c r="L333" i="73"/>
  <c r="K349" i="73"/>
  <c r="K457" i="73"/>
  <c r="R146" i="73"/>
  <c r="D624" i="73" s="1"/>
  <c r="H624" i="73" s="1"/>
  <c r="L254" i="73"/>
  <c r="L257" i="73" s="1"/>
  <c r="M231" i="73"/>
  <c r="N213" i="73" s="1"/>
  <c r="L173" i="73"/>
  <c r="L175" i="73"/>
  <c r="R149" i="73"/>
  <c r="J28" i="85"/>
  <c r="K10" i="85" s="1"/>
  <c r="N42" i="73"/>
  <c r="N46" i="73" s="1"/>
  <c r="M10" i="74" s="1"/>
  <c r="M11" i="74" s="1"/>
  <c r="P929" i="64"/>
  <c r="R441" i="64"/>
  <c r="P969" i="64"/>
  <c r="R481" i="64"/>
  <c r="R448" i="64"/>
  <c r="P936" i="64"/>
  <c r="P933" i="64"/>
  <c r="R445" i="64"/>
  <c r="P968" i="64"/>
  <c r="R480" i="64"/>
  <c r="P962" i="64"/>
  <c r="R474" i="64"/>
  <c r="R458" i="64"/>
  <c r="P946" i="64"/>
  <c r="P975" i="64"/>
  <c r="R487" i="64"/>
  <c r="P937" i="64"/>
  <c r="R449" i="64"/>
  <c r="P950" i="64"/>
  <c r="R462" i="64"/>
  <c r="P949" i="64"/>
  <c r="R461" i="64"/>
  <c r="P958" i="64"/>
  <c r="R470" i="64"/>
  <c r="P934" i="64"/>
  <c r="R446" i="64"/>
  <c r="P953" i="64"/>
  <c r="R465" i="64"/>
  <c r="R464" i="64"/>
  <c r="P952" i="64"/>
  <c r="P954" i="64"/>
  <c r="R466" i="64"/>
  <c r="R460" i="64"/>
  <c r="P948" i="64"/>
  <c r="P965" i="64"/>
  <c r="R477" i="64"/>
  <c r="R456" i="64"/>
  <c r="P944" i="64"/>
  <c r="P942" i="64"/>
  <c r="R454" i="64"/>
  <c r="P917" i="64"/>
  <c r="R429" i="64"/>
  <c r="P918" i="64"/>
  <c r="R430" i="64"/>
  <c r="R440" i="64"/>
  <c r="P928" i="64"/>
  <c r="P966" i="64"/>
  <c r="R478" i="64"/>
  <c r="R432" i="64"/>
  <c r="P920" i="64"/>
  <c r="CW1086" i="64"/>
  <c r="DM1086" i="64" s="1"/>
  <c r="CW1108" i="64"/>
  <c r="DM1108" i="64" s="1"/>
  <c r="P945" i="64"/>
  <c r="R457" i="64"/>
  <c r="P941" i="64"/>
  <c r="R453" i="64"/>
  <c r="P972" i="64"/>
  <c r="R484" i="64"/>
  <c r="P961" i="64"/>
  <c r="R473" i="64"/>
  <c r="P956" i="64"/>
  <c r="R468" i="64"/>
  <c r="P926" i="64"/>
  <c r="R438" i="64"/>
  <c r="P964" i="64"/>
  <c r="R476" i="64"/>
  <c r="R450" i="64"/>
  <c r="P938" i="64"/>
  <c r="R442" i="64"/>
  <c r="P930" i="64"/>
  <c r="P957" i="64"/>
  <c r="R469" i="64"/>
  <c r="P914" i="64"/>
  <c r="R426" i="64"/>
  <c r="P925" i="64"/>
  <c r="R437" i="64"/>
  <c r="R444" i="64"/>
  <c r="P932" i="64"/>
  <c r="R436" i="64"/>
  <c r="P924" i="64"/>
  <c r="P970" i="64"/>
  <c r="R482" i="64"/>
  <c r="P960" i="64"/>
  <c r="R472" i="64"/>
  <c r="R434" i="64"/>
  <c r="P922" i="64"/>
  <c r="P976" i="64"/>
  <c r="R488" i="64"/>
  <c r="P921" i="64"/>
  <c r="R433" i="64"/>
  <c r="R452" i="64"/>
  <c r="P940" i="64"/>
  <c r="R428" i="64"/>
  <c r="P916" i="64"/>
  <c r="Q290" i="64"/>
  <c r="CW1098" i="64"/>
  <c r="DM1098" i="64" s="1"/>
  <c r="P550" i="64"/>
  <c r="N1640" i="79"/>
  <c r="N1461" i="79"/>
  <c r="O682" i="64"/>
  <c r="J1181" i="64"/>
  <c r="P753" i="64"/>
  <c r="Q369" i="64"/>
  <c r="P797" i="64"/>
  <c r="CI1153" i="64"/>
  <c r="CX1174" i="64"/>
  <c r="DL1066" i="64"/>
  <c r="DL1099" i="64"/>
  <c r="AJ1552" i="79"/>
  <c r="AJ1892" i="79"/>
  <c r="AJ1924" i="79" s="1"/>
  <c r="AJ1925" i="79" s="1"/>
  <c r="BJ1138" i="64"/>
  <c r="AX1073" i="64"/>
  <c r="AJ1155" i="64"/>
  <c r="X1068" i="64"/>
  <c r="CK1090" i="64"/>
  <c r="BK1098" i="64"/>
  <c r="AJ1145" i="64"/>
  <c r="AW1176" i="64"/>
  <c r="AW1180" i="64"/>
  <c r="AX1080" i="64"/>
  <c r="CK1082" i="64"/>
  <c r="BX1088" i="64"/>
  <c r="W1176" i="64"/>
  <c r="AJ1153" i="64"/>
  <c r="AK1107" i="64"/>
  <c r="J1169" i="64"/>
  <c r="BJ1179" i="64"/>
  <c r="W1160" i="64"/>
  <c r="BW1158" i="64"/>
  <c r="BW1144" i="64"/>
  <c r="BW1160" i="64"/>
  <c r="BX1086" i="64"/>
  <c r="AW1158" i="64"/>
  <c r="AJ1176" i="64"/>
  <c r="AJ1146" i="64"/>
  <c r="W1163" i="64"/>
  <c r="J1180" i="64"/>
  <c r="AJ1128" i="64"/>
  <c r="CK1106" i="64"/>
  <c r="J1134" i="64"/>
  <c r="AX1086" i="64"/>
  <c r="BJ1149" i="64"/>
  <c r="CK1084" i="64"/>
  <c r="AK1092" i="64"/>
  <c r="AJ1133" i="64"/>
  <c r="X1062" i="64"/>
  <c r="CK1086" i="64"/>
  <c r="AK1059" i="64"/>
  <c r="BX1078" i="64"/>
  <c r="BW1156" i="64"/>
  <c r="BK1099" i="64"/>
  <c r="X1108" i="64"/>
  <c r="AJ1136" i="64"/>
  <c r="BW1166" i="64"/>
  <c r="CK1076" i="64"/>
  <c r="AX1058" i="64"/>
  <c r="BX1083" i="64"/>
  <c r="N643" i="64"/>
  <c r="N647" i="64" s="1"/>
  <c r="P913" i="64"/>
  <c r="R425" i="64"/>
  <c r="AJ2035" i="79"/>
  <c r="AJ1604" i="79"/>
  <c r="AJ1565" i="79"/>
  <c r="AJ1928" i="79"/>
  <c r="AJ1960" i="79" s="1"/>
  <c r="AJ1961" i="79" s="1"/>
  <c r="O1458" i="79"/>
  <c r="CX1153" i="64"/>
  <c r="AX1072" i="64"/>
  <c r="BX1068" i="64"/>
  <c r="J1161" i="64"/>
  <c r="BJ1165" i="64"/>
  <c r="J1155" i="64"/>
  <c r="AJ1138" i="64"/>
  <c r="X1072" i="64"/>
  <c r="X1098" i="64"/>
  <c r="CK1088" i="64"/>
  <c r="CK1092" i="64"/>
  <c r="X1082" i="64"/>
  <c r="BW1163" i="64"/>
  <c r="AK1065" i="64"/>
  <c r="J1141" i="64"/>
  <c r="AW1141" i="64"/>
  <c r="BW1161" i="64"/>
  <c r="BX1055" i="64"/>
  <c r="AK1072" i="64"/>
  <c r="BK1073" i="64"/>
  <c r="AW1138" i="64"/>
  <c r="AW1145" i="64"/>
  <c r="J1171" i="64"/>
  <c r="X1088" i="64"/>
  <c r="BX1098" i="64"/>
  <c r="AX1103" i="64"/>
  <c r="J1153" i="64"/>
  <c r="BX1073" i="64"/>
  <c r="AW1165" i="64"/>
  <c r="CK1107" i="64"/>
  <c r="AW1133" i="64"/>
  <c r="W1169" i="64"/>
  <c r="BK1062" i="64"/>
  <c r="AX1061" i="64"/>
  <c r="AW1160" i="64"/>
  <c r="AX1066" i="64"/>
  <c r="AW1170" i="64"/>
  <c r="AX1084" i="64"/>
  <c r="X1106" i="64"/>
  <c r="X1061" i="64"/>
  <c r="AK1087" i="64"/>
  <c r="AJ1139" i="64"/>
  <c r="CK1085" i="64"/>
  <c r="W1142" i="64"/>
  <c r="BX1103" i="64"/>
  <c r="AX1088" i="64"/>
  <c r="AW1146" i="64"/>
  <c r="X1090" i="64"/>
  <c r="BX1092" i="64"/>
  <c r="AX1055" i="64"/>
  <c r="J1128" i="64"/>
  <c r="BK1096" i="64"/>
  <c r="BX1106" i="64"/>
  <c r="AW1135" i="64"/>
  <c r="BX1061" i="64"/>
  <c r="BX1087" i="64"/>
  <c r="X1086" i="64"/>
  <c r="AW1139" i="64"/>
  <c r="W1166" i="64"/>
  <c r="BW1149" i="64"/>
  <c r="BX1058" i="64"/>
  <c r="AJ1163" i="64"/>
  <c r="X1092" i="64"/>
  <c r="AJ1180" i="64"/>
  <c r="BJ1128" i="64"/>
  <c r="BJ1133" i="64"/>
  <c r="AJ1169" i="64"/>
  <c r="J1135" i="64"/>
  <c r="X1087" i="64"/>
  <c r="AJ1159" i="64"/>
  <c r="X1063" i="64"/>
  <c r="AK1069" i="64"/>
  <c r="BK1054" i="64"/>
  <c r="BJ1189" i="64"/>
  <c r="J1177" i="64"/>
  <c r="AJ1187" i="64"/>
  <c r="BX1056" i="64"/>
  <c r="AX1091" i="64"/>
  <c r="CK1074" i="64"/>
  <c r="AX1117" i="64"/>
  <c r="BJ1139" i="64"/>
  <c r="AW1154" i="64"/>
  <c r="CK1063" i="64"/>
  <c r="CK1097" i="64"/>
  <c r="AJ1166" i="64"/>
  <c r="AX1071" i="64"/>
  <c r="CK1100" i="64"/>
  <c r="W1132" i="64"/>
  <c r="AK1084" i="64"/>
  <c r="BW1131" i="64"/>
  <c r="BX1067" i="64"/>
  <c r="BK1075" i="64"/>
  <c r="BX1112" i="64"/>
  <c r="AW1147" i="64"/>
  <c r="CK1094" i="64"/>
  <c r="X1118" i="64"/>
  <c r="CK1057" i="64"/>
  <c r="BW1182" i="64"/>
  <c r="W1182" i="64"/>
  <c r="X1081" i="64"/>
  <c r="AX1085" i="64"/>
  <c r="AJ1144" i="64"/>
  <c r="AW1173" i="64"/>
  <c r="X1076" i="64"/>
  <c r="J1132" i="64"/>
  <c r="AW1142" i="64"/>
  <c r="BK1058" i="64"/>
  <c r="AX1067" i="64"/>
  <c r="BK1070" i="64"/>
  <c r="CK1112" i="64"/>
  <c r="BK1105" i="64"/>
  <c r="AW1183" i="64"/>
  <c r="BW1191" i="64"/>
  <c r="AX1101" i="64"/>
  <c r="BW1168" i="64"/>
  <c r="BX1113" i="64"/>
  <c r="BK1063" i="64"/>
  <c r="BK1085" i="64"/>
  <c r="AJ1170" i="64"/>
  <c r="AX1093" i="64"/>
  <c r="BJ1173" i="64"/>
  <c r="AX1076" i="64"/>
  <c r="BK1059" i="64"/>
  <c r="J1142" i="64"/>
  <c r="AJ1131" i="64"/>
  <c r="AK1067" i="64"/>
  <c r="J1174" i="64"/>
  <c r="W1130" i="64"/>
  <c r="BK1091" i="64"/>
  <c r="AW1175" i="64"/>
  <c r="AJ1192" i="64"/>
  <c r="BK1111" i="64"/>
  <c r="CK1113" i="64"/>
  <c r="X1054" i="64"/>
  <c r="BJ1148" i="64"/>
  <c r="J1137" i="64"/>
  <c r="BW1189" i="64"/>
  <c r="W1175" i="64"/>
  <c r="W1150" i="64"/>
  <c r="AJ1148" i="64"/>
  <c r="AK1115" i="64"/>
  <c r="AW1187" i="64"/>
  <c r="X1078" i="64"/>
  <c r="W1147" i="64"/>
  <c r="AJ1143" i="64"/>
  <c r="AX1115" i="64"/>
  <c r="AX1118" i="64"/>
  <c r="BJ1167" i="64"/>
  <c r="BW1178" i="64"/>
  <c r="W1174" i="64"/>
  <c r="BW1188" i="64"/>
  <c r="AW1184" i="64"/>
  <c r="BK1104" i="64"/>
  <c r="AK1095" i="64"/>
  <c r="CK1108" i="64"/>
  <c r="CK1109" i="64"/>
  <c r="AK1089" i="64"/>
  <c r="AK1113" i="64"/>
  <c r="W1181" i="64"/>
  <c r="AK1070" i="64"/>
  <c r="AX1112" i="64"/>
  <c r="AK1119" i="64"/>
  <c r="BW1151" i="64"/>
  <c r="X1105" i="64"/>
  <c r="BJ1143" i="64"/>
  <c r="BJ1188" i="64"/>
  <c r="AK1111" i="64"/>
  <c r="X1094" i="64"/>
  <c r="BX1077" i="64"/>
  <c r="AJ1127" i="64"/>
  <c r="BK1079" i="64"/>
  <c r="BK1064" i="64"/>
  <c r="AK1094" i="64"/>
  <c r="AJ1178" i="64"/>
  <c r="BW1143" i="64"/>
  <c r="X1119" i="64"/>
  <c r="BJ1137" i="64"/>
  <c r="AX1099" i="64"/>
  <c r="X1083" i="64"/>
  <c r="X1117" i="64"/>
  <c r="J1193" i="64"/>
  <c r="AJ1168" i="64"/>
  <c r="AW1186" i="64"/>
  <c r="J1190" i="64"/>
  <c r="J1129" i="64"/>
  <c r="AJ1130" i="64"/>
  <c r="J1187" i="64"/>
  <c r="CK1102" i="64"/>
  <c r="X1074" i="64"/>
  <c r="BW1148" i="64"/>
  <c r="BW1183" i="64"/>
  <c r="AJ1188" i="64"/>
  <c r="J1151" i="64"/>
  <c r="X1077" i="64"/>
  <c r="CK1118" i="64"/>
  <c r="J1130" i="64"/>
  <c r="BW1194" i="64"/>
  <c r="CK1105" i="64"/>
  <c r="CK1089" i="64"/>
  <c r="AJ1181" i="64"/>
  <c r="BX1109" i="64"/>
  <c r="BX1089" i="64"/>
  <c r="W1168" i="64"/>
  <c r="DL1075" i="64"/>
  <c r="AK1473" i="79"/>
  <c r="CX1132" i="64"/>
  <c r="Q339" i="64"/>
  <c r="Q346" i="64"/>
  <c r="P511" i="64"/>
  <c r="DL1069" i="64"/>
  <c r="DL1060" i="64"/>
  <c r="CX1172" i="64"/>
  <c r="O570" i="64"/>
  <c r="P791" i="64"/>
  <c r="P907" i="64"/>
  <c r="Q779" i="64"/>
  <c r="Q769" i="64"/>
  <c r="Q756" i="64"/>
  <c r="Q775" i="64"/>
  <c r="Q765" i="64"/>
  <c r="Q754" i="64"/>
  <c r="Q792" i="64"/>
  <c r="Q787" i="64"/>
  <c r="Q771" i="64"/>
  <c r="Q747" i="64"/>
  <c r="Q785" i="64"/>
  <c r="Q770" i="64"/>
  <c r="Q759" i="64"/>
  <c r="Q750" i="64"/>
  <c r="Q561" i="64"/>
  <c r="Q554" i="64"/>
  <c r="Q562" i="64"/>
  <c r="Q560" i="64"/>
  <c r="Q553" i="64"/>
  <c r="Q552" i="64"/>
  <c r="Q551" i="64"/>
  <c r="Q545" i="64"/>
  <c r="Q544" i="64"/>
  <c r="Q543" i="64"/>
  <c r="Q542" i="64"/>
  <c r="Q541" i="64"/>
  <c r="Q540" i="64"/>
  <c r="Q539" i="64"/>
  <c r="Q538" i="64"/>
  <c r="Q537" i="64"/>
  <c r="R419" i="64"/>
  <c r="Q743" i="64"/>
  <c r="Q755" i="64"/>
  <c r="Q758" i="64"/>
  <c r="Q762" i="64"/>
  <c r="Q764" i="64"/>
  <c r="Q772" i="64"/>
  <c r="Q793" i="64"/>
  <c r="Q744" i="64"/>
  <c r="Q748" i="64"/>
  <c r="Q757" i="64"/>
  <c r="Q761" i="64"/>
  <c r="Q788" i="64"/>
  <c r="Q766" i="64"/>
  <c r="Q780" i="64"/>
  <c r="Q749" i="64"/>
  <c r="Q760" i="64"/>
  <c r="Q774" i="64"/>
  <c r="Q745" i="64"/>
  <c r="Q773" i="64"/>
  <c r="Q786" i="64"/>
  <c r="Q763" i="64"/>
  <c r="DL1094" i="64"/>
  <c r="L1011" i="64"/>
  <c r="L1082" i="64" s="1"/>
  <c r="L1000" i="64"/>
  <c r="L1071" i="64" s="1"/>
  <c r="L1027" i="64"/>
  <c r="L1098" i="64" s="1"/>
  <c r="L997" i="64"/>
  <c r="L1068" i="64" s="1"/>
  <c r="L1041" i="64"/>
  <c r="L1112" i="64" s="1"/>
  <c r="O610" i="64"/>
  <c r="BB815" i="64"/>
  <c r="AO815" i="64"/>
  <c r="BB818" i="64"/>
  <c r="AO818" i="64"/>
  <c r="BB822" i="64"/>
  <c r="AO822" i="64"/>
  <c r="BB821" i="64"/>
  <c r="AO821" i="64"/>
  <c r="AO823" i="64"/>
  <c r="BB823" i="64"/>
  <c r="BB755" i="64"/>
  <c r="AO755" i="64"/>
  <c r="BB795" i="64"/>
  <c r="AO795" i="64"/>
  <c r="BB796" i="64"/>
  <c r="AO796" i="64"/>
  <c r="AO787" i="64"/>
  <c r="BB787" i="64"/>
  <c r="BB816" i="64"/>
  <c r="AO816" i="64"/>
  <c r="BB814" i="64"/>
  <c r="AO814" i="64"/>
  <c r="P262" i="64"/>
  <c r="P203" i="64"/>
  <c r="BB751" i="64"/>
  <c r="AO751" i="64"/>
  <c r="P259" i="64"/>
  <c r="P200" i="64"/>
  <c r="O720" i="64"/>
  <c r="BB674" i="64"/>
  <c r="AO674" i="64"/>
  <c r="BB716" i="64"/>
  <c r="AO716" i="64"/>
  <c r="BB673" i="64"/>
  <c r="AO673" i="64"/>
  <c r="BB672" i="64"/>
  <c r="AO672" i="64"/>
  <c r="AO794" i="64"/>
  <c r="BB794" i="64"/>
  <c r="BB744" i="64"/>
  <c r="AO744" i="64"/>
  <c r="AK206" i="79"/>
  <c r="AK165" i="79"/>
  <c r="AK1499" i="79" s="1"/>
  <c r="AK124" i="79"/>
  <c r="AK1486" i="79" s="1"/>
  <c r="AK288" i="79"/>
  <c r="AK1538" i="79" s="1"/>
  <c r="AK329" i="79"/>
  <c r="AK1551" i="79" s="1"/>
  <c r="AK411" i="79"/>
  <c r="AK1577" i="79" s="1"/>
  <c r="AK247" i="79"/>
  <c r="AK452" i="79"/>
  <c r="AK493" i="79"/>
  <c r="AK370" i="79"/>
  <c r="CX1150" i="64"/>
  <c r="CX1183" i="64"/>
  <c r="BA808" i="64"/>
  <c r="CI1155" i="64"/>
  <c r="CY1155" i="64" s="1"/>
  <c r="CW1103" i="64"/>
  <c r="CW1082" i="64"/>
  <c r="DM1082" i="64" s="1"/>
  <c r="CW1068" i="64"/>
  <c r="CW1065" i="64"/>
  <c r="DM1065" i="64" s="1"/>
  <c r="CW1072" i="64"/>
  <c r="DM1072" i="64" s="1"/>
  <c r="CW1114" i="64"/>
  <c r="CW1080" i="64"/>
  <c r="DM1080" i="64" s="1"/>
  <c r="CI1172" i="64"/>
  <c r="CY1172" i="64" s="1"/>
  <c r="CI1180" i="64"/>
  <c r="CY1180" i="64" s="1"/>
  <c r="CW1055" i="64"/>
  <c r="DM1055" i="64" s="1"/>
  <c r="CW1093" i="64"/>
  <c r="DM1093" i="64" s="1"/>
  <c r="CW1087" i="64"/>
  <c r="DM1087" i="64" s="1"/>
  <c r="CI1171" i="64"/>
  <c r="CI1146" i="64"/>
  <c r="CY1146" i="64" s="1"/>
  <c r="CW1061" i="64"/>
  <c r="CI1143" i="64"/>
  <c r="CI1167" i="64"/>
  <c r="CY1167" i="64" s="1"/>
  <c r="CI1165" i="64"/>
  <c r="CY1165" i="64" s="1"/>
  <c r="CI1128" i="64"/>
  <c r="CY1128" i="64" s="1"/>
  <c r="CI1130" i="64"/>
  <c r="CI1169" i="64"/>
  <c r="CW1062" i="64"/>
  <c r="CI1175" i="64"/>
  <c r="CW1085" i="64"/>
  <c r="CI1192" i="64"/>
  <c r="CY1192" i="64" s="1"/>
  <c r="CW1070" i="64"/>
  <c r="DM1070" i="64" s="1"/>
  <c r="CW1102" i="64"/>
  <c r="CW1097" i="64"/>
  <c r="DM1097" i="64" s="1"/>
  <c r="CI1144" i="64"/>
  <c r="CY1144" i="64" s="1"/>
  <c r="CI1168" i="64"/>
  <c r="CY1168" i="64" s="1"/>
  <c r="CW1081" i="64"/>
  <c r="CW1076" i="64"/>
  <c r="CI1142" i="64"/>
  <c r="CY1142" i="64" s="1"/>
  <c r="CI1174" i="64"/>
  <c r="CY1174" i="64" s="1"/>
  <c r="CW1067" i="64"/>
  <c r="DM1067" i="64" s="1"/>
  <c r="CW1075" i="64"/>
  <c r="DM1075" i="64" s="1"/>
  <c r="CI1127" i="64"/>
  <c r="CX1146" i="64"/>
  <c r="DL1104" i="64"/>
  <c r="P902" i="64"/>
  <c r="R414" i="64"/>
  <c r="DL1100" i="64"/>
  <c r="P912" i="64"/>
  <c r="R424" i="64"/>
  <c r="AJ1748" i="79"/>
  <c r="AJ1500" i="79"/>
  <c r="AJ1856" i="79"/>
  <c r="AJ1539" i="79"/>
  <c r="BJ1176" i="64"/>
  <c r="W1133" i="64"/>
  <c r="AK1068" i="64"/>
  <c r="BJ1180" i="64"/>
  <c r="BW1155" i="64"/>
  <c r="AX1065" i="64"/>
  <c r="AJ1171" i="64"/>
  <c r="W1128" i="64"/>
  <c r="W1155" i="64"/>
  <c r="BJ1141" i="64"/>
  <c r="AW1153" i="64"/>
  <c r="CK1098" i="64"/>
  <c r="AK1073" i="64"/>
  <c r="X1107" i="64"/>
  <c r="AJ1179" i="64"/>
  <c r="BK1061" i="64"/>
  <c r="BJ1140" i="64"/>
  <c r="BW1134" i="64"/>
  <c r="J1160" i="64"/>
  <c r="BX1093" i="64"/>
  <c r="J1176" i="64"/>
  <c r="BW1153" i="64"/>
  <c r="BW1180" i="64"/>
  <c r="BK1055" i="64"/>
  <c r="BW1179" i="64"/>
  <c r="BW1135" i="64"/>
  <c r="CK1087" i="64"/>
  <c r="AK1063" i="64"/>
  <c r="AJ1132" i="64"/>
  <c r="J1163" i="64"/>
  <c r="W1165" i="64"/>
  <c r="AK1055" i="64"/>
  <c r="AX1106" i="64"/>
  <c r="AJ1160" i="64"/>
  <c r="AW1159" i="64"/>
  <c r="BJ1142" i="64"/>
  <c r="CK1077" i="64"/>
  <c r="W1137" i="64"/>
  <c r="BW1193" i="64"/>
  <c r="BX1066" i="64"/>
  <c r="AJ1158" i="64"/>
  <c r="X1093" i="64"/>
  <c r="CK1059" i="64"/>
  <c r="X1058" i="64"/>
  <c r="J1192" i="64"/>
  <c r="W1178" i="64"/>
  <c r="W1194" i="64"/>
  <c r="BJ1162" i="64"/>
  <c r="AK1081" i="64"/>
  <c r="W1170" i="64"/>
  <c r="BK1100" i="64"/>
  <c r="AJ1142" i="64"/>
  <c r="J1157" i="64"/>
  <c r="X1067" i="64"/>
  <c r="BX1111" i="64"/>
  <c r="AK1091" i="64"/>
  <c r="CK1114" i="64"/>
  <c r="BW1184" i="64"/>
  <c r="BX1063" i="64"/>
  <c r="X1085" i="64"/>
  <c r="AX1097" i="64"/>
  <c r="AX1100" i="64"/>
  <c r="X1059" i="64"/>
  <c r="BJ1131" i="64"/>
  <c r="J1140" i="64"/>
  <c r="AW1189" i="64"/>
  <c r="BK1078" i="64"/>
  <c r="J1147" i="64"/>
  <c r="BJ1151" i="64"/>
  <c r="J1188" i="64"/>
  <c r="AK1117" i="64"/>
  <c r="W1129" i="64"/>
  <c r="AK1056" i="64"/>
  <c r="AX1111" i="64"/>
  <c r="X1064" i="64"/>
  <c r="BJ1172" i="64"/>
  <c r="BJ1164" i="64"/>
  <c r="BK1056" i="64"/>
  <c r="AK1114" i="64"/>
  <c r="AK1116" i="64"/>
  <c r="AK1102" i="64"/>
  <c r="CK1091" i="64"/>
  <c r="AJ1129" i="64"/>
  <c r="AK1057" i="64"/>
  <c r="J1191" i="64"/>
  <c r="J1175" i="64"/>
  <c r="AJ1147" i="64"/>
  <c r="BK1119" i="64"/>
  <c r="BX1110" i="64"/>
  <c r="W1167" i="64"/>
  <c r="AW1150" i="64"/>
  <c r="W1162" i="64"/>
  <c r="X1113" i="64"/>
  <c r="AW1190" i="64"/>
  <c r="BX1120" i="64"/>
  <c r="X1089" i="64"/>
  <c r="AK1054" i="64"/>
  <c r="AX1075" i="64"/>
  <c r="BK1115" i="64"/>
  <c r="J1183" i="64"/>
  <c r="X1102" i="64"/>
  <c r="BX1074" i="64"/>
  <c r="AW1148" i="64"/>
  <c r="J1185" i="64"/>
  <c r="AW1191" i="64"/>
  <c r="BW1175" i="64"/>
  <c r="BW1147" i="64"/>
  <c r="CK1075" i="64"/>
  <c r="BX1057" i="64"/>
  <c r="AJ1184" i="64"/>
  <c r="AX1078" i="64"/>
  <c r="AJ1150" i="64"/>
  <c r="BK1114" i="64"/>
  <c r="BW1192" i="64"/>
  <c r="AJ1189" i="64"/>
  <c r="AK1104" i="64"/>
  <c r="AX1095" i="64"/>
  <c r="BW1181" i="64"/>
  <c r="AX1109" i="64"/>
  <c r="AW1162" i="64"/>
  <c r="AX1113" i="64"/>
  <c r="BK1108" i="64"/>
  <c r="X1101" i="64"/>
  <c r="AJ1183" i="64"/>
  <c r="CK1119" i="64"/>
  <c r="AW1172" i="64"/>
  <c r="X1091" i="64"/>
  <c r="BW1129" i="64"/>
  <c r="CK1115" i="64"/>
  <c r="BX1119" i="64"/>
  <c r="AK1099" i="64"/>
  <c r="AX1074" i="64"/>
  <c r="X1112" i="64"/>
  <c r="AX1116" i="64"/>
  <c r="AJ1167" i="64"/>
  <c r="AX1077" i="64"/>
  <c r="BJ1193" i="64"/>
  <c r="W1186" i="64"/>
  <c r="BW1190" i="64"/>
  <c r="J1182" i="64"/>
  <c r="AK1120" i="64"/>
  <c r="AK1674" i="79"/>
  <c r="CX1154" i="64"/>
  <c r="Q301" i="64"/>
  <c r="Q316" i="64"/>
  <c r="Q379" i="64"/>
  <c r="P530" i="64"/>
  <c r="AB1043" i="64"/>
  <c r="AB1039" i="64"/>
  <c r="AB1038" i="64"/>
  <c r="AB1040" i="64"/>
  <c r="AB1044" i="64"/>
  <c r="AB1042" i="64"/>
  <c r="AB1041" i="64"/>
  <c r="AB1045" i="64"/>
  <c r="AB1006" i="64"/>
  <c r="AB1004" i="64"/>
  <c r="AB1012" i="64"/>
  <c r="AB1020" i="64"/>
  <c r="AB999" i="64"/>
  <c r="AB1028" i="64"/>
  <c r="AB1003" i="64"/>
  <c r="AB1033" i="64"/>
  <c r="AB985" i="64"/>
  <c r="AB983" i="64"/>
  <c r="AB1032" i="64"/>
  <c r="AB988" i="64"/>
  <c r="AB1027" i="64"/>
  <c r="AB1000" i="64"/>
  <c r="AB1001" i="64"/>
  <c r="AB1009" i="64"/>
  <c r="AB1026" i="64"/>
  <c r="AB987" i="64"/>
  <c r="AB1014" i="64"/>
  <c r="AB1005" i="64"/>
  <c r="AB997" i="64"/>
  <c r="AB996" i="64"/>
  <c r="AB989" i="64"/>
  <c r="AB1010" i="64"/>
  <c r="AB1025" i="64"/>
  <c r="AB995" i="64"/>
  <c r="AB1019" i="64"/>
  <c r="AB984" i="64"/>
  <c r="AB998" i="64"/>
  <c r="AB1013" i="64"/>
  <c r="AB1002" i="64"/>
  <c r="AB1011" i="64"/>
  <c r="AB994" i="64"/>
  <c r="AB1015" i="64"/>
  <c r="AB990" i="64"/>
  <c r="P904" i="64"/>
  <c r="R416" i="64"/>
  <c r="CX1178" i="64"/>
  <c r="P909" i="64"/>
  <c r="R421" i="64"/>
  <c r="AB612" i="77"/>
  <c r="O121" i="64"/>
  <c r="P892" i="64"/>
  <c r="R404" i="64"/>
  <c r="L1015" i="64"/>
  <c r="L1086" i="64" s="1"/>
  <c r="L1010" i="64"/>
  <c r="L1081" i="64" s="1"/>
  <c r="L1005" i="64"/>
  <c r="L1076" i="64" s="1"/>
  <c r="L1045" i="64"/>
  <c r="L1116" i="64" s="1"/>
  <c r="BB820" i="64"/>
  <c r="AO820" i="64"/>
  <c r="AO826" i="64"/>
  <c r="BB826" i="64"/>
  <c r="AO789" i="64"/>
  <c r="BB789" i="64"/>
  <c r="AO748" i="64"/>
  <c r="BB748" i="64"/>
  <c r="BB749" i="64"/>
  <c r="AO749" i="64"/>
  <c r="O675" i="64"/>
  <c r="BB747" i="64"/>
  <c r="AO747" i="64"/>
  <c r="BB750" i="64"/>
  <c r="AO750" i="64"/>
  <c r="BB745" i="64"/>
  <c r="AO745" i="64"/>
  <c r="BB725" i="64"/>
  <c r="AO725" i="64"/>
  <c r="BB714" i="64"/>
  <c r="AO714" i="64"/>
  <c r="O707" i="64"/>
  <c r="P186" i="64"/>
  <c r="AO724" i="64"/>
  <c r="BB724" i="64"/>
  <c r="BB715" i="64"/>
  <c r="AO715" i="64"/>
  <c r="BB679" i="64"/>
  <c r="AO679" i="64"/>
  <c r="BB685" i="64"/>
  <c r="AO685" i="64"/>
  <c r="P388" i="64"/>
  <c r="O1562" i="79"/>
  <c r="O1484" i="79"/>
  <c r="O1549" i="79"/>
  <c r="O1601" i="79"/>
  <c r="O1523" i="79"/>
  <c r="O1575" i="79"/>
  <c r="O1536" i="79"/>
  <c r="O1497" i="79"/>
  <c r="O1471" i="79"/>
  <c r="O1510" i="79"/>
  <c r="O1588" i="79"/>
  <c r="CX1130" i="64"/>
  <c r="P906" i="64"/>
  <c r="R418" i="64"/>
  <c r="CX1179" i="64"/>
  <c r="O643" i="64"/>
  <c r="O647" i="64" s="1"/>
  <c r="N627" i="64"/>
  <c r="N630" i="64" s="1"/>
  <c r="CI1162" i="64"/>
  <c r="CW1083" i="64"/>
  <c r="CI1147" i="64"/>
  <c r="CY1147" i="64" s="1"/>
  <c r="CI1183" i="64"/>
  <c r="CY1183" i="64" s="1"/>
  <c r="CI1135" i="64"/>
  <c r="CY1135" i="64" s="1"/>
  <c r="CI1160" i="64"/>
  <c r="CY1160" i="64" s="1"/>
  <c r="CW1066" i="64"/>
  <c r="DM1066" i="64" s="1"/>
  <c r="CW1113" i="64"/>
  <c r="CW1088" i="64"/>
  <c r="DM1088" i="64" s="1"/>
  <c r="CI1194" i="64"/>
  <c r="CW1091" i="64"/>
  <c r="DM1091" i="64" s="1"/>
  <c r="CW1059" i="64"/>
  <c r="DM1059" i="64" s="1"/>
  <c r="CI1137" i="64"/>
  <c r="CY1137" i="64" s="1"/>
  <c r="CI1177" i="64"/>
  <c r="CY1177" i="64" s="1"/>
  <c r="CW1118" i="64"/>
  <c r="CI1129" i="64"/>
  <c r="CW1084" i="64"/>
  <c r="CI1140" i="64"/>
  <c r="CW1110" i="64"/>
  <c r="DM1110" i="64" s="1"/>
  <c r="CI1182" i="64"/>
  <c r="CW1105" i="64"/>
  <c r="DM1105" i="64" s="1"/>
  <c r="CI1190" i="64"/>
  <c r="CY1190" i="64" s="1"/>
  <c r="CW1057" i="64"/>
  <c r="CI1131" i="64"/>
  <c r="CY1131" i="64" s="1"/>
  <c r="CI1148" i="64"/>
  <c r="CY1148" i="64" s="1"/>
  <c r="CI1181" i="64"/>
  <c r="P891" i="64"/>
  <c r="R403" i="64"/>
  <c r="N388" i="77"/>
  <c r="AL1471" i="79"/>
  <c r="DL1109" i="64"/>
  <c r="CX1184" i="64"/>
  <c r="P911" i="64"/>
  <c r="R423" i="64"/>
  <c r="P894" i="64"/>
  <c r="R406" i="64"/>
  <c r="AJ1964" i="79"/>
  <c r="AJ1995" i="79" s="1"/>
  <c r="AJ1996" i="79" s="1"/>
  <c r="AJ1578" i="79"/>
  <c r="BK1072" i="64"/>
  <c r="AJ1161" i="64"/>
  <c r="BJ1155" i="64"/>
  <c r="J1145" i="64"/>
  <c r="AK1098" i="64"/>
  <c r="BX1080" i="64"/>
  <c r="AW1155" i="64"/>
  <c r="CK1068" i="64"/>
  <c r="J1165" i="64"/>
  <c r="W1171" i="64"/>
  <c r="CK1065" i="64"/>
  <c r="BJ1171" i="64"/>
  <c r="BJ1161" i="64"/>
  <c r="BJ1153" i="64"/>
  <c r="AX1092" i="64"/>
  <c r="BW1133" i="64"/>
  <c r="BJ1135" i="64"/>
  <c r="BW1159" i="64"/>
  <c r="AX1081" i="64"/>
  <c r="BX1097" i="64"/>
  <c r="BX1062" i="64"/>
  <c r="AK1066" i="64"/>
  <c r="CK1067" i="64"/>
  <c r="BJ1146" i="64"/>
  <c r="AW1163" i="64"/>
  <c r="J1133" i="64"/>
  <c r="BX1096" i="64"/>
  <c r="AW1134" i="64"/>
  <c r="W1139" i="64"/>
  <c r="AK1100" i="64"/>
  <c r="J1131" i="64"/>
  <c r="BK1107" i="64"/>
  <c r="AW1169" i="64"/>
  <c r="AK1061" i="64"/>
  <c r="BK1093" i="64"/>
  <c r="AX1070" i="64"/>
  <c r="BW1185" i="64"/>
  <c r="AW1152" i="64"/>
  <c r="W1183" i="64"/>
  <c r="W1193" i="64"/>
  <c r="BK1081" i="64"/>
  <c r="J1170" i="64"/>
  <c r="BJ1144" i="64"/>
  <c r="X1100" i="64"/>
  <c r="AW1157" i="64"/>
  <c r="AJ1140" i="64"/>
  <c r="AJ1194" i="64"/>
  <c r="W1127" i="64"/>
  <c r="AX1079" i="64"/>
  <c r="BW1136" i="64"/>
  <c r="X1071" i="64"/>
  <c r="BK1076" i="64"/>
  <c r="W1131" i="64"/>
  <c r="X1075" i="64"/>
  <c r="AW1151" i="64"/>
  <c r="W1190" i="64"/>
  <c r="BX1108" i="64"/>
  <c r="BK1071" i="64"/>
  <c r="W1149" i="64"/>
  <c r="AX1069" i="64"/>
  <c r="AX1056" i="64"/>
  <c r="DL1070" i="64"/>
  <c r="AL1458" i="79"/>
  <c r="DL1096" i="64"/>
  <c r="AJ1820" i="79"/>
  <c r="AJ1852" i="79" s="1"/>
  <c r="AJ1853" i="79" s="1"/>
  <c r="AJ1526" i="79"/>
  <c r="AJ1513" i="79"/>
  <c r="AJ1784" i="79"/>
  <c r="AJ1816" i="79" s="1"/>
  <c r="AJ1817" i="79" s="1"/>
  <c r="DL1067" i="64"/>
  <c r="BX1065" i="64"/>
  <c r="BX1072" i="64"/>
  <c r="X1103" i="64"/>
  <c r="CK1073" i="64"/>
  <c r="X1096" i="64"/>
  <c r="J1138" i="64"/>
  <c r="BJ1145" i="64"/>
  <c r="AX1068" i="64"/>
  <c r="BW1176" i="64"/>
  <c r="X1073" i="64"/>
  <c r="X1060" i="64"/>
  <c r="AX1082" i="64"/>
  <c r="BK1082" i="64"/>
  <c r="BW1145" i="64"/>
  <c r="BW1141" i="64"/>
  <c r="AW1171" i="64"/>
  <c r="W1180" i="64"/>
  <c r="X1065" i="64"/>
  <c r="W1153" i="64"/>
  <c r="BX1082" i="64"/>
  <c r="BW1138" i="64"/>
  <c r="BK1068" i="64"/>
  <c r="BK1088" i="64"/>
  <c r="AK1080" i="64"/>
  <c r="AX1098" i="64"/>
  <c r="AK1088" i="64"/>
  <c r="CK1080" i="64"/>
  <c r="BK1090" i="64"/>
  <c r="BW1165" i="64"/>
  <c r="CK1055" i="64"/>
  <c r="BX1060" i="64"/>
  <c r="J1179" i="64"/>
  <c r="AX1062" i="64"/>
  <c r="BK1087" i="64"/>
  <c r="J1159" i="64"/>
  <c r="AX1063" i="64"/>
  <c r="AK1093" i="64"/>
  <c r="W1179" i="64"/>
  <c r="AK1062" i="64"/>
  <c r="W1134" i="64"/>
  <c r="AK1086" i="64"/>
  <c r="AW1136" i="64"/>
  <c r="W1173" i="64"/>
  <c r="BK1103" i="64"/>
  <c r="AW1161" i="64"/>
  <c r="X1080" i="64"/>
  <c r="W1146" i="64"/>
  <c r="AX1090" i="64"/>
  <c r="AX1107" i="64"/>
  <c r="X1055" i="64"/>
  <c r="AX1060" i="64"/>
  <c r="AK1096" i="64"/>
  <c r="AK1106" i="64"/>
  <c r="CK1062" i="64"/>
  <c r="AJ1134" i="64"/>
  <c r="W1159" i="64"/>
  <c r="BK1066" i="64"/>
  <c r="AK1097" i="64"/>
  <c r="J1149" i="64"/>
  <c r="BJ1132" i="64"/>
  <c r="J1146" i="64"/>
  <c r="BJ1163" i="64"/>
  <c r="AJ1165" i="64"/>
  <c r="BW1128" i="64"/>
  <c r="CK1060" i="64"/>
  <c r="BJ1169" i="64"/>
  <c r="AW1179" i="64"/>
  <c r="BJ1134" i="64"/>
  <c r="AX1087" i="64"/>
  <c r="J1139" i="64"/>
  <c r="W1144" i="64"/>
  <c r="BW1157" i="64"/>
  <c r="BW1174" i="64"/>
  <c r="AJ1185" i="64"/>
  <c r="BX1091" i="64"/>
  <c r="AX1104" i="64"/>
  <c r="CK1111" i="64"/>
  <c r="AW1137" i="64"/>
  <c r="BX1095" i="64"/>
  <c r="BK1086" i="64"/>
  <c r="CK1066" i="64"/>
  <c r="BX1081" i="64"/>
  <c r="J1158" i="64"/>
  <c r="BJ1170" i="64"/>
  <c r="CK1093" i="64"/>
  <c r="BX1071" i="64"/>
  <c r="BW1173" i="64"/>
  <c r="CK1069" i="64"/>
  <c r="BJ1157" i="64"/>
  <c r="AK1058" i="64"/>
  <c r="AK1075" i="64"/>
  <c r="AX1064" i="64"/>
  <c r="AX1102" i="64"/>
  <c r="J1189" i="64"/>
  <c r="CK1070" i="64"/>
  <c r="BW1177" i="64"/>
  <c r="BX1102" i="64"/>
  <c r="BK1095" i="64"/>
  <c r="J1154" i="64"/>
  <c r="BJ1136" i="64"/>
  <c r="AW1166" i="64"/>
  <c r="AK1071" i="64"/>
  <c r="BX1100" i="64"/>
  <c r="BX1076" i="64"/>
  <c r="BW1142" i="64"/>
  <c r="BK1084" i="64"/>
  <c r="CK1058" i="64"/>
  <c r="BW1140" i="64"/>
  <c r="BW1137" i="64"/>
  <c r="BX1094" i="64"/>
  <c r="W1148" i="64"/>
  <c r="BW1150" i="64"/>
  <c r="AW1167" i="64"/>
  <c r="AX1119" i="64"/>
  <c r="AJ1193" i="64"/>
  <c r="AJ1154" i="64"/>
  <c r="W1136" i="64"/>
  <c r="AK1085" i="64"/>
  <c r="BW1170" i="64"/>
  <c r="CK1071" i="64"/>
  <c r="AJ1173" i="64"/>
  <c r="AJ1149" i="64"/>
  <c r="AW1132" i="64"/>
  <c r="X1084" i="64"/>
  <c r="AW1140" i="64"/>
  <c r="AJ1174" i="64"/>
  <c r="BJ1185" i="64"/>
  <c r="X1099" i="64"/>
  <c r="X1079" i="64"/>
  <c r="J1148" i="64"/>
  <c r="BK1074" i="64"/>
  <c r="AX1105" i="64"/>
  <c r="AW1193" i="64"/>
  <c r="BJ1127" i="64"/>
  <c r="CK1064" i="64"/>
  <c r="AW1194" i="64"/>
  <c r="BJ1191" i="64"/>
  <c r="X1104" i="64"/>
  <c r="CK1083" i="64"/>
  <c r="BX1101" i="64"/>
  <c r="AJ1191" i="64"/>
  <c r="BJ1187" i="64"/>
  <c r="W1177" i="64"/>
  <c r="BK1083" i="64"/>
  <c r="AK1101" i="64"/>
  <c r="W1184" i="64"/>
  <c r="AX1114" i="64"/>
  <c r="J1172" i="64"/>
  <c r="AW1164" i="64"/>
  <c r="AK1064" i="64"/>
  <c r="W1185" i="64"/>
  <c r="AK1078" i="64"/>
  <c r="BJ1147" i="64"/>
  <c r="AJ1182" i="64"/>
  <c r="CK1095" i="64"/>
  <c r="BK1113" i="64"/>
  <c r="BX1117" i="64"/>
  <c r="AK1109" i="64"/>
  <c r="X1056" i="64"/>
  <c r="BJ1129" i="64"/>
  <c r="BW1152" i="64"/>
  <c r="AK1118" i="64"/>
  <c r="W1172" i="64"/>
  <c r="BW1164" i="64"/>
  <c r="CK1101" i="64"/>
  <c r="BK1116" i="64"/>
  <c r="AK1110" i="64"/>
  <c r="BW1172" i="64"/>
  <c r="AJ1164" i="64"/>
  <c r="AW1129" i="64"/>
  <c r="AK1112" i="64"/>
  <c r="BK1057" i="64"/>
  <c r="BJ1175" i="64"/>
  <c r="AK1074" i="64"/>
  <c r="BW1130" i="64"/>
  <c r="AW1130" i="64"/>
  <c r="BW1167" i="64"/>
  <c r="AK1077" i="64"/>
  <c r="AX1120" i="64"/>
  <c r="AJ1186" i="64"/>
  <c r="BK1117" i="64"/>
  <c r="CK1120" i="64"/>
  <c r="X1120" i="64"/>
  <c r="AW1156" i="64"/>
  <c r="BJ1184" i="64"/>
  <c r="AK1079" i="64"/>
  <c r="J1152" i="64"/>
  <c r="BJ1178" i="64"/>
  <c r="BW1127" i="64"/>
  <c r="BK1101" i="64"/>
  <c r="W1192" i="64"/>
  <c r="AW1188" i="64"/>
  <c r="BX1104" i="64"/>
  <c r="AJ1156" i="64"/>
  <c r="BK1110" i="64"/>
  <c r="BJ1194" i="64"/>
  <c r="AJ1175" i="64"/>
  <c r="J1164" i="64"/>
  <c r="BK1109" i="64"/>
  <c r="AX1089" i="64"/>
  <c r="BJ1168" i="64"/>
  <c r="BJ1181" i="64"/>
  <c r="BJ1182" i="64"/>
  <c r="P895" i="64"/>
  <c r="R407" i="64"/>
  <c r="P908" i="64"/>
  <c r="R420" i="64"/>
  <c r="CX1173" i="64"/>
  <c r="Q294" i="64"/>
  <c r="Q359" i="64"/>
  <c r="P672" i="64"/>
  <c r="P674" i="64"/>
  <c r="P677" i="64"/>
  <c r="P679" i="64"/>
  <c r="P715" i="64"/>
  <c r="P717" i="64"/>
  <c r="AC723" i="64"/>
  <c r="AC785" i="64"/>
  <c r="AC673" i="64"/>
  <c r="AC676" i="64"/>
  <c r="AC724" i="64"/>
  <c r="AC681" i="64"/>
  <c r="P708" i="64"/>
  <c r="AC868" i="64"/>
  <c r="P684" i="64"/>
  <c r="Q173" i="64" s="1"/>
  <c r="T173" i="64" s="1"/>
  <c r="V173" i="64" s="1"/>
  <c r="P686" i="64"/>
  <c r="Q175" i="64" s="1"/>
  <c r="T175" i="64" s="1"/>
  <c r="V175" i="64" s="1"/>
  <c r="P688" i="64"/>
  <c r="Q177" i="64" s="1"/>
  <c r="P690" i="64"/>
  <c r="Q179" i="64" s="1"/>
  <c r="P692" i="64"/>
  <c r="Q181" i="64" s="1"/>
  <c r="T181" i="64" s="1"/>
  <c r="V181" i="64" s="1"/>
  <c r="P694" i="64"/>
  <c r="Q183" i="64" s="1"/>
  <c r="AC683" i="64"/>
  <c r="AC685" i="64"/>
  <c r="AC817" i="64"/>
  <c r="AC674" i="64"/>
  <c r="AC677" i="64"/>
  <c r="AC679" i="64"/>
  <c r="P699" i="64"/>
  <c r="Q187" i="64" s="1"/>
  <c r="P701" i="64"/>
  <c r="Q189" i="64" s="1"/>
  <c r="P703" i="64"/>
  <c r="Q191" i="64" s="1"/>
  <c r="AC725" i="64"/>
  <c r="AC744" i="64"/>
  <c r="P722" i="64"/>
  <c r="P683" i="64"/>
  <c r="P685" i="64"/>
  <c r="Q174" i="64" s="1"/>
  <c r="P687" i="64"/>
  <c r="Q176" i="64" s="1"/>
  <c r="T176" i="64" s="1"/>
  <c r="V176" i="64" s="1"/>
  <c r="P689" i="64"/>
  <c r="Q178" i="64" s="1"/>
  <c r="P691" i="64"/>
  <c r="Q180" i="64" s="1"/>
  <c r="P693" i="64"/>
  <c r="Q182" i="64" s="1"/>
  <c r="P695" i="64"/>
  <c r="Q184" i="64" s="1"/>
  <c r="P709" i="64"/>
  <c r="Q196" i="64" s="1"/>
  <c r="AC721" i="64"/>
  <c r="AC746" i="64"/>
  <c r="AC754" i="64"/>
  <c r="P700" i="64"/>
  <c r="Q188" i="64" s="1"/>
  <c r="P721" i="64"/>
  <c r="AC745" i="64"/>
  <c r="P704" i="64"/>
  <c r="Q192" i="64" s="1"/>
  <c r="AC794" i="64"/>
  <c r="P673" i="64"/>
  <c r="P676" i="64"/>
  <c r="P678" i="64"/>
  <c r="P698" i="64"/>
  <c r="P702" i="64"/>
  <c r="Q190" i="64" s="1"/>
  <c r="P714" i="64"/>
  <c r="P716" i="64"/>
  <c r="AC718" i="64"/>
  <c r="AC793" i="64"/>
  <c r="AC795" i="64"/>
  <c r="AC792" i="64"/>
  <c r="AC756" i="64"/>
  <c r="AC748" i="64"/>
  <c r="AC755" i="64"/>
  <c r="AC816" i="64"/>
  <c r="AC788" i="64"/>
  <c r="AC752" i="64"/>
  <c r="AC820" i="64"/>
  <c r="AC821" i="64"/>
  <c r="AC815" i="64"/>
  <c r="AC826" i="64"/>
  <c r="AC823" i="64"/>
  <c r="AC819" i="64"/>
  <c r="AC825" i="64"/>
  <c r="AC827" i="64"/>
  <c r="P889" i="64"/>
  <c r="Q523" i="64"/>
  <c r="Q515" i="64"/>
  <c r="Q506" i="64"/>
  <c r="Q502" i="64"/>
  <c r="Q521" i="64"/>
  <c r="Q513" i="64"/>
  <c r="Q504" i="64"/>
  <c r="Q500" i="64"/>
  <c r="Q512" i="64"/>
  <c r="Q503" i="64"/>
  <c r="Q499" i="64"/>
  <c r="R401" i="64"/>
  <c r="R387" i="64"/>
  <c r="R383" i="64"/>
  <c r="R372" i="64"/>
  <c r="R360" i="64"/>
  <c r="R354" i="64"/>
  <c r="V354" i="64" s="1"/>
  <c r="X354" i="64" s="1"/>
  <c r="C1447" i="79" s="1"/>
  <c r="R353" i="64"/>
  <c r="V353" i="64" s="1"/>
  <c r="X353" i="64" s="1"/>
  <c r="C1446" i="79" s="1"/>
  <c r="R351" i="64"/>
  <c r="V351" i="64" s="1"/>
  <c r="X351" i="64" s="1"/>
  <c r="C1444" i="79" s="1"/>
  <c r="Q522" i="64"/>
  <c r="R381" i="64"/>
  <c r="R350" i="64"/>
  <c r="V350" i="64" s="1"/>
  <c r="X350" i="64" s="1"/>
  <c r="C1443" i="79" s="1"/>
  <c r="R349" i="64"/>
  <c r="V349" i="64" s="1"/>
  <c r="X349" i="64" s="1"/>
  <c r="C1442" i="79" s="1"/>
  <c r="R341" i="64"/>
  <c r="R334" i="64"/>
  <c r="R322" i="64"/>
  <c r="R318" i="64"/>
  <c r="R311" i="64"/>
  <c r="R307" i="64"/>
  <c r="R303" i="64"/>
  <c r="R295" i="64"/>
  <c r="R291" i="64"/>
  <c r="Q514" i="64"/>
  <c r="Q505" i="64"/>
  <c r="Q501" i="64"/>
  <c r="R384" i="64"/>
  <c r="R382" i="64"/>
  <c r="R380" i="64"/>
  <c r="R352" i="64"/>
  <c r="V352" i="64" s="1"/>
  <c r="X352" i="64" s="1"/>
  <c r="C1445" i="79" s="1"/>
  <c r="R336" i="64"/>
  <c r="R328" i="64"/>
  <c r="R320" i="64"/>
  <c r="R313" i="64"/>
  <c r="R309" i="64"/>
  <c r="R305" i="64"/>
  <c r="R297" i="64"/>
  <c r="R293" i="64"/>
  <c r="Q498" i="64"/>
  <c r="R370" i="64"/>
  <c r="R363" i="64"/>
  <c r="R361" i="64"/>
  <c r="R348" i="64"/>
  <c r="V348" i="64" s="1"/>
  <c r="X348" i="64" s="1"/>
  <c r="C1441" i="79" s="1"/>
  <c r="R347" i="64"/>
  <c r="R335" i="64"/>
  <c r="R327" i="64"/>
  <c r="R323" i="64"/>
  <c r="R319" i="64"/>
  <c r="R312" i="64"/>
  <c r="R308" i="64"/>
  <c r="R304" i="64"/>
  <c r="R296" i="64"/>
  <c r="R292" i="64"/>
  <c r="R340" i="64"/>
  <c r="R314" i="64"/>
  <c r="R310" i="64"/>
  <c r="R306" i="64"/>
  <c r="R302" i="64"/>
  <c r="R298" i="64"/>
  <c r="R321" i="64"/>
  <c r="R317" i="64"/>
  <c r="R371" i="64"/>
  <c r="R362" i="64"/>
  <c r="R333" i="64"/>
  <c r="Q326" i="64"/>
  <c r="P901" i="64"/>
  <c r="R413" i="64"/>
  <c r="CX1139" i="64"/>
  <c r="P778" i="64"/>
  <c r="P569" i="64"/>
  <c r="AQ1041" i="64"/>
  <c r="AQ1045" i="64"/>
  <c r="AQ1040" i="64"/>
  <c r="AQ1043" i="64"/>
  <c r="AQ1044" i="64"/>
  <c r="AQ1039" i="64"/>
  <c r="AQ1037" i="64"/>
  <c r="M1037" i="64" s="1"/>
  <c r="M1108" i="64" s="1"/>
  <c r="AQ1042" i="64"/>
  <c r="AQ1038" i="64"/>
  <c r="AQ1018" i="64"/>
  <c r="M1018" i="64" s="1"/>
  <c r="M1089" i="64" s="1"/>
  <c r="AQ1024" i="64"/>
  <c r="M1024" i="64" s="1"/>
  <c r="M1095" i="64" s="1"/>
  <c r="AQ983" i="64"/>
  <c r="AQ999" i="64"/>
  <c r="AQ1004" i="64"/>
  <c r="AQ1006" i="64"/>
  <c r="AQ985" i="64"/>
  <c r="AQ1003" i="64"/>
  <c r="AQ1020" i="64"/>
  <c r="AQ1031" i="64"/>
  <c r="M1031" i="64" s="1"/>
  <c r="M1102" i="64" s="1"/>
  <c r="AQ1028" i="64"/>
  <c r="AQ1033" i="64"/>
  <c r="AQ1012" i="64"/>
  <c r="AQ995" i="64"/>
  <c r="AQ988" i="64"/>
  <c r="AQ1002" i="64"/>
  <c r="AQ1019" i="64"/>
  <c r="AQ998" i="64"/>
  <c r="AQ1027" i="64"/>
  <c r="AQ1013" i="64"/>
  <c r="AQ1026" i="64"/>
  <c r="AQ990" i="64"/>
  <c r="AQ996" i="64"/>
  <c r="AQ1000" i="64"/>
  <c r="AQ1025" i="64"/>
  <c r="AQ1015" i="64"/>
  <c r="AQ1009" i="64"/>
  <c r="AQ987" i="64"/>
  <c r="AQ997" i="64"/>
  <c r="AQ1032" i="64"/>
  <c r="AQ994" i="64"/>
  <c r="AQ1001" i="64"/>
  <c r="AQ1010" i="64"/>
  <c r="AQ984" i="64"/>
  <c r="AQ989" i="64"/>
  <c r="AQ1014" i="64"/>
  <c r="AQ1005" i="64"/>
  <c r="AQ1011" i="64"/>
  <c r="AN737" i="64"/>
  <c r="CX1158" i="64"/>
  <c r="L988" i="64"/>
  <c r="L1059" i="64" s="1"/>
  <c r="L996" i="64"/>
  <c r="L1067" i="64" s="1"/>
  <c r="L983" i="64"/>
  <c r="L1054" i="64" s="1"/>
  <c r="L1042" i="64"/>
  <c r="L1113" i="64" s="1"/>
  <c r="L1043" i="64"/>
  <c r="L1114" i="64" s="1"/>
  <c r="BB825" i="64"/>
  <c r="AO825" i="64"/>
  <c r="BB819" i="64"/>
  <c r="AO819" i="64"/>
  <c r="BB743" i="64"/>
  <c r="AO743" i="64"/>
  <c r="AO788" i="64"/>
  <c r="BB788" i="64"/>
  <c r="BB786" i="64"/>
  <c r="AO786" i="64"/>
  <c r="AO859" i="64"/>
  <c r="P201" i="64"/>
  <c r="P260" i="64"/>
  <c r="P265" i="64"/>
  <c r="O726" i="64"/>
  <c r="P206" i="64"/>
  <c r="O713" i="64"/>
  <c r="P195" i="64"/>
  <c r="BB718" i="64"/>
  <c r="AO718" i="64"/>
  <c r="BB754" i="64"/>
  <c r="AO754" i="64"/>
  <c r="BB678" i="64"/>
  <c r="AO678" i="64"/>
  <c r="P266" i="64"/>
  <c r="P207" i="64"/>
  <c r="BB723" i="64"/>
  <c r="AO723" i="64"/>
  <c r="P172" i="64"/>
  <c r="O697" i="64"/>
  <c r="BB722" i="64"/>
  <c r="AO722" i="64"/>
  <c r="BB793" i="64"/>
  <c r="AO793" i="64"/>
  <c r="BB721" i="64"/>
  <c r="AO721" i="64"/>
  <c r="BB683" i="64"/>
  <c r="AO683" i="64"/>
  <c r="G13" i="71"/>
  <c r="AZ882" i="64"/>
  <c r="DL1055" i="64"/>
  <c r="N83" i="79"/>
  <c r="N288" i="79"/>
  <c r="N165" i="79"/>
  <c r="N206" i="79"/>
  <c r="N411" i="79"/>
  <c r="N452" i="79"/>
  <c r="N124" i="79"/>
  <c r="N370" i="79"/>
  <c r="N247" i="79"/>
  <c r="N493" i="79"/>
  <c r="N329" i="79"/>
  <c r="AK1592" i="79"/>
  <c r="AK1997" i="79"/>
  <c r="AK2031" i="79" s="1"/>
  <c r="AK2032" i="79" s="1"/>
  <c r="DL1078" i="64"/>
  <c r="AB635" i="77"/>
  <c r="O122" i="64"/>
  <c r="CI1145" i="64"/>
  <c r="CI1138" i="64"/>
  <c r="CI1141" i="64"/>
  <c r="CY1141" i="64" s="1"/>
  <c r="CI1164" i="64"/>
  <c r="CW1063" i="64"/>
  <c r="CI1149" i="64"/>
  <c r="CW1096" i="64"/>
  <c r="CI1188" i="64"/>
  <c r="CY1188" i="64" s="1"/>
  <c r="CI1152" i="64"/>
  <c r="CI1133" i="64"/>
  <c r="CY1133" i="64" s="1"/>
  <c r="CI1163" i="64"/>
  <c r="CW1107" i="64"/>
  <c r="DM1107" i="64" s="1"/>
  <c r="CW1060" i="64"/>
  <c r="DM1060" i="64" s="1"/>
  <c r="CW1106" i="64"/>
  <c r="CI1156" i="64"/>
  <c r="CW1074" i="64"/>
  <c r="CI1184" i="64"/>
  <c r="CY1184" i="64" s="1"/>
  <c r="CW1094" i="64"/>
  <c r="DM1094" i="64" s="1"/>
  <c r="CI1132" i="64"/>
  <c r="CY1132" i="64" s="1"/>
  <c r="CW1069" i="64"/>
  <c r="DM1069" i="64" s="1"/>
  <c r="CW1100" i="64"/>
  <c r="DM1100" i="64" s="1"/>
  <c r="CW1064" i="64"/>
  <c r="CW1056" i="64"/>
  <c r="DM1056" i="64" s="1"/>
  <c r="P900" i="64"/>
  <c r="R412" i="64"/>
  <c r="DL1073" i="64"/>
  <c r="AK1460" i="79"/>
  <c r="P896" i="64"/>
  <c r="R408" i="64"/>
  <c r="AJ1487" i="79"/>
  <c r="AJ1712" i="79"/>
  <c r="W1141" i="64"/>
  <c r="AK1103" i="64"/>
  <c r="W1138" i="64"/>
  <c r="W1145" i="64"/>
  <c r="CK1103" i="64"/>
  <c r="BW1169" i="64"/>
  <c r="AK1082" i="64"/>
  <c r="AJ1141" i="64"/>
  <c r="BK1065" i="64"/>
  <c r="CK1072" i="64"/>
  <c r="BW1171" i="64"/>
  <c r="BX1090" i="64"/>
  <c r="BK1080" i="64"/>
  <c r="AK1090" i="64"/>
  <c r="AK1060" i="64"/>
  <c r="CK1061" i="64"/>
  <c r="X1066" i="64"/>
  <c r="BK1106" i="64"/>
  <c r="W1135" i="64"/>
  <c r="AX1059" i="64"/>
  <c r="W1161" i="64"/>
  <c r="BK1092" i="64"/>
  <c r="BK1060" i="64"/>
  <c r="AX1096" i="64"/>
  <c r="AJ1135" i="64"/>
  <c r="BW1139" i="64"/>
  <c r="BK1097" i="64"/>
  <c r="BW1146" i="64"/>
  <c r="BX1107" i="64"/>
  <c r="AW1128" i="64"/>
  <c r="CK1096" i="64"/>
  <c r="BJ1160" i="64"/>
  <c r="BW1154" i="64"/>
  <c r="BK1067" i="64"/>
  <c r="BX1114" i="64"/>
  <c r="BJ1174" i="64"/>
  <c r="J1167" i="64"/>
  <c r="BJ1159" i="64"/>
  <c r="CK1081" i="64"/>
  <c r="BJ1158" i="64"/>
  <c r="X1097" i="64"/>
  <c r="AW1144" i="64"/>
  <c r="BK1069" i="64"/>
  <c r="BX1084" i="64"/>
  <c r="AX1054" i="64"/>
  <c r="BX1116" i="64"/>
  <c r="CK1104" i="64"/>
  <c r="AX1057" i="64"/>
  <c r="X1057" i="64"/>
  <c r="AK1083" i="64"/>
  <c r="AX1108" i="64"/>
  <c r="BJ1154" i="64"/>
  <c r="BX1085" i="64"/>
  <c r="BJ1166" i="64"/>
  <c r="J1144" i="64"/>
  <c r="AW1149" i="64"/>
  <c r="BX1059" i="64"/>
  <c r="X1069" i="64"/>
  <c r="AJ1157" i="64"/>
  <c r="AW1131" i="64"/>
  <c r="CK1056" i="64"/>
  <c r="X1111" i="64"/>
  <c r="BK1102" i="64"/>
  <c r="BJ1192" i="64"/>
  <c r="BX1070" i="64"/>
  <c r="AK1105" i="64"/>
  <c r="BX1099" i="64"/>
  <c r="AJ1162" i="64"/>
  <c r="W1154" i="64"/>
  <c r="J1136" i="64"/>
  <c r="W1158" i="64"/>
  <c r="J1166" i="64"/>
  <c r="J1173" i="64"/>
  <c r="AK1076" i="64"/>
  <c r="BW1132" i="64"/>
  <c r="BX1069" i="64"/>
  <c r="W1157" i="64"/>
  <c r="W1140" i="64"/>
  <c r="J1143" i="64"/>
  <c r="AJ1152" i="64"/>
  <c r="J1150" i="64"/>
  <c r="BK1118" i="64"/>
  <c r="BX1079" i="64"/>
  <c r="W1191" i="64"/>
  <c r="BK1089" i="64"/>
  <c r="J1162" i="64"/>
  <c r="W1143" i="64"/>
  <c r="AW1185" i="64"/>
  <c r="AJ1137" i="64"/>
  <c r="CK1078" i="64"/>
  <c r="AW1178" i="64"/>
  <c r="AW1127" i="64"/>
  <c r="CK1110" i="64"/>
  <c r="X1116" i="64"/>
  <c r="BK1094" i="64"/>
  <c r="BK1077" i="64"/>
  <c r="BX1054" i="64"/>
  <c r="BW1187" i="64"/>
  <c r="CK1079" i="64"/>
  <c r="J1184" i="64"/>
  <c r="AJ1177" i="64"/>
  <c r="X1070" i="64"/>
  <c r="BX1115" i="64"/>
  <c r="BX1064" i="64"/>
  <c r="CK1099" i="64"/>
  <c r="AX1083" i="64"/>
  <c r="AJ1190" i="64"/>
  <c r="BW1162" i="64"/>
  <c r="X1095" i="64"/>
  <c r="AK1108" i="64"/>
  <c r="CK1117" i="64"/>
  <c r="CK1054" i="64"/>
  <c r="BJ1152" i="64"/>
  <c r="J1194" i="64"/>
  <c r="X1114" i="64"/>
  <c r="BJ1177" i="64"/>
  <c r="W1156" i="64"/>
  <c r="CK1116" i="64"/>
  <c r="X1110" i="64"/>
  <c r="AW1192" i="64"/>
  <c r="BX1105" i="64"/>
  <c r="J1156" i="64"/>
  <c r="AW1174" i="64"/>
  <c r="W1188" i="64"/>
  <c r="BJ1183" i="64"/>
  <c r="AW1177" i="64"/>
  <c r="BJ1156" i="64"/>
  <c r="W1187" i="64"/>
  <c r="W1189" i="64"/>
  <c r="AJ1151" i="64"/>
  <c r="W1164" i="64"/>
  <c r="AW1182" i="64"/>
  <c r="AW1168" i="64"/>
  <c r="BW1186" i="64"/>
  <c r="AW1181" i="64"/>
  <c r="X1109" i="64"/>
  <c r="AW1143" i="64"/>
  <c r="BJ1130" i="64"/>
  <c r="BK1112" i="64"/>
  <c r="W1151" i="64"/>
  <c r="BJ1150" i="64"/>
  <c r="J1127" i="64"/>
  <c r="AX1110" i="64"/>
  <c r="BX1118" i="64"/>
  <c r="AX1094" i="64"/>
  <c r="J1178" i="64"/>
  <c r="BX1075" i="64"/>
  <c r="W1152" i="64"/>
  <c r="X1115" i="64"/>
  <c r="AJ1172" i="64"/>
  <c r="J1186" i="64"/>
  <c r="BJ1190" i="64"/>
  <c r="BK1120" i="64"/>
  <c r="J1168" i="64"/>
  <c r="BJ1186" i="64"/>
  <c r="DL1087" i="64"/>
  <c r="P905" i="64"/>
  <c r="R417" i="64"/>
  <c r="DL1090" i="64"/>
  <c r="O611" i="64"/>
  <c r="O531" i="64"/>
  <c r="Q332" i="64"/>
  <c r="Y600" i="77"/>
  <c r="P890" i="64"/>
  <c r="R402" i="64"/>
  <c r="P768" i="64"/>
  <c r="BA737" i="64"/>
  <c r="AL1562" i="79"/>
  <c r="AL1484" i="79"/>
  <c r="AL1601" i="79"/>
  <c r="AL1510" i="79"/>
  <c r="AL1536" i="79"/>
  <c r="AL1549" i="79"/>
  <c r="AL1497" i="79"/>
  <c r="AL1523" i="79"/>
  <c r="AL1588" i="79"/>
  <c r="AL1575" i="79"/>
  <c r="DL1057" i="64"/>
  <c r="L1019" i="64"/>
  <c r="L1090" i="64" s="1"/>
  <c r="L995" i="64"/>
  <c r="L1066" i="64" s="1"/>
  <c r="L1001" i="64"/>
  <c r="L1072" i="64" s="1"/>
  <c r="L1004" i="64"/>
  <c r="L1075" i="64" s="1"/>
  <c r="L999" i="64"/>
  <c r="L1070" i="64" s="1"/>
  <c r="L1040" i="64"/>
  <c r="L1111" i="64" s="1"/>
  <c r="L1044" i="64"/>
  <c r="L1115" i="64" s="1"/>
  <c r="BB827" i="64"/>
  <c r="AO827" i="64"/>
  <c r="AO860" i="64"/>
  <c r="BB752" i="64"/>
  <c r="AO752" i="64"/>
  <c r="BB756" i="64"/>
  <c r="AO756" i="64"/>
  <c r="BB792" i="64"/>
  <c r="AO792" i="64"/>
  <c r="P202" i="64"/>
  <c r="P261" i="64"/>
  <c r="BB680" i="64"/>
  <c r="AO680" i="64"/>
  <c r="BB719" i="64"/>
  <c r="AO719" i="64"/>
  <c r="BB684" i="64"/>
  <c r="AO684" i="64"/>
  <c r="BB746" i="64"/>
  <c r="AO746" i="64"/>
  <c r="BB676" i="64"/>
  <c r="AO676" i="64"/>
  <c r="BB717" i="64"/>
  <c r="AO717" i="64"/>
  <c r="BB681" i="64"/>
  <c r="AO681" i="64"/>
  <c r="BB868" i="64"/>
  <c r="AO868" i="64"/>
  <c r="BB817" i="64"/>
  <c r="AO817" i="64"/>
  <c r="BB677" i="64"/>
  <c r="AO677" i="64"/>
  <c r="P903" i="64"/>
  <c r="R415" i="64"/>
  <c r="P910" i="64"/>
  <c r="R422" i="64"/>
  <c r="P898" i="64"/>
  <c r="R410" i="64"/>
  <c r="P899" i="64"/>
  <c r="R411" i="64"/>
  <c r="DL1077" i="64"/>
  <c r="P893" i="64"/>
  <c r="R405" i="64"/>
  <c r="AN808" i="64"/>
  <c r="P897" i="64"/>
  <c r="R409" i="64"/>
  <c r="CI1161" i="64"/>
  <c r="CY1161" i="64" s="1"/>
  <c r="CW1120" i="64"/>
  <c r="DM1120" i="64" s="1"/>
  <c r="CI1186" i="64"/>
  <c r="CY1186" i="64" s="1"/>
  <c r="CI1193" i="64"/>
  <c r="CW1099" i="64"/>
  <c r="DM1099" i="64" s="1"/>
  <c r="CI1179" i="64"/>
  <c r="CY1179" i="64" s="1"/>
  <c r="CW1095" i="64"/>
  <c r="DM1095" i="64" s="1"/>
  <c r="CW1112" i="64"/>
  <c r="CW1101" i="64"/>
  <c r="DM1101" i="64" s="1"/>
  <c r="CW1073" i="64"/>
  <c r="DM1073" i="64" s="1"/>
  <c r="CW1090" i="64"/>
  <c r="DM1090" i="64" s="1"/>
  <c r="CW1092" i="64"/>
  <c r="DM1092" i="64" s="1"/>
  <c r="CW1089" i="64"/>
  <c r="DM1089" i="64" s="1"/>
  <c r="CI1139" i="64"/>
  <c r="CY1139" i="64" s="1"/>
  <c r="CI1136" i="64"/>
  <c r="CY1136" i="64" s="1"/>
  <c r="CI1157" i="64"/>
  <c r="CY1157" i="64" s="1"/>
  <c r="CW1117" i="64"/>
  <c r="DM1117" i="64" s="1"/>
  <c r="CI1150" i="64"/>
  <c r="CY1150" i="64" s="1"/>
  <c r="CI1189" i="64"/>
  <c r="CY1189" i="64" s="1"/>
  <c r="CI1166" i="64"/>
  <c r="CY1166" i="64" s="1"/>
  <c r="CW1071" i="64"/>
  <c r="CI1191" i="64"/>
  <c r="CY1191" i="64" s="1"/>
  <c r="CI1154" i="64"/>
  <c r="CY1154" i="64" s="1"/>
  <c r="CW1058" i="64"/>
  <c r="CW1111" i="64"/>
  <c r="DM1111" i="64" s="1"/>
  <c r="CI1151" i="64"/>
  <c r="CY1151" i="64" s="1"/>
  <c r="CW1079" i="64"/>
  <c r="DM1079" i="64" s="1"/>
  <c r="CW1054" i="64"/>
  <c r="AJ1595" i="79"/>
  <c r="AJ1598" i="79"/>
  <c r="CX1157" i="64"/>
  <c r="E36" i="71"/>
  <c r="I1820" i="79"/>
  <c r="I1852" i="79" s="1"/>
  <c r="I1853" i="79" s="1"/>
  <c r="AF1462" i="79"/>
  <c r="F6" i="80"/>
  <c r="J15" i="74"/>
  <c r="J12" i="74" s="1"/>
  <c r="F68" i="83"/>
  <c r="H677" i="74"/>
  <c r="J9" i="74"/>
  <c r="L616" i="73"/>
  <c r="L615" i="73"/>
  <c r="L50" i="73"/>
  <c r="O41" i="73"/>
  <c r="P12" i="73" s="1"/>
  <c r="N139" i="77"/>
  <c r="M46" i="73"/>
  <c r="L10" i="74" s="1"/>
  <c r="L11" i="74" s="1"/>
  <c r="K9" i="85"/>
  <c r="J26" i="85"/>
  <c r="E45" i="80"/>
  <c r="I239" i="85"/>
  <c r="J337" i="77" s="1"/>
  <c r="N591" i="73"/>
  <c r="N597" i="73" s="1"/>
  <c r="N603" i="73"/>
  <c r="O118" i="85"/>
  <c r="O134" i="85" s="1"/>
  <c r="N590" i="73"/>
  <c r="N596" i="73" s="1"/>
  <c r="O681" i="77" s="1"/>
  <c r="N604" i="73"/>
  <c r="O310" i="73"/>
  <c r="O325" i="73" s="1"/>
  <c r="M604" i="73"/>
  <c r="M607" i="73" s="1"/>
  <c r="N401" i="77" s="1"/>
  <c r="M590" i="73"/>
  <c r="M596" i="73" s="1"/>
  <c r="Q89" i="85"/>
  <c r="Q107" i="85" s="1"/>
  <c r="Q108" i="85" s="1"/>
  <c r="O42" i="79" l="1"/>
  <c r="P1458" i="79"/>
  <c r="AH1476" i="79"/>
  <c r="AC814" i="64"/>
  <c r="AL42" i="79"/>
  <c r="AL1460" i="79" s="1"/>
  <c r="BB785" i="64"/>
  <c r="AC787" i="64"/>
  <c r="AH1748" i="79"/>
  <c r="AH1500" i="79"/>
  <c r="BB863" i="64"/>
  <c r="AG1461" i="79"/>
  <c r="G1360" i="64"/>
  <c r="J616" i="79" s="1"/>
  <c r="M1360" i="64"/>
  <c r="P616" i="79" s="1"/>
  <c r="Q784" i="64"/>
  <c r="J35" i="71" s="1"/>
  <c r="O571" i="74"/>
  <c r="P607" i="64"/>
  <c r="I1712" i="79"/>
  <c r="AC749" i="64"/>
  <c r="K9" i="74"/>
  <c r="L14" i="74" s="1"/>
  <c r="H50" i="10"/>
  <c r="Q639" i="64"/>
  <c r="Q640" i="64"/>
  <c r="P638" i="64"/>
  <c r="Q877" i="64"/>
  <c r="AN879" i="64"/>
  <c r="AN882" i="64" s="1"/>
  <c r="P629" i="64"/>
  <c r="T226" i="64"/>
  <c r="V226" i="64" s="1"/>
  <c r="T188" i="64"/>
  <c r="V188" i="64" s="1"/>
  <c r="Q806" i="64"/>
  <c r="T178" i="64"/>
  <c r="V178" i="64" s="1"/>
  <c r="P735" i="64"/>
  <c r="T283" i="64"/>
  <c r="T239" i="64"/>
  <c r="V239" i="64" s="1"/>
  <c r="T263" i="64"/>
  <c r="T259" i="64"/>
  <c r="T179" i="64"/>
  <c r="V179" i="64" s="1"/>
  <c r="T248" i="64"/>
  <c r="V248" i="64" s="1"/>
  <c r="T264" i="64"/>
  <c r="T199" i="64"/>
  <c r="V199" i="64" s="1"/>
  <c r="T202" i="64"/>
  <c r="V202" i="64" s="1"/>
  <c r="Q727" i="64"/>
  <c r="Q729" i="64"/>
  <c r="Q730" i="64"/>
  <c r="Q728" i="64"/>
  <c r="Q734" i="64"/>
  <c r="Q731" i="64"/>
  <c r="Q732" i="64"/>
  <c r="T201" i="64"/>
  <c r="V201" i="64" s="1"/>
  <c r="T217" i="64"/>
  <c r="V217" i="64" s="1"/>
  <c r="T280" i="64"/>
  <c r="T200" i="64"/>
  <c r="V200" i="64" s="1"/>
  <c r="T182" i="64"/>
  <c r="V182" i="64" s="1"/>
  <c r="T269" i="64"/>
  <c r="Z1228" i="64"/>
  <c r="M399" i="40"/>
  <c r="M407" i="40"/>
  <c r="M400" i="40"/>
  <c r="M408" i="40"/>
  <c r="M417" i="40"/>
  <c r="M432" i="40"/>
  <c r="M440" i="40"/>
  <c r="M391" i="40"/>
  <c r="M401" i="40"/>
  <c r="M409" i="40"/>
  <c r="M418" i="40"/>
  <c r="M387" i="40"/>
  <c r="M392" i="40"/>
  <c r="M402" i="40"/>
  <c r="M410" i="40"/>
  <c r="M397" i="40"/>
  <c r="M406" i="40"/>
  <c r="M433" i="40"/>
  <c r="M441" i="40"/>
  <c r="M394" i="40"/>
  <c r="M411" i="40"/>
  <c r="M404" i="40"/>
  <c r="M435" i="40"/>
  <c r="M405" i="40"/>
  <c r="M398" i="40"/>
  <c r="M434" i="40"/>
  <c r="M436" i="40"/>
  <c r="M438" i="40"/>
  <c r="M437" i="40"/>
  <c r="M439" i="40"/>
  <c r="M403" i="40"/>
  <c r="M396" i="40"/>
  <c r="M430" i="40"/>
  <c r="M431" i="40"/>
  <c r="P644" i="64"/>
  <c r="P648" i="64" s="1"/>
  <c r="G176" i="73"/>
  <c r="H158" i="73" s="1"/>
  <c r="AC1034" i="64"/>
  <c r="AR1034" i="64"/>
  <c r="CY1153" i="64"/>
  <c r="Q723" i="64"/>
  <c r="R208" i="64" s="1"/>
  <c r="N1252" i="64"/>
  <c r="AA1252" i="64" s="1"/>
  <c r="O139" i="77"/>
  <c r="M1009" i="64"/>
  <c r="M1080" i="64" s="1"/>
  <c r="M988" i="64"/>
  <c r="M1059" i="64" s="1"/>
  <c r="Q267" i="64"/>
  <c r="Q2113" i="79"/>
  <c r="Q2402" i="79" s="1"/>
  <c r="J619" i="79"/>
  <c r="J620" i="79"/>
  <c r="J618" i="79"/>
  <c r="K210" i="85"/>
  <c r="K211" i="85" s="1"/>
  <c r="K213" i="85" s="1"/>
  <c r="Q2285" i="79"/>
  <c r="J626" i="79"/>
  <c r="J628" i="79"/>
  <c r="J627" i="79"/>
  <c r="R283" i="64"/>
  <c r="R251" i="64"/>
  <c r="AI1475" i="79"/>
  <c r="AI1476" i="79"/>
  <c r="AG1474" i="79"/>
  <c r="AL83" i="79"/>
  <c r="AL1473" i="79" s="1"/>
  <c r="AL1676" i="79" s="1"/>
  <c r="AK1676" i="79"/>
  <c r="AK1474" i="79"/>
  <c r="AF1676" i="79"/>
  <c r="AF1474" i="79"/>
  <c r="BB790" i="64"/>
  <c r="BB808" i="64" s="1"/>
  <c r="AB808" i="64"/>
  <c r="P122" i="64" s="1"/>
  <c r="AO864" i="64"/>
  <c r="AO856" i="64"/>
  <c r="O123" i="64"/>
  <c r="BA879" i="64"/>
  <c r="BA882" i="64" s="1"/>
  <c r="N1366" i="64"/>
  <c r="M1366" i="64"/>
  <c r="N1347" i="64"/>
  <c r="Q548" i="79" s="1"/>
  <c r="M995" i="64"/>
  <c r="M1066" i="64" s="1"/>
  <c r="AH1570" i="79"/>
  <c r="J1578" i="79"/>
  <c r="J1500" i="79"/>
  <c r="S2082" i="79"/>
  <c r="S2401" i="79" s="1"/>
  <c r="T220" i="64"/>
  <c r="V220" i="64" s="1"/>
  <c r="T218" i="64"/>
  <c r="V218" i="64" s="1"/>
  <c r="T207" i="64"/>
  <c r="V207" i="64" s="1"/>
  <c r="T216" i="64"/>
  <c r="V216" i="64" s="1"/>
  <c r="T215" i="64"/>
  <c r="V215" i="64" s="1"/>
  <c r="T262" i="64"/>
  <c r="T223" i="64"/>
  <c r="V223" i="64" s="1"/>
  <c r="T224" i="64"/>
  <c r="V224" i="64" s="1"/>
  <c r="T230" i="64"/>
  <c r="V230" i="64" s="1"/>
  <c r="G44" i="80"/>
  <c r="G45" i="80" s="1"/>
  <c r="G40" i="10"/>
  <c r="N118" i="9"/>
  <c r="N133" i="9" s="1"/>
  <c r="N167" i="83"/>
  <c r="O167" i="83" s="1"/>
  <c r="D32" i="83" s="1"/>
  <c r="O135" i="83"/>
  <c r="O148" i="83"/>
  <c r="O38" i="10"/>
  <c r="H35" i="25" s="1"/>
  <c r="N162" i="83"/>
  <c r="O162" i="83" s="1"/>
  <c r="D27" i="83" s="1"/>
  <c r="O111" i="83"/>
  <c r="O143" i="83"/>
  <c r="H31" i="25"/>
  <c r="O144" i="83"/>
  <c r="O34" i="10"/>
  <c r="H32" i="25" s="1"/>
  <c r="O35" i="10"/>
  <c r="O145" i="83"/>
  <c r="N150" i="83"/>
  <c r="N160" i="83"/>
  <c r="O160" i="83" s="1"/>
  <c r="D25" i="83" s="1"/>
  <c r="O107" i="83"/>
  <c r="O23" i="10"/>
  <c r="H21" i="25" s="1"/>
  <c r="O23" i="80"/>
  <c r="O25" i="80"/>
  <c r="O25" i="10"/>
  <c r="H23" i="25" s="1"/>
  <c r="Q817" i="64"/>
  <c r="Q2286" i="79"/>
  <c r="Q1230" i="79"/>
  <c r="Q1298" i="79" s="1"/>
  <c r="AM1471" i="79"/>
  <c r="S2098" i="79"/>
  <c r="O612" i="64"/>
  <c r="P132" i="64" s="1"/>
  <c r="P570" i="64"/>
  <c r="AF1748" i="79"/>
  <c r="M1014" i="64"/>
  <c r="M1085" i="64" s="1"/>
  <c r="M1001" i="64"/>
  <c r="M1072" i="64" s="1"/>
  <c r="M1003" i="64"/>
  <c r="M1074" i="64" s="1"/>
  <c r="M1038" i="64"/>
  <c r="M1109" i="64" s="1"/>
  <c r="J1892" i="79"/>
  <c r="J1924" i="79" s="1"/>
  <c r="J1925" i="79" s="1"/>
  <c r="AF1539" i="79"/>
  <c r="M1026" i="64"/>
  <c r="M1097" i="64" s="1"/>
  <c r="CL1280" i="64"/>
  <c r="M998" i="64"/>
  <c r="M1069" i="64" s="1"/>
  <c r="M997" i="64"/>
  <c r="M1068" i="64" s="1"/>
  <c r="M1025" i="64"/>
  <c r="M1096" i="64" s="1"/>
  <c r="M1033" i="64"/>
  <c r="M1104" i="64" s="1"/>
  <c r="M984" i="64"/>
  <c r="M1055" i="64" s="1"/>
  <c r="M1005" i="64"/>
  <c r="M1076" i="64" s="1"/>
  <c r="M1010" i="64"/>
  <c r="M1081" i="64" s="1"/>
  <c r="AO866" i="64"/>
  <c r="BB867" i="64"/>
  <c r="AF1552" i="79"/>
  <c r="AF1554" i="79" s="1"/>
  <c r="AF1784" i="79"/>
  <c r="AF1816" i="79" s="1"/>
  <c r="AF1817" i="79" s="1"/>
  <c r="DL1243" i="64"/>
  <c r="CJ1194" i="64"/>
  <c r="CZ1194" i="64" s="1"/>
  <c r="M1032" i="64"/>
  <c r="M1103" i="64" s="1"/>
  <c r="M990" i="64"/>
  <c r="M1061" i="64" s="1"/>
  <c r="M1012" i="64"/>
  <c r="M1083" i="64" s="1"/>
  <c r="CL1282" i="64"/>
  <c r="DL1207" i="64"/>
  <c r="CL1305" i="64"/>
  <c r="M989" i="64"/>
  <c r="M1060" i="64" s="1"/>
  <c r="CX1055" i="64"/>
  <c r="DN1055" i="64" s="1"/>
  <c r="CL1286" i="64"/>
  <c r="DL1248" i="64"/>
  <c r="DL1244" i="64"/>
  <c r="CL1320" i="64"/>
  <c r="AF1964" i="79"/>
  <c r="AF1995" i="79" s="1"/>
  <c r="AF1996" i="79" s="1"/>
  <c r="CJ1184" i="64"/>
  <c r="CZ1184" i="64" s="1"/>
  <c r="M987" i="64"/>
  <c r="M1058" i="64" s="1"/>
  <c r="M1000" i="64"/>
  <c r="M1071" i="64" s="1"/>
  <c r="M1013" i="64"/>
  <c r="M1084" i="64" s="1"/>
  <c r="M999" i="64"/>
  <c r="M1070" i="64" s="1"/>
  <c r="AO865" i="64"/>
  <c r="BB858" i="64"/>
  <c r="AB642" i="77"/>
  <c r="DL1267" i="64"/>
  <c r="CL1278" i="64"/>
  <c r="R1602" i="79" s="1"/>
  <c r="R2034" i="79" s="1"/>
  <c r="M1039" i="64"/>
  <c r="M1110" i="64" s="1"/>
  <c r="I1500" i="79"/>
  <c r="I1501" i="79" s="1"/>
  <c r="M996" i="64"/>
  <c r="M1067" i="64" s="1"/>
  <c r="M1027" i="64"/>
  <c r="M1098" i="64" s="1"/>
  <c r="M1028" i="64"/>
  <c r="M1099" i="64" s="1"/>
  <c r="M985" i="64"/>
  <c r="M1056" i="64" s="1"/>
  <c r="M983" i="64"/>
  <c r="M1054" i="64" s="1"/>
  <c r="M1042" i="64"/>
  <c r="M1113" i="64" s="1"/>
  <c r="M1043" i="64"/>
  <c r="M1114" i="64" s="1"/>
  <c r="CL1279" i="64"/>
  <c r="DL1206" i="64"/>
  <c r="Q824" i="64"/>
  <c r="N32" i="71" s="1"/>
  <c r="DL1253" i="64"/>
  <c r="DL1210" i="64"/>
  <c r="CJ1136" i="64"/>
  <c r="CZ1136" i="64" s="1"/>
  <c r="CX1111" i="64"/>
  <c r="DN1111" i="64" s="1"/>
  <c r="CJ1167" i="64"/>
  <c r="CZ1167" i="64" s="1"/>
  <c r="CX1066" i="64"/>
  <c r="DN1066" i="64" s="1"/>
  <c r="T240" i="64"/>
  <c r="V240" i="64" s="1"/>
  <c r="T198" i="64"/>
  <c r="V198" i="64" s="1"/>
  <c r="T265" i="64"/>
  <c r="M1373" i="64" s="1"/>
  <c r="T219" i="64"/>
  <c r="V219" i="64" s="1"/>
  <c r="T189" i="64"/>
  <c r="V189" i="64" s="1"/>
  <c r="T247" i="64"/>
  <c r="V247" i="64" s="1"/>
  <c r="T242" i="64"/>
  <c r="V242" i="64" s="1"/>
  <c r="T237" i="64"/>
  <c r="V237" i="64" s="1"/>
  <c r="T174" i="64"/>
  <c r="V174" i="64" s="1"/>
  <c r="T246" i="64"/>
  <c r="V246" i="64" s="1"/>
  <c r="T196" i="64"/>
  <c r="V196" i="64" s="1"/>
  <c r="T236" i="64"/>
  <c r="V236" i="64" s="1"/>
  <c r="T222" i="64"/>
  <c r="V222" i="64" s="1"/>
  <c r="T197" i="64"/>
  <c r="V197" i="64" s="1"/>
  <c r="T245" i="64"/>
  <c r="V245" i="64" s="1"/>
  <c r="T187" i="64"/>
  <c r="V187" i="64" s="1"/>
  <c r="T260" i="64"/>
  <c r="T253" i="64"/>
  <c r="V253" i="64" s="1"/>
  <c r="T225" i="64"/>
  <c r="V225" i="64" s="1"/>
  <c r="T281" i="64"/>
  <c r="T267" i="64"/>
  <c r="T277" i="64"/>
  <c r="T209" i="64"/>
  <c r="V209" i="64" s="1"/>
  <c r="T279" i="64"/>
  <c r="T282" i="64"/>
  <c r="T190" i="64"/>
  <c r="V190" i="64" s="1"/>
  <c r="T228" i="64"/>
  <c r="V228" i="64" s="1"/>
  <c r="T206" i="64"/>
  <c r="V206" i="64" s="1"/>
  <c r="T244" i="64"/>
  <c r="V244" i="64" s="1"/>
  <c r="T268" i="64"/>
  <c r="T285" i="64"/>
  <c r="T278" i="64"/>
  <c r="T177" i="64"/>
  <c r="V177" i="64" s="1"/>
  <c r="T232" i="64"/>
  <c r="V232" i="64" s="1"/>
  <c r="T184" i="64"/>
  <c r="V184" i="64" s="1"/>
  <c r="T233" i="64"/>
  <c r="V233" i="64" s="1"/>
  <c r="T227" i="64"/>
  <c r="V227" i="64" s="1"/>
  <c r="T251" i="64"/>
  <c r="V251" i="64" s="1"/>
  <c r="T243" i="64"/>
  <c r="V243" i="64" s="1"/>
  <c r="DL1232" i="64"/>
  <c r="CL1275" i="64"/>
  <c r="DL1251" i="64"/>
  <c r="CL1327" i="64"/>
  <c r="DL1202" i="64"/>
  <c r="CL1308" i="64"/>
  <c r="N1258" i="64"/>
  <c r="AA1258" i="64" s="1"/>
  <c r="N1261" i="64"/>
  <c r="AA1261" i="64" s="1"/>
  <c r="N1257" i="64"/>
  <c r="AA1257" i="64" s="1"/>
  <c r="N1263" i="64"/>
  <c r="AA1263" i="64" s="1"/>
  <c r="N1262" i="64"/>
  <c r="AA1262" i="64" s="1"/>
  <c r="N1259" i="64"/>
  <c r="AA1259" i="64" s="1"/>
  <c r="N1255" i="64"/>
  <c r="AA1255" i="64" s="1"/>
  <c r="N1260" i="64"/>
  <c r="AA1260" i="64" s="1"/>
  <c r="N1256" i="64"/>
  <c r="AA1256" i="64" s="1"/>
  <c r="N1236" i="64"/>
  <c r="AA1236" i="64" s="1"/>
  <c r="N1242" i="64"/>
  <c r="AA1242" i="64" s="1"/>
  <c r="N1249" i="64"/>
  <c r="AA1249" i="64" s="1"/>
  <c r="N1201" i="64"/>
  <c r="AA1201" i="64" s="1"/>
  <c r="N1206" i="64"/>
  <c r="AA1206" i="64" s="1"/>
  <c r="N1205" i="64"/>
  <c r="AA1205" i="64" s="1"/>
  <c r="N1215" i="64"/>
  <c r="AA1215" i="64" s="1"/>
  <c r="N1220" i="64"/>
  <c r="AA1220" i="64" s="1"/>
  <c r="N1208" i="64"/>
  <c r="AA1208" i="64" s="1"/>
  <c r="N1216" i="64"/>
  <c r="AA1216" i="64" s="1"/>
  <c r="N1219" i="64"/>
  <c r="AA1219" i="64" s="1"/>
  <c r="N1223" i="64"/>
  <c r="AA1223" i="64" s="1"/>
  <c r="N1214" i="64"/>
  <c r="AA1214" i="64" s="1"/>
  <c r="N1212" i="64"/>
  <c r="AA1212" i="64" s="1"/>
  <c r="N1218" i="64"/>
  <c r="AA1218" i="64" s="1"/>
  <c r="N1232" i="64"/>
  <c r="AA1232" i="64" s="1"/>
  <c r="N1228" i="64"/>
  <c r="AA1228" i="64" s="1"/>
  <c r="N1231" i="64"/>
  <c r="AA1231" i="64" s="1"/>
  <c r="N1227" i="64"/>
  <c r="AA1227" i="64" s="1"/>
  <c r="N1229" i="64"/>
  <c r="AA1229" i="64" s="1"/>
  <c r="N1213" i="64"/>
  <c r="AA1213" i="64" s="1"/>
  <c r="N1202" i="64"/>
  <c r="AA1202" i="64" s="1"/>
  <c r="N1207" i="64"/>
  <c r="AA1207" i="64" s="1"/>
  <c r="N1222" i="64"/>
  <c r="AA1222" i="64" s="1"/>
  <c r="N1238" i="64"/>
  <c r="AA1238" i="64" s="1"/>
  <c r="N1224" i="64"/>
  <c r="AA1224" i="64" s="1"/>
  <c r="N1221" i="64"/>
  <c r="AA1221" i="64" s="1"/>
  <c r="N1230" i="64"/>
  <c r="AA1230" i="64" s="1"/>
  <c r="N1203" i="64"/>
  <c r="AA1203" i="64" s="1"/>
  <c r="N1237" i="64"/>
  <c r="AA1237" i="64" s="1"/>
  <c r="N1243" i="64"/>
  <c r="AA1243" i="64" s="1"/>
  <c r="N1246" i="64"/>
  <c r="AA1246" i="64" s="1"/>
  <c r="N1245" i="64"/>
  <c r="AA1245" i="64" s="1"/>
  <c r="N1250" i="64"/>
  <c r="AA1250" i="64" s="1"/>
  <c r="N1244" i="64"/>
  <c r="AA1244" i="64" s="1"/>
  <c r="N1217" i="64"/>
  <c r="AA1217" i="64" s="1"/>
  <c r="N1233" i="64"/>
  <c r="AA1233" i="64" s="1"/>
  <c r="N1251" i="64"/>
  <c r="AA1251" i="64" s="1"/>
  <c r="R249" i="64"/>
  <c r="Q868" i="64"/>
  <c r="N37" i="71" s="1"/>
  <c r="R281" i="64"/>
  <c r="R215" i="64"/>
  <c r="Q839" i="64"/>
  <c r="N33" i="71" s="1"/>
  <c r="R229" i="64"/>
  <c r="Q849" i="64"/>
  <c r="N34" i="71" s="1"/>
  <c r="R245" i="64"/>
  <c r="R277" i="64"/>
  <c r="R250" i="64"/>
  <c r="R282" i="64"/>
  <c r="Q606" i="64"/>
  <c r="R244" i="64"/>
  <c r="R276" i="64"/>
  <c r="R246" i="64"/>
  <c r="R278" i="64"/>
  <c r="Q587" i="64"/>
  <c r="R238" i="64"/>
  <c r="Q855" i="64"/>
  <c r="N35" i="71" s="1"/>
  <c r="Q862" i="64"/>
  <c r="R275" i="64"/>
  <c r="R243" i="64"/>
  <c r="CJ1173" i="64"/>
  <c r="CZ1173" i="64" s="1"/>
  <c r="CX1109" i="64"/>
  <c r="CX1114" i="64"/>
  <c r="DN1114" i="64" s="1"/>
  <c r="O644" i="64"/>
  <c r="O648" i="64" s="1"/>
  <c r="AN1485" i="79"/>
  <c r="AN1711" i="79" s="1"/>
  <c r="AN1602" i="79"/>
  <c r="AN2034" i="79" s="1"/>
  <c r="AN2067" i="79" s="1"/>
  <c r="AN2068" i="79" s="1"/>
  <c r="AN1511" i="79"/>
  <c r="AN1783" i="79" s="1"/>
  <c r="AN1498" i="79"/>
  <c r="AN1747" i="79" s="1"/>
  <c r="AN1589" i="79"/>
  <c r="AN1537" i="79"/>
  <c r="AN1855" i="79" s="1"/>
  <c r="AN1888" i="79" s="1"/>
  <c r="AN1889" i="79" s="1"/>
  <c r="AN1550" i="79"/>
  <c r="AN1891" i="79" s="1"/>
  <c r="AN1576" i="79"/>
  <c r="AN1963" i="79" s="1"/>
  <c r="AN1524" i="79"/>
  <c r="AN1819" i="79" s="1"/>
  <c r="AN1563" i="79"/>
  <c r="AN1927" i="79" s="1"/>
  <c r="DL1230" i="64"/>
  <c r="DL1201" i="64"/>
  <c r="DL1224" i="64"/>
  <c r="CL1325" i="64"/>
  <c r="CL1277" i="64"/>
  <c r="DL1229" i="64"/>
  <c r="CL1332" i="64"/>
  <c r="DL1242" i="64"/>
  <c r="CL1341" i="64"/>
  <c r="DL1236" i="64"/>
  <c r="CL1309" i="64"/>
  <c r="CL1318" i="64"/>
  <c r="DL1205" i="64"/>
  <c r="CL1284" i="64"/>
  <c r="CL1302" i="64"/>
  <c r="CL1333" i="64"/>
  <c r="CL1328" i="64"/>
  <c r="CL1314" i="64"/>
  <c r="CL1317" i="64"/>
  <c r="DL1211" i="64"/>
  <c r="CL1276" i="64"/>
  <c r="DL1219" i="64"/>
  <c r="DL1231" i="64"/>
  <c r="Z1305" i="64"/>
  <c r="Z1288" i="64"/>
  <c r="BM1288" i="64"/>
  <c r="BM1314" i="64"/>
  <c r="AZ1284" i="64"/>
  <c r="CM1214" i="64"/>
  <c r="AZ1318" i="64"/>
  <c r="CZ1240" i="64"/>
  <c r="CM1234" i="64"/>
  <c r="BZ1231" i="64"/>
  <c r="BM1214" i="64"/>
  <c r="CZ1247" i="64"/>
  <c r="CZ1243" i="64"/>
  <c r="AZ1246" i="64"/>
  <c r="Z1298" i="64"/>
  <c r="AZ1277" i="64"/>
  <c r="BZ1251" i="64"/>
  <c r="AZ1249" i="64"/>
  <c r="BM1277" i="64"/>
  <c r="CZ1224" i="64"/>
  <c r="AM1323" i="64"/>
  <c r="CZ1246" i="64"/>
  <c r="BM1224" i="64"/>
  <c r="AM1322" i="64"/>
  <c r="AZ1334" i="64"/>
  <c r="AM1337" i="64"/>
  <c r="M1300" i="64"/>
  <c r="AM1240" i="64"/>
  <c r="BM1305" i="64"/>
  <c r="AM1288" i="64"/>
  <c r="AM1214" i="64"/>
  <c r="BZ1243" i="64"/>
  <c r="CM1231" i="64"/>
  <c r="BZ1247" i="64"/>
  <c r="AM1244" i="64"/>
  <c r="BM1308" i="64"/>
  <c r="AZ1288" i="64"/>
  <c r="AZ1231" i="64"/>
  <c r="CM1240" i="64"/>
  <c r="BM1201" i="64"/>
  <c r="BZ1252" i="64"/>
  <c r="BZ1312" i="64"/>
  <c r="BZ1246" i="64"/>
  <c r="M1298" i="64"/>
  <c r="Z1322" i="64"/>
  <c r="BZ1326" i="64"/>
  <c r="CZ1221" i="64"/>
  <c r="BZ1201" i="64"/>
  <c r="M1326" i="64"/>
  <c r="AM1295" i="64"/>
  <c r="M1341" i="64"/>
  <c r="CM1236" i="64"/>
  <c r="BZ1265" i="64"/>
  <c r="BM1261" i="64"/>
  <c r="BZ1215" i="64"/>
  <c r="AZ1206" i="64"/>
  <c r="AM1275" i="64"/>
  <c r="AZ1326" i="64"/>
  <c r="AZ1312" i="64"/>
  <c r="M1320" i="64"/>
  <c r="AM1224" i="64"/>
  <c r="AZ1201" i="64"/>
  <c r="Z1284" i="64"/>
  <c r="BZ1244" i="64"/>
  <c r="BM1247" i="64"/>
  <c r="BM1240" i="64"/>
  <c r="AM1210" i="64"/>
  <c r="M1321" i="64"/>
  <c r="AM1247" i="64"/>
  <c r="AM1284" i="64"/>
  <c r="CM1244" i="64"/>
  <c r="BZ1308" i="64"/>
  <c r="Z1325" i="64"/>
  <c r="CZ1225" i="64"/>
  <c r="BM1296" i="64"/>
  <c r="AM1304" i="64"/>
  <c r="CZ1251" i="64"/>
  <c r="BZ1338" i="64"/>
  <c r="BZ1211" i="64"/>
  <c r="AZ1289" i="64"/>
  <c r="AZ1276" i="64"/>
  <c r="CM1246" i="64"/>
  <c r="CZ1249" i="64"/>
  <c r="Z1299" i="64"/>
  <c r="BZ1323" i="64"/>
  <c r="BM1252" i="64"/>
  <c r="AM1221" i="64"/>
  <c r="M1315" i="64"/>
  <c r="BM1217" i="64"/>
  <c r="AM1238" i="64"/>
  <c r="BZ1293" i="64"/>
  <c r="CZ1267" i="64"/>
  <c r="BZ1262" i="64"/>
  <c r="BM1278" i="64"/>
  <c r="CM1216" i="64"/>
  <c r="Z1302" i="64"/>
  <c r="Z1294" i="64"/>
  <c r="CM1201" i="64"/>
  <c r="AM1326" i="64"/>
  <c r="CZ1230" i="64"/>
  <c r="BM1326" i="64"/>
  <c r="BM1221" i="64"/>
  <c r="BZ1275" i="64"/>
  <c r="CZ1252" i="64"/>
  <c r="AZ1295" i="64"/>
  <c r="AZ1241" i="64"/>
  <c r="M1291" i="64"/>
  <c r="AM1230" i="64"/>
  <c r="CZ1260" i="64"/>
  <c r="AZ1336" i="64"/>
  <c r="BZ1300" i="64"/>
  <c r="BZ1335" i="64"/>
  <c r="AM1307" i="64"/>
  <c r="CM1205" i="64"/>
  <c r="CZ1222" i="64"/>
  <c r="BM1299" i="64"/>
  <c r="M1275" i="64"/>
  <c r="BZ1217" i="64"/>
  <c r="M1312" i="64"/>
  <c r="BZ1296" i="64"/>
  <c r="M1299" i="64"/>
  <c r="BM1238" i="64"/>
  <c r="AZ1222" i="64"/>
  <c r="BZ1325" i="64"/>
  <c r="CM1249" i="64"/>
  <c r="BZ1264" i="64"/>
  <c r="M1337" i="64"/>
  <c r="AZ1204" i="64"/>
  <c r="BM1223" i="64"/>
  <c r="BZ1289" i="64"/>
  <c r="AM1209" i="64"/>
  <c r="BZ1311" i="64"/>
  <c r="AZ1327" i="64"/>
  <c r="AM1243" i="64"/>
  <c r="AZ1260" i="64"/>
  <c r="AM1256" i="64"/>
  <c r="Z1340" i="64"/>
  <c r="M1331" i="64"/>
  <c r="AM1290" i="64"/>
  <c r="M1282" i="64"/>
  <c r="BM1306" i="64"/>
  <c r="AM1245" i="64"/>
  <c r="M1313" i="64"/>
  <c r="AM1218" i="64"/>
  <c r="BZ1234" i="64"/>
  <c r="CZ1250" i="64"/>
  <c r="BM1267" i="64"/>
  <c r="BM1266" i="64"/>
  <c r="AM1257" i="64"/>
  <c r="M1297" i="64"/>
  <c r="M1279" i="64"/>
  <c r="AM1319" i="64"/>
  <c r="BM1327" i="64"/>
  <c r="BZ1281" i="64"/>
  <c r="M1308" i="64"/>
  <c r="AM1260" i="64"/>
  <c r="AZ1340" i="64"/>
  <c r="AM1300" i="64"/>
  <c r="M1302" i="64"/>
  <c r="BZ1294" i="64"/>
  <c r="AZ1283" i="64"/>
  <c r="M1327" i="64"/>
  <c r="Z1319" i="64"/>
  <c r="BZ1327" i="64"/>
  <c r="Z1341" i="64"/>
  <c r="CZ1236" i="64"/>
  <c r="AZ1278" i="64"/>
  <c r="BM1265" i="64"/>
  <c r="AZ1233" i="64"/>
  <c r="AM1220" i="64"/>
  <c r="CZ1206" i="64"/>
  <c r="AM1303" i="64"/>
  <c r="CM1247" i="64"/>
  <c r="CZ1210" i="64"/>
  <c r="BM1293" i="64"/>
  <c r="BM1260" i="64"/>
  <c r="CZ1266" i="64"/>
  <c r="AM1332" i="64"/>
  <c r="BM1297" i="64"/>
  <c r="AM1328" i="64"/>
  <c r="BZ1232" i="64"/>
  <c r="AZ1303" i="64"/>
  <c r="AZ1275" i="64"/>
  <c r="BZ1321" i="64"/>
  <c r="AM1202" i="64"/>
  <c r="CM1243" i="64"/>
  <c r="AM1310" i="64"/>
  <c r="BM1236" i="64"/>
  <c r="BM1285" i="64"/>
  <c r="AM1226" i="64"/>
  <c r="CZ1233" i="64"/>
  <c r="AM1306" i="64"/>
  <c r="BM1237" i="64"/>
  <c r="AZ1253" i="64"/>
  <c r="AM1231" i="64"/>
  <c r="BM1244" i="64"/>
  <c r="AM1305" i="64"/>
  <c r="CM1202" i="64"/>
  <c r="CM1219" i="64"/>
  <c r="Z1329" i="64"/>
  <c r="CM1263" i="64"/>
  <c r="CZ1261" i="64"/>
  <c r="AM1297" i="64"/>
  <c r="AZ1215" i="64"/>
  <c r="M1319" i="64"/>
  <c r="BM1235" i="64"/>
  <c r="M1284" i="64"/>
  <c r="BZ1305" i="64"/>
  <c r="AM1308" i="64"/>
  <c r="Z1338" i="64"/>
  <c r="AM1262" i="64"/>
  <c r="BZ1332" i="64"/>
  <c r="BM1300" i="64"/>
  <c r="AZ1220" i="64"/>
  <c r="AM1281" i="64"/>
  <c r="Z1303" i="64"/>
  <c r="CZ1235" i="64"/>
  <c r="BM1243" i="64"/>
  <c r="AZ1264" i="64"/>
  <c r="BM1262" i="64"/>
  <c r="BM1204" i="64"/>
  <c r="CM1223" i="64"/>
  <c r="BM1294" i="64"/>
  <c r="BM1206" i="64"/>
  <c r="AZ1313" i="64"/>
  <c r="AM1219" i="64"/>
  <c r="BM1330" i="64"/>
  <c r="AZ1263" i="64"/>
  <c r="CZ1257" i="64"/>
  <c r="BZ1228" i="64"/>
  <c r="BZ1205" i="64"/>
  <c r="AZ1245" i="64"/>
  <c r="BZ1292" i="64"/>
  <c r="BZ1322" i="64"/>
  <c r="BZ1255" i="64"/>
  <c r="AM1333" i="64"/>
  <c r="AZ1265" i="64"/>
  <c r="BZ1317" i="64"/>
  <c r="M1288" i="64"/>
  <c r="AZ1317" i="64"/>
  <c r="AZ1214" i="64"/>
  <c r="AM1315" i="64"/>
  <c r="BM1249" i="64"/>
  <c r="AZ1238" i="64"/>
  <c r="AZ1217" i="64"/>
  <c r="BM1315" i="64"/>
  <c r="BZ1230" i="64"/>
  <c r="CM1259" i="64"/>
  <c r="AZ1213" i="64"/>
  <c r="AM1279" i="64"/>
  <c r="M1322" i="64"/>
  <c r="AM1225" i="64"/>
  <c r="AM1241" i="64"/>
  <c r="AZ1325" i="64"/>
  <c r="BZ1315" i="64"/>
  <c r="Z1291" i="64"/>
  <c r="CM1238" i="64"/>
  <c r="AM1222" i="64"/>
  <c r="BZ1225" i="64"/>
  <c r="AZ1323" i="64"/>
  <c r="AZ1248" i="64"/>
  <c r="CZ1256" i="64"/>
  <c r="Z1337" i="64"/>
  <c r="CM1258" i="64"/>
  <c r="M1290" i="64"/>
  <c r="Z1307" i="64"/>
  <c r="Z1280" i="64"/>
  <c r="BZ1241" i="64"/>
  <c r="BZ1299" i="64"/>
  <c r="CZ1201" i="64"/>
  <c r="BZ1291" i="64"/>
  <c r="BM1312" i="64"/>
  <c r="AM1296" i="64"/>
  <c r="AZ1299" i="64"/>
  <c r="BZ1238" i="64"/>
  <c r="Z1296" i="64"/>
  <c r="AM1299" i="64"/>
  <c r="AM1249" i="64"/>
  <c r="BZ1310" i="64"/>
  <c r="BM1263" i="64"/>
  <c r="Z1331" i="64"/>
  <c r="AZ1223" i="64"/>
  <c r="BZ1282" i="64"/>
  <c r="CZ1232" i="64"/>
  <c r="AZ1203" i="64"/>
  <c r="AZ1251" i="64"/>
  <c r="CM1222" i="64"/>
  <c r="CM1251" i="64"/>
  <c r="M1323" i="64"/>
  <c r="BM1203" i="64"/>
  <c r="AM1251" i="64"/>
  <c r="BM1230" i="64"/>
  <c r="CZ1203" i="64"/>
  <c r="AZ1224" i="64"/>
  <c r="BZ1324" i="64"/>
  <c r="CM1260" i="64"/>
  <c r="BZ1266" i="64"/>
  <c r="BZ1339" i="64"/>
  <c r="AM1302" i="64"/>
  <c r="BM1279" i="64"/>
  <c r="BM1209" i="64"/>
  <c r="CM1245" i="64"/>
  <c r="AM1253" i="64"/>
  <c r="BM1202" i="64"/>
  <c r="Z1310" i="64"/>
  <c r="BZ1242" i="64"/>
  <c r="BM1339" i="64"/>
  <c r="AZ1285" i="64"/>
  <c r="BZ1302" i="64"/>
  <c r="AZ1279" i="64"/>
  <c r="M1281" i="64"/>
  <c r="BZ1212" i="64"/>
  <c r="AZ1311" i="64"/>
  <c r="AM1327" i="64"/>
  <c r="AZ1234" i="64"/>
  <c r="BM1264" i="64"/>
  <c r="BZ1329" i="64"/>
  <c r="CM1204" i="64"/>
  <c r="BZ1204" i="64"/>
  <c r="CZ1228" i="64"/>
  <c r="BZ1206" i="64"/>
  <c r="BM1229" i="64"/>
  <c r="BM1301" i="64"/>
  <c r="M1311" i="64"/>
  <c r="BM1317" i="64"/>
  <c r="M1316" i="64"/>
  <c r="CZ1262" i="64"/>
  <c r="BZ1278" i="64"/>
  <c r="M1287" i="64"/>
  <c r="BM1232" i="64"/>
  <c r="AM1239" i="64"/>
  <c r="AZ1301" i="64"/>
  <c r="BZ1229" i="64"/>
  <c r="BM1227" i="64"/>
  <c r="AM1255" i="64"/>
  <c r="BZ1340" i="64"/>
  <c r="BZ1258" i="64"/>
  <c r="AM1216" i="64"/>
  <c r="AM1282" i="64"/>
  <c r="CZ1220" i="64"/>
  <c r="AM1232" i="64"/>
  <c r="AM1201" i="64"/>
  <c r="BZ1240" i="64"/>
  <c r="BM1234" i="64"/>
  <c r="AZ1322" i="64"/>
  <c r="AZ1242" i="64"/>
  <c r="CZ1263" i="64"/>
  <c r="M1278" i="64"/>
  <c r="BM1213" i="64"/>
  <c r="M1289" i="64"/>
  <c r="Z1283" i="64"/>
  <c r="CZ1229" i="64"/>
  <c r="BM1253" i="64"/>
  <c r="AM1234" i="64"/>
  <c r="AZ1305" i="64"/>
  <c r="Z1276" i="64"/>
  <c r="BM1255" i="64"/>
  <c r="M1340" i="64"/>
  <c r="CM1261" i="64"/>
  <c r="CM1213" i="64"/>
  <c r="CM1208" i="64"/>
  <c r="BZ1209" i="64"/>
  <c r="BM1319" i="64"/>
  <c r="AM1227" i="64"/>
  <c r="AZ1321" i="64"/>
  <c r="BM1284" i="64"/>
  <c r="Z1321" i="64"/>
  <c r="BM1276" i="64"/>
  <c r="Z1334" i="64"/>
  <c r="BM1256" i="64"/>
  <c r="CM1266" i="64"/>
  <c r="M1339" i="64"/>
  <c r="AM1228" i="64"/>
  <c r="Z1306" i="64"/>
  <c r="AM1292" i="64"/>
  <c r="AZ1240" i="64"/>
  <c r="Z1317" i="64"/>
  <c r="BM1321" i="64"/>
  <c r="CZ1234" i="64"/>
  <c r="CM1242" i="64"/>
  <c r="M1333" i="64"/>
  <c r="AZ1335" i="64"/>
  <c r="AZ1216" i="64"/>
  <c r="CM1220" i="64"/>
  <c r="CM1207" i="64"/>
  <c r="AM1212" i="64"/>
  <c r="M1305" i="64"/>
  <c r="Z1324" i="64"/>
  <c r="AM1334" i="64"/>
  <c r="BZ1337" i="64"/>
  <c r="AM1285" i="64"/>
  <c r="BZ1213" i="64"/>
  <c r="BM1289" i="64"/>
  <c r="AM1206" i="64"/>
  <c r="AM1311" i="64"/>
  <c r="M1293" i="64"/>
  <c r="CM1264" i="64"/>
  <c r="BM1259" i="64"/>
  <c r="BM1335" i="64"/>
  <c r="BZ1208" i="64"/>
  <c r="CM1206" i="64"/>
  <c r="BZ1303" i="64"/>
  <c r="Z1327" i="64"/>
  <c r="BM1338" i="64"/>
  <c r="BZ1256" i="64"/>
  <c r="BM1340" i="64"/>
  <c r="Z1318" i="64"/>
  <c r="AM1276" i="64"/>
  <c r="BZ1214" i="64"/>
  <c r="CZ1214" i="64"/>
  <c r="BM1231" i="64"/>
  <c r="BZ1222" i="64"/>
  <c r="BM1241" i="64"/>
  <c r="AZ1230" i="64"/>
  <c r="AZ1225" i="64"/>
  <c r="AZ1296" i="64"/>
  <c r="BZ1249" i="64"/>
  <c r="BM1336" i="64"/>
  <c r="BZ1287" i="64"/>
  <c r="M1280" i="64"/>
  <c r="CM1241" i="64"/>
  <c r="BM1325" i="64"/>
  <c r="Z1277" i="64"/>
  <c r="Z1312" i="64"/>
  <c r="CM1203" i="64"/>
  <c r="CM1225" i="64"/>
  <c r="Z1304" i="64"/>
  <c r="BZ1203" i="64"/>
  <c r="BZ1224" i="64"/>
  <c r="BZ1250" i="64"/>
  <c r="M1334" i="64"/>
  <c r="CZ1264" i="64"/>
  <c r="BZ1259" i="64"/>
  <c r="AM1339" i="64"/>
  <c r="BM1216" i="64"/>
  <c r="CZ1208" i="64"/>
  <c r="AZ1202" i="64"/>
  <c r="BZ1277" i="64"/>
  <c r="M1325" i="64"/>
  <c r="BM1222" i="64"/>
  <c r="BM1225" i="64"/>
  <c r="M1304" i="64"/>
  <c r="AM1277" i="64"/>
  <c r="BM1251" i="64"/>
  <c r="BM1304" i="64"/>
  <c r="M1277" i="64"/>
  <c r="BZ1298" i="64"/>
  <c r="AZ1324" i="64"/>
  <c r="AM1267" i="64"/>
  <c r="BZ1333" i="64"/>
  <c r="CZ1265" i="64"/>
  <c r="AZ1228" i="64"/>
  <c r="CZ1254" i="64"/>
  <c r="BM1322" i="64"/>
  <c r="AZ1320" i="64"/>
  <c r="CZ1238" i="64"/>
  <c r="AM1320" i="64"/>
  <c r="AZ1298" i="64"/>
  <c r="BM1248" i="64"/>
  <c r="BM1246" i="64"/>
  <c r="BM1298" i="64"/>
  <c r="Z1275" i="64"/>
  <c r="AZ1252" i="64"/>
  <c r="AZ1221" i="64"/>
  <c r="AZ1219" i="64"/>
  <c r="Z1316" i="64"/>
  <c r="M1336" i="64"/>
  <c r="Z1278" i="64"/>
  <c r="Z1328" i="64"/>
  <c r="BZ1279" i="64"/>
  <c r="AZ1207" i="64"/>
  <c r="CZ1245" i="64"/>
  <c r="AZ1227" i="64"/>
  <c r="CZ1219" i="64"/>
  <c r="BZ1341" i="64"/>
  <c r="Z1336" i="64"/>
  <c r="Z1285" i="64"/>
  <c r="BM1290" i="64"/>
  <c r="CZ1213" i="64"/>
  <c r="AM1205" i="64"/>
  <c r="BZ1239" i="64"/>
  <c r="CM1218" i="64"/>
  <c r="AM1237" i="64"/>
  <c r="AM1309" i="64"/>
  <c r="CZ1202" i="64"/>
  <c r="BZ1334" i="64"/>
  <c r="CM1262" i="64"/>
  <c r="Z1332" i="64"/>
  <c r="AZ1339" i="64"/>
  <c r="AM1254" i="64"/>
  <c r="BM1239" i="64"/>
  <c r="CM1212" i="64"/>
  <c r="AZ1235" i="64"/>
  <c r="BZ1227" i="64"/>
  <c r="CZ1255" i="64"/>
  <c r="AZ1341" i="64"/>
  <c r="BZ1257" i="64"/>
  <c r="BM1257" i="64"/>
  <c r="BZ1254" i="64"/>
  <c r="CM1209" i="64"/>
  <c r="CM1229" i="64"/>
  <c r="Z1309" i="64"/>
  <c r="BM1303" i="64"/>
  <c r="M1317" i="64"/>
  <c r="M1338" i="64"/>
  <c r="BZ1336" i="64"/>
  <c r="CM1226" i="64"/>
  <c r="AM1223" i="64"/>
  <c r="BM1254" i="64"/>
  <c r="AM1289" i="64"/>
  <c r="CZ1207" i="64"/>
  <c r="BM1218" i="64"/>
  <c r="AM1318" i="64"/>
  <c r="AZ1308" i="64"/>
  <c r="AZ1329" i="64"/>
  <c r="BM1341" i="64"/>
  <c r="BM1258" i="64"/>
  <c r="AZ1258" i="64"/>
  <c r="BM1233" i="64"/>
  <c r="AZ1205" i="64"/>
  <c r="CZ1209" i="64"/>
  <c r="AZ1286" i="64"/>
  <c r="M1301" i="64"/>
  <c r="AZ1243" i="64"/>
  <c r="AM1321" i="64"/>
  <c r="AM1293" i="64"/>
  <c r="AZ1338" i="64"/>
  <c r="AZ1262" i="64"/>
  <c r="AZ1257" i="64"/>
  <c r="BM1287" i="64"/>
  <c r="BM1328" i="64"/>
  <c r="BZ1207" i="64"/>
  <c r="M1303" i="64"/>
  <c r="BZ1235" i="64"/>
  <c r="AZ1314" i="64"/>
  <c r="Z1308" i="64"/>
  <c r="Z1314" i="64"/>
  <c r="CM1250" i="64"/>
  <c r="AM1316" i="64"/>
  <c r="AZ1316" i="64"/>
  <c r="M1335" i="64"/>
  <c r="AZ1331" i="64"/>
  <c r="BM1228" i="64"/>
  <c r="AM1313" i="64"/>
  <c r="CZ1218" i="64"/>
  <c r="M1314" i="64"/>
  <c r="BZ1202" i="64"/>
  <c r="AZ1244" i="64"/>
  <c r="BM1250" i="64"/>
  <c r="BZ1267" i="64"/>
  <c r="AM1340" i="64"/>
  <c r="AM1261" i="64"/>
  <c r="BZ1297" i="64"/>
  <c r="CM1215" i="64"/>
  <c r="Z1313" i="64"/>
  <c r="AM1286" i="64"/>
  <c r="BZ1314" i="64"/>
  <c r="AZ1267" i="64"/>
  <c r="CM1267" i="64"/>
  <c r="BZ1261" i="64"/>
  <c r="CZ1258" i="64"/>
  <c r="AM1294" i="64"/>
  <c r="CZ1205" i="64"/>
  <c r="AZ1306" i="64"/>
  <c r="BM1245" i="64"/>
  <c r="AM1236" i="64"/>
  <c r="BZ1236" i="64"/>
  <c r="BM1331" i="64"/>
  <c r="AM1258" i="64"/>
  <c r="AZ1328" i="64"/>
  <c r="AZ1232" i="64"/>
  <c r="AZ1212" i="64"/>
  <c r="Z1301" i="64"/>
  <c r="AM1242" i="64"/>
  <c r="CZ1242" i="64"/>
  <c r="Z1300" i="64"/>
  <c r="Z1293" i="64"/>
  <c r="BZ1288" i="64"/>
  <c r="BM1318" i="64"/>
  <c r="AZ1210" i="64"/>
  <c r="BM1210" i="64"/>
  <c r="BM1291" i="64"/>
  <c r="CM1252" i="64"/>
  <c r="CZ1241" i="64"/>
  <c r="AM1312" i="64"/>
  <c r="CM1217" i="64"/>
  <c r="M1330" i="64"/>
  <c r="CM1257" i="64"/>
  <c r="BM1282" i="64"/>
  <c r="M1283" i="64"/>
  <c r="M1296" i="64"/>
  <c r="Z1295" i="64"/>
  <c r="CZ1217" i="64"/>
  <c r="BZ1304" i="64"/>
  <c r="AM1246" i="64"/>
  <c r="AM1298" i="64"/>
  <c r="Z1323" i="64"/>
  <c r="Z1320" i="64"/>
  <c r="BZ1295" i="64"/>
  <c r="AZ1250" i="64"/>
  <c r="BM1310" i="64"/>
  <c r="BZ1316" i="64"/>
  <c r="AM1335" i="64"/>
  <c r="AM1278" i="64"/>
  <c r="AZ1297" i="64"/>
  <c r="AZ1282" i="64"/>
  <c r="CZ1248" i="64"/>
  <c r="BM1320" i="64"/>
  <c r="CM1221" i="64"/>
  <c r="AM1203" i="64"/>
  <c r="AM1325" i="64"/>
  <c r="BZ1248" i="64"/>
  <c r="BZ1320" i="64"/>
  <c r="CM1224" i="64"/>
  <c r="BM1323" i="64"/>
  <c r="Z1326" i="64"/>
  <c r="BZ1221" i="64"/>
  <c r="AM1264" i="64"/>
  <c r="AZ1255" i="64"/>
  <c r="AM1211" i="64"/>
  <c r="AZ1332" i="64"/>
  <c r="AM1287" i="64"/>
  <c r="BM1215" i="64"/>
  <c r="AZ1315" i="64"/>
  <c r="AM1291" i="64"/>
  <c r="AZ1304" i="64"/>
  <c r="AM1252" i="64"/>
  <c r="BM1295" i="64"/>
  <c r="BM1275" i="64"/>
  <c r="AZ1291" i="64"/>
  <c r="M1295" i="64"/>
  <c r="Z1315" i="64"/>
  <c r="AM1217" i="64"/>
  <c r="CM1230" i="64"/>
  <c r="AZ1330" i="64"/>
  <c r="AM1341" i="64"/>
  <c r="BM1226" i="64"/>
  <c r="CZ1226" i="64"/>
  <c r="M1294" i="64"/>
  <c r="CM1232" i="64"/>
  <c r="AZ1281" i="64"/>
  <c r="M1286" i="64"/>
  <c r="M1309" i="64"/>
  <c r="BM1219" i="64"/>
  <c r="BM1329" i="64"/>
  <c r="BZ1263" i="64"/>
  <c r="AZ1261" i="64"/>
  <c r="Z1290" i="64"/>
  <c r="M1307" i="64"/>
  <c r="BZ1280" i="64"/>
  <c r="AZ1319" i="64"/>
  <c r="AZ1218" i="64"/>
  <c r="BZ1245" i="64"/>
  <c r="CM1235" i="64"/>
  <c r="AM1324" i="64"/>
  <c r="BM1242" i="64"/>
  <c r="AM1259" i="64"/>
  <c r="BZ1331" i="64"/>
  <c r="BZ1223" i="64"/>
  <c r="AM1215" i="64"/>
  <c r="BM1311" i="64"/>
  <c r="BM1286" i="64"/>
  <c r="AM1248" i="64"/>
  <c r="BZ1301" i="64"/>
  <c r="CM1256" i="64"/>
  <c r="CZ1259" i="64"/>
  <c r="CZ1204" i="64"/>
  <c r="Z1297" i="64"/>
  <c r="BZ1328" i="64"/>
  <c r="AZ1209" i="64"/>
  <c r="AZ1229" i="64"/>
  <c r="CZ1239" i="64"/>
  <c r="CZ1212" i="64"/>
  <c r="BZ1219" i="64"/>
  <c r="BM1334" i="64"/>
  <c r="AZ1337" i="64"/>
  <c r="AM1331" i="64"/>
  <c r="BZ1307" i="64"/>
  <c r="BM1220" i="64"/>
  <c r="AZ1280" i="64"/>
  <c r="BZ1319" i="64"/>
  <c r="CZ1227" i="64"/>
  <c r="CM1210" i="64"/>
  <c r="AM1317" i="64"/>
  <c r="AZ1256" i="64"/>
  <c r="AZ1333" i="64"/>
  <c r="BM1211" i="64"/>
  <c r="BZ1290" i="64"/>
  <c r="AM1208" i="64"/>
  <c r="BM1205" i="64"/>
  <c r="BM1313" i="64"/>
  <c r="BM1212" i="64"/>
  <c r="AZ1247" i="64"/>
  <c r="BZ1276" i="64"/>
  <c r="AM1314" i="64"/>
  <c r="AZ1293" i="64"/>
  <c r="BZ1260" i="64"/>
  <c r="AZ1259" i="64"/>
  <c r="M1332" i="64"/>
  <c r="BZ1233" i="64"/>
  <c r="BM1280" i="64"/>
  <c r="CM1239" i="64"/>
  <c r="BM1292" i="64"/>
  <c r="BZ1309" i="64"/>
  <c r="CZ1244" i="64"/>
  <c r="M1276" i="64"/>
  <c r="BZ1318" i="64"/>
  <c r="AM1250" i="64"/>
  <c r="M1310" i="64"/>
  <c r="AM1336" i="64"/>
  <c r="BZ1285" i="64"/>
  <c r="BZ1216" i="64"/>
  <c r="M1328" i="64"/>
  <c r="AZ1237" i="64"/>
  <c r="CM1227" i="64"/>
  <c r="M1318" i="64"/>
  <c r="CZ1231" i="64"/>
  <c r="BZ1284" i="64"/>
  <c r="Z1330" i="64"/>
  <c r="AM1329" i="64"/>
  <c r="AZ1211" i="64"/>
  <c r="CM1211" i="64"/>
  <c r="BZ1220" i="64"/>
  <c r="AM1280" i="64"/>
  <c r="BZ1210" i="64"/>
  <c r="AZ1290" i="64"/>
  <c r="AM1301" i="64"/>
  <c r="CZ1216" i="64"/>
  <c r="BM1309" i="64"/>
  <c r="AZ1300" i="64"/>
  <c r="CM1233" i="64"/>
  <c r="AZ1254" i="64"/>
  <c r="BM1281" i="64"/>
  <c r="AM1229" i="64"/>
  <c r="CM1253" i="64"/>
  <c r="BM1324" i="64"/>
  <c r="BM1316" i="64"/>
  <c r="Z1333" i="64"/>
  <c r="Z1339" i="64"/>
  <c r="CZ1223" i="64"/>
  <c r="AZ1287" i="64"/>
  <c r="CM1254" i="64"/>
  <c r="BM1207" i="64"/>
  <c r="BZ1253" i="64"/>
  <c r="BZ1330" i="64"/>
  <c r="AZ1294" i="64"/>
  <c r="M1329" i="64"/>
  <c r="Z1289" i="64"/>
  <c r="AZ1310" i="64"/>
  <c r="Z1335" i="64"/>
  <c r="AZ1307" i="64"/>
  <c r="BZ1306" i="64"/>
  <c r="AZ1239" i="64"/>
  <c r="Z1286" i="64"/>
  <c r="CZ1253" i="64"/>
  <c r="CM1248" i="64"/>
  <c r="AZ1236" i="64"/>
  <c r="AM1266" i="64"/>
  <c r="AM1265" i="64"/>
  <c r="CM1228" i="64"/>
  <c r="BM1307" i="64"/>
  <c r="CZ1215" i="64"/>
  <c r="CM1237" i="64"/>
  <c r="AM1235" i="64"/>
  <c r="BZ1237" i="64"/>
  <c r="BM1333" i="64"/>
  <c r="Z1279" i="64"/>
  <c r="AZ1266" i="64"/>
  <c r="M1306" i="64"/>
  <c r="BM1337" i="64"/>
  <c r="AM1213" i="64"/>
  <c r="AZ1208" i="64"/>
  <c r="BZ1283" i="64"/>
  <c r="BZ1313" i="64"/>
  <c r="M1292" i="64"/>
  <c r="AZ1309" i="64"/>
  <c r="AM1330" i="64"/>
  <c r="CM1255" i="64"/>
  <c r="CZ1211" i="64"/>
  <c r="AZ1226" i="64"/>
  <c r="AZ1302" i="64"/>
  <c r="AM1233" i="64"/>
  <c r="BM1283" i="64"/>
  <c r="CZ1237" i="64"/>
  <c r="BZ1218" i="64"/>
  <c r="BZ1226" i="64"/>
  <c r="Z1281" i="64"/>
  <c r="CM1265" i="64"/>
  <c r="BZ1286" i="64"/>
  <c r="M1285" i="64"/>
  <c r="Z1287" i="64"/>
  <c r="BM1208" i="64"/>
  <c r="AM1283" i="64"/>
  <c r="Z1311" i="64"/>
  <c r="AZ1292" i="64"/>
  <c r="M1324" i="64"/>
  <c r="AM1338" i="64"/>
  <c r="AM1263" i="64"/>
  <c r="AM1204" i="64"/>
  <c r="BM1332" i="64"/>
  <c r="BM1302" i="64"/>
  <c r="Z1282" i="64"/>
  <c r="AM1207" i="64"/>
  <c r="Z1292" i="64"/>
  <c r="DL1241" i="64"/>
  <c r="DL1217" i="64"/>
  <c r="CL1298" i="64"/>
  <c r="DL1238" i="64"/>
  <c r="CL1336" i="64"/>
  <c r="DL1257" i="64"/>
  <c r="CL1291" i="64"/>
  <c r="R1485" i="79"/>
  <c r="R1711" i="79" s="1"/>
  <c r="R1550" i="79"/>
  <c r="R1891" i="79" s="1"/>
  <c r="CL1312" i="64"/>
  <c r="DL1216" i="64"/>
  <c r="CL1293" i="64"/>
  <c r="CL1287" i="64"/>
  <c r="CL1340" i="64"/>
  <c r="DL1247" i="64"/>
  <c r="DL1227" i="64"/>
  <c r="DL1261" i="64"/>
  <c r="CL1324" i="64"/>
  <c r="DL1209" i="64"/>
  <c r="CL1285" i="64"/>
  <c r="DL1223" i="64"/>
  <c r="CL1335" i="64"/>
  <c r="CL1307" i="64"/>
  <c r="CL1289" i="64"/>
  <c r="DL1213" i="64"/>
  <c r="DL1259" i="64"/>
  <c r="DL1208" i="64"/>
  <c r="DL1234" i="64"/>
  <c r="DL1215" i="64"/>
  <c r="DL1214" i="64"/>
  <c r="CX1095" i="64"/>
  <c r="DN1095" i="64" s="1"/>
  <c r="AN1472" i="79"/>
  <c r="Q1459" i="79"/>
  <c r="Q1639" i="79" s="1"/>
  <c r="AN1459" i="79"/>
  <c r="AN1639" i="79" s="1"/>
  <c r="CL1296" i="64"/>
  <c r="DL1203" i="64"/>
  <c r="DL1226" i="64"/>
  <c r="DL1249" i="64"/>
  <c r="DL1225" i="64"/>
  <c r="CL1316" i="64"/>
  <c r="DL1221" i="64"/>
  <c r="CL1294" i="64"/>
  <c r="CL1295" i="64"/>
  <c r="CL1338" i="64"/>
  <c r="DL1222" i="64"/>
  <c r="DL1246" i="64"/>
  <c r="CL1304" i="64"/>
  <c r="DL1239" i="64"/>
  <c r="DL1240" i="64"/>
  <c r="DL1255" i="64"/>
  <c r="DL1218" i="64"/>
  <c r="DL1245" i="64"/>
  <c r="CL1310" i="64"/>
  <c r="DL1233" i="64"/>
  <c r="CL1330" i="64"/>
  <c r="CL1339" i="64"/>
  <c r="DL1235" i="64"/>
  <c r="CL1297" i="64"/>
  <c r="CL1322" i="64"/>
  <c r="CL1303" i="64"/>
  <c r="CL1329" i="64"/>
  <c r="CL1334" i="64"/>
  <c r="DL1254" i="64"/>
  <c r="DL1220" i="64"/>
  <c r="Q1537" i="79"/>
  <c r="Q1855" i="79" s="1"/>
  <c r="Q1888" i="79" s="1"/>
  <c r="Q1889" i="79" s="1"/>
  <c r="Q1472" i="79"/>
  <c r="Q1675" i="79" s="1"/>
  <c r="Q1498" i="79"/>
  <c r="Q1747" i="79" s="1"/>
  <c r="Q1511" i="79"/>
  <c r="Q1783" i="79" s="1"/>
  <c r="Q1485" i="79"/>
  <c r="Q1711" i="79" s="1"/>
  <c r="Q1563" i="79"/>
  <c r="Q1927" i="79" s="1"/>
  <c r="Q1524" i="79"/>
  <c r="Q1819" i="79" s="1"/>
  <c r="Q1550" i="79"/>
  <c r="Q1891" i="79" s="1"/>
  <c r="Q1576" i="79"/>
  <c r="Q1963" i="79" s="1"/>
  <c r="Q1602" i="79"/>
  <c r="Q2034" i="79" s="1"/>
  <c r="Q1589" i="79"/>
  <c r="Q1998" i="79" s="1"/>
  <c r="DL1252" i="64"/>
  <c r="CL1323" i="64"/>
  <c r="CL1326" i="64"/>
  <c r="CL1315" i="64"/>
  <c r="CL1299" i="64"/>
  <c r="DL1256" i="64"/>
  <c r="DL1237" i="64"/>
  <c r="DL1264" i="64"/>
  <c r="DL1262" i="64"/>
  <c r="CL1313" i="64"/>
  <c r="CL1319" i="64"/>
  <c r="CL1331" i="64"/>
  <c r="CL1292" i="64"/>
  <c r="DL1228" i="64"/>
  <c r="DL1266" i="64"/>
  <c r="DL1265" i="64"/>
  <c r="CL1300" i="64"/>
  <c r="CL1311" i="64"/>
  <c r="CL1337" i="64"/>
  <c r="DL1260" i="64"/>
  <c r="CL1290" i="64"/>
  <c r="DL1204" i="64"/>
  <c r="CL1306" i="64"/>
  <c r="CL1281" i="64"/>
  <c r="CL1283" i="64"/>
  <c r="CL1288" i="64"/>
  <c r="DL1263" i="64"/>
  <c r="DL1258" i="64"/>
  <c r="CL1301" i="64"/>
  <c r="R1459" i="79" s="1"/>
  <c r="R1639" i="79" s="1"/>
  <c r="DL1212" i="64"/>
  <c r="DL1250" i="64"/>
  <c r="CL1321" i="64"/>
  <c r="J29" i="85"/>
  <c r="J239" i="85" s="1"/>
  <c r="K337" i="77" s="1"/>
  <c r="L348" i="73"/>
  <c r="L349" i="73" s="1"/>
  <c r="L556" i="73" s="1"/>
  <c r="O680" i="77"/>
  <c r="N656" i="77"/>
  <c r="N681" i="77"/>
  <c r="AF1928" i="79"/>
  <c r="AF1960" i="79" s="1"/>
  <c r="AF1961" i="79" s="1"/>
  <c r="AF1604" i="79"/>
  <c r="AF1605" i="79" s="1"/>
  <c r="I1964" i="79"/>
  <c r="I1995" i="79" s="1"/>
  <c r="I1996" i="79" s="1"/>
  <c r="I1552" i="79"/>
  <c r="I1553" i="79" s="1"/>
  <c r="I1474" i="79"/>
  <c r="I1475" i="79" s="1"/>
  <c r="I1539" i="79"/>
  <c r="I1541" i="79" s="1"/>
  <c r="AF1820" i="79"/>
  <c r="AF1852" i="79" s="1"/>
  <c r="AF1853" i="79" s="1"/>
  <c r="I1604" i="79"/>
  <c r="I1605" i="79" s="1"/>
  <c r="AF1487" i="79"/>
  <c r="AF1489" i="79" s="1"/>
  <c r="I1999" i="79"/>
  <c r="I2031" i="79" s="1"/>
  <c r="I2032" i="79" s="1"/>
  <c r="I1565" i="79"/>
  <c r="I1566" i="79" s="1"/>
  <c r="X430" i="40"/>
  <c r="X440" i="40"/>
  <c r="X398" i="40"/>
  <c r="X431" i="40"/>
  <c r="X407" i="40"/>
  <c r="A482" i="77"/>
  <c r="X392" i="40"/>
  <c r="AC822" i="64"/>
  <c r="AC686" i="64"/>
  <c r="BC686" i="64" s="1"/>
  <c r="O566" i="74"/>
  <c r="X432" i="40"/>
  <c r="X434" i="40"/>
  <c r="X435" i="40"/>
  <c r="X391" i="40"/>
  <c r="X397" i="40"/>
  <c r="X401" i="40"/>
  <c r="X406" i="40"/>
  <c r="I1784" i="79"/>
  <c r="AO861" i="64"/>
  <c r="AC818" i="64"/>
  <c r="AP818" i="64" s="1"/>
  <c r="AC751" i="64"/>
  <c r="AP751" i="64" s="1"/>
  <c r="AC672" i="64"/>
  <c r="AP672" i="64" s="1"/>
  <c r="AC719" i="64"/>
  <c r="AC737" i="64" s="1"/>
  <c r="AO857" i="64"/>
  <c r="AB879" i="64"/>
  <c r="P386" i="77" s="1"/>
  <c r="X441" i="40"/>
  <c r="X438" i="40"/>
  <c r="X436" i="40"/>
  <c r="X394" i="40"/>
  <c r="X399" i="40"/>
  <c r="X402" i="40"/>
  <c r="X411" i="40"/>
  <c r="AC828" i="64"/>
  <c r="BC828" i="64" s="1"/>
  <c r="AC786" i="64"/>
  <c r="BC786" i="64" s="1"/>
  <c r="O573" i="74"/>
  <c r="X439" i="40"/>
  <c r="X433" i="40"/>
  <c r="X437" i="40"/>
  <c r="X387" i="40"/>
  <c r="X396" i="40"/>
  <c r="X400" i="40"/>
  <c r="X403" i="40"/>
  <c r="Q1392" i="79"/>
  <c r="R613" i="79"/>
  <c r="A50" i="71"/>
  <c r="A122" i="71" s="1"/>
  <c r="R383" i="77"/>
  <c r="R455" i="77"/>
  <c r="R318" i="77"/>
  <c r="R353" i="77"/>
  <c r="R138" i="77"/>
  <c r="R252" i="77"/>
  <c r="O243" i="74"/>
  <c r="O242" i="74"/>
  <c r="R1400" i="79"/>
  <c r="L1463" i="79"/>
  <c r="Q1394" i="79"/>
  <c r="R621" i="79"/>
  <c r="Q791" i="64"/>
  <c r="J36" i="71" s="1"/>
  <c r="O578" i="74"/>
  <c r="R1389" i="79"/>
  <c r="R562" i="79"/>
  <c r="R629" i="79"/>
  <c r="O576" i="74"/>
  <c r="O229" i="74"/>
  <c r="O560" i="74"/>
  <c r="O581" i="74" s="1"/>
  <c r="O602" i="74" s="1"/>
  <c r="O623" i="74" s="1"/>
  <c r="O648" i="74" s="1"/>
  <c r="O658" i="74" s="1"/>
  <c r="O359" i="74"/>
  <c r="O557" i="74"/>
  <c r="S604" i="79"/>
  <c r="S603" i="79"/>
  <c r="S602" i="79"/>
  <c r="S751" i="79"/>
  <c r="S748" i="79"/>
  <c r="S747" i="79"/>
  <c r="S752" i="79"/>
  <c r="S756" i="79"/>
  <c r="S755" i="79"/>
  <c r="S731" i="79"/>
  <c r="S732" i="79"/>
  <c r="S759" i="79"/>
  <c r="S760" i="79"/>
  <c r="L15" i="80"/>
  <c r="L71" i="83"/>
  <c r="BU1053" i="64"/>
  <c r="AT1126" i="64"/>
  <c r="X404" i="40"/>
  <c r="X408" i="40"/>
  <c r="X417" i="40"/>
  <c r="M1053" i="64"/>
  <c r="M1200" i="64"/>
  <c r="CF17" i="65"/>
  <c r="CF19" i="65"/>
  <c r="CF12" i="65"/>
  <c r="CF15" i="65"/>
  <c r="CF18" i="65"/>
  <c r="CF21" i="65"/>
  <c r="CF11" i="65"/>
  <c r="CF14" i="65"/>
  <c r="CF10" i="65"/>
  <c r="CF22" i="65"/>
  <c r="CF219" i="65"/>
  <c r="CF16" i="65"/>
  <c r="CF23" i="65"/>
  <c r="CF24" i="65"/>
  <c r="CF25" i="65"/>
  <c r="CF26" i="65"/>
  <c r="CF27" i="65"/>
  <c r="CF28" i="65"/>
  <c r="CF29" i="65"/>
  <c r="CF30" i="65"/>
  <c r="CF31" i="65"/>
  <c r="Q11" i="73"/>
  <c r="F203" i="73" s="1"/>
  <c r="F204" i="73" s="1"/>
  <c r="Q68" i="73"/>
  <c r="Q90" i="73" s="1"/>
  <c r="Q100" i="73" s="1"/>
  <c r="Q128" i="73" s="1"/>
  <c r="Q156" i="73" s="1"/>
  <c r="Q184" i="73" s="1"/>
  <c r="Q211" i="73" s="1"/>
  <c r="Q238" i="73" s="1"/>
  <c r="Q264" i="73" s="1"/>
  <c r="Q286" i="73" s="1"/>
  <c r="Q309" i="73" s="1"/>
  <c r="Q331" i="73" s="1"/>
  <c r="Q8" i="85" s="1"/>
  <c r="Q7" i="73"/>
  <c r="O567" i="74"/>
  <c r="T235" i="64"/>
  <c r="V235" i="64" s="1"/>
  <c r="T210" i="64"/>
  <c r="V210" i="64" s="1"/>
  <c r="T204" i="64"/>
  <c r="V204" i="64" s="1"/>
  <c r="T205" i="64"/>
  <c r="V205" i="64" s="1"/>
  <c r="T193" i="64"/>
  <c r="V193" i="64" s="1"/>
  <c r="P34" i="85"/>
  <c r="P61" i="85" s="1"/>
  <c r="P88" i="85" s="1"/>
  <c r="P117" i="85" s="1"/>
  <c r="P5" i="85"/>
  <c r="R570" i="79"/>
  <c r="AH1583" i="79"/>
  <c r="O577" i="74"/>
  <c r="L16" i="80"/>
  <c r="L72" i="83"/>
  <c r="S740" i="79"/>
  <c r="S739" i="79"/>
  <c r="S744" i="79"/>
  <c r="S743" i="79"/>
  <c r="S564" i="79"/>
  <c r="S559" i="79"/>
  <c r="S560" i="79"/>
  <c r="S561" i="79"/>
  <c r="P1407" i="64"/>
  <c r="S699" i="79" s="1"/>
  <c r="S2273" i="79"/>
  <c r="S772" i="79"/>
  <c r="S771" i="79"/>
  <c r="P90" i="85"/>
  <c r="P110" i="85"/>
  <c r="P111" i="85" s="1"/>
  <c r="R597" i="79"/>
  <c r="R1632" i="79"/>
  <c r="Q1391" i="79"/>
  <c r="X405" i="40"/>
  <c r="X409" i="40"/>
  <c r="X418" i="40"/>
  <c r="BF1126" i="64"/>
  <c r="CG1053" i="64"/>
  <c r="BS1126" i="64" s="1"/>
  <c r="AR982" i="64"/>
  <c r="AC982" i="64"/>
  <c r="N982" i="64"/>
  <c r="BR206" i="65"/>
  <c r="AD717" i="64" s="1"/>
  <c r="BR209" i="65"/>
  <c r="BR212" i="65"/>
  <c r="AD723" i="64" s="1"/>
  <c r="BR203" i="65"/>
  <c r="BR204" i="65"/>
  <c r="AD715" i="64" s="1"/>
  <c r="BR208" i="65"/>
  <c r="AD719" i="64" s="1"/>
  <c r="BR210" i="65"/>
  <c r="AD721" i="64" s="1"/>
  <c r="BR205" i="65"/>
  <c r="AD787" i="64" s="1"/>
  <c r="BR211" i="65"/>
  <c r="AD722" i="64" s="1"/>
  <c r="BR207" i="65"/>
  <c r="AD789" i="64" s="1"/>
  <c r="BR214" i="65"/>
  <c r="AD725" i="64" s="1"/>
  <c r="BR213" i="65"/>
  <c r="DN1200" i="64"/>
  <c r="CN1274" i="64" s="1"/>
  <c r="DQ1053" i="64"/>
  <c r="DC1126" i="64" s="1"/>
  <c r="CM1126" i="64"/>
  <c r="CT10" i="65"/>
  <c r="CT21" i="65"/>
  <c r="CT19" i="65"/>
  <c r="CT16" i="65"/>
  <c r="CT18" i="65"/>
  <c r="CT15" i="65"/>
  <c r="CT17" i="65"/>
  <c r="CT219" i="65"/>
  <c r="CT14" i="65"/>
  <c r="CT12" i="65"/>
  <c r="CT11" i="65"/>
  <c r="CT22" i="65"/>
  <c r="CT23" i="65"/>
  <c r="CT24" i="65"/>
  <c r="CT25" i="65"/>
  <c r="CT26" i="65"/>
  <c r="CT27" i="65"/>
  <c r="CT28" i="65"/>
  <c r="CT29" i="65"/>
  <c r="CT30" i="65"/>
  <c r="CT31" i="65"/>
  <c r="T835" i="79"/>
  <c r="T663" i="79"/>
  <c r="T492" i="79"/>
  <c r="T287" i="79"/>
  <c r="T547" i="79"/>
  <c r="T410" i="79"/>
  <c r="T369" i="79"/>
  <c r="T123" i="79"/>
  <c r="T328" i="79"/>
  <c r="T82" i="79"/>
  <c r="T6" i="79"/>
  <c r="T1306" i="79" s="1"/>
  <c r="AQ1306" i="79" s="1"/>
  <c r="T451" i="79"/>
  <c r="T205" i="79"/>
  <c r="T246" i="79"/>
  <c r="AQ41" i="79"/>
  <c r="T164" i="79"/>
  <c r="N379" i="40"/>
  <c r="N514" i="40" s="1"/>
  <c r="O568" i="74"/>
  <c r="W1274" i="64"/>
  <c r="BJ1200" i="64"/>
  <c r="K1274" i="64"/>
  <c r="AX1200" i="64"/>
  <c r="T185" i="64"/>
  <c r="V185" i="64" s="1"/>
  <c r="T229" i="64"/>
  <c r="V229" i="64" s="1"/>
  <c r="T261" i="64"/>
  <c r="Q1368" i="64" s="1"/>
  <c r="T183" i="64"/>
  <c r="V183" i="64" s="1"/>
  <c r="T231" i="64"/>
  <c r="V231" i="64" s="1"/>
  <c r="O631" i="79"/>
  <c r="O1394" i="79"/>
  <c r="P578" i="73"/>
  <c r="P576" i="73"/>
  <c r="P565" i="73"/>
  <c r="P577" i="73"/>
  <c r="P566" i="73"/>
  <c r="Q137" i="77"/>
  <c r="P599" i="73"/>
  <c r="P605" i="73" s="1"/>
  <c r="P600" i="73"/>
  <c r="P587" i="73"/>
  <c r="P593" i="73" s="1"/>
  <c r="O241" i="74"/>
  <c r="V1126" i="64"/>
  <c r="AW1053" i="64"/>
  <c r="R1393" i="79"/>
  <c r="R578" i="79"/>
  <c r="N1396" i="79"/>
  <c r="N632" i="79"/>
  <c r="AP492" i="79"/>
  <c r="AP287" i="79"/>
  <c r="AP246" i="79"/>
  <c r="AP6" i="79"/>
  <c r="AP410" i="79"/>
  <c r="AP451" i="79"/>
  <c r="AP205" i="79"/>
  <c r="AP369" i="79"/>
  <c r="AP328" i="79"/>
  <c r="AP123" i="79"/>
  <c r="AP82" i="79"/>
  <c r="BV1200" i="64"/>
  <c r="AI1274" i="64"/>
  <c r="R605" i="79"/>
  <c r="AU1274" i="64"/>
  <c r="CH1200" i="64"/>
  <c r="AO164" i="79"/>
  <c r="Y409" i="40" s="1"/>
  <c r="S588" i="79"/>
  <c r="S584" i="79"/>
  <c r="S585" i="79"/>
  <c r="S583" i="79"/>
  <c r="S764" i="79"/>
  <c r="S763" i="79"/>
  <c r="S612" i="79"/>
  <c r="S611" i="79"/>
  <c r="S610" i="79"/>
  <c r="S735" i="79"/>
  <c r="S736" i="79"/>
  <c r="S1401" i="79"/>
  <c r="N102" i="8" s="1"/>
  <c r="O220" i="85"/>
  <c r="O218" i="85"/>
  <c r="T266" i="64"/>
  <c r="Q1374" i="64" s="1"/>
  <c r="T186" i="64"/>
  <c r="V186" i="64" s="1"/>
  <c r="L1350" i="64" s="1"/>
  <c r="O557" i="79" s="1"/>
  <c r="T180" i="64"/>
  <c r="V180" i="64" s="1"/>
  <c r="T221" i="64"/>
  <c r="V221" i="64" s="1"/>
  <c r="T234" i="64"/>
  <c r="V234" i="64" s="1"/>
  <c r="CF209" i="65"/>
  <c r="CF214" i="65"/>
  <c r="CF227" i="65"/>
  <c r="CF231" i="65"/>
  <c r="CF211" i="65"/>
  <c r="CF226" i="65"/>
  <c r="CF228" i="65"/>
  <c r="CF210" i="65"/>
  <c r="CF207" i="65"/>
  <c r="CF212" i="65"/>
  <c r="CF224" i="65"/>
  <c r="CF230" i="65"/>
  <c r="CF205" i="65"/>
  <c r="CF213" i="65"/>
  <c r="CF221" i="65"/>
  <c r="CF229" i="65"/>
  <c r="CF204" i="65"/>
  <c r="CF206" i="65"/>
  <c r="CF208" i="65"/>
  <c r="CF220" i="65"/>
  <c r="CF203" i="65"/>
  <c r="CF222" i="65"/>
  <c r="CF223" i="65"/>
  <c r="CF225" i="65"/>
  <c r="AK609" i="77"/>
  <c r="AK631" i="77" s="1"/>
  <c r="AK638" i="77" s="1"/>
  <c r="R438" i="77"/>
  <c r="AK622" i="77"/>
  <c r="AK597" i="77"/>
  <c r="P646" i="77"/>
  <c r="O605" i="77" s="1"/>
  <c r="G6" i="71"/>
  <c r="F30" i="71" s="1"/>
  <c r="J30" i="71" s="1"/>
  <c r="N30" i="71" s="1"/>
  <c r="AK1053" i="64"/>
  <c r="J1126" i="64"/>
  <c r="T241" i="64"/>
  <c r="V241" i="64" s="1"/>
  <c r="T195" i="64"/>
  <c r="V195" i="64" s="1"/>
  <c r="T191" i="64"/>
  <c r="V191" i="64" s="1"/>
  <c r="T203" i="64"/>
  <c r="V203" i="64" s="1"/>
  <c r="T238" i="64"/>
  <c r="V238" i="64" s="1"/>
  <c r="Q1390" i="79"/>
  <c r="T275" i="64"/>
  <c r="T276" i="64"/>
  <c r="Q1384" i="64" s="1"/>
  <c r="T2159" i="79" s="1"/>
  <c r="O574" i="74"/>
  <c r="R1395" i="79"/>
  <c r="R586" i="79"/>
  <c r="O569" i="74"/>
  <c r="AH1126" i="64"/>
  <c r="BI1053" i="64"/>
  <c r="N219" i="85"/>
  <c r="N221" i="85" s="1"/>
  <c r="S580" i="79"/>
  <c r="S576" i="79"/>
  <c r="S575" i="79"/>
  <c r="S577" i="79"/>
  <c r="S728" i="79"/>
  <c r="S727" i="79"/>
  <c r="S1220" i="79" s="1"/>
  <c r="S1288" i="79" s="1"/>
  <c r="S567" i="79"/>
  <c r="S572" i="79"/>
  <c r="S569" i="79"/>
  <c r="S568" i="79"/>
  <c r="S768" i="79"/>
  <c r="S767" i="79"/>
  <c r="O575" i="74"/>
  <c r="R1634" i="79"/>
  <c r="R607" i="79"/>
  <c r="R615" i="79" s="1"/>
  <c r="R623" i="79" s="1"/>
  <c r="R631" i="79" s="1"/>
  <c r="R1396" i="79" s="1"/>
  <c r="R700" i="79"/>
  <c r="R701" i="79"/>
  <c r="R702" i="79"/>
  <c r="BQ227" i="65"/>
  <c r="AC863" i="64" s="1"/>
  <c r="BC863" i="64" s="1"/>
  <c r="BQ229" i="65"/>
  <c r="AC865" i="64" s="1"/>
  <c r="AP865" i="64" s="1"/>
  <c r="BQ230" i="65"/>
  <c r="AC866" i="64" s="1"/>
  <c r="BC866" i="64" s="1"/>
  <c r="BQ224" i="65"/>
  <c r="AC860" i="64" s="1"/>
  <c r="BC860" i="64" s="1"/>
  <c r="BQ222" i="65"/>
  <c r="AC858" i="64" s="1"/>
  <c r="AP858" i="64" s="1"/>
  <c r="BQ231" i="65"/>
  <c r="AC867" i="64" s="1"/>
  <c r="BC867" i="64" s="1"/>
  <c r="BQ223" i="65"/>
  <c r="AC859" i="64" s="1"/>
  <c r="AP859" i="64" s="1"/>
  <c r="BQ220" i="65"/>
  <c r="AC856" i="64" s="1"/>
  <c r="AP856" i="64" s="1"/>
  <c r="BQ226" i="65"/>
  <c r="BQ221" i="65"/>
  <c r="AC857" i="64" s="1"/>
  <c r="AP857" i="64" s="1"/>
  <c r="BQ228" i="65"/>
  <c r="AC864" i="64" s="1"/>
  <c r="BC864" i="64" s="1"/>
  <c r="BQ225" i="65"/>
  <c r="AC861" i="64" s="1"/>
  <c r="AP861" i="64" s="1"/>
  <c r="CT226" i="65"/>
  <c r="CT229" i="65"/>
  <c r="CT210" i="65"/>
  <c r="CT222" i="65"/>
  <c r="CT212" i="65"/>
  <c r="CT213" i="65"/>
  <c r="CT214" i="65"/>
  <c r="CT231" i="65"/>
  <c r="CT225" i="65"/>
  <c r="CT208" i="65"/>
  <c r="CT223" i="65"/>
  <c r="CT206" i="65"/>
  <c r="CT209" i="65"/>
  <c r="CT227" i="65"/>
  <c r="CT224" i="65"/>
  <c r="CT228" i="65"/>
  <c r="CT207" i="65"/>
  <c r="CT211" i="65"/>
  <c r="CT230" i="65"/>
  <c r="CT205" i="65"/>
  <c r="CT204" i="65"/>
  <c r="CT220" i="65"/>
  <c r="CT221" i="65"/>
  <c r="CT203" i="65"/>
  <c r="BR10" i="65"/>
  <c r="AD672" i="64" s="1"/>
  <c r="BR219" i="65"/>
  <c r="BR12" i="65"/>
  <c r="AD674" i="64" s="1"/>
  <c r="BR11" i="65"/>
  <c r="AD815" i="64" s="1"/>
  <c r="BR14" i="65"/>
  <c r="AD818" i="64" s="1"/>
  <c r="BR15" i="65"/>
  <c r="AD748" i="64" s="1"/>
  <c r="BR16" i="65"/>
  <c r="AD749" i="64" s="1"/>
  <c r="BR17" i="65"/>
  <c r="AD679" i="64" s="1"/>
  <c r="BR18" i="65"/>
  <c r="AD822" i="64" s="1"/>
  <c r="BR19" i="65"/>
  <c r="AD681" i="64" s="1"/>
  <c r="BR21" i="65"/>
  <c r="AD683" i="64" s="1"/>
  <c r="BR22" i="65"/>
  <c r="AD684" i="64" s="1"/>
  <c r="BR23" i="65"/>
  <c r="AD756" i="64" s="1"/>
  <c r="Q1445" i="64"/>
  <c r="T823" i="79" s="1"/>
  <c r="Q1441" i="64"/>
  <c r="T811" i="79" s="1"/>
  <c r="Q1437" i="64"/>
  <c r="T800" i="79" s="1"/>
  <c r="Q1433" i="64"/>
  <c r="T788" i="79" s="1"/>
  <c r="Q1429" i="64"/>
  <c r="T776" i="79" s="1"/>
  <c r="Q1448" i="64"/>
  <c r="Q1444" i="64"/>
  <c r="T820" i="79" s="1"/>
  <c r="Q1440" i="64"/>
  <c r="T808" i="79" s="1"/>
  <c r="Q1436" i="64"/>
  <c r="T797" i="79" s="1"/>
  <c r="Q1432" i="64"/>
  <c r="T785" i="79" s="1"/>
  <c r="Q1428" i="64"/>
  <c r="Q1348" i="64"/>
  <c r="T592" i="79" s="1"/>
  <c r="Q1347" i="64"/>
  <c r="T548" i="79" s="1"/>
  <c r="Q1443" i="64"/>
  <c r="T817" i="79" s="1"/>
  <c r="Q1435" i="64"/>
  <c r="T794" i="79" s="1"/>
  <c r="Q1442" i="64"/>
  <c r="T814" i="79" s="1"/>
  <c r="Q1434" i="64"/>
  <c r="T791" i="79" s="1"/>
  <c r="Q1426" i="64"/>
  <c r="T766" i="79" s="1"/>
  <c r="Q1417" i="64"/>
  <c r="T730" i="79" s="1"/>
  <c r="Q1388" i="64"/>
  <c r="Q1376" i="64"/>
  <c r="Q1371" i="64"/>
  <c r="Q1367" i="64"/>
  <c r="Q1359" i="64"/>
  <c r="T573" i="79" s="1"/>
  <c r="Q1353" i="64"/>
  <c r="T565" i="79" s="1"/>
  <c r="Q1439" i="64"/>
  <c r="T805" i="79" s="1"/>
  <c r="Q1427" i="64"/>
  <c r="T770" i="79" s="1"/>
  <c r="Q1424" i="64"/>
  <c r="T758" i="79" s="1"/>
  <c r="Q1423" i="64"/>
  <c r="T754" i="79" s="1"/>
  <c r="Q1394" i="64"/>
  <c r="Q1391" i="64"/>
  <c r="T2297" i="79" s="1"/>
  <c r="Q1387" i="64"/>
  <c r="Q1373" i="64"/>
  <c r="Q1369" i="64"/>
  <c r="Q1366" i="64"/>
  <c r="Q1446" i="64"/>
  <c r="T826" i="79" s="1"/>
  <c r="Q1422" i="64"/>
  <c r="T750" i="79" s="1"/>
  <c r="U750" i="79" s="1"/>
  <c r="Q1421" i="64"/>
  <c r="T746" i="79" s="1"/>
  <c r="Q1418" i="64"/>
  <c r="T734" i="79" s="1"/>
  <c r="Q1392" i="64"/>
  <c r="Q1377" i="64"/>
  <c r="Q1370" i="64"/>
  <c r="Q1354" i="64"/>
  <c r="T608" i="79" s="1"/>
  <c r="Q1447" i="64"/>
  <c r="T829" i="79" s="1"/>
  <c r="Q1431" i="64"/>
  <c r="T782" i="79" s="1"/>
  <c r="Q1430" i="64"/>
  <c r="T779" i="79" s="1"/>
  <c r="Q1419" i="64"/>
  <c r="T738" i="79" s="1"/>
  <c r="Q1416" i="64"/>
  <c r="T726" i="79" s="1"/>
  <c r="Q1385" i="64"/>
  <c r="T2182" i="79" s="1"/>
  <c r="Q1375" i="64"/>
  <c r="Q1360" i="64"/>
  <c r="T616" i="79" s="1"/>
  <c r="Q1356" i="64"/>
  <c r="T581" i="79" s="1"/>
  <c r="U581" i="79" s="1"/>
  <c r="Q1351" i="64"/>
  <c r="T600" i="79" s="1"/>
  <c r="Q1350" i="64"/>
  <c r="T557" i="79" s="1"/>
  <c r="Q1425" i="64"/>
  <c r="T762" i="79" s="1"/>
  <c r="Q1386" i="64"/>
  <c r="T2205" i="79" s="1"/>
  <c r="Q1357" i="64"/>
  <c r="T624" i="79" s="1"/>
  <c r="Q1383" i="64"/>
  <c r="T2135" i="79" s="1"/>
  <c r="Q1420" i="64"/>
  <c r="T742" i="79" s="1"/>
  <c r="Q1438" i="64"/>
  <c r="Q1390" i="64"/>
  <c r="T2274" i="79" s="1"/>
  <c r="P683" i="74"/>
  <c r="P555" i="74"/>
  <c r="P552" i="74"/>
  <c r="P544" i="74"/>
  <c r="P541" i="74"/>
  <c r="P533" i="74"/>
  <c r="P530" i="74"/>
  <c r="P522" i="74"/>
  <c r="P519" i="74"/>
  <c r="P511" i="74"/>
  <c r="P508" i="74"/>
  <c r="P500" i="74"/>
  <c r="P528" i="74"/>
  <c r="P699" i="74" s="1"/>
  <c r="P539" i="74"/>
  <c r="P700" i="74" s="1"/>
  <c r="P506" i="74"/>
  <c r="P697" i="74" s="1"/>
  <c r="P550" i="74"/>
  <c r="P701" i="74" s="1"/>
  <c r="P489" i="74"/>
  <c r="P486" i="74"/>
  <c r="P572" i="74" s="1"/>
  <c r="P478" i="74"/>
  <c r="P475" i="74"/>
  <c r="P571" i="74" s="1"/>
  <c r="P467" i="74"/>
  <c r="P464" i="74"/>
  <c r="P570" i="74" s="1"/>
  <c r="P456" i="74"/>
  <c r="P453" i="74"/>
  <c r="P445" i="74"/>
  <c r="P442" i="74"/>
  <c r="P434" i="74"/>
  <c r="P431" i="74"/>
  <c r="P473" i="74"/>
  <c r="P694" i="74" s="1"/>
  <c r="P429" i="74"/>
  <c r="P690" i="74" s="1"/>
  <c r="P407" i="74"/>
  <c r="P688" i="74" s="1"/>
  <c r="P396" i="74"/>
  <c r="P687" i="74" s="1"/>
  <c r="P385" i="74"/>
  <c r="P686" i="74" s="1"/>
  <c r="P374" i="74"/>
  <c r="P685" i="74" s="1"/>
  <c r="P363" i="74"/>
  <c r="P684" i="74" s="1"/>
  <c r="P79" i="74"/>
  <c r="P484" i="74"/>
  <c r="P695" i="74" s="1"/>
  <c r="P440" i="74"/>
  <c r="P691" i="74" s="1"/>
  <c r="P423" i="74"/>
  <c r="P232" i="74"/>
  <c r="P247" i="74" s="1"/>
  <c r="P262" i="74" s="1"/>
  <c r="P277" i="74" s="1"/>
  <c r="P517" i="74"/>
  <c r="P698" i="74" s="1"/>
  <c r="P495" i="74"/>
  <c r="P696" i="74" s="1"/>
  <c r="P451" i="74"/>
  <c r="P692" i="74" s="1"/>
  <c r="P5" i="74"/>
  <c r="P418" i="74"/>
  <c r="P689" i="74" s="1"/>
  <c r="P409" i="74"/>
  <c r="P398" i="74"/>
  <c r="P564" i="74" s="1"/>
  <c r="P387" i="74"/>
  <c r="P563" i="74" s="1"/>
  <c r="P376" i="74"/>
  <c r="P562" i="74" s="1"/>
  <c r="P365" i="74"/>
  <c r="P462" i="74"/>
  <c r="P693" i="74" s="1"/>
  <c r="P412" i="74"/>
  <c r="P401" i="74"/>
  <c r="P390" i="74"/>
  <c r="P379" i="74"/>
  <c r="P368" i="74"/>
  <c r="P109" i="74"/>
  <c r="P420" i="74"/>
  <c r="P19" i="74"/>
  <c r="P497" i="74"/>
  <c r="P205" i="74"/>
  <c r="P138" i="74"/>
  <c r="P135" i="74"/>
  <c r="P235" i="74" s="1"/>
  <c r="E196" i="40" s="1"/>
  <c r="P198" i="74"/>
  <c r="P128" i="74"/>
  <c r="P178" i="74"/>
  <c r="P218" i="74"/>
  <c r="P215" i="74"/>
  <c r="P158" i="74"/>
  <c r="P208" i="74"/>
  <c r="P188" i="74"/>
  <c r="P118" i="74"/>
  <c r="P165" i="74"/>
  <c r="P238" i="74" s="1"/>
  <c r="E199" i="40" s="1"/>
  <c r="P148" i="74"/>
  <c r="P145" i="74"/>
  <c r="P236" i="74" s="1"/>
  <c r="E197" i="40" s="1"/>
  <c r="P185" i="74"/>
  <c r="P240" i="74" s="1"/>
  <c r="E201" i="40" s="1"/>
  <c r="P115" i="74"/>
  <c r="P225" i="74"/>
  <c r="P228" i="74"/>
  <c r="P155" i="74"/>
  <c r="P237" i="74" s="1"/>
  <c r="E198" i="40" s="1"/>
  <c r="P195" i="74"/>
  <c r="P125" i="74"/>
  <c r="P234" i="74" s="1"/>
  <c r="E195" i="40" s="1"/>
  <c r="P175" i="74"/>
  <c r="P239" i="74" s="1"/>
  <c r="E200" i="40" s="1"/>
  <c r="P168" i="74"/>
  <c r="Y1053" i="64"/>
  <c r="Y1200" i="64"/>
  <c r="AL1200" i="64" s="1"/>
  <c r="O565" i="74"/>
  <c r="T194" i="64"/>
  <c r="V194" i="64" s="1"/>
  <c r="T208" i="64"/>
  <c r="V208" i="64" s="1"/>
  <c r="T284" i="64"/>
  <c r="Q1393" i="64" s="1"/>
  <c r="T252" i="64"/>
  <c r="V252" i="64" s="1"/>
  <c r="T249" i="64"/>
  <c r="V249" i="64" s="1"/>
  <c r="O244" i="74"/>
  <c r="Q2292" i="79"/>
  <c r="Q2293" i="79" s="1"/>
  <c r="Q2294" i="79" s="1"/>
  <c r="BG1274" i="64"/>
  <c r="CT1200" i="64"/>
  <c r="BT1274" i="64" s="1"/>
  <c r="P487" i="73"/>
  <c r="P54" i="73"/>
  <c r="Q632" i="79"/>
  <c r="M219" i="85"/>
  <c r="M221" i="85" s="1"/>
  <c r="J1463" i="79"/>
  <c r="AH1463" i="79"/>
  <c r="BA685" i="64"/>
  <c r="AN685" i="64"/>
  <c r="AG685" i="64"/>
  <c r="AT685" i="64"/>
  <c r="AF756" i="64"/>
  <c r="AS756" i="64"/>
  <c r="AU827" i="64"/>
  <c r="AH827" i="64"/>
  <c r="CG34" i="65"/>
  <c r="CR33" i="65"/>
  <c r="CM33" i="65"/>
  <c r="CJ33" i="65"/>
  <c r="CI33" i="65"/>
  <c r="CS33" i="65"/>
  <c r="CL33" i="65"/>
  <c r="CQ33" i="65"/>
  <c r="CK33" i="65"/>
  <c r="CO33" i="65"/>
  <c r="CT33" i="65"/>
  <c r="CP33" i="65"/>
  <c r="CN33" i="65"/>
  <c r="AY756" i="64"/>
  <c r="AL756" i="64"/>
  <c r="AM827" i="64"/>
  <c r="AZ827" i="64"/>
  <c r="U686" i="64"/>
  <c r="U828" i="64"/>
  <c r="U757" i="64"/>
  <c r="AX685" i="64"/>
  <c r="AK685" i="64"/>
  <c r="AJ827" i="64"/>
  <c r="AW827" i="64"/>
  <c r="AN827" i="64"/>
  <c r="BA827" i="64"/>
  <c r="AG756" i="64"/>
  <c r="AT756" i="64"/>
  <c r="AS685" i="64"/>
  <c r="AF685" i="64"/>
  <c r="AI756" i="64"/>
  <c r="AV756" i="64"/>
  <c r="AY827" i="64"/>
  <c r="AL827" i="64"/>
  <c r="AZ685" i="64"/>
  <c r="AM685" i="64"/>
  <c r="X686" i="64"/>
  <c r="X757" i="64"/>
  <c r="X828" i="64"/>
  <c r="W757" i="64"/>
  <c r="W828" i="64"/>
  <c r="W686" i="64"/>
  <c r="AB828" i="64"/>
  <c r="AB686" i="64"/>
  <c r="AB757" i="64"/>
  <c r="BE26" i="65"/>
  <c r="BO25" i="65"/>
  <c r="BI25" i="65"/>
  <c r="BR25" i="65"/>
  <c r="AD687" i="64" s="1"/>
  <c r="BJ25" i="65"/>
  <c r="BK25" i="65"/>
  <c r="BH25" i="65"/>
  <c r="BG25" i="65"/>
  <c r="BM25" i="65"/>
  <c r="BL25" i="65"/>
  <c r="BQ25" i="65"/>
  <c r="BN25" i="65"/>
  <c r="BP25" i="65"/>
  <c r="AW756" i="64"/>
  <c r="AJ756" i="64"/>
  <c r="AN756" i="64"/>
  <c r="BA756" i="64"/>
  <c r="AH756" i="64"/>
  <c r="AU756" i="64"/>
  <c r="AI685" i="64"/>
  <c r="AV685" i="64"/>
  <c r="AY685" i="64"/>
  <c r="AL685" i="64"/>
  <c r="AA757" i="64"/>
  <c r="AA828" i="64"/>
  <c r="AA686" i="64"/>
  <c r="T757" i="64"/>
  <c r="T828" i="64"/>
  <c r="T686" i="64"/>
  <c r="Z757" i="64"/>
  <c r="Z828" i="64"/>
  <c r="Z686" i="64"/>
  <c r="AK756" i="64"/>
  <c r="AX756" i="64"/>
  <c r="AW685" i="64"/>
  <c r="AJ685" i="64"/>
  <c r="AT827" i="64"/>
  <c r="AG827" i="64"/>
  <c r="AS827" i="64"/>
  <c r="AF827" i="64"/>
  <c r="AU685" i="64"/>
  <c r="AH685" i="64"/>
  <c r="AI827" i="64"/>
  <c r="AV827" i="64"/>
  <c r="AZ756" i="64"/>
  <c r="AM756" i="64"/>
  <c r="Y686" i="64"/>
  <c r="Y757" i="64"/>
  <c r="Y828" i="64"/>
  <c r="V686" i="64"/>
  <c r="V757" i="64"/>
  <c r="V828" i="64"/>
  <c r="S686" i="64"/>
  <c r="S757" i="64"/>
  <c r="S828" i="64"/>
  <c r="AK827" i="64"/>
  <c r="AX827" i="64"/>
  <c r="BS34" i="65"/>
  <c r="BV33" i="65"/>
  <c r="CD33" i="65"/>
  <c r="BU33" i="65"/>
  <c r="CC33" i="65"/>
  <c r="CA33" i="65"/>
  <c r="BX33" i="65"/>
  <c r="CF33" i="65"/>
  <c r="BW33" i="65"/>
  <c r="CE33" i="65"/>
  <c r="CB33" i="65"/>
  <c r="BY33" i="65"/>
  <c r="BZ33" i="65"/>
  <c r="AJ1463" i="79"/>
  <c r="AJ1462" i="79"/>
  <c r="AH1531" i="79"/>
  <c r="AH1534" i="79"/>
  <c r="J1553" i="79"/>
  <c r="J1554" i="79"/>
  <c r="K1526" i="79"/>
  <c r="K1820" i="79"/>
  <c r="K1852" i="79" s="1"/>
  <c r="K1853" i="79" s="1"/>
  <c r="K1928" i="79"/>
  <c r="K1960" i="79" s="1"/>
  <c r="K1961" i="79" s="1"/>
  <c r="K1565" i="79"/>
  <c r="K1892" i="79"/>
  <c r="K1924" i="79" s="1"/>
  <c r="K1925" i="79" s="1"/>
  <c r="K1552" i="79"/>
  <c r="AH1608" i="79"/>
  <c r="AH1611" i="79"/>
  <c r="AI1526" i="79"/>
  <c r="AI1820" i="79"/>
  <c r="AI1852" i="79" s="1"/>
  <c r="AI1853" i="79" s="1"/>
  <c r="AI1604" i="79"/>
  <c r="AI2035" i="79"/>
  <c r="AI1748" i="79"/>
  <c r="AI1500" i="79"/>
  <c r="AG1513" i="79"/>
  <c r="AG1784" i="79"/>
  <c r="AG1816" i="79" s="1"/>
  <c r="AG1817" i="79" s="1"/>
  <c r="AG1856" i="79"/>
  <c r="AG1539" i="79"/>
  <c r="AG1552" i="79"/>
  <c r="AG1892" i="79"/>
  <c r="AG1924" i="79" s="1"/>
  <c r="AG1925" i="79" s="1"/>
  <c r="L1964" i="79"/>
  <c r="L1995" i="79" s="1"/>
  <c r="L1996" i="79" s="1"/>
  <c r="L1578" i="79"/>
  <c r="L1513" i="79"/>
  <c r="L1784" i="79"/>
  <c r="L2035" i="79"/>
  <c r="L2067" i="79" s="1"/>
  <c r="L1604" i="79"/>
  <c r="J1592" i="79"/>
  <c r="J1593" i="79"/>
  <c r="N579" i="74"/>
  <c r="O561" i="74"/>
  <c r="AH1547" i="79"/>
  <c r="AH1544" i="79"/>
  <c r="M1676" i="79"/>
  <c r="M1474" i="79"/>
  <c r="M1999" i="79"/>
  <c r="M2031" i="79" s="1"/>
  <c r="M2032" i="79" s="1"/>
  <c r="M1591" i="79"/>
  <c r="M1892" i="79"/>
  <c r="M1924" i="79" s="1"/>
  <c r="M1925" i="79" s="1"/>
  <c r="M1552" i="79"/>
  <c r="K1462" i="79"/>
  <c r="K1463" i="79"/>
  <c r="J1475" i="79"/>
  <c r="J1476" i="79"/>
  <c r="AH1533" i="79"/>
  <c r="AH1530" i="79"/>
  <c r="K1856" i="79"/>
  <c r="K1539" i="79"/>
  <c r="K1591" i="79"/>
  <c r="K1999" i="79"/>
  <c r="K2031" i="79" s="1"/>
  <c r="K2032" i="79" s="1"/>
  <c r="K1676" i="79"/>
  <c r="K1474" i="79"/>
  <c r="AI1964" i="79"/>
  <c r="AI1995" i="79" s="1"/>
  <c r="AI1996" i="79" s="1"/>
  <c r="AI1578" i="79"/>
  <c r="AG1604" i="79"/>
  <c r="AG2035" i="79"/>
  <c r="L1820" i="79"/>
  <c r="L1852" i="79" s="1"/>
  <c r="L1853" i="79" s="1"/>
  <c r="L1526" i="79"/>
  <c r="L1712" i="79"/>
  <c r="L1487" i="79"/>
  <c r="L1474" i="79"/>
  <c r="L1676" i="79"/>
  <c r="J1527" i="79"/>
  <c r="J1528" i="79"/>
  <c r="J2068" i="79"/>
  <c r="AH1543" i="79"/>
  <c r="AH1546" i="79"/>
  <c r="AH1560" i="79"/>
  <c r="AH1557" i="79"/>
  <c r="M1526" i="79"/>
  <c r="M1820" i="79"/>
  <c r="M1852" i="79" s="1"/>
  <c r="M1853" i="79" s="1"/>
  <c r="M1712" i="79"/>
  <c r="M1487" i="79"/>
  <c r="M1784" i="79"/>
  <c r="M1513" i="79"/>
  <c r="AI1463" i="79"/>
  <c r="J1580" i="79"/>
  <c r="J1579" i="79"/>
  <c r="K2035" i="79"/>
  <c r="K2067" i="79" s="1"/>
  <c r="K1604" i="79"/>
  <c r="K1784" i="79"/>
  <c r="K1513" i="79"/>
  <c r="K1712" i="79"/>
  <c r="K1487" i="79"/>
  <c r="AI1892" i="79"/>
  <c r="AI1924" i="79" s="1"/>
  <c r="AI1925" i="79" s="1"/>
  <c r="AI1552" i="79"/>
  <c r="AI1856" i="79"/>
  <c r="AI1539" i="79"/>
  <c r="AK1596" i="79"/>
  <c r="AK1599" i="79"/>
  <c r="AG1928" i="79"/>
  <c r="AG1960" i="79" s="1"/>
  <c r="AG1961" i="79" s="1"/>
  <c r="AG1565" i="79"/>
  <c r="AG1748" i="79"/>
  <c r="AG1500" i="79"/>
  <c r="M1463" i="79"/>
  <c r="M1462" i="79"/>
  <c r="J1514" i="79"/>
  <c r="J1515" i="79"/>
  <c r="L1999" i="79"/>
  <c r="L2031" i="79" s="1"/>
  <c r="L2032" i="79" s="1"/>
  <c r="L1591" i="79"/>
  <c r="L1552" i="79"/>
  <c r="L1892" i="79"/>
  <c r="L1924" i="79" s="1"/>
  <c r="L1925" i="79" s="1"/>
  <c r="AG1599" i="79"/>
  <c r="AG1596" i="79"/>
  <c r="J1606" i="79"/>
  <c r="J1605" i="79"/>
  <c r="AH1518" i="79"/>
  <c r="AH1521" i="79"/>
  <c r="AH1556" i="79"/>
  <c r="AH1559" i="79"/>
  <c r="M2035" i="79"/>
  <c r="M2067" i="79" s="1"/>
  <c r="M1604" i="79"/>
  <c r="M1539" i="79"/>
  <c r="M1856" i="79"/>
  <c r="AI1599" i="79"/>
  <c r="AI1596" i="79"/>
  <c r="AG1463" i="79"/>
  <c r="AG1462" i="79"/>
  <c r="J1502" i="79"/>
  <c r="J1501" i="79"/>
  <c r="AF1596" i="79"/>
  <c r="AF1599" i="79"/>
  <c r="J1567" i="79"/>
  <c r="J1566" i="79"/>
  <c r="K1578" i="79"/>
  <c r="K1964" i="79"/>
  <c r="K1995" i="79" s="1"/>
  <c r="K1996" i="79" s="1"/>
  <c r="K1500" i="79"/>
  <c r="K1748" i="79"/>
  <c r="AH1609" i="79"/>
  <c r="AH1612" i="79"/>
  <c r="AI1712" i="79"/>
  <c r="AI1487" i="79"/>
  <c r="AI1513" i="79"/>
  <c r="AI1784" i="79"/>
  <c r="AI1816" i="79" s="1"/>
  <c r="AI1817" i="79" s="1"/>
  <c r="AI1565" i="79"/>
  <c r="AI1928" i="79"/>
  <c r="AI1960" i="79" s="1"/>
  <c r="AI1961" i="79" s="1"/>
  <c r="AG1964" i="79"/>
  <c r="AG1995" i="79" s="1"/>
  <c r="AG1996" i="79" s="1"/>
  <c r="AG1578" i="79"/>
  <c r="AG1820" i="79"/>
  <c r="AG1852" i="79" s="1"/>
  <c r="AG1853" i="79" s="1"/>
  <c r="AG1526" i="79"/>
  <c r="AG1487" i="79"/>
  <c r="AG1712" i="79"/>
  <c r="J1488" i="79"/>
  <c r="J1489" i="79"/>
  <c r="J1540" i="79"/>
  <c r="J1541" i="79"/>
  <c r="L1565" i="79"/>
  <c r="L1928" i="79"/>
  <c r="L1960" i="79" s="1"/>
  <c r="L1961" i="79" s="1"/>
  <c r="L1748" i="79"/>
  <c r="L1500" i="79"/>
  <c r="L1856" i="79"/>
  <c r="L1539" i="79"/>
  <c r="O233" i="74"/>
  <c r="N245" i="74"/>
  <c r="AM1596" i="79"/>
  <c r="AM1599" i="79"/>
  <c r="AH1520" i="79"/>
  <c r="AH1517" i="79"/>
  <c r="M1928" i="79"/>
  <c r="M1960" i="79" s="1"/>
  <c r="M1961" i="79" s="1"/>
  <c r="M1565" i="79"/>
  <c r="M1964" i="79"/>
  <c r="M1995" i="79" s="1"/>
  <c r="M1996" i="79" s="1"/>
  <c r="M1578" i="79"/>
  <c r="M1500" i="79"/>
  <c r="M1748" i="79"/>
  <c r="O602" i="73"/>
  <c r="O589" i="73"/>
  <c r="O595" i="73" s="1"/>
  <c r="P280" i="73"/>
  <c r="Q265" i="73"/>
  <c r="Q279" i="73" s="1"/>
  <c r="O601" i="73"/>
  <c r="O588" i="73"/>
  <c r="O594" i="73" s="1"/>
  <c r="P303" i="73"/>
  <c r="Q287" i="73"/>
  <c r="Q302" i="73" s="1"/>
  <c r="J228" i="85"/>
  <c r="J229" i="85"/>
  <c r="K204" i="85"/>
  <c r="K202" i="85"/>
  <c r="L51" i="85"/>
  <c r="L54" i="85" s="1"/>
  <c r="M63" i="85"/>
  <c r="L82" i="85"/>
  <c r="M62" i="85"/>
  <c r="L79" i="85"/>
  <c r="M157" i="73"/>
  <c r="L174" i="73"/>
  <c r="M240" i="73"/>
  <c r="L258" i="73"/>
  <c r="K462" i="73"/>
  <c r="K554" i="73"/>
  <c r="K555" i="73" s="1"/>
  <c r="K556" i="73"/>
  <c r="M185" i="73"/>
  <c r="L202" i="73"/>
  <c r="M239" i="73"/>
  <c r="L255" i="73"/>
  <c r="L462" i="73"/>
  <c r="Q86" i="73"/>
  <c r="Q453" i="73" s="1"/>
  <c r="Q455" i="73" s="1"/>
  <c r="O473" i="73"/>
  <c r="Q473" i="73" s="1"/>
  <c r="M333" i="73"/>
  <c r="M332" i="73"/>
  <c r="L346" i="73"/>
  <c r="M232" i="73"/>
  <c r="M460" i="73" s="1"/>
  <c r="N228" i="73"/>
  <c r="N231" i="73" s="1"/>
  <c r="O213" i="73" s="1"/>
  <c r="CJ1168" i="64"/>
  <c r="CZ1168" i="64" s="1"/>
  <c r="CJ1127" i="64"/>
  <c r="CZ1127" i="64" s="1"/>
  <c r="CX1070" i="64"/>
  <c r="DN1070" i="64" s="1"/>
  <c r="Q511" i="64"/>
  <c r="F38" i="71" s="1"/>
  <c r="P682" i="64"/>
  <c r="CJ1148" i="64"/>
  <c r="CZ1148" i="64" s="1"/>
  <c r="CX1069" i="64"/>
  <c r="DN1069" i="64" s="1"/>
  <c r="O388" i="77"/>
  <c r="CJ1181" i="64"/>
  <c r="CZ1181" i="64" s="1"/>
  <c r="CJ1179" i="64"/>
  <c r="CZ1179" i="64" s="1"/>
  <c r="Q569" i="64"/>
  <c r="J39" i="71" s="1"/>
  <c r="CJ1144" i="64"/>
  <c r="CZ1144" i="64" s="1"/>
  <c r="R369" i="64"/>
  <c r="Q753" i="64"/>
  <c r="J32" i="71" s="1"/>
  <c r="N1463" i="79"/>
  <c r="N1462" i="79"/>
  <c r="CJ1162" i="64"/>
  <c r="CZ1162" i="64" s="1"/>
  <c r="R290" i="64"/>
  <c r="DM1071" i="64"/>
  <c r="AL1746" i="79"/>
  <c r="CJ1156" i="64"/>
  <c r="CZ1156" i="64" s="1"/>
  <c r="N1538" i="79"/>
  <c r="G12" i="71"/>
  <c r="C13" i="71"/>
  <c r="C12" i="71" s="1"/>
  <c r="F1441" i="79"/>
  <c r="H1441" i="79"/>
  <c r="Q1441" i="79"/>
  <c r="AD718" i="64"/>
  <c r="AD747" i="64"/>
  <c r="AD724" i="64"/>
  <c r="AD817" i="64"/>
  <c r="AD868" i="64"/>
  <c r="AD677" i="64"/>
  <c r="Q699" i="64"/>
  <c r="R187" i="64" s="1"/>
  <c r="Q701" i="64"/>
  <c r="R189" i="64" s="1"/>
  <c r="Q703" i="64"/>
  <c r="R191" i="64" s="1"/>
  <c r="AD744" i="64"/>
  <c r="AD676" i="64"/>
  <c r="AD685" i="64"/>
  <c r="AD785" i="64"/>
  <c r="Q672" i="64"/>
  <c r="F31" i="71" s="1"/>
  <c r="Q674" i="64"/>
  <c r="Q677" i="64"/>
  <c r="Q679" i="64"/>
  <c r="Q715" i="64"/>
  <c r="AD714" i="64"/>
  <c r="AD746" i="64"/>
  <c r="AD686" i="64"/>
  <c r="Q708" i="64"/>
  <c r="Q722" i="64"/>
  <c r="Q684" i="64"/>
  <c r="R173" i="64" s="1"/>
  <c r="Q686" i="64"/>
  <c r="R175" i="64" s="1"/>
  <c r="Q688" i="64"/>
  <c r="R177" i="64" s="1"/>
  <c r="Q690" i="64"/>
  <c r="R179" i="64" s="1"/>
  <c r="Q692" i="64"/>
  <c r="R181" i="64" s="1"/>
  <c r="Q694" i="64"/>
  <c r="R183" i="64" s="1"/>
  <c r="Q673" i="64"/>
  <c r="Q678" i="64"/>
  <c r="Q685" i="64"/>
  <c r="R174" i="64" s="1"/>
  <c r="Q689" i="64"/>
  <c r="R178" i="64" s="1"/>
  <c r="Q693" i="64"/>
  <c r="R182" i="64" s="1"/>
  <c r="Q714" i="64"/>
  <c r="Q721" i="64"/>
  <c r="Q698" i="64"/>
  <c r="Q702" i="64"/>
  <c r="R190" i="64" s="1"/>
  <c r="Q709" i="64"/>
  <c r="R196" i="64" s="1"/>
  <c r="AD794" i="64"/>
  <c r="Q717" i="64"/>
  <c r="Q676" i="64"/>
  <c r="Q683" i="64"/>
  <c r="Q687" i="64"/>
  <c r="R176" i="64" s="1"/>
  <c r="Q691" i="64"/>
  <c r="R180" i="64" s="1"/>
  <c r="Q695" i="64"/>
  <c r="R184" i="64" s="1"/>
  <c r="Q716" i="64"/>
  <c r="Q700" i="64"/>
  <c r="R188" i="64" s="1"/>
  <c r="Q704" i="64"/>
  <c r="R192" i="64" s="1"/>
  <c r="AD757" i="64"/>
  <c r="AD796" i="64"/>
  <c r="AD795" i="64"/>
  <c r="AD755" i="64"/>
  <c r="AD828" i="64"/>
  <c r="AD819" i="64"/>
  <c r="AD821" i="64"/>
  <c r="AD823" i="64"/>
  <c r="AD829" i="64"/>
  <c r="AC1045" i="64"/>
  <c r="AC1041" i="64"/>
  <c r="AC1042" i="64"/>
  <c r="AC1039" i="64"/>
  <c r="AC1043" i="64"/>
  <c r="AC1044" i="64"/>
  <c r="AC1038" i="64"/>
  <c r="AC1040" i="64"/>
  <c r="AC1028" i="64"/>
  <c r="AC1033" i="64"/>
  <c r="AC983" i="64"/>
  <c r="AC1004" i="64"/>
  <c r="AC999" i="64"/>
  <c r="AC1006" i="64"/>
  <c r="AC1012" i="64"/>
  <c r="AC1020" i="64"/>
  <c r="AC1003" i="64"/>
  <c r="AC985" i="64"/>
  <c r="AC988" i="64"/>
  <c r="AC1001" i="64"/>
  <c r="AC1009" i="64"/>
  <c r="AC1014" i="64"/>
  <c r="AC1025" i="64"/>
  <c r="AC1032" i="64"/>
  <c r="AC1026" i="64"/>
  <c r="AC987" i="64"/>
  <c r="AC1027" i="64"/>
  <c r="AC1005" i="64"/>
  <c r="AC1000" i="64"/>
  <c r="AC997" i="64"/>
  <c r="AC1019" i="64"/>
  <c r="AC1010" i="64"/>
  <c r="AC995" i="64"/>
  <c r="AC996" i="64"/>
  <c r="AC989" i="64"/>
  <c r="AC994" i="64"/>
  <c r="AC984" i="64"/>
  <c r="AC1013" i="64"/>
  <c r="AC1015" i="64"/>
  <c r="AC1011" i="64"/>
  <c r="AC990" i="64"/>
  <c r="AC998" i="64"/>
  <c r="AC1002" i="64"/>
  <c r="AP790" i="64"/>
  <c r="BC790" i="64"/>
  <c r="AP756" i="64"/>
  <c r="BC756" i="64"/>
  <c r="BC792" i="64"/>
  <c r="AP792" i="64"/>
  <c r="Q261" i="64"/>
  <c r="Q202" i="64"/>
  <c r="BC716" i="64"/>
  <c r="AP716" i="64"/>
  <c r="AP725" i="64"/>
  <c r="BC725" i="64"/>
  <c r="BC679" i="64"/>
  <c r="AP679" i="64"/>
  <c r="BC817" i="64"/>
  <c r="AP817" i="64"/>
  <c r="P713" i="64"/>
  <c r="Q195" i="64"/>
  <c r="BC724" i="64"/>
  <c r="AP724" i="64"/>
  <c r="BC676" i="64"/>
  <c r="AP676" i="64"/>
  <c r="Q260" i="64"/>
  <c r="Q201" i="64"/>
  <c r="CJ1172" i="64"/>
  <c r="CZ1172" i="64" s="1"/>
  <c r="CX1099" i="64"/>
  <c r="DN1099" i="64" s="1"/>
  <c r="CX1084" i="64"/>
  <c r="DN1084" i="64" s="1"/>
  <c r="AJ1527" i="79"/>
  <c r="AJ1528" i="79"/>
  <c r="AL1640" i="79"/>
  <c r="AL1461" i="79"/>
  <c r="AL1463" i="79" s="1"/>
  <c r="CX1071" i="64"/>
  <c r="DN1071" i="64" s="1"/>
  <c r="CJ1131" i="64"/>
  <c r="CZ1131" i="64" s="1"/>
  <c r="CY1182" i="64"/>
  <c r="CY1129" i="64"/>
  <c r="DM1113" i="64"/>
  <c r="P1638" i="79"/>
  <c r="O1997" i="79"/>
  <c r="O1854" i="79"/>
  <c r="O1890" i="79"/>
  <c r="BB737" i="64"/>
  <c r="P121" i="64"/>
  <c r="AE612" i="77"/>
  <c r="M1015" i="64"/>
  <c r="M1086" i="64" s="1"/>
  <c r="M1004" i="64"/>
  <c r="M1075" i="64" s="1"/>
  <c r="CX1091" i="64"/>
  <c r="CX1101" i="64"/>
  <c r="DN1101" i="64" s="1"/>
  <c r="CX1064" i="64"/>
  <c r="DN1064" i="64" s="1"/>
  <c r="CX1059" i="64"/>
  <c r="CJ1160" i="64"/>
  <c r="CZ1160" i="64" s="1"/>
  <c r="DM1062" i="64"/>
  <c r="DM1114" i="64"/>
  <c r="O387" i="77"/>
  <c r="AK1564" i="79"/>
  <c r="AK1964" i="79"/>
  <c r="AK1995" i="79" s="1"/>
  <c r="AK1996" i="79" s="1"/>
  <c r="AK1578" i="79"/>
  <c r="AK1500" i="79"/>
  <c r="AK1748" i="79"/>
  <c r="O627" i="64"/>
  <c r="O630" i="64" s="1"/>
  <c r="Q746" i="64"/>
  <c r="AR1039" i="64"/>
  <c r="AR1043" i="64"/>
  <c r="AR1040" i="64"/>
  <c r="AR1045" i="64"/>
  <c r="AR1041" i="64"/>
  <c r="AR1044" i="64"/>
  <c r="AR1037" i="64"/>
  <c r="N1037" i="64" s="1"/>
  <c r="N1108" i="64" s="1"/>
  <c r="AR1024" i="64"/>
  <c r="N1024" i="64" s="1"/>
  <c r="N1095" i="64" s="1"/>
  <c r="AR1038" i="64"/>
  <c r="AR1042" i="64"/>
  <c r="AR1018" i="64"/>
  <c r="N1018" i="64" s="1"/>
  <c r="N1089" i="64" s="1"/>
  <c r="AR983" i="64"/>
  <c r="AR999" i="64"/>
  <c r="AR1004" i="64"/>
  <c r="AR985" i="64"/>
  <c r="AR1003" i="64"/>
  <c r="AR1020" i="64"/>
  <c r="AR1006" i="64"/>
  <c r="AR1031" i="64"/>
  <c r="N1031" i="64" s="1"/>
  <c r="N1102" i="64" s="1"/>
  <c r="AR1028" i="64"/>
  <c r="AR1033" i="64"/>
  <c r="AR1012" i="64"/>
  <c r="AR994" i="64"/>
  <c r="AR1005" i="64"/>
  <c r="AR1019" i="64"/>
  <c r="AR997" i="64"/>
  <c r="AR1010" i="64"/>
  <c r="AR1027" i="64"/>
  <c r="AR1013" i="64"/>
  <c r="AR984" i="64"/>
  <c r="AR1025" i="64"/>
  <c r="AR1026" i="64"/>
  <c r="AR987" i="64"/>
  <c r="AR989" i="64"/>
  <c r="AR995" i="64"/>
  <c r="AR988" i="64"/>
  <c r="AR990" i="64"/>
  <c r="AR996" i="64"/>
  <c r="AR1000" i="64"/>
  <c r="AR1002" i="64"/>
  <c r="AR998" i="64"/>
  <c r="AR1032" i="64"/>
  <c r="AR1001" i="64"/>
  <c r="AR1014" i="64"/>
  <c r="AR1009" i="64"/>
  <c r="AR1015" i="64"/>
  <c r="AR1011" i="64"/>
  <c r="CX1077" i="64"/>
  <c r="DN1077" i="64" s="1"/>
  <c r="CX1054" i="64"/>
  <c r="DN1054" i="64" s="1"/>
  <c r="CJ1155" i="64"/>
  <c r="CX1062" i="64"/>
  <c r="DN1062" i="64" s="1"/>
  <c r="CJ1169" i="64"/>
  <c r="CZ1169" i="64" s="1"/>
  <c r="CX1068" i="64"/>
  <c r="DN1068" i="64" s="1"/>
  <c r="AL1818" i="79"/>
  <c r="AL206" i="79"/>
  <c r="AL1512" i="79" s="1"/>
  <c r="AL247" i="79"/>
  <c r="AL1525" i="79" s="1"/>
  <c r="AL452" i="79"/>
  <c r="AL288" i="79"/>
  <c r="AL1538" i="79" s="1"/>
  <c r="AL493" i="79"/>
  <c r="AL1603" i="79" s="1"/>
  <c r="AL165" i="79"/>
  <c r="AL329" i="79"/>
  <c r="AL1551" i="79" s="1"/>
  <c r="AL124" i="79"/>
  <c r="AL370" i="79"/>
  <c r="AL1564" i="79" s="1"/>
  <c r="AL411" i="79"/>
  <c r="CJ1178" i="64"/>
  <c r="DM1063" i="64"/>
  <c r="N1603" i="79"/>
  <c r="DM1054" i="64"/>
  <c r="DM1058" i="64"/>
  <c r="DM1112" i="64"/>
  <c r="CY1193" i="64"/>
  <c r="AL1962" i="79"/>
  <c r="AL1890" i="79"/>
  <c r="AL1710" i="79"/>
  <c r="CX1115" i="64"/>
  <c r="CJ1150" i="64"/>
  <c r="CZ1150" i="64" s="1"/>
  <c r="CX1057" i="64"/>
  <c r="CX1097" i="64"/>
  <c r="DM1074" i="64"/>
  <c r="CY1164" i="64"/>
  <c r="AK1595" i="79"/>
  <c r="AK1598" i="79"/>
  <c r="N1525" i="79"/>
  <c r="N1577" i="79"/>
  <c r="N1473" i="79"/>
  <c r="AY1070" i="64"/>
  <c r="CL1108" i="64"/>
  <c r="AL1112" i="64"/>
  <c r="BL1070" i="64"/>
  <c r="AK1190" i="64"/>
  <c r="Y1117" i="64"/>
  <c r="BL1108" i="64"/>
  <c r="AL1083" i="64"/>
  <c r="Y1054" i="64"/>
  <c r="BK1127" i="64"/>
  <c r="BK1148" i="64"/>
  <c r="BX1143" i="64"/>
  <c r="BL1054" i="64"/>
  <c r="BL1117" i="64"/>
  <c r="BX1181" i="64"/>
  <c r="AX1127" i="64"/>
  <c r="K1127" i="64"/>
  <c r="BY1075" i="64"/>
  <c r="BY1070" i="64"/>
  <c r="BX1127" i="64"/>
  <c r="CL1054" i="64"/>
  <c r="AX1148" i="64"/>
  <c r="AK1189" i="64"/>
  <c r="BX1130" i="64"/>
  <c r="BX1187" i="64"/>
  <c r="AX1187" i="64"/>
  <c r="AY1079" i="64"/>
  <c r="AY1054" i="64"/>
  <c r="K1189" i="64"/>
  <c r="K1137" i="64"/>
  <c r="AL1064" i="64"/>
  <c r="K1140" i="64"/>
  <c r="AX1140" i="64"/>
  <c r="AY1117" i="64"/>
  <c r="AL1058" i="64"/>
  <c r="Y1058" i="64"/>
  <c r="BK1131" i="64"/>
  <c r="AY1058" i="64"/>
  <c r="X1184" i="64"/>
  <c r="AY1110" i="64"/>
  <c r="BY1110" i="64"/>
  <c r="BY1111" i="64"/>
  <c r="AL1079" i="64"/>
  <c r="AX1137" i="64"/>
  <c r="K1188" i="64"/>
  <c r="AL1115" i="64"/>
  <c r="AK1188" i="64"/>
  <c r="Y1056" i="64"/>
  <c r="AY1101" i="64"/>
  <c r="AK1167" i="64"/>
  <c r="AX1167" i="64"/>
  <c r="Y1084" i="64"/>
  <c r="K1157" i="64"/>
  <c r="BX1151" i="64"/>
  <c r="BX1172" i="64"/>
  <c r="K1172" i="64"/>
  <c r="BY1069" i="64"/>
  <c r="CL1069" i="64"/>
  <c r="CL1105" i="64"/>
  <c r="BY1105" i="64"/>
  <c r="BK1178" i="64"/>
  <c r="Y1059" i="64"/>
  <c r="AX1132" i="64"/>
  <c r="BX1132" i="64"/>
  <c r="X1181" i="64"/>
  <c r="AY1076" i="64"/>
  <c r="BY1076" i="64"/>
  <c r="CL1076" i="64"/>
  <c r="K1149" i="64"/>
  <c r="K1147" i="64"/>
  <c r="X1173" i="64"/>
  <c r="AY1100" i="64"/>
  <c r="BK1137" i="64"/>
  <c r="X1194" i="64"/>
  <c r="BX1192" i="64"/>
  <c r="BK1183" i="64"/>
  <c r="AY1116" i="64"/>
  <c r="AX1189" i="64"/>
  <c r="Y1110" i="64"/>
  <c r="BX1137" i="64"/>
  <c r="AK1144" i="64"/>
  <c r="K1144" i="64"/>
  <c r="AX1144" i="64"/>
  <c r="X1144" i="64"/>
  <c r="AL1071" i="64"/>
  <c r="X1129" i="64"/>
  <c r="Y1093" i="64"/>
  <c r="AK1166" i="64"/>
  <c r="X1166" i="64"/>
  <c r="AL1097" i="64"/>
  <c r="X1170" i="64"/>
  <c r="BK1158" i="64"/>
  <c r="CL1085" i="64"/>
  <c r="BX1158" i="64"/>
  <c r="BX1182" i="64"/>
  <c r="BK1136" i="64"/>
  <c r="BX1136" i="64"/>
  <c r="AX1136" i="64"/>
  <c r="AL1063" i="64"/>
  <c r="BK1167" i="64"/>
  <c r="AK1182" i="64"/>
  <c r="K1193" i="64"/>
  <c r="BK1168" i="64"/>
  <c r="AL1113" i="64"/>
  <c r="BL1120" i="64"/>
  <c r="AX1162" i="64"/>
  <c r="AY1095" i="64"/>
  <c r="BY1120" i="64"/>
  <c r="X1162" i="64"/>
  <c r="BX1186" i="64"/>
  <c r="AY1113" i="64"/>
  <c r="X1193" i="64"/>
  <c r="AK1162" i="64"/>
  <c r="AK1186" i="64"/>
  <c r="BK1154" i="64"/>
  <c r="BL1081" i="64"/>
  <c r="BX1154" i="64"/>
  <c r="AX1154" i="64"/>
  <c r="BY1081" i="64"/>
  <c r="BX1148" i="64"/>
  <c r="CL1075" i="64"/>
  <c r="X1130" i="64"/>
  <c r="AX1188" i="64"/>
  <c r="CL1110" i="64"/>
  <c r="BK1140" i="64"/>
  <c r="BL1067" i="64"/>
  <c r="K1174" i="64"/>
  <c r="X1143" i="64"/>
  <c r="BX1131" i="64"/>
  <c r="K1131" i="64"/>
  <c r="BY1058" i="64"/>
  <c r="AK1131" i="64"/>
  <c r="AK1148" i="64"/>
  <c r="X1192" i="64"/>
  <c r="AX1152" i="64"/>
  <c r="AK1183" i="64"/>
  <c r="CL1119" i="64"/>
  <c r="AY1057" i="64"/>
  <c r="BK1184" i="64"/>
  <c r="BL1079" i="64"/>
  <c r="BL1114" i="64"/>
  <c r="AK1192" i="64"/>
  <c r="AX1174" i="64"/>
  <c r="AL1117" i="64"/>
  <c r="X1167" i="64"/>
  <c r="BX1157" i="64"/>
  <c r="AX1157" i="64"/>
  <c r="BK1157" i="64"/>
  <c r="BL1084" i="64"/>
  <c r="AL1084" i="64"/>
  <c r="K1142" i="64"/>
  <c r="AK1142" i="64"/>
  <c r="AX1142" i="64"/>
  <c r="AX1177" i="64"/>
  <c r="BX1178" i="64"/>
  <c r="BY1059" i="64"/>
  <c r="BL1059" i="64"/>
  <c r="X1132" i="64"/>
  <c r="Y1108" i="64"/>
  <c r="BK1190" i="64"/>
  <c r="Y1076" i="64"/>
  <c r="BK1149" i="64"/>
  <c r="AK1164" i="64"/>
  <c r="CL1100" i="64"/>
  <c r="BY1100" i="64"/>
  <c r="BK1173" i="64"/>
  <c r="K1173" i="64"/>
  <c r="AL1057" i="64"/>
  <c r="BY1112" i="64"/>
  <c r="BL1115" i="64"/>
  <c r="BX1194" i="64"/>
  <c r="CL1114" i="64"/>
  <c r="AK1194" i="64"/>
  <c r="Y1118" i="64"/>
  <c r="X1185" i="64"/>
  <c r="AY1071" i="64"/>
  <c r="BK1144" i="64"/>
  <c r="BL1071" i="64"/>
  <c r="BY1056" i="64"/>
  <c r="K1166" i="64"/>
  <c r="CL1093" i="64"/>
  <c r="BX1166" i="64"/>
  <c r="K1170" i="64"/>
  <c r="AK1170" i="64"/>
  <c r="AX1170" i="64"/>
  <c r="BY1097" i="64"/>
  <c r="AX1181" i="64"/>
  <c r="BL1085" i="64"/>
  <c r="AL1085" i="64"/>
  <c r="X1158" i="64"/>
  <c r="AK1136" i="64"/>
  <c r="Y1063" i="64"/>
  <c r="CL1063" i="64"/>
  <c r="BL1063" i="64"/>
  <c r="X1136" i="64"/>
  <c r="BL1109" i="64"/>
  <c r="BK1162" i="64"/>
  <c r="BX1168" i="64"/>
  <c r="BK1186" i="64"/>
  <c r="CL1089" i="64"/>
  <c r="BL1095" i="64"/>
  <c r="BL1113" i="64"/>
  <c r="BK1193" i="64"/>
  <c r="AL1095" i="64"/>
  <c r="CL1113" i="64"/>
  <c r="CL1109" i="64"/>
  <c r="AY1120" i="64"/>
  <c r="AY1089" i="64"/>
  <c r="BK1175" i="64"/>
  <c r="CL1081" i="64"/>
  <c r="Y1081" i="64"/>
  <c r="AY1081" i="64"/>
  <c r="X1154" i="64"/>
  <c r="X1172" i="64"/>
  <c r="BL1104" i="64"/>
  <c r="AL1105" i="64"/>
  <c r="AY1077" i="64"/>
  <c r="Y1070" i="64"/>
  <c r="Y1064" i="64"/>
  <c r="BL1110" i="64"/>
  <c r="AX1183" i="64"/>
  <c r="AK1140" i="64"/>
  <c r="Y1067" i="64"/>
  <c r="X1140" i="64"/>
  <c r="CL1067" i="64"/>
  <c r="Y1101" i="64"/>
  <c r="AK1127" i="64"/>
  <c r="X1127" i="64"/>
  <c r="AX1131" i="64"/>
  <c r="X1131" i="64"/>
  <c r="AY1114" i="64"/>
  <c r="AX1192" i="64"/>
  <c r="AK1191" i="64"/>
  <c r="AK1137" i="64"/>
  <c r="AY1112" i="64"/>
  <c r="BK1188" i="64"/>
  <c r="CL1064" i="64"/>
  <c r="X1137" i="64"/>
  <c r="K1129" i="64"/>
  <c r="AK1129" i="64"/>
  <c r="CL1056" i="64"/>
  <c r="BX1174" i="64"/>
  <c r="X1174" i="64"/>
  <c r="CL1117" i="64"/>
  <c r="AY1094" i="64"/>
  <c r="X1157" i="64"/>
  <c r="BY1084" i="64"/>
  <c r="CL1084" i="64"/>
  <c r="AY1078" i="64"/>
  <c r="AY1102" i="64"/>
  <c r="AL1102" i="64"/>
  <c r="BK1142" i="64"/>
  <c r="AY1069" i="64"/>
  <c r="X1142" i="64"/>
  <c r="BL1069" i="64"/>
  <c r="AK1177" i="64"/>
  <c r="AK1132" i="64"/>
  <c r="K1132" i="64"/>
  <c r="AL1059" i="64"/>
  <c r="AL1108" i="64"/>
  <c r="X1190" i="64"/>
  <c r="X1150" i="64"/>
  <c r="BL1077" i="64"/>
  <c r="BX1149" i="64"/>
  <c r="BL1076" i="64"/>
  <c r="AL1076" i="64"/>
  <c r="BL1091" i="64"/>
  <c r="BL1100" i="64"/>
  <c r="AK1173" i="64"/>
  <c r="AL1100" i="64"/>
  <c r="BY1114" i="64"/>
  <c r="Y1115" i="64"/>
  <c r="BY1115" i="64"/>
  <c r="CL1079" i="64"/>
  <c r="BK1152" i="64"/>
  <c r="K1192" i="64"/>
  <c r="AL1119" i="64"/>
  <c r="X1189" i="64"/>
  <c r="Y1071" i="64"/>
  <c r="BX1144" i="64"/>
  <c r="BK1166" i="64"/>
  <c r="AL1093" i="64"/>
  <c r="BY1093" i="64"/>
  <c r="BK1170" i="64"/>
  <c r="BL1097" i="64"/>
  <c r="BX1170" i="64"/>
  <c r="K1181" i="64"/>
  <c r="Y1085" i="64"/>
  <c r="BY1085" i="64"/>
  <c r="AY1085" i="64"/>
  <c r="AX1158" i="64"/>
  <c r="BK1182" i="64"/>
  <c r="AY1063" i="64"/>
  <c r="BY1063" i="64"/>
  <c r="CL1120" i="64"/>
  <c r="BL1089" i="64"/>
  <c r="Y1095" i="64"/>
  <c r="AX1186" i="64"/>
  <c r="Y1089" i="64"/>
  <c r="CL1095" i="64"/>
  <c r="BX1193" i="64"/>
  <c r="AL1089" i="64"/>
  <c r="X1168" i="64"/>
  <c r="X1186" i="64"/>
  <c r="BY1109" i="64"/>
  <c r="AL1120" i="64"/>
  <c r="K1168" i="64"/>
  <c r="BK1181" i="64"/>
  <c r="BK1151" i="64"/>
  <c r="K1175" i="64"/>
  <c r="BL1102" i="64"/>
  <c r="CL1102" i="64"/>
  <c r="AL1081" i="64"/>
  <c r="AY1109" i="64"/>
  <c r="AL1104" i="64"/>
  <c r="X1177" i="64"/>
  <c r="AX1178" i="64"/>
  <c r="BY1077" i="64"/>
  <c r="AX1139" i="64"/>
  <c r="AL1066" i="64"/>
  <c r="Y1066" i="64"/>
  <c r="BY1074" i="64"/>
  <c r="BL1086" i="64"/>
  <c r="BY1086" i="64"/>
  <c r="AL1054" i="64"/>
  <c r="CL1070" i="64"/>
  <c r="X1152" i="64"/>
  <c r="BK1189" i="64"/>
  <c r="BX1183" i="64"/>
  <c r="AY1067" i="64"/>
  <c r="BY1067" i="64"/>
  <c r="BY1054" i="64"/>
  <c r="BY1079" i="64"/>
  <c r="AL1114" i="64"/>
  <c r="AK1157" i="64"/>
  <c r="AL1069" i="64"/>
  <c r="CL1104" i="64"/>
  <c r="BK1132" i="64"/>
  <c r="BX1190" i="64"/>
  <c r="AX1173" i="64"/>
  <c r="BY1064" i="64"/>
  <c r="BL1064" i="64"/>
  <c r="BK1194" i="64"/>
  <c r="AX1166" i="64"/>
  <c r="BX1167" i="64"/>
  <c r="AK1168" i="64"/>
  <c r="BY1095" i="64"/>
  <c r="Y1113" i="64"/>
  <c r="X1139" i="64"/>
  <c r="BY1066" i="64"/>
  <c r="AY1066" i="64"/>
  <c r="AK1139" i="64"/>
  <c r="BX1147" i="64"/>
  <c r="BY1091" i="64"/>
  <c r="BK1164" i="64"/>
  <c r="AX1159" i="64"/>
  <c r="Y1083" i="64"/>
  <c r="X1156" i="64"/>
  <c r="CL1083" i="64"/>
  <c r="BY1108" i="64"/>
  <c r="BK1143" i="64"/>
  <c r="AX1143" i="64"/>
  <c r="BX1188" i="64"/>
  <c r="K1183" i="64"/>
  <c r="AX1194" i="64"/>
  <c r="AK1185" i="64"/>
  <c r="K1130" i="64"/>
  <c r="X1191" i="64"/>
  <c r="CL1112" i="64"/>
  <c r="AK1152" i="64"/>
  <c r="AL1087" i="64"/>
  <c r="Y1087" i="64"/>
  <c r="BK1129" i="64"/>
  <c r="AX1129" i="64"/>
  <c r="BK1174" i="64"/>
  <c r="K1134" i="64"/>
  <c r="CL1061" i="64"/>
  <c r="AL1062" i="64"/>
  <c r="BK1135" i="64"/>
  <c r="AX1179" i="64"/>
  <c r="CL1106" i="64"/>
  <c r="BX1169" i="64"/>
  <c r="Y1096" i="64"/>
  <c r="CL1060" i="64"/>
  <c r="AX1133" i="64"/>
  <c r="K1128" i="64"/>
  <c r="AY1108" i="64"/>
  <c r="BY1102" i="64"/>
  <c r="AL1107" i="64"/>
  <c r="K1180" i="64"/>
  <c r="Y1107" i="64"/>
  <c r="BX1165" i="64"/>
  <c r="Y1092" i="64"/>
  <c r="K1165" i="64"/>
  <c r="CL1092" i="64"/>
  <c r="BY1099" i="64"/>
  <c r="AY1099" i="64"/>
  <c r="AL1099" i="64"/>
  <c r="AL1090" i="64"/>
  <c r="AK1163" i="64"/>
  <c r="K1177" i="64"/>
  <c r="Y1104" i="64"/>
  <c r="Y1105" i="64"/>
  <c r="Y1073" i="64"/>
  <c r="CL1077" i="64"/>
  <c r="BX1164" i="64"/>
  <c r="AK1143" i="64"/>
  <c r="CL1058" i="64"/>
  <c r="BL1075" i="64"/>
  <c r="AY1115" i="64"/>
  <c r="BK1192" i="64"/>
  <c r="AY1084" i="64"/>
  <c r="Y1069" i="64"/>
  <c r="X1149" i="64"/>
  <c r="Y1100" i="64"/>
  <c r="AX1184" i="64"/>
  <c r="AX1185" i="64"/>
  <c r="CL1071" i="64"/>
  <c r="BL1056" i="64"/>
  <c r="BL1093" i="64"/>
  <c r="Y1097" i="64"/>
  <c r="AK1158" i="64"/>
  <c r="K1136" i="64"/>
  <c r="K1186" i="64"/>
  <c r="AX1193" i="64"/>
  <c r="AX1182" i="64"/>
  <c r="AK1154" i="64"/>
  <c r="AL1077" i="64"/>
  <c r="BL1066" i="64"/>
  <c r="CL1066" i="64"/>
  <c r="CL1086" i="64"/>
  <c r="K1159" i="64"/>
  <c r="BX1156" i="64"/>
  <c r="K1156" i="64"/>
  <c r="AL1075" i="64"/>
  <c r="BY1118" i="64"/>
  <c r="Y1079" i="64"/>
  <c r="BL1057" i="64"/>
  <c r="CL1057" i="64"/>
  <c r="K1187" i="64"/>
  <c r="BL1118" i="64"/>
  <c r="K1152" i="64"/>
  <c r="Y1057" i="64"/>
  <c r="BX1185" i="64"/>
  <c r="K1160" i="64"/>
  <c r="BY1087" i="64"/>
  <c r="AX1160" i="64"/>
  <c r="BY1101" i="64"/>
  <c r="BK1134" i="64"/>
  <c r="AK1134" i="64"/>
  <c r="X1134" i="64"/>
  <c r="AX1134" i="64"/>
  <c r="BX1135" i="64"/>
  <c r="BY1062" i="64"/>
  <c r="BL1106" i="64"/>
  <c r="AL1106" i="64"/>
  <c r="K1179" i="64"/>
  <c r="AY1106" i="64"/>
  <c r="X1169" i="64"/>
  <c r="BL1096" i="64"/>
  <c r="BK1169" i="64"/>
  <c r="AL1060" i="64"/>
  <c r="BL1060" i="64"/>
  <c r="AK1133" i="64"/>
  <c r="AY1055" i="64"/>
  <c r="BK1128" i="64"/>
  <c r="AX1128" i="64"/>
  <c r="CL1078" i="64"/>
  <c r="AX1175" i="64"/>
  <c r="BK1180" i="64"/>
  <c r="AX1180" i="64"/>
  <c r="CL1107" i="64"/>
  <c r="BL1107" i="64"/>
  <c r="X1165" i="64"/>
  <c r="AX1165" i="64"/>
  <c r="BL1092" i="64"/>
  <c r="BK1165" i="64"/>
  <c r="AK1165" i="64"/>
  <c r="BL1099" i="64"/>
  <c r="BX1163" i="64"/>
  <c r="BK1163" i="64"/>
  <c r="AY1090" i="64"/>
  <c r="BK1177" i="64"/>
  <c r="BY1073" i="64"/>
  <c r="AK1146" i="64"/>
  <c r="AX1146" i="64"/>
  <c r="BK1147" i="64"/>
  <c r="AY1083" i="64"/>
  <c r="CL1115" i="64"/>
  <c r="CL1111" i="64"/>
  <c r="AK1130" i="64"/>
  <c r="Y1114" i="64"/>
  <c r="X1153" i="64"/>
  <c r="AY1080" i="64"/>
  <c r="AL1080" i="64"/>
  <c r="BY1117" i="64"/>
  <c r="K1167" i="64"/>
  <c r="AL1103" i="64"/>
  <c r="Y1103" i="64"/>
  <c r="X1176" i="64"/>
  <c r="AL1067" i="64"/>
  <c r="BX1140" i="64"/>
  <c r="K1185" i="64"/>
  <c r="CL1116" i="64"/>
  <c r="AK1172" i="64"/>
  <c r="CL1059" i="64"/>
  <c r="BK1156" i="64"/>
  <c r="BX1184" i="64"/>
  <c r="BL1119" i="64"/>
  <c r="BY1071" i="64"/>
  <c r="AY1093" i="64"/>
  <c r="CL1097" i="64"/>
  <c r="K1182" i="64"/>
  <c r="AK1193" i="64"/>
  <c r="BY1089" i="64"/>
  <c r="K1162" i="64"/>
  <c r="K1178" i="64"/>
  <c r="K1139" i="64"/>
  <c r="AY1091" i="64"/>
  <c r="AL1086" i="64"/>
  <c r="BX1159" i="64"/>
  <c r="AK1159" i="64"/>
  <c r="AY1086" i="64"/>
  <c r="K1143" i="64"/>
  <c r="AL1070" i="64"/>
  <c r="K1148" i="64"/>
  <c r="AL1116" i="64"/>
  <c r="Y1119" i="64"/>
  <c r="AX1130" i="64"/>
  <c r="BY1119" i="64"/>
  <c r="BL1111" i="64"/>
  <c r="X1183" i="64"/>
  <c r="AY1111" i="64"/>
  <c r="AL1110" i="64"/>
  <c r="BX1189" i="64"/>
  <c r="AK1160" i="64"/>
  <c r="BK1160" i="64"/>
  <c r="BX1160" i="64"/>
  <c r="BX1129" i="64"/>
  <c r="AL1101" i="64"/>
  <c r="Y1061" i="64"/>
  <c r="AY1061" i="64"/>
  <c r="AL1061" i="64"/>
  <c r="AX1135" i="64"/>
  <c r="X1135" i="64"/>
  <c r="AK1135" i="64"/>
  <c r="K1135" i="64"/>
  <c r="Y1106" i="64"/>
  <c r="BX1179" i="64"/>
  <c r="BY1106" i="64"/>
  <c r="BK1179" i="64"/>
  <c r="AK1179" i="64"/>
  <c r="BL1058" i="64"/>
  <c r="AY1075" i="64"/>
  <c r="BK1191" i="64"/>
  <c r="AK1184" i="64"/>
  <c r="K1190" i="64"/>
  <c r="BX1142" i="64"/>
  <c r="AY1059" i="64"/>
  <c r="AX1149" i="64"/>
  <c r="AK1149" i="64"/>
  <c r="X1147" i="64"/>
  <c r="BX1173" i="64"/>
  <c r="BY1083" i="64"/>
  <c r="Y1111" i="64"/>
  <c r="AL1118" i="64"/>
  <c r="AY1097" i="64"/>
  <c r="K1158" i="64"/>
  <c r="X1182" i="64"/>
  <c r="Y1120" i="64"/>
  <c r="BX1162" i="64"/>
  <c r="BY1113" i="64"/>
  <c r="AX1168" i="64"/>
  <c r="AL1078" i="64"/>
  <c r="K1154" i="64"/>
  <c r="BK1150" i="64"/>
  <c r="BX1139" i="64"/>
  <c r="BK1139" i="64"/>
  <c r="X1159" i="64"/>
  <c r="BK1159" i="64"/>
  <c r="Y1086" i="64"/>
  <c r="Y1075" i="64"/>
  <c r="AK1187" i="64"/>
  <c r="BK1187" i="64"/>
  <c r="X1188" i="64"/>
  <c r="AY1118" i="64"/>
  <c r="Y1112" i="64"/>
  <c r="X1187" i="64"/>
  <c r="BY1057" i="64"/>
  <c r="CL1118" i="64"/>
  <c r="K1194" i="64"/>
  <c r="BL1087" i="64"/>
  <c r="CL1087" i="64"/>
  <c r="AY1087" i="64"/>
  <c r="X1160" i="64"/>
  <c r="BL1101" i="64"/>
  <c r="BY1061" i="64"/>
  <c r="BX1134" i="64"/>
  <c r="BL1061" i="64"/>
  <c r="BL1062" i="64"/>
  <c r="CL1062" i="64"/>
  <c r="AY1062" i="64"/>
  <c r="Y1062" i="64"/>
  <c r="X1179" i="64"/>
  <c r="AY1096" i="64"/>
  <c r="CL1096" i="64"/>
  <c r="K1169" i="64"/>
  <c r="X1133" i="64"/>
  <c r="BY1060" i="64"/>
  <c r="Y1060" i="64"/>
  <c r="AL1094" i="64"/>
  <c r="AK1128" i="64"/>
  <c r="BY1055" i="64"/>
  <c r="CL1055" i="64"/>
  <c r="Y1078" i="64"/>
  <c r="X1175" i="64"/>
  <c r="AK1180" i="64"/>
  <c r="AY1107" i="64"/>
  <c r="BX1180" i="64"/>
  <c r="BL1090" i="64"/>
  <c r="CL1090" i="64"/>
  <c r="Y1090" i="64"/>
  <c r="BX1177" i="64"/>
  <c r="AY1105" i="64"/>
  <c r="BK1146" i="64"/>
  <c r="CL1073" i="64"/>
  <c r="AL1073" i="64"/>
  <c r="AX1190" i="64"/>
  <c r="K1150" i="64"/>
  <c r="Y1091" i="64"/>
  <c r="K1164" i="64"/>
  <c r="BK1185" i="64"/>
  <c r="BX1152" i="64"/>
  <c r="BY1116" i="64"/>
  <c r="K1184" i="64"/>
  <c r="BK1130" i="64"/>
  <c r="AK1153" i="64"/>
  <c r="Y1080" i="64"/>
  <c r="BK1153" i="64"/>
  <c r="X1161" i="64"/>
  <c r="AX1161" i="64"/>
  <c r="AL1088" i="64"/>
  <c r="K1161" i="64"/>
  <c r="Y1088" i="64"/>
  <c r="BK1161" i="64"/>
  <c r="Y1094" i="64"/>
  <c r="BL1094" i="64"/>
  <c r="BK1176" i="64"/>
  <c r="BY1103" i="64"/>
  <c r="CL1098" i="64"/>
  <c r="K1171" i="64"/>
  <c r="AY1098" i="64"/>
  <c r="K1151" i="64"/>
  <c r="AK1175" i="64"/>
  <c r="BX1175" i="64"/>
  <c r="AX1169" i="64"/>
  <c r="BX1133" i="64"/>
  <c r="AY1060" i="64"/>
  <c r="BL1055" i="64"/>
  <c r="AL1055" i="64"/>
  <c r="BY1078" i="64"/>
  <c r="BY1092" i="64"/>
  <c r="AL1074" i="64"/>
  <c r="X1148" i="64"/>
  <c r="AY1064" i="64"/>
  <c r="BL1116" i="64"/>
  <c r="CL1101" i="64"/>
  <c r="CL1080" i="64"/>
  <c r="BL1088" i="64"/>
  <c r="CL1094" i="64"/>
  <c r="CL1103" i="64"/>
  <c r="AL1098" i="64"/>
  <c r="AK1151" i="64"/>
  <c r="AX1151" i="64"/>
  <c r="AL1068" i="64"/>
  <c r="BL1068" i="64"/>
  <c r="BK1141" i="64"/>
  <c r="AK1141" i="64"/>
  <c r="Y1068" i="64"/>
  <c r="Y1099" i="64"/>
  <c r="BK1172" i="64"/>
  <c r="AY1104" i="64"/>
  <c r="X1178" i="64"/>
  <c r="BL1105" i="64"/>
  <c r="AK1181" i="64"/>
  <c r="AL1072" i="64"/>
  <c r="AK1145" i="64"/>
  <c r="Y1072" i="64"/>
  <c r="Y1077" i="64"/>
  <c r="X1164" i="64"/>
  <c r="CL1091" i="64"/>
  <c r="Y1065" i="64"/>
  <c r="AL1065" i="64"/>
  <c r="AX1155" i="64"/>
  <c r="AL1082" i="64"/>
  <c r="BY1082" i="64"/>
  <c r="BL1074" i="64"/>
  <c r="BX1191" i="64"/>
  <c r="BY1080" i="64"/>
  <c r="AK1161" i="64"/>
  <c r="AX1141" i="64"/>
  <c r="K1141" i="64"/>
  <c r="CL1099" i="64"/>
  <c r="BK1138" i="64"/>
  <c r="CL1082" i="64"/>
  <c r="K1155" i="64"/>
  <c r="AY1082" i="64"/>
  <c r="AL1096" i="64"/>
  <c r="K1133" i="64"/>
  <c r="BL1078" i="64"/>
  <c r="BY1107" i="64"/>
  <c r="X1180" i="64"/>
  <c r="X1163" i="64"/>
  <c r="BY1090" i="64"/>
  <c r="AK1178" i="64"/>
  <c r="K1146" i="64"/>
  <c r="AK1156" i="64"/>
  <c r="AY1119" i="64"/>
  <c r="AL1111" i="64"/>
  <c r="AL1056" i="64"/>
  <c r="AX1153" i="64"/>
  <c r="BY1094" i="64"/>
  <c r="K1176" i="64"/>
  <c r="BX1176" i="64"/>
  <c r="AX1171" i="64"/>
  <c r="BK1171" i="64"/>
  <c r="Y1102" i="64"/>
  <c r="BX1141" i="64"/>
  <c r="BY1068" i="64"/>
  <c r="AY1068" i="64"/>
  <c r="BY1104" i="64"/>
  <c r="BX1145" i="64"/>
  <c r="AY1072" i="64"/>
  <c r="BK1145" i="64"/>
  <c r="AK1150" i="64"/>
  <c r="AX1164" i="64"/>
  <c r="BY1065" i="64"/>
  <c r="BL1082" i="64"/>
  <c r="BX1155" i="64"/>
  <c r="AL1092" i="64"/>
  <c r="AY1073" i="64"/>
  <c r="BX1146" i="64"/>
  <c r="X1146" i="64"/>
  <c r="AL1091" i="64"/>
  <c r="K1191" i="64"/>
  <c r="AY1056" i="64"/>
  <c r="AL1109" i="64"/>
  <c r="AY1088" i="64"/>
  <c r="BL1103" i="64"/>
  <c r="BY1098" i="64"/>
  <c r="CL1072" i="64"/>
  <c r="K1145" i="64"/>
  <c r="AY1065" i="64"/>
  <c r="BL1065" i="64"/>
  <c r="BL1083" i="64"/>
  <c r="BK1133" i="64"/>
  <c r="BX1128" i="64"/>
  <c r="X1128" i="64"/>
  <c r="AX1163" i="64"/>
  <c r="K1163" i="64"/>
  <c r="BL1073" i="64"/>
  <c r="BX1150" i="64"/>
  <c r="AY1074" i="64"/>
  <c r="BL1112" i="64"/>
  <c r="Y1116" i="64"/>
  <c r="AX1191" i="64"/>
  <c r="AK1174" i="64"/>
  <c r="BX1153" i="64"/>
  <c r="K1153" i="64"/>
  <c r="BX1161" i="64"/>
  <c r="CL1088" i="64"/>
  <c r="AK1176" i="64"/>
  <c r="AY1103" i="64"/>
  <c r="AX1176" i="64"/>
  <c r="BL1098" i="64"/>
  <c r="BX1171" i="64"/>
  <c r="Y1098" i="64"/>
  <c r="X1151" i="64"/>
  <c r="Y1109" i="64"/>
  <c r="X1141" i="64"/>
  <c r="X1145" i="64"/>
  <c r="AX1145" i="64"/>
  <c r="BY1072" i="64"/>
  <c r="AX1150" i="64"/>
  <c r="AK1147" i="64"/>
  <c r="Y1074" i="64"/>
  <c r="AX1147" i="64"/>
  <c r="K1138" i="64"/>
  <c r="AK1138" i="64"/>
  <c r="BX1138" i="64"/>
  <c r="AX1138" i="64"/>
  <c r="X1155" i="64"/>
  <c r="BK1155" i="64"/>
  <c r="AK1155" i="64"/>
  <c r="AX1156" i="64"/>
  <c r="BY1096" i="64"/>
  <c r="AK1169" i="64"/>
  <c r="Y1055" i="64"/>
  <c r="AY1092" i="64"/>
  <c r="BL1080" i="64"/>
  <c r="BY1088" i="64"/>
  <c r="X1171" i="64"/>
  <c r="AK1171" i="64"/>
  <c r="CL1068" i="64"/>
  <c r="AX1172" i="64"/>
  <c r="BL1072" i="64"/>
  <c r="CL1074" i="64"/>
  <c r="CL1065" i="64"/>
  <c r="X1138" i="64"/>
  <c r="Y1082" i="64"/>
  <c r="R301" i="64"/>
  <c r="R339" i="64"/>
  <c r="R326" i="64"/>
  <c r="R359" i="64"/>
  <c r="H1445" i="79"/>
  <c r="Q1445" i="79"/>
  <c r="F1445" i="79"/>
  <c r="H1442" i="79"/>
  <c r="Q1442" i="79"/>
  <c r="F1442" i="79"/>
  <c r="H1444" i="79"/>
  <c r="Q1444" i="79"/>
  <c r="F1444" i="79"/>
  <c r="AP821" i="64"/>
  <c r="BC821" i="64"/>
  <c r="BC820" i="64"/>
  <c r="AP820" i="64"/>
  <c r="AP749" i="64"/>
  <c r="BC749" i="64"/>
  <c r="BC755" i="64"/>
  <c r="AP755" i="64"/>
  <c r="BC748" i="64"/>
  <c r="AP748" i="64"/>
  <c r="AP814" i="64"/>
  <c r="BC814" i="64"/>
  <c r="BC743" i="64"/>
  <c r="AP743" i="64"/>
  <c r="BC795" i="64"/>
  <c r="AP795" i="64"/>
  <c r="BC793" i="64"/>
  <c r="AP793" i="64"/>
  <c r="P720" i="64"/>
  <c r="Q259" i="64"/>
  <c r="Q200" i="64"/>
  <c r="P707" i="64"/>
  <c r="Q186" i="64"/>
  <c r="BC714" i="64"/>
  <c r="AP714" i="64"/>
  <c r="BC745" i="64"/>
  <c r="AP745" i="64"/>
  <c r="BC746" i="64"/>
  <c r="AP746" i="64"/>
  <c r="P697" i="64"/>
  <c r="Q172" i="64"/>
  <c r="T172" i="64" s="1"/>
  <c r="V172" i="64" s="1"/>
  <c r="J1347" i="64" s="1"/>
  <c r="M548" i="79" s="1"/>
  <c r="BC750" i="64"/>
  <c r="AP750" i="64"/>
  <c r="BC717" i="64"/>
  <c r="AP717" i="64"/>
  <c r="BC677" i="64"/>
  <c r="AP677" i="64"/>
  <c r="BC685" i="64"/>
  <c r="AP685" i="64"/>
  <c r="AP686" i="64"/>
  <c r="BC673" i="64"/>
  <c r="AP673" i="64"/>
  <c r="P675" i="64"/>
  <c r="CJ1152" i="64"/>
  <c r="CZ1152" i="64" s="1"/>
  <c r="CX1120" i="64"/>
  <c r="DN1120" i="64" s="1"/>
  <c r="CX1056" i="64"/>
  <c r="DN1056" i="64" s="1"/>
  <c r="CJ1154" i="64"/>
  <c r="CZ1154" i="64" s="1"/>
  <c r="CJ1158" i="64"/>
  <c r="CZ1158" i="64" s="1"/>
  <c r="CJ1149" i="64"/>
  <c r="CZ1149" i="64" s="1"/>
  <c r="CJ1159" i="64"/>
  <c r="CX1060" i="64"/>
  <c r="DN1060" i="64" s="1"/>
  <c r="CX1103" i="64"/>
  <c r="DN1103" i="64" s="1"/>
  <c r="AL1638" i="79"/>
  <c r="CX1075" i="64"/>
  <c r="DN1075" i="64" s="1"/>
  <c r="CJ1170" i="64"/>
  <c r="CJ1133" i="64"/>
  <c r="CZ1133" i="64" s="1"/>
  <c r="AL1674" i="79"/>
  <c r="N646" i="64"/>
  <c r="N660" i="64" s="1"/>
  <c r="O128" i="64" s="1"/>
  <c r="AM1484" i="79"/>
  <c r="AM1510" i="79"/>
  <c r="AM1497" i="79"/>
  <c r="AM1601" i="79"/>
  <c r="AM1523" i="79"/>
  <c r="AM1549" i="79"/>
  <c r="AM1562" i="79"/>
  <c r="AM1536" i="79"/>
  <c r="AM1588" i="79"/>
  <c r="AM1575" i="79"/>
  <c r="DM1057" i="64"/>
  <c r="DM1118" i="64"/>
  <c r="CY1162" i="64"/>
  <c r="O1782" i="79"/>
  <c r="O1962" i="79"/>
  <c r="O1710" i="79"/>
  <c r="AO737" i="64"/>
  <c r="M994" i="64"/>
  <c r="M1065" i="64" s="1"/>
  <c r="M1006" i="64"/>
  <c r="M1077" i="64" s="1"/>
  <c r="M1044" i="64"/>
  <c r="M1115" i="64" s="1"/>
  <c r="CJ1175" i="64"/>
  <c r="CZ1175" i="64" s="1"/>
  <c r="CJ1188" i="64"/>
  <c r="CZ1188" i="64" s="1"/>
  <c r="CX1067" i="64"/>
  <c r="DN1067" i="64" s="1"/>
  <c r="CX1093" i="64"/>
  <c r="DN1093" i="64" s="1"/>
  <c r="CJ1163" i="64"/>
  <c r="CZ1163" i="64" s="1"/>
  <c r="CX1107" i="64"/>
  <c r="AJ1501" i="79"/>
  <c r="AJ1502" i="79"/>
  <c r="CY1127" i="64"/>
  <c r="CY1169" i="64"/>
  <c r="CY1171" i="64"/>
  <c r="DM1103" i="64"/>
  <c r="AK1603" i="79"/>
  <c r="AK1552" i="79"/>
  <c r="AK1892" i="79"/>
  <c r="AK1924" i="79" s="1"/>
  <c r="AK1925" i="79" s="1"/>
  <c r="AK1512" i="79"/>
  <c r="AO808" i="64"/>
  <c r="Q797" i="64"/>
  <c r="P628" i="64"/>
  <c r="CJ1151" i="64"/>
  <c r="CZ1151" i="64" s="1"/>
  <c r="CX1074" i="64"/>
  <c r="DN1074" i="64" s="1"/>
  <c r="CJ1129" i="64"/>
  <c r="CZ1129" i="64" s="1"/>
  <c r="CJ1193" i="64"/>
  <c r="CZ1193" i="64" s="1"/>
  <c r="CJ1132" i="64"/>
  <c r="CZ1132" i="64" s="1"/>
  <c r="CX1087" i="64"/>
  <c r="CX1086" i="64"/>
  <c r="CX1098" i="64"/>
  <c r="DN1098" i="64" s="1"/>
  <c r="AJ1566" i="79"/>
  <c r="AJ1567" i="79"/>
  <c r="CJ1180" i="64"/>
  <c r="CZ1180" i="64" s="1"/>
  <c r="AJ1554" i="79"/>
  <c r="AJ1553" i="79"/>
  <c r="CJ1186" i="64"/>
  <c r="CZ1186" i="64" s="1"/>
  <c r="AL2033" i="79"/>
  <c r="CX1116" i="64"/>
  <c r="DN1116" i="64" s="1"/>
  <c r="CY1152" i="64"/>
  <c r="CY1145" i="64"/>
  <c r="N1590" i="79"/>
  <c r="AM1674" i="79"/>
  <c r="AL1997" i="79"/>
  <c r="AL2031" i="79" s="1"/>
  <c r="AL2032" i="79" s="1"/>
  <c r="AL1592" i="79"/>
  <c r="AL1854" i="79"/>
  <c r="AL1926" i="79"/>
  <c r="DN1109" i="64"/>
  <c r="CJ1166" i="64"/>
  <c r="CY1156" i="64"/>
  <c r="CY1163" i="64"/>
  <c r="AM1458" i="79"/>
  <c r="DM1096" i="64"/>
  <c r="AM42" i="79" s="1"/>
  <c r="N1564" i="79"/>
  <c r="N1512" i="79"/>
  <c r="R316" i="64"/>
  <c r="R379" i="64"/>
  <c r="F1443" i="79"/>
  <c r="H1443" i="79"/>
  <c r="Q1443" i="79"/>
  <c r="H1446" i="79"/>
  <c r="Q1446" i="79"/>
  <c r="F1446" i="79"/>
  <c r="AP827" i="64"/>
  <c r="BC827" i="64"/>
  <c r="AP823" i="64"/>
  <c r="BC823" i="64"/>
  <c r="AP815" i="64"/>
  <c r="BC815" i="64"/>
  <c r="BC822" i="64"/>
  <c r="AP822" i="64"/>
  <c r="BC752" i="64"/>
  <c r="AP752" i="64"/>
  <c r="BC789" i="64"/>
  <c r="AP789" i="64"/>
  <c r="BC787" i="64"/>
  <c r="AP787" i="64"/>
  <c r="BC680" i="64"/>
  <c r="AP680" i="64"/>
  <c r="BC794" i="64"/>
  <c r="AP794" i="64"/>
  <c r="P726" i="64"/>
  <c r="Q265" i="64"/>
  <c r="Q206" i="64"/>
  <c r="BC721" i="64"/>
  <c r="AP721" i="64"/>
  <c r="BC747" i="64"/>
  <c r="AP747" i="64"/>
  <c r="BC715" i="64"/>
  <c r="AP715" i="64"/>
  <c r="BC674" i="64"/>
  <c r="AP674" i="64"/>
  <c r="BC683" i="64"/>
  <c r="AP683" i="64"/>
  <c r="BC684" i="64"/>
  <c r="AP684" i="64"/>
  <c r="BC785" i="64"/>
  <c r="AP785" i="64"/>
  <c r="BC723" i="64"/>
  <c r="AP723" i="64"/>
  <c r="CJ1164" i="64"/>
  <c r="CZ1164" i="64" s="1"/>
  <c r="CX1104" i="64"/>
  <c r="CJ1189" i="64"/>
  <c r="CZ1189" i="64" s="1"/>
  <c r="CJ1139" i="64"/>
  <c r="CZ1139" i="64" s="1"/>
  <c r="CX1080" i="64"/>
  <c r="DN1080" i="64" s="1"/>
  <c r="CX1065" i="64"/>
  <c r="DN1065" i="64" s="1"/>
  <c r="CX1073" i="64"/>
  <c r="DN1073" i="64" s="1"/>
  <c r="CJ1138" i="64"/>
  <c r="CZ1138" i="64" s="1"/>
  <c r="CJ1165" i="64"/>
  <c r="CY1181" i="64"/>
  <c r="CY1140" i="64"/>
  <c r="CY1194" i="64"/>
  <c r="DM1083" i="64"/>
  <c r="O1674" i="79"/>
  <c r="O1818" i="79"/>
  <c r="O1926" i="79"/>
  <c r="M1011" i="64"/>
  <c r="M1082" i="64" s="1"/>
  <c r="M1020" i="64"/>
  <c r="M1091" i="64" s="1"/>
  <c r="M1045" i="64"/>
  <c r="M1116" i="64" s="1"/>
  <c r="M1040" i="64"/>
  <c r="M1111" i="64" s="1"/>
  <c r="P531" i="64"/>
  <c r="P611" i="64"/>
  <c r="CX1112" i="64"/>
  <c r="DN1112" i="64" s="1"/>
  <c r="CX1102" i="64"/>
  <c r="DN1102" i="64" s="1"/>
  <c r="CX1113" i="64"/>
  <c r="DN1113" i="64" s="1"/>
  <c r="CJ1191" i="64"/>
  <c r="CZ1191" i="64" s="1"/>
  <c r="CJ1140" i="64"/>
  <c r="CZ1140" i="64" s="1"/>
  <c r="CJ1157" i="64"/>
  <c r="CJ1192" i="64"/>
  <c r="CZ1192" i="64" s="1"/>
  <c r="CJ1176" i="64"/>
  <c r="DM1076" i="64"/>
  <c r="DM1085" i="64"/>
  <c r="P1536" i="79"/>
  <c r="P1549" i="79"/>
  <c r="P1484" i="79"/>
  <c r="P1575" i="79"/>
  <c r="P1588" i="79"/>
  <c r="P1601" i="79"/>
  <c r="P1523" i="79"/>
  <c r="P1562" i="79"/>
  <c r="P1471" i="79"/>
  <c r="P1510" i="79"/>
  <c r="P1497" i="79"/>
  <c r="CY1130" i="64"/>
  <c r="CY1143" i="64"/>
  <c r="AK1539" i="79"/>
  <c r="AK1856" i="79"/>
  <c r="Q550" i="64"/>
  <c r="P610" i="64"/>
  <c r="CJ1130" i="64"/>
  <c r="CJ1190" i="64"/>
  <c r="CZ1190" i="64" s="1"/>
  <c r="CX1117" i="64"/>
  <c r="DN1117" i="64" s="1"/>
  <c r="CX1119" i="64"/>
  <c r="CX1094" i="64"/>
  <c r="DN1094" i="64" s="1"/>
  <c r="CX1105" i="64"/>
  <c r="DN1105" i="64" s="1"/>
  <c r="CJ1137" i="64"/>
  <c r="CZ1137" i="64" s="1"/>
  <c r="CJ1142" i="64"/>
  <c r="CX1076" i="64"/>
  <c r="DN1076" i="64" s="1"/>
  <c r="CX1081" i="64"/>
  <c r="DN1081" i="64" s="1"/>
  <c r="CX1118" i="64"/>
  <c r="DN1118" i="64" s="1"/>
  <c r="CJ1135" i="64"/>
  <c r="CZ1135" i="64" s="1"/>
  <c r="CX1090" i="64"/>
  <c r="DN1090" i="64" s="1"/>
  <c r="CX1061" i="64"/>
  <c r="DN1061" i="64" s="1"/>
  <c r="CX1088" i="64"/>
  <c r="CX1082" i="64"/>
  <c r="DN1082" i="64" s="1"/>
  <c r="CX1072" i="64"/>
  <c r="DN1072" i="64" s="1"/>
  <c r="CJ1161" i="64"/>
  <c r="CZ1161" i="64" s="1"/>
  <c r="O1460" i="79"/>
  <c r="AJ1606" i="79"/>
  <c r="AJ1605" i="79"/>
  <c r="CX1108" i="64"/>
  <c r="CJ1134" i="64"/>
  <c r="AL1782" i="79"/>
  <c r="CX1110" i="64"/>
  <c r="CJ1143" i="64"/>
  <c r="CZ1143" i="64" s="1"/>
  <c r="AJ1489" i="79"/>
  <c r="AJ1488" i="79"/>
  <c r="AK1640" i="79"/>
  <c r="AK1461" i="79"/>
  <c r="DM1064" i="64"/>
  <c r="DM1106" i="64"/>
  <c r="CY1149" i="64"/>
  <c r="CY1138" i="64"/>
  <c r="N1551" i="79"/>
  <c r="N1486" i="79"/>
  <c r="N1499" i="79"/>
  <c r="R294" i="64"/>
  <c r="R346" i="64"/>
  <c r="V347" i="64"/>
  <c r="X347" i="64" s="1"/>
  <c r="C1440" i="79" s="1"/>
  <c r="R332" i="64"/>
  <c r="F1447" i="79"/>
  <c r="Q1447" i="79"/>
  <c r="H1447" i="79"/>
  <c r="Q530" i="64"/>
  <c r="BC825" i="64"/>
  <c r="AP825" i="64"/>
  <c r="AP819" i="64"/>
  <c r="BC819" i="64"/>
  <c r="AP826" i="64"/>
  <c r="BC826" i="64"/>
  <c r="BC818" i="64"/>
  <c r="AP757" i="64"/>
  <c r="BC757" i="64"/>
  <c r="BC788" i="64"/>
  <c r="AP788" i="64"/>
  <c r="BC816" i="64"/>
  <c r="AP816" i="64"/>
  <c r="AP796" i="64"/>
  <c r="BC796" i="64"/>
  <c r="BC718" i="64"/>
  <c r="AP718" i="64"/>
  <c r="AP754" i="64"/>
  <c r="BC754" i="64"/>
  <c r="Q266" i="64"/>
  <c r="Q207" i="64"/>
  <c r="BC744" i="64"/>
  <c r="AP744" i="64"/>
  <c r="BC722" i="64"/>
  <c r="AP722" i="64"/>
  <c r="BC868" i="64"/>
  <c r="AP868" i="64"/>
  <c r="BC681" i="64"/>
  <c r="AP681" i="64"/>
  <c r="BC678" i="64"/>
  <c r="AP678" i="64"/>
  <c r="Q262" i="64"/>
  <c r="Q203" i="64"/>
  <c r="CX1079" i="64"/>
  <c r="DN1079" i="64" s="1"/>
  <c r="CJ1146" i="64"/>
  <c r="CZ1146" i="64" s="1"/>
  <c r="CX1096" i="64"/>
  <c r="AJ1514" i="79"/>
  <c r="AJ1515" i="79"/>
  <c r="CX1100" i="64"/>
  <c r="DN1100" i="64" s="1"/>
  <c r="CJ1145" i="64"/>
  <c r="CZ1145" i="64" s="1"/>
  <c r="AJ1580" i="79"/>
  <c r="AJ1579" i="79"/>
  <c r="DM1084" i="64"/>
  <c r="O165" i="79"/>
  <c r="O1499" i="79" s="1"/>
  <c r="O206" i="79"/>
  <c r="O1512" i="79" s="1"/>
  <c r="O452" i="79"/>
  <c r="O1590" i="79" s="1"/>
  <c r="O124" i="79"/>
  <c r="O1486" i="79" s="1"/>
  <c r="O411" i="79"/>
  <c r="O1577" i="79" s="1"/>
  <c r="O288" i="79"/>
  <c r="O1538" i="79" s="1"/>
  <c r="O493" i="79"/>
  <c r="O1603" i="79" s="1"/>
  <c r="O370" i="79"/>
  <c r="O1564" i="79" s="1"/>
  <c r="O247" i="79"/>
  <c r="O1525" i="79" s="1"/>
  <c r="O329" i="79"/>
  <c r="O1551" i="79" s="1"/>
  <c r="O83" i="79"/>
  <c r="O1473" i="79" s="1"/>
  <c r="O1746" i="79"/>
  <c r="O2033" i="79"/>
  <c r="BB879" i="64"/>
  <c r="BB882" i="64" s="1"/>
  <c r="P643" i="64"/>
  <c r="M1002" i="64"/>
  <c r="M1073" i="64" s="1"/>
  <c r="M1019" i="64"/>
  <c r="M1090" i="64" s="1"/>
  <c r="M1041" i="64"/>
  <c r="M1112" i="64" s="1"/>
  <c r="Q388" i="64"/>
  <c r="CJ1182" i="64"/>
  <c r="CZ1182" i="64" s="1"/>
  <c r="CJ1185" i="64"/>
  <c r="CZ1185" i="64" s="1"/>
  <c r="CJ1183" i="64"/>
  <c r="CZ1183" i="64" s="1"/>
  <c r="CX1089" i="64"/>
  <c r="DN1089" i="64" s="1"/>
  <c r="CJ1147" i="64"/>
  <c r="CZ1147" i="64" s="1"/>
  <c r="CX1085" i="64"/>
  <c r="DN1085" i="64" s="1"/>
  <c r="CX1058" i="64"/>
  <c r="DN1058" i="64" s="1"/>
  <c r="AJ1541" i="79"/>
  <c r="AJ1540" i="79"/>
  <c r="DM1081" i="64"/>
  <c r="DM1102" i="64"/>
  <c r="CY1175" i="64"/>
  <c r="DM1061" i="64"/>
  <c r="DM1068" i="64"/>
  <c r="AK1525" i="79"/>
  <c r="AK1712" i="79"/>
  <c r="AK1487" i="79"/>
  <c r="AE635" i="77"/>
  <c r="O642" i="64"/>
  <c r="Q778" i="64"/>
  <c r="J34" i="71" s="1"/>
  <c r="Q768" i="64"/>
  <c r="J33" i="71" s="1"/>
  <c r="AB600" i="77"/>
  <c r="CJ1187" i="64"/>
  <c r="CX1083" i="64"/>
  <c r="DN1083" i="64" s="1"/>
  <c r="CX1078" i="64"/>
  <c r="CJ1174" i="64"/>
  <c r="CZ1174" i="64" s="1"/>
  <c r="CJ1177" i="64"/>
  <c r="CZ1177" i="64" s="1"/>
  <c r="CX1063" i="64"/>
  <c r="DN1063" i="64" s="1"/>
  <c r="CX1092" i="64"/>
  <c r="DN1092" i="64" s="1"/>
  <c r="CJ1128" i="64"/>
  <c r="CZ1128" i="64" s="1"/>
  <c r="CX1106" i="64"/>
  <c r="DN1106" i="64" s="1"/>
  <c r="CJ1153" i="64"/>
  <c r="CJ1171" i="64"/>
  <c r="CZ1171" i="64" s="1"/>
  <c r="CJ1141" i="64"/>
  <c r="CZ1141" i="64" s="1"/>
  <c r="O1638" i="79"/>
  <c r="I1540" i="79"/>
  <c r="AF1606" i="79"/>
  <c r="I1514" i="79"/>
  <c r="I1515" i="79"/>
  <c r="AF1540" i="79"/>
  <c r="AF1541" i="79"/>
  <c r="I1579" i="79"/>
  <c r="I1580" i="79"/>
  <c r="I1554" i="79"/>
  <c r="I2068" i="79"/>
  <c r="AF1501" i="79"/>
  <c r="AF1502" i="79"/>
  <c r="I1592" i="79"/>
  <c r="I1593" i="79"/>
  <c r="AF1579" i="79"/>
  <c r="AF1580" i="79"/>
  <c r="I1527" i="79"/>
  <c r="I1528" i="79"/>
  <c r="I1488" i="79"/>
  <c r="I1489" i="79"/>
  <c r="AF1527" i="79"/>
  <c r="AF1528" i="79"/>
  <c r="AF1514" i="79"/>
  <c r="AF1515" i="79"/>
  <c r="AF1566" i="79"/>
  <c r="AF1567" i="79"/>
  <c r="F44" i="80"/>
  <c r="F40" i="10"/>
  <c r="M615" i="73"/>
  <c r="M616" i="73"/>
  <c r="M50" i="73"/>
  <c r="K33" i="9" s="1"/>
  <c r="J50" i="10" s="1"/>
  <c r="P41" i="73"/>
  <c r="Q12" i="73" s="1"/>
  <c r="I181" i="8"/>
  <c r="I187" i="8" s="1"/>
  <c r="H10" i="10"/>
  <c r="H17" i="10" s="1"/>
  <c r="J678" i="74"/>
  <c r="O42" i="73"/>
  <c r="K14" i="74"/>
  <c r="K12" i="74" s="1"/>
  <c r="F19" i="80"/>
  <c r="J320" i="77"/>
  <c r="K319" i="77"/>
  <c r="K25" i="85"/>
  <c r="K28" i="85" s="1"/>
  <c r="I6" i="80"/>
  <c r="I19" i="80" s="1"/>
  <c r="I68" i="83"/>
  <c r="M15" i="74"/>
  <c r="K677" i="74"/>
  <c r="N616" i="73"/>
  <c r="N615" i="73"/>
  <c r="N50" i="73"/>
  <c r="F75" i="83"/>
  <c r="O656" i="77"/>
  <c r="R108" i="85"/>
  <c r="D247" i="85" s="1"/>
  <c r="P310" i="73"/>
  <c r="P325" i="73" s="1"/>
  <c r="P326" i="73" s="1"/>
  <c r="P118" i="85"/>
  <c r="P134" i="85" s="1"/>
  <c r="P135" i="85" s="1"/>
  <c r="M606" i="73"/>
  <c r="N607" i="73"/>
  <c r="O401" i="77" s="1"/>
  <c r="N606" i="73"/>
  <c r="O326" i="73"/>
  <c r="O135" i="85"/>
  <c r="P42" i="79" l="1"/>
  <c r="P1460" i="79" s="1"/>
  <c r="AD786" i="64"/>
  <c r="BC719" i="64"/>
  <c r="AD716" i="64"/>
  <c r="AH1502" i="79"/>
  <c r="AH1501" i="79"/>
  <c r="P123" i="64"/>
  <c r="AE642" i="77"/>
  <c r="O2082" i="79"/>
  <c r="O2401" i="79" s="1"/>
  <c r="O564" i="79"/>
  <c r="O1390" i="79" s="1"/>
  <c r="O561" i="79"/>
  <c r="O560" i="79"/>
  <c r="O559" i="79"/>
  <c r="P1360" i="64"/>
  <c r="J1360" i="64"/>
  <c r="M616" i="79" s="1"/>
  <c r="J1348" i="64"/>
  <c r="M592" i="79" s="1"/>
  <c r="AD758" i="64"/>
  <c r="G1390" i="64"/>
  <c r="J2274" i="79" s="1"/>
  <c r="M1390" i="64"/>
  <c r="P2274" i="79" s="1"/>
  <c r="F1351" i="64"/>
  <c r="I600" i="79" s="1"/>
  <c r="L1351" i="64"/>
  <c r="O600" i="79" s="1"/>
  <c r="M551" i="79"/>
  <c r="M556" i="79"/>
  <c r="M553" i="79"/>
  <c r="M552" i="79"/>
  <c r="P2273" i="79"/>
  <c r="M1407" i="64"/>
  <c r="P699" i="79" s="1"/>
  <c r="P619" i="79"/>
  <c r="P620" i="79"/>
  <c r="P618" i="79"/>
  <c r="H1391" i="64"/>
  <c r="N1391" i="64"/>
  <c r="Q2297" i="79" s="1"/>
  <c r="AO879" i="64"/>
  <c r="AO882" i="64" s="1"/>
  <c r="L554" i="73"/>
  <c r="L555" i="73" s="1"/>
  <c r="F1383" i="64"/>
  <c r="I2135" i="79" s="1"/>
  <c r="G1383" i="64"/>
  <c r="J2135" i="79" s="1"/>
  <c r="H1383" i="64"/>
  <c r="K2135" i="79" s="1"/>
  <c r="I1383" i="64"/>
  <c r="L2135" i="79" s="1"/>
  <c r="J1383" i="64"/>
  <c r="M2135" i="79" s="1"/>
  <c r="K1383" i="64"/>
  <c r="N2135" i="79" s="1"/>
  <c r="L1383" i="64"/>
  <c r="O2135" i="79" s="1"/>
  <c r="M1383" i="64"/>
  <c r="P2135" i="79" s="1"/>
  <c r="N1383" i="64"/>
  <c r="Q2135" i="79" s="1"/>
  <c r="O1383" i="64"/>
  <c r="R2135" i="79" s="1"/>
  <c r="P1383" i="64"/>
  <c r="S2135" i="79" s="1"/>
  <c r="F1367" i="64"/>
  <c r="G1367" i="64"/>
  <c r="H1367" i="64"/>
  <c r="I1367" i="64"/>
  <c r="J1367" i="64"/>
  <c r="K1367" i="64"/>
  <c r="L1367" i="64"/>
  <c r="M1367" i="64"/>
  <c r="N1367" i="64"/>
  <c r="O1367" i="64"/>
  <c r="P1367" i="64"/>
  <c r="F1386" i="64"/>
  <c r="I2205" i="79" s="1"/>
  <c r="G1386" i="64"/>
  <c r="J2205" i="79" s="1"/>
  <c r="H1386" i="64"/>
  <c r="K2205" i="79" s="1"/>
  <c r="I1386" i="64"/>
  <c r="L2205" i="79" s="1"/>
  <c r="J1386" i="64"/>
  <c r="M2205" i="79" s="1"/>
  <c r="K1386" i="64"/>
  <c r="N2205" i="79" s="1"/>
  <c r="L1386" i="64"/>
  <c r="O2205" i="79" s="1"/>
  <c r="M1386" i="64"/>
  <c r="P2205" i="79" s="1"/>
  <c r="N1386" i="64"/>
  <c r="Q2205" i="79" s="1"/>
  <c r="O1386" i="64"/>
  <c r="R2205" i="79" s="1"/>
  <c r="P1386" i="64"/>
  <c r="S2205" i="79" s="1"/>
  <c r="F1387" i="64"/>
  <c r="G1387" i="64"/>
  <c r="H1387" i="64"/>
  <c r="I1387" i="64"/>
  <c r="J1387" i="64"/>
  <c r="K1387" i="64"/>
  <c r="L1387" i="64"/>
  <c r="M1387" i="64"/>
  <c r="N1387" i="64"/>
  <c r="O1387" i="64"/>
  <c r="P1387" i="64"/>
  <c r="F1366" i="64"/>
  <c r="G1366" i="64"/>
  <c r="H1366" i="64"/>
  <c r="I1366" i="64"/>
  <c r="J1366" i="64"/>
  <c r="K1366" i="64"/>
  <c r="L1366" i="64"/>
  <c r="O1366" i="64"/>
  <c r="P1366" i="64"/>
  <c r="AD826" i="64"/>
  <c r="AD814" i="64"/>
  <c r="F1388" i="64"/>
  <c r="G1388" i="64"/>
  <c r="H1388" i="64"/>
  <c r="I1388" i="64"/>
  <c r="J1388" i="64"/>
  <c r="K1388" i="64"/>
  <c r="L1388" i="64"/>
  <c r="M1388" i="64"/>
  <c r="N1388" i="64"/>
  <c r="O1388" i="64"/>
  <c r="P1388" i="64"/>
  <c r="F1370" i="64"/>
  <c r="G1370" i="64"/>
  <c r="H1370" i="64"/>
  <c r="I1370" i="64"/>
  <c r="J1370" i="64"/>
  <c r="K1370" i="64"/>
  <c r="L1370" i="64"/>
  <c r="M1370" i="64"/>
  <c r="N1370" i="64"/>
  <c r="O1370" i="64"/>
  <c r="P1370" i="64"/>
  <c r="F1393" i="64"/>
  <c r="G1393" i="64"/>
  <c r="H1393" i="64"/>
  <c r="I1393" i="64"/>
  <c r="J1393" i="64"/>
  <c r="K1393" i="64"/>
  <c r="L1393" i="64"/>
  <c r="M1393" i="64"/>
  <c r="N1393" i="64"/>
  <c r="O1393" i="64"/>
  <c r="P1393" i="64"/>
  <c r="F1376" i="64"/>
  <c r="G1376" i="64"/>
  <c r="H1376" i="64"/>
  <c r="I1376" i="64"/>
  <c r="J1376" i="64"/>
  <c r="K1376" i="64"/>
  <c r="L1376" i="64"/>
  <c r="M1376" i="64"/>
  <c r="N1376" i="64"/>
  <c r="O1376" i="64"/>
  <c r="P1376" i="64"/>
  <c r="F1385" i="64"/>
  <c r="I2182" i="79" s="1"/>
  <c r="G1385" i="64"/>
  <c r="J2182" i="79" s="1"/>
  <c r="H1385" i="64"/>
  <c r="K2182" i="79" s="1"/>
  <c r="I1385" i="64"/>
  <c r="L2182" i="79" s="1"/>
  <c r="J1385" i="64"/>
  <c r="M2182" i="79" s="1"/>
  <c r="K1385" i="64"/>
  <c r="N2182" i="79" s="1"/>
  <c r="L1385" i="64"/>
  <c r="O2182" i="79" s="1"/>
  <c r="M1385" i="64"/>
  <c r="P2182" i="79" s="1"/>
  <c r="N1385" i="64"/>
  <c r="Q2182" i="79" s="1"/>
  <c r="O1385" i="64"/>
  <c r="R2182" i="79" s="1"/>
  <c r="P1385" i="64"/>
  <c r="S2182" i="79" s="1"/>
  <c r="F1369" i="64"/>
  <c r="G1369" i="64"/>
  <c r="H1369" i="64"/>
  <c r="I1369" i="64"/>
  <c r="J1369" i="64"/>
  <c r="K1369" i="64"/>
  <c r="L1369" i="64"/>
  <c r="M1369" i="64"/>
  <c r="N1369" i="64"/>
  <c r="O1369" i="64"/>
  <c r="P1369" i="64"/>
  <c r="F1375" i="64"/>
  <c r="G1375" i="64"/>
  <c r="H1375" i="64"/>
  <c r="I1375" i="64"/>
  <c r="J1375" i="64"/>
  <c r="K1375" i="64"/>
  <c r="L1375" i="64"/>
  <c r="M1375" i="64"/>
  <c r="N1375" i="64"/>
  <c r="O1375" i="64"/>
  <c r="P1375" i="64"/>
  <c r="F1394" i="64"/>
  <c r="F1392" i="64"/>
  <c r="I2320" i="79" s="1"/>
  <c r="G1394" i="64"/>
  <c r="G1392" i="64"/>
  <c r="J2320" i="79" s="1"/>
  <c r="H1392" i="64"/>
  <c r="K2320" i="79" s="1"/>
  <c r="H1394" i="64"/>
  <c r="I1394" i="64"/>
  <c r="I1392" i="64"/>
  <c r="L2320" i="79" s="1"/>
  <c r="J1394" i="64"/>
  <c r="J1392" i="64"/>
  <c r="M2320" i="79" s="1"/>
  <c r="K1392" i="64"/>
  <c r="N2320" i="79" s="1"/>
  <c r="K1394" i="64"/>
  <c r="L1394" i="64"/>
  <c r="L1392" i="64"/>
  <c r="O2320" i="79" s="1"/>
  <c r="M1394" i="64"/>
  <c r="M1392" i="64"/>
  <c r="P2320" i="79" s="1"/>
  <c r="N1394" i="64"/>
  <c r="N1392" i="64"/>
  <c r="Q2320" i="79" s="1"/>
  <c r="O1394" i="64"/>
  <c r="O1392" i="64"/>
  <c r="R2320" i="79" s="1"/>
  <c r="P1392" i="64"/>
  <c r="S2320" i="79" s="1"/>
  <c r="P1394" i="64"/>
  <c r="F1368" i="64"/>
  <c r="G1368" i="64"/>
  <c r="H1368" i="64"/>
  <c r="I1368" i="64"/>
  <c r="J1368" i="64"/>
  <c r="K1368" i="64"/>
  <c r="L1368" i="64"/>
  <c r="M1368" i="64"/>
  <c r="N1368" i="64"/>
  <c r="O1368" i="64"/>
  <c r="P1368" i="64"/>
  <c r="F1384" i="64"/>
  <c r="I2159" i="79" s="1"/>
  <c r="G1384" i="64"/>
  <c r="J2159" i="79" s="1"/>
  <c r="H1384" i="64"/>
  <c r="K2159" i="79" s="1"/>
  <c r="I1384" i="64"/>
  <c r="L2159" i="79" s="1"/>
  <c r="J1384" i="64"/>
  <c r="M2159" i="79" s="1"/>
  <c r="K1384" i="64"/>
  <c r="N2159" i="79" s="1"/>
  <c r="L1384" i="64"/>
  <c r="O2159" i="79" s="1"/>
  <c r="M1384" i="64"/>
  <c r="P2159" i="79" s="1"/>
  <c r="N1384" i="64"/>
  <c r="Q2159" i="79" s="1"/>
  <c r="O1384" i="64"/>
  <c r="R2159" i="79" s="1"/>
  <c r="P1384" i="64"/>
  <c r="S2159" i="79" s="1"/>
  <c r="F1374" i="64"/>
  <c r="G1374" i="64"/>
  <c r="H1374" i="64"/>
  <c r="K2296" i="79" s="1"/>
  <c r="I1374" i="64"/>
  <c r="J1374" i="64"/>
  <c r="K1374" i="64"/>
  <c r="L1374" i="64"/>
  <c r="M1374" i="64"/>
  <c r="N1374" i="64"/>
  <c r="O1374" i="64"/>
  <c r="P1374" i="64"/>
  <c r="F1371" i="64"/>
  <c r="G1371" i="64"/>
  <c r="H1371" i="64"/>
  <c r="I1371" i="64"/>
  <c r="J1371" i="64"/>
  <c r="J1405" i="64" s="1"/>
  <c r="M692" i="79" s="1"/>
  <c r="K1371" i="64"/>
  <c r="K1405" i="64" s="1"/>
  <c r="N692" i="79" s="1"/>
  <c r="L1371" i="64"/>
  <c r="M1371" i="64"/>
  <c r="N1371" i="64"/>
  <c r="O1371" i="64"/>
  <c r="P1371" i="64"/>
  <c r="F1377" i="64"/>
  <c r="G1377" i="64"/>
  <c r="H1377" i="64"/>
  <c r="I1377" i="64"/>
  <c r="J1377" i="64"/>
  <c r="K1377" i="64"/>
  <c r="L1377" i="64"/>
  <c r="M1377" i="64"/>
  <c r="N1377" i="64"/>
  <c r="O1377" i="64"/>
  <c r="P1377" i="64"/>
  <c r="BC856" i="64"/>
  <c r="BC751" i="64"/>
  <c r="AD673" i="64"/>
  <c r="AD827" i="64"/>
  <c r="AD752" i="64"/>
  <c r="R267" i="64"/>
  <c r="AD825" i="64"/>
  <c r="AD788" i="64"/>
  <c r="AD743" i="64"/>
  <c r="AD816" i="64"/>
  <c r="AD754" i="64"/>
  <c r="AD793" i="64"/>
  <c r="AD751" i="64"/>
  <c r="AD820" i="64"/>
  <c r="AD680" i="64"/>
  <c r="AD678" i="64"/>
  <c r="AD750" i="64"/>
  <c r="AD745" i="64"/>
  <c r="M9" i="74"/>
  <c r="L33" i="9"/>
  <c r="K50" i="10" s="1"/>
  <c r="BC861" i="64"/>
  <c r="AD790" i="64"/>
  <c r="J33" i="9"/>
  <c r="R639" i="64"/>
  <c r="Q638" i="64"/>
  <c r="P642" i="64" s="1"/>
  <c r="R640" i="64"/>
  <c r="Q735" i="64"/>
  <c r="Y435" i="40"/>
  <c r="Y431" i="40"/>
  <c r="Y441" i="40"/>
  <c r="N1034" i="64"/>
  <c r="N1105" i="64" s="1"/>
  <c r="Y430" i="40"/>
  <c r="Y433" i="40"/>
  <c r="N397" i="40"/>
  <c r="N405" i="40"/>
  <c r="N399" i="40"/>
  <c r="N407" i="40"/>
  <c r="N394" i="40"/>
  <c r="N411" i="40"/>
  <c r="N404" i="40"/>
  <c r="N402" i="40"/>
  <c r="N398" i="40"/>
  <c r="N430" i="40"/>
  <c r="N438" i="40"/>
  <c r="N392" i="40"/>
  <c r="N391" i="40"/>
  <c r="N409" i="40"/>
  <c r="N418" i="40"/>
  <c r="N396" i="40"/>
  <c r="N406" i="40"/>
  <c r="N432" i="40"/>
  <c r="N440" i="40"/>
  <c r="N435" i="40"/>
  <c r="N403" i="40"/>
  <c r="N434" i="40"/>
  <c r="N400" i="40"/>
  <c r="N387" i="40"/>
  <c r="N410" i="40"/>
  <c r="N437" i="40"/>
  <c r="N431" i="40"/>
  <c r="N433" i="40"/>
  <c r="N417" i="40"/>
  <c r="N441" i="40"/>
  <c r="N401" i="40"/>
  <c r="N436" i="40"/>
  <c r="N408" i="40"/>
  <c r="N439" i="40"/>
  <c r="N31" i="71"/>
  <c r="G177" i="73"/>
  <c r="G458" i="73" s="1"/>
  <c r="H176" i="73"/>
  <c r="I158" i="73" s="1"/>
  <c r="J31" i="71"/>
  <c r="I1502" i="79"/>
  <c r="AP863" i="64"/>
  <c r="I1606" i="79"/>
  <c r="AP719" i="64"/>
  <c r="AP737" i="64" s="1"/>
  <c r="Q2289" i="79"/>
  <c r="Q2290" i="79" s="1"/>
  <c r="Q2291" i="79" s="1"/>
  <c r="J621" i="79"/>
  <c r="Q2134" i="79"/>
  <c r="Q2133" i="79" s="1"/>
  <c r="R2113" i="79"/>
  <c r="R2402" i="79" s="1"/>
  <c r="AN1471" i="79"/>
  <c r="S627" i="79"/>
  <c r="S616" i="79"/>
  <c r="U616" i="79" s="1"/>
  <c r="R2285" i="79"/>
  <c r="J629" i="79"/>
  <c r="S626" i="79"/>
  <c r="S628" i="79"/>
  <c r="P1348" i="64"/>
  <c r="S592" i="79" s="1"/>
  <c r="U592" i="79" s="1"/>
  <c r="I604" i="79"/>
  <c r="I602" i="79"/>
  <c r="I603" i="79"/>
  <c r="P1347" i="64"/>
  <c r="S548" i="79" s="1"/>
  <c r="S551" i="79" s="1"/>
  <c r="BC859" i="64"/>
  <c r="K2297" i="79"/>
  <c r="H1408" i="64"/>
  <c r="K704" i="79" s="1"/>
  <c r="K2308" i="79" s="1"/>
  <c r="K2312" i="79" s="1"/>
  <c r="AM83" i="79"/>
  <c r="AM1473" i="79" s="1"/>
  <c r="AM1676" i="79" s="1"/>
  <c r="BC858" i="64"/>
  <c r="AD792" i="64"/>
  <c r="AQ792" i="64" s="1"/>
  <c r="AG1475" i="79"/>
  <c r="AG1476" i="79"/>
  <c r="AO1459" i="79"/>
  <c r="AO1639" i="79" s="1"/>
  <c r="AL1474" i="79"/>
  <c r="AK1475" i="79"/>
  <c r="AK1476" i="79"/>
  <c r="AF1475" i="79"/>
  <c r="AF1476" i="79"/>
  <c r="Q553" i="79"/>
  <c r="Q556" i="79"/>
  <c r="Q552" i="79"/>
  <c r="Q551" i="79"/>
  <c r="O1347" i="64"/>
  <c r="R548" i="79" s="1"/>
  <c r="G1350" i="64"/>
  <c r="J557" i="79" s="1"/>
  <c r="J559" i="79" s="1"/>
  <c r="F1350" i="64"/>
  <c r="I557" i="79" s="1"/>
  <c r="G1359" i="64"/>
  <c r="J573" i="79" s="1"/>
  <c r="J576" i="79" s="1"/>
  <c r="F1359" i="64"/>
  <c r="I573" i="79" s="1"/>
  <c r="U573" i="79" s="1"/>
  <c r="M1400" i="64"/>
  <c r="P665" i="79" s="1"/>
  <c r="P2134" i="79"/>
  <c r="H1373" i="64"/>
  <c r="K2273" i="79" s="1"/>
  <c r="K2272" i="79" s="1"/>
  <c r="G1373" i="64"/>
  <c r="L461" i="73"/>
  <c r="L466" i="73"/>
  <c r="M253" i="77" s="1"/>
  <c r="M277" i="77" s="1"/>
  <c r="N14" i="74"/>
  <c r="M677" i="74"/>
  <c r="Y400" i="40"/>
  <c r="Y394" i="40"/>
  <c r="T2082" i="79"/>
  <c r="T2401" i="79" s="1"/>
  <c r="J2098" i="79"/>
  <c r="J2082" i="79"/>
  <c r="J2401" i="79" s="1"/>
  <c r="H203" i="73"/>
  <c r="J181" i="8"/>
  <c r="J187" i="8" s="1"/>
  <c r="K678" i="74"/>
  <c r="I10" i="10"/>
  <c r="I17" i="10" s="1"/>
  <c r="Y437" i="40"/>
  <c r="Y432" i="40"/>
  <c r="Y387" i="40"/>
  <c r="Y399" i="40"/>
  <c r="Y402" i="40"/>
  <c r="Y396" i="40"/>
  <c r="Y403" i="40"/>
  <c r="Y434" i="40"/>
  <c r="Y439" i="40"/>
  <c r="Y438" i="40"/>
  <c r="Y397" i="40"/>
  <c r="Y418" i="40"/>
  <c r="G186" i="73"/>
  <c r="F205" i="73"/>
  <c r="F459" i="73" s="1"/>
  <c r="F463" i="73" s="1"/>
  <c r="G203" i="73"/>
  <c r="J203" i="73"/>
  <c r="L203" i="73"/>
  <c r="K203" i="73"/>
  <c r="I203" i="73"/>
  <c r="P144" i="9"/>
  <c r="R144" i="9" s="1"/>
  <c r="H37" i="25"/>
  <c r="R2286" i="79"/>
  <c r="R1230" i="79"/>
  <c r="R1298" i="79" s="1"/>
  <c r="R2140" i="79"/>
  <c r="R1223" i="79"/>
  <c r="R1291" i="79" s="1"/>
  <c r="R2142" i="79"/>
  <c r="R1225" i="79"/>
  <c r="R1293" i="79" s="1"/>
  <c r="T2098" i="79"/>
  <c r="AO1472" i="79"/>
  <c r="AO1675" i="79" s="1"/>
  <c r="J583" i="79"/>
  <c r="J585" i="79"/>
  <c r="J584" i="79"/>
  <c r="J588" i="79"/>
  <c r="J1396" i="79" s="1"/>
  <c r="AF1488" i="79"/>
  <c r="AP828" i="64"/>
  <c r="AP866" i="64"/>
  <c r="AF1553" i="79"/>
  <c r="AF1556" i="79" s="1"/>
  <c r="BC857" i="64"/>
  <c r="AP867" i="64"/>
  <c r="R1498" i="79"/>
  <c r="R1747" i="79" s="1"/>
  <c r="R1537" i="79"/>
  <c r="R1855" i="79" s="1"/>
  <c r="R1888" i="79" s="1"/>
  <c r="R1889" i="79" s="1"/>
  <c r="R1576" i="79"/>
  <c r="R1963" i="79" s="1"/>
  <c r="AP786" i="64"/>
  <c r="AP808" i="64" s="1"/>
  <c r="BC865" i="64"/>
  <c r="BC672" i="64"/>
  <c r="N1009" i="64"/>
  <c r="N1080" i="64" s="1"/>
  <c r="AL1462" i="79"/>
  <c r="R1524" i="79"/>
  <c r="R1819" i="79" s="1"/>
  <c r="R1589" i="79"/>
  <c r="R1998" i="79" s="1"/>
  <c r="R1472" i="79"/>
  <c r="R1675" i="79" s="1"/>
  <c r="R1511" i="79"/>
  <c r="R1783" i="79" s="1"/>
  <c r="R1563" i="79"/>
  <c r="R1927" i="79" s="1"/>
  <c r="DM1241" i="64"/>
  <c r="I1476" i="79"/>
  <c r="AC879" i="64"/>
  <c r="AH642" i="77" s="1"/>
  <c r="AC808" i="64"/>
  <c r="AH635" i="77" s="1"/>
  <c r="CM1313" i="64"/>
  <c r="CM1284" i="64"/>
  <c r="CM1288" i="64"/>
  <c r="I1567" i="79"/>
  <c r="I1570" i="79" s="1"/>
  <c r="AP860" i="64"/>
  <c r="O646" i="64"/>
  <c r="O660" i="64" s="1"/>
  <c r="P128" i="64" s="1"/>
  <c r="AP864" i="64"/>
  <c r="DM1231" i="64"/>
  <c r="DM1223" i="64"/>
  <c r="DM1216" i="64"/>
  <c r="DM1238" i="64"/>
  <c r="DM1244" i="64"/>
  <c r="DM1211" i="64"/>
  <c r="DM1234" i="64"/>
  <c r="DM1215" i="64"/>
  <c r="N987" i="64"/>
  <c r="N1058" i="64" s="1"/>
  <c r="N1033" i="64"/>
  <c r="N1104" i="64" s="1"/>
  <c r="CY1120" i="64"/>
  <c r="DO1120" i="64" s="1"/>
  <c r="Y398" i="40"/>
  <c r="Y405" i="40"/>
  <c r="CM1286" i="64"/>
  <c r="CM1319" i="64"/>
  <c r="CM1320" i="64"/>
  <c r="DM1237" i="64"/>
  <c r="DM1212" i="64"/>
  <c r="N38" i="71"/>
  <c r="N1013" i="64"/>
  <c r="N1084" i="64" s="1"/>
  <c r="Q629" i="64"/>
  <c r="N36" i="71"/>
  <c r="Q607" i="64"/>
  <c r="N39" i="71"/>
  <c r="N998" i="64"/>
  <c r="N1069" i="64" s="1"/>
  <c r="N1014" i="64"/>
  <c r="N1085" i="64" s="1"/>
  <c r="DM1253" i="64"/>
  <c r="CM1318" i="64"/>
  <c r="Q682" i="64"/>
  <c r="F32" i="71" s="1"/>
  <c r="N1309" i="64"/>
  <c r="CA1231" i="64"/>
  <c r="DA1240" i="64"/>
  <c r="AA1284" i="64"/>
  <c r="BA1314" i="64"/>
  <c r="BN1231" i="64"/>
  <c r="CN1210" i="64"/>
  <c r="AN1214" i="64"/>
  <c r="N1288" i="64"/>
  <c r="BN1214" i="64"/>
  <c r="CA1288" i="64"/>
  <c r="CN1240" i="64"/>
  <c r="CA1284" i="64"/>
  <c r="CN1219" i="64"/>
  <c r="AN1233" i="64"/>
  <c r="N1294" i="64"/>
  <c r="BN1341" i="64"/>
  <c r="BN1337" i="64"/>
  <c r="AA1332" i="64"/>
  <c r="BN1205" i="64"/>
  <c r="DA1232" i="64"/>
  <c r="CA1250" i="64"/>
  <c r="N1297" i="64"/>
  <c r="BN1294" i="64"/>
  <c r="DA1267" i="64"/>
  <c r="N1336" i="64"/>
  <c r="CA1258" i="64"/>
  <c r="BN1287" i="64"/>
  <c r="CA1310" i="64"/>
  <c r="BA1341" i="64"/>
  <c r="AN1257" i="64"/>
  <c r="AN1226" i="64"/>
  <c r="AN1207" i="64"/>
  <c r="DA1216" i="64"/>
  <c r="AN1307" i="64"/>
  <c r="BA1329" i="64"/>
  <c r="CA1262" i="64"/>
  <c r="AN1261" i="64"/>
  <c r="CA1280" i="64"/>
  <c r="AN1239" i="64"/>
  <c r="BN1212" i="64"/>
  <c r="CN1243" i="64"/>
  <c r="BA1296" i="64"/>
  <c r="BN1225" i="64"/>
  <c r="CA1312" i="64"/>
  <c r="AN1203" i="64"/>
  <c r="CA1325" i="64"/>
  <c r="CN1230" i="64"/>
  <c r="AN1320" i="64"/>
  <c r="AN1312" i="64"/>
  <c r="BN1320" i="64"/>
  <c r="BA1295" i="64"/>
  <c r="CN1236" i="64"/>
  <c r="CN1267" i="64"/>
  <c r="AN1265" i="64"/>
  <c r="AN1258" i="64"/>
  <c r="AN1209" i="64"/>
  <c r="AN1322" i="64"/>
  <c r="CA1319" i="64"/>
  <c r="CA1212" i="64"/>
  <c r="BN1308" i="64"/>
  <c r="AA1275" i="64"/>
  <c r="BA1320" i="64"/>
  <c r="BN1251" i="64"/>
  <c r="CN1249" i="64"/>
  <c r="BN1246" i="64"/>
  <c r="AA1298" i="64"/>
  <c r="N1275" i="64"/>
  <c r="CN1225" i="64"/>
  <c r="N1323" i="64"/>
  <c r="BA1291" i="64"/>
  <c r="BN1249" i="64"/>
  <c r="AN1297" i="64"/>
  <c r="BA1294" i="64"/>
  <c r="AA1316" i="64"/>
  <c r="CA1316" i="64"/>
  <c r="AA1331" i="64"/>
  <c r="BA1214" i="64"/>
  <c r="DA1247" i="64"/>
  <c r="BN1314" i="64"/>
  <c r="CA1276" i="64"/>
  <c r="BA1284" i="64"/>
  <c r="BN1305" i="64"/>
  <c r="AN1210" i="64"/>
  <c r="N1305" i="64"/>
  <c r="AA1288" i="64"/>
  <c r="CN1214" i="64"/>
  <c r="CA1321" i="64"/>
  <c r="BN1288" i="64"/>
  <c r="DA1234" i="64"/>
  <c r="BN1216" i="64"/>
  <c r="CA1208" i="64"/>
  <c r="DA1215" i="64"/>
  <c r="BN1330" i="64"/>
  <c r="BA1266" i="64"/>
  <c r="BA1211" i="64"/>
  <c r="N1279" i="64"/>
  <c r="BN1306" i="64"/>
  <c r="BN1293" i="64"/>
  <c r="BN1302" i="64"/>
  <c r="CN1255" i="64"/>
  <c r="BA1255" i="64"/>
  <c r="BA1257" i="64"/>
  <c r="BA1258" i="64"/>
  <c r="BA1208" i="64"/>
  <c r="BN1256" i="64"/>
  <c r="BN1333" i="64"/>
  <c r="N1285" i="64"/>
  <c r="AN1279" i="64"/>
  <c r="AN1324" i="64"/>
  <c r="BA1302" i="64"/>
  <c r="N1282" i="64"/>
  <c r="CA1264" i="64"/>
  <c r="DA1259" i="64"/>
  <c r="BA1332" i="64"/>
  <c r="BN1232" i="64"/>
  <c r="BN1313" i="64"/>
  <c r="BA1227" i="64"/>
  <c r="BA1322" i="64"/>
  <c r="CA1320" i="64"/>
  <c r="CN1251" i="64"/>
  <c r="AA1304" i="64"/>
  <c r="CN1246" i="64"/>
  <c r="BA1298" i="64"/>
  <c r="BA1275" i="64"/>
  <c r="CN1217" i="64"/>
  <c r="AN1323" i="64"/>
  <c r="AA1326" i="64"/>
  <c r="CA1230" i="64"/>
  <c r="DA1256" i="64"/>
  <c r="CN1259" i="64"/>
  <c r="DA1257" i="64"/>
  <c r="CA1205" i="64"/>
  <c r="BA1283" i="64"/>
  <c r="CA1292" i="64"/>
  <c r="BN1245" i="64"/>
  <c r="BA1292" i="64"/>
  <c r="N1276" i="64"/>
  <c r="BN1315" i="64"/>
  <c r="CN1252" i="64"/>
  <c r="BA1224" i="64"/>
  <c r="BA1315" i="64"/>
  <c r="BN1291" i="64"/>
  <c r="CA1221" i="64"/>
  <c r="CA1241" i="64"/>
  <c r="AN1251" i="64"/>
  <c r="N1315" i="64"/>
  <c r="CA1299" i="64"/>
  <c r="BN1324" i="64"/>
  <c r="CN1233" i="64"/>
  <c r="BN1215" i="64"/>
  <c r="CA1329" i="64"/>
  <c r="BN1336" i="64"/>
  <c r="AA1278" i="64"/>
  <c r="BA1306" i="64"/>
  <c r="BA1303" i="64"/>
  <c r="AA1327" i="64"/>
  <c r="BA1245" i="64"/>
  <c r="BN1227" i="64"/>
  <c r="AN1248" i="64"/>
  <c r="BA1277" i="64"/>
  <c r="DA1225" i="64"/>
  <c r="CA1214" i="64"/>
  <c r="AN1247" i="64"/>
  <c r="DA1244" i="64"/>
  <c r="BA1288" i="64"/>
  <c r="CN1247" i="64"/>
  <c r="AN1321" i="64"/>
  <c r="CA1234" i="64"/>
  <c r="AA1318" i="64"/>
  <c r="CN1244" i="64"/>
  <c r="BA1305" i="64"/>
  <c r="AN1244" i="64"/>
  <c r="BN1240" i="64"/>
  <c r="AN1243" i="64"/>
  <c r="BA1223" i="64"/>
  <c r="AN1282" i="64"/>
  <c r="BA1256" i="64"/>
  <c r="BN1338" i="64"/>
  <c r="BN1204" i="64"/>
  <c r="N1339" i="64"/>
  <c r="AA1280" i="64"/>
  <c r="BA1207" i="64"/>
  <c r="AN1293" i="64"/>
  <c r="AA1282" i="64"/>
  <c r="CA1260" i="64"/>
  <c r="CA1337" i="64"/>
  <c r="BA1331" i="64"/>
  <c r="AN1206" i="64"/>
  <c r="CA1254" i="64"/>
  <c r="AN1260" i="64"/>
  <c r="BA1263" i="64"/>
  <c r="CA1261" i="64"/>
  <c r="CA1306" i="64"/>
  <c r="CA1201" i="64"/>
  <c r="N1287" i="64"/>
  <c r="BA1260" i="64"/>
  <c r="N1334" i="64"/>
  <c r="AA1340" i="64"/>
  <c r="BN1331" i="64"/>
  <c r="CN1209" i="64"/>
  <c r="BA1229" i="64"/>
  <c r="CA1309" i="64"/>
  <c r="AN1315" i="64"/>
  <c r="BA1326" i="64"/>
  <c r="N1298" i="64"/>
  <c r="AN1288" i="64"/>
  <c r="BA1231" i="64"/>
  <c r="BN1321" i="64"/>
  <c r="N1318" i="64"/>
  <c r="AN1240" i="64"/>
  <c r="BN1284" i="64"/>
  <c r="BN1244" i="64"/>
  <c r="BN1317" i="64"/>
  <c r="CA1210" i="64"/>
  <c r="AA1314" i="64"/>
  <c r="AA1321" i="64"/>
  <c r="DA1214" i="64"/>
  <c r="CA1318" i="64"/>
  <c r="AN1276" i="64"/>
  <c r="BN1297" i="64"/>
  <c r="AN1220" i="64"/>
  <c r="N1316" i="64"/>
  <c r="AA1336" i="64"/>
  <c r="CA1204" i="64"/>
  <c r="N1332" i="64"/>
  <c r="BA1206" i="64"/>
  <c r="BN1202" i="64"/>
  <c r="AN1275" i="64"/>
  <c r="BN1328" i="64"/>
  <c r="BN1242" i="64"/>
  <c r="AN1340" i="64"/>
  <c r="CA1211" i="64"/>
  <c r="BN1209" i="64"/>
  <c r="BN1220" i="64"/>
  <c r="BA1316" i="64"/>
  <c r="AN1337" i="64"/>
  <c r="N1278" i="64"/>
  <c r="CA1209" i="64"/>
  <c r="AN1216" i="64"/>
  <c r="BA1307" i="64"/>
  <c r="N1310" i="64"/>
  <c r="AN1310" i="64"/>
  <c r="CA1332" i="64"/>
  <c r="AN1300" i="64"/>
  <c r="AN1281" i="64"/>
  <c r="N1303" i="64"/>
  <c r="BA1317" i="64"/>
  <c r="N1296" i="64"/>
  <c r="N1291" i="64"/>
  <c r="AN1221" i="64"/>
  <c r="BN1222" i="64"/>
  <c r="BA1299" i="64"/>
  <c r="CN1238" i="64"/>
  <c r="DA1203" i="64"/>
  <c r="BN1224" i="64"/>
  <c r="AA1296" i="64"/>
  <c r="BN1325" i="64"/>
  <c r="AN1208" i="64"/>
  <c r="AN1242" i="64"/>
  <c r="BA1259" i="64"/>
  <c r="AN1285" i="64"/>
  <c r="CN1232" i="64"/>
  <c r="AN1229" i="64"/>
  <c r="AA1311" i="64"/>
  <c r="CN1229" i="64"/>
  <c r="BN1327" i="64"/>
  <c r="CA1248" i="64"/>
  <c r="CA1203" i="64"/>
  <c r="N1299" i="64"/>
  <c r="DA1230" i="64"/>
  <c r="BN1203" i="64"/>
  <c r="CA1224" i="64"/>
  <c r="BN1230" i="64"/>
  <c r="AN1326" i="64"/>
  <c r="BA1312" i="64"/>
  <c r="CA1246" i="64"/>
  <c r="DA1238" i="64"/>
  <c r="BA1293" i="64"/>
  <c r="AN1328" i="64"/>
  <c r="BA1338" i="64"/>
  <c r="CA1338" i="64"/>
  <c r="BN1252" i="64"/>
  <c r="BA1249" i="64"/>
  <c r="N1337" i="64"/>
  <c r="AN1313" i="64"/>
  <c r="BA1222" i="64"/>
  <c r="BA1225" i="64"/>
  <c r="CA1296" i="64"/>
  <c r="N1322" i="64"/>
  <c r="AA1335" i="64"/>
  <c r="AA1283" i="64"/>
  <c r="AN1218" i="64"/>
  <c r="CA1275" i="64"/>
  <c r="BA1309" i="64"/>
  <c r="DA1222" i="64"/>
  <c r="AA1325" i="64"/>
  <c r="CA1323" i="64"/>
  <c r="N1326" i="64"/>
  <c r="BN1295" i="64"/>
  <c r="DA1201" i="64"/>
  <c r="CA1225" i="64"/>
  <c r="AA1323" i="64"/>
  <c r="AN1217" i="64"/>
  <c r="BN1323" i="64"/>
  <c r="AN1290" i="64"/>
  <c r="CA1307" i="64"/>
  <c r="N1330" i="64"/>
  <c r="CA1330" i="64"/>
  <c r="CN1211" i="64"/>
  <c r="BA1226" i="64"/>
  <c r="CA1239" i="64"/>
  <c r="AN1292" i="64"/>
  <c r="CA1237" i="64"/>
  <c r="AA1286" i="64"/>
  <c r="AN1234" i="64"/>
  <c r="CN1222" i="64"/>
  <c r="BA1217" i="64"/>
  <c r="AA1312" i="64"/>
  <c r="AA1277" i="64"/>
  <c r="CA1251" i="64"/>
  <c r="N1304" i="64"/>
  <c r="BA1246" i="64"/>
  <c r="AN1238" i="64"/>
  <c r="N1277" i="64"/>
  <c r="AN1295" i="64"/>
  <c r="AA1290" i="64"/>
  <c r="BA1254" i="64"/>
  <c r="AA1338" i="64"/>
  <c r="AA1337" i="64"/>
  <c r="CA1335" i="64"/>
  <c r="BA1280" i="64"/>
  <c r="CA1311" i="64"/>
  <c r="CA1286" i="64"/>
  <c r="AA1309" i="64"/>
  <c r="BN1247" i="64"/>
  <c r="N1317" i="64"/>
  <c r="CA1216" i="64"/>
  <c r="CA1213" i="64"/>
  <c r="BA1310" i="64"/>
  <c r="BN1236" i="64"/>
  <c r="CA1278" i="64"/>
  <c r="AN1278" i="64"/>
  <c r="CA1207" i="64"/>
  <c r="BA1218" i="64"/>
  <c r="BA1240" i="64"/>
  <c r="CA1244" i="64"/>
  <c r="AN1308" i="64"/>
  <c r="BN1201" i="64"/>
  <c r="BN1254" i="64"/>
  <c r="BN1316" i="64"/>
  <c r="CA1242" i="64"/>
  <c r="BA1335" i="64"/>
  <c r="N1300" i="64"/>
  <c r="DA1237" i="64"/>
  <c r="N1301" i="64"/>
  <c r="N1314" i="64"/>
  <c r="CN1202" i="64"/>
  <c r="BA1219" i="64"/>
  <c r="CN1254" i="64"/>
  <c r="AN1255" i="64"/>
  <c r="AN1330" i="64"/>
  <c r="AN1211" i="64"/>
  <c r="DA1221" i="64"/>
  <c r="AN1299" i="64"/>
  <c r="BA1278" i="64"/>
  <c r="DA1229" i="64"/>
  <c r="DA1217" i="64"/>
  <c r="BN1238" i="64"/>
  <c r="BA1251" i="64"/>
  <c r="BA1330" i="64"/>
  <c r="AN1335" i="64"/>
  <c r="BN1319" i="64"/>
  <c r="BN1301" i="64"/>
  <c r="BN1218" i="64"/>
  <c r="AN1202" i="64"/>
  <c r="AA1320" i="64"/>
  <c r="N1295" i="64"/>
  <c r="AN1241" i="64"/>
  <c r="AA1291" i="64"/>
  <c r="BN1312" i="64"/>
  <c r="BA1241" i="64"/>
  <c r="AN1224" i="64"/>
  <c r="DA1241" i="64"/>
  <c r="AA1299" i="64"/>
  <c r="BA1250" i="64"/>
  <c r="CN1216" i="64"/>
  <c r="BA1328" i="64"/>
  <c r="BN1260" i="64"/>
  <c r="BA1336" i="64"/>
  <c r="CA1257" i="64"/>
  <c r="BN1335" i="64"/>
  <c r="AN1237" i="64"/>
  <c r="BA1253" i="64"/>
  <c r="DA1245" i="64"/>
  <c r="AN1212" i="64"/>
  <c r="CN1248" i="64"/>
  <c r="AN1246" i="64"/>
  <c r="AN1225" i="64"/>
  <c r="BA1304" i="64"/>
  <c r="N1320" i="64"/>
  <c r="CA1298" i="64"/>
  <c r="AN1249" i="64"/>
  <c r="CA1217" i="64"/>
  <c r="AN1304" i="64"/>
  <c r="BA1252" i="64"/>
  <c r="AN1230" i="64"/>
  <c r="BA1228" i="64"/>
  <c r="CA1294" i="64"/>
  <c r="DA1242" i="64"/>
  <c r="AN1336" i="64"/>
  <c r="AN1204" i="64"/>
  <c r="BA1209" i="64"/>
  <c r="BA1319" i="64"/>
  <c r="CA1253" i="64"/>
  <c r="BN1235" i="64"/>
  <c r="AN1314" i="64"/>
  <c r="CA1202" i="64"/>
  <c r="DA1223" i="64"/>
  <c r="DA1233" i="64"/>
  <c r="CA1256" i="64"/>
  <c r="CA1266" i="64"/>
  <c r="BA1261" i="64"/>
  <c r="BA1279" i="64"/>
  <c r="N1281" i="64"/>
  <c r="N1292" i="64"/>
  <c r="CA1240" i="64"/>
  <c r="N1284" i="64"/>
  <c r="CA1243" i="64"/>
  <c r="BA1297" i="64"/>
  <c r="CA1220" i="64"/>
  <c r="BN1329" i="64"/>
  <c r="CA1263" i="64"/>
  <c r="BA1285" i="64"/>
  <c r="AA1279" i="64"/>
  <c r="CN1237" i="64"/>
  <c r="BN1309" i="64"/>
  <c r="BA1234" i="64"/>
  <c r="BN1318" i="64"/>
  <c r="BA1290" i="64"/>
  <c r="DA1254" i="64"/>
  <c r="CA1334" i="64"/>
  <c r="CA1336" i="64"/>
  <c r="CA1265" i="64"/>
  <c r="AN1339" i="64"/>
  <c r="CA1315" i="64"/>
  <c r="AN1223" i="64"/>
  <c r="AN1280" i="64"/>
  <c r="CN1218" i="64"/>
  <c r="AA1295" i="64"/>
  <c r="CN1203" i="64"/>
  <c r="AN1219" i="64"/>
  <c r="AN1333" i="64"/>
  <c r="AN1332" i="64"/>
  <c r="AN1303" i="64"/>
  <c r="BA1237" i="64"/>
  <c r="CA1301" i="64"/>
  <c r="CN1201" i="64"/>
  <c r="CA1326" i="64"/>
  <c r="BA1238" i="64"/>
  <c r="AN1277" i="64"/>
  <c r="BA1325" i="64"/>
  <c r="BA1230" i="64"/>
  <c r="CA1277" i="64"/>
  <c r="BN1221" i="64"/>
  <c r="BA1203" i="64"/>
  <c r="DA1224" i="64"/>
  <c r="BN1219" i="64"/>
  <c r="BN1290" i="64"/>
  <c r="CA1215" i="64"/>
  <c r="AN1341" i="64"/>
  <c r="BA1333" i="64"/>
  <c r="CA1331" i="64"/>
  <c r="AN1205" i="64"/>
  <c r="N1311" i="64"/>
  <c r="N1327" i="64"/>
  <c r="CN1245" i="64"/>
  <c r="BN1275" i="64"/>
  <c r="AN1201" i="64"/>
  <c r="BN1326" i="64"/>
  <c r="BN1298" i="64"/>
  <c r="BN1241" i="64"/>
  <c r="AN1252" i="64"/>
  <c r="CA1295" i="64"/>
  <c r="BA1201" i="64"/>
  <c r="AN1325" i="64"/>
  <c r="CA1249" i="64"/>
  <c r="CA1291" i="64"/>
  <c r="DA1249" i="64"/>
  <c r="CA1228" i="64"/>
  <c r="AA1289" i="64"/>
  <c r="DA1236" i="64"/>
  <c r="DA1262" i="64"/>
  <c r="CN1261" i="64"/>
  <c r="BA1313" i="64"/>
  <c r="AN1319" i="64"/>
  <c r="AN1227" i="64"/>
  <c r="DA1231" i="64"/>
  <c r="BA1318" i="64"/>
  <c r="CN1250" i="64"/>
  <c r="DA1228" i="64"/>
  <c r="N1328" i="64"/>
  <c r="BA1264" i="64"/>
  <c r="AA1333" i="64"/>
  <c r="CA1285" i="64"/>
  <c r="CA1206" i="64"/>
  <c r="DA1239" i="64"/>
  <c r="CA1327" i="64"/>
  <c r="BA1243" i="64"/>
  <c r="CN1234" i="64"/>
  <c r="DA1243" i="64"/>
  <c r="CA1297" i="64"/>
  <c r="BA1248" i="64"/>
  <c r="CN1256" i="64"/>
  <c r="CN1266" i="64"/>
  <c r="BA1339" i="64"/>
  <c r="AN1283" i="64"/>
  <c r="BN1229" i="64"/>
  <c r="BA1321" i="64"/>
  <c r="AN1317" i="64"/>
  <c r="BA1276" i="64"/>
  <c r="DA1213" i="64"/>
  <c r="CA1289" i="64"/>
  <c r="AA1310" i="64"/>
  <c r="N1333" i="64"/>
  <c r="AA1339" i="64"/>
  <c r="BN1279" i="64"/>
  <c r="N1319" i="64"/>
  <c r="AA1322" i="64"/>
  <c r="N1321" i="64"/>
  <c r="DA1251" i="64"/>
  <c r="BN1277" i="64"/>
  <c r="AN1232" i="64"/>
  <c r="AA1315" i="64"/>
  <c r="AN1298" i="64"/>
  <c r="CA1252" i="64"/>
  <c r="CN1215" i="64"/>
  <c r="N1280" i="64"/>
  <c r="AN1327" i="64"/>
  <c r="AN1296" i="64"/>
  <c r="CN1224" i="64"/>
  <c r="AA1287" i="64"/>
  <c r="DA1258" i="64"/>
  <c r="AN1231" i="64"/>
  <c r="N1289" i="64"/>
  <c r="AN1306" i="64"/>
  <c r="CA1308" i="64"/>
  <c r="BN1264" i="64"/>
  <c r="BA1301" i="64"/>
  <c r="BA1282" i="64"/>
  <c r="CA1226" i="64"/>
  <c r="BN1283" i="64"/>
  <c r="CA1305" i="64"/>
  <c r="BN1210" i="64"/>
  <c r="CA1317" i="64"/>
  <c r="AA1317" i="64"/>
  <c r="DA1248" i="64"/>
  <c r="AN1213" i="64"/>
  <c r="AN1215" i="64"/>
  <c r="CA1236" i="64"/>
  <c r="DA1263" i="64"/>
  <c r="CN1265" i="64"/>
  <c r="BN1207" i="64"/>
  <c r="BA1244" i="64"/>
  <c r="BA1202" i="64"/>
  <c r="BN1282" i="64"/>
  <c r="CA1255" i="64"/>
  <c r="AN1266" i="64"/>
  <c r="DA1265" i="64"/>
  <c r="DA1206" i="64"/>
  <c r="BN1237" i="64"/>
  <c r="AA1292" i="64"/>
  <c r="AA1324" i="64"/>
  <c r="N1302" i="64"/>
  <c r="CA1233" i="64"/>
  <c r="BA1220" i="64"/>
  <c r="BA1267" i="64"/>
  <c r="BN1263" i="64"/>
  <c r="AA1300" i="64"/>
  <c r="CA1279" i="64"/>
  <c r="BN1281" i="64"/>
  <c r="DA1253" i="64"/>
  <c r="BN1250" i="64"/>
  <c r="AA1297" i="64"/>
  <c r="AA1307" i="64"/>
  <c r="BA1289" i="64"/>
  <c r="AN1267" i="64"/>
  <c r="CN1262" i="64"/>
  <c r="CN1257" i="64"/>
  <c r="DA1209" i="64"/>
  <c r="BN1322" i="64"/>
  <c r="CN1228" i="64"/>
  <c r="AA1330" i="64"/>
  <c r="AN1259" i="64"/>
  <c r="BN1211" i="64"/>
  <c r="BA1205" i="64"/>
  <c r="AA1281" i="64"/>
  <c r="BN1303" i="64"/>
  <c r="CN1235" i="64"/>
  <c r="N1324" i="64"/>
  <c r="N1308" i="64"/>
  <c r="AN1289" i="64"/>
  <c r="CA1283" i="64"/>
  <c r="BN1233" i="64"/>
  <c r="AN1236" i="64"/>
  <c r="BN1285" i="64"/>
  <c r="AN1228" i="64"/>
  <c r="BA1233" i="64"/>
  <c r="BA1242" i="64"/>
  <c r="CA1339" i="64"/>
  <c r="CA1218" i="64"/>
  <c r="DA1220" i="64"/>
  <c r="BN1280" i="64"/>
  <c r="N1341" i="64"/>
  <c r="BN1265" i="64"/>
  <c r="AN1334" i="64"/>
  <c r="BA1221" i="64"/>
  <c r="BA1286" i="64"/>
  <c r="BN1217" i="64"/>
  <c r="BA1323" i="64"/>
  <c r="CA1238" i="64"/>
  <c r="DA1255" i="64"/>
  <c r="AN1245" i="64"/>
  <c r="AN1222" i="64"/>
  <c r="BN1299" i="64"/>
  <c r="BN1296" i="64"/>
  <c r="AA1341" i="64"/>
  <c r="CA1313" i="64"/>
  <c r="AN1284" i="64"/>
  <c r="BA1334" i="64"/>
  <c r="BA1311" i="64"/>
  <c r="CA1322" i="64"/>
  <c r="BN1266" i="64"/>
  <c r="BA1247" i="64"/>
  <c r="BN1289" i="64"/>
  <c r="DA1226" i="64"/>
  <c r="CA1229" i="64"/>
  <c r="AA1305" i="64"/>
  <c r="AA1308" i="64"/>
  <c r="BN1243" i="64"/>
  <c r="BN1276" i="64"/>
  <c r="CA1290" i="64"/>
  <c r="BN1307" i="64"/>
  <c r="BN1267" i="64"/>
  <c r="CA1341" i="64"/>
  <c r="DA1261" i="64"/>
  <c r="BN1261" i="64"/>
  <c r="CA1245" i="64"/>
  <c r="AN1318" i="64"/>
  <c r="AN1250" i="64"/>
  <c r="CA1328" i="64"/>
  <c r="N1338" i="64"/>
  <c r="CA1259" i="64"/>
  <c r="BA1300" i="64"/>
  <c r="N1306" i="64"/>
  <c r="AA1319" i="64"/>
  <c r="BA1327" i="64"/>
  <c r="BA1324" i="64"/>
  <c r="CA1287" i="64"/>
  <c r="N1307" i="64"/>
  <c r="AN1294" i="64"/>
  <c r="AN1256" i="64"/>
  <c r="CA1340" i="64"/>
  <c r="CN1204" i="64"/>
  <c r="BN1206" i="64"/>
  <c r="DA1212" i="64"/>
  <c r="CN1253" i="64"/>
  <c r="CA1219" i="64"/>
  <c r="CN1223" i="64"/>
  <c r="DA1208" i="64"/>
  <c r="AN1329" i="64"/>
  <c r="AA1329" i="64"/>
  <c r="CN1226" i="64"/>
  <c r="BN1257" i="64"/>
  <c r="CN1207" i="64"/>
  <c r="DA1219" i="64"/>
  <c r="CN1220" i="64"/>
  <c r="CN1260" i="64"/>
  <c r="BA1337" i="64"/>
  <c r="BN1258" i="64"/>
  <c r="CN1206" i="64"/>
  <c r="AA1313" i="64"/>
  <c r="BN1253" i="64"/>
  <c r="CN1241" i="64"/>
  <c r="DA1246" i="64"/>
  <c r="BN1304" i="64"/>
  <c r="BN1213" i="64"/>
  <c r="CA1303" i="64"/>
  <c r="CA1222" i="64"/>
  <c r="CN1227" i="64"/>
  <c r="BN1300" i="64"/>
  <c r="BN1239" i="64"/>
  <c r="BN1262" i="64"/>
  <c r="DA1205" i="64"/>
  <c r="DA1210" i="64"/>
  <c r="CA1293" i="64"/>
  <c r="AA1334" i="64"/>
  <c r="BA1262" i="64"/>
  <c r="AN1253" i="64"/>
  <c r="BN1310" i="64"/>
  <c r="CA1300" i="64"/>
  <c r="N1286" i="64"/>
  <c r="AN1316" i="64"/>
  <c r="AN1331" i="64"/>
  <c r="DA1227" i="64"/>
  <c r="N1290" i="64"/>
  <c r="BN1340" i="64"/>
  <c r="DA1218" i="64"/>
  <c r="CA1267" i="64"/>
  <c r="CA1232" i="64"/>
  <c r="AN1235" i="64"/>
  <c r="DA1207" i="64"/>
  <c r="BN1208" i="64"/>
  <c r="BN1311" i="64"/>
  <c r="CA1304" i="64"/>
  <c r="DA1252" i="64"/>
  <c r="BN1248" i="64"/>
  <c r="N1340" i="64"/>
  <c r="AN1309" i="64"/>
  <c r="AN1291" i="64"/>
  <c r="N1312" i="64"/>
  <c r="N1325" i="64"/>
  <c r="N1329" i="64"/>
  <c r="CN1212" i="64"/>
  <c r="CA1324" i="64"/>
  <c r="CA1333" i="64"/>
  <c r="BA1235" i="64"/>
  <c r="BN1228" i="64"/>
  <c r="BN1339" i="64"/>
  <c r="AA1276" i="64"/>
  <c r="BN1255" i="64"/>
  <c r="CN1205" i="64"/>
  <c r="BN1286" i="64"/>
  <c r="CN1231" i="64"/>
  <c r="BA1308" i="64"/>
  <c r="CA1247" i="64"/>
  <c r="DA1250" i="64"/>
  <c r="CA1302" i="64"/>
  <c r="CA1282" i="64"/>
  <c r="AN1338" i="64"/>
  <c r="CN1263" i="64"/>
  <c r="DA1204" i="64"/>
  <c r="AA1306" i="64"/>
  <c r="BN1292" i="64"/>
  <c r="BA1210" i="64"/>
  <c r="BA1287" i="64"/>
  <c r="BA1215" i="64"/>
  <c r="BN1334" i="64"/>
  <c r="BN1259" i="64"/>
  <c r="BN1332" i="64"/>
  <c r="BA1281" i="64"/>
  <c r="AA1303" i="64"/>
  <c r="AN1301" i="64"/>
  <c r="CA1223" i="64"/>
  <c r="CN1213" i="64"/>
  <c r="CN1208" i="64"/>
  <c r="AN1264" i="64"/>
  <c r="DA1264" i="64"/>
  <c r="DA1266" i="64"/>
  <c r="N1331" i="64"/>
  <c r="N1283" i="64"/>
  <c r="BA1212" i="64"/>
  <c r="CA1227" i="64"/>
  <c r="N1293" i="64"/>
  <c r="AA1302" i="64"/>
  <c r="AA1328" i="64"/>
  <c r="DA1260" i="64"/>
  <c r="AN1262" i="64"/>
  <c r="AA1285" i="64"/>
  <c r="N1335" i="64"/>
  <c r="AN1311" i="64"/>
  <c r="BA1216" i="64"/>
  <c r="AA1294" i="64"/>
  <c r="CN1242" i="64"/>
  <c r="AN1263" i="64"/>
  <c r="BN1278" i="64"/>
  <c r="BA1232" i="64"/>
  <c r="BA1239" i="64"/>
  <c r="AA1301" i="64"/>
  <c r="DA1202" i="64"/>
  <c r="BA1340" i="64"/>
  <c r="CA1235" i="64"/>
  <c r="DA1211" i="64"/>
  <c r="CN1221" i="64"/>
  <c r="CN1258" i="64"/>
  <c r="AN1302" i="64"/>
  <c r="AN1305" i="64"/>
  <c r="CN1264" i="64"/>
  <c r="AA1293" i="64"/>
  <c r="AN1286" i="64"/>
  <c r="CA1314" i="64"/>
  <c r="BA1213" i="64"/>
  <c r="BN1226" i="64"/>
  <c r="BN1234" i="64"/>
  <c r="N1313" i="64"/>
  <c r="DA1235" i="64"/>
  <c r="AN1254" i="64"/>
  <c r="CA1281" i="64"/>
  <c r="AN1287" i="64"/>
  <c r="BA1236" i="64"/>
  <c r="BA1204" i="64"/>
  <c r="BN1223" i="64"/>
  <c r="BA1265" i="64"/>
  <c r="CN1239" i="64"/>
  <c r="CM1306" i="64"/>
  <c r="CM1309" i="64"/>
  <c r="CM1290" i="64"/>
  <c r="DM1239" i="64"/>
  <c r="CM1301" i="64"/>
  <c r="DM1245" i="64"/>
  <c r="DM1208" i="64"/>
  <c r="DM1264" i="64"/>
  <c r="DM1229" i="64"/>
  <c r="DM1220" i="64"/>
  <c r="CM1340" i="64"/>
  <c r="CM1278" i="64"/>
  <c r="DM1228" i="64"/>
  <c r="DM1232" i="64"/>
  <c r="CM1332" i="64"/>
  <c r="CM1305" i="64"/>
  <c r="CM1321" i="64"/>
  <c r="CM1327" i="64"/>
  <c r="CM1294" i="64"/>
  <c r="CM1311" i="64"/>
  <c r="CM1325" i="64"/>
  <c r="CM1296" i="64"/>
  <c r="CM1335" i="64"/>
  <c r="DM1252" i="64"/>
  <c r="DM1230" i="64"/>
  <c r="DM1267" i="64"/>
  <c r="CM1308" i="64"/>
  <c r="DM1224" i="64"/>
  <c r="DM1247" i="64"/>
  <c r="DM1240" i="64"/>
  <c r="CK1167" i="64"/>
  <c r="DA1167" i="64" s="1"/>
  <c r="CM1285" i="64"/>
  <c r="DM1204" i="64"/>
  <c r="DM1248" i="64"/>
  <c r="CM1295" i="64"/>
  <c r="DM1242" i="64"/>
  <c r="DM1205" i="64"/>
  <c r="DM1207" i="64"/>
  <c r="DM1255" i="64"/>
  <c r="DM1213" i="64"/>
  <c r="CM1341" i="64"/>
  <c r="DM1265" i="64"/>
  <c r="CM1298" i="64"/>
  <c r="CM1287" i="64"/>
  <c r="DM1263" i="64"/>
  <c r="DM1262" i="64"/>
  <c r="CM1324" i="64"/>
  <c r="CM1282" i="64"/>
  <c r="CM1310" i="64"/>
  <c r="CM1291" i="64"/>
  <c r="CM1315" i="64"/>
  <c r="DM1233" i="64"/>
  <c r="DM1206" i="64"/>
  <c r="DM1222" i="64"/>
  <c r="CM1300" i="64"/>
  <c r="CM1275" i="64"/>
  <c r="CM1293" i="64"/>
  <c r="DM1249" i="64"/>
  <c r="DM1221" i="64"/>
  <c r="AN1593" i="79"/>
  <c r="AN1998" i="79"/>
  <c r="AO1511" i="79"/>
  <c r="AO1783" i="79" s="1"/>
  <c r="AO1485" i="79"/>
  <c r="AO1711" i="79" s="1"/>
  <c r="AO1524" i="79"/>
  <c r="AO1819" i="79" s="1"/>
  <c r="AO1550" i="79"/>
  <c r="AO1891" i="79" s="1"/>
  <c r="AO1537" i="79"/>
  <c r="AO1855" i="79" s="1"/>
  <c r="AO1888" i="79" s="1"/>
  <c r="AO1889" i="79" s="1"/>
  <c r="AO1563" i="79"/>
  <c r="AO1927" i="79" s="1"/>
  <c r="AO1589" i="79"/>
  <c r="AO1498" i="79"/>
  <c r="AO1747" i="79" s="1"/>
  <c r="AO1576" i="79"/>
  <c r="AO1963" i="79" s="1"/>
  <c r="AO1602" i="79"/>
  <c r="AO2034" i="79" s="1"/>
  <c r="AO2067" i="79" s="1"/>
  <c r="AO2068" i="79" s="1"/>
  <c r="AN1675" i="79"/>
  <c r="CM1276" i="64"/>
  <c r="DM1227" i="64"/>
  <c r="CM1307" i="64"/>
  <c r="DM1259" i="64"/>
  <c r="CM1331" i="64"/>
  <c r="CM1280" i="64"/>
  <c r="DM1226" i="64"/>
  <c r="CM1316" i="64"/>
  <c r="CM1304" i="64"/>
  <c r="CM1336" i="64"/>
  <c r="CM1334" i="64"/>
  <c r="DM1219" i="64"/>
  <c r="CM1279" i="64"/>
  <c r="CM1333" i="64"/>
  <c r="CM1277" i="64"/>
  <c r="DM1214" i="64"/>
  <c r="CM1303" i="64"/>
  <c r="CM1337" i="64"/>
  <c r="CM1339" i="64"/>
  <c r="DM1201" i="64"/>
  <c r="DM1256" i="64"/>
  <c r="CM1317" i="64"/>
  <c r="CM1322" i="64"/>
  <c r="DM1261" i="64"/>
  <c r="DM1210" i="64"/>
  <c r="DM1236" i="64"/>
  <c r="CM1281" i="64"/>
  <c r="DM1250" i="64"/>
  <c r="CM1289" i="64"/>
  <c r="CM1338" i="64"/>
  <c r="DM1225" i="64"/>
  <c r="CM1326" i="64"/>
  <c r="CM1312" i="64"/>
  <c r="DM1246" i="64"/>
  <c r="CM1283" i="64"/>
  <c r="CM1330" i="64"/>
  <c r="CM1328" i="64"/>
  <c r="DM1217" i="64"/>
  <c r="DM1258" i="64"/>
  <c r="CM1314" i="64"/>
  <c r="CM1297" i="64"/>
  <c r="DM1218" i="64"/>
  <c r="DM1209" i="64"/>
  <c r="DM1202" i="64"/>
  <c r="DM1254" i="64"/>
  <c r="CM1329" i="64"/>
  <c r="CM1302" i="64"/>
  <c r="DM1203" i="64"/>
  <c r="CM1299" i="64"/>
  <c r="CM1292" i="64"/>
  <c r="DM1257" i="64"/>
  <c r="DM1235" i="64"/>
  <c r="DM1266" i="64"/>
  <c r="DM1260" i="64"/>
  <c r="CM1323" i="64"/>
  <c r="DM1251" i="64"/>
  <c r="DM1243" i="64"/>
  <c r="A61" i="71"/>
  <c r="A158" i="71" s="1"/>
  <c r="Y391" i="40"/>
  <c r="CY1077" i="64"/>
  <c r="DO1077" i="64" s="1"/>
  <c r="Y407" i="40"/>
  <c r="Y417" i="40"/>
  <c r="Y404" i="40"/>
  <c r="Y436" i="40"/>
  <c r="N1004" i="64"/>
  <c r="N1075" i="64" s="1"/>
  <c r="Q1411" i="64"/>
  <c r="T719" i="79" s="1"/>
  <c r="T720" i="79" s="1"/>
  <c r="Q1410" i="64"/>
  <c r="T714" i="79" s="1"/>
  <c r="T715" i="79" s="1"/>
  <c r="Y401" i="40"/>
  <c r="Y411" i="40"/>
  <c r="Y406" i="40"/>
  <c r="Y392" i="40"/>
  <c r="R1394" i="79"/>
  <c r="Y408" i="40"/>
  <c r="Y440" i="40"/>
  <c r="P573" i="74"/>
  <c r="P565" i="74"/>
  <c r="Y410" i="40"/>
  <c r="N1015" i="64"/>
  <c r="N1086" i="64" s="1"/>
  <c r="N989" i="64"/>
  <c r="N1060" i="64" s="1"/>
  <c r="N1012" i="64"/>
  <c r="N1083" i="64" s="1"/>
  <c r="N1042" i="64"/>
  <c r="N1113" i="64" s="1"/>
  <c r="CY1109" i="64"/>
  <c r="CY1102" i="64"/>
  <c r="DO1102" i="64" s="1"/>
  <c r="CK1136" i="64"/>
  <c r="DA1136" i="64" s="1"/>
  <c r="N988" i="64"/>
  <c r="N1059" i="64" s="1"/>
  <c r="N1028" i="64"/>
  <c r="N1099" i="64" s="1"/>
  <c r="P242" i="74"/>
  <c r="E203" i="40" s="1"/>
  <c r="R1392" i="79"/>
  <c r="Q1409" i="64"/>
  <c r="T709" i="79" s="1"/>
  <c r="T712" i="79" s="1"/>
  <c r="S1400" i="79"/>
  <c r="R1391" i="79"/>
  <c r="P229" i="74"/>
  <c r="P557" i="74"/>
  <c r="T619" i="79"/>
  <c r="T618" i="79"/>
  <c r="T620" i="79"/>
  <c r="T602" i="79"/>
  <c r="T603" i="79"/>
  <c r="T604" i="79"/>
  <c r="U600" i="79"/>
  <c r="T783" i="79"/>
  <c r="U783" i="79" s="1"/>
  <c r="U782" i="79"/>
  <c r="O641" i="79" s="1"/>
  <c r="I384" i="40" s="1"/>
  <c r="Q1408" i="64"/>
  <c r="T704" i="79" s="1"/>
  <c r="T2308" i="79" s="1"/>
  <c r="T2312" i="79" s="1"/>
  <c r="T2296" i="79"/>
  <c r="T2295" i="79" s="1"/>
  <c r="T747" i="79"/>
  <c r="U747" i="79" s="1"/>
  <c r="T751" i="79"/>
  <c r="U751" i="79" s="1"/>
  <c r="T748" i="79"/>
  <c r="U748" i="79" s="1"/>
  <c r="T752" i="79"/>
  <c r="U752" i="79" s="1"/>
  <c r="U746" i="79"/>
  <c r="I647" i="79" s="1"/>
  <c r="Q1403" i="64"/>
  <c r="T682" i="79" s="1"/>
  <c r="T2204" i="79"/>
  <c r="T2203" i="79" s="1"/>
  <c r="T2221" i="79" s="1"/>
  <c r="T2222" i="79" s="1"/>
  <c r="T806" i="79"/>
  <c r="U806" i="79" s="1"/>
  <c r="U805" i="79"/>
  <c r="U637" i="79" s="1"/>
  <c r="Q1405" i="64"/>
  <c r="T692" i="79" s="1"/>
  <c r="T815" i="79"/>
  <c r="U815" i="79" s="1"/>
  <c r="U814" i="79"/>
  <c r="T595" i="79"/>
  <c r="T599" i="79"/>
  <c r="T596" i="79"/>
  <c r="T594" i="79"/>
  <c r="T809" i="79"/>
  <c r="U809" i="79" s="1"/>
  <c r="U808" i="79"/>
  <c r="U639" i="79" s="1"/>
  <c r="T789" i="79"/>
  <c r="U789" i="79" s="1"/>
  <c r="U788" i="79"/>
  <c r="O645" i="79" s="1"/>
  <c r="P569" i="74"/>
  <c r="S586" i="79"/>
  <c r="AV1274" i="64"/>
  <c r="CI1200" i="64"/>
  <c r="P241" i="74"/>
  <c r="E202" i="40" s="1"/>
  <c r="O1396" i="79"/>
  <c r="BW1200" i="64"/>
  <c r="AJ1274" i="64"/>
  <c r="N1200" i="64"/>
  <c r="N1053" i="64"/>
  <c r="Q110" i="85"/>
  <c r="P188" i="85" s="1"/>
  <c r="Q188" i="85" s="1"/>
  <c r="Q90" i="85"/>
  <c r="Q34" i="85"/>
  <c r="Q61" i="85" s="1"/>
  <c r="Q88" i="85" s="1"/>
  <c r="Q117" i="85" s="1"/>
  <c r="Q5" i="85"/>
  <c r="Z1200" i="64"/>
  <c r="AM1200" i="64" s="1"/>
  <c r="Z1053" i="64"/>
  <c r="M16" i="80"/>
  <c r="M72" i="83"/>
  <c r="P566" i="74"/>
  <c r="L1274" i="64"/>
  <c r="AY1200" i="64"/>
  <c r="Q1402" i="64"/>
  <c r="T677" i="79" s="1"/>
  <c r="T2181" i="79"/>
  <c r="T576" i="79"/>
  <c r="T580" i="79"/>
  <c r="T575" i="79"/>
  <c r="T577" i="79"/>
  <c r="T727" i="79"/>
  <c r="T728" i="79"/>
  <c r="U728" i="79" s="1"/>
  <c r="U726" i="79"/>
  <c r="T830" i="79"/>
  <c r="U830" i="79" s="1"/>
  <c r="U653" i="79" s="1"/>
  <c r="U829" i="79"/>
  <c r="Q1407" i="64"/>
  <c r="T699" i="79" s="1"/>
  <c r="T2273" i="79"/>
  <c r="T755" i="79"/>
  <c r="U755" i="79" s="1"/>
  <c r="T756" i="79"/>
  <c r="U756" i="79" s="1"/>
  <c r="U754" i="79"/>
  <c r="I651" i="79" s="1"/>
  <c r="T572" i="79"/>
  <c r="T568" i="79"/>
  <c r="U568" i="79" s="1"/>
  <c r="C3254" i="79" s="1"/>
  <c r="T567" i="79"/>
  <c r="T569" i="79"/>
  <c r="U569" i="79" s="1"/>
  <c r="C3255" i="79" s="1"/>
  <c r="U565" i="79"/>
  <c r="T731" i="79"/>
  <c r="U731" i="79" s="1"/>
  <c r="T732" i="79"/>
  <c r="U732" i="79" s="1"/>
  <c r="U730" i="79"/>
  <c r="I639" i="79" s="1"/>
  <c r="T795" i="79"/>
  <c r="U795" i="79" s="1"/>
  <c r="U794" i="79"/>
  <c r="O649" i="79" s="1"/>
  <c r="T821" i="79"/>
  <c r="U821" i="79" s="1"/>
  <c r="U820" i="79"/>
  <c r="U647" i="79" s="1"/>
  <c r="T801" i="79"/>
  <c r="U801" i="79" s="1"/>
  <c r="U800" i="79"/>
  <c r="O653" i="79" s="1"/>
  <c r="P575" i="74"/>
  <c r="AQ369" i="79"/>
  <c r="AQ328" i="79"/>
  <c r="AQ123" i="79"/>
  <c r="AQ82" i="79"/>
  <c r="AQ492" i="79"/>
  <c r="AQ246" i="79"/>
  <c r="AQ6" i="79"/>
  <c r="AQ451" i="79"/>
  <c r="AQ205" i="79"/>
  <c r="AQ287" i="79"/>
  <c r="AQ410" i="79"/>
  <c r="R632" i="79"/>
  <c r="S2272" i="79"/>
  <c r="S1389" i="79"/>
  <c r="S562" i="79"/>
  <c r="P577" i="74"/>
  <c r="R137" i="77"/>
  <c r="Q565" i="73"/>
  <c r="Q577" i="73"/>
  <c r="Q566" i="73"/>
  <c r="Q576" i="73"/>
  <c r="Q578" i="73"/>
  <c r="Q599" i="73"/>
  <c r="Q605" i="73" s="1"/>
  <c r="R605" i="73" s="1"/>
  <c r="E619" i="64" s="1"/>
  <c r="Q587" i="73"/>
  <c r="Q593" i="73" s="1"/>
  <c r="Q600" i="73"/>
  <c r="BG1126" i="64"/>
  <c r="CH1053" i="64"/>
  <c r="BT1126" i="64" s="1"/>
  <c r="S605" i="79"/>
  <c r="P578" i="74"/>
  <c r="K1126" i="64"/>
  <c r="AL1053" i="64"/>
  <c r="T744" i="79"/>
  <c r="U744" i="79" s="1"/>
  <c r="T743" i="79"/>
  <c r="U743" i="79" s="1"/>
  <c r="U742" i="79"/>
  <c r="I645" i="79" s="1"/>
  <c r="T763" i="79"/>
  <c r="U763" i="79" s="1"/>
  <c r="T764" i="79"/>
  <c r="U764" i="79" s="1"/>
  <c r="U762" i="79"/>
  <c r="I655" i="79" s="1"/>
  <c r="T628" i="79"/>
  <c r="U628" i="79" s="1"/>
  <c r="C3314" i="79" s="1"/>
  <c r="T626" i="79"/>
  <c r="T627" i="79"/>
  <c r="U627" i="79" s="1"/>
  <c r="C3313" i="79" s="1"/>
  <c r="U624" i="79"/>
  <c r="T739" i="79"/>
  <c r="U739" i="79" s="1"/>
  <c r="T740" i="79"/>
  <c r="U740" i="79" s="1"/>
  <c r="U738" i="79"/>
  <c r="I643" i="79" s="1"/>
  <c r="T610" i="79"/>
  <c r="T611" i="79"/>
  <c r="U611" i="79" s="1"/>
  <c r="C3297" i="79" s="1"/>
  <c r="T612" i="79"/>
  <c r="U612" i="79" s="1"/>
  <c r="C3298" i="79" s="1"/>
  <c r="U608" i="79"/>
  <c r="T827" i="79"/>
  <c r="U827" i="79" s="1"/>
  <c r="U826" i="79"/>
  <c r="U651" i="79" s="1"/>
  <c r="T2228" i="79"/>
  <c r="T2251" i="79"/>
  <c r="T2343" i="79"/>
  <c r="T2320" i="79"/>
  <c r="T2366" i="79"/>
  <c r="T759" i="79"/>
  <c r="U759" i="79" s="1"/>
  <c r="T760" i="79"/>
  <c r="U760" i="79" s="1"/>
  <c r="U758" i="79"/>
  <c r="I653" i="79" s="1"/>
  <c r="T583" i="79"/>
  <c r="T584" i="79"/>
  <c r="U584" i="79" s="1"/>
  <c r="C3270" i="79" s="1"/>
  <c r="T585" i="79"/>
  <c r="T588" i="79"/>
  <c r="T767" i="79"/>
  <c r="U767" i="79" s="1"/>
  <c r="T768" i="79"/>
  <c r="U768" i="79" s="1"/>
  <c r="U766" i="79"/>
  <c r="I657" i="79" s="1"/>
  <c r="T818" i="79"/>
  <c r="U818" i="79" s="1"/>
  <c r="U817" i="79"/>
  <c r="T786" i="79"/>
  <c r="U786" i="79" s="1"/>
  <c r="U785" i="79"/>
  <c r="O643" i="79" s="1"/>
  <c r="T812" i="79"/>
  <c r="U812" i="79" s="1"/>
  <c r="U811" i="79"/>
  <c r="U641" i="79" s="1"/>
  <c r="S570" i="79"/>
  <c r="BV1053" i="64"/>
  <c r="AU1126" i="64"/>
  <c r="O219" i="85"/>
  <c r="O221" i="85" s="1"/>
  <c r="S613" i="79"/>
  <c r="CU1200" i="64"/>
  <c r="BU1274" i="64" s="1"/>
  <c r="BH1274" i="64"/>
  <c r="AP164" i="79"/>
  <c r="Z411" i="40" s="1"/>
  <c r="AI1126" i="64"/>
  <c r="BJ1053" i="64"/>
  <c r="BK1200" i="64"/>
  <c r="X1274" i="64"/>
  <c r="P568" i="74"/>
  <c r="P220" i="85"/>
  <c r="P218" i="85"/>
  <c r="S701" i="79"/>
  <c r="S702" i="79"/>
  <c r="S700" i="79"/>
  <c r="P567" i="74"/>
  <c r="P576" i="74"/>
  <c r="P244" i="74"/>
  <c r="E205" i="40" s="1"/>
  <c r="P560" i="74"/>
  <c r="P581" i="74" s="1"/>
  <c r="P602" i="74" s="1"/>
  <c r="P623" i="74" s="1"/>
  <c r="P648" i="74" s="1"/>
  <c r="P658" i="74" s="1"/>
  <c r="P359" i="74"/>
  <c r="T560" i="79"/>
  <c r="T561" i="79"/>
  <c r="T559" i="79"/>
  <c r="T564" i="79"/>
  <c r="U557" i="79"/>
  <c r="T780" i="79"/>
  <c r="U780" i="79" s="1"/>
  <c r="I649" i="79" s="1"/>
  <c r="U779" i="79"/>
  <c r="O639" i="79" s="1"/>
  <c r="Q1404" i="64"/>
  <c r="T687" i="79" s="1"/>
  <c r="T2319" i="79"/>
  <c r="T2342" i="79"/>
  <c r="T2365" i="79"/>
  <c r="T2227" i="79"/>
  <c r="T2250" i="79"/>
  <c r="T735" i="79"/>
  <c r="U735" i="79" s="1"/>
  <c r="T736" i="79"/>
  <c r="U736" i="79" s="1"/>
  <c r="U734" i="79"/>
  <c r="Q1400" i="64"/>
  <c r="T665" i="79" s="1"/>
  <c r="T2134" i="79"/>
  <c r="T2133" i="79" s="1"/>
  <c r="T771" i="79"/>
  <c r="U771" i="79" s="1"/>
  <c r="T772" i="79"/>
  <c r="U772" i="79" s="1"/>
  <c r="U770" i="79"/>
  <c r="I659" i="79" s="1"/>
  <c r="Q1401" i="64"/>
  <c r="T672" i="79" s="1"/>
  <c r="T2158" i="79"/>
  <c r="T2157" i="79" s="1"/>
  <c r="T792" i="79"/>
  <c r="U792" i="79" s="1"/>
  <c r="U791" i="79"/>
  <c r="O647" i="79" s="1"/>
  <c r="T551" i="79"/>
  <c r="T553" i="79"/>
  <c r="T556" i="79"/>
  <c r="T552" i="79"/>
  <c r="U548" i="79"/>
  <c r="T798" i="79"/>
  <c r="U798" i="79" s="1"/>
  <c r="U797" i="79"/>
  <c r="O651" i="79" s="1"/>
  <c r="T777" i="79"/>
  <c r="U776" i="79"/>
  <c r="O637" i="79" s="1"/>
  <c r="T824" i="79"/>
  <c r="U824" i="79" s="1"/>
  <c r="U823" i="79"/>
  <c r="U649" i="79" s="1"/>
  <c r="BR223" i="65"/>
  <c r="AD859" i="64" s="1"/>
  <c r="BD859" i="64" s="1"/>
  <c r="BR225" i="65"/>
  <c r="AD861" i="64" s="1"/>
  <c r="AQ861" i="64" s="1"/>
  <c r="BR229" i="65"/>
  <c r="AD865" i="64" s="1"/>
  <c r="BD865" i="64" s="1"/>
  <c r="BR222" i="65"/>
  <c r="AD858" i="64" s="1"/>
  <c r="AQ858" i="64" s="1"/>
  <c r="BR220" i="65"/>
  <c r="AD856" i="64" s="1"/>
  <c r="BD856" i="64" s="1"/>
  <c r="BR227" i="65"/>
  <c r="AD863" i="64" s="1"/>
  <c r="AQ863" i="64" s="1"/>
  <c r="BR231" i="65"/>
  <c r="AD867" i="64" s="1"/>
  <c r="BD867" i="64" s="1"/>
  <c r="BR221" i="65"/>
  <c r="AD857" i="64" s="1"/>
  <c r="BD857" i="64" s="1"/>
  <c r="BR228" i="65"/>
  <c r="AD864" i="64" s="1"/>
  <c r="AQ864" i="64" s="1"/>
  <c r="BR230" i="65"/>
  <c r="AD866" i="64" s="1"/>
  <c r="BD866" i="64" s="1"/>
  <c r="BR224" i="65"/>
  <c r="AD860" i="64" s="1"/>
  <c r="BD860" i="64" s="1"/>
  <c r="BR226" i="65"/>
  <c r="R2292" i="79"/>
  <c r="R2293" i="79" s="1"/>
  <c r="R2294" i="79" s="1"/>
  <c r="S578" i="79"/>
  <c r="S1393" i="79"/>
  <c r="P574" i="74"/>
  <c r="W1126" i="64"/>
  <c r="AX1053" i="64"/>
  <c r="R1390" i="79"/>
  <c r="Q54" i="73"/>
  <c r="Q487" i="73"/>
  <c r="M15" i="80"/>
  <c r="M71" i="83"/>
  <c r="P243" i="74"/>
  <c r="E204" i="40" s="1"/>
  <c r="AS686" i="64"/>
  <c r="AF686" i="64"/>
  <c r="AY828" i="64"/>
  <c r="AL828" i="64"/>
  <c r="AM757" i="64"/>
  <c r="AZ757" i="64"/>
  <c r="BA686" i="64"/>
  <c r="AN686" i="64"/>
  <c r="AC758" i="64"/>
  <c r="AC829" i="64"/>
  <c r="AC687" i="64"/>
  <c r="T758" i="64"/>
  <c r="T687" i="64"/>
  <c r="T829" i="64"/>
  <c r="U829" i="64"/>
  <c r="U687" i="64"/>
  <c r="U758" i="64"/>
  <c r="AO686" i="64"/>
  <c r="BB686" i="64"/>
  <c r="AJ757" i="64"/>
  <c r="AW757" i="64"/>
  <c r="AH757" i="64"/>
  <c r="AU757" i="64"/>
  <c r="AV828" i="64"/>
  <c r="AI828" i="64"/>
  <c r="AY757" i="64"/>
  <c r="AL757" i="64"/>
  <c r="AT686" i="64"/>
  <c r="AG686" i="64"/>
  <c r="BA828" i="64"/>
  <c r="AN828" i="64"/>
  <c r="X758" i="64"/>
  <c r="X687" i="64"/>
  <c r="X829" i="64"/>
  <c r="W687" i="64"/>
  <c r="W758" i="64"/>
  <c r="W829" i="64"/>
  <c r="AA687" i="64"/>
  <c r="AA758" i="64"/>
  <c r="AA829" i="64"/>
  <c r="BB828" i="64"/>
  <c r="AO828" i="64"/>
  <c r="AK828" i="64"/>
  <c r="AX828" i="64"/>
  <c r="AH828" i="64"/>
  <c r="AU828" i="64"/>
  <c r="AF828" i="64"/>
  <c r="AS828" i="64"/>
  <c r="AI757" i="64"/>
  <c r="AV757" i="64"/>
  <c r="AL686" i="64"/>
  <c r="AY686" i="64"/>
  <c r="AZ686" i="64"/>
  <c r="AM686" i="64"/>
  <c r="AG828" i="64"/>
  <c r="AT828" i="64"/>
  <c r="AN757" i="64"/>
  <c r="BA757" i="64"/>
  <c r="AB687" i="64"/>
  <c r="AB758" i="64"/>
  <c r="AB829" i="64"/>
  <c r="Y758" i="64"/>
  <c r="Y687" i="64"/>
  <c r="Y829" i="64"/>
  <c r="V758" i="64"/>
  <c r="V829" i="64"/>
  <c r="V687" i="64"/>
  <c r="BE27" i="65"/>
  <c r="BO26" i="65"/>
  <c r="BK26" i="65"/>
  <c r="BI26" i="65"/>
  <c r="BM26" i="65"/>
  <c r="BN26" i="65"/>
  <c r="BJ26" i="65"/>
  <c r="BR26" i="65"/>
  <c r="BL26" i="65"/>
  <c r="BP26" i="65"/>
  <c r="BQ26" i="65"/>
  <c r="BH26" i="65"/>
  <c r="BG26" i="65"/>
  <c r="AW686" i="64"/>
  <c r="AJ686" i="64"/>
  <c r="AK757" i="64"/>
  <c r="AX757" i="64"/>
  <c r="AH686" i="64"/>
  <c r="AU686" i="64"/>
  <c r="BV34" i="65"/>
  <c r="BS35" i="65"/>
  <c r="BS36" i="65" s="1"/>
  <c r="CD34" i="65"/>
  <c r="BU34" i="65"/>
  <c r="CC34" i="65"/>
  <c r="BZ34" i="65"/>
  <c r="BX34" i="65"/>
  <c r="CF34" i="65"/>
  <c r="CB34" i="65"/>
  <c r="BY34" i="65"/>
  <c r="BW34" i="65"/>
  <c r="CA34" i="65"/>
  <c r="CE34" i="65"/>
  <c r="AF757" i="64"/>
  <c r="AS757" i="64"/>
  <c r="AV686" i="64"/>
  <c r="AI686" i="64"/>
  <c r="AZ828" i="64"/>
  <c r="AM828" i="64"/>
  <c r="AG757" i="64"/>
  <c r="AT757" i="64"/>
  <c r="Z687" i="64"/>
  <c r="Z758" i="64"/>
  <c r="Z829" i="64"/>
  <c r="S687" i="64"/>
  <c r="S758" i="64"/>
  <c r="S829" i="64"/>
  <c r="AO757" i="64"/>
  <c r="BB757" i="64"/>
  <c r="AW828" i="64"/>
  <c r="AJ828" i="64"/>
  <c r="AK686" i="64"/>
  <c r="AX686" i="64"/>
  <c r="CG35" i="65"/>
  <c r="CG36" i="65" s="1"/>
  <c r="CN34" i="65"/>
  <c r="CM34" i="65"/>
  <c r="CS34" i="65"/>
  <c r="CL34" i="65"/>
  <c r="CK34" i="65"/>
  <c r="CO34" i="65"/>
  <c r="CT34" i="65"/>
  <c r="CI34" i="65"/>
  <c r="CP34" i="65"/>
  <c r="CQ34" i="65"/>
  <c r="CJ34" i="65"/>
  <c r="CR34" i="65"/>
  <c r="L1566" i="79"/>
  <c r="L1567" i="79"/>
  <c r="AI1566" i="79"/>
  <c r="AI1567" i="79"/>
  <c r="K1579" i="79"/>
  <c r="K1580" i="79"/>
  <c r="J1608" i="79"/>
  <c r="J1611" i="79"/>
  <c r="J1517" i="79"/>
  <c r="K2068" i="79"/>
  <c r="M1515" i="79"/>
  <c r="M1514" i="79"/>
  <c r="J1531" i="79"/>
  <c r="J1534" i="79"/>
  <c r="L1488" i="79"/>
  <c r="L1489" i="79"/>
  <c r="AI1579" i="79"/>
  <c r="AI1580" i="79"/>
  <c r="J1595" i="79"/>
  <c r="J1598" i="79"/>
  <c r="AG1540" i="79"/>
  <c r="AG1541" i="79"/>
  <c r="AI1501" i="79"/>
  <c r="AI1502" i="79"/>
  <c r="K1553" i="79"/>
  <c r="K1554" i="79"/>
  <c r="M1566" i="79"/>
  <c r="M1567" i="79"/>
  <c r="L1501" i="79"/>
  <c r="L1502" i="79"/>
  <c r="J1547" i="79"/>
  <c r="J1544" i="79"/>
  <c r="AG1580" i="79"/>
  <c r="AG1579" i="79"/>
  <c r="J1572" i="79"/>
  <c r="J1569" i="79"/>
  <c r="M1540" i="79"/>
  <c r="M1541" i="79"/>
  <c r="J1612" i="79"/>
  <c r="J1609" i="79"/>
  <c r="AG1502" i="79"/>
  <c r="AG1501" i="79"/>
  <c r="AI1553" i="79"/>
  <c r="AI1554" i="79"/>
  <c r="K1514" i="79"/>
  <c r="K1515" i="79"/>
  <c r="J1585" i="79"/>
  <c r="J1582" i="79"/>
  <c r="M1527" i="79"/>
  <c r="M1528" i="79"/>
  <c r="J1533" i="79"/>
  <c r="J1530" i="79"/>
  <c r="K1592" i="79"/>
  <c r="K1593" i="79"/>
  <c r="M1553" i="79"/>
  <c r="M1554" i="79"/>
  <c r="M1476" i="79"/>
  <c r="M1475" i="79"/>
  <c r="O579" i="74"/>
  <c r="P561" i="74"/>
  <c r="L1514" i="79"/>
  <c r="L1515" i="79"/>
  <c r="AI1527" i="79"/>
  <c r="AI1528" i="79"/>
  <c r="K1527" i="79"/>
  <c r="K1528" i="79"/>
  <c r="M1502" i="79"/>
  <c r="M1501" i="79"/>
  <c r="P233" i="74"/>
  <c r="O245" i="74"/>
  <c r="J1543" i="79"/>
  <c r="J1546" i="79"/>
  <c r="AG1488" i="79"/>
  <c r="AG1489" i="79"/>
  <c r="AI1515" i="79"/>
  <c r="AI1514" i="79"/>
  <c r="K1501" i="79"/>
  <c r="K1502" i="79"/>
  <c r="J1570" i="79"/>
  <c r="J1573" i="79"/>
  <c r="M1605" i="79"/>
  <c r="M1606" i="79"/>
  <c r="L1553" i="79"/>
  <c r="L1554" i="79"/>
  <c r="J1586" i="79"/>
  <c r="J1583" i="79"/>
  <c r="M1489" i="79"/>
  <c r="M1488" i="79"/>
  <c r="L1527" i="79"/>
  <c r="L1528" i="79"/>
  <c r="K1475" i="79"/>
  <c r="K1476" i="79"/>
  <c r="K1540" i="79"/>
  <c r="K1541" i="79"/>
  <c r="L1605" i="79"/>
  <c r="L1606" i="79"/>
  <c r="L1579" i="79"/>
  <c r="L1580" i="79"/>
  <c r="K1566" i="79"/>
  <c r="K1567" i="79"/>
  <c r="J1560" i="79"/>
  <c r="J1557" i="79"/>
  <c r="M1579" i="79"/>
  <c r="M1580" i="79"/>
  <c r="L1540" i="79"/>
  <c r="L1541" i="79"/>
  <c r="AG1527" i="79"/>
  <c r="AG1528" i="79"/>
  <c r="AI1488" i="79"/>
  <c r="AI1489" i="79"/>
  <c r="M2068" i="79"/>
  <c r="L1593" i="79"/>
  <c r="L1592" i="79"/>
  <c r="J1518" i="79"/>
  <c r="AG1566" i="79"/>
  <c r="AG1567" i="79"/>
  <c r="AI1540" i="79"/>
  <c r="AI1541" i="79"/>
  <c r="K1488" i="79"/>
  <c r="K1489" i="79"/>
  <c r="K1605" i="79"/>
  <c r="K1606" i="79"/>
  <c r="L1475" i="79"/>
  <c r="L1476" i="79"/>
  <c r="AG1605" i="79"/>
  <c r="AG1606" i="79"/>
  <c r="M1592" i="79"/>
  <c r="M1593" i="79"/>
  <c r="J1599" i="79"/>
  <c r="J1596" i="79"/>
  <c r="L2068" i="79"/>
  <c r="AG1553" i="79"/>
  <c r="AG1554" i="79"/>
  <c r="AG1514" i="79"/>
  <c r="AG1515" i="79"/>
  <c r="AI1605" i="79"/>
  <c r="AI1606" i="79"/>
  <c r="J1556" i="79"/>
  <c r="J1559" i="79"/>
  <c r="N990" i="64"/>
  <c r="N1061" i="64" s="1"/>
  <c r="N1000" i="64"/>
  <c r="N1071" i="64" s="1"/>
  <c r="N984" i="64"/>
  <c r="N1055" i="64" s="1"/>
  <c r="N985" i="64"/>
  <c r="N1056" i="64" s="1"/>
  <c r="N996" i="64"/>
  <c r="N1067" i="64" s="1"/>
  <c r="N1006" i="64"/>
  <c r="N1077" i="64" s="1"/>
  <c r="N1044" i="64"/>
  <c r="N1115" i="64" s="1"/>
  <c r="CY1116" i="64"/>
  <c r="DO1116" i="64" s="1"/>
  <c r="CY1079" i="64"/>
  <c r="DO1079" i="64" s="1"/>
  <c r="N1002" i="64"/>
  <c r="N1073" i="64" s="1"/>
  <c r="N1027" i="64"/>
  <c r="N1098" i="64" s="1"/>
  <c r="P589" i="73"/>
  <c r="P595" i="73" s="1"/>
  <c r="P602" i="73"/>
  <c r="O480" i="73"/>
  <c r="Q480" i="73" s="1"/>
  <c r="Q280" i="73"/>
  <c r="P588" i="73"/>
  <c r="P594" i="73" s="1"/>
  <c r="P601" i="73"/>
  <c r="O481" i="73"/>
  <c r="Q481" i="73" s="1"/>
  <c r="Q303" i="73"/>
  <c r="R303" i="73" s="1"/>
  <c r="D632" i="73" s="1"/>
  <c r="H632" i="73" s="1"/>
  <c r="N232" i="73"/>
  <c r="K229" i="85"/>
  <c r="M78" i="85"/>
  <c r="M81" i="85" s="1"/>
  <c r="L212" i="85"/>
  <c r="L210" i="85"/>
  <c r="M36" i="85"/>
  <c r="L55" i="85"/>
  <c r="K203" i="85"/>
  <c r="K205" i="85" s="1"/>
  <c r="M35" i="85"/>
  <c r="L52" i="85"/>
  <c r="M345" i="73"/>
  <c r="M175" i="73"/>
  <c r="M173" i="73"/>
  <c r="O212" i="73"/>
  <c r="N229" i="73"/>
  <c r="L557" i="73"/>
  <c r="M254" i="73"/>
  <c r="M257" i="73" s="1"/>
  <c r="M203" i="73"/>
  <c r="M201" i="73"/>
  <c r="K557" i="73"/>
  <c r="R473" i="73"/>
  <c r="W473" i="73"/>
  <c r="X473" i="73" s="1"/>
  <c r="R86" i="73"/>
  <c r="D622" i="73" s="1"/>
  <c r="H622" i="73" s="1"/>
  <c r="CY1098" i="64"/>
  <c r="DO1098" i="64" s="1"/>
  <c r="CK1153" i="64"/>
  <c r="CK1191" i="64"/>
  <c r="DA1191" i="64" s="1"/>
  <c r="CK1133" i="64"/>
  <c r="DA1133" i="64" s="1"/>
  <c r="CY1086" i="64"/>
  <c r="DO1086" i="64" s="1"/>
  <c r="CY1069" i="64"/>
  <c r="DO1069" i="64" s="1"/>
  <c r="N1019" i="64"/>
  <c r="N1090" i="64" s="1"/>
  <c r="CY1055" i="64"/>
  <c r="DO1055" i="64" s="1"/>
  <c r="CY1075" i="64"/>
  <c r="DO1075" i="64" s="1"/>
  <c r="P647" i="64"/>
  <c r="CY1111" i="64"/>
  <c r="DO1111" i="64" s="1"/>
  <c r="CK1178" i="64"/>
  <c r="DA1178" i="64" s="1"/>
  <c r="CM1118" i="64"/>
  <c r="CY1082" i="64"/>
  <c r="DO1082" i="64" s="1"/>
  <c r="CY1080" i="64"/>
  <c r="DO1080" i="64" s="1"/>
  <c r="CY1091" i="64"/>
  <c r="DO1091" i="64" s="1"/>
  <c r="CK1148" i="64"/>
  <c r="DA1148" i="64" s="1"/>
  <c r="CK1190" i="64"/>
  <c r="DA1190" i="64" s="1"/>
  <c r="CY1097" i="64"/>
  <c r="DO1097" i="64" s="1"/>
  <c r="CK1177" i="64"/>
  <c r="DA1177" i="64" s="1"/>
  <c r="CY1095" i="64"/>
  <c r="DO1095" i="64" s="1"/>
  <c r="CK1127" i="64"/>
  <c r="DA1127" i="64" s="1"/>
  <c r="N1005" i="64"/>
  <c r="N1076" i="64" s="1"/>
  <c r="N1001" i="64"/>
  <c r="N1072" i="64" s="1"/>
  <c r="N1040" i="64"/>
  <c r="N1111" i="64" s="1"/>
  <c r="CK1184" i="64"/>
  <c r="DA1184" i="64" s="1"/>
  <c r="AJ1546" i="79"/>
  <c r="AJ1543" i="79"/>
  <c r="J38" i="71"/>
  <c r="AK1540" i="79"/>
  <c r="AK1541" i="79"/>
  <c r="P1710" i="79"/>
  <c r="CZ1157" i="64"/>
  <c r="CZ1166" i="64"/>
  <c r="AM1890" i="79"/>
  <c r="Q1458" i="79"/>
  <c r="CZ1153" i="64"/>
  <c r="AJ1544" i="79"/>
  <c r="AJ1547" i="79"/>
  <c r="O1474" i="79"/>
  <c r="O1676" i="79"/>
  <c r="O1604" i="79"/>
  <c r="O2035" i="79"/>
  <c r="O2067" i="79" s="1"/>
  <c r="O1591" i="79"/>
  <c r="O1999" i="79"/>
  <c r="O2031" i="79" s="1"/>
  <c r="O2032" i="79" s="1"/>
  <c r="AJ1585" i="79"/>
  <c r="AJ1582" i="79"/>
  <c r="AJ1518" i="79"/>
  <c r="AJ1521" i="79"/>
  <c r="Q123" i="64"/>
  <c r="F1440" i="79"/>
  <c r="H1440" i="79"/>
  <c r="Q1440" i="79"/>
  <c r="N1748" i="79"/>
  <c r="N1500" i="79"/>
  <c r="N1892" i="79"/>
  <c r="N1924" i="79" s="1"/>
  <c r="N1925" i="79" s="1"/>
  <c r="N1552" i="79"/>
  <c r="DN1110" i="64"/>
  <c r="CZ1134" i="64"/>
  <c r="CZ1142" i="64"/>
  <c r="DN1119" i="64"/>
  <c r="P1782" i="79"/>
  <c r="P2033" i="79"/>
  <c r="P1890" i="79"/>
  <c r="DN1104" i="64"/>
  <c r="BC808" i="64"/>
  <c r="R388" i="64"/>
  <c r="N1565" i="79"/>
  <c r="N1928" i="79"/>
  <c r="N1960" i="79" s="1"/>
  <c r="N1961" i="79" s="1"/>
  <c r="AL1595" i="79"/>
  <c r="AL1598" i="79"/>
  <c r="AJ1559" i="79"/>
  <c r="AJ1556" i="79"/>
  <c r="AJ1569" i="79"/>
  <c r="AJ1572" i="79"/>
  <c r="DN1107" i="64"/>
  <c r="AM1997" i="79"/>
  <c r="AM2031" i="79" s="1"/>
  <c r="AM2032" i="79" s="1"/>
  <c r="AM1592" i="79"/>
  <c r="AM1818" i="79"/>
  <c r="AM1710" i="79"/>
  <c r="CZ1170" i="64"/>
  <c r="P627" i="64"/>
  <c r="P630" i="64" s="1"/>
  <c r="R1442" i="79"/>
  <c r="S1442" i="79" s="1"/>
  <c r="I1442" i="79"/>
  <c r="J1442" i="79" s="1"/>
  <c r="CK1138" i="64"/>
  <c r="DA1138" i="64" s="1"/>
  <c r="CK1163" i="64"/>
  <c r="CK1145" i="64"/>
  <c r="DA1145" i="64" s="1"/>
  <c r="CK1146" i="64"/>
  <c r="DA1146" i="64" s="1"/>
  <c r="CY1065" i="64"/>
  <c r="DO1065" i="64" s="1"/>
  <c r="CY1072" i="64"/>
  <c r="DO1072" i="64" s="1"/>
  <c r="CY1099" i="64"/>
  <c r="DO1099" i="64" s="1"/>
  <c r="CY1088" i="64"/>
  <c r="DO1088" i="64" s="1"/>
  <c r="CK1158" i="64"/>
  <c r="DA1158" i="64" s="1"/>
  <c r="CY1106" i="64"/>
  <c r="DO1106" i="64" s="1"/>
  <c r="CY1119" i="64"/>
  <c r="DO1119" i="64" s="1"/>
  <c r="CK1143" i="64"/>
  <c r="DA1143" i="64" s="1"/>
  <c r="CK1162" i="64"/>
  <c r="CY1114" i="64"/>
  <c r="CK1187" i="64"/>
  <c r="DA1187" i="64" s="1"/>
  <c r="CK1159" i="64"/>
  <c r="DA1159" i="64" s="1"/>
  <c r="CK1186" i="64"/>
  <c r="DA1186" i="64" s="1"/>
  <c r="CY1073" i="64"/>
  <c r="DO1073" i="64" s="1"/>
  <c r="CK1134" i="64"/>
  <c r="DA1134" i="64" s="1"/>
  <c r="CY1087" i="64"/>
  <c r="DO1087" i="64" s="1"/>
  <c r="CK1183" i="64"/>
  <c r="CY1113" i="64"/>
  <c r="DO1113" i="64" s="1"/>
  <c r="CY1085" i="64"/>
  <c r="DO1085" i="64" s="1"/>
  <c r="CK1192" i="64"/>
  <c r="DA1192" i="64" s="1"/>
  <c r="CY1115" i="64"/>
  <c r="DO1115" i="64" s="1"/>
  <c r="CY1063" i="64"/>
  <c r="DO1063" i="64" s="1"/>
  <c r="CK1166" i="64"/>
  <c r="DA1166" i="64" s="1"/>
  <c r="CK1172" i="64"/>
  <c r="DA1172" i="64" s="1"/>
  <c r="CY1084" i="64"/>
  <c r="CY1056" i="64"/>
  <c r="DO1056" i="64" s="1"/>
  <c r="CY1058" i="64"/>
  <c r="DO1058" i="64" s="1"/>
  <c r="CK1140" i="64"/>
  <c r="CZ1178" i="64"/>
  <c r="AL1565" i="79"/>
  <c r="AL1928" i="79"/>
  <c r="AL1960" i="79" s="1"/>
  <c r="AL1961" i="79" s="1"/>
  <c r="AL2035" i="79"/>
  <c r="AL1604" i="79"/>
  <c r="AL1784" i="79"/>
  <c r="AL1816" i="79" s="1"/>
  <c r="AL1817" i="79" s="1"/>
  <c r="AL1513" i="79"/>
  <c r="P387" i="77"/>
  <c r="AE600" i="77"/>
  <c r="AJ1530" i="79"/>
  <c r="AJ1533" i="79"/>
  <c r="N1025" i="64"/>
  <c r="N1096" i="64" s="1"/>
  <c r="N983" i="64"/>
  <c r="N1054" i="64" s="1"/>
  <c r="N1038" i="64"/>
  <c r="N1109" i="64" s="1"/>
  <c r="AQ827" i="64"/>
  <c r="BD827" i="64"/>
  <c r="BD823" i="64"/>
  <c r="AQ823" i="64"/>
  <c r="BD821" i="64"/>
  <c r="AQ821" i="64"/>
  <c r="BD819" i="64"/>
  <c r="AQ819" i="64"/>
  <c r="BD756" i="64"/>
  <c r="AQ756" i="64"/>
  <c r="BD788" i="64"/>
  <c r="AQ788" i="64"/>
  <c r="BD790" i="64"/>
  <c r="AQ790" i="64"/>
  <c r="BD749" i="64"/>
  <c r="AQ749" i="64"/>
  <c r="BD787" i="64"/>
  <c r="AQ787" i="64"/>
  <c r="R203" i="64"/>
  <c r="R262" i="64"/>
  <c r="BD750" i="64"/>
  <c r="AQ750" i="64"/>
  <c r="BD719" i="64"/>
  <c r="AQ719" i="64"/>
  <c r="BD684" i="64"/>
  <c r="AQ684" i="64"/>
  <c r="BD722" i="64"/>
  <c r="AQ722" i="64"/>
  <c r="Q675" i="64"/>
  <c r="AQ721" i="64"/>
  <c r="BD721" i="64"/>
  <c r="BD685" i="64"/>
  <c r="AQ685" i="64"/>
  <c r="BD715" i="64"/>
  <c r="AQ715" i="64"/>
  <c r="BD674" i="64"/>
  <c r="AQ674" i="64"/>
  <c r="BD724" i="64"/>
  <c r="AQ724" i="64"/>
  <c r="BD673" i="64"/>
  <c r="AQ673" i="64"/>
  <c r="AY1155" i="64"/>
  <c r="BM1073" i="64"/>
  <c r="BZ1082" i="64"/>
  <c r="Y1138" i="64"/>
  <c r="BZ1068" i="64"/>
  <c r="BL1171" i="64"/>
  <c r="Z1080" i="64"/>
  <c r="BL1169" i="64"/>
  <c r="Z1082" i="64"/>
  <c r="BL1138" i="64"/>
  <c r="BM1072" i="64"/>
  <c r="CM1098" i="64"/>
  <c r="AM1080" i="64"/>
  <c r="BL1180" i="64"/>
  <c r="AL1145" i="64"/>
  <c r="BZ1088" i="64"/>
  <c r="BL1155" i="64"/>
  <c r="BL1145" i="64"/>
  <c r="AZ1068" i="64"/>
  <c r="Z1103" i="64"/>
  <c r="AY1153" i="64"/>
  <c r="BY1141" i="64"/>
  <c r="AM1098" i="64"/>
  <c r="BY1161" i="64"/>
  <c r="CM1080" i="64"/>
  <c r="AZ1090" i="64"/>
  <c r="L1165" i="64"/>
  <c r="Y1180" i="64"/>
  <c r="BL1128" i="64"/>
  <c r="L1133" i="64"/>
  <c r="Z1096" i="64"/>
  <c r="BM1062" i="64"/>
  <c r="AZ1087" i="64"/>
  <c r="AZ1066" i="64"/>
  <c r="BZ1081" i="64"/>
  <c r="L1169" i="64"/>
  <c r="AM1106" i="64"/>
  <c r="L1134" i="64"/>
  <c r="Z1087" i="64"/>
  <c r="AY1139" i="64"/>
  <c r="BL1170" i="64"/>
  <c r="BM1059" i="64"/>
  <c r="L1171" i="64"/>
  <c r="AY1176" i="64"/>
  <c r="Z1088" i="64"/>
  <c r="AY1146" i="64"/>
  <c r="BZ1090" i="64"/>
  <c r="AM1107" i="64"/>
  <c r="AL1128" i="64"/>
  <c r="AZ1096" i="64"/>
  <c r="AY1179" i="64"/>
  <c r="BZ1062" i="64"/>
  <c r="AZ1061" i="64"/>
  <c r="L1159" i="64"/>
  <c r="BY1136" i="64"/>
  <c r="AL1144" i="64"/>
  <c r="BL1132" i="64"/>
  <c r="L1146" i="64"/>
  <c r="L1163" i="64"/>
  <c r="Y1165" i="64"/>
  <c r="L1180" i="64"/>
  <c r="BZ1055" i="64"/>
  <c r="BZ1096" i="64"/>
  <c r="AZ1106" i="64"/>
  <c r="BL1135" i="64"/>
  <c r="BZ1061" i="64"/>
  <c r="AL1160" i="64"/>
  <c r="BL1159" i="64"/>
  <c r="AL1136" i="64"/>
  <c r="BZ1071" i="64"/>
  <c r="AZ1084" i="64"/>
  <c r="BZ1086" i="64"/>
  <c r="CM1066" i="64"/>
  <c r="CM1063" i="64"/>
  <c r="BL1158" i="64"/>
  <c r="AL1170" i="64"/>
  <c r="AL1166" i="64"/>
  <c r="L1173" i="64"/>
  <c r="CM1076" i="64"/>
  <c r="AY1132" i="64"/>
  <c r="CM1069" i="64"/>
  <c r="CM1084" i="64"/>
  <c r="BY1140" i="64"/>
  <c r="AY1154" i="64"/>
  <c r="AM1063" i="64"/>
  <c r="AM1085" i="64"/>
  <c r="Y1170" i="64"/>
  <c r="CM1071" i="64"/>
  <c r="BM1100" i="64"/>
  <c r="BY1132" i="64"/>
  <c r="L1142" i="64"/>
  <c r="AZ1058" i="64"/>
  <c r="Y1140" i="64"/>
  <c r="Y1136" i="64"/>
  <c r="CM1085" i="64"/>
  <c r="BY1170" i="64"/>
  <c r="AM1071" i="64"/>
  <c r="AL1173" i="64"/>
  <c r="Y1132" i="64"/>
  <c r="BY1142" i="64"/>
  <c r="BM1058" i="64"/>
  <c r="AM1067" i="64"/>
  <c r="AZ1075" i="64"/>
  <c r="CM1056" i="64"/>
  <c r="AZ1104" i="64"/>
  <c r="AY1156" i="64"/>
  <c r="Z1117" i="64"/>
  <c r="BY1130" i="64"/>
  <c r="BL1191" i="64"/>
  <c r="CM1075" i="64"/>
  <c r="BL1175" i="64"/>
  <c r="AZ1091" i="64"/>
  <c r="CM1109" i="64"/>
  <c r="BL1189" i="64"/>
  <c r="CM1057" i="64"/>
  <c r="AY1127" i="64"/>
  <c r="BL1167" i="64"/>
  <c r="BM1077" i="64"/>
  <c r="AL1181" i="64"/>
  <c r="AM1108" i="64"/>
  <c r="AY1187" i="64"/>
  <c r="Y1183" i="64"/>
  <c r="AM1102" i="64"/>
  <c r="BL1147" i="64"/>
  <c r="L1186" i="64"/>
  <c r="AL1187" i="64"/>
  <c r="AM1111" i="64"/>
  <c r="L1127" i="64"/>
  <c r="BM1075" i="64"/>
  <c r="BM1099" i="64"/>
  <c r="BL1164" i="64"/>
  <c r="BY1168" i="64"/>
  <c r="AZ1118" i="64"/>
  <c r="CM1111" i="64"/>
  <c r="CM1070" i="64"/>
  <c r="BL1151" i="64"/>
  <c r="AZ1074" i="64"/>
  <c r="Z1113" i="64"/>
  <c r="BZ1079" i="64"/>
  <c r="BY1189" i="64"/>
  <c r="AY1185" i="64"/>
  <c r="BZ1101" i="64"/>
  <c r="BZ1105" i="64"/>
  <c r="BL1193" i="64"/>
  <c r="BM1089" i="64"/>
  <c r="L1194" i="64"/>
  <c r="Z1115" i="64"/>
  <c r="BM1078" i="64"/>
  <c r="CM1077" i="64"/>
  <c r="AY1182" i="64"/>
  <c r="AM1115" i="64"/>
  <c r="L1137" i="64"/>
  <c r="AM1054" i="64"/>
  <c r="AM1075" i="64"/>
  <c r="AM1099" i="64"/>
  <c r="BY1156" i="64"/>
  <c r="BL1162" i="64"/>
  <c r="L1189" i="64"/>
  <c r="AL1137" i="64"/>
  <c r="Y1148" i="64"/>
  <c r="BY1151" i="64"/>
  <c r="BZ1074" i="64"/>
  <c r="AL1168" i="64"/>
  <c r="BL1137" i="64"/>
  <c r="AZ1110" i="64"/>
  <c r="AY1189" i="64"/>
  <c r="AZ1101" i="64"/>
  <c r="AZ1105" i="64"/>
  <c r="BL1182" i="64"/>
  <c r="BY1193" i="64"/>
  <c r="BZ1119" i="64"/>
  <c r="L1188" i="64"/>
  <c r="BM1102" i="64"/>
  <c r="AZ1077" i="64"/>
  <c r="BZ1117" i="64"/>
  <c r="Z1057" i="64"/>
  <c r="Z1079" i="64"/>
  <c r="BL1127" i="64"/>
  <c r="Z1075" i="64"/>
  <c r="Y1175" i="64"/>
  <c r="Z1091" i="64"/>
  <c r="AZ1117" i="64"/>
  <c r="Y1130" i="64"/>
  <c r="Z1111" i="64"/>
  <c r="AZ1070" i="64"/>
  <c r="Y1167" i="64"/>
  <c r="BL1150" i="64"/>
  <c r="BL1190" i="64"/>
  <c r="L1182" i="64"/>
  <c r="AL1152" i="64"/>
  <c r="Z1112" i="64"/>
  <c r="BM1056" i="64"/>
  <c r="AM1104" i="64"/>
  <c r="CM1083" i="64"/>
  <c r="BM1113" i="64"/>
  <c r="BZ1116" i="64"/>
  <c r="L1130" i="64"/>
  <c r="AL1151" i="64"/>
  <c r="AY1150" i="64"/>
  <c r="AL1186" i="64"/>
  <c r="Z1119" i="64"/>
  <c r="AL1192" i="64"/>
  <c r="BY1187" i="64"/>
  <c r="N1856" i="79"/>
  <c r="N1539" i="79"/>
  <c r="DN1078" i="64"/>
  <c r="O1565" i="79"/>
  <c r="O1928" i="79"/>
  <c r="O1960" i="79" s="1"/>
  <c r="O1961" i="79" s="1"/>
  <c r="AK1463" i="79"/>
  <c r="AK1462" i="79"/>
  <c r="Q1575" i="79"/>
  <c r="Q1536" i="79"/>
  <c r="Q1562" i="79"/>
  <c r="Q1523" i="79"/>
  <c r="Q1588" i="79"/>
  <c r="Q1510" i="79"/>
  <c r="Q1471" i="79"/>
  <c r="Q1601" i="79"/>
  <c r="Q1549" i="79"/>
  <c r="Q1484" i="79"/>
  <c r="Q1497" i="79"/>
  <c r="CZ1130" i="64"/>
  <c r="P1746" i="79"/>
  <c r="AJ1573" i="79"/>
  <c r="AJ1570" i="79"/>
  <c r="AM1962" i="79"/>
  <c r="CZ1159" i="64"/>
  <c r="R1445" i="79"/>
  <c r="S1445" i="79" s="1"/>
  <c r="I1445" i="79"/>
  <c r="J1445" i="79" s="1"/>
  <c r="CZ1187" i="64"/>
  <c r="Q570" i="64"/>
  <c r="AK1526" i="79"/>
  <c r="AK1820" i="79"/>
  <c r="AK1852" i="79" s="1"/>
  <c r="AK1853" i="79" s="1"/>
  <c r="O1552" i="79"/>
  <c r="O1892" i="79"/>
  <c r="O1924" i="79" s="1"/>
  <c r="O1925" i="79" s="1"/>
  <c r="O1539" i="79"/>
  <c r="O1856" i="79"/>
  <c r="O1784" i="79"/>
  <c r="O1513" i="79"/>
  <c r="AJ1586" i="79"/>
  <c r="AJ1583" i="79"/>
  <c r="AJ1520" i="79"/>
  <c r="AJ1517" i="79"/>
  <c r="DN1108" i="64"/>
  <c r="O1640" i="79"/>
  <c r="O1461" i="79"/>
  <c r="DN1088" i="64"/>
  <c r="P1674" i="79"/>
  <c r="P1997" i="79"/>
  <c r="P1854" i="79"/>
  <c r="CZ1176" i="64"/>
  <c r="P612" i="64"/>
  <c r="Q132" i="64" s="1"/>
  <c r="CZ1165" i="64"/>
  <c r="AM1460" i="79"/>
  <c r="AJ1560" i="79"/>
  <c r="AJ1557" i="79"/>
  <c r="Q628" i="64"/>
  <c r="J37" i="71"/>
  <c r="AK1513" i="79"/>
  <c r="AK1784" i="79"/>
  <c r="AK1816" i="79" s="1"/>
  <c r="AK1817" i="79" s="1"/>
  <c r="AK1604" i="79"/>
  <c r="AK2035" i="79"/>
  <c r="AM1854" i="79"/>
  <c r="AM2033" i="79"/>
  <c r="R1444" i="79"/>
  <c r="S1444" i="79" s="1"/>
  <c r="I1444" i="79"/>
  <c r="J1444" i="79" s="1"/>
  <c r="CK1176" i="64"/>
  <c r="DA1176" i="64" s="1"/>
  <c r="CY1068" i="64"/>
  <c r="DO1068" i="64" s="1"/>
  <c r="CK1171" i="64"/>
  <c r="DA1171" i="64" s="1"/>
  <c r="CK1161" i="64"/>
  <c r="DA1161" i="64" s="1"/>
  <c r="CK1164" i="64"/>
  <c r="DA1164" i="64" s="1"/>
  <c r="CY1078" i="64"/>
  <c r="DO1078" i="64" s="1"/>
  <c r="CK1169" i="64"/>
  <c r="CY1062" i="64"/>
  <c r="DO1062" i="64" s="1"/>
  <c r="CK1194" i="64"/>
  <c r="CY1112" i="64"/>
  <c r="DO1112" i="64" s="1"/>
  <c r="CK1154" i="64"/>
  <c r="DA1154" i="64" s="1"/>
  <c r="CK1135" i="64"/>
  <c r="DA1135" i="64" s="1"/>
  <c r="CK1185" i="64"/>
  <c r="DA1185" i="64" s="1"/>
  <c r="CY1103" i="64"/>
  <c r="DO1103" i="64" s="1"/>
  <c r="CY1057" i="64"/>
  <c r="CY1100" i="64"/>
  <c r="DO1100" i="64" s="1"/>
  <c r="CY1105" i="64"/>
  <c r="DO1105" i="64" s="1"/>
  <c r="CY1107" i="64"/>
  <c r="DO1107" i="64" s="1"/>
  <c r="CY1096" i="64"/>
  <c r="CK1130" i="64"/>
  <c r="CK1168" i="64"/>
  <c r="DA1168" i="64" s="1"/>
  <c r="CY1089" i="64"/>
  <c r="DO1089" i="64" s="1"/>
  <c r="CK1181" i="64"/>
  <c r="DA1181" i="64" s="1"/>
  <c r="CY1071" i="64"/>
  <c r="DO1071" i="64" s="1"/>
  <c r="CK1129" i="64"/>
  <c r="DA1129" i="64" s="1"/>
  <c r="CY1067" i="64"/>
  <c r="DO1067" i="64" s="1"/>
  <c r="CY1064" i="64"/>
  <c r="CY1081" i="64"/>
  <c r="DO1081" i="64" s="1"/>
  <c r="CK1170" i="64"/>
  <c r="DA1170" i="64" s="1"/>
  <c r="CK1173" i="64"/>
  <c r="DA1173" i="64" s="1"/>
  <c r="CY1108" i="64"/>
  <c r="DO1108" i="64" s="1"/>
  <c r="CK1142" i="64"/>
  <c r="DA1142" i="64" s="1"/>
  <c r="CK1174" i="64"/>
  <c r="DA1174" i="64" s="1"/>
  <c r="CY1093" i="64"/>
  <c r="DO1093" i="64" s="1"/>
  <c r="CY1110" i="64"/>
  <c r="DO1110" i="64" s="1"/>
  <c r="N1474" i="79"/>
  <c r="N1676" i="79"/>
  <c r="N1820" i="79"/>
  <c r="N1852" i="79" s="1"/>
  <c r="N1853" i="79" s="1"/>
  <c r="N1526" i="79"/>
  <c r="DN1115" i="64"/>
  <c r="AL1486" i="79"/>
  <c r="AL1539" i="79"/>
  <c r="AL1856" i="79"/>
  <c r="N1011" i="64"/>
  <c r="N1082" i="64" s="1"/>
  <c r="N1010" i="64"/>
  <c r="N1081" i="64" s="1"/>
  <c r="N994" i="64"/>
  <c r="N1065" i="64" s="1"/>
  <c r="N997" i="64"/>
  <c r="N1068" i="64" s="1"/>
  <c r="N1041" i="64"/>
  <c r="N1112" i="64" s="1"/>
  <c r="AQ818" i="64"/>
  <c r="BD818" i="64"/>
  <c r="BD815" i="64"/>
  <c r="AQ815" i="64"/>
  <c r="BD820" i="64"/>
  <c r="AQ820" i="64"/>
  <c r="BD755" i="64"/>
  <c r="AQ755" i="64"/>
  <c r="BD795" i="64"/>
  <c r="AQ795" i="64"/>
  <c r="BD814" i="64"/>
  <c r="AQ814" i="64"/>
  <c r="BD752" i="64"/>
  <c r="AQ752" i="64"/>
  <c r="BD794" i="64"/>
  <c r="AQ794" i="64"/>
  <c r="BD723" i="64"/>
  <c r="AQ723" i="64"/>
  <c r="AQ793" i="64"/>
  <c r="BD793" i="64"/>
  <c r="BD716" i="64"/>
  <c r="AQ716" i="64"/>
  <c r="BD680" i="64"/>
  <c r="AQ680" i="64"/>
  <c r="BD681" i="64"/>
  <c r="AQ681" i="64"/>
  <c r="BD746" i="64"/>
  <c r="AQ746" i="64"/>
  <c r="BD687" i="64"/>
  <c r="AQ687" i="64"/>
  <c r="AQ785" i="64"/>
  <c r="BD785" i="64"/>
  <c r="BD676" i="64"/>
  <c r="AQ676" i="64"/>
  <c r="BD672" i="64"/>
  <c r="AQ672" i="64"/>
  <c r="Z1065" i="64"/>
  <c r="BY1128" i="64"/>
  <c r="CM1082" i="64"/>
  <c r="L1145" i="64"/>
  <c r="L1141" i="64"/>
  <c r="BL1176" i="64"/>
  <c r="AY1163" i="64"/>
  <c r="AL1138" i="64"/>
  <c r="L1155" i="64"/>
  <c r="BY1138" i="64"/>
  <c r="BL1141" i="64"/>
  <c r="AL1176" i="64"/>
  <c r="AM1073" i="64"/>
  <c r="AY1133" i="64"/>
  <c r="AM1068" i="64"/>
  <c r="AZ1080" i="64"/>
  <c r="BY1155" i="64"/>
  <c r="AM1072" i="64"/>
  <c r="AZ1098" i="64"/>
  <c r="CM1103" i="64"/>
  <c r="AZ1073" i="64"/>
  <c r="BM1068" i="64"/>
  <c r="BY1176" i="64"/>
  <c r="AM1088" i="64"/>
  <c r="Z1073" i="64"/>
  <c r="BM1090" i="64"/>
  <c r="BL1165" i="64"/>
  <c r="CM1107" i="64"/>
  <c r="AM1055" i="64"/>
  <c r="BY1133" i="64"/>
  <c r="AY1169" i="64"/>
  <c r="AM1062" i="64"/>
  <c r="L1160" i="64"/>
  <c r="AL1139" i="64"/>
  <c r="BZ1063" i="64"/>
  <c r="Y1169" i="64"/>
  <c r="AZ1062" i="64"/>
  <c r="BY1134" i="64"/>
  <c r="BL1160" i="64"/>
  <c r="Y1139" i="64"/>
  <c r="AM1100" i="64"/>
  <c r="BZ1084" i="64"/>
  <c r="Y1171" i="64"/>
  <c r="L1161" i="64"/>
  <c r="AY1161" i="64"/>
  <c r="BZ1073" i="64"/>
  <c r="CM1090" i="64"/>
  <c r="Z1107" i="64"/>
  <c r="BZ1060" i="64"/>
  <c r="BY1169" i="64"/>
  <c r="BL1179" i="64"/>
  <c r="Y1135" i="64"/>
  <c r="Y1160" i="64"/>
  <c r="BY1159" i="64"/>
  <c r="BZ1097" i="64"/>
  <c r="Z1100" i="64"/>
  <c r="AM1069" i="64"/>
  <c r="Y1146" i="64"/>
  <c r="Y1163" i="64"/>
  <c r="BM1092" i="64"/>
  <c r="CM1055" i="64"/>
  <c r="BL1133" i="64"/>
  <c r="CM1096" i="64"/>
  <c r="BY1179" i="64"/>
  <c r="BY1135" i="64"/>
  <c r="CM1061" i="64"/>
  <c r="BM1087" i="64"/>
  <c r="Z1066" i="64"/>
  <c r="L1158" i="64"/>
  <c r="AY1173" i="64"/>
  <c r="AL1131" i="64"/>
  <c r="AY1159" i="64"/>
  <c r="CM1081" i="64"/>
  <c r="Z1063" i="64"/>
  <c r="Y1158" i="64"/>
  <c r="AY1166" i="64"/>
  <c r="Z1071" i="64"/>
  <c r="BZ1100" i="64"/>
  <c r="AL1149" i="64"/>
  <c r="Z1069" i="64"/>
  <c r="AL1142" i="64"/>
  <c r="AL1157" i="64"/>
  <c r="CM1067" i="64"/>
  <c r="Z1081" i="64"/>
  <c r="L1136" i="64"/>
  <c r="BY1158" i="64"/>
  <c r="BM1093" i="64"/>
  <c r="BM1071" i="64"/>
  <c r="Y1149" i="64"/>
  <c r="AL1132" i="64"/>
  <c r="Y1142" i="64"/>
  <c r="Z1058" i="64"/>
  <c r="Z1067" i="64"/>
  <c r="AZ1063" i="64"/>
  <c r="AZ1085" i="64"/>
  <c r="AM1093" i="64"/>
  <c r="AZ1071" i="64"/>
  <c r="BZ1076" i="64"/>
  <c r="Z1059" i="64"/>
  <c r="Z1084" i="64"/>
  <c r="BL1131" i="64"/>
  <c r="BM1067" i="64"/>
  <c r="BM1101" i="64"/>
  <c r="AM1101" i="64"/>
  <c r="L1178" i="64"/>
  <c r="CM1120" i="64"/>
  <c r="L1193" i="64"/>
  <c r="AZ1115" i="64"/>
  <c r="L1152" i="64"/>
  <c r="CM1101" i="64"/>
  <c r="CM1099" i="64"/>
  <c r="AZ1083" i="64"/>
  <c r="BZ1089" i="64"/>
  <c r="BM1119" i="64"/>
  <c r="AY1152" i="64"/>
  <c r="Z1070" i="64"/>
  <c r="Z1078" i="64"/>
  <c r="Z1074" i="64"/>
  <c r="CM1117" i="64"/>
  <c r="BY1192" i="64"/>
  <c r="AZ1064" i="64"/>
  <c r="BY1143" i="64"/>
  <c r="BL1172" i="64"/>
  <c r="BZ1083" i="64"/>
  <c r="BY1181" i="64"/>
  <c r="AM1079" i="64"/>
  <c r="BY1194" i="64"/>
  <c r="AY1148" i="64"/>
  <c r="Z1056" i="64"/>
  <c r="BY1177" i="64"/>
  <c r="BL1156" i="64"/>
  <c r="CM1108" i="64"/>
  <c r="CM1079" i="64"/>
  <c r="Z1064" i="64"/>
  <c r="BZ1056" i="64"/>
  <c r="BY1175" i="64"/>
  <c r="BY1164" i="64"/>
  <c r="AZ1108" i="64"/>
  <c r="BM1057" i="64"/>
  <c r="CM1114" i="64"/>
  <c r="BM1054" i="64"/>
  <c r="BY1167" i="64"/>
  <c r="AM1077" i="64"/>
  <c r="Y1186" i="64"/>
  <c r="CM1112" i="64"/>
  <c r="AY1191" i="64"/>
  <c r="Y1187" i="64"/>
  <c r="CM1102" i="64"/>
  <c r="BY1147" i="64"/>
  <c r="CM1089" i="64"/>
  <c r="AM1110" i="64"/>
  <c r="CM1119" i="64"/>
  <c r="AZ1056" i="64"/>
  <c r="L1174" i="64"/>
  <c r="AY1177" i="64"/>
  <c r="BZ1095" i="64"/>
  <c r="BZ1113" i="64"/>
  <c r="AM1064" i="64"/>
  <c r="BM1079" i="64"/>
  <c r="BL1129" i="64"/>
  <c r="Z1099" i="64"/>
  <c r="BM1091" i="64"/>
  <c r="AY1186" i="64"/>
  <c r="Y1152" i="64"/>
  <c r="L1187" i="64"/>
  <c r="Y1127" i="64"/>
  <c r="BZ1078" i="64"/>
  <c r="BY1150" i="64"/>
  <c r="BM1095" i="64"/>
  <c r="BL1185" i="64"/>
  <c r="AZ1116" i="64"/>
  <c r="Y1191" i="64"/>
  <c r="Y1172" i="64"/>
  <c r="BZ1091" i="64"/>
  <c r="Y1193" i="64"/>
  <c r="BY1184" i="64"/>
  <c r="AY1184" i="64"/>
  <c r="BL1143" i="64"/>
  <c r="AL1129" i="64"/>
  <c r="BZ1104" i="64"/>
  <c r="Z1083" i="64"/>
  <c r="Z1120" i="64"/>
  <c r="Y1188" i="64"/>
  <c r="AL1185" i="64"/>
  <c r="AL1148" i="64"/>
  <c r="Z1102" i="64"/>
  <c r="CM1074" i="64"/>
  <c r="AM1120" i="64"/>
  <c r="AY1130" i="64"/>
  <c r="AZ1079" i="64"/>
  <c r="AL1194" i="64"/>
  <c r="CM1094" i="64"/>
  <c r="Z1105" i="64"/>
  <c r="BY1190" i="64"/>
  <c r="BY1182" i="64"/>
  <c r="AY1183" i="64"/>
  <c r="BZ1115" i="64"/>
  <c r="AL1175" i="64"/>
  <c r="BM1074" i="64"/>
  <c r="Y1181" i="64"/>
  <c r="L1185" i="64"/>
  <c r="BL1130" i="64"/>
  <c r="AK1488" i="79"/>
  <c r="AK1489" i="79"/>
  <c r="O1526" i="79"/>
  <c r="O1820" i="79"/>
  <c r="O1852" i="79" s="1"/>
  <c r="O1853" i="79" s="1"/>
  <c r="O1964" i="79"/>
  <c r="O1995" i="79" s="1"/>
  <c r="O1996" i="79" s="1"/>
  <c r="O1578" i="79"/>
  <c r="O1748" i="79"/>
  <c r="O1500" i="79"/>
  <c r="AN1458" i="79"/>
  <c r="DN1096" i="64"/>
  <c r="I1447" i="79"/>
  <c r="J1447" i="79" s="1"/>
  <c r="R1447" i="79"/>
  <c r="S1447" i="79" s="1"/>
  <c r="N1712" i="79"/>
  <c r="N1487" i="79"/>
  <c r="AJ1611" i="79"/>
  <c r="AJ1608" i="79"/>
  <c r="P288" i="79"/>
  <c r="P1538" i="79" s="1"/>
  <c r="P124" i="79"/>
  <c r="P1486" i="79" s="1"/>
  <c r="P247" i="79"/>
  <c r="P1525" i="79" s="1"/>
  <c r="P452" i="79"/>
  <c r="P1590" i="79" s="1"/>
  <c r="P493" i="79"/>
  <c r="P1603" i="79" s="1"/>
  <c r="P165" i="79"/>
  <c r="P1499" i="79" s="1"/>
  <c r="P370" i="79"/>
  <c r="P1564" i="79" s="1"/>
  <c r="P83" i="79"/>
  <c r="P1473" i="79" s="1"/>
  <c r="P206" i="79"/>
  <c r="P1512" i="79" s="1"/>
  <c r="P411" i="79"/>
  <c r="P1577" i="79" s="1"/>
  <c r="P329" i="79"/>
  <c r="P1926" i="79"/>
  <c r="P1962" i="79"/>
  <c r="R1446" i="79"/>
  <c r="S1446" i="79" s="1"/>
  <c r="I1446" i="79"/>
  <c r="J1446" i="79" s="1"/>
  <c r="N1513" i="79"/>
  <c r="N1784" i="79"/>
  <c r="AM1638" i="79"/>
  <c r="AN1674" i="79"/>
  <c r="N1999" i="79"/>
  <c r="N2031" i="79" s="1"/>
  <c r="N2032" i="79" s="1"/>
  <c r="N1591" i="79"/>
  <c r="DN1086" i="64"/>
  <c r="P388" i="77"/>
  <c r="AM370" i="79"/>
  <c r="AM1564" i="79" s="1"/>
  <c r="AM452" i="79"/>
  <c r="AM247" i="79"/>
  <c r="AM165" i="79"/>
  <c r="AM1499" i="79" s="1"/>
  <c r="AM411" i="79"/>
  <c r="AM1577" i="79" s="1"/>
  <c r="AM124" i="79"/>
  <c r="AM1486" i="79" s="1"/>
  <c r="AM206" i="79"/>
  <c r="AM329" i="79"/>
  <c r="AM1551" i="79" s="1"/>
  <c r="AM288" i="79"/>
  <c r="AM493" i="79"/>
  <c r="AM1926" i="79"/>
  <c r="AM1746" i="79"/>
  <c r="AH612" i="77"/>
  <c r="Q121" i="64"/>
  <c r="CY1074" i="64"/>
  <c r="DO1074" i="64" s="1"/>
  <c r="CK1155" i="64"/>
  <c r="DA1155" i="64" s="1"/>
  <c r="CK1141" i="64"/>
  <c r="DA1141" i="64" s="1"/>
  <c r="CY1094" i="64"/>
  <c r="DO1094" i="64" s="1"/>
  <c r="CY1090" i="64"/>
  <c r="DO1090" i="64" s="1"/>
  <c r="CY1060" i="64"/>
  <c r="CK1139" i="64"/>
  <c r="DA1139" i="64" s="1"/>
  <c r="CK1152" i="64"/>
  <c r="DA1152" i="64" s="1"/>
  <c r="CK1156" i="64"/>
  <c r="CY1104" i="64"/>
  <c r="DO1104" i="64" s="1"/>
  <c r="CK1165" i="64"/>
  <c r="DA1165" i="64" s="1"/>
  <c r="CK1180" i="64"/>
  <c r="DA1180" i="64" s="1"/>
  <c r="CK1128" i="64"/>
  <c r="DA1128" i="64" s="1"/>
  <c r="CK1175" i="64"/>
  <c r="CK1132" i="64"/>
  <c r="DA1132" i="64" s="1"/>
  <c r="CY1101" i="64"/>
  <c r="DO1101" i="64" s="1"/>
  <c r="CY1070" i="64"/>
  <c r="DO1070" i="64" s="1"/>
  <c r="CY1118" i="64"/>
  <c r="DO1118" i="64" s="1"/>
  <c r="CK1131" i="64"/>
  <c r="DA1131" i="64" s="1"/>
  <c r="CK1193" i="64"/>
  <c r="DA1193" i="64" s="1"/>
  <c r="CK1144" i="64"/>
  <c r="DA1144" i="64" s="1"/>
  <c r="CK1147" i="64"/>
  <c r="DA1147" i="64" s="1"/>
  <c r="CY1059" i="64"/>
  <c r="DO1059" i="64" s="1"/>
  <c r="CK1137" i="64"/>
  <c r="DA1137" i="64" s="1"/>
  <c r="CY1117" i="64"/>
  <c r="DO1117" i="64" s="1"/>
  <c r="DN1097" i="64"/>
  <c r="AL1552" i="79"/>
  <c r="AL1892" i="79"/>
  <c r="AL1924" i="79" s="1"/>
  <c r="AL1925" i="79" s="1"/>
  <c r="AK1502" i="79"/>
  <c r="AK1501" i="79"/>
  <c r="AK1928" i="79"/>
  <c r="AK1960" i="79" s="1"/>
  <c r="AK1961" i="79" s="1"/>
  <c r="AK1565" i="79"/>
  <c r="DN1091" i="64"/>
  <c r="N995" i="64"/>
  <c r="N1066" i="64" s="1"/>
  <c r="N1026" i="64"/>
  <c r="N1097" i="64" s="1"/>
  <c r="N1003" i="64"/>
  <c r="N1074" i="64" s="1"/>
  <c r="N999" i="64"/>
  <c r="N1070" i="64" s="1"/>
  <c r="N1043" i="64"/>
  <c r="N1114" i="64" s="1"/>
  <c r="N1045" i="64"/>
  <c r="N1116" i="64" s="1"/>
  <c r="BD828" i="64"/>
  <c r="AQ828" i="64"/>
  <c r="BD748" i="64"/>
  <c r="AQ748" i="64"/>
  <c r="AQ796" i="64"/>
  <c r="BD796" i="64"/>
  <c r="BD743" i="64"/>
  <c r="AQ743" i="64"/>
  <c r="BD757" i="64"/>
  <c r="AQ757" i="64"/>
  <c r="BD758" i="64"/>
  <c r="AQ758" i="64"/>
  <c r="R261" i="64"/>
  <c r="R202" i="64"/>
  <c r="Q697" i="64"/>
  <c r="F33" i="71" s="1"/>
  <c r="R172" i="64"/>
  <c r="BD754" i="64"/>
  <c r="AQ754" i="64"/>
  <c r="Q707" i="64"/>
  <c r="F34" i="71" s="1"/>
  <c r="R186" i="64"/>
  <c r="R265" i="64"/>
  <c r="Q726" i="64"/>
  <c r="F37" i="71" s="1"/>
  <c r="R206" i="64"/>
  <c r="BD725" i="64"/>
  <c r="AQ725" i="64"/>
  <c r="Q713" i="64"/>
  <c r="F35" i="71" s="1"/>
  <c r="R195" i="64"/>
  <c r="BD714" i="64"/>
  <c r="AD737" i="64"/>
  <c r="AQ714" i="64"/>
  <c r="BD678" i="64"/>
  <c r="AQ678" i="64"/>
  <c r="BD744" i="64"/>
  <c r="AQ744" i="64"/>
  <c r="BD679" i="64"/>
  <c r="AQ679" i="64"/>
  <c r="BD868" i="64"/>
  <c r="AQ868" i="64"/>
  <c r="BD747" i="64"/>
  <c r="AQ747" i="64"/>
  <c r="Q610" i="64"/>
  <c r="R1441" i="79"/>
  <c r="S1441" i="79" s="1"/>
  <c r="I1441" i="79"/>
  <c r="J1441" i="79" s="1"/>
  <c r="BZ1065" i="64"/>
  <c r="AM1060" i="64"/>
  <c r="BM1065" i="64"/>
  <c r="Y1145" i="64"/>
  <c r="CM1068" i="64"/>
  <c r="AL1161" i="64"/>
  <c r="BM1107" i="64"/>
  <c r="CM1072" i="64"/>
  <c r="Y1155" i="64"/>
  <c r="BZ1072" i="64"/>
  <c r="Y1141" i="64"/>
  <c r="AZ1088" i="64"/>
  <c r="AM1090" i="64"/>
  <c r="AM1082" i="64"/>
  <c r="BZ1098" i="64"/>
  <c r="BY1153" i="64"/>
  <c r="AM1065" i="64"/>
  <c r="AZ1072" i="64"/>
  <c r="BM1098" i="64"/>
  <c r="Y1161" i="64"/>
  <c r="AZ1092" i="64"/>
  <c r="AL1171" i="64"/>
  <c r="AM1103" i="64"/>
  <c r="BL1153" i="64"/>
  <c r="BL1146" i="64"/>
  <c r="BL1163" i="64"/>
  <c r="BY1165" i="64"/>
  <c r="AL1180" i="64"/>
  <c r="AZ1055" i="64"/>
  <c r="BM1060" i="64"/>
  <c r="Z1106" i="64"/>
  <c r="BL1134" i="64"/>
  <c r="CM1086" i="64"/>
  <c r="BM1066" i="64"/>
  <c r="Z1085" i="64"/>
  <c r="AL1169" i="64"/>
  <c r="AY1135" i="64"/>
  <c r="BZ1087" i="64"/>
  <c r="AZ1086" i="64"/>
  <c r="AM1081" i="64"/>
  <c r="L1149" i="64"/>
  <c r="AY1131" i="64"/>
  <c r="Y1176" i="64"/>
  <c r="BL1161" i="64"/>
  <c r="Y1153" i="64"/>
  <c r="CM1073" i="64"/>
  <c r="CM1092" i="64"/>
  <c r="AY1180" i="64"/>
  <c r="CM1060" i="64"/>
  <c r="AM1096" i="64"/>
  <c r="Y1179" i="64"/>
  <c r="Z1061" i="64"/>
  <c r="CM1087" i="64"/>
  <c r="L1139" i="64"/>
  <c r="BZ1093" i="64"/>
  <c r="BY1173" i="64"/>
  <c r="AM1084" i="64"/>
  <c r="AL1163" i="64"/>
  <c r="Z1092" i="64"/>
  <c r="BY1180" i="64"/>
  <c r="L1128" i="64"/>
  <c r="Y1133" i="64"/>
  <c r="CM1106" i="64"/>
  <c r="L1135" i="64"/>
  <c r="AY1134" i="64"/>
  <c r="AL1134" i="64"/>
  <c r="AL1159" i="64"/>
  <c r="BL1139" i="64"/>
  <c r="AM1097" i="64"/>
  <c r="AZ1076" i="64"/>
  <c r="AZ1067" i="64"/>
  <c r="Z1086" i="64"/>
  <c r="BM1081" i="64"/>
  <c r="BL1136" i="64"/>
  <c r="CM1097" i="64"/>
  <c r="L1166" i="64"/>
  <c r="L1144" i="64"/>
  <c r="AZ1100" i="64"/>
  <c r="AM1059" i="64"/>
  <c r="AY1142" i="64"/>
  <c r="BL1157" i="64"/>
  <c r="L1131" i="64"/>
  <c r="AL1140" i="64"/>
  <c r="AZ1081" i="64"/>
  <c r="BM1063" i="64"/>
  <c r="Z1097" i="64"/>
  <c r="BL1166" i="64"/>
  <c r="BL1144" i="64"/>
  <c r="BM1076" i="64"/>
  <c r="BZ1059" i="64"/>
  <c r="Y1157" i="64"/>
  <c r="BZ1058" i="64"/>
  <c r="L1154" i="64"/>
  <c r="AY1136" i="64"/>
  <c r="AY1170" i="64"/>
  <c r="BY1166" i="64"/>
  <c r="AY1144" i="64"/>
  <c r="BY1149" i="64"/>
  <c r="L1132" i="64"/>
  <c r="BY1157" i="64"/>
  <c r="BY1131" i="64"/>
  <c r="BL1140" i="64"/>
  <c r="CM1054" i="64"/>
  <c r="L1151" i="64"/>
  <c r="AL1150" i="64"/>
  <c r="Y1168" i="64"/>
  <c r="BM1111" i="64"/>
  <c r="BL1194" i="64"/>
  <c r="BL1188" i="64"/>
  <c r="AL1167" i="64"/>
  <c r="AY1178" i="64"/>
  <c r="CM1095" i="64"/>
  <c r="AM1095" i="64"/>
  <c r="CM1064" i="64"/>
  <c r="BZ1118" i="64"/>
  <c r="L1148" i="64"/>
  <c r="AZ1099" i="64"/>
  <c r="AL1164" i="64"/>
  <c r="BZ1120" i="64"/>
  <c r="BY1152" i="64"/>
  <c r="BL1183" i="64"/>
  <c r="BZ1094" i="64"/>
  <c r="CM1105" i="64"/>
  <c r="AL1182" i="64"/>
  <c r="AY1193" i="64"/>
  <c r="Y1137" i="64"/>
  <c r="L1192" i="64"/>
  <c r="AZ1054" i="64"/>
  <c r="AZ1094" i="64"/>
  <c r="Y1178" i="64"/>
  <c r="AY1190" i="64"/>
  <c r="Z1109" i="64"/>
  <c r="BY1137" i="64"/>
  <c r="AZ1111" i="64"/>
  <c r="BL1174" i="64"/>
  <c r="BL1177" i="64"/>
  <c r="Y1156" i="64"/>
  <c r="BZ1109" i="64"/>
  <c r="AL1191" i="64"/>
  <c r="BL1187" i="64"/>
  <c r="L1143" i="64"/>
  <c r="AZ1102" i="64"/>
  <c r="L1147" i="64"/>
  <c r="BL1181" i="64"/>
  <c r="AM1116" i="64"/>
  <c r="AM1118" i="64"/>
  <c r="BL1148" i="64"/>
  <c r="L1177" i="64"/>
  <c r="L1156" i="64"/>
  <c r="BL1186" i="64"/>
  <c r="BZ1057" i="64"/>
  <c r="BM1112" i="64"/>
  <c r="Z1054" i="64"/>
  <c r="BM1094" i="64"/>
  <c r="L1150" i="64"/>
  <c r="BM1108" i="64"/>
  <c r="Y1190" i="64"/>
  <c r="Y1185" i="64"/>
  <c r="AY1137" i="64"/>
  <c r="BY1174" i="64"/>
  <c r="BM1104" i="64"/>
  <c r="BM1083" i="64"/>
  <c r="BM1117" i="64"/>
  <c r="BM1114" i="64"/>
  <c r="AY1192" i="64"/>
  <c r="Y1143" i="64"/>
  <c r="AY1175" i="64"/>
  <c r="Y1147" i="64"/>
  <c r="AZ1113" i="64"/>
  <c r="Y1184" i="64"/>
  <c r="L1191" i="64"/>
  <c r="L1129" i="64"/>
  <c r="Y1177" i="64"/>
  <c r="AY1162" i="64"/>
  <c r="BL1168" i="64"/>
  <c r="AM1114" i="64"/>
  <c r="BM1064" i="64"/>
  <c r="Z1101" i="64"/>
  <c r="Y1174" i="64"/>
  <c r="AM1105" i="64"/>
  <c r="AZ1089" i="64"/>
  <c r="Z1089" i="64"/>
  <c r="CM1116" i="64"/>
  <c r="Z1110" i="64"/>
  <c r="AY1129" i="64"/>
  <c r="AL1172" i="64"/>
  <c r="AM1091" i="64"/>
  <c r="AZ1095" i="64"/>
  <c r="BZ1114" i="64"/>
  <c r="BM1115" i="64"/>
  <c r="AL1143" i="64"/>
  <c r="AY1151" i="64"/>
  <c r="AL1147" i="64"/>
  <c r="AL1193" i="64"/>
  <c r="Z1114" i="64"/>
  <c r="BZ1112" i="64"/>
  <c r="BM1070" i="64"/>
  <c r="AY1172" i="64"/>
  <c r="L1164" i="64"/>
  <c r="Y1182" i="64"/>
  <c r="AZ1114" i="64"/>
  <c r="AL1189" i="64"/>
  <c r="O1712" i="79"/>
  <c r="O1487" i="79"/>
  <c r="Q611" i="64"/>
  <c r="Q531" i="64"/>
  <c r="F39" i="71"/>
  <c r="AJ1609" i="79"/>
  <c r="AJ1612" i="79"/>
  <c r="P1818" i="79"/>
  <c r="R1443" i="79"/>
  <c r="S1443" i="79" s="1"/>
  <c r="I1443" i="79"/>
  <c r="J1443" i="79" s="1"/>
  <c r="DN1087" i="64"/>
  <c r="AK1553" i="79"/>
  <c r="AK1554" i="79"/>
  <c r="AM1782" i="79"/>
  <c r="BC737" i="64"/>
  <c r="CK1151" i="64"/>
  <c r="DA1151" i="64" s="1"/>
  <c r="CK1150" i="64"/>
  <c r="CY1061" i="64"/>
  <c r="DO1061" i="64" s="1"/>
  <c r="CK1182" i="64"/>
  <c r="DA1182" i="64" s="1"/>
  <c r="CK1179" i="64"/>
  <c r="CK1160" i="64"/>
  <c r="DA1160" i="64" s="1"/>
  <c r="CY1092" i="64"/>
  <c r="DO1092" i="64" s="1"/>
  <c r="CY1083" i="64"/>
  <c r="CY1066" i="64"/>
  <c r="CY1076" i="64"/>
  <c r="DO1076" i="64" s="1"/>
  <c r="CK1149" i="64"/>
  <c r="CK1157" i="64"/>
  <c r="DA1157" i="64" s="1"/>
  <c r="CK1188" i="64"/>
  <c r="DA1188" i="64" s="1"/>
  <c r="CK1189" i="64"/>
  <c r="CY1054" i="64"/>
  <c r="N1578" i="79"/>
  <c r="N1964" i="79"/>
  <c r="N1995" i="79" s="1"/>
  <c r="N1996" i="79" s="1"/>
  <c r="AN1497" i="79"/>
  <c r="AN1523" i="79"/>
  <c r="AN1562" i="79"/>
  <c r="AN1588" i="79"/>
  <c r="AN1484" i="79"/>
  <c r="AN1510" i="79"/>
  <c r="AN1536" i="79"/>
  <c r="AN1549" i="79"/>
  <c r="AN1601" i="79"/>
  <c r="AN1575" i="79"/>
  <c r="DN1057" i="64"/>
  <c r="AN83" i="79" s="1"/>
  <c r="AN1473" i="79" s="1"/>
  <c r="N2035" i="79"/>
  <c r="N2067" i="79" s="1"/>
  <c r="N1604" i="79"/>
  <c r="AL1577" i="79"/>
  <c r="AL1499" i="79"/>
  <c r="AL1526" i="79"/>
  <c r="AL1820" i="79"/>
  <c r="AL1852" i="79" s="1"/>
  <c r="AL1853" i="79" s="1"/>
  <c r="CZ1155" i="64"/>
  <c r="AK1579" i="79"/>
  <c r="AK1580" i="79"/>
  <c r="DN1059" i="64"/>
  <c r="AJ1534" i="79"/>
  <c r="AJ1531" i="79"/>
  <c r="N1032" i="64"/>
  <c r="N1103" i="64" s="1"/>
  <c r="N1020" i="64"/>
  <c r="N1091" i="64" s="1"/>
  <c r="N1039" i="64"/>
  <c r="N1110" i="64" s="1"/>
  <c r="AQ825" i="64"/>
  <c r="BD825" i="64"/>
  <c r="AQ829" i="64"/>
  <c r="BD829" i="64"/>
  <c r="BD826" i="64"/>
  <c r="AQ826" i="64"/>
  <c r="BD822" i="64"/>
  <c r="AQ822" i="64"/>
  <c r="BD816" i="64"/>
  <c r="AQ816" i="64"/>
  <c r="BD789" i="64"/>
  <c r="AQ789" i="64"/>
  <c r="AQ786" i="64"/>
  <c r="BD786" i="64"/>
  <c r="BD751" i="64"/>
  <c r="AQ751" i="64"/>
  <c r="Q720" i="64"/>
  <c r="R259" i="64"/>
  <c r="R200" i="64"/>
  <c r="R266" i="64"/>
  <c r="R207" i="64"/>
  <c r="BD686" i="64"/>
  <c r="AQ686" i="64"/>
  <c r="AQ745" i="64"/>
  <c r="BD745" i="64"/>
  <c r="R260" i="64"/>
  <c r="R201" i="64"/>
  <c r="BD717" i="64"/>
  <c r="AQ717" i="64"/>
  <c r="BD677" i="64"/>
  <c r="AQ677" i="64"/>
  <c r="BD817" i="64"/>
  <c r="AQ817" i="64"/>
  <c r="BD718" i="64"/>
  <c r="AQ718" i="64"/>
  <c r="BD683" i="64"/>
  <c r="AQ683" i="64"/>
  <c r="AZ1082" i="64"/>
  <c r="BM1103" i="64"/>
  <c r="AL1155" i="64"/>
  <c r="L1138" i="64"/>
  <c r="Z1072" i="64"/>
  <c r="Z1068" i="64"/>
  <c r="L1153" i="64"/>
  <c r="AZ1060" i="64"/>
  <c r="AL1141" i="64"/>
  <c r="AY1138" i="64"/>
  <c r="BY1145" i="64"/>
  <c r="AY1141" i="64"/>
  <c r="CM1088" i="64"/>
  <c r="AM1092" i="64"/>
  <c r="CM1065" i="64"/>
  <c r="L1176" i="64"/>
  <c r="BM1082" i="64"/>
  <c r="AZ1065" i="64"/>
  <c r="AY1145" i="64"/>
  <c r="BY1171" i="64"/>
  <c r="BM1080" i="64"/>
  <c r="Z1055" i="64"/>
  <c r="AY1171" i="64"/>
  <c r="AZ1103" i="64"/>
  <c r="BZ1080" i="64"/>
  <c r="BY1146" i="64"/>
  <c r="BY1163" i="64"/>
  <c r="AY1165" i="64"/>
  <c r="BZ1107" i="64"/>
  <c r="BM1055" i="64"/>
  <c r="BM1096" i="64"/>
  <c r="BM1106" i="64"/>
  <c r="Y1134" i="64"/>
  <c r="BM1086" i="64"/>
  <c r="AM1066" i="64"/>
  <c r="AZ1093" i="64"/>
  <c r="L1179" i="64"/>
  <c r="CM1062" i="64"/>
  <c r="AM1087" i="64"/>
  <c r="Y1159" i="64"/>
  <c r="AL1158" i="64"/>
  <c r="Z1076" i="64"/>
  <c r="Z1098" i="64"/>
  <c r="BZ1103" i="64"/>
  <c r="BM1088" i="64"/>
  <c r="AL1153" i="64"/>
  <c r="AL1146" i="64"/>
  <c r="AL1165" i="64"/>
  <c r="Y1128" i="64"/>
  <c r="AL1133" i="64"/>
  <c r="AL1179" i="64"/>
  <c r="AL1135" i="64"/>
  <c r="AM1061" i="64"/>
  <c r="AY1160" i="64"/>
  <c r="BY1139" i="64"/>
  <c r="BY1144" i="64"/>
  <c r="AM1076" i="64"/>
  <c r="Y1131" i="64"/>
  <c r="Z1090" i="64"/>
  <c r="BZ1092" i="64"/>
  <c r="AZ1107" i="64"/>
  <c r="AY1128" i="64"/>
  <c r="Z1060" i="64"/>
  <c r="BZ1106" i="64"/>
  <c r="Z1062" i="64"/>
  <c r="BM1061" i="64"/>
  <c r="BY1160" i="64"/>
  <c r="AM1086" i="64"/>
  <c r="BL1154" i="64"/>
  <c r="CM1093" i="64"/>
  <c r="AZ1069" i="64"/>
  <c r="BZ1067" i="64"/>
  <c r="BZ1066" i="64"/>
  <c r="AL1154" i="64"/>
  <c r="BM1085" i="64"/>
  <c r="BM1097" i="64"/>
  <c r="Z1093" i="64"/>
  <c r="BL1173" i="64"/>
  <c r="BL1149" i="64"/>
  <c r="AZ1059" i="64"/>
  <c r="BZ1069" i="64"/>
  <c r="L1157" i="64"/>
  <c r="AM1058" i="64"/>
  <c r="L1140" i="64"/>
  <c r="Y1154" i="64"/>
  <c r="AY1158" i="64"/>
  <c r="AZ1097" i="64"/>
  <c r="Y1166" i="64"/>
  <c r="CM1100" i="64"/>
  <c r="CM1059" i="64"/>
  <c r="BM1069" i="64"/>
  <c r="BM1084" i="64"/>
  <c r="CM1058" i="64"/>
  <c r="BY1154" i="64"/>
  <c r="BZ1085" i="64"/>
  <c r="L1170" i="64"/>
  <c r="Y1144" i="64"/>
  <c r="Y1173" i="64"/>
  <c r="AY1149" i="64"/>
  <c r="BL1142" i="64"/>
  <c r="AY1157" i="64"/>
  <c r="AY1140" i="64"/>
  <c r="BY1127" i="64"/>
  <c r="BY1148" i="64"/>
  <c r="BY1172" i="64"/>
  <c r="AY1164" i="64"/>
  <c r="BZ1108" i="64"/>
  <c r="CM1115" i="64"/>
  <c r="L1183" i="64"/>
  <c r="BZ1070" i="64"/>
  <c r="CM1078" i="64"/>
  <c r="Y1150" i="64"/>
  <c r="Z1108" i="64"/>
  <c r="AM1117" i="64"/>
  <c r="BY1185" i="64"/>
  <c r="BL1152" i="64"/>
  <c r="AY1174" i="64"/>
  <c r="AL1177" i="64"/>
  <c r="AY1168" i="64"/>
  <c r="Z1095" i="64"/>
  <c r="CM1110" i="64"/>
  <c r="AZ1057" i="64"/>
  <c r="AZ1078" i="64"/>
  <c r="BZ1077" i="64"/>
  <c r="L1162" i="64"/>
  <c r="BY1188" i="64"/>
  <c r="BM1110" i="64"/>
  <c r="BY1191" i="64"/>
  <c r="AY1143" i="64"/>
  <c r="Y1151" i="64"/>
  <c r="AY1147" i="64"/>
  <c r="BY1162" i="64"/>
  <c r="Y1192" i="64"/>
  <c r="BM1116" i="64"/>
  <c r="BL1192" i="64"/>
  <c r="AM1094" i="64"/>
  <c r="BL1178" i="64"/>
  <c r="Y1162" i="64"/>
  <c r="AM1089" i="64"/>
  <c r="Z1118" i="64"/>
  <c r="AM1112" i="64"/>
  <c r="Y1129" i="64"/>
  <c r="BZ1099" i="64"/>
  <c r="CM1091" i="64"/>
  <c r="AM1109" i="64"/>
  <c r="AY1194" i="64"/>
  <c r="AY1188" i="64"/>
  <c r="AY1167" i="64"/>
  <c r="BM1105" i="64"/>
  <c r="AL1190" i="64"/>
  <c r="L1190" i="64"/>
  <c r="AL1184" i="64"/>
  <c r="AZ1119" i="64"/>
  <c r="AM1070" i="64"/>
  <c r="L1175" i="64"/>
  <c r="AM1074" i="64"/>
  <c r="BM1109" i="64"/>
  <c r="AL1183" i="64"/>
  <c r="AM1057" i="64"/>
  <c r="BZ1054" i="64"/>
  <c r="L1167" i="64"/>
  <c r="BY1178" i="64"/>
  <c r="AZ1109" i="64"/>
  <c r="AZ1120" i="64"/>
  <c r="Z1116" i="64"/>
  <c r="L1184" i="64"/>
  <c r="BY1129" i="64"/>
  <c r="L1172" i="64"/>
  <c r="AL1156" i="64"/>
  <c r="L1181" i="64"/>
  <c r="AL1130" i="64"/>
  <c r="Y1194" i="64"/>
  <c r="Z1094" i="64"/>
  <c r="AL1178" i="64"/>
  <c r="AM1113" i="64"/>
  <c r="AY1181" i="64"/>
  <c r="AL1188" i="64"/>
  <c r="BY1183" i="64"/>
  <c r="AL1127" i="64"/>
  <c r="AM1078" i="64"/>
  <c r="Z1077" i="64"/>
  <c r="CM1113" i="64"/>
  <c r="BM1118" i="64"/>
  <c r="Y1189" i="64"/>
  <c r="BL1184" i="64"/>
  <c r="AL1174" i="64"/>
  <c r="CM1104" i="64"/>
  <c r="AM1083" i="64"/>
  <c r="BY1186" i="64"/>
  <c r="BZ1110" i="64"/>
  <c r="AZ1112" i="64"/>
  <c r="BZ1075" i="64"/>
  <c r="BZ1102" i="64"/>
  <c r="Y1164" i="64"/>
  <c r="L1168" i="64"/>
  <c r="BZ1064" i="64"/>
  <c r="AM1119" i="64"/>
  <c r="AM1056" i="64"/>
  <c r="Z1104" i="64"/>
  <c r="BM1120" i="64"/>
  <c r="AL1162" i="64"/>
  <c r="BZ1111" i="64"/>
  <c r="AF1534" i="79"/>
  <c r="AF1531" i="79"/>
  <c r="I1556" i="79"/>
  <c r="I1559" i="79"/>
  <c r="AF1611" i="79"/>
  <c r="AF1608" i="79"/>
  <c r="AF1560" i="79"/>
  <c r="AF1557" i="79"/>
  <c r="AF1569" i="79"/>
  <c r="AF1572" i="79"/>
  <c r="AF1570" i="79"/>
  <c r="AF1573" i="79"/>
  <c r="I1572" i="79"/>
  <c r="I1569" i="79"/>
  <c r="AF1530" i="79"/>
  <c r="AF1533" i="79"/>
  <c r="I1531" i="79"/>
  <c r="I1534" i="79"/>
  <c r="I1612" i="79"/>
  <c r="I1609" i="79"/>
  <c r="AF1521" i="79"/>
  <c r="AF1518" i="79"/>
  <c r="I1530" i="79"/>
  <c r="I1533" i="79"/>
  <c r="AF1586" i="79"/>
  <c r="AF1583" i="79"/>
  <c r="I1596" i="79"/>
  <c r="I1599" i="79"/>
  <c r="I1583" i="79"/>
  <c r="I1586" i="79"/>
  <c r="I1608" i="79"/>
  <c r="I1611" i="79"/>
  <c r="AF1544" i="79"/>
  <c r="AF1547" i="79"/>
  <c r="I1518" i="79"/>
  <c r="I1544" i="79"/>
  <c r="I1547" i="79"/>
  <c r="AF1517" i="79"/>
  <c r="AF1520" i="79"/>
  <c r="AF1582" i="79"/>
  <c r="AF1585" i="79"/>
  <c r="I1595" i="79"/>
  <c r="I1598" i="79"/>
  <c r="I1557" i="79"/>
  <c r="I1560" i="79"/>
  <c r="I1585" i="79"/>
  <c r="I1582" i="79"/>
  <c r="AF1546" i="79"/>
  <c r="AF1543" i="79"/>
  <c r="I1517" i="79"/>
  <c r="AF1609" i="79"/>
  <c r="AF1612" i="79"/>
  <c r="I1546" i="79"/>
  <c r="I1543" i="79"/>
  <c r="L9" i="85"/>
  <c r="K26" i="85"/>
  <c r="L319" i="77" s="1"/>
  <c r="L15" i="74"/>
  <c r="L12" i="74" s="1"/>
  <c r="H6" i="80"/>
  <c r="H68" i="83"/>
  <c r="J677" i="74"/>
  <c r="F45" i="80"/>
  <c r="K29" i="85"/>
  <c r="L10" i="85"/>
  <c r="G102" i="71"/>
  <c r="C69" i="61" s="1"/>
  <c r="Q41" i="73"/>
  <c r="K68" i="83"/>
  <c r="K6" i="80"/>
  <c r="K19" i="80" s="1"/>
  <c r="O15" i="74"/>
  <c r="P42" i="73"/>
  <c r="I75" i="83"/>
  <c r="K320" i="77"/>
  <c r="O46" i="73"/>
  <c r="N10" i="74" s="1"/>
  <c r="N11" i="74" s="1"/>
  <c r="P139" i="77"/>
  <c r="L9" i="74"/>
  <c r="O603" i="73"/>
  <c r="O591" i="73"/>
  <c r="O597" i="73" s="1"/>
  <c r="P680" i="77" s="1"/>
  <c r="Q118" i="85"/>
  <c r="Q134" i="85" s="1"/>
  <c r="Q135" i="85" s="1"/>
  <c r="R135" i="85" s="1"/>
  <c r="D248" i="85" s="1"/>
  <c r="Q310" i="73"/>
  <c r="Q325" i="73" s="1"/>
  <c r="O482" i="73" s="1"/>
  <c r="Q482" i="73" s="1"/>
  <c r="P604" i="73"/>
  <c r="P590" i="73"/>
  <c r="P596" i="73" s="1"/>
  <c r="Q681" i="77" s="1"/>
  <c r="P603" i="73"/>
  <c r="P591" i="73"/>
  <c r="P597" i="73" s="1"/>
  <c r="O604" i="73"/>
  <c r="O590" i="73"/>
  <c r="O596" i="73" s="1"/>
  <c r="P681" i="77" s="1"/>
  <c r="R1458" i="79" l="1"/>
  <c r="S1459" i="79"/>
  <c r="S1639" i="79" s="1"/>
  <c r="K2295" i="79"/>
  <c r="P2133" i="79"/>
  <c r="Q42" i="79"/>
  <c r="P1411" i="64"/>
  <c r="S719" i="79" s="1"/>
  <c r="H1411" i="64"/>
  <c r="K719" i="79" s="1"/>
  <c r="P1640" i="79"/>
  <c r="P1461" i="79"/>
  <c r="I1405" i="64"/>
  <c r="L692" i="79" s="1"/>
  <c r="L695" i="79" s="1"/>
  <c r="P2272" i="79"/>
  <c r="P1405" i="64"/>
  <c r="S692" i="79" s="1"/>
  <c r="S694" i="79" s="1"/>
  <c r="H1405" i="64"/>
  <c r="K692" i="79" s="1"/>
  <c r="K694" i="79" s="1"/>
  <c r="K1411" i="64"/>
  <c r="N719" i="79" s="1"/>
  <c r="N720" i="79" s="1"/>
  <c r="N1405" i="64"/>
  <c r="Q692" i="79" s="1"/>
  <c r="Q695" i="79" s="1"/>
  <c r="F1405" i="64"/>
  <c r="I692" i="79" s="1"/>
  <c r="I695" i="79" s="1"/>
  <c r="N1400" i="64"/>
  <c r="Q665" i="79" s="1"/>
  <c r="M1411" i="64"/>
  <c r="P719" i="79" s="1"/>
  <c r="P720" i="79" s="1"/>
  <c r="K1410" i="64"/>
  <c r="N714" i="79" s="1"/>
  <c r="N716" i="79" s="1"/>
  <c r="AF1559" i="79"/>
  <c r="M1633" i="79"/>
  <c r="M618" i="79"/>
  <c r="M620" i="79"/>
  <c r="M619" i="79"/>
  <c r="P621" i="79"/>
  <c r="P632" i="79" s="1"/>
  <c r="M1631" i="79"/>
  <c r="M554" i="79"/>
  <c r="M589" i="79" s="1"/>
  <c r="O604" i="79"/>
  <c r="U604" i="79" s="1"/>
  <c r="C3290" i="79" s="1"/>
  <c r="O602" i="79"/>
  <c r="O603" i="79"/>
  <c r="U603" i="79" s="1"/>
  <c r="C3289" i="79" s="1"/>
  <c r="O562" i="79"/>
  <c r="O589" i="79" s="1"/>
  <c r="P700" i="79"/>
  <c r="P702" i="79"/>
  <c r="P701" i="79"/>
  <c r="S1395" i="79"/>
  <c r="M599" i="79"/>
  <c r="M596" i="79"/>
  <c r="M594" i="79"/>
  <c r="M595" i="79"/>
  <c r="J1411" i="64"/>
  <c r="M719" i="79" s="1"/>
  <c r="M720" i="79" s="1"/>
  <c r="P1410" i="64"/>
  <c r="S714" i="79" s="1"/>
  <c r="N1411" i="64"/>
  <c r="Q719" i="79" s="1"/>
  <c r="Q722" i="79" s="1"/>
  <c r="F1411" i="64"/>
  <c r="I719" i="79" s="1"/>
  <c r="I720" i="79" s="1"/>
  <c r="L1410" i="64"/>
  <c r="O714" i="79" s="1"/>
  <c r="O715" i="79" s="1"/>
  <c r="M1405" i="64"/>
  <c r="P692" i="79" s="1"/>
  <c r="P693" i="79" s="1"/>
  <c r="H1410" i="64"/>
  <c r="K714" i="79" s="1"/>
  <c r="K717" i="79" s="1"/>
  <c r="M1410" i="64"/>
  <c r="P714" i="79" s="1"/>
  <c r="L1408" i="64"/>
  <c r="O704" i="79" s="1"/>
  <c r="O2296" i="79"/>
  <c r="O2295" i="79" s="1"/>
  <c r="M2181" i="79"/>
  <c r="M2180" i="79" s="1"/>
  <c r="M2198" i="79" s="1"/>
  <c r="M2199" i="79" s="1"/>
  <c r="J1402" i="64"/>
  <c r="M677" i="79" s="1"/>
  <c r="N2319" i="79"/>
  <c r="N2318" i="79" s="1"/>
  <c r="K1409" i="64"/>
  <c r="N709" i="79" s="1"/>
  <c r="N1403" i="64"/>
  <c r="Q682" i="79" s="1"/>
  <c r="Q2204" i="79"/>
  <c r="Q2203" i="79" s="1"/>
  <c r="Q2221" i="79" s="1"/>
  <c r="Q2222" i="79" s="1"/>
  <c r="I2204" i="79"/>
  <c r="I2203" i="79" s="1"/>
  <c r="I2221" i="79" s="1"/>
  <c r="I2222" i="79" s="1"/>
  <c r="F1403" i="64"/>
  <c r="I682" i="79" s="1"/>
  <c r="O717" i="79"/>
  <c r="M2227" i="79"/>
  <c r="J1404" i="64"/>
  <c r="M687" i="79" s="1"/>
  <c r="M2365" i="79"/>
  <c r="M2250" i="79"/>
  <c r="M2342" i="79"/>
  <c r="H1400" i="64"/>
  <c r="K665" i="79" s="1"/>
  <c r="K2134" i="79"/>
  <c r="K2133" i="79" s="1"/>
  <c r="O2251" i="79"/>
  <c r="O2228" i="79"/>
  <c r="O2343" i="79"/>
  <c r="O2366" i="79"/>
  <c r="J1401" i="64"/>
  <c r="M672" i="79" s="1"/>
  <c r="M2158" i="79"/>
  <c r="M2157" i="79" s="1"/>
  <c r="M2175" i="79" s="1"/>
  <c r="M2176" i="79" s="1"/>
  <c r="P721" i="79"/>
  <c r="K693" i="79"/>
  <c r="K695" i="79"/>
  <c r="K1408" i="64"/>
  <c r="N704" i="79" s="1"/>
  <c r="N2296" i="79"/>
  <c r="N2295" i="79" s="1"/>
  <c r="I1402" i="64"/>
  <c r="L677" i="79" s="1"/>
  <c r="L2181" i="79"/>
  <c r="L2180" i="79" s="1"/>
  <c r="L2198" i="79" s="1"/>
  <c r="L2199" i="79" s="1"/>
  <c r="J1409" i="64"/>
  <c r="M709" i="79" s="1"/>
  <c r="M2319" i="79"/>
  <c r="M2318" i="79" s="1"/>
  <c r="M1403" i="64"/>
  <c r="P682" i="79" s="1"/>
  <c r="P2204" i="79"/>
  <c r="P2203" i="79" s="1"/>
  <c r="P2221" i="79" s="1"/>
  <c r="P2222" i="79" s="1"/>
  <c r="N715" i="79"/>
  <c r="L2365" i="79"/>
  <c r="L2227" i="79"/>
  <c r="L2250" i="79"/>
  <c r="L2342" i="79"/>
  <c r="I1404" i="64"/>
  <c r="L687" i="79" s="1"/>
  <c r="J2134" i="79"/>
  <c r="J2133" i="79" s="1"/>
  <c r="G1400" i="64"/>
  <c r="J665" i="79" s="1"/>
  <c r="N2343" i="79"/>
  <c r="N2366" i="79"/>
  <c r="N2251" i="79"/>
  <c r="N2228" i="79"/>
  <c r="I1401" i="64"/>
  <c r="L672" i="79" s="1"/>
  <c r="L2158" i="79"/>
  <c r="L1411" i="64"/>
  <c r="O719" i="79" s="1"/>
  <c r="O1405" i="64"/>
  <c r="R692" i="79" s="1"/>
  <c r="G1405" i="64"/>
  <c r="J692" i="79" s="1"/>
  <c r="J1408" i="64"/>
  <c r="M704" i="79" s="1"/>
  <c r="M2296" i="79"/>
  <c r="M2295" i="79" s="1"/>
  <c r="P1402" i="64"/>
  <c r="S677" i="79" s="1"/>
  <c r="S2181" i="79"/>
  <c r="S2180" i="79" s="1"/>
  <c r="S2198" i="79" s="1"/>
  <c r="S2199" i="79" s="1"/>
  <c r="H1402" i="64"/>
  <c r="K677" i="79" s="1"/>
  <c r="K2181" i="79"/>
  <c r="I1409" i="64"/>
  <c r="L709" i="79" s="1"/>
  <c r="L2319" i="79"/>
  <c r="L2318" i="79" s="1"/>
  <c r="L1403" i="64"/>
  <c r="O682" i="79" s="1"/>
  <c r="O2204" i="79"/>
  <c r="O2203" i="79" s="1"/>
  <c r="O2221" i="79" s="1"/>
  <c r="O2222" i="79" s="1"/>
  <c r="J1410" i="64"/>
  <c r="M714" i="79" s="1"/>
  <c r="P1404" i="64"/>
  <c r="S687" i="79" s="1"/>
  <c r="S2227" i="79"/>
  <c r="S2342" i="79"/>
  <c r="S2365" i="79"/>
  <c r="S2250" i="79"/>
  <c r="K2365" i="79"/>
  <c r="K2342" i="79"/>
  <c r="K2227" i="79"/>
  <c r="H1404" i="64"/>
  <c r="K687" i="79" s="1"/>
  <c r="K2250" i="79"/>
  <c r="P1400" i="64"/>
  <c r="S665" i="79" s="1"/>
  <c r="S2134" i="79"/>
  <c r="S2133" i="79" s="1"/>
  <c r="I2134" i="79"/>
  <c r="I2133" i="79" s="1"/>
  <c r="F1400" i="64"/>
  <c r="I665" i="79" s="1"/>
  <c r="M2343" i="79"/>
  <c r="M2366" i="79"/>
  <c r="M2228" i="79"/>
  <c r="M2251" i="79"/>
  <c r="P1401" i="64"/>
  <c r="S672" i="79" s="1"/>
  <c r="S2158" i="79"/>
  <c r="S2157" i="79" s="1"/>
  <c r="S2175" i="79" s="1"/>
  <c r="S2176" i="79" s="1"/>
  <c r="H1401" i="64"/>
  <c r="K672" i="79" s="1"/>
  <c r="K2158" i="79"/>
  <c r="K2157" i="79" s="1"/>
  <c r="K2175" i="79" s="1"/>
  <c r="K2176" i="79" s="1"/>
  <c r="Q693" i="79"/>
  <c r="Q694" i="79"/>
  <c r="I1408" i="64"/>
  <c r="L704" i="79" s="1"/>
  <c r="L2296" i="79"/>
  <c r="L2295" i="79" s="1"/>
  <c r="R2181" i="79"/>
  <c r="R2180" i="79" s="1"/>
  <c r="R2198" i="79" s="1"/>
  <c r="R2199" i="79" s="1"/>
  <c r="O1402" i="64"/>
  <c r="R677" i="79" s="1"/>
  <c r="J2181" i="79"/>
  <c r="J2180" i="79" s="1"/>
  <c r="J2198" i="79" s="1"/>
  <c r="J2199" i="79" s="1"/>
  <c r="G1402" i="64"/>
  <c r="J677" i="79" s="1"/>
  <c r="S2319" i="79"/>
  <c r="S2318" i="79" s="1"/>
  <c r="P1409" i="64"/>
  <c r="S709" i="79" s="1"/>
  <c r="H1409" i="64"/>
  <c r="K709" i="79" s="1"/>
  <c r="K2319" i="79"/>
  <c r="K2318" i="79" s="1"/>
  <c r="K1403" i="64"/>
  <c r="N682" i="79" s="1"/>
  <c r="N2204" i="79"/>
  <c r="N2203" i="79" s="1"/>
  <c r="N2221" i="79" s="1"/>
  <c r="N2222" i="79" s="1"/>
  <c r="I1410" i="64"/>
  <c r="L714" i="79" s="1"/>
  <c r="R2250" i="79"/>
  <c r="R2365" i="79"/>
  <c r="O1404" i="64"/>
  <c r="R687" i="79" s="1"/>
  <c r="R2342" i="79"/>
  <c r="R2227" i="79"/>
  <c r="J2365" i="79"/>
  <c r="G1404" i="64"/>
  <c r="J687" i="79" s="1"/>
  <c r="J2227" i="79"/>
  <c r="J2342" i="79"/>
  <c r="J2250" i="79"/>
  <c r="O1400" i="64"/>
  <c r="R665" i="79" s="1"/>
  <c r="R2134" i="79"/>
  <c r="R2133" i="79" s="1"/>
  <c r="L2228" i="79"/>
  <c r="L2251" i="79"/>
  <c r="L2366" i="79"/>
  <c r="L2343" i="79"/>
  <c r="O1401" i="64"/>
  <c r="R672" i="79" s="1"/>
  <c r="R2158" i="79"/>
  <c r="R2157" i="79" s="1"/>
  <c r="R2175" i="79" s="1"/>
  <c r="R2176" i="79" s="1"/>
  <c r="J2158" i="79"/>
  <c r="J2157" i="79" s="1"/>
  <c r="J2175" i="79" s="1"/>
  <c r="J2176" i="79" s="1"/>
  <c r="G1401" i="64"/>
  <c r="J672" i="79" s="1"/>
  <c r="P1408" i="64"/>
  <c r="S704" i="79" s="1"/>
  <c r="S2296" i="79"/>
  <c r="S2295" i="79" s="1"/>
  <c r="Q2181" i="79"/>
  <c r="Q2180" i="79" s="1"/>
  <c r="Q2198" i="79" s="1"/>
  <c r="Q2199" i="79" s="1"/>
  <c r="N1402" i="64"/>
  <c r="Q677" i="79" s="1"/>
  <c r="F1402" i="64"/>
  <c r="I677" i="79" s="1"/>
  <c r="I2181" i="79"/>
  <c r="I2180" i="79" s="1"/>
  <c r="I2198" i="79" s="1"/>
  <c r="I2199" i="79" s="1"/>
  <c r="O1409" i="64"/>
  <c r="R709" i="79" s="1"/>
  <c r="R2319" i="79"/>
  <c r="R2318" i="79" s="1"/>
  <c r="J2319" i="79"/>
  <c r="J2318" i="79" s="1"/>
  <c r="G1409" i="64"/>
  <c r="J709" i="79" s="1"/>
  <c r="M2204" i="79"/>
  <c r="M2203" i="79" s="1"/>
  <c r="M2221" i="79" s="1"/>
  <c r="M2222" i="79" s="1"/>
  <c r="J1403" i="64"/>
  <c r="M682" i="79" s="1"/>
  <c r="K715" i="79"/>
  <c r="K716" i="79"/>
  <c r="Q2250" i="79"/>
  <c r="Q2342" i="79"/>
  <c r="Q2227" i="79"/>
  <c r="Q2365" i="79"/>
  <c r="N1404" i="64"/>
  <c r="Q687" i="79" s="1"/>
  <c r="I2250" i="79"/>
  <c r="F1404" i="64"/>
  <c r="I687" i="79" s="1"/>
  <c r="I2227" i="79"/>
  <c r="I2342" i="79"/>
  <c r="I2365" i="79"/>
  <c r="L1400" i="64"/>
  <c r="O665" i="79" s="1"/>
  <c r="O2134" i="79"/>
  <c r="O2133" i="79" s="1"/>
  <c r="S2343" i="79"/>
  <c r="S2228" i="79"/>
  <c r="S2366" i="79"/>
  <c r="S2251" i="79"/>
  <c r="K2343" i="79"/>
  <c r="K2366" i="79"/>
  <c r="K2228" i="79"/>
  <c r="K2251" i="79"/>
  <c r="N1401" i="64"/>
  <c r="Q672" i="79" s="1"/>
  <c r="Q2158" i="79"/>
  <c r="Q2157" i="79" s="1"/>
  <c r="Q2175" i="79" s="1"/>
  <c r="Q2176" i="79" s="1"/>
  <c r="I2158" i="79"/>
  <c r="F1401" i="64"/>
  <c r="I672" i="79" s="1"/>
  <c r="H1407" i="64"/>
  <c r="K699" i="79" s="1"/>
  <c r="I1411" i="64"/>
  <c r="L719" i="79" s="1"/>
  <c r="L1405" i="64"/>
  <c r="O692" i="79" s="1"/>
  <c r="O1408" i="64"/>
  <c r="R704" i="79" s="1"/>
  <c r="R2296" i="79"/>
  <c r="R2295" i="79" s="1"/>
  <c r="J2296" i="79"/>
  <c r="J2295" i="79" s="1"/>
  <c r="G1408" i="64"/>
  <c r="J704" i="79" s="1"/>
  <c r="M1402" i="64"/>
  <c r="P677" i="79" s="1"/>
  <c r="P2181" i="79"/>
  <c r="P2180" i="79" s="1"/>
  <c r="P2198" i="79" s="1"/>
  <c r="P2199" i="79" s="1"/>
  <c r="Q2319" i="79"/>
  <c r="Q2318" i="79" s="1"/>
  <c r="N1409" i="64"/>
  <c r="Q709" i="79" s="1"/>
  <c r="I2319" i="79"/>
  <c r="I2318" i="79" s="1"/>
  <c r="F1409" i="64"/>
  <c r="I709" i="79" s="1"/>
  <c r="I1403" i="64"/>
  <c r="L682" i="79" s="1"/>
  <c r="L2204" i="79"/>
  <c r="L2203" i="79" s="1"/>
  <c r="L2221" i="79" s="1"/>
  <c r="L2222" i="79" s="1"/>
  <c r="O1410" i="64"/>
  <c r="R714" i="79" s="1"/>
  <c r="G1410" i="64"/>
  <c r="J714" i="79" s="1"/>
  <c r="P2250" i="79"/>
  <c r="P2342" i="79"/>
  <c r="P2227" i="79"/>
  <c r="P2365" i="79"/>
  <c r="M1404" i="64"/>
  <c r="P687" i="79" s="1"/>
  <c r="K1400" i="64"/>
  <c r="N665" i="79" s="1"/>
  <c r="N2134" i="79"/>
  <c r="N2133" i="79" s="1"/>
  <c r="R2228" i="79"/>
  <c r="R2251" i="79"/>
  <c r="R2343" i="79"/>
  <c r="R2366" i="79"/>
  <c r="J2228" i="79"/>
  <c r="J2251" i="79"/>
  <c r="J2343" i="79"/>
  <c r="J2366" i="79"/>
  <c r="M1401" i="64"/>
  <c r="P672" i="79" s="1"/>
  <c r="P2158" i="79"/>
  <c r="P2157" i="79" s="1"/>
  <c r="P2175" i="79" s="1"/>
  <c r="P2176" i="79" s="1"/>
  <c r="K722" i="79"/>
  <c r="K720" i="79"/>
  <c r="K721" i="79"/>
  <c r="N693" i="79"/>
  <c r="N694" i="79"/>
  <c r="N695" i="79"/>
  <c r="N1408" i="64"/>
  <c r="Q704" i="79" s="1"/>
  <c r="Q2296" i="79"/>
  <c r="Q2295" i="79" s="1"/>
  <c r="I2296" i="79"/>
  <c r="I2295" i="79" s="1"/>
  <c r="F1408" i="64"/>
  <c r="I704" i="79" s="1"/>
  <c r="L1402" i="64"/>
  <c r="O677" i="79" s="1"/>
  <c r="O2181" i="79"/>
  <c r="O2180" i="79" s="1"/>
  <c r="O2198" i="79" s="1"/>
  <c r="O2199" i="79" s="1"/>
  <c r="P2319" i="79"/>
  <c r="P2318" i="79" s="1"/>
  <c r="M1409" i="64"/>
  <c r="P709" i="79" s="1"/>
  <c r="P1403" i="64"/>
  <c r="S682" i="79" s="1"/>
  <c r="S2204" i="79"/>
  <c r="S2203" i="79" s="1"/>
  <c r="S2221" i="79" s="1"/>
  <c r="S2222" i="79" s="1"/>
  <c r="H1403" i="64"/>
  <c r="K682" i="79" s="1"/>
  <c r="K2204" i="79"/>
  <c r="K2203" i="79" s="1"/>
  <c r="K2221" i="79" s="1"/>
  <c r="K2222" i="79" s="1"/>
  <c r="N1410" i="64"/>
  <c r="Q714" i="79" s="1"/>
  <c r="F1410" i="64"/>
  <c r="I714" i="79" s="1"/>
  <c r="L1404" i="64"/>
  <c r="O687" i="79" s="1"/>
  <c r="O2365" i="79"/>
  <c r="O2342" i="79"/>
  <c r="O2227" i="79"/>
  <c r="O2250" i="79"/>
  <c r="J1400" i="64"/>
  <c r="M665" i="79" s="1"/>
  <c r="M2134" i="79"/>
  <c r="M2133" i="79" s="1"/>
  <c r="Q2228" i="79"/>
  <c r="Q2251" i="79"/>
  <c r="Q2343" i="79"/>
  <c r="Q2366" i="79"/>
  <c r="I2366" i="79"/>
  <c r="I2251" i="79"/>
  <c r="I2228" i="79"/>
  <c r="I2343" i="79"/>
  <c r="O2158" i="79"/>
  <c r="L1401" i="64"/>
  <c r="O672" i="79" s="1"/>
  <c r="O1411" i="64"/>
  <c r="R719" i="79" s="1"/>
  <c r="G1411" i="64"/>
  <c r="J719" i="79" s="1"/>
  <c r="M693" i="79"/>
  <c r="M694" i="79"/>
  <c r="M695" i="79"/>
  <c r="M1408" i="64"/>
  <c r="P704" i="79" s="1"/>
  <c r="P2296" i="79"/>
  <c r="P2295" i="79" s="1"/>
  <c r="K1402" i="64"/>
  <c r="N677" i="79" s="1"/>
  <c r="N2181" i="79"/>
  <c r="N2180" i="79" s="1"/>
  <c r="N2198" i="79" s="1"/>
  <c r="N2199" i="79" s="1"/>
  <c r="L1409" i="64"/>
  <c r="O709" i="79" s="1"/>
  <c r="O2319" i="79"/>
  <c r="O2318" i="79" s="1"/>
  <c r="O1403" i="64"/>
  <c r="R682" i="79" s="1"/>
  <c r="R2204" i="79"/>
  <c r="R2203" i="79" s="1"/>
  <c r="R2221" i="79" s="1"/>
  <c r="R2222" i="79" s="1"/>
  <c r="J2204" i="79"/>
  <c r="G1403" i="64"/>
  <c r="J682" i="79" s="1"/>
  <c r="P716" i="79"/>
  <c r="P715" i="79"/>
  <c r="P717" i="79"/>
  <c r="N2342" i="79"/>
  <c r="N2227" i="79"/>
  <c r="N2226" i="79" s="1"/>
  <c r="N2244" i="79" s="1"/>
  <c r="N2245" i="79" s="1"/>
  <c r="N2365" i="79"/>
  <c r="K1404" i="64"/>
  <c r="N687" i="79" s="1"/>
  <c r="N2250" i="79"/>
  <c r="N2249" i="79" s="1"/>
  <c r="N2267" i="79" s="1"/>
  <c r="N2268" i="79" s="1"/>
  <c r="L2134" i="79"/>
  <c r="L2133" i="79" s="1"/>
  <c r="I1400" i="64"/>
  <c r="L665" i="79" s="1"/>
  <c r="P2366" i="79"/>
  <c r="P2228" i="79"/>
  <c r="P2251" i="79"/>
  <c r="P2343" i="79"/>
  <c r="K1401" i="64"/>
  <c r="N672" i="79" s="1"/>
  <c r="N2158" i="79"/>
  <c r="N2157" i="79" s="1"/>
  <c r="N2175" i="79" s="1"/>
  <c r="N2176" i="79" s="1"/>
  <c r="U585" i="79"/>
  <c r="C3271" i="79" s="1"/>
  <c r="R188" i="85"/>
  <c r="BD792" i="64"/>
  <c r="J561" i="79"/>
  <c r="BD858" i="64"/>
  <c r="R2289" i="79"/>
  <c r="R2290" i="79" s="1"/>
  <c r="R2291" i="79" s="1"/>
  <c r="S552" i="79"/>
  <c r="J560" i="79"/>
  <c r="J577" i="79"/>
  <c r="J580" i="79"/>
  <c r="J1394" i="79" s="1"/>
  <c r="J575" i="79"/>
  <c r="I50" i="10"/>
  <c r="A69" i="71"/>
  <c r="A78" i="71" s="1"/>
  <c r="A6" i="76"/>
  <c r="A57" i="76" s="1"/>
  <c r="R638" i="64"/>
  <c r="S638" i="64" s="1"/>
  <c r="S556" i="79"/>
  <c r="S1633" i="79" s="1"/>
  <c r="J564" i="79"/>
  <c r="J632" i="79"/>
  <c r="H177" i="73"/>
  <c r="H458" i="73" s="1"/>
  <c r="I176" i="73"/>
  <c r="J158" i="73" s="1"/>
  <c r="I637" i="79"/>
  <c r="C727" i="79"/>
  <c r="I387" i="40"/>
  <c r="I391" i="40"/>
  <c r="I392" i="40"/>
  <c r="I394" i="40"/>
  <c r="I396" i="40"/>
  <c r="I397" i="40"/>
  <c r="I398" i="40"/>
  <c r="I399" i="40"/>
  <c r="I400" i="40"/>
  <c r="I401" i="40"/>
  <c r="I402" i="40"/>
  <c r="I403" i="40"/>
  <c r="I404" i="40"/>
  <c r="I405" i="40"/>
  <c r="I406" i="40"/>
  <c r="I407" i="40"/>
  <c r="I408" i="40"/>
  <c r="I409" i="40"/>
  <c r="I410" i="40"/>
  <c r="I411" i="40"/>
  <c r="I417" i="40"/>
  <c r="I418" i="40"/>
  <c r="I430" i="40"/>
  <c r="I431" i="40"/>
  <c r="I432" i="40"/>
  <c r="I433" i="40"/>
  <c r="I434" i="40"/>
  <c r="I435" i="40"/>
  <c r="I436" i="40"/>
  <c r="I437" i="40"/>
  <c r="I438" i="40"/>
  <c r="I439" i="40"/>
  <c r="I440" i="40"/>
  <c r="I441" i="40"/>
  <c r="C387" i="40"/>
  <c r="C391" i="40"/>
  <c r="C392" i="40"/>
  <c r="C394" i="40"/>
  <c r="C396" i="40"/>
  <c r="C397" i="40"/>
  <c r="C398" i="40"/>
  <c r="C399" i="40"/>
  <c r="C400" i="40"/>
  <c r="C401" i="40"/>
  <c r="C402" i="40"/>
  <c r="C403" i="40"/>
  <c r="C404" i="40"/>
  <c r="C405" i="40"/>
  <c r="C406" i="40"/>
  <c r="C407" i="40"/>
  <c r="C408" i="40"/>
  <c r="C409" i="40"/>
  <c r="C410" i="40"/>
  <c r="C411" i="40"/>
  <c r="C417" i="40"/>
  <c r="C418" i="40"/>
  <c r="C430" i="40"/>
  <c r="C431" i="40"/>
  <c r="C432" i="40"/>
  <c r="C433" i="40"/>
  <c r="C434" i="40"/>
  <c r="C435" i="40"/>
  <c r="C436" i="40"/>
  <c r="C437" i="40"/>
  <c r="C438" i="40"/>
  <c r="C439" i="40"/>
  <c r="C440" i="40"/>
  <c r="C441" i="40"/>
  <c r="S629" i="79"/>
  <c r="I1573" i="79"/>
  <c r="AD808" i="64"/>
  <c r="S553" i="79"/>
  <c r="S554" i="79" s="1"/>
  <c r="S589" i="79" s="1"/>
  <c r="BC879" i="64"/>
  <c r="BC882" i="64" s="1"/>
  <c r="U727" i="79"/>
  <c r="T1220" i="79"/>
  <c r="T1288" i="79" s="1"/>
  <c r="U714" i="79"/>
  <c r="C655" i="79" s="1"/>
  <c r="C595" i="79"/>
  <c r="C594" i="79"/>
  <c r="C599" i="79"/>
  <c r="C607" i="79"/>
  <c r="C602" i="79"/>
  <c r="C623" i="79"/>
  <c r="C618" i="79"/>
  <c r="K2313" i="79"/>
  <c r="K2314" i="79" s="1"/>
  <c r="S619" i="79"/>
  <c r="U619" i="79" s="1"/>
  <c r="C3305" i="79" s="1"/>
  <c r="S618" i="79"/>
  <c r="S620" i="79"/>
  <c r="U620" i="79" s="1"/>
  <c r="C3306" i="79" s="1"/>
  <c r="AP879" i="64"/>
  <c r="AP882" i="64" s="1"/>
  <c r="S2285" i="79"/>
  <c r="I605" i="79"/>
  <c r="I632" i="79" s="1"/>
  <c r="S594" i="79"/>
  <c r="U594" i="79" s="1"/>
  <c r="C3280" i="79" s="1"/>
  <c r="S599" i="79"/>
  <c r="S596" i="79"/>
  <c r="U596" i="79" s="1"/>
  <c r="C3282" i="79" s="1"/>
  <c r="S595" i="79"/>
  <c r="U595" i="79" s="1"/>
  <c r="C3281" i="79" s="1"/>
  <c r="AM1474" i="79"/>
  <c r="AM1476" i="79" s="1"/>
  <c r="AQ866" i="64"/>
  <c r="K705" i="79"/>
  <c r="K706" i="79"/>
  <c r="K707" i="79"/>
  <c r="Q122" i="64"/>
  <c r="AN1474" i="79"/>
  <c r="AN1676" i="79"/>
  <c r="AN42" i="79"/>
  <c r="AN1460" i="79" s="1"/>
  <c r="AN1640" i="79" s="1"/>
  <c r="AL1476" i="79"/>
  <c r="AL1475" i="79"/>
  <c r="W188" i="85"/>
  <c r="X188" i="85" s="1"/>
  <c r="Z435" i="40"/>
  <c r="I564" i="79"/>
  <c r="I1390" i="79" s="1"/>
  <c r="I2082" i="79"/>
  <c r="I2401" i="79" s="1"/>
  <c r="I560" i="79"/>
  <c r="U560" i="79" s="1"/>
  <c r="C3246" i="79" s="1"/>
  <c r="I559" i="79"/>
  <c r="I561" i="79"/>
  <c r="U561" i="79" s="1"/>
  <c r="C3247" i="79" s="1"/>
  <c r="Q1631" i="79"/>
  <c r="Q1387" i="79"/>
  <c r="Q554" i="79"/>
  <c r="Q589" i="79" s="1"/>
  <c r="P670" i="79"/>
  <c r="P668" i="79"/>
  <c r="P669" i="79"/>
  <c r="J2273" i="79"/>
  <c r="J2272" i="79" s="1"/>
  <c r="G1407" i="64"/>
  <c r="J699" i="79" s="1"/>
  <c r="U699" i="79" s="1"/>
  <c r="I580" i="79"/>
  <c r="I1394" i="79" s="1"/>
  <c r="I577" i="79"/>
  <c r="U577" i="79" s="1"/>
  <c r="C3263" i="79" s="1"/>
  <c r="I575" i="79"/>
  <c r="U575" i="79" s="1"/>
  <c r="C3261" i="79" s="1"/>
  <c r="I576" i="79"/>
  <c r="U576" i="79" s="1"/>
  <c r="C3262" i="79" s="1"/>
  <c r="Q1633" i="79"/>
  <c r="Q1388" i="79"/>
  <c r="R556" i="79"/>
  <c r="R551" i="79"/>
  <c r="R552" i="79"/>
  <c r="U552" i="79" s="1"/>
  <c r="C3238" i="79" s="1"/>
  <c r="R553" i="79"/>
  <c r="U553" i="79" s="1"/>
  <c r="C3239" i="79" s="1"/>
  <c r="F465" i="73"/>
  <c r="Q386" i="77"/>
  <c r="I40" i="10"/>
  <c r="I44" i="80"/>
  <c r="I45" i="80" s="1"/>
  <c r="G204" i="73"/>
  <c r="H186" i="73" s="1"/>
  <c r="D153" i="9"/>
  <c r="I92" i="61" s="1"/>
  <c r="D152" i="9"/>
  <c r="C580" i="79"/>
  <c r="C575" i="79"/>
  <c r="I641" i="79"/>
  <c r="C736" i="79"/>
  <c r="C735" i="79"/>
  <c r="S2286" i="79"/>
  <c r="S1230" i="79"/>
  <c r="S1298" i="79" s="1"/>
  <c r="S2142" i="79"/>
  <c r="S1225" i="79"/>
  <c r="S1293" i="79" s="1"/>
  <c r="Q2140" i="79"/>
  <c r="Q1223" i="79"/>
  <c r="Q1291" i="79" s="1"/>
  <c r="Q2142" i="79"/>
  <c r="Q1225" i="79"/>
  <c r="Q1293" i="79" s="1"/>
  <c r="S2140" i="79"/>
  <c r="S1223" i="79"/>
  <c r="S1291" i="79" s="1"/>
  <c r="C564" i="79"/>
  <c r="C559" i="79"/>
  <c r="AO1471" i="79"/>
  <c r="AO1674" i="79" s="1"/>
  <c r="J578" i="79"/>
  <c r="J1393" i="79"/>
  <c r="C552" i="79"/>
  <c r="C556" i="79"/>
  <c r="C551" i="79"/>
  <c r="J1390" i="79"/>
  <c r="K700" i="79"/>
  <c r="K701" i="79"/>
  <c r="K702" i="79"/>
  <c r="J1395" i="79"/>
  <c r="J586" i="79"/>
  <c r="J562" i="79"/>
  <c r="J1389" i="79"/>
  <c r="DO1109" i="64"/>
  <c r="T2226" i="79"/>
  <c r="T2244" i="79" s="1"/>
  <c r="T2245" i="79" s="1"/>
  <c r="T710" i="79"/>
  <c r="DA1153" i="64"/>
  <c r="BD861" i="64"/>
  <c r="P646" i="64"/>
  <c r="P660" i="64" s="1"/>
  <c r="Q128" i="64" s="1"/>
  <c r="G8" i="71" s="1"/>
  <c r="C8" i="71" s="1"/>
  <c r="Q612" i="64"/>
  <c r="R132" i="64" s="1"/>
  <c r="S132" i="64" s="1"/>
  <c r="G15" i="83" s="1"/>
  <c r="T722" i="79"/>
  <c r="Q627" i="64"/>
  <c r="Q630" i="64" s="1"/>
  <c r="U719" i="79"/>
  <c r="C657" i="79" s="1"/>
  <c r="BD864" i="64"/>
  <c r="T721" i="79"/>
  <c r="DN1202" i="64"/>
  <c r="DP1202" i="64" s="1"/>
  <c r="AQ859" i="64"/>
  <c r="DN1209" i="64"/>
  <c r="DP1209" i="64" s="1"/>
  <c r="BD863" i="64"/>
  <c r="T717" i="79"/>
  <c r="DN1246" i="64"/>
  <c r="DP1246" i="64" s="1"/>
  <c r="DN1252" i="64"/>
  <c r="DP1252" i="64" s="1"/>
  <c r="DN1219" i="64"/>
  <c r="DP1219" i="64" s="1"/>
  <c r="CN1314" i="64"/>
  <c r="CP1314" i="64" s="1"/>
  <c r="DN1211" i="64"/>
  <c r="DP1211" i="64" s="1"/>
  <c r="CN1333" i="64"/>
  <c r="CP1333" i="64" s="1"/>
  <c r="CZ1068" i="64"/>
  <c r="DP1068" i="64" s="1"/>
  <c r="T711" i="79"/>
  <c r="DN1266" i="64"/>
  <c r="DP1266" i="64" s="1"/>
  <c r="DN1218" i="64"/>
  <c r="DP1218" i="64" s="1"/>
  <c r="CN1281" i="64"/>
  <c r="CP1281" i="64" s="1"/>
  <c r="DN1214" i="64"/>
  <c r="DP1214" i="64" s="1"/>
  <c r="CZ1072" i="64"/>
  <c r="DP1072" i="64" s="1"/>
  <c r="CL1170" i="64"/>
  <c r="DB1170" i="64" s="1"/>
  <c r="CL1176" i="64"/>
  <c r="DB1176" i="64" s="1"/>
  <c r="AQ857" i="64"/>
  <c r="CL1168" i="64"/>
  <c r="DB1168" i="64" s="1"/>
  <c r="CL1175" i="64"/>
  <c r="DB1175" i="64" s="1"/>
  <c r="CZ1098" i="64"/>
  <c r="DP1098" i="64" s="1"/>
  <c r="CZ1101" i="64"/>
  <c r="DP1101" i="64" s="1"/>
  <c r="CN1279" i="64"/>
  <c r="CP1279" i="64" s="1"/>
  <c r="DN1207" i="64"/>
  <c r="DP1207" i="64" s="1"/>
  <c r="CN1322" i="64"/>
  <c r="CP1322" i="64" s="1"/>
  <c r="T2318" i="79"/>
  <c r="U709" i="79"/>
  <c r="C653" i="79" s="1"/>
  <c r="T716" i="79"/>
  <c r="DN1250" i="64"/>
  <c r="DP1250" i="64" s="1"/>
  <c r="CN1324" i="64"/>
  <c r="CP1324" i="64" s="1"/>
  <c r="DN1235" i="64"/>
  <c r="DP1235" i="64" s="1"/>
  <c r="CN1295" i="64"/>
  <c r="CP1295" i="64" s="1"/>
  <c r="Z430" i="40"/>
  <c r="DN1260" i="64"/>
  <c r="DP1260" i="64" s="1"/>
  <c r="CN1282" i="64"/>
  <c r="CP1282" i="64" s="1"/>
  <c r="F141" i="64" s="1"/>
  <c r="CN1304" i="64"/>
  <c r="CP1304" i="64" s="1"/>
  <c r="DN1251" i="64"/>
  <c r="DP1251" i="64" s="1"/>
  <c r="CN1336" i="64"/>
  <c r="CP1336" i="64" s="1"/>
  <c r="DN1210" i="64"/>
  <c r="DP1210" i="64" s="1"/>
  <c r="CN1340" i="64"/>
  <c r="CP1340" i="64" s="1"/>
  <c r="CN1287" i="64"/>
  <c r="CP1287" i="64" s="1"/>
  <c r="CN1328" i="64"/>
  <c r="CP1328" i="64" s="1"/>
  <c r="CN1283" i="64"/>
  <c r="CP1283" i="64" s="1"/>
  <c r="CN1317" i="64"/>
  <c r="CP1317" i="64" s="1"/>
  <c r="CN1308" i="64"/>
  <c r="CP1308" i="64" s="1"/>
  <c r="DN1258" i="64"/>
  <c r="DP1258" i="64" s="1"/>
  <c r="CN1289" i="64"/>
  <c r="CP1289" i="64" s="1"/>
  <c r="DN1243" i="64"/>
  <c r="DN1239" i="64"/>
  <c r="DP1239" i="64" s="1"/>
  <c r="DN1224" i="64"/>
  <c r="DP1224" i="64" s="1"/>
  <c r="CN1326" i="64"/>
  <c r="CP1326" i="64" s="1"/>
  <c r="DN1223" i="64"/>
  <c r="DP1223" i="64" s="1"/>
  <c r="DN1245" i="64"/>
  <c r="DP1245" i="64" s="1"/>
  <c r="DN1229" i="64"/>
  <c r="DP1229" i="64" s="1"/>
  <c r="DN1237" i="64"/>
  <c r="DP1237" i="64" s="1"/>
  <c r="CN1335" i="64"/>
  <c r="CP1335" i="64" s="1"/>
  <c r="CN1307" i="64"/>
  <c r="CP1307" i="64" s="1"/>
  <c r="DN1230" i="64"/>
  <c r="DP1230" i="64" s="1"/>
  <c r="DN1203" i="64"/>
  <c r="DP1203" i="64" s="1"/>
  <c r="CN1318" i="64"/>
  <c r="CP1318" i="64" s="1"/>
  <c r="CN1309" i="64"/>
  <c r="CP1309" i="64" s="1"/>
  <c r="CN1337" i="64"/>
  <c r="CP1337" i="64" s="1"/>
  <c r="CN1292" i="64"/>
  <c r="CP1292" i="64" s="1"/>
  <c r="DN1247" i="64"/>
  <c r="DP1247" i="64" s="1"/>
  <c r="CN1319" i="64"/>
  <c r="CP1319" i="64" s="1"/>
  <c r="CN1325" i="64"/>
  <c r="CP1325" i="64" s="1"/>
  <c r="CN1280" i="64"/>
  <c r="CP1280" i="64" s="1"/>
  <c r="F140" i="64" s="1"/>
  <c r="CN1288" i="64"/>
  <c r="CP1288" i="64" s="1"/>
  <c r="DN1240" i="64"/>
  <c r="DP1240" i="64" s="1"/>
  <c r="DN1264" i="64"/>
  <c r="DP1264" i="64" s="1"/>
  <c r="DN1204" i="64"/>
  <c r="DP1204" i="64" s="1"/>
  <c r="CN1302" i="64"/>
  <c r="CP1302" i="64" s="1"/>
  <c r="DN1205" i="64"/>
  <c r="DP1205" i="64" s="1"/>
  <c r="DN1208" i="64"/>
  <c r="DP1208" i="64" s="1"/>
  <c r="DN1212" i="64"/>
  <c r="DP1212" i="64" s="1"/>
  <c r="DN1261" i="64"/>
  <c r="DP1261" i="64" s="1"/>
  <c r="CN1290" i="64"/>
  <c r="CP1290" i="64" s="1"/>
  <c r="DN1255" i="64"/>
  <c r="DP1255" i="64" s="1"/>
  <c r="CN1339" i="64"/>
  <c r="CP1339" i="64" s="1"/>
  <c r="DN1253" i="64"/>
  <c r="DP1253" i="64" s="1"/>
  <c r="DN1206" i="64"/>
  <c r="DP1206" i="64" s="1"/>
  <c r="DN1213" i="64"/>
  <c r="DP1213" i="64" s="1"/>
  <c r="DN1231" i="64"/>
  <c r="DP1231" i="64" s="1"/>
  <c r="CN1315" i="64"/>
  <c r="CP1315" i="64" s="1"/>
  <c r="CN1334" i="64"/>
  <c r="CP1334" i="64" s="1"/>
  <c r="DN1242" i="64"/>
  <c r="DP1242" i="64" s="1"/>
  <c r="CN1298" i="64"/>
  <c r="CP1298" i="64" s="1"/>
  <c r="CN1278" i="64"/>
  <c r="CP1278" i="64" s="1"/>
  <c r="CN1286" i="64"/>
  <c r="CP1286" i="64" s="1"/>
  <c r="CN1323" i="64"/>
  <c r="CP1323" i="64" s="1"/>
  <c r="CN1275" i="64"/>
  <c r="CP1275" i="64" s="1"/>
  <c r="CN1338" i="64"/>
  <c r="CP1338" i="64" s="1"/>
  <c r="DN1238" i="64"/>
  <c r="DP1238" i="64" s="1"/>
  <c r="CN1306" i="64"/>
  <c r="CP1306" i="64" s="1"/>
  <c r="DN1225" i="64"/>
  <c r="DP1225" i="64" s="1"/>
  <c r="DN1256" i="64"/>
  <c r="DP1256" i="64" s="1"/>
  <c r="DN1259" i="64"/>
  <c r="DP1259" i="64" s="1"/>
  <c r="DN1234" i="64"/>
  <c r="DP1234" i="64" s="1"/>
  <c r="DN1216" i="64"/>
  <c r="DP1216" i="64" s="1"/>
  <c r="DN1227" i="64"/>
  <c r="DP1227" i="64" s="1"/>
  <c r="CN1300" i="64"/>
  <c r="CP1300" i="64" s="1"/>
  <c r="CN1341" i="64"/>
  <c r="CP1341" i="64" s="1"/>
  <c r="DN1265" i="64"/>
  <c r="DP1265" i="64" s="1"/>
  <c r="DN1263" i="64"/>
  <c r="DP1263" i="64" s="1"/>
  <c r="DN1248" i="64"/>
  <c r="DP1248" i="64" s="1"/>
  <c r="CN1305" i="64"/>
  <c r="CP1305" i="64" s="1"/>
  <c r="CN1285" i="64"/>
  <c r="CP1285" i="64" s="1"/>
  <c r="DN1228" i="64"/>
  <c r="DP1228" i="64" s="1"/>
  <c r="DN1262" i="64"/>
  <c r="DP1262" i="64" s="1"/>
  <c r="DN1249" i="64"/>
  <c r="DP1249" i="64" s="1"/>
  <c r="CN1331" i="64"/>
  <c r="CP1331" i="64" s="1"/>
  <c r="CN1301" i="64"/>
  <c r="DN1254" i="64"/>
  <c r="DP1254" i="64" s="1"/>
  <c r="CN1294" i="64"/>
  <c r="CP1294" i="64" s="1"/>
  <c r="CN1311" i="64"/>
  <c r="CP1311" i="64" s="1"/>
  <c r="CN1330" i="64"/>
  <c r="CP1330" i="64" s="1"/>
  <c r="DN1201" i="64"/>
  <c r="DP1201" i="64" s="1"/>
  <c r="CN1296" i="64"/>
  <c r="CP1296" i="64" s="1"/>
  <c r="DN1244" i="64"/>
  <c r="DP1244" i="64" s="1"/>
  <c r="DN1215" i="64"/>
  <c r="DP1215" i="64" s="1"/>
  <c r="CN1276" i="64"/>
  <c r="CP1276" i="64" s="1"/>
  <c r="CN1312" i="64"/>
  <c r="CP1312" i="64" s="1"/>
  <c r="CN1310" i="64"/>
  <c r="CP1310" i="64" s="1"/>
  <c r="DN1267" i="64"/>
  <c r="DP1267" i="64" s="1"/>
  <c r="DN1232" i="64"/>
  <c r="DP1232" i="64" s="1"/>
  <c r="CN1284" i="64"/>
  <c r="CP1284" i="64" s="1"/>
  <c r="CN1293" i="64"/>
  <c r="CP1293" i="64" s="1"/>
  <c r="CN1303" i="64"/>
  <c r="CP1303" i="64" s="1"/>
  <c r="DN1226" i="64"/>
  <c r="DP1226" i="64" s="1"/>
  <c r="CN1313" i="64"/>
  <c r="CP1313" i="64" s="1"/>
  <c r="DN1220" i="64"/>
  <c r="DP1220" i="64" s="1"/>
  <c r="CN1297" i="64"/>
  <c r="CP1297" i="64" s="1"/>
  <c r="CN1327" i="64"/>
  <c r="CP1327" i="64" s="1"/>
  <c r="DN1236" i="64"/>
  <c r="DP1236" i="64" s="1"/>
  <c r="CN1291" i="64"/>
  <c r="CP1291" i="64" s="1"/>
  <c r="CN1277" i="64"/>
  <c r="CP1277" i="64" s="1"/>
  <c r="DN1233" i="64"/>
  <c r="DP1233" i="64" s="1"/>
  <c r="DN1241" i="64"/>
  <c r="DP1241" i="64" s="1"/>
  <c r="DN1217" i="64"/>
  <c r="DP1217" i="64" s="1"/>
  <c r="DN1221" i="64"/>
  <c r="DP1221" i="64" s="1"/>
  <c r="DN1222" i="64"/>
  <c r="DP1222" i="64" s="1"/>
  <c r="CN1332" i="64"/>
  <c r="CP1332" i="64" s="1"/>
  <c r="CN1329" i="64"/>
  <c r="CP1329" i="64" s="1"/>
  <c r="CN1299" i="64"/>
  <c r="CP1299" i="64" s="1"/>
  <c r="DN1257" i="64"/>
  <c r="DP1257" i="64" s="1"/>
  <c r="CN1320" i="64"/>
  <c r="CP1320" i="64" s="1"/>
  <c r="CN1321" i="64"/>
  <c r="CP1321" i="64" s="1"/>
  <c r="CN1316" i="64"/>
  <c r="CP1316" i="64" s="1"/>
  <c r="Q644" i="64"/>
  <c r="Q648" i="64" s="1"/>
  <c r="S640" i="64"/>
  <c r="AP1459" i="79"/>
  <c r="AP1639" i="79" s="1"/>
  <c r="AP1472" i="79"/>
  <c r="AO1593" i="79"/>
  <c r="AO1998" i="79"/>
  <c r="AN1599" i="79"/>
  <c r="AN1596" i="79"/>
  <c r="AP1589" i="79"/>
  <c r="AP1576" i="79"/>
  <c r="AP1963" i="79" s="1"/>
  <c r="AP1602" i="79"/>
  <c r="AP2034" i="79" s="1"/>
  <c r="AP2067" i="79" s="1"/>
  <c r="AP2068" i="79" s="1"/>
  <c r="AP1563" i="79"/>
  <c r="AP1927" i="79" s="1"/>
  <c r="AP1485" i="79"/>
  <c r="AP1711" i="79" s="1"/>
  <c r="AP1524" i="79"/>
  <c r="AP1819" i="79" s="1"/>
  <c r="AP1550" i="79"/>
  <c r="AP1891" i="79" s="1"/>
  <c r="AP1511" i="79"/>
  <c r="AP1783" i="79" s="1"/>
  <c r="AP1498" i="79"/>
  <c r="AP1747" i="79" s="1"/>
  <c r="AP1537" i="79"/>
  <c r="AP1855" i="79" s="1"/>
  <c r="AP1888" i="79" s="1"/>
  <c r="AP1889" i="79" s="1"/>
  <c r="S1498" i="79"/>
  <c r="S1747" i="79" s="1"/>
  <c r="S1511" i="79"/>
  <c r="S1783" i="79" s="1"/>
  <c r="S1485" i="79"/>
  <c r="S1711" i="79" s="1"/>
  <c r="S1550" i="79"/>
  <c r="S1891" i="79" s="1"/>
  <c r="S1576" i="79"/>
  <c r="S1963" i="79" s="1"/>
  <c r="S1589" i="79"/>
  <c r="S1998" i="79" s="1"/>
  <c r="S1472" i="79"/>
  <c r="S1675" i="79" s="1"/>
  <c r="S1563" i="79"/>
  <c r="S1927" i="79" s="1"/>
  <c r="S1537" i="79"/>
  <c r="S1855" i="79" s="1"/>
  <c r="S1888" i="79" s="1"/>
  <c r="S1889" i="79" s="1"/>
  <c r="S1524" i="79"/>
  <c r="S1819" i="79" s="1"/>
  <c r="S1602" i="79"/>
  <c r="S2034" i="79" s="1"/>
  <c r="Q680" i="77"/>
  <c r="AQ867" i="64"/>
  <c r="Z433" i="40"/>
  <c r="Z387" i="40"/>
  <c r="Z437" i="40"/>
  <c r="Z399" i="40"/>
  <c r="Z441" i="40"/>
  <c r="Z400" i="40"/>
  <c r="Z438" i="40"/>
  <c r="Z434" i="40"/>
  <c r="Z394" i="40"/>
  <c r="Z403" i="40"/>
  <c r="Z439" i="40"/>
  <c r="Z432" i="40"/>
  <c r="Z431" i="40"/>
  <c r="Z396" i="40"/>
  <c r="Z404" i="40"/>
  <c r="Z436" i="40"/>
  <c r="Z391" i="40"/>
  <c r="Z397" i="40"/>
  <c r="Z401" i="40"/>
  <c r="Z408" i="40"/>
  <c r="Z440" i="40"/>
  <c r="Z392" i="40"/>
  <c r="Z398" i="40"/>
  <c r="Z402" i="40"/>
  <c r="Z409" i="40"/>
  <c r="Z405" i="40"/>
  <c r="Z410" i="40"/>
  <c r="Z406" i="40"/>
  <c r="Z418" i="40"/>
  <c r="AQ865" i="64"/>
  <c r="AQ856" i="64"/>
  <c r="Z407" i="40"/>
  <c r="Z417" i="40"/>
  <c r="AD879" i="64"/>
  <c r="AK642" i="77" s="1"/>
  <c r="AQ860" i="64"/>
  <c r="N460" i="73"/>
  <c r="P579" i="74"/>
  <c r="Q111" i="85"/>
  <c r="H246" i="85" s="1"/>
  <c r="I246" i="85" s="1"/>
  <c r="S2292" i="79"/>
  <c r="S2293" i="79" s="1"/>
  <c r="S2294" i="79" s="1"/>
  <c r="T1633" i="79"/>
  <c r="T1388" i="79"/>
  <c r="T669" i="79"/>
  <c r="T670" i="79"/>
  <c r="T668" i="79"/>
  <c r="U665" i="79"/>
  <c r="T2249" i="79"/>
  <c r="T2267" i="79" s="1"/>
  <c r="T2268" i="79" s="1"/>
  <c r="C3243" i="79"/>
  <c r="C537" i="79"/>
  <c r="AV1126" i="64"/>
  <c r="BW1053" i="64"/>
  <c r="CI1053" i="64"/>
  <c r="BU1126" i="64" s="1"/>
  <c r="BH1126" i="64"/>
  <c r="C3294" i="79"/>
  <c r="I539" i="79"/>
  <c r="AQ164" i="79"/>
  <c r="AA433" i="40" s="1"/>
  <c r="T702" i="79"/>
  <c r="T700" i="79"/>
  <c r="T701" i="79"/>
  <c r="T578" i="79"/>
  <c r="T1393" i="79"/>
  <c r="T678" i="79"/>
  <c r="T679" i="79"/>
  <c r="T680" i="79"/>
  <c r="U677" i="79"/>
  <c r="C641" i="79" s="1"/>
  <c r="AZ1200" i="64"/>
  <c r="M1274" i="64"/>
  <c r="T1632" i="79"/>
  <c r="T597" i="79"/>
  <c r="T2313" i="79"/>
  <c r="T2314" i="79" s="1"/>
  <c r="C3286" i="79"/>
  <c r="I537" i="79"/>
  <c r="I541" i="79"/>
  <c r="C3302" i="79"/>
  <c r="N72" i="83"/>
  <c r="N16" i="80"/>
  <c r="Q557" i="74"/>
  <c r="T2175" i="79"/>
  <c r="T2176" i="79" s="1"/>
  <c r="T689" i="79"/>
  <c r="T690" i="79"/>
  <c r="T688" i="79"/>
  <c r="U687" i="79"/>
  <c r="C645" i="79" s="1"/>
  <c r="C3267" i="79"/>
  <c r="C543" i="79"/>
  <c r="T586" i="79"/>
  <c r="T1395" i="79"/>
  <c r="U583" i="79"/>
  <c r="C3269" i="79" s="1"/>
  <c r="T629" i="79"/>
  <c r="U626" i="79"/>
  <c r="AY1053" i="64"/>
  <c r="X1126" i="64"/>
  <c r="T570" i="79"/>
  <c r="U570" i="79" s="1"/>
  <c r="C3256" i="79" s="1"/>
  <c r="U567" i="79"/>
  <c r="C3253" i="79" s="1"/>
  <c r="BL1200" i="64"/>
  <c r="Y1274" i="64"/>
  <c r="AW1274" i="64"/>
  <c r="CJ1200" i="64"/>
  <c r="T705" i="79"/>
  <c r="T707" i="79"/>
  <c r="T706" i="79"/>
  <c r="U704" i="79"/>
  <c r="N15" i="80"/>
  <c r="N71" i="83"/>
  <c r="Q229" i="74"/>
  <c r="C3234" i="79"/>
  <c r="C535" i="79"/>
  <c r="T1387" i="79"/>
  <c r="T554" i="79"/>
  <c r="T1631" i="79"/>
  <c r="U551" i="79"/>
  <c r="C3237" i="79" s="1"/>
  <c r="T674" i="79"/>
  <c r="T673" i="79"/>
  <c r="T675" i="79"/>
  <c r="U672" i="79"/>
  <c r="C639" i="79" s="1"/>
  <c r="T2364" i="79"/>
  <c r="T2382" i="79" s="1"/>
  <c r="T562" i="79"/>
  <c r="T1389" i="79"/>
  <c r="U559" i="79"/>
  <c r="C3245" i="79" s="1"/>
  <c r="P219" i="85"/>
  <c r="P221" i="85" s="1"/>
  <c r="BX1200" i="64"/>
  <c r="AK1274" i="64"/>
  <c r="C541" i="79"/>
  <c r="C3259" i="79"/>
  <c r="AA1200" i="64"/>
  <c r="AN1200" i="64" s="1"/>
  <c r="AA1053" i="64"/>
  <c r="T1634" i="79"/>
  <c r="T607" i="79"/>
  <c r="T694" i="79"/>
  <c r="T693" i="79"/>
  <c r="T695" i="79"/>
  <c r="U692" i="79"/>
  <c r="C647" i="79" s="1"/>
  <c r="T685" i="79"/>
  <c r="T683" i="79"/>
  <c r="T684" i="79"/>
  <c r="U682" i="79"/>
  <c r="C643" i="79" s="1"/>
  <c r="T621" i="79"/>
  <c r="U618" i="79"/>
  <c r="AJ1126" i="64"/>
  <c r="BK1053" i="64"/>
  <c r="T1401" i="79"/>
  <c r="O102" i="8" s="1"/>
  <c r="U777" i="79"/>
  <c r="T2341" i="79"/>
  <c r="T2359" i="79" s="1"/>
  <c r="T2360" i="79" s="1"/>
  <c r="U645" i="79"/>
  <c r="U643" i="79"/>
  <c r="T613" i="79"/>
  <c r="U613" i="79" s="1"/>
  <c r="C3299" i="79" s="1"/>
  <c r="U610" i="79"/>
  <c r="C3296" i="79" s="1"/>
  <c r="C3310" i="79"/>
  <c r="I543" i="79"/>
  <c r="C3251" i="79"/>
  <c r="C539" i="79"/>
  <c r="T2272" i="79"/>
  <c r="T1400" i="79"/>
  <c r="T2180" i="79"/>
  <c r="T2198" i="79" s="1"/>
  <c r="T2199" i="79" s="1"/>
  <c r="AM1053" i="64"/>
  <c r="L1126" i="64"/>
  <c r="CV1200" i="64"/>
  <c r="BV1274" i="64" s="1"/>
  <c r="BI1274" i="64"/>
  <c r="I535" i="79"/>
  <c r="C3278" i="79"/>
  <c r="T605" i="79"/>
  <c r="U602" i="79"/>
  <c r="C3288" i="79" s="1"/>
  <c r="CZ1077" i="64"/>
  <c r="DP1077" i="64" s="1"/>
  <c r="AF829" i="64"/>
  <c r="AS829" i="64"/>
  <c r="AM758" i="64"/>
  <c r="AZ758" i="64"/>
  <c r="AC830" i="64"/>
  <c r="AC759" i="64"/>
  <c r="AC688" i="64"/>
  <c r="V759" i="64"/>
  <c r="V688" i="64"/>
  <c r="V830" i="64"/>
  <c r="W688" i="64"/>
  <c r="W830" i="64"/>
  <c r="W759" i="64"/>
  <c r="AI829" i="64"/>
  <c r="AV829" i="64"/>
  <c r="AL758" i="64"/>
  <c r="AY758" i="64"/>
  <c r="AW829" i="64"/>
  <c r="AJ829" i="64"/>
  <c r="AX687" i="64"/>
  <c r="AK687" i="64"/>
  <c r="AU687" i="64"/>
  <c r="AH687" i="64"/>
  <c r="AG758" i="64"/>
  <c r="AT758" i="64"/>
  <c r="AF758" i="64"/>
  <c r="AS758" i="64"/>
  <c r="AZ687" i="64"/>
  <c r="AM687" i="64"/>
  <c r="AB688" i="64"/>
  <c r="AB830" i="64"/>
  <c r="AB759" i="64"/>
  <c r="Z830" i="64"/>
  <c r="Z688" i="64"/>
  <c r="Z759" i="64"/>
  <c r="AA830" i="64"/>
  <c r="AA688" i="64"/>
  <c r="AA759" i="64"/>
  <c r="AI758" i="64"/>
  <c r="AV758" i="64"/>
  <c r="BB829" i="64"/>
  <c r="AO829" i="64"/>
  <c r="BA829" i="64"/>
  <c r="AN829" i="64"/>
  <c r="AW758" i="64"/>
  <c r="AJ758" i="64"/>
  <c r="AK758" i="64"/>
  <c r="AX758" i="64"/>
  <c r="AH829" i="64"/>
  <c r="AU829" i="64"/>
  <c r="BC687" i="64"/>
  <c r="AP687" i="64"/>
  <c r="AS687" i="64"/>
  <c r="AF687" i="64"/>
  <c r="BS37" i="65"/>
  <c r="CF36" i="65"/>
  <c r="BV36" i="65"/>
  <c r="CA36" i="65"/>
  <c r="CB36" i="65"/>
  <c r="BZ36" i="65"/>
  <c r="CD36" i="65"/>
  <c r="BW36" i="65"/>
  <c r="CE36" i="65"/>
  <c r="BX36" i="65"/>
  <c r="BU36" i="65"/>
  <c r="BY36" i="65"/>
  <c r="CC36" i="65"/>
  <c r="S759" i="64"/>
  <c r="S688" i="64"/>
  <c r="S830" i="64"/>
  <c r="X688" i="64"/>
  <c r="X759" i="64"/>
  <c r="X830" i="64"/>
  <c r="Y688" i="64"/>
  <c r="Y759" i="64"/>
  <c r="Y830" i="64"/>
  <c r="BE28" i="65"/>
  <c r="BG27" i="65"/>
  <c r="BK27" i="65"/>
  <c r="BI27" i="65"/>
  <c r="BL27" i="65"/>
  <c r="BR27" i="65"/>
  <c r="BP27" i="65"/>
  <c r="BO27" i="65"/>
  <c r="BM27" i="65"/>
  <c r="BQ27" i="65"/>
  <c r="BJ27" i="65"/>
  <c r="BN27" i="65"/>
  <c r="BH27" i="65"/>
  <c r="AL829" i="64"/>
  <c r="AY829" i="64"/>
  <c r="BB758" i="64"/>
  <c r="AO758" i="64"/>
  <c r="BA758" i="64"/>
  <c r="AN758" i="64"/>
  <c r="AW687" i="64"/>
  <c r="AJ687" i="64"/>
  <c r="AT829" i="64"/>
  <c r="AG829" i="64"/>
  <c r="AP829" i="64"/>
  <c r="BC829" i="64"/>
  <c r="CG37" i="65"/>
  <c r="CJ36" i="65"/>
  <c r="CR36" i="65"/>
  <c r="CO36" i="65"/>
  <c r="CS36" i="65"/>
  <c r="CL36" i="65"/>
  <c r="CP36" i="65"/>
  <c r="CI36" i="65"/>
  <c r="CM36" i="65"/>
  <c r="CN36" i="65"/>
  <c r="CK36" i="65"/>
  <c r="CT36" i="65"/>
  <c r="CQ36" i="65"/>
  <c r="AZ829" i="64"/>
  <c r="AM829" i="64"/>
  <c r="T830" i="64"/>
  <c r="T759" i="64"/>
  <c r="T688" i="64"/>
  <c r="AD688" i="64"/>
  <c r="AD830" i="64"/>
  <c r="AD759" i="64"/>
  <c r="U759" i="64"/>
  <c r="U688" i="64"/>
  <c r="U830" i="64"/>
  <c r="AV687" i="64"/>
  <c r="AI687" i="64"/>
  <c r="AY687" i="64"/>
  <c r="AL687" i="64"/>
  <c r="BB687" i="64"/>
  <c r="AO687" i="64"/>
  <c r="AN687" i="64"/>
  <c r="BA687" i="64"/>
  <c r="AK829" i="64"/>
  <c r="AX829" i="64"/>
  <c r="AU758" i="64"/>
  <c r="AH758" i="64"/>
  <c r="AT687" i="64"/>
  <c r="AG687" i="64"/>
  <c r="AP758" i="64"/>
  <c r="BC758" i="64"/>
  <c r="AG1521" i="79"/>
  <c r="AG1518" i="79"/>
  <c r="M1596" i="79"/>
  <c r="M1599" i="79"/>
  <c r="K1612" i="79"/>
  <c r="K1609" i="79"/>
  <c r="AI1544" i="79"/>
  <c r="AI1547" i="79"/>
  <c r="L1598" i="79"/>
  <c r="L1595" i="79"/>
  <c r="AG1531" i="79"/>
  <c r="AG1534" i="79"/>
  <c r="L1547" i="79"/>
  <c r="L1544" i="79"/>
  <c r="K1573" i="79"/>
  <c r="K1570" i="79"/>
  <c r="L1586" i="79"/>
  <c r="L1583" i="79"/>
  <c r="AI1531" i="79"/>
  <c r="AI1534" i="79"/>
  <c r="M1557" i="79"/>
  <c r="M1560" i="79"/>
  <c r="K1518" i="79"/>
  <c r="M1544" i="79"/>
  <c r="M1547" i="79"/>
  <c r="AI1583" i="79"/>
  <c r="AI1586" i="79"/>
  <c r="K1586" i="79"/>
  <c r="K1583" i="79"/>
  <c r="AG1520" i="79"/>
  <c r="AG1517" i="79"/>
  <c r="M1595" i="79"/>
  <c r="M1598" i="79"/>
  <c r="K1608" i="79"/>
  <c r="K1611" i="79"/>
  <c r="AI1543" i="79"/>
  <c r="AI1546" i="79"/>
  <c r="L1599" i="79"/>
  <c r="L1596" i="79"/>
  <c r="AG1530" i="79"/>
  <c r="AG1533" i="79"/>
  <c r="L1543" i="79"/>
  <c r="L1546" i="79"/>
  <c r="K1569" i="79"/>
  <c r="K1572" i="79"/>
  <c r="L1585" i="79"/>
  <c r="L1582" i="79"/>
  <c r="AI1530" i="79"/>
  <c r="AI1533" i="79"/>
  <c r="M1556" i="79"/>
  <c r="M1559" i="79"/>
  <c r="K1517" i="79"/>
  <c r="M1546" i="79"/>
  <c r="M1543" i="79"/>
  <c r="M1573" i="79"/>
  <c r="M1570" i="79"/>
  <c r="K1560" i="79"/>
  <c r="K1557" i="79"/>
  <c r="AG1547" i="79"/>
  <c r="AG1544" i="79"/>
  <c r="AI1582" i="79"/>
  <c r="AI1585" i="79"/>
  <c r="K1582" i="79"/>
  <c r="K1585" i="79"/>
  <c r="AI1609" i="79"/>
  <c r="AI1612" i="79"/>
  <c r="AG1560" i="79"/>
  <c r="AG1557" i="79"/>
  <c r="AG1612" i="79"/>
  <c r="AG1609" i="79"/>
  <c r="AG1573" i="79"/>
  <c r="AG1570" i="79"/>
  <c r="M1583" i="79"/>
  <c r="M1586" i="79"/>
  <c r="L1612" i="79"/>
  <c r="L1609" i="79"/>
  <c r="K1547" i="79"/>
  <c r="K1544" i="79"/>
  <c r="L1531" i="79"/>
  <c r="L1534" i="79"/>
  <c r="L1560" i="79"/>
  <c r="L1557" i="79"/>
  <c r="M1612" i="79"/>
  <c r="M1609" i="79"/>
  <c r="AI1517" i="79"/>
  <c r="AI1520" i="79"/>
  <c r="K1531" i="79"/>
  <c r="K1534" i="79"/>
  <c r="L1518" i="79"/>
  <c r="K1596" i="79"/>
  <c r="K1599" i="79"/>
  <c r="M1531" i="79"/>
  <c r="M1534" i="79"/>
  <c r="AI1560" i="79"/>
  <c r="AI1557" i="79"/>
  <c r="AG1582" i="79"/>
  <c r="AG1585" i="79"/>
  <c r="M1572" i="79"/>
  <c r="M1569" i="79"/>
  <c r="K1559" i="79"/>
  <c r="K1556" i="79"/>
  <c r="AG1546" i="79"/>
  <c r="AG1543" i="79"/>
  <c r="M1517" i="79"/>
  <c r="AI1573" i="79"/>
  <c r="AI1570" i="79"/>
  <c r="L1570" i="79"/>
  <c r="L1573" i="79"/>
  <c r="AI1608" i="79"/>
  <c r="AI1611" i="79"/>
  <c r="AG1556" i="79"/>
  <c r="AG1559" i="79"/>
  <c r="AG1611" i="79"/>
  <c r="AG1608" i="79"/>
  <c r="AG1572" i="79"/>
  <c r="AG1569" i="79"/>
  <c r="M1585" i="79"/>
  <c r="M1582" i="79"/>
  <c r="L1608" i="79"/>
  <c r="L1611" i="79"/>
  <c r="K1546" i="79"/>
  <c r="K1543" i="79"/>
  <c r="L1533" i="79"/>
  <c r="L1530" i="79"/>
  <c r="L1556" i="79"/>
  <c r="L1559" i="79"/>
  <c r="M1611" i="79"/>
  <c r="M1608" i="79"/>
  <c r="AI1518" i="79"/>
  <c r="AI1521" i="79"/>
  <c r="P245" i="74"/>
  <c r="E194" i="40"/>
  <c r="K1533" i="79"/>
  <c r="K1530" i="79"/>
  <c r="L1517" i="79"/>
  <c r="K1598" i="79"/>
  <c r="K1595" i="79"/>
  <c r="M1533" i="79"/>
  <c r="M1530" i="79"/>
  <c r="AI1559" i="79"/>
  <c r="AI1556" i="79"/>
  <c r="AG1583" i="79"/>
  <c r="AG1586" i="79"/>
  <c r="M1518" i="79"/>
  <c r="AI1569" i="79"/>
  <c r="AI1572" i="79"/>
  <c r="L1572" i="79"/>
  <c r="L1569" i="79"/>
  <c r="CZ1094" i="64"/>
  <c r="DP1094" i="64" s="1"/>
  <c r="A174" i="71"/>
  <c r="R481" i="73"/>
  <c r="W481" i="73"/>
  <c r="X481" i="73" s="1"/>
  <c r="W480" i="73"/>
  <c r="X480" i="73" s="1"/>
  <c r="R480" i="73"/>
  <c r="CZ1108" i="64"/>
  <c r="DP1108" i="64" s="1"/>
  <c r="CZ1093" i="64"/>
  <c r="DP1093" i="64" s="1"/>
  <c r="CZ1062" i="64"/>
  <c r="DP1062" i="64" s="1"/>
  <c r="Q589" i="73"/>
  <c r="Q595" i="73" s="1"/>
  <c r="Q602" i="73"/>
  <c r="Q601" i="73"/>
  <c r="R280" i="73"/>
  <c r="D631" i="73" s="1"/>
  <c r="H631" i="73" s="1"/>
  <c r="Q588" i="73"/>
  <c r="Q594" i="73" s="1"/>
  <c r="CZ1116" i="64"/>
  <c r="DP1116" i="64" s="1"/>
  <c r="CZ1095" i="64"/>
  <c r="DP1095" i="64" s="1"/>
  <c r="CZ1104" i="64"/>
  <c r="DP1104" i="64" s="1"/>
  <c r="CZ1090" i="64"/>
  <c r="DP1090" i="64" s="1"/>
  <c r="CL1132" i="64"/>
  <c r="DB1132" i="64" s="1"/>
  <c r="K228" i="85"/>
  <c r="N63" i="85"/>
  <c r="M82" i="85"/>
  <c r="L211" i="85"/>
  <c r="L213" i="85" s="1"/>
  <c r="N62" i="85"/>
  <c r="M79" i="85"/>
  <c r="M51" i="85"/>
  <c r="L204" i="85"/>
  <c r="L202" i="85"/>
  <c r="N240" i="73"/>
  <c r="M258" i="73"/>
  <c r="O228" i="73"/>
  <c r="O231" i="73" s="1"/>
  <c r="P213" i="73" s="1"/>
  <c r="N332" i="73"/>
  <c r="M346" i="73"/>
  <c r="N239" i="73"/>
  <c r="M255" i="73"/>
  <c r="S473" i="73"/>
  <c r="T473" i="73"/>
  <c r="N185" i="73"/>
  <c r="M202" i="73"/>
  <c r="L570" i="73"/>
  <c r="N157" i="73"/>
  <c r="M174" i="73"/>
  <c r="K570" i="73"/>
  <c r="M348" i="73"/>
  <c r="CL1172" i="64"/>
  <c r="DB1172" i="64" s="1"/>
  <c r="CL1190" i="64"/>
  <c r="DB1190" i="64" s="1"/>
  <c r="CL1183" i="64"/>
  <c r="DB1183" i="64" s="1"/>
  <c r="CL1179" i="64"/>
  <c r="DB1179" i="64" s="1"/>
  <c r="CZ1118" i="64"/>
  <c r="DP1118" i="64" s="1"/>
  <c r="CL1140" i="64"/>
  <c r="DB1140" i="64" s="1"/>
  <c r="CL1138" i="64"/>
  <c r="DB1138" i="64" s="1"/>
  <c r="Q642" i="64"/>
  <c r="C13" i="61"/>
  <c r="AL1528" i="79"/>
  <c r="AL1527" i="79"/>
  <c r="AL1578" i="79"/>
  <c r="AL1964" i="79"/>
  <c r="AL1995" i="79" s="1"/>
  <c r="AL1996" i="79" s="1"/>
  <c r="AN1962" i="79"/>
  <c r="AN1782" i="79"/>
  <c r="AN1818" i="79"/>
  <c r="N1579" i="79"/>
  <c r="N1580" i="79"/>
  <c r="DO1083" i="64"/>
  <c r="AK1557" i="79"/>
  <c r="AK1560" i="79"/>
  <c r="CZ1054" i="64"/>
  <c r="DP1054" i="64" s="1"/>
  <c r="CL1156" i="64"/>
  <c r="DB1156" i="64" s="1"/>
  <c r="CL1143" i="64"/>
  <c r="DB1143" i="64" s="1"/>
  <c r="CL1154" i="64"/>
  <c r="DB1154" i="64" s="1"/>
  <c r="CL1144" i="64"/>
  <c r="DB1144" i="64" s="1"/>
  <c r="CL1128" i="64"/>
  <c r="DB1128" i="64" s="1"/>
  <c r="CL1149" i="64"/>
  <c r="DB1149" i="64" s="1"/>
  <c r="BD737" i="64"/>
  <c r="DA1156" i="64"/>
  <c r="AM1538" i="79"/>
  <c r="AM1964" i="79"/>
  <c r="AM1995" i="79" s="1"/>
  <c r="AM1996" i="79" s="1"/>
  <c r="AM1578" i="79"/>
  <c r="AM1565" i="79"/>
  <c r="AM1928" i="79"/>
  <c r="AM1960" i="79" s="1"/>
  <c r="AM1961" i="79" s="1"/>
  <c r="P1578" i="79"/>
  <c r="P1964" i="79"/>
  <c r="P1995" i="79" s="1"/>
  <c r="P1996" i="79" s="1"/>
  <c r="P1500" i="79"/>
  <c r="P1748" i="79"/>
  <c r="P1712" i="79"/>
  <c r="P1487" i="79"/>
  <c r="N1488" i="79"/>
  <c r="N1489" i="79"/>
  <c r="AN1461" i="79"/>
  <c r="AN1463" i="79" s="1"/>
  <c r="O1580" i="79"/>
  <c r="O1579" i="79"/>
  <c r="CL1185" i="64"/>
  <c r="DB1185" i="64" s="1"/>
  <c r="CZ1105" i="64"/>
  <c r="DP1105" i="64" s="1"/>
  <c r="CZ1083" i="64"/>
  <c r="DP1083" i="64" s="1"/>
  <c r="CL1187" i="64"/>
  <c r="CZ1099" i="64"/>
  <c r="DP1099" i="64" s="1"/>
  <c r="CZ1056" i="64"/>
  <c r="DP1056" i="64" s="1"/>
  <c r="CZ1078" i="64"/>
  <c r="DP1078" i="64" s="1"/>
  <c r="CL1152" i="64"/>
  <c r="DB1152" i="64" s="1"/>
  <c r="CL1178" i="64"/>
  <c r="DB1178" i="64" s="1"/>
  <c r="CZ1067" i="64"/>
  <c r="DP1067" i="64" s="1"/>
  <c r="CL1136" i="64"/>
  <c r="DB1136" i="64" s="1"/>
  <c r="CZ1071" i="64"/>
  <c r="CL1158" i="64"/>
  <c r="DB1158" i="64" s="1"/>
  <c r="CL1160" i="64"/>
  <c r="DB1160" i="64" s="1"/>
  <c r="CZ1073" i="64"/>
  <c r="DP1073" i="64" s="1"/>
  <c r="CL1155" i="64"/>
  <c r="DB1155" i="64" s="1"/>
  <c r="CL1141" i="64"/>
  <c r="DB1141" i="64" s="1"/>
  <c r="CZ1065" i="64"/>
  <c r="DP1065" i="64" s="1"/>
  <c r="AQ808" i="64"/>
  <c r="AL1541" i="79"/>
  <c r="AL1540" i="79"/>
  <c r="DA1194" i="64"/>
  <c r="AK1605" i="79"/>
  <c r="AK1606" i="79"/>
  <c r="O1463" i="79"/>
  <c r="O1462" i="79"/>
  <c r="O1541" i="79"/>
  <c r="O1540" i="79"/>
  <c r="AK1528" i="79"/>
  <c r="AK1527" i="79"/>
  <c r="Q1710" i="79"/>
  <c r="Q1782" i="79"/>
  <c r="Q1854" i="79"/>
  <c r="CL1189" i="64"/>
  <c r="DB1189" i="64" s="1"/>
  <c r="CL1194" i="64"/>
  <c r="DB1194" i="64" s="1"/>
  <c r="CZ1113" i="64"/>
  <c r="DP1113" i="64" s="1"/>
  <c r="CL1173" i="64"/>
  <c r="DB1173" i="64" s="1"/>
  <c r="CL1146" i="64"/>
  <c r="DB1146" i="64" s="1"/>
  <c r="CL1159" i="64"/>
  <c r="DB1159" i="64" s="1"/>
  <c r="CL1134" i="64"/>
  <c r="CL1133" i="64"/>
  <c r="DB1133" i="64" s="1"/>
  <c r="BD808" i="64"/>
  <c r="BM1182" i="64"/>
  <c r="Z1193" i="64"/>
  <c r="AM1162" i="64"/>
  <c r="BZ1186" i="64"/>
  <c r="AM1186" i="64"/>
  <c r="AA1089" i="64"/>
  <c r="BA1095" i="64"/>
  <c r="CN1109" i="64"/>
  <c r="BZ1193" i="64"/>
  <c r="AA1095" i="64"/>
  <c r="CA1113" i="64"/>
  <c r="AA1120" i="64"/>
  <c r="CA1095" i="64"/>
  <c r="AZ1186" i="64"/>
  <c r="CN1083" i="64"/>
  <c r="CN1091" i="64"/>
  <c r="AZ1147" i="64"/>
  <c r="Z1194" i="64"/>
  <c r="Z1130" i="64"/>
  <c r="AZ1194" i="64"/>
  <c r="CA1110" i="64"/>
  <c r="BZ1191" i="64"/>
  <c r="BZ1187" i="64"/>
  <c r="BZ1189" i="64"/>
  <c r="AM1188" i="64"/>
  <c r="CA1111" i="64"/>
  <c r="CN1077" i="64"/>
  <c r="Z1178" i="64"/>
  <c r="BN1105" i="64"/>
  <c r="BA1099" i="64"/>
  <c r="CA1102" i="64"/>
  <c r="AM1151" i="64"/>
  <c r="Z1181" i="64"/>
  <c r="Z1167" i="64"/>
  <c r="BZ1174" i="64"/>
  <c r="BM1190" i="64"/>
  <c r="BN1083" i="64"/>
  <c r="AN1091" i="64"/>
  <c r="AZ1192" i="64"/>
  <c r="BA1118" i="64"/>
  <c r="BZ1192" i="64"/>
  <c r="BA1079" i="64"/>
  <c r="BM1188" i="64"/>
  <c r="BM1184" i="64"/>
  <c r="AZ1183" i="64"/>
  <c r="Z1185" i="64"/>
  <c r="AA1110" i="64"/>
  <c r="CN1117" i="64"/>
  <c r="AM1178" i="64"/>
  <c r="AA1099" i="64"/>
  <c r="AN1102" i="64"/>
  <c r="AN1078" i="64"/>
  <c r="CN1094" i="64"/>
  <c r="M1190" i="64"/>
  <c r="AM1174" i="64"/>
  <c r="BZ1148" i="64"/>
  <c r="M1181" i="64"/>
  <c r="AM1127" i="64"/>
  <c r="Z1127" i="64"/>
  <c r="CA1091" i="64"/>
  <c r="AN1112" i="64"/>
  <c r="AZ1130" i="64"/>
  <c r="CA1064" i="64"/>
  <c r="Z1184" i="64"/>
  <c r="AA1111" i="64"/>
  <c r="BA1112" i="64"/>
  <c r="CN1114" i="64"/>
  <c r="M1130" i="64"/>
  <c r="M1187" i="64"/>
  <c r="CN1105" i="64"/>
  <c r="AZ1177" i="64"/>
  <c r="CN1099" i="64"/>
  <c r="BZ1151" i="64"/>
  <c r="AN1108" i="64"/>
  <c r="AA1056" i="64"/>
  <c r="M1148" i="64"/>
  <c r="CA1070" i="64"/>
  <c r="AZ1156" i="64"/>
  <c r="AM1164" i="64"/>
  <c r="M1147" i="64"/>
  <c r="AZ1184" i="64"/>
  <c r="AN1114" i="64"/>
  <c r="AM1187" i="64"/>
  <c r="Z1137" i="64"/>
  <c r="BA1119" i="64"/>
  <c r="BA1114" i="64"/>
  <c r="CA1119" i="64"/>
  <c r="AN1111" i="64"/>
  <c r="AZ1150" i="64"/>
  <c r="M1178" i="64"/>
  <c r="Z1172" i="64"/>
  <c r="AZ1175" i="64"/>
  <c r="AM1181" i="64"/>
  <c r="AN1117" i="64"/>
  <c r="BZ1129" i="64"/>
  <c r="CA1075" i="64"/>
  <c r="AM1143" i="64"/>
  <c r="AA1101" i="64"/>
  <c r="BA1075" i="64"/>
  <c r="AZ1143" i="64"/>
  <c r="CN1120" i="64"/>
  <c r="CA1089" i="64"/>
  <c r="BN1089" i="64"/>
  <c r="CN1113" i="64"/>
  <c r="AN1120" i="64"/>
  <c r="CN1089" i="64"/>
  <c r="AN1095" i="64"/>
  <c r="AM1182" i="64"/>
  <c r="BZ1162" i="64"/>
  <c r="CN1095" i="64"/>
  <c r="M1182" i="64"/>
  <c r="BN1120" i="64"/>
  <c r="BZ1168" i="64"/>
  <c r="AA1113" i="64"/>
  <c r="AN1083" i="64"/>
  <c r="BA1074" i="64"/>
  <c r="AN1074" i="64"/>
  <c r="AZ1188" i="64"/>
  <c r="CN1119" i="64"/>
  <c r="BM1189" i="64"/>
  <c r="BN1114" i="64"/>
  <c r="BZ1183" i="64"/>
  <c r="AN1079" i="64"/>
  <c r="Z1189" i="64"/>
  <c r="BN1110" i="64"/>
  <c r="Z1150" i="64"/>
  <c r="BA1117" i="64"/>
  <c r="AZ1178" i="64"/>
  <c r="AN1104" i="64"/>
  <c r="CA1099" i="64"/>
  <c r="BN1102" i="64"/>
  <c r="Z1151" i="64"/>
  <c r="CA1094" i="64"/>
  <c r="M1167" i="64"/>
  <c r="AZ1174" i="64"/>
  <c r="AA1083" i="64"/>
  <c r="M1164" i="64"/>
  <c r="CN1074" i="64"/>
  <c r="BM1187" i="64"/>
  <c r="AN1118" i="64"/>
  <c r="BZ1188" i="64"/>
  <c r="BA1115" i="64"/>
  <c r="M1137" i="64"/>
  <c r="BN1118" i="64"/>
  <c r="BZ1185" i="64"/>
  <c r="AZ1137" i="64"/>
  <c r="AA1077" i="64"/>
  <c r="BA1108" i="64"/>
  <c r="AM1177" i="64"/>
  <c r="BN1099" i="64"/>
  <c r="CN1102" i="64"/>
  <c r="BN1078" i="64"/>
  <c r="AN1094" i="64"/>
  <c r="AZ1181" i="64"/>
  <c r="BA1101" i="64"/>
  <c r="AA1070" i="64"/>
  <c r="M1127" i="64"/>
  <c r="AN1054" i="64"/>
  <c r="M1156" i="64"/>
  <c r="BN1091" i="64"/>
  <c r="M1152" i="64"/>
  <c r="BM1137" i="64"/>
  <c r="BN1112" i="64"/>
  <c r="CA1118" i="64"/>
  <c r="AN1057" i="64"/>
  <c r="Z1191" i="64"/>
  <c r="CA1112" i="64"/>
  <c r="BM1194" i="64"/>
  <c r="BA1116" i="64"/>
  <c r="CA1105" i="64"/>
  <c r="CA1104" i="64"/>
  <c r="M1175" i="64"/>
  <c r="AZ1190" i="64"/>
  <c r="BN1108" i="64"/>
  <c r="AM1129" i="64"/>
  <c r="Z1148" i="64"/>
  <c r="BN1070" i="64"/>
  <c r="CA1083" i="64"/>
  <c r="BM1147" i="64"/>
  <c r="M1192" i="64"/>
  <c r="AA1116" i="64"/>
  <c r="BN1057" i="64"/>
  <c r="AM1183" i="64"/>
  <c r="AA1079" i="64"/>
  <c r="M1189" i="64"/>
  <c r="CN1110" i="64"/>
  <c r="BA1111" i="64"/>
  <c r="AM1152" i="64"/>
  <c r="AM1150" i="64"/>
  <c r="CN1104" i="64"/>
  <c r="BM1175" i="64"/>
  <c r="CN1078" i="64"/>
  <c r="AA1094" i="64"/>
  <c r="M1174" i="64"/>
  <c r="Z1129" i="64"/>
  <c r="BN1075" i="64"/>
  <c r="AN1070" i="64"/>
  <c r="BA1056" i="64"/>
  <c r="CN1075" i="64"/>
  <c r="BZ1181" i="64"/>
  <c r="BA1109" i="64"/>
  <c r="AN1089" i="64"/>
  <c r="Z1186" i="64"/>
  <c r="M1168" i="64"/>
  <c r="AZ1193" i="64"/>
  <c r="M1186" i="64"/>
  <c r="M1162" i="64"/>
  <c r="BA1083" i="64"/>
  <c r="BZ1147" i="64"/>
  <c r="AA1112" i="64"/>
  <c r="BZ1152" i="64"/>
  <c r="AM1194" i="64"/>
  <c r="AA1114" i="64"/>
  <c r="BN1077" i="64"/>
  <c r="BM1178" i="64"/>
  <c r="BA1102" i="64"/>
  <c r="AA1117" i="64"/>
  <c r="BZ1190" i="64"/>
  <c r="BM1156" i="64"/>
  <c r="M1184" i="64"/>
  <c r="AN1116" i="64"/>
  <c r="CN1057" i="64"/>
  <c r="CA1057" i="64"/>
  <c r="AA1118" i="64"/>
  <c r="AN1105" i="64"/>
  <c r="AN1099" i="64"/>
  <c r="BA1094" i="64"/>
  <c r="CN1101" i="64"/>
  <c r="CN1070" i="64"/>
  <c r="BZ1127" i="64"/>
  <c r="Z1147" i="64"/>
  <c r="CN1115" i="64"/>
  <c r="BA1110" i="64"/>
  <c r="BZ1130" i="64"/>
  <c r="AN1119" i="64"/>
  <c r="BN1104" i="64"/>
  <c r="CA1078" i="64"/>
  <c r="CA1101" i="64"/>
  <c r="AM1148" i="64"/>
  <c r="BA1091" i="64"/>
  <c r="AM1189" i="64"/>
  <c r="AM1191" i="64"/>
  <c r="AZ1185" i="64"/>
  <c r="AM1192" i="64"/>
  <c r="BZ1150" i="64"/>
  <c r="AZ1172" i="64"/>
  <c r="BM1181" i="64"/>
  <c r="CA1056" i="64"/>
  <c r="BM1143" i="64"/>
  <c r="BM1129" i="64"/>
  <c r="CN1054" i="64"/>
  <c r="CN1067" i="64"/>
  <c r="BZ1140" i="64"/>
  <c r="BM1140" i="64"/>
  <c r="AA1067" i="64"/>
  <c r="BA1058" i="64"/>
  <c r="M1131" i="64"/>
  <c r="BN1058" i="64"/>
  <c r="AM1131" i="64"/>
  <c r="CN1058" i="64"/>
  <c r="CA1084" i="64"/>
  <c r="AZ1157" i="64"/>
  <c r="BZ1157" i="64"/>
  <c r="Z1157" i="64"/>
  <c r="BZ1142" i="64"/>
  <c r="M1142" i="64"/>
  <c r="AA1069" i="64"/>
  <c r="BA1069" i="64"/>
  <c r="BM1142" i="64"/>
  <c r="Z1132" i="64"/>
  <c r="AM1132" i="64"/>
  <c r="CA1059" i="64"/>
  <c r="BA1076" i="64"/>
  <c r="M1149" i="64"/>
  <c r="CN1076" i="64"/>
  <c r="BN1100" i="64"/>
  <c r="AZ1173" i="64"/>
  <c r="AN1100" i="64"/>
  <c r="Z1173" i="64"/>
  <c r="AZ1144" i="64"/>
  <c r="Z1144" i="64"/>
  <c r="AA1071" i="64"/>
  <c r="AA1093" i="64"/>
  <c r="AZ1166" i="64"/>
  <c r="AM1166" i="64"/>
  <c r="AN1093" i="64"/>
  <c r="CA1097" i="64"/>
  <c r="M1170" i="64"/>
  <c r="AM1170" i="64"/>
  <c r="BN1097" i="64"/>
  <c r="BA1085" i="64"/>
  <c r="AZ1158" i="64"/>
  <c r="AN1063" i="64"/>
  <c r="BN1063" i="64"/>
  <c r="BA1063" i="64"/>
  <c r="CA1063" i="64"/>
  <c r="BZ1154" i="64"/>
  <c r="AZ1154" i="64"/>
  <c r="BM1154" i="64"/>
  <c r="BN1081" i="64"/>
  <c r="BM1193" i="64"/>
  <c r="Z1168" i="64"/>
  <c r="M1193" i="64"/>
  <c r="AN1113" i="64"/>
  <c r="BA1089" i="64"/>
  <c r="CA1109" i="64"/>
  <c r="BN1095" i="64"/>
  <c r="AA1091" i="64"/>
  <c r="BN1116" i="64"/>
  <c r="CN1111" i="64"/>
  <c r="AA1119" i="64"/>
  <c r="AA1057" i="64"/>
  <c r="BN1064" i="64"/>
  <c r="AM1190" i="64"/>
  <c r="BA1104" i="64"/>
  <c r="Z1175" i="64"/>
  <c r="AM1167" i="64"/>
  <c r="BM1174" i="64"/>
  <c r="Z1164" i="64"/>
  <c r="AZ1152" i="64"/>
  <c r="BZ1184" i="64"/>
  <c r="CA1116" i="64"/>
  <c r="BN1115" i="64"/>
  <c r="AN1077" i="64"/>
  <c r="M1177" i="64"/>
  <c r="AA1078" i="64"/>
  <c r="AZ1167" i="64"/>
  <c r="M1129" i="64"/>
  <c r="BM1127" i="64"/>
  <c r="Z1156" i="64"/>
  <c r="BM1191" i="64"/>
  <c r="Z1192" i="64"/>
  <c r="Z1187" i="64"/>
  <c r="AN1115" i="64"/>
  <c r="BA1077" i="64"/>
  <c r="M1172" i="64"/>
  <c r="Z1190" i="64"/>
  <c r="AN1056" i="64"/>
  <c r="CN1108" i="64"/>
  <c r="AA1074" i="64"/>
  <c r="BN1111" i="64"/>
  <c r="CA1114" i="64"/>
  <c r="AZ1189" i="64"/>
  <c r="AZ1191" i="64"/>
  <c r="BN1117" i="64"/>
  <c r="AM1175" i="64"/>
  <c r="BN1109" i="64"/>
  <c r="BN1056" i="64"/>
  <c r="BA1054" i="64"/>
  <c r="BA1070" i="64"/>
  <c r="AN1067" i="64"/>
  <c r="Z1140" i="64"/>
  <c r="CA1067" i="64"/>
  <c r="AA1058" i="64"/>
  <c r="Z1131" i="64"/>
  <c r="AM1157" i="64"/>
  <c r="BN1084" i="64"/>
  <c r="CN1084" i="64"/>
  <c r="Z1142" i="64"/>
  <c r="CN1069" i="64"/>
  <c r="CA1069" i="64"/>
  <c r="CN1059" i="64"/>
  <c r="BM1132" i="64"/>
  <c r="AZ1132" i="64"/>
  <c r="AZ1149" i="64"/>
  <c r="Z1149" i="64"/>
  <c r="AM1173" i="64"/>
  <c r="CN1100" i="64"/>
  <c r="CN1071" i="64"/>
  <c r="BN1071" i="64"/>
  <c r="CA1071" i="64"/>
  <c r="BA1093" i="64"/>
  <c r="CA1093" i="64"/>
  <c r="BN1093" i="64"/>
  <c r="BM1166" i="64"/>
  <c r="AZ1170" i="64"/>
  <c r="CN1097" i="64"/>
  <c r="AN1097" i="64"/>
  <c r="BZ1158" i="64"/>
  <c r="CA1085" i="64"/>
  <c r="BN1085" i="64"/>
  <c r="BM1158" i="64"/>
  <c r="BM1136" i="64"/>
  <c r="AM1136" i="64"/>
  <c r="Z1154" i="64"/>
  <c r="AA1081" i="64"/>
  <c r="BA1120" i="64"/>
  <c r="BM1168" i="64"/>
  <c r="CA1120" i="64"/>
  <c r="Z1182" i="64"/>
  <c r="AZ1168" i="64"/>
  <c r="AA1109" i="64"/>
  <c r="AM1168" i="64"/>
  <c r="BZ1164" i="64"/>
  <c r="M1188" i="64"/>
  <c r="CN1116" i="64"/>
  <c r="BA1064" i="64"/>
  <c r="AN1064" i="64"/>
  <c r="AZ1187" i="64"/>
  <c r="AA1108" i="64"/>
  <c r="BZ1177" i="64"/>
  <c r="BM1151" i="64"/>
  <c r="BZ1167" i="64"/>
  <c r="M1143" i="64"/>
  <c r="BM1164" i="64"/>
  <c r="CA1079" i="64"/>
  <c r="Z1152" i="64"/>
  <c r="BM1192" i="64"/>
  <c r="M1191" i="64"/>
  <c r="BM1150" i="64"/>
  <c r="Z1177" i="64"/>
  <c r="BA1078" i="64"/>
  <c r="BN1094" i="64"/>
  <c r="AA1075" i="64"/>
  <c r="BN1054" i="64"/>
  <c r="AZ1164" i="64"/>
  <c r="AM1185" i="64"/>
  <c r="Z1188" i="64"/>
  <c r="CN1079" i="64"/>
  <c r="BZ1137" i="64"/>
  <c r="M1150" i="64"/>
  <c r="BZ1172" i="64"/>
  <c r="BM1167" i="64"/>
  <c r="AZ1129" i="64"/>
  <c r="AA1054" i="64"/>
  <c r="BN1074" i="64"/>
  <c r="BM1130" i="64"/>
  <c r="BN1119" i="64"/>
  <c r="BM1152" i="64"/>
  <c r="BN1079" i="64"/>
  <c r="BZ1178" i="64"/>
  <c r="BZ1175" i="64"/>
  <c r="BZ1182" i="64"/>
  <c r="AZ1148" i="64"/>
  <c r="CA1054" i="64"/>
  <c r="BZ1143" i="64"/>
  <c r="AZ1140" i="64"/>
  <c r="BN1067" i="64"/>
  <c r="BA1067" i="64"/>
  <c r="BM1131" i="64"/>
  <c r="AZ1131" i="64"/>
  <c r="AA1084" i="64"/>
  <c r="BN1069" i="64"/>
  <c r="AN1069" i="64"/>
  <c r="AN1059" i="64"/>
  <c r="BZ1132" i="64"/>
  <c r="AA1059" i="64"/>
  <c r="AM1149" i="64"/>
  <c r="BM1149" i="64"/>
  <c r="BN1076" i="64"/>
  <c r="AN1076" i="64"/>
  <c r="BZ1149" i="64"/>
  <c r="AA1100" i="64"/>
  <c r="BM1173" i="64"/>
  <c r="CA1100" i="64"/>
  <c r="AN1071" i="64"/>
  <c r="M1144" i="64"/>
  <c r="BM1144" i="64"/>
  <c r="BZ1166" i="64"/>
  <c r="CN1093" i="64"/>
  <c r="BZ1170" i="64"/>
  <c r="AA1097" i="64"/>
  <c r="Z1158" i="64"/>
  <c r="BZ1136" i="64"/>
  <c r="M1136" i="64"/>
  <c r="AZ1136" i="64"/>
  <c r="AA1063" i="64"/>
  <c r="CA1081" i="64"/>
  <c r="BA1081" i="64"/>
  <c r="AM1154" i="64"/>
  <c r="BM1139" i="64"/>
  <c r="AA1066" i="64"/>
  <c r="Z1139" i="64"/>
  <c r="BM1159" i="64"/>
  <c r="CN1086" i="64"/>
  <c r="BN1086" i="64"/>
  <c r="M1159" i="64"/>
  <c r="AZ1182" i="64"/>
  <c r="AZ1162" i="64"/>
  <c r="BN1113" i="64"/>
  <c r="BM1162" i="64"/>
  <c r="AM1193" i="64"/>
  <c r="BA1113" i="64"/>
  <c r="Z1162" i="64"/>
  <c r="BM1186" i="64"/>
  <c r="CA1074" i="64"/>
  <c r="BM1183" i="64"/>
  <c r="BM1185" i="64"/>
  <c r="CN1064" i="64"/>
  <c r="AM1137" i="64"/>
  <c r="CA1077" i="64"/>
  <c r="AA1105" i="64"/>
  <c r="BM1172" i="64"/>
  <c r="AZ1151" i="64"/>
  <c r="AN1109" i="64"/>
  <c r="BZ1156" i="64"/>
  <c r="CN1112" i="64"/>
  <c r="AN1110" i="64"/>
  <c r="AA1115" i="64"/>
  <c r="CN1118" i="64"/>
  <c r="BA1057" i="64"/>
  <c r="BA1105" i="64"/>
  <c r="AM1172" i="64"/>
  <c r="CA1108" i="64"/>
  <c r="Z1174" i="64"/>
  <c r="Z1143" i="64"/>
  <c r="CA1117" i="64"/>
  <c r="AM1147" i="64"/>
  <c r="AA1064" i="64"/>
  <c r="AM1130" i="64"/>
  <c r="Z1183" i="64"/>
  <c r="CA1115" i="64"/>
  <c r="AA1104" i="64"/>
  <c r="AA1102" i="64"/>
  <c r="BN1101" i="64"/>
  <c r="BM1148" i="64"/>
  <c r="AM1156" i="64"/>
  <c r="BZ1194" i="64"/>
  <c r="M1194" i="64"/>
  <c r="M1185" i="64"/>
  <c r="M1183" i="64"/>
  <c r="AM1184" i="64"/>
  <c r="BM1177" i="64"/>
  <c r="M1151" i="64"/>
  <c r="AN1101" i="64"/>
  <c r="AN1075" i="64"/>
  <c r="CN1056" i="64"/>
  <c r="AZ1127" i="64"/>
  <c r="M1140" i="64"/>
  <c r="AM1140" i="64"/>
  <c r="BA1084" i="64"/>
  <c r="AM1142" i="64"/>
  <c r="AA1076" i="64"/>
  <c r="CA1076" i="64"/>
  <c r="BZ1173" i="64"/>
  <c r="Z1166" i="64"/>
  <c r="M1166" i="64"/>
  <c r="BA1097" i="64"/>
  <c r="AA1085" i="64"/>
  <c r="M1158" i="64"/>
  <c r="AN1085" i="64"/>
  <c r="CN1063" i="64"/>
  <c r="Z1136" i="64"/>
  <c r="M1154" i="64"/>
  <c r="CA1066" i="64"/>
  <c r="BN1066" i="64"/>
  <c r="AA1086" i="64"/>
  <c r="AZ1159" i="64"/>
  <c r="AZ1160" i="64"/>
  <c r="BA1087" i="64"/>
  <c r="CN1087" i="64"/>
  <c r="BN1087" i="64"/>
  <c r="BM1134" i="64"/>
  <c r="CN1061" i="64"/>
  <c r="AA1061" i="64"/>
  <c r="M1134" i="64"/>
  <c r="AM1134" i="64"/>
  <c r="BA1062" i="64"/>
  <c r="AA1062" i="64"/>
  <c r="BN1062" i="64"/>
  <c r="AM1135" i="64"/>
  <c r="AN1106" i="64"/>
  <c r="Z1179" i="64"/>
  <c r="BZ1179" i="64"/>
  <c r="AM1169" i="64"/>
  <c r="AA1096" i="64"/>
  <c r="AN1096" i="64"/>
  <c r="BZ1169" i="64"/>
  <c r="Z1133" i="64"/>
  <c r="BM1133" i="64"/>
  <c r="CN1060" i="64"/>
  <c r="AN1055" i="64"/>
  <c r="Z1128" i="64"/>
  <c r="BA1055" i="64"/>
  <c r="M1128" i="64"/>
  <c r="CN1107" i="64"/>
  <c r="AA1107" i="64"/>
  <c r="AN1107" i="64"/>
  <c r="BA1092" i="64"/>
  <c r="BN1092" i="64"/>
  <c r="BZ1165" i="64"/>
  <c r="Z1163" i="64"/>
  <c r="CN1073" i="64"/>
  <c r="BM1146" i="64"/>
  <c r="BZ1131" i="64"/>
  <c r="BM1157" i="64"/>
  <c r="AN1084" i="64"/>
  <c r="AZ1142" i="64"/>
  <c r="BA1059" i="64"/>
  <c r="M1173" i="64"/>
  <c r="BA1100" i="64"/>
  <c r="AM1144" i="64"/>
  <c r="CN1085" i="64"/>
  <c r="AN1081" i="64"/>
  <c r="AZ1139" i="64"/>
  <c r="CA1086" i="64"/>
  <c r="BZ1159" i="64"/>
  <c r="Z1159" i="64"/>
  <c r="CA1087" i="64"/>
  <c r="AA1087" i="64"/>
  <c r="BN1061" i="64"/>
  <c r="AN1061" i="64"/>
  <c r="CA1061" i="64"/>
  <c r="AZ1134" i="64"/>
  <c r="BA1061" i="64"/>
  <c r="CA1062" i="64"/>
  <c r="AZ1135" i="64"/>
  <c r="AN1062" i="64"/>
  <c r="AM1179" i="64"/>
  <c r="CN1106" i="64"/>
  <c r="M1179" i="64"/>
  <c r="BA1106" i="64"/>
  <c r="CA1096" i="64"/>
  <c r="BA1096" i="64"/>
  <c r="BN1096" i="64"/>
  <c r="CA1060" i="64"/>
  <c r="BZ1133" i="64"/>
  <c r="M1133" i="64"/>
  <c r="BM1128" i="64"/>
  <c r="M1180" i="64"/>
  <c r="BM1180" i="64"/>
  <c r="BN1107" i="64"/>
  <c r="CN1092" i="64"/>
  <c r="Z1165" i="64"/>
  <c r="BM1163" i="64"/>
  <c r="AM1163" i="64"/>
  <c r="BN1090" i="64"/>
  <c r="AN1090" i="64"/>
  <c r="BZ1146" i="64"/>
  <c r="AN1073" i="64"/>
  <c r="AM1146" i="64"/>
  <c r="BA1073" i="64"/>
  <c r="CA1080" i="64"/>
  <c r="AA1080" i="64"/>
  <c r="M1153" i="64"/>
  <c r="CN1080" i="64"/>
  <c r="BA1088" i="64"/>
  <c r="BN1088" i="64"/>
  <c r="BZ1161" i="64"/>
  <c r="AZ1176" i="64"/>
  <c r="BN1103" i="64"/>
  <c r="AN1103" i="64"/>
  <c r="CA1058" i="64"/>
  <c r="AN1058" i="64"/>
  <c r="M1157" i="64"/>
  <c r="BN1059" i="64"/>
  <c r="BA1071" i="64"/>
  <c r="Z1170" i="64"/>
  <c r="BM1170" i="64"/>
  <c r="BZ1139" i="64"/>
  <c r="AN1066" i="64"/>
  <c r="CN1066" i="64"/>
  <c r="AM1159" i="64"/>
  <c r="AN1086" i="64"/>
  <c r="BZ1160" i="64"/>
  <c r="AM1160" i="64"/>
  <c r="Z1135" i="64"/>
  <c r="BM1179" i="64"/>
  <c r="CA1106" i="64"/>
  <c r="AZ1179" i="64"/>
  <c r="M1132" i="64"/>
  <c r="BZ1144" i="64"/>
  <c r="AM1158" i="64"/>
  <c r="CN1081" i="64"/>
  <c r="BA1066" i="64"/>
  <c r="AM1139" i="64"/>
  <c r="M1139" i="64"/>
  <c r="BA1086" i="64"/>
  <c r="M1160" i="64"/>
  <c r="Z1160" i="64"/>
  <c r="AN1087" i="64"/>
  <c r="BM1160" i="64"/>
  <c r="Z1134" i="64"/>
  <c r="BZ1134" i="64"/>
  <c r="BM1135" i="64"/>
  <c r="BZ1135" i="64"/>
  <c r="M1135" i="64"/>
  <c r="CN1062" i="64"/>
  <c r="BN1106" i="64"/>
  <c r="AA1106" i="64"/>
  <c r="BM1169" i="64"/>
  <c r="AZ1169" i="64"/>
  <c r="AA1060" i="64"/>
  <c r="AN1060" i="64"/>
  <c r="AM1133" i="64"/>
  <c r="CN1055" i="64"/>
  <c r="AZ1128" i="64"/>
  <c r="CA1055" i="64"/>
  <c r="BA1107" i="64"/>
  <c r="Z1180" i="64"/>
  <c r="CA1107" i="64"/>
  <c r="AA1092" i="64"/>
  <c r="CA1092" i="64"/>
  <c r="AZ1165" i="64"/>
  <c r="CA1090" i="64"/>
  <c r="BZ1163" i="64"/>
  <c r="AZ1163" i="64"/>
  <c r="CN1090" i="64"/>
  <c r="BN1073" i="64"/>
  <c r="AZ1146" i="64"/>
  <c r="CA1073" i="64"/>
  <c r="AN1080" i="64"/>
  <c r="Z1153" i="64"/>
  <c r="AM1161" i="64"/>
  <c r="BM1161" i="64"/>
  <c r="AZ1161" i="64"/>
  <c r="AN1088" i="64"/>
  <c r="BZ1176" i="64"/>
  <c r="BA1103" i="64"/>
  <c r="AM1176" i="64"/>
  <c r="AM1171" i="64"/>
  <c r="BN1098" i="64"/>
  <c r="CN1096" i="64"/>
  <c r="BN1055" i="64"/>
  <c r="AM1165" i="64"/>
  <c r="M1165" i="64"/>
  <c r="AA1090" i="64"/>
  <c r="AZ1153" i="64"/>
  <c r="BZ1153" i="64"/>
  <c r="AA1088" i="64"/>
  <c r="Z1161" i="64"/>
  <c r="CN1103" i="64"/>
  <c r="AA1103" i="64"/>
  <c r="CA1103" i="64"/>
  <c r="BA1098" i="64"/>
  <c r="AA1098" i="64"/>
  <c r="AZ1171" i="64"/>
  <c r="CA1068" i="64"/>
  <c r="BM1141" i="64"/>
  <c r="Z1141" i="64"/>
  <c r="CA1072" i="64"/>
  <c r="BA1072" i="64"/>
  <c r="CN1072" i="64"/>
  <c r="BZ1145" i="64"/>
  <c r="BZ1138" i="64"/>
  <c r="AN1065" i="64"/>
  <c r="AA1065" i="64"/>
  <c r="BM1155" i="64"/>
  <c r="CA1082" i="64"/>
  <c r="M1176" i="64"/>
  <c r="Z1176" i="64"/>
  <c r="BM1171" i="64"/>
  <c r="BM1145" i="64"/>
  <c r="CN1082" i="64"/>
  <c r="M1169" i="64"/>
  <c r="BA1060" i="64"/>
  <c r="AZ1133" i="64"/>
  <c r="AM1180" i="64"/>
  <c r="BM1165" i="64"/>
  <c r="BA1090" i="64"/>
  <c r="Z1146" i="64"/>
  <c r="AM1153" i="64"/>
  <c r="BN1080" i="64"/>
  <c r="M1161" i="64"/>
  <c r="CA1098" i="64"/>
  <c r="Z1171" i="64"/>
  <c r="AN1098" i="64"/>
  <c r="M1171" i="64"/>
  <c r="M1141" i="64"/>
  <c r="AZ1141" i="64"/>
  <c r="BZ1141" i="64"/>
  <c r="BN1068" i="64"/>
  <c r="AN1072" i="64"/>
  <c r="Z1138" i="64"/>
  <c r="CA1065" i="64"/>
  <c r="BM1138" i="64"/>
  <c r="BA1065" i="64"/>
  <c r="BA1082" i="64"/>
  <c r="BZ1155" i="64"/>
  <c r="AZ1155" i="64"/>
  <c r="AN1082" i="64"/>
  <c r="BN1060" i="64"/>
  <c r="AN1092" i="64"/>
  <c r="M1163" i="64"/>
  <c r="AA1068" i="64"/>
  <c r="AA1072" i="64"/>
  <c r="AZ1145" i="64"/>
  <c r="M1155" i="64"/>
  <c r="AA1055" i="64"/>
  <c r="BZ1128" i="64"/>
  <c r="AZ1180" i="64"/>
  <c r="BZ1180" i="64"/>
  <c r="M1146" i="64"/>
  <c r="BM1153" i="64"/>
  <c r="CA1088" i="64"/>
  <c r="CN1088" i="64"/>
  <c r="BM1176" i="64"/>
  <c r="BZ1171" i="64"/>
  <c r="CN1098" i="64"/>
  <c r="AM1141" i="64"/>
  <c r="BA1068" i="64"/>
  <c r="AN1068" i="64"/>
  <c r="CN1068" i="64"/>
  <c r="AM1145" i="64"/>
  <c r="M1145" i="64"/>
  <c r="Z1145" i="64"/>
  <c r="BN1065" i="64"/>
  <c r="AZ1138" i="64"/>
  <c r="AM1138" i="64"/>
  <c r="AM1155" i="64"/>
  <c r="Z1155" i="64"/>
  <c r="BN1082" i="64"/>
  <c r="Z1169" i="64"/>
  <c r="AM1128" i="64"/>
  <c r="AA1073" i="64"/>
  <c r="BA1080" i="64"/>
  <c r="BN1072" i="64"/>
  <c r="CN1065" i="64"/>
  <c r="M1138" i="64"/>
  <c r="AA1082" i="64"/>
  <c r="AL1606" i="79"/>
  <c r="AL1605" i="79"/>
  <c r="DO1114" i="64"/>
  <c r="DA1163" i="64"/>
  <c r="AM1595" i="79"/>
  <c r="AM1598" i="79"/>
  <c r="AK1543" i="79"/>
  <c r="AK1546" i="79"/>
  <c r="CZ1060" i="64"/>
  <c r="DP1060" i="64" s="1"/>
  <c r="CL1153" i="64"/>
  <c r="AK1586" i="79"/>
  <c r="AK1583" i="79"/>
  <c r="N1605" i="79"/>
  <c r="N1606" i="79"/>
  <c r="AN2033" i="79"/>
  <c r="AN1710" i="79"/>
  <c r="AN1746" i="79"/>
  <c r="DO1054" i="64"/>
  <c r="DA1149" i="64"/>
  <c r="R1638" i="79"/>
  <c r="AK1559" i="79"/>
  <c r="AK1556" i="79"/>
  <c r="O1489" i="79"/>
  <c r="O1488" i="79"/>
  <c r="CZ1110" i="64"/>
  <c r="DP1110" i="64" s="1"/>
  <c r="CL1129" i="64"/>
  <c r="DB1129" i="64" s="1"/>
  <c r="CL1177" i="64"/>
  <c r="DB1177" i="64" s="1"/>
  <c r="CZ1109" i="64"/>
  <c r="CL1148" i="64"/>
  <c r="CL1151" i="64"/>
  <c r="DB1151" i="64" s="1"/>
  <c r="CL1166" i="64"/>
  <c r="DB1166" i="64" s="1"/>
  <c r="CZ1086" i="64"/>
  <c r="DP1086" i="64" s="1"/>
  <c r="CL1135" i="64"/>
  <c r="DB1135" i="64" s="1"/>
  <c r="CZ1061" i="64"/>
  <c r="DP1061" i="64" s="1"/>
  <c r="AM1892" i="79"/>
  <c r="AM1924" i="79" s="1"/>
  <c r="AM1925" i="79" s="1"/>
  <c r="AM1552" i="79"/>
  <c r="AM1748" i="79"/>
  <c r="AM1500" i="79"/>
  <c r="N1515" i="79"/>
  <c r="N1514" i="79"/>
  <c r="P1784" i="79"/>
  <c r="P1513" i="79"/>
  <c r="P1604" i="79"/>
  <c r="P2035" i="79"/>
  <c r="P2067" i="79" s="1"/>
  <c r="P1539" i="79"/>
  <c r="P1856" i="79"/>
  <c r="AN1638" i="79"/>
  <c r="CZ1070" i="64"/>
  <c r="DP1070" i="64" s="1"/>
  <c r="CZ1084" i="64"/>
  <c r="DP1084" i="64" s="1"/>
  <c r="CZ1058" i="64"/>
  <c r="DP1058" i="64" s="1"/>
  <c r="CZ1081" i="64"/>
  <c r="DP1081" i="64" s="1"/>
  <c r="CZ1069" i="64"/>
  <c r="DP1069" i="64" s="1"/>
  <c r="CZ1066" i="64"/>
  <c r="DP1066" i="64" s="1"/>
  <c r="CZ1100" i="64"/>
  <c r="DP1100" i="64" s="1"/>
  <c r="CZ1107" i="64"/>
  <c r="DP1107" i="64" s="1"/>
  <c r="CL1161" i="64"/>
  <c r="DB1161" i="64" s="1"/>
  <c r="CL1145" i="64"/>
  <c r="DB1145" i="64" s="1"/>
  <c r="N1475" i="79"/>
  <c r="N1476" i="79"/>
  <c r="R1588" i="79"/>
  <c r="R1484" i="79"/>
  <c r="R1601" i="79"/>
  <c r="R1536" i="79"/>
  <c r="R1523" i="79"/>
  <c r="R1575" i="79"/>
  <c r="R1471" i="79"/>
  <c r="R1562" i="79"/>
  <c r="R1497" i="79"/>
  <c r="R1510" i="79"/>
  <c r="R1549" i="79"/>
  <c r="DA1130" i="64"/>
  <c r="O1515" i="79"/>
  <c r="O1514" i="79"/>
  <c r="Q1890" i="79"/>
  <c r="Q1997" i="79"/>
  <c r="Q1962" i="79"/>
  <c r="N1540" i="79"/>
  <c r="N1541" i="79"/>
  <c r="CZ1119" i="64"/>
  <c r="DP1119" i="64" s="1"/>
  <c r="CL1130" i="64"/>
  <c r="CL1182" i="64"/>
  <c r="DB1182" i="64" s="1"/>
  <c r="CZ1091" i="64"/>
  <c r="DP1091" i="64" s="1"/>
  <c r="CZ1079" i="64"/>
  <c r="CL1186" i="64"/>
  <c r="DB1186" i="64" s="1"/>
  <c r="CL1180" i="64"/>
  <c r="DB1180" i="64" s="1"/>
  <c r="CZ1088" i="64"/>
  <c r="DP1088" i="64" s="1"/>
  <c r="CZ1082" i="64"/>
  <c r="DP1082" i="64" s="1"/>
  <c r="DO1084" i="64"/>
  <c r="DA1183" i="64"/>
  <c r="DA1162" i="64"/>
  <c r="N1553" i="79"/>
  <c r="N1554" i="79"/>
  <c r="AH600" i="77"/>
  <c r="O1593" i="79"/>
  <c r="O1592" i="79"/>
  <c r="O1476" i="79"/>
  <c r="O1475" i="79"/>
  <c r="Q1460" i="79"/>
  <c r="CL1181" i="64"/>
  <c r="DB1181" i="64" s="1"/>
  <c r="CL1184" i="64"/>
  <c r="CL1157" i="64"/>
  <c r="DB1157" i="64" s="1"/>
  <c r="CZ1076" i="64"/>
  <c r="DP1076" i="64" s="1"/>
  <c r="CZ1055" i="64"/>
  <c r="DP1055" i="64" s="1"/>
  <c r="AK1582" i="79"/>
  <c r="AK1585" i="79"/>
  <c r="AL1500" i="79"/>
  <c r="AL1748" i="79"/>
  <c r="N2068" i="79"/>
  <c r="AN1890" i="79"/>
  <c r="AN1997" i="79"/>
  <c r="AN2031" i="79" s="1"/>
  <c r="AN2032" i="79" s="1"/>
  <c r="AN1592" i="79"/>
  <c r="DA1189" i="64"/>
  <c r="DA1150" i="64"/>
  <c r="CL1164" i="64"/>
  <c r="CZ1114" i="64"/>
  <c r="DP1114" i="64" s="1"/>
  <c r="CL1191" i="64"/>
  <c r="DB1191" i="64" s="1"/>
  <c r="CL1150" i="64"/>
  <c r="DB1150" i="64" s="1"/>
  <c r="CL1147" i="64"/>
  <c r="DB1147" i="64" s="1"/>
  <c r="CL1192" i="64"/>
  <c r="DB1192" i="64" s="1"/>
  <c r="CZ1092" i="64"/>
  <c r="DP1092" i="64" s="1"/>
  <c r="CZ1085" i="64"/>
  <c r="DP1085" i="64" s="1"/>
  <c r="CZ1106" i="64"/>
  <c r="DP1106" i="64" s="1"/>
  <c r="AQ737" i="64"/>
  <c r="AK1566" i="79"/>
  <c r="AK1567" i="79"/>
  <c r="F36" i="71"/>
  <c r="AL1554" i="79"/>
  <c r="AL1553" i="79"/>
  <c r="AM1512" i="79"/>
  <c r="AM1525" i="79"/>
  <c r="N1592" i="79"/>
  <c r="N1593" i="79"/>
  <c r="P1474" i="79"/>
  <c r="P1676" i="79"/>
  <c r="P1591" i="79"/>
  <c r="P1999" i="79"/>
  <c r="P2031" i="79" s="1"/>
  <c r="P2032" i="79" s="1"/>
  <c r="O1502" i="79"/>
  <c r="O1501" i="79"/>
  <c r="CL1193" i="64"/>
  <c r="DB1193" i="64" s="1"/>
  <c r="CZ1059" i="64"/>
  <c r="DP1059" i="64" s="1"/>
  <c r="AK635" i="77"/>
  <c r="I593" i="77" s="1"/>
  <c r="R122" i="64"/>
  <c r="AL1487" i="79"/>
  <c r="AL1712" i="79"/>
  <c r="N1527" i="79"/>
  <c r="N1528" i="79"/>
  <c r="DO1064" i="64"/>
  <c r="AO1458" i="79"/>
  <c r="DO1096" i="64"/>
  <c r="AO1588" i="79"/>
  <c r="AO1523" i="79"/>
  <c r="AO1484" i="79"/>
  <c r="AO1497" i="79"/>
  <c r="AO1601" i="79"/>
  <c r="AO1536" i="79"/>
  <c r="AO1549" i="79"/>
  <c r="AO1575" i="79"/>
  <c r="AO1510" i="79"/>
  <c r="AO1562" i="79"/>
  <c r="DO1057" i="64"/>
  <c r="DA1169" i="64"/>
  <c r="AK1514" i="79"/>
  <c r="AK1515" i="79"/>
  <c r="AM1640" i="79"/>
  <c r="AM1461" i="79"/>
  <c r="O1554" i="79"/>
  <c r="O1553" i="79"/>
  <c r="Q329" i="79"/>
  <c r="Q1551" i="79" s="1"/>
  <c r="Q452" i="79"/>
  <c r="Q1590" i="79" s="1"/>
  <c r="Q288" i="79"/>
  <c r="Q83" i="79"/>
  <c r="Q1473" i="79" s="1"/>
  <c r="Q370" i="79"/>
  <c r="Q1564" i="79" s="1"/>
  <c r="Q124" i="79"/>
  <c r="Q1486" i="79" s="1"/>
  <c r="Q493" i="79"/>
  <c r="Q206" i="79"/>
  <c r="Q1512" i="79" s="1"/>
  <c r="Q247" i="79"/>
  <c r="Q1525" i="79" s="1"/>
  <c r="Q411" i="79"/>
  <c r="Q1577" i="79" s="1"/>
  <c r="Q165" i="79"/>
  <c r="Q2033" i="79"/>
  <c r="Q1818" i="79"/>
  <c r="O1567" i="79"/>
  <c r="O1566" i="79"/>
  <c r="CZ1111" i="64"/>
  <c r="DP1111" i="64" s="1"/>
  <c r="CZ1057" i="64"/>
  <c r="CL1188" i="64"/>
  <c r="DB1188" i="64" s="1"/>
  <c r="CL1137" i="64"/>
  <c r="DB1137" i="64" s="1"/>
  <c r="CL1127" i="64"/>
  <c r="CL1169" i="64"/>
  <c r="DB1169" i="64" s="1"/>
  <c r="CZ1103" i="64"/>
  <c r="DP1103" i="64" s="1"/>
  <c r="AL1515" i="79"/>
  <c r="AL1514" i="79"/>
  <c r="DA1140" i="64"/>
  <c r="N1566" i="79"/>
  <c r="N1567" i="79"/>
  <c r="O2068" i="79"/>
  <c r="Q1638" i="79"/>
  <c r="Q643" i="64"/>
  <c r="Q647" i="64" s="1"/>
  <c r="S639" i="64"/>
  <c r="CL1167" i="64"/>
  <c r="DB1167" i="64" s="1"/>
  <c r="CL1162" i="64"/>
  <c r="DB1162" i="64" s="1"/>
  <c r="AN247" i="79"/>
  <c r="AN1525" i="79" s="1"/>
  <c r="AN493" i="79"/>
  <c r="AN1603" i="79" s="1"/>
  <c r="AN288" i="79"/>
  <c r="AN1538" i="79" s="1"/>
  <c r="AN165" i="79"/>
  <c r="AN370" i="79"/>
  <c r="AN1564" i="79" s="1"/>
  <c r="AN329" i="79"/>
  <c r="AN1551" i="79" s="1"/>
  <c r="AN124" i="79"/>
  <c r="AN1486" i="79" s="1"/>
  <c r="AN206" i="79"/>
  <c r="AN1512" i="79" s="1"/>
  <c r="AN452" i="79"/>
  <c r="AN411" i="79"/>
  <c r="AN1854" i="79"/>
  <c r="AN1926" i="79"/>
  <c r="DO1066" i="64"/>
  <c r="DA1179" i="64"/>
  <c r="CZ1089" i="64"/>
  <c r="DP1089" i="64" s="1"/>
  <c r="CZ1097" i="64"/>
  <c r="DP1097" i="64" s="1"/>
  <c r="CL1131" i="64"/>
  <c r="DB1131" i="64" s="1"/>
  <c r="CL1139" i="64"/>
  <c r="DB1139" i="64" s="1"/>
  <c r="R121" i="64"/>
  <c r="S121" i="64" s="1"/>
  <c r="AK612" i="77"/>
  <c r="G593" i="77" s="1"/>
  <c r="DA1175" i="64"/>
  <c r="DO1060" i="64"/>
  <c r="AM1603" i="79"/>
  <c r="AM1487" i="79"/>
  <c r="AM1712" i="79"/>
  <c r="P1551" i="79"/>
  <c r="P1928" i="79"/>
  <c r="P1960" i="79" s="1"/>
  <c r="P1961" i="79" s="1"/>
  <c r="P1565" i="79"/>
  <c r="P1526" i="79"/>
  <c r="P1820" i="79"/>
  <c r="P1852" i="79" s="1"/>
  <c r="P1853" i="79" s="1"/>
  <c r="O1528" i="79"/>
  <c r="O1527" i="79"/>
  <c r="CZ1102" i="64"/>
  <c r="CZ1120" i="64"/>
  <c r="DP1120" i="64" s="1"/>
  <c r="CL1174" i="64"/>
  <c r="DB1174" i="64" s="1"/>
  <c r="CZ1064" i="64"/>
  <c r="DP1064" i="64" s="1"/>
  <c r="CZ1074" i="64"/>
  <c r="DP1074" i="64" s="1"/>
  <c r="CZ1063" i="64"/>
  <c r="DP1063" i="64" s="1"/>
  <c r="Q1746" i="79"/>
  <c r="Q1674" i="79"/>
  <c r="Q1926" i="79"/>
  <c r="CZ1112" i="64"/>
  <c r="DP1112" i="64" s="1"/>
  <c r="CZ1075" i="64"/>
  <c r="DP1075" i="64" s="1"/>
  <c r="CZ1115" i="64"/>
  <c r="DP1115" i="64" s="1"/>
  <c r="CZ1117" i="64"/>
  <c r="DP1117" i="64" s="1"/>
  <c r="CL1142" i="64"/>
  <c r="DB1142" i="64" s="1"/>
  <c r="CL1163" i="64"/>
  <c r="DB1163" i="64" s="1"/>
  <c r="CL1171" i="64"/>
  <c r="DB1171" i="64" s="1"/>
  <c r="CZ1087" i="64"/>
  <c r="CZ1096" i="64"/>
  <c r="CL1165" i="64"/>
  <c r="DB1165" i="64" s="1"/>
  <c r="CZ1080" i="64"/>
  <c r="DP1080" i="64" s="1"/>
  <c r="AL1567" i="79"/>
  <c r="AL1566" i="79"/>
  <c r="N1502" i="79"/>
  <c r="N1501" i="79"/>
  <c r="I1440" i="79"/>
  <c r="J1440" i="79" s="1"/>
  <c r="J1452" i="79" s="1"/>
  <c r="O132" i="8" s="1"/>
  <c r="P132" i="8" s="1"/>
  <c r="R1440" i="79"/>
  <c r="S1440" i="79" s="1"/>
  <c r="S1452" i="79" s="1"/>
  <c r="O101" i="8" s="1"/>
  <c r="P101" i="8" s="1"/>
  <c r="O1606" i="79"/>
  <c r="O1605" i="79"/>
  <c r="AK1544" i="79"/>
  <c r="AK1547" i="79"/>
  <c r="H44" i="80"/>
  <c r="H40" i="10"/>
  <c r="Q139" i="77"/>
  <c r="P46" i="73"/>
  <c r="O10" i="74" s="1"/>
  <c r="O11" i="74" s="1"/>
  <c r="O616" i="73"/>
  <c r="O615" i="73"/>
  <c r="O50" i="73"/>
  <c r="K75" i="83"/>
  <c r="K239" i="85"/>
  <c r="L337" i="77" s="1"/>
  <c r="H75" i="83"/>
  <c r="M14" i="74"/>
  <c r="M12" i="74" s="1"/>
  <c r="M678" i="74" s="1"/>
  <c r="O472" i="73"/>
  <c r="H19" i="80"/>
  <c r="Q42" i="73"/>
  <c r="J10" i="10"/>
  <c r="J17" i="10" s="1"/>
  <c r="K181" i="8"/>
  <c r="K187" i="8" s="1"/>
  <c r="L678" i="74"/>
  <c r="L25" i="85"/>
  <c r="P656" i="77"/>
  <c r="J248" i="85"/>
  <c r="Q326" i="73"/>
  <c r="R326" i="73" s="1"/>
  <c r="D633" i="73" s="1"/>
  <c r="Q604" i="73"/>
  <c r="Q590" i="73"/>
  <c r="Q596" i="73" s="1"/>
  <c r="R681" i="77" s="1"/>
  <c r="Q656" i="77"/>
  <c r="R482" i="73"/>
  <c r="W482" i="73"/>
  <c r="X482" i="73" s="1"/>
  <c r="T188" i="85"/>
  <c r="S188" i="85"/>
  <c r="P606" i="73"/>
  <c r="P607" i="73"/>
  <c r="Q401" i="77" s="1"/>
  <c r="P189" i="85"/>
  <c r="Q189" i="85" s="1"/>
  <c r="O607" i="73"/>
  <c r="P401" i="77" s="1"/>
  <c r="O606" i="73"/>
  <c r="L693" i="79" l="1"/>
  <c r="N2364" i="79"/>
  <c r="N2382" i="79" s="1"/>
  <c r="O2341" i="79"/>
  <c r="O2359" i="79" s="1"/>
  <c r="O2360" i="79" s="1"/>
  <c r="R42" i="79"/>
  <c r="R1460" i="79" s="1"/>
  <c r="R1640" i="79" s="1"/>
  <c r="I693" i="79"/>
  <c r="I2269" i="79" s="1"/>
  <c r="S695" i="79"/>
  <c r="O716" i="79"/>
  <c r="O2364" i="79"/>
  <c r="O2382" i="79" s="1"/>
  <c r="I694" i="79"/>
  <c r="P1463" i="79"/>
  <c r="P1462" i="79"/>
  <c r="S720" i="79"/>
  <c r="S2384" i="79" s="1"/>
  <c r="S722" i="79"/>
  <c r="S721" i="79"/>
  <c r="AO42" i="79"/>
  <c r="AO1460" i="79" s="1"/>
  <c r="O2249" i="79"/>
  <c r="O2267" i="79" s="1"/>
  <c r="O2268" i="79" s="1"/>
  <c r="L694" i="79"/>
  <c r="N722" i="79"/>
  <c r="P722" i="79"/>
  <c r="P2384" i="79" s="1"/>
  <c r="N721" i="79"/>
  <c r="Q387" i="77"/>
  <c r="Q646" i="64"/>
  <c r="Q660" i="64" s="1"/>
  <c r="R128" i="64" s="1"/>
  <c r="P694" i="79"/>
  <c r="S693" i="79"/>
  <c r="I722" i="79"/>
  <c r="N717" i="79"/>
  <c r="N2361" i="79" s="1"/>
  <c r="M722" i="79"/>
  <c r="M2384" i="79" s="1"/>
  <c r="O1389" i="79"/>
  <c r="M721" i="79"/>
  <c r="Q670" i="79"/>
  <c r="Q669" i="79"/>
  <c r="Q668" i="79"/>
  <c r="M1634" i="79"/>
  <c r="M607" i="79"/>
  <c r="O605" i="79"/>
  <c r="O1391" i="79" s="1"/>
  <c r="M621" i="79"/>
  <c r="M1388" i="79"/>
  <c r="Q720" i="79"/>
  <c r="P2292" i="79"/>
  <c r="P2293" i="79" s="1"/>
  <c r="P2294" i="79" s="1"/>
  <c r="P2285" i="79"/>
  <c r="P2289" i="79" s="1"/>
  <c r="P2290" i="79" s="1"/>
  <c r="P2291" i="79" s="1"/>
  <c r="M1632" i="79"/>
  <c r="M597" i="79"/>
  <c r="M1387" i="79"/>
  <c r="P695" i="79"/>
  <c r="I721" i="79"/>
  <c r="I2384" i="79" s="1"/>
  <c r="Q721" i="79"/>
  <c r="Q2384" i="79" s="1"/>
  <c r="S717" i="79"/>
  <c r="S715" i="79"/>
  <c r="S716" i="79"/>
  <c r="K2384" i="79"/>
  <c r="O2361" i="79"/>
  <c r="O2362" i="79" s="1"/>
  <c r="O2363" i="79" s="1"/>
  <c r="N2341" i="79"/>
  <c r="N2359" i="79" s="1"/>
  <c r="N2360" i="79" s="1"/>
  <c r="O2226" i="79"/>
  <c r="O2244" i="79" s="1"/>
  <c r="O2245" i="79" s="1"/>
  <c r="I2341" i="79"/>
  <c r="I2359" i="79" s="1"/>
  <c r="I2360" i="79" s="1"/>
  <c r="K2361" i="79"/>
  <c r="O711" i="79"/>
  <c r="O712" i="79"/>
  <c r="O710" i="79"/>
  <c r="J722" i="79"/>
  <c r="J720" i="79"/>
  <c r="J721" i="79"/>
  <c r="S683" i="79"/>
  <c r="S685" i="79"/>
  <c r="S684" i="79"/>
  <c r="Q2308" i="79"/>
  <c r="Q2312" i="79" s="1"/>
  <c r="Q2313" i="79" s="1"/>
  <c r="Q2314" i="79" s="1"/>
  <c r="Q707" i="79"/>
  <c r="Q706" i="79"/>
  <c r="Q705" i="79"/>
  <c r="P675" i="79"/>
  <c r="P674" i="79"/>
  <c r="P673" i="79"/>
  <c r="J717" i="79"/>
  <c r="J715" i="79"/>
  <c r="J716" i="79"/>
  <c r="Q2249" i="79"/>
  <c r="Q2267" i="79" s="1"/>
  <c r="Q2268" i="79" s="1"/>
  <c r="J2249" i="79"/>
  <c r="J2267" i="79" s="1"/>
  <c r="J2268" i="79" s="1"/>
  <c r="R2364" i="79"/>
  <c r="R2382" i="79" s="1"/>
  <c r="R2383" i="79" s="1"/>
  <c r="I670" i="79"/>
  <c r="I669" i="79"/>
  <c r="I668" i="79"/>
  <c r="K2364" i="79"/>
  <c r="K2382" i="79" s="1"/>
  <c r="K2383" i="79" s="1"/>
  <c r="O683" i="79"/>
  <c r="O684" i="79"/>
  <c r="O685" i="79"/>
  <c r="M2308" i="79"/>
  <c r="M2312" i="79" s="1"/>
  <c r="M2313" i="79" s="1"/>
  <c r="M2314" i="79" s="1"/>
  <c r="M706" i="79"/>
  <c r="M707" i="79"/>
  <c r="M705" i="79"/>
  <c r="L2364" i="79"/>
  <c r="L2382" i="79" s="1"/>
  <c r="M690" i="79"/>
  <c r="M688" i="79"/>
  <c r="M689" i="79"/>
  <c r="Q683" i="79"/>
  <c r="Q685" i="79"/>
  <c r="Q684" i="79"/>
  <c r="L668" i="79"/>
  <c r="L669" i="79"/>
  <c r="L670" i="79"/>
  <c r="P2361" i="79"/>
  <c r="R721" i="79"/>
  <c r="R722" i="79"/>
  <c r="R720" i="79"/>
  <c r="O2383" i="79"/>
  <c r="P712" i="79"/>
  <c r="P711" i="79"/>
  <c r="P710" i="79"/>
  <c r="R717" i="79"/>
  <c r="R716" i="79"/>
  <c r="R715" i="79"/>
  <c r="P680" i="79"/>
  <c r="P678" i="79"/>
  <c r="P679" i="79"/>
  <c r="I673" i="79"/>
  <c r="I675" i="79"/>
  <c r="I674" i="79"/>
  <c r="I2226" i="79"/>
  <c r="I2244" i="79" s="1"/>
  <c r="I2245" i="79" s="1"/>
  <c r="R711" i="79"/>
  <c r="R710" i="79"/>
  <c r="R712" i="79"/>
  <c r="R674" i="79"/>
  <c r="R675" i="79"/>
  <c r="R673" i="79"/>
  <c r="J2341" i="79"/>
  <c r="J2359" i="79" s="1"/>
  <c r="J2360" i="79" s="1"/>
  <c r="R2249" i="79"/>
  <c r="R2267" i="79" s="1"/>
  <c r="R2268" i="79" s="1"/>
  <c r="J678" i="79"/>
  <c r="J680" i="79"/>
  <c r="J679" i="79"/>
  <c r="K675" i="79"/>
  <c r="K674" i="79"/>
  <c r="K673" i="79"/>
  <c r="S2249" i="79"/>
  <c r="S2267" i="79" s="1"/>
  <c r="S2268" i="79" s="1"/>
  <c r="J695" i="79"/>
  <c r="J694" i="79"/>
  <c r="J693" i="79"/>
  <c r="L679" i="79"/>
  <c r="L680" i="79"/>
  <c r="L678" i="79"/>
  <c r="M2226" i="79"/>
  <c r="M2244" i="79" s="1"/>
  <c r="M2245" i="79" s="1"/>
  <c r="N712" i="79"/>
  <c r="N710" i="79"/>
  <c r="N711" i="79"/>
  <c r="N679" i="79"/>
  <c r="N680" i="79"/>
  <c r="N678" i="79"/>
  <c r="O674" i="79"/>
  <c r="O675" i="79"/>
  <c r="O673" i="79"/>
  <c r="O688" i="79"/>
  <c r="O690" i="79"/>
  <c r="O689" i="79"/>
  <c r="N670" i="79"/>
  <c r="N668" i="79"/>
  <c r="N669" i="79"/>
  <c r="J707" i="79"/>
  <c r="J705" i="79"/>
  <c r="J706" i="79"/>
  <c r="J2308" i="79"/>
  <c r="J2312" i="79" s="1"/>
  <c r="J2313" i="79" s="1"/>
  <c r="J2314" i="79" s="1"/>
  <c r="I2157" i="79"/>
  <c r="I2175" i="79" s="1"/>
  <c r="I2176" i="79" s="1"/>
  <c r="I689" i="79"/>
  <c r="I690" i="79"/>
  <c r="I688" i="79"/>
  <c r="J2226" i="79"/>
  <c r="J2244" i="79" s="1"/>
  <c r="J2245" i="79" s="1"/>
  <c r="L717" i="79"/>
  <c r="L715" i="79"/>
  <c r="L716" i="79"/>
  <c r="S2364" i="79"/>
  <c r="L712" i="79"/>
  <c r="L710" i="79"/>
  <c r="L711" i="79"/>
  <c r="R694" i="79"/>
  <c r="R695" i="79"/>
  <c r="R693" i="79"/>
  <c r="J670" i="79"/>
  <c r="J668" i="79"/>
  <c r="J669" i="79"/>
  <c r="J685" i="79"/>
  <c r="J683" i="79"/>
  <c r="J684" i="79"/>
  <c r="O2157" i="79"/>
  <c r="O2175" i="79" s="1"/>
  <c r="O2176" i="79" s="1"/>
  <c r="I716" i="79"/>
  <c r="I715" i="79"/>
  <c r="I717" i="79"/>
  <c r="N2269" i="79"/>
  <c r="N2270" i="79" s="1"/>
  <c r="N2271" i="79" s="1"/>
  <c r="P690" i="79"/>
  <c r="P688" i="79"/>
  <c r="P689" i="79"/>
  <c r="L683" i="79"/>
  <c r="L684" i="79"/>
  <c r="L685" i="79"/>
  <c r="I2249" i="79"/>
  <c r="I2267" i="79" s="1"/>
  <c r="I2268" i="79" s="1"/>
  <c r="I678" i="79"/>
  <c r="I679" i="79"/>
  <c r="I680" i="79"/>
  <c r="J689" i="79"/>
  <c r="J690" i="79"/>
  <c r="J688" i="79"/>
  <c r="R679" i="79"/>
  <c r="R680" i="79"/>
  <c r="R678" i="79"/>
  <c r="S673" i="79"/>
  <c r="S675" i="79"/>
  <c r="S674" i="79"/>
  <c r="S669" i="79"/>
  <c r="S670" i="79"/>
  <c r="S668" i="79"/>
  <c r="S2341" i="79"/>
  <c r="S2359" i="79" s="1"/>
  <c r="S2360" i="79" s="1"/>
  <c r="K2180" i="79"/>
  <c r="K2198" i="79" s="1"/>
  <c r="K2199" i="79" s="1"/>
  <c r="O722" i="79"/>
  <c r="O721" i="79"/>
  <c r="O720" i="79"/>
  <c r="N2308" i="79"/>
  <c r="N2312" i="79" s="1"/>
  <c r="N2313" i="79" s="1"/>
  <c r="N2314" i="79" s="1"/>
  <c r="N706" i="79"/>
  <c r="N707" i="79"/>
  <c r="N705" i="79"/>
  <c r="M679" i="79"/>
  <c r="M680" i="79"/>
  <c r="M678" i="79"/>
  <c r="N673" i="79"/>
  <c r="N675" i="79"/>
  <c r="N674" i="79"/>
  <c r="N689" i="79"/>
  <c r="N688" i="79"/>
  <c r="N690" i="79"/>
  <c r="J2203" i="79"/>
  <c r="J2221" i="79" s="1"/>
  <c r="J2222" i="79" s="1"/>
  <c r="P2308" i="79"/>
  <c r="P2312" i="79" s="1"/>
  <c r="P2313" i="79" s="1"/>
  <c r="P2314" i="79" s="1"/>
  <c r="P706" i="79"/>
  <c r="P705" i="79"/>
  <c r="P707" i="79"/>
  <c r="Q715" i="79"/>
  <c r="Q717" i="79"/>
  <c r="Q716" i="79"/>
  <c r="O679" i="79"/>
  <c r="O680" i="79"/>
  <c r="O678" i="79"/>
  <c r="P2364" i="79"/>
  <c r="P2382" i="79" s="1"/>
  <c r="P2383" i="79" s="1"/>
  <c r="I711" i="79"/>
  <c r="I712" i="79"/>
  <c r="I710" i="79"/>
  <c r="Q675" i="79"/>
  <c r="Q673" i="79"/>
  <c r="Q674" i="79"/>
  <c r="Q688" i="79"/>
  <c r="Q689" i="79"/>
  <c r="Q690" i="79"/>
  <c r="M684" i="79"/>
  <c r="M683" i="79"/>
  <c r="M685" i="79"/>
  <c r="Q678" i="79"/>
  <c r="Q679" i="79"/>
  <c r="Q680" i="79"/>
  <c r="J2364" i="79"/>
  <c r="J2382" i="79" s="1"/>
  <c r="J2383" i="79" s="1"/>
  <c r="N685" i="79"/>
  <c r="N684" i="79"/>
  <c r="N683" i="79"/>
  <c r="Q2269" i="79"/>
  <c r="K2249" i="79"/>
  <c r="K2267" i="79" s="1"/>
  <c r="K2268" i="79" s="1"/>
  <c r="S2226" i="79"/>
  <c r="S2244" i="79" s="1"/>
  <c r="S2245" i="79" s="1"/>
  <c r="K680" i="79"/>
  <c r="K678" i="79"/>
  <c r="K679" i="79"/>
  <c r="L2157" i="79"/>
  <c r="L2175" i="79" s="1"/>
  <c r="L2176" i="79" s="1"/>
  <c r="L688" i="79"/>
  <c r="L689" i="79"/>
  <c r="L690" i="79"/>
  <c r="K669" i="79"/>
  <c r="K668" i="79"/>
  <c r="K670" i="79"/>
  <c r="N2383" i="79"/>
  <c r="M668" i="79"/>
  <c r="M670" i="79"/>
  <c r="M669" i="79"/>
  <c r="I2308" i="79"/>
  <c r="I2312" i="79" s="1"/>
  <c r="I2313" i="79" s="1"/>
  <c r="I2314" i="79" s="1"/>
  <c r="I707" i="79"/>
  <c r="I705" i="79"/>
  <c r="I706" i="79"/>
  <c r="P2226" i="79"/>
  <c r="P2244" i="79" s="1"/>
  <c r="P2245" i="79" s="1"/>
  <c r="R2308" i="79"/>
  <c r="R2312" i="79" s="1"/>
  <c r="R2313" i="79" s="1"/>
  <c r="R2314" i="79" s="1"/>
  <c r="R706" i="79"/>
  <c r="R707" i="79"/>
  <c r="R705" i="79"/>
  <c r="Q2364" i="79"/>
  <c r="Q2382" i="79" s="1"/>
  <c r="Q2383" i="79" s="1"/>
  <c r="R2226" i="79"/>
  <c r="R2244" i="79" s="1"/>
  <c r="R2245" i="79" s="1"/>
  <c r="K690" i="79"/>
  <c r="K688" i="79"/>
  <c r="K689" i="79"/>
  <c r="S689" i="79"/>
  <c r="S688" i="79"/>
  <c r="S690" i="79"/>
  <c r="L674" i="79"/>
  <c r="L675" i="79"/>
  <c r="L673" i="79"/>
  <c r="L2341" i="79"/>
  <c r="L2359" i="79" s="1"/>
  <c r="L2360" i="79" s="1"/>
  <c r="P684" i="79"/>
  <c r="P685" i="79"/>
  <c r="P683" i="79"/>
  <c r="M2341" i="79"/>
  <c r="M2359" i="79" s="1"/>
  <c r="M2360" i="79" s="1"/>
  <c r="I684" i="79"/>
  <c r="I683" i="79"/>
  <c r="I685" i="79"/>
  <c r="R683" i="79"/>
  <c r="R685" i="79"/>
  <c r="R684" i="79"/>
  <c r="K683" i="79"/>
  <c r="K685" i="79"/>
  <c r="K684" i="79"/>
  <c r="P2341" i="79"/>
  <c r="P2359" i="79" s="1"/>
  <c r="P2360" i="79" s="1"/>
  <c r="Q711" i="79"/>
  <c r="Q710" i="79"/>
  <c r="Q712" i="79"/>
  <c r="O693" i="79"/>
  <c r="O695" i="79"/>
  <c r="O694" i="79"/>
  <c r="O670" i="79"/>
  <c r="O669" i="79"/>
  <c r="O668" i="79"/>
  <c r="Q2226" i="79"/>
  <c r="Q2244" i="79" s="1"/>
  <c r="Q2245" i="79" s="1"/>
  <c r="J711" i="79"/>
  <c r="J710" i="79"/>
  <c r="J712" i="79"/>
  <c r="J673" i="79"/>
  <c r="J674" i="79"/>
  <c r="J675" i="79"/>
  <c r="R2341" i="79"/>
  <c r="R2359" i="79" s="1"/>
  <c r="R2360" i="79" s="1"/>
  <c r="K710" i="79"/>
  <c r="K711" i="79"/>
  <c r="K712" i="79"/>
  <c r="L2308" i="79"/>
  <c r="L2312" i="79" s="1"/>
  <c r="L2313" i="79" s="1"/>
  <c r="L2314" i="79" s="1"/>
  <c r="L706" i="79"/>
  <c r="L705" i="79"/>
  <c r="L707" i="79"/>
  <c r="N2384" i="79"/>
  <c r="K2226" i="79"/>
  <c r="K2244" i="79" s="1"/>
  <c r="K2245" i="79" s="1"/>
  <c r="M716" i="79"/>
  <c r="M715" i="79"/>
  <c r="M717" i="79"/>
  <c r="S678" i="79"/>
  <c r="S679" i="79"/>
  <c r="S680" i="79"/>
  <c r="L2249" i="79"/>
  <c r="L2267" i="79" s="1"/>
  <c r="L2268" i="79" s="1"/>
  <c r="K2269" i="79"/>
  <c r="M673" i="79"/>
  <c r="M674" i="79"/>
  <c r="M675" i="79"/>
  <c r="M2249" i="79"/>
  <c r="M2267" i="79" s="1"/>
  <c r="M2268" i="79" s="1"/>
  <c r="O2308" i="79"/>
  <c r="O2312" i="79" s="1"/>
  <c r="O2313" i="79" s="1"/>
  <c r="O2314" i="79" s="1"/>
  <c r="O707" i="79"/>
  <c r="O706" i="79"/>
  <c r="O705" i="79"/>
  <c r="M2269" i="79"/>
  <c r="P2249" i="79"/>
  <c r="P2267" i="79" s="1"/>
  <c r="P2268" i="79" s="1"/>
  <c r="L722" i="79"/>
  <c r="L720" i="79"/>
  <c r="L721" i="79"/>
  <c r="I2364" i="79"/>
  <c r="Q2341" i="79"/>
  <c r="Q2359" i="79" s="1"/>
  <c r="Q2360" i="79" s="1"/>
  <c r="S2308" i="79"/>
  <c r="S2312" i="79" s="1"/>
  <c r="S2313" i="79" s="1"/>
  <c r="S2314" i="79" s="1"/>
  <c r="S706" i="79"/>
  <c r="S707" i="79"/>
  <c r="S705" i="79"/>
  <c r="R669" i="79"/>
  <c r="R668" i="79"/>
  <c r="R670" i="79"/>
  <c r="R688" i="79"/>
  <c r="R689" i="79"/>
  <c r="R690" i="79"/>
  <c r="S711" i="79"/>
  <c r="S710" i="79"/>
  <c r="S712" i="79"/>
  <c r="K2341" i="79"/>
  <c r="K2359" i="79" s="1"/>
  <c r="K2360" i="79" s="1"/>
  <c r="L2226" i="79"/>
  <c r="L2244" i="79" s="1"/>
  <c r="L2245" i="79" s="1"/>
  <c r="M710" i="79"/>
  <c r="M711" i="79"/>
  <c r="M712" i="79"/>
  <c r="M2364" i="79"/>
  <c r="M2382" i="79" s="1"/>
  <c r="M2383" i="79" s="1"/>
  <c r="L2269" i="79"/>
  <c r="R1461" i="79"/>
  <c r="R1463" i="79" s="1"/>
  <c r="S122" i="64"/>
  <c r="F158" i="64"/>
  <c r="S1631" i="79"/>
  <c r="S128" i="64"/>
  <c r="U128" i="64" s="1"/>
  <c r="U586" i="79"/>
  <c r="C3272" i="79" s="1"/>
  <c r="T2361" i="79"/>
  <c r="T2338" i="79"/>
  <c r="T2339" i="79" s="1"/>
  <c r="T2340" i="79" s="1"/>
  <c r="N9" i="74"/>
  <c r="O14" i="74" s="1"/>
  <c r="O12" i="74" s="1"/>
  <c r="M10" i="10" s="1"/>
  <c r="M17" i="10" s="1"/>
  <c r="M33" i="9"/>
  <c r="Q472" i="73"/>
  <c r="R472" i="73"/>
  <c r="S2289" i="79"/>
  <c r="S2290" i="79" s="1"/>
  <c r="S2291" i="79" s="1"/>
  <c r="Q220" i="85"/>
  <c r="T2384" i="79"/>
  <c r="F467" i="73"/>
  <c r="G273" i="77"/>
  <c r="I177" i="73"/>
  <c r="I458" i="73" s="1"/>
  <c r="J176" i="73"/>
  <c r="K158" i="73" s="1"/>
  <c r="C384" i="40"/>
  <c r="AC384" i="40" s="1"/>
  <c r="C450" i="40" s="1"/>
  <c r="P450" i="40" s="1"/>
  <c r="AC450" i="40" s="1"/>
  <c r="T2333" i="79"/>
  <c r="U132" i="64"/>
  <c r="T2334" i="79"/>
  <c r="Q388" i="77"/>
  <c r="BD879" i="64"/>
  <c r="AM1475" i="79"/>
  <c r="F156" i="64"/>
  <c r="AQ879" i="64"/>
  <c r="AQ882" i="64" s="1"/>
  <c r="R386" i="77"/>
  <c r="S386" i="77" s="1"/>
  <c r="R123" i="64"/>
  <c r="S123" i="64" s="1"/>
  <c r="H247" i="85"/>
  <c r="I247" i="85" s="1"/>
  <c r="J247" i="85" s="1"/>
  <c r="Q218" i="85"/>
  <c r="S621" i="79"/>
  <c r="AQ1472" i="79"/>
  <c r="AQ1675" i="79" s="1"/>
  <c r="S1387" i="79"/>
  <c r="C651" i="79"/>
  <c r="C705" i="79"/>
  <c r="AQ1459" i="79"/>
  <c r="AQ1639" i="79" s="1"/>
  <c r="T2285" i="79"/>
  <c r="T1229" i="79"/>
  <c r="T1297" i="79" s="1"/>
  <c r="K2285" i="79"/>
  <c r="K1229" i="79"/>
  <c r="K1297" i="79" s="1"/>
  <c r="S597" i="79"/>
  <c r="S1632" i="79"/>
  <c r="S1634" i="79"/>
  <c r="S607" i="79"/>
  <c r="U607" i="79" s="1"/>
  <c r="C3293" i="79" s="1"/>
  <c r="S1388" i="79"/>
  <c r="K2315" i="79"/>
  <c r="K2316" i="79" s="1"/>
  <c r="K2317" i="79" s="1"/>
  <c r="AO83" i="79"/>
  <c r="AO1473" i="79" s="1"/>
  <c r="AO1676" i="79" s="1"/>
  <c r="AN1476" i="79"/>
  <c r="AN1475" i="79"/>
  <c r="I1393" i="79"/>
  <c r="I578" i="79"/>
  <c r="U578" i="79" s="1"/>
  <c r="C3264" i="79" s="1"/>
  <c r="I1389" i="79"/>
  <c r="I562" i="79"/>
  <c r="R554" i="79"/>
  <c r="U554" i="79" s="1"/>
  <c r="C3240" i="79" s="1"/>
  <c r="R1631" i="79"/>
  <c r="R1387" i="79"/>
  <c r="P2153" i="79"/>
  <c r="P2145" i="79"/>
  <c r="P2150" i="79" s="1"/>
  <c r="P2151" i="79" s="1"/>
  <c r="P1228" i="79"/>
  <c r="P1296" i="79" s="1"/>
  <c r="R1633" i="79"/>
  <c r="R1388" i="79"/>
  <c r="J700" i="79"/>
  <c r="J702" i="79"/>
  <c r="U702" i="79" s="1"/>
  <c r="J701" i="79"/>
  <c r="G205" i="73"/>
  <c r="G459" i="73" s="1"/>
  <c r="G463" i="73" s="1"/>
  <c r="G465" i="73" s="1"/>
  <c r="G467" i="73" s="1"/>
  <c r="G254" i="77"/>
  <c r="G255" i="77" s="1"/>
  <c r="M466" i="73"/>
  <c r="N253" i="77" s="1"/>
  <c r="N277" i="77" s="1"/>
  <c r="F157" i="64"/>
  <c r="L181" i="8"/>
  <c r="L187" i="8" s="1"/>
  <c r="K10" i="10"/>
  <c r="K17" i="10" s="1"/>
  <c r="I91" i="61"/>
  <c r="I90" i="61" s="1"/>
  <c r="H204" i="73"/>
  <c r="I186" i="73" s="1"/>
  <c r="C649" i="79"/>
  <c r="C700" i="79"/>
  <c r="C637" i="79"/>
  <c r="C668" i="79"/>
  <c r="T2145" i="79"/>
  <c r="T1228" i="79"/>
  <c r="T1296" i="79" s="1"/>
  <c r="T2286" i="79"/>
  <c r="T1230" i="79"/>
  <c r="T1298" i="79" s="1"/>
  <c r="K2286" i="79"/>
  <c r="K1230" i="79"/>
  <c r="K1298" i="79" s="1"/>
  <c r="T2142" i="79"/>
  <c r="T1225" i="79"/>
  <c r="T1293" i="79" s="1"/>
  <c r="T2140" i="79"/>
  <c r="T1223" i="79"/>
  <c r="T1291" i="79" s="1"/>
  <c r="J589" i="79"/>
  <c r="F139" i="64"/>
  <c r="F142" i="64"/>
  <c r="K2292" i="79"/>
  <c r="DP1243" i="64"/>
  <c r="F155" i="64" s="1"/>
  <c r="AA403" i="40"/>
  <c r="T1459" i="79"/>
  <c r="T1639" i="79" s="1"/>
  <c r="CP1301" i="64"/>
  <c r="F138" i="64" s="1"/>
  <c r="AQ1485" i="79"/>
  <c r="AQ1711" i="79" s="1"/>
  <c r="AQ1498" i="79"/>
  <c r="AQ1747" i="79" s="1"/>
  <c r="AQ1602" i="79"/>
  <c r="AQ2034" i="79" s="1"/>
  <c r="AQ2067" i="79" s="1"/>
  <c r="AQ2068" i="79" s="1"/>
  <c r="AQ1589" i="79"/>
  <c r="AQ1563" i="79"/>
  <c r="AQ1927" i="79" s="1"/>
  <c r="AQ1576" i="79"/>
  <c r="AQ1963" i="79" s="1"/>
  <c r="AQ1550" i="79"/>
  <c r="AQ1891" i="79" s="1"/>
  <c r="AQ1537" i="79"/>
  <c r="AQ1855" i="79" s="1"/>
  <c r="AQ1888" i="79" s="1"/>
  <c r="AQ1889" i="79" s="1"/>
  <c r="AQ1524" i="79"/>
  <c r="AQ1819" i="79" s="1"/>
  <c r="AQ1511" i="79"/>
  <c r="AQ1783" i="79" s="1"/>
  <c r="T1563" i="79"/>
  <c r="T1927" i="79" s="1"/>
  <c r="T1537" i="79"/>
  <c r="T1855" i="79" s="1"/>
  <c r="T1888" i="79" s="1"/>
  <c r="T1889" i="79" s="1"/>
  <c r="T1550" i="79"/>
  <c r="T1891" i="79" s="1"/>
  <c r="T1576" i="79"/>
  <c r="T1963" i="79" s="1"/>
  <c r="T1524" i="79"/>
  <c r="T1819" i="79" s="1"/>
  <c r="T1498" i="79"/>
  <c r="T1747" i="79" s="1"/>
  <c r="T1472" i="79"/>
  <c r="T1675" i="79" s="1"/>
  <c r="T1602" i="79"/>
  <c r="T2034" i="79" s="1"/>
  <c r="T1511" i="79"/>
  <c r="T1783" i="79" s="1"/>
  <c r="T1485" i="79"/>
  <c r="T1711" i="79" s="1"/>
  <c r="T1589" i="79"/>
  <c r="T1998" i="79" s="1"/>
  <c r="AP1675" i="79"/>
  <c r="AP1998" i="79"/>
  <c r="AP1593" i="79"/>
  <c r="AO1599" i="79"/>
  <c r="AO1596" i="79"/>
  <c r="AA430" i="40"/>
  <c r="AA396" i="40"/>
  <c r="AA437" i="40"/>
  <c r="AA404" i="40"/>
  <c r="AA438" i="40"/>
  <c r="AA400" i="40"/>
  <c r="AA439" i="40"/>
  <c r="AA387" i="40"/>
  <c r="AA410" i="40"/>
  <c r="AA405" i="40"/>
  <c r="AA391" i="40"/>
  <c r="AA397" i="40"/>
  <c r="AA401" i="40"/>
  <c r="AA406" i="40"/>
  <c r="AA411" i="40"/>
  <c r="AA436" i="40"/>
  <c r="AA432" i="40"/>
  <c r="AA441" i="40"/>
  <c r="AA407" i="40"/>
  <c r="AA392" i="40"/>
  <c r="AA398" i="40"/>
  <c r="AA431" i="40"/>
  <c r="AA408" i="40"/>
  <c r="AA417" i="40"/>
  <c r="AA440" i="40"/>
  <c r="AA434" i="40"/>
  <c r="AA418" i="40"/>
  <c r="AA435" i="40"/>
  <c r="AA394" i="40"/>
  <c r="AA399" i="40"/>
  <c r="AA402" i="40"/>
  <c r="AA409" i="40"/>
  <c r="DA1102" i="64"/>
  <c r="DQ1102" i="64" s="1"/>
  <c r="AN1462" i="79"/>
  <c r="DA1064" i="64"/>
  <c r="DQ1064" i="64" s="1"/>
  <c r="DA1091" i="64"/>
  <c r="T2383" i="79"/>
  <c r="CM1132" i="64"/>
  <c r="CO1132" i="64" s="1"/>
  <c r="E140" i="64" s="1"/>
  <c r="G140" i="64" s="1"/>
  <c r="DA1104" i="64"/>
  <c r="DC1104" i="64" s="1"/>
  <c r="Q219" i="85"/>
  <c r="AW1126" i="64"/>
  <c r="BX1053" i="64"/>
  <c r="T615" i="79"/>
  <c r="BA1200" i="64"/>
  <c r="N1274" i="64"/>
  <c r="AM429" i="40"/>
  <c r="AH429" i="40"/>
  <c r="AN385" i="40"/>
  <c r="AI385" i="40"/>
  <c r="AI426" i="40"/>
  <c r="AN426" i="40"/>
  <c r="AI384" i="40"/>
  <c r="AN384" i="40"/>
  <c r="AF429" i="40"/>
  <c r="AK429" i="40"/>
  <c r="AN388" i="40"/>
  <c r="AI388" i="40"/>
  <c r="AH427" i="40"/>
  <c r="AM427" i="40"/>
  <c r="AL385" i="40"/>
  <c r="AG385" i="40"/>
  <c r="AL418" i="40"/>
  <c r="AG418" i="40"/>
  <c r="AK397" i="40"/>
  <c r="AF397" i="40"/>
  <c r="AK439" i="40"/>
  <c r="AF439" i="40"/>
  <c r="AK392" i="40"/>
  <c r="AF392" i="40"/>
  <c r="AL433" i="40"/>
  <c r="AG433" i="40"/>
  <c r="AL401" i="40"/>
  <c r="AG401" i="40"/>
  <c r="AK441" i="40"/>
  <c r="AF441" i="40"/>
  <c r="AK437" i="40"/>
  <c r="AF437" i="40"/>
  <c r="AK431" i="40"/>
  <c r="AF431" i="40"/>
  <c r="AL399" i="40"/>
  <c r="AG399" i="40"/>
  <c r="AL402" i="40"/>
  <c r="AG402" i="40"/>
  <c r="AL430" i="40"/>
  <c r="AG430" i="40"/>
  <c r="AK400" i="40"/>
  <c r="AF400" i="40"/>
  <c r="AK411" i="40"/>
  <c r="AF411" i="40"/>
  <c r="AL435" i="40"/>
  <c r="AG435" i="40"/>
  <c r="AL431" i="40"/>
  <c r="AG431" i="40"/>
  <c r="AJ401" i="40"/>
  <c r="AE401" i="40"/>
  <c r="AD441" i="40"/>
  <c r="AD431" i="40"/>
  <c r="AD417" i="40"/>
  <c r="AC403" i="40"/>
  <c r="C469" i="40" s="1"/>
  <c r="AC394" i="40"/>
  <c r="C460" i="40" s="1"/>
  <c r="AJ433" i="40"/>
  <c r="AE433" i="40"/>
  <c r="AJ430" i="40"/>
  <c r="AE430" i="40"/>
  <c r="AJ405" i="40"/>
  <c r="AE405" i="40"/>
  <c r="AJ396" i="40"/>
  <c r="AE396" i="40"/>
  <c r="AD436" i="40"/>
  <c r="AJ435" i="40"/>
  <c r="AE435" i="40"/>
  <c r="AC407" i="40"/>
  <c r="C473" i="40" s="1"/>
  <c r="AC398" i="40"/>
  <c r="C464" i="40" s="1"/>
  <c r="AJ441" i="40"/>
  <c r="AE441" i="40"/>
  <c r="AC441" i="40"/>
  <c r="C507" i="40" s="1"/>
  <c r="AC399" i="40"/>
  <c r="C465" i="40" s="1"/>
  <c r="AD432" i="40"/>
  <c r="AJ404" i="40"/>
  <c r="AE404" i="40"/>
  <c r="AC435" i="40"/>
  <c r="C501" i="40" s="1"/>
  <c r="AJ399" i="40"/>
  <c r="AE399" i="40"/>
  <c r="AD430" i="40"/>
  <c r="AD401" i="40"/>
  <c r="AD434" i="40"/>
  <c r="AK401" i="40"/>
  <c r="AF401" i="40"/>
  <c r="AD387" i="40"/>
  <c r="AJ407" i="40"/>
  <c r="AE407" i="40"/>
  <c r="AD439" i="40"/>
  <c r="AD409" i="40"/>
  <c r="AC439" i="40"/>
  <c r="C505" i="40" s="1"/>
  <c r="AJ403" i="40"/>
  <c r="AE403" i="40"/>
  <c r="AD435" i="40"/>
  <c r="AD405" i="40"/>
  <c r="AD438" i="40"/>
  <c r="T2177" i="79"/>
  <c r="T2178" i="79" s="1"/>
  <c r="T2179" i="79" s="1"/>
  <c r="BJ1274" i="64"/>
  <c r="CW1200" i="64"/>
  <c r="BW1274" i="64" s="1"/>
  <c r="T1391" i="79"/>
  <c r="T1390" i="79"/>
  <c r="T2292" i="79"/>
  <c r="T2293" i="79" s="1"/>
  <c r="T2294" i="79" s="1"/>
  <c r="U700" i="79"/>
  <c r="CJ1053" i="64"/>
  <c r="BV1126" i="64" s="1"/>
  <c r="BI1126" i="64"/>
  <c r="CM1154" i="64"/>
  <c r="DC1154" i="64" s="1"/>
  <c r="CM1185" i="64"/>
  <c r="CO1185" i="64" s="1"/>
  <c r="AL427" i="40"/>
  <c r="AG427" i="40"/>
  <c r="AK385" i="40"/>
  <c r="AF385" i="40"/>
  <c r="AK388" i="40"/>
  <c r="AF388" i="40"/>
  <c r="AL428" i="40"/>
  <c r="AG428" i="40"/>
  <c r="AL429" i="40"/>
  <c r="AG429" i="40"/>
  <c r="AI429" i="40"/>
  <c r="AN429" i="40"/>
  <c r="AG388" i="40"/>
  <c r="AL388" i="40"/>
  <c r="AK427" i="40"/>
  <c r="AF427" i="40"/>
  <c r="AH385" i="40"/>
  <c r="AM385" i="40"/>
  <c r="AL391" i="40"/>
  <c r="AG391" i="40"/>
  <c r="AL403" i="40"/>
  <c r="AG403" i="40"/>
  <c r="AK403" i="40"/>
  <c r="AF403" i="40"/>
  <c r="AK409" i="40"/>
  <c r="AF409" i="40"/>
  <c r="AL392" i="40"/>
  <c r="AG392" i="40"/>
  <c r="AK405" i="40"/>
  <c r="AF405" i="40"/>
  <c r="AL404" i="40"/>
  <c r="AG404" i="40"/>
  <c r="AK436" i="40"/>
  <c r="AF436" i="40"/>
  <c r="AK438" i="40"/>
  <c r="AF438" i="40"/>
  <c r="AK432" i="40"/>
  <c r="AF432" i="40"/>
  <c r="AL397" i="40"/>
  <c r="AG397" i="40"/>
  <c r="AL408" i="40"/>
  <c r="AG408" i="40"/>
  <c r="AK433" i="40"/>
  <c r="AF433" i="40"/>
  <c r="AK440" i="40"/>
  <c r="AF440" i="40"/>
  <c r="AL439" i="40"/>
  <c r="AG439" i="40"/>
  <c r="AL434" i="40"/>
  <c r="AG434" i="40"/>
  <c r="AD408" i="40"/>
  <c r="AJ400" i="40"/>
  <c r="AE400" i="40"/>
  <c r="AC411" i="40"/>
  <c r="C477" i="40" s="1"/>
  <c r="AC402" i="40"/>
  <c r="C468" i="40" s="1"/>
  <c r="AD403" i="40"/>
  <c r="AC401" i="40"/>
  <c r="C467" i="40" s="1"/>
  <c r="AJ417" i="40"/>
  <c r="AE417" i="40"/>
  <c r="AC406" i="40"/>
  <c r="C472" i="40" s="1"/>
  <c r="AD406" i="40"/>
  <c r="AD404" i="40"/>
  <c r="AD437" i="40"/>
  <c r="AC410" i="40"/>
  <c r="C476" i="40" s="1"/>
  <c r="AD440" i="40"/>
  <c r="AC405" i="40"/>
  <c r="C471" i="40" s="1"/>
  <c r="AJ436" i="40"/>
  <c r="AE436" i="40"/>
  <c r="AJ406" i="40"/>
  <c r="AE406" i="40"/>
  <c r="AJ439" i="40"/>
  <c r="AE439" i="40"/>
  <c r="AK406" i="40"/>
  <c r="AF406" i="40"/>
  <c r="AJ387" i="40"/>
  <c r="AE387" i="40"/>
  <c r="AC392" i="40"/>
  <c r="C458" i="40" s="1"/>
  <c r="AJ418" i="40"/>
  <c r="AE418" i="40"/>
  <c r="AE388" i="40"/>
  <c r="E454" i="40" s="1"/>
  <c r="AJ388" i="40"/>
  <c r="AC409" i="40"/>
  <c r="C475" i="40" s="1"/>
  <c r="AJ440" i="40"/>
  <c r="AE440" i="40"/>
  <c r="AJ410" i="40"/>
  <c r="AE410" i="40"/>
  <c r="BL1053" i="64"/>
  <c r="AK1126" i="64"/>
  <c r="AH384" i="40"/>
  <c r="AM384" i="40"/>
  <c r="Z1274" i="64"/>
  <c r="BM1200" i="64"/>
  <c r="C3304" i="79"/>
  <c r="U621" i="79"/>
  <c r="C3307" i="79" s="1"/>
  <c r="T2223" i="79"/>
  <c r="T2224" i="79" s="1"/>
  <c r="T2225" i="79" s="1"/>
  <c r="T2269" i="79"/>
  <c r="T2270" i="79" s="1"/>
  <c r="T2271" i="79" s="1"/>
  <c r="U693" i="79"/>
  <c r="AH383" i="40"/>
  <c r="AM383" i="40"/>
  <c r="AG384" i="40"/>
  <c r="AL384" i="40"/>
  <c r="AK383" i="40"/>
  <c r="AF383" i="40"/>
  <c r="AK384" i="40"/>
  <c r="AF384" i="40"/>
  <c r="AK428" i="40"/>
  <c r="AF428" i="40"/>
  <c r="AG426" i="40"/>
  <c r="AL426" i="40"/>
  <c r="AL441" i="40"/>
  <c r="AG441" i="40"/>
  <c r="AL438" i="40"/>
  <c r="AG438" i="40"/>
  <c r="AL394" i="40"/>
  <c r="AG394" i="40"/>
  <c r="AK435" i="40"/>
  <c r="AF435" i="40"/>
  <c r="AL436" i="40"/>
  <c r="AG436" i="40"/>
  <c r="AL409" i="40"/>
  <c r="AG409" i="40"/>
  <c r="AK396" i="40"/>
  <c r="AF396" i="40"/>
  <c r="AL407" i="40"/>
  <c r="AG407" i="40"/>
  <c r="AK387" i="40"/>
  <c r="AF387" i="40"/>
  <c r="AK394" i="40"/>
  <c r="AF394" i="40"/>
  <c r="AL410" i="40"/>
  <c r="AG410" i="40"/>
  <c r="AK407" i="40"/>
  <c r="AF407" i="40"/>
  <c r="AK434" i="40"/>
  <c r="AF434" i="40"/>
  <c r="AK417" i="40"/>
  <c r="AF417" i="40"/>
  <c r="AL396" i="40"/>
  <c r="AG396" i="40"/>
  <c r="AL398" i="40"/>
  <c r="AG398" i="40"/>
  <c r="AJ384" i="40"/>
  <c r="AE384" i="40"/>
  <c r="AD407" i="40"/>
  <c r="AJ411" i="40"/>
  <c r="AE411" i="40"/>
  <c r="AC387" i="40"/>
  <c r="AE429" i="40"/>
  <c r="E495" i="40" s="1"/>
  <c r="AJ429" i="40"/>
  <c r="AJ408" i="40"/>
  <c r="AE408" i="40"/>
  <c r="AC431" i="40"/>
  <c r="C497" i="40" s="1"/>
  <c r="AD411" i="40"/>
  <c r="AJ431" i="40"/>
  <c r="AE431" i="40"/>
  <c r="AC391" i="40"/>
  <c r="C457" i="40" s="1"/>
  <c r="AD433" i="40"/>
  <c r="AC438" i="40"/>
  <c r="C504" i="40" s="1"/>
  <c r="P504" i="40" s="1"/>
  <c r="AC504" i="40" s="1"/>
  <c r="AE385" i="40"/>
  <c r="E451" i="40" s="1"/>
  <c r="AJ385" i="40"/>
  <c r="AJ409" i="40"/>
  <c r="AE409" i="40"/>
  <c r="AJ392" i="40"/>
  <c r="AE392" i="40"/>
  <c r="AC418" i="40"/>
  <c r="C484" i="40" s="1"/>
  <c r="AD391" i="40"/>
  <c r="AD410" i="40"/>
  <c r="AE383" i="40"/>
  <c r="E449" i="40" s="1"/>
  <c r="AJ383" i="40"/>
  <c r="AL417" i="40"/>
  <c r="AG417" i="40"/>
  <c r="AJ432" i="40"/>
  <c r="AE432" i="40"/>
  <c r="AC397" i="40"/>
  <c r="C463" i="40" s="1"/>
  <c r="AJ398" i="40"/>
  <c r="AE398" i="40"/>
  <c r="AC432" i="40"/>
  <c r="C498" i="40" s="1"/>
  <c r="AJ391" i="40"/>
  <c r="AE391" i="40"/>
  <c r="AC417" i="40"/>
  <c r="C483" i="40" s="1"/>
  <c r="AJ394" i="40"/>
  <c r="AE394" i="40"/>
  <c r="AX1274" i="64"/>
  <c r="CK1200" i="64"/>
  <c r="T2385" i="79"/>
  <c r="C3312" i="79"/>
  <c r="U629" i="79"/>
  <c r="C3315" i="79" s="1"/>
  <c r="T2246" i="79"/>
  <c r="T2247" i="79" s="1"/>
  <c r="T2248" i="79" s="1"/>
  <c r="U688" i="79"/>
  <c r="O16" i="80"/>
  <c r="T2200" i="79"/>
  <c r="T2201" i="79" s="1"/>
  <c r="T2202" i="79" s="1"/>
  <c r="AZ1053" i="64"/>
  <c r="Y1126" i="64"/>
  <c r="P102" i="8"/>
  <c r="AN1053" i="64"/>
  <c r="M1126" i="64"/>
  <c r="AH426" i="40"/>
  <c r="AM426" i="40"/>
  <c r="AH388" i="40"/>
  <c r="AM388" i="40"/>
  <c r="AL383" i="40"/>
  <c r="AG383" i="40"/>
  <c r="AI383" i="40"/>
  <c r="AN383" i="40"/>
  <c r="AK426" i="40"/>
  <c r="AF426" i="40"/>
  <c r="AN428" i="40"/>
  <c r="AI428" i="40"/>
  <c r="AI427" i="40"/>
  <c r="AN427" i="40"/>
  <c r="AM428" i="40"/>
  <c r="AH428" i="40"/>
  <c r="AL440" i="40"/>
  <c r="AG440" i="40"/>
  <c r="AL432" i="40"/>
  <c r="AG432" i="40"/>
  <c r="AK391" i="40"/>
  <c r="AF391" i="40"/>
  <c r="AK399" i="40"/>
  <c r="AF399" i="40"/>
  <c r="AL406" i="40"/>
  <c r="AG406" i="40"/>
  <c r="AL405" i="40"/>
  <c r="AG405" i="40"/>
  <c r="AK408" i="40"/>
  <c r="AF408" i="40"/>
  <c r="AK404" i="40"/>
  <c r="AF404" i="40"/>
  <c r="AK410" i="40"/>
  <c r="AF410" i="40"/>
  <c r="AL387" i="40"/>
  <c r="AG387" i="40"/>
  <c r="AL437" i="40"/>
  <c r="AG437" i="40"/>
  <c r="AK430" i="40"/>
  <c r="AF430" i="40"/>
  <c r="AK418" i="40"/>
  <c r="AF418" i="40"/>
  <c r="AK398" i="40"/>
  <c r="AF398" i="40"/>
  <c r="AL400" i="40"/>
  <c r="AG400" i="40"/>
  <c r="AL411" i="40"/>
  <c r="AG411" i="40"/>
  <c r="AJ434" i="40"/>
  <c r="AE434" i="40"/>
  <c r="AD396" i="40"/>
  <c r="AC436" i="40"/>
  <c r="C502" i="40" s="1"/>
  <c r="AD397" i="40"/>
  <c r="AJ397" i="40"/>
  <c r="AE397" i="40"/>
  <c r="AJ438" i="40"/>
  <c r="AE438" i="40"/>
  <c r="AJ402" i="40"/>
  <c r="AE402" i="40"/>
  <c r="AD400" i="40"/>
  <c r="AC440" i="40"/>
  <c r="C506" i="40" s="1"/>
  <c r="P506" i="40" s="1"/>
  <c r="AC506" i="40" s="1"/>
  <c r="AJ428" i="40"/>
  <c r="AE428" i="40"/>
  <c r="E494" i="40" s="1"/>
  <c r="AC408" i="40"/>
  <c r="C474" i="40" s="1"/>
  <c r="AD392" i="40"/>
  <c r="AD399" i="40"/>
  <c r="AC430" i="40"/>
  <c r="C496" i="40" s="1"/>
  <c r="AD394" i="40"/>
  <c r="AD418" i="40"/>
  <c r="AC396" i="40"/>
  <c r="C462" i="40" s="1"/>
  <c r="AE426" i="40"/>
  <c r="E492" i="40" s="1"/>
  <c r="AJ426" i="40"/>
  <c r="AK402" i="40"/>
  <c r="AF402" i="40"/>
  <c r="AJ437" i="40"/>
  <c r="AE437" i="40"/>
  <c r="AD402" i="40"/>
  <c r="AC434" i="40"/>
  <c r="C500" i="40" s="1"/>
  <c r="AC404" i="40"/>
  <c r="C470" i="40" s="1"/>
  <c r="AC437" i="40"/>
  <c r="C503" i="40" s="1"/>
  <c r="AD398" i="40"/>
  <c r="AE427" i="40"/>
  <c r="E493" i="40" s="1"/>
  <c r="AJ427" i="40"/>
  <c r="AC400" i="40"/>
  <c r="C466" i="40" s="1"/>
  <c r="AC433" i="40"/>
  <c r="C499" i="40" s="1"/>
  <c r="T589" i="79"/>
  <c r="O15" i="80"/>
  <c r="T2315" i="79"/>
  <c r="T2316" i="79" s="1"/>
  <c r="T2317" i="79" s="1"/>
  <c r="U705" i="79"/>
  <c r="BY1200" i="64"/>
  <c r="AL1274" i="64"/>
  <c r="T2362" i="79"/>
  <c r="T2363" i="79" s="1"/>
  <c r="T831" i="79"/>
  <c r="T2153" i="79"/>
  <c r="T2154" i="79" s="1"/>
  <c r="T2155" i="79" s="1"/>
  <c r="T1399" i="79"/>
  <c r="O104" i="8" s="1"/>
  <c r="N97" i="83" s="1"/>
  <c r="U668" i="79"/>
  <c r="AU759" i="64"/>
  <c r="AH759" i="64"/>
  <c r="AG688" i="64"/>
  <c r="AT688" i="64"/>
  <c r="Z831" i="64"/>
  <c r="Z689" i="64"/>
  <c r="Z760" i="64"/>
  <c r="AA689" i="64"/>
  <c r="AA760" i="64"/>
  <c r="AA831" i="64"/>
  <c r="U831" i="64"/>
  <c r="U760" i="64"/>
  <c r="U689" i="64"/>
  <c r="AY830" i="64"/>
  <c r="AL830" i="64"/>
  <c r="AX759" i="64"/>
  <c r="AK759" i="64"/>
  <c r="AF759" i="64"/>
  <c r="AS759" i="64"/>
  <c r="AN688" i="64"/>
  <c r="BA688" i="64"/>
  <c r="AM830" i="64"/>
  <c r="AZ830" i="64"/>
  <c r="AW688" i="64"/>
  <c r="AJ688" i="64"/>
  <c r="BC688" i="64"/>
  <c r="AP688" i="64"/>
  <c r="BD759" i="64"/>
  <c r="AQ759" i="64"/>
  <c r="AT759" i="64"/>
  <c r="AG759" i="64"/>
  <c r="V689" i="64"/>
  <c r="V760" i="64"/>
  <c r="V831" i="64"/>
  <c r="AB689" i="64"/>
  <c r="AB831" i="64"/>
  <c r="AB760" i="64"/>
  <c r="W831" i="64"/>
  <c r="W760" i="64"/>
  <c r="W689" i="64"/>
  <c r="AY759" i="64"/>
  <c r="AL759" i="64"/>
  <c r="AK688" i="64"/>
  <c r="AX688" i="64"/>
  <c r="BS38" i="65"/>
  <c r="BX37" i="65"/>
  <c r="CB37" i="65"/>
  <c r="BZ37" i="65"/>
  <c r="CD37" i="65"/>
  <c r="CA37" i="65"/>
  <c r="BW37" i="65"/>
  <c r="CE37" i="65"/>
  <c r="BU37" i="65"/>
  <c r="BY37" i="65"/>
  <c r="CC37" i="65"/>
  <c r="CF37" i="65"/>
  <c r="BV37" i="65"/>
  <c r="AN830" i="64"/>
  <c r="BA830" i="64"/>
  <c r="BB759" i="64"/>
  <c r="AO759" i="64"/>
  <c r="AV830" i="64"/>
  <c r="AI830" i="64"/>
  <c r="BC759" i="64"/>
  <c r="AP759" i="64"/>
  <c r="AH830" i="64"/>
  <c r="AU830" i="64"/>
  <c r="BD830" i="64"/>
  <c r="AQ830" i="64"/>
  <c r="AG830" i="64"/>
  <c r="AT830" i="64"/>
  <c r="CG38" i="65"/>
  <c r="CN37" i="65"/>
  <c r="CK37" i="65"/>
  <c r="CT37" i="65"/>
  <c r="CQ37" i="65"/>
  <c r="CS37" i="65"/>
  <c r="CJ37" i="65"/>
  <c r="CO37" i="65"/>
  <c r="CL37" i="65"/>
  <c r="CP37" i="65"/>
  <c r="CI37" i="65"/>
  <c r="CM37" i="65"/>
  <c r="CR37" i="65"/>
  <c r="AC689" i="64"/>
  <c r="AC760" i="64"/>
  <c r="AC831" i="64"/>
  <c r="AD760" i="64"/>
  <c r="AD831" i="64"/>
  <c r="AD689" i="64"/>
  <c r="S689" i="64"/>
  <c r="S760" i="64"/>
  <c r="S831" i="64"/>
  <c r="AY688" i="64"/>
  <c r="AL688" i="64"/>
  <c r="AS830" i="64"/>
  <c r="AF830" i="64"/>
  <c r="AM759" i="64"/>
  <c r="AZ759" i="64"/>
  <c r="AO830" i="64"/>
  <c r="BB830" i="64"/>
  <c r="AW759" i="64"/>
  <c r="AJ759" i="64"/>
  <c r="AV688" i="64"/>
  <c r="AI688" i="64"/>
  <c r="BC830" i="64"/>
  <c r="AP830" i="64"/>
  <c r="AU688" i="64"/>
  <c r="AH688" i="64"/>
  <c r="BD688" i="64"/>
  <c r="AQ688" i="64"/>
  <c r="T760" i="64"/>
  <c r="T831" i="64"/>
  <c r="T689" i="64"/>
  <c r="Y689" i="64"/>
  <c r="Y760" i="64"/>
  <c r="Y831" i="64"/>
  <c r="X831" i="64"/>
  <c r="X689" i="64"/>
  <c r="X760" i="64"/>
  <c r="BE29" i="65"/>
  <c r="BG28" i="65"/>
  <c r="BJ28" i="65"/>
  <c r="BP28" i="65"/>
  <c r="BI28" i="65"/>
  <c r="BQ28" i="65"/>
  <c r="BN28" i="65"/>
  <c r="BR28" i="65"/>
  <c r="BH28" i="65"/>
  <c r="BO28" i="65"/>
  <c r="BK28" i="65"/>
  <c r="BM28" i="65"/>
  <c r="BL28" i="65"/>
  <c r="AX830" i="64"/>
  <c r="AK830" i="64"/>
  <c r="AS688" i="64"/>
  <c r="AF688" i="64"/>
  <c r="AN759" i="64"/>
  <c r="BA759" i="64"/>
  <c r="AZ688" i="64"/>
  <c r="AM688" i="64"/>
  <c r="BB688" i="64"/>
  <c r="AO688" i="64"/>
  <c r="AJ830" i="64"/>
  <c r="AW830" i="64"/>
  <c r="AV759" i="64"/>
  <c r="AI759" i="64"/>
  <c r="DA1073" i="64"/>
  <c r="DQ1073" i="64" s="1"/>
  <c r="CM1157" i="64"/>
  <c r="DC1157" i="64" s="1"/>
  <c r="CM1191" i="64"/>
  <c r="DC1191" i="64" s="1"/>
  <c r="CM1146" i="64"/>
  <c r="DC1146" i="64" s="1"/>
  <c r="CM1163" i="64"/>
  <c r="DC1163" i="64" s="1"/>
  <c r="L320" i="77"/>
  <c r="A191" i="71"/>
  <c r="A83" i="71"/>
  <c r="S480" i="73"/>
  <c r="T480" i="73"/>
  <c r="CM1151" i="64"/>
  <c r="DC1151" i="64" s="1"/>
  <c r="T481" i="73"/>
  <c r="S481" i="73"/>
  <c r="CM1173" i="64"/>
  <c r="DC1173" i="64" s="1"/>
  <c r="CM1183" i="64"/>
  <c r="DA1054" i="64"/>
  <c r="O232" i="73"/>
  <c r="L229" i="85"/>
  <c r="N35" i="85"/>
  <c r="M52" i="85"/>
  <c r="L203" i="85"/>
  <c r="L205" i="85" s="1"/>
  <c r="M54" i="85"/>
  <c r="N78" i="85"/>
  <c r="N81" i="85" s="1"/>
  <c r="M212" i="85"/>
  <c r="M210" i="85"/>
  <c r="N175" i="73"/>
  <c r="R175" i="73" s="1"/>
  <c r="N173" i="73"/>
  <c r="N201" i="73"/>
  <c r="N203" i="73"/>
  <c r="M461" i="73"/>
  <c r="P212" i="73"/>
  <c r="O229" i="73"/>
  <c r="N333" i="73"/>
  <c r="M349" i="73"/>
  <c r="N254" i="73"/>
  <c r="N257" i="73" s="1"/>
  <c r="N345" i="73"/>
  <c r="DA1055" i="64"/>
  <c r="DC1055" i="64" s="1"/>
  <c r="CM1138" i="64"/>
  <c r="DC1138" i="64" s="1"/>
  <c r="CM1135" i="64"/>
  <c r="CO1135" i="64" s="1"/>
  <c r="CM1160" i="64"/>
  <c r="CO1160" i="64" s="1"/>
  <c r="CM1166" i="64"/>
  <c r="DC1166" i="64" s="1"/>
  <c r="DA1076" i="64"/>
  <c r="DQ1076" i="64" s="1"/>
  <c r="CM1140" i="64"/>
  <c r="CM1150" i="64"/>
  <c r="DC1150" i="64" s="1"/>
  <c r="DA1105" i="64"/>
  <c r="DQ1105" i="64" s="1"/>
  <c r="DA1082" i="64"/>
  <c r="DC1082" i="64" s="1"/>
  <c r="CM1171" i="64"/>
  <c r="DC1171" i="64" s="1"/>
  <c r="CM1161" i="64"/>
  <c r="DC1161" i="64" s="1"/>
  <c r="CM1169" i="64"/>
  <c r="CM1194" i="64"/>
  <c r="DC1194" i="64" s="1"/>
  <c r="AN1577" i="79"/>
  <c r="AN1552" i="79"/>
  <c r="AN1892" i="79"/>
  <c r="AN1924" i="79" s="1"/>
  <c r="AN1925" i="79" s="1"/>
  <c r="AN1604" i="79"/>
  <c r="AN2035" i="79"/>
  <c r="N1572" i="79"/>
  <c r="N1569" i="79"/>
  <c r="AP1536" i="79"/>
  <c r="AP1484" i="79"/>
  <c r="AP1510" i="79"/>
  <c r="AP1575" i="79"/>
  <c r="AP1601" i="79"/>
  <c r="AP1497" i="79"/>
  <c r="AP1549" i="79"/>
  <c r="AP1588" i="79"/>
  <c r="AP1562" i="79"/>
  <c r="AP1523" i="79"/>
  <c r="DP1057" i="64"/>
  <c r="Q1499" i="79"/>
  <c r="Q1603" i="79"/>
  <c r="Q1538" i="79"/>
  <c r="AO1926" i="79"/>
  <c r="AO1854" i="79"/>
  <c r="AO1818" i="79"/>
  <c r="P1476" i="79"/>
  <c r="P1475" i="79"/>
  <c r="AM1820" i="79"/>
  <c r="AM1852" i="79" s="1"/>
  <c r="AM1853" i="79" s="1"/>
  <c r="AM1526" i="79"/>
  <c r="AL1560" i="79"/>
  <c r="AL1557" i="79"/>
  <c r="DB1164" i="64"/>
  <c r="AL1502" i="79"/>
  <c r="AL1501" i="79"/>
  <c r="DB1184" i="64"/>
  <c r="N1546" i="79"/>
  <c r="N1543" i="79"/>
  <c r="O1518" i="79"/>
  <c r="R1782" i="79"/>
  <c r="R1962" i="79"/>
  <c r="R1710" i="79"/>
  <c r="P2068" i="79"/>
  <c r="N1517" i="79"/>
  <c r="AM1502" i="79"/>
  <c r="AM1501" i="79"/>
  <c r="AP1471" i="79"/>
  <c r="DP1109" i="64"/>
  <c r="CM1155" i="64"/>
  <c r="DA1098" i="64"/>
  <c r="DA1080" i="64"/>
  <c r="CM1133" i="64"/>
  <c r="DA1096" i="64"/>
  <c r="DA1097" i="64"/>
  <c r="DA1084" i="64"/>
  <c r="DA1075" i="64"/>
  <c r="DA1081" i="64"/>
  <c r="DA1058" i="64"/>
  <c r="DA1078" i="64"/>
  <c r="DA1071" i="64"/>
  <c r="DQ1071" i="64" s="1"/>
  <c r="CM1149" i="64"/>
  <c r="CM1142" i="64"/>
  <c r="DA1112" i="64"/>
  <c r="CM1186" i="64"/>
  <c r="CM1174" i="64"/>
  <c r="CM1167" i="64"/>
  <c r="DA1113" i="64"/>
  <c r="DA1101" i="64"/>
  <c r="CM1178" i="64"/>
  <c r="CM1190" i="64"/>
  <c r="DA1099" i="64"/>
  <c r="DA1095" i="64"/>
  <c r="DA1089" i="64"/>
  <c r="DB1134" i="64"/>
  <c r="AK1608" i="79"/>
  <c r="AK1611" i="79"/>
  <c r="AL1544" i="79"/>
  <c r="AL1547" i="79"/>
  <c r="O1586" i="79"/>
  <c r="O1583" i="79"/>
  <c r="P1502" i="79"/>
  <c r="P1501" i="79"/>
  <c r="AM1567" i="79"/>
  <c r="AM1566" i="79"/>
  <c r="AM1539" i="79"/>
  <c r="AM1856" i="79"/>
  <c r="AL1533" i="79"/>
  <c r="AL1530" i="79"/>
  <c r="O1611" i="79"/>
  <c r="O1608" i="79"/>
  <c r="AP1458" i="79"/>
  <c r="DP1096" i="64"/>
  <c r="AP42" i="79" s="1"/>
  <c r="AP1460" i="79" s="1"/>
  <c r="AL1520" i="79"/>
  <c r="AL1517" i="79"/>
  <c r="Q1999" i="79"/>
  <c r="Q2031" i="79" s="1"/>
  <c r="Q2032" i="79" s="1"/>
  <c r="Q1591" i="79"/>
  <c r="N1596" i="79"/>
  <c r="N1599" i="79"/>
  <c r="AN1595" i="79"/>
  <c r="AN1598" i="79"/>
  <c r="S1601" i="79"/>
  <c r="S1562" i="79"/>
  <c r="S1484" i="79"/>
  <c r="S1588" i="79"/>
  <c r="S1471" i="79"/>
  <c r="S1575" i="79"/>
  <c r="S1536" i="79"/>
  <c r="S1510" i="79"/>
  <c r="S1497" i="79"/>
  <c r="S1523" i="79"/>
  <c r="S1549" i="79"/>
  <c r="DB1130" i="64"/>
  <c r="R1746" i="79"/>
  <c r="R1818" i="79"/>
  <c r="R1997" i="79"/>
  <c r="P1606" i="79"/>
  <c r="P1605" i="79"/>
  <c r="N1518" i="79"/>
  <c r="N1612" i="79"/>
  <c r="N1609" i="79"/>
  <c r="S1458" i="79"/>
  <c r="S1638" i="79" s="1"/>
  <c r="DB1153" i="64"/>
  <c r="S42" i="79" s="1"/>
  <c r="DA1065" i="64"/>
  <c r="DA1090" i="64"/>
  <c r="DA1107" i="64"/>
  <c r="CM1159" i="64"/>
  <c r="CM1136" i="64"/>
  <c r="CM1144" i="64"/>
  <c r="DA1100" i="64"/>
  <c r="CM1177" i="64"/>
  <c r="CM1131" i="64"/>
  <c r="DA1117" i="64"/>
  <c r="DA1114" i="64"/>
  <c r="DA1094" i="64"/>
  <c r="CM1189" i="64"/>
  <c r="DA1116" i="64"/>
  <c r="CM1152" i="64"/>
  <c r="CM1127" i="64"/>
  <c r="DC1127" i="64" s="1"/>
  <c r="CM1164" i="64"/>
  <c r="DC1164" i="64" s="1"/>
  <c r="CM1187" i="64"/>
  <c r="DC1187" i="64" s="1"/>
  <c r="DA1111" i="64"/>
  <c r="CM1181" i="64"/>
  <c r="O1543" i="79"/>
  <c r="O1546" i="79"/>
  <c r="P1489" i="79"/>
  <c r="P1488" i="79"/>
  <c r="AM1580" i="79"/>
  <c r="AM1579" i="79"/>
  <c r="AL1534" i="79"/>
  <c r="AL1531" i="79"/>
  <c r="P1528" i="79"/>
  <c r="P1527" i="79"/>
  <c r="AM2035" i="79"/>
  <c r="AM1604" i="79"/>
  <c r="Q1964" i="79"/>
  <c r="Q1995" i="79" s="1"/>
  <c r="Q1996" i="79" s="1"/>
  <c r="Q1578" i="79"/>
  <c r="AM1463" i="79"/>
  <c r="AM1462" i="79"/>
  <c r="AO1782" i="79"/>
  <c r="AO1997" i="79"/>
  <c r="AO2031" i="79" s="1"/>
  <c r="AO2032" i="79" s="1"/>
  <c r="AO1592" i="79"/>
  <c r="AL1489" i="79"/>
  <c r="AL1488" i="79"/>
  <c r="O1609" i="79"/>
  <c r="O1612" i="79"/>
  <c r="AL1573" i="79"/>
  <c r="AL1570" i="79"/>
  <c r="DP1087" i="64"/>
  <c r="O1530" i="79"/>
  <c r="O1533" i="79"/>
  <c r="P1567" i="79"/>
  <c r="P1566" i="79"/>
  <c r="AN1784" i="79"/>
  <c r="AN1816" i="79" s="1"/>
  <c r="AN1817" i="79" s="1"/>
  <c r="AN1513" i="79"/>
  <c r="AN1499" i="79"/>
  <c r="AL1521" i="79"/>
  <c r="AL1518" i="79"/>
  <c r="O1569" i="79"/>
  <c r="O1572" i="79"/>
  <c r="Q1526" i="79"/>
  <c r="Q1820" i="79"/>
  <c r="Q1852" i="79" s="1"/>
  <c r="Q1853" i="79" s="1"/>
  <c r="Q1928" i="79"/>
  <c r="Q1960" i="79" s="1"/>
  <c r="Q1961" i="79" s="1"/>
  <c r="Q1565" i="79"/>
  <c r="Q1892" i="79"/>
  <c r="Q1924" i="79" s="1"/>
  <c r="Q1925" i="79" s="1"/>
  <c r="Q1552" i="79"/>
  <c r="O1557" i="79"/>
  <c r="O1560" i="79"/>
  <c r="AK1520" i="79"/>
  <c r="AK1517" i="79"/>
  <c r="AO1962" i="79"/>
  <c r="AO1746" i="79"/>
  <c r="AO1640" i="79"/>
  <c r="AO1461" i="79"/>
  <c r="AO1463" i="79" s="1"/>
  <c r="N1531" i="79"/>
  <c r="N1534" i="79"/>
  <c r="G585" i="77"/>
  <c r="P1593" i="79"/>
  <c r="P1592" i="79"/>
  <c r="N1598" i="79"/>
  <c r="N1595" i="79"/>
  <c r="AM1513" i="79"/>
  <c r="AM1784" i="79"/>
  <c r="AM1816" i="79" s="1"/>
  <c r="AM1817" i="79" s="1"/>
  <c r="AK1573" i="79"/>
  <c r="AK1570" i="79"/>
  <c r="O1595" i="79"/>
  <c r="O1598" i="79"/>
  <c r="N1556" i="79"/>
  <c r="N1559" i="79"/>
  <c r="DP1079" i="64"/>
  <c r="R493" i="79"/>
  <c r="R1603" i="79" s="1"/>
  <c r="R370" i="79"/>
  <c r="R83" i="79"/>
  <c r="R329" i="79"/>
  <c r="R452" i="79"/>
  <c r="R1590" i="79" s="1"/>
  <c r="R247" i="79"/>
  <c r="R124" i="79"/>
  <c r="R1486" i="79" s="1"/>
  <c r="R165" i="79"/>
  <c r="R1499" i="79" s="1"/>
  <c r="R288" i="79"/>
  <c r="R1538" i="79" s="1"/>
  <c r="R411" i="79"/>
  <c r="R1577" i="79" s="1"/>
  <c r="R206" i="79"/>
  <c r="R1926" i="79"/>
  <c r="R1854" i="79"/>
  <c r="BD882" i="64"/>
  <c r="P1515" i="79"/>
  <c r="P1514" i="79"/>
  <c r="AM1554" i="79"/>
  <c r="AM1553" i="79"/>
  <c r="N1608" i="79"/>
  <c r="N1611" i="79"/>
  <c r="AL1608" i="79"/>
  <c r="AL1611" i="79"/>
  <c r="DA1072" i="64"/>
  <c r="CM1176" i="64"/>
  <c r="DA1088" i="64"/>
  <c r="CM1165" i="64"/>
  <c r="DA1092" i="64"/>
  <c r="DA1106" i="64"/>
  <c r="CM1180" i="64"/>
  <c r="DA1087" i="64"/>
  <c r="DQ1087" i="64" s="1"/>
  <c r="CM1134" i="64"/>
  <c r="DC1134" i="64" s="1"/>
  <c r="CM1158" i="64"/>
  <c r="DA1066" i="64"/>
  <c r="DQ1066" i="64" s="1"/>
  <c r="CM1143" i="64"/>
  <c r="DA1108" i="64"/>
  <c r="DA1109" i="64"/>
  <c r="DA1074" i="64"/>
  <c r="CM1172" i="64"/>
  <c r="CM1129" i="64"/>
  <c r="DA1057" i="64"/>
  <c r="DQ1091" i="64"/>
  <c r="DC1091" i="64"/>
  <c r="CM1170" i="64"/>
  <c r="DA1118" i="64"/>
  <c r="CM1184" i="64"/>
  <c r="DC1184" i="64" s="1"/>
  <c r="CM1168" i="64"/>
  <c r="DA1079" i="64"/>
  <c r="DQ1079" i="64" s="1"/>
  <c r="CM1192" i="64"/>
  <c r="CM1175" i="64"/>
  <c r="DA1070" i="64"/>
  <c r="DA1083" i="64"/>
  <c r="CM1147" i="64"/>
  <c r="CM1148" i="64"/>
  <c r="DC1148" i="64" s="1"/>
  <c r="CM1130" i="64"/>
  <c r="DA1120" i="64"/>
  <c r="R387" i="77"/>
  <c r="AK1530" i="79"/>
  <c r="AK1533" i="79"/>
  <c r="O1544" i="79"/>
  <c r="O1547" i="79"/>
  <c r="AK600" i="77"/>
  <c r="K593" i="77"/>
  <c r="I585" i="77" s="1"/>
  <c r="P1580" i="79"/>
  <c r="P1579" i="79"/>
  <c r="N1583" i="79"/>
  <c r="N1586" i="79"/>
  <c r="AL1569" i="79"/>
  <c r="AL1572" i="79"/>
  <c r="DP1102" i="64"/>
  <c r="P1552" i="79"/>
  <c r="P1892" i="79"/>
  <c r="P1924" i="79" s="1"/>
  <c r="P1925" i="79" s="1"/>
  <c r="AN1565" i="79"/>
  <c r="AN1928" i="79"/>
  <c r="AN1960" i="79" s="1"/>
  <c r="AN1961" i="79" s="1"/>
  <c r="AN1526" i="79"/>
  <c r="AN1820" i="79"/>
  <c r="AN1852" i="79" s="1"/>
  <c r="AN1853" i="79" s="1"/>
  <c r="DB1127" i="64"/>
  <c r="Q1487" i="79"/>
  <c r="Q1712" i="79"/>
  <c r="O1559" i="79"/>
  <c r="O1556" i="79"/>
  <c r="AK1521" i="79"/>
  <c r="AK1518" i="79"/>
  <c r="AO2033" i="79"/>
  <c r="N1557" i="79"/>
  <c r="N1560" i="79"/>
  <c r="O1534" i="79"/>
  <c r="O1531" i="79"/>
  <c r="AM1489" i="79"/>
  <c r="AM1488" i="79"/>
  <c r="AN1712" i="79"/>
  <c r="AN1487" i="79"/>
  <c r="AN1856" i="79"/>
  <c r="AN1539" i="79"/>
  <c r="N1573" i="79"/>
  <c r="N1570" i="79"/>
  <c r="O1570" i="79"/>
  <c r="O1573" i="79"/>
  <c r="Q1784" i="79"/>
  <c r="Q1513" i="79"/>
  <c r="Q1676" i="79"/>
  <c r="Q1474" i="79"/>
  <c r="AO247" i="79"/>
  <c r="AO1525" i="79" s="1"/>
  <c r="AO329" i="79"/>
  <c r="AO1551" i="79" s="1"/>
  <c r="AO288" i="79"/>
  <c r="AO1538" i="79" s="1"/>
  <c r="AO411" i="79"/>
  <c r="AO1577" i="79" s="1"/>
  <c r="AO452" i="79"/>
  <c r="AO206" i="79"/>
  <c r="AO165" i="79"/>
  <c r="AO1499" i="79" s="1"/>
  <c r="AO370" i="79"/>
  <c r="AO1564" i="79" s="1"/>
  <c r="AO124" i="79"/>
  <c r="AO493" i="79"/>
  <c r="AO1890" i="79"/>
  <c r="AO1710" i="79"/>
  <c r="AO1638" i="79"/>
  <c r="N1533" i="79"/>
  <c r="N1530" i="79"/>
  <c r="AL1556" i="79"/>
  <c r="AL1559" i="79"/>
  <c r="AK1572" i="79"/>
  <c r="AK1569" i="79"/>
  <c r="Q1461" i="79"/>
  <c r="Q1640" i="79"/>
  <c r="O1596" i="79"/>
  <c r="O1599" i="79"/>
  <c r="N1547" i="79"/>
  <c r="N1544" i="79"/>
  <c r="O1517" i="79"/>
  <c r="R1890" i="79"/>
  <c r="R1674" i="79"/>
  <c r="R2033" i="79"/>
  <c r="P1541" i="79"/>
  <c r="P1540" i="79"/>
  <c r="DB1148" i="64"/>
  <c r="AL1612" i="79"/>
  <c r="AL1609" i="79"/>
  <c r="CM1145" i="64"/>
  <c r="DA1068" i="64"/>
  <c r="CM1141" i="64"/>
  <c r="DA1103" i="64"/>
  <c r="DA1060" i="64"/>
  <c r="CM1139" i="64"/>
  <c r="CM1153" i="64"/>
  <c r="CM1179" i="64"/>
  <c r="CM1128" i="64"/>
  <c r="DA1062" i="64"/>
  <c r="DA1061" i="64"/>
  <c r="DA1086" i="64"/>
  <c r="DA1085" i="64"/>
  <c r="DA1115" i="64"/>
  <c r="DA1063" i="64"/>
  <c r="DA1059" i="64"/>
  <c r="CM1188" i="64"/>
  <c r="DA1119" i="64"/>
  <c r="CM1193" i="64"/>
  <c r="DA1093" i="64"/>
  <c r="DA1069" i="64"/>
  <c r="DA1067" i="64"/>
  <c r="CM1162" i="64"/>
  <c r="CM1156" i="64"/>
  <c r="DA1077" i="64"/>
  <c r="CM1137" i="64"/>
  <c r="CM1182" i="64"/>
  <c r="DA1056" i="64"/>
  <c r="DA1110" i="64"/>
  <c r="AK1531" i="79"/>
  <c r="AK1534" i="79"/>
  <c r="AK1612" i="79"/>
  <c r="AK1609" i="79"/>
  <c r="AL1546" i="79"/>
  <c r="AL1543" i="79"/>
  <c r="DP1071" i="64"/>
  <c r="DB1187" i="64"/>
  <c r="O1582" i="79"/>
  <c r="O1585" i="79"/>
  <c r="N1585" i="79"/>
  <c r="N1582" i="79"/>
  <c r="AL1580" i="79"/>
  <c r="AL1579" i="79"/>
  <c r="M9" i="85"/>
  <c r="L26" i="85"/>
  <c r="M319" i="77" s="1"/>
  <c r="R139" i="77"/>
  <c r="Q46" i="73"/>
  <c r="R42" i="73"/>
  <c r="W472" i="73"/>
  <c r="X472" i="73" s="1"/>
  <c r="J68" i="83"/>
  <c r="J6" i="80"/>
  <c r="N15" i="74"/>
  <c r="N12" i="74" s="1"/>
  <c r="L677" i="74"/>
  <c r="P616" i="73"/>
  <c r="P615" i="73"/>
  <c r="P50" i="73"/>
  <c r="L28" i="85"/>
  <c r="P15" i="74"/>
  <c r="L6" i="80"/>
  <c r="L19" i="80" s="1"/>
  <c r="L68" i="83"/>
  <c r="N677" i="74"/>
  <c r="H45" i="80"/>
  <c r="Q591" i="73"/>
  <c r="Q597" i="73" s="1"/>
  <c r="R656" i="77" s="1"/>
  <c r="Q603" i="73"/>
  <c r="Q607" i="73" s="1"/>
  <c r="R401" i="77" s="1"/>
  <c r="S401" i="77" s="1"/>
  <c r="W189" i="85"/>
  <c r="X189" i="85" s="1"/>
  <c r="R189" i="85"/>
  <c r="T482" i="73"/>
  <c r="S482" i="73"/>
  <c r="H633" i="73"/>
  <c r="S2269" i="79" l="1"/>
  <c r="U673" i="79"/>
  <c r="P1399" i="79"/>
  <c r="K104" i="8" s="1"/>
  <c r="J97" i="83" s="1"/>
  <c r="U683" i="79"/>
  <c r="U678" i="79"/>
  <c r="Q2270" i="79"/>
  <c r="Q2271" i="79" s="1"/>
  <c r="S2270" i="79"/>
  <c r="S2271" i="79" s="1"/>
  <c r="AP83" i="79"/>
  <c r="Q221" i="85"/>
  <c r="P831" i="79"/>
  <c r="U597" i="79"/>
  <c r="C3283" i="79" s="1"/>
  <c r="R388" i="77"/>
  <c r="P2269" i="79"/>
  <c r="P2270" i="79" s="1"/>
  <c r="P2271" i="79" s="1"/>
  <c r="P2385" i="79"/>
  <c r="P2386" i="79" s="1"/>
  <c r="O632" i="79"/>
  <c r="U605" i="79"/>
  <c r="C3291" i="79" s="1"/>
  <c r="Q2223" i="79"/>
  <c r="Q2224" i="79" s="1"/>
  <c r="Q2225" i="79" s="1"/>
  <c r="K2385" i="79"/>
  <c r="K2386" i="79" s="1"/>
  <c r="K1399" i="79"/>
  <c r="F104" i="8" s="1"/>
  <c r="E97" i="83" s="1"/>
  <c r="U670" i="79"/>
  <c r="Q2153" i="79"/>
  <c r="Q2154" i="79" s="1"/>
  <c r="Q2145" i="79"/>
  <c r="Q2150" i="79" s="1"/>
  <c r="Q2151" i="79" s="1"/>
  <c r="Q1228" i="79"/>
  <c r="Q1296" i="79" s="1"/>
  <c r="U716" i="79"/>
  <c r="K831" i="79"/>
  <c r="I2385" i="79"/>
  <c r="I2386" i="79" s="1"/>
  <c r="U721" i="79"/>
  <c r="U722" i="79"/>
  <c r="I2177" i="79"/>
  <c r="I2178" i="79" s="1"/>
  <c r="I2179" i="79" s="1"/>
  <c r="Q2246" i="79"/>
  <c r="L2270" i="79"/>
  <c r="L2271" i="79" s="1"/>
  <c r="S2361" i="79"/>
  <c r="S2362" i="79" s="1"/>
  <c r="S2363" i="79" s="1"/>
  <c r="M1391" i="79"/>
  <c r="M1390" i="79"/>
  <c r="M615" i="79"/>
  <c r="U675" i="79"/>
  <c r="U669" i="79"/>
  <c r="Q2385" i="79"/>
  <c r="Q2386" i="79" s="1"/>
  <c r="DC1132" i="64"/>
  <c r="U707" i="79"/>
  <c r="U695" i="79"/>
  <c r="R2200" i="79"/>
  <c r="R2201" i="79" s="1"/>
  <c r="R2202" i="79" s="1"/>
  <c r="U706" i="79"/>
  <c r="N2362" i="79"/>
  <c r="N2363" i="79" s="1"/>
  <c r="Q2200" i="79"/>
  <c r="Q2201" i="79" s="1"/>
  <c r="Q2202" i="79" s="1"/>
  <c r="U679" i="79"/>
  <c r="J2269" i="79"/>
  <c r="J2270" i="79" s="1"/>
  <c r="J2271" i="79" s="1"/>
  <c r="U685" i="79"/>
  <c r="U680" i="79"/>
  <c r="P2246" i="79"/>
  <c r="J2315" i="79"/>
  <c r="J2316" i="79" s="1"/>
  <c r="J2317" i="79" s="1"/>
  <c r="O2177" i="79"/>
  <c r="O2178" i="79" s="1"/>
  <c r="O2179" i="79" s="1"/>
  <c r="U694" i="79"/>
  <c r="S2223" i="79"/>
  <c r="S2224" i="79" s="1"/>
  <c r="S2225" i="79" s="1"/>
  <c r="K2223" i="79"/>
  <c r="K2224" i="79" s="1"/>
  <c r="K2225" i="79" s="1"/>
  <c r="I2223" i="79"/>
  <c r="I2224" i="79" s="1"/>
  <c r="I2225" i="79" s="1"/>
  <c r="U690" i="79"/>
  <c r="U684" i="79"/>
  <c r="Q2361" i="79"/>
  <c r="Q2362" i="79" s="1"/>
  <c r="Q2363" i="79" s="1"/>
  <c r="N2246" i="79"/>
  <c r="N2247" i="79" s="1"/>
  <c r="N2248" i="79" s="1"/>
  <c r="I2200" i="79"/>
  <c r="I2201" i="79" s="1"/>
  <c r="I2202" i="79" s="1"/>
  <c r="R2246" i="79"/>
  <c r="R2247" i="79" s="1"/>
  <c r="R2248" i="79" s="1"/>
  <c r="M2270" i="79"/>
  <c r="M2271" i="79" s="1"/>
  <c r="U674" i="79"/>
  <c r="U711" i="79"/>
  <c r="U717" i="79"/>
  <c r="U689" i="79"/>
  <c r="I2382" i="79"/>
  <c r="K2270" i="79"/>
  <c r="K2271" i="79" s="1"/>
  <c r="R2223" i="79"/>
  <c r="R2224" i="79" s="1"/>
  <c r="R2225" i="79" s="1"/>
  <c r="L2361" i="79"/>
  <c r="L2315" i="79"/>
  <c r="L2316" i="79" s="1"/>
  <c r="L2317" i="79" s="1"/>
  <c r="L1229" i="79"/>
  <c r="L1297" i="79" s="1"/>
  <c r="M2385" i="79"/>
  <c r="L2246" i="79"/>
  <c r="L2247" i="79" s="1"/>
  <c r="L2248" i="79" s="1"/>
  <c r="O2246" i="79"/>
  <c r="O2247" i="79" s="1"/>
  <c r="O2248" i="79" s="1"/>
  <c r="M2338" i="79"/>
  <c r="M2339" i="79" s="1"/>
  <c r="M2340" i="79" s="1"/>
  <c r="M2334" i="79"/>
  <c r="M2333" i="79"/>
  <c r="S2200" i="79"/>
  <c r="S2201" i="79" s="1"/>
  <c r="S2202" i="79" s="1"/>
  <c r="J2177" i="79"/>
  <c r="J2178" i="79" s="1"/>
  <c r="J2179" i="79" s="1"/>
  <c r="P2223" i="79"/>
  <c r="P2224" i="79" s="1"/>
  <c r="P2225" i="79" s="1"/>
  <c r="S2246" i="79"/>
  <c r="S2247" i="79" s="1"/>
  <c r="S2248" i="79" s="1"/>
  <c r="I2315" i="79"/>
  <c r="I2316" i="79" s="1"/>
  <c r="I2317" i="79" s="1"/>
  <c r="I1229" i="79"/>
  <c r="I1297" i="79" s="1"/>
  <c r="N2223" i="79"/>
  <c r="N2224" i="79" s="1"/>
  <c r="N2225" i="79" s="1"/>
  <c r="M2223" i="79"/>
  <c r="M2224" i="79" s="1"/>
  <c r="M2225" i="79" s="1"/>
  <c r="I2338" i="79"/>
  <c r="I2339" i="79" s="1"/>
  <c r="I2340" i="79" s="1"/>
  <c r="I2333" i="79"/>
  <c r="I2335" i="79" s="1"/>
  <c r="I2334" i="79"/>
  <c r="U710" i="79"/>
  <c r="S1228" i="79"/>
  <c r="S1296" i="79" s="1"/>
  <c r="S2153" i="79"/>
  <c r="S2154" i="79" s="1"/>
  <c r="S2155" i="79" s="1"/>
  <c r="S1399" i="79"/>
  <c r="N104" i="8" s="1"/>
  <c r="M97" i="83" s="1"/>
  <c r="S831" i="79"/>
  <c r="S2145" i="79"/>
  <c r="S2150" i="79" s="1"/>
  <c r="S2151" i="79" s="1"/>
  <c r="S2152" i="79" s="1"/>
  <c r="I2361" i="79"/>
  <c r="U715" i="79"/>
  <c r="L2338" i="79"/>
  <c r="L2339" i="79" s="1"/>
  <c r="L2340" i="79" s="1"/>
  <c r="L2334" i="79"/>
  <c r="L2333" i="79"/>
  <c r="K2362" i="79"/>
  <c r="K2363" i="79" s="1"/>
  <c r="N2338" i="79"/>
  <c r="N2339" i="79" s="1"/>
  <c r="N2340" i="79" s="1"/>
  <c r="N2334" i="79"/>
  <c r="N2333" i="79"/>
  <c r="R2338" i="79"/>
  <c r="R2339" i="79" s="1"/>
  <c r="R2340" i="79" s="1"/>
  <c r="R2334" i="79"/>
  <c r="R2333" i="79"/>
  <c r="P2200" i="79"/>
  <c r="P2201" i="79" s="1"/>
  <c r="P2202" i="79" s="1"/>
  <c r="L2153" i="79"/>
  <c r="L2154" i="79" s="1"/>
  <c r="L2155" i="79" s="1"/>
  <c r="L1399" i="79"/>
  <c r="G104" i="8" s="1"/>
  <c r="F97" i="83" s="1"/>
  <c r="L831" i="79"/>
  <c r="L2145" i="79"/>
  <c r="L2150" i="79" s="1"/>
  <c r="L2151" i="79" s="1"/>
  <c r="L2152" i="79" s="1"/>
  <c r="L1228" i="79"/>
  <c r="L1296" i="79" s="1"/>
  <c r="M2246" i="79"/>
  <c r="M2247" i="79" s="1"/>
  <c r="M2248" i="79" s="1"/>
  <c r="R2315" i="79"/>
  <c r="R2316" i="79" s="1"/>
  <c r="R2317" i="79" s="1"/>
  <c r="R1229" i="79"/>
  <c r="R1297" i="79" s="1"/>
  <c r="U712" i="79"/>
  <c r="J2246" i="79"/>
  <c r="J2247" i="79" s="1"/>
  <c r="J2248" i="79" s="1"/>
  <c r="I2246" i="79"/>
  <c r="I2247" i="79" s="1"/>
  <c r="I2248" i="79" s="1"/>
  <c r="J2200" i="79"/>
  <c r="J2201" i="79" s="1"/>
  <c r="J2202" i="79" s="1"/>
  <c r="O2223" i="79"/>
  <c r="O2224" i="79" s="1"/>
  <c r="O2225" i="79" s="1"/>
  <c r="Q1229" i="79"/>
  <c r="Q1297" i="79" s="1"/>
  <c r="Q2315" i="79"/>
  <c r="Q2316" i="79" s="1"/>
  <c r="Q2317" i="79" s="1"/>
  <c r="J2384" i="79"/>
  <c r="J2385" i="79" s="1"/>
  <c r="J2386" i="79" s="1"/>
  <c r="U720" i="79"/>
  <c r="I2383" i="79"/>
  <c r="M2361" i="79"/>
  <c r="M2362" i="79" s="1"/>
  <c r="M2363" i="79" s="1"/>
  <c r="J2338" i="79"/>
  <c r="J2339" i="79" s="1"/>
  <c r="J2340" i="79" s="1"/>
  <c r="J2334" i="79"/>
  <c r="J2333" i="79"/>
  <c r="O2269" i="79"/>
  <c r="O2270" i="79" s="1"/>
  <c r="O2271" i="79" s="1"/>
  <c r="K2153" i="79"/>
  <c r="K2154" i="79" s="1"/>
  <c r="K2155" i="79" s="1"/>
  <c r="K2145" i="79"/>
  <c r="K2150" i="79" s="1"/>
  <c r="K2151" i="79" s="1"/>
  <c r="K2152" i="79" s="1"/>
  <c r="K1228" i="79"/>
  <c r="K1296" i="79" s="1"/>
  <c r="M2200" i="79"/>
  <c r="M2201" i="79" s="1"/>
  <c r="M2202" i="79" s="1"/>
  <c r="O2384" i="79"/>
  <c r="L2223" i="79"/>
  <c r="L2224" i="79" s="1"/>
  <c r="L2225" i="79" s="1"/>
  <c r="J2145" i="79"/>
  <c r="J2150" i="79" s="1"/>
  <c r="J2151" i="79" s="1"/>
  <c r="J2152" i="79" s="1"/>
  <c r="J2153" i="79"/>
  <c r="J2154" i="79" s="1"/>
  <c r="J2155" i="79" s="1"/>
  <c r="J1228" i="79"/>
  <c r="J1296" i="79" s="1"/>
  <c r="S2382" i="79"/>
  <c r="S2383" i="79" s="1"/>
  <c r="S2385" i="79"/>
  <c r="R2361" i="79"/>
  <c r="R2362" i="79" s="1"/>
  <c r="R2363" i="79" s="1"/>
  <c r="R2384" i="79"/>
  <c r="L2383" i="79"/>
  <c r="G182" i="71"/>
  <c r="R2153" i="79"/>
  <c r="R2154" i="79" s="1"/>
  <c r="R2155" i="79" s="1"/>
  <c r="R831" i="79"/>
  <c r="R2145" i="79"/>
  <c r="R2150" i="79" s="1"/>
  <c r="R2151" i="79" s="1"/>
  <c r="R2152" i="79" s="1"/>
  <c r="R1399" i="79"/>
  <c r="M104" i="8" s="1"/>
  <c r="L97" i="83" s="1"/>
  <c r="R1228" i="79"/>
  <c r="R1296" i="79" s="1"/>
  <c r="M2177" i="79"/>
  <c r="M2178" i="79" s="1"/>
  <c r="M2179" i="79" s="1"/>
  <c r="K2246" i="79"/>
  <c r="K2247" i="79" s="1"/>
  <c r="K2248" i="79" s="1"/>
  <c r="K2200" i="79"/>
  <c r="K2201" i="79" s="1"/>
  <c r="K2202" i="79" s="1"/>
  <c r="P1229" i="79"/>
  <c r="P1297" i="79" s="1"/>
  <c r="P2315" i="79"/>
  <c r="P2316" i="79" s="1"/>
  <c r="P2317" i="79" s="1"/>
  <c r="N2145" i="79"/>
  <c r="N2150" i="79" s="1"/>
  <c r="N2151" i="79" s="1"/>
  <c r="N2152" i="79" s="1"/>
  <c r="N1228" i="79"/>
  <c r="N1296" i="79" s="1"/>
  <c r="N2153" i="79"/>
  <c r="N2154" i="79" s="1"/>
  <c r="N2155" i="79" s="1"/>
  <c r="N831" i="79"/>
  <c r="N1399" i="79"/>
  <c r="I104" i="8" s="1"/>
  <c r="H97" i="83" s="1"/>
  <c r="N2200" i="79"/>
  <c r="N2201" i="79" s="1"/>
  <c r="N2202" i="79" s="1"/>
  <c r="M1229" i="79"/>
  <c r="M1297" i="79" s="1"/>
  <c r="M2315" i="79"/>
  <c r="M2316" i="79" s="1"/>
  <c r="M2317" i="79" s="1"/>
  <c r="I2145" i="79"/>
  <c r="I2150" i="79" s="1"/>
  <c r="I2151" i="79" s="1"/>
  <c r="I2152" i="79" s="1"/>
  <c r="I1228" i="79"/>
  <c r="I1296" i="79" s="1"/>
  <c r="I1399" i="79"/>
  <c r="D104" i="8" s="1"/>
  <c r="C97" i="83" s="1"/>
  <c r="I831" i="79"/>
  <c r="I2153" i="79"/>
  <c r="I2154" i="79" s="1"/>
  <c r="I2155" i="79" s="1"/>
  <c r="J2361" i="79"/>
  <c r="J2362" i="79" s="1"/>
  <c r="J2363" i="79" s="1"/>
  <c r="O2338" i="79"/>
  <c r="O2339" i="79" s="1"/>
  <c r="O2340" i="79" s="1"/>
  <c r="O2334" i="79"/>
  <c r="O2333" i="79"/>
  <c r="O1229" i="79"/>
  <c r="O1297" i="79" s="1"/>
  <c r="O2315" i="79"/>
  <c r="O2316" i="79" s="1"/>
  <c r="O2317" i="79" s="1"/>
  <c r="K2334" i="79"/>
  <c r="K2338" i="79"/>
  <c r="K2339" i="79" s="1"/>
  <c r="K2340" i="79" s="1"/>
  <c r="K2333" i="79"/>
  <c r="Q2333" i="79"/>
  <c r="Q2338" i="79"/>
  <c r="Q2334" i="79"/>
  <c r="L2177" i="79"/>
  <c r="L2178" i="79" s="1"/>
  <c r="L2179" i="79" s="1"/>
  <c r="Q2247" i="79"/>
  <c r="Q2248" i="79" s="1"/>
  <c r="O2200" i="79"/>
  <c r="O2201" i="79" s="1"/>
  <c r="O2202" i="79" s="1"/>
  <c r="P2247" i="79"/>
  <c r="P2248" i="79" s="1"/>
  <c r="R2269" i="79"/>
  <c r="R2270" i="79" s="1"/>
  <c r="R2271" i="79" s="1"/>
  <c r="L2362" i="79"/>
  <c r="L2363" i="79" s="1"/>
  <c r="L2200" i="79"/>
  <c r="L2201" i="79" s="1"/>
  <c r="L2202" i="79" s="1"/>
  <c r="K2177" i="79"/>
  <c r="K2178" i="79" s="1"/>
  <c r="K2179" i="79" s="1"/>
  <c r="R2177" i="79"/>
  <c r="R2178" i="79" s="1"/>
  <c r="R2179" i="79" s="1"/>
  <c r="S2334" i="79"/>
  <c r="S2333" i="79"/>
  <c r="S2338" i="79"/>
  <c r="S1229" i="79"/>
  <c r="S1297" i="79" s="1"/>
  <c r="S2315" i="79"/>
  <c r="S2316" i="79" s="1"/>
  <c r="S2317" i="79" s="1"/>
  <c r="L2384" i="79"/>
  <c r="N2385" i="79"/>
  <c r="O831" i="79"/>
  <c r="O1399" i="79"/>
  <c r="J104" i="8" s="1"/>
  <c r="I97" i="83" s="1"/>
  <c r="O2153" i="79"/>
  <c r="O2154" i="79" s="1"/>
  <c r="O2155" i="79" s="1"/>
  <c r="O2145" i="79"/>
  <c r="O2150" i="79" s="1"/>
  <c r="O2151" i="79" s="1"/>
  <c r="O2152" i="79" s="1"/>
  <c r="O1228" i="79"/>
  <c r="O1296" i="79" s="1"/>
  <c r="M2145" i="79"/>
  <c r="M2150" i="79" s="1"/>
  <c r="M2151" i="79" s="1"/>
  <c r="M2152" i="79" s="1"/>
  <c r="M1228" i="79"/>
  <c r="M1296" i="79" s="1"/>
  <c r="M2153" i="79"/>
  <c r="M2154" i="79" s="1"/>
  <c r="M2155" i="79" s="1"/>
  <c r="M831" i="79"/>
  <c r="M1399" i="79"/>
  <c r="H104" i="8" s="1"/>
  <c r="G97" i="83" s="1"/>
  <c r="N2177" i="79"/>
  <c r="N2178" i="79" s="1"/>
  <c r="N2179" i="79" s="1"/>
  <c r="S2177" i="79"/>
  <c r="S2178" i="79" s="1"/>
  <c r="S2179" i="79" s="1"/>
  <c r="J2223" i="79"/>
  <c r="J2224" i="79" s="1"/>
  <c r="J2225" i="79" s="1"/>
  <c r="P2333" i="79"/>
  <c r="P2338" i="79"/>
  <c r="P2339" i="79" s="1"/>
  <c r="P2340" i="79" s="1"/>
  <c r="P2334" i="79"/>
  <c r="P2362" i="79"/>
  <c r="P2363" i="79" s="1"/>
  <c r="Q2177" i="79"/>
  <c r="Q2178" i="79" s="1"/>
  <c r="Q2179" i="79" s="1"/>
  <c r="Q1399" i="79"/>
  <c r="L104" i="8" s="1"/>
  <c r="K97" i="83" s="1"/>
  <c r="Q831" i="79"/>
  <c r="N1229" i="79"/>
  <c r="N1297" i="79" s="1"/>
  <c r="N2315" i="79"/>
  <c r="N2316" i="79" s="1"/>
  <c r="N2317" i="79" s="1"/>
  <c r="I2270" i="79"/>
  <c r="I2271" i="79" s="1"/>
  <c r="P2177" i="79"/>
  <c r="P2178" i="79" s="1"/>
  <c r="P2179" i="79" s="1"/>
  <c r="N181" i="8"/>
  <c r="N187" i="8" s="1"/>
  <c r="M44" i="80" s="1"/>
  <c r="M45" i="80" s="1"/>
  <c r="T2150" i="79"/>
  <c r="T2151" i="79" s="1"/>
  <c r="T2152" i="79" s="1"/>
  <c r="O678" i="74"/>
  <c r="R1462" i="79"/>
  <c r="DC1185" i="64"/>
  <c r="L50" i="10"/>
  <c r="O9" i="74"/>
  <c r="P14" i="74" s="1"/>
  <c r="P12" i="74" s="1"/>
  <c r="N33" i="9"/>
  <c r="M50" i="10" s="1"/>
  <c r="R46" i="73"/>
  <c r="P10" i="74"/>
  <c r="P11" i="74" s="1"/>
  <c r="Q11" i="74" s="1"/>
  <c r="K176" i="73"/>
  <c r="L158" i="73" s="1"/>
  <c r="J177" i="73"/>
  <c r="J458" i="73" s="1"/>
  <c r="T2289" i="79"/>
  <c r="T2290" i="79" s="1"/>
  <c r="T2291" i="79" s="1"/>
  <c r="T2335" i="79"/>
  <c r="T2336" i="79" s="1"/>
  <c r="DC1064" i="64"/>
  <c r="DQ1104" i="64"/>
  <c r="DC1102" i="64"/>
  <c r="O72" i="83"/>
  <c r="G19" i="83" s="1"/>
  <c r="H19" i="83" s="1"/>
  <c r="C453" i="40"/>
  <c r="P453" i="40" s="1"/>
  <c r="O71" i="83"/>
  <c r="G18" i="83" s="1"/>
  <c r="K2289" i="79"/>
  <c r="K2290" i="79" s="1"/>
  <c r="J2285" i="79"/>
  <c r="J1229" i="79"/>
  <c r="J1297" i="79" s="1"/>
  <c r="S615" i="79"/>
  <c r="S1391" i="79"/>
  <c r="S1390" i="79"/>
  <c r="AO1474" i="79"/>
  <c r="AO1476" i="79" s="1"/>
  <c r="R589" i="79"/>
  <c r="I589" i="79"/>
  <c r="J831" i="79"/>
  <c r="P2152" i="79"/>
  <c r="U701" i="79"/>
  <c r="J1399" i="79"/>
  <c r="J1230" i="79"/>
  <c r="J1298" i="79" s="1"/>
  <c r="J2286" i="79"/>
  <c r="J2292" i="79"/>
  <c r="P2154" i="79"/>
  <c r="U562" i="79"/>
  <c r="C3248" i="79" s="1"/>
  <c r="H254" i="77"/>
  <c r="H255" i="77" s="1"/>
  <c r="H273" i="77"/>
  <c r="K40" i="10"/>
  <c r="K44" i="80"/>
  <c r="K45" i="80" s="1"/>
  <c r="I204" i="73"/>
  <c r="J186" i="73" s="1"/>
  <c r="H205" i="73"/>
  <c r="H459" i="73" s="1"/>
  <c r="H463" i="73" s="1"/>
  <c r="Q2152" i="79"/>
  <c r="Q2155" i="79"/>
  <c r="K2293" i="79"/>
  <c r="CO1154" i="64"/>
  <c r="O460" i="73"/>
  <c r="AQ1998" i="79"/>
  <c r="AQ1593" i="79"/>
  <c r="AP1599" i="79"/>
  <c r="AP1596" i="79"/>
  <c r="R680" i="77"/>
  <c r="CO1194" i="64"/>
  <c r="DC1073" i="64"/>
  <c r="DC1135" i="64"/>
  <c r="CO1163" i="64"/>
  <c r="DC1076" i="64"/>
  <c r="DQ1055" i="64"/>
  <c r="CO1151" i="64"/>
  <c r="CO1138" i="64"/>
  <c r="D450" i="40"/>
  <c r="Q450" i="40" s="1"/>
  <c r="AD450" i="40" s="1"/>
  <c r="AM404" i="40"/>
  <c r="AH404" i="40"/>
  <c r="AN394" i="40"/>
  <c r="AI394" i="40"/>
  <c r="AN392" i="40"/>
  <c r="AI392" i="40"/>
  <c r="AM436" i="40"/>
  <c r="AH436" i="40"/>
  <c r="AM418" i="40"/>
  <c r="AH418" i="40"/>
  <c r="AM438" i="40"/>
  <c r="AH438" i="40"/>
  <c r="AN411" i="40"/>
  <c r="AI411" i="40"/>
  <c r="R495" i="40"/>
  <c r="AE495" i="40" s="1"/>
  <c r="P475" i="40"/>
  <c r="AC475" i="40" s="1"/>
  <c r="P471" i="40"/>
  <c r="AC471" i="40" s="1"/>
  <c r="P476" i="40"/>
  <c r="AC476" i="40" s="1"/>
  <c r="P472" i="40"/>
  <c r="AC472" i="40" s="1"/>
  <c r="P477" i="40"/>
  <c r="AC477" i="40" s="1"/>
  <c r="AN438" i="40"/>
  <c r="AI438" i="40"/>
  <c r="AN435" i="40"/>
  <c r="AI435" i="40"/>
  <c r="AM439" i="40"/>
  <c r="AH439" i="40"/>
  <c r="AN439" i="40"/>
  <c r="AI439" i="40"/>
  <c r="AN387" i="40"/>
  <c r="AI387" i="40"/>
  <c r="AN434" i="40"/>
  <c r="AI434" i="40"/>
  <c r="AN430" i="40"/>
  <c r="AI430" i="40"/>
  <c r="AM435" i="40"/>
  <c r="AH435" i="40"/>
  <c r="AN432" i="40"/>
  <c r="AI432" i="40"/>
  <c r="AM441" i="40"/>
  <c r="AH441" i="40"/>
  <c r="AM398" i="40"/>
  <c r="AH398" i="40"/>
  <c r="AM394" i="40"/>
  <c r="AH394" i="40"/>
  <c r="AN417" i="40"/>
  <c r="AI417" i="40"/>
  <c r="AN441" i="40"/>
  <c r="AI441" i="40"/>
  <c r="AN402" i="40"/>
  <c r="AI402" i="40"/>
  <c r="AN399" i="40"/>
  <c r="AI399" i="40"/>
  <c r="Z1126" i="64"/>
  <c r="BA1053" i="64"/>
  <c r="AM397" i="40"/>
  <c r="AH397" i="40"/>
  <c r="AN410" i="40"/>
  <c r="AI410" i="40"/>
  <c r="AM391" i="40"/>
  <c r="AH391" i="40"/>
  <c r="DC1071" i="64"/>
  <c r="CO1146" i="64"/>
  <c r="DQ1082" i="64"/>
  <c r="P499" i="40"/>
  <c r="AC499" i="40" s="1"/>
  <c r="P503" i="40"/>
  <c r="AC503" i="40" s="1"/>
  <c r="P500" i="40"/>
  <c r="AC500" i="40" s="1"/>
  <c r="P496" i="40"/>
  <c r="AC496" i="40" s="1"/>
  <c r="P474" i="40"/>
  <c r="AC474" i="40" s="1"/>
  <c r="P483" i="40"/>
  <c r="AC483" i="40" s="1"/>
  <c r="P498" i="40"/>
  <c r="AC498" i="40" s="1"/>
  <c r="P497" i="40"/>
  <c r="AC497" i="40" s="1"/>
  <c r="AM409" i="40"/>
  <c r="AH409" i="40"/>
  <c r="AM405" i="40"/>
  <c r="AH405" i="40"/>
  <c r="AM410" i="40"/>
  <c r="AH410" i="40"/>
  <c r="AN404" i="40"/>
  <c r="AI404" i="40"/>
  <c r="AM406" i="40"/>
  <c r="AH406" i="40"/>
  <c r="AN403" i="40"/>
  <c r="AI403" i="40"/>
  <c r="AM411" i="40"/>
  <c r="AH411" i="40"/>
  <c r="P465" i="40"/>
  <c r="AC465" i="40" s="1"/>
  <c r="P473" i="40"/>
  <c r="AC473" i="40" s="1"/>
  <c r="P469" i="40"/>
  <c r="AC469" i="40" s="1"/>
  <c r="T623" i="79"/>
  <c r="T2113" i="79" s="1"/>
  <c r="T2402" i="79" s="1"/>
  <c r="T1392" i="79"/>
  <c r="AN398" i="40"/>
  <c r="AI398" i="40"/>
  <c r="AM396" i="40"/>
  <c r="AH396" i="40"/>
  <c r="AN400" i="40"/>
  <c r="AI400" i="40"/>
  <c r="AM433" i="40"/>
  <c r="AH433" i="40"/>
  <c r="R493" i="40"/>
  <c r="AE493" i="40" s="1"/>
  <c r="AM430" i="40"/>
  <c r="AH430" i="40"/>
  <c r="AM408" i="40"/>
  <c r="AH408" i="40"/>
  <c r="AM440" i="40"/>
  <c r="AH440" i="40"/>
  <c r="T2386" i="79"/>
  <c r="T2417" i="79" s="1"/>
  <c r="N99" i="83" s="1"/>
  <c r="T2416" i="79"/>
  <c r="N98" i="83" s="1"/>
  <c r="AM432" i="40"/>
  <c r="AH432" i="40"/>
  <c r="R449" i="40"/>
  <c r="AE449" i="40" s="1"/>
  <c r="R451" i="40"/>
  <c r="AE451" i="40" s="1"/>
  <c r="AM387" i="40"/>
  <c r="AH387" i="40"/>
  <c r="AN407" i="40"/>
  <c r="AI407" i="40"/>
  <c r="AM1274" i="64"/>
  <c r="BZ1200" i="64"/>
  <c r="P458" i="40"/>
  <c r="AC458" i="40" s="1"/>
  <c r="D506" i="40"/>
  <c r="P467" i="40"/>
  <c r="AC467" i="40" s="1"/>
  <c r="P468" i="40"/>
  <c r="AC468" i="40" s="1"/>
  <c r="AN405" i="40"/>
  <c r="AI405" i="40"/>
  <c r="AN409" i="40"/>
  <c r="AI409" i="40"/>
  <c r="AN401" i="40"/>
  <c r="AI401" i="40"/>
  <c r="AM399" i="40"/>
  <c r="AH399" i="40"/>
  <c r="AM407" i="40"/>
  <c r="AH407" i="40"/>
  <c r="AN436" i="40"/>
  <c r="AI436" i="40"/>
  <c r="AM403" i="40"/>
  <c r="AH403" i="40"/>
  <c r="AN431" i="40"/>
  <c r="AI431" i="40"/>
  <c r="CK1053" i="64"/>
  <c r="BW1126" i="64" s="1"/>
  <c r="BJ1126" i="64"/>
  <c r="AM400" i="40"/>
  <c r="AH400" i="40"/>
  <c r="DC1105" i="64"/>
  <c r="CO1166" i="64"/>
  <c r="AM437" i="40"/>
  <c r="AH437" i="40"/>
  <c r="AM434" i="40"/>
  <c r="AH434" i="40"/>
  <c r="R492" i="40"/>
  <c r="AE492" i="40" s="1"/>
  <c r="AN418" i="40"/>
  <c r="AI418" i="40"/>
  <c r="AN397" i="40"/>
  <c r="AI397" i="40"/>
  <c r="AN396" i="40"/>
  <c r="AI396" i="40"/>
  <c r="AM417" i="40"/>
  <c r="AH417" i="40"/>
  <c r="AN391" i="40"/>
  <c r="AI391" i="40"/>
  <c r="AN433" i="40"/>
  <c r="AI433" i="40"/>
  <c r="AM431" i="40"/>
  <c r="AH431" i="40"/>
  <c r="CO1171" i="64"/>
  <c r="AY1274" i="64"/>
  <c r="CL1200" i="64"/>
  <c r="P466" i="40"/>
  <c r="AC466" i="40" s="1"/>
  <c r="P470" i="40"/>
  <c r="AC470" i="40" s="1"/>
  <c r="P462" i="40"/>
  <c r="AC462" i="40" s="1"/>
  <c r="R494" i="40"/>
  <c r="AE494" i="40" s="1"/>
  <c r="P502" i="40"/>
  <c r="AC502" i="40" s="1"/>
  <c r="BM1053" i="64"/>
  <c r="AL1126" i="64"/>
  <c r="T2418" i="79"/>
  <c r="BK1274" i="64"/>
  <c r="CX1200" i="64"/>
  <c r="BX1274" i="64" s="1"/>
  <c r="P463" i="40"/>
  <c r="AC463" i="40" s="1"/>
  <c r="P484" i="40"/>
  <c r="AC484" i="40" s="1"/>
  <c r="P457" i="40"/>
  <c r="AC457" i="40" s="1"/>
  <c r="BY1053" i="64"/>
  <c r="AX1126" i="64"/>
  <c r="R454" i="40"/>
  <c r="AE454" i="40" s="1"/>
  <c r="AM392" i="40"/>
  <c r="AH392" i="40"/>
  <c r="AN440" i="40"/>
  <c r="AI440" i="40"/>
  <c r="AN437" i="40"/>
  <c r="AI437" i="40"/>
  <c r="AN406" i="40"/>
  <c r="AI406" i="40"/>
  <c r="AM401" i="40"/>
  <c r="AH401" i="40"/>
  <c r="AM402" i="40"/>
  <c r="AH402" i="40"/>
  <c r="AN408" i="40"/>
  <c r="AI408" i="40"/>
  <c r="D504" i="40"/>
  <c r="P505" i="40"/>
  <c r="AC505" i="40" s="1"/>
  <c r="P501" i="40"/>
  <c r="AC501" i="40" s="1"/>
  <c r="P507" i="40"/>
  <c r="AC507" i="40" s="1"/>
  <c r="P464" i="40"/>
  <c r="AC464" i="40" s="1"/>
  <c r="P460" i="40"/>
  <c r="AC460" i="40" s="1"/>
  <c r="BN1200" i="64"/>
  <c r="AA1274" i="64"/>
  <c r="AO1462" i="79"/>
  <c r="CO1157" i="64"/>
  <c r="CO1127" i="64"/>
  <c r="CO1148" i="64"/>
  <c r="W832" i="64"/>
  <c r="W690" i="64"/>
  <c r="W761" i="64"/>
  <c r="AK689" i="64"/>
  <c r="AX689" i="64"/>
  <c r="AY689" i="64"/>
  <c r="AL689" i="64"/>
  <c r="AS831" i="64"/>
  <c r="AF831" i="64"/>
  <c r="BD831" i="64"/>
  <c r="AQ831" i="64"/>
  <c r="BC689" i="64"/>
  <c r="AP689" i="64"/>
  <c r="BS39" i="65"/>
  <c r="BZ38" i="65"/>
  <c r="BW38" i="65"/>
  <c r="CA38" i="65"/>
  <c r="CE38" i="65"/>
  <c r="BX38" i="65"/>
  <c r="CF38" i="65"/>
  <c r="CB38" i="65"/>
  <c r="CD38" i="65"/>
  <c r="BY38" i="65"/>
  <c r="BV38" i="65"/>
  <c r="BU38" i="65"/>
  <c r="CC38" i="65"/>
  <c r="AW689" i="64"/>
  <c r="AJ689" i="64"/>
  <c r="AO831" i="64"/>
  <c r="BB831" i="64"/>
  <c r="AI689" i="64"/>
  <c r="AV689" i="64"/>
  <c r="AH831" i="64"/>
  <c r="AU831" i="64"/>
  <c r="AM760" i="64"/>
  <c r="AZ760" i="64"/>
  <c r="V761" i="64"/>
  <c r="V832" i="64"/>
  <c r="V690" i="64"/>
  <c r="DC1160" i="64"/>
  <c r="AA690" i="64"/>
  <c r="AA761" i="64"/>
  <c r="AA832" i="64"/>
  <c r="AC690" i="64"/>
  <c r="AC832" i="64"/>
  <c r="AC761" i="64"/>
  <c r="S690" i="64"/>
  <c r="S761" i="64"/>
  <c r="S832" i="64"/>
  <c r="AX831" i="64"/>
  <c r="AK831" i="64"/>
  <c r="AG689" i="64"/>
  <c r="AT689" i="64"/>
  <c r="AF760" i="64"/>
  <c r="AS760" i="64"/>
  <c r="BD760" i="64"/>
  <c r="AQ760" i="64"/>
  <c r="CG39" i="65"/>
  <c r="CQ38" i="65"/>
  <c r="CJ38" i="65"/>
  <c r="CI38" i="65"/>
  <c r="CR38" i="65"/>
  <c r="CK38" i="65"/>
  <c r="CO38" i="65"/>
  <c r="CT38" i="65"/>
  <c r="CP38" i="65"/>
  <c r="CN38" i="65"/>
  <c r="CS38" i="65"/>
  <c r="CL38" i="65"/>
  <c r="CM38" i="65"/>
  <c r="AJ760" i="64"/>
  <c r="AW760" i="64"/>
  <c r="BB689" i="64"/>
  <c r="AO689" i="64"/>
  <c r="AN831" i="64"/>
  <c r="BA831" i="64"/>
  <c r="AZ689" i="64"/>
  <c r="AM689" i="64"/>
  <c r="Z761" i="64"/>
  <c r="Z690" i="64"/>
  <c r="Z832" i="64"/>
  <c r="CO1191" i="64"/>
  <c r="CO1173" i="64"/>
  <c r="X690" i="64"/>
  <c r="X761" i="64"/>
  <c r="X832" i="64"/>
  <c r="T761" i="64"/>
  <c r="T690" i="64"/>
  <c r="T832" i="64"/>
  <c r="U832" i="64"/>
  <c r="U690" i="64"/>
  <c r="U761" i="64"/>
  <c r="BO29" i="65"/>
  <c r="BE30" i="65"/>
  <c r="BJ29" i="65"/>
  <c r="BI29" i="65"/>
  <c r="BN29" i="65"/>
  <c r="BH29" i="65"/>
  <c r="BM29" i="65"/>
  <c r="BG29" i="65"/>
  <c r="BQ29" i="65"/>
  <c r="BL29" i="65"/>
  <c r="BR29" i="65"/>
  <c r="BP29" i="65"/>
  <c r="BK29" i="65"/>
  <c r="AY831" i="64"/>
  <c r="AL831" i="64"/>
  <c r="AT831" i="64"/>
  <c r="AG831" i="64"/>
  <c r="AS689" i="64"/>
  <c r="AF689" i="64"/>
  <c r="AP831" i="64"/>
  <c r="BC831" i="64"/>
  <c r="AW831" i="64"/>
  <c r="AJ831" i="64"/>
  <c r="AV831" i="64"/>
  <c r="AI831" i="64"/>
  <c r="AH689" i="64"/>
  <c r="AU689" i="64"/>
  <c r="BA760" i="64"/>
  <c r="AN760" i="64"/>
  <c r="AZ831" i="64"/>
  <c r="AM831" i="64"/>
  <c r="Y690" i="64"/>
  <c r="Y832" i="64"/>
  <c r="Y761" i="64"/>
  <c r="AD761" i="64"/>
  <c r="AD832" i="64"/>
  <c r="AD690" i="64"/>
  <c r="AB832" i="64"/>
  <c r="AB690" i="64"/>
  <c r="AB761" i="64"/>
  <c r="AX760" i="64"/>
  <c r="AK760" i="64"/>
  <c r="AY760" i="64"/>
  <c r="AL760" i="64"/>
  <c r="AG760" i="64"/>
  <c r="AT760" i="64"/>
  <c r="BD689" i="64"/>
  <c r="AQ689" i="64"/>
  <c r="AP760" i="64"/>
  <c r="BC760" i="64"/>
  <c r="BB760" i="64"/>
  <c r="AO760" i="64"/>
  <c r="AI760" i="64"/>
  <c r="AV760" i="64"/>
  <c r="AH760" i="64"/>
  <c r="AU760" i="64"/>
  <c r="AN689" i="64"/>
  <c r="BA689" i="64"/>
  <c r="A89" i="71"/>
  <c r="A202" i="71"/>
  <c r="C576" i="77"/>
  <c r="N348" i="73"/>
  <c r="O333" i="73" s="1"/>
  <c r="DQ1054" i="64"/>
  <c r="DC1054" i="64"/>
  <c r="DC1183" i="64"/>
  <c r="CO1183" i="64"/>
  <c r="L228" i="85"/>
  <c r="N36" i="85"/>
  <c r="M55" i="85"/>
  <c r="N51" i="85"/>
  <c r="O62" i="85"/>
  <c r="N79" i="85"/>
  <c r="M211" i="85"/>
  <c r="M213" i="85" s="1"/>
  <c r="O63" i="85"/>
  <c r="N82" i="85"/>
  <c r="P228" i="73"/>
  <c r="P231" i="73" s="1"/>
  <c r="Q213" i="73" s="1"/>
  <c r="O239" i="73"/>
  <c r="N255" i="73"/>
  <c r="M556" i="73"/>
  <c r="M554" i="73"/>
  <c r="M555" i="73" s="1"/>
  <c r="M462" i="73"/>
  <c r="O240" i="73"/>
  <c r="N258" i="73"/>
  <c r="O332" i="73"/>
  <c r="N346" i="73"/>
  <c r="O185" i="73"/>
  <c r="N202" i="73"/>
  <c r="O174" i="73"/>
  <c r="N174" i="73"/>
  <c r="CO1150" i="64"/>
  <c r="CO1161" i="64"/>
  <c r="DC1140" i="64"/>
  <c r="CO1140" i="64"/>
  <c r="CO1187" i="64"/>
  <c r="DC1169" i="64"/>
  <c r="CO1169" i="64"/>
  <c r="DQ1056" i="64"/>
  <c r="DC1056" i="64"/>
  <c r="DC1156" i="64"/>
  <c r="CO1156" i="64"/>
  <c r="DC1093" i="64"/>
  <c r="DQ1093" i="64"/>
  <c r="DQ1059" i="64"/>
  <c r="DC1059" i="64"/>
  <c r="DQ1086" i="64"/>
  <c r="DC1086" i="64"/>
  <c r="DC1179" i="64"/>
  <c r="CO1179" i="64"/>
  <c r="DQ1103" i="64"/>
  <c r="DC1103" i="64"/>
  <c r="P1543" i="79"/>
  <c r="P1546" i="79"/>
  <c r="Q1463" i="79"/>
  <c r="Q1462" i="79"/>
  <c r="AO1603" i="79"/>
  <c r="AO1512" i="79"/>
  <c r="AO1552" i="79"/>
  <c r="AO1892" i="79"/>
  <c r="AO1924" i="79" s="1"/>
  <c r="AO1925" i="79" s="1"/>
  <c r="P1586" i="79"/>
  <c r="P1583" i="79"/>
  <c r="DC1147" i="64"/>
  <c r="CO1147" i="64"/>
  <c r="DC1192" i="64"/>
  <c r="CO1192" i="64"/>
  <c r="DQ1118" i="64"/>
  <c r="DC1118" i="64"/>
  <c r="AQ1484" i="79"/>
  <c r="AQ1523" i="79"/>
  <c r="AQ1588" i="79"/>
  <c r="AQ1601" i="79"/>
  <c r="AQ1549" i="79"/>
  <c r="AQ1536" i="79"/>
  <c r="AQ1497" i="79"/>
  <c r="AQ1575" i="79"/>
  <c r="AQ1510" i="79"/>
  <c r="AQ1562" i="79"/>
  <c r="DQ1057" i="64"/>
  <c r="DC1057" i="64"/>
  <c r="AQ1471" i="79"/>
  <c r="DQ1109" i="64"/>
  <c r="DQ1106" i="64"/>
  <c r="DC1106" i="64"/>
  <c r="DC1176" i="64"/>
  <c r="CO1176" i="64"/>
  <c r="P1517" i="79"/>
  <c r="R1512" i="79"/>
  <c r="R1712" i="79"/>
  <c r="R1487" i="79"/>
  <c r="R1473" i="79"/>
  <c r="Q1554" i="79"/>
  <c r="Q1553" i="79"/>
  <c r="AN1515" i="79"/>
  <c r="AN1514" i="79"/>
  <c r="Q1580" i="79"/>
  <c r="Q1579" i="79"/>
  <c r="P1530" i="79"/>
  <c r="P1533" i="79"/>
  <c r="DQ1116" i="64"/>
  <c r="DC1116" i="64"/>
  <c r="DQ1117" i="64"/>
  <c r="DC1117" i="64"/>
  <c r="DC1159" i="64"/>
  <c r="CO1159" i="64"/>
  <c r="S165" i="79"/>
  <c r="S1499" i="79" s="1"/>
  <c r="S411" i="79"/>
  <c r="S1577" i="79" s="1"/>
  <c r="S124" i="79"/>
  <c r="S1486" i="79" s="1"/>
  <c r="S452" i="79"/>
  <c r="S1590" i="79" s="1"/>
  <c r="S288" i="79"/>
  <c r="S1538" i="79" s="1"/>
  <c r="S206" i="79"/>
  <c r="S1512" i="79" s="1"/>
  <c r="S329" i="79"/>
  <c r="S1551" i="79" s="1"/>
  <c r="S493" i="79"/>
  <c r="S1603" i="79" s="1"/>
  <c r="S370" i="79"/>
  <c r="S1564" i="79" s="1"/>
  <c r="S247" i="79"/>
  <c r="S1525" i="79" s="1"/>
  <c r="S83" i="79"/>
  <c r="S1473" i="79" s="1"/>
  <c r="S1782" i="79"/>
  <c r="S1997" i="79"/>
  <c r="AM1570" i="79"/>
  <c r="AM1573" i="79"/>
  <c r="DC1190" i="64"/>
  <c r="CO1190" i="64"/>
  <c r="DC1167" i="64"/>
  <c r="CO1167" i="64"/>
  <c r="DC1142" i="64"/>
  <c r="CO1142" i="64"/>
  <c r="DQ1058" i="64"/>
  <c r="DC1058" i="64"/>
  <c r="DQ1097" i="64"/>
  <c r="DC1097" i="64"/>
  <c r="DC1133" i="64"/>
  <c r="CO1133" i="64"/>
  <c r="AP1473" i="79"/>
  <c r="AP1926" i="79"/>
  <c r="AP2033" i="79"/>
  <c r="AP1854" i="79"/>
  <c r="AN1606" i="79"/>
  <c r="AN1605" i="79"/>
  <c r="AN1964" i="79"/>
  <c r="AN1995" i="79" s="1"/>
  <c r="AN1996" i="79" s="1"/>
  <c r="AN1578" i="79"/>
  <c r="AL1585" i="79"/>
  <c r="AL1582" i="79"/>
  <c r="DC1182" i="64"/>
  <c r="CO1182" i="64"/>
  <c r="DC1162" i="64"/>
  <c r="CO1162" i="64"/>
  <c r="DC1193" i="64"/>
  <c r="CO1193" i="64"/>
  <c r="DQ1063" i="64"/>
  <c r="DC1063" i="64"/>
  <c r="DQ1061" i="64"/>
  <c r="DC1061" i="64"/>
  <c r="T1458" i="79"/>
  <c r="DC1153" i="64"/>
  <c r="T42" i="79" s="1"/>
  <c r="T1460" i="79" s="1"/>
  <c r="DC1141" i="64"/>
  <c r="CO1141" i="64"/>
  <c r="P1547" i="79"/>
  <c r="P1544" i="79"/>
  <c r="AO1486" i="79"/>
  <c r="AO1526" i="79"/>
  <c r="AO1820" i="79"/>
  <c r="AO1852" i="79" s="1"/>
  <c r="AO1853" i="79" s="1"/>
  <c r="Q1476" i="79"/>
  <c r="Q1475" i="79"/>
  <c r="AN1541" i="79"/>
  <c r="AN1540" i="79"/>
  <c r="Q1489" i="79"/>
  <c r="Q1488" i="79"/>
  <c r="AN1567" i="79"/>
  <c r="AN1566" i="79"/>
  <c r="DQ1120" i="64"/>
  <c r="DC1120" i="64"/>
  <c r="DQ1083" i="64"/>
  <c r="DC1083" i="64"/>
  <c r="DC1170" i="64"/>
  <c r="CO1170" i="64"/>
  <c r="DC1129" i="64"/>
  <c r="CO1129" i="64"/>
  <c r="DQ1108" i="64"/>
  <c r="DC1108" i="64"/>
  <c r="DQ1092" i="64"/>
  <c r="DC1092" i="64"/>
  <c r="DQ1072" i="64"/>
  <c r="DC1072" i="64"/>
  <c r="P1518" i="79"/>
  <c r="R1578" i="79"/>
  <c r="R1964" i="79"/>
  <c r="R1995" i="79" s="1"/>
  <c r="R1996" i="79" s="1"/>
  <c r="R1525" i="79"/>
  <c r="R1564" i="79"/>
  <c r="P1595" i="79"/>
  <c r="P1598" i="79"/>
  <c r="Q1528" i="79"/>
  <c r="Q1527" i="79"/>
  <c r="P1534" i="79"/>
  <c r="P1531" i="79"/>
  <c r="AM1582" i="79"/>
  <c r="AM1585" i="79"/>
  <c r="DC1189" i="64"/>
  <c r="CO1189" i="64"/>
  <c r="DC1131" i="64"/>
  <c r="CO1131" i="64"/>
  <c r="DQ1100" i="64"/>
  <c r="DC1100" i="64"/>
  <c r="CO1153" i="64"/>
  <c r="E138" i="64" s="1"/>
  <c r="G138" i="64" s="1"/>
  <c r="S1890" i="79"/>
  <c r="S1854" i="79"/>
  <c r="S1710" i="79"/>
  <c r="AP1461" i="79"/>
  <c r="AP1463" i="79" s="1"/>
  <c r="AP1640" i="79"/>
  <c r="DQ1089" i="64"/>
  <c r="DC1089" i="64"/>
  <c r="DC1178" i="64"/>
  <c r="CO1178" i="64"/>
  <c r="DC1174" i="64"/>
  <c r="CO1174" i="64"/>
  <c r="DC1149" i="64"/>
  <c r="CO1149" i="64"/>
  <c r="DQ1081" i="64"/>
  <c r="DC1081" i="64"/>
  <c r="AQ1458" i="79"/>
  <c r="DQ1096" i="64"/>
  <c r="DC1096" i="64"/>
  <c r="E155" i="64" s="1"/>
  <c r="G155" i="64" s="1"/>
  <c r="DC1080" i="64"/>
  <c r="DQ1080" i="64"/>
  <c r="AP1674" i="79"/>
  <c r="Q1856" i="79"/>
  <c r="Q1539" i="79"/>
  <c r="Q1748" i="79"/>
  <c r="Q1500" i="79"/>
  <c r="AP1997" i="79"/>
  <c r="AP2031" i="79" s="1"/>
  <c r="AP2032" i="79" s="1"/>
  <c r="AP1592" i="79"/>
  <c r="AP1962" i="79"/>
  <c r="AL1586" i="79"/>
  <c r="AL1583" i="79"/>
  <c r="DC1137" i="64"/>
  <c r="CO1137" i="64"/>
  <c r="DQ1067" i="64"/>
  <c r="DC1067" i="64"/>
  <c r="DQ1119" i="64"/>
  <c r="DC1119" i="64"/>
  <c r="DQ1115" i="64"/>
  <c r="DC1115" i="64"/>
  <c r="DQ1062" i="64"/>
  <c r="DC1062" i="64"/>
  <c r="DC1139" i="64"/>
  <c r="CO1139" i="64"/>
  <c r="DQ1068" i="64"/>
  <c r="DC1068" i="64"/>
  <c r="AO1928" i="79"/>
  <c r="AO1960" i="79" s="1"/>
  <c r="AO1961" i="79" s="1"/>
  <c r="AO1565" i="79"/>
  <c r="AO1964" i="79"/>
  <c r="AO1995" i="79" s="1"/>
  <c r="AO1996" i="79" s="1"/>
  <c r="AO1578" i="79"/>
  <c r="T1484" i="79"/>
  <c r="T1588" i="79"/>
  <c r="T1601" i="79"/>
  <c r="T1562" i="79"/>
  <c r="T1523" i="79"/>
  <c r="T1575" i="79"/>
  <c r="T1471" i="79"/>
  <c r="T1497" i="79"/>
  <c r="T1510" i="79"/>
  <c r="T1536" i="79"/>
  <c r="T1549" i="79"/>
  <c r="DC1130" i="64"/>
  <c r="CO1130" i="64"/>
  <c r="DQ1070" i="64"/>
  <c r="DC1070" i="64"/>
  <c r="DC1168" i="64"/>
  <c r="CO1168" i="64"/>
  <c r="DC1172" i="64"/>
  <c r="CO1172" i="64"/>
  <c r="DC1143" i="64"/>
  <c r="CO1143" i="64"/>
  <c r="DC1158" i="64"/>
  <c r="CO1158" i="64"/>
  <c r="DC1165" i="64"/>
  <c r="CO1165" i="64"/>
  <c r="AM1559" i="79"/>
  <c r="AM1556" i="79"/>
  <c r="R1539" i="79"/>
  <c r="R1856" i="79"/>
  <c r="R1999" i="79"/>
  <c r="R2031" i="79" s="1"/>
  <c r="R2032" i="79" s="1"/>
  <c r="R1591" i="79"/>
  <c r="R1604" i="79"/>
  <c r="R2035" i="79"/>
  <c r="R2067" i="79" s="1"/>
  <c r="AM1515" i="79"/>
  <c r="AM1514" i="79"/>
  <c r="P1599" i="79"/>
  <c r="P1596" i="79"/>
  <c r="Q1567" i="79"/>
  <c r="Q1566" i="79"/>
  <c r="DC1066" i="64"/>
  <c r="P1572" i="79"/>
  <c r="P1569" i="79"/>
  <c r="DC1087" i="64"/>
  <c r="AO1598" i="79"/>
  <c r="AO1595" i="79"/>
  <c r="AM1606" i="79"/>
  <c r="AM1605" i="79"/>
  <c r="AM1586" i="79"/>
  <c r="AM1583" i="79"/>
  <c r="DC1181" i="64"/>
  <c r="CO1181" i="64"/>
  <c r="DQ1094" i="64"/>
  <c r="DC1094" i="64"/>
  <c r="DC1177" i="64"/>
  <c r="CO1177" i="64"/>
  <c r="DC1144" i="64"/>
  <c r="CO1144" i="64"/>
  <c r="DQ1090" i="64"/>
  <c r="DC1090" i="64"/>
  <c r="S1460" i="79"/>
  <c r="P1608" i="79"/>
  <c r="P1611" i="79"/>
  <c r="S1818" i="79"/>
  <c r="S1962" i="79"/>
  <c r="S1926" i="79"/>
  <c r="AP1638" i="79"/>
  <c r="AM1541" i="79"/>
  <c r="AM1540" i="79"/>
  <c r="DQ1095" i="64"/>
  <c r="DC1095" i="64"/>
  <c r="DQ1101" i="64"/>
  <c r="DC1101" i="64"/>
  <c r="DC1186" i="64"/>
  <c r="CO1186" i="64"/>
  <c r="DQ1075" i="64"/>
  <c r="DC1075" i="64"/>
  <c r="DQ1098" i="64"/>
  <c r="DC1098" i="64"/>
  <c r="DO1121" i="64"/>
  <c r="AP206" i="79"/>
  <c r="AP1512" i="79" s="1"/>
  <c r="AP411" i="79"/>
  <c r="AP1577" i="79" s="1"/>
  <c r="AP329" i="79"/>
  <c r="AP1551" i="79" s="1"/>
  <c r="AP452" i="79"/>
  <c r="AP370" i="79"/>
  <c r="AP1564" i="79" s="1"/>
  <c r="AP124" i="79"/>
  <c r="AP1486" i="79" s="1"/>
  <c r="AP493" i="79"/>
  <c r="AP1603" i="79" s="1"/>
  <c r="AP165" i="79"/>
  <c r="AP1499" i="79" s="1"/>
  <c r="AP288" i="79"/>
  <c r="AP247" i="79"/>
  <c r="AP1525" i="79" s="1"/>
  <c r="AP1890" i="79"/>
  <c r="AP1782" i="79"/>
  <c r="AN1554" i="79"/>
  <c r="AN1553" i="79"/>
  <c r="DQ1110" i="64"/>
  <c r="DC1110" i="64"/>
  <c r="DQ1077" i="64"/>
  <c r="DC1077" i="64"/>
  <c r="DQ1069" i="64"/>
  <c r="DC1069" i="64"/>
  <c r="DC1188" i="64"/>
  <c r="CO1188" i="64"/>
  <c r="DQ1085" i="64"/>
  <c r="DC1085" i="64"/>
  <c r="DC1128" i="64"/>
  <c r="CO1128" i="64"/>
  <c r="DQ1060" i="64"/>
  <c r="DC1060" i="64"/>
  <c r="DC1145" i="64"/>
  <c r="CO1145" i="64"/>
  <c r="AO1500" i="79"/>
  <c r="AO1748" i="79"/>
  <c r="AO1539" i="79"/>
  <c r="AO1856" i="79"/>
  <c r="Q1515" i="79"/>
  <c r="Q1514" i="79"/>
  <c r="AN1489" i="79"/>
  <c r="AN1488" i="79"/>
  <c r="AN1528" i="79"/>
  <c r="AN1527" i="79"/>
  <c r="P1554" i="79"/>
  <c r="P1553" i="79"/>
  <c r="P1585" i="79"/>
  <c r="P1582" i="79"/>
  <c r="DC1175" i="64"/>
  <c r="CO1175" i="64"/>
  <c r="DQ1074" i="64"/>
  <c r="DC1074" i="64"/>
  <c r="DC1180" i="64"/>
  <c r="CO1180" i="64"/>
  <c r="DQ1088" i="64"/>
  <c r="DC1088" i="64"/>
  <c r="AM1560" i="79"/>
  <c r="AM1557" i="79"/>
  <c r="R1500" i="79"/>
  <c r="R1748" i="79"/>
  <c r="R1551" i="79"/>
  <c r="DC1079" i="64"/>
  <c r="AN1748" i="79"/>
  <c r="AN1500" i="79"/>
  <c r="P1573" i="79"/>
  <c r="P1570" i="79"/>
  <c r="DQ1111" i="64"/>
  <c r="DC1111" i="64"/>
  <c r="DC1152" i="64"/>
  <c r="CO1152" i="64"/>
  <c r="DQ1114" i="64"/>
  <c r="DC1114" i="64"/>
  <c r="DC1136" i="64"/>
  <c r="CO1136" i="64"/>
  <c r="DQ1107" i="64"/>
  <c r="DC1107" i="64"/>
  <c r="DQ1065" i="64"/>
  <c r="DC1065" i="64"/>
  <c r="P1609" i="79"/>
  <c r="P1612" i="79"/>
  <c r="S1746" i="79"/>
  <c r="S1674" i="79"/>
  <c r="S2033" i="79"/>
  <c r="Q1593" i="79"/>
  <c r="Q1592" i="79"/>
  <c r="AM1572" i="79"/>
  <c r="AM1569" i="79"/>
  <c r="CO1134" i="64"/>
  <c r="E141" i="64" s="1"/>
  <c r="G141" i="64" s="1"/>
  <c r="DQ1099" i="64"/>
  <c r="DC1099" i="64"/>
  <c r="DQ1113" i="64"/>
  <c r="DC1113" i="64"/>
  <c r="DQ1112" i="64"/>
  <c r="DC1112" i="64"/>
  <c r="DQ1078" i="64"/>
  <c r="DC1078" i="64"/>
  <c r="DQ1084" i="64"/>
  <c r="DC1084" i="64"/>
  <c r="DC1155" i="64"/>
  <c r="CO1155" i="64"/>
  <c r="DC1109" i="64"/>
  <c r="CO1184" i="64"/>
  <c r="CO1164" i="64"/>
  <c r="AM1528" i="79"/>
  <c r="AM1527" i="79"/>
  <c r="Q2035" i="79"/>
  <c r="Q2067" i="79" s="1"/>
  <c r="Q1604" i="79"/>
  <c r="AP1818" i="79"/>
  <c r="AP1746" i="79"/>
  <c r="AP1710" i="79"/>
  <c r="J75" i="83"/>
  <c r="Q615" i="73"/>
  <c r="R615" i="73" s="1"/>
  <c r="G136" i="71" s="1"/>
  <c r="Q616" i="73"/>
  <c r="R616" i="73" s="1"/>
  <c r="G133" i="71" s="1"/>
  <c r="Q50" i="73"/>
  <c r="C16" i="25"/>
  <c r="G124" i="71"/>
  <c r="C14" i="25"/>
  <c r="G98" i="71"/>
  <c r="C45" i="71" s="1"/>
  <c r="G99" i="71"/>
  <c r="S139" i="77"/>
  <c r="D621" i="73"/>
  <c r="E28" i="73"/>
  <c r="T121" i="64"/>
  <c r="J40" i="10"/>
  <c r="J44" i="80"/>
  <c r="N678" i="74"/>
  <c r="L10" i="10"/>
  <c r="L17" i="10" s="1"/>
  <c r="M181" i="8"/>
  <c r="M187" i="8" s="1"/>
  <c r="T472" i="73"/>
  <c r="S472" i="73"/>
  <c r="L75" i="83"/>
  <c r="M10" i="85"/>
  <c r="L29" i="85"/>
  <c r="M6" i="80"/>
  <c r="M19" i="80" s="1"/>
  <c r="M68" i="83"/>
  <c r="O677" i="74"/>
  <c r="J19" i="80"/>
  <c r="M25" i="85"/>
  <c r="Q606" i="73"/>
  <c r="R606" i="73" s="1"/>
  <c r="E620" i="64" s="1"/>
  <c r="T189" i="85"/>
  <c r="S189" i="85"/>
  <c r="AQ42" i="79" l="1"/>
  <c r="K2335" i="79"/>
  <c r="K2336" i="79" s="1"/>
  <c r="K2404" i="79" s="1"/>
  <c r="U615" i="79"/>
  <c r="C3301" i="79" s="1"/>
  <c r="M1392" i="79"/>
  <c r="M623" i="79"/>
  <c r="N2418" i="79"/>
  <c r="O2335" i="79"/>
  <c r="O2336" i="79" s="1"/>
  <c r="O2404" i="79" s="1"/>
  <c r="P2418" i="79"/>
  <c r="M2335" i="79"/>
  <c r="M2336" i="79" s="1"/>
  <c r="M2404" i="79" s="1"/>
  <c r="N2386" i="79"/>
  <c r="N2417" i="79" s="1"/>
  <c r="H99" i="83" s="1"/>
  <c r="N2416" i="79"/>
  <c r="H98" i="83" s="1"/>
  <c r="R2335" i="79"/>
  <c r="S2386" i="79"/>
  <c r="U831" i="79"/>
  <c r="P2335" i="79"/>
  <c r="L2385" i="79"/>
  <c r="L2418" i="79"/>
  <c r="Q2339" i="79"/>
  <c r="Q2418" i="79"/>
  <c r="M2418" i="79"/>
  <c r="Q2335" i="79"/>
  <c r="N2335" i="79"/>
  <c r="I2362" i="79"/>
  <c r="I2418" i="79"/>
  <c r="I2336" i="79"/>
  <c r="I2404" i="79" s="1"/>
  <c r="M2386" i="79"/>
  <c r="M2417" i="79" s="1"/>
  <c r="G99" i="83" s="1"/>
  <c r="M2416" i="79"/>
  <c r="G98" i="83" s="1"/>
  <c r="K2418" i="79"/>
  <c r="S2339" i="79"/>
  <c r="S2340" i="79" s="1"/>
  <c r="S2418" i="79"/>
  <c r="J2335" i="79"/>
  <c r="S2335" i="79"/>
  <c r="S2336" i="79" s="1"/>
  <c r="S2404" i="79" s="1"/>
  <c r="R2385" i="79"/>
  <c r="R2418" i="79"/>
  <c r="O2385" i="79"/>
  <c r="O2418" i="79"/>
  <c r="L2335" i="79"/>
  <c r="M40" i="10"/>
  <c r="E158" i="64"/>
  <c r="G158" i="64" s="1"/>
  <c r="O33" i="9"/>
  <c r="P26" i="9"/>
  <c r="S26" i="9" s="1"/>
  <c r="S33" i="9" s="1"/>
  <c r="D151" i="9" s="1"/>
  <c r="E104" i="8"/>
  <c r="D97" i="83" s="1"/>
  <c r="T2404" i="79"/>
  <c r="G21" i="83"/>
  <c r="H21" i="83" s="1"/>
  <c r="L176" i="73"/>
  <c r="M158" i="73" s="1"/>
  <c r="K177" i="73"/>
  <c r="K458" i="73" s="1"/>
  <c r="E157" i="64"/>
  <c r="G157" i="64" s="1"/>
  <c r="P678" i="74"/>
  <c r="Q12" i="74"/>
  <c r="H18" i="83"/>
  <c r="AC453" i="40"/>
  <c r="D453" i="40"/>
  <c r="Q453" i="40" s="1"/>
  <c r="AD453" i="40" s="1"/>
  <c r="J2289" i="79"/>
  <c r="J2290" i="79" s="1"/>
  <c r="S623" i="79"/>
  <c r="S2113" i="79" s="1"/>
  <c r="S2402" i="79" s="1"/>
  <c r="S1392" i="79"/>
  <c r="AO1475" i="79"/>
  <c r="U589" i="79"/>
  <c r="C3275" i="79" s="1"/>
  <c r="AP1676" i="79"/>
  <c r="AP1474" i="79"/>
  <c r="J2293" i="79"/>
  <c r="J2418" i="79"/>
  <c r="P2155" i="79"/>
  <c r="P2417" i="79" s="1"/>
  <c r="J99" i="83" s="1"/>
  <c r="P2416" i="79"/>
  <c r="J98" i="83" s="1"/>
  <c r="H465" i="73"/>
  <c r="H467" i="73" s="1"/>
  <c r="N466" i="73"/>
  <c r="O253" i="77" s="1"/>
  <c r="O277" i="77" s="1"/>
  <c r="O181" i="8"/>
  <c r="O187" i="8" s="1"/>
  <c r="N40" i="10" s="1"/>
  <c r="N10" i="10"/>
  <c r="N17" i="10" s="1"/>
  <c r="N54" i="85"/>
  <c r="O36" i="85" s="1"/>
  <c r="I205" i="73"/>
  <c r="I459" i="73" s="1"/>
  <c r="I463" i="73" s="1"/>
  <c r="J204" i="73"/>
  <c r="K186" i="73" s="1"/>
  <c r="E156" i="64"/>
  <c r="G156" i="64" s="1"/>
  <c r="U42" i="79"/>
  <c r="K2291" i="79"/>
  <c r="AQ83" i="79"/>
  <c r="AQ1473" i="79" s="1"/>
  <c r="C54" i="79"/>
  <c r="E142" i="64"/>
  <c r="G142" i="64" s="1"/>
  <c r="E139" i="64"/>
  <c r="G139" i="64" s="1"/>
  <c r="K2294" i="79"/>
  <c r="K2417" i="79" s="1"/>
  <c r="E99" i="83" s="1"/>
  <c r="K2416" i="79"/>
  <c r="E98" i="83" s="1"/>
  <c r="AQ1599" i="79"/>
  <c r="AQ1596" i="79"/>
  <c r="AP1462" i="79"/>
  <c r="D460" i="40"/>
  <c r="Q460" i="40" s="1"/>
  <c r="AD460" i="40" s="1"/>
  <c r="D507" i="40"/>
  <c r="Q507" i="40" s="1"/>
  <c r="AD507" i="40" s="1"/>
  <c r="D464" i="40"/>
  <c r="Q464" i="40" s="1"/>
  <c r="AD464" i="40" s="1"/>
  <c r="D501" i="40"/>
  <c r="Q501" i="40" s="1"/>
  <c r="AD501" i="40" s="1"/>
  <c r="D484" i="40"/>
  <c r="Q484" i="40" s="1"/>
  <c r="AD484" i="40" s="1"/>
  <c r="D458" i="40"/>
  <c r="Q458" i="40" s="1"/>
  <c r="AD458" i="40" s="1"/>
  <c r="F451" i="40"/>
  <c r="S451" i="40" s="1"/>
  <c r="AF451" i="40" s="1"/>
  <c r="F493" i="40"/>
  <c r="S493" i="40" s="1"/>
  <c r="AF493" i="40" s="1"/>
  <c r="F454" i="40"/>
  <c r="S454" i="40" s="1"/>
  <c r="AF454" i="40" s="1"/>
  <c r="D457" i="40"/>
  <c r="Q457" i="40" s="1"/>
  <c r="AD457" i="40" s="1"/>
  <c r="D463" i="40"/>
  <c r="Q463" i="40" s="1"/>
  <c r="AD463" i="40" s="1"/>
  <c r="F449" i="40"/>
  <c r="S449" i="40" s="1"/>
  <c r="AF449" i="40" s="1"/>
  <c r="BZ1053" i="64"/>
  <c r="AY1126" i="64"/>
  <c r="AN1274" i="64"/>
  <c r="CA1200" i="64"/>
  <c r="Q504" i="40"/>
  <c r="AD504" i="40" s="1"/>
  <c r="BK1126" i="64"/>
  <c r="CL1053" i="64"/>
  <c r="BX1126" i="64" s="1"/>
  <c r="F494" i="40"/>
  <c r="D470" i="40"/>
  <c r="CY1200" i="64"/>
  <c r="BY1274" i="64" s="1"/>
  <c r="BL1274" i="64"/>
  <c r="D467" i="40"/>
  <c r="D469" i="40"/>
  <c r="D465" i="40"/>
  <c r="D497" i="40"/>
  <c r="D498" i="40"/>
  <c r="D500" i="40"/>
  <c r="D499" i="40"/>
  <c r="E450" i="40"/>
  <c r="T2337" i="79"/>
  <c r="T2405" i="79" s="1"/>
  <c r="D472" i="40"/>
  <c r="D471" i="40"/>
  <c r="F495" i="40"/>
  <c r="CM1200" i="64"/>
  <c r="AZ1274" i="64"/>
  <c r="T631" i="79"/>
  <c r="T632" i="79" s="1"/>
  <c r="T1394" i="79"/>
  <c r="D505" i="40"/>
  <c r="D502" i="40"/>
  <c r="D462" i="40"/>
  <c r="D466" i="40"/>
  <c r="F492" i="40"/>
  <c r="D468" i="40"/>
  <c r="Q506" i="40"/>
  <c r="AD506" i="40" s="1"/>
  <c r="D473" i="40"/>
  <c r="D483" i="40"/>
  <c r="D474" i="40"/>
  <c r="D496" i="40"/>
  <c r="D503" i="40"/>
  <c r="AM1126" i="64"/>
  <c r="BN1053" i="64"/>
  <c r="D477" i="40"/>
  <c r="D476" i="40"/>
  <c r="D475" i="40"/>
  <c r="AO690" i="64"/>
  <c r="BB690" i="64"/>
  <c r="AQ761" i="64"/>
  <c r="BD761" i="64"/>
  <c r="X691" i="64"/>
  <c r="X762" i="64"/>
  <c r="X833" i="64"/>
  <c r="T762" i="64"/>
  <c r="T833" i="64"/>
  <c r="T691" i="64"/>
  <c r="BO30" i="65"/>
  <c r="BK30" i="65"/>
  <c r="BE31" i="65"/>
  <c r="BR30" i="65"/>
  <c r="BQ30" i="65"/>
  <c r="BL30" i="65"/>
  <c r="BJ30" i="65"/>
  <c r="BG30" i="65"/>
  <c r="BP30" i="65"/>
  <c r="BI30" i="65"/>
  <c r="BM30" i="65"/>
  <c r="BN30" i="65"/>
  <c r="BH30" i="65"/>
  <c r="AH832" i="64"/>
  <c r="AU832" i="64"/>
  <c r="AK832" i="64"/>
  <c r="AX832" i="64"/>
  <c r="AS690" i="64"/>
  <c r="AF690" i="64"/>
  <c r="BA832" i="64"/>
  <c r="AN832" i="64"/>
  <c r="AI690" i="64"/>
  <c r="AV690" i="64"/>
  <c r="AO832" i="64"/>
  <c r="BB832" i="64"/>
  <c r="AY761" i="64"/>
  <c r="AL761" i="64"/>
  <c r="W691" i="64"/>
  <c r="W762" i="64"/>
  <c r="W833" i="64"/>
  <c r="AC691" i="64"/>
  <c r="AC762" i="64"/>
  <c r="AC833" i="64"/>
  <c r="Z762" i="64"/>
  <c r="Z691" i="64"/>
  <c r="Z833" i="64"/>
  <c r="AA762" i="64"/>
  <c r="AA691" i="64"/>
  <c r="AA833" i="64"/>
  <c r="AG832" i="64"/>
  <c r="AT832" i="64"/>
  <c r="AX761" i="64"/>
  <c r="AK761" i="64"/>
  <c r="AM832" i="64"/>
  <c r="AZ832" i="64"/>
  <c r="BC761" i="64"/>
  <c r="AP761" i="64"/>
  <c r="BA761" i="64"/>
  <c r="AN761" i="64"/>
  <c r="AI832" i="64"/>
  <c r="AV832" i="64"/>
  <c r="AW761" i="64"/>
  <c r="AJ761" i="64"/>
  <c r="BD690" i="64"/>
  <c r="AQ690" i="64"/>
  <c r="AL832" i="64"/>
  <c r="AY832" i="64"/>
  <c r="AB833" i="64"/>
  <c r="AB691" i="64"/>
  <c r="AB762" i="64"/>
  <c r="S691" i="64"/>
  <c r="S762" i="64"/>
  <c r="S833" i="64"/>
  <c r="U833" i="64"/>
  <c r="U762" i="64"/>
  <c r="U691" i="64"/>
  <c r="AU761" i="64"/>
  <c r="AH761" i="64"/>
  <c r="AG690" i="64"/>
  <c r="AT690" i="64"/>
  <c r="AX690" i="64"/>
  <c r="AK690" i="64"/>
  <c r="AM690" i="64"/>
  <c r="AZ690" i="64"/>
  <c r="AS832" i="64"/>
  <c r="AF832" i="64"/>
  <c r="AP832" i="64"/>
  <c r="BC832" i="64"/>
  <c r="BA690" i="64"/>
  <c r="AN690" i="64"/>
  <c r="AI761" i="64"/>
  <c r="AV761" i="64"/>
  <c r="AW690" i="64"/>
  <c r="AJ690" i="64"/>
  <c r="BB761" i="64"/>
  <c r="AO761" i="64"/>
  <c r="BD832" i="64"/>
  <c r="AQ832" i="64"/>
  <c r="AY690" i="64"/>
  <c r="AL690" i="64"/>
  <c r="AD691" i="64"/>
  <c r="AD833" i="64"/>
  <c r="AD762" i="64"/>
  <c r="Y691" i="64"/>
  <c r="Y833" i="64"/>
  <c r="Y762" i="64"/>
  <c r="V762" i="64"/>
  <c r="V833" i="64"/>
  <c r="V691" i="64"/>
  <c r="AH690" i="64"/>
  <c r="AU690" i="64"/>
  <c r="AG761" i="64"/>
  <c r="AT761" i="64"/>
  <c r="AM761" i="64"/>
  <c r="AZ761" i="64"/>
  <c r="CG40" i="65"/>
  <c r="CR39" i="65"/>
  <c r="CM39" i="65"/>
  <c r="CJ39" i="65"/>
  <c r="CP39" i="65"/>
  <c r="CN39" i="65"/>
  <c r="CQ39" i="65"/>
  <c r="CS39" i="65"/>
  <c r="CL39" i="65"/>
  <c r="CK39" i="65"/>
  <c r="CO39" i="65"/>
  <c r="CT39" i="65"/>
  <c r="CI39" i="65"/>
  <c r="AS761" i="64"/>
  <c r="AF761" i="64"/>
  <c r="AP690" i="64"/>
  <c r="BC690" i="64"/>
  <c r="BS40" i="65"/>
  <c r="BV39" i="65"/>
  <c r="CD39" i="65"/>
  <c r="CB39" i="65"/>
  <c r="BY39" i="65"/>
  <c r="BW39" i="65"/>
  <c r="CA39" i="65"/>
  <c r="CE39" i="65"/>
  <c r="BU39" i="65"/>
  <c r="CC39" i="65"/>
  <c r="BZ39" i="65"/>
  <c r="BX39" i="65"/>
  <c r="CF39" i="65"/>
  <c r="AJ832" i="64"/>
  <c r="AW832" i="64"/>
  <c r="N349" i="73"/>
  <c r="N556" i="73" s="1"/>
  <c r="A6" i="74"/>
  <c r="A18" i="74" s="1"/>
  <c r="A78" i="74" s="1"/>
  <c r="A108" i="74" s="1"/>
  <c r="A231" i="74" s="1"/>
  <c r="A358" i="74" s="1"/>
  <c r="A559" i="74" s="1"/>
  <c r="A209" i="71"/>
  <c r="M229" i="85"/>
  <c r="N212" i="85"/>
  <c r="N210" i="85"/>
  <c r="M28" i="85"/>
  <c r="M29" i="85" s="1"/>
  <c r="O35" i="85"/>
  <c r="N52" i="85"/>
  <c r="O78" i="85"/>
  <c r="O81" i="85" s="1"/>
  <c r="M204" i="85"/>
  <c r="M202" i="85"/>
  <c r="O203" i="73"/>
  <c r="O201" i="73"/>
  <c r="M557" i="73"/>
  <c r="O254" i="73"/>
  <c r="O257" i="73" s="1"/>
  <c r="O566" i="73"/>
  <c r="O578" i="73"/>
  <c r="O458" i="73"/>
  <c r="R174" i="73"/>
  <c r="Q212" i="73"/>
  <c r="O478" i="73" s="1"/>
  <c r="P229" i="73"/>
  <c r="N461" i="73"/>
  <c r="O345" i="73"/>
  <c r="P232" i="73"/>
  <c r="P1557" i="79"/>
  <c r="P1560" i="79"/>
  <c r="AP1500" i="79"/>
  <c r="AP1748" i="79"/>
  <c r="AN1502" i="79"/>
  <c r="AN1501" i="79"/>
  <c r="AN1533" i="79"/>
  <c r="AN1530" i="79"/>
  <c r="Q1517" i="79"/>
  <c r="AO1541" i="79"/>
  <c r="AO1540" i="79"/>
  <c r="AN1560" i="79"/>
  <c r="AN1557" i="79"/>
  <c r="AP2035" i="79"/>
  <c r="AP1604" i="79"/>
  <c r="AP1552" i="79"/>
  <c r="AP1892" i="79"/>
  <c r="AP1924" i="79" s="1"/>
  <c r="AP1925" i="79" s="1"/>
  <c r="AM1543" i="79"/>
  <c r="AM1546" i="79"/>
  <c r="S1461" i="79"/>
  <c r="S1640" i="79"/>
  <c r="AM1611" i="79"/>
  <c r="AM1608" i="79"/>
  <c r="AM1518" i="79"/>
  <c r="AM1521" i="79"/>
  <c r="T1854" i="79"/>
  <c r="T1962" i="79"/>
  <c r="T1997" i="79"/>
  <c r="Q1534" i="79"/>
  <c r="Q1531" i="79"/>
  <c r="R1928" i="79"/>
  <c r="R1960" i="79" s="1"/>
  <c r="R1961" i="79" s="1"/>
  <c r="R1565" i="79"/>
  <c r="R1580" i="79"/>
  <c r="R1579" i="79"/>
  <c r="AN1546" i="79"/>
  <c r="AN1543" i="79"/>
  <c r="T1640" i="79"/>
  <c r="T1461" i="79"/>
  <c r="T1463" i="79" s="1"/>
  <c r="AN1611" i="79"/>
  <c r="AN1608" i="79"/>
  <c r="S2035" i="79"/>
  <c r="S2067" i="79" s="1"/>
  <c r="S1604" i="79"/>
  <c r="S1999" i="79"/>
  <c r="S2031" i="79" s="1"/>
  <c r="S2032" i="79" s="1"/>
  <c r="S1591" i="79"/>
  <c r="AN1517" i="79"/>
  <c r="AN1520" i="79"/>
  <c r="AQ1962" i="79"/>
  <c r="AQ2033" i="79"/>
  <c r="AO1513" i="79"/>
  <c r="AO1784" i="79"/>
  <c r="AO1816" i="79" s="1"/>
  <c r="AO1817" i="79" s="1"/>
  <c r="Q1606" i="79"/>
  <c r="Q1605" i="79"/>
  <c r="AM1530" i="79"/>
  <c r="AM1533" i="79"/>
  <c r="R1502" i="79"/>
  <c r="R1501" i="79"/>
  <c r="AN1531" i="79"/>
  <c r="AN1534" i="79"/>
  <c r="Q1518" i="79"/>
  <c r="AP1820" i="79"/>
  <c r="AP1852" i="79" s="1"/>
  <c r="AP1853" i="79" s="1"/>
  <c r="AP1526" i="79"/>
  <c r="AP1487" i="79"/>
  <c r="AP1712" i="79"/>
  <c r="AP1964" i="79"/>
  <c r="AP1995" i="79" s="1"/>
  <c r="AP1996" i="79" s="1"/>
  <c r="AP1578" i="79"/>
  <c r="AM1544" i="79"/>
  <c r="AM1547" i="79"/>
  <c r="AM1609" i="79"/>
  <c r="AM1612" i="79"/>
  <c r="Q1569" i="79"/>
  <c r="Q1572" i="79"/>
  <c r="R2068" i="79"/>
  <c r="T1782" i="79"/>
  <c r="T1818" i="79"/>
  <c r="T1710" i="79"/>
  <c r="AO1567" i="79"/>
  <c r="AO1566" i="79"/>
  <c r="Q1502" i="79"/>
  <c r="Q1501" i="79"/>
  <c r="AN1547" i="79"/>
  <c r="AN1544" i="79"/>
  <c r="AO1528" i="79"/>
  <c r="AO1527" i="79"/>
  <c r="T1638" i="79"/>
  <c r="AN1612" i="79"/>
  <c r="AN1609" i="79"/>
  <c r="S1474" i="79"/>
  <c r="S1676" i="79"/>
  <c r="S1892" i="79"/>
  <c r="S1924" i="79" s="1"/>
  <c r="S1925" i="79" s="1"/>
  <c r="S1552" i="79"/>
  <c r="S1712" i="79"/>
  <c r="S1487" i="79"/>
  <c r="Q1582" i="79"/>
  <c r="Q1585" i="79"/>
  <c r="AN1518" i="79"/>
  <c r="AN1521" i="79"/>
  <c r="AQ411" i="79"/>
  <c r="AQ124" i="79"/>
  <c r="AQ1486" i="79" s="1"/>
  <c r="AQ370" i="79"/>
  <c r="AQ493" i="79"/>
  <c r="AQ1603" i="79" s="1"/>
  <c r="AQ247" i="79"/>
  <c r="AQ1525" i="79" s="1"/>
  <c r="AQ288" i="79"/>
  <c r="AQ1538" i="79" s="1"/>
  <c r="AQ329" i="79"/>
  <c r="AQ452" i="79"/>
  <c r="AR452" i="79" s="1"/>
  <c r="Z34" i="79" s="1"/>
  <c r="C1435" i="79" s="1"/>
  <c r="AQ165" i="79"/>
  <c r="AQ1499" i="79" s="1"/>
  <c r="AQ206" i="79"/>
  <c r="AQ1512" i="79" s="1"/>
  <c r="AQ1746" i="79"/>
  <c r="AQ1592" i="79"/>
  <c r="AQ1997" i="79"/>
  <c r="AQ2031" i="79" s="1"/>
  <c r="AQ2032" i="79" s="1"/>
  <c r="Q1596" i="79"/>
  <c r="Q1599" i="79"/>
  <c r="R1552" i="79"/>
  <c r="R1892" i="79"/>
  <c r="R1924" i="79" s="1"/>
  <c r="R1925" i="79" s="1"/>
  <c r="AN1556" i="79"/>
  <c r="AN1559" i="79"/>
  <c r="Q2068" i="79"/>
  <c r="AM1534" i="79"/>
  <c r="AM1531" i="79"/>
  <c r="Q1595" i="79"/>
  <c r="Q1598" i="79"/>
  <c r="P1559" i="79"/>
  <c r="P1556" i="79"/>
  <c r="AO1502" i="79"/>
  <c r="AO1501" i="79"/>
  <c r="AP1538" i="79"/>
  <c r="AP1928" i="79"/>
  <c r="AP1960" i="79" s="1"/>
  <c r="AP1961" i="79" s="1"/>
  <c r="AP1565" i="79"/>
  <c r="AP1784" i="79"/>
  <c r="AP1816" i="79" s="1"/>
  <c r="AP1817" i="79" s="1"/>
  <c r="AP1513" i="79"/>
  <c r="Q1570" i="79"/>
  <c r="Q1573" i="79"/>
  <c r="R1606" i="79"/>
  <c r="R1605" i="79"/>
  <c r="R1541" i="79"/>
  <c r="R1540" i="79"/>
  <c r="T206" i="79"/>
  <c r="T1512" i="79" s="1"/>
  <c r="T165" i="79"/>
  <c r="T1499" i="79" s="1"/>
  <c r="T329" i="79"/>
  <c r="T124" i="79"/>
  <c r="T452" i="79"/>
  <c r="T288" i="79"/>
  <c r="T1538" i="79" s="1"/>
  <c r="T83" i="79"/>
  <c r="T1473" i="79" s="1"/>
  <c r="T247" i="79"/>
  <c r="T493" i="79"/>
  <c r="T370" i="79"/>
  <c r="T411" i="79"/>
  <c r="T1746" i="79"/>
  <c r="T1926" i="79"/>
  <c r="AQ1460" i="79"/>
  <c r="AR42" i="79"/>
  <c r="R1820" i="79"/>
  <c r="R1852" i="79" s="1"/>
  <c r="R1853" i="79" s="1"/>
  <c r="R1526" i="79"/>
  <c r="AN1572" i="79"/>
  <c r="AN1569" i="79"/>
  <c r="AN1580" i="79"/>
  <c r="AN1579" i="79"/>
  <c r="S1820" i="79"/>
  <c r="S1852" i="79" s="1"/>
  <c r="S1853" i="79" s="1"/>
  <c r="S1526" i="79"/>
  <c r="S1784" i="79"/>
  <c r="S1513" i="79"/>
  <c r="S1578" i="79"/>
  <c r="S1964" i="79"/>
  <c r="S1995" i="79" s="1"/>
  <c r="S1996" i="79" s="1"/>
  <c r="Q1583" i="79"/>
  <c r="Q1586" i="79"/>
  <c r="Q1559" i="79"/>
  <c r="Q1556" i="79"/>
  <c r="R1474" i="79"/>
  <c r="R1676" i="79"/>
  <c r="R1513" i="79"/>
  <c r="R1784" i="79"/>
  <c r="AQ1926" i="79"/>
  <c r="AQ1854" i="79"/>
  <c r="AQ1818" i="79"/>
  <c r="AO1554" i="79"/>
  <c r="AO1553" i="79"/>
  <c r="AO2035" i="79"/>
  <c r="AO1604" i="79"/>
  <c r="AM1520" i="79"/>
  <c r="AM1517" i="79"/>
  <c r="R1593" i="79"/>
  <c r="R1592" i="79"/>
  <c r="T1890" i="79"/>
  <c r="T1674" i="79"/>
  <c r="T2033" i="79"/>
  <c r="AO1580" i="79"/>
  <c r="AO1579" i="79"/>
  <c r="AP1598" i="79"/>
  <c r="AP1595" i="79"/>
  <c r="Q1541" i="79"/>
  <c r="Q1540" i="79"/>
  <c r="AQ1638" i="79"/>
  <c r="Q1530" i="79"/>
  <c r="Q1533" i="79"/>
  <c r="AN1570" i="79"/>
  <c r="AN1573" i="79"/>
  <c r="AO1487" i="79"/>
  <c r="AO1712" i="79"/>
  <c r="S1928" i="79"/>
  <c r="S1960" i="79" s="1"/>
  <c r="S1961" i="79" s="1"/>
  <c r="S1565" i="79"/>
  <c r="S1539" i="79"/>
  <c r="S1856" i="79"/>
  <c r="S1748" i="79"/>
  <c r="S1500" i="79"/>
  <c r="Q1557" i="79"/>
  <c r="Q1560" i="79"/>
  <c r="R1489" i="79"/>
  <c r="R1488" i="79"/>
  <c r="AQ1674" i="79"/>
  <c r="AQ1782" i="79"/>
  <c r="AQ1890" i="79"/>
  <c r="AQ1710" i="79"/>
  <c r="G139" i="71"/>
  <c r="L239" i="85"/>
  <c r="G100" i="71"/>
  <c r="G113" i="71"/>
  <c r="C67" i="61"/>
  <c r="N9" i="85"/>
  <c r="M26" i="85"/>
  <c r="N319" i="77" s="1"/>
  <c r="C66" i="61"/>
  <c r="G144" i="71"/>
  <c r="G147" i="71"/>
  <c r="C43" i="71"/>
  <c r="S43" i="73"/>
  <c r="R43" i="73"/>
  <c r="R44" i="73"/>
  <c r="G131" i="71" s="1"/>
  <c r="R45" i="73"/>
  <c r="G132" i="71" s="1"/>
  <c r="M75" i="83"/>
  <c r="J45" i="80"/>
  <c r="P9" i="74"/>
  <c r="C20" i="25"/>
  <c r="R50" i="73"/>
  <c r="G127" i="71"/>
  <c r="G125" i="71"/>
  <c r="C50" i="61" s="1"/>
  <c r="C46" i="61"/>
  <c r="K2337" i="79" l="1"/>
  <c r="K2405" i="79" s="1"/>
  <c r="M2113" i="79"/>
  <c r="M2402" i="79" s="1"/>
  <c r="M631" i="79"/>
  <c r="M1394" i="79"/>
  <c r="O2337" i="79"/>
  <c r="O2405" i="79" s="1"/>
  <c r="I2337" i="79"/>
  <c r="I2405" i="79" s="1"/>
  <c r="S2416" i="79"/>
  <c r="M98" i="83" s="1"/>
  <c r="L2336" i="79"/>
  <c r="L2404" i="79" s="1"/>
  <c r="M2337" i="79"/>
  <c r="M2405" i="79" s="1"/>
  <c r="Q2336" i="79"/>
  <c r="Q2404" i="79" s="1"/>
  <c r="O2416" i="79"/>
  <c r="I98" i="83" s="1"/>
  <c r="O2386" i="79"/>
  <c r="O2417" i="79" s="1"/>
  <c r="I99" i="83" s="1"/>
  <c r="J2336" i="79"/>
  <c r="J2337" i="79" s="1"/>
  <c r="S2417" i="79"/>
  <c r="M99" i="83" s="1"/>
  <c r="S2337" i="79"/>
  <c r="S2405" i="79" s="1"/>
  <c r="R2386" i="79"/>
  <c r="R2417" i="79" s="1"/>
  <c r="L99" i="83" s="1"/>
  <c r="R2416" i="79"/>
  <c r="L98" i="83" s="1"/>
  <c r="Q2340" i="79"/>
  <c r="Q2417" i="79" s="1"/>
  <c r="K99" i="83" s="1"/>
  <c r="Q2416" i="79"/>
  <c r="K98" i="83" s="1"/>
  <c r="R2336" i="79"/>
  <c r="R2404" i="79" s="1"/>
  <c r="I2363" i="79"/>
  <c r="I2417" i="79" s="1"/>
  <c r="C99" i="83" s="1"/>
  <c r="I2416" i="79"/>
  <c r="C98" i="83" s="1"/>
  <c r="L2386" i="79"/>
  <c r="L2417" i="79" s="1"/>
  <c r="F99" i="83" s="1"/>
  <c r="L2416" i="79"/>
  <c r="F98" i="83" s="1"/>
  <c r="N2336" i="79"/>
  <c r="N2404" i="79" s="1"/>
  <c r="P2336" i="79"/>
  <c r="P2404" i="79" s="1"/>
  <c r="A647" i="74"/>
  <c r="A655" i="74" s="1"/>
  <c r="A657" i="74" s="1"/>
  <c r="A7" i="8" s="1"/>
  <c r="A9" i="8" s="1"/>
  <c r="A57" i="8" s="1"/>
  <c r="A90" i="8" s="1"/>
  <c r="A154" i="8" s="1"/>
  <c r="A179" i="8" s="1"/>
  <c r="A193" i="8" s="1"/>
  <c r="A191" i="8" s="1"/>
  <c r="A206" i="8" s="1"/>
  <c r="A208" i="8" s="1"/>
  <c r="A6" i="9" s="1"/>
  <c r="A21" i="9" s="1"/>
  <c r="A36" i="9" s="1"/>
  <c r="A51" i="9" s="1"/>
  <c r="A65" i="9" s="1"/>
  <c r="A80" i="9" s="1"/>
  <c r="A95" i="9" s="1"/>
  <c r="A106" i="9" s="1"/>
  <c r="A117" i="9" s="1"/>
  <c r="A132" i="9" s="1"/>
  <c r="A336" i="74"/>
  <c r="U623" i="79"/>
  <c r="C3309" i="79" s="1"/>
  <c r="I93" i="61"/>
  <c r="D154" i="9"/>
  <c r="N50" i="10"/>
  <c r="O50" i="10" s="1"/>
  <c r="C8" i="25" s="1"/>
  <c r="H47" i="25" s="1"/>
  <c r="P33" i="9"/>
  <c r="P104" i="8"/>
  <c r="L177" i="73"/>
  <c r="M176" i="73"/>
  <c r="N158" i="73" s="1"/>
  <c r="N176" i="73" s="1"/>
  <c r="N177" i="73" s="1"/>
  <c r="AR83" i="79"/>
  <c r="Z87" i="79" s="1"/>
  <c r="O10" i="10"/>
  <c r="N44" i="80"/>
  <c r="N45" i="80" s="1"/>
  <c r="Z54" i="79"/>
  <c r="AP54" i="79" s="1"/>
  <c r="Z47" i="79"/>
  <c r="Z46" i="79"/>
  <c r="C45" i="79"/>
  <c r="P45" i="79" s="1"/>
  <c r="C47" i="79"/>
  <c r="C46" i="79"/>
  <c r="J2291" i="79"/>
  <c r="S631" i="79"/>
  <c r="S1394" i="79"/>
  <c r="C53" i="79"/>
  <c r="O53" i="79" s="1"/>
  <c r="C52" i="79"/>
  <c r="R52" i="79" s="1"/>
  <c r="C59" i="79"/>
  <c r="Q59" i="79" s="1"/>
  <c r="K390" i="40" s="1"/>
  <c r="C70" i="79"/>
  <c r="T70" i="79" s="1"/>
  <c r="C69" i="79"/>
  <c r="O69" i="79" s="1"/>
  <c r="C75" i="79"/>
  <c r="Q75" i="79" s="1"/>
  <c r="C74" i="79"/>
  <c r="O74" i="79" s="1"/>
  <c r="C14" i="79"/>
  <c r="C1413" i="79" s="1"/>
  <c r="AQ1676" i="79"/>
  <c r="AQ1474" i="79"/>
  <c r="AP1476" i="79"/>
  <c r="AP1475" i="79"/>
  <c r="N55" i="85"/>
  <c r="N204" i="85" s="1"/>
  <c r="P181" i="8"/>
  <c r="I254" i="77"/>
  <c r="I255" i="77" s="1"/>
  <c r="I273" i="77"/>
  <c r="J2294" i="79"/>
  <c r="J2417" i="79" s="1"/>
  <c r="D99" i="83" s="1"/>
  <c r="J2416" i="79"/>
  <c r="D98" i="83" s="1"/>
  <c r="I465" i="73"/>
  <c r="I467" i="73" s="1"/>
  <c r="C44" i="71"/>
  <c r="C46" i="71"/>
  <c r="J205" i="73"/>
  <c r="J459" i="73" s="1"/>
  <c r="J463" i="73" s="1"/>
  <c r="K204" i="73"/>
  <c r="L186" i="73" s="1"/>
  <c r="N10" i="85"/>
  <c r="Z95" i="79"/>
  <c r="O54" i="79"/>
  <c r="T54" i="79"/>
  <c r="Q54" i="79"/>
  <c r="R54" i="79"/>
  <c r="L54" i="79"/>
  <c r="K54" i="79"/>
  <c r="N54" i="79"/>
  <c r="I54" i="79"/>
  <c r="S54" i="79"/>
  <c r="M54" i="79"/>
  <c r="J54" i="79"/>
  <c r="P54" i="79"/>
  <c r="N462" i="73"/>
  <c r="N554" i="73"/>
  <c r="N555" i="73" s="1"/>
  <c r="E484" i="40"/>
  <c r="R484" i="40" s="1"/>
  <c r="AE484" i="40" s="1"/>
  <c r="E464" i="40"/>
  <c r="R464" i="40" s="1"/>
  <c r="AE464" i="40" s="1"/>
  <c r="E506" i="40"/>
  <c r="R506" i="40" s="1"/>
  <c r="AE506" i="40" s="1"/>
  <c r="E453" i="40"/>
  <c r="R453" i="40" s="1"/>
  <c r="AE453" i="40" s="1"/>
  <c r="G449" i="40"/>
  <c r="T449" i="40" s="1"/>
  <c r="AG449" i="40" s="1"/>
  <c r="G451" i="40"/>
  <c r="T451" i="40" s="1"/>
  <c r="AG451" i="40" s="1"/>
  <c r="E463" i="40"/>
  <c r="R463" i="40" s="1"/>
  <c r="AE463" i="40" s="1"/>
  <c r="E507" i="40"/>
  <c r="R507" i="40" s="1"/>
  <c r="AE507" i="40" s="1"/>
  <c r="G454" i="40"/>
  <c r="T454" i="40" s="1"/>
  <c r="AG454" i="40" s="1"/>
  <c r="E504" i="40"/>
  <c r="R504" i="40" s="1"/>
  <c r="AE504" i="40" s="1"/>
  <c r="E501" i="40"/>
  <c r="R501" i="40" s="1"/>
  <c r="AE501" i="40" s="1"/>
  <c r="Q476" i="40"/>
  <c r="AD476" i="40" s="1"/>
  <c r="Q503" i="40"/>
  <c r="AD503" i="40" s="1"/>
  <c r="Q505" i="40"/>
  <c r="AD505" i="40" s="1"/>
  <c r="CZ1200" i="64"/>
  <c r="BZ1274" i="64" s="1"/>
  <c r="BM1274" i="64"/>
  <c r="Q467" i="40"/>
  <c r="AD467" i="40" s="1"/>
  <c r="AR206" i="79"/>
  <c r="Z22" i="79" s="1"/>
  <c r="C1429" i="79" s="1"/>
  <c r="Q477" i="40"/>
  <c r="AD477" i="40" s="1"/>
  <c r="Q496" i="40"/>
  <c r="AD496" i="40" s="1"/>
  <c r="Q473" i="40"/>
  <c r="AD473" i="40" s="1"/>
  <c r="Q468" i="40"/>
  <c r="AD468" i="40" s="1"/>
  <c r="Q466" i="40"/>
  <c r="AD466" i="40" s="1"/>
  <c r="S495" i="40"/>
  <c r="AF495" i="40" s="1"/>
  <c r="R450" i="40"/>
  <c r="AE450" i="40" s="1"/>
  <c r="Q470" i="40"/>
  <c r="AD470" i="40" s="1"/>
  <c r="CM1053" i="64"/>
  <c r="BY1126" i="64" s="1"/>
  <c r="BL1126" i="64"/>
  <c r="AZ1126" i="64"/>
  <c r="CA1053" i="64"/>
  <c r="Q474" i="40"/>
  <c r="AD474" i="40" s="1"/>
  <c r="Q462" i="40"/>
  <c r="AD462" i="40" s="1"/>
  <c r="T1396" i="79"/>
  <c r="Q471" i="40"/>
  <c r="AD471" i="40" s="1"/>
  <c r="Q499" i="40"/>
  <c r="AD499" i="40" s="1"/>
  <c r="Q498" i="40"/>
  <c r="AD498" i="40" s="1"/>
  <c r="Q465" i="40"/>
  <c r="AD465" i="40" s="1"/>
  <c r="S494" i="40"/>
  <c r="AF494" i="40" s="1"/>
  <c r="G493" i="40"/>
  <c r="E458" i="40"/>
  <c r="Q475" i="40"/>
  <c r="AD475" i="40" s="1"/>
  <c r="Q483" i="40"/>
  <c r="AD483" i="40" s="1"/>
  <c r="S492" i="40"/>
  <c r="AF492" i="40" s="1"/>
  <c r="Q502" i="40"/>
  <c r="AD502" i="40" s="1"/>
  <c r="E457" i="40"/>
  <c r="E460" i="40"/>
  <c r="Q472" i="40"/>
  <c r="AD472" i="40" s="1"/>
  <c r="Q500" i="40"/>
  <c r="AD500" i="40" s="1"/>
  <c r="Q497" i="40"/>
  <c r="AD497" i="40" s="1"/>
  <c r="Q469" i="40"/>
  <c r="AD469" i="40" s="1"/>
  <c r="BA1274" i="64"/>
  <c r="CN1200" i="64"/>
  <c r="AR124" i="79"/>
  <c r="Z157" i="79" s="1"/>
  <c r="AR288" i="79"/>
  <c r="Z26" i="79" s="1"/>
  <c r="C1431" i="79" s="1"/>
  <c r="T1462" i="79"/>
  <c r="BS41" i="65"/>
  <c r="BV40" i="65"/>
  <c r="CD40" i="65"/>
  <c r="BZ40" i="65"/>
  <c r="BW40" i="65"/>
  <c r="CE40" i="65"/>
  <c r="BU40" i="65"/>
  <c r="CC40" i="65"/>
  <c r="CA40" i="65"/>
  <c r="BX40" i="65"/>
  <c r="CF40" i="65"/>
  <c r="CB40" i="65"/>
  <c r="BY40" i="65"/>
  <c r="AI762" i="64"/>
  <c r="AV762" i="64"/>
  <c r="BD762" i="64"/>
  <c r="AQ762" i="64"/>
  <c r="AU762" i="64"/>
  <c r="AH762" i="64"/>
  <c r="AS691" i="64"/>
  <c r="AF691" i="64"/>
  <c r="BA691" i="64"/>
  <c r="AN691" i="64"/>
  <c r="AZ762" i="64"/>
  <c r="AM762" i="64"/>
  <c r="AW833" i="64"/>
  <c r="AJ833" i="64"/>
  <c r="U763" i="64"/>
  <c r="U834" i="64"/>
  <c r="U692" i="64"/>
  <c r="X692" i="64"/>
  <c r="X763" i="64"/>
  <c r="X834" i="64"/>
  <c r="W692" i="64"/>
  <c r="W834" i="64"/>
  <c r="W763" i="64"/>
  <c r="AT762" i="64"/>
  <c r="AG762" i="64"/>
  <c r="AY762" i="64"/>
  <c r="AL762" i="64"/>
  <c r="BD833" i="64"/>
  <c r="AQ833" i="64"/>
  <c r="AH833" i="64"/>
  <c r="AU833" i="64"/>
  <c r="BB762" i="64"/>
  <c r="AO762" i="64"/>
  <c r="BA762" i="64"/>
  <c r="AN762" i="64"/>
  <c r="BC833" i="64"/>
  <c r="AP833" i="64"/>
  <c r="AJ762" i="64"/>
  <c r="AW762" i="64"/>
  <c r="T763" i="64"/>
  <c r="T834" i="64"/>
  <c r="T692" i="64"/>
  <c r="AB834" i="64"/>
  <c r="AB763" i="64"/>
  <c r="AB692" i="64"/>
  <c r="AC692" i="64"/>
  <c r="AC834" i="64"/>
  <c r="AC763" i="64"/>
  <c r="AA763" i="64"/>
  <c r="AA692" i="64"/>
  <c r="AA834" i="64"/>
  <c r="AX833" i="64"/>
  <c r="AK833" i="64"/>
  <c r="CG41" i="65"/>
  <c r="CN40" i="65"/>
  <c r="CM40" i="65"/>
  <c r="CS40" i="65"/>
  <c r="CL40" i="65"/>
  <c r="CI40" i="65"/>
  <c r="CJ40" i="65"/>
  <c r="CK40" i="65"/>
  <c r="CO40" i="65"/>
  <c r="CT40" i="65"/>
  <c r="CQ40" i="65"/>
  <c r="CR40" i="65"/>
  <c r="CP40" i="65"/>
  <c r="AI691" i="64"/>
  <c r="AV691" i="64"/>
  <c r="AL833" i="64"/>
  <c r="AY833" i="64"/>
  <c r="BD691" i="64"/>
  <c r="AQ691" i="64"/>
  <c r="AF833" i="64"/>
  <c r="AS833" i="64"/>
  <c r="AO691" i="64"/>
  <c r="BB691" i="64"/>
  <c r="AZ833" i="64"/>
  <c r="AM833" i="64"/>
  <c r="AP762" i="64"/>
  <c r="BC762" i="64"/>
  <c r="AJ691" i="64"/>
  <c r="AW691" i="64"/>
  <c r="Z692" i="64"/>
  <c r="Z763" i="64"/>
  <c r="Z834" i="64"/>
  <c r="S692" i="64"/>
  <c r="S763" i="64"/>
  <c r="S834" i="64"/>
  <c r="AD763" i="64"/>
  <c r="AD834" i="64"/>
  <c r="AD692" i="64"/>
  <c r="AG691" i="64"/>
  <c r="AT691" i="64"/>
  <c r="AX762" i="64"/>
  <c r="AK762" i="64"/>
  <c r="AI833" i="64"/>
  <c r="AV833" i="64"/>
  <c r="AY691" i="64"/>
  <c r="AL691" i="64"/>
  <c r="AU691" i="64"/>
  <c r="AH691" i="64"/>
  <c r="AF762" i="64"/>
  <c r="AS762" i="64"/>
  <c r="BB833" i="64"/>
  <c r="AO833" i="64"/>
  <c r="BA833" i="64"/>
  <c r="AN833" i="64"/>
  <c r="AZ691" i="64"/>
  <c r="AM691" i="64"/>
  <c r="AP691" i="64"/>
  <c r="BC691" i="64"/>
  <c r="Y834" i="64"/>
  <c r="Y692" i="64"/>
  <c r="Y763" i="64"/>
  <c r="V834" i="64"/>
  <c r="V763" i="64"/>
  <c r="V692" i="64"/>
  <c r="BE32" i="65"/>
  <c r="BK31" i="65"/>
  <c r="BG31" i="65"/>
  <c r="BQ31" i="65"/>
  <c r="BL31" i="65"/>
  <c r="BJ31" i="65"/>
  <c r="BN31" i="65"/>
  <c r="BP31" i="65"/>
  <c r="BH31" i="65"/>
  <c r="BO31" i="65"/>
  <c r="BI31" i="65"/>
  <c r="BM31" i="65"/>
  <c r="BR31" i="65"/>
  <c r="AG833" i="64"/>
  <c r="AT833" i="64"/>
  <c r="AX691" i="64"/>
  <c r="AK691" i="64"/>
  <c r="AR247" i="79"/>
  <c r="Z24" i="79" s="1"/>
  <c r="C1430" i="79" s="1"/>
  <c r="N211" i="85"/>
  <c r="N213" i="85" s="1"/>
  <c r="P62" i="85"/>
  <c r="O79" i="85"/>
  <c r="O51" i="85"/>
  <c r="O54" i="85" s="1"/>
  <c r="M203" i="85"/>
  <c r="M205" i="85" s="1"/>
  <c r="P63" i="85"/>
  <c r="O82" i="85"/>
  <c r="M570" i="73"/>
  <c r="P185" i="73"/>
  <c r="O202" i="73"/>
  <c r="P240" i="73"/>
  <c r="O258" i="73"/>
  <c r="P332" i="73"/>
  <c r="O346" i="73"/>
  <c r="O348" i="73"/>
  <c r="P460" i="73"/>
  <c r="Q228" i="73"/>
  <c r="Q229" i="73" s="1"/>
  <c r="D625" i="73"/>
  <c r="P239" i="73"/>
  <c r="O255" i="73"/>
  <c r="U288" i="79"/>
  <c r="C26" i="79" s="1"/>
  <c r="C1419" i="79" s="1"/>
  <c r="U206" i="79"/>
  <c r="C209" i="79" s="1"/>
  <c r="R1596" i="79"/>
  <c r="R1599" i="79"/>
  <c r="AO1606" i="79"/>
  <c r="AO1605" i="79"/>
  <c r="S1580" i="79"/>
  <c r="S1579" i="79"/>
  <c r="R1528" i="79"/>
  <c r="R1527" i="79"/>
  <c r="T1577" i="79"/>
  <c r="U411" i="79"/>
  <c r="T1676" i="79"/>
  <c r="T1474" i="79"/>
  <c r="T1551" i="79"/>
  <c r="U329" i="79"/>
  <c r="C28" i="79" s="1"/>
  <c r="C1420" i="79" s="1"/>
  <c r="R1547" i="79"/>
  <c r="R1544" i="79"/>
  <c r="AP1567" i="79"/>
  <c r="AP1566" i="79"/>
  <c r="AQ1604" i="79"/>
  <c r="AQ2035" i="79"/>
  <c r="S1476" i="79"/>
  <c r="S1475" i="79"/>
  <c r="AO1570" i="79"/>
  <c r="AO1573" i="79"/>
  <c r="AP1580" i="79"/>
  <c r="AP1579" i="79"/>
  <c r="AP1528" i="79"/>
  <c r="AP1527" i="79"/>
  <c r="S1593" i="79"/>
  <c r="S1592" i="79"/>
  <c r="Z111" i="79"/>
  <c r="Z100" i="79"/>
  <c r="Z94" i="79"/>
  <c r="R1586" i="79"/>
  <c r="R1583" i="79"/>
  <c r="AP1606" i="79"/>
  <c r="AP1605" i="79"/>
  <c r="S1541" i="79"/>
  <c r="S1540" i="79"/>
  <c r="AO1489" i="79"/>
  <c r="AO1488" i="79"/>
  <c r="Q1547" i="79"/>
  <c r="Q1544" i="79"/>
  <c r="AO1582" i="79"/>
  <c r="AO1585" i="79"/>
  <c r="S1502" i="79"/>
  <c r="S1501" i="79"/>
  <c r="S1567" i="79"/>
  <c r="S1566" i="79"/>
  <c r="AO1586" i="79"/>
  <c r="AO1583" i="79"/>
  <c r="R1476" i="79"/>
  <c r="R1475" i="79"/>
  <c r="S1515" i="79"/>
  <c r="S1514" i="79"/>
  <c r="AN1585" i="79"/>
  <c r="AN1582" i="79"/>
  <c r="Z75" i="79"/>
  <c r="Z14" i="79"/>
  <c r="C1425" i="79" s="1"/>
  <c r="Z70" i="79"/>
  <c r="Z59" i="79"/>
  <c r="Z52" i="79"/>
  <c r="Z74" i="79"/>
  <c r="Z53" i="79"/>
  <c r="Z69" i="79"/>
  <c r="Z45" i="79"/>
  <c r="T1564" i="79"/>
  <c r="U370" i="79"/>
  <c r="C30" i="79" s="1"/>
  <c r="C1421" i="79" s="1"/>
  <c r="T1856" i="79"/>
  <c r="T1539" i="79"/>
  <c r="T1500" i="79"/>
  <c r="T1748" i="79"/>
  <c r="R1611" i="79"/>
  <c r="R1608" i="79"/>
  <c r="R1554" i="79"/>
  <c r="R1553" i="79"/>
  <c r="AR493" i="79"/>
  <c r="Z36" i="79" s="1"/>
  <c r="AQ1551" i="79"/>
  <c r="AR329" i="79"/>
  <c r="Z28" i="79" s="1"/>
  <c r="C1432" i="79" s="1"/>
  <c r="AQ1564" i="79"/>
  <c r="AR370" i="79"/>
  <c r="Z30" i="79" s="1"/>
  <c r="C1433" i="79" s="1"/>
  <c r="U83" i="79"/>
  <c r="S1554" i="79"/>
  <c r="S1553" i="79"/>
  <c r="AO1533" i="79"/>
  <c r="AO1530" i="79"/>
  <c r="U165" i="79"/>
  <c r="R1567" i="79"/>
  <c r="R1566" i="79"/>
  <c r="AO1543" i="79"/>
  <c r="AO1546" i="79"/>
  <c r="AO1559" i="79"/>
  <c r="AO1556" i="79"/>
  <c r="AN1583" i="79"/>
  <c r="AN1586" i="79"/>
  <c r="AQ1640" i="79"/>
  <c r="AQ1461" i="79"/>
  <c r="T1603" i="79"/>
  <c r="U493" i="79"/>
  <c r="T1590" i="79"/>
  <c r="U452" i="79"/>
  <c r="C34" i="79" s="1"/>
  <c r="C1423" i="79" s="1"/>
  <c r="T1784" i="79"/>
  <c r="T1513" i="79"/>
  <c r="R1609" i="79"/>
  <c r="R1612" i="79"/>
  <c r="AP1515" i="79"/>
  <c r="AP1514" i="79"/>
  <c r="AQ1784" i="79"/>
  <c r="AQ1816" i="79" s="1"/>
  <c r="AQ1817" i="79" s="1"/>
  <c r="AQ1513" i="79"/>
  <c r="AQ1856" i="79"/>
  <c r="AQ1539" i="79"/>
  <c r="AQ1487" i="79"/>
  <c r="AQ1712" i="79"/>
  <c r="AO1534" i="79"/>
  <c r="AO1531" i="79"/>
  <c r="Q1608" i="79"/>
  <c r="Q1611" i="79"/>
  <c r="S1606" i="79"/>
  <c r="S1605" i="79"/>
  <c r="AO1544" i="79"/>
  <c r="AO1547" i="79"/>
  <c r="Q1543" i="79"/>
  <c r="Q1546" i="79"/>
  <c r="R1595" i="79"/>
  <c r="R1598" i="79"/>
  <c r="AO1557" i="79"/>
  <c r="AO1560" i="79"/>
  <c r="R1515" i="79"/>
  <c r="R1514" i="79"/>
  <c r="S1528" i="79"/>
  <c r="S1527" i="79"/>
  <c r="T1525" i="79"/>
  <c r="U247" i="79"/>
  <c r="C24" i="79" s="1"/>
  <c r="C1418" i="79" s="1"/>
  <c r="T1486" i="79"/>
  <c r="U124" i="79"/>
  <c r="R1543" i="79"/>
  <c r="R1546" i="79"/>
  <c r="AP1856" i="79"/>
  <c r="AP1539" i="79"/>
  <c r="AQ1595" i="79"/>
  <c r="AQ1598" i="79"/>
  <c r="AQ1500" i="79"/>
  <c r="AQ1748" i="79"/>
  <c r="AQ1820" i="79"/>
  <c r="AQ1852" i="79" s="1"/>
  <c r="AQ1853" i="79" s="1"/>
  <c r="AQ1526" i="79"/>
  <c r="AQ1577" i="79"/>
  <c r="AR411" i="79"/>
  <c r="Z32" i="79" s="1"/>
  <c r="C1434" i="79" s="1"/>
  <c r="S1489" i="79"/>
  <c r="S1488" i="79"/>
  <c r="AO1572" i="79"/>
  <c r="AO1569" i="79"/>
  <c r="AP1489" i="79"/>
  <c r="AP1488" i="79"/>
  <c r="Q1609" i="79"/>
  <c r="Q1612" i="79"/>
  <c r="AO1515" i="79"/>
  <c r="AO1514" i="79"/>
  <c r="S2068" i="79"/>
  <c r="R1582" i="79"/>
  <c r="R1585" i="79"/>
  <c r="AR165" i="79"/>
  <c r="S1462" i="79"/>
  <c r="S1463" i="79"/>
  <c r="AP1554" i="79"/>
  <c r="AP1553" i="79"/>
  <c r="AP1502" i="79"/>
  <c r="AP1501" i="79"/>
  <c r="N25" i="85"/>
  <c r="M337" i="77"/>
  <c r="M320" i="77"/>
  <c r="M239" i="85"/>
  <c r="N337" i="77" s="1"/>
  <c r="C680" i="74"/>
  <c r="S140" i="77"/>
  <c r="G621" i="73"/>
  <c r="H621" i="73" s="1"/>
  <c r="L40" i="10"/>
  <c r="O40" i="10" s="1"/>
  <c r="L44" i="80"/>
  <c r="P187" i="8"/>
  <c r="Z16" i="79" l="1"/>
  <c r="C1426" i="79" s="1"/>
  <c r="Z110" i="79"/>
  <c r="AF110" i="79" s="1"/>
  <c r="Z115" i="79"/>
  <c r="AJ115" i="79" s="1"/>
  <c r="U631" i="79"/>
  <c r="C3317" i="79" s="1"/>
  <c r="M1396" i="79"/>
  <c r="M632" i="79"/>
  <c r="L2337" i="79"/>
  <c r="L2405" i="79" s="1"/>
  <c r="R2337" i="79"/>
  <c r="R2405" i="79" s="1"/>
  <c r="N202" i="85"/>
  <c r="J2405" i="79"/>
  <c r="J2404" i="79"/>
  <c r="Q2337" i="79"/>
  <c r="Q2405" i="79" s="1"/>
  <c r="P2337" i="79"/>
  <c r="P2405" i="79" s="1"/>
  <c r="N2337" i="79"/>
  <c r="N2405" i="79" s="1"/>
  <c r="Z86" i="79"/>
  <c r="AK86" i="79" s="1"/>
  <c r="Z93" i="79"/>
  <c r="AQ93" i="79" s="1"/>
  <c r="L69" i="79"/>
  <c r="L45" i="79"/>
  <c r="L1646" i="79" s="1"/>
  <c r="O45" i="79"/>
  <c r="N45" i="79"/>
  <c r="N1646" i="79" s="1"/>
  <c r="Q45" i="79"/>
  <c r="R45" i="79"/>
  <c r="R1646" i="79" s="1"/>
  <c r="M45" i="79"/>
  <c r="M1646" i="79" s="1"/>
  <c r="I45" i="79"/>
  <c r="I1646" i="79" s="1"/>
  <c r="N557" i="73"/>
  <c r="J45" i="79"/>
  <c r="S45" i="79"/>
  <c r="S1646" i="79" s="1"/>
  <c r="K45" i="79"/>
  <c r="K1646" i="79" s="1"/>
  <c r="T45" i="79"/>
  <c r="Z20" i="79"/>
  <c r="C1428" i="79" s="1"/>
  <c r="Z182" i="79"/>
  <c r="Z168" i="79"/>
  <c r="Z198" i="79"/>
  <c r="Z192" i="79"/>
  <c r="Z169" i="79"/>
  <c r="Z197" i="79"/>
  <c r="Z175" i="79"/>
  <c r="I107" i="61"/>
  <c r="C151" i="9"/>
  <c r="C152" i="9"/>
  <c r="D91" i="61" s="1"/>
  <c r="D90" i="61" s="1"/>
  <c r="Q53" i="79"/>
  <c r="Z116" i="79"/>
  <c r="AJ116" i="79" s="1"/>
  <c r="I98" i="61"/>
  <c r="I96" i="61"/>
  <c r="I97" i="61"/>
  <c r="J254" i="77"/>
  <c r="J255" i="77" s="1"/>
  <c r="H4" i="25"/>
  <c r="H10" i="25" s="1"/>
  <c r="C5" i="25"/>
  <c r="O17" i="10"/>
  <c r="Z88" i="79"/>
  <c r="AL88" i="79" s="1"/>
  <c r="AL1680" i="79" s="1"/>
  <c r="C22" i="25"/>
  <c r="M177" i="73"/>
  <c r="R177" i="73" s="1"/>
  <c r="M464" i="73"/>
  <c r="N458" i="73"/>
  <c r="J273" i="77"/>
  <c r="K464" i="73"/>
  <c r="L458" i="73"/>
  <c r="AL54" i="79"/>
  <c r="AG54" i="79"/>
  <c r="AN54" i="79"/>
  <c r="K75" i="79"/>
  <c r="S75" i="79"/>
  <c r="AM54" i="79"/>
  <c r="AK54" i="79"/>
  <c r="AO54" i="79"/>
  <c r="R75" i="79"/>
  <c r="AF54" i="79"/>
  <c r="AI54" i="79"/>
  <c r="AJ54" i="79"/>
  <c r="AQ54" i="79"/>
  <c r="AH54" i="79"/>
  <c r="N28" i="85"/>
  <c r="N29" i="85" s="1"/>
  <c r="C86" i="79"/>
  <c r="O86" i="79" s="1"/>
  <c r="C87" i="79"/>
  <c r="C88" i="79"/>
  <c r="S46" i="79"/>
  <c r="N46" i="79"/>
  <c r="L46" i="79"/>
  <c r="J46" i="79"/>
  <c r="M46" i="79"/>
  <c r="O46" i="79"/>
  <c r="I46" i="79"/>
  <c r="K46" i="79"/>
  <c r="T46" i="79"/>
  <c r="Q46" i="79"/>
  <c r="R46" i="79"/>
  <c r="P46" i="79"/>
  <c r="AJ87" i="79"/>
  <c r="AJ1678" i="79" s="1"/>
  <c r="AP87" i="79"/>
  <c r="AP1678" i="79" s="1"/>
  <c r="AK87" i="79"/>
  <c r="AK1678" i="79" s="1"/>
  <c r="AI87" i="79"/>
  <c r="AI1678" i="79" s="1"/>
  <c r="AL87" i="79"/>
  <c r="AL1678" i="79" s="1"/>
  <c r="AF87" i="79"/>
  <c r="AG87" i="79"/>
  <c r="AG1678" i="79" s="1"/>
  <c r="AN87" i="79"/>
  <c r="AN1678" i="79" s="1"/>
  <c r="AQ87" i="79"/>
  <c r="AQ1678" i="79" s="1"/>
  <c r="AH87" i="79"/>
  <c r="AH1678" i="79" s="1"/>
  <c r="AM87" i="79"/>
  <c r="AM1678" i="79" s="1"/>
  <c r="AO87" i="79"/>
  <c r="AO1678" i="79" s="1"/>
  <c r="S47" i="79"/>
  <c r="Q47" i="79"/>
  <c r="Q50" i="79" s="1"/>
  <c r="J47" i="79"/>
  <c r="M47" i="79"/>
  <c r="T47" i="79"/>
  <c r="R47" i="79"/>
  <c r="P47" i="79"/>
  <c r="O47" i="79"/>
  <c r="I47" i="79"/>
  <c r="K47" i="79"/>
  <c r="N47" i="79"/>
  <c r="L47" i="79"/>
  <c r="AF46" i="79"/>
  <c r="AH46" i="79"/>
  <c r="AO46" i="79"/>
  <c r="AM46" i="79"/>
  <c r="AK46" i="79"/>
  <c r="AI46" i="79"/>
  <c r="AP46" i="79"/>
  <c r="AG46" i="79"/>
  <c r="AJ46" i="79"/>
  <c r="AN46" i="79"/>
  <c r="AL46" i="79"/>
  <c r="AQ46" i="79"/>
  <c r="C127" i="79"/>
  <c r="R127" i="79" s="1"/>
  <c r="C128" i="79"/>
  <c r="C129" i="79"/>
  <c r="Z136" i="79"/>
  <c r="AQ136" i="79" s="1"/>
  <c r="Z152" i="79"/>
  <c r="Z128" i="79"/>
  <c r="Z129" i="79"/>
  <c r="AN47" i="79"/>
  <c r="AQ47" i="79"/>
  <c r="AO47" i="79"/>
  <c r="AM47" i="79"/>
  <c r="AP47" i="79"/>
  <c r="AK47" i="79"/>
  <c r="AI47" i="79"/>
  <c r="AF47" i="79"/>
  <c r="AH47" i="79"/>
  <c r="AL47" i="79"/>
  <c r="AG47" i="79"/>
  <c r="AJ47" i="79"/>
  <c r="C168" i="79"/>
  <c r="R168" i="79" s="1"/>
  <c r="C170" i="79"/>
  <c r="C169" i="79"/>
  <c r="AO88" i="79"/>
  <c r="AO1680" i="79" s="1"/>
  <c r="R1659" i="79"/>
  <c r="L52" i="79"/>
  <c r="M52" i="79"/>
  <c r="M1660" i="79" s="1"/>
  <c r="K53" i="79"/>
  <c r="K52" i="79"/>
  <c r="K1660" i="79" s="1"/>
  <c r="R53" i="79"/>
  <c r="R57" i="79" s="1"/>
  <c r="S1396" i="79"/>
  <c r="S632" i="79"/>
  <c r="Z135" i="79"/>
  <c r="AQ135" i="79" s="1"/>
  <c r="AQ1732" i="79" s="1"/>
  <c r="Z127" i="79"/>
  <c r="Z151" i="79"/>
  <c r="AL151" i="79" s="1"/>
  <c r="I74" i="79"/>
  <c r="M74" i="79"/>
  <c r="L59" i="79"/>
  <c r="F390" i="40" s="1"/>
  <c r="P75" i="79"/>
  <c r="N75" i="79"/>
  <c r="T75" i="79"/>
  <c r="S52" i="79"/>
  <c r="N52" i="79"/>
  <c r="N1660" i="79" s="1"/>
  <c r="Q52" i="79"/>
  <c r="Q1660" i="79" s="1"/>
  <c r="J75" i="79"/>
  <c r="L75" i="79"/>
  <c r="O75" i="79"/>
  <c r="O1318" i="79" s="1"/>
  <c r="J52" i="79"/>
  <c r="J1660" i="79" s="1"/>
  <c r="O52" i="79"/>
  <c r="O1315" i="79" s="1"/>
  <c r="T52" i="79"/>
  <c r="M75" i="79"/>
  <c r="I75" i="79"/>
  <c r="P52" i="79"/>
  <c r="P1660" i="79" s="1"/>
  <c r="I52" i="79"/>
  <c r="I1660" i="79" s="1"/>
  <c r="Q70" i="79"/>
  <c r="Z156" i="79"/>
  <c r="AH156" i="79" s="1"/>
  <c r="Z18" i="79"/>
  <c r="C1427" i="79" s="1"/>
  <c r="Q69" i="79"/>
  <c r="I53" i="79"/>
  <c r="P53" i="79"/>
  <c r="T53" i="79"/>
  <c r="L53" i="79"/>
  <c r="L57" i="79" s="1"/>
  <c r="J53" i="79"/>
  <c r="M53" i="79"/>
  <c r="Z141" i="79"/>
  <c r="AQ141" i="79" s="1"/>
  <c r="Z134" i="79"/>
  <c r="N69" i="79"/>
  <c r="N53" i="79"/>
  <c r="S53" i="79"/>
  <c r="K59" i="79"/>
  <c r="N74" i="79"/>
  <c r="T59" i="79"/>
  <c r="N390" i="40" s="1"/>
  <c r="AN390" i="40" s="1"/>
  <c r="S74" i="79"/>
  <c r="P59" i="79"/>
  <c r="M59" i="79"/>
  <c r="G390" i="40" s="1"/>
  <c r="J74" i="79"/>
  <c r="R74" i="79"/>
  <c r="S59" i="79"/>
  <c r="L70" i="79"/>
  <c r="L1317" i="79" s="1"/>
  <c r="I70" i="79"/>
  <c r="M70" i="79"/>
  <c r="P70" i="79"/>
  <c r="R70" i="79"/>
  <c r="P74" i="79"/>
  <c r="L74" i="79"/>
  <c r="K74" i="79"/>
  <c r="K70" i="79"/>
  <c r="J70" i="79"/>
  <c r="O70" i="79"/>
  <c r="O1317" i="79" s="1"/>
  <c r="I59" i="79"/>
  <c r="R59" i="79"/>
  <c r="L390" i="40" s="1"/>
  <c r="O59" i="79"/>
  <c r="I390" i="40" s="1"/>
  <c r="AI390" i="40" s="1"/>
  <c r="T74" i="79"/>
  <c r="Q74" i="79"/>
  <c r="N70" i="79"/>
  <c r="S70" i="79"/>
  <c r="J59" i="79"/>
  <c r="D390" i="40" s="1"/>
  <c r="AD390" i="40" s="1"/>
  <c r="N59" i="79"/>
  <c r="K69" i="79"/>
  <c r="K1317" i="79" s="1"/>
  <c r="M69" i="79"/>
  <c r="M1317" i="79" s="1"/>
  <c r="T69" i="79"/>
  <c r="T1317" i="79" s="1"/>
  <c r="R69" i="79"/>
  <c r="P69" i="79"/>
  <c r="S69" i="79"/>
  <c r="S72" i="79" s="1"/>
  <c r="I69" i="79"/>
  <c r="J69" i="79"/>
  <c r="AQ1476" i="79"/>
  <c r="AQ1475" i="79"/>
  <c r="J465" i="73"/>
  <c r="J467" i="73" s="1"/>
  <c r="O466" i="73"/>
  <c r="P253" i="77" s="1"/>
  <c r="P277" i="77" s="1"/>
  <c r="T1646" i="79"/>
  <c r="O1646" i="79"/>
  <c r="P1646" i="79"/>
  <c r="P209" i="79"/>
  <c r="I209" i="79"/>
  <c r="J209" i="79"/>
  <c r="K209" i="79"/>
  <c r="S209" i="79"/>
  <c r="R209" i="79"/>
  <c r="Q209" i="79"/>
  <c r="O209" i="79"/>
  <c r="T209" i="79"/>
  <c r="M209" i="79"/>
  <c r="N209" i="79"/>
  <c r="L209" i="79"/>
  <c r="N86" i="79"/>
  <c r="J1646" i="79"/>
  <c r="Q1646" i="79"/>
  <c r="K205" i="73"/>
  <c r="K459" i="73" s="1"/>
  <c r="K463" i="73" s="1"/>
  <c r="L204" i="73"/>
  <c r="M186" i="73" s="1"/>
  <c r="A6" i="10"/>
  <c r="A19" i="10" s="1"/>
  <c r="A47" i="10" s="1"/>
  <c r="A49" i="10" s="1"/>
  <c r="A54" i="10" s="1"/>
  <c r="A59" i="10" s="1"/>
  <c r="N320" i="77"/>
  <c r="C198" i="79"/>
  <c r="C192" i="79"/>
  <c r="C182" i="79"/>
  <c r="C177" i="79"/>
  <c r="C176" i="79"/>
  <c r="C175" i="79"/>
  <c r="C197" i="79"/>
  <c r="C193" i="79"/>
  <c r="AN136" i="79"/>
  <c r="M1662" i="79"/>
  <c r="K1662" i="79"/>
  <c r="T1662" i="79"/>
  <c r="J1658" i="79"/>
  <c r="O1658" i="79"/>
  <c r="L1660" i="79"/>
  <c r="AM1662" i="79"/>
  <c r="AK1662" i="79"/>
  <c r="AO1662" i="79"/>
  <c r="C2557" i="79"/>
  <c r="C218" i="79"/>
  <c r="C217" i="79"/>
  <c r="C216" i="79"/>
  <c r="S1662" i="79"/>
  <c r="L1662" i="79"/>
  <c r="O1662" i="79"/>
  <c r="K1658" i="79"/>
  <c r="L1658" i="79"/>
  <c r="M1658" i="79"/>
  <c r="S1660" i="79"/>
  <c r="AF1662" i="79"/>
  <c r="AI1662" i="79"/>
  <c r="AJ1662" i="79"/>
  <c r="P1662" i="79"/>
  <c r="U54" i="79"/>
  <c r="C2430" i="79" s="1"/>
  <c r="I1662" i="79"/>
  <c r="R1662" i="79"/>
  <c r="P1658" i="79"/>
  <c r="R1658" i="79"/>
  <c r="J1316" i="79"/>
  <c r="Q67" i="79"/>
  <c r="Q1316" i="79"/>
  <c r="R1660" i="79"/>
  <c r="AM116" i="79"/>
  <c r="AF116" i="79"/>
  <c r="AG116" i="79"/>
  <c r="AN116" i="79"/>
  <c r="AL116" i="79"/>
  <c r="AQ1662" i="79"/>
  <c r="AH1662" i="79"/>
  <c r="AP1662" i="79"/>
  <c r="C157" i="79"/>
  <c r="C136" i="79"/>
  <c r="C156" i="79"/>
  <c r="C152" i="79"/>
  <c r="C141" i="79"/>
  <c r="C151" i="79"/>
  <c r="C134" i="79"/>
  <c r="C135" i="79"/>
  <c r="C16" i="79"/>
  <c r="C1414" i="79" s="1"/>
  <c r="C116" i="79"/>
  <c r="C111" i="79"/>
  <c r="C100" i="79"/>
  <c r="C115" i="79"/>
  <c r="C110" i="79"/>
  <c r="C93" i="79"/>
  <c r="C94" i="79"/>
  <c r="C95" i="79"/>
  <c r="J1662" i="79"/>
  <c r="N1662" i="79"/>
  <c r="Q1662" i="79"/>
  <c r="N1658" i="79"/>
  <c r="Q1658" i="79"/>
  <c r="T1660" i="79"/>
  <c r="AQ95" i="79"/>
  <c r="AQ1698" i="79" s="1"/>
  <c r="AN95" i="79"/>
  <c r="AN1698" i="79" s="1"/>
  <c r="AL95" i="79"/>
  <c r="AL1698" i="79" s="1"/>
  <c r="AF95" i="79"/>
  <c r="AK95" i="79"/>
  <c r="AK1698" i="79" s="1"/>
  <c r="AG95" i="79"/>
  <c r="AG1698" i="79" s="1"/>
  <c r="AO95" i="79"/>
  <c r="AO1698" i="79" s="1"/>
  <c r="AM95" i="79"/>
  <c r="AM1698" i="79" s="1"/>
  <c r="AI95" i="79"/>
  <c r="AI1698" i="79" s="1"/>
  <c r="AJ95" i="79"/>
  <c r="AJ1698" i="79" s="1"/>
  <c r="AH95" i="79"/>
  <c r="AH1698" i="79" s="1"/>
  <c r="AP95" i="79"/>
  <c r="AP1698" i="79" s="1"/>
  <c r="AL1662" i="79"/>
  <c r="AG1662" i="79"/>
  <c r="AN1662" i="79"/>
  <c r="E473" i="40"/>
  <c r="R473" i="40" s="1"/>
  <c r="AE473" i="40" s="1"/>
  <c r="E467" i="40"/>
  <c r="R467" i="40" s="1"/>
  <c r="AE467" i="40" s="1"/>
  <c r="G492" i="40"/>
  <c r="T492" i="40" s="1"/>
  <c r="AG492" i="40" s="1"/>
  <c r="E471" i="40"/>
  <c r="R471" i="40" s="1"/>
  <c r="AE471" i="40" s="1"/>
  <c r="E462" i="40"/>
  <c r="R462" i="40" s="1"/>
  <c r="AE462" i="40" s="1"/>
  <c r="G495" i="40"/>
  <c r="T495" i="40" s="1"/>
  <c r="AG495" i="40" s="1"/>
  <c r="F464" i="40"/>
  <c r="S464" i="40" s="1"/>
  <c r="AF464" i="40" s="1"/>
  <c r="H449" i="40"/>
  <c r="U449" i="40" s="1"/>
  <c r="AH449" i="40" s="1"/>
  <c r="E505" i="40"/>
  <c r="R505" i="40" s="1"/>
  <c r="AE505" i="40" s="1"/>
  <c r="E483" i="40"/>
  <c r="R483" i="40" s="1"/>
  <c r="AE483" i="40" s="1"/>
  <c r="E498" i="40"/>
  <c r="R498" i="40" s="1"/>
  <c r="AE498" i="40" s="1"/>
  <c r="E466" i="40"/>
  <c r="R466" i="40" s="1"/>
  <c r="AE466" i="40" s="1"/>
  <c r="C2625" i="79"/>
  <c r="E474" i="40"/>
  <c r="F504" i="40"/>
  <c r="S504" i="40" s="1"/>
  <c r="AF504" i="40" s="1"/>
  <c r="H454" i="40"/>
  <c r="U454" i="40" s="1"/>
  <c r="AH454" i="40" s="1"/>
  <c r="E477" i="40"/>
  <c r="R477" i="40" s="1"/>
  <c r="AE477" i="40" s="1"/>
  <c r="F501" i="40"/>
  <c r="S501" i="40" s="1"/>
  <c r="E476" i="40"/>
  <c r="R476" i="40" s="1"/>
  <c r="AE476" i="40" s="1"/>
  <c r="R458" i="40"/>
  <c r="AE458" i="40" s="1"/>
  <c r="BN1274" i="64"/>
  <c r="DA1200" i="64"/>
  <c r="CA1274" i="64" s="1"/>
  <c r="E497" i="40"/>
  <c r="E472" i="40"/>
  <c r="R457" i="40"/>
  <c r="AE457" i="40" s="1"/>
  <c r="T493" i="40"/>
  <c r="AG493" i="40" s="1"/>
  <c r="E502" i="40"/>
  <c r="F506" i="40"/>
  <c r="E475" i="40"/>
  <c r="F484" i="40"/>
  <c r="G494" i="40"/>
  <c r="E465" i="40"/>
  <c r="E499" i="40"/>
  <c r="BM1126" i="64"/>
  <c r="CN1053" i="64"/>
  <c r="BZ1126" i="64" s="1"/>
  <c r="E470" i="40"/>
  <c r="F450" i="40"/>
  <c r="F507" i="40"/>
  <c r="F463" i="40"/>
  <c r="F453" i="40"/>
  <c r="E468" i="40"/>
  <c r="E496" i="40"/>
  <c r="E469" i="40"/>
  <c r="E500" i="40"/>
  <c r="R460" i="40"/>
  <c r="AE460" i="40" s="1"/>
  <c r="H451" i="40"/>
  <c r="E503" i="40"/>
  <c r="AB835" i="64"/>
  <c r="AB693" i="64"/>
  <c r="AB764" i="64"/>
  <c r="AD693" i="64"/>
  <c r="AD835" i="64"/>
  <c r="AD764" i="64"/>
  <c r="T693" i="64"/>
  <c r="T764" i="64"/>
  <c r="T835" i="64"/>
  <c r="X693" i="64"/>
  <c r="X764" i="64"/>
  <c r="X835" i="64"/>
  <c r="BE33" i="65"/>
  <c r="BR32" i="65"/>
  <c r="BG32" i="65"/>
  <c r="BQ32" i="65"/>
  <c r="BP32" i="65"/>
  <c r="BO32" i="65"/>
  <c r="BH32" i="65"/>
  <c r="BM32" i="65"/>
  <c r="BI32" i="65"/>
  <c r="BJ32" i="65"/>
  <c r="BN32" i="65"/>
  <c r="BL32" i="65"/>
  <c r="BK32" i="65"/>
  <c r="AL763" i="64"/>
  <c r="AY763" i="64"/>
  <c r="AF834" i="64"/>
  <c r="AS834" i="64"/>
  <c r="AZ763" i="64"/>
  <c r="AM763" i="64"/>
  <c r="AP763" i="64"/>
  <c r="BC763" i="64"/>
  <c r="AO763" i="64"/>
  <c r="BB763" i="64"/>
  <c r="AG763" i="64"/>
  <c r="AT763" i="64"/>
  <c r="AK834" i="64"/>
  <c r="AX834" i="64"/>
  <c r="AH834" i="64"/>
  <c r="AU834" i="64"/>
  <c r="AI692" i="64"/>
  <c r="AV692" i="64"/>
  <c r="AY692" i="64"/>
  <c r="AL692" i="64"/>
  <c r="BD692" i="64"/>
  <c r="AQ692" i="64"/>
  <c r="AF763" i="64"/>
  <c r="AS763" i="64"/>
  <c r="AZ692" i="64"/>
  <c r="AM692" i="64"/>
  <c r="BA834" i="64"/>
  <c r="AN834" i="64"/>
  <c r="AP834" i="64"/>
  <c r="BC834" i="64"/>
  <c r="BB834" i="64"/>
  <c r="AO834" i="64"/>
  <c r="AW763" i="64"/>
  <c r="AJ763" i="64"/>
  <c r="AX763" i="64"/>
  <c r="AK763" i="64"/>
  <c r="AU763" i="64"/>
  <c r="AH763" i="64"/>
  <c r="Y693" i="64"/>
  <c r="Y764" i="64"/>
  <c r="Y835" i="64"/>
  <c r="U764" i="64"/>
  <c r="U693" i="64"/>
  <c r="U835" i="64"/>
  <c r="Z835" i="64"/>
  <c r="Z693" i="64"/>
  <c r="Z764" i="64"/>
  <c r="S693" i="64"/>
  <c r="S764" i="64"/>
  <c r="S835" i="64"/>
  <c r="AV763" i="64"/>
  <c r="AI763" i="64"/>
  <c r="AL834" i="64"/>
  <c r="AY834" i="64"/>
  <c r="BD834" i="64"/>
  <c r="AQ834" i="64"/>
  <c r="AS692" i="64"/>
  <c r="AF692" i="64"/>
  <c r="AN692" i="64"/>
  <c r="BA692" i="64"/>
  <c r="BC692" i="64"/>
  <c r="AP692" i="64"/>
  <c r="AG692" i="64"/>
  <c r="AT692" i="64"/>
  <c r="AW834" i="64"/>
  <c r="AJ834" i="64"/>
  <c r="AK692" i="64"/>
  <c r="AX692" i="64"/>
  <c r="BS42" i="65"/>
  <c r="BZ41" i="65"/>
  <c r="CA41" i="65"/>
  <c r="BU41" i="65"/>
  <c r="CC41" i="65"/>
  <c r="CD41" i="65"/>
  <c r="BW41" i="65"/>
  <c r="BX41" i="65"/>
  <c r="CF41" i="65"/>
  <c r="CE41" i="65"/>
  <c r="CB41" i="65"/>
  <c r="BY41" i="65"/>
  <c r="BV41" i="65"/>
  <c r="AC764" i="64"/>
  <c r="AC693" i="64"/>
  <c r="AC835" i="64"/>
  <c r="AA764" i="64"/>
  <c r="AA835" i="64"/>
  <c r="AA693" i="64"/>
  <c r="V693" i="64"/>
  <c r="V835" i="64"/>
  <c r="V764" i="64"/>
  <c r="W693" i="64"/>
  <c r="W764" i="64"/>
  <c r="W835" i="64"/>
  <c r="AI834" i="64"/>
  <c r="AV834" i="64"/>
  <c r="BD763" i="64"/>
  <c r="AQ763" i="64"/>
  <c r="AM834" i="64"/>
  <c r="AZ834" i="64"/>
  <c r="CG42" i="65"/>
  <c r="CQ41" i="65"/>
  <c r="CN41" i="65"/>
  <c r="CI41" i="65"/>
  <c r="CS41" i="65"/>
  <c r="CL41" i="65"/>
  <c r="CK41" i="65"/>
  <c r="CO41" i="65"/>
  <c r="CT41" i="65"/>
  <c r="CM41" i="65"/>
  <c r="CP41" i="65"/>
  <c r="CR41" i="65"/>
  <c r="CJ41" i="65"/>
  <c r="AN763" i="64"/>
  <c r="BA763" i="64"/>
  <c r="AO692" i="64"/>
  <c r="BB692" i="64"/>
  <c r="AT834" i="64"/>
  <c r="AG834" i="64"/>
  <c r="AJ692" i="64"/>
  <c r="AW692" i="64"/>
  <c r="AU692" i="64"/>
  <c r="AH692" i="64"/>
  <c r="C22" i="79"/>
  <c r="C1417" i="79" s="1"/>
  <c r="P36" i="85"/>
  <c r="O55" i="85"/>
  <c r="M228" i="85"/>
  <c r="N229" i="85"/>
  <c r="O212" i="85"/>
  <c r="O210" i="85"/>
  <c r="P78" i="85"/>
  <c r="P81" i="85" s="1"/>
  <c r="N203" i="85"/>
  <c r="N205" i="85" s="1"/>
  <c r="P35" i="85"/>
  <c r="O52" i="85"/>
  <c r="P254" i="73"/>
  <c r="P345" i="73"/>
  <c r="P203" i="73"/>
  <c r="P201" i="73"/>
  <c r="N570" i="73"/>
  <c r="R229" i="73"/>
  <c r="D627" i="73" s="1"/>
  <c r="H627" i="73" s="1"/>
  <c r="P333" i="73"/>
  <c r="O349" i="73"/>
  <c r="O461" i="73"/>
  <c r="H625" i="73"/>
  <c r="Q231" i="73"/>
  <c r="AO1518" i="79"/>
  <c r="AO1521" i="79"/>
  <c r="AQ1528" i="79"/>
  <c r="AQ1527" i="79"/>
  <c r="AF135" i="79"/>
  <c r="AH135" i="79"/>
  <c r="AH1732" i="79" s="1"/>
  <c r="AN135" i="79"/>
  <c r="AN1732" i="79" s="1"/>
  <c r="AP151" i="79"/>
  <c r="S1531" i="79"/>
  <c r="S1534" i="79"/>
  <c r="AQ1489" i="79"/>
  <c r="AQ1488" i="79"/>
  <c r="T1999" i="79"/>
  <c r="T2031" i="79" s="1"/>
  <c r="T2032" i="79" s="1"/>
  <c r="T1591" i="79"/>
  <c r="R1570" i="79"/>
  <c r="R1573" i="79"/>
  <c r="S1557" i="79"/>
  <c r="S1560" i="79"/>
  <c r="R1557" i="79"/>
  <c r="R1560" i="79"/>
  <c r="T1502" i="79"/>
  <c r="T1501" i="79"/>
  <c r="T1928" i="79"/>
  <c r="T1960" i="79" s="1"/>
  <c r="T1961" i="79" s="1"/>
  <c r="T1565" i="79"/>
  <c r="AH74" i="79"/>
  <c r="AK74" i="79"/>
  <c r="AI74" i="79"/>
  <c r="AN74" i="79"/>
  <c r="AL74" i="79"/>
  <c r="AG74" i="79"/>
  <c r="AF74" i="79"/>
  <c r="AP74" i="79"/>
  <c r="AM74" i="79"/>
  <c r="AO74" i="79"/>
  <c r="AQ74" i="79"/>
  <c r="AJ74" i="79"/>
  <c r="S1517" i="79"/>
  <c r="AI100" i="79"/>
  <c r="AL100" i="79"/>
  <c r="AM100" i="79"/>
  <c r="AF100" i="79"/>
  <c r="AJ100" i="79"/>
  <c r="AG100" i="79"/>
  <c r="AN100" i="79"/>
  <c r="AH100" i="79"/>
  <c r="AK100" i="79"/>
  <c r="AP100" i="79"/>
  <c r="AO100" i="79"/>
  <c r="AQ100" i="79"/>
  <c r="AG86" i="79"/>
  <c r="AL86" i="79"/>
  <c r="AF86" i="79"/>
  <c r="AJ86" i="79"/>
  <c r="AQ86" i="79"/>
  <c r="AP1585" i="79"/>
  <c r="AP1582" i="79"/>
  <c r="AQ1606" i="79"/>
  <c r="AQ1605" i="79"/>
  <c r="AP1573" i="79"/>
  <c r="AP1570" i="79"/>
  <c r="T1892" i="79"/>
  <c r="T1924" i="79" s="1"/>
  <c r="T1925" i="79" s="1"/>
  <c r="T1552" i="79"/>
  <c r="T1578" i="79"/>
  <c r="T1964" i="79"/>
  <c r="T1995" i="79" s="1"/>
  <c r="T1996" i="79" s="1"/>
  <c r="S1586" i="79"/>
  <c r="S1583" i="79"/>
  <c r="T1526" i="79"/>
  <c r="T1820" i="79"/>
  <c r="T1852" i="79" s="1"/>
  <c r="T1853" i="79" s="1"/>
  <c r="AI141" i="79"/>
  <c r="AK141" i="79"/>
  <c r="AJ141" i="79"/>
  <c r="AM141" i="79"/>
  <c r="AH141" i="79"/>
  <c r="AP141" i="79"/>
  <c r="AL141" i="79"/>
  <c r="AO141" i="79"/>
  <c r="AK134" i="79"/>
  <c r="AN134" i="79"/>
  <c r="AI134" i="79"/>
  <c r="AF134" i="79"/>
  <c r="AM134" i="79"/>
  <c r="AL134" i="79"/>
  <c r="AP134" i="79"/>
  <c r="AH134" i="79"/>
  <c r="AJ134" i="79"/>
  <c r="AG134" i="79"/>
  <c r="AO134" i="79"/>
  <c r="AQ134" i="79"/>
  <c r="R1517" i="79"/>
  <c r="S1608" i="79"/>
  <c r="S1611" i="79"/>
  <c r="AQ1541" i="79"/>
  <c r="AQ1540" i="79"/>
  <c r="AP1517" i="79"/>
  <c r="AP1520" i="79"/>
  <c r="T1515" i="79"/>
  <c r="T1514" i="79"/>
  <c r="AQ1892" i="79"/>
  <c r="AQ1924" i="79" s="1"/>
  <c r="AQ1925" i="79" s="1"/>
  <c r="AQ1552" i="79"/>
  <c r="T1541" i="79"/>
  <c r="T1540" i="79"/>
  <c r="AM45" i="79"/>
  <c r="AL45" i="79"/>
  <c r="AQ45" i="79"/>
  <c r="AG45" i="79"/>
  <c r="AH45" i="79"/>
  <c r="AJ45" i="79"/>
  <c r="AK45" i="79"/>
  <c r="AF45" i="79"/>
  <c r="AN45" i="79"/>
  <c r="AI45" i="79"/>
  <c r="AP45" i="79"/>
  <c r="AO45" i="79"/>
  <c r="AK52" i="79"/>
  <c r="AN52" i="79"/>
  <c r="AM52" i="79"/>
  <c r="AQ52" i="79"/>
  <c r="AO52" i="79"/>
  <c r="AP52" i="79"/>
  <c r="AJ52" i="79"/>
  <c r="AF52" i="79"/>
  <c r="AG52" i="79"/>
  <c r="AH52" i="79"/>
  <c r="AI52" i="79"/>
  <c r="AL52" i="79"/>
  <c r="AM75" i="79"/>
  <c r="AF75" i="79"/>
  <c r="AJ75" i="79"/>
  <c r="AQ75" i="79"/>
  <c r="AN75" i="79"/>
  <c r="AK75" i="79"/>
  <c r="U420" i="40" s="1"/>
  <c r="AH420" i="40" s="1"/>
  <c r="AH75" i="79"/>
  <c r="AL75" i="79"/>
  <c r="V420" i="40" s="1"/>
  <c r="AI420" i="40" s="1"/>
  <c r="AO75" i="79"/>
  <c r="AP75" i="79"/>
  <c r="AG75" i="79"/>
  <c r="AI75" i="79"/>
  <c r="S420" i="40" s="1"/>
  <c r="S1518" i="79"/>
  <c r="AI111" i="79"/>
  <c r="AL111" i="79"/>
  <c r="AO111" i="79"/>
  <c r="AG111" i="79"/>
  <c r="AJ111" i="79"/>
  <c r="AH111" i="79"/>
  <c r="AN111" i="79"/>
  <c r="AP111" i="79"/>
  <c r="AQ111" i="79"/>
  <c r="AF111" i="79"/>
  <c r="AM111" i="79"/>
  <c r="AK111" i="79"/>
  <c r="AJ110" i="79"/>
  <c r="AO110" i="79"/>
  <c r="AG110" i="79"/>
  <c r="AK110" i="79"/>
  <c r="AL110" i="79"/>
  <c r="AM110" i="79"/>
  <c r="AN110" i="79"/>
  <c r="AP1586" i="79"/>
  <c r="AP1583" i="79"/>
  <c r="T1476" i="79"/>
  <c r="T1475" i="79"/>
  <c r="R1530" i="79"/>
  <c r="R1533" i="79"/>
  <c r="AO1608" i="79"/>
  <c r="AO1611" i="79"/>
  <c r="AP1559" i="79"/>
  <c r="AP1556" i="79"/>
  <c r="AP1541" i="79"/>
  <c r="AP1540" i="79"/>
  <c r="C18" i="79"/>
  <c r="C1415" i="79" s="1"/>
  <c r="C2489" i="79"/>
  <c r="AJ127" i="79"/>
  <c r="AF127" i="79"/>
  <c r="AM127" i="79"/>
  <c r="AO127" i="79"/>
  <c r="AK127" i="79"/>
  <c r="AQ127" i="79"/>
  <c r="AP127" i="79"/>
  <c r="AL127" i="79"/>
  <c r="AN127" i="79"/>
  <c r="AG127" i="79"/>
  <c r="AI127" i="79"/>
  <c r="AH127" i="79"/>
  <c r="AF157" i="79"/>
  <c r="AJ157" i="79"/>
  <c r="AM157" i="79"/>
  <c r="AH157" i="79"/>
  <c r="AQ157" i="79"/>
  <c r="AN157" i="79"/>
  <c r="AP157" i="79"/>
  <c r="AI157" i="79"/>
  <c r="AL157" i="79"/>
  <c r="AK157" i="79"/>
  <c r="AO157" i="79"/>
  <c r="AG157" i="79"/>
  <c r="R1518" i="79"/>
  <c r="S1612" i="79"/>
  <c r="S1609" i="79"/>
  <c r="AP1521" i="79"/>
  <c r="AP1518" i="79"/>
  <c r="T1604" i="79"/>
  <c r="T2035" i="79"/>
  <c r="T2067" i="79" s="1"/>
  <c r="AM69" i="79"/>
  <c r="AJ69" i="79"/>
  <c r="AK69" i="79"/>
  <c r="AO69" i="79"/>
  <c r="AI69" i="79"/>
  <c r="AH69" i="79"/>
  <c r="AG69" i="79"/>
  <c r="AF69" i="79"/>
  <c r="AN69" i="79"/>
  <c r="AP69" i="79"/>
  <c r="AL69" i="79"/>
  <c r="AQ69" i="79"/>
  <c r="AF59" i="79"/>
  <c r="AH59" i="79"/>
  <c r="AK59" i="79"/>
  <c r="AQ59" i="79"/>
  <c r="AL59" i="79"/>
  <c r="AO59" i="79"/>
  <c r="AI59" i="79"/>
  <c r="AG59" i="79"/>
  <c r="AN59" i="79"/>
  <c r="AM59" i="79"/>
  <c r="AP59" i="79"/>
  <c r="AJ59" i="79"/>
  <c r="S1569" i="79"/>
  <c r="S1572" i="79"/>
  <c r="S1543" i="79"/>
  <c r="S1546" i="79"/>
  <c r="AP1611" i="79"/>
  <c r="AP1608" i="79"/>
  <c r="AJ94" i="79"/>
  <c r="AK94" i="79"/>
  <c r="AL94" i="79"/>
  <c r="AI94" i="79"/>
  <c r="AO94" i="79"/>
  <c r="AF94" i="79"/>
  <c r="AQ94" i="79"/>
  <c r="AG94" i="79"/>
  <c r="AP94" i="79"/>
  <c r="AH94" i="79"/>
  <c r="AM94" i="79"/>
  <c r="AN94" i="79"/>
  <c r="S1595" i="79"/>
  <c r="S1598" i="79"/>
  <c r="AP1533" i="79"/>
  <c r="AP1530" i="79"/>
  <c r="R1534" i="79"/>
  <c r="R1531" i="79"/>
  <c r="AO1609" i="79"/>
  <c r="AO1612" i="79"/>
  <c r="AP1557" i="79"/>
  <c r="AP1560" i="79"/>
  <c r="AO1517" i="79"/>
  <c r="AO1520" i="79"/>
  <c r="AQ1964" i="79"/>
  <c r="AQ1995" i="79" s="1"/>
  <c r="AQ1996" i="79" s="1"/>
  <c r="AQ1578" i="79"/>
  <c r="AQ1502" i="79"/>
  <c r="AQ1501" i="79"/>
  <c r="T1487" i="79"/>
  <c r="T1712" i="79"/>
  <c r="AL156" i="79"/>
  <c r="S1530" i="79"/>
  <c r="S1533" i="79"/>
  <c r="AQ1515" i="79"/>
  <c r="AQ1514" i="79"/>
  <c r="AQ1463" i="79"/>
  <c r="AQ1462" i="79"/>
  <c r="R1569" i="79"/>
  <c r="R1572" i="79"/>
  <c r="C20" i="79"/>
  <c r="C1416" i="79" s="1"/>
  <c r="C2523" i="79"/>
  <c r="S1559" i="79"/>
  <c r="S1556" i="79"/>
  <c r="AQ1565" i="79"/>
  <c r="AQ1928" i="79"/>
  <c r="AQ1960" i="79" s="1"/>
  <c r="AQ1961" i="79" s="1"/>
  <c r="R1559" i="79"/>
  <c r="R1556" i="79"/>
  <c r="AL53" i="79"/>
  <c r="AP53" i="79"/>
  <c r="AJ53" i="79"/>
  <c r="AQ53" i="79"/>
  <c r="AN53" i="79"/>
  <c r="AM53" i="79"/>
  <c r="AF53" i="79"/>
  <c r="AH53" i="79"/>
  <c r="AI53" i="79"/>
  <c r="AO53" i="79"/>
  <c r="AG53" i="79"/>
  <c r="AK53" i="79"/>
  <c r="AJ70" i="79"/>
  <c r="AO70" i="79"/>
  <c r="Y414" i="40" s="1"/>
  <c r="AL70" i="79"/>
  <c r="AH70" i="79"/>
  <c r="AI70" i="79"/>
  <c r="AQ70" i="79"/>
  <c r="AN70" i="79"/>
  <c r="AF70" i="79"/>
  <c r="AK70" i="79"/>
  <c r="AG70" i="79"/>
  <c r="AP70" i="79"/>
  <c r="Z414" i="40" s="1"/>
  <c r="AM70" i="79"/>
  <c r="S1573" i="79"/>
  <c r="S1570" i="79"/>
  <c r="S1544" i="79"/>
  <c r="S1547" i="79"/>
  <c r="AP1609" i="79"/>
  <c r="AP1612" i="79"/>
  <c r="AL93" i="79"/>
  <c r="AP93" i="79"/>
  <c r="AM93" i="79"/>
  <c r="AK93" i="79"/>
  <c r="AI93" i="79"/>
  <c r="AN93" i="79"/>
  <c r="AF115" i="79"/>
  <c r="AG115" i="79"/>
  <c r="AP115" i="79"/>
  <c r="AQ115" i="79"/>
  <c r="AL115" i="79"/>
  <c r="AK115" i="79"/>
  <c r="AI115" i="79"/>
  <c r="AM115" i="79"/>
  <c r="AN115" i="79"/>
  <c r="AO115" i="79"/>
  <c r="S1599" i="79"/>
  <c r="S1596" i="79"/>
  <c r="AP1531" i="79"/>
  <c r="AP1534" i="79"/>
  <c r="AP1569" i="79"/>
  <c r="AP1572" i="79"/>
  <c r="C2727" i="79"/>
  <c r="C32" i="79"/>
  <c r="C1422" i="79" s="1"/>
  <c r="S1582" i="79"/>
  <c r="S1585" i="79"/>
  <c r="N68" i="83"/>
  <c r="N6" i="80"/>
  <c r="O6" i="80" s="1"/>
  <c r="P677" i="74"/>
  <c r="H38" i="25"/>
  <c r="L45" i="80"/>
  <c r="O44" i="80"/>
  <c r="O45" i="80" s="1"/>
  <c r="G114" i="71"/>
  <c r="I622" i="73"/>
  <c r="O9" i="85"/>
  <c r="N26" i="85"/>
  <c r="O319" i="77" s="1"/>
  <c r="C48" i="61"/>
  <c r="C21" i="25"/>
  <c r="O10" i="85"/>
  <c r="AO86" i="79" l="1"/>
  <c r="AH86" i="79"/>
  <c r="AI86" i="79"/>
  <c r="AM86" i="79"/>
  <c r="AI135" i="79"/>
  <c r="AI1732" i="79" s="1"/>
  <c r="AJ135" i="79"/>
  <c r="AJ1732" i="79" s="1"/>
  <c r="AL135" i="79"/>
  <c r="AL1732" i="79" s="1"/>
  <c r="AP135" i="79"/>
  <c r="AP1732" i="79" s="1"/>
  <c r="AO135" i="79"/>
  <c r="AO1732" i="79" s="1"/>
  <c r="AK135" i="79"/>
  <c r="AK1732" i="79" s="1"/>
  <c r="AI116" i="79"/>
  <c r="AH115" i="79"/>
  <c r="AK116" i="79"/>
  <c r="AQ116" i="79"/>
  <c r="AH116" i="79"/>
  <c r="AP116" i="79"/>
  <c r="AP110" i="79"/>
  <c r="AH110" i="79"/>
  <c r="AQ110" i="79"/>
  <c r="AI110" i="79"/>
  <c r="AP86" i="79"/>
  <c r="AN86" i="79"/>
  <c r="AH93" i="79"/>
  <c r="AO93" i="79"/>
  <c r="AF141" i="79"/>
  <c r="AG141" i="79"/>
  <c r="AG151" i="79"/>
  <c r="AM135" i="79"/>
  <c r="AM1732" i="79" s="1"/>
  <c r="AN141" i="79"/>
  <c r="X393" i="40" s="1"/>
  <c r="AG135" i="79"/>
  <c r="AG1732" i="79" s="1"/>
  <c r="U632" i="79"/>
  <c r="AJ93" i="79"/>
  <c r="AO116" i="79"/>
  <c r="Y423" i="40" s="1"/>
  <c r="AG93" i="79"/>
  <c r="AF93" i="79"/>
  <c r="O72" i="79"/>
  <c r="O1467" i="79"/>
  <c r="AG88" i="79"/>
  <c r="AG1680" i="79" s="1"/>
  <c r="R1318" i="79"/>
  <c r="S50" i="79"/>
  <c r="T50" i="79"/>
  <c r="J168" i="79"/>
  <c r="L72" i="79"/>
  <c r="J127" i="79"/>
  <c r="Q1467" i="79"/>
  <c r="S1318" i="79"/>
  <c r="O1660" i="79"/>
  <c r="M1316" i="79"/>
  <c r="AJ136" i="79"/>
  <c r="I127" i="79"/>
  <c r="T77" i="79"/>
  <c r="AM151" i="79"/>
  <c r="AQ151" i="79"/>
  <c r="AF151" i="79"/>
  <c r="S77" i="79"/>
  <c r="M50" i="79"/>
  <c r="U45" i="79"/>
  <c r="C2422" i="79" s="1"/>
  <c r="AJ151" i="79"/>
  <c r="T72" i="79"/>
  <c r="L77" i="79"/>
  <c r="P168" i="79"/>
  <c r="J1318" i="79"/>
  <c r="O168" i="79"/>
  <c r="AF88" i="79"/>
  <c r="T1318" i="79"/>
  <c r="AM88" i="79"/>
  <c r="AM1680" i="79" s="1"/>
  <c r="L50" i="79"/>
  <c r="Q127" i="79"/>
  <c r="AJ88" i="79"/>
  <c r="AJ1680" i="79" s="1"/>
  <c r="J67" i="79"/>
  <c r="AK136" i="79"/>
  <c r="AQ88" i="79"/>
  <c r="AQ1680" i="79" s="1"/>
  <c r="AK88" i="79"/>
  <c r="AK1680" i="79" s="1"/>
  <c r="I50" i="79"/>
  <c r="AQ175" i="79"/>
  <c r="AH175" i="79"/>
  <c r="AI175" i="79"/>
  <c r="AL175" i="79"/>
  <c r="AG175" i="79"/>
  <c r="AF175" i="79"/>
  <c r="AP175" i="79"/>
  <c r="AJ175" i="79"/>
  <c r="AO175" i="79"/>
  <c r="AM175" i="79"/>
  <c r="AK175" i="79"/>
  <c r="AK1208" i="79" s="1"/>
  <c r="AK1276" i="79" s="1"/>
  <c r="AN175" i="79"/>
  <c r="AN88" i="79"/>
  <c r="AN1680" i="79" s="1"/>
  <c r="AI88" i="79"/>
  <c r="AI1680" i="79" s="1"/>
  <c r="AP197" i="79"/>
  <c r="AQ197" i="79"/>
  <c r="AJ197" i="79"/>
  <c r="AO197" i="79"/>
  <c r="AN197" i="79"/>
  <c r="X425" i="40" s="1"/>
  <c r="AH197" i="79"/>
  <c r="AM197" i="79"/>
  <c r="AL197" i="79"/>
  <c r="AK197" i="79"/>
  <c r="AF197" i="79"/>
  <c r="AI197" i="79"/>
  <c r="AG197" i="79"/>
  <c r="AQ169" i="79"/>
  <c r="AQ1174" i="79" s="1"/>
  <c r="AQ1244" i="79" s="1"/>
  <c r="AF169" i="79"/>
  <c r="AN169" i="79"/>
  <c r="AG169" i="79"/>
  <c r="AJ169" i="79"/>
  <c r="AH169" i="79"/>
  <c r="AM169" i="79"/>
  <c r="AO169" i="79"/>
  <c r="AL169" i="79"/>
  <c r="AK169" i="79"/>
  <c r="AI169" i="79"/>
  <c r="AP169" i="79"/>
  <c r="J77" i="79"/>
  <c r="AP88" i="79"/>
  <c r="AP1680" i="79" s="1"/>
  <c r="R50" i="79"/>
  <c r="AP192" i="79"/>
  <c r="AF192" i="79"/>
  <c r="AK192" i="79"/>
  <c r="AM192" i="79"/>
  <c r="AO192" i="79"/>
  <c r="AQ192" i="79"/>
  <c r="AN192" i="79"/>
  <c r="AL192" i="79"/>
  <c r="AI192" i="79"/>
  <c r="AJ192" i="79"/>
  <c r="T413" i="40" s="1"/>
  <c r="AH192" i="79"/>
  <c r="AG192" i="79"/>
  <c r="AK198" i="79"/>
  <c r="AM198" i="79"/>
  <c r="AN198" i="79"/>
  <c r="AO198" i="79"/>
  <c r="AF198" i="79"/>
  <c r="AQ198" i="79"/>
  <c r="AP198" i="79"/>
  <c r="AJ198" i="79"/>
  <c r="AI198" i="79"/>
  <c r="AG198" i="79"/>
  <c r="AL198" i="79"/>
  <c r="AH198" i="79"/>
  <c r="AM168" i="79"/>
  <c r="AL168" i="79"/>
  <c r="AG168" i="79"/>
  <c r="AP168" i="79"/>
  <c r="AK168" i="79"/>
  <c r="AN168" i="79"/>
  <c r="AQ168" i="79"/>
  <c r="AI168" i="79"/>
  <c r="AH168" i="79"/>
  <c r="AO168" i="79"/>
  <c r="AF168" i="79"/>
  <c r="AJ168" i="79"/>
  <c r="D93" i="61"/>
  <c r="D97" i="61" s="1"/>
  <c r="C154" i="9"/>
  <c r="AN182" i="79"/>
  <c r="AL182" i="79"/>
  <c r="AI182" i="79"/>
  <c r="AQ182" i="79"/>
  <c r="AA386" i="40" s="1"/>
  <c r="AN386" i="40" s="1"/>
  <c r="AF182" i="79"/>
  <c r="AP182" i="79"/>
  <c r="AK182" i="79"/>
  <c r="AO182" i="79"/>
  <c r="AH182" i="79"/>
  <c r="AJ182" i="79"/>
  <c r="AM182" i="79"/>
  <c r="AG182" i="79"/>
  <c r="AH88" i="79"/>
  <c r="AH1680" i="79" s="1"/>
  <c r="K50" i="79"/>
  <c r="AA423" i="40"/>
  <c r="T423" i="40"/>
  <c r="S423" i="40"/>
  <c r="Q423" i="40"/>
  <c r="Z423" i="40"/>
  <c r="V423" i="40"/>
  <c r="U423" i="40"/>
  <c r="P423" i="40"/>
  <c r="R423" i="40"/>
  <c r="X423" i="40"/>
  <c r="W423" i="40"/>
  <c r="J1315" i="79"/>
  <c r="I1317" i="79"/>
  <c r="N72" i="79"/>
  <c r="M1318" i="79"/>
  <c r="N1317" i="79"/>
  <c r="R1316" i="79"/>
  <c r="O77" i="79"/>
  <c r="K127" i="79"/>
  <c r="K1718" i="79" s="1"/>
  <c r="P127" i="79"/>
  <c r="P1718" i="79" s="1"/>
  <c r="T127" i="79"/>
  <c r="AI151" i="79"/>
  <c r="AI1325" i="79" s="1"/>
  <c r="AO151" i="79"/>
  <c r="AH151" i="79"/>
  <c r="AK151" i="79"/>
  <c r="AN151" i="79"/>
  <c r="M77" i="79"/>
  <c r="R67" i="79"/>
  <c r="N127" i="79"/>
  <c r="M127" i="79"/>
  <c r="O127" i="79"/>
  <c r="M67" i="79"/>
  <c r="L127" i="79"/>
  <c r="S127" i="79"/>
  <c r="P1318" i="79"/>
  <c r="N1467" i="79"/>
  <c r="N1469" i="79" s="1"/>
  <c r="M57" i="79"/>
  <c r="L464" i="73"/>
  <c r="M458" i="73"/>
  <c r="P1467" i="79"/>
  <c r="J57" i="79"/>
  <c r="I1318" i="79"/>
  <c r="AN1696" i="79"/>
  <c r="L86" i="79"/>
  <c r="M1315" i="79"/>
  <c r="M86" i="79"/>
  <c r="AR54" i="79"/>
  <c r="C2834" i="79" s="1"/>
  <c r="AP156" i="79"/>
  <c r="AO156" i="79"/>
  <c r="I72" i="79"/>
  <c r="P1315" i="79"/>
  <c r="N77" i="79"/>
  <c r="I77" i="79"/>
  <c r="K1315" i="79"/>
  <c r="N50" i="79"/>
  <c r="K72" i="79"/>
  <c r="Q1315" i="79"/>
  <c r="N57" i="79"/>
  <c r="O67" i="79"/>
  <c r="J1467" i="79"/>
  <c r="P77" i="79"/>
  <c r="S86" i="79"/>
  <c r="P86" i="79"/>
  <c r="I86" i="79"/>
  <c r="AG156" i="79"/>
  <c r="AK156" i="79"/>
  <c r="AJ156" i="79"/>
  <c r="AN156" i="79"/>
  <c r="AF156" i="79"/>
  <c r="AQ156" i="79"/>
  <c r="AA419" i="40" s="1"/>
  <c r="T1316" i="79"/>
  <c r="Q57" i="79"/>
  <c r="N1315" i="79"/>
  <c r="P57" i="79"/>
  <c r="N1318" i="79"/>
  <c r="O1316" i="79"/>
  <c r="M1467" i="79"/>
  <c r="K86" i="79"/>
  <c r="T86" i="79"/>
  <c r="J86" i="79"/>
  <c r="J1174" i="79" s="1"/>
  <c r="J1244" i="79" s="1"/>
  <c r="O50" i="79"/>
  <c r="AI156" i="79"/>
  <c r="AM156" i="79"/>
  <c r="T67" i="79"/>
  <c r="Q86" i="79"/>
  <c r="R86" i="79"/>
  <c r="S1317" i="79"/>
  <c r="AG1696" i="79"/>
  <c r="P421" i="40"/>
  <c r="AC421" i="40" s="1"/>
  <c r="C487" i="40" s="1"/>
  <c r="M72" i="79"/>
  <c r="P50" i="79"/>
  <c r="J50" i="79"/>
  <c r="AI1696" i="79"/>
  <c r="J1317" i="79"/>
  <c r="R1317" i="79"/>
  <c r="N67" i="79"/>
  <c r="H390" i="40"/>
  <c r="Q1318" i="79"/>
  <c r="I1316" i="79"/>
  <c r="C390" i="40"/>
  <c r="AC390" i="40" s="1"/>
  <c r="C456" i="40" s="1"/>
  <c r="K77" i="79"/>
  <c r="S67" i="79"/>
  <c r="M390" i="40"/>
  <c r="P1316" i="79"/>
  <c r="J390" i="40"/>
  <c r="AJ390" i="40" s="1"/>
  <c r="K1316" i="79"/>
  <c r="E390" i="40"/>
  <c r="AE390" i="40" s="1"/>
  <c r="K67" i="79"/>
  <c r="N1316" i="79"/>
  <c r="R1315" i="79"/>
  <c r="R72" i="79"/>
  <c r="AL136" i="79"/>
  <c r="AL1323" i="79" s="1"/>
  <c r="AO136" i="79"/>
  <c r="AM136" i="79"/>
  <c r="Q168" i="79"/>
  <c r="N168" i="79"/>
  <c r="N1754" i="79" s="1"/>
  <c r="I168" i="79"/>
  <c r="U74" i="79"/>
  <c r="C2447" i="79" s="1"/>
  <c r="R1467" i="79"/>
  <c r="R1468" i="79" s="1"/>
  <c r="L67" i="79"/>
  <c r="L78" i="79" s="1"/>
  <c r="AG136" i="79"/>
  <c r="AF136" i="79"/>
  <c r="AP136" i="79"/>
  <c r="K168" i="79"/>
  <c r="M168" i="79"/>
  <c r="S168" i="79"/>
  <c r="R77" i="79"/>
  <c r="Q77" i="79"/>
  <c r="L1316" i="79"/>
  <c r="AI136" i="79"/>
  <c r="AH136" i="79"/>
  <c r="T168" i="79"/>
  <c r="T1754" i="79" s="1"/>
  <c r="L168" i="79"/>
  <c r="R170" i="79"/>
  <c r="R1752" i="79" s="1"/>
  <c r="L170" i="79"/>
  <c r="L1752" i="79" s="1"/>
  <c r="O170" i="79"/>
  <c r="O1752" i="79" s="1"/>
  <c r="Q170" i="79"/>
  <c r="Q1752" i="79" s="1"/>
  <c r="T170" i="79"/>
  <c r="T1752" i="79" s="1"/>
  <c r="S170" i="79"/>
  <c r="S1752" i="79" s="1"/>
  <c r="I170" i="79"/>
  <c r="J170" i="79"/>
  <c r="J1752" i="79" s="1"/>
  <c r="P170" i="79"/>
  <c r="P1752" i="79" s="1"/>
  <c r="K170" i="79"/>
  <c r="K1752" i="79" s="1"/>
  <c r="M170" i="79"/>
  <c r="M1752" i="79" s="1"/>
  <c r="N170" i="79"/>
  <c r="N1752" i="79" s="1"/>
  <c r="AL1644" i="79"/>
  <c r="AK1644" i="79"/>
  <c r="AQ1644" i="79"/>
  <c r="AQ152" i="79"/>
  <c r="AO152" i="79"/>
  <c r="AO154" i="79" s="1"/>
  <c r="AF152" i="79"/>
  <c r="AL152" i="79"/>
  <c r="V416" i="40" s="1"/>
  <c r="AM152" i="79"/>
  <c r="AP152" i="79"/>
  <c r="Z416" i="40" s="1"/>
  <c r="AJ152" i="79"/>
  <c r="T416" i="40" s="1"/>
  <c r="AG152" i="79"/>
  <c r="Q416" i="40" s="1"/>
  <c r="AI152" i="79"/>
  <c r="AN152" i="79"/>
  <c r="AN154" i="79" s="1"/>
  <c r="AK152" i="79"/>
  <c r="U416" i="40" s="1"/>
  <c r="AH152" i="79"/>
  <c r="R416" i="40" s="1"/>
  <c r="AJ1642" i="79"/>
  <c r="AK1642" i="79"/>
  <c r="AF1642" i="79"/>
  <c r="AR46" i="79"/>
  <c r="C2827" i="79" s="1"/>
  <c r="I1644" i="79"/>
  <c r="U47" i="79"/>
  <c r="C2424" i="79" s="1"/>
  <c r="T1644" i="79"/>
  <c r="S1644" i="79"/>
  <c r="T1642" i="79"/>
  <c r="M1642" i="79"/>
  <c r="S1642" i="79"/>
  <c r="P1317" i="79"/>
  <c r="Q1317" i="79"/>
  <c r="AF1680" i="79"/>
  <c r="AH1644" i="79"/>
  <c r="AP1644" i="79"/>
  <c r="AN1644" i="79"/>
  <c r="AQ1642" i="79"/>
  <c r="AG1642" i="79"/>
  <c r="AM1642" i="79"/>
  <c r="L1644" i="79"/>
  <c r="O1644" i="79"/>
  <c r="M1644" i="79"/>
  <c r="P1642" i="79"/>
  <c r="K1642" i="79"/>
  <c r="J1642" i="79"/>
  <c r="J88" i="79"/>
  <c r="J1680" i="79" s="1"/>
  <c r="Q88" i="79"/>
  <c r="Q1680" i="79" s="1"/>
  <c r="M88" i="79"/>
  <c r="M1680" i="79" s="1"/>
  <c r="T88" i="79"/>
  <c r="T1680" i="79" s="1"/>
  <c r="S88" i="79"/>
  <c r="S1680" i="79" s="1"/>
  <c r="N88" i="79"/>
  <c r="N1680" i="79" s="1"/>
  <c r="L88" i="79"/>
  <c r="L1680" i="79" s="1"/>
  <c r="O88" i="79"/>
  <c r="O1680" i="79" s="1"/>
  <c r="P88" i="79"/>
  <c r="P1680" i="79" s="1"/>
  <c r="I88" i="79"/>
  <c r="R88" i="79"/>
  <c r="R1680" i="79" s="1"/>
  <c r="K88" i="79"/>
  <c r="K1680" i="79" s="1"/>
  <c r="AP1696" i="79"/>
  <c r="AJ1696" i="79"/>
  <c r="Z393" i="40"/>
  <c r="AJ1644" i="79"/>
  <c r="AF1644" i="79"/>
  <c r="AR47" i="79"/>
  <c r="C2828" i="79" s="1"/>
  <c r="AM1644" i="79"/>
  <c r="AN129" i="79"/>
  <c r="AN1716" i="79" s="1"/>
  <c r="AO129" i="79"/>
  <c r="AO1716" i="79" s="1"/>
  <c r="AM129" i="79"/>
  <c r="AM1716" i="79" s="1"/>
  <c r="AF129" i="79"/>
  <c r="AF1172" i="79" s="1"/>
  <c r="AF1242" i="79" s="1"/>
  <c r="AG129" i="79"/>
  <c r="AG1716" i="79" s="1"/>
  <c r="AL129" i="79"/>
  <c r="AL1716" i="79" s="1"/>
  <c r="AK129" i="79"/>
  <c r="AK1716" i="79" s="1"/>
  <c r="AP129" i="79"/>
  <c r="AP1716" i="79" s="1"/>
  <c r="AI129" i="79"/>
  <c r="AI1716" i="79" s="1"/>
  <c r="AH129" i="79"/>
  <c r="AH1716" i="79" s="1"/>
  <c r="AQ129" i="79"/>
  <c r="AQ1716" i="79" s="1"/>
  <c r="AJ129" i="79"/>
  <c r="AJ1716" i="79" s="1"/>
  <c r="Q129" i="79"/>
  <c r="Q1716" i="79" s="1"/>
  <c r="N129" i="79"/>
  <c r="N1716" i="79" s="1"/>
  <c r="S129" i="79"/>
  <c r="S1716" i="79" s="1"/>
  <c r="L129" i="79"/>
  <c r="L1716" i="79" s="1"/>
  <c r="R129" i="79"/>
  <c r="R1716" i="79" s="1"/>
  <c r="P129" i="79"/>
  <c r="P1716" i="79" s="1"/>
  <c r="K129" i="79"/>
  <c r="K1716" i="79" s="1"/>
  <c r="T129" i="79"/>
  <c r="T1716" i="79" s="1"/>
  <c r="I129" i="79"/>
  <c r="J129" i="79"/>
  <c r="J1716" i="79" s="1"/>
  <c r="O129" i="79"/>
  <c r="O1716" i="79" s="1"/>
  <c r="M129" i="79"/>
  <c r="M1716" i="79" s="1"/>
  <c r="AL1642" i="79"/>
  <c r="AP1642" i="79"/>
  <c r="AO1642" i="79"/>
  <c r="N1644" i="79"/>
  <c r="P1644" i="79"/>
  <c r="J1644" i="79"/>
  <c r="R1642" i="79"/>
  <c r="I1642" i="79"/>
  <c r="U46" i="79"/>
  <c r="C2423" i="79" s="1"/>
  <c r="L1642" i="79"/>
  <c r="R87" i="79"/>
  <c r="R1678" i="79" s="1"/>
  <c r="J87" i="79"/>
  <c r="J1678" i="79" s="1"/>
  <c r="Q87" i="79"/>
  <c r="Q1678" i="79" s="1"/>
  <c r="K87" i="79"/>
  <c r="K1678" i="79" s="1"/>
  <c r="T87" i="79"/>
  <c r="T1678" i="79" s="1"/>
  <c r="M87" i="79"/>
  <c r="M1678" i="79" s="1"/>
  <c r="S87" i="79"/>
  <c r="S1678" i="79" s="1"/>
  <c r="N87" i="79"/>
  <c r="N1678" i="79" s="1"/>
  <c r="O87" i="79"/>
  <c r="O1678" i="79" s="1"/>
  <c r="L87" i="79"/>
  <c r="L1678" i="79" s="1"/>
  <c r="P87" i="79"/>
  <c r="P1678" i="79" s="1"/>
  <c r="I87" i="79"/>
  <c r="R169" i="79"/>
  <c r="R1750" i="79" s="1"/>
  <c r="T169" i="79"/>
  <c r="T1750" i="79" s="1"/>
  <c r="I169" i="79"/>
  <c r="L169" i="79"/>
  <c r="L1750" i="79" s="1"/>
  <c r="P169" i="79"/>
  <c r="P1750" i="79" s="1"/>
  <c r="O169" i="79"/>
  <c r="O1750" i="79" s="1"/>
  <c r="Q169" i="79"/>
  <c r="Q1750" i="79" s="1"/>
  <c r="J169" i="79"/>
  <c r="J1750" i="79" s="1"/>
  <c r="S169" i="79"/>
  <c r="S1750" i="79" s="1"/>
  <c r="N169" i="79"/>
  <c r="N1750" i="79" s="1"/>
  <c r="K169" i="79"/>
  <c r="K1750" i="79" s="1"/>
  <c r="M169" i="79"/>
  <c r="M1750" i="79" s="1"/>
  <c r="AG1644" i="79"/>
  <c r="AI1644" i="79"/>
  <c r="AO1644" i="79"/>
  <c r="AN128" i="79"/>
  <c r="AN1714" i="79" s="1"/>
  <c r="AG128" i="79"/>
  <c r="AG1714" i="79" s="1"/>
  <c r="AL128" i="79"/>
  <c r="AL1714" i="79" s="1"/>
  <c r="AP128" i="79"/>
  <c r="AP1714" i="79" s="1"/>
  <c r="AJ128" i="79"/>
  <c r="AJ1714" i="79" s="1"/>
  <c r="AO128" i="79"/>
  <c r="AO1714" i="79" s="1"/>
  <c r="AM128" i="79"/>
  <c r="AM1714" i="79" s="1"/>
  <c r="AH128" i="79"/>
  <c r="AH1714" i="79" s="1"/>
  <c r="AQ128" i="79"/>
  <c r="AQ1714" i="79" s="1"/>
  <c r="AF128" i="79"/>
  <c r="AK128" i="79"/>
  <c r="AK1714" i="79" s="1"/>
  <c r="AI128" i="79"/>
  <c r="AI1714" i="79" s="1"/>
  <c r="Q128" i="79"/>
  <c r="Q1714" i="79" s="1"/>
  <c r="K128" i="79"/>
  <c r="K1714" i="79" s="1"/>
  <c r="T128" i="79"/>
  <c r="T1714" i="79" s="1"/>
  <c r="O128" i="79"/>
  <c r="O1714" i="79" s="1"/>
  <c r="J128" i="79"/>
  <c r="J1714" i="79" s="1"/>
  <c r="N128" i="79"/>
  <c r="N1714" i="79" s="1"/>
  <c r="S128" i="79"/>
  <c r="S1714" i="79" s="1"/>
  <c r="L128" i="79"/>
  <c r="L1714" i="79" s="1"/>
  <c r="I128" i="79"/>
  <c r="R128" i="79"/>
  <c r="R1714" i="79" s="1"/>
  <c r="P128" i="79"/>
  <c r="P1714" i="79" s="1"/>
  <c r="M128" i="79"/>
  <c r="M1714" i="79" s="1"/>
  <c r="AN1170" i="79"/>
  <c r="AN1240" i="79" s="1"/>
  <c r="AN1642" i="79"/>
  <c r="AI1642" i="79"/>
  <c r="AI1170" i="79"/>
  <c r="AI1240" i="79" s="1"/>
  <c r="AH1642" i="79"/>
  <c r="K1644" i="79"/>
  <c r="R1644" i="79"/>
  <c r="Q1644" i="79"/>
  <c r="AF1678" i="79"/>
  <c r="AR87" i="79"/>
  <c r="C2861" i="79" s="1"/>
  <c r="Q1642" i="79"/>
  <c r="O1642" i="79"/>
  <c r="N1642" i="79"/>
  <c r="U393" i="40"/>
  <c r="T393" i="40"/>
  <c r="S393" i="40"/>
  <c r="AA393" i="40"/>
  <c r="R393" i="40"/>
  <c r="P393" i="40"/>
  <c r="Y393" i="40"/>
  <c r="W393" i="40"/>
  <c r="Q393" i="40"/>
  <c r="V393" i="40"/>
  <c r="AM1696" i="79"/>
  <c r="AQ1696" i="79"/>
  <c r="AL1696" i="79"/>
  <c r="AH1696" i="79"/>
  <c r="AK1696" i="79"/>
  <c r="AO1696" i="79"/>
  <c r="AL1207" i="79"/>
  <c r="AL1275" i="79" s="1"/>
  <c r="AL1659" i="79"/>
  <c r="AF1207" i="79"/>
  <c r="AF1275" i="79" s="1"/>
  <c r="AF1659" i="79"/>
  <c r="AQ1207" i="79"/>
  <c r="AQ1275" i="79" s="1"/>
  <c r="AQ1659" i="79"/>
  <c r="AI1207" i="79"/>
  <c r="AI1275" i="79" s="1"/>
  <c r="AI1659" i="79"/>
  <c r="AJ1207" i="79"/>
  <c r="AJ1275" i="79" s="1"/>
  <c r="AJ1659" i="79"/>
  <c r="AM1207" i="79"/>
  <c r="AM1275" i="79" s="1"/>
  <c r="AM1659" i="79"/>
  <c r="AH1207" i="79"/>
  <c r="AH1275" i="79" s="1"/>
  <c r="AH1659" i="79"/>
  <c r="AP1207" i="79"/>
  <c r="AP1275" i="79" s="1"/>
  <c r="AP1659" i="79"/>
  <c r="AN1207" i="79"/>
  <c r="AN1275" i="79" s="1"/>
  <c r="AN1659" i="79"/>
  <c r="AG1207" i="79"/>
  <c r="AG1275" i="79" s="1"/>
  <c r="AG1659" i="79"/>
  <c r="AO1207" i="79"/>
  <c r="AO1275" i="79" s="1"/>
  <c r="AO1659" i="79"/>
  <c r="AK1207" i="79"/>
  <c r="AK1275" i="79" s="1"/>
  <c r="AK1659" i="79"/>
  <c r="N1659" i="79"/>
  <c r="M1659" i="79"/>
  <c r="I1467" i="79"/>
  <c r="I1469" i="79" s="1"/>
  <c r="I1659" i="79"/>
  <c r="T1658" i="79"/>
  <c r="T1659" i="79"/>
  <c r="S1467" i="79"/>
  <c r="S1469" i="79" s="1"/>
  <c r="S1659" i="79"/>
  <c r="L1659" i="79"/>
  <c r="P1659" i="79"/>
  <c r="O57" i="79"/>
  <c r="O1659" i="79"/>
  <c r="K57" i="79"/>
  <c r="K1659" i="79"/>
  <c r="J1659" i="79"/>
  <c r="J1671" i="79" s="1"/>
  <c r="J1672" i="79" s="1"/>
  <c r="J1673" i="79" s="1"/>
  <c r="Q1659" i="79"/>
  <c r="U52" i="79"/>
  <c r="C2428" i="79" s="1"/>
  <c r="K1467" i="79"/>
  <c r="K1468" i="79" s="1"/>
  <c r="T1315" i="79"/>
  <c r="Y420" i="40"/>
  <c r="L1318" i="79"/>
  <c r="S1315" i="79"/>
  <c r="S1316" i="79"/>
  <c r="S1658" i="79"/>
  <c r="U70" i="79"/>
  <c r="C2444" i="79" s="1"/>
  <c r="I57" i="79"/>
  <c r="U59" i="79"/>
  <c r="C2434" i="79" s="1"/>
  <c r="F19" i="40" s="1"/>
  <c r="G19" i="40" s="1"/>
  <c r="F322" i="40" s="1"/>
  <c r="L1467" i="79"/>
  <c r="L1469" i="79" s="1"/>
  <c r="P67" i="79"/>
  <c r="T57" i="79"/>
  <c r="U75" i="79"/>
  <c r="C2448" i="79" s="1"/>
  <c r="K1318" i="79"/>
  <c r="U53" i="79"/>
  <c r="C2429" i="79" s="1"/>
  <c r="S57" i="79"/>
  <c r="S78" i="79" s="1"/>
  <c r="Q72" i="79"/>
  <c r="I1315" i="79"/>
  <c r="J72" i="79"/>
  <c r="U69" i="79"/>
  <c r="C2443" i="79" s="1"/>
  <c r="I67" i="79"/>
  <c r="L1315" i="79"/>
  <c r="P72" i="79"/>
  <c r="T1467" i="79"/>
  <c r="I1658" i="79"/>
  <c r="K273" i="77"/>
  <c r="K465" i="73"/>
  <c r="K467" i="73" s="1"/>
  <c r="K254" i="77"/>
  <c r="K255" i="77" s="1"/>
  <c r="W420" i="40"/>
  <c r="AJ420" i="40" s="1"/>
  <c r="AA420" i="40"/>
  <c r="AN420" i="40" s="1"/>
  <c r="X420" i="40"/>
  <c r="R420" i="40"/>
  <c r="AE420" i="40" s="1"/>
  <c r="Z420" i="40"/>
  <c r="AM420" i="40" s="1"/>
  <c r="R1174" i="79"/>
  <c r="R1244" i="79" s="1"/>
  <c r="T420" i="40"/>
  <c r="T1464" i="79"/>
  <c r="T1466" i="79" s="1"/>
  <c r="Q420" i="40"/>
  <c r="AD420" i="40" s="1"/>
  <c r="M1790" i="79"/>
  <c r="M214" i="79"/>
  <c r="R214" i="79"/>
  <c r="R1790" i="79"/>
  <c r="I1790" i="79"/>
  <c r="U209" i="79"/>
  <c r="C2558" i="79" s="1"/>
  <c r="I214" i="79"/>
  <c r="M1174" i="79"/>
  <c r="M1244" i="79" s="1"/>
  <c r="P1754" i="79"/>
  <c r="O1754" i="79"/>
  <c r="J1754" i="79"/>
  <c r="T1718" i="79"/>
  <c r="S1174" i="79"/>
  <c r="S1244" i="79" s="1"/>
  <c r="T1790" i="79"/>
  <c r="T214" i="79"/>
  <c r="S1790" i="79"/>
  <c r="S214" i="79"/>
  <c r="P1790" i="79"/>
  <c r="P214" i="79"/>
  <c r="I1754" i="79"/>
  <c r="N1718" i="79"/>
  <c r="M1718" i="79"/>
  <c r="O1718" i="79"/>
  <c r="L214" i="79"/>
  <c r="L1790" i="79"/>
  <c r="O1790" i="79"/>
  <c r="O214" i="79"/>
  <c r="K1790" i="79"/>
  <c r="K214" i="79"/>
  <c r="M1754" i="79"/>
  <c r="L1718" i="79"/>
  <c r="S1718" i="79"/>
  <c r="R1718" i="79"/>
  <c r="S1464" i="79"/>
  <c r="S1465" i="79" s="1"/>
  <c r="N1790" i="79"/>
  <c r="N214" i="79"/>
  <c r="Q214" i="79"/>
  <c r="Q1790" i="79"/>
  <c r="J1790" i="79"/>
  <c r="J214" i="79"/>
  <c r="L1754" i="79"/>
  <c r="R1754" i="79"/>
  <c r="J1718" i="79"/>
  <c r="I1718" i="79"/>
  <c r="Q1718" i="79"/>
  <c r="L205" i="73"/>
  <c r="L459" i="73" s="1"/>
  <c r="L463" i="73" s="1"/>
  <c r="A65" i="10"/>
  <c r="H65" i="10" s="1"/>
  <c r="A3" i="25" s="1"/>
  <c r="A13" i="25" s="1"/>
  <c r="A24" i="25" s="1"/>
  <c r="A32" i="25" s="1"/>
  <c r="A40" i="25" s="1"/>
  <c r="F3" i="25" s="1"/>
  <c r="F16" i="25" s="1"/>
  <c r="A49" i="25" s="1"/>
  <c r="F49" i="25" s="1"/>
  <c r="A5" i="80" s="1"/>
  <c r="A21" i="80" s="1"/>
  <c r="A50" i="80" s="1"/>
  <c r="M204" i="73"/>
  <c r="N186" i="73" s="1"/>
  <c r="X381" i="40"/>
  <c r="X380" i="40"/>
  <c r="T381" i="40"/>
  <c r="T380" i="40"/>
  <c r="AA381" i="40"/>
  <c r="AN381" i="40" s="1"/>
  <c r="AA380" i="40"/>
  <c r="AN380" i="40" s="1"/>
  <c r="P381" i="40"/>
  <c r="AC381" i="40" s="1"/>
  <c r="C447" i="40" s="1"/>
  <c r="P447" i="40" s="1"/>
  <c r="AC447" i="40" s="1"/>
  <c r="P380" i="40"/>
  <c r="AC380" i="40" s="1"/>
  <c r="Z381" i="40"/>
  <c r="AM381" i="40" s="1"/>
  <c r="Z380" i="40"/>
  <c r="AM380" i="40" s="1"/>
  <c r="Q381" i="40"/>
  <c r="AD381" i="40" s="1"/>
  <c r="Q380" i="40"/>
  <c r="AD380" i="40" s="1"/>
  <c r="Y381" i="40"/>
  <c r="Y380" i="40"/>
  <c r="R381" i="40"/>
  <c r="AE381" i="40" s="1"/>
  <c r="R380" i="40"/>
  <c r="AE380" i="40" s="1"/>
  <c r="U381" i="40"/>
  <c r="AH381" i="40" s="1"/>
  <c r="U380" i="40"/>
  <c r="AH380" i="40" s="1"/>
  <c r="V381" i="40"/>
  <c r="AI381" i="40" s="1"/>
  <c r="V380" i="40"/>
  <c r="AI380" i="40" s="1"/>
  <c r="W381" i="40"/>
  <c r="AJ381" i="40" s="1"/>
  <c r="W380" i="40"/>
  <c r="AJ380" i="40" s="1"/>
  <c r="S381" i="40"/>
  <c r="S380" i="40"/>
  <c r="AL1210" i="79"/>
  <c r="AL1278" i="79" s="1"/>
  <c r="M1464" i="79"/>
  <c r="M1466" i="79" s="1"/>
  <c r="O1464" i="79"/>
  <c r="O1466" i="79" s="1"/>
  <c r="N1468" i="79"/>
  <c r="S94" i="79"/>
  <c r="P94" i="79"/>
  <c r="J94" i="79"/>
  <c r="K94" i="79"/>
  <c r="R94" i="79"/>
  <c r="L94" i="79"/>
  <c r="O94" i="79"/>
  <c r="T94" i="79"/>
  <c r="I94" i="79"/>
  <c r="M94" i="79"/>
  <c r="Q94" i="79"/>
  <c r="N94" i="79"/>
  <c r="P100" i="79"/>
  <c r="J389" i="40" s="1"/>
  <c r="AJ389" i="40" s="1"/>
  <c r="T100" i="79"/>
  <c r="N389" i="40" s="1"/>
  <c r="AN389" i="40" s="1"/>
  <c r="Q100" i="79"/>
  <c r="K389" i="40" s="1"/>
  <c r="N100" i="79"/>
  <c r="H389" i="40" s="1"/>
  <c r="I100" i="79"/>
  <c r="C389" i="40" s="1"/>
  <c r="K100" i="79"/>
  <c r="E389" i="40" s="1"/>
  <c r="AE389" i="40" s="1"/>
  <c r="R100" i="79"/>
  <c r="L389" i="40" s="1"/>
  <c r="L100" i="79"/>
  <c r="F389" i="40" s="1"/>
  <c r="M100" i="79"/>
  <c r="G389" i="40" s="1"/>
  <c r="O100" i="79"/>
  <c r="I389" i="40" s="1"/>
  <c r="AI389" i="40" s="1"/>
  <c r="J100" i="79"/>
  <c r="D389" i="40" s="1"/>
  <c r="AD389" i="40" s="1"/>
  <c r="S100" i="79"/>
  <c r="M389" i="40" s="1"/>
  <c r="S141" i="79"/>
  <c r="L141" i="79"/>
  <c r="F393" i="40" s="1"/>
  <c r="T141" i="79"/>
  <c r="N393" i="40" s="1"/>
  <c r="Q141" i="79"/>
  <c r="K393" i="40" s="1"/>
  <c r="J141" i="79"/>
  <c r="I141" i="79"/>
  <c r="C393" i="40" s="1"/>
  <c r="R141" i="79"/>
  <c r="M141" i="79"/>
  <c r="O141" i="79"/>
  <c r="I393" i="40" s="1"/>
  <c r="K141" i="79"/>
  <c r="E393" i="40" s="1"/>
  <c r="N141" i="79"/>
  <c r="H393" i="40" s="1"/>
  <c r="P141" i="79"/>
  <c r="J393" i="40" s="1"/>
  <c r="Q157" i="79"/>
  <c r="T157" i="79"/>
  <c r="P157" i="79"/>
  <c r="R157" i="79"/>
  <c r="S157" i="79"/>
  <c r="K157" i="79"/>
  <c r="O157" i="79"/>
  <c r="M157" i="79"/>
  <c r="N157" i="79"/>
  <c r="L157" i="79"/>
  <c r="I157" i="79"/>
  <c r="J157" i="79"/>
  <c r="AR116" i="79"/>
  <c r="C2886" i="79" s="1"/>
  <c r="R1469" i="79"/>
  <c r="L1468" i="79"/>
  <c r="S216" i="79"/>
  <c r="T216" i="79"/>
  <c r="I216" i="79"/>
  <c r="Q216" i="79"/>
  <c r="R216" i="79"/>
  <c r="L216" i="79"/>
  <c r="O216" i="79"/>
  <c r="P216" i="79"/>
  <c r="K216" i="79"/>
  <c r="J216" i="79"/>
  <c r="M216" i="79"/>
  <c r="N216" i="79"/>
  <c r="AK1210" i="79"/>
  <c r="AK1278" i="79" s="1"/>
  <c r="AI1209" i="79"/>
  <c r="AI1277" i="79" s="1"/>
  <c r="AI1733" i="79"/>
  <c r="AH1209" i="79"/>
  <c r="AH1277" i="79" s="1"/>
  <c r="AH1733" i="79"/>
  <c r="AQ1209" i="79"/>
  <c r="AQ1277" i="79" s="1"/>
  <c r="AQ1733" i="79"/>
  <c r="N193" i="79"/>
  <c r="I193" i="79"/>
  <c r="T193" i="79"/>
  <c r="S193" i="79"/>
  <c r="R193" i="79"/>
  <c r="M193" i="79"/>
  <c r="P193" i="79"/>
  <c r="Q193" i="79"/>
  <c r="K193" i="79"/>
  <c r="J193" i="79"/>
  <c r="O193" i="79"/>
  <c r="L193" i="79"/>
  <c r="S177" i="79"/>
  <c r="S1770" i="79" s="1"/>
  <c r="R177" i="79"/>
  <c r="R1770" i="79" s="1"/>
  <c r="K177" i="79"/>
  <c r="K1770" i="79" s="1"/>
  <c r="O177" i="79"/>
  <c r="O1770" i="79" s="1"/>
  <c r="T177" i="79"/>
  <c r="T1770" i="79" s="1"/>
  <c r="I177" i="79"/>
  <c r="N177" i="79"/>
  <c r="N1770" i="79" s="1"/>
  <c r="P177" i="79"/>
  <c r="P1770" i="79" s="1"/>
  <c r="M177" i="79"/>
  <c r="M1770" i="79" s="1"/>
  <c r="L177" i="79"/>
  <c r="L1770" i="79" s="1"/>
  <c r="Q177" i="79"/>
  <c r="Q1770" i="79" s="1"/>
  <c r="J177" i="79"/>
  <c r="J1770" i="79" s="1"/>
  <c r="AN1210" i="79"/>
  <c r="AN1278" i="79" s="1"/>
  <c r="N93" i="79"/>
  <c r="N1695" i="79" s="1"/>
  <c r="J93" i="79"/>
  <c r="Q93" i="79"/>
  <c r="Q1695" i="79" s="1"/>
  <c r="S93" i="79"/>
  <c r="S1695" i="79" s="1"/>
  <c r="M93" i="79"/>
  <c r="M1695" i="79" s="1"/>
  <c r="R93" i="79"/>
  <c r="P93" i="79"/>
  <c r="P1695" i="79" s="1"/>
  <c r="T93" i="79"/>
  <c r="T1695" i="79" s="1"/>
  <c r="O93" i="79"/>
  <c r="O1695" i="79" s="1"/>
  <c r="L93" i="79"/>
  <c r="L1695" i="79" s="1"/>
  <c r="K93" i="79"/>
  <c r="K1695" i="79" s="1"/>
  <c r="I93" i="79"/>
  <c r="N111" i="79"/>
  <c r="I111" i="79"/>
  <c r="L111" i="79"/>
  <c r="J111" i="79"/>
  <c r="R111" i="79"/>
  <c r="K111" i="79"/>
  <c r="T111" i="79"/>
  <c r="P111" i="79"/>
  <c r="M111" i="79"/>
  <c r="S111" i="79"/>
  <c r="Q111" i="79"/>
  <c r="O111" i="79"/>
  <c r="Q135" i="79"/>
  <c r="L135" i="79"/>
  <c r="S135" i="79"/>
  <c r="T135" i="79"/>
  <c r="P135" i="79"/>
  <c r="N135" i="79"/>
  <c r="M135" i="79"/>
  <c r="I135" i="79"/>
  <c r="O135" i="79"/>
  <c r="R135" i="79"/>
  <c r="K135" i="79"/>
  <c r="J135" i="79"/>
  <c r="S152" i="79"/>
  <c r="P152" i="79"/>
  <c r="Q152" i="79"/>
  <c r="K152" i="79"/>
  <c r="L152" i="79"/>
  <c r="J152" i="79"/>
  <c r="O152" i="79"/>
  <c r="M152" i="79"/>
  <c r="T152" i="79"/>
  <c r="N152" i="79"/>
  <c r="I152" i="79"/>
  <c r="R152" i="79"/>
  <c r="AH1210" i="79"/>
  <c r="AH1278" i="79" s="1"/>
  <c r="P1671" i="79"/>
  <c r="P1672" i="79" s="1"/>
  <c r="P1673" i="79" s="1"/>
  <c r="P1469" i="79"/>
  <c r="P1468" i="79"/>
  <c r="AJ1210" i="79"/>
  <c r="AJ1278" i="79" s="1"/>
  <c r="S217" i="79"/>
  <c r="S1804" i="79" s="1"/>
  <c r="M217" i="79"/>
  <c r="M1804" i="79" s="1"/>
  <c r="P217" i="79"/>
  <c r="P1804" i="79" s="1"/>
  <c r="T217" i="79"/>
  <c r="T1804" i="79" s="1"/>
  <c r="I217" i="79"/>
  <c r="J217" i="79"/>
  <c r="J1804" i="79" s="1"/>
  <c r="O217" i="79"/>
  <c r="O1804" i="79" s="1"/>
  <c r="R217" i="79"/>
  <c r="R1804" i="79" s="1"/>
  <c r="K217" i="79"/>
  <c r="K1804" i="79" s="1"/>
  <c r="L217" i="79"/>
  <c r="L1804" i="79" s="1"/>
  <c r="Q217" i="79"/>
  <c r="Q1804" i="79" s="1"/>
  <c r="N217" i="79"/>
  <c r="N1804" i="79" s="1"/>
  <c r="O78" i="79"/>
  <c r="AJ1209" i="79"/>
  <c r="AJ1277" i="79" s="1"/>
  <c r="AJ1733" i="79"/>
  <c r="AN1209" i="79"/>
  <c r="AN1277" i="79" s="1"/>
  <c r="AN1733" i="79"/>
  <c r="AK1209" i="79"/>
  <c r="AK1277" i="79" s="1"/>
  <c r="AK1733" i="79"/>
  <c r="N197" i="79"/>
  <c r="H424" i="40" s="1"/>
  <c r="Q197" i="79"/>
  <c r="K424" i="40" s="1"/>
  <c r="R197" i="79"/>
  <c r="L424" i="40" s="1"/>
  <c r="O197" i="79"/>
  <c r="I424" i="40" s="1"/>
  <c r="AI424" i="40" s="1"/>
  <c r="J197" i="79"/>
  <c r="D424" i="40" s="1"/>
  <c r="AD424" i="40" s="1"/>
  <c r="S197" i="79"/>
  <c r="M424" i="40" s="1"/>
  <c r="P197" i="79"/>
  <c r="J424" i="40" s="1"/>
  <c r="AJ424" i="40" s="1"/>
  <c r="I197" i="79"/>
  <c r="C424" i="40" s="1"/>
  <c r="K197" i="79"/>
  <c r="E424" i="40" s="1"/>
  <c r="AE424" i="40" s="1"/>
  <c r="M197" i="79"/>
  <c r="G424" i="40" s="1"/>
  <c r="L197" i="79"/>
  <c r="F424" i="40" s="1"/>
  <c r="T197" i="79"/>
  <c r="N424" i="40" s="1"/>
  <c r="AN424" i="40" s="1"/>
  <c r="T182" i="79"/>
  <c r="N395" i="40" s="1"/>
  <c r="AN395" i="40" s="1"/>
  <c r="R182" i="79"/>
  <c r="L395" i="40" s="1"/>
  <c r="K182" i="79"/>
  <c r="E395" i="40" s="1"/>
  <c r="AE395" i="40" s="1"/>
  <c r="M182" i="79"/>
  <c r="G395" i="40" s="1"/>
  <c r="Q182" i="79"/>
  <c r="K395" i="40" s="1"/>
  <c r="N182" i="79"/>
  <c r="H395" i="40" s="1"/>
  <c r="S182" i="79"/>
  <c r="M395" i="40" s="1"/>
  <c r="O182" i="79"/>
  <c r="I395" i="40" s="1"/>
  <c r="AI395" i="40" s="1"/>
  <c r="L182" i="79"/>
  <c r="F395" i="40" s="1"/>
  <c r="J182" i="79"/>
  <c r="D395" i="40" s="1"/>
  <c r="AD395" i="40" s="1"/>
  <c r="I182" i="79"/>
  <c r="C395" i="40" s="1"/>
  <c r="P182" i="79"/>
  <c r="J395" i="40" s="1"/>
  <c r="AJ395" i="40" s="1"/>
  <c r="R414" i="40"/>
  <c r="AR95" i="79"/>
  <c r="C2868" i="79" s="1"/>
  <c r="AF1698" i="79"/>
  <c r="Q1468" i="79"/>
  <c r="Q1469" i="79"/>
  <c r="T110" i="79"/>
  <c r="N414" i="40" s="1"/>
  <c r="R110" i="79"/>
  <c r="L414" i="40" s="1"/>
  <c r="Q110" i="79"/>
  <c r="K414" i="40" s="1"/>
  <c r="N110" i="79"/>
  <c r="H414" i="40" s="1"/>
  <c r="M110" i="79"/>
  <c r="G414" i="40" s="1"/>
  <c r="K110" i="79"/>
  <c r="E414" i="40" s="1"/>
  <c r="P110" i="79"/>
  <c r="J414" i="40" s="1"/>
  <c r="O110" i="79"/>
  <c r="I414" i="40" s="1"/>
  <c r="L110" i="79"/>
  <c r="F414" i="40" s="1"/>
  <c r="J110" i="79"/>
  <c r="D414" i="40" s="1"/>
  <c r="I110" i="79"/>
  <c r="C414" i="40" s="1"/>
  <c r="S110" i="79"/>
  <c r="M414" i="40" s="1"/>
  <c r="T116" i="79"/>
  <c r="P116" i="79"/>
  <c r="R116" i="79"/>
  <c r="Q116" i="79"/>
  <c r="S116" i="79"/>
  <c r="N116" i="79"/>
  <c r="I116" i="79"/>
  <c r="J116" i="79"/>
  <c r="M116" i="79"/>
  <c r="O116" i="79"/>
  <c r="K116" i="79"/>
  <c r="L116" i="79"/>
  <c r="Q134" i="79"/>
  <c r="Q1731" i="79" s="1"/>
  <c r="R134" i="79"/>
  <c r="R1731" i="79" s="1"/>
  <c r="L134" i="79"/>
  <c r="L1731" i="79" s="1"/>
  <c r="S134" i="79"/>
  <c r="S1731" i="79" s="1"/>
  <c r="T134" i="79"/>
  <c r="T1731" i="79" s="1"/>
  <c r="K134" i="79"/>
  <c r="K1731" i="79" s="1"/>
  <c r="I134" i="79"/>
  <c r="I1731" i="79" s="1"/>
  <c r="N134" i="79"/>
  <c r="N1731" i="79" s="1"/>
  <c r="P134" i="79"/>
  <c r="P1731" i="79" s="1"/>
  <c r="M134" i="79"/>
  <c r="M1731" i="79" s="1"/>
  <c r="J134" i="79"/>
  <c r="J1731" i="79" s="1"/>
  <c r="O134" i="79"/>
  <c r="O1731" i="79" s="1"/>
  <c r="S156" i="79"/>
  <c r="M423" i="40" s="1"/>
  <c r="T156" i="79"/>
  <c r="N423" i="40" s="1"/>
  <c r="AN423" i="40" s="1"/>
  <c r="I156" i="79"/>
  <c r="C423" i="40" s="1"/>
  <c r="R156" i="79"/>
  <c r="L423" i="40" s="1"/>
  <c r="K156" i="79"/>
  <c r="E423" i="40" s="1"/>
  <c r="AE423" i="40" s="1"/>
  <c r="M156" i="79"/>
  <c r="G423" i="40" s="1"/>
  <c r="O156" i="79"/>
  <c r="I423" i="40" s="1"/>
  <c r="P156" i="79"/>
  <c r="J423" i="40" s="1"/>
  <c r="AJ423" i="40" s="1"/>
  <c r="Q156" i="79"/>
  <c r="K423" i="40" s="1"/>
  <c r="N156" i="79"/>
  <c r="H423" i="40" s="1"/>
  <c r="J156" i="79"/>
  <c r="D423" i="40" s="1"/>
  <c r="L156" i="79"/>
  <c r="F423" i="40" s="1"/>
  <c r="AF1210" i="79"/>
  <c r="AF1278" i="79" s="1"/>
  <c r="K1469" i="79"/>
  <c r="S218" i="79"/>
  <c r="S1806" i="79" s="1"/>
  <c r="L218" i="79"/>
  <c r="L1806" i="79" s="1"/>
  <c r="Q218" i="79"/>
  <c r="Q1806" i="79" s="1"/>
  <c r="M218" i="79"/>
  <c r="M1806" i="79" s="1"/>
  <c r="J218" i="79"/>
  <c r="J1806" i="79" s="1"/>
  <c r="N218" i="79"/>
  <c r="N1806" i="79" s="1"/>
  <c r="O218" i="79"/>
  <c r="O1806" i="79" s="1"/>
  <c r="I218" i="79"/>
  <c r="T218" i="79"/>
  <c r="T1806" i="79" s="1"/>
  <c r="R218" i="79"/>
  <c r="R1806" i="79" s="1"/>
  <c r="P218" i="79"/>
  <c r="P1806" i="79" s="1"/>
  <c r="K218" i="79"/>
  <c r="K1806" i="79" s="1"/>
  <c r="AO1210" i="79"/>
  <c r="AO1278" i="79" s="1"/>
  <c r="AM1210" i="79"/>
  <c r="AM1278" i="79" s="1"/>
  <c r="O1469" i="79"/>
  <c r="O1468" i="79"/>
  <c r="J1469" i="79"/>
  <c r="AL1209" i="79"/>
  <c r="AL1277" i="79" s="1"/>
  <c r="AL1733" i="79"/>
  <c r="AO1209" i="79"/>
  <c r="AO1277" i="79" s="1"/>
  <c r="AO1733" i="79"/>
  <c r="AM1209" i="79"/>
  <c r="AM1277" i="79" s="1"/>
  <c r="AM1733" i="79"/>
  <c r="O175" i="79"/>
  <c r="P175" i="79"/>
  <c r="R175" i="79"/>
  <c r="J175" i="79"/>
  <c r="T175" i="79"/>
  <c r="L175" i="79"/>
  <c r="I175" i="79"/>
  <c r="N175" i="79"/>
  <c r="K175" i="79"/>
  <c r="M175" i="79"/>
  <c r="S175" i="79"/>
  <c r="Q175" i="79"/>
  <c r="R192" i="79"/>
  <c r="L415" i="40" s="1"/>
  <c r="AL415" i="40" s="1"/>
  <c r="P192" i="79"/>
  <c r="J415" i="40" s="1"/>
  <c r="AJ415" i="40" s="1"/>
  <c r="O192" i="79"/>
  <c r="I415" i="40" s="1"/>
  <c r="AI415" i="40" s="1"/>
  <c r="M192" i="79"/>
  <c r="G415" i="40" s="1"/>
  <c r="AG415" i="40" s="1"/>
  <c r="K192" i="79"/>
  <c r="E415" i="40" s="1"/>
  <c r="AE415" i="40" s="1"/>
  <c r="L192" i="79"/>
  <c r="F415" i="40" s="1"/>
  <c r="AF415" i="40" s="1"/>
  <c r="Q192" i="79"/>
  <c r="K415" i="40" s="1"/>
  <c r="AK415" i="40" s="1"/>
  <c r="N192" i="79"/>
  <c r="H415" i="40" s="1"/>
  <c r="AH415" i="40" s="1"/>
  <c r="S192" i="79"/>
  <c r="M415" i="40" s="1"/>
  <c r="AM415" i="40" s="1"/>
  <c r="I192" i="79"/>
  <c r="C415" i="40" s="1"/>
  <c r="AC415" i="40" s="1"/>
  <c r="C481" i="40" s="1"/>
  <c r="J192" i="79"/>
  <c r="D415" i="40" s="1"/>
  <c r="AD415" i="40" s="1"/>
  <c r="T192" i="79"/>
  <c r="N415" i="40" s="1"/>
  <c r="AN415" i="40" s="1"/>
  <c r="X414" i="40"/>
  <c r="V414" i="40"/>
  <c r="AG1210" i="79"/>
  <c r="AG1278" i="79" s="1"/>
  <c r="R95" i="79"/>
  <c r="N95" i="79"/>
  <c r="I95" i="79"/>
  <c r="T95" i="79"/>
  <c r="M95" i="79"/>
  <c r="P95" i="79"/>
  <c r="L95" i="79"/>
  <c r="Q95" i="79"/>
  <c r="K95" i="79"/>
  <c r="O95" i="79"/>
  <c r="S95" i="79"/>
  <c r="J95" i="79"/>
  <c r="Q115" i="79"/>
  <c r="K422" i="40" s="1"/>
  <c r="O115" i="79"/>
  <c r="I422" i="40" s="1"/>
  <c r="AI422" i="40" s="1"/>
  <c r="I115" i="79"/>
  <c r="C422" i="40" s="1"/>
  <c r="N115" i="79"/>
  <c r="H422" i="40" s="1"/>
  <c r="P115" i="79"/>
  <c r="J422" i="40" s="1"/>
  <c r="AJ422" i="40" s="1"/>
  <c r="J115" i="79"/>
  <c r="D422" i="40" s="1"/>
  <c r="AD422" i="40" s="1"/>
  <c r="S115" i="79"/>
  <c r="M422" i="40" s="1"/>
  <c r="R115" i="79"/>
  <c r="L422" i="40" s="1"/>
  <c r="M115" i="79"/>
  <c r="G422" i="40" s="1"/>
  <c r="L115" i="79"/>
  <c r="F422" i="40" s="1"/>
  <c r="T115" i="79"/>
  <c r="N422" i="40" s="1"/>
  <c r="AN422" i="40" s="1"/>
  <c r="K115" i="79"/>
  <c r="E422" i="40" s="1"/>
  <c r="AE422" i="40" s="1"/>
  <c r="Q151" i="79"/>
  <c r="P151" i="79"/>
  <c r="R151" i="79"/>
  <c r="K151" i="79"/>
  <c r="T151" i="79"/>
  <c r="L151" i="79"/>
  <c r="S151" i="79"/>
  <c r="M151" i="79"/>
  <c r="I151" i="79"/>
  <c r="N151" i="79"/>
  <c r="J151" i="79"/>
  <c r="O151" i="79"/>
  <c r="Q136" i="79"/>
  <c r="Q1734" i="79" s="1"/>
  <c r="S136" i="79"/>
  <c r="S1734" i="79" s="1"/>
  <c r="J136" i="79"/>
  <c r="J1734" i="79" s="1"/>
  <c r="K136" i="79"/>
  <c r="K1734" i="79" s="1"/>
  <c r="R136" i="79"/>
  <c r="R1734" i="79" s="1"/>
  <c r="N136" i="79"/>
  <c r="N1734" i="79" s="1"/>
  <c r="L136" i="79"/>
  <c r="L1734" i="79" s="1"/>
  <c r="I136" i="79"/>
  <c r="O136" i="79"/>
  <c r="O1734" i="79" s="1"/>
  <c r="M136" i="79"/>
  <c r="M1734" i="79" s="1"/>
  <c r="P136" i="79"/>
  <c r="P1734" i="79" s="1"/>
  <c r="T136" i="79"/>
  <c r="T1734" i="79" s="1"/>
  <c r="AP1210" i="79"/>
  <c r="AP1278" i="79" s="1"/>
  <c r="AQ1210" i="79"/>
  <c r="AQ1278" i="79" s="1"/>
  <c r="T1465" i="79"/>
  <c r="AI1210" i="79"/>
  <c r="AI1278" i="79" s="1"/>
  <c r="M1468" i="79"/>
  <c r="M1469" i="79"/>
  <c r="AG1209" i="79"/>
  <c r="AG1277" i="79" s="1"/>
  <c r="AG1733" i="79"/>
  <c r="AF1209" i="79"/>
  <c r="AF1277" i="79" s="1"/>
  <c r="AR136" i="79"/>
  <c r="C2902" i="79" s="1"/>
  <c r="AF1733" i="79"/>
  <c r="AP1209" i="79"/>
  <c r="AP1277" i="79" s="1"/>
  <c r="AP1733" i="79"/>
  <c r="P176" i="79"/>
  <c r="R176" i="79"/>
  <c r="K176" i="79"/>
  <c r="M176" i="79"/>
  <c r="O176" i="79"/>
  <c r="S176" i="79"/>
  <c r="L176" i="79"/>
  <c r="Q176" i="79"/>
  <c r="N176" i="79"/>
  <c r="I176" i="79"/>
  <c r="T176" i="79"/>
  <c r="J176" i="79"/>
  <c r="T198" i="79"/>
  <c r="L198" i="79"/>
  <c r="S198" i="79"/>
  <c r="O198" i="79"/>
  <c r="P198" i="79"/>
  <c r="K198" i="79"/>
  <c r="I198" i="79"/>
  <c r="N198" i="79"/>
  <c r="R198" i="79"/>
  <c r="M198" i="79"/>
  <c r="J198" i="79"/>
  <c r="Q198" i="79"/>
  <c r="P487" i="40"/>
  <c r="AC487" i="40" s="1"/>
  <c r="Q425" i="40"/>
  <c r="AD425" i="40" s="1"/>
  <c r="Q421" i="40"/>
  <c r="AD421" i="40" s="1"/>
  <c r="S425" i="40"/>
  <c r="S421" i="40"/>
  <c r="R425" i="40"/>
  <c r="AE425" i="40" s="1"/>
  <c r="R421" i="40"/>
  <c r="AE421" i="40" s="1"/>
  <c r="Y425" i="40"/>
  <c r="Y421" i="40"/>
  <c r="Z425" i="40"/>
  <c r="AM425" i="40" s="1"/>
  <c r="Z421" i="40"/>
  <c r="AM421" i="40" s="1"/>
  <c r="W425" i="40"/>
  <c r="AJ425" i="40" s="1"/>
  <c r="W421" i="40"/>
  <c r="AJ421" i="40" s="1"/>
  <c r="U425" i="40"/>
  <c r="AH425" i="40" s="1"/>
  <c r="U421" i="40"/>
  <c r="AH421" i="40" s="1"/>
  <c r="X421" i="40"/>
  <c r="T425" i="40"/>
  <c r="T421" i="40"/>
  <c r="V425" i="40"/>
  <c r="AI425" i="40" s="1"/>
  <c r="V421" i="40"/>
  <c r="AI421" i="40" s="1"/>
  <c r="AA425" i="40"/>
  <c r="AN425" i="40" s="1"/>
  <c r="AA421" i="40"/>
  <c r="AN421" i="40" s="1"/>
  <c r="W414" i="40"/>
  <c r="AA414" i="40"/>
  <c r="S414" i="40"/>
  <c r="T414" i="40"/>
  <c r="Q414" i="40"/>
  <c r="U414" i="40"/>
  <c r="I449" i="40"/>
  <c r="V449" i="40" s="1"/>
  <c r="AI449" i="40" s="1"/>
  <c r="F473" i="40"/>
  <c r="S473" i="40" s="1"/>
  <c r="AF473" i="40" s="1"/>
  <c r="F471" i="40"/>
  <c r="S471" i="40" s="1"/>
  <c r="AF471" i="40" s="1"/>
  <c r="F457" i="40"/>
  <c r="S457" i="40" s="1"/>
  <c r="AF457" i="40" s="1"/>
  <c r="F477" i="40"/>
  <c r="S477" i="40" s="1"/>
  <c r="AF477" i="40" s="1"/>
  <c r="R474" i="40"/>
  <c r="AE474" i="40" s="1"/>
  <c r="AF501" i="40"/>
  <c r="G501" i="40"/>
  <c r="T501" i="40" s="1"/>
  <c r="AG501" i="40" s="1"/>
  <c r="F476" i="40"/>
  <c r="S476" i="40" s="1"/>
  <c r="AF476" i="40" s="1"/>
  <c r="F505" i="40"/>
  <c r="S505" i="40" s="1"/>
  <c r="F467" i="40"/>
  <c r="S467" i="40" s="1"/>
  <c r="AF467" i="40" s="1"/>
  <c r="H493" i="40"/>
  <c r="U493" i="40" s="1"/>
  <c r="AH493" i="40" s="1"/>
  <c r="F466" i="40"/>
  <c r="S466" i="40" s="1"/>
  <c r="AF466" i="40" s="1"/>
  <c r="I454" i="40"/>
  <c r="V454" i="40" s="1"/>
  <c r="G504" i="40"/>
  <c r="T504" i="40" s="1"/>
  <c r="AG504" i="40" s="1"/>
  <c r="F460" i="40"/>
  <c r="S460" i="40" s="1"/>
  <c r="H495" i="40"/>
  <c r="U495" i="40" s="1"/>
  <c r="AH495" i="40" s="1"/>
  <c r="F483" i="40"/>
  <c r="S483" i="40" s="1"/>
  <c r="AF483" i="40" s="1"/>
  <c r="U451" i="40"/>
  <c r="AH451" i="40" s="1"/>
  <c r="R469" i="40"/>
  <c r="AE469" i="40" s="1"/>
  <c r="S453" i="40"/>
  <c r="AF453" i="40" s="1"/>
  <c r="S484" i="40"/>
  <c r="AF484" i="40" s="1"/>
  <c r="R472" i="40"/>
  <c r="AE472" i="40" s="1"/>
  <c r="G464" i="40"/>
  <c r="H492" i="40"/>
  <c r="R503" i="40"/>
  <c r="AE503" i="40" s="1"/>
  <c r="S463" i="40"/>
  <c r="AF463" i="40" s="1"/>
  <c r="R470" i="40"/>
  <c r="AE470" i="40" s="1"/>
  <c r="R499" i="40"/>
  <c r="AE499" i="40" s="1"/>
  <c r="R475" i="40"/>
  <c r="AE475" i="40" s="1"/>
  <c r="R497" i="40"/>
  <c r="AE497" i="40" s="1"/>
  <c r="R496" i="40"/>
  <c r="AE496" i="40" s="1"/>
  <c r="S507" i="40"/>
  <c r="AF507" i="40" s="1"/>
  <c r="R465" i="40"/>
  <c r="AE465" i="40" s="1"/>
  <c r="S506" i="40"/>
  <c r="AF506" i="40" s="1"/>
  <c r="F462" i="40"/>
  <c r="F498" i="40"/>
  <c r="F458" i="40"/>
  <c r="R500" i="40"/>
  <c r="AE500" i="40" s="1"/>
  <c r="R468" i="40"/>
  <c r="AE468" i="40" s="1"/>
  <c r="S450" i="40"/>
  <c r="AF450" i="40" s="1"/>
  <c r="T494" i="40"/>
  <c r="AG494" i="40" s="1"/>
  <c r="R502" i="40"/>
  <c r="AE502" i="40" s="1"/>
  <c r="AJ693" i="64"/>
  <c r="AW693" i="64"/>
  <c r="AN693" i="64"/>
  <c r="BA693" i="64"/>
  <c r="AP693" i="64"/>
  <c r="BC693" i="64"/>
  <c r="AS764" i="64"/>
  <c r="AF764" i="64"/>
  <c r="AZ835" i="64"/>
  <c r="AM835" i="64"/>
  <c r="AL835" i="64"/>
  <c r="AY835" i="64"/>
  <c r="X765" i="64"/>
  <c r="X694" i="64"/>
  <c r="X836" i="64"/>
  <c r="Y694" i="64"/>
  <c r="Y836" i="64"/>
  <c r="Y765" i="64"/>
  <c r="AC765" i="64"/>
  <c r="AC694" i="64"/>
  <c r="AC836" i="64"/>
  <c r="AK835" i="64"/>
  <c r="AX835" i="64"/>
  <c r="AT764" i="64"/>
  <c r="AG764" i="64"/>
  <c r="BD693" i="64"/>
  <c r="AQ693" i="64"/>
  <c r="AO693" i="64"/>
  <c r="BB693" i="64"/>
  <c r="CG43" i="65"/>
  <c r="CQ42" i="65"/>
  <c r="CM42" i="65"/>
  <c r="CO42" i="65"/>
  <c r="CN42" i="65"/>
  <c r="CR42" i="65"/>
  <c r="CL42" i="65"/>
  <c r="CP42" i="65"/>
  <c r="CI42" i="65"/>
  <c r="CK42" i="65"/>
  <c r="CS42" i="65"/>
  <c r="CT42" i="65"/>
  <c r="CJ42" i="65"/>
  <c r="AV764" i="64"/>
  <c r="AI764" i="64"/>
  <c r="BA835" i="64"/>
  <c r="AN835" i="64"/>
  <c r="BC764" i="64"/>
  <c r="AP764" i="64"/>
  <c r="AS693" i="64"/>
  <c r="AF693" i="64"/>
  <c r="AH835" i="64"/>
  <c r="AU835" i="64"/>
  <c r="AL764" i="64"/>
  <c r="AY764" i="64"/>
  <c r="Z694" i="64"/>
  <c r="Z765" i="64"/>
  <c r="Z836" i="64"/>
  <c r="T765" i="64"/>
  <c r="T694" i="64"/>
  <c r="T836" i="64"/>
  <c r="S694" i="64"/>
  <c r="S765" i="64"/>
  <c r="S836" i="64"/>
  <c r="AK764" i="64"/>
  <c r="AX764" i="64"/>
  <c r="AG693" i="64"/>
  <c r="AT693" i="64"/>
  <c r="BB835" i="64"/>
  <c r="AO835" i="64"/>
  <c r="AJ835" i="64"/>
  <c r="AW835" i="64"/>
  <c r="AI835" i="64"/>
  <c r="AV835" i="64"/>
  <c r="BA764" i="64"/>
  <c r="AN764" i="64"/>
  <c r="BS43" i="65"/>
  <c r="BU42" i="65"/>
  <c r="CF42" i="65"/>
  <c r="BX42" i="65"/>
  <c r="CA42" i="65"/>
  <c r="BY42" i="65"/>
  <c r="CC42" i="65"/>
  <c r="BV42" i="65"/>
  <c r="CE42" i="65"/>
  <c r="BW42" i="65"/>
  <c r="CB42" i="65"/>
  <c r="CD42" i="65"/>
  <c r="BZ42" i="65"/>
  <c r="AZ764" i="64"/>
  <c r="AM764" i="64"/>
  <c r="AH693" i="64"/>
  <c r="AU693" i="64"/>
  <c r="AY693" i="64"/>
  <c r="AL693" i="64"/>
  <c r="V694" i="64"/>
  <c r="V765" i="64"/>
  <c r="V836" i="64"/>
  <c r="AA765" i="64"/>
  <c r="AA694" i="64"/>
  <c r="AA836" i="64"/>
  <c r="AD694" i="64"/>
  <c r="AD836" i="64"/>
  <c r="AD765" i="64"/>
  <c r="AX693" i="64"/>
  <c r="AK693" i="64"/>
  <c r="BD764" i="64"/>
  <c r="AQ764" i="64"/>
  <c r="AJ764" i="64"/>
  <c r="AW764" i="64"/>
  <c r="AI693" i="64"/>
  <c r="AV693" i="64"/>
  <c r="BC835" i="64"/>
  <c r="AP835" i="64"/>
  <c r="AF835" i="64"/>
  <c r="AS835" i="64"/>
  <c r="AM693" i="64"/>
  <c r="AZ693" i="64"/>
  <c r="AH764" i="64"/>
  <c r="AU764" i="64"/>
  <c r="W765" i="64"/>
  <c r="W694" i="64"/>
  <c r="W836" i="64"/>
  <c r="U836" i="64"/>
  <c r="U694" i="64"/>
  <c r="U765" i="64"/>
  <c r="AB765" i="64"/>
  <c r="AB836" i="64"/>
  <c r="AB694" i="64"/>
  <c r="BE34" i="65"/>
  <c r="BO33" i="65"/>
  <c r="BM33" i="65"/>
  <c r="BJ33" i="65"/>
  <c r="BH33" i="65"/>
  <c r="BQ33" i="65"/>
  <c r="BI33" i="65"/>
  <c r="BR33" i="65"/>
  <c r="BN33" i="65"/>
  <c r="BK33" i="65"/>
  <c r="BL33" i="65"/>
  <c r="BG33" i="65"/>
  <c r="BP33" i="65"/>
  <c r="AT835" i="64"/>
  <c r="AG835" i="64"/>
  <c r="BD835" i="64"/>
  <c r="AQ835" i="64"/>
  <c r="BB764" i="64"/>
  <c r="AO764" i="64"/>
  <c r="P348" i="73"/>
  <c r="P349" i="73" s="1"/>
  <c r="P462" i="73" s="1"/>
  <c r="N228" i="85"/>
  <c r="Q62" i="85"/>
  <c r="P79" i="85"/>
  <c r="O204" i="85"/>
  <c r="O202" i="85"/>
  <c r="P51" i="85"/>
  <c r="P54" i="85" s="1"/>
  <c r="Q63" i="85"/>
  <c r="P82" i="85"/>
  <c r="O211" i="85"/>
  <c r="O213" i="85" s="1"/>
  <c r="P478" i="73"/>
  <c r="Q478" i="73" s="1"/>
  <c r="Q232" i="73"/>
  <c r="Q332" i="73"/>
  <c r="P346" i="73"/>
  <c r="Q185" i="73"/>
  <c r="P202" i="73"/>
  <c r="Q239" i="73"/>
  <c r="P255" i="73"/>
  <c r="O462" i="73"/>
  <c r="O556" i="73"/>
  <c r="O554" i="73"/>
  <c r="O555" i="73" s="1"/>
  <c r="P257" i="73"/>
  <c r="AR111" i="79"/>
  <c r="C2882" i="79" s="1"/>
  <c r="AO1208" i="79"/>
  <c r="AO1276" i="79" s="1"/>
  <c r="AO1660" i="79"/>
  <c r="AM1660" i="79"/>
  <c r="AM1208" i="79"/>
  <c r="AM1276" i="79" s="1"/>
  <c r="AP1660" i="79"/>
  <c r="AP1208" i="79"/>
  <c r="AP1276" i="79" s="1"/>
  <c r="AQ1517" i="79"/>
  <c r="AQ1520" i="79"/>
  <c r="AI1326" i="79"/>
  <c r="AI159" i="79"/>
  <c r="AM159" i="79"/>
  <c r="AM1326" i="79"/>
  <c r="AH159" i="79"/>
  <c r="AH1326" i="79"/>
  <c r="AM1316" i="79"/>
  <c r="AM67" i="79"/>
  <c r="W382" i="40"/>
  <c r="AJ382" i="40" s="1"/>
  <c r="AO1316" i="79"/>
  <c r="AO67" i="79"/>
  <c r="Y382" i="40"/>
  <c r="R382" i="40"/>
  <c r="AE382" i="40" s="1"/>
  <c r="AH1316" i="79"/>
  <c r="AH67" i="79"/>
  <c r="Z413" i="40"/>
  <c r="AP1317" i="79"/>
  <c r="AP72" i="79"/>
  <c r="AH1317" i="79"/>
  <c r="R413" i="40"/>
  <c r="AH72" i="79"/>
  <c r="AJ72" i="79"/>
  <c r="AJ1317" i="79"/>
  <c r="T2068" i="79"/>
  <c r="AH1718" i="79"/>
  <c r="AH132" i="79"/>
  <c r="AL1718" i="79"/>
  <c r="AO132" i="79"/>
  <c r="AO1718" i="79"/>
  <c r="X412" i="40"/>
  <c r="AN113" i="79"/>
  <c r="AN1321" i="79"/>
  <c r="U412" i="40"/>
  <c r="AH412" i="40" s="1"/>
  <c r="AK113" i="79"/>
  <c r="AK1321" i="79"/>
  <c r="Y412" i="40"/>
  <c r="AO1321" i="79"/>
  <c r="AO113" i="79"/>
  <c r="AL1315" i="79"/>
  <c r="AL1467" i="79"/>
  <c r="AL1211" i="79"/>
  <c r="AL1279" i="79" s="1"/>
  <c r="AL1663" i="79"/>
  <c r="AL57" i="79"/>
  <c r="AF1315" i="79"/>
  <c r="AF1211" i="79"/>
  <c r="AF1279" i="79" s="1"/>
  <c r="AR52" i="79"/>
  <c r="C2832" i="79" s="1"/>
  <c r="AF1663" i="79"/>
  <c r="AF1467" i="79"/>
  <c r="AF57" i="79"/>
  <c r="AQ1467" i="79"/>
  <c r="AQ1315" i="79"/>
  <c r="AQ1211" i="79"/>
  <c r="AQ1279" i="79" s="1"/>
  <c r="AQ1663" i="79"/>
  <c r="AQ57" i="79"/>
  <c r="AO50" i="79"/>
  <c r="AO1646" i="79"/>
  <c r="AF50" i="79"/>
  <c r="AF1646" i="79"/>
  <c r="AR45" i="79"/>
  <c r="C2826" i="79" s="1"/>
  <c r="AF1174" i="79"/>
  <c r="AF1244" i="79" s="1"/>
  <c r="AG1646" i="79"/>
  <c r="AG50" i="79"/>
  <c r="AG1174" i="79"/>
  <c r="AG1244" i="79" s="1"/>
  <c r="T1543" i="79"/>
  <c r="T1546" i="79"/>
  <c r="T1517" i="79"/>
  <c r="AQ1546" i="79"/>
  <c r="AQ1543" i="79"/>
  <c r="AG1206" i="79"/>
  <c r="AG1274" i="79" s="1"/>
  <c r="AG1730" i="79"/>
  <c r="AG1323" i="79"/>
  <c r="AG139" i="79"/>
  <c r="AG1493" i="79"/>
  <c r="AL1206" i="79"/>
  <c r="AL1274" i="79" s="1"/>
  <c r="AL1730" i="79"/>
  <c r="AL139" i="79"/>
  <c r="AN1730" i="79"/>
  <c r="AN1323" i="79"/>
  <c r="AN1493" i="79"/>
  <c r="AN139" i="79"/>
  <c r="AN1206" i="79"/>
  <c r="AN1274" i="79" s="1"/>
  <c r="V386" i="40"/>
  <c r="AI386" i="40" s="1"/>
  <c r="AL1324" i="79"/>
  <c r="AL149" i="79"/>
  <c r="AM1324" i="79"/>
  <c r="W386" i="40"/>
  <c r="AJ386" i="40" s="1"/>
  <c r="AM149" i="79"/>
  <c r="AI149" i="79"/>
  <c r="AI1324" i="79"/>
  <c r="S386" i="40"/>
  <c r="T1580" i="79"/>
  <c r="T1579" i="79"/>
  <c r="AQ1609" i="79"/>
  <c r="AQ1612" i="79"/>
  <c r="AN1682" i="79"/>
  <c r="AN91" i="79"/>
  <c r="AP1682" i="79"/>
  <c r="AP91" i="79"/>
  <c r="AK1682" i="79"/>
  <c r="AK91" i="79"/>
  <c r="AP108" i="79"/>
  <c r="AP1320" i="79"/>
  <c r="AG108" i="79"/>
  <c r="AG1320" i="79"/>
  <c r="AL1320" i="79"/>
  <c r="AL108" i="79"/>
  <c r="AJ1318" i="79"/>
  <c r="AJ77" i="79"/>
  <c r="T419" i="40"/>
  <c r="AP77" i="79"/>
  <c r="AP1318" i="79"/>
  <c r="Z419" i="40"/>
  <c r="AN77" i="79"/>
  <c r="AN1318" i="79"/>
  <c r="T1567" i="79"/>
  <c r="T1566" i="79"/>
  <c r="AP154" i="79"/>
  <c r="AP1325" i="79"/>
  <c r="AF1325" i="79"/>
  <c r="AF154" i="79"/>
  <c r="AQ1531" i="79"/>
  <c r="AQ1534" i="79"/>
  <c r="AM118" i="79"/>
  <c r="AM1322" i="79"/>
  <c r="AK1322" i="79"/>
  <c r="AK118" i="79"/>
  <c r="AG1322" i="79"/>
  <c r="AG118" i="79"/>
  <c r="AI1319" i="79"/>
  <c r="AI1480" i="79"/>
  <c r="AI98" i="79"/>
  <c r="AI1699" i="79"/>
  <c r="AG1319" i="79"/>
  <c r="AG1699" i="79"/>
  <c r="AG98" i="79"/>
  <c r="AG1480" i="79"/>
  <c r="AO1480" i="79"/>
  <c r="AO1319" i="79"/>
  <c r="AO98" i="79"/>
  <c r="AO1699" i="79"/>
  <c r="AI118" i="79"/>
  <c r="AI1322" i="79"/>
  <c r="AL1322" i="79"/>
  <c r="AL118" i="79"/>
  <c r="AR115" i="79"/>
  <c r="C2885" i="79" s="1"/>
  <c r="AF118" i="79"/>
  <c r="AF1322" i="79"/>
  <c r="AK1480" i="79"/>
  <c r="AK1319" i="79"/>
  <c r="AK1699" i="79"/>
  <c r="AK98" i="79"/>
  <c r="AH1319" i="79"/>
  <c r="AH98" i="79"/>
  <c r="AH1480" i="79"/>
  <c r="AH1699" i="79"/>
  <c r="AL1480" i="79"/>
  <c r="AL1319" i="79"/>
  <c r="AL98" i="79"/>
  <c r="AL1699" i="79"/>
  <c r="AI1208" i="79"/>
  <c r="AI1276" i="79" s="1"/>
  <c r="AI1660" i="79"/>
  <c r="AN1660" i="79"/>
  <c r="AN1208" i="79"/>
  <c r="AN1276" i="79" s="1"/>
  <c r="AL1660" i="79"/>
  <c r="AL1208" i="79"/>
  <c r="AL1276" i="79" s="1"/>
  <c r="AQ1567" i="79"/>
  <c r="AQ1566" i="79"/>
  <c r="AQ1518" i="79"/>
  <c r="AQ1521" i="79"/>
  <c r="AO159" i="79"/>
  <c r="AO1326" i="79"/>
  <c r="AL159" i="79"/>
  <c r="AL1326" i="79"/>
  <c r="AP1326" i="79"/>
  <c r="AP159" i="79"/>
  <c r="AQ1580" i="79"/>
  <c r="AQ1579" i="79"/>
  <c r="AN1316" i="79"/>
  <c r="X382" i="40"/>
  <c r="AN67" i="79"/>
  <c r="AL1316" i="79"/>
  <c r="V382" i="40"/>
  <c r="AI382" i="40" s="1"/>
  <c r="AL67" i="79"/>
  <c r="P382" i="40"/>
  <c r="AC382" i="40" s="1"/>
  <c r="C448" i="40" s="1"/>
  <c r="AF67" i="79"/>
  <c r="AF1316" i="79"/>
  <c r="AR59" i="79"/>
  <c r="C2838" i="79" s="1"/>
  <c r="AN72" i="79"/>
  <c r="AN1317" i="79"/>
  <c r="X413" i="40"/>
  <c r="S413" i="40"/>
  <c r="AI1317" i="79"/>
  <c r="AI72" i="79"/>
  <c r="AM72" i="79"/>
  <c r="AM1317" i="79"/>
  <c r="W413" i="40"/>
  <c r="T1606" i="79"/>
  <c r="T1605" i="79"/>
  <c r="AI1174" i="79"/>
  <c r="AI1244" i="79" s="1"/>
  <c r="AI132" i="79"/>
  <c r="AI1718" i="79"/>
  <c r="AP1174" i="79"/>
  <c r="AP1244" i="79" s="1"/>
  <c r="AP132" i="79"/>
  <c r="AP1718" i="79"/>
  <c r="AM1718" i="79"/>
  <c r="AQ113" i="79"/>
  <c r="AQ1321" i="79"/>
  <c r="AA412" i="40"/>
  <c r="AN412" i="40" s="1"/>
  <c r="AR110" i="79"/>
  <c r="C2881" i="79" s="1"/>
  <c r="F46" i="40" s="1"/>
  <c r="AF1321" i="79"/>
  <c r="AF113" i="79"/>
  <c r="P412" i="40"/>
  <c r="AC412" i="40" s="1"/>
  <c r="C478" i="40" s="1"/>
  <c r="S412" i="40"/>
  <c r="AI113" i="79"/>
  <c r="AI1321" i="79"/>
  <c r="AI1663" i="79"/>
  <c r="AI1467" i="79"/>
  <c r="AI1315" i="79"/>
  <c r="AI1211" i="79"/>
  <c r="AI1279" i="79" s="1"/>
  <c r="AI57" i="79"/>
  <c r="AJ1211" i="79"/>
  <c r="AJ1279" i="79" s="1"/>
  <c r="AJ1315" i="79"/>
  <c r="AJ1467" i="79"/>
  <c r="AJ1663" i="79"/>
  <c r="AJ57" i="79"/>
  <c r="AM1315" i="79"/>
  <c r="AM1211" i="79"/>
  <c r="AM1279" i="79" s="1"/>
  <c r="AM1467" i="79"/>
  <c r="AM57" i="79"/>
  <c r="AM1663" i="79"/>
  <c r="AP50" i="79"/>
  <c r="AP1646" i="79"/>
  <c r="AK50" i="79"/>
  <c r="AK1174" i="79"/>
  <c r="AK1244" i="79" s="1"/>
  <c r="AK1646" i="79"/>
  <c r="AQ1646" i="79"/>
  <c r="AQ50" i="79"/>
  <c r="T1544" i="79"/>
  <c r="T1547" i="79"/>
  <c r="T1518" i="79"/>
  <c r="AQ1544" i="79"/>
  <c r="AQ1547" i="79"/>
  <c r="AJ1493" i="79"/>
  <c r="AJ1730" i="79"/>
  <c r="AJ139" i="79"/>
  <c r="AJ1206" i="79"/>
  <c r="AJ1274" i="79" s="1"/>
  <c r="AJ1323" i="79"/>
  <c r="AM1206" i="79"/>
  <c r="AM1274" i="79" s="1"/>
  <c r="AM1493" i="79"/>
  <c r="AM139" i="79"/>
  <c r="AM1323" i="79"/>
  <c r="AM1730" i="79"/>
  <c r="AK1493" i="79"/>
  <c r="AK1730" i="79"/>
  <c r="AK139" i="79"/>
  <c r="AK1323" i="79"/>
  <c r="AK1206" i="79"/>
  <c r="AK1274" i="79" s="1"/>
  <c r="AN149" i="79"/>
  <c r="X386" i="40"/>
  <c r="AJ149" i="79"/>
  <c r="T386" i="40"/>
  <c r="AJ1324" i="79"/>
  <c r="AQ1324" i="79"/>
  <c r="AQ149" i="79"/>
  <c r="T1528" i="79"/>
  <c r="T1527" i="79"/>
  <c r="T1554" i="79"/>
  <c r="T1553" i="79"/>
  <c r="AO1682" i="79"/>
  <c r="AO91" i="79"/>
  <c r="AI1682" i="79"/>
  <c r="AI91" i="79"/>
  <c r="AG91" i="79"/>
  <c r="AG1682" i="79"/>
  <c r="AK1320" i="79"/>
  <c r="AK108" i="79"/>
  <c r="AJ108" i="79"/>
  <c r="AJ1320" i="79"/>
  <c r="AI108" i="79"/>
  <c r="AI1320" i="79"/>
  <c r="AQ77" i="79"/>
  <c r="AQ1318" i="79"/>
  <c r="AF77" i="79"/>
  <c r="AF1318" i="79"/>
  <c r="AR74" i="79"/>
  <c r="C2851" i="79" s="1"/>
  <c r="P419" i="40"/>
  <c r="AI1318" i="79"/>
  <c r="AI77" i="79"/>
  <c r="S419" i="40"/>
  <c r="AI154" i="79"/>
  <c r="AO1325" i="79"/>
  <c r="AH1325" i="79"/>
  <c r="AH154" i="79"/>
  <c r="AO118" i="79"/>
  <c r="AO1322" i="79"/>
  <c r="AH118" i="79"/>
  <c r="AH1322" i="79"/>
  <c r="AQ118" i="79"/>
  <c r="AQ1322" i="79"/>
  <c r="AF98" i="79"/>
  <c r="AF1699" i="79"/>
  <c r="AF1319" i="79"/>
  <c r="AR93" i="79"/>
  <c r="C2866" i="79" s="1"/>
  <c r="AF1480" i="79"/>
  <c r="AM1699" i="79"/>
  <c r="AM98" i="79"/>
  <c r="AM1480" i="79"/>
  <c r="AM1319" i="79"/>
  <c r="AQ98" i="79"/>
  <c r="AQ1699" i="79"/>
  <c r="AQ1319" i="79"/>
  <c r="AQ1480" i="79"/>
  <c r="P414" i="40"/>
  <c r="AR70" i="79"/>
  <c r="C2848" i="79" s="1"/>
  <c r="AK1660" i="79"/>
  <c r="AH1660" i="79"/>
  <c r="AH1208" i="79"/>
  <c r="AH1276" i="79" s="1"/>
  <c r="AQ1660" i="79"/>
  <c r="AQ1208" i="79"/>
  <c r="AQ1276" i="79" s="1"/>
  <c r="Q419" i="40"/>
  <c r="AG1326" i="79"/>
  <c r="AG159" i="79"/>
  <c r="AK1326" i="79"/>
  <c r="AK159" i="79"/>
  <c r="AJ159" i="79"/>
  <c r="AJ1326" i="79"/>
  <c r="T1489" i="79"/>
  <c r="T1488" i="79"/>
  <c r="AR94" i="79"/>
  <c r="C2867" i="79" s="1"/>
  <c r="AF1696" i="79"/>
  <c r="AJ1316" i="79"/>
  <c r="T382" i="40"/>
  <c r="AJ67" i="79"/>
  <c r="AG67" i="79"/>
  <c r="Q382" i="40"/>
  <c r="AD382" i="40" s="1"/>
  <c r="AG1316" i="79"/>
  <c r="AQ1316" i="79"/>
  <c r="AA382" i="40"/>
  <c r="AN382" i="40" s="1"/>
  <c r="AQ67" i="79"/>
  <c r="AQ72" i="79"/>
  <c r="AQ1317" i="79"/>
  <c r="AA413" i="40"/>
  <c r="AF72" i="79"/>
  <c r="P413" i="40"/>
  <c r="AF1317" i="79"/>
  <c r="AR69" i="79"/>
  <c r="C2847" i="79" s="1"/>
  <c r="Y413" i="40"/>
  <c r="AO72" i="79"/>
  <c r="AO1317" i="79"/>
  <c r="AG132" i="79"/>
  <c r="AG1718" i="79"/>
  <c r="AQ132" i="79"/>
  <c r="AQ1718" i="79"/>
  <c r="AR127" i="79"/>
  <c r="C2894" i="79" s="1"/>
  <c r="AF1718" i="79"/>
  <c r="AP1543" i="79"/>
  <c r="AP1546" i="79"/>
  <c r="AM113" i="79"/>
  <c r="W412" i="40"/>
  <c r="AJ412" i="40" s="1"/>
  <c r="AM1321" i="79"/>
  <c r="AG1321" i="79"/>
  <c r="AG113" i="79"/>
  <c r="Q412" i="40"/>
  <c r="AD412" i="40" s="1"/>
  <c r="AJ1321" i="79"/>
  <c r="AJ113" i="79"/>
  <c r="T412" i="40"/>
  <c r="AR75" i="79"/>
  <c r="C2852" i="79" s="1"/>
  <c r="F59" i="40" s="1"/>
  <c r="P420" i="40"/>
  <c r="AC420" i="40" s="1"/>
  <c r="C486" i="40" s="1"/>
  <c r="AH57" i="79"/>
  <c r="AH1663" i="79"/>
  <c r="AH1467" i="79"/>
  <c r="AH1315" i="79"/>
  <c r="AH1211" i="79"/>
  <c r="AH1279" i="79" s="1"/>
  <c r="AP1211" i="79"/>
  <c r="AP1279" i="79" s="1"/>
  <c r="AP57" i="79"/>
  <c r="AP1467" i="79"/>
  <c r="AP1663" i="79"/>
  <c r="AP1315" i="79"/>
  <c r="AN1663" i="79"/>
  <c r="AN57" i="79"/>
  <c r="AN1315" i="79"/>
  <c r="AN1211" i="79"/>
  <c r="AN1279" i="79" s="1"/>
  <c r="AN1467" i="79"/>
  <c r="AI50" i="79"/>
  <c r="AI1646" i="79"/>
  <c r="AJ1646" i="79"/>
  <c r="AJ50" i="79"/>
  <c r="AL1646" i="79"/>
  <c r="AL50" i="79"/>
  <c r="AQ1323" i="79"/>
  <c r="AQ1206" i="79"/>
  <c r="AQ1274" i="79" s="1"/>
  <c r="AQ1493" i="79"/>
  <c r="AQ139" i="79"/>
  <c r="AQ1730" i="79"/>
  <c r="AH1493" i="79"/>
  <c r="AH1323" i="79"/>
  <c r="AH1206" i="79"/>
  <c r="AH1274" i="79" s="1"/>
  <c r="AH1730" i="79"/>
  <c r="AH139" i="79"/>
  <c r="AF1206" i="79"/>
  <c r="AF1274" i="79" s="1"/>
  <c r="AR134" i="79"/>
  <c r="C2900" i="79" s="1"/>
  <c r="AF1730" i="79"/>
  <c r="AF1493" i="79"/>
  <c r="AF1323" i="79"/>
  <c r="AF139" i="79"/>
  <c r="P386" i="40"/>
  <c r="AC386" i="40" s="1"/>
  <c r="C452" i="40" s="1"/>
  <c r="AR141" i="79"/>
  <c r="C2906" i="79" s="1"/>
  <c r="AF1324" i="79"/>
  <c r="AF149" i="79"/>
  <c r="AP1324" i="79"/>
  <c r="AP149" i="79"/>
  <c r="Z386" i="40"/>
  <c r="AM386" i="40" s="1"/>
  <c r="AG149" i="79"/>
  <c r="Q386" i="40"/>
  <c r="AD386" i="40" s="1"/>
  <c r="AG1324" i="79"/>
  <c r="AQ91" i="79"/>
  <c r="AQ1682" i="79"/>
  <c r="AR86" i="79"/>
  <c r="C2860" i="79" s="1"/>
  <c r="AF1682" i="79"/>
  <c r="AF91" i="79"/>
  <c r="AL1682" i="79"/>
  <c r="AL91" i="79"/>
  <c r="AQ1320" i="79"/>
  <c r="AQ108" i="79"/>
  <c r="AH1320" i="79"/>
  <c r="AH108" i="79"/>
  <c r="AR100" i="79"/>
  <c r="C2872" i="79" s="1"/>
  <c r="AF1320" i="79"/>
  <c r="AF108" i="79"/>
  <c r="AO1318" i="79"/>
  <c r="AO77" i="79"/>
  <c r="Y419" i="40"/>
  <c r="AG77" i="79"/>
  <c r="AG1318" i="79"/>
  <c r="AK77" i="79"/>
  <c r="AK1318" i="79"/>
  <c r="U419" i="40"/>
  <c r="AK154" i="79"/>
  <c r="AN1325" i="79"/>
  <c r="AL154" i="79"/>
  <c r="AL1325" i="79"/>
  <c r="AR135" i="79"/>
  <c r="C2901" i="79" s="1"/>
  <c r="AF1732" i="79"/>
  <c r="AN118" i="79"/>
  <c r="AN1322" i="79"/>
  <c r="AJ118" i="79"/>
  <c r="AJ1322" i="79"/>
  <c r="AP118" i="79"/>
  <c r="AP1322" i="79"/>
  <c r="AN1699" i="79"/>
  <c r="AN1480" i="79"/>
  <c r="AN98" i="79"/>
  <c r="AN1319" i="79"/>
  <c r="AJ1480" i="79"/>
  <c r="AJ1319" i="79"/>
  <c r="AJ1699" i="79"/>
  <c r="AJ98" i="79"/>
  <c r="AP1480" i="79"/>
  <c r="AP1319" i="79"/>
  <c r="AP98" i="79"/>
  <c r="AP1699" i="79"/>
  <c r="AG1660" i="79"/>
  <c r="AG1208" i="79"/>
  <c r="AG1276" i="79" s="1"/>
  <c r="AR53" i="79"/>
  <c r="C2833" i="79" s="1"/>
  <c r="AF1660" i="79"/>
  <c r="AF1208" i="79"/>
  <c r="AF1276" i="79" s="1"/>
  <c r="AJ1660" i="79"/>
  <c r="AJ1208" i="79"/>
  <c r="AJ1276" i="79" s="1"/>
  <c r="AN1326" i="79"/>
  <c r="AN159" i="79"/>
  <c r="AF1326" i="79"/>
  <c r="AF159" i="79"/>
  <c r="AQ1326" i="79"/>
  <c r="AP67" i="79"/>
  <c r="Z382" i="40"/>
  <c r="AM382" i="40" s="1"/>
  <c r="AP1316" i="79"/>
  <c r="AI1316" i="79"/>
  <c r="AI67" i="79"/>
  <c r="S382" i="40"/>
  <c r="AK67" i="79"/>
  <c r="U382" i="40"/>
  <c r="AH382" i="40" s="1"/>
  <c r="AK1316" i="79"/>
  <c r="AL1317" i="79"/>
  <c r="AL72" i="79"/>
  <c r="V413" i="40"/>
  <c r="AG1317" i="79"/>
  <c r="AG72" i="79"/>
  <c r="Q413" i="40"/>
  <c r="AK1317" i="79"/>
  <c r="U413" i="40"/>
  <c r="AK72" i="79"/>
  <c r="P425" i="40"/>
  <c r="AC425" i="40" s="1"/>
  <c r="C491" i="40" s="1"/>
  <c r="AR157" i="79"/>
  <c r="C2920" i="79" s="1"/>
  <c r="AN132" i="79"/>
  <c r="AN1718" i="79"/>
  <c r="AK1718" i="79"/>
  <c r="AK132" i="79"/>
  <c r="AJ1174" i="79"/>
  <c r="AJ1244" i="79" s="1"/>
  <c r="AJ1718" i="79"/>
  <c r="AP1544" i="79"/>
  <c r="AP1547" i="79"/>
  <c r="AP1321" i="79"/>
  <c r="AP113" i="79"/>
  <c r="Z412" i="40"/>
  <c r="AM412" i="40" s="1"/>
  <c r="AL113" i="79"/>
  <c r="V412" i="40"/>
  <c r="AI412" i="40" s="1"/>
  <c r="AL1321" i="79"/>
  <c r="AH1321" i="79"/>
  <c r="AH113" i="79"/>
  <c r="R412" i="40"/>
  <c r="AE412" i="40" s="1"/>
  <c r="AG1315" i="79"/>
  <c r="AG1211" i="79"/>
  <c r="AG1279" i="79" s="1"/>
  <c r="AG1663" i="79"/>
  <c r="AG1467" i="79"/>
  <c r="AG57" i="79"/>
  <c r="AO57" i="79"/>
  <c r="AO1315" i="79"/>
  <c r="AO1467" i="79"/>
  <c r="AO1211" i="79"/>
  <c r="AO1279" i="79" s="1"/>
  <c r="AO1663" i="79"/>
  <c r="AK1663" i="79"/>
  <c r="AK57" i="79"/>
  <c r="AK1315" i="79"/>
  <c r="AK1467" i="79"/>
  <c r="AK1211" i="79"/>
  <c r="AK1279" i="79" s="1"/>
  <c r="AN1646" i="79"/>
  <c r="AN50" i="79"/>
  <c r="AN1174" i="79"/>
  <c r="AN1244" i="79" s="1"/>
  <c r="AH50" i="79"/>
  <c r="AH1646" i="79"/>
  <c r="AH1174" i="79"/>
  <c r="AH1244" i="79" s="1"/>
  <c r="AM1646" i="79"/>
  <c r="AM50" i="79"/>
  <c r="AM1174" i="79"/>
  <c r="AM1244" i="79" s="1"/>
  <c r="AQ1554" i="79"/>
  <c r="AQ1553" i="79"/>
  <c r="AO1730" i="79"/>
  <c r="AO1323" i="79"/>
  <c r="AO139" i="79"/>
  <c r="AO1206" i="79"/>
  <c r="AO1274" i="79" s="1"/>
  <c r="AO1493" i="79"/>
  <c r="AP1730" i="79"/>
  <c r="AP139" i="79"/>
  <c r="AP1323" i="79"/>
  <c r="AP1206" i="79"/>
  <c r="AP1274" i="79" s="1"/>
  <c r="AP1493" i="79"/>
  <c r="AI1206" i="79"/>
  <c r="AI1274" i="79" s="1"/>
  <c r="AI139" i="79"/>
  <c r="AI1493" i="79"/>
  <c r="AI1730" i="79"/>
  <c r="AI1323" i="79"/>
  <c r="Y386" i="40"/>
  <c r="AO1324" i="79"/>
  <c r="AO149" i="79"/>
  <c r="R386" i="40"/>
  <c r="AE386" i="40" s="1"/>
  <c r="AH149" i="79"/>
  <c r="AH1324" i="79"/>
  <c r="AK149" i="79"/>
  <c r="AK1324" i="79"/>
  <c r="U386" i="40"/>
  <c r="AH386" i="40" s="1"/>
  <c r="AQ1608" i="79"/>
  <c r="AQ1611" i="79"/>
  <c r="AJ1682" i="79"/>
  <c r="AJ91" i="79"/>
  <c r="AH91" i="79"/>
  <c r="AH1682" i="79"/>
  <c r="AM1682" i="79"/>
  <c r="AM91" i="79"/>
  <c r="AO1320" i="79"/>
  <c r="AO108" i="79"/>
  <c r="AN1320" i="79"/>
  <c r="AN108" i="79"/>
  <c r="AM1320" i="79"/>
  <c r="AM108" i="79"/>
  <c r="AM1318" i="79"/>
  <c r="AM77" i="79"/>
  <c r="W419" i="40"/>
  <c r="AL77" i="79"/>
  <c r="AL1318" i="79"/>
  <c r="V419" i="40"/>
  <c r="AH77" i="79"/>
  <c r="AH1318" i="79"/>
  <c r="R419" i="40"/>
  <c r="T1593" i="79"/>
  <c r="T1592" i="79"/>
  <c r="AJ1325" i="79"/>
  <c r="AM154" i="79"/>
  <c r="AM1325" i="79"/>
  <c r="AG1325" i="79"/>
  <c r="AG154" i="79"/>
  <c r="AQ1533" i="79"/>
  <c r="AQ1530" i="79"/>
  <c r="O25" i="85"/>
  <c r="O28" i="85" s="1"/>
  <c r="O68" i="83"/>
  <c r="D18" i="83" s="1"/>
  <c r="N239" i="85"/>
  <c r="O337" i="77" s="1"/>
  <c r="N75" i="83"/>
  <c r="AQ154" i="79" l="1"/>
  <c r="M78" i="79"/>
  <c r="AH1753" i="79"/>
  <c r="AH1751" i="79"/>
  <c r="AH1760" i="79"/>
  <c r="AH1763" i="79"/>
  <c r="AH1756" i="79"/>
  <c r="AH1752" i="79"/>
  <c r="AH1762" i="79"/>
  <c r="AH1758" i="79"/>
  <c r="AH1761" i="79"/>
  <c r="AH1759" i="79"/>
  <c r="AH1754" i="79"/>
  <c r="AH1757" i="79"/>
  <c r="AH1755" i="79"/>
  <c r="AH1750" i="79"/>
  <c r="AM1757" i="79"/>
  <c r="AM1755" i="79"/>
  <c r="AM1759" i="79"/>
  <c r="AM1750" i="79"/>
  <c r="AM1762" i="79"/>
  <c r="AM1754" i="79"/>
  <c r="AM1761" i="79"/>
  <c r="AM1753" i="79"/>
  <c r="AM1760" i="79"/>
  <c r="AM1752" i="79"/>
  <c r="AM1763" i="79"/>
  <c r="AM1758" i="79"/>
  <c r="AM1751" i="79"/>
  <c r="AM1756" i="79"/>
  <c r="AI1758" i="79"/>
  <c r="AI1752" i="79"/>
  <c r="AI1759" i="79"/>
  <c r="AI1757" i="79"/>
  <c r="AI1756" i="79"/>
  <c r="AI1760" i="79"/>
  <c r="AI1754" i="79"/>
  <c r="AI1762" i="79"/>
  <c r="AI1751" i="79"/>
  <c r="AI1753" i="79"/>
  <c r="AI1755" i="79"/>
  <c r="AI1761" i="79"/>
  <c r="AI1750" i="79"/>
  <c r="AI1763" i="79"/>
  <c r="AQ1753" i="79"/>
  <c r="AQ1758" i="79"/>
  <c r="AQ1763" i="79"/>
  <c r="AQ1761" i="79"/>
  <c r="AQ1756" i="79"/>
  <c r="AQ1757" i="79"/>
  <c r="AQ1762" i="79"/>
  <c r="AQ1752" i="79"/>
  <c r="AQ1755" i="79"/>
  <c r="AQ1760" i="79"/>
  <c r="AQ1754" i="79"/>
  <c r="AQ1751" i="79"/>
  <c r="AQ1759" i="79"/>
  <c r="AQ1750" i="79"/>
  <c r="AN1760" i="79"/>
  <c r="AN1755" i="79"/>
  <c r="AN1758" i="79"/>
  <c r="AN1753" i="79"/>
  <c r="AN1756" i="79"/>
  <c r="AN1751" i="79"/>
  <c r="AN1754" i="79"/>
  <c r="AN1759" i="79"/>
  <c r="AN1752" i="79"/>
  <c r="AN1763" i="79"/>
  <c r="AN1750" i="79"/>
  <c r="AN1761" i="79"/>
  <c r="AN1762" i="79"/>
  <c r="AN1757" i="79"/>
  <c r="AK1754" i="79"/>
  <c r="AK1751" i="79"/>
  <c r="AK1752" i="79"/>
  <c r="AK1750" i="79"/>
  <c r="AK1763" i="79"/>
  <c r="AK1760" i="79"/>
  <c r="AK1762" i="79"/>
  <c r="AK1759" i="79"/>
  <c r="AK1761" i="79"/>
  <c r="AK1757" i="79"/>
  <c r="AK1758" i="79"/>
  <c r="AK1756" i="79"/>
  <c r="AK1753" i="79"/>
  <c r="AK1755" i="79"/>
  <c r="AJ1761" i="79"/>
  <c r="AJ1759" i="79"/>
  <c r="AJ1762" i="79"/>
  <c r="AJ1757" i="79"/>
  <c r="AJ1760" i="79"/>
  <c r="AJ1752" i="79"/>
  <c r="AJ1755" i="79"/>
  <c r="AJ1758" i="79"/>
  <c r="AJ1753" i="79"/>
  <c r="AJ1756" i="79"/>
  <c r="AJ1751" i="79"/>
  <c r="AJ1754" i="79"/>
  <c r="AJ1763" i="79"/>
  <c r="AJ1750" i="79"/>
  <c r="AP1755" i="79"/>
  <c r="AP1753" i="79"/>
  <c r="AP1762" i="79"/>
  <c r="AP1751" i="79"/>
  <c r="AP1756" i="79"/>
  <c r="AP1760" i="79"/>
  <c r="AP1758" i="79"/>
  <c r="AP1763" i="79"/>
  <c r="AP1761" i="79"/>
  <c r="AP1754" i="79"/>
  <c r="AP1759" i="79"/>
  <c r="AP1757" i="79"/>
  <c r="AP1750" i="79"/>
  <c r="AP1752" i="79"/>
  <c r="AF1760" i="79"/>
  <c r="AF1755" i="79"/>
  <c r="AF1758" i="79"/>
  <c r="AF1753" i="79"/>
  <c r="AF1756" i="79"/>
  <c r="AF1754" i="79"/>
  <c r="AF1759" i="79"/>
  <c r="AF1751" i="79"/>
  <c r="AF1752" i="79"/>
  <c r="AF1763" i="79"/>
  <c r="AF1750" i="79"/>
  <c r="AF1761" i="79"/>
  <c r="AF1762" i="79"/>
  <c r="AF1757" i="79"/>
  <c r="AG1762" i="79"/>
  <c r="AG1760" i="79"/>
  <c r="AG1761" i="79"/>
  <c r="AG1756" i="79"/>
  <c r="AG1754" i="79"/>
  <c r="AG1750" i="79"/>
  <c r="AG1758" i="79"/>
  <c r="AG1759" i="79"/>
  <c r="AG1757" i="79"/>
  <c r="AG1755" i="79"/>
  <c r="AG1752" i="79"/>
  <c r="AG1753" i="79"/>
  <c r="AG1763" i="79"/>
  <c r="AG1751" i="79"/>
  <c r="AO1174" i="79"/>
  <c r="AO1244" i="79" s="1"/>
  <c r="AO1755" i="79"/>
  <c r="AO1759" i="79"/>
  <c r="AO1753" i="79"/>
  <c r="AO1761" i="79"/>
  <c r="AO1763" i="79"/>
  <c r="AO1760" i="79"/>
  <c r="AO1752" i="79"/>
  <c r="AO1757" i="79"/>
  <c r="AO1758" i="79"/>
  <c r="AO1762" i="79"/>
  <c r="AO1750" i="79"/>
  <c r="AO1754" i="79"/>
  <c r="AO1756" i="79"/>
  <c r="AO1751" i="79"/>
  <c r="AL1174" i="79"/>
  <c r="AL1244" i="79" s="1"/>
  <c r="AL1753" i="79"/>
  <c r="AL1762" i="79"/>
  <c r="AL1751" i="79"/>
  <c r="AL1761" i="79"/>
  <c r="AL1756" i="79"/>
  <c r="AL1760" i="79"/>
  <c r="AL1750" i="79"/>
  <c r="AL1763" i="79"/>
  <c r="AL1758" i="79"/>
  <c r="AL1754" i="79"/>
  <c r="AL1759" i="79"/>
  <c r="AL1752" i="79"/>
  <c r="AL1757" i="79"/>
  <c r="AL1755" i="79"/>
  <c r="AD423" i="40"/>
  <c r="AF132" i="79"/>
  <c r="AQ159" i="79"/>
  <c r="AN1324" i="79"/>
  <c r="AQ1325" i="79"/>
  <c r="AI423" i="40"/>
  <c r="AR156" i="79"/>
  <c r="C2919" i="79" s="1"/>
  <c r="AA416" i="40"/>
  <c r="AR151" i="79"/>
  <c r="C2915" i="79" s="1"/>
  <c r="AR88" i="79"/>
  <c r="C2862" i="79" s="1"/>
  <c r="O1174" i="79"/>
  <c r="O1244" i="79" s="1"/>
  <c r="I173" i="79"/>
  <c r="S416" i="40"/>
  <c r="L1174" i="79"/>
  <c r="L1244" i="79" s="1"/>
  <c r="AP200" i="79"/>
  <c r="L1464" i="79"/>
  <c r="L1466" i="79" s="1"/>
  <c r="Q1174" i="79"/>
  <c r="Q1244" i="79" s="1"/>
  <c r="W416" i="40"/>
  <c r="T78" i="79"/>
  <c r="J78" i="79"/>
  <c r="R78" i="79"/>
  <c r="P1174" i="79"/>
  <c r="P1244" i="79" s="1"/>
  <c r="X419" i="40"/>
  <c r="X416" i="40"/>
  <c r="AQ173" i="79"/>
  <c r="Y416" i="40"/>
  <c r="L132" i="79"/>
  <c r="D94" i="61"/>
  <c r="D95" i="61" s="1"/>
  <c r="AH1328" i="79"/>
  <c r="AH1369" i="79" s="1"/>
  <c r="F129" i="8" s="1"/>
  <c r="AH190" i="79"/>
  <c r="AN1328" i="79"/>
  <c r="AN190" i="79"/>
  <c r="AJ1329" i="79"/>
  <c r="AJ1370" i="79" s="1"/>
  <c r="H130" i="8" s="1"/>
  <c r="AJ195" i="79"/>
  <c r="AR192" i="79"/>
  <c r="C2949" i="79" s="1"/>
  <c r="AF195" i="79"/>
  <c r="AF1329" i="79"/>
  <c r="AF1370" i="79" s="1"/>
  <c r="D130" i="8" s="1"/>
  <c r="AN200" i="79"/>
  <c r="AN1330" i="79"/>
  <c r="AN1371" i="79" s="1"/>
  <c r="L131" i="8" s="1"/>
  <c r="AK1327" i="79"/>
  <c r="AK1368" i="79" s="1"/>
  <c r="I100" i="8" s="1"/>
  <c r="H96" i="83" s="1"/>
  <c r="AK180" i="79"/>
  <c r="AK1506" i="79"/>
  <c r="AK1768" i="79"/>
  <c r="AI1327" i="79"/>
  <c r="AI1368" i="79" s="1"/>
  <c r="G100" i="8" s="1"/>
  <c r="F96" i="83" s="1"/>
  <c r="AI180" i="79"/>
  <c r="AI1506" i="79"/>
  <c r="AI1768" i="79"/>
  <c r="AO190" i="79"/>
  <c r="AO1328" i="79"/>
  <c r="AO1369" i="79" s="1"/>
  <c r="M129" i="8" s="1"/>
  <c r="AN173" i="79"/>
  <c r="AR198" i="79"/>
  <c r="C2954" i="79" s="1"/>
  <c r="AI195" i="79"/>
  <c r="AI1329" i="79"/>
  <c r="AI1370" i="79" s="1"/>
  <c r="G130" i="8" s="1"/>
  <c r="AP195" i="79"/>
  <c r="AP1329" i="79"/>
  <c r="AP1370" i="79" s="1"/>
  <c r="N130" i="8" s="1"/>
  <c r="AG1330" i="79"/>
  <c r="AG1371" i="79" s="1"/>
  <c r="E131" i="8" s="1"/>
  <c r="AG200" i="79"/>
  <c r="AO1330" i="79"/>
  <c r="AO1371" i="79" s="1"/>
  <c r="M131" i="8" s="1"/>
  <c r="AO200" i="79"/>
  <c r="AM1327" i="79"/>
  <c r="AM1368" i="79" s="1"/>
  <c r="K100" i="8" s="1"/>
  <c r="J96" i="83" s="1"/>
  <c r="AM180" i="79"/>
  <c r="AM1506" i="79"/>
  <c r="AM1768" i="79"/>
  <c r="AH1506" i="79"/>
  <c r="AH1327" i="79"/>
  <c r="AH1368" i="79" s="1"/>
  <c r="F100" i="8" s="1"/>
  <c r="E96" i="83" s="1"/>
  <c r="AH180" i="79"/>
  <c r="AH1768" i="79"/>
  <c r="AK1328" i="79"/>
  <c r="AK1369" i="79" s="1"/>
  <c r="I129" i="8" s="1"/>
  <c r="AK190" i="79"/>
  <c r="D98" i="61"/>
  <c r="D99" i="61"/>
  <c r="AK173" i="79"/>
  <c r="AL1329" i="79"/>
  <c r="AL1370" i="79" s="1"/>
  <c r="J130" i="8" s="1"/>
  <c r="AL195" i="79"/>
  <c r="AI200" i="79"/>
  <c r="AI1330" i="79"/>
  <c r="AI1371" i="79" s="1"/>
  <c r="G131" i="8" s="1"/>
  <c r="AJ1330" i="79"/>
  <c r="AJ1371" i="79" s="1"/>
  <c r="H131" i="8" s="1"/>
  <c r="AJ200" i="79"/>
  <c r="AO1327" i="79"/>
  <c r="AO1368" i="79" s="1"/>
  <c r="M100" i="8" s="1"/>
  <c r="L96" i="83" s="1"/>
  <c r="AO1506" i="79"/>
  <c r="AO180" i="79"/>
  <c r="AO1768" i="79"/>
  <c r="AQ180" i="79"/>
  <c r="AQ1506" i="79"/>
  <c r="AQ1327" i="79"/>
  <c r="AQ1368" i="79" s="1"/>
  <c r="O100" i="8" s="1"/>
  <c r="AQ1768" i="79"/>
  <c r="AN1369" i="79"/>
  <c r="L129" i="8" s="1"/>
  <c r="AP1328" i="79"/>
  <c r="AP1369" i="79" s="1"/>
  <c r="N129" i="8" s="1"/>
  <c r="AP190" i="79"/>
  <c r="AJ173" i="79"/>
  <c r="AP173" i="79"/>
  <c r="AN1329" i="79"/>
  <c r="AN1370" i="79" s="1"/>
  <c r="L130" i="8" s="1"/>
  <c r="AN195" i="79"/>
  <c r="AF1330" i="79"/>
  <c r="AF1371" i="79" s="1"/>
  <c r="D131" i="8" s="1"/>
  <c r="AR197" i="79"/>
  <c r="C2953" i="79" s="1"/>
  <c r="AF200" i="79"/>
  <c r="AQ1330" i="79"/>
  <c r="AQ1371" i="79" s="1"/>
  <c r="O131" i="8" s="1"/>
  <c r="AQ200" i="79"/>
  <c r="AJ1506" i="79"/>
  <c r="AJ180" i="79"/>
  <c r="AJ1327" i="79"/>
  <c r="AJ1368" i="79" s="1"/>
  <c r="H100" i="8" s="1"/>
  <c r="G96" i="83" s="1"/>
  <c r="AJ1768" i="79"/>
  <c r="AF1328" i="79"/>
  <c r="AF1369" i="79" s="1"/>
  <c r="D129" i="8" s="1"/>
  <c r="AF190" i="79"/>
  <c r="AR182" i="79"/>
  <c r="C2940" i="79" s="1"/>
  <c r="AF173" i="79"/>
  <c r="AR168" i="79"/>
  <c r="AG173" i="79"/>
  <c r="AQ195" i="79"/>
  <c r="AQ1329" i="79"/>
  <c r="AQ1370" i="79" s="1"/>
  <c r="O130" i="8" s="1"/>
  <c r="AK1330" i="79"/>
  <c r="AK1371" i="79" s="1"/>
  <c r="I131" i="8" s="1"/>
  <c r="AK200" i="79"/>
  <c r="AP1327" i="79"/>
  <c r="AP1368" i="79" s="1"/>
  <c r="N100" i="8" s="1"/>
  <c r="M96" i="83" s="1"/>
  <c r="AP1506" i="79"/>
  <c r="AP180" i="79"/>
  <c r="AP1768" i="79"/>
  <c r="AG1328" i="79"/>
  <c r="AG1369" i="79" s="1"/>
  <c r="E129" i="8" s="1"/>
  <c r="AG190" i="79"/>
  <c r="AQ1328" i="79"/>
  <c r="AQ1369" i="79" s="1"/>
  <c r="O129" i="8" s="1"/>
  <c r="AQ190" i="79"/>
  <c r="AO173" i="79"/>
  <c r="AL173" i="79"/>
  <c r="AO1329" i="79"/>
  <c r="AO1370" i="79" s="1"/>
  <c r="M130" i="8" s="1"/>
  <c r="AO195" i="79"/>
  <c r="AL1330" i="79"/>
  <c r="AL1371" i="79" s="1"/>
  <c r="J131" i="8" s="1"/>
  <c r="AL200" i="79"/>
  <c r="AR175" i="79"/>
  <c r="C2934" i="79" s="1"/>
  <c r="AF1506" i="79"/>
  <c r="AF1327" i="79"/>
  <c r="AF1368" i="79" s="1"/>
  <c r="D100" i="8" s="1"/>
  <c r="C96" i="83" s="1"/>
  <c r="AF180" i="79"/>
  <c r="AF1768" i="79"/>
  <c r="AM190" i="79"/>
  <c r="AM1328" i="79"/>
  <c r="AM1369" i="79" s="1"/>
  <c r="K129" i="8" s="1"/>
  <c r="AI190" i="79"/>
  <c r="AI1328" i="79"/>
  <c r="AI1369" i="79" s="1"/>
  <c r="G129" i="8" s="1"/>
  <c r="AH173" i="79"/>
  <c r="AM173" i="79"/>
  <c r="AG1329" i="79"/>
  <c r="AG1370" i="79" s="1"/>
  <c r="E130" i="8" s="1"/>
  <c r="AG195" i="79"/>
  <c r="AM1329" i="79"/>
  <c r="AM1370" i="79" s="1"/>
  <c r="K130" i="8" s="1"/>
  <c r="AM195" i="79"/>
  <c r="AM1330" i="79"/>
  <c r="AM1371" i="79" s="1"/>
  <c r="K131" i="8" s="1"/>
  <c r="AM200" i="79"/>
  <c r="AG1506" i="79"/>
  <c r="AG1327" i="79"/>
  <c r="AG1368" i="79" s="1"/>
  <c r="E100" i="8" s="1"/>
  <c r="D96" i="83" s="1"/>
  <c r="AG180" i="79"/>
  <c r="AG1768" i="79"/>
  <c r="AJ1328" i="79"/>
  <c r="AJ1369" i="79" s="1"/>
  <c r="H129" i="8" s="1"/>
  <c r="AJ190" i="79"/>
  <c r="AL1328" i="79"/>
  <c r="AL1369" i="79" s="1"/>
  <c r="J129" i="8" s="1"/>
  <c r="AL190" i="79"/>
  <c r="AI173" i="79"/>
  <c r="D96" i="61"/>
  <c r="AP1330" i="79"/>
  <c r="AP1371" i="79" s="1"/>
  <c r="N131" i="8" s="1"/>
  <c r="AH1329" i="79"/>
  <c r="AH1370" i="79" s="1"/>
  <c r="F130" i="8" s="1"/>
  <c r="AH195" i="79"/>
  <c r="AH1503" i="79" s="1"/>
  <c r="AK1329" i="79"/>
  <c r="AK1370" i="79" s="1"/>
  <c r="I130" i="8" s="1"/>
  <c r="AK195" i="79"/>
  <c r="AR169" i="79"/>
  <c r="C2929" i="79" s="1"/>
  <c r="AH200" i="79"/>
  <c r="AH1330" i="79"/>
  <c r="AH1371" i="79" s="1"/>
  <c r="F131" i="8" s="1"/>
  <c r="AN1506" i="79"/>
  <c r="AN180" i="79"/>
  <c r="AN1327" i="79"/>
  <c r="AN1368" i="79" s="1"/>
  <c r="L100" i="8" s="1"/>
  <c r="K96" i="83" s="1"/>
  <c r="AN1768" i="79"/>
  <c r="AL1327" i="79"/>
  <c r="AL1368" i="79" s="1"/>
  <c r="J100" i="8" s="1"/>
  <c r="I96" i="83" s="1"/>
  <c r="AL1506" i="79"/>
  <c r="AL180" i="79"/>
  <c r="AL1768" i="79"/>
  <c r="P481" i="40"/>
  <c r="AC481" i="40" s="1"/>
  <c r="L416" i="40"/>
  <c r="E416" i="40"/>
  <c r="AE416" i="40" s="1"/>
  <c r="K416" i="40"/>
  <c r="J416" i="40"/>
  <c r="O1732" i="79"/>
  <c r="P1732" i="79"/>
  <c r="Q1732" i="79"/>
  <c r="J1732" i="79"/>
  <c r="T1732" i="79"/>
  <c r="K1732" i="79"/>
  <c r="M1732" i="79"/>
  <c r="S1732" i="79"/>
  <c r="R1732" i="79"/>
  <c r="N1732" i="79"/>
  <c r="L1732" i="79"/>
  <c r="I1695" i="79"/>
  <c r="I1319" i="79"/>
  <c r="J1695" i="79"/>
  <c r="J1319" i="79"/>
  <c r="T1174" i="79"/>
  <c r="T1244" i="79" s="1"/>
  <c r="R173" i="79"/>
  <c r="U127" i="79"/>
  <c r="C2490" i="79" s="1"/>
  <c r="K1174" i="79"/>
  <c r="K1244" i="79" s="1"/>
  <c r="N78" i="79"/>
  <c r="U50" i="79"/>
  <c r="C2427" i="79" s="1"/>
  <c r="L273" i="77"/>
  <c r="L254" i="77"/>
  <c r="L255" i="77" s="1"/>
  <c r="U67" i="79"/>
  <c r="C2442" i="79" s="1"/>
  <c r="I1174" i="79"/>
  <c r="I1244" i="79" s="1"/>
  <c r="G1413" i="79"/>
  <c r="AJ154" i="79"/>
  <c r="AJ132" i="79"/>
  <c r="AK1325" i="79"/>
  <c r="AM132" i="79"/>
  <c r="AM160" i="79" s="1"/>
  <c r="AL1493" i="79"/>
  <c r="AL132" i="79"/>
  <c r="G416" i="40"/>
  <c r="N1464" i="79"/>
  <c r="N1466" i="79" s="1"/>
  <c r="U86" i="79"/>
  <c r="C2455" i="79" s="1"/>
  <c r="U77" i="79"/>
  <c r="C2450" i="79" s="1"/>
  <c r="K1754" i="79"/>
  <c r="N1174" i="79"/>
  <c r="N1244" i="79" s="1"/>
  <c r="Q1464" i="79"/>
  <c r="Q1466" i="79" s="1"/>
  <c r="AH1379" i="79"/>
  <c r="J1468" i="79"/>
  <c r="D416" i="40"/>
  <c r="AD416" i="40" s="1"/>
  <c r="M132" i="79"/>
  <c r="I78" i="79"/>
  <c r="I132" i="79"/>
  <c r="S1466" i="79"/>
  <c r="I91" i="79"/>
  <c r="AG1172" i="79"/>
  <c r="AG1242" i="79" s="1"/>
  <c r="L413" i="40"/>
  <c r="C416" i="40"/>
  <c r="K1671" i="79"/>
  <c r="K1672" i="79" s="1"/>
  <c r="K1673" i="79" s="1"/>
  <c r="M419" i="40"/>
  <c r="U57" i="79"/>
  <c r="C2433" i="79" s="1"/>
  <c r="AH1170" i="79"/>
  <c r="AH1240" i="79" s="1"/>
  <c r="J413" i="40"/>
  <c r="AJ413" i="40" s="1"/>
  <c r="R1464" i="79"/>
  <c r="R1465" i="79" s="1"/>
  <c r="G419" i="40"/>
  <c r="N419" i="40"/>
  <c r="AN419" i="40" s="1"/>
  <c r="I413" i="40"/>
  <c r="AI413" i="40" s="1"/>
  <c r="D413" i="40"/>
  <c r="AD413" i="40" s="1"/>
  <c r="F419" i="40"/>
  <c r="D419" i="40"/>
  <c r="AD419" i="40" s="1"/>
  <c r="K419" i="40"/>
  <c r="I416" i="40"/>
  <c r="AI416" i="40" s="1"/>
  <c r="K413" i="40"/>
  <c r="F413" i="40"/>
  <c r="M1465" i="79"/>
  <c r="T173" i="79"/>
  <c r="Q1754" i="79"/>
  <c r="P173" i="79"/>
  <c r="T1671" i="79"/>
  <c r="T1672" i="79" s="1"/>
  <c r="T1673" i="79" s="1"/>
  <c r="M1671" i="79"/>
  <c r="M1672" i="79" s="1"/>
  <c r="M1673" i="79" s="1"/>
  <c r="AI393" i="40"/>
  <c r="AI1172" i="79"/>
  <c r="AI1242" i="79" s="1"/>
  <c r="AI1307" i="79" s="1"/>
  <c r="AI1308" i="79" s="1"/>
  <c r="P1172" i="79"/>
  <c r="P1242" i="79" s="1"/>
  <c r="U168" i="79"/>
  <c r="C2524" i="79" s="1"/>
  <c r="I1468" i="79"/>
  <c r="C419" i="40"/>
  <c r="L419" i="40"/>
  <c r="E322" i="40"/>
  <c r="G322" i="40" s="1"/>
  <c r="H416" i="40"/>
  <c r="M413" i="40"/>
  <c r="AM413" i="40" s="1"/>
  <c r="E413" i="40"/>
  <c r="AE413" i="40" s="1"/>
  <c r="C413" i="40"/>
  <c r="L173" i="79"/>
  <c r="P78" i="79"/>
  <c r="N1671" i="79"/>
  <c r="N1672" i="79" s="1"/>
  <c r="N1673" i="79" s="1"/>
  <c r="R1172" i="79"/>
  <c r="R1242" i="79" s="1"/>
  <c r="I419" i="40"/>
  <c r="AI419" i="40" s="1"/>
  <c r="H419" i="40"/>
  <c r="J419" i="40"/>
  <c r="AJ419" i="40" s="1"/>
  <c r="G413" i="40"/>
  <c r="H413" i="40"/>
  <c r="T132" i="79"/>
  <c r="K1464" i="79"/>
  <c r="K1465" i="79" s="1"/>
  <c r="AE414" i="40"/>
  <c r="N413" i="40"/>
  <c r="AN413" i="40" s="1"/>
  <c r="R1324" i="79"/>
  <c r="L393" i="40"/>
  <c r="AJ1380" i="79"/>
  <c r="AN414" i="40"/>
  <c r="E419" i="40"/>
  <c r="AE419" i="40" s="1"/>
  <c r="R132" i="79"/>
  <c r="K173" i="79"/>
  <c r="O132" i="79"/>
  <c r="J173" i="79"/>
  <c r="P1464" i="79"/>
  <c r="L1671" i="79"/>
  <c r="L1672" i="79" s="1"/>
  <c r="L1673" i="79" s="1"/>
  <c r="AD414" i="40"/>
  <c r="AJ414" i="40"/>
  <c r="M1768" i="79"/>
  <c r="N416" i="40"/>
  <c r="F416" i="40"/>
  <c r="M416" i="40"/>
  <c r="J1324" i="79"/>
  <c r="D393" i="40"/>
  <c r="AD393" i="40" s="1"/>
  <c r="S1324" i="79"/>
  <c r="M393" i="40"/>
  <c r="S132" i="79"/>
  <c r="S173" i="79"/>
  <c r="Q173" i="79"/>
  <c r="K132" i="79"/>
  <c r="O173" i="79"/>
  <c r="I1671" i="79"/>
  <c r="I1672" i="79" s="1"/>
  <c r="I1673" i="79" s="1"/>
  <c r="O1671" i="79"/>
  <c r="O1672" i="79" s="1"/>
  <c r="O1673" i="79" s="1"/>
  <c r="AJ393" i="40"/>
  <c r="AE393" i="40"/>
  <c r="AM1380" i="79"/>
  <c r="AN1477" i="79"/>
  <c r="AN1479" i="79" s="1"/>
  <c r="AF1378" i="79"/>
  <c r="T1768" i="79"/>
  <c r="K1768" i="79"/>
  <c r="AI414" i="40"/>
  <c r="M1324" i="79"/>
  <c r="G393" i="40"/>
  <c r="K78" i="79"/>
  <c r="J1464" i="79"/>
  <c r="J1465" i="79" s="1"/>
  <c r="S1754" i="79"/>
  <c r="S91" i="79"/>
  <c r="AN393" i="40"/>
  <c r="L91" i="79"/>
  <c r="AN1172" i="79"/>
  <c r="AN1242" i="79" s="1"/>
  <c r="Q254" i="73"/>
  <c r="Q255" i="73" s="1"/>
  <c r="O479" i="73"/>
  <c r="C446" i="40"/>
  <c r="P446" i="40" s="1"/>
  <c r="S1671" i="79"/>
  <c r="S1672" i="79" s="1"/>
  <c r="S1673" i="79" s="1"/>
  <c r="Q1671" i="79"/>
  <c r="Q1672" i="79" s="1"/>
  <c r="Q1673" i="79" s="1"/>
  <c r="R1671" i="79"/>
  <c r="R1672" i="79" s="1"/>
  <c r="R1673" i="79" s="1"/>
  <c r="I1464" i="79"/>
  <c r="I1466" i="79" s="1"/>
  <c r="S1326" i="79"/>
  <c r="Q78" i="79"/>
  <c r="Q132" i="79"/>
  <c r="J132" i="79"/>
  <c r="N132" i="79"/>
  <c r="K1172" i="79"/>
  <c r="K1242" i="79" s="1"/>
  <c r="U72" i="79"/>
  <c r="C2446" i="79" s="1"/>
  <c r="M173" i="79"/>
  <c r="N173" i="79"/>
  <c r="P132" i="79"/>
  <c r="N1768" i="79"/>
  <c r="O1768" i="79"/>
  <c r="P1768" i="79"/>
  <c r="S1468" i="79"/>
  <c r="M91" i="79"/>
  <c r="K91" i="79"/>
  <c r="O1170" i="79"/>
  <c r="O1240" i="79" s="1"/>
  <c r="AJ1172" i="79"/>
  <c r="AJ1242" i="79" s="1"/>
  <c r="L1172" i="79"/>
  <c r="L1242" i="79" s="1"/>
  <c r="I1170" i="79"/>
  <c r="I1240" i="79" s="1"/>
  <c r="AF1170" i="79"/>
  <c r="AF1240" i="79" s="1"/>
  <c r="AF1307" i="79" s="1"/>
  <c r="AF1308" i="79" s="1"/>
  <c r="AF1714" i="79"/>
  <c r="AR128" i="79"/>
  <c r="C2895" i="79" s="1"/>
  <c r="I1680" i="79"/>
  <c r="U88" i="79"/>
  <c r="C2457" i="79" s="1"/>
  <c r="K1170" i="79"/>
  <c r="K1240" i="79" s="1"/>
  <c r="AH1172" i="79"/>
  <c r="AH1242" i="79" s="1"/>
  <c r="M1170" i="79"/>
  <c r="M1240" i="79" s="1"/>
  <c r="I1172" i="79"/>
  <c r="I1242" i="79" s="1"/>
  <c r="I1714" i="79"/>
  <c r="U128" i="79"/>
  <c r="C2491" i="79" s="1"/>
  <c r="I1750" i="79"/>
  <c r="U169" i="79"/>
  <c r="C2525" i="79" s="1"/>
  <c r="R1170" i="79"/>
  <c r="R1240" i="79" s="1"/>
  <c r="AO1170" i="79"/>
  <c r="AO1240" i="79" s="1"/>
  <c r="AL1170" i="79"/>
  <c r="AL1240" i="79" s="1"/>
  <c r="I1716" i="79"/>
  <c r="U129" i="79"/>
  <c r="C2492" i="79" s="1"/>
  <c r="O91" i="79"/>
  <c r="M1172" i="79"/>
  <c r="M1242" i="79" s="1"/>
  <c r="AG1170" i="79"/>
  <c r="AG1240" i="79" s="1"/>
  <c r="T1170" i="79"/>
  <c r="T1240" i="79" s="1"/>
  <c r="T1172" i="79"/>
  <c r="T1242" i="79" s="1"/>
  <c r="AK1170" i="79"/>
  <c r="AK1240" i="79" s="1"/>
  <c r="AR152" i="79"/>
  <c r="C2916" i="79" s="1"/>
  <c r="AQ1172" i="79"/>
  <c r="AQ1242" i="79" s="1"/>
  <c r="AL1172" i="79"/>
  <c r="AL1242" i="79" s="1"/>
  <c r="P416" i="40"/>
  <c r="AF1381" i="79"/>
  <c r="S1768" i="79"/>
  <c r="R1768" i="79"/>
  <c r="AO1172" i="79"/>
  <c r="AO1242" i="79" s="1"/>
  <c r="N91" i="79"/>
  <c r="N1172" i="79"/>
  <c r="N1242" i="79" s="1"/>
  <c r="AP1170" i="79"/>
  <c r="AP1240" i="79" s="1"/>
  <c r="AF1716" i="79"/>
  <c r="AR129" i="79"/>
  <c r="C2896" i="79" s="1"/>
  <c r="AM1172" i="79"/>
  <c r="AM1242" i="79" s="1"/>
  <c r="R91" i="79"/>
  <c r="AM1170" i="79"/>
  <c r="AM1240" i="79" s="1"/>
  <c r="J91" i="79"/>
  <c r="S1170" i="79"/>
  <c r="S1240" i="79" s="1"/>
  <c r="AJ1170" i="79"/>
  <c r="AJ1240" i="79" s="1"/>
  <c r="AK1172" i="79"/>
  <c r="AK1242" i="79" s="1"/>
  <c r="P91" i="79"/>
  <c r="N1170" i="79"/>
  <c r="N1240" i="79" s="1"/>
  <c r="Q1170" i="79"/>
  <c r="Q1240" i="79" s="1"/>
  <c r="Q1172" i="79"/>
  <c r="Q1242" i="79" s="1"/>
  <c r="U87" i="79"/>
  <c r="C2456" i="79" s="1"/>
  <c r="I1678" i="79"/>
  <c r="L1170" i="79"/>
  <c r="L1240" i="79" s="1"/>
  <c r="J1172" i="79"/>
  <c r="J1242" i="79" s="1"/>
  <c r="Q91" i="79"/>
  <c r="J1170" i="79"/>
  <c r="J1240" i="79" s="1"/>
  <c r="P1170" i="79"/>
  <c r="P1240" i="79" s="1"/>
  <c r="O1172" i="79"/>
  <c r="O1242" i="79" s="1"/>
  <c r="AQ1170" i="79"/>
  <c r="AQ1240" i="79" s="1"/>
  <c r="AP1172" i="79"/>
  <c r="AP1242" i="79" s="1"/>
  <c r="T91" i="79"/>
  <c r="S1172" i="79"/>
  <c r="S1242" i="79" s="1"/>
  <c r="I1752" i="79"/>
  <c r="U170" i="79"/>
  <c r="C2526" i="79" s="1"/>
  <c r="F9" i="40"/>
  <c r="E312" i="40" s="1"/>
  <c r="L1768" i="79"/>
  <c r="J1768" i="79"/>
  <c r="Q1768" i="79"/>
  <c r="J1207" i="79"/>
  <c r="J1275" i="79" s="1"/>
  <c r="P1207" i="79"/>
  <c r="P1275" i="79" s="1"/>
  <c r="S1207" i="79"/>
  <c r="S1275" i="79" s="1"/>
  <c r="R1695" i="79"/>
  <c r="R1207" i="79"/>
  <c r="R1275" i="79" s="1"/>
  <c r="O1207" i="79"/>
  <c r="O1275" i="79" s="1"/>
  <c r="M1207" i="79"/>
  <c r="M1275" i="79" s="1"/>
  <c r="Q1207" i="79"/>
  <c r="Q1275" i="79" s="1"/>
  <c r="K1207" i="79"/>
  <c r="K1275" i="79" s="1"/>
  <c r="L1207" i="79"/>
  <c r="L1275" i="79" s="1"/>
  <c r="I1207" i="79"/>
  <c r="I1275" i="79" s="1"/>
  <c r="T1207" i="79"/>
  <c r="T1275" i="79" s="1"/>
  <c r="N1207" i="79"/>
  <c r="N1275" i="79" s="1"/>
  <c r="AO1379" i="79"/>
  <c r="AL1378" i="79"/>
  <c r="AH1380" i="79"/>
  <c r="AF1379" i="79"/>
  <c r="T1469" i="79"/>
  <c r="T1468" i="79"/>
  <c r="AQ1379" i="79"/>
  <c r="AP1380" i="79"/>
  <c r="AI1378" i="79"/>
  <c r="AJ1381" i="79"/>
  <c r="AP1381" i="79"/>
  <c r="AK1743" i="79"/>
  <c r="AK1744" i="79" s="1"/>
  <c r="AK1745" i="79" s="1"/>
  <c r="AG1379" i="79"/>
  <c r="AI1380" i="79"/>
  <c r="AP1378" i="79"/>
  <c r="AM1671" i="79"/>
  <c r="AM1672" i="79" s="1"/>
  <c r="AM1673" i="79" s="1"/>
  <c r="AN1381" i="79"/>
  <c r="AN1380" i="79"/>
  <c r="AH1378" i="79"/>
  <c r="AK1378" i="79"/>
  <c r="AF1380" i="79"/>
  <c r="AM1379" i="79"/>
  <c r="AP1379" i="79"/>
  <c r="AQ1378" i="79"/>
  <c r="AG1378" i="79"/>
  <c r="AM1381" i="79"/>
  <c r="AI1379" i="79"/>
  <c r="AK1379" i="79"/>
  <c r="AL1380" i="79"/>
  <c r="AK1380" i="79"/>
  <c r="AG1381" i="79"/>
  <c r="AO1380" i="79"/>
  <c r="AJ1379" i="79"/>
  <c r="AN1379" i="79"/>
  <c r="AM1378" i="79"/>
  <c r="AJ1378" i="79"/>
  <c r="AL1381" i="79"/>
  <c r="AG1380" i="79"/>
  <c r="AO1378" i="79"/>
  <c r="AQ1381" i="79"/>
  <c r="AQ1380" i="79"/>
  <c r="AL1379" i="79"/>
  <c r="AH1381" i="79"/>
  <c r="AK1381" i="79"/>
  <c r="AO1381" i="79"/>
  <c r="AN1378" i="79"/>
  <c r="AI1381" i="79"/>
  <c r="P466" i="73"/>
  <c r="Q253" i="77" s="1"/>
  <c r="Q277" i="77" s="1"/>
  <c r="L465" i="73"/>
  <c r="L467" i="73" s="1"/>
  <c r="AG1743" i="79"/>
  <c r="AG1744" i="79" s="1"/>
  <c r="AG1745" i="79" s="1"/>
  <c r="O1465" i="79"/>
  <c r="AO1490" i="79"/>
  <c r="AO1491" i="79" s="1"/>
  <c r="AJ1743" i="79"/>
  <c r="AJ1744" i="79" s="1"/>
  <c r="AJ1745" i="79" s="1"/>
  <c r="AH78" i="79"/>
  <c r="U214" i="79"/>
  <c r="C2563" i="79" s="1"/>
  <c r="Q1465" i="79"/>
  <c r="A61" i="80"/>
  <c r="A66" i="80" s="1"/>
  <c r="A4" i="61" s="1"/>
  <c r="A23" i="61" s="1"/>
  <c r="A35" i="61" s="1"/>
  <c r="A45" i="61" s="1"/>
  <c r="F5" i="61" s="1"/>
  <c r="F40" i="61" s="1"/>
  <c r="F55" i="61" s="1"/>
  <c r="A80" i="61" s="1"/>
  <c r="A104" i="61" s="1"/>
  <c r="A3" i="83" s="1"/>
  <c r="A13" i="83" s="1"/>
  <c r="A53" i="80"/>
  <c r="N204" i="73"/>
  <c r="O186" i="73" s="1"/>
  <c r="P556" i="73"/>
  <c r="M205" i="73"/>
  <c r="M459" i="73" s="1"/>
  <c r="M463" i="73" s="1"/>
  <c r="AJ1707" i="79"/>
  <c r="AJ1708" i="79" s="1"/>
  <c r="AJ1709" i="79" s="1"/>
  <c r="D487" i="40"/>
  <c r="Q487" i="40" s="1"/>
  <c r="AD487" i="40" s="1"/>
  <c r="U198" i="79"/>
  <c r="C2550" i="79" s="1"/>
  <c r="J1325" i="79"/>
  <c r="J154" i="79"/>
  <c r="J1490" i="79" s="1"/>
  <c r="S1325" i="79"/>
  <c r="S154" i="79"/>
  <c r="S1490" i="79" s="1"/>
  <c r="R1325" i="79"/>
  <c r="R154" i="79"/>
  <c r="R1490" i="79" s="1"/>
  <c r="T1322" i="79"/>
  <c r="T118" i="79"/>
  <c r="S1322" i="79"/>
  <c r="S118" i="79"/>
  <c r="I1322" i="79"/>
  <c r="U115" i="79"/>
  <c r="C2481" i="79" s="1"/>
  <c r="F61" i="40" s="1"/>
  <c r="I118" i="79"/>
  <c r="S1698" i="79"/>
  <c r="S1210" i="79"/>
  <c r="S1278" i="79" s="1"/>
  <c r="L1698" i="79"/>
  <c r="L1210" i="79"/>
  <c r="L1278" i="79" s="1"/>
  <c r="U95" i="79"/>
  <c r="C2464" i="79" s="1"/>
  <c r="I1698" i="79"/>
  <c r="I1210" i="79"/>
  <c r="I1278" i="79" s="1"/>
  <c r="I1329" i="79"/>
  <c r="U192" i="79"/>
  <c r="C2545" i="79" s="1"/>
  <c r="F49" i="40" s="1"/>
  <c r="I195" i="79"/>
  <c r="L195" i="79"/>
  <c r="L1329" i="79"/>
  <c r="P195" i="79"/>
  <c r="P1329" i="79"/>
  <c r="M1506" i="79"/>
  <c r="M1327" i="79"/>
  <c r="M180" i="79"/>
  <c r="M1766" i="79"/>
  <c r="L1506" i="79"/>
  <c r="L1327" i="79"/>
  <c r="L180" i="79"/>
  <c r="L1766" i="79"/>
  <c r="P180" i="79"/>
  <c r="P1327" i="79"/>
  <c r="P1506" i="79"/>
  <c r="P1766" i="79"/>
  <c r="N1326" i="79"/>
  <c r="N159" i="79"/>
  <c r="M1326" i="79"/>
  <c r="M159" i="79"/>
  <c r="T159" i="79"/>
  <c r="T1326" i="79"/>
  <c r="M1493" i="79"/>
  <c r="M1323" i="79"/>
  <c r="M139" i="79"/>
  <c r="M1730" i="79"/>
  <c r="M1743" i="79" s="1"/>
  <c r="M1744" i="79" s="1"/>
  <c r="M1745" i="79" s="1"/>
  <c r="K1493" i="79"/>
  <c r="K139" i="79"/>
  <c r="K1323" i="79"/>
  <c r="K1730" i="79"/>
  <c r="K1743" i="79" s="1"/>
  <c r="K1744" i="79" s="1"/>
  <c r="K1745" i="79" s="1"/>
  <c r="R139" i="79"/>
  <c r="R1493" i="79"/>
  <c r="R1323" i="79"/>
  <c r="R1730" i="79"/>
  <c r="R1743" i="79" s="1"/>
  <c r="R1744" i="79" s="1"/>
  <c r="R1745" i="79" s="1"/>
  <c r="J1321" i="79"/>
  <c r="J113" i="79"/>
  <c r="K1321" i="79"/>
  <c r="K113" i="79"/>
  <c r="R113" i="79"/>
  <c r="R1321" i="79"/>
  <c r="L190" i="79"/>
  <c r="L1328" i="79"/>
  <c r="Q1328" i="79"/>
  <c r="Q190" i="79"/>
  <c r="T1328" i="79"/>
  <c r="T190" i="79"/>
  <c r="K1330" i="79"/>
  <c r="K200" i="79"/>
  <c r="J1330" i="79"/>
  <c r="J200" i="79"/>
  <c r="N200" i="79"/>
  <c r="N1330" i="79"/>
  <c r="O98" i="79"/>
  <c r="O1480" i="79"/>
  <c r="O1319" i="79"/>
  <c r="O1694" i="79"/>
  <c r="O1206" i="79"/>
  <c r="O1274" i="79" s="1"/>
  <c r="M1480" i="79"/>
  <c r="M1319" i="79"/>
  <c r="M98" i="79"/>
  <c r="M1694" i="79"/>
  <c r="M1206" i="79"/>
  <c r="M1274" i="79" s="1"/>
  <c r="N98" i="79"/>
  <c r="N1319" i="79"/>
  <c r="N1480" i="79"/>
  <c r="N1694" i="79"/>
  <c r="N1206" i="79"/>
  <c r="N1274" i="79" s="1"/>
  <c r="J1519" i="79"/>
  <c r="J1331" i="79"/>
  <c r="J221" i="79"/>
  <c r="J242" i="79" s="1"/>
  <c r="J1802" i="79"/>
  <c r="J1815" i="79" s="1"/>
  <c r="J1816" i="79" s="1"/>
  <c r="L1519" i="79"/>
  <c r="L221" i="79"/>
  <c r="L242" i="79" s="1"/>
  <c r="L1331" i="79"/>
  <c r="L1802" i="79"/>
  <c r="L1815" i="79" s="1"/>
  <c r="L1816" i="79" s="1"/>
  <c r="T1519" i="79"/>
  <c r="T1331" i="79"/>
  <c r="T221" i="79"/>
  <c r="T242" i="79" s="1"/>
  <c r="T1802" i="79"/>
  <c r="T1815" i="79" s="1"/>
  <c r="T1816" i="79" s="1"/>
  <c r="P1324" i="79"/>
  <c r="Q1324" i="79"/>
  <c r="S108" i="79"/>
  <c r="S1320" i="79"/>
  <c r="L1320" i="79"/>
  <c r="L108" i="79"/>
  <c r="N1320" i="79"/>
  <c r="N108" i="79"/>
  <c r="N1696" i="79"/>
  <c r="N1208" i="79"/>
  <c r="N1276" i="79" s="1"/>
  <c r="T1696" i="79"/>
  <c r="T1208" i="79"/>
  <c r="T1276" i="79" s="1"/>
  <c r="K1696" i="79"/>
  <c r="K1208" i="79"/>
  <c r="K1276" i="79" s="1"/>
  <c r="U176" i="79"/>
  <c r="C2531" i="79" s="1"/>
  <c r="I1768" i="79"/>
  <c r="I1465" i="79"/>
  <c r="N154" i="79"/>
  <c r="N1490" i="79" s="1"/>
  <c r="N1325" i="79"/>
  <c r="L154" i="79"/>
  <c r="L1490" i="79" s="1"/>
  <c r="L1325" i="79"/>
  <c r="P154" i="79"/>
  <c r="P1490" i="79" s="1"/>
  <c r="P1325" i="79"/>
  <c r="L118" i="79"/>
  <c r="L1322" i="79"/>
  <c r="J1322" i="79"/>
  <c r="J118" i="79"/>
  <c r="O1322" i="79"/>
  <c r="O118" i="79"/>
  <c r="O1698" i="79"/>
  <c r="O1210" i="79"/>
  <c r="O1278" i="79" s="1"/>
  <c r="P1698" i="79"/>
  <c r="P1210" i="79"/>
  <c r="P1278" i="79" s="1"/>
  <c r="N1698" i="79"/>
  <c r="N1210" i="79"/>
  <c r="N1278" i="79" s="1"/>
  <c r="S1329" i="79"/>
  <c r="S195" i="79"/>
  <c r="K195" i="79"/>
  <c r="K1329" i="79"/>
  <c r="R1329" i="79"/>
  <c r="R195" i="79"/>
  <c r="K180" i="79"/>
  <c r="K1327" i="79"/>
  <c r="K1506" i="79"/>
  <c r="K1766" i="79"/>
  <c r="T1327" i="79"/>
  <c r="T180" i="79"/>
  <c r="T1506" i="79"/>
  <c r="T1766" i="79"/>
  <c r="O1506" i="79"/>
  <c r="O1327" i="79"/>
  <c r="O180" i="79"/>
  <c r="O1766" i="79"/>
  <c r="U218" i="79"/>
  <c r="C2566" i="79" s="1"/>
  <c r="I1806" i="79"/>
  <c r="Q159" i="79"/>
  <c r="Q1326" i="79"/>
  <c r="K1326" i="79"/>
  <c r="K159" i="79"/>
  <c r="P139" i="79"/>
  <c r="P1323" i="79"/>
  <c r="P1493" i="79"/>
  <c r="P1730" i="79"/>
  <c r="P1743" i="79" s="1"/>
  <c r="P1744" i="79" s="1"/>
  <c r="P1745" i="79" s="1"/>
  <c r="T1493" i="79"/>
  <c r="T1495" i="79" s="1"/>
  <c r="T139" i="79"/>
  <c r="T1323" i="79"/>
  <c r="T1730" i="79"/>
  <c r="T1743" i="79" s="1"/>
  <c r="T1744" i="79" s="1"/>
  <c r="T1745" i="79" s="1"/>
  <c r="Q1493" i="79"/>
  <c r="Q1323" i="79"/>
  <c r="Q139" i="79"/>
  <c r="Q1730" i="79"/>
  <c r="Q1743" i="79" s="1"/>
  <c r="Q1744" i="79" s="1"/>
  <c r="Q1745" i="79" s="1"/>
  <c r="L1321" i="79"/>
  <c r="L113" i="79"/>
  <c r="M113" i="79"/>
  <c r="M1321" i="79"/>
  <c r="T113" i="79"/>
  <c r="T1321" i="79"/>
  <c r="P190" i="79"/>
  <c r="P1328" i="79"/>
  <c r="O1328" i="79"/>
  <c r="O190" i="79"/>
  <c r="M190" i="79"/>
  <c r="M1328" i="79"/>
  <c r="T200" i="79"/>
  <c r="T1330" i="79"/>
  <c r="I200" i="79"/>
  <c r="U197" i="79"/>
  <c r="C2549" i="79" s="1"/>
  <c r="F63" i="40" s="1"/>
  <c r="I1330" i="79"/>
  <c r="O1330" i="79"/>
  <c r="O200" i="79"/>
  <c r="U135" i="79"/>
  <c r="C2497" i="79" s="1"/>
  <c r="I1732" i="79"/>
  <c r="U93" i="79"/>
  <c r="C2462" i="79" s="1"/>
  <c r="I1480" i="79"/>
  <c r="I98" i="79"/>
  <c r="I1694" i="79"/>
  <c r="I1206" i="79"/>
  <c r="I1274" i="79" s="1"/>
  <c r="T1480" i="79"/>
  <c r="T1319" i="79"/>
  <c r="T98" i="79"/>
  <c r="T1694" i="79"/>
  <c r="T1206" i="79"/>
  <c r="T1274" i="79" s="1"/>
  <c r="S1480" i="79"/>
  <c r="S98" i="79"/>
  <c r="S1319" i="79"/>
  <c r="S1694" i="79"/>
  <c r="S1206" i="79"/>
  <c r="S1274" i="79" s="1"/>
  <c r="K1331" i="79"/>
  <c r="K221" i="79"/>
  <c r="K242" i="79" s="1"/>
  <c r="K1519" i="79"/>
  <c r="K1802" i="79"/>
  <c r="K1815" i="79" s="1"/>
  <c r="K1816" i="79" s="1"/>
  <c r="R1331" i="79"/>
  <c r="R221" i="79"/>
  <c r="R242" i="79" s="1"/>
  <c r="R1519" i="79"/>
  <c r="R1802" i="79"/>
  <c r="R1815" i="79" s="1"/>
  <c r="R1816" i="79" s="1"/>
  <c r="S221" i="79"/>
  <c r="S242" i="79" s="1"/>
  <c r="S1331" i="79"/>
  <c r="S1519" i="79"/>
  <c r="S1802" i="79"/>
  <c r="S1815" i="79" s="1"/>
  <c r="S1816" i="79" s="1"/>
  <c r="AM390" i="40"/>
  <c r="AH390" i="40"/>
  <c r="U157" i="79"/>
  <c r="C2516" i="79" s="1"/>
  <c r="N1324" i="79"/>
  <c r="T1324" i="79"/>
  <c r="J108" i="79"/>
  <c r="J1320" i="79"/>
  <c r="R108" i="79"/>
  <c r="R1320" i="79"/>
  <c r="Q1320" i="79"/>
  <c r="Q108" i="79"/>
  <c r="Q1696" i="79"/>
  <c r="Q1208" i="79"/>
  <c r="Q1276" i="79" s="1"/>
  <c r="O1696" i="79"/>
  <c r="O1208" i="79"/>
  <c r="O1276" i="79" s="1"/>
  <c r="J1696" i="79"/>
  <c r="J1208" i="79"/>
  <c r="J1276" i="79" s="1"/>
  <c r="U151" i="79"/>
  <c r="C2511" i="79" s="1"/>
  <c r="I154" i="79"/>
  <c r="I1490" i="79" s="1"/>
  <c r="I1325" i="79"/>
  <c r="T154" i="79"/>
  <c r="T1490" i="79" s="1"/>
  <c r="T1325" i="79"/>
  <c r="Q1325" i="79"/>
  <c r="Q154" i="79"/>
  <c r="M1322" i="79"/>
  <c r="M118" i="79"/>
  <c r="P1322" i="79"/>
  <c r="P118" i="79"/>
  <c r="Q118" i="79"/>
  <c r="Q1322" i="79"/>
  <c r="K1698" i="79"/>
  <c r="K1210" i="79"/>
  <c r="K1278" i="79" s="1"/>
  <c r="M1698" i="79"/>
  <c r="M1210" i="79"/>
  <c r="M1278" i="79" s="1"/>
  <c r="R1698" i="79"/>
  <c r="R1210" i="79"/>
  <c r="R1278" i="79" s="1"/>
  <c r="T195" i="79"/>
  <c r="T1329" i="79"/>
  <c r="N1329" i="79"/>
  <c r="N195" i="79"/>
  <c r="M1329" i="79"/>
  <c r="M195" i="79"/>
  <c r="Q1506" i="79"/>
  <c r="Q1327" i="79"/>
  <c r="Q180" i="79"/>
  <c r="Q1766" i="79"/>
  <c r="N180" i="79"/>
  <c r="N1506" i="79"/>
  <c r="N1327" i="79"/>
  <c r="N1766" i="79"/>
  <c r="N1779" i="79" s="1"/>
  <c r="N1780" i="79" s="1"/>
  <c r="N1781" i="79" s="1"/>
  <c r="J180" i="79"/>
  <c r="J1506" i="79"/>
  <c r="J1327" i="79"/>
  <c r="J1766" i="79"/>
  <c r="L1326" i="79"/>
  <c r="L159" i="79"/>
  <c r="P1326" i="79"/>
  <c r="P159" i="79"/>
  <c r="R1326" i="79"/>
  <c r="R159" i="79"/>
  <c r="O139" i="79"/>
  <c r="O1323" i="79"/>
  <c r="O1493" i="79"/>
  <c r="O1730" i="79"/>
  <c r="N1323" i="79"/>
  <c r="N1493" i="79"/>
  <c r="N139" i="79"/>
  <c r="N160" i="79" s="1"/>
  <c r="N1730" i="79"/>
  <c r="N1743" i="79" s="1"/>
  <c r="N1744" i="79" s="1"/>
  <c r="N1745" i="79" s="1"/>
  <c r="S1323" i="79"/>
  <c r="S139" i="79"/>
  <c r="S1493" i="79"/>
  <c r="S1730" i="79"/>
  <c r="S1743" i="79" s="1"/>
  <c r="S1744" i="79" s="1"/>
  <c r="S1745" i="79" s="1"/>
  <c r="S113" i="79"/>
  <c r="S1321" i="79"/>
  <c r="O1321" i="79"/>
  <c r="O113" i="79"/>
  <c r="N113" i="79"/>
  <c r="N1321" i="79"/>
  <c r="U182" i="79"/>
  <c r="C2536" i="79" s="1"/>
  <c r="F24" i="40" s="1"/>
  <c r="I1328" i="79"/>
  <c r="I190" i="79"/>
  <c r="S1328" i="79"/>
  <c r="S190" i="79"/>
  <c r="K1328" i="79"/>
  <c r="K190" i="79"/>
  <c r="L1330" i="79"/>
  <c r="L200" i="79"/>
  <c r="P1330" i="79"/>
  <c r="P200" i="79"/>
  <c r="R1330" i="79"/>
  <c r="R200" i="79"/>
  <c r="U217" i="79"/>
  <c r="C2565" i="79" s="1"/>
  <c r="I1804" i="79"/>
  <c r="U152" i="79"/>
  <c r="C2512" i="79" s="1"/>
  <c r="K1480" i="79"/>
  <c r="K1319" i="79"/>
  <c r="K98" i="79"/>
  <c r="K1694" i="79"/>
  <c r="K1206" i="79"/>
  <c r="K1274" i="79" s="1"/>
  <c r="P1319" i="79"/>
  <c r="P1480" i="79"/>
  <c r="P98" i="79"/>
  <c r="P1694" i="79"/>
  <c r="P1206" i="79"/>
  <c r="P1274" i="79" s="1"/>
  <c r="Q1480" i="79"/>
  <c r="Q98" i="79"/>
  <c r="Q1319" i="79"/>
  <c r="Q1694" i="79"/>
  <c r="Q1206" i="79"/>
  <c r="Q1274" i="79" s="1"/>
  <c r="U177" i="79"/>
  <c r="C2532" i="79" s="1"/>
  <c r="I1770" i="79"/>
  <c r="U193" i="79"/>
  <c r="C2546" i="79" s="1"/>
  <c r="N1331" i="79"/>
  <c r="N221" i="79"/>
  <c r="N242" i="79" s="1"/>
  <c r="N1519" i="79"/>
  <c r="N1802" i="79"/>
  <c r="N1815" i="79" s="1"/>
  <c r="N1816" i="79" s="1"/>
  <c r="P221" i="79"/>
  <c r="P242" i="79" s="1"/>
  <c r="P1331" i="79"/>
  <c r="P1519" i="79"/>
  <c r="P1802" i="79"/>
  <c r="P1815" i="79" s="1"/>
  <c r="P1816" i="79" s="1"/>
  <c r="Q1519" i="79"/>
  <c r="Q1331" i="79"/>
  <c r="Q221" i="79"/>
  <c r="Q242" i="79" s="1"/>
  <c r="Q1802" i="79"/>
  <c r="Q1815" i="79" s="1"/>
  <c r="Q1816" i="79" s="1"/>
  <c r="P456" i="40"/>
  <c r="AC456" i="40" s="1"/>
  <c r="K1324" i="79"/>
  <c r="I1324" i="79"/>
  <c r="U141" i="79"/>
  <c r="C2502" i="79" s="1"/>
  <c r="F22" i="40" s="1"/>
  <c r="L1324" i="79"/>
  <c r="O1320" i="79"/>
  <c r="O108" i="79"/>
  <c r="K108" i="79"/>
  <c r="K1477" i="79" s="1"/>
  <c r="K1320" i="79"/>
  <c r="T108" i="79"/>
  <c r="T1320" i="79"/>
  <c r="M1696" i="79"/>
  <c r="M1208" i="79"/>
  <c r="M1276" i="79" s="1"/>
  <c r="L1696" i="79"/>
  <c r="L1208" i="79"/>
  <c r="L1276" i="79" s="1"/>
  <c r="P1696" i="79"/>
  <c r="P1208" i="79"/>
  <c r="P1276" i="79" s="1"/>
  <c r="U136" i="79"/>
  <c r="C2498" i="79" s="1"/>
  <c r="I1734" i="79"/>
  <c r="O154" i="79"/>
  <c r="O1490" i="79" s="1"/>
  <c r="O1325" i="79"/>
  <c r="M1325" i="79"/>
  <c r="M154" i="79"/>
  <c r="M1490" i="79" s="1"/>
  <c r="K154" i="79"/>
  <c r="K1325" i="79"/>
  <c r="K1322" i="79"/>
  <c r="K118" i="79"/>
  <c r="R1322" i="79"/>
  <c r="R118" i="79"/>
  <c r="N118" i="79"/>
  <c r="N1322" i="79"/>
  <c r="J1698" i="79"/>
  <c r="J1210" i="79"/>
  <c r="J1278" i="79" s="1"/>
  <c r="Q1698" i="79"/>
  <c r="Q1210" i="79"/>
  <c r="Q1278" i="79" s="1"/>
  <c r="T1698" i="79"/>
  <c r="T1210" i="79"/>
  <c r="T1278" i="79" s="1"/>
  <c r="J1329" i="79"/>
  <c r="J195" i="79"/>
  <c r="Q1329" i="79"/>
  <c r="Q195" i="79"/>
  <c r="O1329" i="79"/>
  <c r="O195" i="79"/>
  <c r="S1327" i="79"/>
  <c r="S1506" i="79"/>
  <c r="S180" i="79"/>
  <c r="S1766" i="79"/>
  <c r="U175" i="79"/>
  <c r="C2530" i="79" s="1"/>
  <c r="I1506" i="79"/>
  <c r="I1327" i="79"/>
  <c r="I180" i="79"/>
  <c r="I1766" i="79"/>
  <c r="R180" i="79"/>
  <c r="R1506" i="79"/>
  <c r="R1327" i="79"/>
  <c r="R1766" i="79"/>
  <c r="J1326" i="79"/>
  <c r="J159" i="79"/>
  <c r="O159" i="79"/>
  <c r="O1326" i="79"/>
  <c r="I1326" i="79"/>
  <c r="I159" i="79"/>
  <c r="U156" i="79"/>
  <c r="C2515" i="79" s="1"/>
  <c r="F62" i="40" s="1"/>
  <c r="J1323" i="79"/>
  <c r="J139" i="79"/>
  <c r="J160" i="79" s="1"/>
  <c r="J1493" i="79"/>
  <c r="J1730" i="79"/>
  <c r="I139" i="79"/>
  <c r="U134" i="79"/>
  <c r="C2496" i="79" s="1"/>
  <c r="I1493" i="79"/>
  <c r="I1323" i="79"/>
  <c r="I1730" i="79"/>
  <c r="L1493" i="79"/>
  <c r="L1323" i="79"/>
  <c r="L139" i="79"/>
  <c r="L1730" i="79"/>
  <c r="L1743" i="79" s="1"/>
  <c r="L1744" i="79" s="1"/>
  <c r="L1745" i="79" s="1"/>
  <c r="U116" i="79"/>
  <c r="C2482" i="79" s="1"/>
  <c r="AM419" i="40"/>
  <c r="U110" i="79"/>
  <c r="C2477" i="79" s="1"/>
  <c r="F48" i="40" s="1"/>
  <c r="G48" i="40" s="1"/>
  <c r="F346" i="40" s="1"/>
  <c r="I113" i="79"/>
  <c r="I1321" i="79"/>
  <c r="AM414" i="40"/>
  <c r="P1321" i="79"/>
  <c r="P113" i="79"/>
  <c r="Q113" i="79"/>
  <c r="Q1321" i="79"/>
  <c r="J1328" i="79"/>
  <c r="J190" i="79"/>
  <c r="N1328" i="79"/>
  <c r="N190" i="79"/>
  <c r="R190" i="79"/>
  <c r="R1328" i="79"/>
  <c r="M1330" i="79"/>
  <c r="M200" i="79"/>
  <c r="S1330" i="79"/>
  <c r="S200" i="79"/>
  <c r="Q200" i="79"/>
  <c r="Q1330" i="79"/>
  <c r="AG390" i="40"/>
  <c r="AL390" i="40"/>
  <c r="U111" i="79"/>
  <c r="C2478" i="79" s="1"/>
  <c r="F47" i="40" s="1"/>
  <c r="L1480" i="79"/>
  <c r="L98" i="79"/>
  <c r="L1319" i="79"/>
  <c r="L1694" i="79"/>
  <c r="L1206" i="79"/>
  <c r="L1274" i="79" s="1"/>
  <c r="R1480" i="79"/>
  <c r="R98" i="79"/>
  <c r="R1319" i="79"/>
  <c r="R1694" i="79"/>
  <c r="R1206" i="79"/>
  <c r="R1274" i="79" s="1"/>
  <c r="J98" i="79"/>
  <c r="J1480" i="79"/>
  <c r="J1694" i="79"/>
  <c r="J1206" i="79"/>
  <c r="J1274" i="79" s="1"/>
  <c r="M221" i="79"/>
  <c r="M242" i="79" s="1"/>
  <c r="M1519" i="79"/>
  <c r="M1331" i="79"/>
  <c r="M1802" i="79"/>
  <c r="M1815" i="79" s="1"/>
  <c r="M1816" i="79" s="1"/>
  <c r="O221" i="79"/>
  <c r="O242" i="79" s="1"/>
  <c r="O1519" i="79"/>
  <c r="O1331" i="79"/>
  <c r="O1802" i="79"/>
  <c r="O1815" i="79" s="1"/>
  <c r="O1816" i="79" s="1"/>
  <c r="I1331" i="79"/>
  <c r="I221" i="79"/>
  <c r="I242" i="79" s="1"/>
  <c r="I1519" i="79"/>
  <c r="U216" i="79"/>
  <c r="C2564" i="79" s="1"/>
  <c r="I1802" i="79"/>
  <c r="S159" i="79"/>
  <c r="O1324" i="79"/>
  <c r="M108" i="79"/>
  <c r="M1320" i="79"/>
  <c r="I1320" i="79"/>
  <c r="U100" i="79"/>
  <c r="C2468" i="79" s="1"/>
  <c r="F18" i="40" s="1"/>
  <c r="I108" i="79"/>
  <c r="P108" i="79"/>
  <c r="P1320" i="79"/>
  <c r="U94" i="79"/>
  <c r="C2463" i="79" s="1"/>
  <c r="I1696" i="79"/>
  <c r="I1208" i="79"/>
  <c r="I1276" i="79" s="1"/>
  <c r="R1696" i="79"/>
  <c r="R1208" i="79"/>
  <c r="R1276" i="79" s="1"/>
  <c r="S1696" i="79"/>
  <c r="S1208" i="79"/>
  <c r="S1276" i="79" s="1"/>
  <c r="F64" i="40"/>
  <c r="E357" i="40" s="1"/>
  <c r="F60" i="40"/>
  <c r="F15" i="40"/>
  <c r="E318" i="40" s="1"/>
  <c r="F10" i="40"/>
  <c r="D447" i="40"/>
  <c r="AL1671" i="79"/>
  <c r="AL1672" i="79" s="1"/>
  <c r="AL1673" i="79" s="1"/>
  <c r="AO1707" i="79"/>
  <c r="AO1708" i="79" s="1"/>
  <c r="AO1709" i="79" s="1"/>
  <c r="AQ1477" i="79"/>
  <c r="AQ1479" i="79" s="1"/>
  <c r="AI1477" i="79"/>
  <c r="AI1479" i="79" s="1"/>
  <c r="AI1707" i="79"/>
  <c r="AI1708" i="79" s="1"/>
  <c r="AI1709" i="79" s="1"/>
  <c r="AF1477" i="79"/>
  <c r="AF1478" i="79" s="1"/>
  <c r="AQ160" i="79"/>
  <c r="AQ1490" i="79"/>
  <c r="AQ1492" i="79" s="1"/>
  <c r="AN1743" i="79"/>
  <c r="AN1744" i="79" s="1"/>
  <c r="AN1745" i="79" s="1"/>
  <c r="AM1477" i="79"/>
  <c r="AM1478" i="79" s="1"/>
  <c r="AJ1490" i="79"/>
  <c r="AJ1492" i="79" s="1"/>
  <c r="AJ1464" i="79"/>
  <c r="AJ1465" i="79" s="1"/>
  <c r="AM1707" i="79"/>
  <c r="AM1708" i="79" s="1"/>
  <c r="AM1709" i="79" s="1"/>
  <c r="AN1490" i="79"/>
  <c r="AN1492" i="79" s="1"/>
  <c r="AP1490" i="79"/>
  <c r="AP1492" i="79" s="1"/>
  <c r="AI1671" i="79"/>
  <c r="AI1672" i="79" s="1"/>
  <c r="AI1673" i="79" s="1"/>
  <c r="AG1707" i="79"/>
  <c r="AG1708" i="79" s="1"/>
  <c r="AG1709" i="79" s="1"/>
  <c r="AH1671" i="79"/>
  <c r="AH1672" i="79" s="1"/>
  <c r="AH1673" i="79" s="1"/>
  <c r="AJ119" i="79"/>
  <c r="AL1707" i="79"/>
  <c r="AL1708" i="79" s="1"/>
  <c r="AL1709" i="79" s="1"/>
  <c r="AQ1707" i="79"/>
  <c r="AQ1708" i="79" s="1"/>
  <c r="AQ1709" i="79" s="1"/>
  <c r="AJ78" i="79"/>
  <c r="AK1477" i="79"/>
  <c r="AK1479" i="79" s="1"/>
  <c r="AI1363" i="79"/>
  <c r="AN1307" i="79"/>
  <c r="AN1308" i="79" s="1"/>
  <c r="AM78" i="79"/>
  <c r="AO1477" i="79"/>
  <c r="AO1479" i="79" s="1"/>
  <c r="AH1707" i="79"/>
  <c r="AH1708" i="79" s="1"/>
  <c r="AH1709" i="79" s="1"/>
  <c r="AN78" i="79"/>
  <c r="AI1464" i="79"/>
  <c r="AI1465" i="79" s="1"/>
  <c r="AP1464" i="79"/>
  <c r="AP1465" i="79" s="1"/>
  <c r="Q333" i="73"/>
  <c r="P554" i="73"/>
  <c r="P555" i="73" s="1"/>
  <c r="G507" i="40"/>
  <c r="T507" i="40" s="1"/>
  <c r="AG507" i="40" s="1"/>
  <c r="G484" i="40"/>
  <c r="T484" i="40" s="1"/>
  <c r="AG484" i="40" s="1"/>
  <c r="AF460" i="40"/>
  <c r="G460" i="40"/>
  <c r="T460" i="40" s="1"/>
  <c r="AG460" i="40" s="1"/>
  <c r="I495" i="40"/>
  <c r="V495" i="40" s="1"/>
  <c r="AI495" i="40" s="1"/>
  <c r="F503" i="40"/>
  <c r="S503" i="40" s="1"/>
  <c r="AF503" i="40" s="1"/>
  <c r="I493" i="40"/>
  <c r="V493" i="40" s="1"/>
  <c r="AI493" i="40" s="1"/>
  <c r="F474" i="40"/>
  <c r="S474" i="40" s="1"/>
  <c r="AF474" i="40" s="1"/>
  <c r="J449" i="40"/>
  <c r="W449" i="40" s="1"/>
  <c r="AJ449" i="40" s="1"/>
  <c r="F469" i="40"/>
  <c r="S469" i="40" s="1"/>
  <c r="AF469" i="40" s="1"/>
  <c r="AI454" i="40"/>
  <c r="J454" i="40"/>
  <c r="W454" i="40" s="1"/>
  <c r="AJ454" i="40" s="1"/>
  <c r="AF505" i="40"/>
  <c r="G505" i="40"/>
  <c r="T505" i="40" s="1"/>
  <c r="AG505" i="40" s="1"/>
  <c r="F475" i="40"/>
  <c r="S475" i="40" s="1"/>
  <c r="AF475" i="40" s="1"/>
  <c r="G450" i="40"/>
  <c r="T450" i="40" s="1"/>
  <c r="AG450" i="40" s="1"/>
  <c r="F500" i="40"/>
  <c r="S500" i="40" s="1"/>
  <c r="AF500" i="40" s="1"/>
  <c r="G457" i="40"/>
  <c r="T457" i="40" s="1"/>
  <c r="AG457" i="40" s="1"/>
  <c r="H504" i="40"/>
  <c r="U504" i="40" s="1"/>
  <c r="AH504" i="40" s="1"/>
  <c r="H494" i="40"/>
  <c r="U494" i="40" s="1"/>
  <c r="AH494" i="40" s="1"/>
  <c r="F468" i="40"/>
  <c r="S468" i="40" s="1"/>
  <c r="AF468" i="40" s="1"/>
  <c r="G483" i="40"/>
  <c r="T483" i="40" s="1"/>
  <c r="AG483" i="40" s="1"/>
  <c r="G506" i="40"/>
  <c r="T506" i="40" s="1"/>
  <c r="AG506" i="40" s="1"/>
  <c r="F470" i="40"/>
  <c r="S470" i="40" s="1"/>
  <c r="AF470" i="40" s="1"/>
  <c r="G477" i="40"/>
  <c r="T477" i="40" s="1"/>
  <c r="AG477" i="40" s="1"/>
  <c r="G476" i="40"/>
  <c r="T476" i="40" s="1"/>
  <c r="AG476" i="40" s="1"/>
  <c r="G453" i="40"/>
  <c r="T453" i="40" s="1"/>
  <c r="AG453" i="40" s="1"/>
  <c r="I451" i="40"/>
  <c r="V451" i="40" s="1"/>
  <c r="AI451" i="40" s="1"/>
  <c r="S462" i="40"/>
  <c r="AF462" i="40" s="1"/>
  <c r="G471" i="40"/>
  <c r="G473" i="40"/>
  <c r="H501" i="40"/>
  <c r="F465" i="40"/>
  <c r="F496" i="40"/>
  <c r="F497" i="40"/>
  <c r="F499" i="40"/>
  <c r="G463" i="40"/>
  <c r="U492" i="40"/>
  <c r="AH492" i="40" s="1"/>
  <c r="F502" i="40"/>
  <c r="S458" i="40"/>
  <c r="AF458" i="40" s="1"/>
  <c r="T464" i="40"/>
  <c r="AG464" i="40" s="1"/>
  <c r="G466" i="40"/>
  <c r="F472" i="40"/>
  <c r="G467" i="40"/>
  <c r="S498" i="40"/>
  <c r="AF498" i="40" s="1"/>
  <c r="AB695" i="64"/>
  <c r="AB837" i="64"/>
  <c r="AB766" i="64"/>
  <c r="Z766" i="64"/>
  <c r="Z695" i="64"/>
  <c r="Z837" i="64"/>
  <c r="T695" i="64"/>
  <c r="T766" i="64"/>
  <c r="T837" i="64"/>
  <c r="BE35" i="65"/>
  <c r="BE36" i="65" s="1"/>
  <c r="BQ34" i="65"/>
  <c r="BJ34" i="65"/>
  <c r="BN34" i="65"/>
  <c r="BO34" i="65"/>
  <c r="BR34" i="65"/>
  <c r="BL34" i="65"/>
  <c r="BI34" i="65"/>
  <c r="BM34" i="65"/>
  <c r="BK34" i="65"/>
  <c r="BP34" i="65"/>
  <c r="BG34" i="65"/>
  <c r="BH34" i="65"/>
  <c r="AU765" i="64"/>
  <c r="AH765" i="64"/>
  <c r="AW694" i="64"/>
  <c r="AJ694" i="64"/>
  <c r="BD694" i="64"/>
  <c r="AQ694" i="64"/>
  <c r="AI836" i="64"/>
  <c r="AV836" i="64"/>
  <c r="AF836" i="64"/>
  <c r="AS836" i="64"/>
  <c r="AG694" i="64"/>
  <c r="AT694" i="64"/>
  <c r="AZ694" i="64"/>
  <c r="AM694" i="64"/>
  <c r="AY765" i="64"/>
  <c r="AL765" i="64"/>
  <c r="AX694" i="64"/>
  <c r="AK694" i="64"/>
  <c r="S695" i="64"/>
  <c r="S766" i="64"/>
  <c r="S837" i="64"/>
  <c r="AD766" i="64"/>
  <c r="AD837" i="64"/>
  <c r="AD695" i="64"/>
  <c r="V695" i="64"/>
  <c r="V837" i="64"/>
  <c r="V766" i="64"/>
  <c r="AO694" i="64"/>
  <c r="BB694" i="64"/>
  <c r="AU694" i="64"/>
  <c r="AH694" i="64"/>
  <c r="AW765" i="64"/>
  <c r="AJ765" i="64"/>
  <c r="BA836" i="64"/>
  <c r="AN836" i="64"/>
  <c r="AI765" i="64"/>
  <c r="AV765" i="64"/>
  <c r="AF765" i="64"/>
  <c r="AS765" i="64"/>
  <c r="AG765" i="64"/>
  <c r="AT765" i="64"/>
  <c r="AP836" i="64"/>
  <c r="BC836" i="64"/>
  <c r="AL836" i="64"/>
  <c r="AY836" i="64"/>
  <c r="AK765" i="64"/>
  <c r="AX765" i="64"/>
  <c r="X766" i="64"/>
  <c r="X837" i="64"/>
  <c r="X695" i="64"/>
  <c r="U695" i="64"/>
  <c r="U766" i="64"/>
  <c r="U837" i="64"/>
  <c r="Y695" i="64"/>
  <c r="Y837" i="64"/>
  <c r="Y766" i="64"/>
  <c r="AO836" i="64"/>
  <c r="BB836" i="64"/>
  <c r="AH836" i="64"/>
  <c r="AU836" i="64"/>
  <c r="AQ765" i="64"/>
  <c r="BD765" i="64"/>
  <c r="BA694" i="64"/>
  <c r="AN694" i="64"/>
  <c r="AI694" i="64"/>
  <c r="AV694" i="64"/>
  <c r="BS44" i="65"/>
  <c r="CC43" i="65"/>
  <c r="CA43" i="65"/>
  <c r="CD43" i="65"/>
  <c r="CE43" i="65"/>
  <c r="BX43" i="65"/>
  <c r="BY43" i="65"/>
  <c r="BW43" i="65"/>
  <c r="CB43" i="65"/>
  <c r="CF43" i="65"/>
  <c r="BU43" i="65"/>
  <c r="BZ43" i="65"/>
  <c r="BV43" i="65"/>
  <c r="AS694" i="64"/>
  <c r="AF694" i="64"/>
  <c r="AM836" i="64"/>
  <c r="AZ836" i="64"/>
  <c r="AP694" i="64"/>
  <c r="BC694" i="64"/>
  <c r="AL694" i="64"/>
  <c r="AY694" i="64"/>
  <c r="W766" i="64"/>
  <c r="W695" i="64"/>
  <c r="W837" i="64"/>
  <c r="AC695" i="64"/>
  <c r="AC766" i="64"/>
  <c r="AC837" i="64"/>
  <c r="AA695" i="64"/>
  <c r="AA766" i="64"/>
  <c r="AA837" i="64"/>
  <c r="BB765" i="64"/>
  <c r="AO765" i="64"/>
  <c r="AJ836" i="64"/>
  <c r="AW836" i="64"/>
  <c r="BD836" i="64"/>
  <c r="AQ836" i="64"/>
  <c r="BA765" i="64"/>
  <c r="AN765" i="64"/>
  <c r="AT836" i="64"/>
  <c r="AG836" i="64"/>
  <c r="AM765" i="64"/>
  <c r="AZ765" i="64"/>
  <c r="CG44" i="65"/>
  <c r="CM43" i="65"/>
  <c r="CK43" i="65"/>
  <c r="CO43" i="65"/>
  <c r="CS43" i="65"/>
  <c r="CP43" i="65"/>
  <c r="CJ43" i="65"/>
  <c r="CI43" i="65"/>
  <c r="CL43" i="65"/>
  <c r="CT43" i="65"/>
  <c r="CQ43" i="65"/>
  <c r="CN43" i="65"/>
  <c r="CR43" i="65"/>
  <c r="BC765" i="64"/>
  <c r="AP765" i="64"/>
  <c r="AK836" i="64"/>
  <c r="AX836" i="64"/>
  <c r="AF1464" i="79"/>
  <c r="AF1466" i="79" s="1"/>
  <c r="AH119" i="79"/>
  <c r="AK1490" i="79"/>
  <c r="AK1491" i="79" s="1"/>
  <c r="AN1671" i="79"/>
  <c r="AN1672" i="79" s="1"/>
  <c r="AN1673" i="79" s="1"/>
  <c r="AG78" i="79"/>
  <c r="AL78" i="79"/>
  <c r="O557" i="73"/>
  <c r="O570" i="73" s="1"/>
  <c r="O229" i="85"/>
  <c r="O203" i="85"/>
  <c r="O205" i="85" s="1"/>
  <c r="Q78" i="85"/>
  <c r="Q81" i="85" s="1"/>
  <c r="Q35" i="85"/>
  <c r="P52" i="85"/>
  <c r="P212" i="85"/>
  <c r="P210" i="85"/>
  <c r="Q36" i="85"/>
  <c r="P55" i="85"/>
  <c r="R255" i="73"/>
  <c r="D630" i="73" s="1"/>
  <c r="Q240" i="73"/>
  <c r="Q257" i="73" s="1"/>
  <c r="P258" i="73"/>
  <c r="W478" i="73"/>
  <c r="X478" i="73" s="1"/>
  <c r="R478" i="73"/>
  <c r="Q203" i="73"/>
  <c r="R203" i="73" s="1"/>
  <c r="Q201" i="73"/>
  <c r="Q345" i="73"/>
  <c r="R232" i="73"/>
  <c r="Q460" i="73"/>
  <c r="AN160" i="79"/>
  <c r="AG1464" i="79"/>
  <c r="AG1465" i="79" s="1"/>
  <c r="AF1707" i="79"/>
  <c r="AF1708" i="79" s="1"/>
  <c r="AF1709" i="79" s="1"/>
  <c r="AQ119" i="79"/>
  <c r="AK1464" i="79"/>
  <c r="AK1466" i="79" s="1"/>
  <c r="AO1464" i="79"/>
  <c r="AO1465" i="79" s="1"/>
  <c r="AQ78" i="79"/>
  <c r="AG1477" i="79"/>
  <c r="AG1479" i="79" s="1"/>
  <c r="AM1490" i="79"/>
  <c r="AM1492" i="79" s="1"/>
  <c r="AL160" i="79"/>
  <c r="AO78" i="79"/>
  <c r="AH160" i="79"/>
  <c r="AP119" i="79"/>
  <c r="AO160" i="79"/>
  <c r="AK78" i="79"/>
  <c r="AG160" i="79"/>
  <c r="AJ1477" i="79"/>
  <c r="AJ1478" i="79" s="1"/>
  <c r="AP78" i="79"/>
  <c r="AI160" i="79"/>
  <c r="AN1464" i="79"/>
  <c r="AN1465" i="79" s="1"/>
  <c r="AH1464" i="79"/>
  <c r="AH1466" i="79" s="1"/>
  <c r="AL119" i="79"/>
  <c r="AJ160" i="79"/>
  <c r="AN119" i="79"/>
  <c r="AP160" i="79"/>
  <c r="AL1464" i="79"/>
  <c r="AL1466" i="79" s="1"/>
  <c r="AK119" i="79"/>
  <c r="AI1490" i="79"/>
  <c r="AI1492" i="79" s="1"/>
  <c r="AQ1557" i="79"/>
  <c r="AQ1560" i="79"/>
  <c r="T1596" i="79"/>
  <c r="T1599" i="79"/>
  <c r="AQ1559" i="79"/>
  <c r="AQ1556" i="79"/>
  <c r="AO1468" i="79"/>
  <c r="AO1469" i="79"/>
  <c r="AG1469" i="79"/>
  <c r="AG1468" i="79"/>
  <c r="AP1481" i="79"/>
  <c r="AP1482" i="79"/>
  <c r="AJ1481" i="79"/>
  <c r="AJ1482" i="79"/>
  <c r="AQ1494" i="79"/>
  <c r="AQ1495" i="79"/>
  <c r="AI78" i="79"/>
  <c r="AP1469" i="79"/>
  <c r="AP1468" i="79"/>
  <c r="AH1363" i="79"/>
  <c r="P486" i="40"/>
  <c r="AC486" i="40" s="1"/>
  <c r="AQ1481" i="79"/>
  <c r="AQ1482" i="79"/>
  <c r="G1426" i="79"/>
  <c r="AF1482" i="79"/>
  <c r="AF1481" i="79"/>
  <c r="AR98" i="79"/>
  <c r="C2871" i="79" s="1"/>
  <c r="AH1490" i="79"/>
  <c r="AR77" i="79"/>
  <c r="C2854" i="79" s="1"/>
  <c r="T1557" i="79"/>
  <c r="T1560" i="79"/>
  <c r="AJ1468" i="79"/>
  <c r="AJ1469" i="79"/>
  <c r="P478" i="40"/>
  <c r="AC478" i="40" s="1"/>
  <c r="AM1743" i="79"/>
  <c r="T1609" i="79"/>
  <c r="T1612" i="79"/>
  <c r="AR67" i="79"/>
  <c r="C2846" i="79" s="1"/>
  <c r="AQ1583" i="79"/>
  <c r="AQ1586" i="79"/>
  <c r="AH1482" i="79"/>
  <c r="AH1481" i="79"/>
  <c r="AR118" i="79"/>
  <c r="C2888" i="79" s="1"/>
  <c r="AI1481" i="79"/>
  <c r="AI1482" i="79"/>
  <c r="AP1477" i="79"/>
  <c r="T1585" i="79"/>
  <c r="T1582" i="79"/>
  <c r="AR57" i="79"/>
  <c r="C2837" i="79" s="1"/>
  <c r="AH1743" i="79"/>
  <c r="AH1744" i="79" s="1"/>
  <c r="AH1745" i="79" s="1"/>
  <c r="AO1363" i="79"/>
  <c r="P452" i="40"/>
  <c r="AC452" i="40" s="1"/>
  <c r="AF1494" i="79"/>
  <c r="G1427" i="79"/>
  <c r="AF1495" i="79"/>
  <c r="AH1494" i="79"/>
  <c r="AH1495" i="79"/>
  <c r="AN1469" i="79"/>
  <c r="AN1468" i="79"/>
  <c r="AH1468" i="79"/>
  <c r="AH1469" i="79"/>
  <c r="G59" i="40"/>
  <c r="F352" i="40" s="1"/>
  <c r="E352" i="40"/>
  <c r="AM1481" i="79"/>
  <c r="AM1482" i="79"/>
  <c r="AO119" i="79"/>
  <c r="T1533" i="79"/>
  <c r="T1530" i="79"/>
  <c r="AK1495" i="79"/>
  <c r="AK1494" i="79"/>
  <c r="AM1494" i="79"/>
  <c r="AM1495" i="79"/>
  <c r="AQ1671" i="79"/>
  <c r="AQ1672" i="79" s="1"/>
  <c r="AQ1673" i="79" s="1"/>
  <c r="AR113" i="79"/>
  <c r="C2884" i="79" s="1"/>
  <c r="P448" i="40"/>
  <c r="AC448" i="40" s="1"/>
  <c r="AQ1572" i="79"/>
  <c r="AQ1569" i="79"/>
  <c r="AO1482" i="79"/>
  <c r="AO1481" i="79"/>
  <c r="T1572" i="79"/>
  <c r="T1569" i="79"/>
  <c r="AL1477" i="79"/>
  <c r="AN1707" i="79"/>
  <c r="AN1708" i="79" s="1"/>
  <c r="AN1709" i="79" s="1"/>
  <c r="T1583" i="79"/>
  <c r="T1586" i="79"/>
  <c r="AG1363" i="79"/>
  <c r="AG1671" i="79"/>
  <c r="AG1672" i="79" s="1"/>
  <c r="AG1673" i="79" s="1"/>
  <c r="AF1671" i="79"/>
  <c r="AF1672" i="79" s="1"/>
  <c r="AF1673" i="79" s="1"/>
  <c r="AO1671" i="79"/>
  <c r="AO1672" i="79" s="1"/>
  <c r="AO1673" i="79" s="1"/>
  <c r="G1425" i="79"/>
  <c r="AF1469" i="79"/>
  <c r="AF1468" i="79"/>
  <c r="AF1363" i="79"/>
  <c r="AL1469" i="79"/>
  <c r="AL1468" i="79"/>
  <c r="AO1743" i="79"/>
  <c r="AO1744" i="79" s="1"/>
  <c r="AO1745" i="79" s="1"/>
  <c r="AL1743" i="79"/>
  <c r="AL1744" i="79" s="1"/>
  <c r="AL1745" i="79" s="1"/>
  <c r="P491" i="40"/>
  <c r="AC491" i="40" s="1"/>
  <c r="T1598" i="79"/>
  <c r="T1595" i="79"/>
  <c r="AI1495" i="79"/>
  <c r="AI1494" i="79"/>
  <c r="AO1494" i="79"/>
  <c r="AO1495" i="79"/>
  <c r="AK1469" i="79"/>
  <c r="AK1468" i="79"/>
  <c r="AR159" i="79"/>
  <c r="C2922" i="79" s="1"/>
  <c r="AR91" i="79"/>
  <c r="C2865" i="79" s="1"/>
  <c r="AG1490" i="79"/>
  <c r="AR149" i="79"/>
  <c r="C2914" i="79" s="1"/>
  <c r="AF1490" i="79"/>
  <c r="AJ1671" i="79"/>
  <c r="AP1363" i="79"/>
  <c r="AQ1743" i="79"/>
  <c r="AQ1744" i="79" s="1"/>
  <c r="AQ1745" i="79" s="1"/>
  <c r="AR72" i="79"/>
  <c r="C2850" i="79" s="1"/>
  <c r="AM119" i="79"/>
  <c r="AG119" i="79"/>
  <c r="T1531" i="79"/>
  <c r="T1534" i="79"/>
  <c r="AK1671" i="79"/>
  <c r="AK1672" i="79" s="1"/>
  <c r="AK1673" i="79" s="1"/>
  <c r="AI1469" i="79"/>
  <c r="AI1468" i="79"/>
  <c r="AM1464" i="79"/>
  <c r="F11" i="40"/>
  <c r="AQ1573" i="79"/>
  <c r="AQ1570" i="79"/>
  <c r="AL1481" i="79"/>
  <c r="AL1482" i="79"/>
  <c r="AK1481" i="79"/>
  <c r="AK1482" i="79"/>
  <c r="AG1481" i="79"/>
  <c r="AG1482" i="79"/>
  <c r="AR154" i="79"/>
  <c r="C2918" i="79" s="1"/>
  <c r="T1573" i="79"/>
  <c r="T1570" i="79"/>
  <c r="AP1707" i="79"/>
  <c r="AP1708" i="79" s="1"/>
  <c r="AP1709" i="79" s="1"/>
  <c r="AL1490" i="79"/>
  <c r="AL1494" i="79"/>
  <c r="AL1495" i="79"/>
  <c r="AR50" i="79"/>
  <c r="C2831" i="79" s="1"/>
  <c r="AQ1363" i="79"/>
  <c r="AN1478" i="79"/>
  <c r="AP1495" i="79"/>
  <c r="AP1494" i="79"/>
  <c r="AN1481" i="79"/>
  <c r="AN1482" i="79"/>
  <c r="AF119" i="79"/>
  <c r="AR108" i="79"/>
  <c r="C2880" i="79" s="1"/>
  <c r="AH1477" i="79"/>
  <c r="AR139" i="79"/>
  <c r="C2905" i="79" s="1"/>
  <c r="AF160" i="79"/>
  <c r="AQ1464" i="79"/>
  <c r="T1559" i="79"/>
  <c r="T1556" i="79"/>
  <c r="AK160" i="79"/>
  <c r="AJ1495" i="79"/>
  <c r="AJ1494" i="79"/>
  <c r="AP1671" i="79"/>
  <c r="AP1672" i="79" s="1"/>
  <c r="AP1673" i="79" s="1"/>
  <c r="AM1468" i="79"/>
  <c r="AM1469" i="79"/>
  <c r="E344" i="40"/>
  <c r="G46" i="40"/>
  <c r="F344" i="40" s="1"/>
  <c r="AL412" i="40" s="1"/>
  <c r="AP1743" i="79"/>
  <c r="AP1744" i="79" s="1"/>
  <c r="AP1745" i="79" s="1"/>
  <c r="AI1743" i="79"/>
  <c r="AI1744" i="79" s="1"/>
  <c r="AI1745" i="79" s="1"/>
  <c r="T1611" i="79"/>
  <c r="T1608" i="79"/>
  <c r="AQ1585" i="79"/>
  <c r="AQ1582" i="79"/>
  <c r="AI119" i="79"/>
  <c r="AK1707" i="79"/>
  <c r="AK1708" i="79" s="1"/>
  <c r="AK1709" i="79" s="1"/>
  <c r="AN1494" i="79"/>
  <c r="AN1495" i="79"/>
  <c r="AG1494" i="79"/>
  <c r="AG1495" i="79"/>
  <c r="AG1307" i="79"/>
  <c r="AG1308" i="79" s="1"/>
  <c r="AF78" i="79"/>
  <c r="AQ1468" i="79"/>
  <c r="AQ1469" i="79"/>
  <c r="O29" i="85"/>
  <c r="P10" i="85"/>
  <c r="P9" i="85"/>
  <c r="O26" i="85"/>
  <c r="P319" i="77" s="1"/>
  <c r="O320" i="77"/>
  <c r="AN1779" i="79" l="1"/>
  <c r="AN1780" i="79" s="1"/>
  <c r="AN1781" i="79" s="1"/>
  <c r="AJ1363" i="79"/>
  <c r="AJ1779" i="79"/>
  <c r="AJ1780" i="79" s="1"/>
  <c r="AJ1781" i="79" s="1"/>
  <c r="AQ1779" i="79"/>
  <c r="AQ1780" i="79" s="1"/>
  <c r="AQ1781" i="79" s="1"/>
  <c r="AP1779" i="79"/>
  <c r="AP1780" i="79" s="1"/>
  <c r="AP1781" i="79" s="1"/>
  <c r="AL1363" i="79"/>
  <c r="AG1779" i="79"/>
  <c r="AG1780" i="79" s="1"/>
  <c r="AG1781" i="79" s="1"/>
  <c r="AF1779" i="79"/>
  <c r="AF1780" i="79" s="1"/>
  <c r="AF1781" i="79" s="1"/>
  <c r="AH1779" i="79"/>
  <c r="AH1780" i="79" s="1"/>
  <c r="AH1781" i="79" s="1"/>
  <c r="AK1779" i="79"/>
  <c r="AK1780" i="79" s="1"/>
  <c r="AK1781" i="79" s="1"/>
  <c r="AO1779" i="79"/>
  <c r="AO1780" i="79" s="1"/>
  <c r="AO1781" i="79" s="1"/>
  <c r="AM1779" i="79"/>
  <c r="AM1780" i="79" s="1"/>
  <c r="AM1781" i="79" s="1"/>
  <c r="AI1779" i="79"/>
  <c r="AI1780" i="79" s="1"/>
  <c r="AI1781" i="79" s="1"/>
  <c r="AL1779" i="79"/>
  <c r="AL1780" i="79" s="1"/>
  <c r="AL1781" i="79" s="1"/>
  <c r="P1779" i="79"/>
  <c r="P1780" i="79" s="1"/>
  <c r="P1781" i="79" s="1"/>
  <c r="O1743" i="79"/>
  <c r="O1744" i="79" s="1"/>
  <c r="O1745" i="79" s="1"/>
  <c r="AN416" i="40"/>
  <c r="AO1492" i="79"/>
  <c r="J1466" i="79"/>
  <c r="AR132" i="79"/>
  <c r="C2899" i="79" s="1"/>
  <c r="M1477" i="79"/>
  <c r="M1478" i="79" s="1"/>
  <c r="AK1363" i="79"/>
  <c r="AM1363" i="79"/>
  <c r="AF1503" i="79"/>
  <c r="AF1504" i="79" s="1"/>
  <c r="AN1363" i="79"/>
  <c r="J1779" i="79"/>
  <c r="J1780" i="79" s="1"/>
  <c r="J1781" i="79" s="1"/>
  <c r="O1779" i="79"/>
  <c r="O1780" i="79" s="1"/>
  <c r="O1781" i="79" s="1"/>
  <c r="AI201" i="79"/>
  <c r="J1743" i="79"/>
  <c r="J1744" i="79" s="1"/>
  <c r="J1745" i="79" s="1"/>
  <c r="K1779" i="79"/>
  <c r="K1780" i="79" s="1"/>
  <c r="K1781" i="79" s="1"/>
  <c r="L1465" i="79"/>
  <c r="F58" i="40"/>
  <c r="E351" i="40" s="1"/>
  <c r="AI1503" i="79"/>
  <c r="AI1504" i="79" s="1"/>
  <c r="AL1503" i="79"/>
  <c r="AL1505" i="79" s="1"/>
  <c r="AJ416" i="40"/>
  <c r="AJ1503" i="79"/>
  <c r="AJ1505" i="79" s="1"/>
  <c r="AN1503" i="79"/>
  <c r="AN1505" i="79" s="1"/>
  <c r="AP1503" i="79"/>
  <c r="AP1505" i="79" s="1"/>
  <c r="E133" i="8"/>
  <c r="AM201" i="79"/>
  <c r="AM1364" i="79" s="1"/>
  <c r="M133" i="8"/>
  <c r="H133" i="8"/>
  <c r="P557" i="73"/>
  <c r="P570" i="73" s="1"/>
  <c r="AJ201" i="79"/>
  <c r="AJ1364" i="79" s="1"/>
  <c r="L133" i="8"/>
  <c r="AO201" i="79"/>
  <c r="AO1364" i="79" s="1"/>
  <c r="AH201" i="79"/>
  <c r="AH1364" i="79" s="1"/>
  <c r="I1378" i="79"/>
  <c r="AK1503" i="79"/>
  <c r="AK1504" i="79" s="1"/>
  <c r="AN201" i="79"/>
  <c r="AQ201" i="79"/>
  <c r="AQ1364" i="79" s="1"/>
  <c r="AG201" i="79"/>
  <c r="AG1364" i="79" s="1"/>
  <c r="I133" i="8"/>
  <c r="AG1503" i="79"/>
  <c r="AG1504" i="79" s="1"/>
  <c r="J133" i="8"/>
  <c r="AK201" i="79"/>
  <c r="AK1364" i="79" s="1"/>
  <c r="G133" i="8"/>
  <c r="AL201" i="79"/>
  <c r="AP201" i="79"/>
  <c r="D133" i="8"/>
  <c r="P129" i="8"/>
  <c r="K133" i="8"/>
  <c r="O133" i="8"/>
  <c r="N133" i="8"/>
  <c r="P131" i="8"/>
  <c r="AH1504" i="79"/>
  <c r="AH1505" i="79"/>
  <c r="P130" i="8"/>
  <c r="F133" i="8"/>
  <c r="AQ1503" i="79"/>
  <c r="AR173" i="79"/>
  <c r="C2933" i="79" s="1"/>
  <c r="AJ1508" i="79"/>
  <c r="AJ1618" i="79" s="1"/>
  <c r="AJ1507" i="79"/>
  <c r="AG1507" i="79"/>
  <c r="AG1617" i="79" s="1"/>
  <c r="AG1508" i="79"/>
  <c r="AO1508" i="79"/>
  <c r="AO1507" i="79"/>
  <c r="AO1617" i="79" s="1"/>
  <c r="AR195" i="79"/>
  <c r="C2952" i="79" s="1"/>
  <c r="AL1508" i="79"/>
  <c r="AL1618" i="79" s="1"/>
  <c r="AL1507" i="79"/>
  <c r="AL1617" i="79" s="1"/>
  <c r="AR190" i="79"/>
  <c r="C2948" i="79" s="1"/>
  <c r="AR200" i="79"/>
  <c r="C2956" i="79" s="1"/>
  <c r="AK1508" i="79"/>
  <c r="AK1507" i="79"/>
  <c r="AR180" i="79"/>
  <c r="C2939" i="79" s="1"/>
  <c r="AQ1508" i="79"/>
  <c r="AQ1507" i="79"/>
  <c r="AQ1617" i="79" s="1"/>
  <c r="AH1507" i="79"/>
  <c r="AH1617" i="79" s="1"/>
  <c r="AH1508" i="79"/>
  <c r="AO1503" i="79"/>
  <c r="G1428" i="79"/>
  <c r="AF1508" i="79"/>
  <c r="AF1507" i="79"/>
  <c r="AP1508" i="79"/>
  <c r="AP1618" i="79" s="1"/>
  <c r="AP1507" i="79"/>
  <c r="AP1617" i="79" s="1"/>
  <c r="AF201" i="79"/>
  <c r="AF1364" i="79" s="1"/>
  <c r="Q82" i="85"/>
  <c r="P187" i="85"/>
  <c r="Q187" i="85" s="1"/>
  <c r="AN1507" i="79"/>
  <c r="AN1508" i="79"/>
  <c r="AM1503" i="79"/>
  <c r="C2927" i="79"/>
  <c r="C2928" i="79"/>
  <c r="AM1507" i="79"/>
  <c r="AM1617" i="79" s="1"/>
  <c r="AM1508" i="79"/>
  <c r="AI1507" i="79"/>
  <c r="AI1617" i="79" s="1"/>
  <c r="AI1508" i="79"/>
  <c r="AI1618" i="79" s="1"/>
  <c r="D481" i="40"/>
  <c r="E347" i="40"/>
  <c r="G49" i="40"/>
  <c r="F347" i="40" s="1"/>
  <c r="AO1307" i="79"/>
  <c r="AO1308" i="79" s="1"/>
  <c r="AK1307" i="79"/>
  <c r="AK1308" i="79" s="1"/>
  <c r="AL1307" i="79"/>
  <c r="AL1308" i="79" s="1"/>
  <c r="R1503" i="79"/>
  <c r="R1504" i="79" s="1"/>
  <c r="L1779" i="79"/>
  <c r="L1780" i="79" s="1"/>
  <c r="L1781" i="79" s="1"/>
  <c r="U78" i="79"/>
  <c r="D1413" i="79" s="1"/>
  <c r="I1413" i="79" s="1"/>
  <c r="AH1307" i="79"/>
  <c r="AH1308" i="79" s="1"/>
  <c r="AP1307" i="79"/>
  <c r="AP1308" i="79" s="1"/>
  <c r="AM1307" i="79"/>
  <c r="AM1308" i="79" s="1"/>
  <c r="AQ1307" i="79"/>
  <c r="AQ1308" i="79" s="1"/>
  <c r="AF1743" i="79"/>
  <c r="AF1744" i="79" s="1"/>
  <c r="AF1745" i="79" s="1"/>
  <c r="AJ1307" i="79"/>
  <c r="AJ1308" i="79" s="1"/>
  <c r="U132" i="79"/>
  <c r="C2495" i="79" s="1"/>
  <c r="U91" i="79"/>
  <c r="C2461" i="79" s="1"/>
  <c r="Q1779" i="79"/>
  <c r="Q1780" i="79" s="1"/>
  <c r="Q1781" i="79" s="1"/>
  <c r="S1779" i="79"/>
  <c r="S1780" i="79" s="1"/>
  <c r="S1781" i="79" s="1"/>
  <c r="T1779" i="79"/>
  <c r="T1780" i="79" s="1"/>
  <c r="T1781" i="79" s="1"/>
  <c r="N1465" i="79"/>
  <c r="M1779" i="79"/>
  <c r="M1780" i="79" s="1"/>
  <c r="M1781" i="79" s="1"/>
  <c r="K1466" i="79"/>
  <c r="U173" i="79"/>
  <c r="C2529" i="79" s="1"/>
  <c r="P1380" i="79"/>
  <c r="K124" i="8" s="1"/>
  <c r="I1503" i="79"/>
  <c r="I1504" i="79" s="1"/>
  <c r="M1379" i="79"/>
  <c r="H123" i="8" s="1"/>
  <c r="J119" i="79"/>
  <c r="Q160" i="79"/>
  <c r="R1466" i="79"/>
  <c r="S160" i="79"/>
  <c r="L201" i="79"/>
  <c r="N1381" i="79"/>
  <c r="I125" i="8" s="1"/>
  <c r="N201" i="79"/>
  <c r="L119" i="79"/>
  <c r="P1466" i="79"/>
  <c r="P1465" i="79"/>
  <c r="M273" i="77"/>
  <c r="AC446" i="40"/>
  <c r="D446" i="40"/>
  <c r="Q446" i="40" s="1"/>
  <c r="AD446" i="40" s="1"/>
  <c r="R1779" i="79"/>
  <c r="R1780" i="79" s="1"/>
  <c r="R1781" i="79" s="1"/>
  <c r="G9" i="40"/>
  <c r="F312" i="40" s="1"/>
  <c r="AL380" i="40" s="1"/>
  <c r="E487" i="40"/>
  <c r="R487" i="40" s="1"/>
  <c r="AE487" i="40" s="1"/>
  <c r="R119" i="79"/>
  <c r="K1503" i="79"/>
  <c r="K1504" i="79" s="1"/>
  <c r="J1477" i="79"/>
  <c r="R160" i="79"/>
  <c r="P160" i="79"/>
  <c r="I160" i="79"/>
  <c r="M254" i="77"/>
  <c r="M255" i="77" s="1"/>
  <c r="M465" i="73"/>
  <c r="M467" i="73" s="1"/>
  <c r="T1379" i="79"/>
  <c r="O123" i="8" s="1"/>
  <c r="P1503" i="79"/>
  <c r="P1505" i="79" s="1"/>
  <c r="Q1380" i="79"/>
  <c r="L124" i="8" s="1"/>
  <c r="J1707" i="79"/>
  <c r="J1708" i="79" s="1"/>
  <c r="J1709" i="79" s="1"/>
  <c r="AK1478" i="79"/>
  <c r="O1503" i="79"/>
  <c r="O1505" i="79" s="1"/>
  <c r="K1707" i="79"/>
  <c r="K1708" i="79" s="1"/>
  <c r="K1709" i="79" s="1"/>
  <c r="AQ1478" i="79"/>
  <c r="T1477" i="79"/>
  <c r="T1478" i="79" s="1"/>
  <c r="J1503" i="79"/>
  <c r="J1504" i="79" s="1"/>
  <c r="N1380" i="79"/>
  <c r="I124" i="8" s="1"/>
  <c r="S1503" i="79"/>
  <c r="S1505" i="79" s="1"/>
  <c r="T1494" i="79"/>
  <c r="Q201" i="79"/>
  <c r="R1477" i="79"/>
  <c r="R1478" i="79" s="1"/>
  <c r="P1379" i="79"/>
  <c r="K123" i="8" s="1"/>
  <c r="L160" i="79"/>
  <c r="K160" i="79"/>
  <c r="I201" i="79"/>
  <c r="S1380" i="79"/>
  <c r="N124" i="8" s="1"/>
  <c r="Q1379" i="79"/>
  <c r="L123" i="8" s="1"/>
  <c r="O1477" i="79"/>
  <c r="O1479" i="79" s="1"/>
  <c r="O204" i="73"/>
  <c r="P186" i="73" s="1"/>
  <c r="N205" i="73"/>
  <c r="N459" i="73" s="1"/>
  <c r="N463" i="73" s="1"/>
  <c r="Q348" i="73"/>
  <c r="Q349" i="73" s="1"/>
  <c r="AF1479" i="79"/>
  <c r="I1743" i="79"/>
  <c r="I1744" i="79" s="1"/>
  <c r="I1745" i="79" s="1"/>
  <c r="I1815" i="79"/>
  <c r="I1816" i="79" s="1"/>
  <c r="G64" i="40"/>
  <c r="F357" i="40" s="1"/>
  <c r="AG425" i="40" s="1"/>
  <c r="P1477" i="79"/>
  <c r="P1479" i="79" s="1"/>
  <c r="I1379" i="79"/>
  <c r="D123" i="8" s="1"/>
  <c r="S201" i="79"/>
  <c r="AQ1491" i="79"/>
  <c r="Q1477" i="79"/>
  <c r="Q1478" i="79" s="1"/>
  <c r="S1477" i="79"/>
  <c r="S1478" i="79" s="1"/>
  <c r="T1492" i="79"/>
  <c r="T1491" i="79"/>
  <c r="U159" i="79"/>
  <c r="C2518" i="79" s="1"/>
  <c r="I119" i="79"/>
  <c r="T160" i="79"/>
  <c r="L1477" i="79"/>
  <c r="L1479" i="79" s="1"/>
  <c r="U221" i="79"/>
  <c r="C2569" i="79" s="1"/>
  <c r="I1477" i="79"/>
  <c r="I1478" i="79" s="1"/>
  <c r="R201" i="79"/>
  <c r="T119" i="79"/>
  <c r="T1503" i="79"/>
  <c r="T1505" i="79" s="1"/>
  <c r="N1503" i="79"/>
  <c r="N1505" i="79" s="1"/>
  <c r="I1779" i="79"/>
  <c r="I1780" i="79" s="1"/>
  <c r="I1781" i="79" s="1"/>
  <c r="Q119" i="79"/>
  <c r="P119" i="79"/>
  <c r="T201" i="79"/>
  <c r="O160" i="79"/>
  <c r="S119" i="79"/>
  <c r="M201" i="79"/>
  <c r="Q1503" i="79"/>
  <c r="Q1504" i="79" s="1"/>
  <c r="G15" i="40"/>
  <c r="F318" i="40" s="1"/>
  <c r="AL386" i="40" s="1"/>
  <c r="AM1479" i="79"/>
  <c r="Q1707" i="79"/>
  <c r="Q1708" i="79" s="1"/>
  <c r="Q1709" i="79" s="1"/>
  <c r="L1380" i="79"/>
  <c r="G124" i="8" s="1"/>
  <c r="O1707" i="79"/>
  <c r="O1708" i="79" s="1"/>
  <c r="O1709" i="79" s="1"/>
  <c r="Q1381" i="79"/>
  <c r="L125" i="8" s="1"/>
  <c r="N1707" i="79"/>
  <c r="N1708" i="79" s="1"/>
  <c r="N1709" i="79" s="1"/>
  <c r="D456" i="40"/>
  <c r="Q456" i="40" s="1"/>
  <c r="AD456" i="40" s="1"/>
  <c r="K1479" i="79"/>
  <c r="K1478" i="79"/>
  <c r="M1479" i="79"/>
  <c r="R1505" i="79"/>
  <c r="AC423" i="40"/>
  <c r="C489" i="40" s="1"/>
  <c r="U108" i="79"/>
  <c r="C2476" i="79" s="1"/>
  <c r="G1417" i="79"/>
  <c r="I1520" i="79"/>
  <c r="I1521" i="79"/>
  <c r="O1817" i="79"/>
  <c r="M1817" i="79"/>
  <c r="R1707" i="79"/>
  <c r="R1708" i="79" s="1"/>
  <c r="R1709" i="79" s="1"/>
  <c r="J1495" i="79"/>
  <c r="J1494" i="79"/>
  <c r="G62" i="40"/>
  <c r="F355" i="40" s="1"/>
  <c r="E355" i="40"/>
  <c r="G1416" i="79"/>
  <c r="I1508" i="79"/>
  <c r="I1507" i="79"/>
  <c r="K1381" i="79"/>
  <c r="F125" i="8" s="1"/>
  <c r="AC413" i="40"/>
  <c r="C479" i="40" s="1"/>
  <c r="K1379" i="79"/>
  <c r="F123" i="8" s="1"/>
  <c r="O1379" i="79"/>
  <c r="J123" i="8" s="1"/>
  <c r="AC393" i="40"/>
  <c r="C459" i="40" s="1"/>
  <c r="K1490" i="79"/>
  <c r="Q1817" i="79"/>
  <c r="Q1378" i="79"/>
  <c r="Q1363" i="79"/>
  <c r="Q1382" i="79" s="1"/>
  <c r="P1363" i="79"/>
  <c r="P1378" i="79"/>
  <c r="F50" i="40"/>
  <c r="E327" i="40"/>
  <c r="G24" i="40"/>
  <c r="F327" i="40" s="1"/>
  <c r="O1380" i="79"/>
  <c r="J124" i="8" s="1"/>
  <c r="J201" i="79"/>
  <c r="N1507" i="79"/>
  <c r="N1508" i="79"/>
  <c r="M1381" i="79"/>
  <c r="H125" i="8" s="1"/>
  <c r="R1379" i="79"/>
  <c r="M123" i="8" s="1"/>
  <c r="N1491" i="79"/>
  <c r="N1492" i="79"/>
  <c r="S1817" i="79"/>
  <c r="K1520" i="79"/>
  <c r="K1521" i="79"/>
  <c r="S1481" i="79"/>
  <c r="S1482" i="79"/>
  <c r="G1414" i="79"/>
  <c r="I1481" i="79"/>
  <c r="I1482" i="79"/>
  <c r="G63" i="40"/>
  <c r="F356" i="40" s="1"/>
  <c r="E356" i="40"/>
  <c r="M1503" i="79"/>
  <c r="T1380" i="79"/>
  <c r="O124" i="8" s="1"/>
  <c r="K201" i="79"/>
  <c r="J1381" i="79"/>
  <c r="E125" i="8" s="1"/>
  <c r="N1477" i="79"/>
  <c r="L1379" i="79"/>
  <c r="G123" i="8" s="1"/>
  <c r="Q1490" i="79"/>
  <c r="T1521" i="79"/>
  <c r="T1520" i="79"/>
  <c r="N119" i="79"/>
  <c r="O119" i="79"/>
  <c r="L1503" i="79"/>
  <c r="K1380" i="79"/>
  <c r="F124" i="8" s="1"/>
  <c r="K1494" i="79"/>
  <c r="K1495" i="79"/>
  <c r="P201" i="79"/>
  <c r="I1381" i="79"/>
  <c r="D125" i="8" s="1"/>
  <c r="T1381" i="79"/>
  <c r="O125" i="8" s="1"/>
  <c r="AH414" i="40"/>
  <c r="J1363" i="79"/>
  <c r="J1382" i="79" s="1"/>
  <c r="J1378" i="79"/>
  <c r="R1378" i="79"/>
  <c r="R1363" i="79"/>
  <c r="R1382" i="79" s="1"/>
  <c r="L1482" i="79"/>
  <c r="L1481" i="79"/>
  <c r="U139" i="79"/>
  <c r="C2501" i="79" s="1"/>
  <c r="S1508" i="79"/>
  <c r="S1507" i="79"/>
  <c r="AH419" i="40"/>
  <c r="L1491" i="79"/>
  <c r="L1492" i="79"/>
  <c r="G22" i="40"/>
  <c r="F325" i="40" s="1"/>
  <c r="E325" i="40"/>
  <c r="P1817" i="79"/>
  <c r="P1707" i="79"/>
  <c r="P1708" i="79" s="1"/>
  <c r="P1709" i="79" s="1"/>
  <c r="K1378" i="79"/>
  <c r="K1363" i="79"/>
  <c r="K1382" i="79" s="1"/>
  <c r="AC395" i="40"/>
  <c r="C461" i="40" s="1"/>
  <c r="S1495" i="79"/>
  <c r="S1494" i="79"/>
  <c r="S1707" i="79"/>
  <c r="S1708" i="79" s="1"/>
  <c r="S1709" i="79" s="1"/>
  <c r="T1363" i="79"/>
  <c r="T1382" i="79" s="1"/>
  <c r="T1378" i="79"/>
  <c r="I1707" i="79"/>
  <c r="I1708" i="79" s="1"/>
  <c r="I1709" i="79" s="1"/>
  <c r="U200" i="79"/>
  <c r="C2552" i="79" s="1"/>
  <c r="Q1495" i="79"/>
  <c r="Q1494" i="79"/>
  <c r="P1495" i="79"/>
  <c r="P1494" i="79"/>
  <c r="T1507" i="79"/>
  <c r="T1508" i="79"/>
  <c r="L1381" i="79"/>
  <c r="G125" i="8" s="1"/>
  <c r="N1379" i="79"/>
  <c r="I123" i="8" s="1"/>
  <c r="T1817" i="79"/>
  <c r="L1521" i="79"/>
  <c r="L1520" i="79"/>
  <c r="M1378" i="79"/>
  <c r="M1363" i="79"/>
  <c r="M1382" i="79" s="1"/>
  <c r="AF390" i="40"/>
  <c r="AK390" i="40"/>
  <c r="R1380" i="79"/>
  <c r="M124" i="8" s="1"/>
  <c r="M160" i="79"/>
  <c r="M1494" i="79"/>
  <c r="M1495" i="79"/>
  <c r="L1507" i="79"/>
  <c r="L1508" i="79"/>
  <c r="AC422" i="40"/>
  <c r="C488" i="40" s="1"/>
  <c r="R1491" i="79"/>
  <c r="R1492" i="79"/>
  <c r="J1492" i="79"/>
  <c r="J1491" i="79"/>
  <c r="O1492" i="79"/>
  <c r="O1491" i="79"/>
  <c r="O1521" i="79"/>
  <c r="O1520" i="79"/>
  <c r="L1707" i="79"/>
  <c r="L1708" i="79" s="1"/>
  <c r="L1709" i="79" s="1"/>
  <c r="I1380" i="79"/>
  <c r="D124" i="8" s="1"/>
  <c r="R1507" i="79"/>
  <c r="R1508" i="79"/>
  <c r="U180" i="79"/>
  <c r="C2535" i="79" s="1"/>
  <c r="R1381" i="79"/>
  <c r="M125" i="8" s="1"/>
  <c r="P1520" i="79"/>
  <c r="P1521" i="79"/>
  <c r="N1817" i="79"/>
  <c r="Q1481" i="79"/>
  <c r="Q1482" i="79"/>
  <c r="K119" i="79"/>
  <c r="K1482" i="79"/>
  <c r="K1481" i="79"/>
  <c r="U190" i="79"/>
  <c r="C2544" i="79" s="1"/>
  <c r="Q1508" i="79"/>
  <c r="Q1507" i="79"/>
  <c r="P1381" i="79"/>
  <c r="K125" i="8" s="1"/>
  <c r="U154" i="79"/>
  <c r="C2514" i="79" s="1"/>
  <c r="J1379" i="79"/>
  <c r="E123" i="8" s="1"/>
  <c r="S1520" i="79"/>
  <c r="S1521" i="79"/>
  <c r="R1817" i="79"/>
  <c r="S1363" i="79"/>
  <c r="S1382" i="79" s="1"/>
  <c r="S1378" i="79"/>
  <c r="T1707" i="79"/>
  <c r="T1708" i="79" s="1"/>
  <c r="T1709" i="79" s="1"/>
  <c r="T1482" i="79"/>
  <c r="T1481" i="79"/>
  <c r="U98" i="79"/>
  <c r="C2467" i="79" s="1"/>
  <c r="AC424" i="40"/>
  <c r="C490" i="40" s="1"/>
  <c r="M1380" i="79"/>
  <c r="H124" i="8" s="1"/>
  <c r="O201" i="79"/>
  <c r="O1508" i="79"/>
  <c r="O1507" i="79"/>
  <c r="K1507" i="79"/>
  <c r="K1508" i="79"/>
  <c r="O1381" i="79"/>
  <c r="J125" i="8" s="1"/>
  <c r="S1379" i="79"/>
  <c r="N123" i="8" s="1"/>
  <c r="P1491" i="79"/>
  <c r="P1492" i="79"/>
  <c r="L1817" i="79"/>
  <c r="J1520" i="79"/>
  <c r="J1521" i="79"/>
  <c r="N1481" i="79"/>
  <c r="N1482" i="79"/>
  <c r="M119" i="79"/>
  <c r="M1481" i="79"/>
  <c r="M1482" i="79"/>
  <c r="O1378" i="79"/>
  <c r="O1363" i="79"/>
  <c r="O1382" i="79" s="1"/>
  <c r="J1380" i="79"/>
  <c r="E124" i="8" s="1"/>
  <c r="R1494" i="79"/>
  <c r="R1495" i="79"/>
  <c r="P1508" i="79"/>
  <c r="P1507" i="79"/>
  <c r="M1507" i="79"/>
  <c r="M1508" i="79"/>
  <c r="U118" i="79"/>
  <c r="C2484" i="79" s="1"/>
  <c r="S1381" i="79"/>
  <c r="N125" i="8" s="1"/>
  <c r="AC419" i="40"/>
  <c r="C485" i="40" s="1"/>
  <c r="P485" i="40" s="1"/>
  <c r="AC485" i="40" s="1"/>
  <c r="E321" i="40"/>
  <c r="G18" i="40"/>
  <c r="F321" i="40" s="1"/>
  <c r="U242" i="79"/>
  <c r="AC389" i="40"/>
  <c r="C455" i="40" s="1"/>
  <c r="M1521" i="79"/>
  <c r="M1520" i="79"/>
  <c r="J1481" i="79"/>
  <c r="J1482" i="79"/>
  <c r="R1481" i="79"/>
  <c r="R1482" i="79"/>
  <c r="L1363" i="79"/>
  <c r="L1382" i="79" s="1"/>
  <c r="L1378" i="79"/>
  <c r="U113" i="79"/>
  <c r="C2480" i="79" s="1"/>
  <c r="L1495" i="79"/>
  <c r="L1494" i="79"/>
  <c r="G1415" i="79"/>
  <c r="I1495" i="79"/>
  <c r="I1494" i="79"/>
  <c r="M1492" i="79"/>
  <c r="M1491" i="79"/>
  <c r="AC414" i="40"/>
  <c r="C480" i="40" s="1"/>
  <c r="P480" i="40" s="1"/>
  <c r="AC480" i="40" s="1"/>
  <c r="I1492" i="79"/>
  <c r="I1491" i="79"/>
  <c r="Q1520" i="79"/>
  <c r="Q1521" i="79"/>
  <c r="N1520" i="79"/>
  <c r="N1521" i="79"/>
  <c r="P1481" i="79"/>
  <c r="P1482" i="79"/>
  <c r="AC416" i="40"/>
  <c r="C482" i="40" s="1"/>
  <c r="N1495" i="79"/>
  <c r="N1494" i="79"/>
  <c r="O1494" i="79"/>
  <c r="O1495" i="79"/>
  <c r="J1507" i="79"/>
  <c r="J1508" i="79"/>
  <c r="J1479" i="79"/>
  <c r="J1478" i="79"/>
  <c r="R1520" i="79"/>
  <c r="R1521" i="79"/>
  <c r="K1817" i="79"/>
  <c r="D99" i="8"/>
  <c r="I1363" i="79"/>
  <c r="I1382" i="79" s="1"/>
  <c r="P1504" i="79"/>
  <c r="AH413" i="40"/>
  <c r="J1817" i="79"/>
  <c r="N1363" i="79"/>
  <c r="N1382" i="79" s="1"/>
  <c r="N1378" i="79"/>
  <c r="M1707" i="79"/>
  <c r="M1708" i="79" s="1"/>
  <c r="M1709" i="79" s="1"/>
  <c r="O1482" i="79"/>
  <c r="O1481" i="79"/>
  <c r="U195" i="79"/>
  <c r="C2548" i="79" s="1"/>
  <c r="E354" i="40"/>
  <c r="G61" i="40"/>
  <c r="F354" i="40" s="1"/>
  <c r="S1491" i="79"/>
  <c r="S1492" i="79"/>
  <c r="G60" i="40"/>
  <c r="F353" i="40" s="1"/>
  <c r="E353" i="40"/>
  <c r="Q447" i="40"/>
  <c r="AD447" i="40" s="1"/>
  <c r="E313" i="40"/>
  <c r="G10" i="40"/>
  <c r="F313" i="40" s="1"/>
  <c r="AI1478" i="79"/>
  <c r="AN1491" i="79"/>
  <c r="AJ1466" i="79"/>
  <c r="AO1478" i="79"/>
  <c r="AP1491" i="79"/>
  <c r="E346" i="40"/>
  <c r="AJ1491" i="79"/>
  <c r="AP1466" i="79"/>
  <c r="AF1465" i="79"/>
  <c r="AG1478" i="79"/>
  <c r="AI1466" i="79"/>
  <c r="AN1364" i="79"/>
  <c r="AI1364" i="79"/>
  <c r="N96" i="83"/>
  <c r="G474" i="40"/>
  <c r="T474" i="40" s="1"/>
  <c r="AG474" i="40" s="1"/>
  <c r="I504" i="40"/>
  <c r="V504" i="40" s="1"/>
  <c r="AI504" i="40" s="1"/>
  <c r="H453" i="40"/>
  <c r="U453" i="40" s="1"/>
  <c r="AH453" i="40" s="1"/>
  <c r="G503" i="40"/>
  <c r="T503" i="40" s="1"/>
  <c r="AG503" i="40" s="1"/>
  <c r="H450" i="40"/>
  <c r="U450" i="40" s="1"/>
  <c r="AH450" i="40" s="1"/>
  <c r="H457" i="40"/>
  <c r="U457" i="40" s="1"/>
  <c r="H476" i="40"/>
  <c r="U476" i="40" s="1"/>
  <c r="AH476" i="40" s="1"/>
  <c r="G500" i="40"/>
  <c r="T500" i="40" s="1"/>
  <c r="AG500" i="40" s="1"/>
  <c r="H505" i="40"/>
  <c r="U505" i="40" s="1"/>
  <c r="AH505" i="40" s="1"/>
  <c r="J495" i="40"/>
  <c r="W495" i="40" s="1"/>
  <c r="AJ495" i="40" s="1"/>
  <c r="I494" i="40"/>
  <c r="V494" i="40" s="1"/>
  <c r="AI494" i="40" s="1"/>
  <c r="AO1466" i="79"/>
  <c r="H506" i="40"/>
  <c r="U506" i="40" s="1"/>
  <c r="AH506" i="40" s="1"/>
  <c r="H464" i="40"/>
  <c r="U464" i="40" s="1"/>
  <c r="AH464" i="40" s="1"/>
  <c r="I492" i="40"/>
  <c r="V492" i="40" s="1"/>
  <c r="AI492" i="40" s="1"/>
  <c r="H477" i="40"/>
  <c r="U477" i="40" s="1"/>
  <c r="AH477" i="40" s="1"/>
  <c r="H483" i="40"/>
  <c r="U483" i="40" s="1"/>
  <c r="AH483" i="40" s="1"/>
  <c r="G468" i="40"/>
  <c r="T468" i="40" s="1"/>
  <c r="AG1466" i="79"/>
  <c r="G470" i="40"/>
  <c r="T470" i="40" s="1"/>
  <c r="AG470" i="40" s="1"/>
  <c r="G498" i="40"/>
  <c r="T498" i="40" s="1"/>
  <c r="AG498" i="40" s="1"/>
  <c r="G462" i="40"/>
  <c r="T462" i="40" s="1"/>
  <c r="AG462" i="40" s="1"/>
  <c r="S472" i="40"/>
  <c r="AF472" i="40" s="1"/>
  <c r="G458" i="40"/>
  <c r="S502" i="40"/>
  <c r="AF502" i="40" s="1"/>
  <c r="S496" i="40"/>
  <c r="AF496" i="40" s="1"/>
  <c r="T473" i="40"/>
  <c r="AG473" i="40" s="1"/>
  <c r="T466" i="40"/>
  <c r="AG466" i="40" s="1"/>
  <c r="T463" i="40"/>
  <c r="AG463" i="40" s="1"/>
  <c r="S465" i="40"/>
  <c r="AF465" i="40" s="1"/>
  <c r="S499" i="40"/>
  <c r="AF499" i="40" s="1"/>
  <c r="G475" i="40"/>
  <c r="H507" i="40"/>
  <c r="K449" i="40"/>
  <c r="J451" i="40"/>
  <c r="T467" i="40"/>
  <c r="AG467" i="40" s="1"/>
  <c r="H460" i="40"/>
  <c r="S497" i="40"/>
  <c r="AF497" i="40" s="1"/>
  <c r="U501" i="40"/>
  <c r="AH501" i="40" s="1"/>
  <c r="G469" i="40"/>
  <c r="H484" i="40"/>
  <c r="J493" i="40"/>
  <c r="K454" i="40"/>
  <c r="T471" i="40"/>
  <c r="AG471" i="40" s="1"/>
  <c r="AJ1479" i="79"/>
  <c r="AK1492" i="79"/>
  <c r="BA837" i="64"/>
  <c r="AN837" i="64"/>
  <c r="AP766" i="64"/>
  <c r="BC766" i="64"/>
  <c r="AJ766" i="64"/>
  <c r="AW766" i="64"/>
  <c r="AL695" i="64"/>
  <c r="AY695" i="64"/>
  <c r="AK695" i="64"/>
  <c r="AX695" i="64"/>
  <c r="AI695" i="64"/>
  <c r="AV695" i="64"/>
  <c r="AF837" i="64"/>
  <c r="AS837" i="64"/>
  <c r="T696" i="64"/>
  <c r="T838" i="64"/>
  <c r="T767" i="64"/>
  <c r="Y696" i="64"/>
  <c r="Y767" i="64"/>
  <c r="Y838" i="64"/>
  <c r="AA838" i="64"/>
  <c r="AA696" i="64"/>
  <c r="AA767" i="64"/>
  <c r="BE37" i="65"/>
  <c r="BK36" i="65"/>
  <c r="BJ36" i="65"/>
  <c r="BI36" i="65"/>
  <c r="BN36" i="65"/>
  <c r="BH36" i="65"/>
  <c r="BL36" i="65"/>
  <c r="BG36" i="65"/>
  <c r="BQ36" i="65"/>
  <c r="BP36" i="65"/>
  <c r="BO36" i="65"/>
  <c r="BM36" i="65"/>
  <c r="BR36" i="65"/>
  <c r="AZ837" i="64"/>
  <c r="AM837" i="64"/>
  <c r="AO837" i="64"/>
  <c r="BB837" i="64"/>
  <c r="CG45" i="65"/>
  <c r="CG46" i="65" s="1"/>
  <c r="CS44" i="65"/>
  <c r="CJ44" i="65"/>
  <c r="CO44" i="65"/>
  <c r="CL44" i="65"/>
  <c r="CP44" i="65"/>
  <c r="CM44" i="65"/>
  <c r="CQ44" i="65"/>
  <c r="CN44" i="65"/>
  <c r="CR44" i="65"/>
  <c r="CK44" i="65"/>
  <c r="CT44" i="65"/>
  <c r="CI44" i="65"/>
  <c r="AN766" i="64"/>
  <c r="BA766" i="64"/>
  <c r="BC695" i="64"/>
  <c r="AP695" i="64"/>
  <c r="AH837" i="64"/>
  <c r="AU837" i="64"/>
  <c r="AK837" i="64"/>
  <c r="AX837" i="64"/>
  <c r="BD695" i="64"/>
  <c r="AQ695" i="64"/>
  <c r="AF766" i="64"/>
  <c r="AS766" i="64"/>
  <c r="S696" i="64"/>
  <c r="S767" i="64"/>
  <c r="S838" i="64"/>
  <c r="U838" i="64"/>
  <c r="U767" i="64"/>
  <c r="U696" i="64"/>
  <c r="Z838" i="64"/>
  <c r="Z696" i="64"/>
  <c r="Z767" i="64"/>
  <c r="AG837" i="64"/>
  <c r="AT837" i="64"/>
  <c r="AM695" i="64"/>
  <c r="AZ695" i="64"/>
  <c r="AO695" i="64"/>
  <c r="BB695" i="64"/>
  <c r="BA695" i="64"/>
  <c r="AN695" i="64"/>
  <c r="AJ837" i="64"/>
  <c r="AW837" i="64"/>
  <c r="BS45" i="65"/>
  <c r="BS46" i="65" s="1"/>
  <c r="CC44" i="65"/>
  <c r="CD44" i="65"/>
  <c r="CE44" i="65"/>
  <c r="CF44" i="65"/>
  <c r="BW44" i="65"/>
  <c r="BX44" i="65"/>
  <c r="BU44" i="65"/>
  <c r="CB44" i="65"/>
  <c r="BV44" i="65"/>
  <c r="BZ44" i="65"/>
  <c r="BY44" i="65"/>
  <c r="CA44" i="65"/>
  <c r="AY766" i="64"/>
  <c r="AL766" i="64"/>
  <c r="AH766" i="64"/>
  <c r="AU766" i="64"/>
  <c r="AX766" i="64"/>
  <c r="AK766" i="64"/>
  <c r="AI766" i="64"/>
  <c r="AV766" i="64"/>
  <c r="BD837" i="64"/>
  <c r="AQ837" i="64"/>
  <c r="AS695" i="64"/>
  <c r="AF695" i="64"/>
  <c r="AB696" i="64"/>
  <c r="AB838" i="64"/>
  <c r="AB767" i="64"/>
  <c r="X767" i="64"/>
  <c r="X838" i="64"/>
  <c r="X696" i="64"/>
  <c r="V767" i="64"/>
  <c r="V696" i="64"/>
  <c r="V838" i="64"/>
  <c r="AT766" i="64"/>
  <c r="AG766" i="64"/>
  <c r="AZ766" i="64"/>
  <c r="AM766" i="64"/>
  <c r="BC837" i="64"/>
  <c r="AP837" i="64"/>
  <c r="AW695" i="64"/>
  <c r="AJ695" i="64"/>
  <c r="AL837" i="64"/>
  <c r="AY837" i="64"/>
  <c r="AU695" i="64"/>
  <c r="AH695" i="64"/>
  <c r="AI837" i="64"/>
  <c r="AV837" i="64"/>
  <c r="BD766" i="64"/>
  <c r="AQ766" i="64"/>
  <c r="W696" i="64"/>
  <c r="W767" i="64"/>
  <c r="W838" i="64"/>
  <c r="AD767" i="64"/>
  <c r="AD696" i="64"/>
  <c r="AD838" i="64"/>
  <c r="AC696" i="64"/>
  <c r="AC838" i="64"/>
  <c r="AC767" i="64"/>
  <c r="AG695" i="64"/>
  <c r="AT695" i="64"/>
  <c r="BB766" i="64"/>
  <c r="AO766" i="64"/>
  <c r="AM1491" i="79"/>
  <c r="AL1465" i="79"/>
  <c r="AR78" i="79"/>
  <c r="D1425" i="79" s="1"/>
  <c r="I1425" i="79" s="1"/>
  <c r="AK1465" i="79"/>
  <c r="D486" i="40"/>
  <c r="Q486" i="40" s="1"/>
  <c r="AD486" i="40" s="1"/>
  <c r="AH1465" i="79"/>
  <c r="AP1364" i="79"/>
  <c r="AI1491" i="79"/>
  <c r="AN1466" i="79"/>
  <c r="O228" i="85"/>
  <c r="P211" i="85"/>
  <c r="P213" i="85" s="1"/>
  <c r="Q51" i="85"/>
  <c r="Q52" i="85" s="1"/>
  <c r="R52" i="85" s="1"/>
  <c r="P204" i="85"/>
  <c r="P202" i="85"/>
  <c r="Q212" i="85"/>
  <c r="Q210" i="85"/>
  <c r="Q79" i="85"/>
  <c r="R79" i="85" s="1"/>
  <c r="D246" i="85" s="1"/>
  <c r="J246" i="85" s="1"/>
  <c r="Q258" i="73"/>
  <c r="R258" i="73" s="1"/>
  <c r="P479" i="73"/>
  <c r="Q479" i="73" s="1"/>
  <c r="Q556" i="73"/>
  <c r="Q554" i="73"/>
  <c r="Q555" i="73" s="1"/>
  <c r="Q462" i="73"/>
  <c r="O477" i="73"/>
  <c r="Q477" i="73" s="1"/>
  <c r="G104" i="71"/>
  <c r="Q202" i="73"/>
  <c r="O483" i="73"/>
  <c r="Q483" i="73" s="1"/>
  <c r="Q346" i="73"/>
  <c r="S478" i="73"/>
  <c r="T478" i="73"/>
  <c r="P461" i="73"/>
  <c r="H630" i="73"/>
  <c r="D634" i="73"/>
  <c r="E634" i="73" s="1"/>
  <c r="G150" i="71" s="1"/>
  <c r="AR119" i="79"/>
  <c r="C2889" i="79" s="1"/>
  <c r="AJ1617" i="79"/>
  <c r="D452" i="40"/>
  <c r="Q452" i="40" s="1"/>
  <c r="AD452" i="40" s="1"/>
  <c r="AO1618" i="79"/>
  <c r="AG1618" i="79"/>
  <c r="AL1364" i="79"/>
  <c r="AQ1466" i="79"/>
  <c r="AQ1465" i="79"/>
  <c r="AF1491" i="79"/>
  <c r="AF1492" i="79"/>
  <c r="D491" i="40"/>
  <c r="D448" i="40"/>
  <c r="AH1618" i="79"/>
  <c r="AF1617" i="79"/>
  <c r="AL420" i="40"/>
  <c r="AG420" i="40"/>
  <c r="AP1478" i="79"/>
  <c r="AP1479" i="79"/>
  <c r="G11" i="40"/>
  <c r="F314" i="40" s="1"/>
  <c r="E314" i="40"/>
  <c r="AG412" i="40"/>
  <c r="AL1479" i="79"/>
  <c r="AL1478" i="79"/>
  <c r="AK1617" i="79"/>
  <c r="AM1744" i="79"/>
  <c r="AM1745" i="79" s="1"/>
  <c r="AH1492" i="79"/>
  <c r="AH1491" i="79"/>
  <c r="E345" i="40"/>
  <c r="G47" i="40"/>
  <c r="F345" i="40" s="1"/>
  <c r="P100" i="8"/>
  <c r="AJ1672" i="79"/>
  <c r="AJ1673" i="79" s="1"/>
  <c r="AM1618" i="79"/>
  <c r="AQ1618" i="79"/>
  <c r="AN1618" i="79"/>
  <c r="G344" i="40"/>
  <c r="AL1491" i="79"/>
  <c r="AL1492" i="79"/>
  <c r="AN1617" i="79"/>
  <c r="AR160" i="79"/>
  <c r="AH1479" i="79"/>
  <c r="AH1478" i="79"/>
  <c r="AM1466" i="79"/>
  <c r="AM1465" i="79"/>
  <c r="AL414" i="40"/>
  <c r="AG414" i="40"/>
  <c r="AG1492" i="79"/>
  <c r="AG1491" i="79"/>
  <c r="AK1618" i="79"/>
  <c r="G352" i="40"/>
  <c r="AF1618" i="79"/>
  <c r="D478" i="40"/>
  <c r="P25" i="85"/>
  <c r="P28" i="85" s="1"/>
  <c r="O239" i="85"/>
  <c r="P337" i="77" s="1"/>
  <c r="P1382" i="79" l="1"/>
  <c r="G58" i="40"/>
  <c r="F351" i="40" s="1"/>
  <c r="G351" i="40" s="1"/>
  <c r="AF1505" i="79"/>
  <c r="AF1616" i="79" s="1"/>
  <c r="S1479" i="79"/>
  <c r="S1616" i="79" s="1"/>
  <c r="AI1505" i="79"/>
  <c r="AI1616" i="79" s="1"/>
  <c r="N1504" i="79"/>
  <c r="AL1504" i="79"/>
  <c r="AL1615" i="79" s="1"/>
  <c r="K1505" i="79"/>
  <c r="AJ1504" i="79"/>
  <c r="AJ1615" i="79" s="1"/>
  <c r="AN1504" i="79"/>
  <c r="AN1615" i="79" s="1"/>
  <c r="AN1616" i="79"/>
  <c r="AP1504" i="79"/>
  <c r="AP1615" i="79" s="1"/>
  <c r="C2451" i="79"/>
  <c r="C2460" i="79"/>
  <c r="I1505" i="79"/>
  <c r="AK1505" i="79"/>
  <c r="AK1616" i="79" s="1"/>
  <c r="R1479" i="79"/>
  <c r="R1616" i="79" s="1"/>
  <c r="N1364" i="79"/>
  <c r="AG1505" i="79"/>
  <c r="AG1616" i="79" s="1"/>
  <c r="K2399" i="79"/>
  <c r="K2398" i="79"/>
  <c r="G312" i="40"/>
  <c r="P133" i="8"/>
  <c r="AR201" i="79"/>
  <c r="D1428" i="79" s="1"/>
  <c r="I1428" i="79" s="1"/>
  <c r="O1504" i="79"/>
  <c r="AO1505" i="79"/>
  <c r="AO1616" i="79" s="1"/>
  <c r="AO1504" i="79"/>
  <c r="AO1615" i="79" s="1"/>
  <c r="AM1504" i="79"/>
  <c r="AM1615" i="79" s="1"/>
  <c r="AM1505" i="79"/>
  <c r="AM1616" i="79" s="1"/>
  <c r="AQ1504" i="79"/>
  <c r="AQ1615" i="79" s="1"/>
  <c r="AQ1505" i="79"/>
  <c r="AQ1616" i="79" s="1"/>
  <c r="T1479" i="79"/>
  <c r="T1616" i="79" s="1"/>
  <c r="O484" i="73"/>
  <c r="C71" i="61"/>
  <c r="C48" i="71"/>
  <c r="Q481" i="40"/>
  <c r="AD481" i="40" s="1"/>
  <c r="G347" i="40"/>
  <c r="G318" i="40"/>
  <c r="Q1364" i="79"/>
  <c r="Q1479" i="79"/>
  <c r="P1478" i="79"/>
  <c r="P1615" i="79" s="1"/>
  <c r="AK1615" i="79"/>
  <c r="Q2398" i="79"/>
  <c r="L1364" i="79"/>
  <c r="G357" i="40"/>
  <c r="J2398" i="79"/>
  <c r="J1364" i="79"/>
  <c r="T1504" i="79"/>
  <c r="T1615" i="79" s="1"/>
  <c r="Q2399" i="79"/>
  <c r="E446" i="40"/>
  <c r="R446" i="40" s="1"/>
  <c r="AE446" i="40" s="1"/>
  <c r="I1364" i="79"/>
  <c r="J2399" i="79"/>
  <c r="S1504" i="79"/>
  <c r="S1615" i="79" s="1"/>
  <c r="P1364" i="79"/>
  <c r="I1479" i="79"/>
  <c r="I1616" i="79" s="1"/>
  <c r="N2399" i="79"/>
  <c r="R1364" i="79"/>
  <c r="J1505" i="79"/>
  <c r="J1616" i="79" s="1"/>
  <c r="O1478" i="79"/>
  <c r="AG380" i="40"/>
  <c r="I126" i="8"/>
  <c r="H29" i="80" s="1"/>
  <c r="H130" i="83" s="1"/>
  <c r="L126" i="8"/>
  <c r="K29" i="80" s="1"/>
  <c r="K130" i="83" s="1"/>
  <c r="K126" i="8"/>
  <c r="J29" i="80" s="1"/>
  <c r="J130" i="83" s="1"/>
  <c r="T1617" i="79"/>
  <c r="T1627" i="79" s="1"/>
  <c r="N94" i="83" s="1"/>
  <c r="N273" i="77"/>
  <c r="AL425" i="40"/>
  <c r="N254" i="77"/>
  <c r="N255" i="77" s="1"/>
  <c r="R346" i="73"/>
  <c r="D628" i="73" s="1"/>
  <c r="H628" i="73" s="1"/>
  <c r="Q466" i="73"/>
  <c r="R253" i="77" s="1"/>
  <c r="R277" i="77" s="1"/>
  <c r="S1364" i="79"/>
  <c r="U160" i="79"/>
  <c r="C2519" i="79" s="1"/>
  <c r="L2398" i="79"/>
  <c r="R2398" i="79"/>
  <c r="N2398" i="79"/>
  <c r="I1817" i="79"/>
  <c r="I2399" i="79" s="1"/>
  <c r="Q1505" i="79"/>
  <c r="H126" i="8"/>
  <c r="G29" i="80" s="1"/>
  <c r="G130" i="83" s="1"/>
  <c r="L1478" i="79"/>
  <c r="T1364" i="79"/>
  <c r="P1616" i="79"/>
  <c r="Q484" i="73"/>
  <c r="I85" i="61" s="1"/>
  <c r="P204" i="73"/>
  <c r="Q186" i="73" s="1"/>
  <c r="O205" i="73"/>
  <c r="T1618" i="79"/>
  <c r="T1628" i="79" s="1"/>
  <c r="N95" i="83" s="1"/>
  <c r="U119" i="79"/>
  <c r="C2485" i="79" s="1"/>
  <c r="AG386" i="40"/>
  <c r="AK380" i="40"/>
  <c r="AF380" i="40"/>
  <c r="N126" i="8"/>
  <c r="M29" i="80" s="1"/>
  <c r="M130" i="83" s="1"/>
  <c r="AG1615" i="79"/>
  <c r="D485" i="40"/>
  <c r="Q485" i="40" s="1"/>
  <c r="AD485" i="40" s="1"/>
  <c r="D480" i="40"/>
  <c r="Q480" i="40" s="1"/>
  <c r="AD480" i="40" s="1"/>
  <c r="R1617" i="79"/>
  <c r="R1627" i="79" s="1"/>
  <c r="L94" i="83" s="1"/>
  <c r="Q1617" i="79"/>
  <c r="Q1627" i="79" s="1"/>
  <c r="K94" i="83" s="1"/>
  <c r="M1617" i="79"/>
  <c r="M1627" i="79" s="1"/>
  <c r="G94" i="83" s="1"/>
  <c r="R2399" i="79"/>
  <c r="T2399" i="79"/>
  <c r="L1617" i="79"/>
  <c r="L1627" i="79" s="1"/>
  <c r="F94" i="83" s="1"/>
  <c r="U201" i="79"/>
  <c r="C2553" i="79" s="1"/>
  <c r="O2398" i="79"/>
  <c r="M1364" i="79"/>
  <c r="S1617" i="79"/>
  <c r="S1627" i="79" s="1"/>
  <c r="M94" i="83" s="1"/>
  <c r="L1618" i="79"/>
  <c r="L1628" i="79" s="1"/>
  <c r="F95" i="83" s="1"/>
  <c r="O1364" i="79"/>
  <c r="K1364" i="79"/>
  <c r="O2399" i="79"/>
  <c r="O126" i="8"/>
  <c r="N29" i="80" s="1"/>
  <c r="N130" i="83" s="1"/>
  <c r="E126" i="8"/>
  <c r="D29" i="80" s="1"/>
  <c r="D130" i="83" s="1"/>
  <c r="E456" i="40"/>
  <c r="R456" i="40" s="1"/>
  <c r="AJ1616" i="79"/>
  <c r="G354" i="40"/>
  <c r="R1618" i="79"/>
  <c r="R1628" i="79" s="1"/>
  <c r="L95" i="83" s="1"/>
  <c r="Q1618" i="79"/>
  <c r="Q1628" i="79" s="1"/>
  <c r="K95" i="83" s="1"/>
  <c r="AH389" i="40"/>
  <c r="AM389" i="40"/>
  <c r="O1383" i="79"/>
  <c r="O1384" i="79" s="1"/>
  <c r="J99" i="8"/>
  <c r="P124" i="8"/>
  <c r="I2398" i="79"/>
  <c r="M1383" i="79"/>
  <c r="M1384" i="79" s="1"/>
  <c r="H99" i="8"/>
  <c r="T2398" i="79"/>
  <c r="F99" i="8"/>
  <c r="K1383" i="79"/>
  <c r="K1384" i="79" s="1"/>
  <c r="P2399" i="79"/>
  <c r="AG393" i="40"/>
  <c r="AL393" i="40"/>
  <c r="L1505" i="79"/>
  <c r="L1616" i="79" s="1"/>
  <c r="L1504" i="79"/>
  <c r="G356" i="40"/>
  <c r="K1617" i="79"/>
  <c r="K1627" i="79" s="1"/>
  <c r="E94" i="83" s="1"/>
  <c r="G327" i="40"/>
  <c r="AL423" i="40"/>
  <c r="AG423" i="40"/>
  <c r="M2398" i="79"/>
  <c r="I1618" i="79"/>
  <c r="I1628" i="79" s="1"/>
  <c r="C95" i="83" s="1"/>
  <c r="D126" i="8"/>
  <c r="N1383" i="79"/>
  <c r="N1384" i="79" s="1"/>
  <c r="I99" i="8"/>
  <c r="I1383" i="79"/>
  <c r="I1384" i="79" s="1"/>
  <c r="P455" i="40"/>
  <c r="AC455" i="40" s="1"/>
  <c r="C2587" i="79"/>
  <c r="D1417" i="79"/>
  <c r="I1417" i="79" s="1"/>
  <c r="AM424" i="40"/>
  <c r="AH424" i="40"/>
  <c r="AH422" i="40"/>
  <c r="AM422" i="40"/>
  <c r="AM395" i="40"/>
  <c r="AH395" i="40"/>
  <c r="Q1492" i="79"/>
  <c r="Q1491" i="79"/>
  <c r="Q1615" i="79" s="1"/>
  <c r="AL424" i="40"/>
  <c r="AG424" i="40"/>
  <c r="S2398" i="79"/>
  <c r="M126" i="8"/>
  <c r="L29" i="80" s="1"/>
  <c r="L130" i="83" s="1"/>
  <c r="E348" i="40"/>
  <c r="G50" i="40"/>
  <c r="F348" i="40" s="1"/>
  <c r="L99" i="8"/>
  <c r="Q1383" i="79"/>
  <c r="Q1384" i="79" s="1"/>
  <c r="K1491" i="79"/>
  <c r="K1615" i="79" s="1"/>
  <c r="K1492" i="79"/>
  <c r="F126" i="8"/>
  <c r="E29" i="80" s="1"/>
  <c r="E130" i="83" s="1"/>
  <c r="M2399" i="79"/>
  <c r="I1617" i="79"/>
  <c r="I1627" i="79" s="1"/>
  <c r="C94" i="83" s="1"/>
  <c r="P123" i="8"/>
  <c r="O1616" i="79"/>
  <c r="AI1615" i="79"/>
  <c r="AH416" i="40"/>
  <c r="AM416" i="40"/>
  <c r="N1618" i="79"/>
  <c r="N1628" i="79" s="1"/>
  <c r="H95" i="83" s="1"/>
  <c r="M1618" i="79"/>
  <c r="M1628" i="79" s="1"/>
  <c r="G95" i="83" s="1"/>
  <c r="AL389" i="40"/>
  <c r="AG389" i="40"/>
  <c r="J1618" i="79"/>
  <c r="J1628" i="79" s="1"/>
  <c r="D95" i="83" s="1"/>
  <c r="L2399" i="79"/>
  <c r="P490" i="40"/>
  <c r="AC490" i="40" s="1"/>
  <c r="P1618" i="79"/>
  <c r="P1628" i="79" s="1"/>
  <c r="J95" i="83" s="1"/>
  <c r="O1617" i="79"/>
  <c r="O1627" i="79" s="1"/>
  <c r="I94" i="83" s="1"/>
  <c r="P488" i="40"/>
  <c r="AC488" i="40" s="1"/>
  <c r="O99" i="8"/>
  <c r="O103" i="8" s="1"/>
  <c r="T1383" i="79"/>
  <c r="T1384" i="79" s="1"/>
  <c r="P461" i="40"/>
  <c r="AC461" i="40" s="1"/>
  <c r="M99" i="8"/>
  <c r="R1383" i="79"/>
  <c r="R1384" i="79" s="1"/>
  <c r="G126" i="8"/>
  <c r="F29" i="80" s="1"/>
  <c r="F130" i="83" s="1"/>
  <c r="S2399" i="79"/>
  <c r="J126" i="8"/>
  <c r="I29" i="80" s="1"/>
  <c r="I130" i="83" s="1"/>
  <c r="P1383" i="79"/>
  <c r="K99" i="8"/>
  <c r="AM393" i="40"/>
  <c r="AH393" i="40"/>
  <c r="P479" i="40"/>
  <c r="AC479" i="40" s="1"/>
  <c r="AH423" i="40"/>
  <c r="AM423" i="40"/>
  <c r="R1615" i="79"/>
  <c r="I1615" i="79"/>
  <c r="AL422" i="40"/>
  <c r="AG422" i="40"/>
  <c r="P482" i="40"/>
  <c r="AC482" i="40" s="1"/>
  <c r="N1617" i="79"/>
  <c r="N1627" i="79" s="1"/>
  <c r="H94" i="83" s="1"/>
  <c r="G99" i="8"/>
  <c r="L1383" i="79"/>
  <c r="L1384" i="79" s="1"/>
  <c r="G321" i="40"/>
  <c r="J1617" i="79"/>
  <c r="J1627" i="79" s="1"/>
  <c r="D94" i="83" s="1"/>
  <c r="N99" i="8"/>
  <c r="S1383" i="79"/>
  <c r="S1384" i="79" s="1"/>
  <c r="S1618" i="79"/>
  <c r="S1628" i="79" s="1"/>
  <c r="M95" i="83" s="1"/>
  <c r="P1617" i="79"/>
  <c r="P1627" i="79" s="1"/>
  <c r="J94" i="83" s="1"/>
  <c r="O1618" i="79"/>
  <c r="O1628" i="79" s="1"/>
  <c r="I95" i="83" s="1"/>
  <c r="P2398" i="79"/>
  <c r="G325" i="40"/>
  <c r="E99" i="8"/>
  <c r="J1383" i="79"/>
  <c r="J1384" i="79" s="1"/>
  <c r="P125" i="8"/>
  <c r="N1478" i="79"/>
  <c r="N1479" i="79"/>
  <c r="N1616" i="79" s="1"/>
  <c r="M1504" i="79"/>
  <c r="M1615" i="79" s="1"/>
  <c r="M1505" i="79"/>
  <c r="M1616" i="79" s="1"/>
  <c r="K1618" i="79"/>
  <c r="K1628" i="79" s="1"/>
  <c r="E95" i="83" s="1"/>
  <c r="AG395" i="40"/>
  <c r="AL395" i="40"/>
  <c r="P459" i="40"/>
  <c r="AC459" i="40" s="1"/>
  <c r="G355" i="40"/>
  <c r="P489" i="40"/>
  <c r="AC489" i="40" s="1"/>
  <c r="J1615" i="79"/>
  <c r="G353" i="40"/>
  <c r="AL421" i="40"/>
  <c r="AG421" i="40"/>
  <c r="AL381" i="40"/>
  <c r="AG381" i="40"/>
  <c r="G313" i="40"/>
  <c r="E447" i="40"/>
  <c r="G346" i="40"/>
  <c r="C2855" i="79"/>
  <c r="AP1616" i="79"/>
  <c r="AF1615" i="79"/>
  <c r="AL1616" i="79"/>
  <c r="H473" i="40"/>
  <c r="U473" i="40" s="1"/>
  <c r="AH473" i="40" s="1"/>
  <c r="H503" i="40"/>
  <c r="U503" i="40" s="1"/>
  <c r="AH503" i="40" s="1"/>
  <c r="H471" i="40"/>
  <c r="U471" i="40" s="1"/>
  <c r="AH471" i="40" s="1"/>
  <c r="H467" i="40"/>
  <c r="U467" i="40" s="1"/>
  <c r="AH467" i="40" s="1"/>
  <c r="I453" i="40"/>
  <c r="V453" i="40" s="1"/>
  <c r="AI453" i="40" s="1"/>
  <c r="H466" i="40"/>
  <c r="U466" i="40" s="1"/>
  <c r="AH466" i="40" s="1"/>
  <c r="AG468" i="40"/>
  <c r="H468" i="40"/>
  <c r="U468" i="40" s="1"/>
  <c r="AH468" i="40" s="1"/>
  <c r="H474" i="40"/>
  <c r="U474" i="40" s="1"/>
  <c r="J504" i="40"/>
  <c r="W504" i="40" s="1"/>
  <c r="AJ504" i="40" s="1"/>
  <c r="G472" i="40"/>
  <c r="T472" i="40" s="1"/>
  <c r="AG472" i="40" s="1"/>
  <c r="AH457" i="40"/>
  <c r="I457" i="40"/>
  <c r="V457" i="40" s="1"/>
  <c r="AI457" i="40" s="1"/>
  <c r="I450" i="40"/>
  <c r="V450" i="40" s="1"/>
  <c r="AI450" i="40" s="1"/>
  <c r="I464" i="40"/>
  <c r="V464" i="40" s="1"/>
  <c r="AI464" i="40" s="1"/>
  <c r="I505" i="40"/>
  <c r="V505" i="40" s="1"/>
  <c r="AI505" i="40" s="1"/>
  <c r="G497" i="40"/>
  <c r="T497" i="40" s="1"/>
  <c r="H463" i="40"/>
  <c r="U463" i="40" s="1"/>
  <c r="AH463" i="40" s="1"/>
  <c r="G502" i="40"/>
  <c r="T502" i="40" s="1"/>
  <c r="AG502" i="40" s="1"/>
  <c r="W493" i="40"/>
  <c r="AJ493" i="40" s="1"/>
  <c r="W451" i="40"/>
  <c r="AJ451" i="40" s="1"/>
  <c r="T475" i="40"/>
  <c r="AG475" i="40" s="1"/>
  <c r="U484" i="40"/>
  <c r="AH484" i="40" s="1"/>
  <c r="X449" i="40"/>
  <c r="AK449" i="40" s="1"/>
  <c r="T458" i="40"/>
  <c r="AG458" i="40" s="1"/>
  <c r="T469" i="40"/>
  <c r="AG469" i="40" s="1"/>
  <c r="X454" i="40"/>
  <c r="AK454" i="40" s="1"/>
  <c r="I501" i="40"/>
  <c r="U460" i="40"/>
  <c r="AH460" i="40" s="1"/>
  <c r="U507" i="40"/>
  <c r="AH507" i="40" s="1"/>
  <c r="K495" i="40"/>
  <c r="I483" i="40"/>
  <c r="G499" i="40"/>
  <c r="I477" i="40"/>
  <c r="G465" i="40"/>
  <c r="J492" i="40"/>
  <c r="I476" i="40"/>
  <c r="H498" i="40"/>
  <c r="I506" i="40"/>
  <c r="H470" i="40"/>
  <c r="J494" i="40"/>
  <c r="H462" i="40"/>
  <c r="G496" i="40"/>
  <c r="H500" i="40"/>
  <c r="AP767" i="64"/>
  <c r="BC767" i="64"/>
  <c r="BD696" i="64"/>
  <c r="AQ696" i="64"/>
  <c r="AJ696" i="64"/>
  <c r="AW696" i="64"/>
  <c r="AI696" i="64"/>
  <c r="AV696" i="64"/>
  <c r="AX767" i="64"/>
  <c r="AK767" i="64"/>
  <c r="BS47" i="65"/>
  <c r="CA46" i="65"/>
  <c r="BY46" i="65"/>
  <c r="CC46" i="65"/>
  <c r="CB46" i="65"/>
  <c r="CF46" i="65"/>
  <c r="BU46" i="65"/>
  <c r="BZ46" i="65"/>
  <c r="BW46" i="65"/>
  <c r="CE46" i="65"/>
  <c r="BX46" i="65"/>
  <c r="CD46" i="65"/>
  <c r="BV46" i="65"/>
  <c r="AH696" i="64"/>
  <c r="AU696" i="64"/>
  <c r="AS767" i="64"/>
  <c r="AF767" i="64"/>
  <c r="AB769" i="64"/>
  <c r="AB698" i="64"/>
  <c r="AB840" i="64"/>
  <c r="T769" i="64"/>
  <c r="T840" i="64"/>
  <c r="T698" i="64"/>
  <c r="W698" i="64"/>
  <c r="W840" i="64"/>
  <c r="W769" i="64"/>
  <c r="BA838" i="64"/>
  <c r="AN838" i="64"/>
  <c r="AT767" i="64"/>
  <c r="AG767" i="64"/>
  <c r="BC838" i="64"/>
  <c r="AP838" i="64"/>
  <c r="BD767" i="64"/>
  <c r="AQ767" i="64"/>
  <c r="AI767" i="64"/>
  <c r="AV767" i="64"/>
  <c r="AO767" i="64"/>
  <c r="BB767" i="64"/>
  <c r="AZ767" i="64"/>
  <c r="AM767" i="64"/>
  <c r="AU767" i="64"/>
  <c r="AH767" i="64"/>
  <c r="AS696" i="64"/>
  <c r="AF696" i="64"/>
  <c r="AD698" i="64"/>
  <c r="AD769" i="64"/>
  <c r="AD840" i="64"/>
  <c r="AC698" i="64"/>
  <c r="AC769" i="64"/>
  <c r="AC840" i="64"/>
  <c r="Z840" i="64"/>
  <c r="Z769" i="64"/>
  <c r="Z698" i="64"/>
  <c r="BE38" i="65"/>
  <c r="BO37" i="65"/>
  <c r="BG37" i="65"/>
  <c r="BQ37" i="65"/>
  <c r="BP37" i="65"/>
  <c r="BK37" i="65"/>
  <c r="BM37" i="65"/>
  <c r="BJ37" i="65"/>
  <c r="BN37" i="65"/>
  <c r="BI37" i="65"/>
  <c r="BR37" i="65"/>
  <c r="BL37" i="65"/>
  <c r="BH37" i="65"/>
  <c r="AL838" i="64"/>
  <c r="AY838" i="64"/>
  <c r="AG838" i="64"/>
  <c r="AT838" i="64"/>
  <c r="BC696" i="64"/>
  <c r="AP696" i="64"/>
  <c r="AJ838" i="64"/>
  <c r="AW838" i="64"/>
  <c r="AK696" i="64"/>
  <c r="AX696" i="64"/>
  <c r="AO838" i="64"/>
  <c r="BB838" i="64"/>
  <c r="AM696" i="64"/>
  <c r="AZ696" i="64"/>
  <c r="AH838" i="64"/>
  <c r="AU838" i="64"/>
  <c r="Y840" i="64"/>
  <c r="Y698" i="64"/>
  <c r="Y769" i="64"/>
  <c r="S698" i="64"/>
  <c r="S769" i="64"/>
  <c r="S840" i="64"/>
  <c r="U840" i="64"/>
  <c r="U698" i="64"/>
  <c r="U769" i="64"/>
  <c r="BA767" i="64"/>
  <c r="AN767" i="64"/>
  <c r="AL767" i="64"/>
  <c r="AY767" i="64"/>
  <c r="AT696" i="64"/>
  <c r="AG696" i="64"/>
  <c r="BD838" i="64"/>
  <c r="AQ838" i="64"/>
  <c r="AW767" i="64"/>
  <c r="AJ767" i="64"/>
  <c r="AI838" i="64"/>
  <c r="AV838" i="64"/>
  <c r="AK838" i="64"/>
  <c r="AX838" i="64"/>
  <c r="AO696" i="64"/>
  <c r="BB696" i="64"/>
  <c r="AZ838" i="64"/>
  <c r="AM838" i="64"/>
  <c r="AF838" i="64"/>
  <c r="AS838" i="64"/>
  <c r="CG47" i="65"/>
  <c r="CM46" i="65"/>
  <c r="CI46" i="65"/>
  <c r="CJ46" i="65"/>
  <c r="CR46" i="65"/>
  <c r="CP46" i="65"/>
  <c r="CK46" i="65"/>
  <c r="CL46" i="65"/>
  <c r="CN46" i="65"/>
  <c r="CQ46" i="65"/>
  <c r="CO46" i="65"/>
  <c r="CS46" i="65"/>
  <c r="CT46" i="65"/>
  <c r="AA840" i="64"/>
  <c r="AA698" i="64"/>
  <c r="AA769" i="64"/>
  <c r="X840" i="64"/>
  <c r="X698" i="64"/>
  <c r="X769" i="64"/>
  <c r="V698" i="64"/>
  <c r="V840" i="64"/>
  <c r="V769" i="64"/>
  <c r="BA696" i="64"/>
  <c r="AN696" i="64"/>
  <c r="AL696" i="64"/>
  <c r="AY696" i="64"/>
  <c r="D1426" i="79"/>
  <c r="I1426" i="79" s="1"/>
  <c r="R349" i="73"/>
  <c r="P229" i="85"/>
  <c r="Q211" i="85"/>
  <c r="Q213" i="85" s="1"/>
  <c r="R187" i="85"/>
  <c r="W187" i="85"/>
  <c r="X187" i="85" s="1"/>
  <c r="D245" i="85"/>
  <c r="E46" i="85"/>
  <c r="P203" i="85"/>
  <c r="P205" i="85" s="1"/>
  <c r="Q54" i="85"/>
  <c r="P186" i="85" s="1"/>
  <c r="H634" i="73"/>
  <c r="W483" i="73"/>
  <c r="X483" i="73" s="1"/>
  <c r="R483" i="73"/>
  <c r="R202" i="73"/>
  <c r="Q557" i="73"/>
  <c r="R479" i="73"/>
  <c r="W479" i="73"/>
  <c r="X479" i="73" s="1"/>
  <c r="W477" i="73"/>
  <c r="X477" i="73" s="1"/>
  <c r="R477" i="73"/>
  <c r="Q461" i="73"/>
  <c r="E486" i="40"/>
  <c r="R486" i="40" s="1"/>
  <c r="AE486" i="40" s="1"/>
  <c r="AL413" i="40"/>
  <c r="AG413" i="40"/>
  <c r="AL382" i="40"/>
  <c r="AG382" i="40"/>
  <c r="Q491" i="40"/>
  <c r="AD491" i="40" s="1"/>
  <c r="AK420" i="40"/>
  <c r="AF420" i="40"/>
  <c r="C2923" i="79"/>
  <c r="D1427" i="79"/>
  <c r="I1427" i="79" s="1"/>
  <c r="G345" i="40"/>
  <c r="AK414" i="40"/>
  <c r="AF414" i="40"/>
  <c r="AK425" i="40"/>
  <c r="AF425" i="40"/>
  <c r="Q478" i="40"/>
  <c r="AD478" i="40" s="1"/>
  <c r="AK412" i="40"/>
  <c r="AF412" i="40"/>
  <c r="AH1615" i="79"/>
  <c r="E452" i="40"/>
  <c r="R452" i="40" s="1"/>
  <c r="AE452" i="40" s="1"/>
  <c r="Q448" i="40"/>
  <c r="AD448" i="40" s="1"/>
  <c r="AK386" i="40"/>
  <c r="AF386" i="40"/>
  <c r="AH1616" i="79"/>
  <c r="G314" i="40"/>
  <c r="AL419" i="40"/>
  <c r="AG419" i="40"/>
  <c r="P320" i="77"/>
  <c r="Q10" i="85"/>
  <c r="P29" i="85"/>
  <c r="Q9" i="85"/>
  <c r="P26" i="85"/>
  <c r="Q319" i="77" s="1"/>
  <c r="P1384" i="79" l="1"/>
  <c r="N1615" i="79"/>
  <c r="N1625" i="79" s="1"/>
  <c r="H131" i="83" s="1"/>
  <c r="H165" i="83" s="1"/>
  <c r="K1616" i="79"/>
  <c r="K1626" i="79" s="1"/>
  <c r="E132" i="83" s="1"/>
  <c r="E175" i="83" s="1"/>
  <c r="L1626" i="79"/>
  <c r="F132" i="83" s="1"/>
  <c r="F175" i="83" s="1"/>
  <c r="M1625" i="79"/>
  <c r="G131" i="83" s="1"/>
  <c r="G165" i="83" s="1"/>
  <c r="Q1625" i="79"/>
  <c r="K131" i="83" s="1"/>
  <c r="K165" i="83" s="1"/>
  <c r="N1626" i="79"/>
  <c r="H132" i="83" s="1"/>
  <c r="H175" i="83" s="1"/>
  <c r="O1615" i="79"/>
  <c r="O1625" i="79" s="1"/>
  <c r="I131" i="83" s="1"/>
  <c r="I165" i="83" s="1"/>
  <c r="C2957" i="79"/>
  <c r="R1625" i="79"/>
  <c r="L131" i="83" s="1"/>
  <c r="L165" i="83" s="1"/>
  <c r="T1625" i="79"/>
  <c r="N131" i="83" s="1"/>
  <c r="N165" i="83" s="1"/>
  <c r="T1626" i="79"/>
  <c r="N132" i="83" s="1"/>
  <c r="N175" i="83" s="1"/>
  <c r="R1626" i="79"/>
  <c r="L132" i="83" s="1"/>
  <c r="L175" i="83" s="1"/>
  <c r="F446" i="40"/>
  <c r="S446" i="40" s="1"/>
  <c r="AF446" i="40" s="1"/>
  <c r="E481" i="40"/>
  <c r="S1626" i="79"/>
  <c r="M132" i="83" s="1"/>
  <c r="M175" i="83" s="1"/>
  <c r="P1626" i="79"/>
  <c r="J132" i="83" s="1"/>
  <c r="J175" i="83" s="1"/>
  <c r="I1626" i="79"/>
  <c r="C132" i="83" s="1"/>
  <c r="C175" i="83" s="1"/>
  <c r="D1414" i="79"/>
  <c r="I1414" i="79" s="1"/>
  <c r="E485" i="40"/>
  <c r="R485" i="40" s="1"/>
  <c r="AE485" i="40" s="1"/>
  <c r="AC509" i="40"/>
  <c r="C28" i="10" s="1"/>
  <c r="D1415" i="79"/>
  <c r="I1415" i="79" s="1"/>
  <c r="L1615" i="79"/>
  <c r="L1625" i="79" s="1"/>
  <c r="F131" i="83" s="1"/>
  <c r="J1625" i="79"/>
  <c r="D131" i="83" s="1"/>
  <c r="D165" i="83" s="1"/>
  <c r="Q1616" i="79"/>
  <c r="Q1626" i="79" s="1"/>
  <c r="K132" i="83" s="1"/>
  <c r="K175" i="83" s="1"/>
  <c r="O459" i="73"/>
  <c r="O463" i="73" s="1"/>
  <c r="N464" i="73"/>
  <c r="N465" i="73" s="1"/>
  <c r="I1625" i="79"/>
  <c r="C131" i="83" s="1"/>
  <c r="C165" i="83" s="1"/>
  <c r="D1416" i="79"/>
  <c r="I1416" i="79" s="1"/>
  <c r="Q204" i="73"/>
  <c r="Q205" i="73" s="1"/>
  <c r="P205" i="73"/>
  <c r="O464" i="73" s="1"/>
  <c r="O1626" i="79"/>
  <c r="I132" i="83" s="1"/>
  <c r="I175" i="83" s="1"/>
  <c r="D482" i="40"/>
  <c r="Q482" i="40" s="1"/>
  <c r="AD482" i="40" s="1"/>
  <c r="AE456" i="40"/>
  <c r="F456" i="40"/>
  <c r="S456" i="40" s="1"/>
  <c r="D461" i="40"/>
  <c r="Q461" i="40" s="1"/>
  <c r="D488" i="40"/>
  <c r="Q488" i="40" s="1"/>
  <c r="D490" i="40"/>
  <c r="Q490" i="40" s="1"/>
  <c r="D479" i="40"/>
  <c r="Q479" i="40" s="1"/>
  <c r="AD479" i="40" s="1"/>
  <c r="AF423" i="40"/>
  <c r="AK423" i="40"/>
  <c r="AF389" i="40"/>
  <c r="AK389" i="40"/>
  <c r="AG416" i="40"/>
  <c r="AL416" i="40"/>
  <c r="AF395" i="40"/>
  <c r="AK395" i="40"/>
  <c r="AK422" i="40"/>
  <c r="AF422" i="40"/>
  <c r="P1625" i="79"/>
  <c r="J131" i="83" s="1"/>
  <c r="J165" i="83" s="1"/>
  <c r="J93" i="83"/>
  <c r="K103" i="8"/>
  <c r="G348" i="40"/>
  <c r="C375" i="40" s="1"/>
  <c r="D93" i="83"/>
  <c r="E103" i="8"/>
  <c r="K1625" i="79"/>
  <c r="E131" i="83" s="1"/>
  <c r="J1626" i="79"/>
  <c r="D132" i="83" s="1"/>
  <c r="D175" i="83" s="1"/>
  <c r="D489" i="40"/>
  <c r="D459" i="40"/>
  <c r="AF393" i="40"/>
  <c r="AK393" i="40"/>
  <c r="N103" i="8"/>
  <c r="M93" i="83"/>
  <c r="S1625" i="79"/>
  <c r="M131" i="83" s="1"/>
  <c r="M165" i="83" s="1"/>
  <c r="D455" i="40"/>
  <c r="P99" i="8"/>
  <c r="C93" i="83"/>
  <c r="D103" i="8"/>
  <c r="G93" i="83"/>
  <c r="H103" i="8"/>
  <c r="I93" i="83"/>
  <c r="J103" i="8"/>
  <c r="M1626" i="79"/>
  <c r="G132" i="83" s="1"/>
  <c r="G175" i="83" s="1"/>
  <c r="F93" i="83"/>
  <c r="G103" i="8"/>
  <c r="L93" i="83"/>
  <c r="M103" i="8"/>
  <c r="N93" i="83"/>
  <c r="K93" i="83"/>
  <c r="L103" i="8"/>
  <c r="I103" i="8"/>
  <c r="H93" i="83"/>
  <c r="P126" i="8"/>
  <c r="C29" i="80"/>
  <c r="AF424" i="40"/>
  <c r="AK424" i="40"/>
  <c r="F103" i="8"/>
  <c r="E93" i="83"/>
  <c r="AK421" i="40"/>
  <c r="AF421" i="40"/>
  <c r="F487" i="40" s="1"/>
  <c r="AK381" i="40"/>
  <c r="AF381" i="40"/>
  <c r="R447" i="40"/>
  <c r="AE447" i="40" s="1"/>
  <c r="I471" i="40"/>
  <c r="V471" i="40" s="1"/>
  <c r="AI471" i="40" s="1"/>
  <c r="J453" i="40"/>
  <c r="W453" i="40" s="1"/>
  <c r="AJ453" i="40" s="1"/>
  <c r="L454" i="40"/>
  <c r="Y454" i="40" s="1"/>
  <c r="AL454" i="40" s="1"/>
  <c r="H502" i="40"/>
  <c r="U502" i="40" s="1"/>
  <c r="AH502" i="40" s="1"/>
  <c r="H469" i="40"/>
  <c r="U469" i="40" s="1"/>
  <c r="AH469" i="40" s="1"/>
  <c r="AH474" i="40"/>
  <c r="I474" i="40"/>
  <c r="V474" i="40" s="1"/>
  <c r="AI474" i="40" s="1"/>
  <c r="J464" i="40"/>
  <c r="W464" i="40" s="1"/>
  <c r="AJ464" i="40" s="1"/>
  <c r="J505" i="40"/>
  <c r="W505" i="40" s="1"/>
  <c r="AJ505" i="40" s="1"/>
  <c r="AG497" i="40"/>
  <c r="H497" i="40"/>
  <c r="U497" i="40" s="1"/>
  <c r="AH497" i="40" s="1"/>
  <c r="I463" i="40"/>
  <c r="V463" i="40" s="1"/>
  <c r="AI463" i="40" s="1"/>
  <c r="H475" i="40"/>
  <c r="U475" i="40" s="1"/>
  <c r="AH475" i="40" s="1"/>
  <c r="I460" i="40"/>
  <c r="V460" i="40" s="1"/>
  <c r="AI460" i="40" s="1"/>
  <c r="I467" i="40"/>
  <c r="V467" i="40" s="1"/>
  <c r="AI467" i="40" s="1"/>
  <c r="H458" i="40"/>
  <c r="U458" i="40" s="1"/>
  <c r="AH458" i="40" s="1"/>
  <c r="I473" i="40"/>
  <c r="V473" i="40" s="1"/>
  <c r="I503" i="40"/>
  <c r="V503" i="40" s="1"/>
  <c r="AI503" i="40" s="1"/>
  <c r="J457" i="40"/>
  <c r="W457" i="40" s="1"/>
  <c r="AJ457" i="40" s="1"/>
  <c r="I466" i="40"/>
  <c r="V466" i="40" s="1"/>
  <c r="AI466" i="40" s="1"/>
  <c r="K504" i="40"/>
  <c r="X504" i="40" s="1"/>
  <c r="AK504" i="40" s="1"/>
  <c r="J450" i="40"/>
  <c r="W450" i="40" s="1"/>
  <c r="AJ450" i="40" s="1"/>
  <c r="I468" i="40"/>
  <c r="V468" i="40" s="1"/>
  <c r="AI468" i="40" s="1"/>
  <c r="L449" i="40"/>
  <c r="Y449" i="40" s="1"/>
  <c r="I484" i="40"/>
  <c r="V484" i="40" s="1"/>
  <c r="AI484" i="40" s="1"/>
  <c r="H472" i="40"/>
  <c r="U472" i="40" s="1"/>
  <c r="AH472" i="40" s="1"/>
  <c r="K451" i="40"/>
  <c r="X451" i="40" s="1"/>
  <c r="AK451" i="40" s="1"/>
  <c r="K493" i="40"/>
  <c r="X493" i="40" s="1"/>
  <c r="AK493" i="40" s="1"/>
  <c r="U462" i="40"/>
  <c r="AH462" i="40" s="1"/>
  <c r="U498" i="40"/>
  <c r="AH498" i="40" s="1"/>
  <c r="T499" i="40"/>
  <c r="AG499" i="40" s="1"/>
  <c r="W494" i="40"/>
  <c r="AJ494" i="40" s="1"/>
  <c r="V476" i="40"/>
  <c r="AI476" i="40" s="1"/>
  <c r="V477" i="40"/>
  <c r="AI477" i="40" s="1"/>
  <c r="V483" i="40"/>
  <c r="AI483" i="40" s="1"/>
  <c r="U500" i="40"/>
  <c r="AH500" i="40" s="1"/>
  <c r="U470" i="40"/>
  <c r="AH470" i="40" s="1"/>
  <c r="W492" i="40"/>
  <c r="AJ492" i="40" s="1"/>
  <c r="X495" i="40"/>
  <c r="AK495" i="40" s="1"/>
  <c r="T496" i="40"/>
  <c r="AG496" i="40" s="1"/>
  <c r="V506" i="40"/>
  <c r="AI506" i="40" s="1"/>
  <c r="T465" i="40"/>
  <c r="AG465" i="40" s="1"/>
  <c r="I507" i="40"/>
  <c r="V501" i="40"/>
  <c r="AI501" i="40" s="1"/>
  <c r="AV698" i="64"/>
  <c r="AI698" i="64"/>
  <c r="AN769" i="64"/>
  <c r="BA769" i="64"/>
  <c r="AU698" i="64"/>
  <c r="AH698" i="64"/>
  <c r="AS698" i="64"/>
  <c r="AF698" i="64"/>
  <c r="AD770" i="64"/>
  <c r="AD841" i="64"/>
  <c r="AD699" i="64"/>
  <c r="Y770" i="64"/>
  <c r="Y699" i="64"/>
  <c r="Y841" i="64"/>
  <c r="S770" i="64"/>
  <c r="S699" i="64"/>
  <c r="S841" i="64"/>
  <c r="AZ769" i="64"/>
  <c r="AM769" i="64"/>
  <c r="AP698" i="64"/>
  <c r="BC698" i="64"/>
  <c r="AT698" i="64"/>
  <c r="AG698" i="64"/>
  <c r="BB698" i="64"/>
  <c r="AO698" i="64"/>
  <c r="AK769" i="64"/>
  <c r="AX769" i="64"/>
  <c r="BA698" i="64"/>
  <c r="AN698" i="64"/>
  <c r="AU840" i="64"/>
  <c r="AH840" i="64"/>
  <c r="AL769" i="64"/>
  <c r="AY769" i="64"/>
  <c r="U841" i="64"/>
  <c r="U699" i="64"/>
  <c r="U770" i="64"/>
  <c r="W770" i="64"/>
  <c r="W841" i="64"/>
  <c r="W699" i="64"/>
  <c r="AA699" i="64"/>
  <c r="AA770" i="64"/>
  <c r="AA841" i="64"/>
  <c r="AZ840" i="64"/>
  <c r="AM840" i="64"/>
  <c r="AQ840" i="64"/>
  <c r="BD840" i="64"/>
  <c r="AW769" i="64"/>
  <c r="AJ769" i="64"/>
  <c r="AT840" i="64"/>
  <c r="AG840" i="64"/>
  <c r="BB769" i="64"/>
  <c r="AO769" i="64"/>
  <c r="AV769" i="64"/>
  <c r="AI769" i="64"/>
  <c r="AK698" i="64"/>
  <c r="AX698" i="64"/>
  <c r="AN840" i="64"/>
  <c r="BA840" i="64"/>
  <c r="AF840" i="64"/>
  <c r="AS840" i="64"/>
  <c r="AL698" i="64"/>
  <c r="AY698" i="64"/>
  <c r="T770" i="64"/>
  <c r="T841" i="64"/>
  <c r="T699" i="64"/>
  <c r="Z699" i="64"/>
  <c r="Z770" i="64"/>
  <c r="Z841" i="64"/>
  <c r="AB699" i="64"/>
  <c r="AB770" i="64"/>
  <c r="AB841" i="64"/>
  <c r="BE39" i="65"/>
  <c r="BJ38" i="65"/>
  <c r="BR38" i="65"/>
  <c r="BL38" i="65"/>
  <c r="BK38" i="65"/>
  <c r="BP38" i="65"/>
  <c r="BM38" i="65"/>
  <c r="BN38" i="65"/>
  <c r="BG38" i="65"/>
  <c r="BH38" i="65"/>
  <c r="BI38" i="65"/>
  <c r="BQ38" i="65"/>
  <c r="BO38" i="65"/>
  <c r="BC840" i="64"/>
  <c r="AP840" i="64"/>
  <c r="BD769" i="64"/>
  <c r="AQ769" i="64"/>
  <c r="AJ840" i="64"/>
  <c r="AW840" i="64"/>
  <c r="AG769" i="64"/>
  <c r="AT769" i="64"/>
  <c r="AI840" i="64"/>
  <c r="AV840" i="64"/>
  <c r="AK840" i="64"/>
  <c r="AX840" i="64"/>
  <c r="CM47" i="65"/>
  <c r="CG48" i="65"/>
  <c r="CP47" i="65"/>
  <c r="CJ47" i="65"/>
  <c r="CO47" i="65"/>
  <c r="CS47" i="65"/>
  <c r="CL47" i="65"/>
  <c r="CQ47" i="65"/>
  <c r="CN47" i="65"/>
  <c r="CR47" i="65"/>
  <c r="CT47" i="65"/>
  <c r="CI47" i="65"/>
  <c r="CK47" i="65"/>
  <c r="AU769" i="64"/>
  <c r="AH769" i="64"/>
  <c r="AF769" i="64"/>
  <c r="AS769" i="64"/>
  <c r="AY840" i="64"/>
  <c r="AL840" i="64"/>
  <c r="X699" i="64"/>
  <c r="X770" i="64"/>
  <c r="X841" i="64"/>
  <c r="V841" i="64"/>
  <c r="V770" i="64"/>
  <c r="V699" i="64"/>
  <c r="AC699" i="64"/>
  <c r="AC841" i="64"/>
  <c r="AC770" i="64"/>
  <c r="AM698" i="64"/>
  <c r="AZ698" i="64"/>
  <c r="BC769" i="64"/>
  <c r="AP769" i="64"/>
  <c r="BD698" i="64"/>
  <c r="AQ698" i="64"/>
  <c r="AJ698" i="64"/>
  <c r="AW698" i="64"/>
  <c r="AO840" i="64"/>
  <c r="BB840" i="64"/>
  <c r="BS48" i="65"/>
  <c r="CC47" i="65"/>
  <c r="BW47" i="65"/>
  <c r="BX47" i="65"/>
  <c r="BU47" i="65"/>
  <c r="BZ47" i="65"/>
  <c r="CA47" i="65"/>
  <c r="CF47" i="65"/>
  <c r="CB47" i="65"/>
  <c r="CD47" i="65"/>
  <c r="CE47" i="65"/>
  <c r="BV47" i="65"/>
  <c r="BY47" i="65"/>
  <c r="X484" i="73"/>
  <c r="P228" i="85"/>
  <c r="Q229" i="85"/>
  <c r="Q55" i="85"/>
  <c r="Q186" i="85"/>
  <c r="D249" i="85"/>
  <c r="E249" i="85" s="1"/>
  <c r="G205" i="71" s="1"/>
  <c r="C85" i="71" s="1"/>
  <c r="T187" i="85"/>
  <c r="S187" i="85"/>
  <c r="S479" i="73"/>
  <c r="T479" i="73"/>
  <c r="T477" i="73"/>
  <c r="S477" i="73"/>
  <c r="Q570" i="73"/>
  <c r="D626" i="73"/>
  <c r="T122" i="64"/>
  <c r="T483" i="73"/>
  <c r="S483" i="73"/>
  <c r="E478" i="40"/>
  <c r="R478" i="40" s="1"/>
  <c r="AE478" i="40" s="1"/>
  <c r="F486" i="40"/>
  <c r="S486" i="40" s="1"/>
  <c r="AF486" i="40" s="1"/>
  <c r="E448" i="40"/>
  <c r="R448" i="40" s="1"/>
  <c r="AE448" i="40" s="1"/>
  <c r="E491" i="40"/>
  <c r="R491" i="40" s="1"/>
  <c r="AE491" i="40" s="1"/>
  <c r="AK413" i="40"/>
  <c r="AF413" i="40"/>
  <c r="AK382" i="40"/>
  <c r="AF382" i="40"/>
  <c r="E480" i="40"/>
  <c r="R480" i="40" s="1"/>
  <c r="AE480" i="40" s="1"/>
  <c r="F452" i="40"/>
  <c r="AK419" i="40"/>
  <c r="AF419" i="40"/>
  <c r="Q25" i="85"/>
  <c r="P239" i="85"/>
  <c r="Q337" i="77" s="1"/>
  <c r="P103" i="8" l="1"/>
  <c r="N133" i="83"/>
  <c r="N181" i="83" s="1"/>
  <c r="H133" i="83"/>
  <c r="H181" i="83" s="1"/>
  <c r="L133" i="83"/>
  <c r="L181" i="83" s="1"/>
  <c r="K133" i="83"/>
  <c r="K181" i="83" s="1"/>
  <c r="T484" i="73"/>
  <c r="R481" i="40"/>
  <c r="AE481" i="40" s="1"/>
  <c r="M133" i="83"/>
  <c r="M181" i="83" s="1"/>
  <c r="D133" i="83"/>
  <c r="D181" i="83" s="1"/>
  <c r="S484" i="73"/>
  <c r="N10" i="80" s="1"/>
  <c r="F165" i="83"/>
  <c r="F133" i="83"/>
  <c r="F181" i="83" s="1"/>
  <c r="N467" i="73"/>
  <c r="O273" i="77"/>
  <c r="O254" i="77"/>
  <c r="O255" i="77" s="1"/>
  <c r="Q459" i="73"/>
  <c r="Q463" i="73" s="1"/>
  <c r="Q464" i="73"/>
  <c r="P464" i="73"/>
  <c r="O465" i="73"/>
  <c r="J133" i="83"/>
  <c r="J181" i="83" s="1"/>
  <c r="O175" i="83"/>
  <c r="J30" i="83" s="1"/>
  <c r="I133" i="83"/>
  <c r="I181" i="83" s="1"/>
  <c r="I109" i="61"/>
  <c r="I147" i="61"/>
  <c r="O132" i="83"/>
  <c r="P459" i="73"/>
  <c r="P463" i="73" s="1"/>
  <c r="R205" i="73"/>
  <c r="G446" i="40"/>
  <c r="T446" i="40" s="1"/>
  <c r="AG446" i="40" s="1"/>
  <c r="AD488" i="40"/>
  <c r="E488" i="40"/>
  <c r="R488" i="40" s="1"/>
  <c r="AE488" i="40" s="1"/>
  <c r="AF456" i="40"/>
  <c r="G456" i="40"/>
  <c r="T456" i="40" s="1"/>
  <c r="AG456" i="40" s="1"/>
  <c r="O131" i="83"/>
  <c r="AD461" i="40"/>
  <c r="E461" i="40"/>
  <c r="R461" i="40" s="1"/>
  <c r="AE461" i="40" s="1"/>
  <c r="AD490" i="40"/>
  <c r="E490" i="40"/>
  <c r="R490" i="40" s="1"/>
  <c r="AE490" i="40" s="1"/>
  <c r="E133" i="83"/>
  <c r="E181" i="83" s="1"/>
  <c r="E165" i="83"/>
  <c r="AK416" i="40"/>
  <c r="AF416" i="40"/>
  <c r="C130" i="83"/>
  <c r="C133" i="83" s="1"/>
  <c r="C181" i="83" s="1"/>
  <c r="O29" i="80"/>
  <c r="Q489" i="40"/>
  <c r="AD489" i="40" s="1"/>
  <c r="Q455" i="40"/>
  <c r="AD455" i="40" s="1"/>
  <c r="G133" i="83"/>
  <c r="G181" i="83" s="1"/>
  <c r="Q459" i="40"/>
  <c r="AD459" i="40" s="1"/>
  <c r="E482" i="40"/>
  <c r="E479" i="40"/>
  <c r="R479" i="40" s="1"/>
  <c r="AE479" i="40" s="1"/>
  <c r="F447" i="40"/>
  <c r="S447" i="40" s="1"/>
  <c r="AF447" i="40" s="1"/>
  <c r="S487" i="40"/>
  <c r="AF487" i="40" s="1"/>
  <c r="I497" i="40"/>
  <c r="V497" i="40" s="1"/>
  <c r="AI497" i="40" s="1"/>
  <c r="I498" i="40"/>
  <c r="V498" i="40" s="1"/>
  <c r="AI498" i="40" s="1"/>
  <c r="J477" i="40"/>
  <c r="W477" i="40" s="1"/>
  <c r="AJ477" i="40" s="1"/>
  <c r="K453" i="40"/>
  <c r="X453" i="40" s="1"/>
  <c r="AK453" i="40" s="1"/>
  <c r="H499" i="40"/>
  <c r="U499" i="40" s="1"/>
  <c r="AH499" i="40" s="1"/>
  <c r="I472" i="40"/>
  <c r="V472" i="40" s="1"/>
  <c r="AI472" i="40" s="1"/>
  <c r="K494" i="40"/>
  <c r="X494" i="40" s="1"/>
  <c r="AK494" i="40" s="1"/>
  <c r="K464" i="40"/>
  <c r="X464" i="40" s="1"/>
  <c r="AK464" i="40" s="1"/>
  <c r="I462" i="40"/>
  <c r="V462" i="40" s="1"/>
  <c r="AI462" i="40" s="1"/>
  <c r="K457" i="40"/>
  <c r="X457" i="40" s="1"/>
  <c r="AK457" i="40" s="1"/>
  <c r="K505" i="40"/>
  <c r="X505" i="40" s="1"/>
  <c r="AK505" i="40" s="1"/>
  <c r="I469" i="40"/>
  <c r="V469" i="40" s="1"/>
  <c r="AI469" i="40" s="1"/>
  <c r="AL449" i="40"/>
  <c r="M449" i="40"/>
  <c r="Z449" i="40" s="1"/>
  <c r="AM449" i="40" s="1"/>
  <c r="AI473" i="40"/>
  <c r="J473" i="40"/>
  <c r="W473" i="40" s="1"/>
  <c r="AJ473" i="40" s="1"/>
  <c r="L493" i="40"/>
  <c r="Y493" i="40" s="1"/>
  <c r="AL493" i="40" s="1"/>
  <c r="J460" i="40"/>
  <c r="W460" i="40" s="1"/>
  <c r="AJ460" i="40" s="1"/>
  <c r="J506" i="40"/>
  <c r="W506" i="40" s="1"/>
  <c r="K450" i="40"/>
  <c r="X450" i="40" s="1"/>
  <c r="J467" i="40"/>
  <c r="W467" i="40" s="1"/>
  <c r="AJ467" i="40" s="1"/>
  <c r="I470" i="40"/>
  <c r="V470" i="40" s="1"/>
  <c r="AI470" i="40" s="1"/>
  <c r="I475" i="40"/>
  <c r="V475" i="40" s="1"/>
  <c r="AI475" i="40" s="1"/>
  <c r="M454" i="40"/>
  <c r="Z454" i="40" s="1"/>
  <c r="AM454" i="40" s="1"/>
  <c r="J501" i="40"/>
  <c r="H465" i="40"/>
  <c r="H496" i="40"/>
  <c r="L451" i="40"/>
  <c r="J484" i="40"/>
  <c r="J468" i="40"/>
  <c r="L504" i="40"/>
  <c r="J466" i="40"/>
  <c r="J503" i="40"/>
  <c r="I458" i="40"/>
  <c r="L495" i="40"/>
  <c r="K492" i="40"/>
  <c r="I500" i="40"/>
  <c r="J483" i="40"/>
  <c r="J476" i="40"/>
  <c r="J474" i="40"/>
  <c r="J471" i="40"/>
  <c r="J463" i="40"/>
  <c r="I502" i="40"/>
  <c r="V507" i="40"/>
  <c r="AI507" i="40" s="1"/>
  <c r="BC841" i="64"/>
  <c r="AP841" i="64"/>
  <c r="AV841" i="64"/>
  <c r="AI841" i="64"/>
  <c r="T771" i="64"/>
  <c r="T842" i="64"/>
  <c r="T700" i="64"/>
  <c r="AB700" i="64"/>
  <c r="AB771" i="64"/>
  <c r="AB842" i="64"/>
  <c r="V700" i="64"/>
  <c r="V771" i="64"/>
  <c r="V842" i="64"/>
  <c r="BB699" i="64"/>
  <c r="AO699" i="64"/>
  <c r="AG699" i="64"/>
  <c r="AT699" i="64"/>
  <c r="AJ699" i="64"/>
  <c r="AW699" i="64"/>
  <c r="AH699" i="64"/>
  <c r="AU699" i="64"/>
  <c r="AS770" i="64"/>
  <c r="AF770" i="64"/>
  <c r="AQ699" i="64"/>
  <c r="BD699" i="64"/>
  <c r="AP699" i="64"/>
  <c r="BC699" i="64"/>
  <c r="AX841" i="64"/>
  <c r="AK841" i="64"/>
  <c r="CG49" i="65"/>
  <c r="CL48" i="65"/>
  <c r="CT48" i="65"/>
  <c r="CQ48" i="65"/>
  <c r="CN48" i="65"/>
  <c r="CR48" i="65"/>
  <c r="CP48" i="65"/>
  <c r="CM48" i="65"/>
  <c r="CK48" i="65"/>
  <c r="CI48" i="65"/>
  <c r="CO48" i="65"/>
  <c r="CS48" i="65"/>
  <c r="CJ48" i="65"/>
  <c r="AA700" i="64"/>
  <c r="AA842" i="64"/>
  <c r="AA771" i="64"/>
  <c r="S700" i="64"/>
  <c r="S771" i="64"/>
  <c r="S842" i="64"/>
  <c r="W842" i="64"/>
  <c r="W700" i="64"/>
  <c r="W771" i="64"/>
  <c r="BE40" i="65"/>
  <c r="BK39" i="65"/>
  <c r="BP39" i="65"/>
  <c r="BM39" i="65"/>
  <c r="BG39" i="65"/>
  <c r="BH39" i="65"/>
  <c r="BI39" i="65"/>
  <c r="BR39" i="65"/>
  <c r="BO39" i="65"/>
  <c r="BQ39" i="65"/>
  <c r="BN39" i="65"/>
  <c r="BJ39" i="65"/>
  <c r="BL39" i="65"/>
  <c r="AZ841" i="64"/>
  <c r="AM841" i="64"/>
  <c r="AT841" i="64"/>
  <c r="AG841" i="64"/>
  <c r="AN841" i="64"/>
  <c r="BA841" i="64"/>
  <c r="AW841" i="64"/>
  <c r="AJ841" i="64"/>
  <c r="AU841" i="64"/>
  <c r="AH841" i="64"/>
  <c r="AL841" i="64"/>
  <c r="AY841" i="64"/>
  <c r="BD841" i="64"/>
  <c r="AQ841" i="64"/>
  <c r="AI699" i="64"/>
  <c r="AV699" i="64"/>
  <c r="AX770" i="64"/>
  <c r="AK770" i="64"/>
  <c r="AC842" i="64"/>
  <c r="AC700" i="64"/>
  <c r="AC771" i="64"/>
  <c r="Z842" i="64"/>
  <c r="Z700" i="64"/>
  <c r="Z771" i="64"/>
  <c r="X842" i="64"/>
  <c r="X700" i="64"/>
  <c r="X771" i="64"/>
  <c r="AO841" i="64"/>
  <c r="BB841" i="64"/>
  <c r="AZ770" i="64"/>
  <c r="AM770" i="64"/>
  <c r="AG770" i="64"/>
  <c r="AT770" i="64"/>
  <c r="AN770" i="64"/>
  <c r="BA770" i="64"/>
  <c r="AJ770" i="64"/>
  <c r="AW770" i="64"/>
  <c r="AF841" i="64"/>
  <c r="AS841" i="64"/>
  <c r="AL699" i="64"/>
  <c r="AY699" i="64"/>
  <c r="AQ770" i="64"/>
  <c r="BD770" i="64"/>
  <c r="BS49" i="65"/>
  <c r="BX48" i="65"/>
  <c r="BU48" i="65"/>
  <c r="BY48" i="65"/>
  <c r="BZ48" i="65"/>
  <c r="CA48" i="65"/>
  <c r="CB48" i="65"/>
  <c r="BV48" i="65"/>
  <c r="CE48" i="65"/>
  <c r="CD48" i="65"/>
  <c r="BW48" i="65"/>
  <c r="CF48" i="65"/>
  <c r="CC48" i="65"/>
  <c r="BC770" i="64"/>
  <c r="AP770" i="64"/>
  <c r="AV770" i="64"/>
  <c r="AI770" i="64"/>
  <c r="AK699" i="64"/>
  <c r="AX699" i="64"/>
  <c r="U842" i="64"/>
  <c r="U700" i="64"/>
  <c r="U771" i="64"/>
  <c r="Y771" i="64"/>
  <c r="Y842" i="64"/>
  <c r="Y700" i="64"/>
  <c r="AD771" i="64"/>
  <c r="AD700" i="64"/>
  <c r="AD842" i="64"/>
  <c r="BB770" i="64"/>
  <c r="AO770" i="64"/>
  <c r="AZ699" i="64"/>
  <c r="AM699" i="64"/>
  <c r="AN699" i="64"/>
  <c r="BA699" i="64"/>
  <c r="AH770" i="64"/>
  <c r="AU770" i="64"/>
  <c r="AS699" i="64"/>
  <c r="AF699" i="64"/>
  <c r="AL770" i="64"/>
  <c r="AY770" i="64"/>
  <c r="R186" i="85"/>
  <c r="W186" i="85"/>
  <c r="X186" i="85" s="1"/>
  <c r="F485" i="40"/>
  <c r="S485" i="40" s="1"/>
  <c r="AF485" i="40" s="1"/>
  <c r="Q202" i="85"/>
  <c r="Q204" i="85"/>
  <c r="H245" i="85"/>
  <c r="I245" i="85" s="1"/>
  <c r="J245" i="85" s="1"/>
  <c r="H626" i="73"/>
  <c r="D629" i="73"/>
  <c r="E629" i="73" s="1"/>
  <c r="G149" i="71" s="1"/>
  <c r="F478" i="40"/>
  <c r="S478" i="40" s="1"/>
  <c r="AF478" i="40" s="1"/>
  <c r="F491" i="40"/>
  <c r="S491" i="40" s="1"/>
  <c r="AF491" i="40" s="1"/>
  <c r="F448" i="40"/>
  <c r="S448" i="40" s="1"/>
  <c r="AF448" i="40" s="1"/>
  <c r="S452" i="40"/>
  <c r="AF452" i="40" s="1"/>
  <c r="F480" i="40"/>
  <c r="G486" i="40"/>
  <c r="G194" i="71"/>
  <c r="C79" i="71" s="1"/>
  <c r="Q26" i="85"/>
  <c r="Q28" i="85"/>
  <c r="Q29" i="85" s="1"/>
  <c r="Q320" i="77"/>
  <c r="O165" i="83" l="1"/>
  <c r="D30" i="83" s="1"/>
  <c r="F481" i="40"/>
  <c r="S481" i="40" s="1"/>
  <c r="AF481" i="40" s="1"/>
  <c r="O10" i="80"/>
  <c r="N7" i="80"/>
  <c r="O7" i="80" s="1"/>
  <c r="Q465" i="73"/>
  <c r="Q467" i="73" s="1"/>
  <c r="P254" i="77"/>
  <c r="P255" i="77" s="1"/>
  <c r="P273" i="77"/>
  <c r="O467" i="73"/>
  <c r="P465" i="73"/>
  <c r="Q273" i="77" s="1"/>
  <c r="O181" i="83"/>
  <c r="G30" i="83" s="1"/>
  <c r="H30" i="83" s="1"/>
  <c r="H446" i="40"/>
  <c r="U446" i="40" s="1"/>
  <c r="AH446" i="40" s="1"/>
  <c r="E459" i="40"/>
  <c r="R459" i="40" s="1"/>
  <c r="AE459" i="40" s="1"/>
  <c r="F490" i="40"/>
  <c r="S490" i="40" s="1"/>
  <c r="AF490" i="40" s="1"/>
  <c r="F461" i="40"/>
  <c r="S461" i="40" s="1"/>
  <c r="AF461" i="40" s="1"/>
  <c r="H456" i="40"/>
  <c r="U456" i="40" s="1"/>
  <c r="AH456" i="40" s="1"/>
  <c r="AD509" i="40"/>
  <c r="D28" i="10" s="1"/>
  <c r="O133" i="83"/>
  <c r="E489" i="40"/>
  <c r="F488" i="40"/>
  <c r="F479" i="40"/>
  <c r="S479" i="40" s="1"/>
  <c r="AF479" i="40" s="1"/>
  <c r="G487" i="40"/>
  <c r="T487" i="40" s="1"/>
  <c r="AG487" i="40" s="1"/>
  <c r="R482" i="40"/>
  <c r="AE482" i="40" s="1"/>
  <c r="E455" i="40"/>
  <c r="G447" i="40"/>
  <c r="T447" i="40" s="1"/>
  <c r="AG447" i="40" s="1"/>
  <c r="C138" i="61"/>
  <c r="AK450" i="40"/>
  <c r="L450" i="40"/>
  <c r="Y450" i="40" s="1"/>
  <c r="AL450" i="40" s="1"/>
  <c r="K467" i="40"/>
  <c r="X467" i="40" s="1"/>
  <c r="AK467" i="40" s="1"/>
  <c r="J462" i="40"/>
  <c r="W462" i="40" s="1"/>
  <c r="AJ462" i="40" s="1"/>
  <c r="L494" i="40"/>
  <c r="Y494" i="40" s="1"/>
  <c r="AL494" i="40" s="1"/>
  <c r="J472" i="40"/>
  <c r="W472" i="40" s="1"/>
  <c r="AJ472" i="40" s="1"/>
  <c r="L457" i="40"/>
  <c r="Y457" i="40" s="1"/>
  <c r="AL457" i="40" s="1"/>
  <c r="AJ506" i="40"/>
  <c r="K506" i="40"/>
  <c r="X506" i="40" s="1"/>
  <c r="AK506" i="40" s="1"/>
  <c r="N454" i="40"/>
  <c r="AA454" i="40" s="1"/>
  <c r="AN454" i="40" s="1"/>
  <c r="K460" i="40"/>
  <c r="X460" i="40" s="1"/>
  <c r="AK460" i="40" s="1"/>
  <c r="K473" i="40"/>
  <c r="X473" i="40" s="1"/>
  <c r="AK473" i="40" s="1"/>
  <c r="N449" i="40"/>
  <c r="AA449" i="40" s="1"/>
  <c r="AN449" i="40" s="1"/>
  <c r="M493" i="40"/>
  <c r="Z493" i="40" s="1"/>
  <c r="AM493" i="40" s="1"/>
  <c r="W474" i="40"/>
  <c r="AJ474" i="40" s="1"/>
  <c r="X492" i="40"/>
  <c r="AK492" i="40" s="1"/>
  <c r="W503" i="40"/>
  <c r="AJ503" i="40" s="1"/>
  <c r="W484" i="40"/>
  <c r="AJ484" i="40" s="1"/>
  <c r="W501" i="40"/>
  <c r="AJ501" i="40" s="1"/>
  <c r="J507" i="40"/>
  <c r="V502" i="40"/>
  <c r="AI502" i="40" s="1"/>
  <c r="W476" i="40"/>
  <c r="AJ476" i="40" s="1"/>
  <c r="Y495" i="40"/>
  <c r="AL495" i="40" s="1"/>
  <c r="W466" i="40"/>
  <c r="AJ466" i="40" s="1"/>
  <c r="Y451" i="40"/>
  <c r="AL451" i="40" s="1"/>
  <c r="J498" i="40"/>
  <c r="L464" i="40"/>
  <c r="L505" i="40"/>
  <c r="J497" i="40"/>
  <c r="W483" i="40"/>
  <c r="AJ483" i="40" s="1"/>
  <c r="Y504" i="40"/>
  <c r="AL504" i="40" s="1"/>
  <c r="U496" i="40"/>
  <c r="AH496" i="40" s="1"/>
  <c r="W463" i="40"/>
  <c r="AJ463" i="40" s="1"/>
  <c r="W471" i="40"/>
  <c r="AJ471" i="40" s="1"/>
  <c r="V500" i="40"/>
  <c r="AI500" i="40" s="1"/>
  <c r="V458" i="40"/>
  <c r="AI458" i="40" s="1"/>
  <c r="W468" i="40"/>
  <c r="AJ468" i="40" s="1"/>
  <c r="U465" i="40"/>
  <c r="AH465" i="40" s="1"/>
  <c r="I499" i="40"/>
  <c r="J469" i="40"/>
  <c r="L453" i="40"/>
  <c r="J475" i="40"/>
  <c r="K477" i="40"/>
  <c r="J470" i="40"/>
  <c r="AQ771" i="64"/>
  <c r="BD771" i="64"/>
  <c r="AH771" i="64"/>
  <c r="AU771" i="64"/>
  <c r="AM771" i="64"/>
  <c r="AZ771" i="64"/>
  <c r="BC700" i="64"/>
  <c r="AP700" i="64"/>
  <c r="X772" i="64"/>
  <c r="X701" i="64"/>
  <c r="X843" i="64"/>
  <c r="AA772" i="64"/>
  <c r="AA843" i="64"/>
  <c r="AA701" i="64"/>
  <c r="S701" i="64"/>
  <c r="S772" i="64"/>
  <c r="S843" i="64"/>
  <c r="BE41" i="65"/>
  <c r="BM40" i="65"/>
  <c r="BR40" i="65"/>
  <c r="BG40" i="65"/>
  <c r="BH40" i="65"/>
  <c r="BI40" i="65"/>
  <c r="BO40" i="65"/>
  <c r="BL40" i="65"/>
  <c r="BQ40" i="65"/>
  <c r="BJ40" i="65"/>
  <c r="BN40" i="65"/>
  <c r="BK40" i="65"/>
  <c r="BP40" i="65"/>
  <c r="AS842" i="64"/>
  <c r="AF842" i="64"/>
  <c r="BA842" i="64"/>
  <c r="AN842" i="64"/>
  <c r="AI700" i="64"/>
  <c r="AV700" i="64"/>
  <c r="AT700" i="64"/>
  <c r="AG700" i="64"/>
  <c r="AL700" i="64"/>
  <c r="AY700" i="64"/>
  <c r="AU700" i="64"/>
  <c r="AH700" i="64"/>
  <c r="BS50" i="65"/>
  <c r="CF49" i="65"/>
  <c r="CA49" i="65"/>
  <c r="BX49" i="65"/>
  <c r="CB49" i="65"/>
  <c r="BV49" i="65"/>
  <c r="CE49" i="65"/>
  <c r="CD49" i="65"/>
  <c r="BW49" i="65"/>
  <c r="CC49" i="65"/>
  <c r="BU49" i="65"/>
  <c r="BY49" i="65"/>
  <c r="BZ49" i="65"/>
  <c r="AK771" i="64"/>
  <c r="AX771" i="64"/>
  <c r="AM700" i="64"/>
  <c r="AZ700" i="64"/>
  <c r="AP842" i="64"/>
  <c r="BC842" i="64"/>
  <c r="V772" i="64"/>
  <c r="V843" i="64"/>
  <c r="V701" i="64"/>
  <c r="AD772" i="64"/>
  <c r="AD843" i="64"/>
  <c r="AD701" i="64"/>
  <c r="Y843" i="64"/>
  <c r="Y772" i="64"/>
  <c r="Y701" i="64"/>
  <c r="AJ771" i="64"/>
  <c r="AW771" i="64"/>
  <c r="AS771" i="64"/>
  <c r="AF771" i="64"/>
  <c r="BA700" i="64"/>
  <c r="AN700" i="64"/>
  <c r="AO842" i="64"/>
  <c r="BB842" i="64"/>
  <c r="AG842" i="64"/>
  <c r="AT842" i="64"/>
  <c r="AL842" i="64"/>
  <c r="AY842" i="64"/>
  <c r="AU842" i="64"/>
  <c r="AH842" i="64"/>
  <c r="AX700" i="64"/>
  <c r="AK700" i="64"/>
  <c r="AM842" i="64"/>
  <c r="AZ842" i="64"/>
  <c r="Z701" i="64"/>
  <c r="Z772" i="64"/>
  <c r="Z843" i="64"/>
  <c r="U772" i="64"/>
  <c r="U843" i="64"/>
  <c r="U701" i="64"/>
  <c r="AB772" i="64"/>
  <c r="AB701" i="64"/>
  <c r="AB843" i="64"/>
  <c r="AJ700" i="64"/>
  <c r="AW700" i="64"/>
  <c r="AS700" i="64"/>
  <c r="AF700" i="64"/>
  <c r="CG50" i="65"/>
  <c r="CM49" i="65"/>
  <c r="CK49" i="65"/>
  <c r="CP49" i="65"/>
  <c r="CI49" i="65"/>
  <c r="CS49" i="65"/>
  <c r="CJ49" i="65"/>
  <c r="CO49" i="65"/>
  <c r="CL49" i="65"/>
  <c r="CT49" i="65"/>
  <c r="CQ49" i="65"/>
  <c r="CR49" i="65"/>
  <c r="CN49" i="65"/>
  <c r="AV842" i="64"/>
  <c r="AI842" i="64"/>
  <c r="BB771" i="64"/>
  <c r="AO771" i="64"/>
  <c r="AG771" i="64"/>
  <c r="AT771" i="64"/>
  <c r="AQ842" i="64"/>
  <c r="BD842" i="64"/>
  <c r="BD700" i="64"/>
  <c r="AQ700" i="64"/>
  <c r="AY771" i="64"/>
  <c r="AL771" i="64"/>
  <c r="AX842" i="64"/>
  <c r="AK842" i="64"/>
  <c r="BC771" i="64"/>
  <c r="AP771" i="64"/>
  <c r="AC843" i="64"/>
  <c r="AC701" i="64"/>
  <c r="AC772" i="64"/>
  <c r="T772" i="64"/>
  <c r="T701" i="64"/>
  <c r="T843" i="64"/>
  <c r="W843" i="64"/>
  <c r="W772" i="64"/>
  <c r="W701" i="64"/>
  <c r="AW842" i="64"/>
  <c r="AJ842" i="64"/>
  <c r="AN771" i="64"/>
  <c r="BA771" i="64"/>
  <c r="AV771" i="64"/>
  <c r="AI771" i="64"/>
  <c r="BB700" i="64"/>
  <c r="AO700" i="64"/>
  <c r="Q203" i="85"/>
  <c r="Q205" i="85" s="1"/>
  <c r="T186" i="85"/>
  <c r="S186" i="85"/>
  <c r="H629" i="73"/>
  <c r="I633" i="73"/>
  <c r="G491" i="40"/>
  <c r="T491" i="40" s="1"/>
  <c r="AG491" i="40" s="1"/>
  <c r="G478" i="40"/>
  <c r="T478" i="40" s="1"/>
  <c r="AG478" i="40" s="1"/>
  <c r="G448" i="40"/>
  <c r="T448" i="40" s="1"/>
  <c r="AG448" i="40" s="1"/>
  <c r="G485" i="40"/>
  <c r="T485" i="40" s="1"/>
  <c r="AG485" i="40" s="1"/>
  <c r="S480" i="40"/>
  <c r="AF480" i="40" s="1"/>
  <c r="T486" i="40"/>
  <c r="AG486" i="40" s="1"/>
  <c r="G452" i="40"/>
  <c r="R26" i="85"/>
  <c r="R319" i="77"/>
  <c r="Q239" i="85"/>
  <c r="R337" i="77" s="1"/>
  <c r="P185" i="85"/>
  <c r="Q185" i="85" s="1"/>
  <c r="Q190" i="85" s="1"/>
  <c r="I86" i="61" s="1"/>
  <c r="G481" i="40" l="1"/>
  <c r="T481" i="40" s="1"/>
  <c r="AG481" i="40" s="1"/>
  <c r="O69" i="83"/>
  <c r="D19" i="83" s="1"/>
  <c r="P467" i="73"/>
  <c r="Q254" i="77"/>
  <c r="Q255" i="77" s="1"/>
  <c r="R254" i="77"/>
  <c r="R255" i="77" s="1"/>
  <c r="R273" i="77"/>
  <c r="I446" i="40"/>
  <c r="V446" i="40" s="1"/>
  <c r="AI446" i="40" s="1"/>
  <c r="G479" i="40"/>
  <c r="T479" i="40" s="1"/>
  <c r="AG479" i="40" s="1"/>
  <c r="G461" i="40"/>
  <c r="T461" i="40" s="1"/>
  <c r="AG461" i="40" s="1"/>
  <c r="H447" i="40"/>
  <c r="U447" i="40" s="1"/>
  <c r="AH447" i="40" s="1"/>
  <c r="F482" i="40"/>
  <c r="S482" i="40" s="1"/>
  <c r="R455" i="40"/>
  <c r="AE455" i="40" s="1"/>
  <c r="G490" i="40"/>
  <c r="R489" i="40"/>
  <c r="AE489" i="40" s="1"/>
  <c r="I456" i="40"/>
  <c r="F459" i="40"/>
  <c r="S488" i="40"/>
  <c r="AF488" i="40" s="1"/>
  <c r="H487" i="40"/>
  <c r="K474" i="40"/>
  <c r="X474" i="40" s="1"/>
  <c r="AK474" i="40" s="1"/>
  <c r="I496" i="40"/>
  <c r="V496" i="40" s="1"/>
  <c r="AI496" i="40" s="1"/>
  <c r="K503" i="40"/>
  <c r="X503" i="40" s="1"/>
  <c r="AK503" i="40" s="1"/>
  <c r="K472" i="40"/>
  <c r="X472" i="40" s="1"/>
  <c r="AK472" i="40" s="1"/>
  <c r="K463" i="40"/>
  <c r="X463" i="40" s="1"/>
  <c r="AK463" i="40" s="1"/>
  <c r="K476" i="40"/>
  <c r="X476" i="40" s="1"/>
  <c r="AK476" i="40" s="1"/>
  <c r="K501" i="40"/>
  <c r="X501" i="40" s="1"/>
  <c r="AK501" i="40" s="1"/>
  <c r="J500" i="40"/>
  <c r="W500" i="40" s="1"/>
  <c r="AJ500" i="40" s="1"/>
  <c r="M494" i="40"/>
  <c r="Z494" i="40" s="1"/>
  <c r="AM494" i="40" s="1"/>
  <c r="K466" i="40"/>
  <c r="X466" i="40" s="1"/>
  <c r="AK466" i="40" s="1"/>
  <c r="M457" i="40"/>
  <c r="Z457" i="40" s="1"/>
  <c r="AM457" i="40" s="1"/>
  <c r="K468" i="40"/>
  <c r="X468" i="40" s="1"/>
  <c r="L506" i="40"/>
  <c r="Y506" i="40" s="1"/>
  <c r="AL506" i="40" s="1"/>
  <c r="M450" i="40"/>
  <c r="Z450" i="40" s="1"/>
  <c r="L467" i="40"/>
  <c r="Y467" i="40" s="1"/>
  <c r="AL467" i="40" s="1"/>
  <c r="K484" i="40"/>
  <c r="X484" i="40" s="1"/>
  <c r="L492" i="40"/>
  <c r="Y492" i="40" s="1"/>
  <c r="AL492" i="40" s="1"/>
  <c r="X477" i="40"/>
  <c r="AK477" i="40" s="1"/>
  <c r="W469" i="40"/>
  <c r="AJ469" i="40" s="1"/>
  <c r="W475" i="40"/>
  <c r="AJ475" i="40" s="1"/>
  <c r="V499" i="40"/>
  <c r="AI499" i="40" s="1"/>
  <c r="Y464" i="40"/>
  <c r="AL464" i="40" s="1"/>
  <c r="I465" i="40"/>
  <c r="J458" i="40"/>
  <c r="K471" i="40"/>
  <c r="K462" i="40"/>
  <c r="N493" i="40"/>
  <c r="AA493" i="40" s="1"/>
  <c r="AN493" i="40" s="1"/>
  <c r="L473" i="40"/>
  <c r="M504" i="40"/>
  <c r="K483" i="40"/>
  <c r="L460" i="40"/>
  <c r="W497" i="40"/>
  <c r="AJ497" i="40" s="1"/>
  <c r="W498" i="40"/>
  <c r="AJ498" i="40" s="1"/>
  <c r="W470" i="40"/>
  <c r="AJ470" i="40" s="1"/>
  <c r="Y453" i="40"/>
  <c r="AL453" i="40" s="1"/>
  <c r="Y505" i="40"/>
  <c r="AL505" i="40" s="1"/>
  <c r="M451" i="40"/>
  <c r="M495" i="40"/>
  <c r="J502" i="40"/>
  <c r="W507" i="40"/>
  <c r="AJ507" i="40" s="1"/>
  <c r="AJ843" i="64"/>
  <c r="AW843" i="64"/>
  <c r="BC772" i="64"/>
  <c r="AP772" i="64"/>
  <c r="CK50" i="65"/>
  <c r="CI50" i="65"/>
  <c r="CS50" i="65"/>
  <c r="CJ50" i="65"/>
  <c r="CL50" i="65"/>
  <c r="CT50" i="65"/>
  <c r="CQ50" i="65"/>
  <c r="CN50" i="65"/>
  <c r="CR50" i="65"/>
  <c r="CO50" i="65"/>
  <c r="CP50" i="65"/>
  <c r="CM50" i="65"/>
  <c r="BB772" i="64"/>
  <c r="AO772" i="64"/>
  <c r="AM843" i="64"/>
  <c r="AZ843" i="64"/>
  <c r="AY772" i="64"/>
  <c r="AL772" i="64"/>
  <c r="AQ772" i="64"/>
  <c r="BD772" i="64"/>
  <c r="V702" i="64"/>
  <c r="V844" i="64"/>
  <c r="V773" i="64"/>
  <c r="U844" i="64"/>
  <c r="U773" i="64"/>
  <c r="U702" i="64"/>
  <c r="Y702" i="64"/>
  <c r="Y773" i="64"/>
  <c r="Y844" i="64"/>
  <c r="AS701" i="64"/>
  <c r="AF701" i="64"/>
  <c r="AK843" i="64"/>
  <c r="AX843" i="64"/>
  <c r="AW701" i="64"/>
  <c r="AJ701" i="64"/>
  <c r="AG843" i="64"/>
  <c r="AT843" i="64"/>
  <c r="AP701" i="64"/>
  <c r="BC701" i="64"/>
  <c r="AH701" i="64"/>
  <c r="AU701" i="64"/>
  <c r="AZ772" i="64"/>
  <c r="AM772" i="64"/>
  <c r="AY843" i="64"/>
  <c r="AL843" i="64"/>
  <c r="AV701" i="64"/>
  <c r="AI701" i="64"/>
  <c r="AB844" i="64"/>
  <c r="AB773" i="64"/>
  <c r="AB702" i="64"/>
  <c r="AC773" i="64"/>
  <c r="AC844" i="64"/>
  <c r="AC702" i="64"/>
  <c r="T773" i="64"/>
  <c r="T702" i="64"/>
  <c r="T844" i="64"/>
  <c r="BE42" i="65"/>
  <c r="BN41" i="65"/>
  <c r="BO41" i="65"/>
  <c r="BJ41" i="65"/>
  <c r="BL41" i="65"/>
  <c r="BR41" i="65"/>
  <c r="BK41" i="65"/>
  <c r="BP41" i="65"/>
  <c r="BI41" i="65"/>
  <c r="BM41" i="65"/>
  <c r="BQ41" i="65"/>
  <c r="BG41" i="65"/>
  <c r="BH41" i="65"/>
  <c r="BA701" i="64"/>
  <c r="AN701" i="64"/>
  <c r="AK701" i="64"/>
  <c r="AX701" i="64"/>
  <c r="AT701" i="64"/>
  <c r="AG701" i="64"/>
  <c r="AP843" i="64"/>
  <c r="BC843" i="64"/>
  <c r="AO843" i="64"/>
  <c r="BB843" i="64"/>
  <c r="AU843" i="64"/>
  <c r="AH843" i="64"/>
  <c r="AM701" i="64"/>
  <c r="AZ701" i="64"/>
  <c r="AQ701" i="64"/>
  <c r="BD701" i="64"/>
  <c r="AI843" i="64"/>
  <c r="AV843" i="64"/>
  <c r="BY50" i="65"/>
  <c r="CF50" i="65"/>
  <c r="CE50" i="65"/>
  <c r="CD50" i="65"/>
  <c r="BW50" i="65"/>
  <c r="CC50" i="65"/>
  <c r="BU50" i="65"/>
  <c r="BZ50" i="65"/>
  <c r="CA50" i="65"/>
  <c r="BX50" i="65"/>
  <c r="CB50" i="65"/>
  <c r="BV50" i="65"/>
  <c r="W773" i="64"/>
  <c r="W844" i="64"/>
  <c r="W702" i="64"/>
  <c r="X702" i="64"/>
  <c r="X773" i="64"/>
  <c r="X844" i="64"/>
  <c r="S702" i="64"/>
  <c r="S773" i="64"/>
  <c r="S844" i="64"/>
  <c r="AF843" i="64"/>
  <c r="AS843" i="64"/>
  <c r="AN843" i="64"/>
  <c r="BA843" i="64"/>
  <c r="AX772" i="64"/>
  <c r="AK772" i="64"/>
  <c r="AJ772" i="64"/>
  <c r="AW772" i="64"/>
  <c r="AT772" i="64"/>
  <c r="AG772" i="64"/>
  <c r="BB701" i="64"/>
  <c r="AO701" i="64"/>
  <c r="AH772" i="64"/>
  <c r="AU772" i="64"/>
  <c r="AL701" i="64"/>
  <c r="AY701" i="64"/>
  <c r="AQ843" i="64"/>
  <c r="BD843" i="64"/>
  <c r="AI772" i="64"/>
  <c r="AV772" i="64"/>
  <c r="Z702" i="64"/>
  <c r="Z773" i="64"/>
  <c r="Z844" i="64"/>
  <c r="AA702" i="64"/>
  <c r="AA773" i="64"/>
  <c r="AA844" i="64"/>
  <c r="AD702" i="64"/>
  <c r="AD844" i="64"/>
  <c r="AD773" i="64"/>
  <c r="AF772" i="64"/>
  <c r="AS772" i="64"/>
  <c r="AN772" i="64"/>
  <c r="BA772" i="64"/>
  <c r="Q228" i="85"/>
  <c r="H491" i="40"/>
  <c r="U491" i="40" s="1"/>
  <c r="AH491" i="40" s="1"/>
  <c r="H478" i="40"/>
  <c r="U478" i="40" s="1"/>
  <c r="AH478" i="40" s="1"/>
  <c r="H448" i="40"/>
  <c r="U448" i="40" s="1"/>
  <c r="AH448" i="40" s="1"/>
  <c r="H486" i="40"/>
  <c r="U486" i="40" s="1"/>
  <c r="AH486" i="40" s="1"/>
  <c r="G480" i="40"/>
  <c r="T480" i="40" s="1"/>
  <c r="H485" i="40"/>
  <c r="U485" i="40" s="1"/>
  <c r="AH485" i="40" s="1"/>
  <c r="T452" i="40"/>
  <c r="AG452" i="40" s="1"/>
  <c r="R320" i="77"/>
  <c r="R185" i="85"/>
  <c r="W185" i="85"/>
  <c r="X185" i="85" s="1"/>
  <c r="X190" i="85" s="1"/>
  <c r="D244" i="85"/>
  <c r="J244" i="85" s="1"/>
  <c r="J249" i="85" s="1"/>
  <c r="E23" i="85"/>
  <c r="H481" i="40" l="1"/>
  <c r="H479" i="40"/>
  <c r="U479" i="40" s="1"/>
  <c r="AH479" i="40" s="1"/>
  <c r="J446" i="40"/>
  <c r="G488" i="40"/>
  <c r="T488" i="40" s="1"/>
  <c r="AG488" i="40" s="1"/>
  <c r="AE509" i="40"/>
  <c r="E28" i="10" s="1"/>
  <c r="F489" i="40"/>
  <c r="S489" i="40" s="1"/>
  <c r="AF489" i="40" s="1"/>
  <c r="AF482" i="40"/>
  <c r="G482" i="40"/>
  <c r="T482" i="40" s="1"/>
  <c r="AG482" i="40" s="1"/>
  <c r="H461" i="40"/>
  <c r="U461" i="40" s="1"/>
  <c r="AH461" i="40" s="1"/>
  <c r="F455" i="40"/>
  <c r="S455" i="40" s="1"/>
  <c r="AF455" i="40" s="1"/>
  <c r="S459" i="40"/>
  <c r="AF459" i="40" s="1"/>
  <c r="T490" i="40"/>
  <c r="AG490" i="40" s="1"/>
  <c r="V456" i="40"/>
  <c r="AI456" i="40" s="1"/>
  <c r="I447" i="40"/>
  <c r="V447" i="40" s="1"/>
  <c r="AI447" i="40" s="1"/>
  <c r="U487" i="40"/>
  <c r="AH487" i="40" s="1"/>
  <c r="K498" i="40"/>
  <c r="X498" i="40" s="1"/>
  <c r="AK498" i="40" s="1"/>
  <c r="M453" i="40"/>
  <c r="Z453" i="40" s="1"/>
  <c r="AM453" i="40" s="1"/>
  <c r="J499" i="40"/>
  <c r="W499" i="40" s="1"/>
  <c r="AJ499" i="40" s="1"/>
  <c r="L466" i="40"/>
  <c r="Y466" i="40" s="1"/>
  <c r="AL466" i="40" s="1"/>
  <c r="N457" i="40"/>
  <c r="AA457" i="40" s="1"/>
  <c r="AN457" i="40" s="1"/>
  <c r="L503" i="40"/>
  <c r="Y503" i="40" s="1"/>
  <c r="AL503" i="40" s="1"/>
  <c r="L463" i="40"/>
  <c r="Y463" i="40" s="1"/>
  <c r="AL463" i="40" s="1"/>
  <c r="L477" i="40"/>
  <c r="Y477" i="40" s="1"/>
  <c r="AL477" i="40" s="1"/>
  <c r="AM450" i="40"/>
  <c r="N450" i="40"/>
  <c r="AA450" i="40" s="1"/>
  <c r="AN450" i="40" s="1"/>
  <c r="AK468" i="40"/>
  <c r="L468" i="40"/>
  <c r="Y468" i="40" s="1"/>
  <c r="AL468" i="40" s="1"/>
  <c r="AK484" i="40"/>
  <c r="L484" i="40"/>
  <c r="Y484" i="40" s="1"/>
  <c r="AL484" i="40" s="1"/>
  <c r="M505" i="40"/>
  <c r="Z505" i="40" s="1"/>
  <c r="AM505" i="40" s="1"/>
  <c r="K470" i="40"/>
  <c r="X470" i="40" s="1"/>
  <c r="L474" i="40"/>
  <c r="Y474" i="40" s="1"/>
  <c r="AL474" i="40" s="1"/>
  <c r="L501" i="40"/>
  <c r="Y501" i="40" s="1"/>
  <c r="L472" i="40"/>
  <c r="Y472" i="40" s="1"/>
  <c r="AL472" i="40" s="1"/>
  <c r="K497" i="40"/>
  <c r="X497" i="40" s="1"/>
  <c r="L476" i="40"/>
  <c r="Y476" i="40" s="1"/>
  <c r="AL476" i="40" s="1"/>
  <c r="M464" i="40"/>
  <c r="Z464" i="40" s="1"/>
  <c r="AM464" i="40" s="1"/>
  <c r="K475" i="40"/>
  <c r="X475" i="40" s="1"/>
  <c r="M492" i="40"/>
  <c r="Z492" i="40" s="1"/>
  <c r="AM492" i="40" s="1"/>
  <c r="M467" i="40"/>
  <c r="M506" i="40"/>
  <c r="Z506" i="40" s="1"/>
  <c r="AM506" i="40" s="1"/>
  <c r="N494" i="40"/>
  <c r="AA494" i="40" s="1"/>
  <c r="AN494" i="40" s="1"/>
  <c r="J496" i="40"/>
  <c r="W496" i="40" s="1"/>
  <c r="AJ496" i="40" s="1"/>
  <c r="K500" i="40"/>
  <c r="X500" i="40" s="1"/>
  <c r="AK500" i="40" s="1"/>
  <c r="K469" i="40"/>
  <c r="X469" i="40" s="1"/>
  <c r="AK469" i="40" s="1"/>
  <c r="X483" i="40"/>
  <c r="AK483" i="40" s="1"/>
  <c r="X462" i="40"/>
  <c r="AK462" i="40" s="1"/>
  <c r="W502" i="40"/>
  <c r="AJ502" i="40" s="1"/>
  <c r="Z504" i="40"/>
  <c r="AM504" i="40" s="1"/>
  <c r="X471" i="40"/>
  <c r="AK471" i="40" s="1"/>
  <c r="Z495" i="40"/>
  <c r="AM495" i="40" s="1"/>
  <c r="Y460" i="40"/>
  <c r="AL460" i="40" s="1"/>
  <c r="Y473" i="40"/>
  <c r="AL473" i="40" s="1"/>
  <c r="W458" i="40"/>
  <c r="AJ458" i="40" s="1"/>
  <c r="K507" i="40"/>
  <c r="Z451" i="40"/>
  <c r="AM451" i="40" s="1"/>
  <c r="V465" i="40"/>
  <c r="AI465" i="40" s="1"/>
  <c r="AQ844" i="64"/>
  <c r="BD844" i="64"/>
  <c r="BA702" i="64"/>
  <c r="AN702" i="64"/>
  <c r="AS702" i="64"/>
  <c r="AF702" i="64"/>
  <c r="AJ702" i="64"/>
  <c r="AW702" i="64"/>
  <c r="S703" i="64"/>
  <c r="S774" i="64"/>
  <c r="S845" i="64"/>
  <c r="AB703" i="64"/>
  <c r="AB845" i="64"/>
  <c r="AB774" i="64"/>
  <c r="V703" i="64"/>
  <c r="V774" i="64"/>
  <c r="V845" i="64"/>
  <c r="AT844" i="64"/>
  <c r="AG844" i="64"/>
  <c r="AP844" i="64"/>
  <c r="BC844" i="64"/>
  <c r="BB844" i="64"/>
  <c r="AO844" i="64"/>
  <c r="AU702" i="64"/>
  <c r="AH702" i="64"/>
  <c r="AI844" i="64"/>
  <c r="AV844" i="64"/>
  <c r="AQ702" i="64"/>
  <c r="BD702" i="64"/>
  <c r="AM844" i="64"/>
  <c r="AZ844" i="64"/>
  <c r="AK844" i="64"/>
  <c r="AX844" i="64"/>
  <c r="AJ844" i="64"/>
  <c r="AW844" i="64"/>
  <c r="AC774" i="64"/>
  <c r="AC703" i="64"/>
  <c r="AC845" i="64"/>
  <c r="W703" i="64"/>
  <c r="W774" i="64"/>
  <c r="W845" i="64"/>
  <c r="AA703" i="64"/>
  <c r="AA774" i="64"/>
  <c r="AA845" i="64"/>
  <c r="AT702" i="64"/>
  <c r="AG702" i="64"/>
  <c r="BC773" i="64"/>
  <c r="AP773" i="64"/>
  <c r="AL844" i="64"/>
  <c r="AY844" i="64"/>
  <c r="AU773" i="64"/>
  <c r="AH773" i="64"/>
  <c r="AI702" i="64"/>
  <c r="AV702" i="64"/>
  <c r="BA844" i="64"/>
  <c r="AN844" i="64"/>
  <c r="AZ773" i="64"/>
  <c r="AM773" i="64"/>
  <c r="AF844" i="64"/>
  <c r="AS844" i="64"/>
  <c r="AX773" i="64"/>
  <c r="AK773" i="64"/>
  <c r="AJ773" i="64"/>
  <c r="AW773" i="64"/>
  <c r="Y774" i="64"/>
  <c r="Y845" i="64"/>
  <c r="Y703" i="64"/>
  <c r="AD703" i="64"/>
  <c r="AD774" i="64"/>
  <c r="AD845" i="64"/>
  <c r="Z774" i="64"/>
  <c r="Z703" i="64"/>
  <c r="Z845" i="64"/>
  <c r="AT773" i="64"/>
  <c r="AG773" i="64"/>
  <c r="BB702" i="64"/>
  <c r="AO702" i="64"/>
  <c r="AL773" i="64"/>
  <c r="AY773" i="64"/>
  <c r="AU844" i="64"/>
  <c r="AH844" i="64"/>
  <c r="BD773" i="64"/>
  <c r="AQ773" i="64"/>
  <c r="AN773" i="64"/>
  <c r="BA773" i="64"/>
  <c r="AM702" i="64"/>
  <c r="AZ702" i="64"/>
  <c r="AS773" i="64"/>
  <c r="AF773" i="64"/>
  <c r="AX702" i="64"/>
  <c r="AK702" i="64"/>
  <c r="T774" i="64"/>
  <c r="T703" i="64"/>
  <c r="T845" i="64"/>
  <c r="U845" i="64"/>
  <c r="U703" i="64"/>
  <c r="U774" i="64"/>
  <c r="X845" i="64"/>
  <c r="X703" i="64"/>
  <c r="X774" i="64"/>
  <c r="BE43" i="65"/>
  <c r="BP42" i="65"/>
  <c r="BM42" i="65"/>
  <c r="BJ42" i="65"/>
  <c r="BN42" i="65"/>
  <c r="BK42" i="65"/>
  <c r="BQ42" i="65"/>
  <c r="BR42" i="65"/>
  <c r="BG42" i="65"/>
  <c r="BH42" i="65"/>
  <c r="BL42" i="65"/>
  <c r="BO42" i="65"/>
  <c r="BI42" i="65"/>
  <c r="AP702" i="64"/>
  <c r="BC702" i="64"/>
  <c r="BB773" i="64"/>
  <c r="AO773" i="64"/>
  <c r="AY702" i="64"/>
  <c r="AL702" i="64"/>
  <c r="AV773" i="64"/>
  <c r="AI773" i="64"/>
  <c r="AG480" i="40"/>
  <c r="H480" i="40"/>
  <c r="U480" i="40" s="1"/>
  <c r="I491" i="40"/>
  <c r="I478" i="40"/>
  <c r="I485" i="40"/>
  <c r="H452" i="40"/>
  <c r="I486" i="40"/>
  <c r="I448" i="40"/>
  <c r="S185" i="85"/>
  <c r="S190" i="85" s="1"/>
  <c r="N14" i="80" s="1"/>
  <c r="T185" i="85"/>
  <c r="T190" i="85" s="1"/>
  <c r="U481" i="40" l="1"/>
  <c r="AH481" i="40" s="1"/>
  <c r="O14" i="80"/>
  <c r="N11" i="80"/>
  <c r="O11" i="80" s="1"/>
  <c r="W446" i="40"/>
  <c r="AJ446" i="40" s="1"/>
  <c r="G459" i="40"/>
  <c r="T459" i="40" s="1"/>
  <c r="AG459" i="40" s="1"/>
  <c r="H482" i="40"/>
  <c r="U482" i="40" s="1"/>
  <c r="AH482" i="40" s="1"/>
  <c r="I487" i="40"/>
  <c r="V487" i="40" s="1"/>
  <c r="AI487" i="40" s="1"/>
  <c r="H490" i="40"/>
  <c r="U490" i="40" s="1"/>
  <c r="G455" i="40"/>
  <c r="T455" i="40" s="1"/>
  <c r="AG455" i="40" s="1"/>
  <c r="G489" i="40"/>
  <c r="H488" i="40"/>
  <c r="J456" i="40"/>
  <c r="I461" i="40"/>
  <c r="AF509" i="40"/>
  <c r="F28" i="10" s="1"/>
  <c r="J447" i="40"/>
  <c r="W447" i="40" s="1"/>
  <c r="AJ447" i="40" s="1"/>
  <c r="L471" i="40"/>
  <c r="Y471" i="40" s="1"/>
  <c r="AL471" i="40" s="1"/>
  <c r="L483" i="40"/>
  <c r="Y483" i="40" s="1"/>
  <c r="AL483" i="40" s="1"/>
  <c r="K502" i="40"/>
  <c r="X502" i="40" s="1"/>
  <c r="AK502" i="40" s="1"/>
  <c r="K499" i="40"/>
  <c r="X499" i="40" s="1"/>
  <c r="AK499" i="40" s="1"/>
  <c r="M473" i="40"/>
  <c r="Z473" i="40" s="1"/>
  <c r="AM473" i="40" s="1"/>
  <c r="M476" i="40"/>
  <c r="Z476" i="40" s="1"/>
  <c r="AM476" i="40" s="1"/>
  <c r="M468" i="40"/>
  <c r="Z468" i="40" s="1"/>
  <c r="AM468" i="40" s="1"/>
  <c r="N453" i="40"/>
  <c r="AA453" i="40" s="1"/>
  <c r="AN453" i="40" s="1"/>
  <c r="Z467" i="40"/>
  <c r="AM467" i="40" s="1"/>
  <c r="N492" i="40"/>
  <c r="AA492" i="40" s="1"/>
  <c r="AN492" i="40" s="1"/>
  <c r="M477" i="40"/>
  <c r="Z477" i="40" s="1"/>
  <c r="AM477" i="40" s="1"/>
  <c r="L469" i="40"/>
  <c r="Y469" i="40" s="1"/>
  <c r="AL469" i="40" s="1"/>
  <c r="L498" i="40"/>
  <c r="Y498" i="40" s="1"/>
  <c r="AL498" i="40" s="1"/>
  <c r="L500" i="40"/>
  <c r="Y500" i="40" s="1"/>
  <c r="AL500" i="40" s="1"/>
  <c r="N506" i="40"/>
  <c r="AA506" i="40" s="1"/>
  <c r="AN506" i="40" s="1"/>
  <c r="N464" i="40"/>
  <c r="AA464" i="40" s="1"/>
  <c r="AN464" i="40" s="1"/>
  <c r="M472" i="40"/>
  <c r="Z472" i="40" s="1"/>
  <c r="AM472" i="40" s="1"/>
  <c r="N505" i="40"/>
  <c r="AA505" i="40" s="1"/>
  <c r="AN505" i="40" s="1"/>
  <c r="AK475" i="40"/>
  <c r="L475" i="40"/>
  <c r="Y475" i="40" s="1"/>
  <c r="AL475" i="40" s="1"/>
  <c r="M474" i="40"/>
  <c r="Z474" i="40" s="1"/>
  <c r="AM474" i="40" s="1"/>
  <c r="M463" i="40"/>
  <c r="Z463" i="40" s="1"/>
  <c r="AM463" i="40" s="1"/>
  <c r="M484" i="40"/>
  <c r="Z484" i="40" s="1"/>
  <c r="M466" i="40"/>
  <c r="Z466" i="40" s="1"/>
  <c r="AM466" i="40" s="1"/>
  <c r="K458" i="40"/>
  <c r="X458" i="40" s="1"/>
  <c r="AK458" i="40" s="1"/>
  <c r="M460" i="40"/>
  <c r="Z460" i="40" s="1"/>
  <c r="AM460" i="40" s="1"/>
  <c r="M503" i="40"/>
  <c r="Z503" i="40" s="1"/>
  <c r="AM503" i="40" s="1"/>
  <c r="N495" i="40"/>
  <c r="AA495" i="40" s="1"/>
  <c r="AN495" i="40" s="1"/>
  <c r="N504" i="40"/>
  <c r="AA504" i="40" s="1"/>
  <c r="AN504" i="40" s="1"/>
  <c r="K496" i="40"/>
  <c r="X496" i="40" s="1"/>
  <c r="AK496" i="40" s="1"/>
  <c r="L462" i="40"/>
  <c r="Y462" i="40" s="1"/>
  <c r="AL462" i="40" s="1"/>
  <c r="AL501" i="40"/>
  <c r="M501" i="40"/>
  <c r="Z501" i="40" s="1"/>
  <c r="AM501" i="40" s="1"/>
  <c r="AK470" i="40"/>
  <c r="L470" i="40"/>
  <c r="Y470" i="40" s="1"/>
  <c r="AK497" i="40"/>
  <c r="L497" i="40"/>
  <c r="Y497" i="40" s="1"/>
  <c r="AL497" i="40" s="1"/>
  <c r="J465" i="40"/>
  <c r="N451" i="40"/>
  <c r="AA451" i="40" s="1"/>
  <c r="AN451" i="40" s="1"/>
  <c r="X507" i="40"/>
  <c r="AK507" i="40" s="1"/>
  <c r="V704" i="64"/>
  <c r="V775" i="64"/>
  <c r="V846" i="64"/>
  <c r="X704" i="64"/>
  <c r="X846" i="64"/>
  <c r="X775" i="64"/>
  <c r="Y704" i="64"/>
  <c r="Y775" i="64"/>
  <c r="Y846" i="64"/>
  <c r="T775" i="64"/>
  <c r="T704" i="64"/>
  <c r="T846" i="64"/>
  <c r="W704" i="64"/>
  <c r="W846" i="64"/>
  <c r="W775" i="64"/>
  <c r="AB704" i="64"/>
  <c r="AB775" i="64"/>
  <c r="AB846" i="64"/>
  <c r="AX845" i="64"/>
  <c r="AK845" i="64"/>
  <c r="AT845" i="64"/>
  <c r="AG845" i="64"/>
  <c r="AM703" i="64"/>
  <c r="AZ703" i="64"/>
  <c r="AQ703" i="64"/>
  <c r="BD703" i="64"/>
  <c r="AW845" i="64"/>
  <c r="AJ845" i="64"/>
  <c r="AP703" i="64"/>
  <c r="BC703" i="64"/>
  <c r="AV703" i="64"/>
  <c r="AI703" i="64"/>
  <c r="AS845" i="64"/>
  <c r="AF845" i="64"/>
  <c r="U846" i="64"/>
  <c r="U704" i="64"/>
  <c r="U775" i="64"/>
  <c r="S704" i="64"/>
  <c r="S775" i="64"/>
  <c r="S846" i="64"/>
  <c r="Z846" i="64"/>
  <c r="Z704" i="64"/>
  <c r="Z775" i="64"/>
  <c r="BE44" i="65"/>
  <c r="BP43" i="65"/>
  <c r="BG43" i="65"/>
  <c r="BM43" i="65"/>
  <c r="BR43" i="65"/>
  <c r="BL43" i="65"/>
  <c r="BI43" i="65"/>
  <c r="BQ43" i="65"/>
  <c r="BO43" i="65"/>
  <c r="BK43" i="65"/>
  <c r="BH43" i="65"/>
  <c r="BJ43" i="65"/>
  <c r="BN43" i="65"/>
  <c r="AH774" i="64"/>
  <c r="AU774" i="64"/>
  <c r="AT703" i="64"/>
  <c r="AG703" i="64"/>
  <c r="AM774" i="64"/>
  <c r="AZ774" i="64"/>
  <c r="AY703" i="64"/>
  <c r="AL703" i="64"/>
  <c r="AN845" i="64"/>
  <c r="BA845" i="64"/>
  <c r="AJ774" i="64"/>
  <c r="AW774" i="64"/>
  <c r="AP774" i="64"/>
  <c r="BC774" i="64"/>
  <c r="AO774" i="64"/>
  <c r="BB774" i="64"/>
  <c r="AS774" i="64"/>
  <c r="AF774" i="64"/>
  <c r="AX774" i="64"/>
  <c r="AK774" i="64"/>
  <c r="AU703" i="64"/>
  <c r="AH703" i="64"/>
  <c r="AG774" i="64"/>
  <c r="AT774" i="64"/>
  <c r="AQ845" i="64"/>
  <c r="BD845" i="64"/>
  <c r="AL845" i="64"/>
  <c r="AY845" i="64"/>
  <c r="BA774" i="64"/>
  <c r="AN774" i="64"/>
  <c r="AJ703" i="64"/>
  <c r="AW703" i="64"/>
  <c r="AV845" i="64"/>
  <c r="AI845" i="64"/>
  <c r="BB845" i="64"/>
  <c r="AO845" i="64"/>
  <c r="AS703" i="64"/>
  <c r="AF703" i="64"/>
  <c r="AA846" i="64"/>
  <c r="AA704" i="64"/>
  <c r="AA775" i="64"/>
  <c r="AD704" i="64"/>
  <c r="AD846" i="64"/>
  <c r="AD775" i="64"/>
  <c r="AC846" i="64"/>
  <c r="AC775" i="64"/>
  <c r="AC704" i="64"/>
  <c r="AK703" i="64"/>
  <c r="AX703" i="64"/>
  <c r="AH845" i="64"/>
  <c r="AU845" i="64"/>
  <c r="AZ845" i="64"/>
  <c r="AM845" i="64"/>
  <c r="BD774" i="64"/>
  <c r="AQ774" i="64"/>
  <c r="AY774" i="64"/>
  <c r="AL774" i="64"/>
  <c r="BA703" i="64"/>
  <c r="AN703" i="64"/>
  <c r="AP845" i="64"/>
  <c r="BC845" i="64"/>
  <c r="AV774" i="64"/>
  <c r="AI774" i="64"/>
  <c r="BB703" i="64"/>
  <c r="AO703" i="64"/>
  <c r="AH480" i="40"/>
  <c r="I480" i="40"/>
  <c r="V480" i="40" s="1"/>
  <c r="AI480" i="40" s="1"/>
  <c r="I479" i="40"/>
  <c r="V479" i="40" s="1"/>
  <c r="AI479" i="40" s="1"/>
  <c r="V448" i="40"/>
  <c r="AI448" i="40" s="1"/>
  <c r="V491" i="40"/>
  <c r="AI491" i="40" s="1"/>
  <c r="V486" i="40"/>
  <c r="AI486" i="40" s="1"/>
  <c r="V485" i="40"/>
  <c r="AI485" i="40" s="1"/>
  <c r="U452" i="40"/>
  <c r="AH452" i="40" s="1"/>
  <c r="V478" i="40"/>
  <c r="AI478" i="40" s="1"/>
  <c r="C139" i="61"/>
  <c r="C140" i="61" s="1"/>
  <c r="I481" i="40" l="1"/>
  <c r="K446" i="40"/>
  <c r="AH490" i="40"/>
  <c r="I490" i="40"/>
  <c r="V490" i="40" s="1"/>
  <c r="AI490" i="40" s="1"/>
  <c r="I482" i="40"/>
  <c r="V482" i="40" s="1"/>
  <c r="AI482" i="40" s="1"/>
  <c r="V461" i="40"/>
  <c r="AI461" i="40" s="1"/>
  <c r="W456" i="40"/>
  <c r="AJ456" i="40" s="1"/>
  <c r="U488" i="40"/>
  <c r="AH488" i="40" s="1"/>
  <c r="J487" i="40"/>
  <c r="W487" i="40" s="1"/>
  <c r="AJ487" i="40" s="1"/>
  <c r="H459" i="40"/>
  <c r="H455" i="40"/>
  <c r="T489" i="40"/>
  <c r="AG489" i="40" s="1"/>
  <c r="AG509" i="40" s="1"/>
  <c r="G28" i="10" s="1"/>
  <c r="K447" i="40"/>
  <c r="X447" i="40" s="1"/>
  <c r="AK447" i="40" s="1"/>
  <c r="N467" i="40"/>
  <c r="AA467" i="40" s="1"/>
  <c r="AN467" i="40" s="1"/>
  <c r="M475" i="40"/>
  <c r="Z475" i="40" s="1"/>
  <c r="AM475" i="40" s="1"/>
  <c r="M497" i="40"/>
  <c r="Z497" i="40" s="1"/>
  <c r="AM497" i="40" s="1"/>
  <c r="L458" i="40"/>
  <c r="Y458" i="40" s="1"/>
  <c r="L507" i="40"/>
  <c r="Y507" i="40" s="1"/>
  <c r="AL507" i="40" s="1"/>
  <c r="M500" i="40"/>
  <c r="Z500" i="40" s="1"/>
  <c r="AM500" i="40" s="1"/>
  <c r="AM484" i="40"/>
  <c r="N484" i="40"/>
  <c r="AA484" i="40" s="1"/>
  <c r="AN484" i="40" s="1"/>
  <c r="N468" i="40"/>
  <c r="AA468" i="40" s="1"/>
  <c r="AN468" i="40" s="1"/>
  <c r="AL470" i="40"/>
  <c r="M470" i="40"/>
  <c r="Z470" i="40" s="1"/>
  <c r="AM470" i="40" s="1"/>
  <c r="N474" i="40"/>
  <c r="AA474" i="40" s="1"/>
  <c r="AN474" i="40" s="1"/>
  <c r="M471" i="40"/>
  <c r="Z471" i="40" s="1"/>
  <c r="AM471" i="40" s="1"/>
  <c r="L496" i="40"/>
  <c r="Y496" i="40" s="1"/>
  <c r="AL496" i="40" s="1"/>
  <c r="N477" i="40"/>
  <c r="AA477" i="40" s="1"/>
  <c r="AN477" i="40" s="1"/>
  <c r="M483" i="40"/>
  <c r="Z483" i="40" s="1"/>
  <c r="AM483" i="40" s="1"/>
  <c r="N473" i="40"/>
  <c r="AA473" i="40" s="1"/>
  <c r="AN473" i="40" s="1"/>
  <c r="N503" i="40"/>
  <c r="AA503" i="40" s="1"/>
  <c r="AN503" i="40" s="1"/>
  <c r="N472" i="40"/>
  <c r="AA472" i="40" s="1"/>
  <c r="AN472" i="40" s="1"/>
  <c r="N476" i="40"/>
  <c r="AA476" i="40" s="1"/>
  <c r="AN476" i="40" s="1"/>
  <c r="L502" i="40"/>
  <c r="M498" i="40"/>
  <c r="L499" i="40"/>
  <c r="N501" i="40"/>
  <c r="AA501" i="40" s="1"/>
  <c r="AN501" i="40" s="1"/>
  <c r="M462" i="40"/>
  <c r="M469" i="40"/>
  <c r="N460" i="40"/>
  <c r="AA460" i="40" s="1"/>
  <c r="AN460" i="40" s="1"/>
  <c r="N466" i="40"/>
  <c r="AA466" i="40" s="1"/>
  <c r="AN466" i="40" s="1"/>
  <c r="N463" i="40"/>
  <c r="AA463" i="40" s="1"/>
  <c r="AN463" i="40" s="1"/>
  <c r="W465" i="40"/>
  <c r="AJ465" i="40" s="1"/>
  <c r="AP704" i="64"/>
  <c r="BC704" i="64"/>
  <c r="BD775" i="64"/>
  <c r="AQ775" i="64"/>
  <c r="AN704" i="64"/>
  <c r="BA704" i="64"/>
  <c r="Z847" i="64"/>
  <c r="Z776" i="64"/>
  <c r="Z705" i="64"/>
  <c r="AA847" i="64"/>
  <c r="AA776" i="64"/>
  <c r="AA705" i="64"/>
  <c r="AD776" i="64"/>
  <c r="AD705" i="64"/>
  <c r="AD847" i="64"/>
  <c r="BE45" i="65"/>
  <c r="BE46" i="65" s="1"/>
  <c r="BG44" i="65"/>
  <c r="BH44" i="65"/>
  <c r="BR44" i="65"/>
  <c r="BI44" i="65"/>
  <c r="BL44" i="65"/>
  <c r="BP44" i="65"/>
  <c r="BM44" i="65"/>
  <c r="BQ44" i="65"/>
  <c r="BJ44" i="65"/>
  <c r="BN44" i="65"/>
  <c r="BK44" i="65"/>
  <c r="BO44" i="65"/>
  <c r="AF846" i="64"/>
  <c r="AS846" i="64"/>
  <c r="AH704" i="64"/>
  <c r="AU704" i="64"/>
  <c r="AO704" i="64"/>
  <c r="BB704" i="64"/>
  <c r="AT846" i="64"/>
  <c r="AG846" i="64"/>
  <c r="AY775" i="64"/>
  <c r="AL775" i="64"/>
  <c r="AX704" i="64"/>
  <c r="AK704" i="64"/>
  <c r="AQ846" i="64"/>
  <c r="BD846" i="64"/>
  <c r="BA846" i="64"/>
  <c r="AN846" i="64"/>
  <c r="V847" i="64"/>
  <c r="V705" i="64"/>
  <c r="V776" i="64"/>
  <c r="AC776" i="64"/>
  <c r="AC705" i="64"/>
  <c r="AC847" i="64"/>
  <c r="Y776" i="64"/>
  <c r="Y847" i="64"/>
  <c r="Y705" i="64"/>
  <c r="AM775" i="64"/>
  <c r="AZ775" i="64"/>
  <c r="AS775" i="64"/>
  <c r="AF775" i="64"/>
  <c r="AH846" i="64"/>
  <c r="AU846" i="64"/>
  <c r="AW775" i="64"/>
  <c r="AJ775" i="64"/>
  <c r="AG704" i="64"/>
  <c r="AT704" i="64"/>
  <c r="AY704" i="64"/>
  <c r="AL704" i="64"/>
  <c r="AV846" i="64"/>
  <c r="AI846" i="64"/>
  <c r="BC775" i="64"/>
  <c r="AP775" i="64"/>
  <c r="AQ704" i="64"/>
  <c r="BD704" i="64"/>
  <c r="T776" i="64"/>
  <c r="T705" i="64"/>
  <c r="T847" i="64"/>
  <c r="U847" i="64"/>
  <c r="U705" i="64"/>
  <c r="U776" i="64"/>
  <c r="S776" i="64"/>
  <c r="S705" i="64"/>
  <c r="S847" i="64"/>
  <c r="AM704" i="64"/>
  <c r="AZ704" i="64"/>
  <c r="AS704" i="64"/>
  <c r="AF704" i="64"/>
  <c r="BB846" i="64"/>
  <c r="AO846" i="64"/>
  <c r="AW846" i="64"/>
  <c r="AJ846" i="64"/>
  <c r="AG775" i="64"/>
  <c r="AT775" i="64"/>
  <c r="AK775" i="64"/>
  <c r="AX775" i="64"/>
  <c r="AV775" i="64"/>
  <c r="AI775" i="64"/>
  <c r="AP846" i="64"/>
  <c r="BC846" i="64"/>
  <c r="BA775" i="64"/>
  <c r="AN775" i="64"/>
  <c r="W847" i="64"/>
  <c r="W776" i="64"/>
  <c r="W705" i="64"/>
  <c r="X847" i="64"/>
  <c r="X776" i="64"/>
  <c r="X705" i="64"/>
  <c r="AB776" i="64"/>
  <c r="AB705" i="64"/>
  <c r="AB847" i="64"/>
  <c r="AZ846" i="64"/>
  <c r="AM846" i="64"/>
  <c r="AU775" i="64"/>
  <c r="AH775" i="64"/>
  <c r="AO775" i="64"/>
  <c r="BB775" i="64"/>
  <c r="AJ704" i="64"/>
  <c r="AW704" i="64"/>
  <c r="AL846" i="64"/>
  <c r="AY846" i="64"/>
  <c r="AK846" i="64"/>
  <c r="AX846" i="64"/>
  <c r="AV704" i="64"/>
  <c r="AI704" i="64"/>
  <c r="J485" i="40"/>
  <c r="W485" i="40" s="1"/>
  <c r="AJ485" i="40" s="1"/>
  <c r="I452" i="40"/>
  <c r="J478" i="40"/>
  <c r="W478" i="40" s="1"/>
  <c r="AJ478" i="40" s="1"/>
  <c r="J491" i="40"/>
  <c r="J486" i="40"/>
  <c r="J480" i="40"/>
  <c r="J448" i="40"/>
  <c r="J479" i="40"/>
  <c r="I108" i="61"/>
  <c r="D108" i="61"/>
  <c r="V481" i="40" l="1"/>
  <c r="AI481" i="40" s="1"/>
  <c r="X446" i="40"/>
  <c r="AK446" i="40" s="1"/>
  <c r="I488" i="40"/>
  <c r="V488" i="40" s="1"/>
  <c r="AI488" i="40" s="1"/>
  <c r="J461" i="40"/>
  <c r="W461" i="40" s="1"/>
  <c r="AJ461" i="40" s="1"/>
  <c r="H489" i="40"/>
  <c r="U489" i="40" s="1"/>
  <c r="AH489" i="40" s="1"/>
  <c r="J482" i="40"/>
  <c r="U455" i="40"/>
  <c r="AH455" i="40" s="1"/>
  <c r="U459" i="40"/>
  <c r="AH459" i="40" s="1"/>
  <c r="K456" i="40"/>
  <c r="J490" i="40"/>
  <c r="L447" i="40"/>
  <c r="Y447" i="40" s="1"/>
  <c r="AL447" i="40" s="1"/>
  <c r="K487" i="40"/>
  <c r="K465" i="40"/>
  <c r="X465" i="40" s="1"/>
  <c r="AK465" i="40" s="1"/>
  <c r="N497" i="40"/>
  <c r="AA497" i="40" s="1"/>
  <c r="AN497" i="40" s="1"/>
  <c r="N471" i="40"/>
  <c r="AA471" i="40" s="1"/>
  <c r="AN471" i="40" s="1"/>
  <c r="AL458" i="40"/>
  <c r="M458" i="40"/>
  <c r="Z458" i="40" s="1"/>
  <c r="AM458" i="40" s="1"/>
  <c r="N475" i="40"/>
  <c r="AA475" i="40" s="1"/>
  <c r="AN475" i="40" s="1"/>
  <c r="M507" i="40"/>
  <c r="Z507" i="40" s="1"/>
  <c r="AM507" i="40" s="1"/>
  <c r="M496" i="40"/>
  <c r="N470" i="40"/>
  <c r="AA470" i="40" s="1"/>
  <c r="AN470" i="40" s="1"/>
  <c r="N500" i="40"/>
  <c r="AA500" i="40" s="1"/>
  <c r="AN500" i="40" s="1"/>
  <c r="N483" i="40"/>
  <c r="AA483" i="40" s="1"/>
  <c r="AN483" i="40" s="1"/>
  <c r="Z462" i="40"/>
  <c r="AM462" i="40" s="1"/>
  <c r="Y502" i="40"/>
  <c r="AL502" i="40" s="1"/>
  <c r="Y499" i="40"/>
  <c r="AL499" i="40" s="1"/>
  <c r="Z469" i="40"/>
  <c r="AM469" i="40" s="1"/>
  <c r="Z498" i="40"/>
  <c r="AM498" i="40" s="1"/>
  <c r="AX705" i="64"/>
  <c r="AK705" i="64"/>
  <c r="AW776" i="64"/>
  <c r="AJ776" i="64"/>
  <c r="AF847" i="64"/>
  <c r="AS847" i="64"/>
  <c r="AU705" i="64"/>
  <c r="AH705" i="64"/>
  <c r="AT776" i="64"/>
  <c r="AG776" i="64"/>
  <c r="AY847" i="64"/>
  <c r="AL847" i="64"/>
  <c r="AP776" i="64"/>
  <c r="BC776" i="64"/>
  <c r="AA706" i="64"/>
  <c r="AA777" i="64"/>
  <c r="AA848" i="64"/>
  <c r="AC706" i="64"/>
  <c r="AC777" i="64"/>
  <c r="AC848" i="64"/>
  <c r="U706" i="64"/>
  <c r="U777" i="64"/>
  <c r="U848" i="64"/>
  <c r="BE47" i="65"/>
  <c r="BP46" i="65"/>
  <c r="BL46" i="65"/>
  <c r="BM46" i="65"/>
  <c r="BO46" i="65"/>
  <c r="BI46" i="65"/>
  <c r="BN46" i="65"/>
  <c r="BG46" i="65"/>
  <c r="BK46" i="65"/>
  <c r="BH46" i="65"/>
  <c r="BQ46" i="65"/>
  <c r="BJ46" i="65"/>
  <c r="BR46" i="65"/>
  <c r="BA705" i="64"/>
  <c r="AN705" i="64"/>
  <c r="AZ776" i="64"/>
  <c r="AM776" i="64"/>
  <c r="AK776" i="64"/>
  <c r="AX776" i="64"/>
  <c r="AW847" i="64"/>
  <c r="AJ847" i="64"/>
  <c r="AS705" i="64"/>
  <c r="AF705" i="64"/>
  <c r="AH847" i="64"/>
  <c r="AU847" i="64"/>
  <c r="AL776" i="64"/>
  <c r="AY776" i="64"/>
  <c r="AI776" i="64"/>
  <c r="AV776" i="64"/>
  <c r="W777" i="64"/>
  <c r="W706" i="64"/>
  <c r="W848" i="64"/>
  <c r="Y706" i="64"/>
  <c r="Y848" i="64"/>
  <c r="Y777" i="64"/>
  <c r="AD848" i="64"/>
  <c r="AD706" i="64"/>
  <c r="AD777" i="64"/>
  <c r="BD847" i="64"/>
  <c r="AQ847" i="64"/>
  <c r="AN776" i="64"/>
  <c r="BA776" i="64"/>
  <c r="AM847" i="64"/>
  <c r="AZ847" i="64"/>
  <c r="AO847" i="64"/>
  <c r="BB847" i="64"/>
  <c r="AO705" i="64"/>
  <c r="BB705" i="64"/>
  <c r="AK847" i="64"/>
  <c r="AX847" i="64"/>
  <c r="AS776" i="64"/>
  <c r="AF776" i="64"/>
  <c r="AG847" i="64"/>
  <c r="AT847" i="64"/>
  <c r="AP847" i="64"/>
  <c r="BC847" i="64"/>
  <c r="AV705" i="64"/>
  <c r="AI705" i="64"/>
  <c r="Z848" i="64"/>
  <c r="Z706" i="64"/>
  <c r="Z777" i="64"/>
  <c r="AB777" i="64"/>
  <c r="AB706" i="64"/>
  <c r="AB848" i="64"/>
  <c r="T706" i="64"/>
  <c r="T777" i="64"/>
  <c r="T848" i="64"/>
  <c r="BD705" i="64"/>
  <c r="AQ705" i="64"/>
  <c r="AN847" i="64"/>
  <c r="BA847" i="64"/>
  <c r="BB776" i="64"/>
  <c r="AO776" i="64"/>
  <c r="AJ705" i="64"/>
  <c r="AW705" i="64"/>
  <c r="AU776" i="64"/>
  <c r="AH776" i="64"/>
  <c r="AT705" i="64"/>
  <c r="AG705" i="64"/>
  <c r="AL705" i="64"/>
  <c r="AY705" i="64"/>
  <c r="AP705" i="64"/>
  <c r="BC705" i="64"/>
  <c r="AI847" i="64"/>
  <c r="AV847" i="64"/>
  <c r="V706" i="64"/>
  <c r="V848" i="64"/>
  <c r="V777" i="64"/>
  <c r="X848" i="64"/>
  <c r="X777" i="64"/>
  <c r="X706" i="64"/>
  <c r="S706" i="64"/>
  <c r="S777" i="64"/>
  <c r="S848" i="64"/>
  <c r="BD776" i="64"/>
  <c r="AQ776" i="64"/>
  <c r="AZ705" i="64"/>
  <c r="AM705" i="64"/>
  <c r="V452" i="40"/>
  <c r="AI452" i="40" s="1"/>
  <c r="K485" i="40"/>
  <c r="X485" i="40" s="1"/>
  <c r="AK485" i="40" s="1"/>
  <c r="W448" i="40"/>
  <c r="AJ448" i="40" s="1"/>
  <c r="W480" i="40"/>
  <c r="AJ480" i="40" s="1"/>
  <c r="W486" i="40"/>
  <c r="AJ486" i="40" s="1"/>
  <c r="W479" i="40"/>
  <c r="AJ479" i="40" s="1"/>
  <c r="W491" i="40"/>
  <c r="AJ491" i="40" s="1"/>
  <c r="K478" i="40"/>
  <c r="O70" i="83"/>
  <c r="J481" i="40" l="1"/>
  <c r="W481" i="40" s="1"/>
  <c r="AJ481" i="40" s="1"/>
  <c r="L446" i="40"/>
  <c r="W482" i="40"/>
  <c r="AJ482" i="40" s="1"/>
  <c r="I489" i="40"/>
  <c r="V489" i="40" s="1"/>
  <c r="AI489" i="40" s="1"/>
  <c r="I455" i="40"/>
  <c r="V455" i="40" s="1"/>
  <c r="AI455" i="40" s="1"/>
  <c r="I459" i="40"/>
  <c r="K461" i="40"/>
  <c r="J488" i="40"/>
  <c r="W490" i="40"/>
  <c r="AJ490" i="40" s="1"/>
  <c r="X456" i="40"/>
  <c r="AK456" i="40" s="1"/>
  <c r="AH509" i="40"/>
  <c r="H28" i="10" s="1"/>
  <c r="M447" i="40"/>
  <c r="Z447" i="40" s="1"/>
  <c r="AM447" i="40" s="1"/>
  <c r="X487" i="40"/>
  <c r="AK487" i="40" s="1"/>
  <c r="J18" i="83"/>
  <c r="J21" i="83" s="1"/>
  <c r="N498" i="40"/>
  <c r="AA498" i="40" s="1"/>
  <c r="AN498" i="40" s="1"/>
  <c r="N462" i="40"/>
  <c r="AA462" i="40" s="1"/>
  <c r="AN462" i="40" s="1"/>
  <c r="N458" i="40"/>
  <c r="AA458" i="40" s="1"/>
  <c r="AN458" i="40" s="1"/>
  <c r="N507" i="40"/>
  <c r="AA507" i="40" s="1"/>
  <c r="AN507" i="40" s="1"/>
  <c r="M499" i="40"/>
  <c r="Z499" i="40" s="1"/>
  <c r="AM499" i="40" s="1"/>
  <c r="Z496" i="40"/>
  <c r="AM496" i="40" s="1"/>
  <c r="N469" i="40"/>
  <c r="AA469" i="40" s="1"/>
  <c r="AN469" i="40" s="1"/>
  <c r="L465" i="40"/>
  <c r="M502" i="40"/>
  <c r="Z502" i="40" s="1"/>
  <c r="AM502" i="40" s="1"/>
  <c r="AF848" i="64"/>
  <c r="AS848" i="64"/>
  <c r="AF777" i="64"/>
  <c r="AS777" i="64"/>
  <c r="AK848" i="64"/>
  <c r="AX848" i="64"/>
  <c r="AT706" i="64"/>
  <c r="AG706" i="64"/>
  <c r="AM777" i="64"/>
  <c r="AZ777" i="64"/>
  <c r="BD706" i="64"/>
  <c r="AQ706" i="64"/>
  <c r="AL706" i="64"/>
  <c r="AY706" i="64"/>
  <c r="AD779" i="64"/>
  <c r="AD708" i="64"/>
  <c r="AD850" i="64"/>
  <c r="W708" i="64"/>
  <c r="W850" i="64"/>
  <c r="W779" i="64"/>
  <c r="AA708" i="64"/>
  <c r="AA779" i="64"/>
  <c r="AA850" i="64"/>
  <c r="BE48" i="65"/>
  <c r="BP47" i="65"/>
  <c r="BG47" i="65"/>
  <c r="BI47" i="65"/>
  <c r="BH47" i="65"/>
  <c r="BQ47" i="65"/>
  <c r="BJ47" i="65"/>
  <c r="BN47" i="65"/>
  <c r="BO47" i="65"/>
  <c r="BK47" i="65"/>
  <c r="BL47" i="65"/>
  <c r="BM47" i="65"/>
  <c r="BR47" i="65"/>
  <c r="AP848" i="64"/>
  <c r="BC848" i="64"/>
  <c r="BA777" i="64"/>
  <c r="AN777" i="64"/>
  <c r="AS706" i="64"/>
  <c r="AF706" i="64"/>
  <c r="AV777" i="64"/>
  <c r="AI777" i="64"/>
  <c r="AO848" i="64"/>
  <c r="BB848" i="64"/>
  <c r="AM706" i="64"/>
  <c r="AZ706" i="64"/>
  <c r="AQ848" i="64"/>
  <c r="BD848" i="64"/>
  <c r="AJ848" i="64"/>
  <c r="AW848" i="64"/>
  <c r="V708" i="64"/>
  <c r="V779" i="64"/>
  <c r="V850" i="64"/>
  <c r="S779" i="64"/>
  <c r="S708" i="64"/>
  <c r="S850" i="64"/>
  <c r="Y850" i="64"/>
  <c r="Y779" i="64"/>
  <c r="Y708" i="64"/>
  <c r="AU848" i="64"/>
  <c r="AH848" i="64"/>
  <c r="BC777" i="64"/>
  <c r="AP777" i="64"/>
  <c r="BA706" i="64"/>
  <c r="AN706" i="64"/>
  <c r="AK706" i="64"/>
  <c r="AX706" i="64"/>
  <c r="AV848" i="64"/>
  <c r="AI848" i="64"/>
  <c r="AG848" i="64"/>
  <c r="AT848" i="64"/>
  <c r="AO706" i="64"/>
  <c r="BB706" i="64"/>
  <c r="AZ848" i="64"/>
  <c r="AM848" i="64"/>
  <c r="AL777" i="64"/>
  <c r="AY777" i="64"/>
  <c r="AW706" i="64"/>
  <c r="AJ706" i="64"/>
  <c r="AC779" i="64"/>
  <c r="AC708" i="64"/>
  <c r="AC850" i="64"/>
  <c r="Z708" i="64"/>
  <c r="Z779" i="64"/>
  <c r="Z850" i="64"/>
  <c r="X708" i="64"/>
  <c r="X779" i="64"/>
  <c r="X850" i="64"/>
  <c r="AU777" i="64"/>
  <c r="AH777" i="64"/>
  <c r="AP706" i="64"/>
  <c r="BC706" i="64"/>
  <c r="AK777" i="64"/>
  <c r="AX777" i="64"/>
  <c r="AI706" i="64"/>
  <c r="AV706" i="64"/>
  <c r="AT777" i="64"/>
  <c r="AG777" i="64"/>
  <c r="BB777" i="64"/>
  <c r="AO777" i="64"/>
  <c r="BD777" i="64"/>
  <c r="AQ777" i="64"/>
  <c r="AL848" i="64"/>
  <c r="AY848" i="64"/>
  <c r="AJ777" i="64"/>
  <c r="AW777" i="64"/>
  <c r="T850" i="64"/>
  <c r="T779" i="64"/>
  <c r="T708" i="64"/>
  <c r="U850" i="64"/>
  <c r="U708" i="64"/>
  <c r="U779" i="64"/>
  <c r="AB708" i="64"/>
  <c r="AB850" i="64"/>
  <c r="AB779" i="64"/>
  <c r="AH706" i="64"/>
  <c r="AU706" i="64"/>
  <c r="BA848" i="64"/>
  <c r="AN848" i="64"/>
  <c r="K480" i="40"/>
  <c r="X480" i="40" s="1"/>
  <c r="AK480" i="40" s="1"/>
  <c r="K479" i="40"/>
  <c r="X479" i="40" s="1"/>
  <c r="AK479" i="40" s="1"/>
  <c r="J452" i="40"/>
  <c r="W452" i="40" s="1"/>
  <c r="AJ452" i="40" s="1"/>
  <c r="K486" i="40"/>
  <c r="X486" i="40" s="1"/>
  <c r="AK486" i="40" s="1"/>
  <c r="K448" i="40"/>
  <c r="X448" i="40" s="1"/>
  <c r="AK448" i="40" s="1"/>
  <c r="L485" i="40"/>
  <c r="X478" i="40"/>
  <c r="AK478" i="40" s="1"/>
  <c r="K491" i="40"/>
  <c r="K481" i="40" l="1"/>
  <c r="X481" i="40" s="1"/>
  <c r="AK481" i="40" s="1"/>
  <c r="Y446" i="40"/>
  <c r="AL446" i="40" s="1"/>
  <c r="J489" i="40"/>
  <c r="W489" i="40" s="1"/>
  <c r="AJ489" i="40" s="1"/>
  <c r="J455" i="40"/>
  <c r="W455" i="40" s="1"/>
  <c r="AJ455" i="40" s="1"/>
  <c r="K482" i="40"/>
  <c r="X482" i="40" s="1"/>
  <c r="AK482" i="40" s="1"/>
  <c r="L456" i="40"/>
  <c r="Y456" i="40" s="1"/>
  <c r="AL456" i="40" s="1"/>
  <c r="K490" i="40"/>
  <c r="X490" i="40" s="1"/>
  <c r="AK490" i="40" s="1"/>
  <c r="N447" i="40"/>
  <c r="AA447" i="40" s="1"/>
  <c r="AN447" i="40" s="1"/>
  <c r="W488" i="40"/>
  <c r="AJ488" i="40" s="1"/>
  <c r="X461" i="40"/>
  <c r="AK461" i="40" s="1"/>
  <c r="V459" i="40"/>
  <c r="AI459" i="40" s="1"/>
  <c r="AI509" i="40" s="1"/>
  <c r="I28" i="10" s="1"/>
  <c r="L487" i="40"/>
  <c r="Y487" i="40" s="1"/>
  <c r="AL487" i="40" s="1"/>
  <c r="N499" i="40"/>
  <c r="AA499" i="40" s="1"/>
  <c r="AN499" i="40" s="1"/>
  <c r="N496" i="40"/>
  <c r="AA496" i="40" s="1"/>
  <c r="AN496" i="40" s="1"/>
  <c r="Y465" i="40"/>
  <c r="AL465" i="40" s="1"/>
  <c r="N502" i="40"/>
  <c r="AA502" i="40" s="1"/>
  <c r="AN502" i="40" s="1"/>
  <c r="AO779" i="64"/>
  <c r="BB779" i="64"/>
  <c r="AO850" i="64"/>
  <c r="BB850" i="64"/>
  <c r="AU850" i="64"/>
  <c r="AH850" i="64"/>
  <c r="AX708" i="64"/>
  <c r="AK708" i="64"/>
  <c r="AP850" i="64"/>
  <c r="BC850" i="64"/>
  <c r="AY779" i="64"/>
  <c r="AL779" i="64"/>
  <c r="AS779" i="64"/>
  <c r="AF779" i="64"/>
  <c r="AD851" i="64"/>
  <c r="AD709" i="64"/>
  <c r="AD780" i="64"/>
  <c r="AA709" i="64"/>
  <c r="AA851" i="64"/>
  <c r="AA780" i="64"/>
  <c r="T709" i="64"/>
  <c r="T780" i="64"/>
  <c r="T851" i="64"/>
  <c r="BE49" i="65"/>
  <c r="BP48" i="65"/>
  <c r="BG48" i="65"/>
  <c r="BJ48" i="65"/>
  <c r="BN48" i="65"/>
  <c r="BH48" i="65"/>
  <c r="BL48" i="65"/>
  <c r="BK48" i="65"/>
  <c r="BO48" i="65"/>
  <c r="BR48" i="65"/>
  <c r="BI48" i="65"/>
  <c r="BM48" i="65"/>
  <c r="BQ48" i="65"/>
  <c r="AW779" i="64"/>
  <c r="AJ779" i="64"/>
  <c r="AQ708" i="64"/>
  <c r="BD708" i="64"/>
  <c r="AO708" i="64"/>
  <c r="BB708" i="64"/>
  <c r="AG708" i="64"/>
  <c r="AT708" i="64"/>
  <c r="AZ850" i="64"/>
  <c r="AM850" i="64"/>
  <c r="AP708" i="64"/>
  <c r="BC708" i="64"/>
  <c r="AL850" i="64"/>
  <c r="AY850" i="64"/>
  <c r="AV850" i="64"/>
  <c r="AI850" i="64"/>
  <c r="Y780" i="64"/>
  <c r="Y851" i="64"/>
  <c r="Y709" i="64"/>
  <c r="Z780" i="64"/>
  <c r="Z851" i="64"/>
  <c r="Z709" i="64"/>
  <c r="U851" i="64"/>
  <c r="U709" i="64"/>
  <c r="U780" i="64"/>
  <c r="AN850" i="64"/>
  <c r="BA850" i="64"/>
  <c r="AJ850" i="64"/>
  <c r="AW850" i="64"/>
  <c r="BD779" i="64"/>
  <c r="AQ779" i="64"/>
  <c r="AH779" i="64"/>
  <c r="AU779" i="64"/>
  <c r="AG779" i="64"/>
  <c r="AT779" i="64"/>
  <c r="AX850" i="64"/>
  <c r="AK850" i="64"/>
  <c r="AM779" i="64"/>
  <c r="AZ779" i="64"/>
  <c r="BC779" i="64"/>
  <c r="AP779" i="64"/>
  <c r="AS850" i="64"/>
  <c r="AF850" i="64"/>
  <c r="AV779" i="64"/>
  <c r="AI779" i="64"/>
  <c r="X780" i="64"/>
  <c r="X709" i="64"/>
  <c r="X851" i="64"/>
  <c r="V851" i="64"/>
  <c r="V709" i="64"/>
  <c r="V780" i="64"/>
  <c r="S709" i="64"/>
  <c r="S780" i="64"/>
  <c r="S851" i="64"/>
  <c r="BA779" i="64"/>
  <c r="AN779" i="64"/>
  <c r="AW708" i="64"/>
  <c r="AJ708" i="64"/>
  <c r="AU708" i="64"/>
  <c r="AH708" i="64"/>
  <c r="AT850" i="64"/>
  <c r="AG850" i="64"/>
  <c r="AK779" i="64"/>
  <c r="AX779" i="64"/>
  <c r="AZ708" i="64"/>
  <c r="AM708" i="64"/>
  <c r="AY708" i="64"/>
  <c r="AL708" i="64"/>
  <c r="AS708" i="64"/>
  <c r="AF708" i="64"/>
  <c r="AI708" i="64"/>
  <c r="AV708" i="64"/>
  <c r="W780" i="64"/>
  <c r="W851" i="64"/>
  <c r="W709" i="64"/>
  <c r="AC780" i="64"/>
  <c r="AC709" i="64"/>
  <c r="AC851" i="64"/>
  <c r="AB851" i="64"/>
  <c r="AB780" i="64"/>
  <c r="AB709" i="64"/>
  <c r="BA708" i="64"/>
  <c r="AN708" i="64"/>
  <c r="BD850" i="64"/>
  <c r="AQ850" i="64"/>
  <c r="L479" i="40"/>
  <c r="Y479" i="40" s="1"/>
  <c r="AL479" i="40" s="1"/>
  <c r="K452" i="40"/>
  <c r="X452" i="40" s="1"/>
  <c r="AK452" i="40" s="1"/>
  <c r="L448" i="40"/>
  <c r="Y448" i="40" s="1"/>
  <c r="AL448" i="40" s="1"/>
  <c r="L478" i="40"/>
  <c r="Y478" i="40" s="1"/>
  <c r="Y485" i="40"/>
  <c r="AL485" i="40" s="1"/>
  <c r="L480" i="40"/>
  <c r="L486" i="40"/>
  <c r="X491" i="40"/>
  <c r="AK491" i="40" s="1"/>
  <c r="L481" i="40" l="1"/>
  <c r="Y481" i="40" s="1"/>
  <c r="AL481" i="40" s="1"/>
  <c r="M446" i="40"/>
  <c r="K455" i="40"/>
  <c r="X455" i="40" s="1"/>
  <c r="AK455" i="40" s="1"/>
  <c r="J459" i="40"/>
  <c r="W459" i="40" s="1"/>
  <c r="AJ459" i="40" s="1"/>
  <c r="AJ509" i="40" s="1"/>
  <c r="J28" i="10" s="1"/>
  <c r="L482" i="40"/>
  <c r="Y482" i="40" s="1"/>
  <c r="AL482" i="40" s="1"/>
  <c r="L461" i="40"/>
  <c r="Y461" i="40" s="1"/>
  <c r="AL461" i="40" s="1"/>
  <c r="K488" i="40"/>
  <c r="X488" i="40" s="1"/>
  <c r="AK488" i="40" s="1"/>
  <c r="K489" i="40"/>
  <c r="X489" i="40" s="1"/>
  <c r="AK489" i="40" s="1"/>
  <c r="L490" i="40"/>
  <c r="M456" i="40"/>
  <c r="M487" i="40"/>
  <c r="M465" i="40"/>
  <c r="AO709" i="64"/>
  <c r="BB709" i="64"/>
  <c r="BB851" i="64"/>
  <c r="AO851" i="64"/>
  <c r="AJ709" i="64"/>
  <c r="AW709" i="64"/>
  <c r="AS709" i="64"/>
  <c r="AF709" i="64"/>
  <c r="AX851" i="64"/>
  <c r="AK851" i="64"/>
  <c r="AH709" i="64"/>
  <c r="AU709" i="64"/>
  <c r="AM780" i="64"/>
  <c r="AZ780" i="64"/>
  <c r="AC710" i="64"/>
  <c r="AC781" i="64"/>
  <c r="AC852" i="64"/>
  <c r="AA781" i="64"/>
  <c r="AA710" i="64"/>
  <c r="AA852" i="64"/>
  <c r="Z852" i="64"/>
  <c r="Z710" i="64"/>
  <c r="Z781" i="64"/>
  <c r="BE50" i="65"/>
  <c r="BP49" i="65"/>
  <c r="BO49" i="65"/>
  <c r="BK49" i="65"/>
  <c r="BR49" i="65"/>
  <c r="BG49" i="65"/>
  <c r="BI49" i="65"/>
  <c r="BM49" i="65"/>
  <c r="BQ49" i="65"/>
  <c r="BH49" i="65"/>
  <c r="BJ49" i="65"/>
  <c r="BN49" i="65"/>
  <c r="BL49" i="65"/>
  <c r="BA780" i="64"/>
  <c r="AN780" i="64"/>
  <c r="AQ709" i="64"/>
  <c r="BD709" i="64"/>
  <c r="AP851" i="64"/>
  <c r="BC851" i="64"/>
  <c r="AW851" i="64"/>
  <c r="AJ851" i="64"/>
  <c r="AI780" i="64"/>
  <c r="AV780" i="64"/>
  <c r="AK709" i="64"/>
  <c r="AX709" i="64"/>
  <c r="AU851" i="64"/>
  <c r="AH851" i="64"/>
  <c r="AY709" i="64"/>
  <c r="AL709" i="64"/>
  <c r="Y710" i="64"/>
  <c r="Y781" i="64"/>
  <c r="Y852" i="64"/>
  <c r="W710" i="64"/>
  <c r="W781" i="64"/>
  <c r="W852" i="64"/>
  <c r="V710" i="64"/>
  <c r="V781" i="64"/>
  <c r="V852" i="64"/>
  <c r="AT851" i="64"/>
  <c r="AG851" i="64"/>
  <c r="AN851" i="64"/>
  <c r="BA851" i="64"/>
  <c r="AQ851" i="64"/>
  <c r="BD851" i="64"/>
  <c r="AP709" i="64"/>
  <c r="BC709" i="64"/>
  <c r="AJ780" i="64"/>
  <c r="AW780" i="64"/>
  <c r="AF851" i="64"/>
  <c r="AS851" i="64"/>
  <c r="AV709" i="64"/>
  <c r="AI709" i="64"/>
  <c r="AX780" i="64"/>
  <c r="AK780" i="64"/>
  <c r="AM709" i="64"/>
  <c r="AZ709" i="64"/>
  <c r="AY851" i="64"/>
  <c r="AL851" i="64"/>
  <c r="U781" i="64"/>
  <c r="U710" i="64"/>
  <c r="U852" i="64"/>
  <c r="X710" i="64"/>
  <c r="X781" i="64"/>
  <c r="X852" i="64"/>
  <c r="S710" i="64"/>
  <c r="S781" i="64"/>
  <c r="S852" i="64"/>
  <c r="AG780" i="64"/>
  <c r="AT780" i="64"/>
  <c r="AN709" i="64"/>
  <c r="BA709" i="64"/>
  <c r="BB780" i="64"/>
  <c r="AO780" i="64"/>
  <c r="AP780" i="64"/>
  <c r="BC780" i="64"/>
  <c r="AF780" i="64"/>
  <c r="AS780" i="64"/>
  <c r="AV851" i="64"/>
  <c r="AI851" i="64"/>
  <c r="AH780" i="64"/>
  <c r="AU780" i="64"/>
  <c r="AZ851" i="64"/>
  <c r="AM851" i="64"/>
  <c r="AL780" i="64"/>
  <c r="AY780" i="64"/>
  <c r="AD781" i="64"/>
  <c r="AD710" i="64"/>
  <c r="AD852" i="64"/>
  <c r="T710" i="64"/>
  <c r="T781" i="64"/>
  <c r="T852" i="64"/>
  <c r="AB710" i="64"/>
  <c r="AB852" i="64"/>
  <c r="AB781" i="64"/>
  <c r="AT709" i="64"/>
  <c r="AG709" i="64"/>
  <c r="BD780" i="64"/>
  <c r="AQ780" i="64"/>
  <c r="L452" i="40"/>
  <c r="Y452" i="40" s="1"/>
  <c r="AL452" i="40" s="1"/>
  <c r="M479" i="40"/>
  <c r="Z479" i="40" s="1"/>
  <c r="AM479" i="40" s="1"/>
  <c r="M485" i="40"/>
  <c r="Z485" i="40" s="1"/>
  <c r="AM485" i="40" s="1"/>
  <c r="AL478" i="40"/>
  <c r="M478" i="40"/>
  <c r="Z478" i="40" s="1"/>
  <c r="AM478" i="40" s="1"/>
  <c r="Y486" i="40"/>
  <c r="AL486" i="40" s="1"/>
  <c r="L491" i="40"/>
  <c r="Y480" i="40"/>
  <c r="AL480" i="40" s="1"/>
  <c r="M448" i="40"/>
  <c r="M481" i="40" l="1"/>
  <c r="Z481" i="40" s="1"/>
  <c r="AM481" i="40" s="1"/>
  <c r="Z446" i="40"/>
  <c r="AM446" i="40" s="1"/>
  <c r="K459" i="40"/>
  <c r="X459" i="40" s="1"/>
  <c r="AK459" i="40" s="1"/>
  <c r="AK509" i="40" s="1"/>
  <c r="K28" i="10" s="1"/>
  <c r="M482" i="40"/>
  <c r="L455" i="40"/>
  <c r="Y455" i="40" s="1"/>
  <c r="AL455" i="40" s="1"/>
  <c r="L489" i="40"/>
  <c r="Y489" i="40" s="1"/>
  <c r="AL489" i="40" s="1"/>
  <c r="L488" i="40"/>
  <c r="Y488" i="40" s="1"/>
  <c r="M461" i="40"/>
  <c r="Z461" i="40" s="1"/>
  <c r="AM461" i="40" s="1"/>
  <c r="Z456" i="40"/>
  <c r="AM456" i="40" s="1"/>
  <c r="Y490" i="40"/>
  <c r="AL490" i="40" s="1"/>
  <c r="Z487" i="40"/>
  <c r="AM487" i="40" s="1"/>
  <c r="Z465" i="40"/>
  <c r="AM465" i="40" s="1"/>
  <c r="AO781" i="64"/>
  <c r="BB781" i="64"/>
  <c r="AO852" i="64"/>
  <c r="BB852" i="64"/>
  <c r="AT710" i="64"/>
  <c r="AG710" i="64"/>
  <c r="AF710" i="64"/>
  <c r="AS710" i="64"/>
  <c r="AH852" i="64"/>
  <c r="AU852" i="64"/>
  <c r="AV781" i="64"/>
  <c r="AI781" i="64"/>
  <c r="AJ710" i="64"/>
  <c r="AW710" i="64"/>
  <c r="X782" i="64"/>
  <c r="X853" i="64"/>
  <c r="X711" i="64"/>
  <c r="AC711" i="64"/>
  <c r="AC853" i="64"/>
  <c r="AC782" i="64"/>
  <c r="AD853" i="64"/>
  <c r="AD711" i="64"/>
  <c r="AD782" i="64"/>
  <c r="BO50" i="65"/>
  <c r="BH50" i="65"/>
  <c r="BR50" i="65"/>
  <c r="BG50" i="65"/>
  <c r="BI50" i="65"/>
  <c r="BM50" i="65"/>
  <c r="BQ50" i="65"/>
  <c r="BJ50" i="65"/>
  <c r="BN50" i="65"/>
  <c r="BP50" i="65"/>
  <c r="BL50" i="65"/>
  <c r="BK50" i="65"/>
  <c r="AN852" i="64"/>
  <c r="BA852" i="64"/>
  <c r="AP781" i="64"/>
  <c r="BC781" i="64"/>
  <c r="AO710" i="64"/>
  <c r="BB710" i="64"/>
  <c r="BD852" i="64"/>
  <c r="AQ852" i="64"/>
  <c r="AK852" i="64"/>
  <c r="AX852" i="64"/>
  <c r="AH710" i="64"/>
  <c r="AU710" i="64"/>
  <c r="AV710" i="64"/>
  <c r="AI710" i="64"/>
  <c r="AL852" i="64"/>
  <c r="AY852" i="64"/>
  <c r="Z711" i="64"/>
  <c r="Z782" i="64"/>
  <c r="Z853" i="64"/>
  <c r="Y853" i="64"/>
  <c r="Y711" i="64"/>
  <c r="Y782" i="64"/>
  <c r="W711" i="64"/>
  <c r="W782" i="64"/>
  <c r="W853" i="64"/>
  <c r="AZ781" i="64"/>
  <c r="AM781" i="64"/>
  <c r="AN710" i="64"/>
  <c r="BA710" i="64"/>
  <c r="BC710" i="64"/>
  <c r="AP710" i="64"/>
  <c r="AT852" i="64"/>
  <c r="AG852" i="64"/>
  <c r="AQ710" i="64"/>
  <c r="BD710" i="64"/>
  <c r="AF852" i="64"/>
  <c r="AS852" i="64"/>
  <c r="AX781" i="64"/>
  <c r="AK781" i="64"/>
  <c r="AH781" i="64"/>
  <c r="AU781" i="64"/>
  <c r="AJ852" i="64"/>
  <c r="AW852" i="64"/>
  <c r="AL781" i="64"/>
  <c r="AY781" i="64"/>
  <c r="V853" i="64"/>
  <c r="V782" i="64"/>
  <c r="V711" i="64"/>
  <c r="U782" i="64"/>
  <c r="U711" i="64"/>
  <c r="U853" i="64"/>
  <c r="AA711" i="64"/>
  <c r="AA782" i="64"/>
  <c r="AA853" i="64"/>
  <c r="AZ710" i="64"/>
  <c r="AM710" i="64"/>
  <c r="AN781" i="64"/>
  <c r="BA781" i="64"/>
  <c r="AG781" i="64"/>
  <c r="AT781" i="64"/>
  <c r="AQ781" i="64"/>
  <c r="BD781" i="64"/>
  <c r="AS781" i="64"/>
  <c r="AF781" i="64"/>
  <c r="AK710" i="64"/>
  <c r="AX710" i="64"/>
  <c r="AI852" i="64"/>
  <c r="AV852" i="64"/>
  <c r="AJ781" i="64"/>
  <c r="AW781" i="64"/>
  <c r="AL710" i="64"/>
  <c r="AY710" i="64"/>
  <c r="T782" i="64"/>
  <c r="T711" i="64"/>
  <c r="T853" i="64"/>
  <c r="S711" i="64"/>
  <c r="S782" i="64"/>
  <c r="S853" i="64"/>
  <c r="AB711" i="64"/>
  <c r="AB853" i="64"/>
  <c r="AB782" i="64"/>
  <c r="AM852" i="64"/>
  <c r="AZ852" i="64"/>
  <c r="AP852" i="64"/>
  <c r="BC852" i="64"/>
  <c r="N479" i="40"/>
  <c r="AA479" i="40" s="1"/>
  <c r="AN479" i="40" s="1"/>
  <c r="M486" i="40"/>
  <c r="Z486" i="40" s="1"/>
  <c r="AM486" i="40" s="1"/>
  <c r="N478" i="40"/>
  <c r="AA478" i="40" s="1"/>
  <c r="AN478" i="40" s="1"/>
  <c r="M452" i="40"/>
  <c r="Z452" i="40" s="1"/>
  <c r="AM452" i="40" s="1"/>
  <c r="Y491" i="40"/>
  <c r="AL491" i="40" s="1"/>
  <c r="Z448" i="40"/>
  <c r="AM448" i="40" s="1"/>
  <c r="M480" i="40"/>
  <c r="N485" i="40"/>
  <c r="AA485" i="40" s="1"/>
  <c r="AN485" i="40" s="1"/>
  <c r="N481" i="40" l="1"/>
  <c r="AA481" i="40" s="1"/>
  <c r="AN481" i="40" s="1"/>
  <c r="N446" i="40"/>
  <c r="AA446" i="40" s="1"/>
  <c r="AN446" i="40" s="1"/>
  <c r="N456" i="40"/>
  <c r="AA456" i="40" s="1"/>
  <c r="AN456" i="40" s="1"/>
  <c r="Z482" i="40"/>
  <c r="AM482" i="40" s="1"/>
  <c r="AL488" i="40"/>
  <c r="M488" i="40"/>
  <c r="Z488" i="40" s="1"/>
  <c r="N461" i="40"/>
  <c r="AA461" i="40" s="1"/>
  <c r="AN461" i="40" s="1"/>
  <c r="M455" i="40"/>
  <c r="Z455" i="40" s="1"/>
  <c r="N487" i="40"/>
  <c r="AA487" i="40" s="1"/>
  <c r="AN487" i="40" s="1"/>
  <c r="M489" i="40"/>
  <c r="Z489" i="40" s="1"/>
  <c r="AM489" i="40" s="1"/>
  <c r="M490" i="40"/>
  <c r="L459" i="40"/>
  <c r="N465" i="40"/>
  <c r="AA465" i="40" s="1"/>
  <c r="AN465" i="40" s="1"/>
  <c r="AO853" i="64"/>
  <c r="BB853" i="64"/>
  <c r="AF711" i="64"/>
  <c r="AS711" i="64"/>
  <c r="AN711" i="64"/>
  <c r="BA711" i="64"/>
  <c r="AV711" i="64"/>
  <c r="AI711" i="64"/>
  <c r="AW853" i="64"/>
  <c r="AJ853" i="64"/>
  <c r="AL711" i="64"/>
  <c r="AY711" i="64"/>
  <c r="AM711" i="64"/>
  <c r="AZ711" i="64"/>
  <c r="Z712" i="64"/>
  <c r="Z854" i="64"/>
  <c r="Z783" i="64"/>
  <c r="U783" i="64"/>
  <c r="U854" i="64"/>
  <c r="U712" i="64"/>
  <c r="AA854" i="64"/>
  <c r="AA783" i="64"/>
  <c r="AA712" i="64"/>
  <c r="AP782" i="64"/>
  <c r="BC782" i="64"/>
  <c r="AK853" i="64"/>
  <c r="AX853" i="64"/>
  <c r="BB711" i="64"/>
  <c r="AO711" i="64"/>
  <c r="AT853" i="64"/>
  <c r="AG853" i="64"/>
  <c r="AU853" i="64"/>
  <c r="AH853" i="64"/>
  <c r="AV782" i="64"/>
  <c r="AI782" i="64"/>
  <c r="AW782" i="64"/>
  <c r="AJ782" i="64"/>
  <c r="AY853" i="64"/>
  <c r="AL853" i="64"/>
  <c r="W854" i="64"/>
  <c r="W712" i="64"/>
  <c r="W783" i="64"/>
  <c r="V712" i="64"/>
  <c r="V783" i="64"/>
  <c r="V854" i="64"/>
  <c r="S712" i="64"/>
  <c r="S783" i="64"/>
  <c r="S854" i="64"/>
  <c r="AQ782" i="64"/>
  <c r="BD782" i="64"/>
  <c r="AP853" i="64"/>
  <c r="BC853" i="64"/>
  <c r="AX782" i="64"/>
  <c r="AK782" i="64"/>
  <c r="AS853" i="64"/>
  <c r="AF853" i="64"/>
  <c r="AT711" i="64"/>
  <c r="AG711" i="64"/>
  <c r="BA853" i="64"/>
  <c r="AN853" i="64"/>
  <c r="AU711" i="64"/>
  <c r="AH711" i="64"/>
  <c r="AV853" i="64"/>
  <c r="AI853" i="64"/>
  <c r="AJ711" i="64"/>
  <c r="AW711" i="64"/>
  <c r="AZ853" i="64"/>
  <c r="AM853" i="64"/>
  <c r="X712" i="64"/>
  <c r="X783" i="64"/>
  <c r="X854" i="64"/>
  <c r="AC712" i="64"/>
  <c r="AC854" i="64"/>
  <c r="AC783" i="64"/>
  <c r="AD854" i="64"/>
  <c r="AD712" i="64"/>
  <c r="AD783" i="64"/>
  <c r="BD711" i="64"/>
  <c r="AQ711" i="64"/>
  <c r="AP711" i="64"/>
  <c r="BC711" i="64"/>
  <c r="AO782" i="64"/>
  <c r="BB782" i="64"/>
  <c r="AF782" i="64"/>
  <c r="AS782" i="64"/>
  <c r="AT782" i="64"/>
  <c r="AG782" i="64"/>
  <c r="AN782" i="64"/>
  <c r="BA782" i="64"/>
  <c r="AU782" i="64"/>
  <c r="AH782" i="64"/>
  <c r="AL782" i="64"/>
  <c r="AY782" i="64"/>
  <c r="AZ782" i="64"/>
  <c r="AM782" i="64"/>
  <c r="AB712" i="64"/>
  <c r="AB783" i="64"/>
  <c r="AB854" i="64"/>
  <c r="Y712" i="64"/>
  <c r="Y854" i="64"/>
  <c r="Y783" i="64"/>
  <c r="T783" i="64"/>
  <c r="T712" i="64"/>
  <c r="T854" i="64"/>
  <c r="BD853" i="64"/>
  <c r="AQ853" i="64"/>
  <c r="AX711" i="64"/>
  <c r="AK711" i="64"/>
  <c r="N452" i="40"/>
  <c r="AA452" i="40" s="1"/>
  <c r="AN452" i="40" s="1"/>
  <c r="N448" i="40"/>
  <c r="AA448" i="40" s="1"/>
  <c r="AN448" i="40" s="1"/>
  <c r="Z480" i="40"/>
  <c r="AM480" i="40" s="1"/>
  <c r="M491" i="40"/>
  <c r="N486" i="40"/>
  <c r="AA486" i="40" s="1"/>
  <c r="AN486" i="40" s="1"/>
  <c r="N482" i="40" l="1"/>
  <c r="AA482" i="40" s="1"/>
  <c r="AN482" i="40" s="1"/>
  <c r="AM455" i="40"/>
  <c r="N455" i="40"/>
  <c r="AA455" i="40" s="1"/>
  <c r="AN455" i="40" s="1"/>
  <c r="AM488" i="40"/>
  <c r="N488" i="40"/>
  <c r="AA488" i="40" s="1"/>
  <c r="AN488" i="40" s="1"/>
  <c r="Y459" i="40"/>
  <c r="AL459" i="40" s="1"/>
  <c r="AL509" i="40" s="1"/>
  <c r="L28" i="10" s="1"/>
  <c r="Z490" i="40"/>
  <c r="AM490" i="40" s="1"/>
  <c r="N489" i="40"/>
  <c r="AA489" i="40" s="1"/>
  <c r="AN489" i="40" s="1"/>
  <c r="T878" i="64"/>
  <c r="AG854" i="64"/>
  <c r="AG878" i="64" s="1"/>
  <c r="AT854" i="64"/>
  <c r="AT878" i="64" s="1"/>
  <c r="T736" i="64"/>
  <c r="AG712" i="64"/>
  <c r="AG736" i="64" s="1"/>
  <c r="AT712" i="64"/>
  <c r="AT736" i="64" s="1"/>
  <c r="Y736" i="64"/>
  <c r="AY712" i="64"/>
  <c r="AY736" i="64" s="1"/>
  <c r="AL712" i="64"/>
  <c r="AL736" i="64" s="1"/>
  <c r="AD878" i="64"/>
  <c r="AQ854" i="64"/>
  <c r="AQ878" i="64" s="1"/>
  <c r="BD854" i="64"/>
  <c r="BD878" i="64" s="1"/>
  <c r="X878" i="64"/>
  <c r="AX854" i="64"/>
  <c r="AX878" i="64" s="1"/>
  <c r="AK854" i="64"/>
  <c r="AK878" i="64" s="1"/>
  <c r="S807" i="64"/>
  <c r="AF783" i="64"/>
  <c r="AF807" i="64" s="1"/>
  <c r="AS783" i="64"/>
  <c r="AS807" i="64" s="1"/>
  <c r="V736" i="64"/>
  <c r="AV712" i="64"/>
  <c r="AV736" i="64" s="1"/>
  <c r="AI712" i="64"/>
  <c r="AI736" i="64" s="1"/>
  <c r="AA878" i="64"/>
  <c r="AN854" i="64"/>
  <c r="AN878" i="64" s="1"/>
  <c r="BA854" i="64"/>
  <c r="BA878" i="64" s="1"/>
  <c r="Z807" i="64"/>
  <c r="AM783" i="64"/>
  <c r="AM807" i="64" s="1"/>
  <c r="AZ783" i="64"/>
  <c r="AZ807" i="64" s="1"/>
  <c r="Y807" i="64"/>
  <c r="AL783" i="64"/>
  <c r="AL807" i="64" s="1"/>
  <c r="AY783" i="64"/>
  <c r="AY807" i="64" s="1"/>
  <c r="T807" i="64"/>
  <c r="AT783" i="64"/>
  <c r="AT807" i="64" s="1"/>
  <c r="AG783" i="64"/>
  <c r="AG807" i="64" s="1"/>
  <c r="AB878" i="64"/>
  <c r="BB854" i="64"/>
  <c r="BB878" i="64" s="1"/>
  <c r="AO854" i="64"/>
  <c r="AO878" i="64" s="1"/>
  <c r="AC807" i="64"/>
  <c r="BC783" i="64"/>
  <c r="BC807" i="64" s="1"/>
  <c r="AP783" i="64"/>
  <c r="AP807" i="64" s="1"/>
  <c r="X807" i="64"/>
  <c r="AK783" i="64"/>
  <c r="AK807" i="64" s="1"/>
  <c r="AX783" i="64"/>
  <c r="AX807" i="64" s="1"/>
  <c r="AS712" i="64"/>
  <c r="AS736" i="64" s="1"/>
  <c r="S736" i="64"/>
  <c r="AF712" i="64"/>
  <c r="AF736" i="64" s="1"/>
  <c r="W807" i="64"/>
  <c r="AW783" i="64"/>
  <c r="AW807" i="64" s="1"/>
  <c r="AJ783" i="64"/>
  <c r="AJ807" i="64" s="1"/>
  <c r="U736" i="64"/>
  <c r="AH712" i="64"/>
  <c r="AH736" i="64" s="1"/>
  <c r="AU712" i="64"/>
  <c r="AU736" i="64" s="1"/>
  <c r="Z878" i="64"/>
  <c r="AZ854" i="64"/>
  <c r="AZ878" i="64" s="1"/>
  <c r="AM854" i="64"/>
  <c r="AM878" i="64" s="1"/>
  <c r="AB807" i="64"/>
  <c r="AO783" i="64"/>
  <c r="AO807" i="64" s="1"/>
  <c r="BB783" i="64"/>
  <c r="BB807" i="64" s="1"/>
  <c r="AD807" i="64"/>
  <c r="BD783" i="64"/>
  <c r="BD807" i="64" s="1"/>
  <c r="AQ783" i="64"/>
  <c r="AQ807" i="64" s="1"/>
  <c r="AC878" i="64"/>
  <c r="AP854" i="64"/>
  <c r="AP878" i="64" s="1"/>
  <c r="BC854" i="64"/>
  <c r="BC878" i="64" s="1"/>
  <c r="X736" i="64"/>
  <c r="AK712" i="64"/>
  <c r="AK736" i="64" s="1"/>
  <c r="AX712" i="64"/>
  <c r="AX736" i="64" s="1"/>
  <c r="V878" i="64"/>
  <c r="AV854" i="64"/>
  <c r="AV878" i="64" s="1"/>
  <c r="AI854" i="64"/>
  <c r="AI878" i="64" s="1"/>
  <c r="W736" i="64"/>
  <c r="AW712" i="64"/>
  <c r="AW736" i="64" s="1"/>
  <c r="AJ712" i="64"/>
  <c r="AJ736" i="64" s="1"/>
  <c r="AA736" i="64"/>
  <c r="BA712" i="64"/>
  <c r="BA736" i="64" s="1"/>
  <c r="AN712" i="64"/>
  <c r="AN736" i="64" s="1"/>
  <c r="U878" i="64"/>
  <c r="AU854" i="64"/>
  <c r="AU878" i="64" s="1"/>
  <c r="AH854" i="64"/>
  <c r="AH878" i="64" s="1"/>
  <c r="Z736" i="64"/>
  <c r="AZ712" i="64"/>
  <c r="AZ736" i="64" s="1"/>
  <c r="AM712" i="64"/>
  <c r="AM736" i="64" s="1"/>
  <c r="Y878" i="64"/>
  <c r="AL854" i="64"/>
  <c r="AL878" i="64" s="1"/>
  <c r="AY854" i="64"/>
  <c r="AY878" i="64" s="1"/>
  <c r="AB736" i="64"/>
  <c r="AO712" i="64"/>
  <c r="AO736" i="64" s="1"/>
  <c r="BB712" i="64"/>
  <c r="BB736" i="64" s="1"/>
  <c r="AD736" i="64"/>
  <c r="BD712" i="64"/>
  <c r="BD736" i="64" s="1"/>
  <c r="AQ712" i="64"/>
  <c r="AQ736" i="64" s="1"/>
  <c r="AC736" i="64"/>
  <c r="AP712" i="64"/>
  <c r="AP736" i="64" s="1"/>
  <c r="BC712" i="64"/>
  <c r="BC736" i="64" s="1"/>
  <c r="S878" i="64"/>
  <c r="AS854" i="64"/>
  <c r="AS878" i="64" s="1"/>
  <c r="AF854" i="64"/>
  <c r="AF878" i="64" s="1"/>
  <c r="V807" i="64"/>
  <c r="AV783" i="64"/>
  <c r="AV807" i="64" s="1"/>
  <c r="AI783" i="64"/>
  <c r="AI807" i="64" s="1"/>
  <c r="W878" i="64"/>
  <c r="AJ854" i="64"/>
  <c r="AJ878" i="64" s="1"/>
  <c r="AW854" i="64"/>
  <c r="AW878" i="64" s="1"/>
  <c r="AA807" i="64"/>
  <c r="AN783" i="64"/>
  <c r="AN807" i="64" s="1"/>
  <c r="BA783" i="64"/>
  <c r="BA807" i="64" s="1"/>
  <c r="U807" i="64"/>
  <c r="AH783" i="64"/>
  <c r="AH807" i="64" s="1"/>
  <c r="AU783" i="64"/>
  <c r="AU807" i="64" s="1"/>
  <c r="N480" i="40"/>
  <c r="AA480" i="40" s="1"/>
  <c r="AN480" i="40" s="1"/>
  <c r="Z491" i="40"/>
  <c r="AM491" i="40" s="1"/>
  <c r="M459" i="40" l="1"/>
  <c r="Z459" i="40" s="1"/>
  <c r="AM459" i="40" s="1"/>
  <c r="AM509" i="40" s="1"/>
  <c r="M28" i="10" s="1"/>
  <c r="N490" i="40"/>
  <c r="AA490" i="40" s="1"/>
  <c r="AN490" i="40" s="1"/>
  <c r="G489" i="73"/>
  <c r="AT810" i="64"/>
  <c r="AT809" i="64"/>
  <c r="H279" i="77"/>
  <c r="G279" i="77"/>
  <c r="AS810" i="64"/>
  <c r="F489" i="73"/>
  <c r="AS809" i="64"/>
  <c r="R491" i="73"/>
  <c r="D27" i="77" s="1"/>
  <c r="R90" i="77" s="1"/>
  <c r="R111" i="77" s="1"/>
  <c r="R489" i="73"/>
  <c r="AG810" i="64"/>
  <c r="AG809" i="64"/>
  <c r="AF810" i="64"/>
  <c r="AF809" i="64"/>
  <c r="I279" i="77"/>
  <c r="H489" i="73"/>
  <c r="AU810" i="64"/>
  <c r="AU809" i="64"/>
  <c r="AN809" i="64"/>
  <c r="AN810" i="64"/>
  <c r="K334" i="77"/>
  <c r="K116" i="64"/>
  <c r="K117" i="64" s="1"/>
  <c r="W880" i="64"/>
  <c r="AF881" i="64"/>
  <c r="AF880" i="64"/>
  <c r="AP738" i="64"/>
  <c r="Q378" i="77"/>
  <c r="Q171" i="77"/>
  <c r="R105" i="64"/>
  <c r="AD738" i="64"/>
  <c r="R145" i="77"/>
  <c r="M341" i="77"/>
  <c r="AY880" i="64"/>
  <c r="L490" i="73"/>
  <c r="L207" i="85" s="1"/>
  <c r="AY881" i="64"/>
  <c r="M488" i="73"/>
  <c r="AZ738" i="64"/>
  <c r="N377" i="77"/>
  <c r="M491" i="73"/>
  <c r="N170" i="77"/>
  <c r="U880" i="64"/>
  <c r="I116" i="64"/>
  <c r="I117" i="64" s="1"/>
  <c r="I334" i="77"/>
  <c r="K171" i="77"/>
  <c r="AJ738" i="64"/>
  <c r="K378" i="77"/>
  <c r="J341" i="77"/>
  <c r="I490" i="73"/>
  <c r="I207" i="85" s="1"/>
  <c r="AV880" i="64"/>
  <c r="AV881" i="64"/>
  <c r="X738" i="64"/>
  <c r="L105" i="64"/>
  <c r="L106" i="64" s="1"/>
  <c r="L145" i="77"/>
  <c r="AQ809" i="64"/>
  <c r="AQ810" i="64"/>
  <c r="AO809" i="64"/>
  <c r="AO810" i="64"/>
  <c r="N334" i="77"/>
  <c r="N116" i="64"/>
  <c r="N117" i="64" s="1"/>
  <c r="Z880" i="64"/>
  <c r="AJ809" i="64"/>
  <c r="AJ810" i="64"/>
  <c r="G105" i="64"/>
  <c r="G106" i="64" s="1"/>
  <c r="S738" i="64"/>
  <c r="G145" i="77"/>
  <c r="L112" i="64"/>
  <c r="L113" i="64" s="1"/>
  <c r="X809" i="64"/>
  <c r="L285" i="77"/>
  <c r="AO881" i="64"/>
  <c r="AO880" i="64"/>
  <c r="Y809" i="64"/>
  <c r="M285" i="77"/>
  <c r="M112" i="64"/>
  <c r="M113" i="64" s="1"/>
  <c r="O341" i="77"/>
  <c r="BA881" i="64"/>
  <c r="BA880" i="64"/>
  <c r="N490" i="73"/>
  <c r="N207" i="85" s="1"/>
  <c r="I488" i="73"/>
  <c r="J377" i="77"/>
  <c r="I491" i="73"/>
  <c r="J170" i="77"/>
  <c r="AV738" i="64"/>
  <c r="S809" i="64"/>
  <c r="G112" i="64"/>
  <c r="G113" i="64" s="1"/>
  <c r="R341" i="77"/>
  <c r="BD885" i="64"/>
  <c r="BD881" i="64"/>
  <c r="Q490" i="73"/>
  <c r="Q207" i="85" s="1"/>
  <c r="BD880" i="64"/>
  <c r="L488" i="73"/>
  <c r="AY738" i="64"/>
  <c r="M170" i="77"/>
  <c r="L491" i="73"/>
  <c r="M377" i="77"/>
  <c r="H105" i="64"/>
  <c r="H106" i="64" s="1"/>
  <c r="T738" i="64"/>
  <c r="H145" i="77"/>
  <c r="AH809" i="64"/>
  <c r="AH810" i="64"/>
  <c r="AA809" i="64"/>
  <c r="O112" i="64"/>
  <c r="O113" i="64" s="1"/>
  <c r="O285" i="77"/>
  <c r="AI809" i="64"/>
  <c r="AI810" i="64"/>
  <c r="F491" i="73"/>
  <c r="AS881" i="64"/>
  <c r="G341" i="77"/>
  <c r="AS880" i="64"/>
  <c r="F490" i="73"/>
  <c r="F207" i="85" s="1"/>
  <c r="R490" i="73"/>
  <c r="AC738" i="64"/>
  <c r="Q105" i="64"/>
  <c r="Q106" i="64" s="1"/>
  <c r="Q145" i="77"/>
  <c r="BB738" i="64"/>
  <c r="O488" i="73"/>
  <c r="P170" i="77"/>
  <c r="O491" i="73"/>
  <c r="P377" i="77"/>
  <c r="AL881" i="64"/>
  <c r="AL880" i="64"/>
  <c r="N105" i="64"/>
  <c r="N106" i="64" s="1"/>
  <c r="Z738" i="64"/>
  <c r="N145" i="77"/>
  <c r="O378" i="77"/>
  <c r="O171" i="77"/>
  <c r="AN738" i="64"/>
  <c r="K377" i="77"/>
  <c r="J491" i="73"/>
  <c r="K170" i="77"/>
  <c r="AW738" i="64"/>
  <c r="J488" i="73"/>
  <c r="J116" i="64"/>
  <c r="J117" i="64" s="1"/>
  <c r="J334" i="77"/>
  <c r="V880" i="64"/>
  <c r="BC881" i="64"/>
  <c r="Q341" i="77"/>
  <c r="BC880" i="64"/>
  <c r="P490" i="73"/>
  <c r="P207" i="85" s="1"/>
  <c r="BD810" i="64"/>
  <c r="R279" i="77"/>
  <c r="BD809" i="64"/>
  <c r="Q489" i="73"/>
  <c r="P285" i="77"/>
  <c r="AB809" i="64"/>
  <c r="P112" i="64"/>
  <c r="P113" i="64" s="1"/>
  <c r="H488" i="73"/>
  <c r="I377" i="77"/>
  <c r="H491" i="73"/>
  <c r="I170" i="77"/>
  <c r="AU738" i="64"/>
  <c r="AW809" i="64"/>
  <c r="K279" i="77"/>
  <c r="AW810" i="64"/>
  <c r="J489" i="73"/>
  <c r="G170" i="77"/>
  <c r="G377" i="77"/>
  <c r="F488" i="73"/>
  <c r="AS738" i="64"/>
  <c r="R488" i="73"/>
  <c r="AP810" i="64"/>
  <c r="AP809" i="64"/>
  <c r="BB881" i="64"/>
  <c r="BB880" i="64"/>
  <c r="O490" i="73"/>
  <c r="O207" i="85" s="1"/>
  <c r="P341" i="77"/>
  <c r="H285" i="77"/>
  <c r="H112" i="64"/>
  <c r="H113" i="64" s="1"/>
  <c r="T809" i="64"/>
  <c r="M489" i="73"/>
  <c r="AZ809" i="64"/>
  <c r="AZ810" i="64"/>
  <c r="N279" i="77"/>
  <c r="AN880" i="64"/>
  <c r="AN881" i="64"/>
  <c r="J105" i="64"/>
  <c r="J106" i="64" s="1"/>
  <c r="V738" i="64"/>
  <c r="J145" i="77"/>
  <c r="AK881" i="64"/>
  <c r="AK880" i="64"/>
  <c r="AQ881" i="64"/>
  <c r="AQ880" i="64"/>
  <c r="Y738" i="64"/>
  <c r="M105" i="64"/>
  <c r="M106" i="64" s="1"/>
  <c r="M145" i="77"/>
  <c r="AT881" i="64"/>
  <c r="H341" i="77"/>
  <c r="AT880" i="64"/>
  <c r="G490" i="73"/>
  <c r="G207" i="85" s="1"/>
  <c r="I112" i="64"/>
  <c r="I113" i="64" s="1"/>
  <c r="U809" i="64"/>
  <c r="I285" i="77"/>
  <c r="AW880" i="64"/>
  <c r="AW883" i="64" s="1"/>
  <c r="J490" i="73"/>
  <c r="J207" i="85" s="1"/>
  <c r="K341" i="77"/>
  <c r="AW881" i="64"/>
  <c r="AV810" i="64"/>
  <c r="J279" i="77"/>
  <c r="AV809" i="64"/>
  <c r="I489" i="73"/>
  <c r="G334" i="77"/>
  <c r="G116" i="64"/>
  <c r="G117" i="64" s="1"/>
  <c r="S880" i="64"/>
  <c r="AQ738" i="64"/>
  <c r="R378" i="77"/>
  <c r="R171" i="77"/>
  <c r="AO738" i="64"/>
  <c r="P171" i="77"/>
  <c r="P378" i="77"/>
  <c r="Y880" i="64"/>
  <c r="M116" i="64"/>
  <c r="M117" i="64" s="1"/>
  <c r="M334" i="77"/>
  <c r="AH881" i="64"/>
  <c r="AH880" i="64"/>
  <c r="O377" i="77"/>
  <c r="BA738" i="64"/>
  <c r="N488" i="73"/>
  <c r="O170" i="77"/>
  <c r="N491" i="73"/>
  <c r="W738" i="64"/>
  <c r="K105" i="64"/>
  <c r="K106" i="64" s="1"/>
  <c r="K145" i="77"/>
  <c r="L170" i="77"/>
  <c r="K488" i="73"/>
  <c r="AX738" i="64"/>
  <c r="L377" i="77"/>
  <c r="K491" i="73"/>
  <c r="AP881" i="64"/>
  <c r="AP880" i="64"/>
  <c r="R285" i="77"/>
  <c r="AD809" i="64"/>
  <c r="R112" i="64"/>
  <c r="AM881" i="64"/>
  <c r="AM880" i="64"/>
  <c r="I171" i="77"/>
  <c r="I378" i="77"/>
  <c r="AH738" i="64"/>
  <c r="K285" i="77"/>
  <c r="K112" i="64"/>
  <c r="K113" i="64" s="1"/>
  <c r="W809" i="64"/>
  <c r="AX809" i="64"/>
  <c r="L279" i="77"/>
  <c r="K489" i="73"/>
  <c r="AX810" i="64"/>
  <c r="P489" i="73"/>
  <c r="BC810" i="64"/>
  <c r="BC809" i="64"/>
  <c r="Q279" i="77"/>
  <c r="P116" i="64"/>
  <c r="P117" i="64" s="1"/>
  <c r="P334" i="77"/>
  <c r="AB880" i="64"/>
  <c r="AY809" i="64"/>
  <c r="M279" i="77"/>
  <c r="L489" i="73"/>
  <c r="AY810" i="64"/>
  <c r="AM810" i="64"/>
  <c r="AM809" i="64"/>
  <c r="AA880" i="64"/>
  <c r="O334" i="77"/>
  <c r="O116" i="64"/>
  <c r="O117" i="64" s="1"/>
  <c r="AX880" i="64"/>
  <c r="L341" i="77"/>
  <c r="AX881" i="64"/>
  <c r="K490" i="73"/>
  <c r="K207" i="85" s="1"/>
  <c r="R334" i="77"/>
  <c r="AD880" i="64"/>
  <c r="R116" i="64"/>
  <c r="R117" i="64" s="1"/>
  <c r="H377" i="77"/>
  <c r="G488" i="73"/>
  <c r="AT738" i="64"/>
  <c r="H170" i="77"/>
  <c r="G491" i="73"/>
  <c r="AG880" i="64"/>
  <c r="AG881" i="64"/>
  <c r="BA810" i="64"/>
  <c r="BA809" i="64"/>
  <c r="O279" i="77"/>
  <c r="N489" i="73"/>
  <c r="AJ881" i="64"/>
  <c r="AJ880" i="64"/>
  <c r="J112" i="64"/>
  <c r="J113" i="64" s="1"/>
  <c r="V809" i="64"/>
  <c r="J285" i="77"/>
  <c r="Q170" i="77"/>
  <c r="P491" i="73"/>
  <c r="Q377" i="77"/>
  <c r="BC738" i="64"/>
  <c r="P488" i="73"/>
  <c r="R377" i="77"/>
  <c r="Q491" i="73"/>
  <c r="R170" i="77"/>
  <c r="Q488" i="73"/>
  <c r="BD738" i="64"/>
  <c r="P105" i="64"/>
  <c r="P106" i="64" s="1"/>
  <c r="AB738" i="64"/>
  <c r="P145" i="77"/>
  <c r="AM738" i="64"/>
  <c r="N378" i="77"/>
  <c r="N171" i="77"/>
  <c r="AU881" i="64"/>
  <c r="I341" i="77"/>
  <c r="AU880" i="64"/>
  <c r="H490" i="73"/>
  <c r="H207" i="85" s="1"/>
  <c r="O105" i="64"/>
  <c r="O106" i="64" s="1"/>
  <c r="AA738" i="64"/>
  <c r="O145" i="77"/>
  <c r="AI881" i="64"/>
  <c r="AI880" i="64"/>
  <c r="L171" i="77"/>
  <c r="L378" i="77"/>
  <c r="AK738" i="64"/>
  <c r="Q116" i="64"/>
  <c r="Q117" i="64" s="1"/>
  <c r="AC880" i="64"/>
  <c r="Q334" i="77"/>
  <c r="O489" i="73"/>
  <c r="BB810" i="64"/>
  <c r="BB809" i="64"/>
  <c r="P279" i="77"/>
  <c r="AZ881" i="64"/>
  <c r="N341" i="77"/>
  <c r="AZ880" i="64"/>
  <c r="AZ883" i="64" s="1"/>
  <c r="M490" i="73"/>
  <c r="M207" i="85" s="1"/>
  <c r="U738" i="64"/>
  <c r="I105" i="64"/>
  <c r="I106" i="64" s="1"/>
  <c r="I145" i="77"/>
  <c r="G378" i="77"/>
  <c r="G171" i="77"/>
  <c r="AF738" i="64"/>
  <c r="AK810" i="64"/>
  <c r="AK809" i="64"/>
  <c r="Q285" i="77"/>
  <c r="Q112" i="64"/>
  <c r="Q113" i="64" s="1"/>
  <c r="AC809" i="64"/>
  <c r="AL810" i="64"/>
  <c r="AL809" i="64"/>
  <c r="N112" i="64"/>
  <c r="N113" i="64" s="1"/>
  <c r="Z809" i="64"/>
  <c r="N285" i="77"/>
  <c r="J171" i="77"/>
  <c r="J378" i="77"/>
  <c r="AI738" i="64"/>
  <c r="L334" i="77"/>
  <c r="X880" i="64"/>
  <c r="L116" i="64"/>
  <c r="L117" i="64" s="1"/>
  <c r="M378" i="77"/>
  <c r="M171" i="77"/>
  <c r="AL738" i="64"/>
  <c r="H378" i="77"/>
  <c r="AG738" i="64"/>
  <c r="H171" i="77"/>
  <c r="H116" i="64"/>
  <c r="H117" i="64" s="1"/>
  <c r="H334" i="77"/>
  <c r="T880" i="64"/>
  <c r="N491" i="40"/>
  <c r="AA491" i="40" s="1"/>
  <c r="AN491" i="40" s="1"/>
  <c r="R494" i="73" l="1"/>
  <c r="K69" i="77"/>
  <c r="R249" i="77" s="1"/>
  <c r="R495" i="73"/>
  <c r="M48" i="77"/>
  <c r="R315" i="77" s="1"/>
  <c r="H48" i="77"/>
  <c r="E69" i="77"/>
  <c r="R134" i="77" s="1"/>
  <c r="AU883" i="64"/>
  <c r="AI883" i="64"/>
  <c r="AJ883" i="64"/>
  <c r="AH883" i="64"/>
  <c r="N459" i="40"/>
  <c r="AA459" i="40" s="1"/>
  <c r="AN459" i="40" s="1"/>
  <c r="AN509" i="40" s="1"/>
  <c r="N28" i="10" s="1"/>
  <c r="O28" i="10" s="1"/>
  <c r="AT883" i="64"/>
  <c r="BB883" i="64"/>
  <c r="BA883" i="64"/>
  <c r="S117" i="64"/>
  <c r="BC883" i="64"/>
  <c r="BD883" i="64"/>
  <c r="AX883" i="64"/>
  <c r="AS883" i="64"/>
  <c r="AV883" i="64"/>
  <c r="AY883" i="64"/>
  <c r="AM883" i="64"/>
  <c r="G641" i="77"/>
  <c r="H322" i="77"/>
  <c r="AE611" i="77"/>
  <c r="P148" i="77"/>
  <c r="Q500" i="73"/>
  <c r="Q501" i="73" s="1"/>
  <c r="Q502" i="73"/>
  <c r="P502" i="73"/>
  <c r="P500" i="73"/>
  <c r="P501" i="73" s="1"/>
  <c r="K222" i="85"/>
  <c r="K495" i="73"/>
  <c r="K194" i="85" s="1"/>
  <c r="K195" i="85" s="1"/>
  <c r="K196" i="85" s="1"/>
  <c r="K197" i="85" s="1"/>
  <c r="K223" i="85"/>
  <c r="K215" i="85"/>
  <c r="K214" i="85"/>
  <c r="K235" i="85" s="1"/>
  <c r="K206" i="85"/>
  <c r="K234" i="85" s="1"/>
  <c r="S112" i="64"/>
  <c r="R113" i="64"/>
  <c r="S113" i="64" s="1"/>
  <c r="K500" i="73"/>
  <c r="K501" i="73" s="1"/>
  <c r="K502" i="73"/>
  <c r="V641" i="77"/>
  <c r="M322" i="77"/>
  <c r="I509" i="73"/>
  <c r="I510" i="73" s="1"/>
  <c r="I512" i="73" s="1"/>
  <c r="I558" i="73"/>
  <c r="I582" i="73" s="1"/>
  <c r="I494" i="73"/>
  <c r="I516" i="73" s="1"/>
  <c r="J634" i="77"/>
  <c r="I259" i="77"/>
  <c r="AK883" i="64"/>
  <c r="AE634" i="77"/>
  <c r="P259" i="77"/>
  <c r="J500" i="73"/>
  <c r="J501" i="73" s="1"/>
  <c r="J502" i="73"/>
  <c r="Y611" i="77"/>
  <c r="N148" i="77"/>
  <c r="O502" i="73"/>
  <c r="O500" i="73"/>
  <c r="O501" i="73" s="1"/>
  <c r="G259" i="77"/>
  <c r="D634" i="77"/>
  <c r="V634" i="77"/>
  <c r="M259" i="77"/>
  <c r="S634" i="77"/>
  <c r="L259" i="77"/>
  <c r="I215" i="85"/>
  <c r="I223" i="85"/>
  <c r="I222" i="85"/>
  <c r="I495" i="73"/>
  <c r="I194" i="85" s="1"/>
  <c r="I195" i="85" s="1"/>
  <c r="I196" i="85" s="1"/>
  <c r="I197" i="85" s="1"/>
  <c r="I214" i="85"/>
  <c r="I235" i="85" s="1"/>
  <c r="I206" i="85"/>
  <c r="I234" i="85" s="1"/>
  <c r="M502" i="73"/>
  <c r="M500" i="73"/>
  <c r="M501" i="73" s="1"/>
  <c r="H509" i="73"/>
  <c r="H510" i="73" s="1"/>
  <c r="H512" i="73" s="1"/>
  <c r="H494" i="73"/>
  <c r="H516" i="73" s="1"/>
  <c r="H558" i="73"/>
  <c r="H582" i="73" s="1"/>
  <c r="AH634" i="77"/>
  <c r="Q259" i="77"/>
  <c r="O509" i="73"/>
  <c r="O510" i="73" s="1"/>
  <c r="O512" i="73" s="1"/>
  <c r="O494" i="73"/>
  <c r="O516" i="73" s="1"/>
  <c r="O538" i="73" s="1"/>
  <c r="O540" i="73" s="1"/>
  <c r="O541" i="73" s="1"/>
  <c r="O567" i="73" s="1"/>
  <c r="O558" i="73"/>
  <c r="O582" i="73" s="1"/>
  <c r="H214" i="85"/>
  <c r="H235" i="85" s="1"/>
  <c r="H222" i="85"/>
  <c r="H206" i="85"/>
  <c r="H234" i="85" s="1"/>
  <c r="H215" i="85"/>
  <c r="H223" i="85"/>
  <c r="H495" i="73"/>
  <c r="H194" i="85" s="1"/>
  <c r="H195" i="85" s="1"/>
  <c r="H196" i="85" s="1"/>
  <c r="H197" i="85" s="1"/>
  <c r="J259" i="77"/>
  <c r="M634" i="77"/>
  <c r="S116" i="64"/>
  <c r="AB641" i="77"/>
  <c r="O322" i="77"/>
  <c r="K494" i="73"/>
  <c r="K516" i="73" s="1"/>
  <c r="K509" i="73"/>
  <c r="K510" i="73" s="1"/>
  <c r="K512" i="73" s="1"/>
  <c r="K558" i="73"/>
  <c r="K582" i="73" s="1"/>
  <c r="G634" i="77"/>
  <c r="H259" i="77"/>
  <c r="J509" i="73"/>
  <c r="J510" i="73" s="1"/>
  <c r="J512" i="73" s="1"/>
  <c r="J494" i="73"/>
  <c r="J516" i="73" s="1"/>
  <c r="J558" i="73"/>
  <c r="J582" i="73" s="1"/>
  <c r="H502" i="73"/>
  <c r="H500" i="73"/>
  <c r="H501" i="73" s="1"/>
  <c r="Q509" i="73"/>
  <c r="Q510" i="73" s="1"/>
  <c r="Q512" i="73" s="1"/>
  <c r="Q494" i="73"/>
  <c r="Q516" i="73" s="1"/>
  <c r="Q538" i="73" s="1"/>
  <c r="Q540" i="73" s="1"/>
  <c r="Q541" i="73" s="1"/>
  <c r="Q567" i="73" s="1"/>
  <c r="Q558" i="73"/>
  <c r="Q582" i="73" s="1"/>
  <c r="P495" i="73"/>
  <c r="P194" i="85" s="1"/>
  <c r="P195" i="85" s="1"/>
  <c r="P196" i="85" s="1"/>
  <c r="P197" i="85" s="1"/>
  <c r="P222" i="85"/>
  <c r="P223" i="85"/>
  <c r="P215" i="85"/>
  <c r="P214" i="85"/>
  <c r="P235" i="85" s="1"/>
  <c r="P206" i="85"/>
  <c r="P234" i="85" s="1"/>
  <c r="AB634" i="77"/>
  <c r="O259" i="77"/>
  <c r="L500" i="73"/>
  <c r="L501" i="73" s="1"/>
  <c r="L502" i="73"/>
  <c r="J641" i="77"/>
  <c r="I322" i="77"/>
  <c r="R148" i="77"/>
  <c r="AK611" i="77"/>
  <c r="F558" i="73"/>
  <c r="F582" i="73" s="1"/>
  <c r="F494" i="73"/>
  <c r="F516" i="73" s="1"/>
  <c r="F509" i="73"/>
  <c r="F510" i="73" s="1"/>
  <c r="F512" i="73" s="1"/>
  <c r="S641" i="77"/>
  <c r="L322" i="77"/>
  <c r="Y634" i="77"/>
  <c r="N259" i="77"/>
  <c r="M223" i="85"/>
  <c r="M495" i="73"/>
  <c r="M194" i="85" s="1"/>
  <c r="M195" i="85" s="1"/>
  <c r="M196" i="85" s="1"/>
  <c r="M197" i="85" s="1"/>
  <c r="M222" i="85"/>
  <c r="M215" i="85"/>
  <c r="M214" i="85"/>
  <c r="M235" i="85" s="1"/>
  <c r="M206" i="85"/>
  <c r="M234" i="85" s="1"/>
  <c r="AH641" i="77"/>
  <c r="Q322" i="77"/>
  <c r="O148" i="77"/>
  <c r="AB611" i="77"/>
  <c r="N509" i="73"/>
  <c r="N510" i="73" s="1"/>
  <c r="N512" i="73" s="1"/>
  <c r="N494" i="73"/>
  <c r="N516" i="73" s="1"/>
  <c r="N558" i="73"/>
  <c r="N582" i="73" s="1"/>
  <c r="L509" i="73"/>
  <c r="L510" i="73" s="1"/>
  <c r="L512" i="73" s="1"/>
  <c r="L494" i="73"/>
  <c r="L516" i="73" s="1"/>
  <c r="L558" i="73"/>
  <c r="L582" i="73" s="1"/>
  <c r="AE641" i="77"/>
  <c r="P322" i="77"/>
  <c r="P634" i="77"/>
  <c r="K259" i="77"/>
  <c r="AK634" i="77"/>
  <c r="R259" i="77"/>
  <c r="K148" i="77"/>
  <c r="P611" i="77"/>
  <c r="J222" i="85"/>
  <c r="J223" i="85"/>
  <c r="J495" i="73"/>
  <c r="J194" i="85" s="1"/>
  <c r="J195" i="85" s="1"/>
  <c r="J196" i="85" s="1"/>
  <c r="J197" i="85" s="1"/>
  <c r="J215" i="85"/>
  <c r="J214" i="85"/>
  <c r="J235" i="85" s="1"/>
  <c r="J206" i="85"/>
  <c r="J234" i="85" s="1"/>
  <c r="AQ883" i="64"/>
  <c r="J148" i="77"/>
  <c r="M611" i="77"/>
  <c r="AN883" i="64"/>
  <c r="M509" i="73"/>
  <c r="M494" i="73"/>
  <c r="M516" i="73" s="1"/>
  <c r="M558" i="73"/>
  <c r="M582" i="73" s="1"/>
  <c r="F502" i="73"/>
  <c r="F500" i="73"/>
  <c r="F501" i="73" s="1"/>
  <c r="M641" i="77"/>
  <c r="J322" i="77"/>
  <c r="AH611" i="77"/>
  <c r="Q148" i="77"/>
  <c r="F495" i="73"/>
  <c r="F194" i="85" s="1"/>
  <c r="F195" i="85" s="1"/>
  <c r="F196" i="85" s="1"/>
  <c r="F197" i="85" s="1"/>
  <c r="F215" i="85"/>
  <c r="F214" i="85"/>
  <c r="F235" i="85" s="1"/>
  <c r="F223" i="85"/>
  <c r="F222" i="85"/>
  <c r="F206" i="85"/>
  <c r="F234" i="85" s="1"/>
  <c r="H148" i="77"/>
  <c r="G611" i="77"/>
  <c r="I502" i="73"/>
  <c r="I500" i="73"/>
  <c r="I501" i="73" s="1"/>
  <c r="AO883" i="64"/>
  <c r="Y641" i="77"/>
  <c r="N322" i="77"/>
  <c r="L495" i="73"/>
  <c r="L194" i="85" s="1"/>
  <c r="L195" i="85" s="1"/>
  <c r="L196" i="85" s="1"/>
  <c r="L197" i="85" s="1"/>
  <c r="L222" i="85"/>
  <c r="L223" i="85"/>
  <c r="L215" i="85"/>
  <c r="L214" i="85"/>
  <c r="L235" i="85" s="1"/>
  <c r="L206" i="85"/>
  <c r="L234" i="85" s="1"/>
  <c r="I148" i="77"/>
  <c r="J611" i="77"/>
  <c r="AG883" i="64"/>
  <c r="G500" i="73"/>
  <c r="G501" i="73" s="1"/>
  <c r="G502" i="73"/>
  <c r="AK641" i="77"/>
  <c r="R322" i="77"/>
  <c r="P494" i="73"/>
  <c r="P516" i="73" s="1"/>
  <c r="P538" i="73" s="1"/>
  <c r="P540" i="73" s="1"/>
  <c r="P541" i="73" s="1"/>
  <c r="P567" i="73" s="1"/>
  <c r="P509" i="73"/>
  <c r="P510" i="73" s="1"/>
  <c r="P512" i="73" s="1"/>
  <c r="P558" i="73"/>
  <c r="P582" i="73" s="1"/>
  <c r="AP883" i="64"/>
  <c r="N502" i="73"/>
  <c r="N500" i="73"/>
  <c r="N501" i="73" s="1"/>
  <c r="D641" i="77"/>
  <c r="G322" i="77"/>
  <c r="G223" i="85"/>
  <c r="G214" i="85"/>
  <c r="G235" i="85" s="1"/>
  <c r="G495" i="73"/>
  <c r="G194" i="85" s="1"/>
  <c r="G195" i="85" s="1"/>
  <c r="G196" i="85" s="1"/>
  <c r="G197" i="85" s="1"/>
  <c r="G222" i="85"/>
  <c r="G215" i="85"/>
  <c r="G206" i="85"/>
  <c r="G234" i="85" s="1"/>
  <c r="M148" i="77"/>
  <c r="V611" i="77"/>
  <c r="O223" i="85"/>
  <c r="O495" i="73"/>
  <c r="O194" i="85" s="1"/>
  <c r="O195" i="85" s="1"/>
  <c r="O196" i="85" s="1"/>
  <c r="O197" i="85" s="1"/>
  <c r="O222" i="85"/>
  <c r="O215" i="85"/>
  <c r="O214" i="85"/>
  <c r="O235" i="85" s="1"/>
  <c r="O206" i="85"/>
  <c r="O234" i="85" s="1"/>
  <c r="AL883" i="64"/>
  <c r="Q495" i="73"/>
  <c r="Q194" i="85" s="1"/>
  <c r="Q195" i="85" s="1"/>
  <c r="Q196" i="85" s="1"/>
  <c r="Q197" i="85" s="1"/>
  <c r="Q222" i="85"/>
  <c r="Q223" i="85"/>
  <c r="Q215" i="85"/>
  <c r="Q214" i="85"/>
  <c r="Q235" i="85" s="1"/>
  <c r="Q206" i="85"/>
  <c r="Q234" i="85" s="1"/>
  <c r="N222" i="85"/>
  <c r="N223" i="85"/>
  <c r="N495" i="73"/>
  <c r="N194" i="85" s="1"/>
  <c r="N195" i="85" s="1"/>
  <c r="N196" i="85" s="1"/>
  <c r="N197" i="85" s="1"/>
  <c r="N215" i="85"/>
  <c r="N214" i="85"/>
  <c r="N235" i="85" s="1"/>
  <c r="N206" i="85"/>
  <c r="N234" i="85" s="1"/>
  <c r="G148" i="77"/>
  <c r="D611" i="77"/>
  <c r="L148" i="77"/>
  <c r="S611" i="77"/>
  <c r="S105" i="64"/>
  <c r="G178" i="71" s="1"/>
  <c r="R106" i="64"/>
  <c r="S106" i="64" s="1"/>
  <c r="S108" i="64" s="1"/>
  <c r="AF883" i="64"/>
  <c r="P641" i="77"/>
  <c r="K322" i="77"/>
  <c r="G558" i="73"/>
  <c r="G582" i="73" s="1"/>
  <c r="G494" i="73"/>
  <c r="G516" i="73" s="1"/>
  <c r="G509" i="73"/>
  <c r="G510" i="73" s="1"/>
  <c r="G512" i="73" s="1"/>
  <c r="H26" i="25" l="1"/>
  <c r="G538" i="73"/>
  <c r="G540" i="73" s="1"/>
  <c r="G541" i="73" s="1"/>
  <c r="G567" i="73" s="1"/>
  <c r="G531" i="73"/>
  <c r="G533" i="73" s="1"/>
  <c r="G534" i="73" s="1"/>
  <c r="G566" i="73" s="1"/>
  <c r="L538" i="73"/>
  <c r="L540" i="73" s="1"/>
  <c r="L541" i="73" s="1"/>
  <c r="L567" i="73" s="1"/>
  <c r="L531" i="73"/>
  <c r="L533" i="73" s="1"/>
  <c r="L534" i="73" s="1"/>
  <c r="L566" i="73" s="1"/>
  <c r="F538" i="73"/>
  <c r="F540" i="73" s="1"/>
  <c r="F541" i="73" s="1"/>
  <c r="F567" i="73" s="1"/>
  <c r="F531" i="73"/>
  <c r="F533" i="73" s="1"/>
  <c r="F534" i="73" s="1"/>
  <c r="F566" i="73" s="1"/>
  <c r="K538" i="73"/>
  <c r="K540" i="73" s="1"/>
  <c r="K541" i="73" s="1"/>
  <c r="K567" i="73" s="1"/>
  <c r="K531" i="73"/>
  <c r="K533" i="73" s="1"/>
  <c r="K534" i="73" s="1"/>
  <c r="K566" i="73" s="1"/>
  <c r="I538" i="73"/>
  <c r="I540" i="73" s="1"/>
  <c r="I541" i="73" s="1"/>
  <c r="I567" i="73" s="1"/>
  <c r="I531" i="73"/>
  <c r="I533" i="73" s="1"/>
  <c r="I534" i="73" s="1"/>
  <c r="I566" i="73" s="1"/>
  <c r="J538" i="73"/>
  <c r="J540" i="73" s="1"/>
  <c r="J541" i="73" s="1"/>
  <c r="J567" i="73" s="1"/>
  <c r="J531" i="73"/>
  <c r="J533" i="73" s="1"/>
  <c r="J534" i="73" s="1"/>
  <c r="J566" i="73" s="1"/>
  <c r="H538" i="73"/>
  <c r="H540" i="73" s="1"/>
  <c r="H541" i="73" s="1"/>
  <c r="H567" i="73" s="1"/>
  <c r="H531" i="73"/>
  <c r="H533" i="73" s="1"/>
  <c r="H534" i="73" s="1"/>
  <c r="H566" i="73" s="1"/>
  <c r="M538" i="73"/>
  <c r="M540" i="73" s="1"/>
  <c r="M541" i="73" s="1"/>
  <c r="M567" i="73" s="1"/>
  <c r="M531" i="73"/>
  <c r="M533" i="73" s="1"/>
  <c r="M534" i="73" s="1"/>
  <c r="M566" i="73" s="1"/>
  <c r="N538" i="73"/>
  <c r="N540" i="73" s="1"/>
  <c r="N541" i="73" s="1"/>
  <c r="N567" i="73" s="1"/>
  <c r="N531" i="73"/>
  <c r="N533" i="73" s="1"/>
  <c r="N534" i="73" s="1"/>
  <c r="N566" i="73" s="1"/>
  <c r="H503" i="73"/>
  <c r="I168" i="77" s="1"/>
  <c r="AB599" i="77"/>
  <c r="AH599" i="77"/>
  <c r="V599" i="77"/>
  <c r="J599" i="77"/>
  <c r="M599" i="77"/>
  <c r="Y599" i="77"/>
  <c r="L503" i="73"/>
  <c r="M168" i="77" s="1"/>
  <c r="M503" i="73"/>
  <c r="N168" i="77" s="1"/>
  <c r="P503" i="73"/>
  <c r="P504" i="73" s="1"/>
  <c r="G592" i="77"/>
  <c r="C615" i="77" s="1"/>
  <c r="I503" i="73"/>
  <c r="I504" i="73" s="1"/>
  <c r="K503" i="73"/>
  <c r="K504" i="73" s="1"/>
  <c r="Q503" i="73"/>
  <c r="Q504" i="73" s="1"/>
  <c r="N227" i="85"/>
  <c r="N198" i="85"/>
  <c r="N233" i="85" s="1"/>
  <c r="Q230" i="85"/>
  <c r="Q236" i="85"/>
  <c r="O227" i="85"/>
  <c r="O198" i="85"/>
  <c r="O233" i="85" s="1"/>
  <c r="K592" i="77"/>
  <c r="AK599" i="77"/>
  <c r="L227" i="85"/>
  <c r="L198" i="85"/>
  <c r="L233" i="85" s="1"/>
  <c r="F236" i="85"/>
  <c r="F230" i="85"/>
  <c r="F198" i="85"/>
  <c r="F233" i="85" s="1"/>
  <c r="F227" i="85"/>
  <c r="F503" i="73"/>
  <c r="M545" i="73"/>
  <c r="M550" i="73"/>
  <c r="J198" i="85"/>
  <c r="J233" i="85" s="1"/>
  <c r="J227" i="85"/>
  <c r="P599" i="77"/>
  <c r="M236" i="85"/>
  <c r="M230" i="85"/>
  <c r="F513" i="73"/>
  <c r="F562" i="73"/>
  <c r="Q545" i="73"/>
  <c r="Q550" i="73"/>
  <c r="Q542" i="73"/>
  <c r="Q579" i="73" s="1"/>
  <c r="K513" i="73"/>
  <c r="K562" i="73"/>
  <c r="K236" i="85"/>
  <c r="K230" i="85"/>
  <c r="G513" i="73"/>
  <c r="G562" i="73"/>
  <c r="Q227" i="85"/>
  <c r="Q198" i="85"/>
  <c r="Q233" i="85" s="1"/>
  <c r="D599" i="77"/>
  <c r="M510" i="73"/>
  <c r="M512" i="73" s="1"/>
  <c r="L545" i="73"/>
  <c r="L550" i="73"/>
  <c r="N545" i="73"/>
  <c r="N550" i="73"/>
  <c r="M227" i="85"/>
  <c r="M198" i="85"/>
  <c r="M233" i="85" s="1"/>
  <c r="F545" i="73"/>
  <c r="F517" i="73"/>
  <c r="F524" i="73"/>
  <c r="F526" i="73" s="1"/>
  <c r="F527" i="73" s="1"/>
  <c r="P236" i="85"/>
  <c r="P230" i="85"/>
  <c r="Q513" i="73"/>
  <c r="Q562" i="73"/>
  <c r="J550" i="73"/>
  <c r="J524" i="73"/>
  <c r="J526" i="73" s="1"/>
  <c r="J527" i="73" s="1"/>
  <c r="J565" i="73" s="1"/>
  <c r="J545" i="73"/>
  <c r="K545" i="73"/>
  <c r="K550" i="73"/>
  <c r="K524" i="73"/>
  <c r="K526" i="73" s="1"/>
  <c r="K527" i="73" s="1"/>
  <c r="K565" i="73" s="1"/>
  <c r="O545" i="73"/>
  <c r="O550" i="73"/>
  <c r="O542" i="73"/>
  <c r="O579" i="73" s="1"/>
  <c r="I562" i="73"/>
  <c r="I513" i="73"/>
  <c r="G550" i="73"/>
  <c r="G524" i="73"/>
  <c r="G526" i="73" s="1"/>
  <c r="G527" i="73" s="1"/>
  <c r="G545" i="73"/>
  <c r="G517" i="73"/>
  <c r="N230" i="85"/>
  <c r="N236" i="85"/>
  <c r="G230" i="85"/>
  <c r="G236" i="85"/>
  <c r="N503" i="73"/>
  <c r="P513" i="73"/>
  <c r="P562" i="73"/>
  <c r="G503" i="73"/>
  <c r="J230" i="85"/>
  <c r="J236" i="85"/>
  <c r="L513" i="73"/>
  <c r="L562" i="73"/>
  <c r="N562" i="73"/>
  <c r="N513" i="73"/>
  <c r="P198" i="85"/>
  <c r="P233" i="85" s="1"/>
  <c r="P227" i="85"/>
  <c r="J562" i="73"/>
  <c r="J513" i="73"/>
  <c r="H198" i="85"/>
  <c r="H233" i="85" s="1"/>
  <c r="H227" i="85"/>
  <c r="H236" i="85"/>
  <c r="H230" i="85"/>
  <c r="O513" i="73"/>
  <c r="O562" i="73"/>
  <c r="H550" i="73"/>
  <c r="H545" i="73"/>
  <c r="H517" i="73"/>
  <c r="H524" i="73"/>
  <c r="H526" i="73" s="1"/>
  <c r="H527" i="73" s="1"/>
  <c r="I227" i="85"/>
  <c r="I198" i="85"/>
  <c r="I233" i="85" s="1"/>
  <c r="O503" i="73"/>
  <c r="J503" i="73"/>
  <c r="AE599" i="77"/>
  <c r="O236" i="85"/>
  <c r="O230" i="85"/>
  <c r="G198" i="85"/>
  <c r="G233" i="85" s="1"/>
  <c r="G227" i="85"/>
  <c r="P545" i="73"/>
  <c r="P550" i="73"/>
  <c r="P542" i="73"/>
  <c r="P579" i="73" s="1"/>
  <c r="L230" i="85"/>
  <c r="L236" i="85"/>
  <c r="S599" i="77"/>
  <c r="H513" i="73"/>
  <c r="H562" i="73"/>
  <c r="I230" i="85"/>
  <c r="I236" i="85"/>
  <c r="I592" i="77"/>
  <c r="I550" i="73"/>
  <c r="I545" i="73"/>
  <c r="I524" i="73"/>
  <c r="I526" i="73" s="1"/>
  <c r="I527" i="73" s="1"/>
  <c r="K227" i="85"/>
  <c r="K198" i="85"/>
  <c r="K233" i="85" s="1"/>
  <c r="G599" i="77"/>
  <c r="H504" i="73" l="1"/>
  <c r="I146" i="77" s="1"/>
  <c r="J528" i="73"/>
  <c r="J577" i="73" s="1"/>
  <c r="K528" i="73"/>
  <c r="K577" i="73" s="1"/>
  <c r="G542" i="73"/>
  <c r="G579" i="73" s="1"/>
  <c r="F542" i="73"/>
  <c r="F579" i="73" s="1"/>
  <c r="K542" i="73"/>
  <c r="K579" i="73" s="1"/>
  <c r="I535" i="73"/>
  <c r="I578" i="73" s="1"/>
  <c r="G535" i="73"/>
  <c r="G578" i="73" s="1"/>
  <c r="H542" i="73"/>
  <c r="H579" i="73" s="1"/>
  <c r="J542" i="73"/>
  <c r="J579" i="73" s="1"/>
  <c r="L542" i="73"/>
  <c r="L579" i="73" s="1"/>
  <c r="H535" i="73"/>
  <c r="H578" i="73" s="1"/>
  <c r="F535" i="73"/>
  <c r="F578" i="73" s="1"/>
  <c r="I542" i="73"/>
  <c r="I579" i="73" s="1"/>
  <c r="N535" i="73"/>
  <c r="N578" i="73" s="1"/>
  <c r="N542" i="73"/>
  <c r="N579" i="73" s="1"/>
  <c r="K535" i="73"/>
  <c r="K578" i="73" s="1"/>
  <c r="J535" i="73"/>
  <c r="J578" i="73" s="1"/>
  <c r="L535" i="73"/>
  <c r="L578" i="73" s="1"/>
  <c r="M535" i="73"/>
  <c r="M578" i="73" s="1"/>
  <c r="M542" i="73"/>
  <c r="M579" i="73" s="1"/>
  <c r="Q168" i="77"/>
  <c r="M231" i="85"/>
  <c r="N344" i="77" s="1"/>
  <c r="L168" i="77"/>
  <c r="M504" i="73"/>
  <c r="M505" i="73" s="1"/>
  <c r="R168" i="77"/>
  <c r="L504" i="73"/>
  <c r="L505" i="73" s="1"/>
  <c r="J168" i="77"/>
  <c r="K231" i="85"/>
  <c r="L344" i="77" s="1"/>
  <c r="K237" i="85"/>
  <c r="L335" i="77" s="1"/>
  <c r="L323" i="77" s="1"/>
  <c r="P237" i="85"/>
  <c r="Q335" i="77" s="1"/>
  <c r="Q323" i="77" s="1"/>
  <c r="G584" i="77"/>
  <c r="G237" i="85"/>
  <c r="H335" i="77" s="1"/>
  <c r="H640" i="77" s="1"/>
  <c r="M237" i="85"/>
  <c r="N335" i="77" s="1"/>
  <c r="N323" i="77" s="1"/>
  <c r="I237" i="85"/>
  <c r="J335" i="77" s="1"/>
  <c r="N640" i="77" s="1"/>
  <c r="H231" i="85"/>
  <c r="I344" i="77" s="1"/>
  <c r="J237" i="85"/>
  <c r="K335" i="77" s="1"/>
  <c r="K338" i="77" s="1"/>
  <c r="K339" i="77" s="1"/>
  <c r="M513" i="73"/>
  <c r="M562" i="73"/>
  <c r="P551" i="73"/>
  <c r="P581" i="73" s="1"/>
  <c r="P569" i="73"/>
  <c r="P168" i="77"/>
  <c r="O504" i="73"/>
  <c r="G569" i="73"/>
  <c r="G551" i="73"/>
  <c r="G581" i="73" s="1"/>
  <c r="L551" i="73"/>
  <c r="L581" i="73" s="1"/>
  <c r="L569" i="73"/>
  <c r="G563" i="73"/>
  <c r="G653" i="64" s="1"/>
  <c r="G575" i="73"/>
  <c r="P546" i="73"/>
  <c r="P547" i="73" s="1"/>
  <c r="P580" i="73" s="1"/>
  <c r="P568" i="73"/>
  <c r="J569" i="73"/>
  <c r="J551" i="73"/>
  <c r="J581" i="73" s="1"/>
  <c r="F569" i="73"/>
  <c r="F551" i="73"/>
  <c r="F581" i="73" s="1"/>
  <c r="N568" i="73"/>
  <c r="N546" i="73"/>
  <c r="N547" i="73" s="1"/>
  <c r="N580" i="73" s="1"/>
  <c r="L568" i="73"/>
  <c r="L546" i="73"/>
  <c r="L547" i="73" s="1"/>
  <c r="L580" i="73" s="1"/>
  <c r="Q237" i="85"/>
  <c r="R335" i="77" s="1"/>
  <c r="K575" i="73"/>
  <c r="K563" i="73"/>
  <c r="K653" i="64" s="1"/>
  <c r="G168" i="77"/>
  <c r="F504" i="73"/>
  <c r="I584" i="77"/>
  <c r="C575" i="77"/>
  <c r="I569" i="73"/>
  <c r="I551" i="73"/>
  <c r="I581" i="73" s="1"/>
  <c r="H528" i="73"/>
  <c r="H577" i="73" s="1"/>
  <c r="H565" i="73"/>
  <c r="L575" i="73"/>
  <c r="L563" i="73"/>
  <c r="L653" i="64" s="1"/>
  <c r="G564" i="73"/>
  <c r="G519" i="73"/>
  <c r="G520" i="73" s="1"/>
  <c r="G521" i="73" s="1"/>
  <c r="G576" i="73" s="1"/>
  <c r="N569" i="73"/>
  <c r="N551" i="73"/>
  <c r="N581" i="73" s="1"/>
  <c r="M546" i="73"/>
  <c r="M547" i="73" s="1"/>
  <c r="M580" i="73" s="1"/>
  <c r="M568" i="73"/>
  <c r="H564" i="73"/>
  <c r="H519" i="73"/>
  <c r="H520" i="73" s="1"/>
  <c r="H521" i="73" s="1"/>
  <c r="H576" i="73" s="1"/>
  <c r="N563" i="73"/>
  <c r="N653" i="64" s="1"/>
  <c r="N575" i="73"/>
  <c r="P575" i="73"/>
  <c r="P563" i="73"/>
  <c r="P653" i="64" s="1"/>
  <c r="O568" i="73"/>
  <c r="O546" i="73"/>
  <c r="O547" i="73" s="1"/>
  <c r="O580" i="73" s="1"/>
  <c r="K505" i="73"/>
  <c r="L146" i="77"/>
  <c r="I546" i="73"/>
  <c r="I547" i="73" s="1"/>
  <c r="I580" i="73" s="1"/>
  <c r="I568" i="73"/>
  <c r="G231" i="85"/>
  <c r="H344" i="77" s="1"/>
  <c r="P505" i="73"/>
  <c r="Q146" i="77"/>
  <c r="I231" i="85"/>
  <c r="J344" i="77" s="1"/>
  <c r="O575" i="73"/>
  <c r="O563" i="73"/>
  <c r="O653" i="64" s="1"/>
  <c r="H237" i="85"/>
  <c r="I335" i="77" s="1"/>
  <c r="O168" i="77"/>
  <c r="N504" i="73"/>
  <c r="Q505" i="73"/>
  <c r="R146" i="77"/>
  <c r="K551" i="73"/>
  <c r="K581" i="73" s="1"/>
  <c r="K569" i="73"/>
  <c r="J568" i="73"/>
  <c r="J546" i="73"/>
  <c r="J547" i="73" s="1"/>
  <c r="J580" i="73" s="1"/>
  <c r="F565" i="73"/>
  <c r="F528" i="73"/>
  <c r="F577" i="73" s="1"/>
  <c r="F568" i="73"/>
  <c r="F546" i="73"/>
  <c r="F547" i="73" s="1"/>
  <c r="F580" i="73" s="1"/>
  <c r="Q231" i="85"/>
  <c r="R344" i="77" s="1"/>
  <c r="F575" i="73"/>
  <c r="F563" i="73"/>
  <c r="F653" i="64" s="1"/>
  <c r="F231" i="85"/>
  <c r="G344" i="77" s="1"/>
  <c r="L237" i="85"/>
  <c r="M335" i="77" s="1"/>
  <c r="O237" i="85"/>
  <c r="P335" i="77" s="1"/>
  <c r="N237" i="85"/>
  <c r="O335" i="77" s="1"/>
  <c r="H569" i="73"/>
  <c r="H551" i="73"/>
  <c r="H581" i="73" s="1"/>
  <c r="O569" i="73"/>
  <c r="O551" i="73"/>
  <c r="O581" i="73" s="1"/>
  <c r="Q568" i="73"/>
  <c r="Q546" i="73"/>
  <c r="Q547" i="73" s="1"/>
  <c r="Q580" i="73" s="1"/>
  <c r="I528" i="73"/>
  <c r="I577" i="73" s="1"/>
  <c r="I565" i="73"/>
  <c r="H563" i="73"/>
  <c r="H653" i="64" s="1"/>
  <c r="H575" i="73"/>
  <c r="G546" i="73"/>
  <c r="G547" i="73" s="1"/>
  <c r="G580" i="73" s="1"/>
  <c r="G568" i="73"/>
  <c r="I505" i="73"/>
  <c r="J146" i="77"/>
  <c r="J504" i="73"/>
  <c r="K168" i="77"/>
  <c r="H568" i="73"/>
  <c r="H546" i="73"/>
  <c r="H547" i="73" s="1"/>
  <c r="H580" i="73" s="1"/>
  <c r="J563" i="73"/>
  <c r="J653" i="64" s="1"/>
  <c r="J575" i="73"/>
  <c r="P231" i="85"/>
  <c r="Q344" i="77" s="1"/>
  <c r="G504" i="73"/>
  <c r="H168" i="77"/>
  <c r="G565" i="73"/>
  <c r="G528" i="73"/>
  <c r="G577" i="73" s="1"/>
  <c r="I575" i="73"/>
  <c r="I563" i="73"/>
  <c r="I653" i="64" s="1"/>
  <c r="K546" i="73"/>
  <c r="K547" i="73" s="1"/>
  <c r="K580" i="73" s="1"/>
  <c r="K568" i="73"/>
  <c r="Q575" i="73"/>
  <c r="Q563" i="73"/>
  <c r="Q653" i="64" s="1"/>
  <c r="F519" i="73"/>
  <c r="F520" i="73" s="1"/>
  <c r="F521" i="73" s="1"/>
  <c r="F576" i="73" s="1"/>
  <c r="F564" i="73"/>
  <c r="Q551" i="73"/>
  <c r="Q581" i="73" s="1"/>
  <c r="Q569" i="73"/>
  <c r="J231" i="85"/>
  <c r="K344" i="77" s="1"/>
  <c r="M569" i="73"/>
  <c r="M551" i="73"/>
  <c r="M581" i="73" s="1"/>
  <c r="F237" i="85"/>
  <c r="G335" i="77" s="1"/>
  <c r="L231" i="85"/>
  <c r="M344" i="77" s="1"/>
  <c r="O231" i="85"/>
  <c r="P344" i="77" s="1"/>
  <c r="N231" i="85"/>
  <c r="O344" i="77" s="1"/>
  <c r="H505" i="73" l="1"/>
  <c r="M146" i="77"/>
  <c r="M149" i="77" s="1"/>
  <c r="M151" i="77" s="1"/>
  <c r="N146" i="77"/>
  <c r="Z613" i="77" s="1"/>
  <c r="Q338" i="77"/>
  <c r="Q339" i="77" s="1"/>
  <c r="Q326" i="77" s="1"/>
  <c r="L338" i="77"/>
  <c r="L339" i="77" s="1"/>
  <c r="L357" i="77" s="1"/>
  <c r="L696" i="77" s="1"/>
  <c r="K583" i="73"/>
  <c r="L286" i="77" s="1"/>
  <c r="T633" i="77" s="1"/>
  <c r="L571" i="73"/>
  <c r="L572" i="73" s="1"/>
  <c r="J571" i="73"/>
  <c r="J572" i="73" s="1"/>
  <c r="L583" i="73"/>
  <c r="M286" i="77" s="1"/>
  <c r="M274" i="77" s="1"/>
  <c r="M275" i="77" s="1"/>
  <c r="F583" i="73"/>
  <c r="G286" i="77" s="1"/>
  <c r="G274" i="77" s="1"/>
  <c r="G275" i="77" s="1"/>
  <c r="T640" i="77"/>
  <c r="L336" i="77"/>
  <c r="L324" i="77" s="1"/>
  <c r="Q336" i="77"/>
  <c r="Q324" i="77" s="1"/>
  <c r="AI640" i="77"/>
  <c r="H336" i="77"/>
  <c r="H324" i="77" s="1"/>
  <c r="H323" i="77"/>
  <c r="K336" i="77"/>
  <c r="K324" i="77" s="1"/>
  <c r="K323" i="77"/>
  <c r="H338" i="77"/>
  <c r="H339" i="77" s="1"/>
  <c r="H342" i="77" s="1"/>
  <c r="N338" i="77"/>
  <c r="N339" i="77" s="1"/>
  <c r="N326" i="77" s="1"/>
  <c r="N336" i="77"/>
  <c r="N324" i="77" s="1"/>
  <c r="J336" i="77"/>
  <c r="J324" i="77" s="1"/>
  <c r="J338" i="77"/>
  <c r="J339" i="77" s="1"/>
  <c r="J357" i="77" s="1"/>
  <c r="J696" i="77" s="1"/>
  <c r="Z640" i="77"/>
  <c r="J583" i="73"/>
  <c r="K286" i="77" s="1"/>
  <c r="K260" i="77" s="1"/>
  <c r="Q640" i="77"/>
  <c r="J323" i="77"/>
  <c r="I571" i="73"/>
  <c r="I572" i="73" s="1"/>
  <c r="F571" i="73"/>
  <c r="F572" i="73" s="1"/>
  <c r="F652" i="64" s="1"/>
  <c r="K571" i="73"/>
  <c r="K572" i="73" s="1"/>
  <c r="K652" i="64" s="1"/>
  <c r="K654" i="64" s="1"/>
  <c r="K656" i="64" s="1"/>
  <c r="K657" i="64" s="1"/>
  <c r="I583" i="73"/>
  <c r="J286" i="77" s="1"/>
  <c r="Q583" i="73"/>
  <c r="R286" i="77" s="1"/>
  <c r="R287" i="77" s="1"/>
  <c r="R261" i="77" s="1"/>
  <c r="O583" i="73"/>
  <c r="P286" i="77" s="1"/>
  <c r="AF633" i="77" s="1"/>
  <c r="G505" i="73"/>
  <c r="H146" i="77"/>
  <c r="N613" i="77"/>
  <c r="J149" i="77"/>
  <c r="J151" i="77" s="1"/>
  <c r="J147" i="77"/>
  <c r="AL613" i="77"/>
  <c r="R147" i="77"/>
  <c r="R149" i="77"/>
  <c r="R151" i="77" s="1"/>
  <c r="I338" i="77"/>
  <c r="I339" i="77" s="1"/>
  <c r="K640" i="77"/>
  <c r="I323" i="77"/>
  <c r="I336" i="77"/>
  <c r="I324" i="77" s="1"/>
  <c r="AI613" i="77"/>
  <c r="Q149" i="77"/>
  <c r="Q151" i="77" s="1"/>
  <c r="Q147" i="77"/>
  <c r="O571" i="73"/>
  <c r="O572" i="73" s="1"/>
  <c r="M583" i="73"/>
  <c r="G571" i="73"/>
  <c r="G572" i="73" s="1"/>
  <c r="N583" i="73"/>
  <c r="O286" i="77" s="1"/>
  <c r="K357" i="77"/>
  <c r="K696" i="77" s="1"/>
  <c r="K326" i="77"/>
  <c r="K342" i="77"/>
  <c r="P146" i="77"/>
  <c r="O505" i="73"/>
  <c r="J169" i="77"/>
  <c r="I506" i="73"/>
  <c r="O338" i="77"/>
  <c r="O339" i="77" s="1"/>
  <c r="O323" i="77"/>
  <c r="AC640" i="77"/>
  <c r="O336" i="77"/>
  <c r="O324" i="77" s="1"/>
  <c r="Q506" i="73"/>
  <c r="R169" i="77"/>
  <c r="Q169" i="77"/>
  <c r="P506" i="73"/>
  <c r="T613" i="77"/>
  <c r="L147" i="77"/>
  <c r="L149" i="77"/>
  <c r="L151" i="77" s="1"/>
  <c r="H583" i="73"/>
  <c r="I286" i="77" s="1"/>
  <c r="F505" i="73"/>
  <c r="G146" i="77"/>
  <c r="R338" i="77"/>
  <c r="R339" i="77" s="1"/>
  <c r="R323" i="77"/>
  <c r="AL640" i="77"/>
  <c r="R336" i="77"/>
  <c r="R324" i="77" s="1"/>
  <c r="N571" i="73"/>
  <c r="N572" i="73" s="1"/>
  <c r="P338" i="77"/>
  <c r="P339" i="77" s="1"/>
  <c r="AF640" i="77"/>
  <c r="P323" i="77"/>
  <c r="P336" i="77"/>
  <c r="P324" i="77" s="1"/>
  <c r="M506" i="73"/>
  <c r="N169" i="77"/>
  <c r="O146" i="77"/>
  <c r="N505" i="73"/>
  <c r="K506" i="73"/>
  <c r="L169" i="77"/>
  <c r="H571" i="73"/>
  <c r="H572" i="73" s="1"/>
  <c r="I169" i="77"/>
  <c r="H506" i="73"/>
  <c r="P571" i="73"/>
  <c r="P572" i="73" s="1"/>
  <c r="E640" i="77"/>
  <c r="G323" i="77"/>
  <c r="G338" i="77"/>
  <c r="G339" i="77" s="1"/>
  <c r="G336" i="77"/>
  <c r="G324" i="77" s="1"/>
  <c r="J505" i="73"/>
  <c r="K146" i="77"/>
  <c r="L506" i="73"/>
  <c r="M169" i="77"/>
  <c r="Q571" i="73"/>
  <c r="Q572" i="73" s="1"/>
  <c r="M323" i="77"/>
  <c r="M338" i="77"/>
  <c r="M339" i="77" s="1"/>
  <c r="W640" i="77"/>
  <c r="M336" i="77"/>
  <c r="M324" i="77" s="1"/>
  <c r="M571" i="73"/>
  <c r="G583" i="73"/>
  <c r="H286" i="77" s="1"/>
  <c r="K613" i="77"/>
  <c r="I147" i="77"/>
  <c r="I149" i="77"/>
  <c r="I151" i="77" s="1"/>
  <c r="P583" i="73"/>
  <c r="Q286" i="77" s="1"/>
  <c r="M575" i="73"/>
  <c r="M563" i="73"/>
  <c r="M653" i="64" s="1"/>
  <c r="R653" i="64" s="1"/>
  <c r="W613" i="77" l="1"/>
  <c r="M147" i="77"/>
  <c r="L260" i="77"/>
  <c r="Q342" i="77"/>
  <c r="Q357" i="77"/>
  <c r="Q696" i="77" s="1"/>
  <c r="N149" i="77"/>
  <c r="N151" i="77" s="1"/>
  <c r="N173" i="77" s="1"/>
  <c r="N147" i="77"/>
  <c r="L282" i="77"/>
  <c r="L342" i="77"/>
  <c r="L326" i="77"/>
  <c r="L274" i="77"/>
  <c r="L275" i="77" s="1"/>
  <c r="L287" i="77"/>
  <c r="L261" i="77" s="1"/>
  <c r="M287" i="77"/>
  <c r="M261" i="77" s="1"/>
  <c r="M260" i="77"/>
  <c r="G282" i="77"/>
  <c r="W633" i="77"/>
  <c r="J342" i="77"/>
  <c r="G287" i="77"/>
  <c r="G261" i="77" s="1"/>
  <c r="E633" i="77"/>
  <c r="G260" i="77"/>
  <c r="K287" i="77"/>
  <c r="K261" i="77" s="1"/>
  <c r="N357" i="77"/>
  <c r="N696" i="77" s="1"/>
  <c r="N342" i="77"/>
  <c r="H357" i="77"/>
  <c r="H696" i="77" s="1"/>
  <c r="H326" i="77"/>
  <c r="K274" i="77"/>
  <c r="K280" i="77" s="1"/>
  <c r="T601" i="77"/>
  <c r="Q633" i="77"/>
  <c r="J326" i="77"/>
  <c r="R274" i="77"/>
  <c r="R275" i="77" s="1"/>
  <c r="R260" i="77"/>
  <c r="J287" i="77"/>
  <c r="J261" i="77" s="1"/>
  <c r="N633" i="77"/>
  <c r="N601" i="77" s="1"/>
  <c r="J260" i="77"/>
  <c r="J274" i="77"/>
  <c r="J288" i="77" s="1"/>
  <c r="J263" i="77" s="1"/>
  <c r="AL633" i="77"/>
  <c r="AL601" i="77" s="1"/>
  <c r="P274" i="77"/>
  <c r="P280" i="77" s="1"/>
  <c r="P260" i="77"/>
  <c r="P287" i="77"/>
  <c r="P261" i="77" s="1"/>
  <c r="I163" i="77"/>
  <c r="K624" i="77"/>
  <c r="J627" i="77" s="1"/>
  <c r="I173" i="77"/>
  <c r="I172" i="77"/>
  <c r="I355" i="77"/>
  <c r="M282" i="77"/>
  <c r="L652" i="64"/>
  <c r="L654" i="64" s="1"/>
  <c r="L656" i="64" s="1"/>
  <c r="L657" i="64" s="1"/>
  <c r="R282" i="77"/>
  <c r="Q652" i="64"/>
  <c r="Q654" i="64" s="1"/>
  <c r="Q656" i="64" s="1"/>
  <c r="Q657" i="64" s="1"/>
  <c r="P652" i="64"/>
  <c r="P654" i="64" s="1"/>
  <c r="P656" i="64" s="1"/>
  <c r="P657" i="64" s="1"/>
  <c r="Q282" i="77"/>
  <c r="P326" i="77"/>
  <c r="P342" i="77"/>
  <c r="P357" i="77"/>
  <c r="P696" i="77" s="1"/>
  <c r="W624" i="77"/>
  <c r="V627" i="77" s="1"/>
  <c r="M163" i="77"/>
  <c r="M173" i="77"/>
  <c r="M355" i="77"/>
  <c r="M172" i="77"/>
  <c r="E613" i="77"/>
  <c r="G147" i="77"/>
  <c r="G149" i="77"/>
  <c r="G151" i="77" s="1"/>
  <c r="T624" i="77"/>
  <c r="S627" i="77" s="1"/>
  <c r="L173" i="77"/>
  <c r="L163" i="77"/>
  <c r="L172" i="77"/>
  <c r="L355" i="77"/>
  <c r="M288" i="77"/>
  <c r="M263" i="77" s="1"/>
  <c r="M356" i="77"/>
  <c r="M280" i="77"/>
  <c r="O326" i="77"/>
  <c r="O357" i="77"/>
  <c r="O696" i="77" s="1"/>
  <c r="O342" i="77"/>
  <c r="F654" i="64"/>
  <c r="F656" i="64" s="1"/>
  <c r="F657" i="64" s="1"/>
  <c r="G652" i="64"/>
  <c r="G654" i="64" s="1"/>
  <c r="G656" i="64" s="1"/>
  <c r="G657" i="64" s="1"/>
  <c r="H282" i="77"/>
  <c r="Q173" i="77"/>
  <c r="Q163" i="77"/>
  <c r="AI624" i="77"/>
  <c r="AH627" i="77" s="1"/>
  <c r="Q172" i="77"/>
  <c r="Q355" i="77"/>
  <c r="I652" i="64"/>
  <c r="I654" i="64" s="1"/>
  <c r="I656" i="64" s="1"/>
  <c r="I657" i="64" s="1"/>
  <c r="J282" i="77"/>
  <c r="H613" i="77"/>
  <c r="H149" i="77"/>
  <c r="H151" i="77" s="1"/>
  <c r="H147" i="77"/>
  <c r="L594" i="77"/>
  <c r="N506" i="73"/>
  <c r="O169" i="77"/>
  <c r="F506" i="73"/>
  <c r="G169" i="77"/>
  <c r="P169" i="77"/>
  <c r="O506" i="73"/>
  <c r="N286" i="77"/>
  <c r="I326" i="77"/>
  <c r="I357" i="77"/>
  <c r="I696" i="77" s="1"/>
  <c r="I342" i="77"/>
  <c r="G506" i="73"/>
  <c r="H169" i="77"/>
  <c r="H633" i="77"/>
  <c r="H260" i="77"/>
  <c r="H287" i="77"/>
  <c r="H261" i="77" s="1"/>
  <c r="H274" i="77"/>
  <c r="I282" i="77"/>
  <c r="H652" i="64"/>
  <c r="H654" i="64" s="1"/>
  <c r="H656" i="64" s="1"/>
  <c r="H657" i="64" s="1"/>
  <c r="AC613" i="77"/>
  <c r="O149" i="77"/>
  <c r="O151" i="77" s="1"/>
  <c r="O147" i="77"/>
  <c r="K633" i="77"/>
  <c r="K601" i="77" s="1"/>
  <c r="I260" i="77"/>
  <c r="I274" i="77"/>
  <c r="I287" i="77"/>
  <c r="I261" i="77" s="1"/>
  <c r="AF613" i="77"/>
  <c r="AF601" i="77" s="1"/>
  <c r="P147" i="77"/>
  <c r="P149" i="77"/>
  <c r="P151" i="77" s="1"/>
  <c r="O260" i="77"/>
  <c r="AC633" i="77"/>
  <c r="O274" i="77"/>
  <c r="O287" i="77"/>
  <c r="O261" i="77" s="1"/>
  <c r="O652" i="64"/>
  <c r="O654" i="64" s="1"/>
  <c r="O656" i="64" s="1"/>
  <c r="O657" i="64" s="1"/>
  <c r="P282" i="77"/>
  <c r="R173" i="77"/>
  <c r="AL624" i="77"/>
  <c r="AK627" i="77" s="1"/>
  <c r="R163" i="77"/>
  <c r="R172" i="77"/>
  <c r="R355" i="77"/>
  <c r="J163" i="77"/>
  <c r="N624" i="77"/>
  <c r="M627" i="77" s="1"/>
  <c r="J173" i="77"/>
  <c r="J355" i="77"/>
  <c r="J172" i="77"/>
  <c r="M326" i="77"/>
  <c r="M357" i="77"/>
  <c r="M696" i="77" s="1"/>
  <c r="M342" i="77"/>
  <c r="Q613" i="77"/>
  <c r="K149" i="77"/>
  <c r="K151" i="77" s="1"/>
  <c r="K147" i="77"/>
  <c r="AI633" i="77"/>
  <c r="AI601" i="77" s="1"/>
  <c r="Q260" i="77"/>
  <c r="Q274" i="77"/>
  <c r="Q275" i="77" s="1"/>
  <c r="Q287" i="77"/>
  <c r="Q261" i="77" s="1"/>
  <c r="M572" i="73"/>
  <c r="J652" i="64"/>
  <c r="J654" i="64" s="1"/>
  <c r="J656" i="64" s="1"/>
  <c r="J657" i="64" s="1"/>
  <c r="K282" i="77"/>
  <c r="J506" i="73"/>
  <c r="K169" i="77"/>
  <c r="G326" i="77"/>
  <c r="G357" i="77"/>
  <c r="G696" i="77" s="1"/>
  <c r="G342" i="77"/>
  <c r="O282" i="77"/>
  <c r="N652" i="64"/>
  <c r="N654" i="64" s="1"/>
  <c r="N656" i="64" s="1"/>
  <c r="N657" i="64" s="1"/>
  <c r="R326" i="77"/>
  <c r="R342" i="77"/>
  <c r="R357" i="77"/>
  <c r="R696" i="77" s="1"/>
  <c r="W601" i="77" l="1"/>
  <c r="N172" i="77"/>
  <c r="Z624" i="77"/>
  <c r="Y627" i="77" s="1"/>
  <c r="N163" i="77"/>
  <c r="N355" i="77"/>
  <c r="Y628" i="77" s="1"/>
  <c r="L356" i="77"/>
  <c r="L695" i="77" s="1"/>
  <c r="L280" i="77"/>
  <c r="L288" i="77"/>
  <c r="L263" i="77" s="1"/>
  <c r="K288" i="77"/>
  <c r="K263" i="77" s="1"/>
  <c r="G280" i="77"/>
  <c r="G356" i="77"/>
  <c r="G288" i="77"/>
  <c r="G263" i="77" s="1"/>
  <c r="E601" i="77"/>
  <c r="D606" i="77" s="1"/>
  <c r="R280" i="77"/>
  <c r="J275" i="77"/>
  <c r="K275" i="77"/>
  <c r="P356" i="77"/>
  <c r="K356" i="77"/>
  <c r="R356" i="77"/>
  <c r="R358" i="77" s="1"/>
  <c r="P288" i="77"/>
  <c r="P263" i="77" s="1"/>
  <c r="R288" i="77"/>
  <c r="R263" i="77" s="1"/>
  <c r="P275" i="77"/>
  <c r="Q601" i="77"/>
  <c r="J356" i="77"/>
  <c r="J358" i="77" s="1"/>
  <c r="AC601" i="77"/>
  <c r="J280" i="77"/>
  <c r="S326" i="77"/>
  <c r="N282" i="77"/>
  <c r="M652" i="64"/>
  <c r="M654" i="64" s="1"/>
  <c r="M656" i="64" s="1"/>
  <c r="M657" i="64" s="1"/>
  <c r="M628" i="77"/>
  <c r="AK628" i="77"/>
  <c r="O288" i="77"/>
  <c r="O263" i="77" s="1"/>
  <c r="O356" i="77"/>
  <c r="O280" i="77"/>
  <c r="P163" i="77"/>
  <c r="AF624" i="77"/>
  <c r="AE627" i="77" s="1"/>
  <c r="P173" i="77"/>
  <c r="P172" i="77"/>
  <c r="P355" i="77"/>
  <c r="Z633" i="77"/>
  <c r="N260" i="77"/>
  <c r="N274" i="77"/>
  <c r="N287" i="77"/>
  <c r="N261" i="77" s="1"/>
  <c r="I288" i="77"/>
  <c r="I263" i="77" s="1"/>
  <c r="I280" i="77"/>
  <c r="I356" i="77"/>
  <c r="I358" i="77" s="1"/>
  <c r="H594" i="77"/>
  <c r="C616" i="77" s="1"/>
  <c r="C619" i="77" s="1"/>
  <c r="Q288" i="77"/>
  <c r="Q263" i="77" s="1"/>
  <c r="Q356" i="77"/>
  <c r="Q695" i="77" s="1"/>
  <c r="Q280" i="77"/>
  <c r="O275" i="77"/>
  <c r="I275" i="77"/>
  <c r="O173" i="77"/>
  <c r="AC624" i="77"/>
  <c r="AB627" i="77" s="1"/>
  <c r="O163" i="77"/>
  <c r="O355" i="77"/>
  <c r="O172" i="77"/>
  <c r="H275" i="77"/>
  <c r="H288" i="77"/>
  <c r="H263" i="77" s="1"/>
  <c r="H356" i="77"/>
  <c r="H280" i="77"/>
  <c r="H173" i="77"/>
  <c r="H624" i="77"/>
  <c r="G627" i="77" s="1"/>
  <c r="H163" i="77"/>
  <c r="H172" i="77"/>
  <c r="H355" i="77"/>
  <c r="AH628" i="77"/>
  <c r="S628" i="77"/>
  <c r="J628" i="77"/>
  <c r="K163" i="77"/>
  <c r="K173" i="77"/>
  <c r="Q624" i="77"/>
  <c r="P627" i="77" s="1"/>
  <c r="K172" i="77"/>
  <c r="K355" i="77"/>
  <c r="J586" i="77"/>
  <c r="H601" i="77"/>
  <c r="G173" i="77"/>
  <c r="G163" i="77"/>
  <c r="E624" i="77"/>
  <c r="D627" i="77" s="1"/>
  <c r="S151" i="77"/>
  <c r="G172" i="77"/>
  <c r="G355" i="77"/>
  <c r="V628" i="77"/>
  <c r="M695" i="77"/>
  <c r="M358" i="77"/>
  <c r="G695" i="77" l="1"/>
  <c r="L358" i="77"/>
  <c r="L694" i="77" s="1"/>
  <c r="R652" i="64"/>
  <c r="R654" i="64" s="1"/>
  <c r="E606" i="77"/>
  <c r="F606" i="77" s="1"/>
  <c r="G606" i="77" s="1"/>
  <c r="H606" i="77" s="1"/>
  <c r="I606" i="77" s="1"/>
  <c r="J606" i="77" s="1"/>
  <c r="P695" i="77"/>
  <c r="R695" i="77"/>
  <c r="J695" i="77"/>
  <c r="I695" i="77"/>
  <c r="Q358" i="77"/>
  <c r="Q361" i="77" s="1"/>
  <c r="H358" i="77"/>
  <c r="H695" i="77"/>
  <c r="G628" i="77"/>
  <c r="Z601" i="77"/>
  <c r="J594" i="77"/>
  <c r="O695" i="77"/>
  <c r="J694" i="77"/>
  <c r="J698" i="77" s="1"/>
  <c r="L2391" i="79" s="1"/>
  <c r="J361" i="77"/>
  <c r="AB628" i="77"/>
  <c r="O358" i="77"/>
  <c r="C617" i="77"/>
  <c r="C121" i="77"/>
  <c r="C618" i="77"/>
  <c r="C120" i="77"/>
  <c r="I361" i="77"/>
  <c r="I694" i="77"/>
  <c r="I698" i="77" s="1"/>
  <c r="K2391" i="79" s="1"/>
  <c r="N288" i="77"/>
  <c r="N263" i="77" s="1"/>
  <c r="S263" i="77" s="1"/>
  <c r="N356" i="77"/>
  <c r="N280" i="77"/>
  <c r="P628" i="77"/>
  <c r="K695" i="77"/>
  <c r="K358" i="77"/>
  <c r="M361" i="77"/>
  <c r="M694" i="77"/>
  <c r="N275" i="77"/>
  <c r="AE628" i="77"/>
  <c r="P358" i="77"/>
  <c r="R361" i="77"/>
  <c r="R694" i="77"/>
  <c r="D628" i="77"/>
  <c r="G358" i="77"/>
  <c r="G694" i="77" s="1"/>
  <c r="L361" i="77" l="1"/>
  <c r="L369" i="77" s="1"/>
  <c r="K606" i="77"/>
  <c r="L606" i="77" s="1"/>
  <c r="M606" i="77" s="1"/>
  <c r="N606" i="77" s="1"/>
  <c r="O606" i="77" s="1"/>
  <c r="Q694" i="77"/>
  <c r="Q697" i="77" s="1"/>
  <c r="S2390" i="79" s="1"/>
  <c r="J697" i="77"/>
  <c r="L2390" i="79" s="1"/>
  <c r="I697" i="77"/>
  <c r="K2390" i="79" s="1"/>
  <c r="H586" i="77"/>
  <c r="D577" i="77"/>
  <c r="C580" i="77" s="1"/>
  <c r="H694" i="77"/>
  <c r="H698" i="77" s="1"/>
  <c r="J2391" i="79" s="1"/>
  <c r="H361" i="77"/>
  <c r="G361" i="77"/>
  <c r="G698" i="77"/>
  <c r="I2391" i="79" s="1"/>
  <c r="M697" i="77"/>
  <c r="O2390" i="79" s="1"/>
  <c r="M698" i="77"/>
  <c r="O2391" i="79" s="1"/>
  <c r="J370" i="77"/>
  <c r="J368" i="77"/>
  <c r="J369" i="77"/>
  <c r="L697" i="77"/>
  <c r="N2390" i="79" s="1"/>
  <c r="L698" i="77"/>
  <c r="N2391" i="79" s="1"/>
  <c r="R370" i="77"/>
  <c r="R368" i="77"/>
  <c r="R369" i="77"/>
  <c r="P361" i="77"/>
  <c r="P694" i="77"/>
  <c r="M368" i="77"/>
  <c r="M369" i="77"/>
  <c r="M370" i="77"/>
  <c r="I369" i="77"/>
  <c r="I368" i="77"/>
  <c r="I370" i="77"/>
  <c r="R697" i="77"/>
  <c r="T2390" i="79" s="1"/>
  <c r="R698" i="77"/>
  <c r="T2391" i="79" s="1"/>
  <c r="Q368" i="77"/>
  <c r="Q370" i="77"/>
  <c r="Q369" i="77"/>
  <c r="K361" i="77"/>
  <c r="K694" i="77"/>
  <c r="K698" i="77" s="1"/>
  <c r="M2391" i="79" s="1"/>
  <c r="N695" i="77"/>
  <c r="N358" i="77"/>
  <c r="O694" i="77"/>
  <c r="O361" i="77"/>
  <c r="L368" i="77" l="1"/>
  <c r="L670" i="77" s="1"/>
  <c r="L370" i="77"/>
  <c r="L374" i="77" s="1"/>
  <c r="Q698" i="77"/>
  <c r="S2391" i="79" s="1"/>
  <c r="H697" i="77"/>
  <c r="J2390" i="79" s="1"/>
  <c r="S845" i="79"/>
  <c r="Q672" i="77"/>
  <c r="Q374" i="77"/>
  <c r="Q668" i="77"/>
  <c r="L666" i="77"/>
  <c r="I372" i="77"/>
  <c r="I670" i="77"/>
  <c r="I666" i="77"/>
  <c r="K837" i="79"/>
  <c r="O837" i="79"/>
  <c r="M666" i="77"/>
  <c r="M670" i="77"/>
  <c r="M372" i="77"/>
  <c r="P369" i="77"/>
  <c r="P368" i="77"/>
  <c r="P370" i="77"/>
  <c r="J668" i="77"/>
  <c r="L845" i="79"/>
  <c r="J672" i="77"/>
  <c r="J374" i="77"/>
  <c r="G697" i="77"/>
  <c r="I2390" i="79" s="1"/>
  <c r="O370" i="77"/>
  <c r="O368" i="77"/>
  <c r="O369" i="77"/>
  <c r="Q670" i="77"/>
  <c r="Q666" i="77"/>
  <c r="S837" i="79"/>
  <c r="Q372" i="77"/>
  <c r="I667" i="77"/>
  <c r="I671" i="77"/>
  <c r="I373" i="77"/>
  <c r="K841" i="79"/>
  <c r="K1199" i="79" s="1"/>
  <c r="K1269" i="79" s="1"/>
  <c r="R667" i="77"/>
  <c r="R373" i="77"/>
  <c r="T841" i="79"/>
  <c r="T1199" i="79" s="1"/>
  <c r="T1269" i="79" s="1"/>
  <c r="R671" i="77"/>
  <c r="C579" i="77"/>
  <c r="C23" i="77"/>
  <c r="D578" i="77"/>
  <c r="C22" i="77"/>
  <c r="O697" i="77"/>
  <c r="Q2390" i="79" s="1"/>
  <c r="O698" i="77"/>
  <c r="Q2391" i="79" s="1"/>
  <c r="K368" i="77"/>
  <c r="K370" i="77"/>
  <c r="K369" i="77"/>
  <c r="N841" i="79"/>
  <c r="N1199" i="79" s="1"/>
  <c r="N1269" i="79" s="1"/>
  <c r="L667" i="77"/>
  <c r="L373" i="77"/>
  <c r="L671" i="77"/>
  <c r="M374" i="77"/>
  <c r="O845" i="79"/>
  <c r="M672" i="77"/>
  <c r="M668" i="77"/>
  <c r="T837" i="79"/>
  <c r="R670" i="77"/>
  <c r="R666" i="77"/>
  <c r="R372" i="77"/>
  <c r="J671" i="77"/>
  <c r="J373" i="77"/>
  <c r="J667" i="77"/>
  <c r="L841" i="79"/>
  <c r="L1199" i="79" s="1"/>
  <c r="L1269" i="79" s="1"/>
  <c r="G369" i="77"/>
  <c r="G370" i="77"/>
  <c r="G668" i="77" s="1"/>
  <c r="G368" i="77"/>
  <c r="G666" i="77" s="1"/>
  <c r="N694" i="77"/>
  <c r="N361" i="77"/>
  <c r="Q373" i="77"/>
  <c r="Q671" i="77"/>
  <c r="S841" i="79"/>
  <c r="S1199" i="79" s="1"/>
  <c r="S1269" i="79" s="1"/>
  <c r="Q667" i="77"/>
  <c r="K845" i="79"/>
  <c r="I672" i="77"/>
  <c r="I374" i="77"/>
  <c r="I668" i="77"/>
  <c r="M373" i="77"/>
  <c r="M671" i="77"/>
  <c r="O841" i="79"/>
  <c r="O1199" i="79" s="1"/>
  <c r="O1269" i="79" s="1"/>
  <c r="M667" i="77"/>
  <c r="P697" i="77"/>
  <c r="R2390" i="79" s="1"/>
  <c r="P698" i="77"/>
  <c r="R2391" i="79" s="1"/>
  <c r="T845" i="79"/>
  <c r="R668" i="77"/>
  <c r="R374" i="77"/>
  <c r="R672" i="77"/>
  <c r="J666" i="77"/>
  <c r="L837" i="79"/>
  <c r="J372" i="77"/>
  <c r="J670" i="77"/>
  <c r="S358" i="77"/>
  <c r="H369" i="77"/>
  <c r="H370" i="77"/>
  <c r="H368" i="77"/>
  <c r="K697" i="77"/>
  <c r="M2390" i="79" s="1"/>
  <c r="L672" i="77" l="1"/>
  <c r="L673" i="77" s="1"/>
  <c r="L372" i="77"/>
  <c r="L375" i="77" s="1"/>
  <c r="L668" i="77"/>
  <c r="L669" i="77" s="1"/>
  <c r="N837" i="79"/>
  <c r="N839" i="79" s="1"/>
  <c r="N845" i="79"/>
  <c r="N1235" i="79" s="1"/>
  <c r="N1303" i="79" s="1"/>
  <c r="K847" i="79"/>
  <c r="K1235" i="79"/>
  <c r="K1303" i="79" s="1"/>
  <c r="O847" i="79"/>
  <c r="O1235" i="79"/>
  <c r="O1303" i="79" s="1"/>
  <c r="T843" i="79"/>
  <c r="T1234" i="79"/>
  <c r="T1302" i="79" s="1"/>
  <c r="S839" i="79"/>
  <c r="S1233" i="79"/>
  <c r="S1301" i="79" s="1"/>
  <c r="L839" i="79"/>
  <c r="L1233" i="79"/>
  <c r="L1301" i="79" s="1"/>
  <c r="T839" i="79"/>
  <c r="T1233" i="79"/>
  <c r="T1301" i="79" s="1"/>
  <c r="N843" i="79"/>
  <c r="N1234" i="79"/>
  <c r="N1302" i="79" s="1"/>
  <c r="L847" i="79"/>
  <c r="L1235" i="79"/>
  <c r="L1303" i="79" s="1"/>
  <c r="O839" i="79"/>
  <c r="O1233" i="79"/>
  <c r="O1301" i="79" s="1"/>
  <c r="S847" i="79"/>
  <c r="S1235" i="79"/>
  <c r="S1303" i="79" s="1"/>
  <c r="T847" i="79"/>
  <c r="T1235" i="79"/>
  <c r="T1303" i="79" s="1"/>
  <c r="O843" i="79"/>
  <c r="O1234" i="79"/>
  <c r="O1302" i="79" s="1"/>
  <c r="S843" i="79"/>
  <c r="S1234" i="79"/>
  <c r="S1302" i="79" s="1"/>
  <c r="L843" i="79"/>
  <c r="L1234" i="79"/>
  <c r="L1302" i="79" s="1"/>
  <c r="K839" i="79"/>
  <c r="K1233" i="79"/>
  <c r="K1301" i="79" s="1"/>
  <c r="I837" i="79"/>
  <c r="K843" i="79"/>
  <c r="K1234" i="79"/>
  <c r="K1302" i="79" s="1"/>
  <c r="J673" i="77"/>
  <c r="J701" i="77" s="1"/>
  <c r="F119" i="83" s="1"/>
  <c r="J669" i="77"/>
  <c r="J699" i="77" s="1"/>
  <c r="F101" i="83" s="1"/>
  <c r="R669" i="77"/>
  <c r="O105" i="8" s="1"/>
  <c r="O106" i="8" s="1"/>
  <c r="N697" i="77"/>
  <c r="P2390" i="79" s="1"/>
  <c r="N698" i="77"/>
  <c r="P2391" i="79" s="1"/>
  <c r="R389" i="77"/>
  <c r="R375" i="77"/>
  <c r="K667" i="77"/>
  <c r="K671" i="77"/>
  <c r="K373" i="77"/>
  <c r="M841" i="79"/>
  <c r="M1199" i="79" s="1"/>
  <c r="M1269" i="79" s="1"/>
  <c r="Q673" i="77"/>
  <c r="M389" i="77"/>
  <c r="M375" i="77"/>
  <c r="H372" i="77"/>
  <c r="H670" i="77"/>
  <c r="J837" i="79"/>
  <c r="H666" i="77"/>
  <c r="G670" i="77"/>
  <c r="G372" i="77"/>
  <c r="K374" i="77"/>
  <c r="K668" i="77"/>
  <c r="K672" i="77"/>
  <c r="M845" i="79"/>
  <c r="Q375" i="77"/>
  <c r="Q389" i="77"/>
  <c r="O671" i="77"/>
  <c r="O373" i="77"/>
  <c r="Q841" i="79"/>
  <c r="Q1199" i="79" s="1"/>
  <c r="Q1269" i="79" s="1"/>
  <c r="O667" i="77"/>
  <c r="P672" i="77"/>
  <c r="R845" i="79"/>
  <c r="P668" i="77"/>
  <c r="P374" i="77"/>
  <c r="M673" i="77"/>
  <c r="I669" i="77"/>
  <c r="J375" i="77"/>
  <c r="J389" i="77"/>
  <c r="G669" i="77"/>
  <c r="D105" i="8" s="1"/>
  <c r="G672" i="77"/>
  <c r="G374" i="77"/>
  <c r="I845" i="79"/>
  <c r="R673" i="77"/>
  <c r="K372" i="77"/>
  <c r="K670" i="77"/>
  <c r="M837" i="79"/>
  <c r="K666" i="77"/>
  <c r="Q837" i="79"/>
  <c r="O372" i="77"/>
  <c r="O666" i="77"/>
  <c r="O670" i="77"/>
  <c r="P666" i="77"/>
  <c r="P372" i="77"/>
  <c r="R837" i="79"/>
  <c r="P670" i="77"/>
  <c r="M669" i="77"/>
  <c r="I673" i="77"/>
  <c r="H672" i="77"/>
  <c r="H374" i="77"/>
  <c r="J845" i="79"/>
  <c r="H668" i="77"/>
  <c r="H671" i="77"/>
  <c r="H373" i="77"/>
  <c r="J841" i="79"/>
  <c r="J1199" i="79" s="1"/>
  <c r="J1269" i="79" s="1"/>
  <c r="H667" i="77"/>
  <c r="N370" i="77"/>
  <c r="N368" i="77"/>
  <c r="S368" i="77" s="1"/>
  <c r="N369" i="77"/>
  <c r="C841" i="79" s="1"/>
  <c r="I841" i="79"/>
  <c r="I1199" i="79" s="1"/>
  <c r="I1269" i="79" s="1"/>
  <c r="G373" i="77"/>
  <c r="G671" i="77"/>
  <c r="Q669" i="77"/>
  <c r="O374" i="77"/>
  <c r="Q845" i="79"/>
  <c r="O668" i="77"/>
  <c r="O672" i="77"/>
  <c r="P373" i="77"/>
  <c r="R841" i="79"/>
  <c r="R1199" i="79" s="1"/>
  <c r="R1269" i="79" s="1"/>
  <c r="P671" i="77"/>
  <c r="P667" i="77"/>
  <c r="I389" i="77"/>
  <c r="I375" i="77"/>
  <c r="N847" i="79" l="1"/>
  <c r="N1233" i="79"/>
  <c r="N1301" i="79" s="1"/>
  <c r="N2389" i="79" s="1"/>
  <c r="L389" i="77"/>
  <c r="I847" i="79"/>
  <c r="I1235" i="79"/>
  <c r="I1303" i="79" s="1"/>
  <c r="I839" i="79"/>
  <c r="I1233" i="79"/>
  <c r="I1301" i="79" s="1"/>
  <c r="M839" i="79"/>
  <c r="M1233" i="79"/>
  <c r="M1301" i="79" s="1"/>
  <c r="Q843" i="79"/>
  <c r="Q1234" i="79"/>
  <c r="Q1302" i="79" s="1"/>
  <c r="R843" i="79"/>
  <c r="R1234" i="79"/>
  <c r="R1302" i="79" s="1"/>
  <c r="Q847" i="79"/>
  <c r="Q1235" i="79"/>
  <c r="Q1303" i="79" s="1"/>
  <c r="R839" i="79"/>
  <c r="R1233" i="79"/>
  <c r="R1301" i="79" s="1"/>
  <c r="R847" i="79"/>
  <c r="R1235" i="79"/>
  <c r="R1303" i="79" s="1"/>
  <c r="M847" i="79"/>
  <c r="M1235" i="79"/>
  <c r="M1303" i="79" s="1"/>
  <c r="J839" i="79"/>
  <c r="J1233" i="79"/>
  <c r="J1301" i="79" s="1"/>
  <c r="J843" i="79"/>
  <c r="J1234" i="79"/>
  <c r="J1302" i="79" s="1"/>
  <c r="I843" i="79"/>
  <c r="I1234" i="79"/>
  <c r="I1302" i="79" s="1"/>
  <c r="J847" i="79"/>
  <c r="J1235" i="79"/>
  <c r="J1303" i="79" s="1"/>
  <c r="Q839" i="79"/>
  <c r="Q1233" i="79"/>
  <c r="Q1301" i="79" s="1"/>
  <c r="G117" i="8"/>
  <c r="M843" i="79"/>
  <c r="M1234" i="79"/>
  <c r="M1302" i="79" s="1"/>
  <c r="J702" i="77"/>
  <c r="F120" i="83" s="1"/>
  <c r="L2389" i="79"/>
  <c r="L2393" i="79" s="1"/>
  <c r="L2408" i="79" s="1"/>
  <c r="L2411" i="79" s="1"/>
  <c r="L2414" i="79" s="1"/>
  <c r="F86" i="83" s="1"/>
  <c r="K2389" i="79"/>
  <c r="K2393" i="79" s="1"/>
  <c r="K2408" i="79" s="1"/>
  <c r="K2411" i="79" s="1"/>
  <c r="K2414" i="79" s="1"/>
  <c r="E86" i="83" s="1"/>
  <c r="O2389" i="79"/>
  <c r="O2393" i="79" s="1"/>
  <c r="O2408" i="79" s="1"/>
  <c r="O2411" i="79" s="1"/>
  <c r="O2414" i="79" s="1"/>
  <c r="I86" i="83" s="1"/>
  <c r="T2389" i="79"/>
  <c r="S2389" i="79"/>
  <c r="R700" i="77"/>
  <c r="N102" i="83" s="1"/>
  <c r="R699" i="77"/>
  <c r="N101" i="83" s="1"/>
  <c r="S369" i="77"/>
  <c r="J700" i="77"/>
  <c r="F102" i="83" s="1"/>
  <c r="G105" i="8"/>
  <c r="G106" i="8" s="1"/>
  <c r="T1307" i="79"/>
  <c r="T1308" i="79" s="1"/>
  <c r="O96" i="8" s="1"/>
  <c r="N84" i="83" s="1"/>
  <c r="P673" i="77"/>
  <c r="M117" i="8" s="1"/>
  <c r="P845" i="79"/>
  <c r="N668" i="77"/>
  <c r="N374" i="77"/>
  <c r="S374" i="77" s="1"/>
  <c r="N672" i="77"/>
  <c r="L1307" i="79"/>
  <c r="L1308" i="79" s="1"/>
  <c r="G96" i="8" s="1"/>
  <c r="M700" i="77"/>
  <c r="I102" i="83" s="1"/>
  <c r="J105" i="8"/>
  <c r="J106" i="8" s="1"/>
  <c r="M699" i="77"/>
  <c r="I101" i="83" s="1"/>
  <c r="P669" i="77"/>
  <c r="S1307" i="79"/>
  <c r="S1308" i="79" s="1"/>
  <c r="N96" i="8" s="1"/>
  <c r="K673" i="77"/>
  <c r="S370" i="77"/>
  <c r="M702" i="77"/>
  <c r="I120" i="83" s="1"/>
  <c r="J117" i="8"/>
  <c r="M701" i="77"/>
  <c r="I119" i="83" s="1"/>
  <c r="G389" i="77"/>
  <c r="G402" i="77" s="1"/>
  <c r="G164" i="77" s="1"/>
  <c r="G165" i="77" s="1"/>
  <c r="G166" i="77" s="1"/>
  <c r="G167" i="77" s="1"/>
  <c r="G152" i="77" s="1"/>
  <c r="G375" i="77"/>
  <c r="M379" i="77"/>
  <c r="M390" i="77" s="1"/>
  <c r="M380" i="77"/>
  <c r="M391" i="77" s="1"/>
  <c r="K389" i="77"/>
  <c r="K375" i="77"/>
  <c r="H673" i="77"/>
  <c r="N373" i="77"/>
  <c r="S373" i="77" s="1"/>
  <c r="N667" i="77"/>
  <c r="N671" i="77"/>
  <c r="P841" i="79"/>
  <c r="P1199" i="79" s="1"/>
  <c r="P1269" i="79" s="1"/>
  <c r="L702" i="77"/>
  <c r="H120" i="83" s="1"/>
  <c r="L701" i="77"/>
  <c r="H119" i="83" s="1"/>
  <c r="I117" i="8"/>
  <c r="O669" i="77"/>
  <c r="K669" i="77"/>
  <c r="R701" i="77"/>
  <c r="N119" i="83" s="1"/>
  <c r="O117" i="8"/>
  <c r="R702" i="77"/>
  <c r="N120" i="83" s="1"/>
  <c r="J379" i="77"/>
  <c r="J390" i="77" s="1"/>
  <c r="J380" i="77"/>
  <c r="J391" i="77" s="1"/>
  <c r="Q379" i="77"/>
  <c r="Q390" i="77" s="1"/>
  <c r="Q380" i="77"/>
  <c r="Q391" i="77" s="1"/>
  <c r="H375" i="77"/>
  <c r="H389" i="77"/>
  <c r="K1307" i="79"/>
  <c r="K1308" i="79" s="1"/>
  <c r="F96" i="8" s="1"/>
  <c r="N117" i="8"/>
  <c r="Q701" i="77"/>
  <c r="M119" i="83" s="1"/>
  <c r="Q702" i="77"/>
  <c r="M120" i="83" s="1"/>
  <c r="Q699" i="77"/>
  <c r="M101" i="83" s="1"/>
  <c r="Q700" i="77"/>
  <c r="M102" i="83" s="1"/>
  <c r="N105" i="8"/>
  <c r="N106" i="8" s="1"/>
  <c r="C843" i="79"/>
  <c r="G843" i="79" s="1"/>
  <c r="G841" i="79"/>
  <c r="O673" i="77"/>
  <c r="L379" i="77"/>
  <c r="L390" i="77" s="1"/>
  <c r="L380" i="77"/>
  <c r="L391" i="77" s="1"/>
  <c r="I379" i="77"/>
  <c r="I390" i="77" s="1"/>
  <c r="I380" i="77"/>
  <c r="I391" i="77" s="1"/>
  <c r="O1307" i="79"/>
  <c r="O1308" i="79" s="1"/>
  <c r="J96" i="8" s="1"/>
  <c r="P837" i="79"/>
  <c r="N666" i="77"/>
  <c r="N372" i="77"/>
  <c r="S372" i="77" s="1"/>
  <c r="N670" i="77"/>
  <c r="F117" i="8"/>
  <c r="I702" i="77"/>
  <c r="E120" i="83" s="1"/>
  <c r="I701" i="77"/>
  <c r="E119" i="83" s="1"/>
  <c r="P389" i="77"/>
  <c r="P375" i="77"/>
  <c r="O375" i="77"/>
  <c r="O389" i="77"/>
  <c r="C845" i="79"/>
  <c r="I699" i="77"/>
  <c r="E101" i="83" s="1"/>
  <c r="F105" i="8"/>
  <c r="F106" i="8" s="1"/>
  <c r="I700" i="77"/>
  <c r="E102" i="83" s="1"/>
  <c r="C837" i="79"/>
  <c r="G673" i="77"/>
  <c r="H669" i="77"/>
  <c r="L699" i="77"/>
  <c r="H101" i="83" s="1"/>
  <c r="I105" i="8"/>
  <c r="I106" i="8" s="1"/>
  <c r="L700" i="77"/>
  <c r="H102" i="83" s="1"/>
  <c r="R379" i="77"/>
  <c r="R390" i="77" s="1"/>
  <c r="R380" i="77"/>
  <c r="R391" i="77" s="1"/>
  <c r="N1307" i="79" l="1"/>
  <c r="N1308" i="79" s="1"/>
  <c r="I96" i="8" s="1"/>
  <c r="I98" i="8" s="1"/>
  <c r="P843" i="79"/>
  <c r="U843" i="79" s="1"/>
  <c r="P1234" i="79"/>
  <c r="P1302" i="79" s="1"/>
  <c r="P847" i="79"/>
  <c r="U847" i="79" s="1"/>
  <c r="P1235" i="79"/>
  <c r="P1303" i="79" s="1"/>
  <c r="U837" i="79"/>
  <c r="P839" i="79"/>
  <c r="P1233" i="79"/>
  <c r="P1301" i="79" s="1"/>
  <c r="I1307" i="79"/>
  <c r="I1308" i="79" s="1"/>
  <c r="D96" i="8" s="1"/>
  <c r="D98" i="8" s="1"/>
  <c r="K2392" i="79"/>
  <c r="K2407" i="79" s="1"/>
  <c r="K2410" i="79" s="1"/>
  <c r="K2413" i="79" s="1"/>
  <c r="E85" i="83" s="1"/>
  <c r="L2392" i="79"/>
  <c r="L2407" i="79" s="1"/>
  <c r="L2410" i="79" s="1"/>
  <c r="L2413" i="79" s="1"/>
  <c r="F85" i="83" s="1"/>
  <c r="J2389" i="79"/>
  <c r="J2392" i="79" s="1"/>
  <c r="J2407" i="79" s="1"/>
  <c r="J2410" i="79" s="1"/>
  <c r="J2413" i="79" s="1"/>
  <c r="D85" i="83" s="1"/>
  <c r="O2392" i="79"/>
  <c r="O2407" i="79" s="1"/>
  <c r="O2410" i="79" s="1"/>
  <c r="O2413" i="79" s="1"/>
  <c r="I85" i="83" s="1"/>
  <c r="R2389" i="79"/>
  <c r="R2392" i="79" s="1"/>
  <c r="R2407" i="79" s="1"/>
  <c r="R2410" i="79" s="1"/>
  <c r="R2413" i="79" s="1"/>
  <c r="L85" i="83" s="1"/>
  <c r="S2393" i="79"/>
  <c r="S2408" i="79" s="1"/>
  <c r="S2411" i="79" s="1"/>
  <c r="S2414" i="79" s="1"/>
  <c r="M86" i="83" s="1"/>
  <c r="S2392" i="79"/>
  <c r="S2407" i="79" s="1"/>
  <c r="S2410" i="79" s="1"/>
  <c r="S2413" i="79" s="1"/>
  <c r="M85" i="83" s="1"/>
  <c r="T2393" i="79"/>
  <c r="T2408" i="79" s="1"/>
  <c r="T2411" i="79" s="1"/>
  <c r="T2414" i="79" s="1"/>
  <c r="N86" i="83" s="1"/>
  <c r="T2392" i="79"/>
  <c r="T2407" i="79" s="1"/>
  <c r="T2410" i="79" s="1"/>
  <c r="T2413" i="79" s="1"/>
  <c r="N85" i="83" s="1"/>
  <c r="N2392" i="79"/>
  <c r="N2407" i="79" s="1"/>
  <c r="N2410" i="79" s="1"/>
  <c r="N2413" i="79" s="1"/>
  <c r="H85" i="83" s="1"/>
  <c r="N2393" i="79"/>
  <c r="N2408" i="79" s="1"/>
  <c r="N2411" i="79" s="1"/>
  <c r="N2414" i="79" s="1"/>
  <c r="H86" i="83" s="1"/>
  <c r="I2389" i="79"/>
  <c r="M2389" i="79"/>
  <c r="Q2389" i="79"/>
  <c r="U845" i="79"/>
  <c r="O98" i="8"/>
  <c r="P702" i="77"/>
  <c r="L120" i="83" s="1"/>
  <c r="P701" i="77"/>
  <c r="L119" i="83" s="1"/>
  <c r="N673" i="77"/>
  <c r="N701" i="77" s="1"/>
  <c r="J119" i="83" s="1"/>
  <c r="Q1307" i="79"/>
  <c r="Q1308" i="79" s="1"/>
  <c r="L96" i="8" s="1"/>
  <c r="K84" i="83" s="1"/>
  <c r="R1307" i="79"/>
  <c r="R1308" i="79" s="1"/>
  <c r="M96" i="8" s="1"/>
  <c r="M98" i="8" s="1"/>
  <c r="E105" i="8"/>
  <c r="E106" i="8" s="1"/>
  <c r="H699" i="77"/>
  <c r="D101" i="83" s="1"/>
  <c r="H700" i="77"/>
  <c r="D102" i="83" s="1"/>
  <c r="P380" i="77"/>
  <c r="P391" i="77" s="1"/>
  <c r="P379" i="77"/>
  <c r="P390" i="77" s="1"/>
  <c r="G183" i="71"/>
  <c r="G702" i="77"/>
  <c r="C120" i="83" s="1"/>
  <c r="D117" i="8"/>
  <c r="G701" i="77"/>
  <c r="C119" i="83" s="1"/>
  <c r="C847" i="79"/>
  <c r="G847" i="79" s="1"/>
  <c r="G845" i="79"/>
  <c r="L117" i="8"/>
  <c r="O702" i="77"/>
  <c r="K120" i="83" s="1"/>
  <c r="O701" i="77"/>
  <c r="K119" i="83" s="1"/>
  <c r="G700" i="77"/>
  <c r="C102" i="83" s="1"/>
  <c r="G699" i="77"/>
  <c r="C101" i="83" s="1"/>
  <c r="K699" i="77"/>
  <c r="G101" i="83" s="1"/>
  <c r="H105" i="8"/>
  <c r="H106" i="8" s="1"/>
  <c r="K700" i="77"/>
  <c r="G102" i="83" s="1"/>
  <c r="K380" i="77"/>
  <c r="K391" i="77" s="1"/>
  <c r="K379" i="77"/>
  <c r="K390" i="77" s="1"/>
  <c r="M84" i="83"/>
  <c r="N98" i="8"/>
  <c r="H380" i="77"/>
  <c r="H391" i="77" s="1"/>
  <c r="H379" i="77"/>
  <c r="H390" i="77" s="1"/>
  <c r="M1307" i="79"/>
  <c r="M1308" i="79" s="1"/>
  <c r="H96" i="8" s="1"/>
  <c r="N389" i="77"/>
  <c r="S389" i="77" s="1"/>
  <c r="N375" i="77"/>
  <c r="F98" i="8"/>
  <c r="E84" i="83"/>
  <c r="O699" i="77"/>
  <c r="K101" i="83" s="1"/>
  <c r="O700" i="77"/>
  <c r="K102" i="83" s="1"/>
  <c r="L105" i="8"/>
  <c r="L106" i="8" s="1"/>
  <c r="H701" i="77"/>
  <c r="D119" i="83" s="1"/>
  <c r="H702" i="77"/>
  <c r="D120" i="83" s="1"/>
  <c r="E117" i="8"/>
  <c r="J1307" i="79"/>
  <c r="J1308" i="79" s="1"/>
  <c r="E96" i="8" s="1"/>
  <c r="G379" i="77"/>
  <c r="G390" i="77" s="1"/>
  <c r="G392" i="77" s="1"/>
  <c r="G174" i="77" s="1"/>
  <c r="G176" i="77" s="1"/>
  <c r="G178" i="77" s="1"/>
  <c r="G179" i="77" s="1"/>
  <c r="G380" i="77"/>
  <c r="G391" i="77" s="1"/>
  <c r="G393" i="77" s="1"/>
  <c r="G175" i="77" s="1"/>
  <c r="G180" i="77" s="1"/>
  <c r="M105" i="8"/>
  <c r="M106" i="8" s="1"/>
  <c r="P700" i="77"/>
  <c r="L102" i="83" s="1"/>
  <c r="P699" i="77"/>
  <c r="L101" i="83" s="1"/>
  <c r="G98" i="8"/>
  <c r="F84" i="83"/>
  <c r="K701" i="77"/>
  <c r="G119" i="83" s="1"/>
  <c r="H117" i="8"/>
  <c r="K702" i="77"/>
  <c r="G120" i="83" s="1"/>
  <c r="G837" i="79"/>
  <c r="C839" i="79"/>
  <c r="G839" i="79" s="1"/>
  <c r="O379" i="77"/>
  <c r="O390" i="77" s="1"/>
  <c r="O380" i="77"/>
  <c r="O391" i="77" s="1"/>
  <c r="N669" i="77"/>
  <c r="I84" i="83"/>
  <c r="J98" i="8"/>
  <c r="U841" i="79"/>
  <c r="E625" i="77"/>
  <c r="G188" i="77"/>
  <c r="G403" i="77" s="1"/>
  <c r="G404" i="77" s="1"/>
  <c r="G405" i="77" s="1"/>
  <c r="G276" i="77" s="1"/>
  <c r="G181" i="77" l="1"/>
  <c r="G183" i="77" s="1"/>
  <c r="O107" i="8"/>
  <c r="N22" i="80" s="1"/>
  <c r="J108" i="8"/>
  <c r="I22" i="10" s="1"/>
  <c r="F108" i="8"/>
  <c r="E22" i="10" s="1"/>
  <c r="I108" i="8"/>
  <c r="H22" i="10" s="1"/>
  <c r="H84" i="83"/>
  <c r="H87" i="83" s="1"/>
  <c r="G281" i="77"/>
  <c r="G848" i="79"/>
  <c r="F87" i="83"/>
  <c r="E87" i="83"/>
  <c r="J2393" i="79"/>
  <c r="J2408" i="79" s="1"/>
  <c r="J2411" i="79" s="1"/>
  <c r="J2414" i="79" s="1"/>
  <c r="D86" i="83" s="1"/>
  <c r="I87" i="83"/>
  <c r="R2393" i="79"/>
  <c r="R2408" i="79" s="1"/>
  <c r="R2411" i="79" s="1"/>
  <c r="R2414" i="79" s="1"/>
  <c r="L86" i="83" s="1"/>
  <c r="N87" i="83"/>
  <c r="M87" i="83"/>
  <c r="M2393" i="79"/>
  <c r="M2408" i="79" s="1"/>
  <c r="M2411" i="79" s="1"/>
  <c r="M2414" i="79" s="1"/>
  <c r="G86" i="83" s="1"/>
  <c r="M2392" i="79"/>
  <c r="M2407" i="79" s="1"/>
  <c r="M2410" i="79" s="1"/>
  <c r="M2413" i="79" s="1"/>
  <c r="G85" i="83" s="1"/>
  <c r="I2393" i="79"/>
  <c r="I2408" i="79" s="1"/>
  <c r="I2411" i="79" s="1"/>
  <c r="I2414" i="79" s="1"/>
  <c r="C86" i="83" s="1"/>
  <c r="I2392" i="79"/>
  <c r="I2407" i="79" s="1"/>
  <c r="I2410" i="79" s="1"/>
  <c r="I2413" i="79" s="1"/>
  <c r="C85" i="83" s="1"/>
  <c r="Q2393" i="79"/>
  <c r="Q2408" i="79" s="1"/>
  <c r="Q2411" i="79" s="1"/>
  <c r="Q2414" i="79" s="1"/>
  <c r="K86" i="83" s="1"/>
  <c r="Q2392" i="79"/>
  <c r="Q2407" i="79" s="1"/>
  <c r="Q2410" i="79" s="1"/>
  <c r="Q2413" i="79" s="1"/>
  <c r="K85" i="83" s="1"/>
  <c r="P2389" i="79"/>
  <c r="L84" i="83"/>
  <c r="O108" i="8"/>
  <c r="N22" i="10" s="1"/>
  <c r="N702" i="77"/>
  <c r="J120" i="83" s="1"/>
  <c r="K117" i="8"/>
  <c r="P117" i="8" s="1"/>
  <c r="L98" i="8"/>
  <c r="F107" i="8"/>
  <c r="E22" i="80" s="1"/>
  <c r="C84" i="83"/>
  <c r="I107" i="8"/>
  <c r="H22" i="80" s="1"/>
  <c r="P1307" i="79"/>
  <c r="P1308" i="79" s="1"/>
  <c r="K96" i="8" s="1"/>
  <c r="J84" i="83" s="1"/>
  <c r="M107" i="8"/>
  <c r="G278" i="77"/>
  <c r="G289" i="77" s="1"/>
  <c r="U839" i="79"/>
  <c r="K105" i="8"/>
  <c r="K106" i="8" s="1"/>
  <c r="N699" i="77"/>
  <c r="J101" i="83" s="1"/>
  <c r="N700" i="77"/>
  <c r="J102" i="83" s="1"/>
  <c r="M108" i="8"/>
  <c r="L22" i="10" s="1"/>
  <c r="G108" i="8"/>
  <c r="F22" i="10" s="1"/>
  <c r="G107" i="8"/>
  <c r="D106" i="8"/>
  <c r="D108" i="8" s="1"/>
  <c r="C22" i="10" s="1"/>
  <c r="N380" i="77"/>
  <c r="N391" i="77" s="1"/>
  <c r="N379" i="77"/>
  <c r="N390" i="77" s="1"/>
  <c r="S375" i="77"/>
  <c r="G84" i="83"/>
  <c r="H98" i="8"/>
  <c r="N107" i="8"/>
  <c r="N108" i="8"/>
  <c r="M22" i="10" s="1"/>
  <c r="J107" i="8"/>
  <c r="E98" i="8"/>
  <c r="D84" i="83"/>
  <c r="L107" i="8" l="1"/>
  <c r="K22" i="80" s="1"/>
  <c r="H108" i="8"/>
  <c r="G22" i="10" s="1"/>
  <c r="G283" i="77"/>
  <c r="G284" i="77" s="1"/>
  <c r="G290" i="77" s="1"/>
  <c r="D87" i="83"/>
  <c r="L87" i="83"/>
  <c r="K87" i="83"/>
  <c r="G87" i="83"/>
  <c r="P2392" i="79"/>
  <c r="P2407" i="79" s="1"/>
  <c r="P2410" i="79" s="1"/>
  <c r="P2413" i="79" s="1"/>
  <c r="J85" i="83" s="1"/>
  <c r="P2393" i="79"/>
  <c r="P2408" i="79" s="1"/>
  <c r="P2411" i="79" s="1"/>
  <c r="P2414" i="79" s="1"/>
  <c r="J86" i="83" s="1"/>
  <c r="C87" i="83"/>
  <c r="L108" i="8"/>
  <c r="K22" i="10" s="1"/>
  <c r="K98" i="8"/>
  <c r="G182" i="77"/>
  <c r="G184" i="77" s="1"/>
  <c r="P96" i="8"/>
  <c r="L22" i="80"/>
  <c r="H107" i="8"/>
  <c r="F22" i="80"/>
  <c r="E108" i="8"/>
  <c r="D22" i="10" s="1"/>
  <c r="I22" i="80"/>
  <c r="P105" i="8"/>
  <c r="E107" i="8"/>
  <c r="M22" i="80"/>
  <c r="D107" i="8"/>
  <c r="P106" i="8"/>
  <c r="G264" i="77"/>
  <c r="G292" i="77"/>
  <c r="G406" i="77" s="1"/>
  <c r="G407" i="77" s="1"/>
  <c r="G408" i="77" s="1"/>
  <c r="G340" i="77" s="1"/>
  <c r="G154" i="77" l="1"/>
  <c r="G185" i="77"/>
  <c r="K107" i="8"/>
  <c r="J22" i="80" s="1"/>
  <c r="G291" i="77"/>
  <c r="G268" i="77" s="1"/>
  <c r="G269" i="77" s="1"/>
  <c r="G265" i="77"/>
  <c r="G266" i="77" s="1"/>
  <c r="J87" i="83"/>
  <c r="P98" i="8"/>
  <c r="P108" i="8" s="1"/>
  <c r="O22" i="10" s="1"/>
  <c r="K108" i="8"/>
  <c r="J22" i="10" s="1"/>
  <c r="G22" i="80"/>
  <c r="G153" i="77"/>
  <c r="G156" i="77" s="1"/>
  <c r="G186" i="77"/>
  <c r="D22" i="80"/>
  <c r="C22" i="80"/>
  <c r="G327" i="77"/>
  <c r="G343" i="77"/>
  <c r="G345" i="77" s="1"/>
  <c r="G346" i="77" s="1"/>
  <c r="G347" i="77" s="1"/>
  <c r="G349" i="77"/>
  <c r="G409" i="77" s="1"/>
  <c r="G410" i="77" s="1"/>
  <c r="P107" i="8" l="1"/>
  <c r="G464" i="77"/>
  <c r="H20" i="25"/>
  <c r="G463" i="77"/>
  <c r="G187" i="77"/>
  <c r="G489" i="77" s="1"/>
  <c r="G490" i="77" s="1"/>
  <c r="E626" i="77"/>
  <c r="G155" i="77"/>
  <c r="G348" i="77"/>
  <c r="G332" i="77" s="1"/>
  <c r="G333" i="77" s="1"/>
  <c r="G328" i="77"/>
  <c r="G329" i="77" s="1"/>
  <c r="G331" i="77"/>
  <c r="G465" i="77" s="1"/>
  <c r="O22" i="80"/>
  <c r="H402" i="77"/>
  <c r="H164" i="77" s="1"/>
  <c r="H165" i="77" s="1"/>
  <c r="H166" i="77" s="1"/>
  <c r="H167" i="77" s="1"/>
  <c r="H152" i="77" s="1"/>
  <c r="E647" i="77"/>
  <c r="G411" i="77"/>
  <c r="H392" i="77" s="1"/>
  <c r="G412" i="77"/>
  <c r="H393" i="77" s="1"/>
  <c r="G683" i="77" l="1"/>
  <c r="G158" i="77"/>
  <c r="G159" i="77" s="1"/>
  <c r="G466" i="77"/>
  <c r="G467" i="77" s="1"/>
  <c r="G684" i="77"/>
  <c r="H188" i="77"/>
  <c r="H403" i="77" s="1"/>
  <c r="H404" i="77" s="1"/>
  <c r="H405" i="77" s="1"/>
  <c r="H276" i="77" s="1"/>
  <c r="H281" i="77" s="1"/>
  <c r="H283" i="77" s="1"/>
  <c r="H174" i="77"/>
  <c r="H176" i="77" s="1"/>
  <c r="H178" i="77" s="1"/>
  <c r="H179" i="77" s="1"/>
  <c r="H625" i="77"/>
  <c r="H175" i="77"/>
  <c r="H180" i="77" s="1"/>
  <c r="G492" i="77"/>
  <c r="G494" i="77" s="1"/>
  <c r="G496" i="77" s="1"/>
  <c r="G491" i="77"/>
  <c r="H181" i="77" l="1"/>
  <c r="H183" i="77" s="1"/>
  <c r="G469" i="77"/>
  <c r="G471" i="77" s="1"/>
  <c r="G473" i="77" s="1"/>
  <c r="G475" i="77" s="1"/>
  <c r="H460" i="77" s="1"/>
  <c r="G685" i="77"/>
  <c r="G686" i="77" s="1"/>
  <c r="G501" i="77"/>
  <c r="G502" i="77"/>
  <c r="G498" i="77"/>
  <c r="H278" i="77"/>
  <c r="H289" i="77" s="1"/>
  <c r="H284" i="77"/>
  <c r="H290" i="77" s="1"/>
  <c r="G468" i="77"/>
  <c r="H182" i="77" l="1"/>
  <c r="G478" i="77"/>
  <c r="G655" i="77" s="1"/>
  <c r="G657" i="77" s="1"/>
  <c r="D116" i="8" s="1"/>
  <c r="C27" i="80" s="1"/>
  <c r="G479" i="77"/>
  <c r="G659" i="77" s="1"/>
  <c r="C27" i="10" s="1"/>
  <c r="G687" i="77"/>
  <c r="G689" i="77"/>
  <c r="G476" i="77"/>
  <c r="H461" i="77" s="1"/>
  <c r="H184" i="77"/>
  <c r="H185" i="77" s="1"/>
  <c r="G499" i="77"/>
  <c r="H487" i="77" s="1"/>
  <c r="H486" i="77"/>
  <c r="H291" i="77"/>
  <c r="H268" i="77" s="1"/>
  <c r="H265" i="77"/>
  <c r="H292" i="77"/>
  <c r="H406" i="77" s="1"/>
  <c r="H407" i="77" s="1"/>
  <c r="H264" i="77"/>
  <c r="G688" i="77" l="1"/>
  <c r="G691" i="77" s="1"/>
  <c r="C116" i="83" s="1"/>
  <c r="H266" i="77"/>
  <c r="D120" i="8"/>
  <c r="D152" i="8" s="1"/>
  <c r="D189" i="8" s="1"/>
  <c r="C34" i="80"/>
  <c r="C48" i="80" s="1"/>
  <c r="C50" i="80" s="1"/>
  <c r="H464" i="77"/>
  <c r="H269" i="77"/>
  <c r="H408" i="77"/>
  <c r="H340" i="77" s="1"/>
  <c r="H186" i="77"/>
  <c r="H154" i="77"/>
  <c r="G690" i="77" l="1"/>
  <c r="C115" i="83" s="1"/>
  <c r="C117" i="83" s="1"/>
  <c r="H463" i="77"/>
  <c r="H155" i="77"/>
  <c r="H187" i="77"/>
  <c r="H489" i="77" s="1"/>
  <c r="H153" i="77"/>
  <c r="C51" i="80"/>
  <c r="C55" i="80"/>
  <c r="H327" i="77"/>
  <c r="H349" i="77"/>
  <c r="H409" i="77" s="1"/>
  <c r="H410" i="77" s="1"/>
  <c r="H343" i="77"/>
  <c r="H345" i="77" s="1"/>
  <c r="H346" i="77" s="1"/>
  <c r="H347" i="77" s="1"/>
  <c r="D191" i="8"/>
  <c r="C42" i="10" l="1"/>
  <c r="C47" i="80"/>
  <c r="D206" i="8"/>
  <c r="H490" i="77"/>
  <c r="H492" i="77" s="1"/>
  <c r="H494" i="77" s="1"/>
  <c r="H496" i="77" s="1"/>
  <c r="H328" i="77"/>
  <c r="H329" i="77" s="1"/>
  <c r="H331" i="77"/>
  <c r="H465" i="77" s="1"/>
  <c r="H348" i="77"/>
  <c r="H332" i="77" s="1"/>
  <c r="H333" i="77" s="1"/>
  <c r="H158" i="77"/>
  <c r="C58" i="80"/>
  <c r="C59" i="80" s="1"/>
  <c r="C56" i="80"/>
  <c r="C63" i="80"/>
  <c r="F647" i="77"/>
  <c r="I402" i="77"/>
  <c r="H412" i="77"/>
  <c r="I393" i="77" s="1"/>
  <c r="H411" i="77"/>
  <c r="I392" i="77" s="1"/>
  <c r="H626" i="77"/>
  <c r="H156" i="77"/>
  <c r="H683" i="77"/>
  <c r="C43" i="10" l="1"/>
  <c r="H684" i="77"/>
  <c r="H159" i="77"/>
  <c r="H466" i="77"/>
  <c r="H502" i="77"/>
  <c r="H498" i="77"/>
  <c r="H499" i="77" s="1"/>
  <c r="I487" i="77" s="1"/>
  <c r="I164" i="77"/>
  <c r="I165" i="77" s="1"/>
  <c r="I166" i="77" s="1"/>
  <c r="I167" i="77" s="1"/>
  <c r="I152" i="77" s="1"/>
  <c r="C68" i="80"/>
  <c r="C69" i="80" s="1"/>
  <c r="C64" i="80"/>
  <c r="H491" i="77"/>
  <c r="H501" i="77"/>
  <c r="H689" i="77" s="1"/>
  <c r="C45" i="10" l="1"/>
  <c r="C47" i="10" s="1"/>
  <c r="C51" i="10" s="1"/>
  <c r="H467" i="77"/>
  <c r="H469" i="77" s="1"/>
  <c r="H471" i="77" s="1"/>
  <c r="H473" i="77" s="1"/>
  <c r="H479" i="77" s="1"/>
  <c r="H685" i="77"/>
  <c r="H686" i="77" s="1"/>
  <c r="I486" i="77"/>
  <c r="I174" i="77"/>
  <c r="I176" i="77" s="1"/>
  <c r="I178" i="77" s="1"/>
  <c r="I179" i="77" s="1"/>
  <c r="I175" i="77"/>
  <c r="I180" i="77" s="1"/>
  <c r="K625" i="77"/>
  <c r="I188" i="77"/>
  <c r="I403" i="77" s="1"/>
  <c r="I404" i="77" s="1"/>
  <c r="I181" i="77" l="1"/>
  <c r="I183" i="77" s="1"/>
  <c r="C52" i="10"/>
  <c r="C56" i="10"/>
  <c r="C61" i="10" s="1"/>
  <c r="H478" i="77"/>
  <c r="H688" i="77" s="1"/>
  <c r="H475" i="77"/>
  <c r="I460" i="77" s="1"/>
  <c r="H468" i="77"/>
  <c r="H659" i="77"/>
  <c r="D27" i="10" s="1"/>
  <c r="H687" i="77"/>
  <c r="I405" i="77"/>
  <c r="I276" i="77" s="1"/>
  <c r="I281" i="77" s="1"/>
  <c r="I283" i="77" s="1"/>
  <c r="C62" i="10" l="1"/>
  <c r="C57" i="10"/>
  <c r="H691" i="77"/>
  <c r="D116" i="83" s="1"/>
  <c r="H690" i="77"/>
  <c r="D115" i="83" s="1"/>
  <c r="H655" i="77"/>
  <c r="H657" i="77" s="1"/>
  <c r="E116" i="8" s="1"/>
  <c r="E120" i="8" s="1"/>
  <c r="E152" i="8" s="1"/>
  <c r="E189" i="8" s="1"/>
  <c r="E191" i="8" s="1"/>
  <c r="D47" i="80" s="1"/>
  <c r="H476" i="77"/>
  <c r="I461" i="77" s="1"/>
  <c r="I278" i="77"/>
  <c r="I289" i="77" s="1"/>
  <c r="I284" i="77"/>
  <c r="I290" i="77" s="1"/>
  <c r="I182" i="77"/>
  <c r="D117" i="83" l="1"/>
  <c r="D27" i="80"/>
  <c r="D34" i="80" s="1"/>
  <c r="D48" i="80" s="1"/>
  <c r="D50" i="80" s="1"/>
  <c r="D55" i="80" s="1"/>
  <c r="I184" i="77"/>
  <c r="I291" i="77"/>
  <c r="I268" i="77" s="1"/>
  <c r="I265" i="77"/>
  <c r="E206" i="8"/>
  <c r="D42" i="10"/>
  <c r="D43" i="10" s="1"/>
  <c r="D45" i="10" s="1"/>
  <c r="I292" i="77"/>
  <c r="I406" i="77" s="1"/>
  <c r="I407" i="77" s="1"/>
  <c r="I264" i="77"/>
  <c r="I154" i="77" l="1"/>
  <c r="I185" i="77"/>
  <c r="D51" i="80"/>
  <c r="I153" i="77"/>
  <c r="K626" i="77" s="1"/>
  <c r="I186" i="77"/>
  <c r="I463" i="77" s="1"/>
  <c r="I266" i="77"/>
  <c r="I464" i="77"/>
  <c r="I269" i="77"/>
  <c r="I408" i="77"/>
  <c r="I340" i="77" s="1"/>
  <c r="D47" i="10"/>
  <c r="D63" i="80"/>
  <c r="D58" i="80"/>
  <c r="D59" i="80" s="1"/>
  <c r="D56" i="80"/>
  <c r="D51" i="10" l="1"/>
  <c r="D56" i="10" s="1"/>
  <c r="I155" i="77"/>
  <c r="I156" i="77"/>
  <c r="I187" i="77"/>
  <c r="I489" i="77" s="1"/>
  <c r="D68" i="80"/>
  <c r="D69" i="80" s="1"/>
  <c r="D64" i="80"/>
  <c r="I349" i="77"/>
  <c r="I409" i="77" s="1"/>
  <c r="I410" i="77" s="1"/>
  <c r="I327" i="77"/>
  <c r="I343" i="77"/>
  <c r="I345" i="77" s="1"/>
  <c r="I346" i="77" s="1"/>
  <c r="I347" i="77" s="1"/>
  <c r="I683" i="77"/>
  <c r="I490" i="77" l="1"/>
  <c r="I491" i="77" s="1"/>
  <c r="D52" i="10"/>
  <c r="I158" i="77"/>
  <c r="I159" i="77" s="1"/>
  <c r="J402" i="77"/>
  <c r="G647" i="77"/>
  <c r="I412" i="77"/>
  <c r="J393" i="77" s="1"/>
  <c r="I411" i="77"/>
  <c r="J392" i="77" s="1"/>
  <c r="I348" i="77"/>
  <c r="I332" i="77" s="1"/>
  <c r="I333" i="77" s="1"/>
  <c r="I328" i="77"/>
  <c r="I329" i="77" s="1"/>
  <c r="I331" i="77"/>
  <c r="I465" i="77" s="1"/>
  <c r="D61" i="10"/>
  <c r="D57" i="10"/>
  <c r="I492" i="77" l="1"/>
  <c r="I494" i="77" s="1"/>
  <c r="I496" i="77" s="1"/>
  <c r="I498" i="77" s="1"/>
  <c r="D62" i="10"/>
  <c r="J164" i="77"/>
  <c r="J165" i="77" s="1"/>
  <c r="J166" i="77" s="1"/>
  <c r="J167" i="77" s="1"/>
  <c r="J152" i="77" s="1"/>
  <c r="I684" i="77"/>
  <c r="I466" i="77"/>
  <c r="I501" i="77" l="1"/>
  <c r="I689" i="77" s="1"/>
  <c r="I502" i="77"/>
  <c r="J486" i="77"/>
  <c r="I499" i="77"/>
  <c r="J487" i="77" s="1"/>
  <c r="I467" i="77"/>
  <c r="I685" i="77"/>
  <c r="I686" i="77" s="1"/>
  <c r="N625" i="77"/>
  <c r="J188" i="77"/>
  <c r="J403" i="77" s="1"/>
  <c r="J404" i="77" s="1"/>
  <c r="J175" i="77"/>
  <c r="J180" i="77" s="1"/>
  <c r="J174" i="77"/>
  <c r="J176" i="77" s="1"/>
  <c r="J178" i="77" s="1"/>
  <c r="J179" i="77" s="1"/>
  <c r="J181" i="77" l="1"/>
  <c r="J183" i="77" s="1"/>
  <c r="I687" i="77"/>
  <c r="I469" i="77"/>
  <c r="I471" i="77" s="1"/>
  <c r="I473" i="77" s="1"/>
  <c r="I468" i="77"/>
  <c r="J405" i="77"/>
  <c r="J276" i="77" s="1"/>
  <c r="J281" i="77" s="1"/>
  <c r="I478" i="77" l="1"/>
  <c r="J182" i="77"/>
  <c r="J283" i="77"/>
  <c r="J284" i="77" s="1"/>
  <c r="J290" i="77" s="1"/>
  <c r="J278" i="77"/>
  <c r="J289" i="77" s="1"/>
  <c r="I479" i="77"/>
  <c r="I475" i="77"/>
  <c r="I659" i="77" l="1"/>
  <c r="E27" i="10" s="1"/>
  <c r="I688" i="77"/>
  <c r="I655" i="77"/>
  <c r="I657" i="77" s="1"/>
  <c r="F116" i="8" s="1"/>
  <c r="F120" i="8" s="1"/>
  <c r="F152" i="8" s="1"/>
  <c r="F189" i="8" s="1"/>
  <c r="J184" i="77"/>
  <c r="I476" i="77"/>
  <c r="J460" i="77"/>
  <c r="J264" i="77"/>
  <c r="J292" i="77"/>
  <c r="J406" i="77" s="1"/>
  <c r="J407" i="77" s="1"/>
  <c r="J291" i="77"/>
  <c r="J268" i="77" s="1"/>
  <c r="J265" i="77"/>
  <c r="J186" i="77" l="1"/>
  <c r="J463" i="77" s="1"/>
  <c r="J185" i="77"/>
  <c r="I691" i="77"/>
  <c r="E116" i="83" s="1"/>
  <c r="I690" i="77"/>
  <c r="E115" i="83" s="1"/>
  <c r="J187" i="77"/>
  <c r="J489" i="77" s="1"/>
  <c r="E27" i="80"/>
  <c r="E34" i="80" s="1"/>
  <c r="E48" i="80" s="1"/>
  <c r="E50" i="80" s="1"/>
  <c r="E51" i="80" s="1"/>
  <c r="J154" i="77"/>
  <c r="F191" i="8"/>
  <c r="J408" i="77"/>
  <c r="J340" i="77" s="1"/>
  <c r="J266" i="77"/>
  <c r="J464" i="77"/>
  <c r="J269" i="77"/>
  <c r="J461" i="77"/>
  <c r="E42" i="10" l="1"/>
  <c r="E43" i="10" s="1"/>
  <c r="E47" i="80"/>
  <c r="E117" i="83"/>
  <c r="J153" i="77"/>
  <c r="N626" i="77" s="1"/>
  <c r="J155" i="77"/>
  <c r="E55" i="80"/>
  <c r="E58" i="80" s="1"/>
  <c r="E59" i="80" s="1"/>
  <c r="J158" i="77"/>
  <c r="F206" i="8"/>
  <c r="J683" i="77"/>
  <c r="J343" i="77"/>
  <c r="J345" i="77" s="1"/>
  <c r="J346" i="77" s="1"/>
  <c r="J347" i="77" s="1"/>
  <c r="J349" i="77"/>
  <c r="J409" i="77" s="1"/>
  <c r="J410" i="77" s="1"/>
  <c r="J327" i="77"/>
  <c r="J490" i="77"/>
  <c r="J492" i="77" s="1"/>
  <c r="J494" i="77" s="1"/>
  <c r="J496" i="77" s="1"/>
  <c r="J502" i="77" s="1"/>
  <c r="E45" i="10" l="1"/>
  <c r="J156" i="77"/>
  <c r="E56" i="80"/>
  <c r="E63" i="80"/>
  <c r="E68" i="80" s="1"/>
  <c r="E69" i="80" s="1"/>
  <c r="J159" i="77"/>
  <c r="J348" i="77"/>
  <c r="J332" i="77" s="1"/>
  <c r="J333" i="77" s="1"/>
  <c r="J331" i="77"/>
  <c r="J465" i="77" s="1"/>
  <c r="J328" i="77"/>
  <c r="J329" i="77" s="1"/>
  <c r="J491" i="77"/>
  <c r="J501" i="77"/>
  <c r="J689" i="77" s="1"/>
  <c r="J498" i="77"/>
  <c r="J412" i="77"/>
  <c r="K393" i="77" s="1"/>
  <c r="J411" i="77"/>
  <c r="K392" i="77" s="1"/>
  <c r="H647" i="77"/>
  <c r="K402" i="77"/>
  <c r="E47" i="10" l="1"/>
  <c r="E64" i="80"/>
  <c r="K164" i="77"/>
  <c r="K165" i="77" s="1"/>
  <c r="K166" i="77" s="1"/>
  <c r="K167" i="77" s="1"/>
  <c r="K152" i="77" s="1"/>
  <c r="K486" i="77"/>
  <c r="J499" i="77"/>
  <c r="K487" i="77" s="1"/>
  <c r="J684" i="77"/>
  <c r="J466" i="77"/>
  <c r="E51" i="10" l="1"/>
  <c r="E56" i="10" s="1"/>
  <c r="J467" i="77"/>
  <c r="J469" i="77" s="1"/>
  <c r="J471" i="77" s="1"/>
  <c r="J473" i="77" s="1"/>
  <c r="J479" i="77" s="1"/>
  <c r="J685" i="77"/>
  <c r="J686" i="77" s="1"/>
  <c r="Q625" i="77"/>
  <c r="K174" i="77"/>
  <c r="K176" i="77" s="1"/>
  <c r="K178" i="77" s="1"/>
  <c r="K179" i="77" s="1"/>
  <c r="K188" i="77"/>
  <c r="K403" i="77" s="1"/>
  <c r="K404" i="77" s="1"/>
  <c r="K175" i="77"/>
  <c r="K180" i="77" s="1"/>
  <c r="K181" i="77" l="1"/>
  <c r="K183" i="77" s="1"/>
  <c r="E52" i="10"/>
  <c r="E57" i="10"/>
  <c r="E61" i="10"/>
  <c r="J659" i="77"/>
  <c r="F27" i="10" s="1"/>
  <c r="J468" i="77"/>
  <c r="J478" i="77"/>
  <c r="K405" i="77"/>
  <c r="K276" i="77" s="1"/>
  <c r="K281" i="77" s="1"/>
  <c r="J475" i="77"/>
  <c r="J687" i="77"/>
  <c r="E62" i="10" l="1"/>
  <c r="K182" i="77"/>
  <c r="K460" i="77"/>
  <c r="J476" i="77"/>
  <c r="J688" i="77"/>
  <c r="J655" i="77"/>
  <c r="J657" i="77" s="1"/>
  <c r="G116" i="8" s="1"/>
  <c r="K278" i="77"/>
  <c r="K289" i="77" s="1"/>
  <c r="K283" i="77"/>
  <c r="K284" i="77" s="1"/>
  <c r="K290" i="77" s="1"/>
  <c r="J690" i="77" l="1"/>
  <c r="F115" i="83" s="1"/>
  <c r="J691" i="77"/>
  <c r="F116" i="83" s="1"/>
  <c r="K184" i="77"/>
  <c r="K291" i="77"/>
  <c r="K268" i="77" s="1"/>
  <c r="K265" i="77"/>
  <c r="K292" i="77"/>
  <c r="K406" i="77" s="1"/>
  <c r="K407" i="77" s="1"/>
  <c r="K264" i="77"/>
  <c r="K461" i="77"/>
  <c r="G120" i="8"/>
  <c r="G152" i="8" s="1"/>
  <c r="G189" i="8" s="1"/>
  <c r="G191" i="8" s="1"/>
  <c r="F47" i="80" s="1"/>
  <c r="F27" i="80"/>
  <c r="F34" i="80" s="1"/>
  <c r="F48" i="80" s="1"/>
  <c r="F50" i="80" s="1"/>
  <c r="K153" i="77" l="1"/>
  <c r="K185" i="77"/>
  <c r="K154" i="77"/>
  <c r="F117" i="83"/>
  <c r="K186" i="77"/>
  <c r="K463" i="77" s="1"/>
  <c r="G206" i="8"/>
  <c r="F42" i="10"/>
  <c r="F43" i="10" s="1"/>
  <c r="F55" i="80"/>
  <c r="F51" i="80"/>
  <c r="K266" i="77"/>
  <c r="K408" i="77"/>
  <c r="K340" i="77" s="1"/>
  <c r="Q626" i="77"/>
  <c r="K156" i="77"/>
  <c r="K155" i="77"/>
  <c r="K187" i="77"/>
  <c r="K489" i="77" s="1"/>
  <c r="K269" i="77"/>
  <c r="K464" i="77"/>
  <c r="K349" i="77" l="1"/>
  <c r="K409" i="77" s="1"/>
  <c r="K410" i="77" s="1"/>
  <c r="K343" i="77"/>
  <c r="K345" i="77" s="1"/>
  <c r="K346" i="77" s="1"/>
  <c r="K347" i="77" s="1"/>
  <c r="K327" i="77"/>
  <c r="K683" i="77"/>
  <c r="K158" i="77"/>
  <c r="F63" i="80"/>
  <c r="F58" i="80"/>
  <c r="F59" i="80" s="1"/>
  <c r="F56" i="80"/>
  <c r="F45" i="10"/>
  <c r="K490" i="77"/>
  <c r="F47" i="10" l="1"/>
  <c r="K159" i="77"/>
  <c r="F68" i="80"/>
  <c r="F69" i="80" s="1"/>
  <c r="F64" i="80"/>
  <c r="K328" i="77"/>
  <c r="K329" i="77" s="1"/>
  <c r="K348" i="77"/>
  <c r="K332" i="77" s="1"/>
  <c r="K333" i="77" s="1"/>
  <c r="K331" i="77"/>
  <c r="K465" i="77" s="1"/>
  <c r="K492" i="77"/>
  <c r="K494" i="77" s="1"/>
  <c r="K496" i="77" s="1"/>
  <c r="K491" i="77"/>
  <c r="I647" i="77"/>
  <c r="K411" i="77"/>
  <c r="L392" i="77" s="1"/>
  <c r="L402" i="77"/>
  <c r="L164" i="77" s="1"/>
  <c r="L165" i="77" s="1"/>
  <c r="L166" i="77" s="1"/>
  <c r="L167" i="77" s="1"/>
  <c r="L152" i="77" s="1"/>
  <c r="K412" i="77"/>
  <c r="L393" i="77" s="1"/>
  <c r="F51" i="10" l="1"/>
  <c r="F56" i="10" s="1"/>
  <c r="F57" i="10" s="1"/>
  <c r="K501" i="77"/>
  <c r="K689" i="77" s="1"/>
  <c r="K684" i="77"/>
  <c r="K466" i="77"/>
  <c r="L174" i="77"/>
  <c r="L176" i="77" s="1"/>
  <c r="L178" i="77" s="1"/>
  <c r="L179" i="77" s="1"/>
  <c r="T625" i="77"/>
  <c r="L175" i="77"/>
  <c r="L180" i="77" s="1"/>
  <c r="L188" i="77"/>
  <c r="L403" i="77" s="1"/>
  <c r="L404" i="77" s="1"/>
  <c r="L405" i="77" s="1"/>
  <c r="L276" i="77" s="1"/>
  <c r="L281" i="77" s="1"/>
  <c r="K502" i="77"/>
  <c r="K498" i="77"/>
  <c r="L181" i="77" l="1"/>
  <c r="L183" i="77" s="1"/>
  <c r="F52" i="10"/>
  <c r="F61" i="10"/>
  <c r="L278" i="77"/>
  <c r="L289" i="77" s="1"/>
  <c r="L283" i="77"/>
  <c r="L284" i="77" s="1"/>
  <c r="L290" i="77" s="1"/>
  <c r="K685" i="77"/>
  <c r="K686" i="77" s="1"/>
  <c r="K467" i="77"/>
  <c r="K469" i="77" s="1"/>
  <c r="K471" i="77" s="1"/>
  <c r="K473" i="77" s="1"/>
  <c r="L486" i="77"/>
  <c r="K499" i="77"/>
  <c r="L487" i="77" s="1"/>
  <c r="F62" i="10" l="1"/>
  <c r="K479" i="77"/>
  <c r="K659" i="77" s="1"/>
  <c r="G27" i="10" s="1"/>
  <c r="K475" i="77"/>
  <c r="L265" i="77"/>
  <c r="L291" i="77"/>
  <c r="L268" i="77" s="1"/>
  <c r="K687" i="77"/>
  <c r="L264" i="77"/>
  <c r="L292" i="77"/>
  <c r="L406" i="77" s="1"/>
  <c r="L407" i="77" s="1"/>
  <c r="L408" i="77" s="1"/>
  <c r="L340" i="77" s="1"/>
  <c r="K468" i="77"/>
  <c r="K478" i="77"/>
  <c r="L182" i="77"/>
  <c r="L464" i="77" l="1"/>
  <c r="L269" i="77"/>
  <c r="L343" i="77"/>
  <c r="L345" i="77" s="1"/>
  <c r="L346" i="77" s="1"/>
  <c r="L347" i="77" s="1"/>
  <c r="L327" i="77"/>
  <c r="L349" i="77"/>
  <c r="L409" i="77" s="1"/>
  <c r="L410" i="77" s="1"/>
  <c r="L184" i="77"/>
  <c r="L185" i="77" s="1"/>
  <c r="L266" i="77"/>
  <c r="L460" i="77"/>
  <c r="K476" i="77"/>
  <c r="K688" i="77"/>
  <c r="K655" i="77"/>
  <c r="K657" i="77" s="1"/>
  <c r="H116" i="8" s="1"/>
  <c r="K691" i="77" l="1"/>
  <c r="G116" i="83" s="1"/>
  <c r="K690" i="77"/>
  <c r="G115" i="83" s="1"/>
  <c r="L328" i="77"/>
  <c r="L329" i="77" s="1"/>
  <c r="L348" i="77"/>
  <c r="L332" i="77" s="1"/>
  <c r="L333" i="77" s="1"/>
  <c r="L331" i="77"/>
  <c r="L465" i="77" s="1"/>
  <c r="L684" i="77" s="1"/>
  <c r="L186" i="77"/>
  <c r="L154" i="77"/>
  <c r="H120" i="8"/>
  <c r="H152" i="8" s="1"/>
  <c r="H189" i="8" s="1"/>
  <c r="H191" i="8" s="1"/>
  <c r="G47" i="80" s="1"/>
  <c r="G27" i="80"/>
  <c r="G34" i="80" s="1"/>
  <c r="G48" i="80" s="1"/>
  <c r="G50" i="80" s="1"/>
  <c r="L411" i="77"/>
  <c r="M392" i="77" s="1"/>
  <c r="M402" i="77"/>
  <c r="M164" i="77" s="1"/>
  <c r="M165" i="77" s="1"/>
  <c r="M166" i="77" s="1"/>
  <c r="M167" i="77" s="1"/>
  <c r="M152" i="77" s="1"/>
  <c r="L412" i="77"/>
  <c r="M393" i="77" s="1"/>
  <c r="J647" i="77"/>
  <c r="L461" i="77"/>
  <c r="G117" i="83" l="1"/>
  <c r="M174" i="77"/>
  <c r="M176" i="77" s="1"/>
  <c r="M178" i="77" s="1"/>
  <c r="M179" i="77" s="1"/>
  <c r="W625" i="77"/>
  <c r="M175" i="77"/>
  <c r="M180" i="77" s="1"/>
  <c r="M188" i="77"/>
  <c r="M403" i="77" s="1"/>
  <c r="M404" i="77" s="1"/>
  <c r="M405" i="77" s="1"/>
  <c r="M276" i="77" s="1"/>
  <c r="M281" i="77" s="1"/>
  <c r="L187" i="77"/>
  <c r="L489" i="77" s="1"/>
  <c r="L155" i="77"/>
  <c r="L153" i="77"/>
  <c r="G55" i="80"/>
  <c r="G51" i="80"/>
  <c r="L463" i="77"/>
  <c r="H206" i="8"/>
  <c r="G42" i="10"/>
  <c r="G43" i="10" s="1"/>
  <c r="M181" i="77" l="1"/>
  <c r="M183" i="77" s="1"/>
  <c r="M283" i="77"/>
  <c r="M284" i="77" s="1"/>
  <c r="M290" i="77" s="1"/>
  <c r="M278" i="77"/>
  <c r="M289" i="77" s="1"/>
  <c r="G45" i="10"/>
  <c r="G47" i="10" s="1"/>
  <c r="L683" i="77"/>
  <c r="L466" i="77"/>
  <c r="G63" i="80"/>
  <c r="G58" i="80"/>
  <c r="G59" i="80" s="1"/>
  <c r="G56" i="80"/>
  <c r="L490" i="77"/>
  <c r="T626" i="77"/>
  <c r="L156" i="77"/>
  <c r="L158" i="77"/>
  <c r="G51" i="10" l="1"/>
  <c r="G56" i="10" s="1"/>
  <c r="L159" i="77"/>
  <c r="M182" i="77"/>
  <c r="G68" i="80"/>
  <c r="G69" i="80" s="1"/>
  <c r="G64" i="80"/>
  <c r="L492" i="77"/>
  <c r="L494" i="77" s="1"/>
  <c r="L496" i="77" s="1"/>
  <c r="L491" i="77"/>
  <c r="L685" i="77"/>
  <c r="L687" i="77" s="1"/>
  <c r="L467" i="77"/>
  <c r="L469" i="77" s="1"/>
  <c r="L471" i="77" s="1"/>
  <c r="L473" i="77" s="1"/>
  <c r="M292" i="77"/>
  <c r="M406" i="77" s="1"/>
  <c r="M407" i="77" s="1"/>
  <c r="M408" i="77" s="1"/>
  <c r="M340" i="77" s="1"/>
  <c r="M264" i="77"/>
  <c r="M265" i="77"/>
  <c r="M291" i="77"/>
  <c r="M268" i="77" s="1"/>
  <c r="G52" i="10" l="1"/>
  <c r="L686" i="77"/>
  <c r="L501" i="77"/>
  <c r="L689" i="77" s="1"/>
  <c r="M266" i="77"/>
  <c r="L479" i="77"/>
  <c r="L475" i="77"/>
  <c r="M349" i="77"/>
  <c r="M409" i="77" s="1"/>
  <c r="M410" i="77" s="1"/>
  <c r="M343" i="77"/>
  <c r="M345" i="77" s="1"/>
  <c r="M346" i="77" s="1"/>
  <c r="M347" i="77" s="1"/>
  <c r="M327" i="77"/>
  <c r="L468" i="77"/>
  <c r="L478" i="77"/>
  <c r="L688" i="77" s="1"/>
  <c r="L502" i="77"/>
  <c r="L498" i="77"/>
  <c r="M464" i="77"/>
  <c r="M269" i="77"/>
  <c r="G61" i="10"/>
  <c r="G57" i="10"/>
  <c r="M184" i="77"/>
  <c r="M185" i="77" s="1"/>
  <c r="G62" i="10" l="1"/>
  <c r="L691" i="77"/>
  <c r="H116" i="83" s="1"/>
  <c r="L690" i="77"/>
  <c r="H115" i="83" s="1"/>
  <c r="M331" i="77"/>
  <c r="M465" i="77" s="1"/>
  <c r="M684" i="77" s="1"/>
  <c r="M348" i="77"/>
  <c r="M332" i="77" s="1"/>
  <c r="M333" i="77" s="1"/>
  <c r="M328" i="77"/>
  <c r="M329" i="77" s="1"/>
  <c r="M486" i="77"/>
  <c r="L499" i="77"/>
  <c r="M487" i="77" s="1"/>
  <c r="K647" i="77"/>
  <c r="M411" i="77"/>
  <c r="N392" i="77" s="1"/>
  <c r="M412" i="77"/>
  <c r="N393" i="77" s="1"/>
  <c r="N402" i="77"/>
  <c r="N164" i="77" s="1"/>
  <c r="N165" i="77" s="1"/>
  <c r="N166" i="77" s="1"/>
  <c r="N167" i="77" s="1"/>
  <c r="N152" i="77" s="1"/>
  <c r="M186" i="77"/>
  <c r="M154" i="77"/>
  <c r="L655" i="77"/>
  <c r="L657" i="77" s="1"/>
  <c r="I116" i="8" s="1"/>
  <c r="M460" i="77"/>
  <c r="L476" i="77"/>
  <c r="L659" i="77"/>
  <c r="H27" i="10" s="1"/>
  <c r="H117" i="83" l="1"/>
  <c r="M461" i="77"/>
  <c r="M463" i="77"/>
  <c r="I120" i="8"/>
  <c r="I152" i="8" s="1"/>
  <c r="I189" i="8" s="1"/>
  <c r="I191" i="8" s="1"/>
  <c r="H47" i="80" s="1"/>
  <c r="H27" i="80"/>
  <c r="H34" i="80" s="1"/>
  <c r="H48" i="80" s="1"/>
  <c r="H50" i="80" s="1"/>
  <c r="Z625" i="77"/>
  <c r="N188" i="77"/>
  <c r="N403" i="77" s="1"/>
  <c r="N404" i="77" s="1"/>
  <c r="N405" i="77" s="1"/>
  <c r="N276" i="77" s="1"/>
  <c r="N281" i="77" s="1"/>
  <c r="N174" i="77"/>
  <c r="N176" i="77" s="1"/>
  <c r="N178" i="77" s="1"/>
  <c r="N179" i="77" s="1"/>
  <c r="N175" i="77"/>
  <c r="N180" i="77" s="1"/>
  <c r="M187" i="77"/>
  <c r="M489" i="77" s="1"/>
  <c r="M490" i="77" s="1"/>
  <c r="M155" i="77"/>
  <c r="M153" i="77"/>
  <c r="N181" i="77" l="1"/>
  <c r="N183" i="77" s="1"/>
  <c r="N283" i="77"/>
  <c r="N284" i="77" s="1"/>
  <c r="N290" i="77" s="1"/>
  <c r="N278" i="77"/>
  <c r="N289" i="77" s="1"/>
  <c r="M158" i="77"/>
  <c r="W626" i="77"/>
  <c r="M156" i="77"/>
  <c r="M683" i="77"/>
  <c r="M466" i="77"/>
  <c r="M492" i="77"/>
  <c r="M494" i="77" s="1"/>
  <c r="M496" i="77" s="1"/>
  <c r="M502" i="77" s="1"/>
  <c r="M491" i="77"/>
  <c r="H55" i="80"/>
  <c r="H51" i="80"/>
  <c r="I206" i="8"/>
  <c r="H42" i="10"/>
  <c r="H43" i="10" s="1"/>
  <c r="M159" i="77" l="1"/>
  <c r="H63" i="80"/>
  <c r="H58" i="80"/>
  <c r="H59" i="80" s="1"/>
  <c r="H56" i="80"/>
  <c r="M467" i="77"/>
  <c r="M685" i="77"/>
  <c r="M687" i="77" s="1"/>
  <c r="N182" i="77"/>
  <c r="N292" i="77"/>
  <c r="N406" i="77" s="1"/>
  <c r="N407" i="77" s="1"/>
  <c r="N408" i="77" s="1"/>
  <c r="N340" i="77" s="1"/>
  <c r="N264" i="77"/>
  <c r="H45" i="10"/>
  <c r="M498" i="77"/>
  <c r="M501" i="77"/>
  <c r="M689" i="77" s="1"/>
  <c r="N265" i="77"/>
  <c r="N291" i="77"/>
  <c r="N268" i="77" s="1"/>
  <c r="H47" i="10" l="1"/>
  <c r="H51" i="10" s="1"/>
  <c r="M686" i="77"/>
  <c r="N184" i="77"/>
  <c r="N266" i="77"/>
  <c r="M468" i="77"/>
  <c r="N327" i="77"/>
  <c r="N343" i="77"/>
  <c r="N345" i="77" s="1"/>
  <c r="N346" i="77" s="1"/>
  <c r="N347" i="77" s="1"/>
  <c r="N349" i="77"/>
  <c r="N409" i="77" s="1"/>
  <c r="N410" i="77" s="1"/>
  <c r="N464" i="77"/>
  <c r="N269" i="77"/>
  <c r="M469" i="77"/>
  <c r="M471" i="77" s="1"/>
  <c r="M473" i="77" s="1"/>
  <c r="N486" i="77"/>
  <c r="M499" i="77"/>
  <c r="N487" i="77" s="1"/>
  <c r="H68" i="80"/>
  <c r="H69" i="80" s="1"/>
  <c r="H64" i="80"/>
  <c r="N154" i="77" l="1"/>
  <c r="N185" i="77"/>
  <c r="H56" i="10"/>
  <c r="H57" i="10" s="1"/>
  <c r="H52" i="10"/>
  <c r="N155" i="77"/>
  <c r="N186" i="77"/>
  <c r="N463" i="77" s="1"/>
  <c r="M479" i="77"/>
  <c r="M659" i="77" s="1"/>
  <c r="I27" i="10" s="1"/>
  <c r="M475" i="77"/>
  <c r="N412" i="77"/>
  <c r="O393" i="77" s="1"/>
  <c r="L647" i="77"/>
  <c r="O402" i="77"/>
  <c r="O164" i="77" s="1"/>
  <c r="O165" i="77" s="1"/>
  <c r="O166" i="77" s="1"/>
  <c r="O167" i="77" s="1"/>
  <c r="O152" i="77" s="1"/>
  <c r="N411" i="77"/>
  <c r="O392" i="77" s="1"/>
  <c r="N348" i="77"/>
  <c r="N332" i="77" s="1"/>
  <c r="N333" i="77" s="1"/>
  <c r="N331" i="77"/>
  <c r="N465" i="77" s="1"/>
  <c r="N684" i="77" s="1"/>
  <c r="N328" i="77"/>
  <c r="N329" i="77" s="1"/>
  <c r="M478" i="77"/>
  <c r="H61" i="10" l="1"/>
  <c r="H62" i="10" s="1"/>
  <c r="N153" i="77"/>
  <c r="Z626" i="77" s="1"/>
  <c r="N187" i="77"/>
  <c r="N489" i="77" s="1"/>
  <c r="N490" i="77" s="1"/>
  <c r="N492" i="77" s="1"/>
  <c r="N494" i="77" s="1"/>
  <c r="N496" i="77" s="1"/>
  <c r="N683" i="77"/>
  <c r="N466" i="77"/>
  <c r="N460" i="77"/>
  <c r="M476" i="77"/>
  <c r="O175" i="77"/>
  <c r="O180" i="77" s="1"/>
  <c r="O174" i="77"/>
  <c r="O176" i="77" s="1"/>
  <c r="O178" i="77" s="1"/>
  <c r="O179" i="77" s="1"/>
  <c r="AC625" i="77"/>
  <c r="O188" i="77"/>
  <c r="O403" i="77" s="1"/>
  <c r="O404" i="77" s="1"/>
  <c r="O405" i="77" s="1"/>
  <c r="O276" i="77" s="1"/>
  <c r="O281" i="77" s="1"/>
  <c r="M688" i="77"/>
  <c r="M655" i="77"/>
  <c r="M657" i="77" s="1"/>
  <c r="J116" i="8" s="1"/>
  <c r="O181" i="77" l="1"/>
  <c r="O183" i="77" s="1"/>
  <c r="N156" i="77"/>
  <c r="N158" i="77"/>
  <c r="N159" i="77" s="1"/>
  <c r="M691" i="77"/>
  <c r="I116" i="83" s="1"/>
  <c r="M690" i="77"/>
  <c r="I115" i="83" s="1"/>
  <c r="N502" i="77"/>
  <c r="N498" i="77"/>
  <c r="O283" i="77"/>
  <c r="O284" i="77" s="1"/>
  <c r="O290" i="77" s="1"/>
  <c r="O278" i="77"/>
  <c r="O289" i="77" s="1"/>
  <c r="I27" i="80"/>
  <c r="I34" i="80" s="1"/>
  <c r="I48" i="80" s="1"/>
  <c r="I50" i="80" s="1"/>
  <c r="J120" i="8"/>
  <c r="J152" i="8" s="1"/>
  <c r="J189" i="8" s="1"/>
  <c r="J191" i="8" s="1"/>
  <c r="I47" i="80" s="1"/>
  <c r="N461" i="77"/>
  <c r="N685" i="77"/>
  <c r="N687" i="77" s="1"/>
  <c r="N467" i="77"/>
  <c r="N469" i="77" s="1"/>
  <c r="N471" i="77" s="1"/>
  <c r="N473" i="77" s="1"/>
  <c r="N491" i="77"/>
  <c r="N501" i="77"/>
  <c r="N689" i="77" s="1"/>
  <c r="I117" i="83" l="1"/>
  <c r="N479" i="77"/>
  <c r="N659" i="77" s="1"/>
  <c r="J27" i="10" s="1"/>
  <c r="N475" i="77"/>
  <c r="O182" i="77"/>
  <c r="O265" i="77"/>
  <c r="O291" i="77"/>
  <c r="O268" i="77" s="1"/>
  <c r="J206" i="8"/>
  <c r="I42" i="10"/>
  <c r="I43" i="10" s="1"/>
  <c r="N686" i="77"/>
  <c r="N468" i="77"/>
  <c r="N478" i="77"/>
  <c r="N688" i="77" s="1"/>
  <c r="I55" i="80"/>
  <c r="I51" i="80"/>
  <c r="N499" i="77"/>
  <c r="O487" i="77" s="1"/>
  <c r="O486" i="77"/>
  <c r="O292" i="77"/>
  <c r="O406" i="77" s="1"/>
  <c r="O407" i="77" s="1"/>
  <c r="O408" i="77" s="1"/>
  <c r="O340" i="77" s="1"/>
  <c r="O264" i="77"/>
  <c r="N690" i="77" l="1"/>
  <c r="J115" i="83" s="1"/>
  <c r="N691" i="77"/>
  <c r="J116" i="83" s="1"/>
  <c r="N655" i="77"/>
  <c r="N657" i="77" s="1"/>
  <c r="K116" i="8" s="1"/>
  <c r="J27" i="80" s="1"/>
  <c r="J34" i="80" s="1"/>
  <c r="J48" i="80" s="1"/>
  <c r="J50" i="80" s="1"/>
  <c r="J55" i="80" s="1"/>
  <c r="O266" i="77"/>
  <c r="I58" i="80"/>
  <c r="I59" i="80" s="1"/>
  <c r="I63" i="80"/>
  <c r="I56" i="80"/>
  <c r="I45" i="10"/>
  <c r="I47" i="10" s="1"/>
  <c r="I51" i="10" s="1"/>
  <c r="O184" i="77"/>
  <c r="O185" i="77" s="1"/>
  <c r="O269" i="77"/>
  <c r="O464" i="77"/>
  <c r="O460" i="77"/>
  <c r="N476" i="77"/>
  <c r="O349" i="77"/>
  <c r="O409" i="77" s="1"/>
  <c r="O410" i="77" s="1"/>
  <c r="O343" i="77"/>
  <c r="O345" i="77" s="1"/>
  <c r="O346" i="77" s="1"/>
  <c r="O347" i="77" s="1"/>
  <c r="O327" i="77"/>
  <c r="J117" i="83" l="1"/>
  <c r="K120" i="8"/>
  <c r="K152" i="8" s="1"/>
  <c r="K189" i="8" s="1"/>
  <c r="K191" i="8" s="1"/>
  <c r="J51" i="80"/>
  <c r="J56" i="80"/>
  <c r="P402" i="77"/>
  <c r="P164" i="77" s="1"/>
  <c r="P165" i="77" s="1"/>
  <c r="P166" i="77" s="1"/>
  <c r="P167" i="77" s="1"/>
  <c r="P152" i="77" s="1"/>
  <c r="M647" i="77"/>
  <c r="O411" i="77"/>
  <c r="P392" i="77" s="1"/>
  <c r="O412" i="77"/>
  <c r="P393" i="77" s="1"/>
  <c r="I68" i="80"/>
  <c r="I69" i="80" s="1"/>
  <c r="I64" i="80"/>
  <c r="O186" i="77"/>
  <c r="O154" i="77"/>
  <c r="O461" i="77"/>
  <c r="I56" i="10"/>
  <c r="I52" i="10"/>
  <c r="O328" i="77"/>
  <c r="O329" i="77" s="1"/>
  <c r="O331" i="77"/>
  <c r="O465" i="77" s="1"/>
  <c r="O684" i="77" s="1"/>
  <c r="O348" i="77"/>
  <c r="O332" i="77" s="1"/>
  <c r="O333" i="77" s="1"/>
  <c r="J58" i="80"/>
  <c r="J59" i="80" s="1"/>
  <c r="J63" i="80"/>
  <c r="J68" i="80" s="1"/>
  <c r="J42" i="10" l="1"/>
  <c r="J43" i="10" s="1"/>
  <c r="J47" i="80"/>
  <c r="K206" i="8"/>
  <c r="J69" i="80"/>
  <c r="O153" i="77"/>
  <c r="O187" i="77"/>
  <c r="O489" i="77" s="1"/>
  <c r="O155" i="77"/>
  <c r="I57" i="10"/>
  <c r="I61" i="10"/>
  <c r="I62" i="10" s="1"/>
  <c r="J64" i="80"/>
  <c r="O463" i="77"/>
  <c r="P175" i="77"/>
  <c r="P180" i="77" s="1"/>
  <c r="P174" i="77"/>
  <c r="P176" i="77" s="1"/>
  <c r="P178" i="77" s="1"/>
  <c r="P179" i="77" s="1"/>
  <c r="AF625" i="77"/>
  <c r="P188" i="77"/>
  <c r="P403" i="77" s="1"/>
  <c r="P404" i="77" s="1"/>
  <c r="P405" i="77" s="1"/>
  <c r="P276" i="77" s="1"/>
  <c r="P281" i="77" s="1"/>
  <c r="P181" i="77" l="1"/>
  <c r="P183" i="77" s="1"/>
  <c r="J45" i="10"/>
  <c r="O683" i="77"/>
  <c r="O466" i="77"/>
  <c r="O490" i="77"/>
  <c r="AC626" i="77"/>
  <c r="O156" i="77"/>
  <c r="P283" i="77"/>
  <c r="P284" i="77" s="1"/>
  <c r="P290" i="77" s="1"/>
  <c r="P278" i="77"/>
  <c r="P289" i="77" s="1"/>
  <c r="O158" i="77"/>
  <c r="J47" i="10" l="1"/>
  <c r="J51" i="10" s="1"/>
  <c r="O159" i="77"/>
  <c r="P291" i="77"/>
  <c r="P268" i="77" s="1"/>
  <c r="P265" i="77"/>
  <c r="O492" i="77"/>
  <c r="O494" i="77" s="1"/>
  <c r="O496" i="77" s="1"/>
  <c r="O491" i="77"/>
  <c r="O467" i="77"/>
  <c r="O469" i="77" s="1"/>
  <c r="O471" i="77" s="1"/>
  <c r="O473" i="77" s="1"/>
  <c r="O479" i="77" s="1"/>
  <c r="O685" i="77"/>
  <c r="O687" i="77" s="1"/>
  <c r="P292" i="77"/>
  <c r="P406" i="77" s="1"/>
  <c r="P407" i="77" s="1"/>
  <c r="P408" i="77" s="1"/>
  <c r="P340" i="77" s="1"/>
  <c r="P264" i="77"/>
  <c r="P182" i="77"/>
  <c r="J56" i="10" l="1"/>
  <c r="J57" i="10" s="1"/>
  <c r="J52" i="10"/>
  <c r="P266" i="77"/>
  <c r="O502" i="77"/>
  <c r="O659" i="77" s="1"/>
  <c r="K27" i="10" s="1"/>
  <c r="O498" i="77"/>
  <c r="P343" i="77"/>
  <c r="P345" i="77" s="1"/>
  <c r="P346" i="77" s="1"/>
  <c r="P347" i="77" s="1"/>
  <c r="P327" i="77"/>
  <c r="P349" i="77"/>
  <c r="P409" i="77" s="1"/>
  <c r="P410" i="77" s="1"/>
  <c r="O468" i="77"/>
  <c r="O478" i="77"/>
  <c r="O688" i="77" s="1"/>
  <c r="O686" i="77"/>
  <c r="P184" i="77"/>
  <c r="P185" i="77" s="1"/>
  <c r="O475" i="77"/>
  <c r="O501" i="77"/>
  <c r="O689" i="77" s="1"/>
  <c r="P464" i="77"/>
  <c r="P269" i="77"/>
  <c r="J61" i="10" l="1"/>
  <c r="J62" i="10" s="1"/>
  <c r="O691" i="77"/>
  <c r="K116" i="83" s="1"/>
  <c r="O690" i="77"/>
  <c r="K115" i="83" s="1"/>
  <c r="O655" i="77"/>
  <c r="O657" i="77" s="1"/>
  <c r="L116" i="8" s="1"/>
  <c r="K27" i="80" s="1"/>
  <c r="K34" i="80" s="1"/>
  <c r="K48" i="80" s="1"/>
  <c r="K50" i="80" s="1"/>
  <c r="P460" i="77"/>
  <c r="O476" i="77"/>
  <c r="P348" i="77"/>
  <c r="P332" i="77" s="1"/>
  <c r="P333" i="77" s="1"/>
  <c r="P328" i="77"/>
  <c r="P329" i="77" s="1"/>
  <c r="P331" i="77"/>
  <c r="P465" i="77" s="1"/>
  <c r="P684" i="77" s="1"/>
  <c r="P186" i="77"/>
  <c r="P154" i="77"/>
  <c r="P486" i="77"/>
  <c r="O499" i="77"/>
  <c r="P487" i="77" s="1"/>
  <c r="Q402" i="77"/>
  <c r="Q164" i="77" s="1"/>
  <c r="Q165" i="77" s="1"/>
  <c r="Q166" i="77" s="1"/>
  <c r="Q167" i="77" s="1"/>
  <c r="Q152" i="77" s="1"/>
  <c r="P412" i="77"/>
  <c r="Q393" i="77" s="1"/>
  <c r="N647" i="77"/>
  <c r="P411" i="77"/>
  <c r="Q392" i="77" s="1"/>
  <c r="K117" i="83" l="1"/>
  <c r="L120" i="8"/>
  <c r="L152" i="8" s="1"/>
  <c r="L189" i="8" s="1"/>
  <c r="L191" i="8" s="1"/>
  <c r="K55" i="80"/>
  <c r="K51" i="80"/>
  <c r="P187" i="77"/>
  <c r="P489" i="77" s="1"/>
  <c r="P490" i="77" s="1"/>
  <c r="P155" i="77"/>
  <c r="P153" i="77"/>
  <c r="P461" i="77"/>
  <c r="Q175" i="77"/>
  <c r="Q180" i="77" s="1"/>
  <c r="Q188" i="77"/>
  <c r="Q403" i="77" s="1"/>
  <c r="Q404" i="77" s="1"/>
  <c r="Q405" i="77" s="1"/>
  <c r="Q276" i="77" s="1"/>
  <c r="Q281" i="77" s="1"/>
  <c r="AI625" i="77"/>
  <c r="Q174" i="77"/>
  <c r="Q176" i="77" s="1"/>
  <c r="Q178" i="77" s="1"/>
  <c r="Q179" i="77" s="1"/>
  <c r="P463" i="77"/>
  <c r="Q181" i="77" l="1"/>
  <c r="Q183" i="77" s="1"/>
  <c r="K42" i="10"/>
  <c r="K43" i="10" s="1"/>
  <c r="K47" i="80"/>
  <c r="L206" i="8"/>
  <c r="P158" i="77"/>
  <c r="AF626" i="77"/>
  <c r="P156" i="77"/>
  <c r="K56" i="80"/>
  <c r="K58" i="80"/>
  <c r="K59" i="80" s="1"/>
  <c r="K63" i="80"/>
  <c r="P683" i="77"/>
  <c r="P466" i="77"/>
  <c r="Q278" i="77"/>
  <c r="Q289" i="77" s="1"/>
  <c r="Q283" i="77"/>
  <c r="Q284" i="77" s="1"/>
  <c r="Q290" i="77" s="1"/>
  <c r="P492" i="77"/>
  <c r="P494" i="77" s="1"/>
  <c r="P496" i="77" s="1"/>
  <c r="P502" i="77" s="1"/>
  <c r="P491" i="77"/>
  <c r="K45" i="10" l="1"/>
  <c r="P159" i="77"/>
  <c r="P501" i="77"/>
  <c r="P689" i="77" s="1"/>
  <c r="Q265" i="77"/>
  <c r="Q291" i="77"/>
  <c r="Q268" i="77" s="1"/>
  <c r="K68" i="80"/>
  <c r="K69" i="80" s="1"/>
  <c r="K64" i="80"/>
  <c r="Q292" i="77"/>
  <c r="Q406" i="77" s="1"/>
  <c r="Q407" i="77" s="1"/>
  <c r="Q408" i="77" s="1"/>
  <c r="Q340" i="77" s="1"/>
  <c r="Q264" i="77"/>
  <c r="P498" i="77"/>
  <c r="P467" i="77"/>
  <c r="P469" i="77" s="1"/>
  <c r="P471" i="77" s="1"/>
  <c r="P473" i="77" s="1"/>
  <c r="P479" i="77" s="1"/>
  <c r="P659" i="77" s="1"/>
  <c r="L27" i="10" s="1"/>
  <c r="P685" i="77"/>
  <c r="P687" i="77" s="1"/>
  <c r="Q182" i="77"/>
  <c r="K47" i="10" l="1"/>
  <c r="K51" i="10" s="1"/>
  <c r="Q266" i="77"/>
  <c r="Q184" i="77"/>
  <c r="Q185" i="77" s="1"/>
  <c r="P468" i="77"/>
  <c r="P478" i="77"/>
  <c r="P686" i="77"/>
  <c r="P475" i="77"/>
  <c r="P499" i="77"/>
  <c r="Q487" i="77" s="1"/>
  <c r="Q486" i="77"/>
  <c r="Q464" i="77"/>
  <c r="Q269" i="77"/>
  <c r="Q349" i="77"/>
  <c r="Q409" i="77" s="1"/>
  <c r="Q410" i="77" s="1"/>
  <c r="Q343" i="77"/>
  <c r="Q345" i="77" s="1"/>
  <c r="Q346" i="77" s="1"/>
  <c r="Q347" i="77" s="1"/>
  <c r="Q327" i="77"/>
  <c r="K52" i="10" l="1"/>
  <c r="K56" i="10"/>
  <c r="P688" i="77"/>
  <c r="P655" i="77"/>
  <c r="P657" i="77" s="1"/>
  <c r="M116" i="8" s="1"/>
  <c r="Q348" i="77"/>
  <c r="Q332" i="77" s="1"/>
  <c r="Q333" i="77" s="1"/>
  <c r="Q328" i="77"/>
  <c r="Q329" i="77" s="1"/>
  <c r="Q331" i="77"/>
  <c r="Q465" i="77" s="1"/>
  <c r="Q684" i="77" s="1"/>
  <c r="Q411" i="77"/>
  <c r="R392" i="77" s="1"/>
  <c r="Q412" i="77"/>
  <c r="R393" i="77" s="1"/>
  <c r="O647" i="77"/>
  <c r="R402" i="77"/>
  <c r="Q460" i="77"/>
  <c r="P476" i="77"/>
  <c r="Q154" i="77"/>
  <c r="Q186" i="77"/>
  <c r="K61" i="10" l="1"/>
  <c r="K62" i="10" s="1"/>
  <c r="K57" i="10"/>
  <c r="Q461" i="77"/>
  <c r="P691" i="77"/>
  <c r="L116" i="83" s="1"/>
  <c r="P690" i="77"/>
  <c r="L115" i="83" s="1"/>
  <c r="L27" i="80"/>
  <c r="L34" i="80" s="1"/>
  <c r="L48" i="80" s="1"/>
  <c r="L50" i="80" s="1"/>
  <c r="M120" i="8"/>
  <c r="M152" i="8" s="1"/>
  <c r="M189" i="8" s="1"/>
  <c r="M191" i="8" s="1"/>
  <c r="L47" i="80" s="1"/>
  <c r="Q153" i="77"/>
  <c r="Q187" i="77"/>
  <c r="Q489" i="77" s="1"/>
  <c r="Q155" i="77"/>
  <c r="Q463" i="77"/>
  <c r="R164" i="77"/>
  <c r="R165" i="77" s="1"/>
  <c r="R166" i="77" s="1"/>
  <c r="R167" i="77" s="1"/>
  <c r="R152" i="77" s="1"/>
  <c r="L117" i="83" l="1"/>
  <c r="R188" i="77"/>
  <c r="R403" i="77" s="1"/>
  <c r="R175" i="77"/>
  <c r="R180" i="77" s="1"/>
  <c r="R174" i="77"/>
  <c r="R176" i="77" s="1"/>
  <c r="R178" i="77" s="1"/>
  <c r="R179" i="77" s="1"/>
  <c r="AL625" i="77"/>
  <c r="S152" i="77"/>
  <c r="Q490" i="77"/>
  <c r="Q158" i="77"/>
  <c r="AI626" i="77"/>
  <c r="Q156" i="77"/>
  <c r="Q683" i="77"/>
  <c r="Q466" i="77"/>
  <c r="M206" i="8"/>
  <c r="L42" i="10"/>
  <c r="L43" i="10" s="1"/>
  <c r="L55" i="80"/>
  <c r="L51" i="80"/>
  <c r="R181" i="77" l="1"/>
  <c r="R183" i="77" s="1"/>
  <c r="Q159" i="77"/>
  <c r="Q685" i="77"/>
  <c r="Q687" i="77" s="1"/>
  <c r="Q467" i="77"/>
  <c r="Q469" i="77" s="1"/>
  <c r="Q471" i="77" s="1"/>
  <c r="Q473" i="77" s="1"/>
  <c r="L63" i="80"/>
  <c r="L56" i="80"/>
  <c r="L58" i="80"/>
  <c r="L59" i="80" s="1"/>
  <c r="L45" i="10"/>
  <c r="L47" i="10" s="1"/>
  <c r="L51" i="10" s="1"/>
  <c r="Q492" i="77"/>
  <c r="Q494" i="77" s="1"/>
  <c r="Q496" i="77" s="1"/>
  <c r="Q491" i="77"/>
  <c r="S403" i="77"/>
  <c r="E621" i="64" s="1"/>
  <c r="R404" i="77"/>
  <c r="Q686" i="77" l="1"/>
  <c r="Q479" i="77"/>
  <c r="Q475" i="77"/>
  <c r="L52" i="10"/>
  <c r="L56" i="10"/>
  <c r="Q501" i="77"/>
  <c r="Q689" i="77" s="1"/>
  <c r="Q468" i="77"/>
  <c r="Q478" i="77"/>
  <c r="Q688" i="77" s="1"/>
  <c r="S404" i="77"/>
  <c r="R405" i="77"/>
  <c r="R276" i="77" s="1"/>
  <c r="R281" i="77" s="1"/>
  <c r="Q502" i="77"/>
  <c r="Q498" i="77"/>
  <c r="R182" i="77"/>
  <c r="L64" i="80"/>
  <c r="L68" i="80"/>
  <c r="L69" i="80" s="1"/>
  <c r="Q691" i="77" l="1"/>
  <c r="M116" i="83" s="1"/>
  <c r="Q690" i="77"/>
  <c r="M115" i="83" s="1"/>
  <c r="R184" i="77"/>
  <c r="Q655" i="77"/>
  <c r="Q657" i="77" s="1"/>
  <c r="N116" i="8" s="1"/>
  <c r="M27" i="80" s="1"/>
  <c r="M34" i="80" s="1"/>
  <c r="M48" i="80" s="1"/>
  <c r="M50" i="80" s="1"/>
  <c r="Q499" i="77"/>
  <c r="R487" i="77" s="1"/>
  <c r="R486" i="77"/>
  <c r="L57" i="10"/>
  <c r="L61" i="10"/>
  <c r="L62" i="10" s="1"/>
  <c r="Q476" i="77"/>
  <c r="R460" i="77"/>
  <c r="R283" i="77"/>
  <c r="R284" i="77" s="1"/>
  <c r="R290" i="77" s="1"/>
  <c r="R278" i="77"/>
  <c r="R289" i="77" s="1"/>
  <c r="Q659" i="77"/>
  <c r="M27" i="10" s="1"/>
  <c r="R154" i="77" l="1"/>
  <c r="R185" i="77"/>
  <c r="R461" i="77"/>
  <c r="M117" i="83"/>
  <c r="R153" i="77"/>
  <c r="AL626" i="77" s="1"/>
  <c r="S184" i="77"/>
  <c r="R186" i="77"/>
  <c r="S186" i="77" s="1"/>
  <c r="N120" i="8"/>
  <c r="N152" i="8" s="1"/>
  <c r="N189" i="8" s="1"/>
  <c r="N191" i="8" s="1"/>
  <c r="M55" i="80"/>
  <c r="M51" i="80"/>
  <c r="R264" i="77"/>
  <c r="R292" i="77"/>
  <c r="R406" i="77" s="1"/>
  <c r="R265" i="77"/>
  <c r="S265" i="77" s="1"/>
  <c r="R291" i="77"/>
  <c r="R268" i="77" s="1"/>
  <c r="S153" i="77" l="1"/>
  <c r="M42" i="10"/>
  <c r="M43" i="10" s="1"/>
  <c r="M47" i="80"/>
  <c r="R187" i="77"/>
  <c r="R489" i="77" s="1"/>
  <c r="G160" i="71" s="1"/>
  <c r="S185" i="77"/>
  <c r="R156" i="77"/>
  <c r="S156" i="77" s="1"/>
  <c r="R155" i="77"/>
  <c r="R463" i="77"/>
  <c r="N206" i="8"/>
  <c r="R464" i="77"/>
  <c r="M63" i="80"/>
  <c r="M58" i="80"/>
  <c r="M59" i="80" s="1"/>
  <c r="M56" i="80"/>
  <c r="S406" i="77"/>
  <c r="R407" i="77"/>
  <c r="R266" i="77"/>
  <c r="S266" i="77" s="1"/>
  <c r="S264" i="77"/>
  <c r="G162" i="71" l="1"/>
  <c r="S187" i="77"/>
  <c r="M45" i="10"/>
  <c r="R158" i="77"/>
  <c r="S158" i="77" s="1"/>
  <c r="G168" i="71" s="1"/>
  <c r="C63" i="71" s="1"/>
  <c r="S463" i="77"/>
  <c r="R683" i="77"/>
  <c r="S464" i="77"/>
  <c r="R408" i="77"/>
  <c r="R340" i="77" s="1"/>
  <c r="S407" i="77"/>
  <c r="E622" i="64"/>
  <c r="I621" i="64" s="1"/>
  <c r="R490" i="77"/>
  <c r="M64" i="80"/>
  <c r="M68" i="80"/>
  <c r="M69" i="80" s="1"/>
  <c r="R269" i="77"/>
  <c r="S268" i="77"/>
  <c r="C62" i="61" l="1"/>
  <c r="G163" i="71"/>
  <c r="C64" i="61" s="1"/>
  <c r="M47" i="10"/>
  <c r="M51" i="10" s="1"/>
  <c r="S159" i="77"/>
  <c r="R159" i="77"/>
  <c r="R492" i="77"/>
  <c r="R494" i="77" s="1"/>
  <c r="R496" i="77" s="1"/>
  <c r="S496" i="77" s="1"/>
  <c r="R491" i="77"/>
  <c r="E623" i="64"/>
  <c r="I622" i="64" s="1"/>
  <c r="R343" i="77"/>
  <c r="R345" i="77" s="1"/>
  <c r="R346" i="77" s="1"/>
  <c r="R347" i="77" s="1"/>
  <c r="R349" i="77"/>
  <c r="R409" i="77" s="1"/>
  <c r="R327" i="77"/>
  <c r="M56" i="10" l="1"/>
  <c r="M61" i="10" s="1"/>
  <c r="M62" i="10" s="1"/>
  <c r="M52" i="10"/>
  <c r="R501" i="77"/>
  <c r="S409" i="77"/>
  <c r="E624" i="64" s="1"/>
  <c r="I623" i="64" s="1"/>
  <c r="R410" i="77"/>
  <c r="R328" i="77"/>
  <c r="S328" i="77" s="1"/>
  <c r="R348" i="77"/>
  <c r="R331" i="77"/>
  <c r="R502" i="77"/>
  <c r="S502" i="77" s="1"/>
  <c r="R498" i="77"/>
  <c r="R499" i="77" s="1"/>
  <c r="S327" i="77"/>
  <c r="M57" i="10" l="1"/>
  <c r="C80" i="80"/>
  <c r="D80" i="80" s="1"/>
  <c r="D81" i="80" s="1"/>
  <c r="N28" i="80" s="1"/>
  <c r="I145" i="61"/>
  <c r="S501" i="77"/>
  <c r="R689" i="77"/>
  <c r="R332" i="77"/>
  <c r="S348" i="77"/>
  <c r="R329" i="77"/>
  <c r="S329" i="77" s="1"/>
  <c r="R411" i="77"/>
  <c r="G186" i="71"/>
  <c r="R412" i="77"/>
  <c r="P647" i="77"/>
  <c r="S331" i="77"/>
  <c r="R465" i="77"/>
  <c r="S465" i="77" s="1"/>
  <c r="I624" i="64"/>
  <c r="J623" i="64" s="1"/>
  <c r="F634" i="64" s="1"/>
  <c r="F663" i="64" s="1"/>
  <c r="G131" i="64" s="1"/>
  <c r="N634" i="64" l="1"/>
  <c r="N663" i="64" s="1"/>
  <c r="O131" i="64" s="1"/>
  <c r="M634" i="64"/>
  <c r="M663" i="64" s="1"/>
  <c r="N131" i="64" s="1"/>
  <c r="O634" i="64"/>
  <c r="O663" i="64" s="1"/>
  <c r="P131" i="64" s="1"/>
  <c r="J634" i="64"/>
  <c r="J663" i="64" s="1"/>
  <c r="K131" i="64" s="1"/>
  <c r="P634" i="64"/>
  <c r="P663" i="64" s="1"/>
  <c r="Q131" i="64" s="1"/>
  <c r="K634" i="64"/>
  <c r="K663" i="64" s="1"/>
  <c r="L131" i="64" s="1"/>
  <c r="G634" i="64"/>
  <c r="G663" i="64" s="1"/>
  <c r="H131" i="64" s="1"/>
  <c r="L634" i="64"/>
  <c r="L663" i="64" s="1"/>
  <c r="M131" i="64" s="1"/>
  <c r="Q634" i="64"/>
  <c r="Q663" i="64" s="1"/>
  <c r="R131" i="64" s="1"/>
  <c r="I634" i="64"/>
  <c r="I663" i="64" s="1"/>
  <c r="J131" i="64" s="1"/>
  <c r="H634" i="64"/>
  <c r="H663" i="64" s="1"/>
  <c r="I131" i="64" s="1"/>
  <c r="N17" i="80"/>
  <c r="J621" i="64"/>
  <c r="F632" i="64" s="1"/>
  <c r="J622" i="64"/>
  <c r="F633" i="64" s="1"/>
  <c r="R684" i="77"/>
  <c r="R466" i="77"/>
  <c r="S466" i="77" s="1"/>
  <c r="S332" i="77"/>
  <c r="R333" i="77"/>
  <c r="S333" i="77" s="1"/>
  <c r="G212" i="71" s="1"/>
  <c r="C90" i="71" s="1"/>
  <c r="M633" i="64" l="1"/>
  <c r="M662" i="64" s="1"/>
  <c r="N130" i="64" s="1"/>
  <c r="L633" i="64"/>
  <c r="L662" i="64" s="1"/>
  <c r="M130" i="64" s="1"/>
  <c r="G633" i="64"/>
  <c r="G662" i="64" s="1"/>
  <c r="H130" i="64" s="1"/>
  <c r="N633" i="64"/>
  <c r="N662" i="64" s="1"/>
  <c r="O130" i="64" s="1"/>
  <c r="I633" i="64"/>
  <c r="I662" i="64" s="1"/>
  <c r="J130" i="64" s="1"/>
  <c r="H633" i="64"/>
  <c r="H662" i="64" s="1"/>
  <c r="I130" i="64" s="1"/>
  <c r="J633" i="64"/>
  <c r="J662" i="64" s="1"/>
  <c r="K130" i="64" s="1"/>
  <c r="Q633" i="64"/>
  <c r="Q662" i="64" s="1"/>
  <c r="R130" i="64" s="1"/>
  <c r="O633" i="64"/>
  <c r="O662" i="64" s="1"/>
  <c r="P130" i="64" s="1"/>
  <c r="F662" i="64"/>
  <c r="G130" i="64" s="1"/>
  <c r="P633" i="64"/>
  <c r="P662" i="64" s="1"/>
  <c r="Q130" i="64" s="1"/>
  <c r="K633" i="64"/>
  <c r="K662" i="64" s="1"/>
  <c r="L130" i="64" s="1"/>
  <c r="S131" i="64"/>
  <c r="D11" i="71"/>
  <c r="N632" i="64"/>
  <c r="N661" i="64" s="1"/>
  <c r="O129" i="64" s="1"/>
  <c r="Q632" i="64"/>
  <c r="Q661" i="64" s="1"/>
  <c r="R129" i="64" s="1"/>
  <c r="H632" i="64"/>
  <c r="H661" i="64" s="1"/>
  <c r="I129" i="64" s="1"/>
  <c r="J632" i="64"/>
  <c r="J661" i="64" s="1"/>
  <c r="K129" i="64" s="1"/>
  <c r="I632" i="64"/>
  <c r="I661" i="64" s="1"/>
  <c r="J129" i="64" s="1"/>
  <c r="O632" i="64"/>
  <c r="O661" i="64" s="1"/>
  <c r="P129" i="64" s="1"/>
  <c r="P632" i="64"/>
  <c r="P661" i="64" s="1"/>
  <c r="Q129" i="64" s="1"/>
  <c r="K632" i="64"/>
  <c r="K661" i="64" s="1"/>
  <c r="L129" i="64" s="1"/>
  <c r="F661" i="64"/>
  <c r="G129" i="64" s="1"/>
  <c r="M632" i="64"/>
  <c r="M661" i="64" s="1"/>
  <c r="N129" i="64" s="1"/>
  <c r="L632" i="64"/>
  <c r="L661" i="64" s="1"/>
  <c r="M129" i="64" s="1"/>
  <c r="G632" i="64"/>
  <c r="G661" i="64" s="1"/>
  <c r="H129" i="64" s="1"/>
  <c r="E11" i="71"/>
  <c r="G11" i="71"/>
  <c r="R467" i="77"/>
  <c r="R685" i="77"/>
  <c r="R686" i="77" s="1"/>
  <c r="O28" i="80"/>
  <c r="N19" i="80"/>
  <c r="O17" i="80"/>
  <c r="F11" i="71"/>
  <c r="F10" i="71" l="1"/>
  <c r="R687" i="77"/>
  <c r="G10" i="71"/>
  <c r="E10" i="71"/>
  <c r="O127" i="64"/>
  <c r="O133" i="64" s="1"/>
  <c r="I127" i="64"/>
  <c r="I133" i="64" s="1"/>
  <c r="L127" i="64"/>
  <c r="L133" i="64" s="1"/>
  <c r="R127" i="64"/>
  <c r="R133" i="64" s="1"/>
  <c r="F9" i="71"/>
  <c r="M127" i="64"/>
  <c r="C11" i="71"/>
  <c r="G211" i="71" s="1"/>
  <c r="C91" i="71" s="1"/>
  <c r="Q127" i="64"/>
  <c r="Q133" i="64" s="1"/>
  <c r="K127" i="64"/>
  <c r="K133" i="64" s="1"/>
  <c r="H127" i="64"/>
  <c r="H133" i="64" s="1"/>
  <c r="R469" i="77"/>
  <c r="R471" i="77" s="1"/>
  <c r="R473" i="77" s="1"/>
  <c r="R468" i="77"/>
  <c r="P127" i="64"/>
  <c r="G9" i="71"/>
  <c r="U131" i="64"/>
  <c r="J15" i="83"/>
  <c r="K18" i="83" s="1"/>
  <c r="C14" i="61"/>
  <c r="S130" i="64"/>
  <c r="U130" i="64" s="1"/>
  <c r="D10" i="71"/>
  <c r="O19" i="80"/>
  <c r="O73" i="83"/>
  <c r="D20" i="83" s="1"/>
  <c r="D21" i="83" s="1"/>
  <c r="S129" i="64"/>
  <c r="U129" i="64" s="1"/>
  <c r="D9" i="71"/>
  <c r="G127" i="64"/>
  <c r="G133" i="64" s="1"/>
  <c r="E9" i="71"/>
  <c r="J127" i="64"/>
  <c r="N127" i="64"/>
  <c r="N133" i="64" s="1"/>
  <c r="S473" i="77" l="1"/>
  <c r="R475" i="77"/>
  <c r="I146" i="61" s="1"/>
  <c r="G116" i="71"/>
  <c r="G115" i="71"/>
  <c r="C10" i="71"/>
  <c r="K21" i="83"/>
  <c r="K30" i="83"/>
  <c r="G7" i="71"/>
  <c r="G25" i="71" s="1"/>
  <c r="P133" i="64"/>
  <c r="R479" i="77"/>
  <c r="C12" i="61"/>
  <c r="C47" i="61" s="1"/>
  <c r="D7" i="71"/>
  <c r="F389" i="64"/>
  <c r="S127" i="64"/>
  <c r="C9" i="71"/>
  <c r="O75" i="83"/>
  <c r="C47" i="83" s="1"/>
  <c r="C51" i="83"/>
  <c r="C55" i="83" s="1"/>
  <c r="D51" i="83"/>
  <c r="R478" i="77"/>
  <c r="S478" i="77" s="1"/>
  <c r="G180" i="71"/>
  <c r="G204" i="71"/>
  <c r="G196" i="71"/>
  <c r="C80" i="71" s="1"/>
  <c r="G195" i="71"/>
  <c r="E7" i="71"/>
  <c r="E25" i="71" s="1"/>
  <c r="J133" i="64"/>
  <c r="F7" i="71"/>
  <c r="F25" i="71" s="1"/>
  <c r="M133" i="64"/>
  <c r="C99" i="64" l="1"/>
  <c r="C7" i="8" s="1"/>
  <c r="R476" i="77"/>
  <c r="R659" i="77"/>
  <c r="S479" i="77"/>
  <c r="R688" i="77"/>
  <c r="R655" i="77"/>
  <c r="D47" i="83"/>
  <c r="M7" i="83" s="1"/>
  <c r="L7" i="83"/>
  <c r="E51" i="83"/>
  <c r="E55" i="83" s="1"/>
  <c r="D55" i="83"/>
  <c r="G128" i="71"/>
  <c r="G134" i="71"/>
  <c r="G137" i="71"/>
  <c r="S133" i="64"/>
  <c r="U133" i="64" s="1"/>
  <c r="D15" i="83"/>
  <c r="C48" i="83"/>
  <c r="C52" i="83" s="1"/>
  <c r="C56" i="83" s="1"/>
  <c r="U127" i="64"/>
  <c r="D48" i="83"/>
  <c r="D52" i="83" s="1"/>
  <c r="G179" i="71"/>
  <c r="G165" i="71"/>
  <c r="C62" i="71" s="1"/>
  <c r="C73" i="61"/>
  <c r="C84" i="71"/>
  <c r="C59" i="83"/>
  <c r="L11" i="83"/>
  <c r="C7" i="71"/>
  <c r="G109" i="71"/>
  <c r="C49" i="61" s="1"/>
  <c r="G129" i="71"/>
  <c r="G161" i="71" s="1"/>
  <c r="C63" i="61" s="1"/>
  <c r="D25" i="71"/>
  <c r="Q157" i="8" l="1"/>
  <c r="H42" i="61" s="1"/>
  <c r="E7" i="8"/>
  <c r="N27" i="10"/>
  <c r="O27" i="10" s="1"/>
  <c r="H25" i="25" s="1"/>
  <c r="H30" i="25" s="1"/>
  <c r="H39" i="25" s="1"/>
  <c r="H41" i="25" s="1"/>
  <c r="R690" i="77"/>
  <c r="N115" i="83" s="1"/>
  <c r="R691" i="77"/>
  <c r="N116" i="83" s="1"/>
  <c r="O116" i="83" s="1"/>
  <c r="G105" i="71"/>
  <c r="G130" i="71"/>
  <c r="C5" i="61"/>
  <c r="Q99" i="8"/>
  <c r="Q131" i="8"/>
  <c r="Q129" i="8"/>
  <c r="Q130" i="8"/>
  <c r="Q100" i="8"/>
  <c r="Q103" i="8"/>
  <c r="Q133" i="8"/>
  <c r="Q117" i="8"/>
  <c r="Q105" i="8"/>
  <c r="Q106" i="8"/>
  <c r="Q96" i="8"/>
  <c r="Q107" i="8"/>
  <c r="Q98" i="8"/>
  <c r="G106" i="71"/>
  <c r="G107" i="71"/>
  <c r="D100" i="64"/>
  <c r="Q135" i="8"/>
  <c r="Q169" i="8"/>
  <c r="Q158" i="8"/>
  <c r="H43" i="61" s="1"/>
  <c r="Q150" i="8"/>
  <c r="Q137" i="8"/>
  <c r="Q143" i="8"/>
  <c r="Q97" i="8"/>
  <c r="Q125" i="8"/>
  <c r="Q141" i="8"/>
  <c r="H32" i="61" s="1"/>
  <c r="Q102" i="8"/>
  <c r="Q123" i="8"/>
  <c r="Q177" i="8"/>
  <c r="Q163" i="8"/>
  <c r="H47" i="61" s="1"/>
  <c r="Q156" i="8"/>
  <c r="H41" i="61" s="1"/>
  <c r="Q164" i="8"/>
  <c r="H48" i="61" s="1"/>
  <c r="Q210" i="8"/>
  <c r="Q161" i="8"/>
  <c r="Q173" i="8"/>
  <c r="Q168" i="8"/>
  <c r="Q111" i="8"/>
  <c r="H12" i="61" s="1"/>
  <c r="Q159" i="8"/>
  <c r="Q167" i="8"/>
  <c r="Q180" i="8"/>
  <c r="Q182" i="8"/>
  <c r="Q112" i="8"/>
  <c r="H13" i="61" s="1"/>
  <c r="Q175" i="8"/>
  <c r="Q174" i="8"/>
  <c r="Q113" i="8"/>
  <c r="H14" i="61" s="1"/>
  <c r="Q149" i="8"/>
  <c r="Q118" i="8"/>
  <c r="Q93" i="8"/>
  <c r="Q204" i="8"/>
  <c r="H56" i="61" s="1"/>
  <c r="Q101" i="8"/>
  <c r="Q132" i="8"/>
  <c r="Q144" i="8"/>
  <c r="Q110" i="8"/>
  <c r="H11" i="61" s="1"/>
  <c r="Q184" i="8"/>
  <c r="Q142" i="8"/>
  <c r="H33" i="61" s="1"/>
  <c r="Q170" i="8"/>
  <c r="H49" i="61" s="1"/>
  <c r="Q185" i="8"/>
  <c r="Q162" i="8"/>
  <c r="I46" i="61" s="1"/>
  <c r="I53" i="61" s="1"/>
  <c r="Q148" i="8"/>
  <c r="Q140" i="8"/>
  <c r="H31" i="61" s="1"/>
  <c r="Q183" i="8"/>
  <c r="Q145" i="8"/>
  <c r="Q209" i="8"/>
  <c r="Q94" i="8"/>
  <c r="Q119" i="8"/>
  <c r="Q124" i="8"/>
  <c r="Q126" i="8"/>
  <c r="Q104" i="8"/>
  <c r="Q181" i="8"/>
  <c r="Q187" i="8"/>
  <c r="H50" i="61" s="1"/>
  <c r="G140" i="71"/>
  <c r="C25" i="71"/>
  <c r="G177" i="71"/>
  <c r="G110" i="71"/>
  <c r="C57" i="61" s="1"/>
  <c r="G164" i="71"/>
  <c r="G176" i="71"/>
  <c r="G142" i="71"/>
  <c r="C53" i="61" s="1"/>
  <c r="G111" i="71"/>
  <c r="G135" i="71"/>
  <c r="G138" i="71"/>
  <c r="L9" i="83"/>
  <c r="C89" i="83" s="1"/>
  <c r="C63" i="83"/>
  <c r="L10" i="83" s="1"/>
  <c r="E30" i="83"/>
  <c r="E25" i="83"/>
  <c r="E31" i="83"/>
  <c r="E19" i="83"/>
  <c r="E28" i="83"/>
  <c r="E32" i="83"/>
  <c r="E27" i="83"/>
  <c r="E18" i="83"/>
  <c r="F109" i="83"/>
  <c r="F161" i="83" s="1"/>
  <c r="H109" i="83"/>
  <c r="H161" i="83" s="1"/>
  <c r="C109" i="83"/>
  <c r="E109" i="83"/>
  <c r="E161" i="83" s="1"/>
  <c r="K109" i="83"/>
  <c r="K161" i="83" s="1"/>
  <c r="J109" i="83"/>
  <c r="J161" i="83" s="1"/>
  <c r="L109" i="83"/>
  <c r="L161" i="83" s="1"/>
  <c r="D109" i="83"/>
  <c r="D161" i="83" s="1"/>
  <c r="N109" i="83"/>
  <c r="N161" i="83" s="1"/>
  <c r="M109" i="83"/>
  <c r="M161" i="83" s="1"/>
  <c r="I109" i="83"/>
  <c r="I161" i="83" s="1"/>
  <c r="G109" i="83"/>
  <c r="G161" i="83" s="1"/>
  <c r="D56" i="83"/>
  <c r="D60" i="83" s="1"/>
  <c r="D64" i="83" s="1"/>
  <c r="M8" i="83"/>
  <c r="E52" i="83"/>
  <c r="E56" i="83" s="1"/>
  <c r="D59" i="83"/>
  <c r="M11" i="83"/>
  <c r="C110" i="83"/>
  <c r="M110" i="83"/>
  <c r="M173" i="83" s="1"/>
  <c r="D110" i="83"/>
  <c r="D173" i="83" s="1"/>
  <c r="N110" i="83"/>
  <c r="N173" i="83" s="1"/>
  <c r="I110" i="83"/>
  <c r="I173" i="83" s="1"/>
  <c r="L110" i="83"/>
  <c r="L173" i="83" s="1"/>
  <c r="K110" i="83"/>
  <c r="K173" i="83" s="1"/>
  <c r="J110" i="83"/>
  <c r="J173" i="83" s="1"/>
  <c r="E110" i="83"/>
  <c r="E173" i="83" s="1"/>
  <c r="G110" i="83"/>
  <c r="G173" i="83" s="1"/>
  <c r="F110" i="83"/>
  <c r="F173" i="83" s="1"/>
  <c r="H110" i="83"/>
  <c r="H173" i="83" s="1"/>
  <c r="E21" i="83"/>
  <c r="E20" i="83"/>
  <c r="E59" i="83"/>
  <c r="N9" i="83" s="1"/>
  <c r="C83" i="83" s="1"/>
  <c r="N11" i="83"/>
  <c r="R657" i="77"/>
  <c r="D151" i="83"/>
  <c r="J151" i="83"/>
  <c r="E151" i="83"/>
  <c r="G151" i="83"/>
  <c r="M151" i="83"/>
  <c r="K151" i="83"/>
  <c r="N151" i="83"/>
  <c r="F151" i="83"/>
  <c r="L151" i="83"/>
  <c r="C151" i="83"/>
  <c r="H151" i="83"/>
  <c r="I151" i="83"/>
  <c r="L8" i="83"/>
  <c r="C137" i="83" s="1"/>
  <c r="C60" i="83"/>
  <c r="C64" i="83" s="1"/>
  <c r="C36" i="61" l="1"/>
  <c r="C21" i="61"/>
  <c r="D32" i="61"/>
  <c r="D33" i="61" s="1"/>
  <c r="D25" i="61" s="1"/>
  <c r="I55" i="61"/>
  <c r="I57" i="61" s="1"/>
  <c r="H46" i="61"/>
  <c r="Q95" i="8"/>
  <c r="C40" i="61"/>
  <c r="H18" i="61"/>
  <c r="D100" i="61"/>
  <c r="H51" i="61"/>
  <c r="D111" i="61" s="1"/>
  <c r="C41" i="61"/>
  <c r="C42" i="61"/>
  <c r="G108" i="71"/>
  <c r="H22" i="61"/>
  <c r="H28" i="61"/>
  <c r="H23" i="61"/>
  <c r="C39" i="61"/>
  <c r="H17" i="61"/>
  <c r="C19" i="61"/>
  <c r="C6" i="61"/>
  <c r="C18" i="61"/>
  <c r="C17" i="61"/>
  <c r="D28" i="61"/>
  <c r="I112" i="61"/>
  <c r="Q211" i="8"/>
  <c r="I100" i="61"/>
  <c r="C16" i="61"/>
  <c r="C9" i="61"/>
  <c r="H21" i="61"/>
  <c r="C37" i="61"/>
  <c r="C54" i="61" s="1"/>
  <c r="O115" i="83"/>
  <c r="O117" i="83" s="1"/>
  <c r="N117" i="83"/>
  <c r="H35" i="61"/>
  <c r="H9" i="61"/>
  <c r="H26" i="61"/>
  <c r="H29" i="61"/>
  <c r="C38" i="61"/>
  <c r="C74" i="61" s="1"/>
  <c r="H7" i="61"/>
  <c r="H6" i="61"/>
  <c r="H37" i="61"/>
  <c r="H52" i="61"/>
  <c r="H44" i="61"/>
  <c r="H34" i="61"/>
  <c r="H8" i="61"/>
  <c r="G166" i="71"/>
  <c r="M9" i="83"/>
  <c r="D63" i="83"/>
  <c r="M10" i="83" s="1"/>
  <c r="O116" i="8"/>
  <c r="S657" i="77"/>
  <c r="H16" i="61" s="1"/>
  <c r="E60" i="83"/>
  <c r="N8" i="83"/>
  <c r="C161" i="83"/>
  <c r="O161" i="83" s="1"/>
  <c r="D26" i="83" s="1"/>
  <c r="E26" i="83" s="1"/>
  <c r="O109" i="83"/>
  <c r="E122" i="83"/>
  <c r="G122" i="83"/>
  <c r="M122" i="83"/>
  <c r="H122" i="83"/>
  <c r="C122" i="83"/>
  <c r="I122" i="83"/>
  <c r="D122" i="83"/>
  <c r="J122" i="83"/>
  <c r="F122" i="83"/>
  <c r="N122" i="83"/>
  <c r="K122" i="83"/>
  <c r="L122" i="83"/>
  <c r="C58" i="61"/>
  <c r="G112" i="71"/>
  <c r="C59" i="61" s="1"/>
  <c r="O151" i="83"/>
  <c r="D38" i="83" s="1"/>
  <c r="E38" i="83" s="1"/>
  <c r="C173" i="83"/>
  <c r="O173" i="83" s="1"/>
  <c r="J26" i="83" s="1"/>
  <c r="K26" i="83" s="1"/>
  <c r="O110" i="83"/>
  <c r="H138" i="83"/>
  <c r="H176" i="83" s="1"/>
  <c r="C138" i="83"/>
  <c r="M138" i="83"/>
  <c r="M176" i="83" s="1"/>
  <c r="J138" i="83"/>
  <c r="J176" i="83" s="1"/>
  <c r="G138" i="83"/>
  <c r="G176" i="83" s="1"/>
  <c r="D138" i="83"/>
  <c r="D176" i="83" s="1"/>
  <c r="N138" i="83"/>
  <c r="N176" i="83" s="1"/>
  <c r="I138" i="83"/>
  <c r="I176" i="83" s="1"/>
  <c r="K138" i="83"/>
  <c r="K176" i="83" s="1"/>
  <c r="E138" i="83"/>
  <c r="E176" i="83" s="1"/>
  <c r="L138" i="83"/>
  <c r="L176" i="83" s="1"/>
  <c r="F138" i="83"/>
  <c r="F176" i="83" s="1"/>
  <c r="F89" i="83"/>
  <c r="M89" i="83"/>
  <c r="G81" i="83"/>
  <c r="D89" i="83"/>
  <c r="G89" i="83"/>
  <c r="E81" i="83"/>
  <c r="L81" i="83"/>
  <c r="I89" i="83"/>
  <c r="C81" i="83"/>
  <c r="C104" i="83" s="1"/>
  <c r="C103" i="83" s="1"/>
  <c r="N81" i="83"/>
  <c r="K89" i="83"/>
  <c r="N89" i="83"/>
  <c r="H81" i="83"/>
  <c r="E89" i="83"/>
  <c r="L89" i="83"/>
  <c r="J81" i="83"/>
  <c r="M81" i="83"/>
  <c r="J89" i="83"/>
  <c r="D81" i="83"/>
  <c r="K81" i="83"/>
  <c r="H89" i="83"/>
  <c r="F81" i="83"/>
  <c r="I81" i="83"/>
  <c r="H137" i="83"/>
  <c r="I137" i="83"/>
  <c r="D137" i="83"/>
  <c r="J137" i="83"/>
  <c r="L137" i="83"/>
  <c r="N137" i="83"/>
  <c r="M137" i="83"/>
  <c r="E137" i="83"/>
  <c r="K137" i="83"/>
  <c r="F137" i="83"/>
  <c r="G137" i="83"/>
  <c r="F91" i="83"/>
  <c r="M91" i="83"/>
  <c r="G83" i="83"/>
  <c r="D91" i="83"/>
  <c r="I83" i="83"/>
  <c r="M83" i="83"/>
  <c r="L83" i="83"/>
  <c r="I91" i="83"/>
  <c r="N83" i="83"/>
  <c r="K91" i="83"/>
  <c r="C91" i="83"/>
  <c r="C106" i="83" s="1"/>
  <c r="C180" i="83" s="1"/>
  <c r="N91" i="83"/>
  <c r="H83" i="83"/>
  <c r="E91" i="83"/>
  <c r="L91" i="83"/>
  <c r="J83" i="83"/>
  <c r="E83" i="83"/>
  <c r="J91" i="83"/>
  <c r="D83" i="83"/>
  <c r="K83" i="83"/>
  <c r="H91" i="83"/>
  <c r="F83" i="83"/>
  <c r="G91" i="83"/>
  <c r="I152" i="83"/>
  <c r="I153" i="83" s="1"/>
  <c r="D152" i="83"/>
  <c r="D153" i="83" s="1"/>
  <c r="J152" i="83"/>
  <c r="J153" i="83" s="1"/>
  <c r="E152" i="83"/>
  <c r="E153" i="83" s="1"/>
  <c r="K152" i="83"/>
  <c r="K153" i="83" s="1"/>
  <c r="F152" i="83"/>
  <c r="F153" i="83" s="1"/>
  <c r="L152" i="83"/>
  <c r="L153" i="83" s="1"/>
  <c r="G152" i="83"/>
  <c r="G153" i="83" s="1"/>
  <c r="N152" i="83"/>
  <c r="N153" i="83" s="1"/>
  <c r="H152" i="83"/>
  <c r="H153" i="83" s="1"/>
  <c r="M152" i="83"/>
  <c r="M153" i="83" s="1"/>
  <c r="C152" i="83"/>
  <c r="C153" i="83" s="1"/>
  <c r="G141" i="71"/>
  <c r="D27" i="61" l="1"/>
  <c r="D26" i="61"/>
  <c r="D29" i="61" s="1"/>
  <c r="H53" i="61"/>
  <c r="C32" i="61" s="1"/>
  <c r="H19" i="61"/>
  <c r="H24" i="61"/>
  <c r="C28" i="61"/>
  <c r="N106" i="83"/>
  <c r="N180" i="83" s="1"/>
  <c r="I106" i="83"/>
  <c r="I180" i="83" s="1"/>
  <c r="C43" i="61"/>
  <c r="F106" i="83"/>
  <c r="F180" i="83" s="1"/>
  <c r="M106" i="83"/>
  <c r="M180" i="83" s="1"/>
  <c r="E106" i="83"/>
  <c r="E180" i="83" s="1"/>
  <c r="J106" i="83"/>
  <c r="J180" i="83" s="1"/>
  <c r="H106" i="83"/>
  <c r="H180" i="83" s="1"/>
  <c r="K106" i="83"/>
  <c r="K180" i="83" s="1"/>
  <c r="D106" i="83"/>
  <c r="D180" i="83" s="1"/>
  <c r="L106" i="83"/>
  <c r="L180" i="83" s="1"/>
  <c r="G106" i="83"/>
  <c r="K104" i="83"/>
  <c r="E139" i="83"/>
  <c r="E182" i="83" s="1"/>
  <c r="E168" i="83"/>
  <c r="L139" i="83"/>
  <c r="L182" i="83" s="1"/>
  <c r="L168" i="83"/>
  <c r="H139" i="83"/>
  <c r="H182" i="83" s="1"/>
  <c r="H168" i="83"/>
  <c r="J104" i="83"/>
  <c r="L128" i="83"/>
  <c r="L164" i="83" s="1"/>
  <c r="L123" i="83"/>
  <c r="L129" i="83" s="1"/>
  <c r="L174" i="83" s="1"/>
  <c r="O152" i="83"/>
  <c r="J38" i="83" s="1"/>
  <c r="K38" i="83" s="1"/>
  <c r="J139" i="83"/>
  <c r="J182" i="83" s="1"/>
  <c r="J168" i="83"/>
  <c r="K128" i="83"/>
  <c r="K164" i="83" s="1"/>
  <c r="K123" i="83"/>
  <c r="K129" i="83" s="1"/>
  <c r="K174" i="83" s="1"/>
  <c r="D128" i="83"/>
  <c r="D164" i="83" s="1"/>
  <c r="D123" i="83"/>
  <c r="D129" i="83" s="1"/>
  <c r="D174" i="83" s="1"/>
  <c r="M128" i="83"/>
  <c r="M164" i="83" s="1"/>
  <c r="M123" i="83"/>
  <c r="M129" i="83" s="1"/>
  <c r="M174" i="83" s="1"/>
  <c r="N27" i="80"/>
  <c r="P116" i="8"/>
  <c r="O120" i="8"/>
  <c r="O152" i="8" s="1"/>
  <c r="O189" i="8" s="1"/>
  <c r="O191" i="8" s="1"/>
  <c r="N47" i="80" s="1"/>
  <c r="O47" i="80" s="1"/>
  <c r="O153" i="83"/>
  <c r="G38" i="83" s="1"/>
  <c r="J128" i="83"/>
  <c r="J164" i="83" s="1"/>
  <c r="J123" i="83"/>
  <c r="J129" i="83" s="1"/>
  <c r="J174" i="83" s="1"/>
  <c r="H128" i="83"/>
  <c r="H164" i="83" s="1"/>
  <c r="H123" i="83"/>
  <c r="H129" i="83" s="1"/>
  <c r="H174" i="83" s="1"/>
  <c r="G139" i="83"/>
  <c r="G182" i="83" s="1"/>
  <c r="G168" i="83"/>
  <c r="C139" i="83"/>
  <c r="C168" i="83"/>
  <c r="O137" i="83"/>
  <c r="D104" i="83"/>
  <c r="F168" i="83"/>
  <c r="F139" i="83"/>
  <c r="F182" i="83" s="1"/>
  <c r="F104" i="83"/>
  <c r="I104" i="83"/>
  <c r="M168" i="83"/>
  <c r="M139" i="83"/>
  <c r="M182" i="83" s="1"/>
  <c r="D168" i="83"/>
  <c r="D139" i="83"/>
  <c r="D182" i="83" s="1"/>
  <c r="L104" i="83"/>
  <c r="G104" i="83"/>
  <c r="N128" i="83"/>
  <c r="N164" i="83" s="1"/>
  <c r="N123" i="83"/>
  <c r="N129" i="83" s="1"/>
  <c r="N174" i="83" s="1"/>
  <c r="I128" i="83"/>
  <c r="I164" i="83" s="1"/>
  <c r="I123" i="83"/>
  <c r="I129" i="83" s="1"/>
  <c r="I174" i="83" s="1"/>
  <c r="G128" i="83"/>
  <c r="G164" i="83" s="1"/>
  <c r="G123" i="83"/>
  <c r="G129" i="83" s="1"/>
  <c r="G174" i="83" s="1"/>
  <c r="K139" i="83"/>
  <c r="K182" i="83" s="1"/>
  <c r="K168" i="83"/>
  <c r="N168" i="83"/>
  <c r="N139" i="83"/>
  <c r="N182" i="83" s="1"/>
  <c r="I168" i="83"/>
  <c r="I139" i="83"/>
  <c r="I182" i="83" s="1"/>
  <c r="M104" i="83"/>
  <c r="H104" i="83"/>
  <c r="N104" i="83"/>
  <c r="E104" i="83"/>
  <c r="C176" i="83"/>
  <c r="O176" i="83" s="1"/>
  <c r="J33" i="83" s="1"/>
  <c r="O138" i="83"/>
  <c r="F128" i="83"/>
  <c r="F164" i="83" s="1"/>
  <c r="F123" i="83"/>
  <c r="F129" i="83" s="1"/>
  <c r="F174" i="83" s="1"/>
  <c r="C128" i="83"/>
  <c r="C164" i="83" s="1"/>
  <c r="C123" i="83"/>
  <c r="C129" i="83" s="1"/>
  <c r="C174" i="83" s="1"/>
  <c r="E128" i="83"/>
  <c r="E164" i="83" s="1"/>
  <c r="E123" i="83"/>
  <c r="E129" i="83" s="1"/>
  <c r="E174" i="83" s="1"/>
  <c r="F90" i="83"/>
  <c r="M90" i="83"/>
  <c r="G82" i="83"/>
  <c r="D90" i="83"/>
  <c r="K90" i="83"/>
  <c r="M82" i="83"/>
  <c r="I90" i="83"/>
  <c r="N82" i="83"/>
  <c r="E82" i="83"/>
  <c r="L82" i="83"/>
  <c r="C82" i="83"/>
  <c r="C105" i="83" s="1"/>
  <c r="I82" i="83"/>
  <c r="N90" i="83"/>
  <c r="H82" i="83"/>
  <c r="E90" i="83"/>
  <c r="L90" i="83"/>
  <c r="J82" i="83"/>
  <c r="G90" i="83"/>
  <c r="J90" i="83"/>
  <c r="D82" i="83"/>
  <c r="K82" i="83"/>
  <c r="H90" i="83"/>
  <c r="F82" i="83"/>
  <c r="C90" i="83"/>
  <c r="C159" i="83" l="1"/>
  <c r="K105" i="83"/>
  <c r="K172" i="83" s="1"/>
  <c r="K177" i="83" s="1"/>
  <c r="H38" i="61"/>
  <c r="C31" i="61" s="1"/>
  <c r="C33" i="61" s="1"/>
  <c r="C25" i="61" s="1"/>
  <c r="M105" i="83"/>
  <c r="M172" i="83" s="1"/>
  <c r="M177" i="83" s="1"/>
  <c r="C24" i="61"/>
  <c r="H38" i="83"/>
  <c r="O106" i="83"/>
  <c r="G180" i="83"/>
  <c r="G183" i="83" s="1"/>
  <c r="M183" i="83"/>
  <c r="O104" i="83"/>
  <c r="D183" i="83"/>
  <c r="K159" i="83"/>
  <c r="K169" i="83" s="1"/>
  <c r="D105" i="83"/>
  <c r="D172" i="83" s="1"/>
  <c r="D177" i="83" s="1"/>
  <c r="I183" i="83"/>
  <c r="J183" i="83"/>
  <c r="K183" i="83"/>
  <c r="L183" i="83"/>
  <c r="J105" i="83"/>
  <c r="J172" i="83" s="1"/>
  <c r="J177" i="83" s="1"/>
  <c r="E105" i="83"/>
  <c r="E172" i="83" s="1"/>
  <c r="E177" i="83" s="1"/>
  <c r="O164" i="83"/>
  <c r="D29" i="83" s="1"/>
  <c r="E29" i="83" s="1"/>
  <c r="G105" i="83"/>
  <c r="G172" i="83" s="1"/>
  <c r="G177" i="83" s="1"/>
  <c r="I105" i="83"/>
  <c r="I172" i="83" s="1"/>
  <c r="I177" i="83" s="1"/>
  <c r="N183" i="83"/>
  <c r="F183" i="83"/>
  <c r="N105" i="83"/>
  <c r="N172" i="83" s="1"/>
  <c r="N177" i="83" s="1"/>
  <c r="H183" i="83"/>
  <c r="F159" i="83"/>
  <c r="F169" i="83" s="1"/>
  <c r="O168" i="83"/>
  <c r="O206" i="8"/>
  <c r="N42" i="10"/>
  <c r="P191" i="8"/>
  <c r="N159" i="83"/>
  <c r="N169" i="83" s="1"/>
  <c r="F105" i="83"/>
  <c r="F172" i="83" s="1"/>
  <c r="F177" i="83" s="1"/>
  <c r="E159" i="83"/>
  <c r="E169" i="83" s="1"/>
  <c r="H159" i="83"/>
  <c r="H169" i="83" s="1"/>
  <c r="E183" i="83"/>
  <c r="G159" i="83"/>
  <c r="G169" i="83" s="1"/>
  <c r="I159" i="83"/>
  <c r="I169" i="83" s="1"/>
  <c r="O139" i="83"/>
  <c r="C182" i="83"/>
  <c r="O182" i="83" s="1"/>
  <c r="G33" i="83" s="1"/>
  <c r="H33" i="83" s="1"/>
  <c r="Q116" i="8"/>
  <c r="P120" i="8"/>
  <c r="J159" i="83"/>
  <c r="J169" i="83" s="1"/>
  <c r="M159" i="83"/>
  <c r="M169" i="83" s="1"/>
  <c r="H105" i="83"/>
  <c r="H172" i="83" s="1"/>
  <c r="H177" i="83" s="1"/>
  <c r="L105" i="83"/>
  <c r="L172" i="83" s="1"/>
  <c r="L177" i="83" s="1"/>
  <c r="O174" i="83"/>
  <c r="J29" i="83" s="1"/>
  <c r="K29" i="83" s="1"/>
  <c r="L159" i="83"/>
  <c r="L169" i="83" s="1"/>
  <c r="D159" i="83"/>
  <c r="D169" i="83" s="1"/>
  <c r="O27" i="80"/>
  <c r="N34" i="80"/>
  <c r="N48" i="80" s="1"/>
  <c r="N50" i="80" s="1"/>
  <c r="K103" i="83" l="1"/>
  <c r="K141" i="83" s="1"/>
  <c r="K154" i="83" s="1"/>
  <c r="O34" i="80"/>
  <c r="O48" i="80" s="1"/>
  <c r="N43" i="10"/>
  <c r="H55" i="61"/>
  <c r="H57" i="61" s="1"/>
  <c r="C27" i="61"/>
  <c r="C26" i="61"/>
  <c r="M103" i="83"/>
  <c r="M141" i="83" s="1"/>
  <c r="M154" i="83" s="1"/>
  <c r="D33" i="83"/>
  <c r="E33" i="83" s="1"/>
  <c r="O180" i="83"/>
  <c r="G24" i="83" s="1"/>
  <c r="O105" i="83"/>
  <c r="O103" i="83" s="1"/>
  <c r="E103" i="83"/>
  <c r="J103" i="83"/>
  <c r="J141" i="83" s="1"/>
  <c r="J154" i="83" s="1"/>
  <c r="C183" i="83"/>
  <c r="D103" i="83"/>
  <c r="G103" i="83"/>
  <c r="L103" i="83"/>
  <c r="I103" i="83"/>
  <c r="F103" i="83"/>
  <c r="H103" i="83"/>
  <c r="N103" i="83"/>
  <c r="O159" i="83"/>
  <c r="D24" i="83" s="1"/>
  <c r="E24" i="83" s="1"/>
  <c r="C169" i="83"/>
  <c r="N55" i="80"/>
  <c r="N51" i="80"/>
  <c r="H42" i="25"/>
  <c r="H44" i="25" s="1"/>
  <c r="Q191" i="8"/>
  <c r="P152" i="8"/>
  <c r="Q120" i="8"/>
  <c r="O42" i="10"/>
  <c r="C172" i="83"/>
  <c r="O43" i="10" l="1"/>
  <c r="O45" i="10" s="1"/>
  <c r="O50" i="80"/>
  <c r="H46" i="25"/>
  <c r="D113" i="61"/>
  <c r="D114" i="61" s="1"/>
  <c r="G34" i="83"/>
  <c r="H34" i="83" s="1"/>
  <c r="O183" i="83"/>
  <c r="D141" i="83"/>
  <c r="D154" i="83" s="1"/>
  <c r="L141" i="83"/>
  <c r="L154" i="83" s="1"/>
  <c r="G141" i="83"/>
  <c r="G154" i="83" s="1"/>
  <c r="O141" i="83"/>
  <c r="O154" i="83" s="1"/>
  <c r="I141" i="83"/>
  <c r="I154" i="83" s="1"/>
  <c r="O169" i="83"/>
  <c r="E141" i="83"/>
  <c r="E154" i="83" s="1"/>
  <c r="F141" i="83"/>
  <c r="F154" i="83" s="1"/>
  <c r="C177" i="83"/>
  <c r="O172" i="83"/>
  <c r="J24" i="83" s="1"/>
  <c r="N63" i="80"/>
  <c r="O55" i="80"/>
  <c r="N58" i="80"/>
  <c r="N56" i="80"/>
  <c r="H141" i="83"/>
  <c r="H154" i="83" s="1"/>
  <c r="N141" i="83"/>
  <c r="N154" i="83" s="1"/>
  <c r="N45" i="10"/>
  <c r="N47" i="10" s="1"/>
  <c r="O47" i="10" s="1"/>
  <c r="Q152" i="8"/>
  <c r="P189" i="8"/>
  <c r="P206" i="8" s="1"/>
  <c r="I113" i="61" l="1"/>
  <c r="I114" i="61" s="1"/>
  <c r="I115" i="61" s="1"/>
  <c r="C29" i="61"/>
  <c r="G36" i="83"/>
  <c r="H36" i="83" s="1"/>
  <c r="H24" i="83"/>
  <c r="C141" i="83"/>
  <c r="C154" i="83" s="1"/>
  <c r="D34" i="83"/>
  <c r="O63" i="80"/>
  <c r="N68" i="80"/>
  <c r="N64" i="80"/>
  <c r="K24" i="83"/>
  <c r="N51" i="10"/>
  <c r="O177" i="83"/>
  <c r="Q206" i="8"/>
  <c r="Q189" i="8"/>
  <c r="N59" i="80"/>
  <c r="O58" i="80"/>
  <c r="C6" i="25" l="1"/>
  <c r="C7" i="25" s="1"/>
  <c r="G40" i="83"/>
  <c r="H40" i="83" s="1"/>
  <c r="E34" i="83"/>
  <c r="D36" i="83"/>
  <c r="O51" i="10"/>
  <c r="N56" i="10"/>
  <c r="N52" i="10"/>
  <c r="N69" i="80"/>
  <c r="O68" i="80"/>
  <c r="C9" i="25" l="1"/>
  <c r="C11" i="25" s="1"/>
  <c r="E36" i="83"/>
  <c r="D40" i="83"/>
  <c r="E40" i="83" s="1"/>
  <c r="K33" i="83"/>
  <c r="J34" i="83"/>
  <c r="N57" i="10"/>
  <c r="N61" i="10"/>
  <c r="O61" i="10" s="1"/>
  <c r="O56" i="10"/>
  <c r="J36" i="83" l="1"/>
  <c r="K34" i="83"/>
  <c r="N62" i="10"/>
  <c r="I149" i="61" s="1"/>
  <c r="I150" i="61" s="1"/>
  <c r="I87" i="61" s="1"/>
  <c r="I88" i="61" s="1"/>
  <c r="I99" i="61" l="1"/>
  <c r="I94" i="61"/>
  <c r="I95" i="61" s="1"/>
  <c r="J40" i="83"/>
  <c r="K40" i="83" s="1"/>
  <c r="K36" i="83"/>
</calcChain>
</file>

<file path=xl/comments1.xml><?xml version="1.0" encoding="utf-8"?>
<comments xmlns="http://schemas.openxmlformats.org/spreadsheetml/2006/main">
  <authors>
    <author>Usuario</author>
  </authors>
  <commentList>
    <comment ref="B88" authorId="0" shapeId="0">
      <text>
        <r>
          <rPr>
            <sz val="9"/>
            <color indexed="81"/>
            <rFont val="Tahoma"/>
            <family val="2"/>
          </rPr>
          <t xml:space="preserve">como es extra lo separo como se separa maquinaria reparación 
</t>
        </r>
      </text>
    </comment>
  </commentList>
</comments>
</file>

<file path=xl/sharedStrings.xml><?xml version="1.0" encoding="utf-8"?>
<sst xmlns="http://schemas.openxmlformats.org/spreadsheetml/2006/main" count="7905" uniqueCount="2417">
  <si>
    <t>Ene</t>
  </si>
  <si>
    <t>Feb</t>
  </si>
  <si>
    <t>Mar</t>
  </si>
  <si>
    <t>Abr</t>
  </si>
  <si>
    <t>May</t>
  </si>
  <si>
    <t>Jun</t>
  </si>
  <si>
    <t>Jul</t>
  </si>
  <si>
    <t>Ago</t>
  </si>
  <si>
    <t>Oct</t>
  </si>
  <si>
    <t>Nov</t>
  </si>
  <si>
    <t>Dic</t>
  </si>
  <si>
    <t>Total</t>
  </si>
  <si>
    <t>Consumo</t>
  </si>
  <si>
    <t>Categoría</t>
  </si>
  <si>
    <t>Nº</t>
  </si>
  <si>
    <t xml:space="preserve">Total </t>
  </si>
  <si>
    <t>Administración</t>
  </si>
  <si>
    <t>INGRESOS</t>
  </si>
  <si>
    <t>Leche</t>
  </si>
  <si>
    <t>SALDO ACUMULADO</t>
  </si>
  <si>
    <t>Vacas en ordeñe</t>
  </si>
  <si>
    <t>TOTAL</t>
  </si>
  <si>
    <t>Reservas forrajeras</t>
  </si>
  <si>
    <t>Precio</t>
  </si>
  <si>
    <t>Ingresos</t>
  </si>
  <si>
    <t>Gastos y retiros</t>
  </si>
  <si>
    <t>Saldo 1</t>
  </si>
  <si>
    <t>Inversiones</t>
  </si>
  <si>
    <t>Saldo 2</t>
  </si>
  <si>
    <t>Saldo final</t>
  </si>
  <si>
    <t>U$S</t>
  </si>
  <si>
    <t>Campo natural</t>
  </si>
  <si>
    <t>Praderas</t>
  </si>
  <si>
    <t>BPS</t>
  </si>
  <si>
    <t>Precio,U$S/litro</t>
  </si>
  <si>
    <t>CN</t>
  </si>
  <si>
    <t>Impuestos</t>
  </si>
  <si>
    <t>Sanidad</t>
  </si>
  <si>
    <t>Higiene</t>
  </si>
  <si>
    <t xml:space="preserve">Semillas </t>
  </si>
  <si>
    <t>Fertilizante</t>
  </si>
  <si>
    <t>Agroquímicos</t>
  </si>
  <si>
    <t>TOTAL GASTOS VARIABLES</t>
  </si>
  <si>
    <t>Sueldo Administrador</t>
  </si>
  <si>
    <t>Conservación de mejoras</t>
  </si>
  <si>
    <t>Combustible vehículos</t>
  </si>
  <si>
    <t>Patentes y seguros</t>
  </si>
  <si>
    <t>TOTAL GASTOS ESTRUCTURA</t>
  </si>
  <si>
    <t>TOTAL INSUMOS con renta</t>
  </si>
  <si>
    <t>Comestibles</t>
  </si>
  <si>
    <t>Compra Reservas forrajeras</t>
  </si>
  <si>
    <t>Otros gastos administración</t>
  </si>
  <si>
    <t>IMPUESTOS</t>
  </si>
  <si>
    <t>Soja</t>
  </si>
  <si>
    <t>M de O y BPS estructura</t>
  </si>
  <si>
    <t xml:space="preserve">Verdeos de invierno, % </t>
  </si>
  <si>
    <t>Verdeos de verano, %</t>
  </si>
  <si>
    <t>O</t>
  </si>
  <si>
    <t>I</t>
  </si>
  <si>
    <t>P</t>
  </si>
  <si>
    <t>V</t>
  </si>
  <si>
    <t>Av+Rg</t>
  </si>
  <si>
    <t>Maíz Silo</t>
  </si>
  <si>
    <t>Cultivos</t>
  </si>
  <si>
    <t>Moha</t>
  </si>
  <si>
    <t xml:space="preserve"> Trabajo</t>
  </si>
  <si>
    <t xml:space="preserve"> Maquinaria</t>
  </si>
  <si>
    <t xml:space="preserve"> Sanidad</t>
  </si>
  <si>
    <t xml:space="preserve"> Higiene</t>
  </si>
  <si>
    <t>Alimentación del ganado</t>
  </si>
  <si>
    <t xml:space="preserve"> Inseminación</t>
  </si>
  <si>
    <t xml:space="preserve"> Pastoreo</t>
  </si>
  <si>
    <t xml:space="preserve"> Administración</t>
  </si>
  <si>
    <t xml:space="preserve"> M de O y BPS estructura</t>
  </si>
  <si>
    <t xml:space="preserve"> Consevación de Mejoras</t>
  </si>
  <si>
    <t xml:space="preserve"> Energia casco</t>
  </si>
  <si>
    <t xml:space="preserve"> Vehiculo</t>
  </si>
  <si>
    <t>Subtotal Gastos Variables</t>
  </si>
  <si>
    <t>Subtotal Gastos Estructura</t>
  </si>
  <si>
    <t>Subtotal Insumos con renta</t>
  </si>
  <si>
    <t>Sorgo silo</t>
  </si>
  <si>
    <t>Urea</t>
  </si>
  <si>
    <t>Energia casco</t>
  </si>
  <si>
    <t>GASTOS DE ESTRUCTURA</t>
  </si>
  <si>
    <t>Semilla</t>
  </si>
  <si>
    <t>Semillas</t>
  </si>
  <si>
    <t>Soja 2ª</t>
  </si>
  <si>
    <t>Aumento por pastoreo</t>
  </si>
  <si>
    <t>Req.para mantenim. (Mcal EM/d) =</t>
  </si>
  <si>
    <t>Digestibilidad</t>
  </si>
  <si>
    <t>CNM</t>
  </si>
  <si>
    <t>Sup útil</t>
  </si>
  <si>
    <t>Reparación y mantenimiento</t>
  </si>
  <si>
    <t>Combustible y lubricantes</t>
  </si>
  <si>
    <t>Contratada</t>
  </si>
  <si>
    <t>Maquinaria</t>
  </si>
  <si>
    <t>Energia</t>
  </si>
  <si>
    <t xml:space="preserve">Sanidad </t>
  </si>
  <si>
    <t xml:space="preserve">Higiene </t>
  </si>
  <si>
    <t>Inseminación</t>
  </si>
  <si>
    <t>Concentrados</t>
  </si>
  <si>
    <t>Leche terneros</t>
  </si>
  <si>
    <t>Alimentación</t>
  </si>
  <si>
    <t>Fitosanitarios</t>
  </si>
  <si>
    <t>Pastoreo</t>
  </si>
  <si>
    <t>Sueldos y jornales</t>
  </si>
  <si>
    <t>Trabajo</t>
  </si>
  <si>
    <t>Sueldo del administrador</t>
  </si>
  <si>
    <t>Ficto administración</t>
  </si>
  <si>
    <t>Otros gastos de administración</t>
  </si>
  <si>
    <t>Mano de obra estructura</t>
  </si>
  <si>
    <t>Mano de obra familiar</t>
  </si>
  <si>
    <t>Energía estructura</t>
  </si>
  <si>
    <t>Vehículo</t>
  </si>
  <si>
    <t>TOTAL GASTOS DE ESTRUCTURA</t>
  </si>
  <si>
    <t>Carne lechería</t>
  </si>
  <si>
    <t>Forrajes</t>
  </si>
  <si>
    <t>PB Total</t>
  </si>
  <si>
    <t>Superficie de cultivos, %</t>
  </si>
  <si>
    <t>Agricultura</t>
  </si>
  <si>
    <t>Carne, U$S / kg producido</t>
  </si>
  <si>
    <t>Carne lechería, kg / há SPL</t>
  </si>
  <si>
    <t>litros / Vaca masa</t>
  </si>
  <si>
    <t>VM, UG / ha SPL</t>
  </si>
  <si>
    <t>Resto, UG / Há SPL</t>
  </si>
  <si>
    <t>UG / há SPL</t>
  </si>
  <si>
    <t>Producto bruto total</t>
  </si>
  <si>
    <t>Insumos (sin renta)</t>
  </si>
  <si>
    <t>Ingreso del capital</t>
  </si>
  <si>
    <t>Concentrado, gr / lt</t>
  </si>
  <si>
    <t>Relación Insumo / Producto</t>
  </si>
  <si>
    <t>kg / Há SPL</t>
  </si>
  <si>
    <t>Activo promedio</t>
  </si>
  <si>
    <t>kg / VM</t>
  </si>
  <si>
    <t>Rentabilidad sectorial</t>
  </si>
  <si>
    <t>Total Insumos</t>
  </si>
  <si>
    <t>Total maquinaria</t>
  </si>
  <si>
    <t>Mano de obra estructura, BPS</t>
  </si>
  <si>
    <t>Energía</t>
  </si>
  <si>
    <t>Total alimentación del ganado</t>
  </si>
  <si>
    <t>Total trabajo, rubros</t>
  </si>
  <si>
    <t>Retiros</t>
  </si>
  <si>
    <t>Renta</t>
  </si>
  <si>
    <t>INSUMOS</t>
  </si>
  <si>
    <t>Arrendamientos</t>
  </si>
  <si>
    <t>kg</t>
  </si>
  <si>
    <t>INVERSIONES</t>
  </si>
  <si>
    <t>Recría</t>
  </si>
  <si>
    <t>Leyes sociales</t>
  </si>
  <si>
    <t>Contribución inmobiliaria</t>
  </si>
  <si>
    <t>Req. EM, Mcal/día</t>
  </si>
  <si>
    <t>Req. para producción (Mcal EM/d)</t>
  </si>
  <si>
    <t>Requerimientos totales, MS/animal</t>
  </si>
  <si>
    <t>Requerimientos totales, Kcal EM/animal/d</t>
  </si>
  <si>
    <t>R. gestación 8 mes Kcal EM/d</t>
  </si>
  <si>
    <t>CN bajo</t>
  </si>
  <si>
    <t>Oferta</t>
  </si>
  <si>
    <t xml:space="preserve">Lactantes </t>
  </si>
  <si>
    <t>PP 1</t>
  </si>
  <si>
    <t>PP 2</t>
  </si>
  <si>
    <t>PP 3</t>
  </si>
  <si>
    <t>PP 4</t>
  </si>
  <si>
    <t>Prad 1</t>
  </si>
  <si>
    <t>Prad 2</t>
  </si>
  <si>
    <t>Prad 3</t>
  </si>
  <si>
    <t>Prad 4</t>
  </si>
  <si>
    <t>Trigo pastoreo</t>
  </si>
  <si>
    <t>Cebada pastoreo</t>
  </si>
  <si>
    <t>Maíz Grano</t>
  </si>
  <si>
    <t>Sorgo grano</t>
  </si>
  <si>
    <t>Trigo grano</t>
  </si>
  <si>
    <t>Cebada grano</t>
  </si>
  <si>
    <t>Avena grano</t>
  </si>
  <si>
    <t>Colza grano</t>
  </si>
  <si>
    <t xml:space="preserve">Sudan </t>
  </si>
  <si>
    <t xml:space="preserve">Uso </t>
  </si>
  <si>
    <t>Barb SPL</t>
  </si>
  <si>
    <t xml:space="preserve">Vacas Ordeñe </t>
  </si>
  <si>
    <t xml:space="preserve">Mes de inicio </t>
  </si>
  <si>
    <t>Machos - 1 a 2 años</t>
  </si>
  <si>
    <t>Machos - menos 1 año</t>
  </si>
  <si>
    <t>Machos - 2 a 3 años</t>
  </si>
  <si>
    <t xml:space="preserve">Peso al parto de las vaquillonas </t>
  </si>
  <si>
    <t>Machos - 6 m</t>
  </si>
  <si>
    <t>PC %</t>
  </si>
  <si>
    <t>Reserva</t>
  </si>
  <si>
    <t>VM</t>
  </si>
  <si>
    <t xml:space="preserve">Recría </t>
  </si>
  <si>
    <t xml:space="preserve">SPL </t>
  </si>
  <si>
    <t>SPG</t>
  </si>
  <si>
    <t xml:space="preserve">Reservas </t>
  </si>
  <si>
    <t xml:space="preserve">Edad al primer parto </t>
  </si>
  <si>
    <t>Peso al servicio</t>
  </si>
  <si>
    <t>meses</t>
  </si>
  <si>
    <t>Vaquillonas a parir en el 1 er trimestre</t>
  </si>
  <si>
    <t>Vaquillonas a parir en el 2do trimestre</t>
  </si>
  <si>
    <t>Vaquillonas a parir en el 3er trimestre</t>
  </si>
  <si>
    <t>Vaquillonas a parir en el 4to trimestre</t>
  </si>
  <si>
    <t>Vaquillonas sin entorar</t>
  </si>
  <si>
    <t>R. gestación, Kcal EM/d</t>
  </si>
  <si>
    <t>Req. total</t>
  </si>
  <si>
    <t xml:space="preserve">Inversiones </t>
  </si>
  <si>
    <t>Otros ingresos no PB (aportes + créditos fiscales)</t>
  </si>
  <si>
    <t>Ingrediente</t>
  </si>
  <si>
    <t>%MS</t>
  </si>
  <si>
    <t>%PC</t>
  </si>
  <si>
    <t>Heno de alfalfa</t>
  </si>
  <si>
    <t>Heno de moha</t>
  </si>
  <si>
    <t>Heno de festuca</t>
  </si>
  <si>
    <t>Heno de avena</t>
  </si>
  <si>
    <t>Ensilaje de trigo</t>
  </si>
  <si>
    <t>Ensilaje de sudangrás</t>
  </si>
  <si>
    <t>Ensilaje de sorgo</t>
  </si>
  <si>
    <t>Ensilaje de avena</t>
  </si>
  <si>
    <t>Paja de trigo</t>
  </si>
  <si>
    <t>Paja de cebada</t>
  </si>
  <si>
    <t>Paja de avena</t>
  </si>
  <si>
    <t>Paja de arroz</t>
  </si>
  <si>
    <t>Paja de maíz</t>
  </si>
  <si>
    <t>Brotes de malta (raicillas)</t>
  </si>
  <si>
    <t>Si</t>
  </si>
  <si>
    <t>No</t>
  </si>
  <si>
    <t>Ficto de Administración</t>
  </si>
  <si>
    <t>Mano de obra Familiar</t>
  </si>
  <si>
    <t>U$S/totales</t>
  </si>
  <si>
    <t xml:space="preserve">Precio </t>
  </si>
  <si>
    <t>kg de PC</t>
  </si>
  <si>
    <t>Mcal EM</t>
  </si>
  <si>
    <t xml:space="preserve">Autoconsumo de granos </t>
  </si>
  <si>
    <t xml:space="preserve">Cultivo </t>
  </si>
  <si>
    <t xml:space="preserve">TOTAL </t>
  </si>
  <si>
    <t>Vacunos lechería</t>
  </si>
  <si>
    <t>Vacunos ganadería</t>
  </si>
  <si>
    <t xml:space="preserve">Cuentas a cobrar </t>
  </si>
  <si>
    <t>E mantenimiento</t>
  </si>
  <si>
    <t xml:space="preserve">E ganancia </t>
  </si>
  <si>
    <t>E total</t>
  </si>
  <si>
    <t>Proteina, g/d</t>
  </si>
  <si>
    <t>Req. total, Mcal</t>
  </si>
  <si>
    <t>Requerimiento totales de Energía Recría</t>
  </si>
  <si>
    <t>Requerimiento MS totales Recría</t>
  </si>
  <si>
    <t>Requerimientos de MS</t>
  </si>
  <si>
    <t xml:space="preserve">consumo </t>
  </si>
  <si>
    <t>Costo</t>
  </si>
  <si>
    <t>Concentrado proteico</t>
  </si>
  <si>
    <t xml:space="preserve">Concentrado energético </t>
  </si>
  <si>
    <t>Autoconsumo de granos</t>
  </si>
  <si>
    <t>has</t>
  </si>
  <si>
    <t>Reservas</t>
  </si>
  <si>
    <t xml:space="preserve">días </t>
  </si>
  <si>
    <t>Balance para Animales en Ordeñe</t>
  </si>
  <si>
    <t xml:space="preserve">Requerimientos MS total </t>
  </si>
  <si>
    <t>Contado</t>
  </si>
  <si>
    <t>30 días</t>
  </si>
  <si>
    <t>60 días</t>
  </si>
  <si>
    <t xml:space="preserve">Ingresos </t>
  </si>
  <si>
    <t xml:space="preserve">PB leche </t>
  </si>
  <si>
    <t>PB carne lechería</t>
  </si>
  <si>
    <t>PB carne ganadería</t>
  </si>
  <si>
    <t xml:space="preserve">PB cultivo </t>
  </si>
  <si>
    <t>PB semilleros</t>
  </si>
  <si>
    <t xml:space="preserve">TR semillero </t>
  </si>
  <si>
    <t xml:space="preserve">TB semillero </t>
  </si>
  <si>
    <t xml:space="preserve">Achicoria Semillero </t>
  </si>
  <si>
    <t xml:space="preserve">Dactylis Semillero </t>
  </si>
  <si>
    <t xml:space="preserve">Festuca Semillero </t>
  </si>
  <si>
    <t xml:space="preserve">Rg semillero </t>
  </si>
  <si>
    <t xml:space="preserve">General </t>
  </si>
  <si>
    <t>UsoSuelo</t>
  </si>
  <si>
    <t>Insumosforrajeras</t>
  </si>
  <si>
    <t xml:space="preserve">Precios </t>
  </si>
  <si>
    <t>Animales</t>
  </si>
  <si>
    <t xml:space="preserve">Alimentos </t>
  </si>
  <si>
    <t>Semilleros</t>
  </si>
  <si>
    <t xml:space="preserve">CreditosInversiones </t>
  </si>
  <si>
    <t>Insumos</t>
  </si>
  <si>
    <t>Calcula el gasto de insumos (semillas, agroquimicos, fertilizantes, maquinaria) en la implantación y mantenimiento de pasturas y cultivos. Además calcula el gasto en maquinaria e inusmos de la confección de reservas</t>
  </si>
  <si>
    <t>Se dede ingresar el nivel de insumo y previamente actualizar los precios de los insumos en la solapa Precios</t>
  </si>
  <si>
    <t xml:space="preserve">Contiene listado de las opciones forrajeras a seleccionar en la pestaña uso del suelo. Además contiene la producción de MS, contenido de PC(%) y Enl por opción forrajera. </t>
  </si>
  <si>
    <t xml:space="preserve">Realiza un balance forrajero y calculo de MS de reservas y concentrados a consumir por mes. </t>
  </si>
  <si>
    <t xml:space="preserve">Resultadosfísicos </t>
  </si>
  <si>
    <t xml:space="preserve">Pestaña en la que se debe cargar el uso de suelo del establecimiento, el destino de cada potrero (Vo, recría, invernada). Resume el uso del suelo por destino, área y opción forrajera.  </t>
  </si>
  <si>
    <t xml:space="preserve">Resume los resultados físicos del ejercicio proyectado. </t>
  </si>
  <si>
    <t>Resume los ingresos proyectados de la empresa para el ejercicio, estan deglosados en:</t>
  </si>
  <si>
    <t xml:space="preserve">Oferta de MS forraje total </t>
  </si>
  <si>
    <t xml:space="preserve">Oferta de  MS de forraje total </t>
  </si>
  <si>
    <t xml:space="preserve">Uso del suelo </t>
  </si>
  <si>
    <t xml:space="preserve">VO </t>
  </si>
  <si>
    <t>Producción de forraje y reserva</t>
  </si>
  <si>
    <t xml:space="preserve"> Objetivo de la planilla</t>
  </si>
  <si>
    <t xml:space="preserve">(gris) Celdas a cargar con información </t>
  </si>
  <si>
    <t xml:space="preserve">Celdas que corroboran totales - En caso de estar este color muestra un error en el total </t>
  </si>
  <si>
    <t xml:space="preserve">Resume los Insumos proyectados. Se debe ingresar los gastos del último ejercicio o el mejor dato que se tenga. </t>
  </si>
  <si>
    <t xml:space="preserve">Fardos </t>
  </si>
  <si>
    <t>animal</t>
  </si>
  <si>
    <t>kg PV</t>
  </si>
  <si>
    <t xml:space="preserve">Semilleros </t>
  </si>
  <si>
    <t>Consumo de Reservas</t>
  </si>
  <si>
    <t>Recría (% PV consumo max de forraje)</t>
  </si>
  <si>
    <t xml:space="preserve">Peso </t>
  </si>
  <si>
    <t xml:space="preserve">N de fardos </t>
  </si>
  <si>
    <t>N de silopaq</t>
  </si>
  <si>
    <t xml:space="preserve">has ensiladas </t>
  </si>
  <si>
    <t xml:space="preserve">Ganado </t>
  </si>
  <si>
    <t xml:space="preserve">Nuevos Créditos </t>
  </si>
  <si>
    <t xml:space="preserve">NUEVOS CRÉDITOS </t>
  </si>
  <si>
    <t xml:space="preserve">PAGO DE CRÉDITOS </t>
  </si>
  <si>
    <t>Carne Lechería</t>
  </si>
  <si>
    <t>Vacas en ordeñe promedio</t>
  </si>
  <si>
    <t>Superficie útil, has</t>
  </si>
  <si>
    <t>Labor/Insumo</t>
  </si>
  <si>
    <t>unidad</t>
  </si>
  <si>
    <t>Unidad</t>
  </si>
  <si>
    <t>U$S/ha</t>
  </si>
  <si>
    <t>US$/unidad</t>
  </si>
  <si>
    <t>Real</t>
  </si>
  <si>
    <t>Set</t>
  </si>
  <si>
    <t>Promedio</t>
  </si>
  <si>
    <t>Hembras</t>
  </si>
  <si>
    <t>Reparación ordinaria maquinaria</t>
  </si>
  <si>
    <t>Reparación extraordinaria maquinaria</t>
  </si>
  <si>
    <t>Labores contratadas</t>
  </si>
  <si>
    <t>por animal</t>
  </si>
  <si>
    <t>por litros</t>
  </si>
  <si>
    <t>Praderas Nuevas</t>
  </si>
  <si>
    <t xml:space="preserve">Verdeos de Invierno </t>
  </si>
  <si>
    <t>Barb Agrícola</t>
  </si>
  <si>
    <t>Cultivos Agrícolas</t>
  </si>
  <si>
    <t>Montes</t>
  </si>
  <si>
    <t>Barbechos y otros (SU)</t>
  </si>
  <si>
    <t>Callejones, tambo</t>
  </si>
  <si>
    <t>Porcentaje producción por estación, %</t>
  </si>
  <si>
    <t>Cultivos de Verano para Reserva</t>
  </si>
  <si>
    <t>Cultivos de Invierno para Reserva</t>
  </si>
  <si>
    <t xml:space="preserve">Agricultura y semilleros en área TOTAL  </t>
  </si>
  <si>
    <t>Agricultura y semilleros en área VO</t>
  </si>
  <si>
    <t>Sub Total Semilleros</t>
  </si>
  <si>
    <t xml:space="preserve">Labores </t>
  </si>
  <si>
    <t xml:space="preserve">ton </t>
  </si>
  <si>
    <t xml:space="preserve">Fertilizantes </t>
  </si>
  <si>
    <t xml:space="preserve">Agroquímicos </t>
  </si>
  <si>
    <t xml:space="preserve">Fertilizante </t>
  </si>
  <si>
    <t xml:space="preserve">Unidad </t>
  </si>
  <si>
    <t>Precio U$S/unidad</t>
  </si>
  <si>
    <t xml:space="preserve">has </t>
  </si>
  <si>
    <t>Pastura</t>
  </si>
  <si>
    <t xml:space="preserve">Pastura </t>
  </si>
  <si>
    <t>Agrícola</t>
  </si>
  <si>
    <t xml:space="preserve">Semillero </t>
  </si>
  <si>
    <t>Uso de insumos en unidades por mes</t>
  </si>
  <si>
    <t>unidades totales</t>
  </si>
  <si>
    <t xml:space="preserve">Siembras de Primavera - Verano </t>
  </si>
  <si>
    <t>Entradas</t>
  </si>
  <si>
    <t>Compra</t>
  </si>
  <si>
    <t>cab</t>
  </si>
  <si>
    <t>Peso</t>
  </si>
  <si>
    <t>kg/cab</t>
  </si>
  <si>
    <t xml:space="preserve">cab </t>
  </si>
  <si>
    <t>%</t>
  </si>
  <si>
    <t>Salidas</t>
  </si>
  <si>
    <t>Muerte</t>
  </si>
  <si>
    <t>kg/cab.día</t>
  </si>
  <si>
    <t>U$S/kg</t>
  </si>
  <si>
    <t>Secados Reales</t>
  </si>
  <si>
    <t xml:space="preserve">TOTAL ENTRADAS </t>
  </si>
  <si>
    <t>TOTAL SALIDAS</t>
  </si>
  <si>
    <t xml:space="preserve">Producción mensual </t>
  </si>
  <si>
    <t>Litros</t>
  </si>
  <si>
    <t xml:space="preserve">Litros </t>
  </si>
  <si>
    <t xml:space="preserve">Consumo de leche - Terneros </t>
  </si>
  <si>
    <t>Consumo de leche - Humano</t>
  </si>
  <si>
    <t xml:space="preserve">Desvío de leche </t>
  </si>
  <si>
    <t xml:space="preserve">Remisión mensual de leche </t>
  </si>
  <si>
    <t xml:space="preserve">Vacas secas </t>
  </si>
  <si>
    <t xml:space="preserve">Secados </t>
  </si>
  <si>
    <t xml:space="preserve">Vaca seca promedio </t>
  </si>
  <si>
    <t>Vaquillonas preñadas</t>
  </si>
  <si>
    <t>a parir en el 1er trimestre</t>
  </si>
  <si>
    <t xml:space="preserve">Partos de vacas secas compradas </t>
  </si>
  <si>
    <t>Partos</t>
  </si>
  <si>
    <t>a parir en el 2do trimestre</t>
  </si>
  <si>
    <t>a parir en el 3er trimestre</t>
  </si>
  <si>
    <t>Partos vaquillonas compradas</t>
  </si>
  <si>
    <t>a parir en el 4to trimestre</t>
  </si>
  <si>
    <t xml:space="preserve">Vaquillonas sin entorar </t>
  </si>
  <si>
    <t>Terneras &gt; 2 meses &lt; 6 meses</t>
  </si>
  <si>
    <t xml:space="preserve">Terneras &gt; 6 meses </t>
  </si>
  <si>
    <t xml:space="preserve">Terneras Lactantes </t>
  </si>
  <si>
    <t xml:space="preserve">Toros </t>
  </si>
  <si>
    <t>U$S VENTA ECONOMICO - GANADERO</t>
  </si>
  <si>
    <t xml:space="preserve">U$S COMPRA ECONOMICO - LECHERO </t>
  </si>
  <si>
    <t xml:space="preserve">U$S COMPRA ECONOMICO - GANADERO </t>
  </si>
  <si>
    <t xml:space="preserve">Días del mes </t>
  </si>
  <si>
    <t xml:space="preserve">Peso Final </t>
  </si>
  <si>
    <t xml:space="preserve">Peso Promedio </t>
  </si>
  <si>
    <t>Cambio de categoría</t>
  </si>
  <si>
    <t xml:space="preserve">Peso de hembras a los 6 meses de edad  </t>
  </si>
  <si>
    <t>Stock promedio</t>
  </si>
  <si>
    <t xml:space="preserve">Terneras +6m </t>
  </si>
  <si>
    <t>Vaquillonas preñadas a parir en el 1er trimestre</t>
  </si>
  <si>
    <t>Vaquillonas preñadas a parir en el 2do trimestre</t>
  </si>
  <si>
    <t>Vaquillonas preñadas a parir en el 3er trimestre</t>
  </si>
  <si>
    <t>Vaquillonas preñadas a parir en el 4to trimestre</t>
  </si>
  <si>
    <t>Diferencia de inventario</t>
  </si>
  <si>
    <t>cab/kg</t>
  </si>
  <si>
    <t>TOTAL LECHERIA</t>
  </si>
  <si>
    <t xml:space="preserve">Ingreso por cobro de leche (U$S/mes) - FINANCIERO </t>
  </si>
  <si>
    <t xml:space="preserve">CONTADO </t>
  </si>
  <si>
    <t>30 DÍAS</t>
  </si>
  <si>
    <t>60 DÍAS</t>
  </si>
  <si>
    <t xml:space="preserve">Contado </t>
  </si>
  <si>
    <t>Producto Bruto Carne Lechería (U$S/mes) - ECONÓMICO</t>
  </si>
  <si>
    <t>Producto Bruto Carne Ganadería (U$S/mes) - ECONÓMICO</t>
  </si>
  <si>
    <t>Requerimientos de PC, g</t>
  </si>
  <si>
    <t>requerimientos de PC en %</t>
  </si>
  <si>
    <t>Calidad promedio de la reserva</t>
  </si>
  <si>
    <t>Energía, ENL/kgMS</t>
  </si>
  <si>
    <t>PC, %</t>
  </si>
  <si>
    <t xml:space="preserve">Superficies </t>
  </si>
  <si>
    <t>Concentrado</t>
  </si>
  <si>
    <t>U$S/kg BF</t>
  </si>
  <si>
    <t xml:space="preserve">Cobro de leche </t>
  </si>
  <si>
    <t xml:space="preserve">Concentrado proteico </t>
  </si>
  <si>
    <t xml:space="preserve">precio </t>
  </si>
  <si>
    <t>U$S TOTALES</t>
  </si>
  <si>
    <t xml:space="preserve">Ton cosechadas </t>
  </si>
  <si>
    <t xml:space="preserve">Toneladas usadas, suplementación </t>
  </si>
  <si>
    <t xml:space="preserve">Saldo Vendible </t>
  </si>
  <si>
    <t xml:space="preserve">Precio de venta </t>
  </si>
  <si>
    <t>Mes de cosecha</t>
  </si>
  <si>
    <t>Producto Bruto Cultivos (U$S/mes) - ECONÓMICO</t>
  </si>
  <si>
    <t>mes</t>
  </si>
  <si>
    <t>U$S/ton</t>
  </si>
  <si>
    <t xml:space="preserve">Rendimiento </t>
  </si>
  <si>
    <t>ton/ha</t>
  </si>
  <si>
    <t>Superficie cosechada</t>
  </si>
  <si>
    <t>Producto Bruto Cultivos TOTAL  (U$S/mes) - ECONÓMICO</t>
  </si>
  <si>
    <t xml:space="preserve">Varios </t>
  </si>
  <si>
    <t xml:space="preserve">Gastos Variables Adicionales </t>
  </si>
  <si>
    <t xml:space="preserve">Gastos Estructura Adicionales </t>
  </si>
  <si>
    <t xml:space="preserve">TOTAL, económico </t>
  </si>
  <si>
    <t xml:space="preserve">TOTAL, financiero </t>
  </si>
  <si>
    <t>Producto Bruto Semilleros TOTAL  (U$S/mes) - ECONÓMICO</t>
  </si>
  <si>
    <t xml:space="preserve">Ingreso por venta Semilleros TOTAL (U$S/mes)  - FINANCIERO </t>
  </si>
  <si>
    <t>Producto Bruto Semilleros (U$S/mes) - ECONÓMICO</t>
  </si>
  <si>
    <t xml:space="preserve">Ingreso por venta Semilleros (U$S/mes)  - FINANCIERO </t>
  </si>
  <si>
    <t>Otros ingredos PB (suinos, venta de servicios….)</t>
  </si>
  <si>
    <t xml:space="preserve">Maquinaria </t>
  </si>
  <si>
    <t>Pastoreos</t>
  </si>
  <si>
    <t xml:space="preserve">Trabajo </t>
  </si>
  <si>
    <t xml:space="preserve">Gastos Adicionales Variables </t>
  </si>
  <si>
    <t xml:space="preserve">SALDO MENSUAL - luego de Gastos y Retiros </t>
  </si>
  <si>
    <t xml:space="preserve">SALDO ACUMULADO - luego de pago de créditos </t>
  </si>
  <si>
    <t xml:space="preserve">SALDO ACUMULADO - luego de inversiones </t>
  </si>
  <si>
    <t>VM, UG/ha SPL</t>
  </si>
  <si>
    <t>VM, Nº/ha SPL</t>
  </si>
  <si>
    <t>Relación VO / VM</t>
  </si>
  <si>
    <t>% de descarte</t>
  </si>
  <si>
    <t>Partos totales</t>
  </si>
  <si>
    <t>% Partos vaquillonas</t>
  </si>
  <si>
    <t>Tasa de reemplazo</t>
  </si>
  <si>
    <t>Producción de leche, L/ha SPL</t>
  </si>
  <si>
    <t>Precio promedio de leche</t>
  </si>
  <si>
    <t xml:space="preserve">de los partos totales </t>
  </si>
  <si>
    <t xml:space="preserve">del stock al inicio </t>
  </si>
  <si>
    <t>Requerimiento de E, Mcal EM/VO/d</t>
  </si>
  <si>
    <t>Requerimiento de P, Kg/PC VO/d</t>
  </si>
  <si>
    <t xml:space="preserve">Forraje Mcal, concentracion </t>
  </si>
  <si>
    <t xml:space="preserve">Forraje. MCAL APORTE </t>
  </si>
  <si>
    <t>Mcal con</t>
  </si>
  <si>
    <t>Reservas Mcal, APORTE</t>
  </si>
  <si>
    <t>Reservas PC APORTE</t>
  </si>
  <si>
    <t xml:space="preserve">Listado para necesidad de compra de ambas estaciones de siembra </t>
  </si>
  <si>
    <t xml:space="preserve">INVIERNO </t>
  </si>
  <si>
    <t xml:space="preserve">INV+VERANO </t>
  </si>
  <si>
    <t xml:space="preserve">VERANO </t>
  </si>
  <si>
    <t xml:space="preserve">Pasturas y cultivos </t>
  </si>
  <si>
    <t xml:space="preserve">Semilleros leguminosas + otros </t>
  </si>
  <si>
    <t xml:space="preserve">Semilleros gramíneas  </t>
  </si>
  <si>
    <t xml:space="preserve">Maquinaria contratada - Confección de reservas </t>
  </si>
  <si>
    <t xml:space="preserve">Terneros lactantes </t>
  </si>
  <si>
    <t xml:space="preserve">Preparto </t>
  </si>
  <si>
    <t xml:space="preserve">Vacas en Ordeñe </t>
  </si>
  <si>
    <t>Sugerida</t>
  </si>
  <si>
    <t>Ajustada</t>
  </si>
  <si>
    <t>Pérdida %</t>
  </si>
  <si>
    <t>Pérdidas %</t>
  </si>
  <si>
    <t>Comederos - Sala de Ordeñe</t>
  </si>
  <si>
    <t>Pista de alimentación</t>
  </si>
  <si>
    <t>Lugar  de suministro</t>
  </si>
  <si>
    <t>Toros</t>
  </si>
  <si>
    <t>Vacas descarte - ganadería</t>
  </si>
  <si>
    <t>TOTAL GANADERIA</t>
  </si>
  <si>
    <t xml:space="preserve">Vacas + Vaquillonas preparto </t>
  </si>
  <si>
    <t xml:space="preserve">Terneras &lt; 6 meses </t>
  </si>
  <si>
    <t xml:space="preserve">Terneras lactantes </t>
  </si>
  <si>
    <t xml:space="preserve">Terneros &lt; 6 meses </t>
  </si>
  <si>
    <t xml:space="preserve">tipo </t>
  </si>
  <si>
    <t>Egresos - compra de ganado Lechería (U$S/mes) - ECONÓMICO</t>
  </si>
  <si>
    <t xml:space="preserve">Egreso compra de ganado Lechería (U$S/mes) </t>
  </si>
  <si>
    <t xml:space="preserve">Egreso compra de ganado Ganadería (U$S/mes) </t>
  </si>
  <si>
    <t xml:space="preserve"> Energía</t>
  </si>
  <si>
    <t xml:space="preserve"> Varios</t>
  </si>
  <si>
    <t xml:space="preserve"> Pasturas y cultivos </t>
  </si>
  <si>
    <t xml:space="preserve"> Alimentación del ganado</t>
  </si>
  <si>
    <t xml:space="preserve">Variables adicionales </t>
  </si>
  <si>
    <t xml:space="preserve"> Variables adicionales </t>
  </si>
  <si>
    <t xml:space="preserve">Estructura adicionales </t>
  </si>
  <si>
    <t xml:space="preserve"> Estructura adicionales </t>
  </si>
  <si>
    <t xml:space="preserve">Impuestos </t>
  </si>
  <si>
    <t xml:space="preserve">has arrendadas </t>
  </si>
  <si>
    <t xml:space="preserve">Otro </t>
  </si>
  <si>
    <t xml:space="preserve">Otros trabajo </t>
  </si>
  <si>
    <t>Ejercicio Anterior</t>
  </si>
  <si>
    <t>Total pasturas</t>
  </si>
  <si>
    <t>Total cultivos</t>
  </si>
  <si>
    <t>U$S/ha de sup. útil</t>
  </si>
  <si>
    <t>Balance energético Mcal EM, luego de Forraje + reservas</t>
  </si>
  <si>
    <t xml:space="preserve">Calculado </t>
  </si>
  <si>
    <t>A COMPRAR, CANTIDADES</t>
  </si>
  <si>
    <t xml:space="preserve">Confeccion de reservas - gasto en cosechas </t>
  </si>
  <si>
    <t xml:space="preserve">Cosecha de granos </t>
  </si>
  <si>
    <t xml:space="preserve">Cosecha de semilleros </t>
  </si>
  <si>
    <t>Concentrado energético</t>
  </si>
  <si>
    <t>kg BF/VO.día</t>
  </si>
  <si>
    <t>kgMS/VO.día</t>
  </si>
  <si>
    <t>Reservas oferta kg MS/VO/d</t>
  </si>
  <si>
    <t>kg de reserva dado real compara con la oferta de reserva 2 saca negativo s</t>
  </si>
  <si>
    <t>Soja reserva</t>
  </si>
  <si>
    <t>PP 5</t>
  </si>
  <si>
    <t xml:space="preserve">Henolaje de sorgo </t>
  </si>
  <si>
    <t xml:space="preserve">Real </t>
  </si>
  <si>
    <t xml:space="preserve">Ajustado </t>
  </si>
  <si>
    <t xml:space="preserve">Refertilización </t>
  </si>
  <si>
    <t xml:space="preserve">Consumo de forraje </t>
  </si>
  <si>
    <t>Consumo de reservas</t>
  </si>
  <si>
    <t>Consumo de forraje, lo q haya hasta el max</t>
  </si>
  <si>
    <t xml:space="preserve">Consumo de reservas, la diferencia entre el max y el </t>
  </si>
  <si>
    <t xml:space="preserve">Aporte de Mcal de forraje </t>
  </si>
  <si>
    <t>Aporte de Mcal de reservas</t>
  </si>
  <si>
    <t xml:space="preserve">concentración de Mcal del forraje </t>
  </si>
  <si>
    <t xml:space="preserve">Requerimientos Mcal total </t>
  </si>
  <si>
    <t>Faltante de energía</t>
  </si>
  <si>
    <t xml:space="preserve">kg de concentrado </t>
  </si>
  <si>
    <t xml:space="preserve">Consumo de reservas, la diferencia entre el max y el comparado con el saldo </t>
  </si>
  <si>
    <t xml:space="preserve">Consumo de concentrados </t>
  </si>
  <si>
    <t>kgMS/total mensual</t>
  </si>
  <si>
    <t>Consumo de concentrados, considerando el % de pérdida</t>
  </si>
  <si>
    <t>kgBF/total mensual</t>
  </si>
  <si>
    <t xml:space="preserve">Saldos de Forraje </t>
  </si>
  <si>
    <t>Área de Vaca Ordeñe</t>
  </si>
  <si>
    <t>kg MS/cab.día</t>
  </si>
  <si>
    <t>kg BF/cab.día</t>
  </si>
  <si>
    <t xml:space="preserve">Combustible otras labores </t>
  </si>
  <si>
    <t>Producto a guardar</t>
  </si>
  <si>
    <t xml:space="preserve">Tasación de maquinaria </t>
  </si>
  <si>
    <t>semilla</t>
  </si>
  <si>
    <t>Concentrado concentración EM energético (Mcal/kg)</t>
  </si>
  <si>
    <t xml:space="preserve">Mcal EM total </t>
  </si>
  <si>
    <t xml:space="preserve">kg PC total </t>
  </si>
  <si>
    <t>Mcal EM/kgMS</t>
  </si>
  <si>
    <t>Saldo MS</t>
  </si>
  <si>
    <t>Saldo PC</t>
  </si>
  <si>
    <t>Saldo Mcal</t>
  </si>
  <si>
    <t xml:space="preserve">kg MS total </t>
  </si>
  <si>
    <t xml:space="preserve">Aumento por pastoreo </t>
  </si>
  <si>
    <t xml:space="preserve">aumento por pastoreo </t>
  </si>
  <si>
    <t>Preparto</t>
  </si>
  <si>
    <t xml:space="preserve">Terneras de 2 a 6 meses </t>
  </si>
  <si>
    <t>terneras lactante</t>
  </si>
  <si>
    <t xml:space="preserve">Terneros de 2- 6 mese </t>
  </si>
  <si>
    <t xml:space="preserve">Gasto de concentrados U$S, ECONÓMICO </t>
  </si>
  <si>
    <t xml:space="preserve">Gasto de concentrados U$S, FINANCIERO </t>
  </si>
  <si>
    <t xml:space="preserve">Compra real </t>
  </si>
  <si>
    <t xml:space="preserve">Compra ajustada </t>
  </si>
  <si>
    <t xml:space="preserve">kg Ms total </t>
  </si>
  <si>
    <t xml:space="preserve">TOTAL económico </t>
  </si>
  <si>
    <t xml:space="preserve">   </t>
  </si>
  <si>
    <t xml:space="preserve">     </t>
  </si>
  <si>
    <t xml:space="preserve">  </t>
  </si>
  <si>
    <t xml:space="preserve"> </t>
  </si>
  <si>
    <t xml:space="preserve">                                                                               </t>
  </si>
  <si>
    <t xml:space="preserve">                                  </t>
  </si>
  <si>
    <t>U$S/fardo</t>
  </si>
  <si>
    <t>gasto de raciones de cat encerradas</t>
  </si>
  <si>
    <t xml:space="preserve">U$S/unidad </t>
  </si>
  <si>
    <t xml:space="preserve">Maquinaria contratada - Confección de reservas de excedentes </t>
  </si>
  <si>
    <t xml:space="preserve">Total maquinara </t>
  </si>
  <si>
    <t xml:space="preserve">Total materiales </t>
  </si>
  <si>
    <t xml:space="preserve">GASTO de reservas MAQUINARIA </t>
  </si>
  <si>
    <t>GASTO de reservas Materiales</t>
  </si>
  <si>
    <t xml:space="preserve">Materiales </t>
  </si>
  <si>
    <t xml:space="preserve">Silo </t>
  </si>
  <si>
    <t xml:space="preserve">litros/fardo </t>
  </si>
  <si>
    <t>Plazo de cobro</t>
  </si>
  <si>
    <t>Venta de granos</t>
  </si>
  <si>
    <t>Venta de semilla</t>
  </si>
  <si>
    <t>Agricultura (ha)</t>
  </si>
  <si>
    <t>Superficie útil (ha)</t>
  </si>
  <si>
    <t>Superficie propia (ha)</t>
  </si>
  <si>
    <t>Superficie arrendada (ha)</t>
  </si>
  <si>
    <t>Sup. Pastoreo lechero (SPL) (ha)</t>
  </si>
  <si>
    <t>Sup pastoreo vacas en ordeño (ha)</t>
  </si>
  <si>
    <t>Estructura, depreciaciones, impuestos</t>
  </si>
  <si>
    <t>Carne ganadería</t>
  </si>
  <si>
    <t xml:space="preserve">Total maquinaria </t>
  </si>
  <si>
    <t xml:space="preserve">Vaquillonas </t>
  </si>
  <si>
    <t>Vaquillonas</t>
  </si>
  <si>
    <t xml:space="preserve">Maquinaria contratada - Cultivos </t>
  </si>
  <si>
    <t>Maquinaria contratada - Pasturas</t>
  </si>
  <si>
    <t>Sorgo Forrajero</t>
  </si>
  <si>
    <t xml:space="preserve">fardos </t>
  </si>
  <si>
    <t>Propia</t>
  </si>
  <si>
    <t xml:space="preserve">Perinatales </t>
  </si>
  <si>
    <t>de los partos de c/mes</t>
  </si>
  <si>
    <t>En función del porcentaje de pérdida que se cargue, aumentarán las necesidades de concentrados.</t>
  </si>
  <si>
    <t>En función del porcentaje de pérdida que se cargue, aumentarán las necesidades de reservas.</t>
  </si>
  <si>
    <t>IMEBA (sobre ventas) - Leche</t>
  </si>
  <si>
    <t>IMEBA (sobre ventas) - Carne</t>
  </si>
  <si>
    <t>IMEBA (sobre ventas) - Granos</t>
  </si>
  <si>
    <t>IMEBA (sobre ventas) - Semillas</t>
  </si>
  <si>
    <t>IMEBA (sobre ventas) - Otros</t>
  </si>
  <si>
    <t>Stock inicial (ton)</t>
  </si>
  <si>
    <t>US$</t>
  </si>
  <si>
    <t>US$ totales</t>
  </si>
  <si>
    <t>Vacas descarte - Invernada</t>
  </si>
  <si>
    <t>Precio neto (US$/ton)</t>
  </si>
  <si>
    <t>Vacas descarte - Lechería</t>
  </si>
  <si>
    <t>Cesiones desde Lechería</t>
  </si>
  <si>
    <t>consumo+cesiones</t>
  </si>
  <si>
    <t xml:space="preserve">FINANCIERO - gastos en concentrados </t>
  </si>
  <si>
    <t>Columna</t>
  </si>
  <si>
    <t>MOVIMIENTOS FINANCIEROS ADICIONALES</t>
  </si>
  <si>
    <t>◄</t>
  </si>
  <si>
    <t xml:space="preserve">Venta al nacimiento </t>
  </si>
  <si>
    <t>Vaquillonas preñadas - a parir en el 1er trimestre</t>
  </si>
  <si>
    <t>Vaquillonas preñadas - a parir en el 2do trimestre</t>
  </si>
  <si>
    <t>Vaquillonas preñadas - a parir en el 3er trimestre</t>
  </si>
  <si>
    <t>Vaquillonas preñadas - a parir en el 4to trimestre</t>
  </si>
  <si>
    <t>U$S tot</t>
  </si>
  <si>
    <t>Todos los precios deben incluir fletes</t>
  </si>
  <si>
    <t>Stocks de reservas y concentrados al inicio</t>
  </si>
  <si>
    <t>Lugar de suministro de concentrados según categoría</t>
  </si>
  <si>
    <t>Activo promedio y Pasivo a inicio</t>
  </si>
  <si>
    <t xml:space="preserve">Caja al inicio </t>
  </si>
  <si>
    <t xml:space="preserve">Cosecha, Hilerada </t>
  </si>
  <si>
    <t>Fertilizantes</t>
  </si>
  <si>
    <t>Confección de reservas de forraje excedente</t>
  </si>
  <si>
    <t xml:space="preserve">Cultivos agrícolas </t>
  </si>
  <si>
    <t xml:space="preserve">Gasoil </t>
  </si>
  <si>
    <t xml:space="preserve">CN, CNM </t>
  </si>
  <si>
    <t xml:space="preserve">Praderas nuevas </t>
  </si>
  <si>
    <t xml:space="preserve">Siembras Otoño - Invierno </t>
  </si>
  <si>
    <t xml:space="preserve">Siembras Primavera - Verano </t>
  </si>
  <si>
    <t>Definición del uso del suelo y siembras previstas</t>
  </si>
  <si>
    <t xml:space="preserve">Cosechas Cultivos Reserva Verano </t>
  </si>
  <si>
    <t xml:space="preserve">Cosechas Cultivos Reserva Invierno  </t>
  </si>
  <si>
    <t>Cosechas Cultivos Agrícolas</t>
  </si>
  <si>
    <t xml:space="preserve">Cosecha Semilleros </t>
  </si>
  <si>
    <t>Compra de reservas</t>
  </si>
  <si>
    <t>Venta de reservas</t>
  </si>
  <si>
    <t>Balance Reservas</t>
  </si>
  <si>
    <t xml:space="preserve">Siembras en área de VO </t>
  </si>
  <si>
    <t>Siembras en área de Recría</t>
  </si>
  <si>
    <t xml:space="preserve">Verano </t>
  </si>
  <si>
    <t>Ago- Set - oct - nov - dic - ene</t>
  </si>
  <si>
    <t xml:space="preserve">SIEMBRAS DE VERANO </t>
  </si>
  <si>
    <t xml:space="preserve">Invierno </t>
  </si>
  <si>
    <t>Para toda el área distribución de las has sembradas</t>
  </si>
  <si>
    <t xml:space="preserve">Venta de activos </t>
  </si>
  <si>
    <t xml:space="preserve">Ingreso por venta de ACTIVOS TOTAL (U$S/mes)  - FINANCIERO </t>
  </si>
  <si>
    <t xml:space="preserve">Venta de Activos </t>
  </si>
  <si>
    <t xml:space="preserve">Otros </t>
  </si>
  <si>
    <t xml:space="preserve">PB TOTAL </t>
  </si>
  <si>
    <t xml:space="preserve">Insumos Asignables </t>
  </si>
  <si>
    <t>Insumos de Estructura</t>
  </si>
  <si>
    <t>PAGO DE RENTA</t>
  </si>
  <si>
    <t>SALDO ACUMULADO - luego de pago de rentas</t>
  </si>
  <si>
    <t>RETIROS</t>
  </si>
  <si>
    <t>SALDO ACUMULADO - luego de retiros</t>
  </si>
  <si>
    <t>kg MS/VM/día</t>
  </si>
  <si>
    <t>kg MS/animal/día</t>
  </si>
  <si>
    <t>Área a Refertilizar</t>
  </si>
  <si>
    <t>Mes</t>
  </si>
  <si>
    <t xml:space="preserve">Área - Confección de Reservas </t>
  </si>
  <si>
    <t>COSECHA</t>
  </si>
  <si>
    <t xml:space="preserve">Siembras de Otoño - Invierno  </t>
  </si>
  <si>
    <t>semillas</t>
  </si>
  <si>
    <t xml:space="preserve">fertilizantes </t>
  </si>
  <si>
    <t xml:space="preserve">Agroquimicos </t>
  </si>
  <si>
    <t>INCLUEYE IMVERNADA + LECHERÍA</t>
  </si>
  <si>
    <t>Lechería</t>
  </si>
  <si>
    <t>has gandería</t>
  </si>
  <si>
    <t>gandería</t>
  </si>
  <si>
    <t xml:space="preserve">total </t>
  </si>
  <si>
    <t>% lechería</t>
  </si>
  <si>
    <t>% ganadería</t>
  </si>
  <si>
    <t xml:space="preserve">U$S </t>
  </si>
  <si>
    <t>lechería</t>
  </si>
  <si>
    <t>ganadería</t>
  </si>
  <si>
    <t xml:space="preserve">INICIO </t>
  </si>
  <si>
    <t xml:space="preserve">Ingresos Económios y Financieros </t>
  </si>
  <si>
    <t>Carne gandería</t>
  </si>
  <si>
    <t xml:space="preserve">Otros ingresos no Producto bruto </t>
  </si>
  <si>
    <t xml:space="preserve">Cultivo en Proceso al inicio </t>
  </si>
  <si>
    <t xml:space="preserve">TOTAL COMBUSTIBLE </t>
  </si>
  <si>
    <t>Resultado Económico, Con Renta Mensual</t>
  </si>
  <si>
    <t xml:space="preserve">Resultado Económico, Con Renta Acumulado </t>
  </si>
  <si>
    <t>Compra de Ganado Lechería</t>
  </si>
  <si>
    <t>Compra de Ganado Invernada</t>
  </si>
  <si>
    <t>Gastos Variables</t>
  </si>
  <si>
    <t>Gastos de Estructura</t>
  </si>
  <si>
    <t xml:space="preserve">Combustible maquinaria </t>
  </si>
  <si>
    <t xml:space="preserve">GASTOS DE ESTRUCTURA - Económicos </t>
  </si>
  <si>
    <t xml:space="preserve">Total Retiros </t>
  </si>
  <si>
    <t>Total Rentas</t>
  </si>
  <si>
    <t xml:space="preserve">Gastos y Retiros </t>
  </si>
  <si>
    <t>Pago Créditos</t>
  </si>
  <si>
    <t>Ganadería</t>
  </si>
  <si>
    <t xml:space="preserve">Cultivos y Semilleros </t>
  </si>
  <si>
    <t>Gandería</t>
  </si>
  <si>
    <t xml:space="preserve">Superficie </t>
  </si>
  <si>
    <t xml:space="preserve">Porcentaje </t>
  </si>
  <si>
    <t xml:space="preserve">Prod. Bruto </t>
  </si>
  <si>
    <t>Pasturas</t>
  </si>
  <si>
    <t>Energía - Lechería</t>
  </si>
  <si>
    <t>Higiene  - Lechería</t>
  </si>
  <si>
    <t>Inseminación  - Lechería</t>
  </si>
  <si>
    <t>Pastoreos  - Lechería</t>
  </si>
  <si>
    <t>G. Estructura</t>
  </si>
  <si>
    <t>Gastos Adicionales Variables - Lechería</t>
  </si>
  <si>
    <t xml:space="preserve">Egresos </t>
  </si>
  <si>
    <t xml:space="preserve">INGRESOS </t>
  </si>
  <si>
    <t xml:space="preserve">EGRESOS </t>
  </si>
  <si>
    <t>Total de Egresos</t>
  </si>
  <si>
    <t xml:space="preserve">Total de Ingresos </t>
  </si>
  <si>
    <t xml:space="preserve">cultivos </t>
  </si>
  <si>
    <t>Varios - Lechería</t>
  </si>
  <si>
    <t xml:space="preserve">Total de Egresos </t>
  </si>
  <si>
    <t>Cultivos  y Semilleros</t>
  </si>
  <si>
    <t>Caja inicio</t>
  </si>
  <si>
    <t>GASTOS</t>
  </si>
  <si>
    <t>GASTOS y RETIROS</t>
  </si>
  <si>
    <t>GASTOS Y RETIROS</t>
  </si>
  <si>
    <t xml:space="preserve">Saldo Mensual </t>
  </si>
  <si>
    <t>Saldo Mensual</t>
  </si>
  <si>
    <t xml:space="preserve">Nuevos créditos </t>
  </si>
  <si>
    <t xml:space="preserve">Saldo Mesnual </t>
  </si>
  <si>
    <t>Pago de Renta</t>
  </si>
  <si>
    <t xml:space="preserve">Leche </t>
  </si>
  <si>
    <t>Carne</t>
  </si>
  <si>
    <t xml:space="preserve">Forrajes </t>
  </si>
  <si>
    <t xml:space="preserve">U$S Total </t>
  </si>
  <si>
    <t xml:space="preserve">U$S/ha SPL </t>
  </si>
  <si>
    <t>Área</t>
  </si>
  <si>
    <t xml:space="preserve">Margen Bruto </t>
  </si>
  <si>
    <t xml:space="preserve">Margen Neto </t>
  </si>
  <si>
    <t xml:space="preserve">Agrícola + Semilleros </t>
  </si>
  <si>
    <t xml:space="preserve">Carne </t>
  </si>
  <si>
    <t xml:space="preserve">Semillas + Fertilizantes + Agroquimicos </t>
  </si>
  <si>
    <t xml:space="preserve">Alimentación </t>
  </si>
  <si>
    <t xml:space="preserve">REFERTILIZACIONES Lechería - COMBUSTIBLE </t>
  </si>
  <si>
    <t xml:space="preserve">REFERTILIZACIONES Ganadería - COMBUSTIBLE </t>
  </si>
  <si>
    <t xml:space="preserve">SIEMBRAS - combustible - Litros </t>
  </si>
  <si>
    <t xml:space="preserve">Refertilizaciones - combustible en litros </t>
  </si>
  <si>
    <t>Superficies</t>
  </si>
  <si>
    <t>Pesos y Porcentaje de Muertes según categoría</t>
  </si>
  <si>
    <t>Mes de incio de la presupuestación</t>
  </si>
  <si>
    <t>Se carga:</t>
  </si>
  <si>
    <t>Lugar de suministro de concentrados y reservas</t>
  </si>
  <si>
    <t>Texto</t>
  </si>
  <si>
    <t>Mensajes a tener en cuenta al completar la planilla</t>
  </si>
  <si>
    <t>Presupuesto Físico Ecónómico y Financiero de Empresas Lecheras - Agrícolas - Ganaderas</t>
  </si>
  <si>
    <t xml:space="preserve">Calcula la evolución de las distintas categorias de animales y los requerimientos asociados a los mismos. </t>
  </si>
  <si>
    <t xml:space="preserve">Permite la carga producción de leche y ventas de animales para el calculo de PB leche y PB carge lechería y ganadería, respectivamente. </t>
  </si>
  <si>
    <t xml:space="preserve">  Código de colores </t>
  </si>
  <si>
    <t xml:space="preserve">hipervínculo </t>
  </si>
  <si>
    <t>Vínculo que lo guirá al inicio de la hoja. Se encuentran en el costado izquierdo de la hoja.</t>
  </si>
  <si>
    <t xml:space="preserve">Indica que la celda contiene un vinculo que lo guiará al lugar que indique en la hoja o planilla. Se encuentran al inicio de cada hoja </t>
  </si>
  <si>
    <t>Presupuesto Físico Ecónómico y Financiero de Empresas Lecheras Agrícolas Ganaderas</t>
  </si>
  <si>
    <t>Usar si conoce el valor real</t>
  </si>
  <si>
    <t>Contiene los precios de labores, cosechas e hileradas, semillas, fertilizantes, gasoil, agroquímicos, confección de reservas de forraje de excedentes, ganado, concentrados y cultivos agrícolas y reservas.</t>
  </si>
  <si>
    <t>Contiene los stocks de semillas, fertilizantes, gasoil, agroquimicos al inicio de la presupuestación</t>
  </si>
  <si>
    <t xml:space="preserve">Luego de informar del paquete tecnológico y del área a sembrar de cada opción forrajera -&gt;  Informa del uso total y de necesidad de compra (cantidad) de semillas, fertilizantes y agroquímicos.   </t>
  </si>
  <si>
    <t>Importante: los precios deben incluir flete</t>
  </si>
  <si>
    <t xml:space="preserve">Inicio </t>
  </si>
  <si>
    <t xml:space="preserve">kgMS/ha/año </t>
  </si>
  <si>
    <t>Superficie Pastoreo Lechero (SPL)</t>
  </si>
  <si>
    <t>Superficie Pastoreo Ganadero (SPG)</t>
  </si>
  <si>
    <t xml:space="preserve">En la hoja UsoSuelo - Indica que hay un cambio en el uso del suelo para ese potreo en ese mes </t>
  </si>
  <si>
    <t>Área a Cosechar  Semilleros</t>
  </si>
  <si>
    <t xml:space="preserve">has totales </t>
  </si>
  <si>
    <t>has ganadería</t>
  </si>
  <si>
    <t>has lechería</t>
  </si>
  <si>
    <t xml:space="preserve">Ensiladas - combustible en litos </t>
  </si>
  <si>
    <t xml:space="preserve">SIEMBRA DE </t>
  </si>
  <si>
    <t>CULTIVOS DE RESERVAS</t>
  </si>
  <si>
    <t xml:space="preserve">ENSILADA </t>
  </si>
  <si>
    <t xml:space="preserve">Combustible </t>
  </si>
  <si>
    <t>Reparación Maquinaria</t>
  </si>
  <si>
    <t>Criterios para separar gastos</t>
  </si>
  <si>
    <t>Rep de Maquinaria</t>
  </si>
  <si>
    <t xml:space="preserve">TOTAL MAQUINARIA </t>
  </si>
  <si>
    <t xml:space="preserve">Semillas Agroqui Fertilizantes </t>
  </si>
  <si>
    <t xml:space="preserve">SemillasPastura </t>
  </si>
  <si>
    <t xml:space="preserve">Fertilizantes Pastura </t>
  </si>
  <si>
    <t xml:space="preserve">Agroquímicos Pastura </t>
  </si>
  <si>
    <t>SemillasAgrícola</t>
  </si>
  <si>
    <t>Fertilizantes Agrícola</t>
  </si>
  <si>
    <t>Agroquímicos Agrícola</t>
  </si>
  <si>
    <t xml:space="preserve">si no es agrícola pone totall </t>
  </si>
  <si>
    <t>si no es agrícola pone total</t>
  </si>
  <si>
    <t>ensilaje - Maq contratada</t>
  </si>
  <si>
    <t>Total U$S</t>
  </si>
  <si>
    <t xml:space="preserve">Gasto en Maquinaria contratada </t>
  </si>
  <si>
    <t>Si se udan reservas</t>
  </si>
  <si>
    <t>Consumo de concentrados, incluye pérdida</t>
  </si>
  <si>
    <t xml:space="preserve">Comprade granos </t>
  </si>
  <si>
    <t>Materiales para confección de reservas</t>
  </si>
  <si>
    <t xml:space="preserve">Lechería </t>
  </si>
  <si>
    <t>Ganadera</t>
  </si>
  <si>
    <t>% ganadera</t>
  </si>
  <si>
    <t xml:space="preserve">TOTAL Aliemntación </t>
  </si>
  <si>
    <t>Venta de Reservas</t>
  </si>
  <si>
    <t>En siembras</t>
  </si>
  <si>
    <t xml:space="preserve">Gasto en Refertilzación </t>
  </si>
  <si>
    <t>PB forrajes</t>
  </si>
  <si>
    <t xml:space="preserve">Fin </t>
  </si>
  <si>
    <t>Diferencia de inv</t>
  </si>
  <si>
    <t xml:space="preserve">Diferencia de Inventario de Forrajes Negativa </t>
  </si>
  <si>
    <t xml:space="preserve">Renta </t>
  </si>
  <si>
    <t xml:space="preserve">Imprevistos </t>
  </si>
  <si>
    <t>N de cab vendidas</t>
  </si>
  <si>
    <t xml:space="preserve">Resultado Financiero Anual </t>
  </si>
  <si>
    <t xml:space="preserve">Venta de granos + semillas </t>
  </si>
  <si>
    <t>Gastos del Ejercico Anterior</t>
  </si>
  <si>
    <t>Otos ingresos PB</t>
  </si>
  <si>
    <t>Rentas</t>
  </si>
  <si>
    <t xml:space="preserve">Presupuesto Económico Anual </t>
  </si>
  <si>
    <t xml:space="preserve">U$S/ha </t>
  </si>
  <si>
    <t>Presupuesto Financiero Mensual</t>
  </si>
  <si>
    <t>Breve descripción del contenido de cada hoja</t>
  </si>
  <si>
    <t>kg BF</t>
  </si>
  <si>
    <t>Aumento de requerimientos por pastoreo</t>
  </si>
  <si>
    <t xml:space="preserve">Características animales </t>
  </si>
  <si>
    <t>Gastos cultivos en proceso al inicio</t>
  </si>
  <si>
    <t>Praderas más de un año</t>
  </si>
  <si>
    <t>Plazo de pago</t>
  </si>
  <si>
    <t xml:space="preserve">Presupuesto Económico Mensual </t>
  </si>
  <si>
    <t>Campo Natural, %</t>
  </si>
  <si>
    <t>Praderas, %</t>
  </si>
  <si>
    <t>% anual</t>
  </si>
  <si>
    <t>Remisión, litros/mes</t>
  </si>
  <si>
    <t>Precio leche, US$/litro</t>
  </si>
  <si>
    <t>Si el cobro de la leche es a 30 días, cargar datos de:</t>
  </si>
  <si>
    <t>Si el cobro de la leche es a 60 días, cargar datos de:</t>
  </si>
  <si>
    <t xml:space="preserve">Rendimiento esperado, fardos/corte/ha: </t>
  </si>
  <si>
    <t xml:space="preserve">Rendimiento esperado, ton MS/ha: </t>
  </si>
  <si>
    <t xml:space="preserve">Labor </t>
  </si>
  <si>
    <t>U$S/unidad</t>
  </si>
  <si>
    <t>Consumo gasoil</t>
  </si>
  <si>
    <t>litro</t>
  </si>
  <si>
    <t>Precio del gasoil</t>
  </si>
  <si>
    <t>U$$/unidad</t>
  </si>
  <si>
    <t>Agroquímico</t>
  </si>
  <si>
    <t>Tasación del ganado</t>
  </si>
  <si>
    <t xml:space="preserve">Ración Terneros lactantes </t>
  </si>
  <si>
    <t xml:space="preserve">Ración Ternero/a 2- 6 meses </t>
  </si>
  <si>
    <t xml:space="preserve">Ración Preparto </t>
  </si>
  <si>
    <t>Labores con maquinaria propia</t>
  </si>
  <si>
    <t>Labores con maquinaria contratada</t>
  </si>
  <si>
    <t>gasoil</t>
  </si>
  <si>
    <t>Litros de gasoil totales</t>
  </si>
  <si>
    <t>Costo gasoil, US$/mes</t>
  </si>
  <si>
    <t>Precio gasoil, US$/litro</t>
  </si>
  <si>
    <t>Litros de gasoil/mes</t>
  </si>
  <si>
    <t>US$/mes</t>
  </si>
  <si>
    <t>Cultivo</t>
  </si>
  <si>
    <t>Costo de implantación de</t>
  </si>
  <si>
    <t>Destino</t>
  </si>
  <si>
    <t>Uso del suelo por potrero y por mes</t>
  </si>
  <si>
    <t>Unidades</t>
  </si>
  <si>
    <t>p/hectárea</t>
  </si>
  <si>
    <t xml:space="preserve">   Mes</t>
  </si>
  <si>
    <t>Distribución mensual del área a sembrar, hectáreas</t>
  </si>
  <si>
    <t>Has</t>
  </si>
  <si>
    <t>Siembras previstas de Otoño - Invierno</t>
  </si>
  <si>
    <t>Opción forrajera</t>
  </si>
  <si>
    <t xml:space="preserve">Realizadas en </t>
  </si>
  <si>
    <t>Listas desplegables para uso de suelo y siembras</t>
  </si>
  <si>
    <t>Resumen superficie por destino, hectáreas</t>
  </si>
  <si>
    <t>por año</t>
  </si>
  <si>
    <t xml:space="preserve">COSTO TOTAL DE IMPLANTACIÓN </t>
  </si>
  <si>
    <t>Uso del suelo</t>
  </si>
  <si>
    <t>Siembras</t>
  </si>
  <si>
    <t>Si las labores se hacen con maq. propia poner sólo el consumo de gasoil. En el caso de las reservas, agregar  el costo de materiales</t>
  </si>
  <si>
    <t>Si las labores se hacen con maquinaria propia colocar sólo el consumo de gasoil</t>
  </si>
  <si>
    <t>Leche, litros producidos</t>
  </si>
  <si>
    <t>Leche, litros / há SPL</t>
  </si>
  <si>
    <t>Leche, U$S / litro producido</t>
  </si>
  <si>
    <t>VM/ha SPL</t>
  </si>
  <si>
    <t>litros / vaca en ordeño / día</t>
  </si>
  <si>
    <t>Existencia de reservas al iniciar el Presupuesto</t>
  </si>
  <si>
    <t>Existencia</t>
  </si>
  <si>
    <t>U$S/kgBF</t>
  </si>
  <si>
    <t>Valor</t>
  </si>
  <si>
    <t>% MS</t>
  </si>
  <si>
    <t>Existencia de concentrados energéticos al iniciar el Presupuesto</t>
  </si>
  <si>
    <t>Precio promedio del concentrado proteico, US$/kgBF</t>
  </si>
  <si>
    <t>Disponibilidad y valor al iniciar el Presupuesto</t>
  </si>
  <si>
    <t>Conc.energética</t>
  </si>
  <si>
    <t>Lugar de Suministro de reservas</t>
  </si>
  <si>
    <t>Concepto</t>
  </si>
  <si>
    <t>Gasto</t>
  </si>
  <si>
    <t>Gastos cultivos en proceso al iniciar Presupuesto</t>
  </si>
  <si>
    <t xml:space="preserve">Muertes esperadas por categoría </t>
  </si>
  <si>
    <t>Necesidades (unidades)</t>
  </si>
  <si>
    <t>inicial</t>
  </si>
  <si>
    <t>Total gasoil</t>
  </si>
  <si>
    <t>Rendimiento</t>
  </si>
  <si>
    <t>esperado</t>
  </si>
  <si>
    <t>de</t>
  </si>
  <si>
    <t>cosecha</t>
  </si>
  <si>
    <t xml:space="preserve">Valor de </t>
  </si>
  <si>
    <t>Labor</t>
  </si>
  <si>
    <t>Litros/ha</t>
  </si>
  <si>
    <t>Cons.gasoil</t>
  </si>
  <si>
    <t>U$S/tonMS</t>
  </si>
  <si>
    <t>litros/unidad</t>
  </si>
  <si>
    <t>Si la maquinaria es propia, no cargar precio/ha, pero sí los litros de gasoil</t>
  </si>
  <si>
    <t>Precios de henificación (fardos)</t>
  </si>
  <si>
    <t>U$S/ton BF</t>
  </si>
  <si>
    <t>Cultivos agrícolas - Desempeño esperado</t>
  </si>
  <si>
    <t>Existencias de grano (toneladas)</t>
  </si>
  <si>
    <t>al iniciar</t>
  </si>
  <si>
    <t>al finalizar</t>
  </si>
  <si>
    <t>Presupuesto</t>
  </si>
  <si>
    <t>Se usa para estimar el PB forraje</t>
  </si>
  <si>
    <t>unidades totales (litros)</t>
  </si>
  <si>
    <t xml:space="preserve">Estimación del consumo de gasoil de  maquinaria propia </t>
  </si>
  <si>
    <t>Estimación del consumo de gasoil de  maquinaria contratada</t>
  </si>
  <si>
    <t>DE ACÁ PARA ABAJO OCULTAR</t>
  </si>
  <si>
    <t>Labores agricolas + labores pasturas</t>
  </si>
  <si>
    <t>OCULTAR DE AQUÍ PARA ABAJO</t>
  </si>
  <si>
    <t>Vacas en ordeño, cabezas</t>
  </si>
  <si>
    <t>Producción, litros/VO/día</t>
  </si>
  <si>
    <t>Producción, litros/año</t>
  </si>
  <si>
    <t>Consumo humano, litros/año</t>
  </si>
  <si>
    <t>Consumo terneros, litros/año</t>
  </si>
  <si>
    <t>Desvío,  litros/año</t>
  </si>
  <si>
    <t>Remisión, litros/año</t>
  </si>
  <si>
    <t>Precio, US$/litro</t>
  </si>
  <si>
    <t>IB leche, U$S/año</t>
  </si>
  <si>
    <t>Hectáreas refertilizadas</t>
  </si>
  <si>
    <t>En área lechera</t>
  </si>
  <si>
    <t>En área ganadera</t>
  </si>
  <si>
    <t>Mes de</t>
  </si>
  <si>
    <t xml:space="preserve">Calculada </t>
  </si>
  <si>
    <t>SUPERFICIE TOTAL RESERVADA (área lechera + área ganadera)</t>
  </si>
  <si>
    <t>Hectáreas reservadas</t>
  </si>
  <si>
    <t>SUPERFICIE RESERVADA EN EL ÁREA LECHERA</t>
  </si>
  <si>
    <t>SUPERFICIE REFERTILIZADA,  HECTÁREAS</t>
  </si>
  <si>
    <t>SUPERFICIE RESERVADA EN EL ÁREA GANADERA</t>
  </si>
  <si>
    <t>Mes en que se produce cambio en el uso del suelo</t>
  </si>
  <si>
    <t>Pastura o cultivo</t>
  </si>
  <si>
    <t>TOTAL AGRIC. Y SEMILLEROS EN ÁREA VO</t>
  </si>
  <si>
    <t>TOTAL AGRIC. Y SEMILLEROS EN ÁREA TOTAL</t>
  </si>
  <si>
    <t>N°</t>
  </si>
  <si>
    <t>productividad</t>
  </si>
  <si>
    <t>inicio Presup.</t>
  </si>
  <si>
    <t>Meses presupuestados</t>
  </si>
  <si>
    <t>Uso del suelo y destino por potrero y por mes</t>
  </si>
  <si>
    <t>Mes previo a</t>
  </si>
  <si>
    <t>Superficies en hectáreas</t>
  </si>
  <si>
    <t>Superficie total</t>
  </si>
  <si>
    <t>Superficie no útil (improductiva)</t>
  </si>
  <si>
    <t>Coef.correc.</t>
  </si>
  <si>
    <t>anual</t>
  </si>
  <si>
    <t>Resumen superficie por rubros, hectáreas</t>
  </si>
  <si>
    <t>kg MS utiliz./año</t>
  </si>
  <si>
    <t>Resumen por uso - Área VO</t>
  </si>
  <si>
    <t>Resumen por uso - Área recría</t>
  </si>
  <si>
    <t>% de PC en la MS utilizable</t>
  </si>
  <si>
    <t xml:space="preserve">   EM promedio por estación, Mcal EM/kgMS utilizable</t>
  </si>
  <si>
    <t>N° de fila</t>
  </si>
  <si>
    <t>Super.Cultivos Agrícolas + Semilleros</t>
  </si>
  <si>
    <t>Subtotal Cultivos agrícolas</t>
  </si>
  <si>
    <t>Subtotal Cultivos Agrícolas</t>
  </si>
  <si>
    <t>Subtotal Semilleros</t>
  </si>
  <si>
    <t>Subtotal Campo natural</t>
  </si>
  <si>
    <t>Subtotal Praderas Nuevas</t>
  </si>
  <si>
    <t>Subtotal Praderas más de un año</t>
  </si>
  <si>
    <t xml:space="preserve">Subtotal Verdeos de Invierno </t>
  </si>
  <si>
    <t xml:space="preserve">Subtotal Verdeos de Verano </t>
  </si>
  <si>
    <t>Subtotal Cultivos de Verano para Reserva</t>
  </si>
  <si>
    <t>Subtotal Cultivos de Invierno para Reserva</t>
  </si>
  <si>
    <t>Siembras en área lechera (Área VO+Área Recría)</t>
  </si>
  <si>
    <t>FINAL</t>
  </si>
  <si>
    <t>mes de cosecha</t>
  </si>
  <si>
    <t>AGOSTO</t>
  </si>
  <si>
    <t>SETIEMBRE</t>
  </si>
  <si>
    <t>OCTUBRE</t>
  </si>
  <si>
    <t>NOVIEMBRE</t>
  </si>
  <si>
    <t>DICIEMBRE</t>
  </si>
  <si>
    <t>ENERO</t>
  </si>
  <si>
    <t>Sólo deben aparecer valores en las columnas coloreadas</t>
  </si>
  <si>
    <t>Siembras de invierno efectuadas en</t>
  </si>
  <si>
    <t>FEBRERO</t>
  </si>
  <si>
    <t>MARZO</t>
  </si>
  <si>
    <t>ABRIL</t>
  </si>
  <si>
    <t>MAYO</t>
  </si>
  <si>
    <t>JUNIO</t>
  </si>
  <si>
    <t>JULIO</t>
  </si>
  <si>
    <t>SIEMBRAS DE INVIERNO</t>
  </si>
  <si>
    <t>siembras</t>
  </si>
  <si>
    <t>(has)</t>
  </si>
  <si>
    <t>en el  área</t>
  </si>
  <si>
    <t>Feb-mar- abr -may-jun-jul</t>
  </si>
  <si>
    <t>Área LECHERA</t>
  </si>
  <si>
    <t>Mes de siembra o cambio de uso en el área</t>
  </si>
  <si>
    <t>LECHERA</t>
  </si>
  <si>
    <t>Área lechera = Área VO + Área Recría</t>
  </si>
  <si>
    <t xml:space="preserve">en el área </t>
  </si>
  <si>
    <t>SIEMBRAS DE INVIERNO EN EL ÁREA LECHERA (son las realizadas en Feb. Mar, Abr, May, Jun y Jul)</t>
  </si>
  <si>
    <t>INVIERNO</t>
  </si>
  <si>
    <t>VERANO</t>
  </si>
  <si>
    <t>SETIEMBEW</t>
  </si>
  <si>
    <t>Distribución mensual del área a refertilizar, hectáreas</t>
  </si>
  <si>
    <t>refertiliz.</t>
  </si>
  <si>
    <t>(Seleccionar labores. Si son propias, no deberían tener precio en la hoja precios)</t>
  </si>
  <si>
    <t>Labor de cosecha</t>
  </si>
  <si>
    <t>Distribución mensual del área a cosechar, hectáreas</t>
  </si>
  <si>
    <t>cosechadas</t>
  </si>
  <si>
    <t>COSTO DE COSECHA TOTAL, U$S</t>
  </si>
  <si>
    <t>US$/año</t>
  </si>
  <si>
    <t>COSTO DE CONFECCIÓN DE RESERVAS, US$</t>
  </si>
  <si>
    <t xml:space="preserve">Coef.de correc.de productividad mensual       </t>
  </si>
  <si>
    <t>U$S/litro</t>
  </si>
  <si>
    <t>pasada</t>
  </si>
  <si>
    <t>Aplicar herbicida - Contratada</t>
  </si>
  <si>
    <t>Fertilizar - Contratada</t>
  </si>
  <si>
    <t>Cosechar cultivos de invierno contratada</t>
  </si>
  <si>
    <t>ha</t>
  </si>
  <si>
    <t>Cosechar cultivos de verano contratada</t>
  </si>
  <si>
    <t>Cosechar cultivos de invierno propia</t>
  </si>
  <si>
    <t>Cosechar cultivos de verano propia</t>
  </si>
  <si>
    <t>Cosechar maíz</t>
  </si>
  <si>
    <t xml:space="preserve">Cosecha + hilerado </t>
  </si>
  <si>
    <t>Embolsar grano U$D/t (incluye materiales)</t>
  </si>
  <si>
    <t>Cosechar semillero de leguminosa</t>
  </si>
  <si>
    <t>Sorgo forrajero</t>
  </si>
  <si>
    <t>Maíz silo+imidacloprid</t>
  </si>
  <si>
    <t>bolsa</t>
  </si>
  <si>
    <t>Sorgo grano-silo</t>
  </si>
  <si>
    <t>Semilla de soja curada e inoculada</t>
  </si>
  <si>
    <t>Trigo</t>
  </si>
  <si>
    <t>Semilla PP1 (dac+ AA)</t>
  </si>
  <si>
    <t>Semilla de TR1 (Rg+TR+Ach)</t>
  </si>
  <si>
    <t>10-50-0 o 18-46-0</t>
  </si>
  <si>
    <t>7-40-0 o similar</t>
  </si>
  <si>
    <t>Glifosato</t>
  </si>
  <si>
    <t xml:space="preserve">litro </t>
  </si>
  <si>
    <t>Herbicida Maíz</t>
  </si>
  <si>
    <t>Herbicida sorgo y VV</t>
  </si>
  <si>
    <t>Sanidad Soja</t>
  </si>
  <si>
    <t>Herbicida cult de invierno</t>
  </si>
  <si>
    <t>Sanidad cultivos de invierno</t>
  </si>
  <si>
    <t>Pastera</t>
  </si>
  <si>
    <t>Rastrillo</t>
  </si>
  <si>
    <t>Hileradora</t>
  </si>
  <si>
    <t>Enfardadora</t>
  </si>
  <si>
    <t>Silopaq continuo</t>
  </si>
  <si>
    <t>Picado y engavillado</t>
  </si>
  <si>
    <t>Siembras previstas de Primavera - Verano</t>
  </si>
  <si>
    <t>Superf. refertilizada (has)</t>
  </si>
  <si>
    <t>Refertilizaciones previstas en el área lechera, hectáreas</t>
  </si>
  <si>
    <t>Refertilizaciones previstas en el área ganadera, hectáreas</t>
  </si>
  <si>
    <t>Siembras de VERANO efectuadas en</t>
  </si>
  <si>
    <t>Resumen siembras de VERANO efectuadas en el área</t>
  </si>
  <si>
    <t xml:space="preserve">Resumen siembras de VERANO efectuadas en el área </t>
  </si>
  <si>
    <t>Siembras de INVIERNO efectuadas en</t>
  </si>
  <si>
    <t>Resumen siembras de INVIERNO efectuadas en el área</t>
  </si>
  <si>
    <t xml:space="preserve">Resumen siembras de INVIERNO efectuadas en el área </t>
  </si>
  <si>
    <t>Sub total Labores maquinaria propia</t>
  </si>
  <si>
    <t>Sub total Labores maquinaria contratada</t>
  </si>
  <si>
    <t>Sub total semillas</t>
  </si>
  <si>
    <t>Sub total fertlizantes</t>
  </si>
  <si>
    <t>Sub total agroquímicos</t>
  </si>
  <si>
    <t>Área Lechera</t>
  </si>
  <si>
    <t>REFERTILIZACIÓN</t>
  </si>
  <si>
    <t>Verdeos de Verano</t>
  </si>
  <si>
    <t>U$S/kg PV</t>
  </si>
  <si>
    <t>Confección de reservas</t>
  </si>
  <si>
    <t xml:space="preserve">Pasturas </t>
  </si>
  <si>
    <t xml:space="preserve">COMPLETAR </t>
  </si>
  <si>
    <t xml:space="preserve">Labores con maquinaria contratadaPastura </t>
  </si>
  <si>
    <t>Labores con maquinaria contratadaAgrícola</t>
  </si>
  <si>
    <t xml:space="preserve">Pago de Créditos + Intereses </t>
  </si>
  <si>
    <t xml:space="preserve">Reservas de Invierno </t>
  </si>
  <si>
    <t>Reservas de Verano</t>
  </si>
  <si>
    <t>Las celdas naranjas indican que en ese  mes se produce un cambio en el uso del suelo</t>
  </si>
  <si>
    <t xml:space="preserve">kg MS </t>
  </si>
  <si>
    <t>Totales</t>
  </si>
  <si>
    <t>Concentración promedio</t>
  </si>
  <si>
    <t>consumo de gasoil de  maquinaria contratada</t>
  </si>
  <si>
    <t>sembradas</t>
  </si>
  <si>
    <t>Has/año</t>
  </si>
  <si>
    <t>Subtotal fertilizante</t>
  </si>
  <si>
    <t>Proyección</t>
  </si>
  <si>
    <t>litros/cab/día</t>
  </si>
  <si>
    <t>Totales y</t>
  </si>
  <si>
    <t>promedios</t>
  </si>
  <si>
    <t xml:space="preserve">Cabezas promedio </t>
  </si>
  <si>
    <t>Producción de leche esperada</t>
  </si>
  <si>
    <t>Precio de las reservas, US$/ton MS</t>
  </si>
  <si>
    <t>GMD (ganancia media de peso)</t>
  </si>
  <si>
    <t xml:space="preserve">Muertes perinatales - vaquillonas y vacas </t>
  </si>
  <si>
    <t>Muertes</t>
  </si>
  <si>
    <t>¿Para qué se cambia de color a   fila? ¿No deberían del misco color que la anterior?</t>
  </si>
  <si>
    <t>kg MS utilizable mes</t>
  </si>
  <si>
    <t>kg MS utilizable</t>
  </si>
  <si>
    <t>OCULTAR</t>
  </si>
  <si>
    <r>
      <t xml:space="preserve">kg MS utilizable (Área </t>
    </r>
    <r>
      <rPr>
        <b/>
        <sz val="10"/>
        <rFont val="Arial Narrow"/>
        <family val="2"/>
      </rPr>
      <t>VO</t>
    </r>
    <r>
      <rPr>
        <sz val="10"/>
        <rFont val="Arial Narrow"/>
        <family val="2"/>
      </rPr>
      <t>)</t>
    </r>
  </si>
  <si>
    <r>
      <rPr>
        <b/>
        <sz val="10"/>
        <rFont val="Arial Narrow"/>
        <family val="2"/>
      </rPr>
      <t>Importante:</t>
    </r>
    <r>
      <rPr>
        <sz val="10"/>
        <rFont val="Arial Narrow"/>
        <family val="2"/>
      </rPr>
      <t xml:space="preserve"> Los cambios de edad de las pasturas se realizan en marzo para todas las pasturas aunque se hayan sembrado en primavera. </t>
    </r>
  </si>
  <si>
    <t xml:space="preserve">Ocultar </t>
  </si>
  <si>
    <t xml:space="preserve">OCULTAR </t>
  </si>
  <si>
    <t xml:space="preserve">OCULTAR DE AQUÍ EN MAS </t>
  </si>
  <si>
    <t>Duración</t>
  </si>
  <si>
    <t>Terneros Lactantes</t>
  </si>
  <si>
    <t>Terneras Lactantes (&lt;2 m)</t>
  </si>
  <si>
    <t>Terneros Lactantes (&lt;2 m)</t>
  </si>
  <si>
    <t xml:space="preserve">USS lechería Ventas ECONÓMICO </t>
  </si>
  <si>
    <t>U$S Venta Ganadería Ventas ECONÓMICO</t>
  </si>
  <si>
    <t xml:space="preserve">Cesion desde el tambo </t>
  </si>
  <si>
    <t xml:space="preserve">USS lechería Compras ECONOMICO </t>
  </si>
  <si>
    <t xml:space="preserve">U$S Compras Ganadería Compras </t>
  </si>
  <si>
    <t>Terneros lactantes</t>
  </si>
  <si>
    <t xml:space="preserve">Terneros Lactantes </t>
  </si>
  <si>
    <t>Leche de terneros</t>
  </si>
  <si>
    <t>Leche Terneros</t>
  </si>
  <si>
    <t xml:space="preserve">Leche terneros </t>
  </si>
  <si>
    <t>Vacas en Ordeñe</t>
  </si>
  <si>
    <t>VACAS EN ORDEÑE</t>
  </si>
  <si>
    <t>RECRÏA</t>
  </si>
  <si>
    <t>kg PV totales animales, &gt; 6 meses</t>
  </si>
  <si>
    <t xml:space="preserve">Egresos - compra de ganado Lechería (U$S/mes)  - FINANCIERO </t>
  </si>
  <si>
    <t xml:space="preserve">Activo Promedio </t>
  </si>
  <si>
    <t>GASTOS VARIABLES</t>
  </si>
  <si>
    <t>kg VENTA GANADO LECHERÏA</t>
  </si>
  <si>
    <t>kg de VENTA LECHERÍA</t>
  </si>
  <si>
    <t xml:space="preserve">kg de VENTA GANADERIA </t>
  </si>
  <si>
    <t xml:space="preserve">kg COMPRA LECHERIA </t>
  </si>
  <si>
    <t>kg COMPRA GANADERÍA</t>
  </si>
  <si>
    <t>Machos Menos de 2 meses</t>
  </si>
  <si>
    <t>Cesión + Venta</t>
  </si>
  <si>
    <t>Cesión+Venta</t>
  </si>
  <si>
    <t>Machos menos 2</t>
  </si>
  <si>
    <t xml:space="preserve">Cesión desde tambo </t>
  </si>
  <si>
    <t>Carne ganadería, kg / há SPG</t>
  </si>
  <si>
    <t>Sup. Pastoreo Ganadero (SPG) (ha)</t>
  </si>
  <si>
    <t>venta</t>
  </si>
  <si>
    <t xml:space="preserve">venta </t>
  </si>
  <si>
    <t>Venta + Consumo</t>
  </si>
  <si>
    <t xml:space="preserve">Reservas al inicio </t>
  </si>
  <si>
    <t>NIVEL DE PROTEÍNA DE LA PASTURA (variación mensual)</t>
  </si>
  <si>
    <t>CONCENTRACIÓN ENERGÉTICA DE LA PASTURA (variación mensual)</t>
  </si>
  <si>
    <t>MATERIA SECA UTILIZABLE DE LA PASTURA SEGÚN MES DE INICIO DEL EJERCICIO</t>
  </si>
  <si>
    <t>PROTEÍNA CRUDA DE LA PASTURA SEGÚN MES DE INICIO DEL EJERCICIO</t>
  </si>
  <si>
    <t>ENERGÍA DE LA PASTURA SEGÚN MES DE INICIO DEL EJERCICIO</t>
  </si>
  <si>
    <t>Mcal EM/kgMS utilizable</t>
  </si>
  <si>
    <t>kg PC/kg MS utilizable</t>
  </si>
  <si>
    <t>kg/ha según mes de inicio de ejercicio</t>
  </si>
  <si>
    <t>PASTURAS</t>
  </si>
  <si>
    <t>VERDEOS DE INVIERNO</t>
  </si>
  <si>
    <t>VERDEOS DE VERANO</t>
  </si>
  <si>
    <t>Cabezas</t>
  </si>
  <si>
    <t>Peso, kg/cab</t>
  </si>
  <si>
    <t>leche</t>
  </si>
  <si>
    <t>cría</t>
  </si>
  <si>
    <t>(días)</t>
  </si>
  <si>
    <t>litros/cab</t>
  </si>
  <si>
    <t>salida</t>
  </si>
  <si>
    <t xml:space="preserve">Lugar de suministro de concentrado </t>
  </si>
  <si>
    <t>Información física, económica y financiera de la empresa a presupuestar</t>
  </si>
  <si>
    <t>OPCIONES FORRAJERAS - Producción y distribución estacional del forraje producido (kgMS utilizable por año y por estación)</t>
  </si>
  <si>
    <t>Precios, existencias y necesidades de insumos y labores</t>
  </si>
  <si>
    <t>cabeza</t>
  </si>
  <si>
    <t>Existencia de animales al iniciar el Presupuesto</t>
  </si>
  <si>
    <t>Factor de corrección anual</t>
  </si>
  <si>
    <t xml:space="preserve">Balance en Recría </t>
  </si>
  <si>
    <t xml:space="preserve">SP Recría </t>
  </si>
  <si>
    <t>Recría-Vacas Secas</t>
  </si>
  <si>
    <t xml:space="preserve">Verdeos de Verano </t>
  </si>
  <si>
    <t xml:space="preserve">Superficie útil </t>
  </si>
  <si>
    <t>NO OCULTAR PORQUE SE BORRAN LAS GRÁFICAS</t>
  </si>
  <si>
    <t>GRASA, kg totales, mes</t>
  </si>
  <si>
    <t>PROTEINA, kg totales mes</t>
  </si>
  <si>
    <t xml:space="preserve">Reservas al inicio, kg MS totales </t>
  </si>
  <si>
    <t xml:space="preserve">Reservas al final, kg MS totales </t>
  </si>
  <si>
    <t>kg de Reservas producidos excedentes de forraje</t>
  </si>
  <si>
    <t xml:space="preserve">Kg de concentrado VO, d promedio </t>
  </si>
  <si>
    <t>Animales (Existencia, pesos y muertes según categoría)</t>
  </si>
  <si>
    <t>Producción de Forraje y Reservas</t>
  </si>
  <si>
    <r>
      <t>(corresponde a</t>
    </r>
    <r>
      <rPr>
        <b/>
        <sz val="10"/>
        <rFont val="Arial Narrow"/>
        <family val="2"/>
      </rPr>
      <t xml:space="preserve"> pastoreo</t>
    </r>
    <r>
      <rPr>
        <sz val="10"/>
        <rFont val="Arial Narrow"/>
        <family val="2"/>
      </rPr>
      <t xml:space="preserve"> de CN, praderas, verdeos verano y verdeos de invierno)</t>
    </r>
  </si>
  <si>
    <t>Potrero</t>
  </si>
  <si>
    <t>Composición química de los alimentos (Reservas y Concentrados)</t>
  </si>
  <si>
    <t xml:space="preserve">Concentrados </t>
  </si>
  <si>
    <t>Dato sugerido</t>
  </si>
  <si>
    <t>Dato ajustado</t>
  </si>
  <si>
    <t xml:space="preserve">Dato a usar </t>
  </si>
  <si>
    <t>% de refugos (descartes anual)</t>
  </si>
  <si>
    <t>% de nacimientos de hembras en VM</t>
  </si>
  <si>
    <t xml:space="preserve">Partos previstos de vacas secas propias </t>
  </si>
  <si>
    <t>Partos previstos de vacas secas compradas</t>
  </si>
  <si>
    <t xml:space="preserve">Partos previstos de vaquillonas propias </t>
  </si>
  <si>
    <t xml:space="preserve">Partos previstos de vaquillonas compradas </t>
  </si>
  <si>
    <t>Partos totales de vaquillonas</t>
  </si>
  <si>
    <t>% de nacimientos de hembras en vaquillonas</t>
  </si>
  <si>
    <t>Partos totales de VM</t>
  </si>
  <si>
    <t>Secados calculados (por preñez)</t>
  </si>
  <si>
    <t>Venta de vacas en ordeñe</t>
  </si>
  <si>
    <t>Precio de cesión</t>
  </si>
  <si>
    <t>Secados Adelantados (secadas antes que lo determine la preñez)</t>
  </si>
  <si>
    <t>Muertes de vaca en ordeñe</t>
  </si>
  <si>
    <t xml:space="preserve"> Litros/VO/día</t>
  </si>
  <si>
    <t>Producción de leche</t>
  </si>
  <si>
    <t>Compra de VS</t>
  </si>
  <si>
    <t>Peso de venta VO</t>
  </si>
  <si>
    <t>Precio de venta VO</t>
  </si>
  <si>
    <t>Consumo VO</t>
  </si>
  <si>
    <t>Compra de vaquillonas a parir en el 2do. trimestre</t>
  </si>
  <si>
    <t>Compra de vaquillonas a parir en el 1er. trimestre</t>
  </si>
  <si>
    <t>Venta de vaquillonas a parir en el 1er. trimestre</t>
  </si>
  <si>
    <t>Venta de vaquillonas a parir en el 2do. trimestre</t>
  </si>
  <si>
    <t>Compra de vaquillonas a parir en el 3er. trimestre</t>
  </si>
  <si>
    <t>Venta de vaquillonas a parir en el 3er. trimestre</t>
  </si>
  <si>
    <t>Compra de vaquillonas a parir en el 4to. trimestre</t>
  </si>
  <si>
    <t>Venta de vaquillonas a parir en el 4to. trimestre</t>
  </si>
  <si>
    <t>Proyección Vaq. Vacías</t>
  </si>
  <si>
    <t>Compra de vaquillonas sin servicio</t>
  </si>
  <si>
    <t>Venta de vaquillonas sin servicio</t>
  </si>
  <si>
    <t>Consumo de vaquillonas sin servicio</t>
  </si>
  <si>
    <t>Compra de terneras de &gt; 6 meses</t>
  </si>
  <si>
    <t>Venta de terneras de &gt; 6 meses</t>
  </si>
  <si>
    <t>Compra terneras 2-6 meses</t>
  </si>
  <si>
    <t>Venta terneras 2-6 meses</t>
  </si>
  <si>
    <t>Peso al inicio del presupuesto</t>
  </si>
  <si>
    <t>Peso al iniciar el Presupuesto</t>
  </si>
  <si>
    <t>Cambios de categoría de Tern &lt; 2 meses a Tern 2-6 meses</t>
  </si>
  <si>
    <t>Proyección machos lactantes</t>
  </si>
  <si>
    <t>Compra terneras lactantes</t>
  </si>
  <si>
    <t>Venta de terneras lactantes</t>
  </si>
  <si>
    <t>Compra de toros</t>
  </si>
  <si>
    <t>Venta de toros</t>
  </si>
  <si>
    <t>Compra de novillos 2-3 años</t>
  </si>
  <si>
    <t>Venta de novillos de 2-3 años</t>
  </si>
  <si>
    <t>Consumo de novillos de 2-3 años</t>
  </si>
  <si>
    <t>Compra de novillos 1-2 años</t>
  </si>
  <si>
    <t>Venta de novillos de 1-2 años</t>
  </si>
  <si>
    <t>Consumo de novillos de 1-2 años</t>
  </si>
  <si>
    <t>Compra de terneros &lt; 6 meses</t>
  </si>
  <si>
    <t>Cesión desde el Tambo</t>
  </si>
  <si>
    <t>Venta de terneros &lt; 6 meses</t>
  </si>
  <si>
    <t>Peso de los terneros machos a los 6 meses</t>
  </si>
  <si>
    <t>Peso al nacer</t>
  </si>
  <si>
    <t>Bajo el eléctrico, aros, etc.</t>
  </si>
  <si>
    <t>Comederos (de madera, lona, otros, etc.)</t>
  </si>
  <si>
    <t>Existencia de concentrados proteicos al iniciar el Presupuesto</t>
  </si>
  <si>
    <t>Stock inicial - usos + compras del mes anterior</t>
  </si>
  <si>
    <t>Herbicida verdeos de inv.</t>
  </si>
  <si>
    <t>Cosechar semillero de gramínea</t>
  </si>
  <si>
    <t>(a partir de los excedentes de forraje)</t>
  </si>
  <si>
    <t>Traslado (camiones), 2.5 viajes/ha</t>
  </si>
  <si>
    <t>Opciones Forrajeras - Producción y distribución estacional del forraje producido (kgMS utilizable por año y por estación)</t>
  </si>
  <si>
    <r>
      <t xml:space="preserve">Forraje </t>
    </r>
    <r>
      <rPr>
        <b/>
        <sz val="12"/>
        <rFont val="Arial Narrow"/>
        <family val="2"/>
      </rPr>
      <t>utilizable</t>
    </r>
  </si>
  <si>
    <t xml:space="preserve">    MS utilizable por estación, kgMS/ha/estación</t>
  </si>
  <si>
    <t xml:space="preserve">    MS utilizable por mes, kgMS/ha/mes</t>
  </si>
  <si>
    <t xml:space="preserve">Área a Cosechar  Cultivos Agrícolas- Cultivos en Proceso </t>
  </si>
  <si>
    <t>Resumen según Uso del suelo</t>
  </si>
  <si>
    <t>Superficie dedicada a reservas en el área ganadera, hectáreas</t>
  </si>
  <si>
    <t xml:space="preserve">U$S totales gastados en el ej. anterior. </t>
  </si>
  <si>
    <t>Superficie dedicada a reservas en el área lechera, hectáreas</t>
  </si>
  <si>
    <t>Venta de VS</t>
  </si>
  <si>
    <t>Peso compra</t>
  </si>
  <si>
    <t>Precio compra</t>
  </si>
  <si>
    <t xml:space="preserve">Peso de compra </t>
  </si>
  <si>
    <t>Peso venta</t>
  </si>
  <si>
    <t>Precio venta</t>
  </si>
  <si>
    <t xml:space="preserve">Precio de compra </t>
  </si>
  <si>
    <t xml:space="preserve">Peso de venta </t>
  </si>
  <si>
    <t>Partos de vaquillonas compradas</t>
  </si>
  <si>
    <t>Peso de compra</t>
  </si>
  <si>
    <t>Precio de compra</t>
  </si>
  <si>
    <t>Precio de venta</t>
  </si>
  <si>
    <t>Cambio de categoría (de Tern &lt; 2-6 meses a Tern &gt; meses)</t>
  </si>
  <si>
    <t>Peso de venta</t>
  </si>
  <si>
    <t>Cambios de categoría (de Tern &lt; 2 meses a Tern 2-6 meses)</t>
  </si>
  <si>
    <t>Peso de ingreso</t>
  </si>
  <si>
    <t>Peso de compa</t>
  </si>
  <si>
    <t>Precio de novillos</t>
  </si>
  <si>
    <t>Preparto (vacas + vaquillonas)</t>
  </si>
  <si>
    <t>Consumo de reservas y concentrados</t>
  </si>
  <si>
    <t>Precio terneros al nacer</t>
  </si>
  <si>
    <t>Balance Forrajero Primario Total y por área</t>
  </si>
  <si>
    <t xml:space="preserve">Forraje PC, concentración </t>
  </si>
  <si>
    <t>Forraje Proteína APORTE</t>
  </si>
  <si>
    <t>déficit de PC a cubrir con concentrado, kg</t>
  </si>
  <si>
    <t>Concentración de Energía</t>
  </si>
  <si>
    <t>Concentración de PC</t>
  </si>
  <si>
    <t>Egresos U$S, Económico y Financiero</t>
  </si>
  <si>
    <t>Ingresos U$S, Económico y Financiero</t>
  </si>
  <si>
    <t xml:space="preserve">Resumen de Resultados Físicos </t>
  </si>
  <si>
    <t>Resto, UG/Ha SPL</t>
  </si>
  <si>
    <t>UG/ha SPL</t>
  </si>
  <si>
    <t>Concentrado Recría y VS, kg/ha SPL</t>
  </si>
  <si>
    <t>Suplementación total, concentrados/Ha SPL</t>
  </si>
  <si>
    <t>realización</t>
  </si>
  <si>
    <t>CULTIVOS EN PROCESO - Hectáreas</t>
  </si>
  <si>
    <t xml:space="preserve">       Concepto</t>
  </si>
  <si>
    <t>Barbechos y otros (Sup. Útil)</t>
  </si>
  <si>
    <t xml:space="preserve">Vacas y vaquillonas preparto </t>
  </si>
  <si>
    <t>Vaquillonas vacias</t>
  </si>
  <si>
    <t xml:space="preserve">Disponibilidad inicial de forraje </t>
  </si>
  <si>
    <t>kg MS/ha promedio</t>
  </si>
  <si>
    <t>Disponibilidad al inicio</t>
  </si>
  <si>
    <t xml:space="preserve">has al inicio </t>
  </si>
  <si>
    <t>kg de MS total al inicio</t>
  </si>
  <si>
    <t xml:space="preserve">n total anual </t>
  </si>
  <si>
    <t>Proyección hembras lactantes</t>
  </si>
  <si>
    <r>
      <t xml:space="preserve">categoría </t>
    </r>
    <r>
      <rPr>
        <b/>
        <sz val="10"/>
        <rFont val="Arial Narrow"/>
        <family val="2"/>
      </rPr>
      <t>Lecheros</t>
    </r>
  </si>
  <si>
    <t>Categoria Inveranda</t>
  </si>
  <si>
    <t>N total anual</t>
  </si>
  <si>
    <t>Totales y Promedio</t>
  </si>
  <si>
    <t>MUERTES</t>
  </si>
  <si>
    <t>N animales</t>
  </si>
  <si>
    <t xml:space="preserve">PROmedio ANUAL </t>
  </si>
  <si>
    <t>% Mortalidad Adultos, lecheros</t>
  </si>
  <si>
    <t xml:space="preserve">% Mortalidad Terneros, lecheros </t>
  </si>
  <si>
    <r>
      <t xml:space="preserve">Dotación </t>
    </r>
    <r>
      <rPr>
        <b/>
        <sz val="10"/>
        <rFont val="Arial Narrow"/>
        <family val="2"/>
      </rPr>
      <t>Ganadería</t>
    </r>
  </si>
  <si>
    <t>Cálculo de Mortalidad. N de animales muertos pror categoría</t>
  </si>
  <si>
    <t xml:space="preserve">Calculo de UG </t>
  </si>
  <si>
    <t>UG/categoria</t>
  </si>
  <si>
    <t>Mortandad (%)</t>
  </si>
  <si>
    <t xml:space="preserve">UG total </t>
  </si>
  <si>
    <t>Recría y Vacas Secas</t>
  </si>
  <si>
    <t>UG VM</t>
  </si>
  <si>
    <t xml:space="preserve">UG Resto </t>
  </si>
  <si>
    <t>Kg MS producida para pastoreo + reservas en la SPL (área VO+área Recría y Vacas Secas)</t>
  </si>
  <si>
    <t>Kg MS producida para pastoreo + reservas área VO</t>
  </si>
  <si>
    <t>Kg MS producida para pastoreo + reservas área Recría y Vacas Secas</t>
  </si>
  <si>
    <t>kg de Reservas producidos (cultivos para reservas)</t>
  </si>
  <si>
    <t>Kg MS producida para pastoreo + reservas en toda el área de pastoreo (SPT) (área VO+área Recría y Vacas Secas+área de Inveranda)</t>
  </si>
  <si>
    <t>kg de Reservas compradas</t>
  </si>
  <si>
    <t>kg de Reservas vendidas</t>
  </si>
  <si>
    <t>Comprende toda el área</t>
  </si>
  <si>
    <t>Concentrado Recria, kg/Ha SP Rec + VS</t>
  </si>
  <si>
    <t>Ensilaje de cebada</t>
  </si>
  <si>
    <t>Ensilaje de pradera bueno</t>
  </si>
  <si>
    <t>Ensilaje de pradera medio</t>
  </si>
  <si>
    <t xml:space="preserve">Heno de raigrás </t>
  </si>
  <si>
    <t>Henolaje de soja</t>
  </si>
  <si>
    <t xml:space="preserve">Henolaje de pradera regular </t>
  </si>
  <si>
    <t>Henolaje de pradera medio</t>
  </si>
  <si>
    <t>Stock inicial del mes</t>
  </si>
  <si>
    <t>Stock al final del mes</t>
  </si>
  <si>
    <t xml:space="preserve">Ensilaje de pradera regular </t>
  </si>
  <si>
    <t>TOTAL Animales Lecheros</t>
  </si>
  <si>
    <t>Peso Pormedio</t>
  </si>
  <si>
    <t>1 UG ganaderas son 380 kg.</t>
  </si>
  <si>
    <t>de VM promedio</t>
  </si>
  <si>
    <t>TOTAL Mensual</t>
  </si>
  <si>
    <t>Requerimientos</t>
  </si>
  <si>
    <t>REQ</t>
  </si>
  <si>
    <t>OFE</t>
  </si>
  <si>
    <t>kgBF/animal/día</t>
  </si>
  <si>
    <t>consumo de reservas max cargado por el usuario</t>
  </si>
  <si>
    <t>Consumo real, comparacion entre el saldo y el consumo de reserva max del ususario</t>
  </si>
  <si>
    <t>Aclaración: Contempla reservas al inicio, producción de reservas en el predio, compras y venta de reservas durante el año.</t>
  </si>
  <si>
    <t>Saldo Acumulado Mensual Global de Reservas</t>
  </si>
  <si>
    <t>Oferta SPVO</t>
  </si>
  <si>
    <t>Oferta SPG</t>
  </si>
  <si>
    <t>Requerimientos VO</t>
  </si>
  <si>
    <t>Oferta Global</t>
  </si>
  <si>
    <t>Requerimientos Globales</t>
  </si>
  <si>
    <t xml:space="preserve">Requerimientos </t>
  </si>
  <si>
    <t xml:space="preserve">Balance Acumulado </t>
  </si>
  <si>
    <t xml:space="preserve">Balance </t>
  </si>
  <si>
    <t>Situación Global del Establecimiento:</t>
  </si>
  <si>
    <t>Requerimiento diario</t>
  </si>
  <si>
    <t>Oferta de forraje diaria</t>
  </si>
  <si>
    <t>Balance Forraje diario (Oferta -Requerimiento)</t>
  </si>
  <si>
    <t>Total y Promedios</t>
  </si>
  <si>
    <t xml:space="preserve">gramos concentrado/litro leche </t>
  </si>
  <si>
    <t>Oferta SP Recría y VS</t>
  </si>
  <si>
    <t>Requerimientos  Recría y VS</t>
  </si>
  <si>
    <t>Inicio</t>
  </si>
  <si>
    <t xml:space="preserve">toneladas de MS anuales </t>
  </si>
  <si>
    <t xml:space="preserve">Cebada, grano </t>
  </si>
  <si>
    <t xml:space="preserve">Avena, grano </t>
  </si>
  <si>
    <t>Girasol, Expeller</t>
  </si>
  <si>
    <t>Soja, Expeller</t>
  </si>
  <si>
    <t>Canola, Expeller</t>
  </si>
  <si>
    <t>Algodón, Expeller</t>
  </si>
  <si>
    <t xml:space="preserve">Trigo, Afrechillo </t>
  </si>
  <si>
    <t>Arroz, afrechilllo entero</t>
  </si>
  <si>
    <t>Arroz, afrechilllo desgrasado</t>
  </si>
  <si>
    <t xml:space="preserve">Maíz, grano </t>
  </si>
  <si>
    <t>Soja, grano molido (sojilla)</t>
  </si>
  <si>
    <t xml:space="preserve">Sorgo, grano </t>
  </si>
  <si>
    <t xml:space="preserve">Trigo, grano </t>
  </si>
  <si>
    <t xml:space="preserve">Maíz, grano humedo </t>
  </si>
  <si>
    <t xml:space="preserve">Sorgo grano humedo </t>
  </si>
  <si>
    <t>DDGS</t>
  </si>
  <si>
    <t>Soja, Cascarilla</t>
  </si>
  <si>
    <t xml:space="preserve">Grasa </t>
  </si>
  <si>
    <t>Proteína</t>
  </si>
  <si>
    <t>Partos de vacas secas vendidas</t>
  </si>
  <si>
    <t>Partos previstos  de vacas secas vendidas</t>
  </si>
  <si>
    <t>Partos totales vacas VM</t>
  </si>
  <si>
    <t>Partos previstos de vaquillonas vendidas</t>
  </si>
  <si>
    <t>Partos de vaquillonas vendidas</t>
  </si>
  <si>
    <t xml:space="preserve">Henolaje de pradera - bueno </t>
  </si>
  <si>
    <t>Henolaje de Alfalfa</t>
  </si>
  <si>
    <t>kg de reserva dado si se compara con el tope de reservas</t>
  </si>
  <si>
    <t>Materia seca utilizable proveniente de reservas forraje (kg MS utilizable/mes)</t>
  </si>
  <si>
    <t>Resumen del Uso del suelo por tipo de pastura o cultivo (área total del establecimiento), hectáreas</t>
  </si>
  <si>
    <r>
      <t xml:space="preserve">Consumos Proyectados en Materia Seca </t>
    </r>
    <r>
      <rPr>
        <sz val="8"/>
        <rFont val="Arial Narrow"/>
        <family val="2"/>
      </rPr>
      <t>(sin contar pérdidas de suministros)</t>
    </r>
  </si>
  <si>
    <t>Balance Forrajero expresado en Materia Seca</t>
  </si>
  <si>
    <t>Parámetros de la dieta que topea el usuario</t>
  </si>
  <si>
    <t>kg PV/cab</t>
  </si>
  <si>
    <t xml:space="preserve">Entradas </t>
  </si>
  <si>
    <t>Stock de reservas al Final del mes</t>
  </si>
  <si>
    <t xml:space="preserve">ConsumoTotal </t>
  </si>
  <si>
    <t xml:space="preserve">Consumo Total </t>
  </si>
  <si>
    <t>Ensilaje</t>
  </si>
  <si>
    <t>Balance Forrajero, Consumo de Forraje, Uso de reservas y Concentrados</t>
  </si>
  <si>
    <t>Oferta de Cultivos de Reserva</t>
  </si>
  <si>
    <t>Oferta de Forraje (Pastoreo Directo +  Reservas de Excedentes)</t>
  </si>
  <si>
    <t>Superficie de Pastoreo Lechero</t>
  </si>
  <si>
    <t>Superficie de Pastoreo Ganadero</t>
  </si>
  <si>
    <t xml:space="preserve">No contempla reservas al inicio, ni compras de reservas. No contempla uso de concentrados </t>
  </si>
  <si>
    <t>Superávit de Forraje + Reserva</t>
  </si>
  <si>
    <t>Calidad del Pasto promedio del mes, Energía</t>
  </si>
  <si>
    <t>Calidad del Pasto promedio del mes, PC</t>
  </si>
  <si>
    <t>Mca/kg Pasto</t>
  </si>
  <si>
    <t>% PC</t>
  </si>
  <si>
    <t>Total de Mcal Producida de reservas de excedentes de Forraje</t>
  </si>
  <si>
    <t>Total de PC Producida de reservas de excedentes de Forraje</t>
  </si>
  <si>
    <t>Aporte de Energía Metabolizable Reservas cultivos de Reserva</t>
  </si>
  <si>
    <t>Aporte de Proteína Cruda Reservas  Cultivos de Reservas</t>
  </si>
  <si>
    <t>Aporte de Energía Metabolizable Reservas excedentes de forraje</t>
  </si>
  <si>
    <t>Aporte de Proteína Cruda  Reservas excedentes de forraje</t>
  </si>
  <si>
    <t>Peso al inicio del mes</t>
  </si>
  <si>
    <t>Materia seca utilizable de forraje cosechada por pastoreo en área Ganadería (kg MS utilizable)</t>
  </si>
  <si>
    <t>kg MS utilizable (Área Ganadería)</t>
  </si>
  <si>
    <t xml:space="preserve">Ganadería </t>
  </si>
  <si>
    <t>Resumen por uso - Área Ganadería</t>
  </si>
  <si>
    <t>MS utilizable total pastoreo Pasturas y verdeos - Área Ganadería</t>
  </si>
  <si>
    <t>MS utilizable total reservas Pasturas y verdeos - Área Ganadería</t>
  </si>
  <si>
    <t>Área TOTAL = Área LECHERÍA + Área Ganadería</t>
  </si>
  <si>
    <t>SIEMBRAS DE VERANO  EN EL ÁREA Ganadería (son las realizadas en Ago, Set, Oct, Nov, Dic, y  Ene)</t>
  </si>
  <si>
    <t>Área Ganadería</t>
  </si>
  <si>
    <t>Siembras en el área  Ganadería</t>
  </si>
  <si>
    <t>SIEMBRAS DE INVIERNO EN EL ÁREA Ganadería (son las realizadas en Feb. Mar, Abr, May, Jun y Jul)</t>
  </si>
  <si>
    <t>Vacas descarte - Ganadería</t>
  </si>
  <si>
    <t>TOTAL Animales Ganadería</t>
  </si>
  <si>
    <t>Peso de salida hacia Ganadería</t>
  </si>
  <si>
    <t>Peso de salida a Ganadería de terneros 2-6 meses</t>
  </si>
  <si>
    <t>Precio de salida a Ganadería de terneros 2-6 meses</t>
  </si>
  <si>
    <t>Compra de vacas Ganadería</t>
  </si>
  <si>
    <t>Venta de vacas Ganadería</t>
  </si>
  <si>
    <t>Vacas descarte - Ganadería (Cesión desde lechería</t>
  </si>
  <si>
    <t>Vacas descarte - Ganadería Compra</t>
  </si>
  <si>
    <t>PV de la Ganadería</t>
  </si>
  <si>
    <t>Balance en Ganadería</t>
  </si>
  <si>
    <t>Ganadería (% PV consumo max de forraje)</t>
  </si>
  <si>
    <t>Área de Ganadería</t>
  </si>
  <si>
    <t>Reservas de cultivos de reservas (Área VO+Recría+Ganadería)</t>
  </si>
  <si>
    <t>Requerimientos Ganadería</t>
  </si>
  <si>
    <t>% Mortalidad, Ganadería</t>
  </si>
  <si>
    <t>Kg MS producida para pastoreo + reservas área Ganadería o SPG</t>
  </si>
  <si>
    <t xml:space="preserve">Peso de machos a los 6 meses de edad  </t>
  </si>
  <si>
    <t>Terneros &lt; 6 m</t>
  </si>
  <si>
    <t>Novillos - 2 a 3 años</t>
  </si>
  <si>
    <t>Novillos - 1 a 2 años</t>
  </si>
  <si>
    <t>Terneros &gt; 6 meses &lt; 1 año</t>
  </si>
  <si>
    <t>Cesión a Ganadería</t>
  </si>
  <si>
    <t>Cambio de categoría (de terneros &lt; 6 meses a terneros &gt; 6 meses &lt; 1 año)</t>
  </si>
  <si>
    <t>Compra de terneros &gt; 6 meses &lt; 1 año</t>
  </si>
  <si>
    <t>Venta de terneros &gt; 6 meses &lt; 1 año</t>
  </si>
  <si>
    <t>Consumo de terneros &gt; 6 meses &lt; 1 año</t>
  </si>
  <si>
    <t>Terneros &lt;  6 meses</t>
  </si>
  <si>
    <t>Cambio de categoría (desde terneros &lt; 6 meses a terneros &gt; 6 meses &lt; 1 año)</t>
  </si>
  <si>
    <t>CALCULOS DE REQUERIMIENTOS POR CATEGORÍA</t>
  </si>
  <si>
    <t xml:space="preserve">DIFERENCIAS DE INVENTARIO EN KG Y U$S PARA CALCULO DE PRODUCTO BRUTO </t>
  </si>
  <si>
    <t xml:space="preserve">CÁLCULO DE ACTIVO PROMEDIO SEMOVIENTES. </t>
  </si>
  <si>
    <t xml:space="preserve">N inicio </t>
  </si>
  <si>
    <t xml:space="preserve">N al final </t>
  </si>
  <si>
    <t xml:space="preserve">unidad el precio </t>
  </si>
  <si>
    <t xml:space="preserve">Kg inicio </t>
  </si>
  <si>
    <t xml:space="preserve">kg al final </t>
  </si>
  <si>
    <t>RESUMEN DE REQUERIMIENTOS</t>
  </si>
  <si>
    <t>% pérdidas Conservación</t>
  </si>
  <si>
    <t>LECHERÍA</t>
  </si>
  <si>
    <t>GANADERÍA</t>
  </si>
  <si>
    <t xml:space="preserve">Dependiendo del momento que se indique cosecha en el Cuadro 40 y 41 se carga la producción en ese mes </t>
  </si>
  <si>
    <t xml:space="preserve">Valor único </t>
  </si>
  <si>
    <t>PRODUCCIÓN DE MATERIA SECA TOTAL ENERGÍA Y PROTEÍNA</t>
  </si>
  <si>
    <t>Kg producido según mes de realizacion de la reserva para área Lechera</t>
  </si>
  <si>
    <t>Este cuadro sirve para Reservas -  Área Lechería</t>
  </si>
  <si>
    <t>Este cuadro sirve para Reservas -  Área Ganadera</t>
  </si>
  <si>
    <t>Descarte mensual y anual (% de refugo)</t>
  </si>
  <si>
    <t>Las vaquillonas sin entorar no pariran en el período presupuestado.</t>
  </si>
  <si>
    <t>Movimientos de animales según categoría - LECHERÍA</t>
  </si>
  <si>
    <t>Movimientos de animales según categoría - GANADERÍA</t>
  </si>
  <si>
    <t>Terneros &lt; 6 meses</t>
  </si>
  <si>
    <t>kg MS utilizable/ha SPVO - sugerido</t>
  </si>
  <si>
    <t>kg MS utilizable/ha SPVO/año - real</t>
  </si>
  <si>
    <t>Materia seca utilizable de forraje cosechada por pastoreo en área SPVO (kg MS utilizable)</t>
  </si>
  <si>
    <t>Uso del suelo por Rubro</t>
  </si>
  <si>
    <t xml:space="preserve">Superficie de Pastoreo Lechero (SPL) </t>
  </si>
  <si>
    <t>Superficie de Pastoreo Ganadero (SPG)</t>
  </si>
  <si>
    <t>Uso del suelo por Destino</t>
  </si>
  <si>
    <t>VM promedio, cabezas</t>
  </si>
  <si>
    <t>VM al inicio, cabezas</t>
  </si>
  <si>
    <t>VM al final, cabezas</t>
  </si>
  <si>
    <t>Stock lechero inicial, cabezas</t>
  </si>
  <si>
    <t>Stock lechero final, cabezas</t>
  </si>
  <si>
    <t>VO, UG/ha VO</t>
  </si>
  <si>
    <t>Vaca Ordeñe, cab/ha VO</t>
  </si>
  <si>
    <t>Producción de Leche, Litros total</t>
  </si>
  <si>
    <t>Producción de leche, L/VM</t>
  </si>
  <si>
    <t>Producción de leche individual, L/VO/día</t>
  </si>
  <si>
    <t>Producción de leche, L/ha SPVO</t>
  </si>
  <si>
    <t>Proteína, kg/ha SPVO</t>
  </si>
  <si>
    <t>Proteína, kg/ha SPL</t>
  </si>
  <si>
    <t>Grasa, kg/ha SPVO</t>
  </si>
  <si>
    <t>Grasa, kg/ha SPL</t>
  </si>
  <si>
    <t>Sólidos, kg/ha SPVO</t>
  </si>
  <si>
    <t>Sólidos kg/ha SPL</t>
  </si>
  <si>
    <t xml:space="preserve">Producción de carne lechería, kg/ha SPL </t>
  </si>
  <si>
    <t>Stock Ganadería inicial, cabezas</t>
  </si>
  <si>
    <t>Stock Ganadería final, cabezas</t>
  </si>
  <si>
    <t xml:space="preserve">Producción de carne Ganadería, kg/ha SPG </t>
  </si>
  <si>
    <t>Cosecha de Forraje, kg de MS /SPL</t>
  </si>
  <si>
    <t>Cosecha de Forraje, kg de MS /SPT</t>
  </si>
  <si>
    <t>Cosecha de Forraje, kg de MS /SPVO</t>
  </si>
  <si>
    <t>Cosecha de Forraje, kg de MS /SP Rec + VS</t>
  </si>
  <si>
    <t>Cosecha de Forraje, kg de MS /SPG</t>
  </si>
  <si>
    <t xml:space="preserve">Consumo Forraje </t>
  </si>
  <si>
    <t>Consumo Reserva</t>
  </si>
  <si>
    <t xml:space="preserve">Consumo Concentrado </t>
  </si>
  <si>
    <t xml:space="preserve">Oferta. Pastoreo Directo </t>
  </si>
  <si>
    <t>Oferta. Reservada</t>
  </si>
  <si>
    <t>Gráfico: Oferta de Forraje (consumida directamentente + Oferta reservada) Vs Consumo total (Forraje, Reservas y Concentrados)</t>
  </si>
  <si>
    <r>
      <t>Balance en Ganadería.</t>
    </r>
    <r>
      <rPr>
        <sz val="12"/>
        <rFont val="Arial Narrow"/>
        <family val="2"/>
      </rPr>
      <t xml:space="preserve"> Balance Forrajero, Proyección de consumo de Forraje, Reservas y Concentrados</t>
    </r>
  </si>
  <si>
    <t>Situación Global de la SPVO</t>
  </si>
  <si>
    <t xml:space="preserve">Composición química - Concentrados </t>
  </si>
  <si>
    <t>Composición química - reservas</t>
  </si>
  <si>
    <t>Otoño</t>
  </si>
  <si>
    <t>Invierno</t>
  </si>
  <si>
    <t>Primavera</t>
  </si>
  <si>
    <t>Verano</t>
  </si>
  <si>
    <t>Superficie</t>
  </si>
  <si>
    <t>Avena</t>
  </si>
  <si>
    <t>Alfalfa 1</t>
  </si>
  <si>
    <t>Alfalfa 2</t>
  </si>
  <si>
    <t>Alfalfa 3</t>
  </si>
  <si>
    <t>Alfalfa 4</t>
  </si>
  <si>
    <t>Trébol Rojo 1</t>
  </si>
  <si>
    <t>Trébol Rojo 2</t>
  </si>
  <si>
    <t>Trébol Rojo 3</t>
  </si>
  <si>
    <t>Alfalfa 5</t>
  </si>
  <si>
    <t>Avena silo</t>
  </si>
  <si>
    <t>Raigrás Silo</t>
  </si>
  <si>
    <t>Raigrás</t>
  </si>
  <si>
    <t>Rg Ciclo Largo</t>
  </si>
  <si>
    <t xml:space="preserve">Alfalfa semillero </t>
  </si>
  <si>
    <r>
      <t xml:space="preserve">kg MS utilizable (Área </t>
    </r>
    <r>
      <rPr>
        <b/>
        <sz val="10"/>
        <rFont val="Arial Narrow"/>
        <family val="2"/>
      </rPr>
      <t>Recría- Vacas Secas</t>
    </r>
    <r>
      <rPr>
        <sz val="10"/>
        <rFont val="Arial Narrow"/>
        <family val="2"/>
      </rPr>
      <t>)</t>
    </r>
  </si>
  <si>
    <t>kg MS /cab.día</t>
  </si>
  <si>
    <t>terneros lactantes</t>
  </si>
  <si>
    <t>VO</t>
  </si>
  <si>
    <t>Recría + Vacas secas</t>
  </si>
  <si>
    <t>Energía por área (pasturas+reservas)</t>
  </si>
  <si>
    <t>kg proteina pasturas</t>
  </si>
  <si>
    <t>kg proteína reservas</t>
  </si>
  <si>
    <t>kg proteína total</t>
  </si>
  <si>
    <t xml:space="preserve">concentracion proteica Total </t>
  </si>
  <si>
    <t>Concetracion proteica pasturas</t>
  </si>
  <si>
    <t>Concentracion proteica Reservas</t>
  </si>
  <si>
    <t>Energía pasuturas</t>
  </si>
  <si>
    <t>Energía reservas</t>
  </si>
  <si>
    <t xml:space="preserve">energía total </t>
  </si>
  <si>
    <t>Concetarcion energética pasturas</t>
  </si>
  <si>
    <t xml:space="preserve">Concentracion energética reservas </t>
  </si>
  <si>
    <t xml:space="preserve">concentracion energética total </t>
  </si>
  <si>
    <t>total</t>
  </si>
  <si>
    <t xml:space="preserve">Oferta SPL </t>
  </si>
  <si>
    <t>Requerimientos Lecheria</t>
  </si>
  <si>
    <t>Superficie de Pastoreo Vacas en Ordeñe</t>
  </si>
  <si>
    <t xml:space="preserve">Superficie de Pastoreo Recría + Vacas Secas </t>
  </si>
  <si>
    <t>Alerta al usuario de que el número que aparece es distinto al esperado por la herramienta</t>
  </si>
  <si>
    <t>Vacas en Ordeñe promedio</t>
  </si>
  <si>
    <t>Producción leche promedio</t>
  </si>
  <si>
    <t>Vacas secas</t>
  </si>
  <si>
    <t>Requerimientos totales de Energía Recría + Vacas Secas - Preparto</t>
  </si>
  <si>
    <t>Vacas preparto (9 mes de gestación)</t>
  </si>
  <si>
    <r>
      <t xml:space="preserve">Alimentación Ganadería. </t>
    </r>
    <r>
      <rPr>
        <sz val="10"/>
        <rFont val="Arial Narrow"/>
        <family val="2"/>
      </rPr>
      <t xml:space="preserve">Proyección de consumo de Forraje, Reservas y Concentrados mensuales </t>
    </r>
  </si>
  <si>
    <r>
      <t xml:space="preserve">Gráfico: Balance Forrajero Mensual </t>
    </r>
    <r>
      <rPr>
        <sz val="10"/>
        <rFont val="Arial Narrow"/>
        <family val="2"/>
      </rPr>
      <t>(Área de Ganadería y Rodeo de Ganadería)</t>
    </r>
  </si>
  <si>
    <t>Heno de pradera</t>
  </si>
  <si>
    <t>Barb SPG</t>
  </si>
  <si>
    <t>Ensilaje de Maíz</t>
  </si>
  <si>
    <t>Déficit de Forraje + Reserva</t>
  </si>
  <si>
    <t>Oferta de forraje diaria (Pastoreo Directo)</t>
  </si>
  <si>
    <r>
      <t xml:space="preserve">Concentrado Ofrecido Proyectado en Base Fresca </t>
    </r>
    <r>
      <rPr>
        <sz val="8"/>
        <rFont val="Arial Narrow"/>
        <family val="2"/>
      </rPr>
      <t xml:space="preserve">(contando pérdidas de sumisntro) </t>
    </r>
  </si>
  <si>
    <t>Concentrado ofrecido (energético+proteico)</t>
  </si>
  <si>
    <t>Concentrados ofrecido (incluye pérdida)</t>
  </si>
  <si>
    <r>
      <t xml:space="preserve">b) destino por mes </t>
    </r>
    <r>
      <rPr>
        <vertAlign val="superscript"/>
        <sz val="10"/>
        <rFont val="Arial Narrow"/>
        <family val="2"/>
      </rPr>
      <t>2</t>
    </r>
  </si>
  <si>
    <t>Cesión Ganad.</t>
  </si>
  <si>
    <t>Venta Nacim.</t>
  </si>
  <si>
    <t xml:space="preserve">Machos </t>
  </si>
  <si>
    <r>
      <t xml:space="preserve">Destino </t>
    </r>
    <r>
      <rPr>
        <vertAlign val="superscript"/>
        <sz val="10"/>
        <rFont val="Arial Narrow"/>
        <family val="2"/>
      </rPr>
      <t xml:space="preserve">1                                            </t>
    </r>
    <r>
      <rPr>
        <sz val="10"/>
        <rFont val="Arial Narrow"/>
        <family val="2"/>
      </rPr>
      <t xml:space="preserve"> a)  único destino anual</t>
    </r>
  </si>
  <si>
    <t>Machos</t>
  </si>
  <si>
    <t xml:space="preserve">Terneras/os. Destino, consumo de leche, peso y precio de salida </t>
  </si>
  <si>
    <t>1 = venta al nacimiento</t>
  </si>
  <si>
    <t>dato mensula -&gt;</t>
  </si>
  <si>
    <t>dato anual:</t>
  </si>
  <si>
    <t xml:space="preserve">CÁLCULO DE ÁREA DE AGRICULTURA Y SEMILLEROS </t>
  </si>
  <si>
    <t>CALCULO DE SUPERFICIE DE VACA ORDEÑE + VACA MASA + RECRÍA (según Producción competitiva)</t>
  </si>
  <si>
    <t>(No contempla área para reservas)</t>
  </si>
  <si>
    <t>área Vo, incluye reservas, has</t>
  </si>
  <si>
    <t>area de reservas en VO, has</t>
  </si>
  <si>
    <t>(contempla el área de reservas que consumieron las VM)</t>
  </si>
  <si>
    <t>Vacas secas (8 y 9 meses de gestación) - 9 meses (preparto)</t>
  </si>
  <si>
    <t>Proporción de los requerimientos totales que represernta VS de Recría + VS</t>
  </si>
  <si>
    <t xml:space="preserve">Porcentaje de Requerimitnos de VS </t>
  </si>
  <si>
    <t>área de recría + VS</t>
  </si>
  <si>
    <t>área de reservas eb recría + VS</t>
  </si>
  <si>
    <t>área de VS, has</t>
  </si>
  <si>
    <t xml:space="preserve">CATEGORÍAS ENCERRADAS </t>
  </si>
  <si>
    <t>RECRÍAS</t>
  </si>
  <si>
    <t xml:space="preserve">vacas </t>
  </si>
  <si>
    <t xml:space="preserve">vaquillonas </t>
  </si>
  <si>
    <t>vacas</t>
  </si>
  <si>
    <t>vaquillonas</t>
  </si>
  <si>
    <t>recría</t>
  </si>
  <si>
    <t>vacas Masa</t>
  </si>
  <si>
    <t>kg anuales</t>
  </si>
  <si>
    <t>kg Ms/VO/día</t>
  </si>
  <si>
    <t>Reservas OFRECIDO</t>
  </si>
  <si>
    <t>consumo de reservas, incluye pérdidas</t>
  </si>
  <si>
    <t>kg MS/totales</t>
  </si>
  <si>
    <t xml:space="preserve">MS </t>
  </si>
  <si>
    <t>Oferta de Reservas, consumo considerando perdidas</t>
  </si>
  <si>
    <t xml:space="preserve">kg anuales </t>
  </si>
  <si>
    <t xml:space="preserve">área de reservas totales </t>
  </si>
  <si>
    <t>ha reserva corresponde a ganadería</t>
  </si>
  <si>
    <t>ha reserva corresponde a VM</t>
  </si>
  <si>
    <t>ha reserva corresponde a Recría</t>
  </si>
  <si>
    <t>(contempla el área de reservas que consumieron cat ganadera)</t>
  </si>
  <si>
    <t>(contempla el área de reservas que consumieron la recría</t>
  </si>
  <si>
    <t>área de recría pastoreo, has</t>
  </si>
  <si>
    <t xml:space="preserve">área de ganadería </t>
  </si>
  <si>
    <t>ha reserva en ganadería</t>
  </si>
  <si>
    <t>consumo de reservas para corregir el área de reserva</t>
  </si>
  <si>
    <t>corregidas por % del consumo de reservas</t>
  </si>
  <si>
    <t>área según destino incluye reservas</t>
  </si>
  <si>
    <t xml:space="preserve">no tiene Agriculturta y semilleros </t>
  </si>
  <si>
    <t xml:space="preserve">área según destino sin reservas </t>
  </si>
  <si>
    <t xml:space="preserve">área de pastoreo directo </t>
  </si>
  <si>
    <t>Pastoreo directo VO sin reservas, has</t>
  </si>
  <si>
    <t>Pastoreo directo recría + VS sin reserva, has</t>
  </si>
  <si>
    <t>pastoreo ganadería sin reservas, has</t>
  </si>
  <si>
    <t>Oferta de Concentrado (sin pérdidas por suministro)</t>
  </si>
  <si>
    <t>Oferta de Reservas (sin pérdidas por suministro)</t>
  </si>
  <si>
    <t>VO promedio, cabezas</t>
  </si>
  <si>
    <t xml:space="preserve">Nombre Sugerido </t>
  </si>
  <si>
    <t>Cambio de Nombre</t>
  </si>
  <si>
    <t>Nombre a Usar</t>
  </si>
  <si>
    <t xml:space="preserve">Lista desplegable Indicadores - Dotación Lechería </t>
  </si>
  <si>
    <t>Lista desplegable Indicadores - producción animal LECHERÍA</t>
  </si>
  <si>
    <t>Proteína, kg/ha SVM</t>
  </si>
  <si>
    <t>Producción de leche, L/ha SVM</t>
  </si>
  <si>
    <t>Grasa, kg/ha SVM</t>
  </si>
  <si>
    <t>Sólidos, kg/ha SVM</t>
  </si>
  <si>
    <t>Ganadería, Cab/ha SPG</t>
  </si>
  <si>
    <t>Ganadería, UG/ha SPG</t>
  </si>
  <si>
    <t>Lista desplegable Indicadores - Dotación Ganadería</t>
  </si>
  <si>
    <t>Lista desplegable Indicadores - Producción de forraje y reserva</t>
  </si>
  <si>
    <t>Lista desplegable Indicadores - Uso de concentrado - Lechería</t>
  </si>
  <si>
    <t>Lista desplegable Indicadores - Uso de concentrado - Ganadería</t>
  </si>
  <si>
    <t>Concentrado, kg/Ha SPG</t>
  </si>
  <si>
    <t>MS sin perdidas</t>
  </si>
  <si>
    <t>BF con perdidas</t>
  </si>
  <si>
    <t>Porcentaje de Concentrado / PV, %</t>
  </si>
  <si>
    <t>B</t>
  </si>
  <si>
    <t>Lista desplegable Indicadores - Producción animal GANADERÍA</t>
  </si>
  <si>
    <r>
      <t xml:space="preserve">Indicadores de producción animal </t>
    </r>
    <r>
      <rPr>
        <b/>
        <sz val="10"/>
        <rFont val="Arial Narrow"/>
        <family val="2"/>
      </rPr>
      <t>Ganadería</t>
    </r>
  </si>
  <si>
    <r>
      <t xml:space="preserve">Uso de concentrado - </t>
    </r>
    <r>
      <rPr>
        <b/>
        <sz val="10"/>
        <rFont val="Arial Narrow"/>
        <family val="2"/>
      </rPr>
      <t>Ganadería</t>
    </r>
  </si>
  <si>
    <r>
      <t>Uso de concentrado -</t>
    </r>
    <r>
      <rPr>
        <b/>
        <sz val="10"/>
        <rFont val="Arial Narrow"/>
        <family val="2"/>
      </rPr>
      <t xml:space="preserve"> Lechería</t>
    </r>
  </si>
  <si>
    <r>
      <t xml:space="preserve">Indicadores de producción animal - </t>
    </r>
    <r>
      <rPr>
        <b/>
        <sz val="10"/>
        <rFont val="Arial Narrow"/>
        <family val="2"/>
      </rPr>
      <t>Lechería</t>
    </r>
  </si>
  <si>
    <r>
      <t xml:space="preserve">Dotación - </t>
    </r>
    <r>
      <rPr>
        <b/>
        <sz val="10"/>
        <rFont val="Arial Narrow"/>
        <family val="2"/>
      </rPr>
      <t>Lechería</t>
    </r>
  </si>
  <si>
    <t>Resumen por rubro</t>
  </si>
  <si>
    <t>Superficie de Pastoreo Vacas en Ordeñe (SPVO)</t>
  </si>
  <si>
    <t>Superficie de Vacas Masa (SPVM)</t>
  </si>
  <si>
    <t>Superficie de Recría (SPR)</t>
  </si>
  <si>
    <t>Venta al nacimiento</t>
  </si>
  <si>
    <t>Cría en el predio - Cesión a Ganadería</t>
  </si>
  <si>
    <t xml:space="preserve">salida </t>
  </si>
  <si>
    <t>Suplementos</t>
  </si>
  <si>
    <t>Hipervínculos a Hojas</t>
  </si>
  <si>
    <t xml:space="preserve">InsumosCultivos </t>
  </si>
  <si>
    <t>A.Lecheros</t>
  </si>
  <si>
    <t xml:space="preserve">A.Ganaderos </t>
  </si>
  <si>
    <t>Alimentos</t>
  </si>
  <si>
    <t xml:space="preserve">Resultados Físicos </t>
  </si>
  <si>
    <t xml:space="preserve">Suplementos </t>
  </si>
  <si>
    <t>Movimientos Financieros</t>
  </si>
  <si>
    <t>Resultado Financiero Anual</t>
  </si>
  <si>
    <t>Resultado Económico Mensual</t>
  </si>
  <si>
    <t>Resultado Financiero Mensual</t>
  </si>
  <si>
    <t>Márgen Bruto por Rubro</t>
  </si>
  <si>
    <t xml:space="preserve">TOTAL de ANIMALES </t>
  </si>
  <si>
    <t>Resultado Económico Anual</t>
  </si>
  <si>
    <t>Depreciación</t>
  </si>
  <si>
    <t>0-40-40-0</t>
  </si>
  <si>
    <t>Herbicida praderas largas</t>
  </si>
  <si>
    <t>Herbicida praderas cortas</t>
  </si>
  <si>
    <t>Siembra Maíz - Contratada</t>
  </si>
  <si>
    <t>Siembra Directa  - Propia</t>
  </si>
  <si>
    <t>Siembra Directa  - Contratada</t>
  </si>
  <si>
    <t>Aplicar herbicida - Propia</t>
  </si>
  <si>
    <t>Fertilizar - Propia</t>
  </si>
  <si>
    <t>Enfardar</t>
  </si>
  <si>
    <t>fardo</t>
  </si>
  <si>
    <t>Materia seca utilizable de forraje cosechada por pastoreo en área Recría - Vacas secas (kg MS utilizable)</t>
  </si>
  <si>
    <t>kg MS utilizable/ha Recría + VS - sugerido *</t>
  </si>
  <si>
    <t>kg MS utilizable/ha Ganadería - sugerido *</t>
  </si>
  <si>
    <t>* área de pastoreo directo, sin contemplar cultivos para reservas</t>
  </si>
  <si>
    <t>Colza (hibrido) - variedad (7 U$S)</t>
  </si>
  <si>
    <t>Herbicida Colza Grano</t>
  </si>
  <si>
    <t>Isecticida + Fungicida Colza Grano</t>
  </si>
  <si>
    <t>COSTO REFERTILIZACIÓN ÁREA GANADERA, U$S</t>
  </si>
  <si>
    <t>COSTO REFERTILIZACIÓN ÁREA LECHERA, U$S</t>
  </si>
  <si>
    <t>Tasación de mejoras fijas</t>
  </si>
  <si>
    <t>Depreciación mejoras fijas y maquinaria - sugerido</t>
  </si>
  <si>
    <t>Depreciación mejoras fijas y maquinaria - real</t>
  </si>
  <si>
    <t>Depreciación mejoras fijas y maquinaria - ajustado</t>
  </si>
  <si>
    <t xml:space="preserve">Saldo de Caja al iniciar el Presupuesto, U$S </t>
  </si>
  <si>
    <t>Bolsa (200 ton)</t>
  </si>
  <si>
    <t xml:space="preserve">Embolsar (6,4/ton seca) </t>
  </si>
  <si>
    <t xml:space="preserve">Hileradora </t>
  </si>
  <si>
    <t xml:space="preserve">Enfardadora </t>
  </si>
  <si>
    <t>Ensilar Silo de Maíz</t>
  </si>
  <si>
    <t xml:space="preserve">Cultivos para Reservas Verano </t>
  </si>
  <si>
    <t xml:space="preserve">Cultivos para Reservas de Invierno </t>
  </si>
  <si>
    <t xml:space="preserve">Semilleros Leguminosa </t>
  </si>
  <si>
    <t>Semilleros Gramíneas</t>
  </si>
  <si>
    <t>A</t>
  </si>
  <si>
    <t>C</t>
  </si>
  <si>
    <t>D</t>
  </si>
  <si>
    <t>E</t>
  </si>
  <si>
    <t>Área Ganadera</t>
  </si>
  <si>
    <t xml:space="preserve">Ganancia necesaria para llegar al peso </t>
  </si>
  <si>
    <t xml:space="preserve">del servicio indicado en hoja general </t>
  </si>
  <si>
    <t xml:space="preserve">Tomando como peso de partida el peso </t>
  </si>
  <si>
    <t>a los 6 meses de edad</t>
  </si>
  <si>
    <t>Remisión de leche, litros</t>
  </si>
  <si>
    <t>Toneladas disponibles para venta por el mes (stock inicial + producción)</t>
  </si>
  <si>
    <t>Ventas mensuales (US$ totales)</t>
  </si>
  <si>
    <t>Ventas Mensuales (U$S totales)</t>
  </si>
  <si>
    <t>Descripción</t>
  </si>
  <si>
    <t xml:space="preserve">Producción </t>
  </si>
  <si>
    <t>total (ton)</t>
  </si>
  <si>
    <t xml:space="preserve">Precio neto </t>
  </si>
  <si>
    <t xml:space="preserve">Mes de </t>
  </si>
  <si>
    <t>Saldo de MS, contando pérdidas para recrías y VS</t>
  </si>
  <si>
    <t>Saldo de MS, contando pérdidas para ganadería</t>
  </si>
  <si>
    <t>Reservas Ofrecidas, Vacas en Ordeñe</t>
  </si>
  <si>
    <t xml:space="preserve">Reservas Ofrecidas, Ganadería </t>
  </si>
  <si>
    <t>Reservas Ofrecidas, Categorías encerradas</t>
  </si>
  <si>
    <t xml:space="preserve">Necesidad de compra </t>
  </si>
  <si>
    <t>Precio de compra (Incluido Flete)</t>
  </si>
  <si>
    <t>necesidad de concentrado Energético</t>
  </si>
  <si>
    <t>kg de Concentrado base (kg MS/a/d)</t>
  </si>
  <si>
    <t xml:space="preserve">grs BF/Litro Leche </t>
  </si>
  <si>
    <t xml:space="preserve">Saldo al Final del mes </t>
  </si>
  <si>
    <t>Compra sugerida</t>
  </si>
  <si>
    <t>3,03 Mcal</t>
  </si>
  <si>
    <t xml:space="preserve"> Energía Metabolizable</t>
  </si>
  <si>
    <t>Proteína Cruda</t>
  </si>
  <si>
    <t>Concentrado energético Ofrecido por categoría</t>
  </si>
  <si>
    <t>Concentrados energéticos al inicio</t>
  </si>
  <si>
    <t xml:space="preserve">Compra de Concentrado energético </t>
  </si>
  <si>
    <t>Precio en U$S / kg BF</t>
  </si>
  <si>
    <t xml:space="preserve">Precio del Saldo al Final del mes </t>
  </si>
  <si>
    <t xml:space="preserve">Precio de Autoconsumos </t>
  </si>
  <si>
    <t>Precios de la oferta inicial</t>
  </si>
  <si>
    <t xml:space="preserve">Cuanto comen del saldo </t>
  </si>
  <si>
    <t xml:space="preserve">U$S consumo del saldo </t>
  </si>
  <si>
    <t>U$S/</t>
  </si>
  <si>
    <t>Concentrados proteicos al inicio</t>
  </si>
  <si>
    <t xml:space="preserve">Oferta de concentrado energético </t>
  </si>
  <si>
    <t xml:space="preserve">Oferta de concentrado proteico </t>
  </si>
  <si>
    <t xml:space="preserve">concentrado energético a usar </t>
  </si>
  <si>
    <t xml:space="preserve">Concentrado energético (si la concentración de PC del Conc. Base necesaria, es menor a la del concenrado energetico seleccionado por el usuario Fila 138 </t>
  </si>
  <si>
    <t xml:space="preserve">Concentrado energético (si la concentración de PC del Conc. Base necesaria, es mayor a la del concenrado energetico seleccionado por el usuario Fila 138 </t>
  </si>
  <si>
    <t xml:space="preserve">GASTO DE CONCENTRADOS. ENCONÓMICO Y FINANCIERO </t>
  </si>
  <si>
    <t xml:space="preserve">GASTO DE CONFECCIÓN DE RESERVAS DE EXCEDENTES DE FORRAJE </t>
  </si>
  <si>
    <t xml:space="preserve">concentrado energético + proteico </t>
  </si>
  <si>
    <t xml:space="preserve">Saldo de Forraje VO y Recría y Vacas secas </t>
  </si>
  <si>
    <t>Separación de Gastos Concentrados  entre Lechería de Ganadería</t>
  </si>
  <si>
    <t>Separaración de grastos de confección de reservas de excedentes de forraje entre Lechería y Ganadería</t>
  </si>
  <si>
    <t xml:space="preserve">Granos al económico  Concentrados Energéticos </t>
  </si>
  <si>
    <t xml:space="preserve">Gasto Total concentrado energético </t>
  </si>
  <si>
    <t>Gasto Total concentrado proteico - Lechería</t>
  </si>
  <si>
    <t xml:space="preserve"> ANTERIOR</t>
  </si>
  <si>
    <r>
      <t xml:space="preserve">RENTA </t>
    </r>
    <r>
      <rPr>
        <sz val="10"/>
        <rFont val="Arial Narrow"/>
        <family val="2"/>
      </rPr>
      <t>(poner pagos previstos por fracción arrendada)</t>
    </r>
  </si>
  <si>
    <t>DATOS DEL</t>
  </si>
  <si>
    <t>EJERCICIO</t>
  </si>
  <si>
    <t>Sup. Útil</t>
  </si>
  <si>
    <t xml:space="preserve">Maquinaria contratada Cosecha de semilla </t>
  </si>
  <si>
    <t>TOTAL de este cuadro</t>
  </si>
  <si>
    <t>TOTAL de cuadros cargados por el usuario, tienen que ser iguales.</t>
  </si>
  <si>
    <t xml:space="preserve">Corroborar totales </t>
  </si>
  <si>
    <t>Labores con maquinaria contratadaReserva</t>
  </si>
  <si>
    <t>SemillasReserva</t>
  </si>
  <si>
    <t>Fertilizantes Reserva</t>
  </si>
  <si>
    <t>Agroquímicos Reserva</t>
  </si>
  <si>
    <t>Labores con maquinaria contratadaPasturas</t>
  </si>
  <si>
    <t>Consumo de gasoil de maquinaria propia</t>
  </si>
  <si>
    <t xml:space="preserve">Consumo de gasoil  - maquinaria propia </t>
  </si>
  <si>
    <t>Consumo de gasoil  - maquinaria contratada</t>
  </si>
  <si>
    <t>CONSUMO Y GASTOS EN COMBUSTIBLES  -- PARA TODA EL ÁREA</t>
  </si>
  <si>
    <t>COSTO DE IMPLANTACIÓN DE PASTURAS, PARA EL PLAN DE SIEMBRA - SEMILLAS FERTILIZANTES AGROQUÍMICOS Y LABORES</t>
  </si>
  <si>
    <t>GASTOS ECONÓMICOS RESÚMEN</t>
  </si>
  <si>
    <t xml:space="preserve">COSTOS DE LABOREOS, COSECHAS Y CONFECCIÓN DE RESERVAS </t>
  </si>
  <si>
    <t>Resumen de Gastos de implantaci{on siembras de otono - invierno</t>
  </si>
  <si>
    <t>GASTOS COMBUSTIBLE  - SEPARACIÓN DE LECHERÍA Y GANADERÍA</t>
  </si>
  <si>
    <t>Terneros Lactantes (&lt;2 m) - Venta</t>
  </si>
  <si>
    <t>Terneros Lactantes (&lt;2 m) - Cesión a Ganadería</t>
  </si>
  <si>
    <t>Venta</t>
  </si>
  <si>
    <t>Cesión</t>
  </si>
  <si>
    <t>Terneros &lt;  6 meses  (compras)</t>
  </si>
  <si>
    <t>Terneros &lt;  6 meses  (ceciones)</t>
  </si>
  <si>
    <t>CONTADO</t>
  </si>
  <si>
    <t xml:space="preserve">30 DIAS </t>
  </si>
  <si>
    <t>Imprevistos (% del total de egresos)</t>
  </si>
  <si>
    <t xml:space="preserve">Resultado </t>
  </si>
  <si>
    <t xml:space="preserve">DESCRIPCIÓN </t>
  </si>
  <si>
    <t>RESULTADOS ECONÓMICOS, U$S/ ha SÚ</t>
  </si>
  <si>
    <t>COMPOSICIÓN DEL PRODUCTO BRUTO, U$S/ ha SÚ</t>
  </si>
  <si>
    <t>VM promedio, cab</t>
  </si>
  <si>
    <t>VO promedio, cab</t>
  </si>
  <si>
    <t>VM, cab al inicio</t>
  </si>
  <si>
    <t>VM, cab al final</t>
  </si>
  <si>
    <t>Stock lechero inicial, cab</t>
  </si>
  <si>
    <t>Stock lechero final, cab</t>
  </si>
  <si>
    <t xml:space="preserve">Indicadores Físicos </t>
  </si>
  <si>
    <t>Dotación</t>
  </si>
  <si>
    <t>Suplementación</t>
  </si>
  <si>
    <t>COMPOSICIÓN DE LOS INSUMOS</t>
  </si>
  <si>
    <t xml:space="preserve">compras </t>
  </si>
  <si>
    <t xml:space="preserve">ventas </t>
  </si>
  <si>
    <t xml:space="preserve">diferencia de Inventario </t>
  </si>
  <si>
    <t xml:space="preserve">COSTO TOTAL </t>
  </si>
  <si>
    <t>F</t>
  </si>
  <si>
    <t>G</t>
  </si>
  <si>
    <t>H</t>
  </si>
  <si>
    <t>J</t>
  </si>
  <si>
    <t>Q</t>
  </si>
  <si>
    <t>L</t>
  </si>
  <si>
    <t>Cultivos en proceso al inicio</t>
  </si>
  <si>
    <t>K</t>
  </si>
  <si>
    <t>Siembras de Otoño e Invierno - Plan de Siembra y Uso de insumos</t>
  </si>
  <si>
    <t xml:space="preserve">Siembras de Primavera y Verano - Plan de Siembra y Uso de insumos </t>
  </si>
  <si>
    <t>Costo de Implantación Siembras de Otoño - Invierno</t>
  </si>
  <si>
    <t xml:space="preserve">COSTOS CULTIVOS EN PROCESO AL INICIO </t>
  </si>
  <si>
    <t>Labores</t>
  </si>
  <si>
    <t xml:space="preserve">COSTOS CULTIVOS EN PROCESO AL FINAL </t>
  </si>
  <si>
    <t xml:space="preserve">has cultivos en proceso al final </t>
  </si>
  <si>
    <t xml:space="preserve">has sembradas </t>
  </si>
  <si>
    <t xml:space="preserve">siembras del presupueto </t>
  </si>
  <si>
    <t xml:space="preserve">Gasto de implantación total </t>
  </si>
  <si>
    <t xml:space="preserve">Para las has de cultivos en proceso al final </t>
  </si>
  <si>
    <t xml:space="preserve">Gasto a descontar del gasto de cultivos en resultado económico al final </t>
  </si>
  <si>
    <t>Gasto labores</t>
  </si>
  <si>
    <t xml:space="preserve">Cultivos </t>
  </si>
  <si>
    <t>Gasto de implantación Labores</t>
  </si>
  <si>
    <t xml:space="preserve">Gasto a descontar de gasto de labores cultivos al final </t>
  </si>
  <si>
    <t xml:space="preserve">Cultivos en porceso </t>
  </si>
  <si>
    <t xml:space="preserve">Total maquinaria - FINANCIERO </t>
  </si>
  <si>
    <t>SITUACIÓN PATRIMONIAL</t>
  </si>
  <si>
    <t>INICIAL</t>
  </si>
  <si>
    <t>Disponible y realizable</t>
  </si>
  <si>
    <t>Bienes muebles</t>
  </si>
  <si>
    <t>Total Activos</t>
  </si>
  <si>
    <t>Capital propio</t>
  </si>
  <si>
    <t>Total Pasivos</t>
  </si>
  <si>
    <t>Total deuda</t>
  </si>
  <si>
    <t>Deuda corto plazo en %</t>
  </si>
  <si>
    <t>Deuda largo plazo en %</t>
  </si>
  <si>
    <t>Deuda U$S / há S. Útil</t>
  </si>
  <si>
    <t>Fuentes</t>
  </si>
  <si>
    <t>Usos</t>
  </si>
  <si>
    <t>Otras fuentes</t>
  </si>
  <si>
    <t>Otros usos</t>
  </si>
  <si>
    <t>Creditos recibidos</t>
  </si>
  <si>
    <t>Servicio de deuda</t>
  </si>
  <si>
    <t>Disminución de inventario</t>
  </si>
  <si>
    <t>Realizable</t>
  </si>
  <si>
    <t>Disponible</t>
  </si>
  <si>
    <t>Depreciaciones y fictos</t>
  </si>
  <si>
    <t>Deuda Total/Activo total, %</t>
  </si>
  <si>
    <t xml:space="preserve">FUENTES Y USOS </t>
  </si>
  <si>
    <t xml:space="preserve">de inusmos y de ganado </t>
  </si>
  <si>
    <t xml:space="preserve">FALTA </t>
  </si>
  <si>
    <t>FALTA</t>
  </si>
  <si>
    <t>puse: caja al inicio</t>
  </si>
  <si>
    <t xml:space="preserve">puse cuentas por cobrar </t>
  </si>
  <si>
    <t xml:space="preserve">Diferencia de Inventario </t>
  </si>
  <si>
    <t>Ganado Lechero</t>
  </si>
  <si>
    <t>Ganado Ganadero</t>
  </si>
  <si>
    <t xml:space="preserve">coloque inversiones de hoja mov financiero </t>
  </si>
  <si>
    <t>Aportes de capital</t>
  </si>
  <si>
    <t>Necesidades</t>
  </si>
  <si>
    <t xml:space="preserve"> (unidades)</t>
  </si>
  <si>
    <t>(Unidades)</t>
  </si>
  <si>
    <t xml:space="preserve">Existencias </t>
  </si>
  <si>
    <t xml:space="preserve">INICIAL </t>
  </si>
  <si>
    <t>Existencias en deposíto en U$S al final</t>
  </si>
  <si>
    <t>Existencias en deposíto en U$S al inicio</t>
  </si>
  <si>
    <t>Parto previstos  de vacas en ordeño</t>
  </si>
  <si>
    <t>x</t>
  </si>
  <si>
    <t xml:space="preserve">Resumenes de Requerimientos </t>
  </si>
  <si>
    <t xml:space="preserve">Vacas Preparto </t>
  </si>
  <si>
    <t>TOTAL  Recría + Toros</t>
  </si>
  <si>
    <t>PV diario de otras categorías totales</t>
  </si>
  <si>
    <t>N de otras categorías por mes</t>
  </si>
  <si>
    <r>
      <t xml:space="preserve">Balance en Recría, Vacas Secas y Toros. </t>
    </r>
    <r>
      <rPr>
        <sz val="12"/>
        <rFont val="Arial Narrow"/>
        <family val="2"/>
      </rPr>
      <t>Balance Forrajero, Proyección de consumo de Forraje, Reservas y Concentrados</t>
    </r>
  </si>
  <si>
    <r>
      <t xml:space="preserve">Gráfico: Balance Forrajero Mensual Recría, Vacas Secas y Toros </t>
    </r>
    <r>
      <rPr>
        <sz val="10"/>
        <rFont val="Arial Narrow"/>
        <family val="2"/>
      </rPr>
      <t>(Área de Recría, Vaca Seca y Toros y Rodeo de Recría, Vaca Seca y toros )</t>
    </r>
  </si>
  <si>
    <t xml:space="preserve">Resumen animales vendidos para Hoja Resultados Financieros Anuales </t>
  </si>
  <si>
    <t xml:space="preserve">Listado de granos vendidos para resumen de la hoja Resultdos financieros anuales </t>
  </si>
  <si>
    <t>Recría, cab / ha Recría</t>
  </si>
  <si>
    <t>Recría, UG / ha Recría</t>
  </si>
  <si>
    <t>U$S/kg MS</t>
  </si>
  <si>
    <t xml:space="preserve">U$S total </t>
  </si>
  <si>
    <r>
      <t>Balance Reservas Global</t>
    </r>
    <r>
      <rPr>
        <sz val="10"/>
        <rFont val="Arial Narrow"/>
        <family val="2"/>
      </rPr>
      <t xml:space="preserve"> (kg de MS)</t>
    </r>
  </si>
  <si>
    <t xml:space="preserve">Unidades producidas por mes </t>
  </si>
  <si>
    <t>kg MS totales</t>
  </si>
  <si>
    <t xml:space="preserve">Tipos de reservas a realizar </t>
  </si>
  <si>
    <t xml:space="preserve">kg BF </t>
  </si>
  <si>
    <t>U$S /kg BF</t>
  </si>
  <si>
    <t xml:space="preserve">kg BF totales </t>
  </si>
  <si>
    <t>Consumo leche Terneras/os</t>
  </si>
  <si>
    <t>Consumo de forraje</t>
  </si>
  <si>
    <t>kg MS</t>
  </si>
  <si>
    <t>Terneras &gt; 6 meses &lt; 1 año</t>
  </si>
  <si>
    <t>Vaca Ordeñe</t>
  </si>
  <si>
    <t>Vacas Secas</t>
  </si>
  <si>
    <t xml:space="preserve">Terneros Lectantes </t>
  </si>
  <si>
    <t xml:space="preserve"> Cesión a Ganadería</t>
  </si>
  <si>
    <t xml:space="preserve">U$S VENTA ECONÓMICO - LECHERO </t>
  </si>
  <si>
    <t xml:space="preserve">RESUMEN RESULTADO ECONÓMICO-  VENTAS y COMPRAS DE ANIMALES SEGÚN CATEGORÍA </t>
  </si>
  <si>
    <t xml:space="preserve">RESUMEN en KG-  VENTAS y COMPRAS DE ANIMALES SEGÚN CATEGORÍA </t>
  </si>
  <si>
    <t>VACAS en ORDEÑE</t>
  </si>
  <si>
    <t>Vacas secas 8 mes de gestación.</t>
  </si>
  <si>
    <t xml:space="preserve">Vacas Secas </t>
  </si>
  <si>
    <t>Novillos 1 a 2 Años</t>
  </si>
  <si>
    <t xml:space="preserve">Novillos de 2 a 3 años </t>
  </si>
  <si>
    <t>Terneros 6 meses y 1 Año</t>
  </si>
  <si>
    <t>Agricultura en Área Recría x mes</t>
  </si>
  <si>
    <t>Agricultura en Área Ganadería x mes</t>
  </si>
  <si>
    <t>HAS por USO del suelo</t>
  </si>
  <si>
    <t xml:space="preserve">Producción de MS utilizable </t>
  </si>
  <si>
    <t>Producción de Proteína</t>
  </si>
  <si>
    <t>Producci\on de Energía</t>
  </si>
  <si>
    <t>SIEMBRAS</t>
  </si>
  <si>
    <t>SIEMBRAS DE VERANO EN EL ÁREA LECHERA (son las realizadas en Feb. Mar, Abr, May, Jun y Jul)</t>
  </si>
  <si>
    <t xml:space="preserve">Área Lechera </t>
  </si>
  <si>
    <t xml:space="preserve">Área Ganadera </t>
  </si>
  <si>
    <t xml:space="preserve">Cultivos de Reservas </t>
  </si>
  <si>
    <t xml:space="preserve">Cultivos Agrícolas </t>
  </si>
  <si>
    <t xml:space="preserve">OCULTAR DE Aquí en mas </t>
  </si>
  <si>
    <t xml:space="preserve">Área Refertilizacion  y reservas y Cosecha </t>
  </si>
  <si>
    <t>Ocultar</t>
  </si>
  <si>
    <t>Siembras del presupuesto</t>
  </si>
  <si>
    <t>M</t>
  </si>
  <si>
    <t>Reservas forrajeras de excedentes</t>
  </si>
  <si>
    <t xml:space="preserve">Lista desplegable </t>
  </si>
  <si>
    <t>COSTO DE REFERTILIZACIONES</t>
  </si>
  <si>
    <t xml:space="preserve">Cultivos en Proceso al FINAL </t>
  </si>
  <si>
    <t xml:space="preserve">Resumen de Gastos de implantación siembras de Primavera - Verano </t>
  </si>
  <si>
    <t>Gasto Semilla+ Fert + Agroq</t>
  </si>
  <si>
    <t xml:space="preserve">para has de cultivos en proceso al final </t>
  </si>
  <si>
    <t xml:space="preserve">Gastos Durante el ejercicio presupuestado </t>
  </si>
  <si>
    <t>silopaq</t>
  </si>
  <si>
    <t>silo</t>
  </si>
  <si>
    <t>gasoil (l/unidad)</t>
  </si>
  <si>
    <t xml:space="preserve">Consumo total de gasoil Otono Invierno </t>
  </si>
  <si>
    <t>Litros de gasoil/mes y U$S/ mes</t>
  </si>
  <si>
    <t xml:space="preserve">Consumo total de gasoil primavera - Verano </t>
  </si>
  <si>
    <t>Uso de insumos en unidades</t>
  </si>
  <si>
    <t xml:space="preserve">Solo primer mes </t>
  </si>
  <si>
    <t xml:space="preserve">Opcion forrajera </t>
  </si>
  <si>
    <t>Costo de implantación</t>
  </si>
  <si>
    <t xml:space="preserve">Opción Forrajera </t>
  </si>
  <si>
    <t>Verdeos de Invierno</t>
  </si>
  <si>
    <t>Reservas de Invierno</t>
  </si>
  <si>
    <t>U$S/mes</t>
  </si>
  <si>
    <t xml:space="preserve">U$S/mes </t>
  </si>
  <si>
    <t xml:space="preserve">Gasto Semillas + Afgroq + Fertilizacion. Va a Cultivos  </t>
  </si>
  <si>
    <t xml:space="preserve">COMBUSTIBLEs no se sacaron.. </t>
  </si>
  <si>
    <t xml:space="preserve">Maquinaria contratada - Cultivos en proceso </t>
  </si>
  <si>
    <t>suman a los gastos de los cuadros de las Filas 1366</t>
  </si>
  <si>
    <t xml:space="preserve">Combustible ya esta contemplado en el cálculo de arriba. </t>
  </si>
  <si>
    <t>GASTOS DE IMPLANTACIÓN (semillas+fertilizante+Agroquímicos+Maquinaria) - SEPARACIÓN DE LECHERÍA Y GANADERÍA</t>
  </si>
  <si>
    <t>Resumen  - Gastos implantación (semilllas, agroquimicos, fetilizantes + Maquinaria) según Lechería y Ganadería</t>
  </si>
  <si>
    <t>Gasoli (Litros/unidad)</t>
  </si>
  <si>
    <r>
      <t xml:space="preserve">Labor </t>
    </r>
    <r>
      <rPr>
        <b/>
        <sz val="10"/>
        <rFont val="Arial Narrow"/>
        <family val="2"/>
      </rPr>
      <t xml:space="preserve"> PROPIA </t>
    </r>
  </si>
  <si>
    <r>
      <t xml:space="preserve">Labor </t>
    </r>
    <r>
      <rPr>
        <b/>
        <sz val="10"/>
        <rFont val="Arial Narrow"/>
        <family val="2"/>
      </rPr>
      <t xml:space="preserve">CONTRATADA </t>
    </r>
  </si>
  <si>
    <t>Lista de Rango de celdas B1650:B1663</t>
  </si>
  <si>
    <t>Lista de Rango de Celdas B1665:B1678</t>
  </si>
  <si>
    <t>Litros de Combustible</t>
  </si>
  <si>
    <t xml:space="preserve">ENSILADA - Combustible </t>
  </si>
  <si>
    <t>Suma Unidades</t>
  </si>
  <si>
    <t>ensilaje - Maquinaria  contratada</t>
  </si>
  <si>
    <t>A elimiar a posterior es el número de columna</t>
  </si>
  <si>
    <t xml:space="preserve">RESUMEN </t>
  </si>
  <si>
    <t xml:space="preserve">TOTAL en LITROS </t>
  </si>
  <si>
    <t>U$S en combustible</t>
  </si>
  <si>
    <t xml:space="preserve">Listas Desplegables </t>
  </si>
  <si>
    <t xml:space="preserve">EXISTENCIAS AL INICIO Y FIN DE PRESUPUESTO </t>
  </si>
  <si>
    <t xml:space="preserve">Para el Financiero </t>
  </si>
  <si>
    <t xml:space="preserve">Resumen </t>
  </si>
  <si>
    <t xml:space="preserve">Lista desplegable de Insumos y Labores </t>
  </si>
  <si>
    <t>Cálculo de Gasto Financiero</t>
  </si>
  <si>
    <t xml:space="preserve">Resumen Gasto Financiero </t>
  </si>
  <si>
    <t xml:space="preserve">Entrada al stock de semillas, de las semillas cosechadas en el predio. (kg de semilla por mes guardado entra el mismo mes de cosecha) Viene de la hoja Ingresos </t>
  </si>
  <si>
    <t>PRODUCCIÓN DE MS UTILIZABLE DE RESERVAS DE INVIERNO Y VERANO PARA LECHERÍA y GANADERÍA</t>
  </si>
  <si>
    <t xml:space="preserve">Cuadro </t>
  </si>
  <si>
    <t>Cuadro</t>
  </si>
  <si>
    <r>
      <t>Destino</t>
    </r>
    <r>
      <rPr>
        <b/>
        <vertAlign val="superscript"/>
        <sz val="10"/>
        <rFont val="Arial Narrow"/>
        <family val="2"/>
      </rPr>
      <t>1</t>
    </r>
  </si>
  <si>
    <r>
      <rPr>
        <b/>
        <vertAlign val="superscript"/>
        <sz val="10"/>
        <rFont val="Arial Narrow"/>
        <family val="2"/>
      </rPr>
      <t>1</t>
    </r>
    <r>
      <rPr>
        <sz val="10"/>
        <rFont val="Arial Narrow"/>
        <family val="2"/>
      </rPr>
      <t>Categoría a la que se destina la superficie</t>
    </r>
  </si>
  <si>
    <r>
      <t xml:space="preserve">MS utilizable total </t>
    </r>
    <r>
      <rPr>
        <b/>
        <sz val="10"/>
        <rFont val="Arial Narrow"/>
        <family val="2"/>
      </rPr>
      <t>pastoreo</t>
    </r>
    <r>
      <rPr>
        <sz val="10"/>
        <rFont val="Arial Narrow"/>
        <family val="2"/>
      </rPr>
      <t xml:space="preserve"> Pasturas y verdeos - </t>
    </r>
    <r>
      <rPr>
        <b/>
        <sz val="10"/>
        <rFont val="Arial Narrow"/>
        <family val="2"/>
      </rPr>
      <t>Área VO</t>
    </r>
  </si>
  <si>
    <r>
      <t xml:space="preserve">MS utilizable total </t>
    </r>
    <r>
      <rPr>
        <b/>
        <sz val="10"/>
        <rFont val="Arial Narrow"/>
        <family val="2"/>
      </rPr>
      <t>reservas</t>
    </r>
    <r>
      <rPr>
        <sz val="10"/>
        <rFont val="Arial Narrow"/>
        <family val="2"/>
      </rPr>
      <t xml:space="preserve"> Pasturas y verdeos - </t>
    </r>
    <r>
      <rPr>
        <b/>
        <sz val="10"/>
        <rFont val="Arial Narrow"/>
        <family val="2"/>
      </rPr>
      <t>Área VO</t>
    </r>
  </si>
  <si>
    <r>
      <t xml:space="preserve">MS utilizable total </t>
    </r>
    <r>
      <rPr>
        <b/>
        <sz val="10"/>
        <rFont val="Arial Narrow"/>
        <family val="2"/>
      </rPr>
      <t>pastoreo</t>
    </r>
    <r>
      <rPr>
        <sz val="10"/>
        <rFont val="Arial Narrow"/>
        <family val="2"/>
      </rPr>
      <t xml:space="preserve"> Pasturas y verdeos - Área Recría</t>
    </r>
  </si>
  <si>
    <r>
      <t xml:space="preserve">MS utilizable total </t>
    </r>
    <r>
      <rPr>
        <b/>
        <sz val="10"/>
        <rFont val="Arial Narrow"/>
        <family val="2"/>
      </rPr>
      <t>reservas</t>
    </r>
    <r>
      <rPr>
        <sz val="10"/>
        <rFont val="Arial Narrow"/>
        <family val="2"/>
      </rPr>
      <t xml:space="preserve"> Pasturas y verdeos - Área Recría</t>
    </r>
  </si>
  <si>
    <t>Nombre</t>
  </si>
  <si>
    <t xml:space="preserve">Lista desplegable destino de potreros </t>
  </si>
  <si>
    <t>Listado de celdas D497:D530</t>
  </si>
  <si>
    <t xml:space="preserve">Pastoreo Vacas en Ordeñe. </t>
  </si>
  <si>
    <t>Vaca Masa</t>
  </si>
  <si>
    <t xml:space="preserve">Pastoreo Ganadero </t>
  </si>
  <si>
    <t xml:space="preserve">Lecheros </t>
  </si>
  <si>
    <t>Ganaderos</t>
  </si>
  <si>
    <t xml:space="preserve">Vacas secas menos  preparto </t>
  </si>
  <si>
    <t xml:space="preserve">Peso total por día en Kg - Otras categorías. Para hoja alimentos </t>
  </si>
  <si>
    <t xml:space="preserve">Concentración energética del forraje utilizable por mes </t>
  </si>
  <si>
    <t xml:space="preserve">Digestibilidad del Forraje por área, para  Energías del cuadro anterior </t>
  </si>
  <si>
    <t>Requerimiento totales de Energía por mes</t>
  </si>
  <si>
    <t xml:space="preserve">Requerimiento MS totales por mes </t>
  </si>
  <si>
    <t xml:space="preserve">Listas desplegables </t>
  </si>
  <si>
    <t xml:space="preserve">ALIMENTACiÓN DE LOTES FIJOS </t>
  </si>
  <si>
    <t xml:space="preserve">U$S Totales </t>
  </si>
  <si>
    <t>vacas VO</t>
  </si>
  <si>
    <t xml:space="preserve">Recrías </t>
  </si>
  <si>
    <t xml:space="preserve">Resumen de Reservas de categorías encerradas </t>
  </si>
  <si>
    <t xml:space="preserve">TOTAL de kg Base FRESCA por mes sin corregir por pérdidas CONCENTRADO </t>
  </si>
  <si>
    <t xml:space="preserve">TOTAL de kg DE MS por mes sin corregir por pérdidas RESERVAS </t>
  </si>
  <si>
    <t xml:space="preserve">PRODUCCIÓN de Sólidos VO </t>
  </si>
  <si>
    <t>CALCULO DE MORTALIDAD Y CARGA EN UG</t>
  </si>
  <si>
    <t xml:space="preserve">Novillos - 2-3 años </t>
  </si>
  <si>
    <t xml:space="preserve">Novillos 1-2 años </t>
  </si>
  <si>
    <t xml:space="preserve">Terneros &gt;6 meses </t>
  </si>
  <si>
    <t xml:space="preserve">Ternesos &lt; 6 meses </t>
  </si>
  <si>
    <t>CALCULO DE MORTANDAD Y CARGA EN UG</t>
  </si>
  <si>
    <t>Cálculo de Mortandad. N de animales muertos pror categoría</t>
  </si>
  <si>
    <t>Total de UG</t>
  </si>
  <si>
    <t xml:space="preserve">UG/animal </t>
  </si>
  <si>
    <r>
      <t>Uso del suelo por Rubro Promedio Anual y por Trimestre</t>
    </r>
    <r>
      <rPr>
        <sz val="10"/>
        <rFont val="Arial Narrow"/>
        <family val="2"/>
      </rPr>
      <t>, hectáreas</t>
    </r>
  </si>
  <si>
    <t>Concentrado VO, gr/l</t>
  </si>
  <si>
    <t>Concentrado VO, kg/Ha SPL</t>
  </si>
  <si>
    <t>Concentrado VO, kg/Ha SPVO</t>
  </si>
  <si>
    <t>Concentrado VO, kg/VM</t>
  </si>
  <si>
    <r>
      <t xml:space="preserve">Uso del suelo por Destino, </t>
    </r>
    <r>
      <rPr>
        <sz val="10"/>
        <rFont val="Arial Narrow"/>
        <family val="2"/>
      </rPr>
      <t>hectáreas</t>
    </r>
  </si>
  <si>
    <t>Total de PB Económico</t>
  </si>
  <si>
    <t xml:space="preserve">KG a guardar van a stock de semillas, hoja precios </t>
  </si>
  <si>
    <t>semillero de:</t>
  </si>
  <si>
    <t xml:space="preserve">Cultivos lista desplegable para Resultado Finacniero anual </t>
  </si>
  <si>
    <t xml:space="preserve">Carne lechería lista desplegable para resultado Financiero anual </t>
  </si>
  <si>
    <t>Carne ganadería lista desplegable para resultado Financiero anual</t>
  </si>
  <si>
    <t xml:space="preserve">puese AL MOMENTO </t>
  </si>
  <si>
    <t xml:space="preserve">Falta productos al inicio… </t>
  </si>
  <si>
    <t>areastambo6</t>
  </si>
  <si>
    <t>VM, cab/ha Sup. Útil</t>
  </si>
  <si>
    <t>VM, UG/ha Sup. Útil</t>
  </si>
  <si>
    <t>Resto, UG/Ha Sup. Útil</t>
  </si>
  <si>
    <t>UG/ha Sup. Útil</t>
  </si>
  <si>
    <t>Producción de Leche, L/ha Sup. Útil</t>
  </si>
  <si>
    <t>% de Grasa</t>
  </si>
  <si>
    <t>% de Proteína</t>
  </si>
  <si>
    <r>
      <t xml:space="preserve">(corresponde a </t>
    </r>
    <r>
      <rPr>
        <b/>
        <sz val="10"/>
        <rFont val="Arial Narrow"/>
        <family val="2"/>
      </rPr>
      <t>reservas</t>
    </r>
    <r>
      <rPr>
        <sz val="10"/>
        <rFont val="Arial Narrow"/>
        <family val="2"/>
      </rPr>
      <t xml:space="preserve"> generadas cultivos de invierno y verano para reserva)</t>
    </r>
  </si>
  <si>
    <t xml:space="preserve">VACAS PREPARTO </t>
  </si>
  <si>
    <t xml:space="preserve">DIPOSNIBILIDAD AL INICIO. NO ESTA OPERATIVO AÚN </t>
  </si>
  <si>
    <t xml:space="preserve">FINAL </t>
  </si>
  <si>
    <r>
      <t>Uso de Insumos en Cultivos en Proceso existentes al inicio</t>
    </r>
    <r>
      <rPr>
        <b/>
        <vertAlign val="superscript"/>
        <sz val="10"/>
        <rFont val="Arial Narrow"/>
        <family val="2"/>
      </rPr>
      <t>1</t>
    </r>
  </si>
  <si>
    <r>
      <rPr>
        <b/>
        <vertAlign val="superscript"/>
        <sz val="12"/>
        <color rgb="FFFF0000"/>
        <rFont val="Arial Narrow"/>
        <family val="2"/>
      </rPr>
      <t>1</t>
    </r>
    <r>
      <rPr>
        <sz val="10"/>
        <color rgb="FFFF0000"/>
        <rFont val="Arial Narrow"/>
        <family val="2"/>
      </rPr>
      <t>No contempla gastos de cosecha</t>
    </r>
  </si>
  <si>
    <r>
      <rPr>
        <vertAlign val="superscript"/>
        <sz val="9"/>
        <color rgb="FFFF0000"/>
        <rFont val="Arial Narrow"/>
        <family val="2"/>
      </rPr>
      <t>1</t>
    </r>
    <r>
      <rPr>
        <sz val="9"/>
        <color rgb="FFFF0000"/>
        <rFont val="Arial Narrow"/>
        <family val="2"/>
      </rPr>
      <t xml:space="preserve"> Hay 2 destinos posibles: Venta al nacimiento (Venta Nacim.) o Cesión a Ganadería (Cesión Ganad.). Si se prevé que todos los meses se va a optar por el mismo destino, se llena la celda C55 indicando la opción elegida mediante el desplegable</t>
    </r>
  </si>
  <si>
    <r>
      <rPr>
        <vertAlign val="superscript"/>
        <sz val="9"/>
        <color rgb="FFFF0000"/>
        <rFont val="Arial Narrow"/>
        <family val="2"/>
      </rPr>
      <t>2</t>
    </r>
    <r>
      <rPr>
        <sz val="9"/>
        <color rgb="FFFF0000"/>
        <rFont val="Arial Narrow"/>
        <family val="2"/>
      </rPr>
      <t xml:space="preserve"> Si se prevé que va a haber meses en que se produzcan cambios de destino hay que: dejar vacía la celda C55 y llenar las 12 celdas  de la fila 54 (desde F54 a Q54), valiéndise de los desplegables que aparecen en cada una de estas celdas</t>
    </r>
  </si>
  <si>
    <t xml:space="preserve">Partos totales de vaquillonas </t>
  </si>
  <si>
    <t xml:space="preserve">Partos Totales de vaquillonas </t>
  </si>
  <si>
    <r>
      <t xml:space="preserve">Máximo consumo de reservas permitido </t>
    </r>
    <r>
      <rPr>
        <vertAlign val="superscript"/>
        <sz val="10"/>
        <rFont val="Arial Narrow"/>
        <family val="2"/>
      </rPr>
      <t>1</t>
    </r>
  </si>
  <si>
    <r>
      <t xml:space="preserve">Concentrado (energético+proteico) </t>
    </r>
    <r>
      <rPr>
        <vertAlign val="superscript"/>
        <sz val="10"/>
        <rFont val="Arial Narrow"/>
        <family val="2"/>
      </rPr>
      <t>2</t>
    </r>
  </si>
  <si>
    <r>
      <t xml:space="preserve">Concentrado Energético, concentración PC </t>
    </r>
    <r>
      <rPr>
        <vertAlign val="superscript"/>
        <sz val="10"/>
        <rFont val="Arial Narrow"/>
        <family val="2"/>
      </rPr>
      <t>2</t>
    </r>
    <r>
      <rPr>
        <sz val="10"/>
        <rFont val="Arial Narrow"/>
        <family val="2"/>
      </rPr>
      <t xml:space="preserve"> </t>
    </r>
  </si>
  <si>
    <r>
      <t xml:space="preserve">Concentrado Proteico, concentración PC </t>
    </r>
    <r>
      <rPr>
        <vertAlign val="superscript"/>
        <sz val="10"/>
        <rFont val="Arial Narrow"/>
        <family val="2"/>
      </rPr>
      <t>2</t>
    </r>
  </si>
  <si>
    <r>
      <t xml:space="preserve">Consumos Proyectados en Materia Seca </t>
    </r>
    <r>
      <rPr>
        <sz val="10"/>
        <rFont val="Arial Narrow"/>
        <family val="2"/>
      </rPr>
      <t>(sin contar pérdidas de suministros)</t>
    </r>
  </si>
  <si>
    <t>1 Estos niveles máximos son los topes que usa el modelo para estimar consumo de Forraje y Reservas. Se refieren a niveles de consumo (antes de pérdidas de suministro)</t>
  </si>
  <si>
    <t xml:space="preserve">1 Contempla animales mayores a 6 meses, menos vacas y vaquillonas en Preparto. </t>
  </si>
  <si>
    <r>
      <t xml:space="preserve">Uso de Reservas </t>
    </r>
    <r>
      <rPr>
        <vertAlign val="superscript"/>
        <sz val="10"/>
        <rFont val="Arial Narrow"/>
        <family val="2"/>
      </rPr>
      <t>2</t>
    </r>
  </si>
  <si>
    <t>2 Estos niveles máximos son los topes que usa el modelo para estimar consumo de Forraje y Reservas</t>
  </si>
  <si>
    <r>
      <t>Alimentación Recría, Vacas Secas y Toros</t>
    </r>
    <r>
      <rPr>
        <b/>
        <vertAlign val="superscript"/>
        <sz val="10"/>
        <rFont val="Arial Narrow"/>
        <family val="2"/>
      </rPr>
      <t>1</t>
    </r>
    <r>
      <rPr>
        <b/>
        <sz val="10"/>
        <rFont val="Arial Narrow"/>
        <family val="2"/>
      </rPr>
      <t xml:space="preserve">. Proyección de consumo de Forraje, Reservas y Concentrados mensuales </t>
    </r>
  </si>
  <si>
    <t>Número de animales promedio</t>
  </si>
  <si>
    <t xml:space="preserve">Peso Vivo promedio </t>
  </si>
  <si>
    <t>Litros/VO/día</t>
  </si>
  <si>
    <t>kgMS/VO/día</t>
  </si>
  <si>
    <t>kg BF/VO/día</t>
  </si>
  <si>
    <t>kgBF/cab/día</t>
  </si>
  <si>
    <t>kgMS/cab/día</t>
  </si>
  <si>
    <t>Concentrado ofrecido (incluye pérdida)</t>
  </si>
  <si>
    <t>Porcentaje de Concentrado como % PV</t>
  </si>
  <si>
    <t xml:space="preserve">Número de animales promedio </t>
  </si>
  <si>
    <t>Porcentaje de Concentrado como %  PV</t>
  </si>
  <si>
    <t>Área de Recría, Vacas Secas y Toros</t>
  </si>
  <si>
    <t>Porcentaje del excedente que se reserva</t>
  </si>
  <si>
    <t xml:space="preserve">Materia Seca a reservar </t>
  </si>
  <si>
    <r>
      <t xml:space="preserve">Porcentaje del Total de MS a reservar como </t>
    </r>
    <r>
      <rPr>
        <b/>
        <sz val="10"/>
        <rFont val="Arial Narrow"/>
        <family val="2"/>
      </rPr>
      <t>ENSILAJE</t>
    </r>
  </si>
  <si>
    <t>Unidades producidas por mes según tipo de reserva</t>
  </si>
  <si>
    <t xml:space="preserve">Rendimiento/kg MS unidad </t>
  </si>
  <si>
    <t xml:space="preserve">fardo </t>
  </si>
  <si>
    <t xml:space="preserve">Heno </t>
  </si>
  <si>
    <t>Heno</t>
  </si>
  <si>
    <t>Henolaje</t>
  </si>
  <si>
    <r>
      <t xml:space="preserve">Porcentaje del Total de MS a reservar como </t>
    </r>
    <r>
      <rPr>
        <b/>
        <sz val="10"/>
        <rFont val="Arial Narrow"/>
        <family val="2"/>
      </rPr>
      <t xml:space="preserve">HENO </t>
    </r>
  </si>
  <si>
    <r>
      <t xml:space="preserve">Porcentaje del Total de MS a reservar como </t>
    </r>
    <r>
      <rPr>
        <b/>
        <sz val="10"/>
        <rFont val="Arial Narrow"/>
        <family val="2"/>
      </rPr>
      <t xml:space="preserve">HENILAJE </t>
    </r>
  </si>
  <si>
    <t xml:space="preserve">Materia Seca total producida por mes según tipo de reserva </t>
  </si>
  <si>
    <t>Reservas Ofrecidas, Recría, Vacas Secas y Toros</t>
  </si>
  <si>
    <r>
      <t xml:space="preserve">Autoconsumo de granos </t>
    </r>
    <r>
      <rPr>
        <sz val="10"/>
        <rFont val="Arial Narrow"/>
        <family val="2"/>
      </rPr>
      <t>(toneladas de BF)</t>
    </r>
    <r>
      <rPr>
        <b/>
        <sz val="10"/>
        <rFont val="Arial Narrow"/>
        <family val="2"/>
      </rPr>
      <t xml:space="preserve"> </t>
    </r>
  </si>
  <si>
    <t>Celdas con fondo rojo indican que se están consumiendo más toneladas de las cosechadas.</t>
  </si>
  <si>
    <t>U$S / kg BF</t>
  </si>
  <si>
    <t xml:space="preserve">Compra de Concentrado Proteico </t>
  </si>
  <si>
    <t>Compra de concentrado proteico (kg BF)</t>
  </si>
  <si>
    <t>Concentrado proteico Ofrecido por Categoría</t>
  </si>
  <si>
    <t xml:space="preserve">Financiero asume que los concentrados de las categorias encerradas se compran mes a mes </t>
  </si>
  <si>
    <t>Superficie Agrícola</t>
  </si>
  <si>
    <t xml:space="preserve">Destino </t>
  </si>
  <si>
    <t>Trimestre</t>
  </si>
  <si>
    <t>SP VO</t>
  </si>
  <si>
    <t>S VM</t>
  </si>
  <si>
    <t xml:space="preserve">SPVO: Superficie de Pastooreo Vacas en Ordeñe </t>
  </si>
  <si>
    <t xml:space="preserve">Aclaración: Balance entre la oferta de forraje y requerimientos del año presupuestado </t>
  </si>
  <si>
    <t>1) Seleccionar el criterio de separación:</t>
  </si>
  <si>
    <t>Criterio:</t>
  </si>
  <si>
    <t>2) Si se selecciona "Porcentaje", definir que % corresponde a:</t>
  </si>
  <si>
    <t xml:space="preserve">Rubro </t>
  </si>
  <si>
    <t>U$S/ha S. Agrícola</t>
  </si>
  <si>
    <t>U$S/ha SPG</t>
  </si>
  <si>
    <t xml:space="preserve">Porcentaje de los gastos por Rubro </t>
  </si>
  <si>
    <t>GASTOS DE MAQUINARIA</t>
  </si>
  <si>
    <t>Gastos en Reparación de Maquinaria</t>
  </si>
  <si>
    <t xml:space="preserve">Gastos en Combustible </t>
  </si>
  <si>
    <t xml:space="preserve">Gastos en Maquinaria contratada </t>
  </si>
  <si>
    <t>Gastos Total de Maquinaria</t>
  </si>
  <si>
    <t xml:space="preserve">combustible </t>
  </si>
  <si>
    <t xml:space="preserve">Gastos Variables </t>
  </si>
  <si>
    <t xml:space="preserve">Total de Gastos Variables </t>
  </si>
  <si>
    <t>Superficie, has</t>
  </si>
  <si>
    <t>Rubro:</t>
  </si>
  <si>
    <t>Ingresos, Egresos, Margen Bruto y Márgen Neto por Rubro (U$S Totales y U$S/ha)</t>
  </si>
  <si>
    <t>Porcentaje que utilizará para hacer los cálculos según rubro</t>
  </si>
  <si>
    <t xml:space="preserve">Márgen Bruto y Neto Lechero, Ganadero y Agrícola + Semilleros </t>
  </si>
  <si>
    <t xml:space="preserve">Confección de reservas de Excedentes de Forraje </t>
  </si>
  <si>
    <t>Litros Lechería</t>
  </si>
  <si>
    <t>Litros  Ganadería</t>
  </si>
  <si>
    <t xml:space="preserve">Reservas de excedentes </t>
  </si>
  <si>
    <t>Ración otras categorías</t>
  </si>
  <si>
    <t xml:space="preserve">Gandería </t>
  </si>
  <si>
    <t>Lechería conc. Energético + Proteico + cat encerradas</t>
  </si>
  <si>
    <t>Ganadería con. Energético + cat encerradas</t>
  </si>
  <si>
    <t>Resumen de Egresos</t>
  </si>
  <si>
    <t xml:space="preserve">ISNUMOS TOTAL </t>
  </si>
  <si>
    <t>Gasto en Energía</t>
  </si>
  <si>
    <t>Gasto en Sanidad</t>
  </si>
  <si>
    <t>Gasto en Higiene</t>
  </si>
  <si>
    <t>Gasto en Inseminación</t>
  </si>
  <si>
    <t>TOTAL Gasto en Alimentación del Ganado</t>
  </si>
  <si>
    <t xml:space="preserve">GASTO EN ALIMENTACIÓN DEL GANADO </t>
  </si>
  <si>
    <t>GASTO EN PASTURAS</t>
  </si>
  <si>
    <t>TOTAL Gasto en Pasturas</t>
  </si>
  <si>
    <t xml:space="preserve">GASTO EN CULTIVOS </t>
  </si>
  <si>
    <t>TOTAL Gasto en Cultivos</t>
  </si>
  <si>
    <t>GASTO EN PASTOREO</t>
  </si>
  <si>
    <t>GASTOS VARIOS</t>
  </si>
  <si>
    <t>GASTO EN TRABAJO</t>
  </si>
  <si>
    <t>TOTAL Gasto en Trabajo</t>
  </si>
  <si>
    <t>Gastos en Administración</t>
  </si>
  <si>
    <t>Total Gastos en Administración</t>
  </si>
  <si>
    <t xml:space="preserve">Gasto en Vehículo </t>
  </si>
  <si>
    <t>TOTAL Gastos en Vehículo</t>
  </si>
  <si>
    <t>TOTAL GASTOS sin renta</t>
  </si>
  <si>
    <t>TOTAL GASTOS con renta</t>
  </si>
  <si>
    <t>Cuentas a cobrar, U$S totales/mes</t>
  </si>
  <si>
    <t>Pago de Intereses, U$S totales/mes</t>
  </si>
  <si>
    <t>Inversiones, U$S totales/mes</t>
  </si>
  <si>
    <t>N</t>
  </si>
  <si>
    <t>Bañado</t>
  </si>
  <si>
    <t xml:space="preserve">RESERVAS VERANO </t>
  </si>
  <si>
    <t xml:space="preserve">RESERVAS INVIERNO </t>
  </si>
  <si>
    <t>Ensilar Verdeos de Invierno / Praderas</t>
  </si>
  <si>
    <t>Situación Final</t>
  </si>
  <si>
    <t>Saldo CP</t>
  </si>
  <si>
    <t>Saldo LP</t>
  </si>
  <si>
    <t>Pago de Deudas Financieras de Corto Plazo (CP), U$S totales/mes</t>
  </si>
  <si>
    <t>CP = Corto Plazo. LP=Largo Plazo</t>
  </si>
  <si>
    <t>Pago de Deudas Comerciales Corto Plazo (CP), U$S totales/mes</t>
  </si>
  <si>
    <t>Pago de Deudas Financieras de Largo Plazo (LP), U$S totales/mes</t>
  </si>
  <si>
    <t>CP = Corto Plazo</t>
  </si>
  <si>
    <t>Saldo Inicio</t>
  </si>
  <si>
    <t>Nuevos Créditos Financieros Tomados, U$S totales/mes</t>
  </si>
  <si>
    <t>Pago de Nuevos Créditos Financieros, U$S totales/mes</t>
  </si>
  <si>
    <t>Nuevos Créditos Comerciales Tomados, U$S totales/mes</t>
  </si>
  <si>
    <t>Pago de Nuevos Créditos Comerciales, U$S Totales/mes</t>
  </si>
  <si>
    <t xml:space="preserve">Resumen de Deudas </t>
  </si>
  <si>
    <t xml:space="preserve">Situación Inicial </t>
  </si>
  <si>
    <t xml:space="preserve">Situación Final </t>
  </si>
  <si>
    <t xml:space="preserve">Deudas Financieras de Largo Plazo </t>
  </si>
  <si>
    <t>Deuda Financiera de Corto Plazo</t>
  </si>
  <si>
    <t>Deuda Comercial de Corto Plazo</t>
  </si>
  <si>
    <t xml:space="preserve">OCULAR DE AQUÍ EN MAS </t>
  </si>
  <si>
    <t xml:space="preserve">Saldo Mensual del Presupuesto Financiero </t>
  </si>
  <si>
    <t>Saldo Acumulado del Presupuesto Financiero</t>
  </si>
  <si>
    <t xml:space="preserve">Financiera </t>
  </si>
  <si>
    <t xml:space="preserve">Comercial </t>
  </si>
  <si>
    <t>Deuda Largo Plazo</t>
  </si>
  <si>
    <t>Deuda Corto Plazo</t>
  </si>
  <si>
    <t xml:space="preserve">Bienes Inmuebles </t>
  </si>
  <si>
    <t xml:space="preserve">Activo INICIO </t>
  </si>
  <si>
    <t xml:space="preserve">Activo FINAL </t>
  </si>
  <si>
    <t xml:space="preserve">Nuevos Créditos Financieros </t>
  </si>
  <si>
    <t>Nuevos Créditos Comerciales</t>
  </si>
  <si>
    <t xml:space="preserve">Pago de créditos - Nuevos Créditos </t>
  </si>
  <si>
    <t xml:space="preserve">Activo promedio y Depreciación </t>
  </si>
  <si>
    <t>Fertilizantes. Precios presupuestados, Existencias iniciales, Necesidades de durante el Presupuesto</t>
  </si>
  <si>
    <t>Semillas. Precios presupuestados, Existencias iniciales, Necesidades de durante el Presupuesto</t>
  </si>
  <si>
    <t>Agroquímicos. Precios presupuestados, Existencias iniciales, Necesidades de durante el Presupuesto</t>
  </si>
  <si>
    <t xml:space="preserve">Plazo de Cobro </t>
  </si>
  <si>
    <t>U$S/ha sembrada</t>
  </si>
  <si>
    <t>Precio y consumo de gasoil en labores de laboreo primario, siembra, fertilización y pulverización</t>
  </si>
  <si>
    <t>Precio y consumo de gasoil en labores de cosecha de grano y forraje</t>
  </si>
  <si>
    <t>(Cuadros 21 a 23)</t>
  </si>
  <si>
    <t>Precios de confección de henilaje (Silopaq)</t>
  </si>
  <si>
    <t>Precios de confección de Ensilaje</t>
  </si>
  <si>
    <t xml:space="preserve">Precios de confección de reservas forrajeras confeccionadas a partir de excedentes de forraje </t>
  </si>
  <si>
    <t>Sin costo de cultivo</t>
  </si>
  <si>
    <t>Precios de concentrados de animales encerrados</t>
  </si>
  <si>
    <t xml:space="preserve">Concentrados Ternero/a 2- 6 meses </t>
  </si>
  <si>
    <t xml:space="preserve">Concentrado Ternero/a lactante </t>
  </si>
  <si>
    <t xml:space="preserve">Concentrado Preparto </t>
  </si>
  <si>
    <t>Ganado de Carne</t>
  </si>
  <si>
    <t>Activo</t>
  </si>
  <si>
    <t>Disponible y Realizable</t>
  </si>
  <si>
    <t xml:space="preserve">Disponible y Realizable </t>
  </si>
  <si>
    <t>Insumos en Stock</t>
  </si>
  <si>
    <t>Cuentas a cobrar</t>
  </si>
  <si>
    <t xml:space="preserve">Caja </t>
  </si>
  <si>
    <t>Tasación de campo propio</t>
  </si>
  <si>
    <t>Tasación de campo arrendado</t>
  </si>
  <si>
    <t>Concentrados, Stock</t>
  </si>
  <si>
    <t>Reservas, Stock</t>
  </si>
  <si>
    <t>OCULAR</t>
  </si>
  <si>
    <t>30días</t>
  </si>
  <si>
    <t>Cuentas por cobrar al final</t>
  </si>
  <si>
    <t>Toneladas Vendidas por mes</t>
  </si>
  <si>
    <t xml:space="preserve">Precio Neto de Venta (U$S/ton) </t>
  </si>
  <si>
    <t>Celdas con fondo colorado indican que falta indicar el precio de las ton que se están vendiendo.</t>
  </si>
  <si>
    <t xml:space="preserve">Cuantas por cobrar </t>
  </si>
  <si>
    <t>Otros PB</t>
  </si>
  <si>
    <t>contado</t>
  </si>
  <si>
    <t xml:space="preserve">Activos </t>
  </si>
  <si>
    <t>FALTA ARREGLAR!!!1</t>
  </si>
  <si>
    <t xml:space="preserve">Vaquillonas Preparto </t>
  </si>
  <si>
    <t>InterS. Rg</t>
  </si>
  <si>
    <t>Ra Silo Cierre Ago</t>
  </si>
  <si>
    <t>Cuentas a Cobrar</t>
  </si>
  <si>
    <t>Pago de Deudas Financieras de Largo Plazo (LP)</t>
  </si>
  <si>
    <t>Pago de Deudas Financieras de Corto Plazo (CP)</t>
  </si>
  <si>
    <t>Pago de Intereses</t>
  </si>
  <si>
    <t>Pago de Deudas Comerciales Corto Plazo (CP)</t>
  </si>
  <si>
    <t>Nuevos Créditos Financieros Tomados</t>
  </si>
  <si>
    <t>Pago de Nuevos Créditos Financieros</t>
  </si>
  <si>
    <t>Nuevos Créditos Comerciales Tomados</t>
  </si>
  <si>
    <t>Pago de Nuevos Créditos Comerciales</t>
  </si>
  <si>
    <t xml:space="preserve">Malla </t>
  </si>
  <si>
    <t xml:space="preserve">Nylon </t>
  </si>
  <si>
    <t xml:space="preserve">Movimiento Fardos </t>
  </si>
  <si>
    <t>Resumen Resultado Financiero</t>
  </si>
  <si>
    <t>IB Ganado lechero, U$S/año</t>
  </si>
  <si>
    <t>Ingreso Bruto por Venta de Leche</t>
  </si>
  <si>
    <t xml:space="preserve">Ingreso Bruto por Venta Ganado Lechero </t>
  </si>
  <si>
    <t>Ingreso Bruto por Venta Ganado de Carne</t>
  </si>
  <si>
    <t>IB Ganado de Carne, U$S/año</t>
  </si>
  <si>
    <t>Ingreso Bruto por Venta Granos y Semillas</t>
  </si>
  <si>
    <t>IB Granos y Semillas, U$S/año</t>
  </si>
  <si>
    <t>Compra de Ganado de Carne</t>
  </si>
  <si>
    <t>Subtotal Gastos sin renta</t>
  </si>
  <si>
    <t>Composición del Egreso, U$S/año</t>
  </si>
  <si>
    <t>Composición del Ingreso Bruto, U$S/año</t>
  </si>
  <si>
    <t>Ingreso Bruto - Gastos</t>
  </si>
  <si>
    <t>TOTAL Egresos, U$S/año</t>
  </si>
  <si>
    <t xml:space="preserve">SALDO MENSUAL </t>
  </si>
  <si>
    <t>SALDO MENSUAL</t>
  </si>
  <si>
    <t xml:space="preserve">INSUMOS SIN RENTA </t>
  </si>
  <si>
    <t xml:space="preserve">COMPOSICIÓN DE LOS INSUMOS </t>
  </si>
  <si>
    <t xml:space="preserve">COMPOSICIÓN DEL PRODUCTO BRUTO </t>
  </si>
  <si>
    <t>Resultado Económico Sin Renta Mensual</t>
  </si>
  <si>
    <t xml:space="preserve">Resultado Económico Sin Renta Acumulado </t>
  </si>
  <si>
    <t xml:space="preserve">kg INICIO </t>
  </si>
  <si>
    <t xml:space="preserve">N al INICIO </t>
  </si>
  <si>
    <t>Subtotal Otros no SU</t>
  </si>
  <si>
    <t xml:space="preserve">Energía Metabolizable/kgMS Global : </t>
  </si>
  <si>
    <t xml:space="preserve">Energía Metabolizable/kgMS SPL : </t>
  </si>
  <si>
    <t xml:space="preserve">Energía Metabolizable/kgMS SPG : </t>
  </si>
  <si>
    <t xml:space="preserve">Energía Metabolizable/kgMS SPVO : </t>
  </si>
  <si>
    <t xml:space="preserve">Energía Metabolizable/kgMS Recría + Vacas Secas : </t>
  </si>
  <si>
    <r>
      <t xml:space="preserve">Activo Promedio </t>
    </r>
    <r>
      <rPr>
        <sz val="10"/>
        <rFont val="Arial Narrow"/>
        <family val="2"/>
      </rPr>
      <t>(c/tierra arrendada)</t>
    </r>
  </si>
  <si>
    <t>SuperSimple + KCL</t>
  </si>
  <si>
    <t>Pago de créditos + Interes</t>
  </si>
  <si>
    <t>Concentrados cat. encerradas</t>
  </si>
  <si>
    <t xml:space="preserve">has cosechar </t>
  </si>
  <si>
    <t xml:space="preserve">Costo de confección de Reservas y/o Cosechas </t>
  </si>
  <si>
    <t xml:space="preserve">Costo de Refertilizaciones </t>
  </si>
  <si>
    <t>Costo de confección de reservas forrajeras procedentes de excedentes de forraje</t>
  </si>
  <si>
    <t>Uso de Insumos y Costo de implantación de:</t>
  </si>
  <si>
    <t xml:space="preserve">Uso de Insumos y Costo de Implantación Siembras de Primavera - Verano </t>
  </si>
  <si>
    <t>Costo de Cultivo en Proceso al inicio (no contempla la cosecha)</t>
  </si>
  <si>
    <t xml:space="preserve">Semilleros de leguminosas </t>
  </si>
  <si>
    <t>Semilleros de gramíneas</t>
  </si>
  <si>
    <t>Cosecha de Cultivos de Reservas</t>
  </si>
  <si>
    <t>Totales /Promedio</t>
  </si>
  <si>
    <r>
      <t xml:space="preserve">Balance Forrajero Global Anual </t>
    </r>
    <r>
      <rPr>
        <sz val="10"/>
        <rFont val="Arial Narrow"/>
        <family val="2"/>
      </rPr>
      <t xml:space="preserve">(Total del área y total del ganado) (toneladas de MS)   </t>
    </r>
  </si>
  <si>
    <r>
      <t>Balance Forrajero Anual según destino</t>
    </r>
    <r>
      <rPr>
        <sz val="10"/>
        <rFont val="Arial Narrow"/>
        <family val="2"/>
      </rPr>
      <t xml:space="preserve"> (Superficie de Pastoreo Lechero y Superficie de Pastoreo Ganadero) (toneladas de MS)   </t>
    </r>
  </si>
  <si>
    <r>
      <t>Balance Forrajero Anual en la Superficie de Pastoreo Lechero</t>
    </r>
    <r>
      <rPr>
        <sz val="10"/>
        <rFont val="Arial Narrow"/>
        <family val="2"/>
      </rPr>
      <t xml:space="preserve"> (Superficie de Pastoreo Vacas en Ordeñe y Recría + Vacas secas) (toneladas de MS)   </t>
    </r>
  </si>
  <si>
    <r>
      <t xml:space="preserve">Balance Forrajero Mensual Global  </t>
    </r>
    <r>
      <rPr>
        <sz val="10"/>
        <rFont val="Arial Narrow"/>
        <family val="2"/>
      </rPr>
      <t xml:space="preserve">(Oferta del total del área y requerimientos del total del ganado) (toneladas de MS)   </t>
    </r>
  </si>
  <si>
    <r>
      <t xml:space="preserve">Saldo Acumulado Mensual del </t>
    </r>
    <r>
      <rPr>
        <b/>
        <u/>
        <sz val="10"/>
        <rFont val="Arial Narrow"/>
        <family val="2"/>
      </rPr>
      <t>Balance Forrajero Global</t>
    </r>
    <r>
      <rPr>
        <b/>
        <sz val="10"/>
        <rFont val="Arial Narrow"/>
        <family val="2"/>
      </rPr>
      <t xml:space="preserve"> </t>
    </r>
    <r>
      <rPr>
        <sz val="10"/>
        <rFont val="Arial Narrow"/>
        <family val="2"/>
      </rPr>
      <t xml:space="preserve">(toneladas de MS)   </t>
    </r>
  </si>
  <si>
    <r>
      <t>Balance Forrajero Mensual Vacas en Ordeñe</t>
    </r>
    <r>
      <rPr>
        <sz val="10"/>
        <rFont val="Arial Narrow"/>
        <family val="2"/>
      </rPr>
      <t xml:space="preserve"> (Oferta de la SPVO y Requerimientos de VO)</t>
    </r>
  </si>
  <si>
    <r>
      <t xml:space="preserve">Máximo consumo de pasturas + reservas permitido </t>
    </r>
    <r>
      <rPr>
        <vertAlign val="superscript"/>
        <sz val="10"/>
        <rFont val="Arial Narrow"/>
        <family val="2"/>
      </rPr>
      <t>1</t>
    </r>
  </si>
  <si>
    <t xml:space="preserve">Alimentación Vacas en Ordeñe. Proyección de consumo de Pasturas, Reservas y Concentrados mensuales </t>
  </si>
  <si>
    <r>
      <t xml:space="preserve">Vacas en Ordeñe. </t>
    </r>
    <r>
      <rPr>
        <sz val="12"/>
        <rFont val="Arial Narrow"/>
        <family val="2"/>
      </rPr>
      <t>Balance Forrajero, Proyección de consumo de Pasturas, Reservas y Concentrados</t>
    </r>
  </si>
  <si>
    <t>2 El modelo asume que los concentrados energéticos y proteicos tienen la misma concentración de energía (3,0 Mcal EM/kgMS)</t>
  </si>
  <si>
    <t>Gráfico: Composicion de la Dieta promedio Mensual (kgMS/VO/día)</t>
  </si>
  <si>
    <r>
      <t xml:space="preserve">Excedentes de Pasturas posibles de Reservar, </t>
    </r>
    <r>
      <rPr>
        <sz val="10"/>
        <rFont val="Arial Narrow"/>
        <family val="2"/>
      </rPr>
      <t>kg de MS excedentes según área:</t>
    </r>
  </si>
  <si>
    <t>Reservas Confeccionadas de Excedentes de Pasturas</t>
  </si>
  <si>
    <t>TOTAL posible de Reservar</t>
  </si>
  <si>
    <t xml:space="preserve">Producción de reservas de excedentes </t>
  </si>
  <si>
    <t>Reservas producidas de exdentes de pasturas</t>
  </si>
  <si>
    <r>
      <t>Saldo Mensual Global Acumulado de Reservas</t>
    </r>
    <r>
      <rPr>
        <sz val="10"/>
        <rFont val="Arial Narrow"/>
        <family val="2"/>
      </rPr>
      <t xml:space="preserve">  (toneladas de MS)   </t>
    </r>
  </si>
  <si>
    <t>Compra de Concentrado Energético (kg BF)</t>
  </si>
  <si>
    <t>Recría, Vacas Secas y Toros</t>
  </si>
  <si>
    <t>Producto Bruto por Categoría (U$S/mes)</t>
  </si>
  <si>
    <t>Cultivos, Ingreso Financiero</t>
  </si>
  <si>
    <t>Cultivos, Ingreso Económico</t>
  </si>
  <si>
    <t xml:space="preserve">Carne Ganadería, Ingreso Económico y Financiero </t>
  </si>
  <si>
    <t>Carne Lechería, Ingreso Económico y Financiero</t>
  </si>
  <si>
    <t xml:space="preserve">Leche, Ingreso Económico y Financiero </t>
  </si>
  <si>
    <t>Semilleros, Ingreso Económico</t>
  </si>
  <si>
    <t>Semilleros, Ingreso Financiero</t>
  </si>
  <si>
    <t>Otros ingresos Financieros (no Producto Bruto) (aportes + créditos fiscales) - U$S Totales/mes</t>
  </si>
  <si>
    <t>Otros ingresos económicos (Producto Bruto) (suinos, venta de servicios….) U$S Totales/mes</t>
  </si>
  <si>
    <t>Venta de activos U$S - Totales/mes</t>
  </si>
  <si>
    <t>Producto Bruto Leche (U$S/mes) - ECONÓMICO</t>
  </si>
  <si>
    <t xml:space="preserve">Ingreso por cobro de ventas Carne Ganadería (U$S/mes)  - FINANCIERO </t>
  </si>
  <si>
    <t xml:space="preserve">Ingreso por cobro de ventas Carne Lechería (U$S/mes) - FINANCIERO </t>
  </si>
  <si>
    <t>Celdas con fondo colorado indican que se están vendiendo más toneladas de las disponibles.</t>
  </si>
  <si>
    <t xml:space="preserve">Ingreso por cobro venta Cultivos TOTAL (U$S/mes)  - FINANCIERO </t>
  </si>
  <si>
    <t>Alfalfa</t>
  </si>
  <si>
    <t>kg/ha</t>
  </si>
  <si>
    <t>Cantidad cosechada</t>
  </si>
  <si>
    <t xml:space="preserve">Cantidad guardada </t>
  </si>
  <si>
    <t>Cultivos  Agrícolas Econímico</t>
  </si>
  <si>
    <t>Cultivos Agrícolas Financiero</t>
  </si>
  <si>
    <t>Semilleros Económico</t>
  </si>
  <si>
    <t>Semilleros Financiero</t>
  </si>
  <si>
    <t>Kilogramos disponibles para venta en el mes (stock inicial + producción)</t>
  </si>
  <si>
    <r>
      <t xml:space="preserve">Kilogramos de Venta por mes </t>
    </r>
    <r>
      <rPr>
        <sz val="9"/>
        <color rgb="FFFF0000"/>
        <rFont val="Arial Narrow"/>
        <family val="2"/>
      </rPr>
      <t>Celdas con fondo colorado indican que se están vendiendo más toneladas de las disponibles.</t>
    </r>
  </si>
  <si>
    <r>
      <t xml:space="preserve">Precio Neto de Venta (US$/kg) </t>
    </r>
    <r>
      <rPr>
        <sz val="9"/>
        <color rgb="FFFF0000"/>
        <rFont val="Arial Narrow"/>
        <family val="2"/>
      </rPr>
      <t>Celdas con fondo colorado indican que falta indicar el precio de las ton que se están vendiendo.</t>
    </r>
  </si>
  <si>
    <t>Stock inicial (kg)</t>
  </si>
  <si>
    <t>Producto Bruto Otros  (U$S/mes) - ECONÓMICO</t>
  </si>
  <si>
    <t>Egresos Financieros y Económicos</t>
  </si>
  <si>
    <t xml:space="preserve">Plazo de pago </t>
  </si>
  <si>
    <t>Egresos - compra de ganado de Carne (U$S/mes) - ECONÓMICO</t>
  </si>
  <si>
    <t xml:space="preserve">Egresos - compra de ganado de Carne (U$S/mes)  - FINANCIERO </t>
  </si>
  <si>
    <t>Egresos por categoría (U$S/mes)</t>
  </si>
  <si>
    <t>GASTOS VARIABLES - Económicos (U$S/mes)</t>
  </si>
  <si>
    <t>Egresos Económico y Financiero por Compra de ganado Lechero</t>
  </si>
  <si>
    <t>Egresos Económico y Financiero por Compra de ganado de Carne</t>
  </si>
  <si>
    <t>Gastos en Maquinaria de confección de reservas</t>
  </si>
  <si>
    <t>U$S/ha SU</t>
  </si>
  <si>
    <t>EJ.  ANTERIOR</t>
  </si>
  <si>
    <t>Materiales confección de reservas</t>
  </si>
  <si>
    <t>Total de Gastos de Estructura *</t>
  </si>
  <si>
    <t xml:space="preserve">* no contempla impuestos, ni depreciación. </t>
  </si>
  <si>
    <t>Deuda Financiera de Corto Plazo = Plazo de pago menor a un año</t>
  </si>
  <si>
    <t>Deuda Financiera de Largo Plazo = Plazo de pago mayor a un año</t>
  </si>
  <si>
    <t>Compra Concentrados</t>
  </si>
  <si>
    <t>Activo promedio y Depreciación</t>
  </si>
  <si>
    <t>Precio de venta / autoconsumo (Ingreso Económico)</t>
  </si>
  <si>
    <t xml:space="preserve">kg de Concentrado base (kg MS/a/d) saca negativos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</si>
</sst>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3" formatCode="_-* #,##0.00\ _€_-;\-* #,##0.00\ _€_-;_-* &quot;-&quot;??\ _€_-;_-@_-"/>
    <numFmt numFmtId="164" formatCode="_-* #,##0.00_-;\-* #,##0.00_-;_-* &quot;-&quot;??_-;_-@_-"/>
    <numFmt numFmtId="165" formatCode="0.000"/>
    <numFmt numFmtId="166" formatCode="0.0"/>
    <numFmt numFmtId="167" formatCode="_([$€]\ * #,##0.00_);_([$€]\ * \(#,##0.00\);_([$€]\ * &quot;-&quot;??_);_(@_)"/>
    <numFmt numFmtId="168" formatCode="0.00_)"/>
    <numFmt numFmtId="169" formatCode="0.0_)"/>
    <numFmt numFmtId="170" formatCode="#,##0.0;\-#,##0.0"/>
    <numFmt numFmtId="171" formatCode="0.0%"/>
    <numFmt numFmtId="172" formatCode="#,##0.000;\-#,##0.000"/>
    <numFmt numFmtId="173" formatCode="#,##0.0000;\-#,##0.0000"/>
    <numFmt numFmtId="174" formatCode="#,##0_);\(#,##0\)\ &quot;(ha)&quot;"/>
    <numFmt numFmtId="175" formatCode="#,##0.0_);\(#,##0.0\)"/>
    <numFmt numFmtId="176" formatCode="#,##0.0"/>
    <numFmt numFmtId="177" formatCode="#,##0.00_ ;\-#,##0.00\ "/>
    <numFmt numFmtId="178" formatCode="#,##0_ ;\-#,##0\ "/>
    <numFmt numFmtId="179" formatCode="#,##0.000000"/>
    <numFmt numFmtId="180" formatCode="#,##0.0\ _€;\-#,##0.0\ _€"/>
    <numFmt numFmtId="181" formatCode="#,##0_);\(#,##0\)"/>
  </numFmts>
  <fonts count="79"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1"/>
      <color indexed="8"/>
      <name val="Calibri"/>
      <family val="2"/>
    </font>
    <font>
      <sz val="11"/>
      <color theme="1"/>
      <name val="Calibri"/>
      <family val="2"/>
      <scheme val="minor"/>
    </font>
    <font>
      <b/>
      <sz val="10"/>
      <name val="Calibri"/>
      <family val="2"/>
      <scheme val="minor"/>
    </font>
    <font>
      <sz val="9"/>
      <color indexed="81"/>
      <name val="Tahoma"/>
      <family val="2"/>
    </font>
    <font>
      <u/>
      <sz val="10"/>
      <color theme="10"/>
      <name val="Arial"/>
      <family val="2"/>
    </font>
    <font>
      <sz val="10"/>
      <name val="Arial"/>
      <family val="2"/>
    </font>
    <font>
      <b/>
      <sz val="10"/>
      <name val="Arial Narrow"/>
      <family val="2"/>
    </font>
    <font>
      <sz val="10"/>
      <name val="Arial Narrow"/>
      <family val="2"/>
    </font>
    <font>
      <b/>
      <sz val="14"/>
      <name val="Arial Narrow"/>
      <family val="2"/>
    </font>
    <font>
      <u/>
      <sz val="10"/>
      <color theme="10"/>
      <name val="Arial Narrow"/>
      <family val="2"/>
    </font>
    <font>
      <b/>
      <sz val="11"/>
      <name val="Arial Narrow"/>
      <family val="2"/>
    </font>
    <font>
      <b/>
      <sz val="10"/>
      <color theme="1"/>
      <name val="Arial Narrow"/>
      <family val="2"/>
    </font>
    <font>
      <sz val="9"/>
      <color rgb="FFFF0000"/>
      <name val="Arial Narrow"/>
      <family val="2"/>
    </font>
    <font>
      <b/>
      <sz val="9"/>
      <name val="Arial Narrow"/>
      <family val="2"/>
    </font>
    <font>
      <sz val="10"/>
      <color theme="1"/>
      <name val="Arial Narrow"/>
      <family val="2"/>
    </font>
    <font>
      <b/>
      <i/>
      <sz val="10"/>
      <name val="Arial Narrow"/>
      <family val="2"/>
    </font>
    <font>
      <sz val="10"/>
      <color rgb="FFFF0000"/>
      <name val="Arial Narrow"/>
      <family val="2"/>
    </font>
    <font>
      <b/>
      <sz val="10"/>
      <color rgb="FFFF0000"/>
      <name val="Arial Narrow"/>
      <family val="2"/>
    </font>
    <font>
      <sz val="10"/>
      <color indexed="9"/>
      <name val="Arial Narrow"/>
      <family val="2"/>
    </font>
    <font>
      <b/>
      <u/>
      <sz val="10"/>
      <color theme="10"/>
      <name val="Arial Narrow"/>
      <family val="2"/>
    </font>
    <font>
      <sz val="10"/>
      <color theme="0" tint="-0.14999847407452621"/>
      <name val="Arial Narrow"/>
      <family val="2"/>
    </font>
    <font>
      <b/>
      <sz val="12"/>
      <name val="Arial Narrow"/>
      <family val="2"/>
    </font>
    <font>
      <sz val="10"/>
      <color theme="0"/>
      <name val="Arial Narrow"/>
      <family val="2"/>
    </font>
    <font>
      <b/>
      <sz val="24"/>
      <name val="Arial Narrow"/>
      <family val="2"/>
    </font>
    <font>
      <sz val="10"/>
      <color theme="9" tint="0.39997558519241921"/>
      <name val="Arial Narrow"/>
      <family val="2"/>
    </font>
    <font>
      <sz val="10"/>
      <color theme="0" tint="-0.34998626667073579"/>
      <name val="Arial Narrow"/>
      <family val="2"/>
    </font>
    <font>
      <sz val="10"/>
      <color indexed="8"/>
      <name val="Arial Narrow"/>
      <family val="2"/>
    </font>
    <font>
      <sz val="9"/>
      <name val="Arial Narrow"/>
      <family val="2"/>
    </font>
    <font>
      <b/>
      <sz val="10"/>
      <color indexed="59"/>
      <name val="Arial Narrow"/>
      <family val="2"/>
    </font>
    <font>
      <sz val="10"/>
      <color indexed="59"/>
      <name val="Arial Narrow"/>
      <family val="2"/>
    </font>
    <font>
      <sz val="10"/>
      <color theme="0" tint="-0.249977111117893"/>
      <name val="Arial Narrow"/>
      <family val="2"/>
    </font>
    <font>
      <b/>
      <sz val="10"/>
      <color rgb="FF002060"/>
      <name val="Arial Narrow"/>
      <family val="2"/>
    </font>
    <font>
      <b/>
      <u/>
      <sz val="10"/>
      <name val="Arial Narrow"/>
      <family val="2"/>
    </font>
    <font>
      <b/>
      <sz val="10"/>
      <color indexed="10"/>
      <name val="Arial Narrow"/>
      <family val="2"/>
    </font>
    <font>
      <sz val="10"/>
      <color indexed="12"/>
      <name val="Arial Narrow"/>
      <family val="2"/>
    </font>
    <font>
      <b/>
      <sz val="10"/>
      <color indexed="12"/>
      <name val="Arial Narrow"/>
      <family val="2"/>
    </font>
    <font>
      <b/>
      <sz val="10"/>
      <color theme="2" tint="-0.89999084444715716"/>
      <name val="Arial Narrow"/>
      <family val="2"/>
    </font>
    <font>
      <sz val="10"/>
      <color theme="2" tint="-0.89999084444715716"/>
      <name val="Arial Narrow"/>
      <family val="2"/>
    </font>
    <font>
      <b/>
      <sz val="10"/>
      <color indexed="20"/>
      <name val="Arial Narrow"/>
      <family val="2"/>
    </font>
    <font>
      <sz val="10"/>
      <color rgb="FF38393A"/>
      <name val="Arial Narrow"/>
      <family val="2"/>
    </font>
    <font>
      <b/>
      <sz val="10"/>
      <color indexed="8"/>
      <name val="Arial Narrow"/>
      <family val="2"/>
    </font>
    <font>
      <b/>
      <sz val="11"/>
      <color rgb="FFFF0000"/>
      <name val="Arial Narrow"/>
      <family val="2"/>
    </font>
    <font>
      <b/>
      <sz val="9"/>
      <color rgb="FFFF0000"/>
      <name val="Arial Narrow"/>
      <family val="2"/>
    </font>
    <font>
      <vertAlign val="superscript"/>
      <sz val="10"/>
      <name val="Arial Narrow"/>
      <family val="2"/>
    </font>
    <font>
      <b/>
      <sz val="9"/>
      <name val="Calibri"/>
      <family val="2"/>
    </font>
    <font>
      <sz val="10"/>
      <color rgb="FFD3F1FB"/>
      <name val="Arial Narrow"/>
      <family val="2"/>
    </font>
    <font>
      <sz val="8"/>
      <name val="Arial Narrow"/>
      <family val="2"/>
    </font>
    <font>
      <sz val="9"/>
      <color indexed="8"/>
      <name val="Arial Narrow"/>
      <family val="2"/>
    </font>
    <font>
      <sz val="8"/>
      <color rgb="FFFF0000"/>
      <name val="Arial Narrow"/>
      <family val="2"/>
    </font>
    <font>
      <sz val="11"/>
      <name val="Arial Narrow"/>
      <family val="2"/>
    </font>
    <font>
      <sz val="12"/>
      <name val="Arial Narrow"/>
      <family val="2"/>
    </font>
    <font>
      <b/>
      <sz val="10"/>
      <color theme="0" tint="-0.14999847407452621"/>
      <name val="Arial Narrow"/>
      <family val="2"/>
    </font>
    <font>
      <sz val="10"/>
      <color theme="6" tint="-0.499984740745262"/>
      <name val="Arial Narrow"/>
      <family val="2"/>
    </font>
    <font>
      <vertAlign val="superscript"/>
      <sz val="9"/>
      <color rgb="FFFF0000"/>
      <name val="Arial Narrow"/>
      <family val="2"/>
    </font>
    <font>
      <u/>
      <sz val="14"/>
      <color theme="10"/>
      <name val="Arial Narrow"/>
      <family val="2"/>
    </font>
    <font>
      <sz val="14"/>
      <name val="Arial Narrow"/>
      <family val="2"/>
    </font>
    <font>
      <b/>
      <sz val="9"/>
      <color theme="1"/>
      <name val="Arial Narrow"/>
      <family val="2"/>
    </font>
    <font>
      <b/>
      <sz val="8"/>
      <name val="Arial Narrow"/>
      <family val="2"/>
    </font>
    <font>
      <sz val="10"/>
      <color theme="4"/>
      <name val="Arial Narrow"/>
      <family val="2"/>
    </font>
    <font>
      <sz val="10"/>
      <color theme="8" tint="0.79998168889431442"/>
      <name val="Arial Narrow"/>
      <family val="2"/>
    </font>
    <font>
      <b/>
      <sz val="14"/>
      <color theme="1"/>
      <name val="Arial Narrow"/>
      <family val="2"/>
    </font>
    <font>
      <sz val="14"/>
      <color theme="1"/>
      <name val="Arial Narrow"/>
      <family val="2"/>
    </font>
    <font>
      <b/>
      <sz val="10"/>
      <color theme="4"/>
      <name val="Arial Narrow"/>
      <family val="2"/>
    </font>
    <font>
      <u/>
      <sz val="10"/>
      <name val="Arial Narrow"/>
      <family val="2"/>
    </font>
    <font>
      <b/>
      <sz val="10"/>
      <name val="Arial Black"/>
      <family val="2"/>
    </font>
    <font>
      <b/>
      <vertAlign val="superscript"/>
      <sz val="10"/>
      <name val="Arial Narrow"/>
      <family val="2"/>
    </font>
    <font>
      <sz val="10"/>
      <name val="Arial Black"/>
      <family val="2"/>
    </font>
    <font>
      <b/>
      <sz val="16"/>
      <name val="Arial Narrow"/>
      <family val="2"/>
    </font>
    <font>
      <b/>
      <sz val="15"/>
      <name val="Arial Narrow"/>
      <family val="2"/>
    </font>
    <font>
      <sz val="18"/>
      <color rgb="FFFF0000"/>
      <name val="Arial Narrow"/>
      <family val="2"/>
    </font>
    <font>
      <b/>
      <vertAlign val="superscript"/>
      <sz val="12"/>
      <color rgb="FFFF0000"/>
      <name val="Arial Narrow"/>
      <family val="2"/>
    </font>
    <font>
      <sz val="14"/>
      <name val="Arial"/>
      <family val="2"/>
    </font>
    <font>
      <b/>
      <sz val="14"/>
      <color rgb="FFFF0000"/>
      <name val="Arial Narrow"/>
      <family val="2"/>
    </font>
    <font>
      <b/>
      <sz val="14"/>
      <name val="Arial"/>
      <family val="2"/>
    </font>
  </fonts>
  <fills count="25">
    <fill>
      <patternFill patternType="none"/>
    </fill>
    <fill>
      <patternFill patternType="gray125"/>
    </fill>
    <fill>
      <patternFill patternType="solid">
        <fgColor theme="9"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indexed="9"/>
        <bgColor indexed="64"/>
      </patternFill>
    </fill>
    <fill>
      <patternFill patternType="solid">
        <fgColor rgb="FF92D050"/>
        <bgColor indexed="64"/>
      </patternFill>
    </fill>
    <fill>
      <patternFill patternType="solid">
        <fgColor theme="6" tint="0.79998168889431442"/>
        <bgColor indexed="64"/>
      </patternFill>
    </fill>
    <fill>
      <patternFill patternType="solid">
        <fgColor theme="6"/>
        <bgColor indexed="64"/>
      </patternFill>
    </fill>
    <fill>
      <patternFill patternType="solid">
        <fgColor theme="3" tint="0.79998168889431442"/>
        <bgColor indexed="64"/>
      </patternFill>
    </fill>
    <fill>
      <patternFill patternType="solid">
        <fgColor rgb="FFAFC876"/>
        <bgColor indexed="64"/>
      </patternFill>
    </fill>
    <fill>
      <patternFill patternType="solid">
        <fgColor theme="0" tint="-0.14996795556505021"/>
        <bgColor indexed="64"/>
      </patternFill>
    </fill>
    <fill>
      <patternFill patternType="solid">
        <fgColor theme="6" tint="0.59996337778862885"/>
        <bgColor indexed="64"/>
      </patternFill>
    </fill>
    <fill>
      <patternFill patternType="solid">
        <fgColor theme="8" tint="0.39997558519241921"/>
        <bgColor indexed="64"/>
      </patternFill>
    </fill>
    <fill>
      <patternFill patternType="solid">
        <fgColor theme="4"/>
        <bgColor indexed="64"/>
      </patternFill>
    </fill>
    <fill>
      <patternFill patternType="solid">
        <fgColor theme="5"/>
        <bgColor indexed="64"/>
      </patternFill>
    </fill>
    <fill>
      <patternFill patternType="solid">
        <fgColor rgb="FFFFFF00"/>
        <bgColor indexed="64"/>
      </patternFill>
    </fill>
  </fills>
  <borders count="957">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right/>
      <top style="medium">
        <color indexed="64"/>
      </top>
      <bottom/>
      <diagonal/>
    </border>
    <border>
      <left style="medium">
        <color indexed="64"/>
      </left>
      <right/>
      <top style="thin">
        <color indexed="64"/>
      </top>
      <bottom/>
      <diagonal/>
    </border>
    <border>
      <left style="medium">
        <color indexed="64"/>
      </left>
      <right style="medium">
        <color indexed="64"/>
      </right>
      <top/>
      <bottom/>
      <diagonal/>
    </border>
    <border>
      <left/>
      <right style="thin">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top style="dotted">
        <color indexed="64"/>
      </top>
      <bottom/>
      <diagonal/>
    </border>
    <border>
      <left/>
      <right/>
      <top style="dotted">
        <color indexed="64"/>
      </top>
      <bottom/>
      <diagonal/>
    </border>
    <border>
      <left/>
      <right/>
      <top style="dotted">
        <color indexed="64"/>
      </top>
      <bottom style="dotted">
        <color indexed="64"/>
      </bottom>
      <diagonal/>
    </border>
    <border>
      <left/>
      <right/>
      <top/>
      <bottom style="dotted">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dotted">
        <color indexed="64"/>
      </left>
      <right style="medium">
        <color indexed="64"/>
      </right>
      <top style="medium">
        <color indexed="64"/>
      </top>
      <bottom/>
      <diagonal/>
    </border>
    <border>
      <left style="dotted">
        <color indexed="64"/>
      </left>
      <right style="medium">
        <color indexed="64"/>
      </right>
      <top/>
      <bottom/>
      <diagonal/>
    </border>
    <border>
      <left/>
      <right style="dotted">
        <color indexed="64"/>
      </right>
      <top/>
      <bottom/>
      <diagonal/>
    </border>
    <border>
      <left/>
      <right/>
      <top style="dotted">
        <color indexed="64"/>
      </top>
      <bottom style="medium">
        <color indexed="64"/>
      </bottom>
      <diagonal/>
    </border>
    <border>
      <left/>
      <right style="medium">
        <color indexed="64"/>
      </right>
      <top style="dotted">
        <color indexed="64"/>
      </top>
      <bottom/>
      <diagonal/>
    </border>
    <border>
      <left style="medium">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dotted">
        <color indexed="64"/>
      </left>
      <right/>
      <top style="dotted">
        <color indexed="64"/>
      </top>
      <bottom style="dotted">
        <color indexed="64"/>
      </bottom>
      <diagonal/>
    </border>
    <border>
      <left style="dotted">
        <color indexed="64"/>
      </left>
      <right/>
      <top/>
      <bottom/>
      <diagonal/>
    </border>
    <border>
      <left style="dotted">
        <color indexed="64"/>
      </left>
      <right/>
      <top/>
      <bottom style="medium">
        <color indexed="64"/>
      </bottom>
      <diagonal/>
    </border>
    <border>
      <left/>
      <right style="medium">
        <color indexed="64"/>
      </right>
      <top/>
      <bottom style="dotted">
        <color indexed="64"/>
      </bottom>
      <diagonal/>
    </border>
    <border>
      <left style="dotted">
        <color indexed="64"/>
      </left>
      <right/>
      <top/>
      <bottom style="thin">
        <color indexed="64"/>
      </bottom>
      <diagonal/>
    </border>
    <border>
      <left/>
      <right style="thin">
        <color indexed="64"/>
      </right>
      <top style="dotted">
        <color indexed="64"/>
      </top>
      <bottom style="thin">
        <color indexed="64"/>
      </bottom>
      <diagonal/>
    </border>
    <border>
      <left style="dotted">
        <color indexed="64"/>
      </left>
      <right/>
      <top style="medium">
        <color indexed="64"/>
      </top>
      <bottom/>
      <diagonal/>
    </border>
    <border>
      <left style="dotted">
        <color indexed="64"/>
      </left>
      <right/>
      <top/>
      <bottom style="dotted">
        <color indexed="64"/>
      </bottom>
      <diagonal/>
    </border>
    <border>
      <left style="thin">
        <color indexed="64"/>
      </left>
      <right/>
      <top style="medium">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medium">
        <color indexed="64"/>
      </top>
      <bottom/>
      <diagonal/>
    </border>
    <border>
      <left style="dotted">
        <color indexed="64"/>
      </left>
      <right/>
      <top style="medium">
        <color indexed="64"/>
      </top>
      <bottom style="medium">
        <color indexed="64"/>
      </bottom>
      <diagonal/>
    </border>
    <border>
      <left/>
      <right style="medium">
        <color indexed="64"/>
      </right>
      <top style="dotted">
        <color indexed="64"/>
      </top>
      <bottom style="dotted">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medium">
        <color indexed="64"/>
      </left>
      <right style="thin">
        <color indexed="64"/>
      </right>
      <top/>
      <bottom/>
      <diagonal/>
    </border>
    <border>
      <left style="dotted">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dotted">
        <color indexed="64"/>
      </left>
      <right style="medium">
        <color indexed="64"/>
      </right>
      <top/>
      <bottom style="dotted">
        <color indexed="64"/>
      </bottom>
      <diagonal/>
    </border>
    <border>
      <left/>
      <right style="thin">
        <color indexed="64"/>
      </right>
      <top style="dotted">
        <color indexed="64"/>
      </top>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rgb="FF92D050"/>
      </left>
      <right style="thin">
        <color rgb="FF92D050"/>
      </right>
      <top style="thin">
        <color rgb="FF92D050"/>
      </top>
      <bottom style="thin">
        <color rgb="FF92D050"/>
      </bottom>
      <diagonal/>
    </border>
    <border>
      <left/>
      <right style="thin">
        <color rgb="FF92D050"/>
      </right>
      <top style="thin">
        <color rgb="FF92D050"/>
      </top>
      <bottom style="thin">
        <color rgb="FF92D050"/>
      </bottom>
      <diagonal/>
    </border>
    <border>
      <left/>
      <right style="thin">
        <color theme="1"/>
      </right>
      <top/>
      <bottom/>
      <diagonal/>
    </border>
    <border>
      <left style="thin">
        <color rgb="FF92D050"/>
      </left>
      <right style="thin">
        <color theme="1"/>
      </right>
      <top style="thin">
        <color theme="1"/>
      </top>
      <bottom style="thin">
        <color theme="1"/>
      </bottom>
      <diagonal/>
    </border>
    <border>
      <left style="thin">
        <color rgb="FF92D050"/>
      </left>
      <right style="thin">
        <color theme="1"/>
      </right>
      <top style="thin">
        <color rgb="FF92D050"/>
      </top>
      <bottom style="thin">
        <color rgb="FF92D050"/>
      </bottom>
      <diagonal/>
    </border>
    <border>
      <left style="medium">
        <color theme="1"/>
      </left>
      <right style="thin">
        <color rgb="FF92D050"/>
      </right>
      <top style="thin">
        <color rgb="FF92D050"/>
      </top>
      <bottom style="thin">
        <color rgb="FF92D050"/>
      </bottom>
      <diagonal/>
    </border>
    <border>
      <left/>
      <right/>
      <top style="medium">
        <color indexed="64"/>
      </top>
      <bottom style="medium">
        <color theme="1"/>
      </bottom>
      <diagonal/>
    </border>
    <border>
      <left style="thin">
        <color indexed="64"/>
      </left>
      <right style="thin">
        <color indexed="64"/>
      </right>
      <top style="medium">
        <color indexed="64"/>
      </top>
      <bottom style="medium">
        <color theme="1"/>
      </bottom>
      <diagonal/>
    </border>
    <border>
      <left style="thin">
        <color theme="1"/>
      </left>
      <right style="thin">
        <color rgb="FF92D050"/>
      </right>
      <top style="thin">
        <color theme="1"/>
      </top>
      <bottom style="thin">
        <color theme="1"/>
      </bottom>
      <diagonal/>
    </border>
    <border>
      <left style="thin">
        <color rgb="FF92D050"/>
      </left>
      <right style="thin">
        <color rgb="FF92D050"/>
      </right>
      <top style="thin">
        <color theme="1"/>
      </top>
      <bottom style="thin">
        <color theme="1"/>
      </bottom>
      <diagonal/>
    </border>
    <border>
      <left style="thin">
        <color indexed="64"/>
      </left>
      <right style="medium">
        <color theme="1"/>
      </right>
      <top/>
      <bottom/>
      <diagonal/>
    </border>
    <border>
      <left style="thin">
        <color theme="1"/>
      </left>
      <right style="medium">
        <color theme="1"/>
      </right>
      <top style="thin">
        <color theme="1"/>
      </top>
      <bottom/>
      <diagonal/>
    </border>
    <border>
      <left style="thin">
        <color theme="1"/>
      </left>
      <right style="medium">
        <color theme="1"/>
      </right>
      <top/>
      <bottom style="thin">
        <color theme="1"/>
      </bottom>
      <diagonal/>
    </border>
    <border>
      <left/>
      <right style="medium">
        <color theme="1"/>
      </right>
      <top style="medium">
        <color theme="1"/>
      </top>
      <bottom style="medium">
        <color theme="1"/>
      </bottom>
      <diagonal/>
    </border>
    <border>
      <left/>
      <right style="thin">
        <color theme="1"/>
      </right>
      <top style="thin">
        <color indexed="64"/>
      </top>
      <bottom style="thin">
        <color indexed="64"/>
      </bottom>
      <diagonal/>
    </border>
    <border>
      <left style="medium">
        <color indexed="64"/>
      </left>
      <right/>
      <top/>
      <bottom style="thin">
        <color theme="6" tint="-0.249977111117893"/>
      </bottom>
      <diagonal/>
    </border>
    <border>
      <left/>
      <right/>
      <top/>
      <bottom style="thin">
        <color theme="6" tint="-0.249977111117893"/>
      </bottom>
      <diagonal/>
    </border>
    <border>
      <left/>
      <right style="thin">
        <color theme="6" tint="-0.249977111117893"/>
      </right>
      <top/>
      <bottom/>
      <diagonal/>
    </border>
    <border>
      <left/>
      <right/>
      <top style="thin">
        <color theme="1"/>
      </top>
      <bottom/>
      <diagonal/>
    </border>
    <border>
      <left/>
      <right style="thin">
        <color theme="1"/>
      </right>
      <top style="thin">
        <color theme="1"/>
      </top>
      <bottom/>
      <diagonal/>
    </border>
    <border>
      <left/>
      <right style="medium">
        <color indexed="64"/>
      </right>
      <top style="thin">
        <color theme="6" tint="-0.249977111117893"/>
      </top>
      <bottom style="thin">
        <color theme="6" tint="-0.249977111117893"/>
      </bottom>
      <diagonal/>
    </border>
    <border>
      <left style="thin">
        <color theme="6" tint="-0.249977111117893"/>
      </left>
      <right style="thin">
        <color theme="6" tint="-0.249977111117893"/>
      </right>
      <top style="thin">
        <color indexed="64"/>
      </top>
      <bottom style="thin">
        <color indexed="64"/>
      </bottom>
      <diagonal/>
    </border>
    <border>
      <left style="medium">
        <color indexed="64"/>
      </left>
      <right/>
      <top style="thin">
        <color theme="6" tint="-0.499984740745262"/>
      </top>
      <bottom style="thin">
        <color theme="6" tint="-0.499984740745262"/>
      </bottom>
      <diagonal/>
    </border>
    <border>
      <left/>
      <right/>
      <top style="thin">
        <color theme="6" tint="-0.499984740745262"/>
      </top>
      <bottom style="thin">
        <color theme="6" tint="-0.499984740745262"/>
      </bottom>
      <diagonal/>
    </border>
    <border>
      <left style="thin">
        <color theme="6" tint="-0.249977111117893"/>
      </left>
      <right style="thin">
        <color theme="6" tint="-0.249977111117893"/>
      </right>
      <top/>
      <bottom style="thin">
        <color indexed="64"/>
      </bottom>
      <diagonal/>
    </border>
    <border>
      <left style="thin">
        <color theme="6" tint="-0.249977111117893"/>
      </left>
      <right style="thin">
        <color theme="6" tint="-0.249977111117893"/>
      </right>
      <top/>
      <bottom style="medium">
        <color indexed="64"/>
      </bottom>
      <diagonal/>
    </border>
    <border>
      <left style="thin">
        <color indexed="64"/>
      </left>
      <right style="medium">
        <color indexed="64"/>
      </right>
      <top style="thin">
        <color theme="6" tint="-0.249977111117893"/>
      </top>
      <bottom style="thin">
        <color theme="6" tint="-0.249977111117893"/>
      </bottom>
      <diagonal/>
    </border>
    <border>
      <left style="thin">
        <color indexed="64"/>
      </left>
      <right style="thin">
        <color theme="6" tint="-0.249977111117893"/>
      </right>
      <top/>
      <bottom style="thin">
        <color indexed="64"/>
      </bottom>
      <diagonal/>
    </border>
    <border>
      <left style="thin">
        <color indexed="64"/>
      </left>
      <right style="thin">
        <color theme="6" tint="-0.249977111117893"/>
      </right>
      <top/>
      <bottom style="medium">
        <color indexed="64"/>
      </bottom>
      <diagonal/>
    </border>
    <border>
      <left style="medium">
        <color indexed="64"/>
      </left>
      <right/>
      <top style="thin">
        <color indexed="64"/>
      </top>
      <bottom style="thin">
        <color theme="6" tint="-0.499984740745262"/>
      </bottom>
      <diagonal/>
    </border>
    <border>
      <left/>
      <right/>
      <top style="thin">
        <color indexed="64"/>
      </top>
      <bottom style="thin">
        <color theme="6" tint="-0.499984740745262"/>
      </bottom>
      <diagonal/>
    </border>
    <border>
      <left style="thin">
        <color indexed="64"/>
      </left>
      <right style="thin">
        <color indexed="64"/>
      </right>
      <top style="thin">
        <color indexed="64"/>
      </top>
      <bottom style="thin">
        <color theme="6" tint="-0.499984740745262"/>
      </bottom>
      <diagonal/>
    </border>
    <border>
      <left/>
      <right style="thin">
        <color indexed="64"/>
      </right>
      <top style="thin">
        <color indexed="64"/>
      </top>
      <bottom style="thin">
        <color theme="6" tint="-0.499984740745262"/>
      </bottom>
      <diagonal/>
    </border>
    <border>
      <left/>
      <right style="medium">
        <color indexed="64"/>
      </right>
      <top style="thin">
        <color theme="6" tint="-0.499984740745262"/>
      </top>
      <bottom style="thin">
        <color theme="6" tint="-0.499984740745262"/>
      </bottom>
      <diagonal/>
    </border>
    <border>
      <left style="thin">
        <color theme="6" tint="-0.499984740745262"/>
      </left>
      <right style="thin">
        <color theme="6" tint="-0.499984740745262"/>
      </right>
      <top style="thin">
        <color theme="6" tint="-0.499984740745262"/>
      </top>
      <bottom style="thin">
        <color theme="6" tint="-0.499984740745262"/>
      </bottom>
      <diagonal/>
    </border>
    <border>
      <left/>
      <right/>
      <top style="thin">
        <color theme="6" tint="-0.249977111117893"/>
      </top>
      <bottom/>
      <diagonal/>
    </border>
    <border>
      <left style="medium">
        <color indexed="64"/>
      </left>
      <right/>
      <top style="thin">
        <color theme="6" tint="-0.249977111117893"/>
      </top>
      <bottom/>
      <diagonal/>
    </border>
    <border>
      <left style="thin">
        <color indexed="64"/>
      </left>
      <right style="thin">
        <color theme="6" tint="-0.499984740745262"/>
      </right>
      <top style="thin">
        <color theme="6" tint="-0.499984740745262"/>
      </top>
      <bottom style="thin">
        <color theme="6" tint="-0.499984740745262"/>
      </bottom>
      <diagonal/>
    </border>
    <border>
      <left style="thin">
        <color theme="6" tint="-0.249977111117893"/>
      </left>
      <right/>
      <top/>
      <bottom style="medium">
        <color indexed="64"/>
      </bottom>
      <diagonal/>
    </border>
    <border>
      <left/>
      <right style="thin">
        <color indexed="64"/>
      </right>
      <top style="thin">
        <color theme="6" tint="-0.249977111117893"/>
      </top>
      <bottom style="thin">
        <color indexed="64"/>
      </bottom>
      <diagonal/>
    </border>
    <border>
      <left style="thin">
        <color indexed="64"/>
      </left>
      <right style="medium">
        <color indexed="64"/>
      </right>
      <top style="thin">
        <color theme="6" tint="-0.249977111117893"/>
      </top>
      <bottom/>
      <diagonal/>
    </border>
    <border>
      <left/>
      <right/>
      <top style="thin">
        <color theme="6" tint="-0.249977111117893"/>
      </top>
      <bottom style="thin">
        <color indexed="64"/>
      </bottom>
      <diagonal/>
    </border>
    <border>
      <left style="thin">
        <color theme="6" tint="-0.249977111117893"/>
      </left>
      <right/>
      <top style="thin">
        <color theme="6" tint="-0.249977111117893"/>
      </top>
      <bottom style="thin">
        <color indexed="64"/>
      </bottom>
      <diagonal/>
    </border>
    <border>
      <left style="medium">
        <color indexed="64"/>
      </left>
      <right/>
      <top style="thin">
        <color theme="2" tint="-9.9978637043366805E-2"/>
      </top>
      <bottom style="thin">
        <color theme="2" tint="-9.9978637043366805E-2"/>
      </bottom>
      <diagonal/>
    </border>
    <border>
      <left/>
      <right style="thin">
        <color indexed="64"/>
      </right>
      <top style="thin">
        <color theme="2" tint="-9.9978637043366805E-2"/>
      </top>
      <bottom style="thin">
        <color theme="2" tint="-9.9978637043366805E-2"/>
      </bottom>
      <diagonal/>
    </border>
    <border>
      <left style="medium">
        <color indexed="64"/>
      </left>
      <right/>
      <top style="thin">
        <color theme="2" tint="-9.9978637043366805E-2"/>
      </top>
      <bottom style="medium">
        <color indexed="64"/>
      </bottom>
      <diagonal/>
    </border>
    <border>
      <left/>
      <right style="thin">
        <color indexed="64"/>
      </right>
      <top style="thin">
        <color theme="2" tint="-9.9978637043366805E-2"/>
      </top>
      <bottom style="medium">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style="medium">
        <color indexed="64"/>
      </right>
      <top style="thin">
        <color indexed="64"/>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
      <left style="thin">
        <color theme="6" tint="-0.499984740745262"/>
      </left>
      <right style="thin">
        <color theme="6" tint="-0.499984740745262"/>
      </right>
      <top style="thin">
        <color indexed="64"/>
      </top>
      <bottom style="thin">
        <color indexed="64"/>
      </bottom>
      <diagonal/>
    </border>
    <border>
      <left style="thin">
        <color theme="6" tint="-0.499984740745262"/>
      </left>
      <right style="thin">
        <color theme="6" tint="-0.499984740745262"/>
      </right>
      <top style="thin">
        <color indexed="64"/>
      </top>
      <bottom style="thin">
        <color theme="6" tint="-0.499984740745262"/>
      </bottom>
      <diagonal/>
    </border>
    <border>
      <left/>
      <right style="thin">
        <color theme="6" tint="-0.499984740745262"/>
      </right>
      <top/>
      <bottom style="thin">
        <color indexed="64"/>
      </bottom>
      <diagonal/>
    </border>
    <border>
      <left style="thin">
        <color indexed="64"/>
      </left>
      <right style="thin">
        <color theme="6" tint="-0.499984740745262"/>
      </right>
      <top style="thin">
        <color indexed="64"/>
      </top>
      <bottom style="thin">
        <color theme="6" tint="-0.499984740745262"/>
      </bottom>
      <diagonal/>
    </border>
    <border>
      <left style="thin">
        <color theme="6" tint="-0.499984740745262"/>
      </left>
      <right style="thin">
        <color indexed="64"/>
      </right>
      <top style="thin">
        <color indexed="64"/>
      </top>
      <bottom style="thin">
        <color theme="6" tint="-0.499984740745262"/>
      </bottom>
      <diagonal/>
    </border>
    <border>
      <left style="thin">
        <color theme="6" tint="-0.499984740745262"/>
      </left>
      <right style="thin">
        <color indexed="64"/>
      </right>
      <top style="thin">
        <color theme="6" tint="-0.499984740745262"/>
      </top>
      <bottom style="thin">
        <color theme="6" tint="-0.499984740745262"/>
      </bottom>
      <diagonal/>
    </border>
    <border>
      <left style="medium">
        <color indexed="64"/>
      </left>
      <right/>
      <top style="medium">
        <color indexed="64"/>
      </top>
      <bottom style="medium">
        <color theme="6" tint="-0.499984740745262"/>
      </bottom>
      <diagonal/>
    </border>
    <border>
      <left/>
      <right/>
      <top style="medium">
        <color indexed="64"/>
      </top>
      <bottom style="medium">
        <color theme="6" tint="-0.499984740745262"/>
      </bottom>
      <diagonal/>
    </border>
    <border>
      <left/>
      <right style="medium">
        <color indexed="64"/>
      </right>
      <top style="medium">
        <color indexed="64"/>
      </top>
      <bottom style="medium">
        <color theme="6" tint="-0.499984740745262"/>
      </bottom>
      <diagonal/>
    </border>
    <border>
      <left style="thin">
        <color theme="1"/>
      </left>
      <right style="medium">
        <color indexed="64"/>
      </right>
      <top/>
      <bottom style="thin">
        <color theme="1"/>
      </bottom>
      <diagonal/>
    </border>
    <border>
      <left style="thin">
        <color theme="1"/>
      </left>
      <right style="medium">
        <color indexed="64"/>
      </right>
      <top style="thin">
        <color theme="1"/>
      </top>
      <bottom/>
      <diagonal/>
    </border>
    <border>
      <left style="thin">
        <color theme="1"/>
      </left>
      <right style="medium">
        <color indexed="64"/>
      </right>
      <top/>
      <bottom/>
      <diagonal/>
    </border>
    <border>
      <left style="medium">
        <color indexed="64"/>
      </left>
      <right/>
      <top style="medium">
        <color indexed="64"/>
      </top>
      <bottom style="medium">
        <color theme="1"/>
      </bottom>
      <diagonal/>
    </border>
    <border>
      <left style="medium">
        <color indexed="64"/>
      </left>
      <right style="medium">
        <color indexed="64"/>
      </right>
      <top style="medium">
        <color indexed="64"/>
      </top>
      <bottom style="medium">
        <color theme="1"/>
      </bottom>
      <diagonal/>
    </border>
    <border>
      <left/>
      <right style="medium">
        <color indexed="64"/>
      </right>
      <top style="thin">
        <color theme="6" tint="-0.499984740745262"/>
      </top>
      <bottom/>
      <diagonal/>
    </border>
    <border>
      <left style="medium">
        <color indexed="64"/>
      </left>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medium">
        <color indexed="64"/>
      </left>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style="medium">
        <color indexed="64"/>
      </left>
      <right style="thin">
        <color indexed="64"/>
      </right>
      <top style="medium">
        <color indexed="64"/>
      </top>
      <bottom style="medium">
        <color indexed="64"/>
      </bottom>
      <diagonal/>
    </border>
    <border>
      <left style="thin">
        <color indexed="64"/>
      </left>
      <right style="thin">
        <color theme="6" tint="-0.249977111117893"/>
      </right>
      <top style="medium">
        <color indexed="64"/>
      </top>
      <bottom style="thin">
        <color indexed="64"/>
      </bottom>
      <diagonal/>
    </border>
    <border>
      <left style="thin">
        <color theme="6" tint="-0.249977111117893"/>
      </left>
      <right style="thin">
        <color theme="6" tint="-0.249977111117893"/>
      </right>
      <top style="medium">
        <color indexed="64"/>
      </top>
      <bottom style="thin">
        <color indexed="64"/>
      </bottom>
      <diagonal/>
    </border>
    <border>
      <left/>
      <right/>
      <top style="thin">
        <color theme="2" tint="-9.9978637043366805E-2"/>
      </top>
      <bottom style="thin">
        <color theme="2" tint="-9.9978637043366805E-2"/>
      </bottom>
      <diagonal/>
    </border>
    <border>
      <left/>
      <right/>
      <top style="thin">
        <color theme="2" tint="-9.9978637043366805E-2"/>
      </top>
      <bottom style="medium">
        <color indexed="64"/>
      </bottom>
      <diagonal/>
    </border>
    <border>
      <left/>
      <right style="medium">
        <color indexed="64"/>
      </right>
      <top style="thin">
        <color theme="1"/>
      </top>
      <bottom/>
      <diagonal/>
    </border>
    <border>
      <left/>
      <right style="medium">
        <color indexed="64"/>
      </right>
      <top/>
      <bottom style="thin">
        <color theme="1"/>
      </bottom>
      <diagonal/>
    </border>
    <border>
      <left style="medium">
        <color indexed="64"/>
      </left>
      <right style="dotted">
        <color indexed="64"/>
      </right>
      <top style="medium">
        <color indexed="64"/>
      </top>
      <bottom/>
      <diagonal/>
    </border>
    <border>
      <left style="medium">
        <color indexed="64"/>
      </left>
      <right style="dotted">
        <color indexed="64"/>
      </right>
      <top/>
      <bottom/>
      <diagonal/>
    </border>
    <border>
      <left style="medium">
        <color indexed="64"/>
      </left>
      <right style="dotted">
        <color indexed="64"/>
      </right>
      <top/>
      <bottom style="medium">
        <color indexed="64"/>
      </bottom>
      <diagonal/>
    </border>
    <border>
      <left style="medium">
        <color indexed="64"/>
      </left>
      <right style="dotted">
        <color indexed="64"/>
      </right>
      <top style="dashed">
        <color indexed="64"/>
      </top>
      <bottom/>
      <diagonal/>
    </border>
    <border>
      <left/>
      <right/>
      <top style="dashed">
        <color indexed="64"/>
      </top>
      <bottom/>
      <diagonal/>
    </border>
    <border>
      <left/>
      <right style="dotted">
        <color indexed="64"/>
      </right>
      <top style="dashed">
        <color indexed="64"/>
      </top>
      <bottom/>
      <diagonal/>
    </border>
    <border>
      <left/>
      <right style="dotted">
        <color indexed="64"/>
      </right>
      <top/>
      <bottom style="medium">
        <color indexed="64"/>
      </bottom>
      <diagonal/>
    </border>
    <border>
      <left/>
      <right style="dotted">
        <color indexed="64"/>
      </right>
      <top style="medium">
        <color indexed="64"/>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top style="medium">
        <color theme="0" tint="-0.24994659260841701"/>
      </top>
      <bottom/>
      <diagonal/>
    </border>
    <border>
      <left/>
      <right/>
      <top/>
      <bottom style="medium">
        <color theme="0" tint="-0.24994659260841701"/>
      </bottom>
      <diagonal/>
    </border>
    <border>
      <left/>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bottom/>
      <diagonal/>
    </border>
    <border>
      <left/>
      <right style="thin">
        <color theme="0" tint="-0.24994659260841701"/>
      </right>
      <top/>
      <bottom/>
      <diagonal/>
    </border>
    <border>
      <left/>
      <right style="medium">
        <color theme="0" tint="-0.24994659260841701"/>
      </right>
      <top/>
      <bottom/>
      <diagonal/>
    </border>
    <border>
      <left style="thin">
        <color theme="0" tint="-0.24994659260841701"/>
      </left>
      <right style="thin">
        <color theme="0" tint="-0.24994659260841701"/>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top style="medium">
        <color theme="0" tint="-0.24994659260841701"/>
      </top>
      <bottom/>
      <diagonal/>
    </border>
    <border>
      <left/>
      <right style="thin">
        <color theme="0" tint="-0.24994659260841701"/>
      </right>
      <top style="medium">
        <color theme="0" tint="-0.24994659260841701"/>
      </top>
      <bottom/>
      <diagonal/>
    </border>
    <border>
      <left style="thin">
        <color theme="0" tint="-0.24994659260841701"/>
      </left>
      <right/>
      <top/>
      <bottom style="medium">
        <color theme="0" tint="-0.24994659260841701"/>
      </bottom>
      <diagonal/>
    </border>
    <border>
      <left/>
      <right style="thin">
        <color theme="0" tint="-0.24994659260841701"/>
      </right>
      <top/>
      <bottom style="medium">
        <color theme="0" tint="-0.24994659260841701"/>
      </bottom>
      <diagonal/>
    </border>
    <border>
      <left style="thin">
        <color indexed="64"/>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indexed="64"/>
      </right>
      <top style="thin">
        <color indexed="64"/>
      </top>
      <bottom/>
      <diagonal/>
    </border>
    <border>
      <left style="thin">
        <color indexed="64"/>
      </left>
      <right style="thin">
        <color theme="0" tint="-0.24994659260841701"/>
      </right>
      <top/>
      <bottom/>
      <diagonal/>
    </border>
    <border>
      <left style="thin">
        <color theme="0" tint="-0.24994659260841701"/>
      </left>
      <right style="thin">
        <color indexed="64"/>
      </right>
      <top/>
      <bottom/>
      <diagonal/>
    </border>
    <border>
      <left style="thin">
        <color indexed="64"/>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indexed="64"/>
      </right>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style="thin">
        <color indexed="64"/>
      </right>
      <top/>
      <bottom/>
      <diagonal/>
    </border>
    <border>
      <left style="thin">
        <color indexed="64"/>
      </left>
      <right style="thin">
        <color theme="0" tint="-0.34998626667073579"/>
      </right>
      <top/>
      <bottom style="thin">
        <color indexed="64"/>
      </bottom>
      <diagonal/>
    </border>
    <border>
      <left style="thin">
        <color theme="0" tint="-0.34998626667073579"/>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medium">
        <color indexed="64"/>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style="thin">
        <color indexed="64"/>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indexed="64"/>
      </right>
      <top style="medium">
        <color theme="0" tint="-0.34998626667073579"/>
      </top>
      <bottom style="medium">
        <color theme="0" tint="-0.34998626667073579"/>
      </bottom>
      <diagonal/>
    </border>
    <border>
      <left style="thin">
        <color indexed="64"/>
      </left>
      <right style="medium">
        <color indexed="64"/>
      </right>
      <top style="medium">
        <color theme="0" tint="-0.34998626667073579"/>
      </top>
      <bottom style="medium">
        <color theme="0" tint="-0.34998626667073579"/>
      </bottom>
      <diagonal/>
    </border>
    <border>
      <left style="thin">
        <color indexed="64"/>
      </left>
      <right style="thin">
        <color theme="0" tint="-0.34998626667073579"/>
      </right>
      <top/>
      <bottom style="medium">
        <color indexed="64"/>
      </bottom>
      <diagonal/>
    </border>
    <border>
      <left style="thin">
        <color theme="0" tint="-0.34998626667073579"/>
      </left>
      <right style="thin">
        <color theme="0" tint="-0.34998626667073579"/>
      </right>
      <top/>
      <bottom style="medium">
        <color indexed="64"/>
      </bottom>
      <diagonal/>
    </border>
    <border>
      <left style="thin">
        <color theme="0" tint="-0.34998626667073579"/>
      </left>
      <right style="thin">
        <color indexed="64"/>
      </right>
      <top/>
      <bottom style="medium">
        <color indexed="64"/>
      </bottom>
      <diagonal/>
    </border>
    <border>
      <left style="medium">
        <color indexed="64"/>
      </left>
      <right/>
      <top style="thin">
        <color indexed="64"/>
      </top>
      <bottom style="thin">
        <color theme="0" tint="-0.34998626667073579"/>
      </bottom>
      <diagonal/>
    </border>
    <border>
      <left/>
      <right/>
      <top style="thin">
        <color indexed="64"/>
      </top>
      <bottom style="thin">
        <color theme="0" tint="-0.34998626667073579"/>
      </bottom>
      <diagonal/>
    </border>
    <border>
      <left style="thin">
        <color indexed="64"/>
      </left>
      <right style="thin">
        <color indexed="64"/>
      </right>
      <top style="thin">
        <color indexed="64"/>
      </top>
      <bottom style="thin">
        <color theme="0" tint="-0.34998626667073579"/>
      </bottom>
      <diagonal/>
    </border>
    <border>
      <left style="thin">
        <color indexed="64"/>
      </left>
      <right/>
      <top style="thin">
        <color indexed="64"/>
      </top>
      <bottom style="thin">
        <color theme="0" tint="-0.34998626667073579"/>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medium">
        <color indexed="64"/>
      </left>
      <right/>
      <top style="medium">
        <color theme="0" tint="-0.34998626667073579"/>
      </top>
      <bottom/>
      <diagonal/>
    </border>
    <border>
      <left/>
      <right/>
      <top style="medium">
        <color theme="0" tint="-0.34998626667073579"/>
      </top>
      <bottom/>
      <diagonal/>
    </border>
    <border>
      <left style="thin">
        <color indexed="64"/>
      </left>
      <right style="thin">
        <color theme="0" tint="-0.34998626667073579"/>
      </right>
      <top style="medium">
        <color theme="0" tint="-0.34998626667073579"/>
      </top>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style="thin">
        <color indexed="64"/>
      </right>
      <top style="medium">
        <color theme="0" tint="-0.34998626667073579"/>
      </top>
      <bottom/>
      <diagonal/>
    </border>
    <border>
      <left style="thin">
        <color indexed="64"/>
      </left>
      <right style="medium">
        <color indexed="64"/>
      </right>
      <top style="medium">
        <color theme="0" tint="-0.34998626667073579"/>
      </top>
      <bottom/>
      <diagonal/>
    </border>
    <border>
      <left style="medium">
        <color indexed="64"/>
      </left>
      <right/>
      <top/>
      <bottom style="medium">
        <color theme="0" tint="-0.34998626667073579"/>
      </bottom>
      <diagonal/>
    </border>
    <border>
      <left/>
      <right/>
      <top/>
      <bottom style="medium">
        <color theme="0" tint="-0.34998626667073579"/>
      </bottom>
      <diagonal/>
    </border>
    <border>
      <left style="thin">
        <color indexed="64"/>
      </left>
      <right style="thin">
        <color theme="0" tint="-0.34998626667073579"/>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thin">
        <color indexed="64"/>
      </right>
      <top/>
      <bottom style="medium">
        <color theme="0" tint="-0.34998626667073579"/>
      </bottom>
      <diagonal/>
    </border>
    <border>
      <left style="thin">
        <color indexed="64"/>
      </left>
      <right style="medium">
        <color indexed="64"/>
      </right>
      <top/>
      <bottom style="medium">
        <color theme="0" tint="-0.34998626667073579"/>
      </bottom>
      <diagonal/>
    </border>
    <border>
      <left style="thin">
        <color indexed="64"/>
      </left>
      <right style="thin">
        <color indexed="64"/>
      </right>
      <top style="medium">
        <color theme="0" tint="-0.34998626667073579"/>
      </top>
      <bottom style="medium">
        <color theme="0" tint="-0.34998626667073579"/>
      </bottom>
      <diagonal/>
    </border>
    <border>
      <left style="thin">
        <color indexed="64"/>
      </left>
      <right/>
      <top style="medium">
        <color theme="0" tint="-0.34998626667073579"/>
      </top>
      <bottom style="medium">
        <color theme="0" tint="-0.34998626667073579"/>
      </bottom>
      <diagonal/>
    </border>
    <border>
      <left style="medium">
        <color indexed="64"/>
      </left>
      <right/>
      <top style="thin">
        <color theme="0" tint="-0.34998626667073579"/>
      </top>
      <bottom style="thin">
        <color indexed="64"/>
      </bottom>
      <diagonal/>
    </border>
    <border>
      <left/>
      <right/>
      <top style="thin">
        <color theme="0" tint="-0.34998626667073579"/>
      </top>
      <bottom style="thin">
        <color indexed="64"/>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style="medium">
        <color indexed="64"/>
      </left>
      <right/>
      <top style="medium">
        <color theme="0" tint="-0.34998626667073579"/>
      </top>
      <bottom style="thin">
        <color indexed="64"/>
      </bottom>
      <diagonal/>
    </border>
    <border>
      <left/>
      <right/>
      <top style="medium">
        <color theme="0" tint="-0.34998626667073579"/>
      </top>
      <bottom style="thin">
        <color indexed="64"/>
      </bottom>
      <diagonal/>
    </border>
    <border>
      <left style="thin">
        <color indexed="64"/>
      </left>
      <right style="thin">
        <color theme="0" tint="-0.34998626667073579"/>
      </right>
      <top style="medium">
        <color theme="0" tint="-0.34998626667073579"/>
      </top>
      <bottom style="thin">
        <color indexed="64"/>
      </bottom>
      <diagonal/>
    </border>
    <border>
      <left style="thin">
        <color theme="0" tint="-0.34998626667073579"/>
      </left>
      <right style="thin">
        <color theme="0" tint="-0.34998626667073579"/>
      </right>
      <top style="medium">
        <color theme="0" tint="-0.34998626667073579"/>
      </top>
      <bottom style="thin">
        <color indexed="64"/>
      </bottom>
      <diagonal/>
    </border>
    <border>
      <left style="thin">
        <color theme="0" tint="-0.34998626667073579"/>
      </left>
      <right style="thin">
        <color indexed="64"/>
      </right>
      <top style="medium">
        <color theme="0" tint="-0.34998626667073579"/>
      </top>
      <bottom style="thin">
        <color indexed="64"/>
      </bottom>
      <diagonal/>
    </border>
    <border>
      <left style="medium">
        <color indexed="64"/>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style="thin">
        <color indexed="64"/>
      </top>
      <bottom style="medium">
        <color theme="0" tint="-0.34998626667073579"/>
      </bottom>
      <diagonal/>
    </border>
    <border>
      <left/>
      <right/>
      <top style="thin">
        <color indexed="64"/>
      </top>
      <bottom style="medium">
        <color theme="0" tint="-0.34998626667073579"/>
      </bottom>
      <diagonal/>
    </border>
    <border>
      <left/>
      <right/>
      <top style="thin">
        <color theme="0" tint="-0.34998626667073579"/>
      </top>
      <bottom style="thin">
        <color theme="0" tint="-0.34998626667073579"/>
      </bottom>
      <diagonal/>
    </border>
    <border>
      <left style="thin">
        <color theme="6" tint="-0.249977111117893"/>
      </left>
      <right style="thin">
        <color theme="0" tint="-0.34998626667073579"/>
      </right>
      <top/>
      <bottom/>
      <diagonal/>
    </border>
    <border>
      <left style="thin">
        <color theme="0" tint="-0.34998626667073579"/>
      </left>
      <right style="thin">
        <color theme="6" tint="-0.249977111117893"/>
      </right>
      <top style="thin">
        <color theme="0" tint="-0.34998626667073579"/>
      </top>
      <bottom style="thin">
        <color indexed="64"/>
      </bottom>
      <diagonal/>
    </border>
    <border>
      <left style="thin">
        <color theme="0" tint="-0.34998626667073579"/>
      </left>
      <right style="thin">
        <color theme="0" tint="-0.34998626667073579"/>
      </right>
      <top style="thin">
        <color theme="6" tint="-0.249977111117893"/>
      </top>
      <bottom style="thin">
        <color theme="6" tint="-0.249977111117893"/>
      </bottom>
      <diagonal/>
    </border>
    <border>
      <left style="thin">
        <color theme="0" tint="-0.34998626667073579"/>
      </left>
      <right style="thin">
        <color theme="6" tint="-0.249977111117893"/>
      </right>
      <top style="thin">
        <color indexed="64"/>
      </top>
      <bottom style="thin">
        <color indexed="64"/>
      </bottom>
      <diagonal/>
    </border>
    <border>
      <left style="thin">
        <color theme="0" tint="-0.24994659260841701"/>
      </left>
      <right style="thin">
        <color theme="0" tint="-0.24994659260841701"/>
      </right>
      <top style="thin">
        <color theme="6" tint="-0.249977111117893"/>
      </top>
      <bottom style="thin">
        <color theme="6" tint="-0.249977111117893"/>
      </bottom>
      <diagonal/>
    </border>
    <border>
      <left style="thin">
        <color theme="6" tint="-0.499984740745262"/>
      </left>
      <right/>
      <top style="thin">
        <color indexed="64"/>
      </top>
      <bottom style="thin">
        <color indexed="64"/>
      </bottom>
      <diagonal/>
    </border>
    <border>
      <left style="thin">
        <color indexed="64"/>
      </left>
      <right style="thin">
        <color theme="0" tint="-0.34998626667073579"/>
      </right>
      <top style="thin">
        <color theme="6" tint="-0.249977111117893"/>
      </top>
      <bottom style="thin">
        <color indexed="64"/>
      </bottom>
      <diagonal/>
    </border>
    <border>
      <left style="thin">
        <color indexed="64"/>
      </left>
      <right style="thin">
        <color theme="0" tint="-0.34998626667073579"/>
      </right>
      <top/>
      <bottom style="thin">
        <color theme="6" tint="-0.249977111117893"/>
      </bottom>
      <diagonal/>
    </border>
    <border>
      <left style="thin">
        <color theme="0" tint="-0.34998626667073579"/>
      </left>
      <right style="thin">
        <color theme="0" tint="-0.34998626667073579"/>
      </right>
      <top/>
      <bottom style="thin">
        <color theme="6" tint="-0.249977111117893"/>
      </bottom>
      <diagonal/>
    </border>
    <border>
      <left style="thin">
        <color theme="0" tint="-0.34998626667073579"/>
      </left>
      <right style="thin">
        <color theme="0" tint="-0.34998626667073579"/>
      </right>
      <top style="thin">
        <color theme="6" tint="-0.249977111117893"/>
      </top>
      <bottom style="thin">
        <color indexed="64"/>
      </bottom>
      <diagonal/>
    </border>
    <border>
      <left/>
      <right style="thin">
        <color indexed="64"/>
      </right>
      <top style="thin">
        <color theme="0" tint="-0.34998626667073579"/>
      </top>
      <bottom style="thin">
        <color indexed="64"/>
      </bottom>
      <diagonal/>
    </border>
    <border>
      <left/>
      <right style="thin">
        <color theme="6" tint="-0.499984740745262"/>
      </right>
      <top style="thin">
        <color indexed="64"/>
      </top>
      <bottom style="thin">
        <color indexed="64"/>
      </bottom>
      <diagonal/>
    </border>
    <border>
      <left/>
      <right style="medium">
        <color indexed="64"/>
      </right>
      <top/>
      <bottom style="thin">
        <color theme="6" tint="-0.249977111117893"/>
      </bottom>
      <diagonal/>
    </border>
    <border>
      <left/>
      <right style="thin">
        <color theme="1"/>
      </right>
      <top style="medium">
        <color theme="0" tint="-0.34998626667073579"/>
      </top>
      <bottom style="thin">
        <color indexed="64"/>
      </bottom>
      <diagonal/>
    </border>
    <border>
      <left style="thin">
        <color indexed="64"/>
      </left>
      <right style="medium">
        <color indexed="64"/>
      </right>
      <top style="medium">
        <color theme="0" tint="-0.34998626667073579"/>
      </top>
      <bottom style="thin">
        <color indexed="64"/>
      </bottom>
      <diagonal/>
    </border>
    <border>
      <left style="medium">
        <color indexed="64"/>
      </left>
      <right/>
      <top style="thin">
        <color theme="6" tint="-0.499984740745262"/>
      </top>
      <bottom style="medium">
        <color theme="0" tint="-0.34998626667073579"/>
      </bottom>
      <diagonal/>
    </border>
    <border>
      <left/>
      <right/>
      <top style="thin">
        <color theme="6" tint="-0.499984740745262"/>
      </top>
      <bottom style="medium">
        <color theme="0" tint="-0.34998626667073579"/>
      </bottom>
      <diagonal/>
    </border>
    <border>
      <left/>
      <right/>
      <top style="thin">
        <color theme="6" tint="-0.249977111117893"/>
      </top>
      <bottom style="medium">
        <color theme="0" tint="-0.34998626667073579"/>
      </bottom>
      <diagonal/>
    </border>
    <border>
      <left/>
      <right style="thin">
        <color indexed="64"/>
      </right>
      <top style="thin">
        <color theme="6" tint="-0.249977111117893"/>
      </top>
      <bottom style="medium">
        <color theme="0" tint="-0.34998626667073579"/>
      </bottom>
      <diagonal/>
    </border>
    <border>
      <left style="thin">
        <color indexed="64"/>
      </left>
      <right style="medium">
        <color indexed="64"/>
      </right>
      <top style="thin">
        <color theme="6" tint="-0.249977111117893"/>
      </top>
      <bottom style="medium">
        <color theme="0" tint="-0.34998626667073579"/>
      </bottom>
      <diagonal/>
    </border>
    <border>
      <left style="thin">
        <color theme="0" tint="-0.34998626667073579"/>
      </left>
      <right style="thin">
        <color theme="0" tint="-0.34998626667073579"/>
      </right>
      <top style="thin">
        <color indexed="64"/>
      </top>
      <bottom style="thin">
        <color theme="6" tint="-0.499984740745262"/>
      </bottom>
      <diagonal/>
    </border>
    <border>
      <left style="thin">
        <color indexed="64"/>
      </left>
      <right style="thin">
        <color theme="0" tint="-0.34998626667073579"/>
      </right>
      <top style="thin">
        <color theme="6" tint="-0.249977111117893"/>
      </top>
      <bottom style="medium">
        <color theme="0" tint="-0.34998626667073579"/>
      </bottom>
      <diagonal/>
    </border>
    <border>
      <left style="thin">
        <color theme="0" tint="-0.34998626667073579"/>
      </left>
      <right style="thin">
        <color theme="0" tint="-0.34998626667073579"/>
      </right>
      <top style="thin">
        <color theme="6" tint="-0.249977111117893"/>
      </top>
      <bottom style="medium">
        <color theme="0" tint="-0.34998626667073579"/>
      </bottom>
      <diagonal/>
    </border>
    <border>
      <left style="thin">
        <color theme="6" tint="-0.499984740745262"/>
      </left>
      <right style="thin">
        <color theme="0" tint="-0.24994659260841701"/>
      </right>
      <top style="thin">
        <color indexed="64"/>
      </top>
      <bottom style="thin">
        <color indexed="64"/>
      </bottom>
      <diagonal/>
    </border>
    <border>
      <left style="thin">
        <color theme="6" tint="-0.249977111117893"/>
      </left>
      <right style="thin">
        <color theme="0" tint="-0.24994659260841701"/>
      </right>
      <top style="thin">
        <color indexed="64"/>
      </top>
      <bottom style="thin">
        <color indexed="64"/>
      </bottom>
      <diagonal/>
    </border>
    <border>
      <left style="medium">
        <color theme="0" tint="-0.34998626667073579"/>
      </left>
      <right style="medium">
        <color theme="0" tint="-0.34998626667073579"/>
      </right>
      <top style="medium">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right style="thin">
        <color indexed="64"/>
      </right>
      <top/>
      <bottom style="medium">
        <color theme="0" tint="-0.34998626667073579"/>
      </bottom>
      <diagonal/>
    </border>
    <border>
      <left style="medium">
        <color theme="0" tint="-0.34998626667073579"/>
      </left>
      <right/>
      <top style="medium">
        <color theme="0" tint="-0.34998626667073579"/>
      </top>
      <bottom style="thin">
        <color indexed="64"/>
      </bottom>
      <diagonal/>
    </border>
    <border>
      <left/>
      <right style="medium">
        <color theme="0" tint="-0.34998626667073579"/>
      </right>
      <top style="medium">
        <color theme="0" tint="-0.34998626667073579"/>
      </top>
      <bottom style="thin">
        <color indexed="64"/>
      </bottom>
      <diagonal/>
    </border>
    <border>
      <left style="thin">
        <color indexed="64"/>
      </left>
      <right style="thin">
        <color theme="0" tint="-0.34998626667073579"/>
      </right>
      <top style="thin">
        <color theme="6" tint="-0.249977111117893"/>
      </top>
      <bottom style="thin">
        <color theme="6" tint="-0.249977111117893"/>
      </bottom>
      <diagonal/>
    </border>
    <border>
      <left/>
      <right style="thin">
        <color theme="6" tint="-0.249977111117893"/>
      </right>
      <top style="thin">
        <color indexed="64"/>
      </top>
      <bottom style="thin">
        <color indexed="64"/>
      </bottom>
      <diagonal/>
    </border>
    <border>
      <left style="thin">
        <color theme="6" tint="-0.249977111117893"/>
      </left>
      <right style="thin">
        <color theme="0" tint="-0.34998626667073579"/>
      </right>
      <top style="thin">
        <color indexed="64"/>
      </top>
      <bottom style="thin">
        <color indexed="64"/>
      </bottom>
      <diagonal/>
    </border>
    <border>
      <left style="medium">
        <color indexed="64"/>
      </left>
      <right/>
      <top style="medium">
        <color indexed="64"/>
      </top>
      <bottom style="thin">
        <color theme="6" tint="-0.499984740745262"/>
      </bottom>
      <diagonal/>
    </border>
    <border>
      <left/>
      <right/>
      <top style="medium">
        <color indexed="64"/>
      </top>
      <bottom style="thin">
        <color theme="6" tint="-0.499984740745262"/>
      </bottom>
      <diagonal/>
    </border>
    <border>
      <left style="thin">
        <color theme="6" tint="-0.249977111117893"/>
      </left>
      <right style="medium">
        <color indexed="64"/>
      </right>
      <top style="thin">
        <color indexed="64"/>
      </top>
      <bottom style="thin">
        <color indexed="64"/>
      </bottom>
      <diagonal/>
    </border>
    <border>
      <left/>
      <right style="thin">
        <color theme="0" tint="-0.34998626667073579"/>
      </right>
      <top style="thin">
        <color indexed="64"/>
      </top>
      <bottom style="thin">
        <color indexed="64"/>
      </bottom>
      <diagonal/>
    </border>
    <border>
      <left style="thin">
        <color theme="0" tint="-0.34998626667073579"/>
      </left>
      <right/>
      <top style="thin">
        <color indexed="64"/>
      </top>
      <bottom style="thin">
        <color indexed="64"/>
      </bottom>
      <diagonal/>
    </border>
    <border>
      <left style="thin">
        <color theme="0" tint="-0.34998626667073579"/>
      </left>
      <right style="thin">
        <color indexed="64"/>
      </right>
      <top/>
      <bottom style="thin">
        <color theme="6"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6" tint="-0.249977111117893"/>
      </left>
      <right style="thin">
        <color theme="6" tint="-0.249977111117893"/>
      </right>
      <top style="medium">
        <color theme="0" tint="-0.34998626667073579"/>
      </top>
      <bottom style="medium">
        <color theme="0" tint="-0.34998626667073579"/>
      </bottom>
      <diagonal/>
    </border>
    <border>
      <left style="thin">
        <color theme="6" tint="-0.249977111117893"/>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right style="thin">
        <color theme="0" tint="-0.34998626667073579"/>
      </right>
      <top/>
      <bottom/>
      <diagonal/>
    </border>
    <border>
      <left style="thin">
        <color theme="0" tint="-0.34998626667073579"/>
      </left>
      <right style="thin">
        <color indexed="64"/>
      </right>
      <top style="thin">
        <color theme="6" tint="-0.249977111117893"/>
      </top>
      <bottom style="thin">
        <color theme="6" tint="-0.249977111117893"/>
      </bottom>
      <diagonal/>
    </border>
    <border>
      <left style="thin">
        <color theme="0" tint="-0.34998626667073579"/>
      </left>
      <right/>
      <top/>
      <bottom/>
      <diagonal/>
    </border>
    <border>
      <left style="thin">
        <color theme="0" tint="-0.34998626667073579"/>
      </left>
      <right style="thin">
        <color theme="0" tint="-0.34998626667073579"/>
      </right>
      <top style="thin">
        <color theme="6" tint="-0.499984740745262"/>
      </top>
      <bottom/>
      <diagonal/>
    </border>
    <border>
      <left style="thin">
        <color theme="0" tint="-0.34998626667073579"/>
      </left>
      <right style="thin">
        <color indexed="64"/>
      </right>
      <top style="thin">
        <color theme="6" tint="-0.499984740745262"/>
      </top>
      <bottom/>
      <diagonal/>
    </border>
    <border>
      <left/>
      <right style="thin">
        <color theme="0" tint="-0.34998626667073579"/>
      </right>
      <top/>
      <bottom style="medium">
        <color indexed="64"/>
      </bottom>
      <diagonal/>
    </border>
    <border>
      <left style="thin">
        <color theme="6" tint="-0.249977111117893"/>
      </left>
      <right style="thin">
        <color theme="0" tint="-0.34998626667073579"/>
      </right>
      <top style="medium">
        <color theme="0" tint="-0.34998626667073579"/>
      </top>
      <bottom style="medium">
        <color theme="0" tint="-0.34998626667073579"/>
      </bottom>
      <diagonal/>
    </border>
    <border>
      <left style="thin">
        <color theme="6" tint="-0.249977111117893"/>
      </left>
      <right style="thin">
        <color theme="0" tint="-0.34998626667073579"/>
      </right>
      <top style="medium">
        <color theme="0" tint="-0.34998626667073579"/>
      </top>
      <bottom/>
      <diagonal/>
    </border>
    <border>
      <left/>
      <right style="medium">
        <color indexed="64"/>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style="medium">
        <color theme="0" tint="-0.34998626667073579"/>
      </right>
      <top style="medium">
        <color theme="0" tint="-0.34998626667073579"/>
      </top>
      <bottom/>
      <diagonal/>
    </border>
    <border>
      <left style="medium">
        <color theme="0" tint="-0.34998626667073579"/>
      </left>
      <right style="thin">
        <color indexed="64"/>
      </right>
      <top style="medium">
        <color theme="0" tint="-0.34998626667073579"/>
      </top>
      <bottom/>
      <diagonal/>
    </border>
    <border>
      <left style="thin">
        <color indexed="64"/>
      </left>
      <right style="thin">
        <color theme="0" tint="-0.34998626667073579"/>
      </right>
      <top style="thin">
        <color theme="6" tint="-0.499984740745262"/>
      </top>
      <bottom/>
      <diagonal/>
    </border>
    <border>
      <left style="thin">
        <color theme="6" tint="-0.249977111117893"/>
      </left>
      <right style="thin">
        <color theme="6" tint="-0.249977111117893"/>
      </right>
      <top style="medium">
        <color theme="0" tint="-0.34998626667073579"/>
      </top>
      <bottom/>
      <diagonal/>
    </border>
    <border>
      <left style="thin">
        <color theme="6" tint="-0.249977111117893"/>
      </left>
      <right style="thin">
        <color indexed="64"/>
      </right>
      <top style="medium">
        <color theme="0" tint="-0.34998626667073579"/>
      </top>
      <bottom/>
      <diagonal/>
    </border>
    <border>
      <left/>
      <right style="thin">
        <color indexed="64"/>
      </right>
      <top style="medium">
        <color theme="0" tint="-0.34998626667073579"/>
      </top>
      <bottom style="medium">
        <color theme="0" tint="-0.34998626667073579"/>
      </bottom>
      <diagonal/>
    </border>
    <border>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indexed="64"/>
      </right>
      <top style="thin">
        <color theme="6" tint="-0.249977111117893"/>
      </top>
      <bottom style="thin">
        <color indexed="64"/>
      </bottom>
      <diagonal/>
    </border>
    <border>
      <left/>
      <right style="thin">
        <color indexed="64"/>
      </right>
      <top style="medium">
        <color theme="0" tint="-0.34998626667073579"/>
      </top>
      <bottom/>
      <diagonal/>
    </border>
    <border>
      <left/>
      <right style="thin">
        <color theme="0" tint="-0.34998626667073579"/>
      </right>
      <top style="medium">
        <color theme="0" tint="-0.34998626667073579"/>
      </top>
      <bottom/>
      <diagonal/>
    </border>
    <border>
      <left style="thin">
        <color indexed="64"/>
      </left>
      <right style="medium">
        <color indexed="64"/>
      </right>
      <top style="thin">
        <color indexed="64"/>
      </top>
      <bottom style="medium">
        <color theme="0" tint="-0.34998626667073579"/>
      </bottom>
      <diagonal/>
    </border>
    <border>
      <left style="medium">
        <color indexed="64"/>
      </left>
      <right/>
      <top style="medium">
        <color theme="0" tint="-0.24994659260841701"/>
      </top>
      <bottom/>
      <diagonal/>
    </border>
    <border>
      <left style="thin">
        <color theme="6" tint="-0.249977111117893"/>
      </left>
      <right style="thin">
        <color theme="6" tint="-0.249977111117893"/>
      </right>
      <top style="medium">
        <color theme="0" tint="-0.24994659260841701"/>
      </top>
      <bottom/>
      <diagonal/>
    </border>
    <border>
      <left/>
      <right style="dotted">
        <color indexed="64"/>
      </right>
      <top style="medium">
        <color theme="0" tint="-0.24994659260841701"/>
      </top>
      <bottom/>
      <diagonal/>
    </border>
    <border>
      <left style="thin">
        <color indexed="64"/>
      </left>
      <right style="medium">
        <color indexed="64"/>
      </right>
      <top style="medium">
        <color theme="0" tint="-0.24994659260841701"/>
      </top>
      <bottom/>
      <diagonal/>
    </border>
    <border>
      <left style="thin">
        <color indexed="64"/>
      </left>
      <right style="thin">
        <color theme="0" tint="-0.34998626667073579"/>
      </right>
      <top style="medium">
        <color theme="0" tint="-0.24994659260841701"/>
      </top>
      <bottom/>
      <diagonal/>
    </border>
    <border>
      <left style="thin">
        <color theme="0" tint="-0.34998626667073579"/>
      </left>
      <right style="thin">
        <color theme="0" tint="-0.34998626667073579"/>
      </right>
      <top style="medium">
        <color theme="0" tint="-0.24994659260841701"/>
      </top>
      <bottom/>
      <diagonal/>
    </border>
    <border>
      <left style="thin">
        <color theme="0" tint="-0.34998626667073579"/>
      </left>
      <right style="thin">
        <color indexed="64"/>
      </right>
      <top style="medium">
        <color theme="0" tint="-0.24994659260841701"/>
      </top>
      <bottom/>
      <diagonal/>
    </border>
    <border>
      <left style="thin">
        <color indexed="64"/>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style="thin">
        <color indexed="64"/>
      </right>
      <top style="thin">
        <color indexed="64"/>
      </top>
      <bottom style="medium">
        <color indexed="64"/>
      </bottom>
      <diagonal/>
    </border>
    <border>
      <left style="medium">
        <color indexed="64"/>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medium">
        <color indexed="64"/>
      </bottom>
      <diagonal/>
    </border>
    <border>
      <left style="thin">
        <color theme="0" tint="-0.34998626667073579"/>
      </left>
      <right style="thin">
        <color theme="0" tint="-0.34998626667073579"/>
      </right>
      <top style="thin">
        <color theme="0" tint="-0.34998626667073579"/>
      </top>
      <bottom style="medium">
        <color indexed="64"/>
      </bottom>
      <diagonal/>
    </border>
    <border>
      <left style="thin">
        <color theme="0" tint="-0.34998626667073579"/>
      </left>
      <right style="thin">
        <color indexed="64"/>
      </right>
      <top style="thin">
        <color theme="0" tint="-0.34998626667073579"/>
      </top>
      <bottom style="medium">
        <color indexed="64"/>
      </bottom>
      <diagonal/>
    </border>
    <border>
      <left/>
      <right style="dotted">
        <color indexed="64"/>
      </right>
      <top style="thin">
        <color theme="0" tint="-0.34998626667073579"/>
      </top>
      <bottom style="thin">
        <color theme="0" tint="-0.34998626667073579"/>
      </bottom>
      <diagonal/>
    </border>
    <border>
      <left style="thin">
        <color indexed="64"/>
      </left>
      <right style="medium">
        <color indexed="64"/>
      </right>
      <top style="thin">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thin">
        <color indexed="64"/>
      </bottom>
      <diagonal/>
    </border>
    <border>
      <left style="thin">
        <color theme="0" tint="-0.24994659260841701"/>
      </left>
      <right style="thin">
        <color theme="0" tint="-0.24994659260841701"/>
      </right>
      <top style="medium">
        <color theme="0" tint="-0.34998626667073579"/>
      </top>
      <bottom style="medium">
        <color theme="0" tint="-0.34998626667073579"/>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24994659260841701"/>
      </right>
      <top style="thin">
        <color theme="6" tint="-0.249977111117893"/>
      </top>
      <bottom style="thin">
        <color indexed="64"/>
      </bottom>
      <diagonal/>
    </border>
    <border>
      <left style="thin">
        <color theme="0" tint="-0.24994659260841701"/>
      </left>
      <right style="medium">
        <color indexed="64"/>
      </right>
      <top/>
      <bottom style="medium">
        <color indexed="64"/>
      </bottom>
      <diagonal/>
    </border>
    <border>
      <left style="medium">
        <color theme="1"/>
      </left>
      <right/>
      <top style="medium">
        <color theme="1"/>
      </top>
      <bottom style="medium">
        <color theme="1"/>
      </bottom>
      <diagonal/>
    </border>
    <border>
      <left/>
      <right/>
      <top style="medium">
        <color theme="1"/>
      </top>
      <bottom style="medium">
        <color theme="1"/>
      </bottom>
      <diagonal/>
    </border>
    <border>
      <left style="medium">
        <color indexed="64"/>
      </left>
      <right/>
      <top style="medium">
        <color theme="1"/>
      </top>
      <bottom style="thin">
        <color theme="1"/>
      </bottom>
      <diagonal/>
    </border>
    <border>
      <left/>
      <right/>
      <top style="medium">
        <color theme="1"/>
      </top>
      <bottom style="thin">
        <color theme="1"/>
      </bottom>
      <diagonal/>
    </border>
    <border>
      <left style="thin">
        <color indexed="64"/>
      </left>
      <right/>
      <top style="medium">
        <color theme="1"/>
      </top>
      <bottom style="thin">
        <color theme="1"/>
      </bottom>
      <diagonal/>
    </border>
    <border>
      <left/>
      <right style="thin">
        <color indexed="64"/>
      </right>
      <top style="medium">
        <color theme="1"/>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indexed="64"/>
      </left>
      <right style="thin">
        <color theme="1"/>
      </right>
      <top style="thin">
        <color theme="1"/>
      </top>
      <bottom style="thin">
        <color theme="1"/>
      </bottom>
      <diagonal/>
    </border>
    <border>
      <left/>
      <right/>
      <top/>
      <bottom style="thin">
        <color theme="1"/>
      </bottom>
      <diagonal/>
    </border>
    <border>
      <left style="thin">
        <color theme="1" tint="0.499984740745262"/>
      </left>
      <right style="thin">
        <color indexed="64"/>
      </right>
      <top style="thin">
        <color theme="1" tint="0.499984740745262"/>
      </top>
      <bottom style="thin">
        <color theme="1" tint="0.499984740745262"/>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theme="0" tint="-0.14996795556505021"/>
      </bottom>
      <diagonal/>
    </border>
    <border>
      <left/>
      <right style="medium">
        <color indexed="64"/>
      </right>
      <top style="thin">
        <color indexed="64"/>
      </top>
      <bottom style="medium">
        <color theme="0" tint="-0.14996795556505021"/>
      </bottom>
      <diagonal/>
    </border>
    <border>
      <left style="medium">
        <color indexed="64"/>
      </left>
      <right/>
      <top style="medium">
        <color theme="0" tint="-0.14996795556505021"/>
      </top>
      <bottom style="medium">
        <color theme="0" tint="-0.14996795556505021"/>
      </bottom>
      <diagonal/>
    </border>
    <border>
      <left/>
      <right style="medium">
        <color indexed="64"/>
      </right>
      <top style="medium">
        <color theme="0" tint="-0.14996795556505021"/>
      </top>
      <bottom style="medium">
        <color theme="0" tint="-0.14996795556505021"/>
      </bottom>
      <diagonal/>
    </border>
    <border>
      <left style="medium">
        <color indexed="64"/>
      </left>
      <right/>
      <top style="medium">
        <color theme="0" tint="-0.14996795556505021"/>
      </top>
      <bottom style="medium">
        <color indexed="64"/>
      </bottom>
      <diagonal/>
    </border>
    <border>
      <left/>
      <right style="medium">
        <color indexed="64"/>
      </right>
      <top style="medium">
        <color theme="0" tint="-0.14996795556505021"/>
      </top>
      <bottom style="medium">
        <color indexed="64"/>
      </bottom>
      <diagonal/>
    </border>
    <border>
      <left style="medium">
        <color theme="1"/>
      </left>
      <right style="medium">
        <color theme="0" tint="-0.14996795556505021"/>
      </right>
      <top style="thin">
        <color rgb="FF92D050"/>
      </top>
      <bottom style="medium">
        <color theme="0" tint="-0.14996795556505021"/>
      </bottom>
      <diagonal/>
    </border>
    <border>
      <left style="medium">
        <color theme="0" tint="-0.14996795556505021"/>
      </left>
      <right style="medium">
        <color theme="0" tint="-0.14996795556505021"/>
      </right>
      <top style="thin">
        <color rgb="FF92D050"/>
      </top>
      <bottom style="medium">
        <color theme="0" tint="-0.14996795556505021"/>
      </bottom>
      <diagonal/>
    </border>
    <border>
      <left style="medium">
        <color theme="1"/>
      </left>
      <right style="medium">
        <color theme="0" tint="-0.14996795556505021"/>
      </right>
      <top style="medium">
        <color theme="0" tint="-0.14996795556505021"/>
      </top>
      <bottom style="medium">
        <color theme="0" tint="-0.14996795556505021"/>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style="medium">
        <color theme="1"/>
      </left>
      <right style="medium">
        <color theme="0" tint="-0.14996795556505021"/>
      </right>
      <top style="medium">
        <color theme="0" tint="-0.14996795556505021"/>
      </top>
      <bottom style="medium">
        <color indexed="64"/>
      </bottom>
      <diagonal/>
    </border>
    <border>
      <left style="medium">
        <color theme="0" tint="-0.14996795556505021"/>
      </left>
      <right style="medium">
        <color theme="0" tint="-0.14996795556505021"/>
      </right>
      <top style="medium">
        <color theme="0" tint="-0.14996795556505021"/>
      </top>
      <bottom style="medium">
        <color indexed="64"/>
      </bottom>
      <diagonal/>
    </border>
    <border>
      <left/>
      <right style="medium">
        <color theme="0" tint="-0.14996795556505021"/>
      </right>
      <top style="thin">
        <color rgb="FF92D050"/>
      </top>
      <bottom style="medium">
        <color theme="0" tint="-0.14996795556505021"/>
      </bottom>
      <diagonal/>
    </border>
    <border>
      <left style="medium">
        <color theme="0" tint="-0.14996795556505021"/>
      </left>
      <right style="medium">
        <color theme="1"/>
      </right>
      <top style="thin">
        <color rgb="FF92D050"/>
      </top>
      <bottom style="medium">
        <color theme="0" tint="-0.14996795556505021"/>
      </bottom>
      <diagonal/>
    </border>
    <border>
      <left/>
      <right style="medium">
        <color theme="0" tint="-0.14996795556505021"/>
      </right>
      <top style="medium">
        <color theme="0" tint="-0.14996795556505021"/>
      </top>
      <bottom style="medium">
        <color theme="0" tint="-0.14996795556505021"/>
      </bottom>
      <diagonal/>
    </border>
    <border>
      <left style="medium">
        <color theme="0" tint="-0.14996795556505021"/>
      </left>
      <right style="medium">
        <color theme="1"/>
      </right>
      <top style="medium">
        <color theme="0" tint="-0.14996795556505021"/>
      </top>
      <bottom style="medium">
        <color theme="0" tint="-0.14996795556505021"/>
      </bottom>
      <diagonal/>
    </border>
    <border>
      <left/>
      <right style="medium">
        <color theme="0" tint="-0.14996795556505021"/>
      </right>
      <top style="medium">
        <color theme="0" tint="-0.14996795556505021"/>
      </top>
      <bottom style="medium">
        <color indexed="64"/>
      </bottom>
      <diagonal/>
    </border>
    <border>
      <left style="medium">
        <color theme="0" tint="-0.14996795556505021"/>
      </left>
      <right style="medium">
        <color theme="1"/>
      </right>
      <top style="medium">
        <color theme="0" tint="-0.14996795556505021"/>
      </top>
      <bottom style="medium">
        <color indexed="64"/>
      </bottom>
      <diagonal/>
    </border>
    <border>
      <left style="medium">
        <color theme="0" tint="-0.14996795556505021"/>
      </left>
      <right style="medium">
        <color theme="0" tint="-0.14993743705557422"/>
      </right>
      <top style="thin">
        <color indexed="64"/>
      </top>
      <bottom style="medium">
        <color theme="0" tint="-0.14996795556505021"/>
      </bottom>
      <diagonal/>
    </border>
    <border>
      <left style="medium">
        <color theme="0" tint="-0.14996795556505021"/>
      </left>
      <right style="medium">
        <color theme="0" tint="-0.14993743705557422"/>
      </right>
      <top style="medium">
        <color theme="0" tint="-0.14996795556505021"/>
      </top>
      <bottom style="medium">
        <color theme="0" tint="-0.14996795556505021"/>
      </bottom>
      <diagonal/>
    </border>
    <border>
      <left style="medium">
        <color theme="0" tint="-0.14996795556505021"/>
      </left>
      <right style="medium">
        <color theme="0" tint="-0.14993743705557422"/>
      </right>
      <top style="medium">
        <color theme="0" tint="-0.14996795556505021"/>
      </top>
      <bottom style="medium">
        <color indexed="64"/>
      </bottom>
      <diagonal/>
    </border>
    <border>
      <left style="medium">
        <color theme="0" tint="-0.14996795556505021"/>
      </left>
      <right style="medium">
        <color theme="0" tint="-0.14996795556505021"/>
      </right>
      <top style="thin">
        <color rgb="FF92D050"/>
      </top>
      <bottom style="medium">
        <color indexed="64"/>
      </bottom>
      <diagonal/>
    </border>
    <border>
      <left/>
      <right style="medium">
        <color theme="0" tint="-0.14996795556505021"/>
      </right>
      <top style="thin">
        <color rgb="FF92D050"/>
      </top>
      <bottom style="medium">
        <color indexed="64"/>
      </bottom>
      <diagonal/>
    </border>
    <border>
      <left style="medium">
        <color theme="0" tint="-0.14996795556505021"/>
      </left>
      <right style="medium">
        <color theme="1"/>
      </right>
      <top style="thin">
        <color rgb="FF92D050"/>
      </top>
      <bottom style="medium">
        <color indexed="64"/>
      </bottom>
      <diagonal/>
    </border>
    <border>
      <left style="thin">
        <color theme="0" tint="-0.14996795556505021"/>
      </left>
      <right style="medium">
        <color theme="0" tint="-0.14996795556505021"/>
      </right>
      <top style="thin">
        <color indexed="64"/>
      </top>
      <bottom style="medium">
        <color indexed="64"/>
      </bottom>
      <diagonal/>
    </border>
    <border>
      <left style="medium">
        <color theme="1"/>
      </left>
      <right/>
      <top style="thin">
        <color rgb="FF92D050"/>
      </top>
      <bottom style="thin">
        <color rgb="FF92D050"/>
      </bottom>
      <diagonal/>
    </border>
    <border>
      <left style="medium">
        <color theme="1"/>
      </left>
      <right style="thin">
        <color theme="0" tint="-0.14996795556505021"/>
      </right>
      <top style="thin">
        <color rgb="FF92D050"/>
      </top>
      <bottom style="thin">
        <color theme="0" tint="-0.14996795556505021"/>
      </bottom>
      <diagonal/>
    </border>
    <border>
      <left style="thin">
        <color theme="0" tint="-0.14996795556505021"/>
      </left>
      <right style="thin">
        <color theme="0" tint="-0.14996795556505021"/>
      </right>
      <top style="thin">
        <color rgb="FF92D050"/>
      </top>
      <bottom style="thin">
        <color theme="0" tint="-0.14996795556505021"/>
      </bottom>
      <diagonal/>
    </border>
    <border>
      <left style="medium">
        <color theme="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theme="1"/>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indexed="64"/>
      </bottom>
      <diagonal/>
    </border>
    <border>
      <left/>
      <right style="thin">
        <color theme="0" tint="-0.14996795556505021"/>
      </right>
      <top style="thin">
        <color rgb="FF92D050"/>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indexed="64"/>
      </bottom>
      <diagonal/>
    </border>
    <border>
      <left style="thin">
        <color theme="1"/>
      </left>
      <right style="medium">
        <color theme="1"/>
      </right>
      <top style="medium">
        <color theme="1"/>
      </top>
      <bottom/>
      <diagonal/>
    </border>
    <border>
      <left style="medium">
        <color theme="1"/>
      </left>
      <right style="medium">
        <color theme="0" tint="-0.14996795556505021"/>
      </right>
      <top style="medium">
        <color theme="0" tint="-0.14996795556505021"/>
      </top>
      <bottom style="thin">
        <color theme="1"/>
      </bottom>
      <diagonal/>
    </border>
    <border>
      <left style="medium">
        <color theme="0" tint="-0.14996795556505021"/>
      </left>
      <right style="medium">
        <color theme="0" tint="-0.14996795556505021"/>
      </right>
      <top style="medium">
        <color theme="0" tint="-0.14996795556505021"/>
      </top>
      <bottom style="thin">
        <color theme="1"/>
      </bottom>
      <diagonal/>
    </border>
    <border>
      <left style="medium">
        <color theme="0" tint="-0.14996795556505021"/>
      </left>
      <right style="medium">
        <color theme="0" tint="-0.14993743705557422"/>
      </right>
      <top style="medium">
        <color theme="0" tint="-0.14996795556505021"/>
      </top>
      <bottom style="thin">
        <color theme="1"/>
      </bottom>
      <diagonal/>
    </border>
    <border>
      <left/>
      <right style="thin">
        <color indexed="64"/>
      </right>
      <top/>
      <bottom style="thin">
        <color theme="1"/>
      </bottom>
      <diagonal/>
    </border>
    <border>
      <left/>
      <right style="medium">
        <color theme="0" tint="-0.14996795556505021"/>
      </right>
      <top style="medium">
        <color theme="0" tint="-0.14996795556505021"/>
      </top>
      <bottom style="thin">
        <color theme="1"/>
      </bottom>
      <diagonal/>
    </border>
    <border>
      <left style="medium">
        <color theme="0" tint="-0.14996795556505021"/>
      </left>
      <right style="medium">
        <color theme="1"/>
      </right>
      <top style="medium">
        <color theme="0" tint="-0.14996795556505021"/>
      </top>
      <bottom style="thin">
        <color theme="1"/>
      </bottom>
      <diagonal/>
    </border>
    <border>
      <left style="medium">
        <color theme="1"/>
      </left>
      <right style="thin">
        <color theme="1"/>
      </right>
      <top style="thin">
        <color indexed="64"/>
      </top>
      <bottom style="thin">
        <color theme="1"/>
      </bottom>
      <diagonal/>
    </border>
    <border>
      <left/>
      <right style="medium">
        <color theme="0" tint="-0.14996795556505021"/>
      </right>
      <top style="thin">
        <color indexed="64"/>
      </top>
      <bottom style="medium">
        <color indexed="64"/>
      </bottom>
      <diagonal/>
    </border>
    <border>
      <left style="thin">
        <color theme="0" tint="-0.14996795556505021"/>
      </left>
      <right style="thin">
        <color theme="0" tint="-0.14996795556505021"/>
      </right>
      <top style="thin">
        <color indexed="64"/>
      </top>
      <bottom style="thin">
        <color theme="0" tint="-0.14996795556505021"/>
      </bottom>
      <diagonal/>
    </border>
    <border>
      <left style="thin">
        <color theme="0" tint="-0.14996795556505021"/>
      </left>
      <right style="thin">
        <color theme="0" tint="-0.14996795556505021"/>
      </right>
      <top style="thin">
        <color theme="0" tint="-0.14996795556505021"/>
      </top>
      <bottom style="thin">
        <color rgb="FF92D050"/>
      </bottom>
      <diagonal/>
    </border>
    <border>
      <left/>
      <right style="thin">
        <color theme="0" tint="-0.14996795556505021"/>
      </right>
      <top style="thin">
        <color indexed="64"/>
      </top>
      <bottom style="thin">
        <color theme="0" tint="-0.14996795556505021"/>
      </bottom>
      <diagonal/>
    </border>
    <border>
      <left/>
      <right style="thin">
        <color theme="0" tint="-0.14996795556505021"/>
      </right>
      <top style="thin">
        <color theme="0" tint="-0.14996795556505021"/>
      </top>
      <bottom style="thin">
        <color rgb="FF92D050"/>
      </bottom>
      <diagonal/>
    </border>
    <border>
      <left style="thin">
        <color theme="0" tint="-0.14996795556505021"/>
      </left>
      <right style="thin">
        <color theme="0" tint="-0.14993743705557422"/>
      </right>
      <top style="thin">
        <color indexed="64"/>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indexed="64"/>
      </top>
      <bottom style="medium">
        <color indexed="64"/>
      </bottom>
      <diagonal/>
    </border>
    <border>
      <left style="thin">
        <color theme="0" tint="-0.14996795556505021"/>
      </left>
      <right style="thin">
        <color theme="0" tint="-0.14996795556505021"/>
      </right>
      <top style="thin">
        <color indexed="64"/>
      </top>
      <bottom style="thin">
        <color rgb="FF92D050"/>
      </bottom>
      <diagonal/>
    </border>
    <border>
      <left style="thin">
        <color theme="0" tint="-0.14996795556505021"/>
      </left>
      <right style="thin">
        <color rgb="FF92D050"/>
      </right>
      <top style="thin">
        <color indexed="64"/>
      </top>
      <bottom style="thin">
        <color rgb="FF92D050"/>
      </bottom>
      <diagonal/>
    </border>
    <border>
      <left style="medium">
        <color indexed="64"/>
      </left>
      <right style="thin">
        <color theme="0" tint="-0.14996795556505021"/>
      </right>
      <top style="thin">
        <color indexed="64"/>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6" tint="-0.499984740745262"/>
      </bottom>
      <diagonal/>
    </border>
    <border>
      <left style="thin">
        <color theme="0" tint="-0.14996795556505021"/>
      </left>
      <right style="thin">
        <color theme="0" tint="-0.14996795556505021"/>
      </right>
      <top style="thin">
        <color theme="0" tint="-0.14996795556505021"/>
      </top>
      <bottom style="thin">
        <color theme="6" tint="-0.499984740745262"/>
      </bottom>
      <diagonal/>
    </border>
    <border>
      <left style="thin">
        <color theme="0" tint="-0.14996795556505021"/>
      </left>
      <right style="thin">
        <color indexed="64"/>
      </right>
      <top style="thin">
        <color indexed="64"/>
      </top>
      <bottom style="medium">
        <color indexed="64"/>
      </bottom>
      <diagonal/>
    </border>
    <border>
      <left style="medium">
        <color theme="0" tint="-0.14996795556505021"/>
      </left>
      <right/>
      <top style="thin">
        <color rgb="FF92D050"/>
      </top>
      <bottom style="medium">
        <color indexed="64"/>
      </bottom>
      <diagonal/>
    </border>
    <border>
      <left style="thin">
        <color theme="0" tint="-0.14996795556505021"/>
      </left>
      <right style="thin">
        <color theme="0" tint="-0.14993743705557422"/>
      </right>
      <top style="thin">
        <color rgb="FF92D050"/>
      </top>
      <bottom style="thin">
        <color theme="0" tint="-0.14996795556505021"/>
      </bottom>
      <diagonal/>
    </border>
    <border>
      <left style="thin">
        <color theme="1"/>
      </left>
      <right style="medium">
        <color indexed="64"/>
      </right>
      <top style="thin">
        <color indexed="64"/>
      </top>
      <bottom style="thin">
        <color theme="1"/>
      </bottom>
      <diagonal/>
    </border>
    <border>
      <left style="thin">
        <color indexed="64"/>
      </left>
      <right/>
      <top style="thin">
        <color indexed="64"/>
      </top>
      <bottom style="thin">
        <color theme="1"/>
      </bottom>
      <diagonal/>
    </border>
    <border>
      <left style="medium">
        <color indexed="64"/>
      </left>
      <right style="medium">
        <color theme="0" tint="-0.14996795556505021"/>
      </right>
      <top style="thin">
        <color indexed="64"/>
      </top>
      <bottom style="medium">
        <color theme="0" tint="-0.14996795556505021"/>
      </bottom>
      <diagonal/>
    </border>
    <border>
      <left style="medium">
        <color theme="0" tint="-0.14996795556505021"/>
      </left>
      <right style="medium">
        <color theme="0" tint="-0.14996795556505021"/>
      </right>
      <top style="thin">
        <color indexed="64"/>
      </top>
      <bottom style="medium">
        <color theme="0" tint="-0.14996795556505021"/>
      </bottom>
      <diagonal/>
    </border>
    <border>
      <left style="medium">
        <color indexed="64"/>
      </left>
      <right style="medium">
        <color theme="0" tint="-0.14996795556505021"/>
      </right>
      <top style="medium">
        <color theme="0" tint="-0.14996795556505021"/>
      </top>
      <bottom style="medium">
        <color theme="0" tint="-0.14996795556505021"/>
      </bottom>
      <diagonal/>
    </border>
    <border>
      <left style="medium">
        <color indexed="64"/>
      </left>
      <right style="medium">
        <color theme="0" tint="-0.14996795556505021"/>
      </right>
      <top style="medium">
        <color theme="0" tint="-0.14996795556505021"/>
      </top>
      <bottom style="thin">
        <color indexed="64"/>
      </bottom>
      <diagonal/>
    </border>
    <border>
      <left style="medium">
        <color theme="0" tint="-0.14996795556505021"/>
      </left>
      <right style="medium">
        <color theme="0" tint="-0.14996795556505021"/>
      </right>
      <top style="medium">
        <color theme="0" tint="-0.14996795556505021"/>
      </top>
      <bottom style="thin">
        <color indexed="64"/>
      </bottom>
      <diagonal/>
    </border>
    <border>
      <left style="medium">
        <color theme="0" tint="-0.14996795556505021"/>
      </left>
      <right style="thin">
        <color theme="0" tint="-0.14993743705557422"/>
      </right>
      <top style="thin">
        <color indexed="64"/>
      </top>
      <bottom style="medium">
        <color theme="0" tint="-0.14996795556505021"/>
      </bottom>
      <diagonal/>
    </border>
    <border>
      <left style="medium">
        <color theme="0" tint="-0.14996795556505021"/>
      </left>
      <right style="thin">
        <color theme="0" tint="-0.14993743705557422"/>
      </right>
      <top style="medium">
        <color theme="0" tint="-0.14996795556505021"/>
      </top>
      <bottom style="medium">
        <color theme="0" tint="-0.14996795556505021"/>
      </bottom>
      <diagonal/>
    </border>
    <border>
      <left style="medium">
        <color theme="0" tint="-0.14996795556505021"/>
      </left>
      <right style="thin">
        <color theme="0" tint="-0.14993743705557422"/>
      </right>
      <top style="medium">
        <color theme="0" tint="-0.14996795556505021"/>
      </top>
      <bottom style="thin">
        <color indexed="64"/>
      </bottom>
      <diagonal/>
    </border>
    <border>
      <left style="thin">
        <color indexed="64"/>
      </left>
      <right style="thin">
        <color theme="0" tint="-0.14996795556505021"/>
      </right>
      <top style="thin">
        <color indexed="64"/>
      </top>
      <bottom style="thin">
        <color theme="0" tint="-0.14996795556505021"/>
      </bottom>
      <diagonal/>
    </border>
    <border>
      <left style="thin">
        <color theme="0" tint="-0.14996795556505021"/>
      </left>
      <right style="medium">
        <color indexed="64"/>
      </right>
      <top style="thin">
        <color theme="6" tint="-0.499984740745262"/>
      </top>
      <bottom style="thin">
        <color theme="0" tint="-0.1499679555650502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diagonal/>
    </border>
    <border>
      <left style="thin">
        <color theme="0" tint="-0.14996795556505021"/>
      </left>
      <right style="medium">
        <color indexed="64"/>
      </right>
      <top style="thin">
        <color theme="0" tint="-0.14996795556505021"/>
      </top>
      <bottom/>
      <diagonal/>
    </border>
    <border>
      <left style="thin">
        <color indexed="64"/>
      </left>
      <right style="thin">
        <color theme="0" tint="-0.14996795556505021"/>
      </right>
      <top style="thin">
        <color theme="0" tint="-0.14996795556505021"/>
      </top>
      <bottom style="thin">
        <color theme="6" tint="-0.499984740745262"/>
      </bottom>
      <diagonal/>
    </border>
    <border>
      <left style="thin">
        <color theme="0" tint="-0.14996795556505021"/>
      </left>
      <right style="medium">
        <color indexed="64"/>
      </right>
      <top style="thin">
        <color theme="0" tint="-0.14996795556505021"/>
      </top>
      <bottom style="thin">
        <color theme="6" tint="-0.499984740745262"/>
      </bottom>
      <diagonal/>
    </border>
    <border>
      <left style="medium">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medium">
        <color indexed="64"/>
      </left>
      <right/>
      <top style="thin">
        <color theme="0" tint="-0.14996795556505021"/>
      </top>
      <bottom style="thin">
        <color indexed="64"/>
      </bottom>
      <diagonal/>
    </border>
    <border>
      <left/>
      <right/>
      <top style="thin">
        <color theme="0" tint="-0.14996795556505021"/>
      </top>
      <bottom style="thin">
        <color indexed="64"/>
      </bottom>
      <diagonal/>
    </border>
    <border>
      <left style="thin">
        <color indexed="64"/>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style="thin">
        <color indexed="64"/>
      </top>
      <bottom style="medium">
        <color theme="0" tint="-0.14996795556505021"/>
      </bottom>
      <diagonal/>
    </border>
    <border>
      <left style="thin">
        <color indexed="64"/>
      </left>
      <right style="thin">
        <color indexed="64"/>
      </right>
      <top style="thin">
        <color indexed="64"/>
      </top>
      <bottom style="medium">
        <color theme="0" tint="-0.14996795556505021"/>
      </bottom>
      <diagonal/>
    </border>
    <border>
      <left/>
      <right/>
      <top style="medium">
        <color theme="0" tint="-0.14996795556505021"/>
      </top>
      <bottom style="medium">
        <color theme="0" tint="-0.14996795556505021"/>
      </bottom>
      <diagonal/>
    </border>
    <border>
      <left style="thin">
        <color indexed="64"/>
      </left>
      <right style="thin">
        <color indexed="64"/>
      </right>
      <top style="medium">
        <color theme="0" tint="-0.14996795556505021"/>
      </top>
      <bottom style="medium">
        <color theme="0" tint="-0.14996795556505021"/>
      </bottom>
      <diagonal/>
    </border>
    <border>
      <left/>
      <right/>
      <top style="medium">
        <color theme="0" tint="-0.14996795556505021"/>
      </top>
      <bottom style="medium">
        <color indexed="64"/>
      </bottom>
      <diagonal/>
    </border>
    <border>
      <left style="thin">
        <color indexed="64"/>
      </left>
      <right style="thin">
        <color indexed="64"/>
      </right>
      <top style="medium">
        <color theme="0" tint="-0.14996795556505021"/>
      </top>
      <bottom style="medium">
        <color indexed="64"/>
      </bottom>
      <diagonal/>
    </border>
    <border>
      <left style="medium">
        <color indexed="64"/>
      </left>
      <right/>
      <top style="thin">
        <color indexed="64"/>
      </top>
      <bottom style="thin">
        <color theme="0" tint="-0.14996795556505021"/>
      </bottom>
      <diagonal/>
    </border>
    <border>
      <left/>
      <right/>
      <top style="thin">
        <color indexed="64"/>
      </top>
      <bottom style="thin">
        <color theme="0" tint="-0.14996795556505021"/>
      </bottom>
      <diagonal/>
    </border>
    <border>
      <left style="thin">
        <color indexed="64"/>
      </left>
      <right style="thin">
        <color indexed="64"/>
      </right>
      <top style="thin">
        <color indexed="64"/>
      </top>
      <bottom style="thin">
        <color theme="0" tint="-0.14996795556505021"/>
      </bottom>
      <diagonal/>
    </border>
    <border>
      <left style="thin">
        <color indexed="64"/>
      </left>
      <right/>
      <top style="thin">
        <color theme="0" tint="-0.14996795556505021"/>
      </top>
      <bottom style="thin">
        <color theme="0" tint="-0.14996795556505021"/>
      </bottom>
      <diagonal/>
    </border>
    <border>
      <left style="thin">
        <color indexed="64"/>
      </left>
      <right style="medium">
        <color indexed="64"/>
      </right>
      <top style="thin">
        <color theme="0" tint="-0.14996795556505021"/>
      </top>
      <bottom style="thin">
        <color theme="0" tint="-0.14996795556505021"/>
      </bottom>
      <diagonal/>
    </border>
    <border>
      <left style="medium">
        <color indexed="64"/>
      </left>
      <right/>
      <top style="medium">
        <color theme="0" tint="-0.14996795556505021"/>
      </top>
      <bottom style="thin">
        <color indexed="64"/>
      </bottom>
      <diagonal/>
    </border>
    <border>
      <left/>
      <right/>
      <top style="medium">
        <color theme="0" tint="-0.14996795556505021"/>
      </top>
      <bottom style="thin">
        <color indexed="64"/>
      </bottom>
      <diagonal/>
    </border>
    <border>
      <left style="medium">
        <color indexed="64"/>
      </left>
      <right/>
      <top style="thin">
        <color indexed="64"/>
      </top>
      <bottom style="medium">
        <color theme="0" tint="-4.9989318521683403E-2"/>
      </bottom>
      <diagonal/>
    </border>
    <border>
      <left style="medium">
        <color indexed="64"/>
      </left>
      <right/>
      <top style="medium">
        <color theme="0" tint="-4.9989318521683403E-2"/>
      </top>
      <bottom style="medium">
        <color theme="0" tint="-4.9989318521683403E-2"/>
      </bottom>
      <diagonal/>
    </border>
    <border>
      <left style="medium">
        <color indexed="64"/>
      </left>
      <right/>
      <top style="thin">
        <color indexed="64"/>
      </top>
      <bottom style="thin">
        <color theme="0" tint="-4.9989318521683403E-2"/>
      </bottom>
      <diagonal/>
    </border>
    <border>
      <left/>
      <right/>
      <top style="thin">
        <color indexed="64"/>
      </top>
      <bottom style="thin">
        <color theme="0" tint="-4.9989318521683403E-2"/>
      </bottom>
      <diagonal/>
    </border>
    <border>
      <left style="medium">
        <color indexed="64"/>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style="medium">
        <color indexed="64"/>
      </left>
      <right/>
      <top style="thin">
        <color theme="0" tint="-4.9989318521683403E-2"/>
      </top>
      <bottom style="thin">
        <color indexed="64"/>
      </bottom>
      <diagonal/>
    </border>
    <border>
      <left/>
      <right/>
      <top style="thin">
        <color theme="0" tint="-4.9989318521683403E-2"/>
      </top>
      <bottom style="thin">
        <color indexed="64"/>
      </bottom>
      <diagonal/>
    </border>
    <border>
      <left style="thin">
        <color indexed="64"/>
      </left>
      <right style="thin">
        <color indexed="64"/>
      </right>
      <top style="thin">
        <color indexed="64"/>
      </top>
      <bottom style="thin">
        <color theme="0" tint="-4.9989318521683403E-2"/>
      </bottom>
      <diagonal/>
    </border>
    <border>
      <left style="thin">
        <color indexed="64"/>
      </left>
      <right style="thin">
        <color indexed="64"/>
      </right>
      <top style="thin">
        <color theme="0" tint="-4.9989318521683403E-2"/>
      </top>
      <bottom style="thin">
        <color theme="0" tint="-4.9989318521683403E-2"/>
      </bottom>
      <diagonal/>
    </border>
    <border>
      <left style="thin">
        <color indexed="64"/>
      </left>
      <right style="thin">
        <color indexed="64"/>
      </right>
      <top style="thin">
        <color theme="0" tint="-4.9989318521683403E-2"/>
      </top>
      <bottom style="thin">
        <color indexed="64"/>
      </bottom>
      <diagonal/>
    </border>
    <border>
      <left style="medium">
        <color indexed="64"/>
      </left>
      <right/>
      <top/>
      <bottom style="medium">
        <color theme="0" tint="-0.14996795556505021"/>
      </bottom>
      <diagonal/>
    </border>
    <border>
      <left/>
      <right/>
      <top/>
      <bottom style="medium">
        <color theme="0" tint="-0.14996795556505021"/>
      </bottom>
      <diagonal/>
    </border>
    <border>
      <left style="thin">
        <color theme="0" tint="-0.14993743705557422"/>
      </left>
      <right style="thin">
        <color theme="0" tint="-0.14993743705557422"/>
      </right>
      <top/>
      <bottom/>
      <diagonal/>
    </border>
    <border>
      <left style="thin">
        <color theme="0" tint="-0.14993743705557422"/>
      </left>
      <right style="thin">
        <color theme="0" tint="-0.14993743705557422"/>
      </right>
      <top/>
      <bottom style="medium">
        <color theme="0" tint="-0.14996795556505021"/>
      </bottom>
      <diagonal/>
    </border>
    <border>
      <left style="thin">
        <color theme="0" tint="-0.14993743705557422"/>
      </left>
      <right style="thin">
        <color theme="0" tint="-0.14993743705557422"/>
      </right>
      <top/>
      <bottom style="medium">
        <color indexed="64"/>
      </bottom>
      <diagonal/>
    </border>
    <border>
      <left/>
      <right style="thin">
        <color theme="0" tint="-0.14993743705557422"/>
      </right>
      <top/>
      <bottom/>
      <diagonal/>
    </border>
    <border>
      <left/>
      <right style="thin">
        <color theme="0" tint="-0.14993743705557422"/>
      </right>
      <top style="thin">
        <color theme="0" tint="-0.24994659260841701"/>
      </top>
      <bottom style="thin">
        <color theme="0" tint="-0.24994659260841701"/>
      </bottom>
      <diagonal/>
    </border>
    <border>
      <left style="thin">
        <color theme="0" tint="-0.14993743705557422"/>
      </left>
      <right style="thin">
        <color theme="0" tint="-0.14993743705557422"/>
      </right>
      <top style="thin">
        <color theme="0" tint="-0.24994659260841701"/>
      </top>
      <bottom style="thin">
        <color theme="0" tint="-0.24994659260841701"/>
      </bottom>
      <diagonal/>
    </border>
    <border>
      <left style="thin">
        <color theme="0" tint="-0.14993743705557422"/>
      </left>
      <right style="thin">
        <color theme="0" tint="-0.14993743705557422"/>
      </right>
      <top style="thin">
        <color indexed="64"/>
      </top>
      <bottom/>
      <diagonal/>
    </border>
    <border>
      <left style="thin">
        <color indexed="64"/>
      </left>
      <right style="thin">
        <color indexed="64"/>
      </right>
      <top style="medium">
        <color indexed="64"/>
      </top>
      <bottom style="thin">
        <color theme="0" tint="-0.14996795556505021"/>
      </bottom>
      <diagonal/>
    </border>
    <border>
      <left style="thin">
        <color theme="0" tint="-0.14996795556505021"/>
      </left>
      <right style="thin">
        <color indexed="64"/>
      </right>
      <top style="thin">
        <color indexed="64"/>
      </top>
      <bottom/>
      <diagonal/>
    </border>
    <border>
      <left style="thin">
        <color theme="0" tint="-0.14996795556505021"/>
      </left>
      <right style="thin">
        <color indexed="64"/>
      </right>
      <top/>
      <bottom style="medium">
        <color theme="0" tint="-0.14996795556505021"/>
      </bottom>
      <diagonal/>
    </border>
    <border>
      <left style="thin">
        <color indexed="64"/>
      </left>
      <right style="thin">
        <color indexed="64"/>
      </right>
      <top/>
      <bottom style="medium">
        <color theme="0" tint="-0.14996795556505021"/>
      </bottom>
      <diagonal/>
    </border>
    <border>
      <left style="thin">
        <color theme="0" tint="-0.14996795556505021"/>
      </left>
      <right style="thin">
        <color indexed="64"/>
      </right>
      <top/>
      <bottom/>
      <diagonal/>
    </border>
    <border>
      <left style="thin">
        <color theme="0" tint="-0.14996795556505021"/>
      </left>
      <right style="thin">
        <color indexed="64"/>
      </right>
      <top/>
      <bottom style="medium">
        <color indexed="64"/>
      </bottom>
      <diagonal/>
    </border>
    <border>
      <left style="thin">
        <color indexed="64"/>
      </left>
      <right style="medium">
        <color indexed="64"/>
      </right>
      <top style="thin">
        <color indexed="64"/>
      </top>
      <bottom style="medium">
        <color theme="0" tint="-0.14996795556505021"/>
      </bottom>
      <diagonal/>
    </border>
    <border>
      <left style="thin">
        <color indexed="64"/>
      </left>
      <right style="medium">
        <color indexed="64"/>
      </right>
      <top style="medium">
        <color theme="0" tint="-0.14996795556505021"/>
      </top>
      <bottom style="thin">
        <color indexed="64"/>
      </bottom>
      <diagonal/>
    </border>
    <border>
      <left style="thin">
        <color indexed="64"/>
      </left>
      <right style="thin">
        <color indexed="64"/>
      </right>
      <top style="medium">
        <color theme="0" tint="-4.9989318521683403E-2"/>
      </top>
      <bottom style="medium">
        <color theme="0" tint="-4.9989318521683403E-2"/>
      </bottom>
      <diagonal/>
    </border>
    <border>
      <left style="thin">
        <color indexed="64"/>
      </left>
      <right style="medium">
        <color indexed="64"/>
      </right>
      <top style="medium">
        <color theme="0" tint="-4.9989318521683403E-2"/>
      </top>
      <bottom style="medium">
        <color theme="0" tint="-4.9989318521683403E-2"/>
      </bottom>
      <diagonal/>
    </border>
    <border>
      <left style="medium">
        <color indexed="64"/>
      </left>
      <right/>
      <top style="medium">
        <color theme="0" tint="-4.9989318521683403E-2"/>
      </top>
      <bottom style="medium">
        <color indexed="64"/>
      </bottom>
      <diagonal/>
    </border>
    <border>
      <left style="thin">
        <color indexed="64"/>
      </left>
      <right style="medium">
        <color indexed="64"/>
      </right>
      <top style="thin">
        <color indexed="64"/>
      </top>
      <bottom style="thin">
        <color theme="0" tint="-4.9989318521683403E-2"/>
      </bottom>
      <diagonal/>
    </border>
    <border>
      <left style="thin">
        <color indexed="64"/>
      </left>
      <right style="medium">
        <color indexed="64"/>
      </right>
      <top style="thin">
        <color theme="0" tint="-4.9989318521683403E-2"/>
      </top>
      <bottom style="thin">
        <color theme="0" tint="-4.9989318521683403E-2"/>
      </bottom>
      <diagonal/>
    </border>
    <border>
      <left style="thin">
        <color indexed="64"/>
      </left>
      <right style="thin">
        <color indexed="64"/>
      </right>
      <top style="thin">
        <color theme="0" tint="-4.9989318521683403E-2"/>
      </top>
      <bottom style="medium">
        <color indexed="64"/>
      </bottom>
      <diagonal/>
    </border>
    <border>
      <left style="thin">
        <color indexed="64"/>
      </left>
      <right style="medium">
        <color indexed="64"/>
      </right>
      <top style="thin">
        <color theme="0" tint="-4.9989318521683403E-2"/>
      </top>
      <bottom style="medium">
        <color indexed="64"/>
      </bottom>
      <diagonal/>
    </border>
    <border>
      <left style="medium">
        <color indexed="64"/>
      </left>
      <right/>
      <top style="medium">
        <color theme="0" tint="-0.14996795556505021"/>
      </top>
      <bottom style="medium">
        <color theme="0" tint="-4.9989318521683403E-2"/>
      </bottom>
      <diagonal/>
    </border>
    <border>
      <left/>
      <right/>
      <top style="medium">
        <color theme="0" tint="-0.14996795556505021"/>
      </top>
      <bottom style="medium">
        <color theme="0" tint="-4.9989318521683403E-2"/>
      </bottom>
      <diagonal/>
    </border>
    <border>
      <left style="thin">
        <color indexed="64"/>
      </left>
      <right style="thin">
        <color indexed="64"/>
      </right>
      <top style="medium">
        <color theme="0" tint="-4.9989318521683403E-2"/>
      </top>
      <bottom style="medium">
        <color indexed="64"/>
      </bottom>
      <diagonal/>
    </border>
    <border>
      <left style="thin">
        <color indexed="64"/>
      </left>
      <right style="medium">
        <color indexed="64"/>
      </right>
      <top style="medium">
        <color theme="0" tint="-4.9989318521683403E-2"/>
      </top>
      <bottom style="medium">
        <color indexed="64"/>
      </bottom>
      <diagonal/>
    </border>
    <border>
      <left style="thin">
        <color indexed="64"/>
      </left>
      <right style="thin">
        <color indexed="64"/>
      </right>
      <top/>
      <bottom style="thin">
        <color theme="0" tint="-4.9989318521683403E-2"/>
      </bottom>
      <diagonal/>
    </border>
    <border>
      <left style="thin">
        <color indexed="64"/>
      </left>
      <right style="medium">
        <color indexed="64"/>
      </right>
      <top/>
      <bottom style="thin">
        <color theme="0" tint="-4.9989318521683403E-2"/>
      </bottom>
      <diagonal/>
    </border>
    <border>
      <left style="medium">
        <color indexed="64"/>
      </left>
      <right/>
      <top style="medium">
        <color theme="0" tint="-0.14996795556505021"/>
      </top>
      <bottom/>
      <diagonal/>
    </border>
    <border>
      <left/>
      <right/>
      <top style="medium">
        <color theme="0" tint="-0.14996795556505021"/>
      </top>
      <bottom/>
      <diagonal/>
    </border>
    <border>
      <left style="medium">
        <color indexed="64"/>
      </left>
      <right/>
      <top/>
      <bottom style="medium">
        <color theme="0" tint="-0.24994659260841701"/>
      </bottom>
      <diagonal/>
    </border>
    <border>
      <left/>
      <right style="medium">
        <color indexed="64"/>
      </right>
      <top/>
      <bottom style="medium">
        <color theme="0" tint="-0.24994659260841701"/>
      </bottom>
      <diagonal/>
    </border>
    <border>
      <left style="thin">
        <color theme="0" tint="-0.14996795556505021"/>
      </left>
      <right/>
      <top/>
      <bottom/>
      <diagonal/>
    </border>
    <border>
      <left style="thin">
        <color indexed="64"/>
      </left>
      <right/>
      <top style="thin">
        <color theme="0" tint="-4.9989318521683403E-2"/>
      </top>
      <bottom style="thin">
        <color theme="0" tint="-4.9989318521683403E-2"/>
      </bottom>
      <diagonal/>
    </border>
    <border>
      <left style="medium">
        <color indexed="64"/>
      </left>
      <right/>
      <top style="thin">
        <color theme="0" tint="-4.9989318521683403E-2"/>
      </top>
      <bottom style="medium">
        <color indexed="64"/>
      </bottom>
      <diagonal/>
    </border>
    <border>
      <left style="medium">
        <color indexed="64"/>
      </left>
      <right style="medium">
        <color indexed="64"/>
      </right>
      <top style="thin">
        <color theme="0" tint="-0.14996795556505021"/>
      </top>
      <bottom style="medium">
        <color indexed="64"/>
      </bottom>
      <diagonal/>
    </border>
    <border>
      <left style="medium">
        <color indexed="64"/>
      </left>
      <right style="medium">
        <color indexed="64"/>
      </right>
      <top style="medium">
        <color indexed="64"/>
      </top>
      <bottom style="thin">
        <color theme="0" tint="-0.14996795556505021"/>
      </bottom>
      <diagonal/>
    </border>
    <border>
      <left style="medium">
        <color indexed="64"/>
      </left>
      <right style="medium">
        <color indexed="64"/>
      </right>
      <top style="thin">
        <color theme="0" tint="-0.14996795556505021"/>
      </top>
      <bottom style="thin">
        <color theme="0" tint="-0.14996795556505021"/>
      </bottom>
      <diagonal/>
    </border>
    <border>
      <left style="medium">
        <color indexed="64"/>
      </left>
      <right/>
      <top style="thin">
        <color theme="0" tint="-0.14996795556505021"/>
      </top>
      <bottom/>
      <diagonal/>
    </border>
    <border>
      <left/>
      <right/>
      <top style="thin">
        <color theme="0" tint="-0.14996795556505021"/>
      </top>
      <bottom/>
      <diagonal/>
    </border>
    <border>
      <left style="medium">
        <color indexed="64"/>
      </left>
      <right style="medium">
        <color indexed="64"/>
      </right>
      <top style="thin">
        <color theme="0" tint="-0.14996795556505021"/>
      </top>
      <bottom/>
      <diagonal/>
    </border>
    <border>
      <left style="thin">
        <color theme="0" tint="-0.14996795556505021"/>
      </left>
      <right style="thin">
        <color indexed="64"/>
      </right>
      <top style="thin">
        <color theme="0" tint="-0.14996795556505021"/>
      </top>
      <bottom/>
      <diagonal/>
    </border>
    <border>
      <left style="thin">
        <color indexed="64"/>
      </left>
      <right style="thin">
        <color indexed="64"/>
      </right>
      <top style="thin">
        <color theme="0" tint="-0.14996795556505021"/>
      </top>
      <bottom/>
      <diagonal/>
    </border>
    <border>
      <left style="thin">
        <color indexed="64"/>
      </left>
      <right style="medium">
        <color indexed="64"/>
      </right>
      <top style="thin">
        <color theme="0" tint="-0.14996795556505021"/>
      </top>
      <bottom/>
      <diagonal/>
    </border>
    <border>
      <left style="thin">
        <color theme="0" tint="-0.14996795556505021"/>
      </left>
      <right style="thin">
        <color indexed="64"/>
      </right>
      <top style="medium">
        <color indexed="64"/>
      </top>
      <bottom style="medium">
        <color indexed="64"/>
      </bottom>
      <diagonal/>
    </border>
    <border>
      <left style="thin">
        <color auto="1"/>
      </left>
      <right style="thin">
        <color auto="1"/>
      </right>
      <top style="medium">
        <color indexed="64"/>
      </top>
      <bottom style="thin">
        <color theme="0" tint="-4.9989318521683403E-2"/>
      </bottom>
      <diagonal/>
    </border>
    <border>
      <left style="thin">
        <color auto="1"/>
      </left>
      <right style="medium">
        <color indexed="64"/>
      </right>
      <top style="medium">
        <color indexed="64"/>
      </top>
      <bottom style="thin">
        <color theme="0" tint="-4.9989318521683403E-2"/>
      </bottom>
      <diagonal/>
    </border>
    <border>
      <left style="medium">
        <color indexed="64"/>
      </left>
      <right/>
      <top style="medium">
        <color indexed="64"/>
      </top>
      <bottom style="medium">
        <color theme="0" tint="-0.14996795556505021"/>
      </bottom>
      <diagonal/>
    </border>
    <border>
      <left style="thin">
        <color indexed="64"/>
      </left>
      <right/>
      <top style="medium">
        <color indexed="64"/>
      </top>
      <bottom style="thin">
        <color theme="0" tint="-0.14996795556505021"/>
      </bottom>
      <diagonal/>
    </border>
    <border>
      <left style="thin">
        <color indexed="64"/>
      </left>
      <right style="thin">
        <color theme="0" tint="-0.14996795556505021"/>
      </right>
      <top style="medium">
        <color indexed="64"/>
      </top>
      <bottom style="thin">
        <color theme="0" tint="-0.14996795556505021"/>
      </bottom>
      <diagonal/>
    </border>
    <border>
      <left style="thin">
        <color indexed="64"/>
      </left>
      <right/>
      <top style="thin">
        <color theme="0" tint="-0.14996795556505021"/>
      </top>
      <bottom/>
      <diagonal/>
    </border>
    <border>
      <left/>
      <right style="thin">
        <color indexed="64"/>
      </right>
      <top style="thin">
        <color theme="0" tint="-0.14996795556505021"/>
      </top>
      <bottom/>
      <diagonal/>
    </border>
    <border>
      <left style="thin">
        <color indexed="64"/>
      </left>
      <right/>
      <top style="thin">
        <color theme="0" tint="-0.14996795556505021"/>
      </top>
      <bottom style="thin">
        <color theme="0" tint="-4.9989318521683403E-2"/>
      </bottom>
      <diagonal/>
    </border>
    <border>
      <left style="thin">
        <color indexed="64"/>
      </left>
      <right/>
      <top style="thin">
        <color theme="0" tint="-4.9989318521683403E-2"/>
      </top>
      <bottom style="medium">
        <color indexed="64"/>
      </bottom>
      <diagonal/>
    </border>
    <border>
      <left style="thin">
        <color auto="1"/>
      </left>
      <right style="thin">
        <color auto="1"/>
      </right>
      <top style="thin">
        <color theme="0" tint="-0.14996795556505021"/>
      </top>
      <bottom style="thin">
        <color theme="0" tint="-4.9989318521683403E-2"/>
      </bottom>
      <diagonal/>
    </border>
    <border>
      <left style="medium">
        <color indexed="64"/>
      </left>
      <right/>
      <top style="thin">
        <color theme="0" tint="-4.9989318521683403E-2"/>
      </top>
      <bottom/>
      <diagonal/>
    </border>
    <border>
      <left style="thin">
        <color indexed="64"/>
      </left>
      <right style="thin">
        <color indexed="64"/>
      </right>
      <top style="thin">
        <color theme="0" tint="-4.9989318521683403E-2"/>
      </top>
      <bottom/>
      <diagonal/>
    </border>
    <border>
      <left style="medium">
        <color indexed="64"/>
      </left>
      <right/>
      <top/>
      <bottom style="thin">
        <color theme="0" tint="-0.14996795556505021"/>
      </bottom>
      <diagonal/>
    </border>
    <border>
      <left style="thin">
        <color indexed="64"/>
      </left>
      <right style="thin">
        <color indexed="64"/>
      </right>
      <top/>
      <bottom style="thin">
        <color theme="0" tint="-0.14996795556505021"/>
      </bottom>
      <diagonal/>
    </border>
    <border>
      <left style="thin">
        <color indexed="64"/>
      </left>
      <right style="medium">
        <color indexed="64"/>
      </right>
      <top/>
      <bottom style="thin">
        <color theme="0" tint="-0.14996795556505021"/>
      </bottom>
      <diagonal/>
    </border>
    <border>
      <left style="medium">
        <color indexed="64"/>
      </left>
      <right style="medium">
        <color indexed="64"/>
      </right>
      <top/>
      <bottom style="thin">
        <color theme="0" tint="-0.14996795556505021"/>
      </bottom>
      <diagonal/>
    </border>
    <border>
      <left style="thin">
        <color theme="0" tint="-0.14996795556505021"/>
      </left>
      <right style="thin">
        <color indexed="64"/>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medium">
        <color indexed="64"/>
      </left>
      <right/>
      <top style="medium">
        <color indexed="64"/>
      </top>
      <bottom style="medium">
        <color theme="0" tint="-4.9989318521683403E-2"/>
      </bottom>
      <diagonal/>
    </border>
    <border>
      <left style="thin">
        <color indexed="64"/>
      </left>
      <right style="thin">
        <color indexed="64"/>
      </right>
      <top style="medium">
        <color indexed="64"/>
      </top>
      <bottom style="medium">
        <color theme="0" tint="-4.9989318521683403E-2"/>
      </bottom>
      <diagonal/>
    </border>
    <border>
      <left style="thin">
        <color indexed="64"/>
      </left>
      <right style="medium">
        <color indexed="64"/>
      </right>
      <top style="medium">
        <color indexed="64"/>
      </top>
      <bottom style="medium">
        <color theme="0" tint="-4.9989318521683403E-2"/>
      </bottom>
      <diagonal/>
    </border>
    <border>
      <left style="medium">
        <color indexed="64"/>
      </left>
      <right style="medium">
        <color indexed="64"/>
      </right>
      <top style="medium">
        <color indexed="64"/>
      </top>
      <bottom style="medium">
        <color theme="0" tint="-4.9989318521683403E-2"/>
      </bottom>
      <diagonal/>
    </border>
    <border>
      <left style="medium">
        <color indexed="64"/>
      </left>
      <right style="medium">
        <color indexed="64"/>
      </right>
      <top style="medium">
        <color theme="0" tint="-4.9989318521683403E-2"/>
      </top>
      <bottom style="medium">
        <color theme="0" tint="-4.9989318521683403E-2"/>
      </bottom>
      <diagonal/>
    </border>
    <border>
      <left style="medium">
        <color indexed="64"/>
      </left>
      <right/>
      <top style="medium">
        <color theme="0" tint="-4.9989318521683403E-2"/>
      </top>
      <bottom/>
      <diagonal/>
    </border>
    <border>
      <left style="thin">
        <color indexed="64"/>
      </left>
      <right style="thin">
        <color indexed="64"/>
      </right>
      <top style="medium">
        <color theme="0" tint="-4.9989318521683403E-2"/>
      </top>
      <bottom/>
      <diagonal/>
    </border>
    <border>
      <left style="thin">
        <color indexed="64"/>
      </left>
      <right style="medium">
        <color indexed="64"/>
      </right>
      <top style="medium">
        <color theme="0" tint="-4.9989318521683403E-2"/>
      </top>
      <bottom/>
      <diagonal/>
    </border>
    <border>
      <left style="medium">
        <color indexed="64"/>
      </left>
      <right style="medium">
        <color indexed="64"/>
      </right>
      <top style="medium">
        <color theme="0" tint="-4.9989318521683403E-2"/>
      </top>
      <bottom/>
      <diagonal/>
    </border>
    <border>
      <left style="medium">
        <color indexed="64"/>
      </left>
      <right style="medium">
        <color indexed="64"/>
      </right>
      <top style="medium">
        <color theme="0" tint="-4.9989318521683403E-2"/>
      </top>
      <bottom style="medium">
        <color indexed="64"/>
      </bottom>
      <diagonal/>
    </border>
    <border>
      <left style="thin">
        <color indexed="64"/>
      </left>
      <right/>
      <top style="thin">
        <color indexed="64"/>
      </top>
      <bottom style="thin">
        <color theme="0" tint="-0.14996795556505021"/>
      </bottom>
      <diagonal/>
    </border>
    <border>
      <left style="thin">
        <color indexed="64"/>
      </left>
      <right/>
      <top style="thin">
        <color theme="0" tint="-0.14996795556505021"/>
      </top>
      <bottom style="thin">
        <color indexed="64"/>
      </bottom>
      <diagonal/>
    </border>
    <border>
      <left style="thin">
        <color indexed="64"/>
      </left>
      <right/>
      <top style="thin">
        <color indexed="64"/>
      </top>
      <bottom style="thin">
        <color theme="0" tint="-4.9989318521683403E-2"/>
      </bottom>
      <diagonal/>
    </border>
    <border>
      <left style="thin">
        <color indexed="64"/>
      </left>
      <right/>
      <top style="thin">
        <color theme="0" tint="-4.9989318521683403E-2"/>
      </top>
      <bottom style="thin">
        <color indexed="64"/>
      </bottom>
      <diagonal/>
    </border>
    <border>
      <left style="thin">
        <color theme="0" tint="-0.14996795556505021"/>
      </left>
      <right/>
      <top style="thin">
        <color indexed="64"/>
      </top>
      <bottom/>
      <diagonal/>
    </border>
    <border>
      <left/>
      <right style="thin">
        <color theme="0" tint="-0.14996795556505021"/>
      </right>
      <top style="thin">
        <color indexed="64"/>
      </top>
      <bottom/>
      <diagonal/>
    </border>
    <border>
      <left/>
      <right style="thin">
        <color theme="0" tint="-0.14996795556505021"/>
      </right>
      <top/>
      <bottom/>
      <diagonal/>
    </border>
    <border>
      <left style="thin">
        <color theme="6" tint="-0.499984740745262"/>
      </left>
      <right/>
      <top/>
      <bottom style="thin">
        <color indexed="64"/>
      </bottom>
      <diagonal/>
    </border>
    <border>
      <left style="medium">
        <color indexed="64"/>
      </left>
      <right style="medium">
        <color theme="0" tint="-0.14996795556505021"/>
      </right>
      <top style="medium">
        <color theme="0" tint="-0.14996795556505021"/>
      </top>
      <bottom/>
      <diagonal/>
    </border>
    <border>
      <left style="medium">
        <color theme="0" tint="-0.14996795556505021"/>
      </left>
      <right style="medium">
        <color theme="0" tint="-0.14996795556505021"/>
      </right>
      <top style="thin">
        <color indexed="64"/>
      </top>
      <bottom/>
      <diagonal/>
    </border>
    <border>
      <left style="medium">
        <color theme="0" tint="-0.14996795556505021"/>
      </left>
      <right style="medium">
        <color theme="0" tint="-0.14996795556505021"/>
      </right>
      <top style="medium">
        <color theme="0" tint="-0.14996795556505021"/>
      </top>
      <bottom/>
      <diagonal/>
    </border>
    <border>
      <left style="medium">
        <color theme="0" tint="-0.14996795556505021"/>
      </left>
      <right style="thin">
        <color theme="0" tint="-0.14993743705557422"/>
      </right>
      <top style="medium">
        <color theme="0" tint="-0.14996795556505021"/>
      </top>
      <bottom/>
      <diagonal/>
    </border>
    <border>
      <left style="thin">
        <color theme="6" tint="-0.499984740745262"/>
      </left>
      <right/>
      <top/>
      <bottom/>
      <diagonal/>
    </border>
    <border>
      <left style="thin">
        <color rgb="FF92D050"/>
      </left>
      <right/>
      <top style="thin">
        <color indexed="64"/>
      </top>
      <bottom style="medium">
        <color indexed="64"/>
      </bottom>
      <diagonal/>
    </border>
    <border>
      <left/>
      <right style="thin">
        <color theme="1"/>
      </right>
      <top style="thin">
        <color indexed="64"/>
      </top>
      <bottom style="medium">
        <color indexed="64"/>
      </bottom>
      <diagonal/>
    </border>
    <border>
      <left style="thin">
        <color theme="0" tint="-0.14993743705557422"/>
      </left>
      <right style="thin">
        <color indexed="64"/>
      </right>
      <top style="thin">
        <color indexed="64"/>
      </top>
      <bottom/>
      <diagonal/>
    </border>
    <border>
      <left style="thin">
        <color theme="0" tint="-0.14993743705557422"/>
      </left>
      <right style="thin">
        <color indexed="64"/>
      </right>
      <top/>
      <bottom/>
      <diagonal/>
    </border>
    <border>
      <left style="thin">
        <color indexed="64"/>
      </left>
      <right/>
      <top style="thin">
        <color theme="0" tint="-0.24994659260841701"/>
      </top>
      <bottom style="thin">
        <color theme="0" tint="-0.24994659260841701"/>
      </bottom>
      <diagonal/>
    </border>
    <border>
      <left style="thin">
        <color theme="0" tint="-0.14993743705557422"/>
      </left>
      <right style="thin">
        <color indexed="64"/>
      </right>
      <top style="thin">
        <color theme="0" tint="-0.24994659260841701"/>
      </top>
      <bottom style="thin">
        <color theme="0" tint="-0.24994659260841701"/>
      </bottom>
      <diagonal/>
    </border>
    <border>
      <left style="thin">
        <color theme="0" tint="-0.14993743705557422"/>
      </left>
      <right style="thin">
        <color indexed="64"/>
      </right>
      <top/>
      <bottom style="medium">
        <color theme="0" tint="-0.14996795556505021"/>
      </bottom>
      <diagonal/>
    </border>
    <border>
      <left style="thin">
        <color theme="0" tint="-0.14993743705557422"/>
      </left>
      <right style="thin">
        <color indexed="64"/>
      </right>
      <top/>
      <bottom style="medium">
        <color indexed="64"/>
      </bottom>
      <diagonal/>
    </border>
    <border>
      <left/>
      <right style="thin">
        <color theme="0" tint="-0.34998626667073579"/>
      </right>
      <top style="medium">
        <color theme="0" tint="-0.34998626667073579"/>
      </top>
      <bottom style="thin">
        <color indexed="64"/>
      </bottom>
      <diagonal/>
    </border>
    <border>
      <left style="thin">
        <color theme="6" tint="-0.499984740745262"/>
      </left>
      <right style="thin">
        <color theme="0" tint="-0.14996795556505021"/>
      </right>
      <top style="thin">
        <color indexed="64"/>
      </top>
      <bottom/>
      <diagonal/>
    </border>
    <border>
      <left style="thin">
        <color theme="0" tint="-0.14996795556505021"/>
      </left>
      <right style="thin">
        <color theme="0" tint="-0.14996795556505021"/>
      </right>
      <top style="thin">
        <color indexed="64"/>
      </top>
      <bottom/>
      <diagonal/>
    </border>
    <border>
      <left style="thin">
        <color indexed="64"/>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indexed="64"/>
      </left>
      <right style="thin">
        <color theme="0" tint="-0.14996795556505021"/>
      </right>
      <top/>
      <bottom style="medium">
        <color theme="0" tint="-0.34998626667073579"/>
      </bottom>
      <diagonal/>
    </border>
    <border>
      <left style="thin">
        <color theme="0" tint="-0.14996795556505021"/>
      </left>
      <right style="thin">
        <color theme="0" tint="-0.14996795556505021"/>
      </right>
      <top/>
      <bottom style="medium">
        <color theme="0" tint="-0.34998626667073579"/>
      </bottom>
      <diagonal/>
    </border>
    <border>
      <left style="thin">
        <color indexed="64"/>
      </left>
      <right style="thin">
        <color theme="0" tint="-0.14996795556505021"/>
      </right>
      <top/>
      <bottom/>
      <diagonal/>
    </border>
    <border>
      <left style="thin">
        <color theme="0" tint="-0.14996795556505021"/>
      </left>
      <right style="thin">
        <color theme="0" tint="-0.14996795556505021"/>
      </right>
      <top/>
      <bottom/>
      <diagonal/>
    </border>
    <border>
      <left style="thin">
        <color theme="0" tint="-0.14996795556505021"/>
      </left>
      <right style="thin">
        <color theme="0" tint="-0.34998626667073579"/>
      </right>
      <top/>
      <bottom/>
      <diagonal/>
    </border>
    <border>
      <left style="thin">
        <color indexed="64"/>
      </left>
      <right style="thin">
        <color theme="0" tint="-0.14996795556505021"/>
      </right>
      <top/>
      <bottom style="medium">
        <color indexed="64"/>
      </bottom>
      <diagonal/>
    </border>
    <border>
      <left style="thin">
        <color theme="0" tint="-0.14996795556505021"/>
      </left>
      <right style="thin">
        <color theme="0" tint="-0.14996795556505021"/>
      </right>
      <top/>
      <bottom style="medium">
        <color indexed="64"/>
      </bottom>
      <diagonal/>
    </border>
    <border>
      <left/>
      <right style="medium">
        <color indexed="64"/>
      </right>
      <top style="medium">
        <color theme="0" tint="-0.34998626667073579"/>
      </top>
      <bottom style="thin">
        <color indexed="64"/>
      </bottom>
      <diagonal/>
    </border>
    <border>
      <left/>
      <right style="medium">
        <color indexed="64"/>
      </right>
      <top/>
      <bottom style="medium">
        <color theme="0" tint="-0.34998626667073579"/>
      </bottom>
      <diagonal/>
    </border>
    <border>
      <left style="thin">
        <color theme="0" tint="-0.24994659260841701"/>
      </left>
      <right style="thin">
        <color indexed="64"/>
      </right>
      <top style="thin">
        <color indexed="64"/>
      </top>
      <bottom style="thin">
        <color indexed="64"/>
      </bottom>
      <diagonal/>
    </border>
    <border>
      <left style="thin">
        <color theme="0" tint="-0.14996795556505021"/>
      </left>
      <right style="thin">
        <color indexed="64"/>
      </right>
      <top/>
      <bottom style="medium">
        <color theme="0" tint="-0.34998626667073579"/>
      </bottom>
      <diagonal/>
    </border>
    <border>
      <left style="medium">
        <color theme="0" tint="-0.34998626667073579"/>
      </left>
      <right style="thin">
        <color indexed="64"/>
      </right>
      <top style="medium">
        <color theme="0" tint="-0.34998626667073579"/>
      </top>
      <bottom style="medium">
        <color theme="0" tint="-0.34998626667073579"/>
      </bottom>
      <diagonal/>
    </border>
    <border>
      <left style="thin">
        <color indexed="64"/>
      </left>
      <right style="thin">
        <color theme="0" tint="-0.14996795556505021"/>
      </right>
      <top style="thin">
        <color indexed="64"/>
      </top>
      <bottom/>
      <diagonal/>
    </border>
    <border>
      <left style="thin">
        <color indexed="64"/>
      </left>
      <right style="thin">
        <color theme="0" tint="-0.14996795556505021"/>
      </right>
      <top style="thin">
        <color indexed="64"/>
      </top>
      <bottom style="medium">
        <color theme="0" tint="-0.34998626667073579"/>
      </bottom>
      <diagonal/>
    </border>
    <border>
      <left style="thin">
        <color theme="0" tint="-0.14996795556505021"/>
      </left>
      <right style="thin">
        <color theme="0" tint="-0.14996795556505021"/>
      </right>
      <top style="thin">
        <color indexed="64"/>
      </top>
      <bottom style="medium">
        <color theme="0" tint="-0.34998626667073579"/>
      </bottom>
      <diagonal/>
    </border>
    <border>
      <left style="thin">
        <color theme="0" tint="-0.14996795556505021"/>
      </left>
      <right style="thin">
        <color indexed="64"/>
      </right>
      <top style="thin">
        <color indexed="64"/>
      </top>
      <bottom style="medium">
        <color theme="0" tint="-0.34998626667073579"/>
      </bottom>
      <diagonal/>
    </border>
    <border>
      <left style="thin">
        <color indexed="64"/>
      </left>
      <right style="thin">
        <color theme="0" tint="-0.14996795556505021"/>
      </right>
      <top/>
      <bottom style="thin">
        <color theme="6" tint="-0.249977111117893"/>
      </bottom>
      <diagonal/>
    </border>
    <border>
      <left style="thin">
        <color theme="0" tint="-0.14996795556505021"/>
      </left>
      <right style="thin">
        <color theme="0" tint="-0.14996795556505021"/>
      </right>
      <top/>
      <bottom style="thin">
        <color theme="6" tint="-0.249977111117893"/>
      </bottom>
      <diagonal/>
    </border>
    <border>
      <left style="thin">
        <color theme="0" tint="-0.14996795556505021"/>
      </left>
      <right style="thin">
        <color indexed="64"/>
      </right>
      <top/>
      <bottom style="thin">
        <color theme="6" tint="-0.249977111117893"/>
      </bottom>
      <diagonal/>
    </border>
    <border>
      <left style="thin">
        <color theme="0" tint="-0.34998626667073579"/>
      </left>
      <right style="thin">
        <color theme="0" tint="-0.14996795556505021"/>
      </right>
      <top/>
      <bottom/>
      <diagonal/>
    </border>
    <border>
      <left style="medium">
        <color indexed="64"/>
      </left>
      <right/>
      <top style="thin">
        <color theme="0" tint="-0.34998626667073579"/>
      </top>
      <bottom/>
      <diagonal/>
    </border>
    <border>
      <left/>
      <right/>
      <top style="thin">
        <color theme="0" tint="-0.34998626667073579"/>
      </top>
      <bottom/>
      <diagonal/>
    </border>
    <border>
      <left style="thin">
        <color indexed="64"/>
      </left>
      <right style="thin">
        <color theme="0" tint="-0.24994659260841701"/>
      </right>
      <top style="thin">
        <color theme="0" tint="-0.34998626667073579"/>
      </top>
      <bottom/>
      <diagonal/>
    </border>
    <border>
      <left style="thin">
        <color theme="0" tint="-0.24994659260841701"/>
      </left>
      <right style="thin">
        <color theme="0" tint="-0.24994659260841701"/>
      </right>
      <top style="thin">
        <color theme="0" tint="-0.34998626667073579"/>
      </top>
      <bottom/>
      <diagonal/>
    </border>
    <border>
      <left style="thin">
        <color theme="6" tint="-0.249977111117893"/>
      </left>
      <right/>
      <top style="thin">
        <color indexed="64"/>
      </top>
      <bottom style="thin">
        <color indexed="64"/>
      </bottom>
      <diagonal/>
    </border>
    <border>
      <left style="thin">
        <color theme="0" tint="-0.24994659260841701"/>
      </left>
      <right style="thin">
        <color indexed="64"/>
      </right>
      <top style="thin">
        <color theme="0" tint="-0.34998626667073579"/>
      </top>
      <bottom/>
      <diagonal/>
    </border>
    <border>
      <left style="thin">
        <color indexed="64"/>
      </left>
      <right style="thin">
        <color theme="0" tint="-0.24994659260841701"/>
      </right>
      <top style="thin">
        <color indexed="64"/>
      </top>
      <bottom style="thin">
        <color indexed="64"/>
      </bottom>
      <diagonal/>
    </border>
    <border>
      <left style="thin">
        <color indexed="64"/>
      </left>
      <right style="thin">
        <color theme="6" tint="-0.499984740745262"/>
      </right>
      <top style="thin">
        <color indexed="64"/>
      </top>
      <bottom style="thin">
        <color indexed="64"/>
      </bottom>
      <diagonal/>
    </border>
    <border>
      <left style="thin">
        <color indexed="64"/>
      </left>
      <right style="medium">
        <color theme="0" tint="-0.34998626667073579"/>
      </right>
      <top style="medium">
        <color theme="0" tint="-0.34998626667073579"/>
      </top>
      <bottom style="thin">
        <color indexed="64"/>
      </bottom>
      <diagonal/>
    </border>
    <border>
      <left style="thin">
        <color indexed="64"/>
      </left>
      <right style="thin">
        <color theme="0" tint="-0.34998626667073579"/>
      </right>
      <top style="thin">
        <color indexed="64"/>
      </top>
      <bottom style="thin">
        <color theme="6" tint="-0.499984740745262"/>
      </bottom>
      <diagonal/>
    </border>
    <border>
      <left style="thin">
        <color theme="6" tint="-0.249977111117893"/>
      </left>
      <right style="thin">
        <color indexed="64"/>
      </right>
      <top style="thin">
        <color indexed="64"/>
      </top>
      <bottom style="thin">
        <color indexed="64"/>
      </bottom>
      <diagonal/>
    </border>
    <border>
      <left style="medium">
        <color theme="0" tint="-0.34998626667073579"/>
      </left>
      <right style="thin">
        <color indexed="64"/>
      </right>
      <top style="medium">
        <color theme="0" tint="-0.34998626667073579"/>
      </top>
      <bottom style="thin">
        <color indexed="64"/>
      </bottom>
      <diagonal/>
    </border>
    <border>
      <left style="thin">
        <color theme="0" tint="-0.34998626667073579"/>
      </left>
      <right style="thin">
        <color indexed="64"/>
      </right>
      <top style="thin">
        <color indexed="64"/>
      </top>
      <bottom style="thin">
        <color theme="6" tint="-0.499984740745262"/>
      </bottom>
      <diagonal/>
    </border>
    <border>
      <left style="thin">
        <color theme="0" tint="-0.34998626667073579"/>
      </left>
      <right style="thin">
        <color indexed="64"/>
      </right>
      <top style="thin">
        <color theme="6" tint="-0.249977111117893"/>
      </top>
      <bottom style="medium">
        <color theme="0" tint="-0.34998626667073579"/>
      </bottom>
      <diagonal/>
    </border>
    <border>
      <left style="thin">
        <color indexed="64"/>
      </left>
      <right/>
      <top style="medium">
        <color theme="0" tint="-0.34998626667073579"/>
      </top>
      <bottom style="thin">
        <color indexed="64"/>
      </bottom>
      <diagonal/>
    </border>
    <border>
      <left style="thin">
        <color theme="0" tint="-0.34998626667073579"/>
      </left>
      <right/>
      <top style="thin">
        <color indexed="64"/>
      </top>
      <bottom/>
      <diagonal/>
    </border>
    <border>
      <left style="thin">
        <color theme="0" tint="-0.34998626667073579"/>
      </left>
      <right/>
      <top/>
      <bottom style="medium">
        <color theme="0" tint="-0.34998626667073579"/>
      </bottom>
      <diagonal/>
    </border>
    <border>
      <left style="thin">
        <color theme="0" tint="-0.34998626667073579"/>
      </left>
      <right/>
      <top/>
      <bottom style="medium">
        <color indexed="64"/>
      </bottom>
      <diagonal/>
    </border>
    <border>
      <left style="thin">
        <color theme="0" tint="-0.14996795556505021"/>
      </left>
      <right style="thin">
        <color theme="0" tint="-0.24994659260841701"/>
      </right>
      <top style="thin">
        <color indexed="64"/>
      </top>
      <bottom style="thin">
        <color indexed="64"/>
      </bottom>
      <diagonal/>
    </border>
    <border>
      <left style="thin">
        <color theme="0" tint="-0.14996795556505021"/>
      </left>
      <right style="thin">
        <color theme="0" tint="-0.34998626667073579"/>
      </right>
      <top style="thin">
        <color indexed="64"/>
      </top>
      <bottom/>
      <diagonal/>
    </border>
    <border>
      <left style="thin">
        <color theme="0" tint="-0.14996795556505021"/>
      </left>
      <right style="thin">
        <color theme="0" tint="-0.34998626667073579"/>
      </right>
      <top style="thin">
        <color indexed="64"/>
      </top>
      <bottom style="thin">
        <color indexed="64"/>
      </bottom>
      <diagonal/>
    </border>
    <border>
      <left style="thin">
        <color theme="0" tint="-0.14996795556505021"/>
      </left>
      <right style="thin">
        <color theme="0" tint="-0.34998626667073579"/>
      </right>
      <top/>
      <bottom style="medium">
        <color theme="0" tint="-0.34998626667073579"/>
      </bottom>
      <diagonal/>
    </border>
    <border>
      <left style="thin">
        <color theme="0" tint="-0.14996795556505021"/>
      </left>
      <right style="thin">
        <color theme="0" tint="-0.34998626667073579"/>
      </right>
      <top/>
      <bottom style="medium">
        <color indexed="64"/>
      </bottom>
      <diagonal/>
    </border>
    <border>
      <left/>
      <right style="thin">
        <color theme="0" tint="-0.14996795556505021"/>
      </right>
      <top style="thin">
        <color indexed="64"/>
      </top>
      <bottom style="thin">
        <color indexed="64"/>
      </bottom>
      <diagonal/>
    </border>
    <border>
      <left/>
      <right style="thin">
        <color indexed="64"/>
      </right>
      <top style="medium">
        <color theme="0" tint="-0.14996795556505021"/>
      </top>
      <bottom style="thin">
        <color indexed="64"/>
      </bottom>
      <diagonal/>
    </border>
    <border>
      <left/>
      <right style="thin">
        <color theme="0" tint="-0.34998626667073579"/>
      </right>
      <top style="medium">
        <color theme="0" tint="-0.14996795556505021"/>
      </top>
      <bottom style="thin">
        <color indexed="64"/>
      </bottom>
      <diagonal/>
    </border>
    <border>
      <left style="thin">
        <color theme="0" tint="-0.34998626667073579"/>
      </left>
      <right style="thin">
        <color theme="0" tint="-0.34998626667073579"/>
      </right>
      <top style="medium">
        <color theme="0" tint="-0.14996795556505021"/>
      </top>
      <bottom style="thin">
        <color indexed="64"/>
      </bottom>
      <diagonal/>
    </border>
    <border>
      <left style="thin">
        <color theme="0" tint="-0.34998626667073579"/>
      </left>
      <right style="thin">
        <color indexed="64"/>
      </right>
      <top style="medium">
        <color theme="0" tint="-0.14996795556505021"/>
      </top>
      <bottom style="thin">
        <color indexed="64"/>
      </bottom>
      <diagonal/>
    </border>
    <border>
      <left style="medium">
        <color indexed="64"/>
      </left>
      <right/>
      <top style="thin">
        <color theme="6" tint="-0.499984740745262"/>
      </top>
      <bottom/>
      <diagonal/>
    </border>
    <border>
      <left/>
      <right/>
      <top style="thin">
        <color theme="6" tint="-0.499984740745262"/>
      </top>
      <bottom/>
      <diagonal/>
    </border>
    <border>
      <left style="thin">
        <color indexed="64"/>
      </left>
      <right style="medium">
        <color indexed="64"/>
      </right>
      <top style="thin">
        <color theme="0" tint="-0.34998626667073579"/>
      </top>
      <bottom/>
      <diagonal/>
    </border>
    <border>
      <left/>
      <right style="thin">
        <color indexed="64"/>
      </right>
      <top style="medium">
        <color theme="0" tint="-0.24994659260841701"/>
      </top>
      <bottom/>
      <diagonal/>
    </border>
    <border>
      <left style="thin">
        <color theme="0" tint="-0.14996795556505021"/>
      </left>
      <right style="thin">
        <color indexed="64"/>
      </right>
      <top style="medium">
        <color theme="0" tint="-0.34998626667073579"/>
      </top>
      <bottom style="medium">
        <color theme="0" tint="-0.34998626667073579"/>
      </bottom>
      <diagonal/>
    </border>
    <border>
      <left style="thin">
        <color indexed="64"/>
      </left>
      <right style="thin">
        <color theme="0" tint="-0.14996795556505021"/>
      </right>
      <top/>
      <bottom style="medium">
        <color theme="0" tint="-0.24994659260841701"/>
      </bottom>
      <diagonal/>
    </border>
    <border>
      <left style="thin">
        <color theme="0" tint="-0.14996795556505021"/>
      </left>
      <right style="thin">
        <color theme="0" tint="-0.14996795556505021"/>
      </right>
      <top/>
      <bottom style="medium">
        <color theme="0" tint="-0.24994659260841701"/>
      </bottom>
      <diagonal/>
    </border>
    <border>
      <left style="thin">
        <color theme="0" tint="-0.14996795556505021"/>
      </left>
      <right style="thin">
        <color indexed="64"/>
      </right>
      <top/>
      <bottom style="medium">
        <color theme="0" tint="-0.24994659260841701"/>
      </bottom>
      <diagonal/>
    </border>
    <border>
      <left/>
      <right style="thin">
        <color indexed="64"/>
      </right>
      <top style="medium">
        <color theme="0" tint="-0.14996795556505021"/>
      </top>
      <bottom/>
      <diagonal/>
    </border>
    <border>
      <left style="thin">
        <color indexed="64"/>
      </left>
      <right style="thin">
        <color theme="0" tint="-0.34998626667073579"/>
      </right>
      <top style="medium">
        <color theme="0" tint="-0.14996795556505021"/>
      </top>
      <bottom style="thin">
        <color indexed="64"/>
      </bottom>
      <diagonal/>
    </border>
    <border>
      <left/>
      <right style="medium">
        <color indexed="64"/>
      </right>
      <top style="thin">
        <color theme="0" tint="-0.34998626667073579"/>
      </top>
      <bottom/>
      <diagonal/>
    </border>
    <border>
      <left style="thin">
        <color indexed="64"/>
      </left>
      <right style="thin">
        <color theme="0" tint="-0.14996795556505021"/>
      </right>
      <top style="thin">
        <color theme="6" tint="-0.249977111117893"/>
      </top>
      <bottom/>
      <diagonal/>
    </border>
    <border>
      <left style="thin">
        <color theme="0" tint="-0.14996795556505021"/>
      </left>
      <right style="thin">
        <color theme="0" tint="-0.14996795556505021"/>
      </right>
      <top style="thin">
        <color theme="6" tint="-0.249977111117893"/>
      </top>
      <bottom/>
      <diagonal/>
    </border>
    <border>
      <left style="thin">
        <color theme="0" tint="-0.14996795556505021"/>
      </left>
      <right style="thin">
        <color indexed="64"/>
      </right>
      <top style="thin">
        <color theme="6" tint="-0.249977111117893"/>
      </top>
      <bottom/>
      <diagonal/>
    </border>
    <border>
      <left style="thin">
        <color theme="0" tint="-0.24994659260841701"/>
      </left>
      <right style="medium">
        <color indexed="64"/>
      </right>
      <top style="thin">
        <color theme="0" tint="-0.24994659260841701"/>
      </top>
      <bottom style="thin">
        <color indexed="64"/>
      </bottom>
      <diagonal/>
    </border>
    <border>
      <left style="thin">
        <color theme="0" tint="-0.14996795556505021"/>
      </left>
      <right style="thin">
        <color theme="0" tint="-0.24994659260841701"/>
      </right>
      <top style="medium">
        <color theme="0" tint="-0.34998626667073579"/>
      </top>
      <bottom style="medium">
        <color theme="0" tint="-0.34998626667073579"/>
      </bottom>
      <diagonal/>
    </border>
    <border>
      <left/>
      <right style="thin">
        <color indexed="64"/>
      </right>
      <top style="medium">
        <color indexed="64"/>
      </top>
      <bottom style="thin">
        <color theme="0" tint="-0.14996795556505021"/>
      </bottom>
      <diagonal/>
    </border>
    <border>
      <left/>
      <right style="medium">
        <color indexed="64"/>
      </right>
      <top style="medium">
        <color indexed="64"/>
      </top>
      <bottom style="thin">
        <color theme="0" tint="-0.14996795556505021"/>
      </bottom>
      <diagonal/>
    </border>
    <border>
      <left/>
      <right style="medium">
        <color indexed="64"/>
      </right>
      <top style="thin">
        <color theme="0" tint="-0.14996795556505021"/>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thin">
        <color indexed="64"/>
      </right>
      <top style="thin">
        <color theme="0" tint="-0.14996795556505021"/>
      </top>
      <bottom style="medium">
        <color indexed="64"/>
      </bottom>
      <diagonal/>
    </border>
    <border>
      <left/>
      <right style="thin">
        <color indexed="64"/>
      </right>
      <top style="thin">
        <color theme="0" tint="-0.14996795556505021"/>
      </top>
      <bottom style="medium">
        <color indexed="64"/>
      </bottom>
      <diagonal/>
    </border>
    <border>
      <left/>
      <right style="medium">
        <color indexed="64"/>
      </right>
      <top style="thin">
        <color theme="0" tint="-0.14996795556505021"/>
      </top>
      <bottom style="medium">
        <color indexed="64"/>
      </bottom>
      <diagonal/>
    </border>
    <border>
      <left style="thin">
        <color theme="1"/>
      </left>
      <right/>
      <top/>
      <bottom/>
      <diagonal/>
    </border>
    <border>
      <left style="medium">
        <color indexed="64"/>
      </left>
      <right style="medium">
        <color theme="0" tint="-0.14996795556505021"/>
      </right>
      <top style="thin">
        <color rgb="FF92D050"/>
      </top>
      <bottom style="medium">
        <color theme="0" tint="-0.14996795556505021"/>
      </bottom>
      <diagonal/>
    </border>
    <border>
      <left style="medium">
        <color theme="0" tint="-0.14996795556505021"/>
      </left>
      <right style="medium">
        <color indexed="64"/>
      </right>
      <top style="thin">
        <color rgb="FF92D050"/>
      </top>
      <bottom style="medium">
        <color theme="0" tint="-0.14996795556505021"/>
      </bottom>
      <diagonal/>
    </border>
    <border>
      <left style="medium">
        <color indexed="64"/>
      </left>
      <right style="medium">
        <color theme="0" tint="-0.14996795556505021"/>
      </right>
      <top style="medium">
        <color theme="0" tint="-0.14996795556505021"/>
      </top>
      <bottom style="medium">
        <color indexed="64"/>
      </bottom>
      <diagonal/>
    </border>
    <border>
      <left style="medium">
        <color theme="0" tint="-0.14996795556505021"/>
      </left>
      <right style="medium">
        <color indexed="64"/>
      </right>
      <top style="medium">
        <color theme="0" tint="-0.14996795556505021"/>
      </top>
      <bottom style="medium">
        <color indexed="64"/>
      </bottom>
      <diagonal/>
    </border>
    <border>
      <left/>
      <right style="double">
        <color auto="1"/>
      </right>
      <top style="double">
        <color auto="1"/>
      </top>
      <bottom/>
      <diagonal/>
    </border>
    <border>
      <left style="double">
        <color auto="1"/>
      </left>
      <right style="thin">
        <color indexed="64"/>
      </right>
      <top style="thin">
        <color indexed="64"/>
      </top>
      <bottom style="thin">
        <color indexed="64"/>
      </bottom>
      <diagonal/>
    </border>
    <border>
      <left/>
      <right style="double">
        <color auto="1"/>
      </right>
      <top/>
      <bottom/>
      <diagonal/>
    </border>
    <border>
      <left style="double">
        <color auto="1"/>
      </left>
      <right style="thin">
        <color indexed="64"/>
      </right>
      <top style="thin">
        <color indexed="64"/>
      </top>
      <bottom style="double">
        <color auto="1"/>
      </bottom>
      <diagonal/>
    </border>
    <border>
      <left style="thin">
        <color indexed="64"/>
      </left>
      <right style="thin">
        <color indexed="64"/>
      </right>
      <top style="thin">
        <color indexed="64"/>
      </top>
      <bottom style="double">
        <color auto="1"/>
      </bottom>
      <diagonal/>
    </border>
    <border>
      <left/>
      <right style="double">
        <color auto="1"/>
      </right>
      <top/>
      <bottom style="double">
        <color auto="1"/>
      </bottom>
      <diagonal/>
    </border>
    <border>
      <left style="thin">
        <color indexed="64"/>
      </left>
      <right/>
      <top style="double">
        <color auto="1"/>
      </top>
      <bottom style="thin">
        <color indexed="64"/>
      </bottom>
      <diagonal/>
    </border>
    <border>
      <left/>
      <right/>
      <top style="double">
        <color auto="1"/>
      </top>
      <bottom style="thin">
        <color indexed="64"/>
      </bottom>
      <diagonal/>
    </border>
    <border>
      <left/>
      <right style="double">
        <color auto="1"/>
      </right>
      <top style="double">
        <color auto="1"/>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double">
        <color indexed="64"/>
      </right>
      <top style="thin">
        <color indexed="64"/>
      </top>
      <bottom style="thin">
        <color indexed="64"/>
      </bottom>
      <diagonal/>
    </border>
    <border>
      <left/>
      <right style="thin">
        <color auto="1"/>
      </right>
      <top style="thin">
        <color auto="1"/>
      </top>
      <bottom style="double">
        <color auto="1"/>
      </bottom>
      <diagonal/>
    </border>
    <border>
      <left style="double">
        <color indexed="64"/>
      </left>
      <right/>
      <top style="thin">
        <color indexed="64"/>
      </top>
      <bottom style="thin">
        <color indexed="64"/>
      </bottom>
      <diagonal/>
    </border>
    <border>
      <left/>
      <right/>
      <top style="double">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thin">
        <color indexed="64"/>
      </top>
      <bottom style="double">
        <color indexed="64"/>
      </bottom>
      <diagonal/>
    </border>
    <border>
      <left/>
      <right style="double">
        <color auto="1"/>
      </right>
      <top style="double">
        <color indexed="64"/>
      </top>
      <bottom style="double">
        <color auto="1"/>
      </bottom>
      <diagonal/>
    </border>
    <border>
      <left/>
      <right style="double">
        <color auto="1"/>
      </right>
      <top style="thin">
        <color indexed="64"/>
      </top>
      <bottom style="double">
        <color auto="1"/>
      </bottom>
      <diagonal/>
    </border>
    <border>
      <left style="double">
        <color indexed="64"/>
      </left>
      <right/>
      <top style="double">
        <color indexed="64"/>
      </top>
      <bottom style="double">
        <color indexed="64"/>
      </bottom>
      <diagonal/>
    </border>
    <border>
      <left style="double">
        <color indexed="64"/>
      </left>
      <right/>
      <top style="medium">
        <color indexed="64"/>
      </top>
      <bottom/>
      <diagonal/>
    </border>
    <border>
      <left style="thin">
        <color indexed="64"/>
      </left>
      <right style="double">
        <color indexed="64"/>
      </right>
      <top style="medium">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theme="1"/>
      </left>
      <right style="thin">
        <color theme="1"/>
      </right>
      <top style="thin">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right style="double">
        <color auto="1"/>
      </right>
      <top/>
      <bottom style="thin">
        <color auto="1"/>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right style="thin">
        <color theme="1"/>
      </right>
      <top/>
      <bottom style="thin">
        <color indexed="64"/>
      </bottom>
      <diagonal/>
    </border>
    <border>
      <left style="thin">
        <color auto="1"/>
      </left>
      <right style="double">
        <color indexed="64"/>
      </right>
      <top style="double">
        <color auto="1"/>
      </top>
      <bottom/>
      <diagonal/>
    </border>
    <border>
      <left style="thin">
        <color auto="1"/>
      </left>
      <right style="double">
        <color indexed="64"/>
      </right>
      <top/>
      <bottom/>
      <diagonal/>
    </border>
    <border>
      <left/>
      <right style="double">
        <color indexed="64"/>
      </right>
      <top style="thin">
        <color indexed="64"/>
      </top>
      <bottom/>
      <diagonal/>
    </border>
    <border>
      <left style="double">
        <color auto="1"/>
      </left>
      <right style="double">
        <color auto="1"/>
      </right>
      <top style="double">
        <color auto="1"/>
      </top>
      <bottom/>
      <diagonal/>
    </border>
    <border>
      <left style="double">
        <color auto="1"/>
      </left>
      <right style="double">
        <color auto="1"/>
      </right>
      <top/>
      <bottom/>
      <diagonal/>
    </border>
    <border>
      <left style="double">
        <color auto="1"/>
      </left>
      <right style="double">
        <color auto="1"/>
      </right>
      <top/>
      <bottom style="double">
        <color auto="1"/>
      </bottom>
      <diagonal/>
    </border>
    <border>
      <left style="medium">
        <color indexed="64"/>
      </left>
      <right style="double">
        <color indexed="64"/>
      </right>
      <top style="double">
        <color indexed="64"/>
      </top>
      <bottom/>
      <diagonal/>
    </border>
    <border>
      <left style="medium">
        <color indexed="64"/>
      </left>
      <right style="double">
        <color indexed="64"/>
      </right>
      <top/>
      <bottom style="double">
        <color indexed="64"/>
      </bottom>
      <diagonal/>
    </border>
    <border>
      <left style="thin">
        <color indexed="64"/>
      </left>
      <right style="thin">
        <color theme="0" tint="-0.24994659260841701"/>
      </right>
      <top/>
      <bottom style="medium">
        <color theme="0" tint="-0.34998626667073579"/>
      </bottom>
      <diagonal/>
    </border>
    <border>
      <left style="thin">
        <color theme="0" tint="-0.24994659260841701"/>
      </left>
      <right style="thin">
        <color theme="0" tint="-0.24994659260841701"/>
      </right>
      <top/>
      <bottom style="medium">
        <color theme="0" tint="-0.34998626667073579"/>
      </bottom>
      <diagonal/>
    </border>
    <border>
      <left style="thin">
        <color theme="0" tint="-0.24994659260841701"/>
      </left>
      <right style="thin">
        <color indexed="64"/>
      </right>
      <top/>
      <bottom style="medium">
        <color theme="0" tint="-0.34998626667073579"/>
      </bottom>
      <diagonal/>
    </border>
    <border>
      <left style="thin">
        <color indexed="64"/>
      </left>
      <right style="thin">
        <color indexed="64"/>
      </right>
      <top style="medium">
        <color theme="0" tint="-0.34998626667073579"/>
      </top>
      <bottom/>
      <diagonal/>
    </border>
    <border>
      <left style="thin">
        <color indexed="64"/>
      </left>
      <right style="thin">
        <color indexed="64"/>
      </right>
      <top/>
      <bottom style="medium">
        <color theme="0" tint="-0.34998626667073579"/>
      </bottom>
      <diagonal/>
    </border>
    <border>
      <left style="thin">
        <color theme="0" tint="-0.34998626667073579"/>
      </left>
      <right style="medium">
        <color indexed="64"/>
      </right>
      <top style="thin">
        <color indexed="64"/>
      </top>
      <bottom style="thin">
        <color indexed="64"/>
      </bottom>
      <diagonal/>
    </border>
    <border>
      <left style="thin">
        <color theme="0"/>
      </left>
      <right/>
      <top style="medium">
        <color indexed="64"/>
      </top>
      <bottom style="thin">
        <color indexed="64"/>
      </bottom>
      <diagonal/>
    </border>
    <border>
      <left style="thin">
        <color theme="0"/>
      </left>
      <right style="medium">
        <color indexed="64"/>
      </right>
      <top style="medium">
        <color indexed="64"/>
      </top>
      <bottom style="thin">
        <color indexed="64"/>
      </bottom>
      <diagonal/>
    </border>
    <border>
      <left/>
      <right/>
      <top/>
      <bottom style="thin">
        <color theme="6" tint="-0.499984740745262"/>
      </bottom>
      <diagonal/>
    </border>
    <border>
      <left style="medium">
        <color indexed="64"/>
      </left>
      <right/>
      <top style="thin">
        <color theme="0" tint="-0.24994659260841701"/>
      </top>
      <bottom/>
      <diagonal/>
    </border>
    <border>
      <left style="thin">
        <color theme="0" tint="-0.24994659260841701"/>
      </left>
      <right style="medium">
        <color indexed="64"/>
      </right>
      <top/>
      <bottom style="thin">
        <color theme="0" tint="-0.24994659260841701"/>
      </bottom>
      <diagonal/>
    </border>
    <border>
      <left/>
      <right style="medium">
        <color indexed="64"/>
      </right>
      <top style="medium">
        <color theme="0" tint="-0.24994659260841701"/>
      </top>
      <bottom/>
      <diagonal/>
    </border>
    <border>
      <left/>
      <right style="medium">
        <color indexed="64"/>
      </right>
      <top style="thin">
        <color theme="0" tint="-0.24994659260841701"/>
      </top>
      <bottom/>
      <diagonal/>
    </border>
    <border>
      <left/>
      <right style="medium">
        <color indexed="64"/>
      </right>
      <top/>
      <bottom style="thin">
        <color theme="0" tint="-0.24994659260841701"/>
      </bottom>
      <diagonal/>
    </border>
    <border>
      <left style="thin">
        <color indexed="64"/>
      </left>
      <right style="thin">
        <color theme="0" tint="-0.14996795556505021"/>
      </right>
      <top/>
      <bottom style="thin">
        <color indexed="64"/>
      </bottom>
      <diagonal/>
    </border>
    <border>
      <left style="thin">
        <color theme="0" tint="-0.14996795556505021"/>
      </left>
      <right style="thin">
        <color theme="0" tint="-0.14996795556505021"/>
      </right>
      <top/>
      <bottom style="thin">
        <color indexed="64"/>
      </bottom>
      <diagonal/>
    </border>
    <border>
      <left style="thin">
        <color theme="0" tint="-0.14996795556505021"/>
      </left>
      <right style="thin">
        <color indexed="64"/>
      </right>
      <top/>
      <bottom style="thin">
        <color indexed="64"/>
      </bottom>
      <diagonal/>
    </border>
    <border>
      <left style="thin">
        <color indexed="64"/>
      </left>
      <right style="thin">
        <color theme="0" tint="-4.9989318521683403E-2"/>
      </right>
      <top style="thin">
        <color indexed="64"/>
      </top>
      <bottom style="thin">
        <color indexed="64"/>
      </bottom>
      <diagonal/>
    </border>
    <border>
      <left style="thin">
        <color theme="0" tint="-4.9989318521683403E-2"/>
      </left>
      <right style="thin">
        <color theme="0" tint="-4.9989318521683403E-2"/>
      </right>
      <top style="thin">
        <color indexed="64"/>
      </top>
      <bottom style="thin">
        <color indexed="64"/>
      </bottom>
      <diagonal/>
    </border>
    <border>
      <left style="thin">
        <color theme="0" tint="-4.9989318521683403E-2"/>
      </left>
      <right style="thin">
        <color indexed="64"/>
      </right>
      <top style="thin">
        <color indexed="64"/>
      </top>
      <bottom style="thin">
        <color indexed="64"/>
      </bottom>
      <diagonal/>
    </border>
    <border>
      <left style="thin">
        <color indexed="64"/>
      </left>
      <right style="thin">
        <color theme="0" tint="-4.9989318521683403E-2"/>
      </right>
      <top style="thin">
        <color indexed="64"/>
      </top>
      <bottom/>
      <diagonal/>
    </border>
    <border>
      <left style="thin">
        <color theme="0" tint="-4.9989318521683403E-2"/>
      </left>
      <right style="thin">
        <color theme="0" tint="-4.9989318521683403E-2"/>
      </right>
      <top style="thin">
        <color indexed="64"/>
      </top>
      <bottom/>
      <diagonal/>
    </border>
    <border>
      <left style="thin">
        <color theme="0" tint="-4.9989318521683403E-2"/>
      </left>
      <right style="thin">
        <color indexed="64"/>
      </right>
      <top style="thin">
        <color indexed="64"/>
      </top>
      <bottom/>
      <diagonal/>
    </border>
    <border>
      <left style="thin">
        <color indexed="64"/>
      </left>
      <right style="thin">
        <color theme="0" tint="-4.9989318521683403E-2"/>
      </right>
      <top/>
      <bottom style="thin">
        <color indexed="64"/>
      </bottom>
      <diagonal/>
    </border>
    <border>
      <left style="thin">
        <color theme="0" tint="-4.9989318521683403E-2"/>
      </left>
      <right style="thin">
        <color theme="0" tint="-4.9989318521683403E-2"/>
      </right>
      <top/>
      <bottom style="thin">
        <color indexed="64"/>
      </bottom>
      <diagonal/>
    </border>
    <border>
      <left style="thin">
        <color theme="0" tint="-4.9989318521683403E-2"/>
      </left>
      <right style="thin">
        <color indexed="64"/>
      </right>
      <top/>
      <bottom style="thin">
        <color indexed="64"/>
      </bottom>
      <diagonal/>
    </border>
    <border>
      <left style="thin">
        <color indexed="64"/>
      </left>
      <right style="thin">
        <color theme="0" tint="-0.14996795556505021"/>
      </right>
      <top style="medium">
        <color theme="0" tint="-0.24994659260841701"/>
      </top>
      <bottom style="thin">
        <color indexed="64"/>
      </bottom>
      <diagonal/>
    </border>
    <border>
      <left style="thin">
        <color theme="0" tint="-0.14996795556505021"/>
      </left>
      <right style="thin">
        <color theme="0" tint="-0.14996795556505021"/>
      </right>
      <top style="medium">
        <color theme="0" tint="-0.24994659260841701"/>
      </top>
      <bottom style="thin">
        <color indexed="64"/>
      </bottom>
      <diagonal/>
    </border>
    <border>
      <left style="thin">
        <color theme="0" tint="-0.14996795556505021"/>
      </left>
      <right style="thin">
        <color indexed="64"/>
      </right>
      <top style="medium">
        <color theme="0" tint="-0.24994659260841701"/>
      </top>
      <bottom style="thin">
        <color indexed="64"/>
      </bottom>
      <diagonal/>
    </border>
    <border>
      <left style="medium">
        <color indexed="64"/>
      </left>
      <right/>
      <top/>
      <bottom style="thin">
        <color theme="0" tint="-0.24994659260841701"/>
      </bottom>
      <diagonal/>
    </border>
    <border>
      <left/>
      <right style="thin">
        <color theme="0" tint="-0.24994659260841701"/>
      </right>
      <top/>
      <bottom style="medium">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indexed="64"/>
      </left>
      <right style="thin">
        <color theme="0" tint="-0.249977111117893"/>
      </right>
      <top style="thin">
        <color indexed="64"/>
      </top>
      <bottom style="thin">
        <color theme="0" tint="-0.249977111117893"/>
      </bottom>
      <diagonal/>
    </border>
    <border>
      <left style="thin">
        <color theme="0" tint="-0.249977111117893"/>
      </left>
      <right style="thin">
        <color theme="0" tint="-0.249977111117893"/>
      </right>
      <top style="thin">
        <color indexed="64"/>
      </top>
      <bottom style="thin">
        <color theme="0" tint="-0.249977111117893"/>
      </bottom>
      <diagonal/>
    </border>
    <border>
      <left style="thin">
        <color theme="0" tint="-0.249977111117893"/>
      </left>
      <right style="thin">
        <color indexed="64"/>
      </right>
      <top style="thin">
        <color indexed="64"/>
      </top>
      <bottom style="thin">
        <color theme="0" tint="-0.249977111117893"/>
      </bottom>
      <diagonal/>
    </border>
    <border>
      <left style="thin">
        <color indexed="64"/>
      </left>
      <right style="thin">
        <color theme="0" tint="-0.14996795556505021"/>
      </right>
      <top style="thin">
        <color indexed="64"/>
      </top>
      <bottom style="thin">
        <color theme="0" tint="-0.249977111117893"/>
      </bottom>
      <diagonal/>
    </border>
    <border>
      <left style="thin">
        <color theme="0" tint="-0.14996795556505021"/>
      </left>
      <right style="thin">
        <color theme="0" tint="-0.14996795556505021"/>
      </right>
      <top style="thin">
        <color indexed="64"/>
      </top>
      <bottom style="thin">
        <color theme="0" tint="-0.249977111117893"/>
      </bottom>
      <diagonal/>
    </border>
    <border>
      <left style="thin">
        <color theme="0" tint="-0.14996795556505021"/>
      </left>
      <right style="thin">
        <color indexed="64"/>
      </right>
      <top style="thin">
        <color indexed="64"/>
      </top>
      <bottom style="thin">
        <color theme="0" tint="-0.249977111117893"/>
      </bottom>
      <diagonal/>
    </border>
    <border>
      <left style="thin">
        <color auto="1"/>
      </left>
      <right style="thin">
        <color theme="0" tint="-0.249977111117893"/>
      </right>
      <top style="thin">
        <color theme="0" tint="-0.249977111117893"/>
      </top>
      <bottom style="thin">
        <color theme="0" tint="-0.249977111117893"/>
      </bottom>
      <diagonal/>
    </border>
    <border>
      <left style="thin">
        <color theme="0" tint="-0.249977111117893"/>
      </left>
      <right style="thin">
        <color auto="1"/>
      </right>
      <top style="thin">
        <color theme="0" tint="-0.249977111117893"/>
      </top>
      <bottom style="thin">
        <color theme="0" tint="-0.249977111117893"/>
      </bottom>
      <diagonal/>
    </border>
    <border>
      <left style="thin">
        <color auto="1"/>
      </left>
      <right style="thin">
        <color theme="0" tint="-0.249977111117893"/>
      </right>
      <top style="thin">
        <color theme="0" tint="-0.249977111117893"/>
      </top>
      <bottom style="thin">
        <color indexed="64"/>
      </bottom>
      <diagonal/>
    </border>
    <border>
      <left style="thin">
        <color theme="0" tint="-0.249977111117893"/>
      </left>
      <right style="thin">
        <color theme="0" tint="-0.249977111117893"/>
      </right>
      <top style="thin">
        <color theme="0" tint="-0.249977111117893"/>
      </top>
      <bottom style="thin">
        <color indexed="64"/>
      </bottom>
      <diagonal/>
    </border>
    <border>
      <left style="thin">
        <color theme="0" tint="-0.249977111117893"/>
      </left>
      <right style="thin">
        <color auto="1"/>
      </right>
      <top style="thin">
        <color theme="0" tint="-0.249977111117893"/>
      </top>
      <bottom style="thin">
        <color indexed="64"/>
      </bottom>
      <diagonal/>
    </border>
    <border>
      <left style="thin">
        <color indexed="64"/>
      </left>
      <right style="thin">
        <color theme="0" tint="-0.14996795556505021"/>
      </right>
      <top/>
      <bottom style="thin">
        <color theme="0" tint="-0.24994659260841701"/>
      </bottom>
      <diagonal/>
    </border>
    <border>
      <left style="thin">
        <color theme="0" tint="-0.14996795556505021"/>
      </left>
      <right style="thin">
        <color theme="0" tint="-0.14996795556505021"/>
      </right>
      <top/>
      <bottom style="thin">
        <color theme="0" tint="-0.24994659260841701"/>
      </bottom>
      <diagonal/>
    </border>
    <border>
      <left style="thin">
        <color theme="0" tint="-0.14996795556505021"/>
      </left>
      <right style="thin">
        <color indexed="64"/>
      </right>
      <top/>
      <bottom style="thin">
        <color theme="0" tint="-0.24994659260841701"/>
      </bottom>
      <diagonal/>
    </border>
    <border>
      <left/>
      <right style="thin">
        <color indexed="64"/>
      </right>
      <top style="thin">
        <color indexed="64"/>
      </top>
      <bottom style="thin">
        <color theme="0" tint="-0.14996795556505021"/>
      </bottom>
      <diagonal/>
    </border>
    <border>
      <left/>
      <right style="thin">
        <color theme="0" tint="-0.24994659260841701"/>
      </right>
      <top style="thin">
        <color indexed="64"/>
      </top>
      <bottom/>
      <diagonal/>
    </border>
    <border>
      <left style="thin">
        <color theme="0" tint="-0.24994659260841701"/>
      </left>
      <right style="medium">
        <color indexed="64"/>
      </right>
      <top/>
      <bottom/>
      <diagonal/>
    </border>
    <border>
      <left/>
      <right style="thin">
        <color theme="0" tint="-0.24994659260841701"/>
      </right>
      <top style="thin">
        <color indexed="64"/>
      </top>
      <bottom style="thin">
        <color indexed="64"/>
      </bottom>
      <diagonal/>
    </border>
    <border>
      <left style="thin">
        <color theme="0" tint="-4.9989318521683403E-2"/>
      </left>
      <right style="thin">
        <color theme="0" tint="-4.9989318521683403E-2"/>
      </right>
      <top/>
      <bottom/>
      <diagonal/>
    </border>
    <border>
      <left style="thin">
        <color auto="1"/>
      </left>
      <right style="thin">
        <color theme="0" tint="-4.9989318521683403E-2"/>
      </right>
      <top/>
      <bottom/>
      <diagonal/>
    </border>
    <border>
      <left style="thin">
        <color theme="0" tint="-4.9989318521683403E-2"/>
      </left>
      <right style="thin">
        <color auto="1"/>
      </right>
      <top/>
      <bottom/>
      <diagonal/>
    </border>
    <border>
      <left style="thin">
        <color indexed="64"/>
      </left>
      <right style="thin">
        <color theme="0" tint="-0.14996795556505021"/>
      </right>
      <top/>
      <bottom style="dotted">
        <color indexed="64"/>
      </bottom>
      <diagonal/>
    </border>
    <border>
      <left style="thin">
        <color theme="0" tint="-0.14996795556505021"/>
      </left>
      <right style="thin">
        <color theme="0" tint="-0.14996795556505021"/>
      </right>
      <top/>
      <bottom style="dotted">
        <color indexed="64"/>
      </bottom>
      <diagonal/>
    </border>
    <border>
      <left style="thin">
        <color theme="0" tint="-0.14996795556505021"/>
      </left>
      <right style="thin">
        <color indexed="64"/>
      </right>
      <top/>
      <bottom style="dotted">
        <color indexed="64"/>
      </bottom>
      <diagonal/>
    </border>
    <border>
      <left style="thin">
        <color indexed="64"/>
      </left>
      <right style="thin">
        <color theme="0" tint="-0.14996795556505021"/>
      </right>
      <top style="thin">
        <color indexed="64"/>
      </top>
      <bottom style="medium">
        <color indexed="64"/>
      </bottom>
      <diagonal/>
    </border>
    <border>
      <left style="thin">
        <color indexed="64"/>
      </left>
      <right style="thin">
        <color theme="0" tint="-0.14996795556505021"/>
      </right>
      <top style="medium">
        <color theme="0" tint="-0.14996795556505021"/>
      </top>
      <bottom/>
      <diagonal/>
    </border>
    <border>
      <left style="thin">
        <color theme="0" tint="-0.14996795556505021"/>
      </left>
      <right style="thin">
        <color theme="0" tint="-0.14996795556505021"/>
      </right>
      <top style="medium">
        <color theme="0" tint="-0.14996795556505021"/>
      </top>
      <bottom/>
      <diagonal/>
    </border>
    <border>
      <left style="thin">
        <color theme="0" tint="-0.14996795556505021"/>
      </left>
      <right style="thin">
        <color indexed="64"/>
      </right>
      <top style="medium">
        <color theme="0" tint="-0.14996795556505021"/>
      </top>
      <bottom/>
      <diagonal/>
    </border>
    <border>
      <left style="thin">
        <color indexed="64"/>
      </left>
      <right style="thin">
        <color theme="0" tint="-0.14996795556505021"/>
      </right>
      <top/>
      <bottom style="medium">
        <color theme="0" tint="-0.14996795556505021"/>
      </bottom>
      <diagonal/>
    </border>
    <border>
      <left style="thin">
        <color theme="0" tint="-0.14996795556505021"/>
      </left>
      <right style="thin">
        <color theme="0" tint="-0.14996795556505021"/>
      </right>
      <top/>
      <bottom style="medium">
        <color theme="0" tint="-0.14996795556505021"/>
      </bottom>
      <diagonal/>
    </border>
    <border>
      <left style="thin">
        <color indexed="64"/>
      </left>
      <right style="thin">
        <color theme="0" tint="-0.14996795556505021"/>
      </right>
      <top style="medium">
        <color indexed="64"/>
      </top>
      <bottom/>
      <diagonal/>
    </border>
    <border>
      <left style="thin">
        <color theme="0" tint="-0.14996795556505021"/>
      </left>
      <right style="thin">
        <color theme="0" tint="-0.14996795556505021"/>
      </right>
      <top style="medium">
        <color indexed="64"/>
      </top>
      <bottom/>
      <diagonal/>
    </border>
    <border>
      <left style="thin">
        <color theme="0" tint="-0.14996795556505021"/>
      </left>
      <right style="thin">
        <color indexed="64"/>
      </right>
      <top style="medium">
        <color indexed="64"/>
      </top>
      <bottom/>
      <diagonal/>
    </border>
    <border>
      <left style="thin">
        <color indexed="64"/>
      </left>
      <right style="thin">
        <color theme="0" tint="-0.14996795556505021"/>
      </right>
      <top style="medium">
        <color theme="0" tint="-0.14996795556505021"/>
      </top>
      <bottom style="medium">
        <color indexed="64"/>
      </bottom>
      <diagonal/>
    </border>
    <border>
      <left style="thin">
        <color theme="0" tint="-0.14996795556505021"/>
      </left>
      <right style="thin">
        <color theme="0" tint="-0.14996795556505021"/>
      </right>
      <top style="medium">
        <color theme="0" tint="-0.14996795556505021"/>
      </top>
      <bottom style="medium">
        <color indexed="64"/>
      </bottom>
      <diagonal/>
    </border>
    <border>
      <left style="thin">
        <color theme="0" tint="-0.14996795556505021"/>
      </left>
      <right style="thin">
        <color indexed="64"/>
      </right>
      <top style="medium">
        <color theme="0" tint="-0.14996795556505021"/>
      </top>
      <bottom style="medium">
        <color indexed="64"/>
      </bottom>
      <diagonal/>
    </border>
    <border>
      <left style="thin">
        <color indexed="64"/>
      </left>
      <right style="medium">
        <color indexed="64"/>
      </right>
      <top style="medium">
        <color theme="0" tint="-0.14996795556505021"/>
      </top>
      <bottom/>
      <diagonal/>
    </border>
    <border>
      <left style="thin">
        <color theme="0" tint="-0.14996795556505021"/>
      </left>
      <right style="medium">
        <color indexed="64"/>
      </right>
      <top style="medium">
        <color indexed="64"/>
      </top>
      <bottom/>
      <diagonal/>
    </border>
    <border>
      <left style="double">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right style="double">
        <color indexed="64"/>
      </right>
      <top style="medium">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bottom style="dotted">
        <color indexed="64"/>
      </bottom>
      <diagonal/>
    </border>
    <border>
      <left/>
      <right style="double">
        <color auto="1"/>
      </right>
      <top/>
      <bottom style="dotted">
        <color indexed="64"/>
      </bottom>
      <diagonal/>
    </border>
    <border>
      <left style="medium">
        <color indexed="64"/>
      </left>
      <right/>
      <top style="medium">
        <color indexed="64"/>
      </top>
      <bottom style="thin">
        <color theme="0" tint="-0.14996795556505021"/>
      </bottom>
      <diagonal/>
    </border>
    <border>
      <left/>
      <right/>
      <top style="medium">
        <color indexed="64"/>
      </top>
      <bottom style="thin">
        <color theme="0" tint="-0.14996795556505021"/>
      </bottom>
      <diagonal/>
    </border>
    <border>
      <left style="medium">
        <color indexed="64"/>
      </left>
      <right/>
      <top style="thin">
        <color theme="0" tint="-0.14996795556505021"/>
      </top>
      <bottom style="medium">
        <color indexed="64"/>
      </bottom>
      <diagonal/>
    </border>
    <border>
      <left/>
      <right/>
      <top style="thin">
        <color theme="0" tint="-0.14996795556505021"/>
      </top>
      <bottom style="medium">
        <color indexed="64"/>
      </bottom>
      <diagonal/>
    </border>
    <border>
      <left style="medium">
        <color indexed="64"/>
      </left>
      <right style="medium">
        <color theme="0" tint="-4.9989318521683403E-2"/>
      </right>
      <top style="medium">
        <color indexed="64"/>
      </top>
      <bottom style="medium">
        <color theme="0" tint="-4.9989318521683403E-2"/>
      </bottom>
      <diagonal/>
    </border>
    <border>
      <left style="medium">
        <color theme="0" tint="-4.9989318521683403E-2"/>
      </left>
      <right style="medium">
        <color theme="0" tint="-4.9989318521683403E-2"/>
      </right>
      <top style="medium">
        <color indexed="64"/>
      </top>
      <bottom style="medium">
        <color theme="0" tint="-4.9989318521683403E-2"/>
      </bottom>
      <diagonal/>
    </border>
    <border>
      <left style="medium">
        <color theme="0" tint="-4.9989318521683403E-2"/>
      </left>
      <right/>
      <top style="medium">
        <color indexed="64"/>
      </top>
      <bottom style="medium">
        <color theme="0" tint="-4.9989318521683403E-2"/>
      </bottom>
      <diagonal/>
    </border>
    <border>
      <left style="medium">
        <color indexed="64"/>
      </left>
      <right style="medium">
        <color theme="0" tint="-4.9989318521683403E-2"/>
      </right>
      <top style="medium">
        <color theme="0" tint="-4.9989318521683403E-2"/>
      </top>
      <bottom style="medium">
        <color theme="0" tint="-4.9989318521683403E-2"/>
      </bottom>
      <diagonal/>
    </border>
    <border>
      <left style="medium">
        <color theme="0" tint="-4.9989318521683403E-2"/>
      </left>
      <right style="medium">
        <color theme="0" tint="-4.9989318521683403E-2"/>
      </right>
      <top style="medium">
        <color theme="0" tint="-4.9989318521683403E-2"/>
      </top>
      <bottom style="medium">
        <color theme="0" tint="-4.9989318521683403E-2"/>
      </bottom>
      <diagonal/>
    </border>
    <border>
      <left style="medium">
        <color theme="0" tint="-4.9989318521683403E-2"/>
      </left>
      <right/>
      <top style="medium">
        <color theme="0" tint="-4.9989318521683403E-2"/>
      </top>
      <bottom style="medium">
        <color theme="0" tint="-4.9989318521683403E-2"/>
      </bottom>
      <diagonal/>
    </border>
    <border>
      <left style="medium">
        <color indexed="64"/>
      </left>
      <right style="medium">
        <color theme="0" tint="-4.9989318521683403E-2"/>
      </right>
      <top style="medium">
        <color theme="0" tint="-4.9989318521683403E-2"/>
      </top>
      <bottom style="medium">
        <color indexed="64"/>
      </bottom>
      <diagonal/>
    </border>
    <border>
      <left style="medium">
        <color theme="0" tint="-4.9989318521683403E-2"/>
      </left>
      <right style="medium">
        <color theme="0" tint="-4.9989318521683403E-2"/>
      </right>
      <top style="medium">
        <color theme="0" tint="-4.9989318521683403E-2"/>
      </top>
      <bottom style="medium">
        <color indexed="64"/>
      </bottom>
      <diagonal/>
    </border>
    <border>
      <left style="medium">
        <color theme="0" tint="-4.9989318521683403E-2"/>
      </left>
      <right/>
      <top style="medium">
        <color theme="0" tint="-4.9989318521683403E-2"/>
      </top>
      <bottom style="medium">
        <color indexed="64"/>
      </bottom>
      <diagonal/>
    </border>
    <border>
      <left style="medium">
        <color indexed="64"/>
      </left>
      <right style="medium">
        <color indexed="64"/>
      </right>
      <top style="thin">
        <color theme="0" tint="-0.14996795556505021"/>
      </top>
      <bottom style="thin">
        <color theme="0" tint="-4.9989318521683403E-2"/>
      </bottom>
      <diagonal/>
    </border>
    <border>
      <left style="medium">
        <color indexed="64"/>
      </left>
      <right style="medium">
        <color indexed="64"/>
      </right>
      <top style="thin">
        <color theme="0" tint="-4.9989318521683403E-2"/>
      </top>
      <bottom style="thin">
        <color theme="0" tint="-4.9989318521683403E-2"/>
      </bottom>
      <diagonal/>
    </border>
    <border>
      <left style="medium">
        <color indexed="64"/>
      </left>
      <right style="medium">
        <color indexed="64"/>
      </right>
      <top style="thin">
        <color theme="0" tint="-4.9989318521683403E-2"/>
      </top>
      <bottom style="medium">
        <color indexed="64"/>
      </bottom>
      <diagonal/>
    </border>
    <border>
      <left style="medium">
        <color indexed="64"/>
      </left>
      <right style="medium">
        <color indexed="64"/>
      </right>
      <top style="thin">
        <color theme="0" tint="-0.14996795556505021"/>
      </top>
      <bottom style="medium">
        <color theme="0" tint="-4.9989318521683403E-2"/>
      </bottom>
      <diagonal/>
    </border>
    <border>
      <left/>
      <right/>
      <top style="dotted">
        <color theme="0" tint="-0.24994659260841701"/>
      </top>
      <bottom/>
      <diagonal/>
    </border>
    <border>
      <left style="medium">
        <color indexed="64"/>
      </left>
      <right/>
      <top style="dotted">
        <color theme="0" tint="-0.24994659260841701"/>
      </top>
      <bottom/>
      <diagonal/>
    </border>
    <border>
      <left/>
      <right style="medium">
        <color indexed="64"/>
      </right>
      <top style="dotted">
        <color theme="0" tint="-0.24994659260841701"/>
      </top>
      <bottom/>
      <diagonal/>
    </border>
    <border>
      <left/>
      <right/>
      <top/>
      <bottom style="dotted">
        <color theme="0" tint="-0.24994659260841701"/>
      </bottom>
      <diagonal/>
    </border>
    <border>
      <left style="medium">
        <color indexed="64"/>
      </left>
      <right/>
      <top/>
      <bottom style="dotted">
        <color theme="0" tint="-0.24994659260841701"/>
      </bottom>
      <diagonal/>
    </border>
    <border>
      <left/>
      <right style="medium">
        <color indexed="64"/>
      </right>
      <top/>
      <bottom style="dotted">
        <color theme="0" tint="-0.24994659260841701"/>
      </bottom>
      <diagonal/>
    </border>
    <border>
      <left style="dotted">
        <color indexed="64"/>
      </left>
      <right/>
      <top style="dotted">
        <color theme="0" tint="-0.24994659260841701"/>
      </top>
      <bottom/>
      <diagonal/>
    </border>
    <border>
      <left style="dotted">
        <color indexed="64"/>
      </left>
      <right/>
      <top/>
      <bottom style="dotted">
        <color theme="0" tint="-0.24994659260841701"/>
      </bottom>
      <diagonal/>
    </border>
    <border>
      <left/>
      <right style="thin">
        <color indexed="64"/>
      </right>
      <top style="dotted">
        <color theme="0" tint="-0.24994659260841701"/>
      </top>
      <bottom/>
      <diagonal/>
    </border>
    <border>
      <left/>
      <right style="thin">
        <color indexed="64"/>
      </right>
      <top/>
      <bottom style="dotted">
        <color theme="0" tint="-0.24994659260841701"/>
      </bottom>
      <diagonal/>
    </border>
    <border>
      <left style="thin">
        <color indexed="64"/>
      </left>
      <right/>
      <top style="dotted">
        <color theme="0" tint="-0.24994659260841701"/>
      </top>
      <bottom/>
      <diagonal/>
    </border>
    <border>
      <left style="thin">
        <color indexed="64"/>
      </left>
      <right/>
      <top/>
      <bottom style="dotted">
        <color theme="0" tint="-0.24994659260841701"/>
      </bottom>
      <diagonal/>
    </border>
    <border>
      <left/>
      <right style="double">
        <color auto="1"/>
      </right>
      <top style="medium">
        <color indexed="64"/>
      </top>
      <bottom style="double">
        <color auto="1"/>
      </bottom>
      <diagonal/>
    </border>
    <border>
      <left style="medium">
        <color indexed="64"/>
      </left>
      <right/>
      <top style="thin">
        <color indexed="64"/>
      </top>
      <bottom style="thin">
        <color theme="0" tint="-0.24994659260841701"/>
      </bottom>
      <diagonal/>
    </border>
    <border>
      <left/>
      <right style="thin">
        <color auto="1"/>
      </right>
      <top style="thin">
        <color indexed="64"/>
      </top>
      <bottom style="thin">
        <color theme="0" tint="-0.24994659260841701"/>
      </bottom>
      <diagonal/>
    </border>
    <border>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medium">
        <color indexed="64"/>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medium">
        <color indexed="64"/>
      </left>
      <right/>
      <top style="thin">
        <color theme="0" tint="-0.24994659260841701"/>
      </top>
      <bottom style="medium">
        <color indexed="64"/>
      </bottom>
      <diagonal/>
    </border>
    <border>
      <left/>
      <right style="thin">
        <color indexed="64"/>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top style="thin">
        <color theme="0" tint="-0.24994659260841701"/>
      </top>
      <bottom style="medium">
        <color indexed="64"/>
      </bottom>
      <diagonal/>
    </border>
    <border>
      <left style="thin">
        <color indexed="64"/>
      </left>
      <right style="thin">
        <color indexed="64"/>
      </right>
      <top style="thin">
        <color theme="0" tint="-0.24994659260841701"/>
      </top>
      <bottom style="medium">
        <color indexed="64"/>
      </bottom>
      <diagonal/>
    </border>
    <border>
      <left style="thin">
        <color indexed="64"/>
      </left>
      <right style="medium">
        <color indexed="64"/>
      </right>
      <top style="thin">
        <color theme="0" tint="-0.24994659260841701"/>
      </top>
      <bottom style="medium">
        <color indexed="64"/>
      </bottom>
      <diagonal/>
    </border>
    <border>
      <left style="medium">
        <color indexed="64"/>
      </left>
      <right/>
      <top style="double">
        <color indexed="64"/>
      </top>
      <bottom/>
      <diagonal/>
    </border>
    <border>
      <left/>
      <right style="medium">
        <color indexed="64"/>
      </right>
      <top style="double">
        <color auto="1"/>
      </top>
      <bottom/>
      <diagonal/>
    </border>
    <border>
      <left style="thin">
        <color indexed="64"/>
      </left>
      <right/>
      <top style="medium">
        <color indexed="64"/>
      </top>
      <bottom style="thin">
        <color theme="0" tint="-0.24994659260841701"/>
      </bottom>
      <diagonal/>
    </border>
    <border>
      <left/>
      <right/>
      <top style="medium">
        <color indexed="64"/>
      </top>
      <bottom style="thin">
        <color theme="0" tint="-0.24994659260841701"/>
      </bottom>
      <diagonal/>
    </border>
    <border>
      <left/>
      <right style="thin">
        <color indexed="64"/>
      </right>
      <top style="medium">
        <color indexed="64"/>
      </top>
      <bottom style="thin">
        <color theme="0" tint="-0.24994659260841701"/>
      </bottom>
      <diagonal/>
    </border>
    <border>
      <left/>
      <right style="medium">
        <color indexed="64"/>
      </right>
      <top style="medium">
        <color indexed="64"/>
      </top>
      <bottom style="thin">
        <color theme="0" tint="-0.24994659260841701"/>
      </bottom>
      <diagonal/>
    </border>
    <border>
      <left/>
      <right style="medium">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right style="medium">
        <color indexed="64"/>
      </right>
      <top style="thin">
        <color theme="0" tint="-0.24994659260841701"/>
      </top>
      <bottom style="thin">
        <color indexed="64"/>
      </bottom>
      <diagonal/>
    </border>
    <border>
      <left style="medium">
        <color indexed="64"/>
      </left>
      <right style="double">
        <color indexed="64"/>
      </right>
      <top/>
      <bottom/>
      <diagonal/>
    </border>
    <border>
      <left/>
      <right style="medium">
        <color indexed="64"/>
      </right>
      <top/>
      <bottom style="double">
        <color indexed="64"/>
      </bottom>
      <diagonal/>
    </border>
    <border>
      <left style="dotted">
        <color indexed="64"/>
      </left>
      <right style="double">
        <color indexed="64"/>
      </right>
      <top/>
      <bottom/>
      <diagonal/>
    </border>
    <border>
      <left style="dotted">
        <color indexed="64"/>
      </left>
      <right style="double">
        <color indexed="64"/>
      </right>
      <top/>
      <bottom style="thin">
        <color indexed="64"/>
      </bottom>
      <diagonal/>
    </border>
    <border>
      <left style="dotted">
        <color indexed="64"/>
      </left>
      <right style="double">
        <color indexed="64"/>
      </right>
      <top style="medium">
        <color indexed="64"/>
      </top>
      <bottom/>
      <diagonal/>
    </border>
    <border>
      <left style="dotted">
        <color indexed="64"/>
      </left>
      <right style="double">
        <color indexed="64"/>
      </right>
      <top/>
      <bottom style="medium">
        <color indexed="64"/>
      </bottom>
      <diagonal/>
    </border>
    <border>
      <left style="dotted">
        <color indexed="64"/>
      </left>
      <right style="double">
        <color indexed="64"/>
      </right>
      <top/>
      <bottom style="dotted">
        <color indexed="64"/>
      </bottom>
      <diagonal/>
    </border>
    <border>
      <left style="double">
        <color indexed="64"/>
      </left>
      <right/>
      <top style="dotted">
        <color indexed="64"/>
      </top>
      <bottom style="dotted">
        <color indexed="64"/>
      </bottom>
      <diagonal/>
    </border>
    <border>
      <left style="dotted">
        <color indexed="64"/>
      </left>
      <right style="double">
        <color indexed="64"/>
      </right>
      <top style="dotted">
        <color indexed="64"/>
      </top>
      <bottom style="dotted">
        <color indexed="64"/>
      </bottom>
      <diagonal/>
    </border>
    <border>
      <left style="dotted">
        <color indexed="64"/>
      </left>
      <right/>
      <top/>
      <bottom style="double">
        <color indexed="64"/>
      </bottom>
      <diagonal/>
    </border>
    <border>
      <left style="dotted">
        <color indexed="64"/>
      </left>
      <right style="double">
        <color indexed="64"/>
      </right>
      <top/>
      <bottom style="double">
        <color indexed="64"/>
      </bottom>
      <diagonal/>
    </border>
    <border>
      <left style="medium">
        <color indexed="64"/>
      </left>
      <right style="thin">
        <color indexed="64"/>
      </right>
      <top style="medium">
        <color indexed="64"/>
      </top>
      <bottom style="medium">
        <color theme="0" tint="-4.9989318521683403E-2"/>
      </bottom>
      <diagonal/>
    </border>
    <border>
      <left style="medium">
        <color indexed="64"/>
      </left>
      <right style="thin">
        <color indexed="64"/>
      </right>
      <top style="medium">
        <color theme="0" tint="-4.9989318521683403E-2"/>
      </top>
      <bottom style="medium">
        <color theme="0" tint="-4.9989318521683403E-2"/>
      </bottom>
      <diagonal/>
    </border>
    <border>
      <left style="medium">
        <color indexed="64"/>
      </left>
      <right style="thin">
        <color indexed="64"/>
      </right>
      <top style="medium">
        <color theme="0" tint="-4.9989318521683403E-2"/>
      </top>
      <bottom style="medium">
        <color indexed="64"/>
      </bottom>
      <diagonal/>
    </border>
    <border>
      <left style="thin">
        <color indexed="64"/>
      </left>
      <right/>
      <top/>
      <bottom style="thin">
        <color theme="0" tint="-0.14996795556505021"/>
      </bottom>
      <diagonal/>
    </border>
    <border>
      <left style="thin">
        <color indexed="64"/>
      </left>
      <right style="thin">
        <color theme="0" tint="-0.14996795556505021"/>
      </right>
      <top style="thin">
        <color theme="0" tint="-0.14996795556505021"/>
      </top>
      <bottom style="medium">
        <color indexed="64"/>
      </bottom>
      <diagonal/>
    </border>
    <border>
      <left style="thin">
        <color indexed="64"/>
      </left>
      <right style="medium">
        <color indexed="64"/>
      </right>
      <top style="medium">
        <color indexed="64"/>
      </top>
      <bottom style="thin">
        <color theme="0" tint="-0.24994659260841701"/>
      </bottom>
      <diagonal/>
    </border>
    <border>
      <left style="medium">
        <color indexed="64"/>
      </left>
      <right/>
      <top/>
      <bottom style="medium">
        <color theme="0" tint="-4.9989318521683403E-2"/>
      </bottom>
      <diagonal/>
    </border>
    <border>
      <left style="thin">
        <color indexed="64"/>
      </left>
      <right style="thin">
        <color indexed="64"/>
      </right>
      <top/>
      <bottom style="medium">
        <color theme="0" tint="-4.9989318521683403E-2"/>
      </bottom>
      <diagonal/>
    </border>
    <border>
      <left style="thin">
        <color indexed="64"/>
      </left>
      <right style="medium">
        <color indexed="64"/>
      </right>
      <top/>
      <bottom style="medium">
        <color theme="0" tint="-4.9989318521683403E-2"/>
      </bottom>
      <diagonal/>
    </border>
    <border>
      <left style="medium">
        <color indexed="64"/>
      </left>
      <right style="medium">
        <color indexed="64"/>
      </right>
      <top/>
      <bottom style="medium">
        <color theme="0" tint="-4.9989318521683403E-2"/>
      </bottom>
      <diagonal/>
    </border>
    <border>
      <left/>
      <right style="thin">
        <color indexed="64"/>
      </right>
      <top style="medium">
        <color indexed="64"/>
      </top>
      <bottom style="medium">
        <color theme="0" tint="-4.9989318521683403E-2"/>
      </bottom>
      <diagonal/>
    </border>
    <border>
      <left/>
      <right style="thin">
        <color indexed="64"/>
      </right>
      <top style="medium">
        <color theme="0" tint="-4.9989318521683403E-2"/>
      </top>
      <bottom style="medium">
        <color theme="0" tint="-4.9989318521683403E-2"/>
      </bottom>
      <diagonal/>
    </border>
    <border>
      <left/>
      <right style="thin">
        <color indexed="64"/>
      </right>
      <top style="medium">
        <color theme="0" tint="-4.9989318521683403E-2"/>
      </top>
      <bottom/>
      <diagonal/>
    </border>
    <border>
      <left/>
      <right style="thin">
        <color indexed="64"/>
      </right>
      <top/>
      <bottom style="medium">
        <color theme="0" tint="-4.9989318521683403E-2"/>
      </bottom>
      <diagonal/>
    </border>
    <border>
      <left/>
      <right style="thin">
        <color indexed="64"/>
      </right>
      <top style="medium">
        <color theme="0" tint="-4.9989318521683403E-2"/>
      </top>
      <bottom style="medium">
        <color indexed="64"/>
      </bottom>
      <diagonal/>
    </border>
    <border>
      <left style="thin">
        <color theme="0" tint="-0.14996795556505021"/>
      </left>
      <right style="medium">
        <color indexed="64"/>
      </right>
      <top style="thin">
        <color auto="1"/>
      </top>
      <bottom style="thin">
        <color theme="0" tint="-0.14996795556505021"/>
      </bottom>
      <diagonal/>
    </border>
    <border>
      <left style="medium">
        <color indexed="64"/>
      </left>
      <right style="thin">
        <color theme="0" tint="-0.14996795556505021"/>
      </right>
      <top style="thin">
        <color theme="0" tint="-0.14996795556505021"/>
      </top>
      <bottom style="dotted">
        <color indexed="64"/>
      </bottom>
      <diagonal/>
    </border>
    <border>
      <left style="thin">
        <color theme="0" tint="-0.14996795556505021"/>
      </left>
      <right style="medium">
        <color indexed="64"/>
      </right>
      <top style="thin">
        <color theme="0" tint="-0.14996795556505021"/>
      </top>
      <bottom style="thin">
        <color rgb="FF92D050"/>
      </bottom>
      <diagonal/>
    </border>
    <border>
      <left style="thin">
        <color theme="1"/>
      </left>
      <right style="medium">
        <color indexed="64"/>
      </right>
      <top style="thin">
        <color theme="1"/>
      </top>
      <bottom style="thin">
        <color theme="1"/>
      </bottom>
      <diagonal/>
    </border>
    <border>
      <left style="medium">
        <color indexed="64"/>
      </left>
      <right style="thin">
        <color theme="0" tint="-0.14996795556505021"/>
      </right>
      <top style="thin">
        <color indexed="64"/>
      </top>
      <bottom style="medium">
        <color indexed="64"/>
      </bottom>
      <diagonal/>
    </border>
    <border>
      <left/>
      <right style="medium">
        <color indexed="64"/>
      </right>
      <top style="medium">
        <color theme="1"/>
      </top>
      <bottom style="medium">
        <color theme="1"/>
      </bottom>
      <diagonal/>
    </border>
    <border>
      <left/>
      <right style="medium">
        <color indexed="64"/>
      </right>
      <top style="medium">
        <color indexed="64"/>
      </top>
      <bottom style="medium">
        <color theme="1"/>
      </bottom>
      <diagonal/>
    </border>
    <border>
      <left style="medium">
        <color indexed="64"/>
      </left>
      <right style="thin">
        <color theme="0" tint="-0.14996795556505021"/>
      </right>
      <top style="thin">
        <color indexed="64"/>
      </top>
      <bottom style="medium">
        <color theme="1"/>
      </bottom>
      <diagonal/>
    </border>
    <border>
      <left style="medium">
        <color indexed="64"/>
      </left>
      <right style="thin">
        <color theme="0" tint="-0.14996795556505021"/>
      </right>
      <top style="thin">
        <color theme="0" tint="-0.14996795556505021"/>
      </top>
      <bottom style="thin">
        <color indexed="64"/>
      </bottom>
      <diagonal/>
    </border>
    <border>
      <left/>
      <right/>
      <top/>
      <bottom style="thin">
        <color theme="0" tint="-0.14996795556505021"/>
      </bottom>
      <diagonal/>
    </border>
    <border>
      <left/>
      <right style="thin">
        <color indexed="64"/>
      </right>
      <top/>
      <bottom style="thin">
        <color theme="0" tint="-0.14996795556505021"/>
      </bottom>
      <diagonal/>
    </border>
    <border>
      <left style="thin">
        <color indexed="64"/>
      </left>
      <right style="thin">
        <color theme="0" tint="-0.34998626667073579"/>
      </right>
      <top style="thin">
        <color indexed="64"/>
      </top>
      <bottom style="thin">
        <color theme="0" tint="-0.14996795556505021"/>
      </bottom>
      <diagonal/>
    </border>
    <border>
      <left style="thin">
        <color theme="0" tint="-0.34998626667073579"/>
      </left>
      <right style="thin">
        <color theme="0" tint="-0.34998626667073579"/>
      </right>
      <top style="thin">
        <color indexed="64"/>
      </top>
      <bottom style="thin">
        <color theme="0" tint="-0.14996795556505021"/>
      </bottom>
      <diagonal/>
    </border>
    <border>
      <left style="thin">
        <color theme="0" tint="-0.34998626667073579"/>
      </left>
      <right style="thin">
        <color indexed="64"/>
      </right>
      <top style="thin">
        <color indexed="64"/>
      </top>
      <bottom style="thin">
        <color theme="0" tint="-0.14996795556505021"/>
      </bottom>
      <diagonal/>
    </border>
    <border>
      <left style="thin">
        <color indexed="64"/>
      </left>
      <right style="thin">
        <color theme="0" tint="-0.24994659260841701"/>
      </right>
      <top style="thin">
        <color theme="0" tint="-0.24994659260841701"/>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34998626667073579"/>
      </bottom>
      <diagonal/>
    </border>
    <border>
      <left style="thin">
        <color theme="0" tint="-0.24994659260841701"/>
      </left>
      <right style="thin">
        <color indexed="64"/>
      </right>
      <top style="thin">
        <color theme="0" tint="-0.24994659260841701"/>
      </top>
      <bottom style="thin">
        <color theme="0" tint="-0.34998626667073579"/>
      </bottom>
      <diagonal/>
    </border>
    <border>
      <left style="thin">
        <color theme="0" tint="-0.14996795556505021"/>
      </left>
      <right/>
      <top style="thin">
        <color theme="0" tint="-0.14996795556505021"/>
      </top>
      <bottom style="thin">
        <color theme="0" tint="-0.14996795556505021"/>
      </bottom>
      <diagonal/>
    </border>
    <border>
      <left/>
      <right style="thin">
        <color theme="0" tint="-0.14993743705557422"/>
      </right>
      <top style="thin">
        <color theme="0" tint="-0.14996795556505021"/>
      </top>
      <bottom style="thin">
        <color theme="0" tint="-0.14996795556505021"/>
      </bottom>
      <diagonal/>
    </border>
    <border>
      <left/>
      <right style="thin">
        <color theme="0" tint="-0.14996795556505021"/>
      </right>
      <top style="thin">
        <color theme="0" tint="-0.14996795556505021"/>
      </top>
      <bottom style="medium">
        <color auto="1"/>
      </bottom>
      <diagonal/>
    </border>
    <border>
      <left style="medium">
        <color indexed="64"/>
      </left>
      <right style="thin">
        <color theme="0" tint="-0.14996795556505021"/>
      </right>
      <top style="thin">
        <color indexed="64"/>
      </top>
      <bottom/>
      <diagonal/>
    </border>
    <border>
      <left style="thin">
        <color theme="1"/>
      </left>
      <right style="thin">
        <color rgb="FF92D050"/>
      </right>
      <top style="thin">
        <color theme="1"/>
      </top>
      <bottom/>
      <diagonal/>
    </border>
    <border>
      <left style="thin">
        <color theme="0" tint="-0.14996795556505021"/>
      </left>
      <right/>
      <top style="thin">
        <color rgb="FF92D050"/>
      </top>
      <bottom style="thin">
        <color theme="0" tint="-0.14996795556505021"/>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style="thin">
        <color theme="0" tint="-0.14996795556505021"/>
      </top>
      <bottom style="thin">
        <color indexed="64"/>
      </bottom>
      <diagonal/>
    </border>
    <border>
      <left style="medium">
        <color theme="1"/>
      </left>
      <right style="thin">
        <color theme="0" tint="-0.14996795556505021"/>
      </right>
      <top style="thin">
        <color theme="0" tint="-0.14996795556505021"/>
      </top>
      <bottom style="medium">
        <color indexed="64"/>
      </bottom>
      <diagonal/>
    </border>
    <border>
      <left style="thin">
        <color theme="0" tint="-0.14996795556505021"/>
      </left>
      <right style="thin">
        <color theme="0" tint="-0.14996795556505021"/>
      </right>
      <top style="thin">
        <color theme="0" tint="-0.14996795556505021"/>
      </top>
      <bottom style="medium">
        <color indexed="64"/>
      </bottom>
      <diagonal/>
    </border>
    <border>
      <left style="thin">
        <color theme="0" tint="-0.14996795556505021"/>
      </left>
      <right style="thin">
        <color theme="0" tint="-0.14993743705557422"/>
      </right>
      <top style="thin">
        <color theme="0" tint="-0.14996795556505021"/>
      </top>
      <bottom style="medium">
        <color indexed="64"/>
      </bottom>
      <diagonal/>
    </border>
    <border>
      <left style="thin">
        <color indexed="64"/>
      </left>
      <right style="medium">
        <color indexed="64"/>
      </right>
      <top style="thin">
        <color theme="0" tint="-0.14996795556505021"/>
      </top>
      <bottom style="medium">
        <color indexed="64"/>
      </bottom>
      <diagonal/>
    </border>
    <border>
      <left/>
      <right style="medium">
        <color theme="0" tint="-4.9989318521683403E-2"/>
      </right>
      <top style="medium">
        <color indexed="64"/>
      </top>
      <bottom style="medium">
        <color indexed="64"/>
      </bottom>
      <diagonal/>
    </border>
    <border>
      <left style="medium">
        <color theme="0" tint="-4.9989318521683403E-2"/>
      </left>
      <right style="medium">
        <color theme="0" tint="-4.9989318521683403E-2"/>
      </right>
      <top style="medium">
        <color indexed="64"/>
      </top>
      <bottom style="medium">
        <color indexed="64"/>
      </bottom>
      <diagonal/>
    </border>
    <border>
      <left style="medium">
        <color theme="0" tint="-4.9989318521683403E-2"/>
      </left>
      <right style="medium">
        <color indexed="64"/>
      </right>
      <top style="medium">
        <color indexed="64"/>
      </top>
      <bottom style="medium">
        <color indexed="64"/>
      </bottom>
      <diagonal/>
    </border>
    <border>
      <left style="medium">
        <color indexed="64"/>
      </left>
      <right/>
      <top style="medium">
        <color theme="0" tint="-0.14996795556505021"/>
      </top>
      <bottom style="thin">
        <color theme="0" tint="-4.9989318521683403E-2"/>
      </bottom>
      <diagonal/>
    </border>
    <border>
      <left/>
      <right/>
      <top style="medium">
        <color theme="0" tint="-0.14996795556505021"/>
      </top>
      <bottom style="thin">
        <color theme="0" tint="-4.9989318521683403E-2"/>
      </bottom>
      <diagonal/>
    </border>
    <border>
      <left style="thin">
        <color indexed="64"/>
      </left>
      <right style="thin">
        <color indexed="64"/>
      </right>
      <top style="medium">
        <color theme="0" tint="-0.14996795556505021"/>
      </top>
      <bottom style="thin">
        <color theme="0" tint="-4.9989318521683403E-2"/>
      </bottom>
      <diagonal/>
    </border>
    <border>
      <left style="thin">
        <color indexed="64"/>
      </left>
      <right style="medium">
        <color indexed="64"/>
      </right>
      <top style="medium">
        <color theme="0" tint="-0.14996795556505021"/>
      </top>
      <bottom style="thin">
        <color theme="0" tint="-4.9989318521683403E-2"/>
      </bottom>
      <diagonal/>
    </border>
    <border>
      <left/>
      <right/>
      <top style="thin">
        <color theme="0" tint="-4.9989318521683403E-2"/>
      </top>
      <bottom style="medium">
        <color indexed="64"/>
      </bottom>
      <diagonal/>
    </border>
    <border>
      <left style="thin">
        <color indexed="64"/>
      </left>
      <right style="medium">
        <color indexed="64"/>
      </right>
      <top style="thin">
        <color theme="0" tint="-4.9989318521683403E-2"/>
      </top>
      <bottom style="thin">
        <color indexed="64"/>
      </bottom>
      <diagonal/>
    </border>
    <border>
      <left/>
      <right/>
      <top style="medium">
        <color indexed="64"/>
      </top>
      <bottom style="medium">
        <color theme="0" tint="-0.14996795556505021"/>
      </bottom>
      <diagonal/>
    </border>
    <border>
      <left style="thin">
        <color theme="0" tint="-4.9989318521683403E-2"/>
      </left>
      <right/>
      <top style="thin">
        <color theme="0" tint="-4.9989318521683403E-2"/>
      </top>
      <bottom style="thin">
        <color theme="0" tint="-4.9989318521683403E-2"/>
      </bottom>
      <diagonal/>
    </border>
    <border>
      <left style="thin">
        <color theme="0" tint="-4.9989318521683403E-2"/>
      </left>
      <right/>
      <top style="thin">
        <color theme="0" tint="-4.9989318521683403E-2"/>
      </top>
      <bottom/>
      <diagonal/>
    </border>
    <border>
      <left style="thin">
        <color indexed="64"/>
      </left>
      <right style="medium">
        <color indexed="64"/>
      </right>
      <top/>
      <bottom style="thin">
        <color theme="0" tint="-0.24994659260841701"/>
      </bottom>
      <diagonal/>
    </border>
    <border>
      <left style="thin">
        <color indexed="64"/>
      </left>
      <right style="thin">
        <color theme="0" tint="-4.9989318521683403E-2"/>
      </right>
      <top style="thin">
        <color indexed="64"/>
      </top>
      <bottom style="medium">
        <color theme="0" tint="-0.34998626667073579"/>
      </bottom>
      <diagonal/>
    </border>
    <border>
      <left style="thin">
        <color theme="0" tint="-4.9989318521683403E-2"/>
      </left>
      <right style="thin">
        <color theme="0" tint="-4.9989318521683403E-2"/>
      </right>
      <top style="thin">
        <color indexed="64"/>
      </top>
      <bottom style="medium">
        <color theme="0" tint="-0.34998626667073579"/>
      </bottom>
      <diagonal/>
    </border>
    <border>
      <left style="thin">
        <color theme="0" tint="-4.9989318521683403E-2"/>
      </left>
      <right style="medium">
        <color indexed="64"/>
      </right>
      <top style="thin">
        <color indexed="64"/>
      </top>
      <bottom style="medium">
        <color theme="0" tint="-0.34998626667073579"/>
      </bottom>
      <diagonal/>
    </border>
    <border>
      <left style="medium">
        <color indexed="64"/>
      </left>
      <right/>
      <top style="medium">
        <color theme="0" tint="-0.34998626667073579"/>
      </top>
      <bottom style="thin">
        <color theme="0" tint="-4.9989318521683403E-2"/>
      </bottom>
      <diagonal/>
    </border>
    <border>
      <left/>
      <right/>
      <top style="medium">
        <color theme="0" tint="-0.34998626667073579"/>
      </top>
      <bottom style="thin">
        <color theme="0" tint="-4.9989318521683403E-2"/>
      </bottom>
      <diagonal/>
    </border>
    <border>
      <left style="medium">
        <color theme="0" tint="-0.34998626667073579"/>
      </left>
      <right style="thin">
        <color theme="0" tint="-4.9989318521683403E-2"/>
      </right>
      <top style="medium">
        <color theme="0" tint="-0.34998626667073579"/>
      </top>
      <bottom style="thin">
        <color theme="0" tint="-4.9989318521683403E-2"/>
      </bottom>
      <diagonal/>
    </border>
    <border>
      <left style="thin">
        <color theme="0" tint="-4.9989318521683403E-2"/>
      </left>
      <right style="thin">
        <color theme="0" tint="-4.9989318521683403E-2"/>
      </right>
      <top style="medium">
        <color theme="0" tint="-0.34998626667073579"/>
      </top>
      <bottom style="thin">
        <color theme="0" tint="-4.9989318521683403E-2"/>
      </bottom>
      <diagonal/>
    </border>
    <border>
      <left style="thin">
        <color theme="0" tint="-4.9989318521683403E-2"/>
      </left>
      <right style="medium">
        <color indexed="64"/>
      </right>
      <top style="medium">
        <color theme="0" tint="-0.34998626667073579"/>
      </top>
      <bottom style="thin">
        <color theme="0" tint="-4.9989318521683403E-2"/>
      </bottom>
      <diagonal/>
    </border>
    <border>
      <left style="medium">
        <color theme="0" tint="-0.34998626667073579"/>
      </left>
      <right style="thin">
        <color theme="0" tint="-4.9989318521683403E-2"/>
      </right>
      <top style="thin">
        <color theme="0" tint="-4.9989318521683403E-2"/>
      </top>
      <bottom style="medium">
        <color indexed="64"/>
      </bottom>
      <diagonal/>
    </border>
    <border>
      <left style="thin">
        <color theme="0" tint="-4.9989318521683403E-2"/>
      </left>
      <right style="thin">
        <color theme="0" tint="-4.9989318521683403E-2"/>
      </right>
      <top style="thin">
        <color theme="0" tint="-4.9989318521683403E-2"/>
      </top>
      <bottom style="medium">
        <color indexed="64"/>
      </bottom>
      <diagonal/>
    </border>
    <border>
      <left style="thin">
        <color theme="0" tint="-4.9989318521683403E-2"/>
      </left>
      <right style="medium">
        <color indexed="64"/>
      </right>
      <top style="thin">
        <color theme="0" tint="-4.9989318521683403E-2"/>
      </top>
      <bottom style="medium">
        <color indexed="64"/>
      </bottom>
      <diagonal/>
    </border>
    <border>
      <left style="medium">
        <color theme="0" tint="-4.9989318521683403E-2"/>
      </left>
      <right style="medium">
        <color indexed="64"/>
      </right>
      <top style="medium">
        <color theme="0" tint="-4.9989318521683403E-2"/>
      </top>
      <bottom style="medium">
        <color indexed="64"/>
      </bottom>
      <diagonal/>
    </border>
    <border>
      <left style="medium">
        <color theme="0" tint="-4.9989318521683403E-2"/>
      </left>
      <right style="medium">
        <color theme="0" tint="-4.9989318521683403E-2"/>
      </right>
      <top style="medium">
        <color theme="0" tint="-4.9989318521683403E-2"/>
      </top>
      <bottom style="thin">
        <color indexed="64"/>
      </bottom>
      <diagonal/>
    </border>
    <border>
      <left style="medium">
        <color theme="0" tint="-4.9989318521683403E-2"/>
      </left>
      <right style="medium">
        <color theme="0" tint="-4.9989318521683403E-2"/>
      </right>
      <top/>
      <bottom style="medium">
        <color theme="0" tint="-4.9989318521683403E-2"/>
      </bottom>
      <diagonal/>
    </border>
    <border>
      <left style="medium">
        <color theme="0" tint="-4.9989318521683403E-2"/>
      </left>
      <right style="medium">
        <color theme="0" tint="-4.9989318521683403E-2"/>
      </right>
      <top style="thin">
        <color indexed="64"/>
      </top>
      <bottom style="thin">
        <color indexed="64"/>
      </bottom>
      <diagonal/>
    </border>
    <border>
      <left style="medium">
        <color theme="0" tint="-4.9989318521683403E-2"/>
      </left>
      <right style="medium">
        <color indexed="64"/>
      </right>
      <top/>
      <bottom style="medium">
        <color theme="0" tint="-4.9989318521683403E-2"/>
      </bottom>
      <diagonal/>
    </border>
  </borders>
  <cellStyleXfs count="15">
    <xf numFmtId="0" fontId="0" fillId="0" borderId="0"/>
    <xf numFmtId="167" fontId="3" fillId="0" borderId="0" applyFont="0" applyFill="0" applyBorder="0" applyAlignment="0" applyProtection="0"/>
    <xf numFmtId="164" fontId="5"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0" fontId="3" fillId="0" borderId="0"/>
    <xf numFmtId="9" fontId="3"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0" fontId="3" fillId="0" borderId="0"/>
    <xf numFmtId="0" fontId="2" fillId="0" borderId="0"/>
    <xf numFmtId="0" fontId="9" fillId="0" borderId="0" applyNumberFormat="0" applyFill="0" applyBorder="0" applyAlignment="0" applyProtection="0"/>
    <xf numFmtId="164" fontId="10" fillId="0" borderId="0" applyFont="0" applyFill="0" applyBorder="0" applyAlignment="0" applyProtection="0"/>
    <xf numFmtId="43" fontId="1" fillId="0" borderId="0" applyFont="0" applyFill="0" applyBorder="0" applyAlignment="0" applyProtection="0"/>
  </cellStyleXfs>
  <cellXfs count="5565">
    <xf numFmtId="0" fontId="0" fillId="0" borderId="0" xfId="0"/>
    <xf numFmtId="37" fontId="11" fillId="10" borderId="51" xfId="10" applyNumberFormat="1" applyFont="1" applyFill="1" applyBorder="1" applyAlignment="1">
      <alignment horizontal="center" vertical="center"/>
    </xf>
    <xf numFmtId="37" fontId="11" fillId="10" borderId="12" xfId="10" applyNumberFormat="1" applyFont="1" applyFill="1" applyBorder="1" applyAlignment="1">
      <alignment horizontal="center" vertical="center"/>
    </xf>
    <xf numFmtId="37" fontId="11" fillId="10" borderId="40" xfId="10" applyNumberFormat="1" applyFont="1" applyFill="1" applyBorder="1" applyAlignment="1">
      <alignment horizontal="center" vertical="center"/>
    </xf>
    <xf numFmtId="37" fontId="11" fillId="10" borderId="6" xfId="10" applyNumberFormat="1" applyFont="1" applyFill="1" applyBorder="1" applyAlignment="1">
      <alignment horizontal="center" vertical="center"/>
    </xf>
    <xf numFmtId="0" fontId="12" fillId="12" borderId="0" xfId="6" applyFont="1" applyFill="1" applyAlignment="1">
      <alignment vertical="center"/>
    </xf>
    <xf numFmtId="0" fontId="12" fillId="0" borderId="0" xfId="6" applyFont="1" applyFill="1" applyAlignment="1">
      <alignment vertical="center"/>
    </xf>
    <xf numFmtId="37" fontId="11" fillId="10" borderId="14" xfId="0" applyNumberFormat="1" applyFont="1" applyFill="1" applyBorder="1" applyAlignment="1">
      <alignment horizontal="left" vertical="center"/>
    </xf>
    <xf numFmtId="37" fontId="11" fillId="10" borderId="17" xfId="0" applyNumberFormat="1" applyFont="1" applyFill="1" applyBorder="1" applyAlignment="1">
      <alignment horizontal="left" vertical="center"/>
    </xf>
    <xf numFmtId="37" fontId="11" fillId="10" borderId="30" xfId="0" applyNumberFormat="1" applyFont="1" applyFill="1" applyBorder="1" applyAlignment="1">
      <alignment horizontal="left" vertical="center"/>
    </xf>
    <xf numFmtId="0" fontId="12" fillId="12" borderId="0" xfId="6" applyFont="1" applyFill="1" applyBorder="1" applyAlignment="1">
      <alignment vertical="center"/>
    </xf>
    <xf numFmtId="0" fontId="16" fillId="10" borderId="42" xfId="6" applyFont="1" applyFill="1" applyBorder="1" applyAlignment="1">
      <alignment horizontal="center" vertical="center"/>
    </xf>
    <xf numFmtId="0" fontId="16" fillId="10" borderId="42" xfId="6" applyFont="1" applyFill="1" applyBorder="1" applyAlignment="1">
      <alignment horizontal="center" vertical="center" wrapText="1"/>
    </xf>
    <xf numFmtId="0" fontId="17" fillId="10" borderId="0" xfId="6" applyFont="1" applyFill="1" applyBorder="1" applyAlignment="1">
      <alignment horizontal="left" vertical="center"/>
    </xf>
    <xf numFmtId="0" fontId="12" fillId="10" borderId="0" xfId="6" applyFont="1" applyFill="1" applyBorder="1" applyAlignment="1">
      <alignment vertical="center"/>
    </xf>
    <xf numFmtId="0" fontId="12" fillId="10" borderId="27" xfId="6" applyFont="1" applyFill="1" applyBorder="1" applyAlignment="1">
      <alignment vertical="center"/>
    </xf>
    <xf numFmtId="1" fontId="16" fillId="12" borderId="0" xfId="6" applyNumberFormat="1" applyFont="1" applyFill="1" applyBorder="1" applyAlignment="1">
      <alignment horizontal="center" vertical="center" wrapText="1"/>
    </xf>
    <xf numFmtId="0" fontId="12" fillId="9" borderId="0" xfId="6" applyFont="1" applyFill="1" applyAlignment="1">
      <alignment vertical="center"/>
    </xf>
    <xf numFmtId="0" fontId="12" fillId="12" borderId="0" xfId="10" applyFont="1" applyFill="1" applyBorder="1" applyAlignment="1">
      <alignment vertical="center"/>
    </xf>
    <xf numFmtId="0" fontId="11" fillId="12" borderId="56" xfId="6" applyFont="1" applyFill="1" applyBorder="1" applyAlignment="1">
      <alignment horizontal="left" vertical="center"/>
    </xf>
    <xf numFmtId="0" fontId="12" fillId="12" borderId="28" xfId="6" applyFont="1" applyFill="1" applyBorder="1" applyAlignment="1">
      <alignment vertical="center"/>
    </xf>
    <xf numFmtId="0" fontId="12" fillId="12" borderId="26" xfId="6" applyFont="1" applyFill="1" applyBorder="1" applyAlignment="1">
      <alignment vertical="center"/>
    </xf>
    <xf numFmtId="0" fontId="12" fillId="12" borderId="19" xfId="6" applyFont="1" applyFill="1" applyBorder="1" applyAlignment="1">
      <alignment vertical="center"/>
    </xf>
    <xf numFmtId="0" fontId="12" fillId="12" borderId="22" xfId="6" applyFont="1" applyFill="1" applyBorder="1" applyAlignment="1">
      <alignment vertical="center"/>
    </xf>
    <xf numFmtId="0" fontId="12" fillId="12" borderId="31" xfId="6" applyFont="1" applyFill="1" applyBorder="1" applyAlignment="1">
      <alignment vertical="center"/>
    </xf>
    <xf numFmtId="0" fontId="12" fillId="10" borderId="17" xfId="6" applyFont="1" applyFill="1" applyBorder="1" applyAlignment="1">
      <alignment vertical="center"/>
    </xf>
    <xf numFmtId="0" fontId="12" fillId="10" borderId="17" xfId="6" applyFont="1" applyFill="1" applyBorder="1" applyAlignment="1">
      <alignment horizontal="center" vertical="center"/>
    </xf>
    <xf numFmtId="0" fontId="12" fillId="10" borderId="30" xfId="6" applyFont="1" applyFill="1" applyBorder="1" applyAlignment="1">
      <alignment vertical="center"/>
    </xf>
    <xf numFmtId="0" fontId="12" fillId="12" borderId="94" xfId="6" applyFont="1" applyFill="1" applyBorder="1" applyAlignment="1">
      <alignment horizontal="center" vertical="center"/>
    </xf>
    <xf numFmtId="1" fontId="11" fillId="10" borderId="95" xfId="6" applyNumberFormat="1" applyFont="1" applyFill="1" applyBorder="1" applyAlignment="1">
      <alignment horizontal="center" vertical="center"/>
    </xf>
    <xf numFmtId="0" fontId="12" fillId="12" borderId="16" xfId="6" applyFont="1" applyFill="1" applyBorder="1" applyAlignment="1">
      <alignment vertical="center"/>
    </xf>
    <xf numFmtId="0" fontId="12" fillId="12" borderId="18" xfId="6" applyFont="1" applyFill="1" applyBorder="1" applyAlignment="1">
      <alignment vertical="center"/>
    </xf>
    <xf numFmtId="37" fontId="12" fillId="12" borderId="2" xfId="6" applyNumberFormat="1" applyFont="1" applyFill="1" applyBorder="1" applyAlignment="1">
      <alignment horizontal="center" vertical="center"/>
    </xf>
    <xf numFmtId="37" fontId="11" fillId="12" borderId="7" xfId="6" applyNumberFormat="1" applyFont="1" applyFill="1" applyBorder="1" applyAlignment="1">
      <alignment horizontal="center" vertical="center"/>
    </xf>
    <xf numFmtId="37" fontId="12" fillId="12" borderId="22" xfId="6" applyNumberFormat="1" applyFont="1" applyFill="1" applyBorder="1" applyAlignment="1">
      <alignment horizontal="center" vertical="center"/>
    </xf>
    <xf numFmtId="37" fontId="12" fillId="12" borderId="18" xfId="6" applyNumberFormat="1" applyFont="1" applyFill="1" applyBorder="1" applyAlignment="1">
      <alignment horizontal="center" vertical="center"/>
    </xf>
    <xf numFmtId="0" fontId="12" fillId="12" borderId="5" xfId="6" applyFont="1" applyFill="1" applyBorder="1" applyAlignment="1">
      <alignment vertical="center"/>
    </xf>
    <xf numFmtId="37" fontId="12" fillId="12" borderId="106" xfId="6" applyNumberFormat="1" applyFont="1" applyFill="1" applyBorder="1" applyAlignment="1">
      <alignment horizontal="center" vertical="center"/>
    </xf>
    <xf numFmtId="37" fontId="12" fillId="12" borderId="103" xfId="6" applyNumberFormat="1" applyFont="1" applyFill="1" applyBorder="1" applyAlignment="1">
      <alignment horizontal="center" vertical="center"/>
    </xf>
    <xf numFmtId="37" fontId="12" fillId="12" borderId="53" xfId="6" applyNumberFormat="1" applyFont="1" applyFill="1" applyBorder="1" applyAlignment="1">
      <alignment horizontal="center" vertical="center"/>
    </xf>
    <xf numFmtId="37" fontId="11" fillId="10" borderId="23" xfId="0" applyNumberFormat="1" applyFont="1" applyFill="1" applyBorder="1" applyAlignment="1">
      <alignment horizontal="left" vertical="center"/>
    </xf>
    <xf numFmtId="0" fontId="12" fillId="10" borderId="45" xfId="6" applyFont="1" applyFill="1" applyBorder="1" applyAlignment="1">
      <alignment vertical="center"/>
    </xf>
    <xf numFmtId="0" fontId="12" fillId="10" borderId="45" xfId="6" applyFont="1" applyFill="1" applyBorder="1" applyAlignment="1">
      <alignment horizontal="center" vertical="center"/>
    </xf>
    <xf numFmtId="2" fontId="12" fillId="0" borderId="18" xfId="6" applyNumberFormat="1" applyFont="1" applyFill="1" applyBorder="1" applyAlignment="1">
      <alignment horizontal="center" vertical="center"/>
    </xf>
    <xf numFmtId="3" fontId="12" fillId="12" borderId="53" xfId="6" applyNumberFormat="1" applyFont="1" applyFill="1" applyBorder="1" applyAlignment="1">
      <alignment horizontal="center" vertical="center"/>
    </xf>
    <xf numFmtId="3" fontId="11" fillId="12" borderId="3" xfId="6" applyNumberFormat="1" applyFont="1" applyFill="1" applyBorder="1" applyAlignment="1">
      <alignment horizontal="center" vertical="center"/>
    </xf>
    <xf numFmtId="0" fontId="12" fillId="12" borderId="19" xfId="6" applyFont="1" applyFill="1" applyBorder="1" applyAlignment="1">
      <alignment horizontal="center" vertical="center"/>
    </xf>
    <xf numFmtId="0" fontId="11" fillId="10" borderId="14" xfId="6" applyFont="1" applyFill="1" applyBorder="1" applyAlignment="1">
      <alignment vertical="center"/>
    </xf>
    <xf numFmtId="0" fontId="11" fillId="10" borderId="17" xfId="6" applyFont="1" applyFill="1" applyBorder="1" applyAlignment="1">
      <alignment vertical="center"/>
    </xf>
    <xf numFmtId="1" fontId="12" fillId="0" borderId="2" xfId="6" applyNumberFormat="1" applyFont="1" applyFill="1" applyBorder="1" applyAlignment="1">
      <alignment horizontal="center" vertical="center"/>
    </xf>
    <xf numFmtId="0" fontId="12" fillId="12" borderId="103" xfId="6" applyFont="1" applyFill="1" applyBorder="1" applyAlignment="1">
      <alignment vertical="center"/>
    </xf>
    <xf numFmtId="1" fontId="11" fillId="12" borderId="3" xfId="6" applyNumberFormat="1" applyFont="1" applyFill="1" applyBorder="1" applyAlignment="1">
      <alignment horizontal="center" vertical="center"/>
    </xf>
    <xf numFmtId="1" fontId="12" fillId="10" borderId="17" xfId="6" applyNumberFormat="1" applyFont="1" applyFill="1" applyBorder="1" applyAlignment="1">
      <alignment horizontal="center" vertical="center"/>
    </xf>
    <xf numFmtId="1" fontId="23" fillId="10" borderId="17" xfId="6" applyNumberFormat="1" applyFont="1" applyFill="1" applyBorder="1" applyAlignment="1">
      <alignment horizontal="center" vertical="center"/>
    </xf>
    <xf numFmtId="1" fontId="12" fillId="0" borderId="6" xfId="6" applyNumberFormat="1" applyFont="1" applyFill="1" applyBorder="1" applyAlignment="1">
      <alignment horizontal="center" vertical="center"/>
    </xf>
    <xf numFmtId="0" fontId="12" fillId="10" borderId="30" xfId="6" applyFont="1" applyFill="1" applyBorder="1" applyAlignment="1">
      <alignment horizontal="center" vertical="center"/>
    </xf>
    <xf numFmtId="0" fontId="11" fillId="10" borderId="44" xfId="6" applyFont="1" applyFill="1" applyBorder="1" applyAlignment="1">
      <alignment horizontal="center" vertical="center"/>
    </xf>
    <xf numFmtId="0" fontId="12" fillId="10" borderId="60" xfId="6" applyFont="1" applyFill="1" applyBorder="1" applyAlignment="1">
      <alignment vertical="center"/>
    </xf>
    <xf numFmtId="0" fontId="11" fillId="10" borderId="34" xfId="6" applyFont="1" applyFill="1" applyBorder="1" applyAlignment="1">
      <alignment horizontal="center" vertical="center"/>
    </xf>
    <xf numFmtId="0" fontId="11" fillId="10" borderId="53" xfId="6" applyFont="1" applyFill="1" applyBorder="1" applyAlignment="1">
      <alignment horizontal="center" vertical="center"/>
    </xf>
    <xf numFmtId="0" fontId="11" fillId="10" borderId="105" xfId="6" applyFont="1" applyFill="1" applyBorder="1" applyAlignment="1">
      <alignment horizontal="center" vertical="center"/>
    </xf>
    <xf numFmtId="0" fontId="11" fillId="10" borderId="57" xfId="6" applyFont="1" applyFill="1" applyBorder="1" applyAlignment="1">
      <alignment horizontal="center" vertical="center"/>
    </xf>
    <xf numFmtId="0" fontId="12" fillId="12" borderId="45" xfId="6" applyFont="1" applyFill="1" applyBorder="1" applyAlignment="1">
      <alignment horizontal="center" vertical="center"/>
    </xf>
    <xf numFmtId="0" fontId="21" fillId="12" borderId="0" xfId="6" applyFont="1" applyFill="1" applyAlignment="1">
      <alignment vertical="center"/>
    </xf>
    <xf numFmtId="1" fontId="12" fillId="10" borderId="30" xfId="6" applyNumberFormat="1" applyFont="1" applyFill="1" applyBorder="1" applyAlignment="1">
      <alignment horizontal="center" vertical="center"/>
    </xf>
    <xf numFmtId="0" fontId="11" fillId="10" borderId="23" xfId="6" applyFont="1" applyFill="1" applyBorder="1" applyAlignment="1">
      <alignment vertical="center"/>
    </xf>
    <xf numFmtId="1" fontId="12" fillId="10" borderId="90" xfId="6" applyNumberFormat="1" applyFont="1" applyFill="1" applyBorder="1" applyAlignment="1">
      <alignment horizontal="center" vertical="center"/>
    </xf>
    <xf numFmtId="0" fontId="11" fillId="10" borderId="28" xfId="6" applyFont="1" applyFill="1" applyBorder="1" applyAlignment="1">
      <alignment vertical="center"/>
    </xf>
    <xf numFmtId="0" fontId="11" fillId="10" borderId="5" xfId="6" applyFont="1" applyFill="1" applyBorder="1" applyAlignment="1">
      <alignment vertical="center"/>
    </xf>
    <xf numFmtId="1" fontId="12" fillId="0" borderId="42" xfId="6" applyNumberFormat="1" applyFont="1" applyFill="1" applyBorder="1" applyAlignment="1">
      <alignment horizontal="center" vertical="center"/>
    </xf>
    <xf numFmtId="1" fontId="12" fillId="0" borderId="27" xfId="6" applyNumberFormat="1" applyFont="1" applyFill="1" applyBorder="1" applyAlignment="1">
      <alignment horizontal="center" vertical="center"/>
    </xf>
    <xf numFmtId="1" fontId="12" fillId="0" borderId="0" xfId="6" applyNumberFormat="1" applyFont="1" applyFill="1" applyBorder="1" applyAlignment="1">
      <alignment horizontal="center" vertical="center"/>
    </xf>
    <xf numFmtId="0" fontId="12" fillId="0" borderId="24" xfId="6" applyNumberFormat="1" applyFont="1" applyFill="1" applyBorder="1" applyAlignment="1">
      <alignment horizontal="center" vertical="center"/>
    </xf>
    <xf numFmtId="1" fontId="12" fillId="12" borderId="153" xfId="6" applyNumberFormat="1" applyFont="1" applyFill="1" applyBorder="1" applyAlignment="1">
      <alignment vertical="center"/>
    </xf>
    <xf numFmtId="0" fontId="12" fillId="12" borderId="154" xfId="6" applyFont="1" applyFill="1" applyBorder="1" applyAlignment="1">
      <alignment vertical="center"/>
    </xf>
    <xf numFmtId="0" fontId="12" fillId="0" borderId="0" xfId="6" applyNumberFormat="1" applyFont="1" applyFill="1" applyBorder="1" applyAlignment="1">
      <alignment horizontal="center" vertical="center"/>
    </xf>
    <xf numFmtId="0" fontId="12" fillId="0" borderId="27" xfId="6" applyNumberFormat="1" applyFont="1" applyFill="1" applyBorder="1" applyAlignment="1">
      <alignment horizontal="center" vertical="center"/>
    </xf>
    <xf numFmtId="0" fontId="12" fillId="12" borderId="156" xfId="6" applyFont="1" applyFill="1" applyBorder="1" applyAlignment="1">
      <alignment vertical="center"/>
    </xf>
    <xf numFmtId="0" fontId="12" fillId="0" borderId="29" xfId="6" applyNumberFormat="1" applyFont="1" applyFill="1" applyBorder="1" applyAlignment="1">
      <alignment horizontal="center" vertical="center"/>
    </xf>
    <xf numFmtId="1" fontId="12" fillId="0" borderId="90" xfId="6" applyNumberFormat="1" applyFont="1" applyFill="1" applyBorder="1" applyAlignment="1">
      <alignment horizontal="center" vertical="center"/>
    </xf>
    <xf numFmtId="1" fontId="12" fillId="0" borderId="24" xfId="6" applyNumberFormat="1" applyFont="1" applyFill="1" applyBorder="1" applyAlignment="1">
      <alignment horizontal="center" vertical="center"/>
    </xf>
    <xf numFmtId="1" fontId="12" fillId="0" borderId="55" xfId="6" applyNumberFormat="1" applyFont="1" applyFill="1" applyBorder="1" applyAlignment="1">
      <alignment horizontal="center" vertical="center"/>
    </xf>
    <xf numFmtId="1" fontId="12" fillId="0" borderId="29" xfId="6" applyNumberFormat="1" applyFont="1" applyFill="1" applyBorder="1" applyAlignment="1">
      <alignment horizontal="center" vertical="center"/>
    </xf>
    <xf numFmtId="1" fontId="12" fillId="0" borderId="60" xfId="6" applyNumberFormat="1" applyFont="1" applyFill="1" applyBorder="1" applyAlignment="1">
      <alignment horizontal="center" vertical="center"/>
    </xf>
    <xf numFmtId="1" fontId="12" fillId="0" borderId="57" xfId="6" applyNumberFormat="1" applyFont="1" applyFill="1" applyBorder="1" applyAlignment="1">
      <alignment horizontal="center" vertical="center"/>
    </xf>
    <xf numFmtId="1" fontId="11" fillId="10" borderId="17" xfId="6" applyNumberFormat="1" applyFont="1" applyFill="1" applyBorder="1" applyAlignment="1">
      <alignment horizontal="center" vertical="center"/>
    </xf>
    <xf numFmtId="1" fontId="12" fillId="10" borderId="45" xfId="6" applyNumberFormat="1" applyFont="1" applyFill="1" applyBorder="1" applyAlignment="1">
      <alignment horizontal="center" vertical="center"/>
    </xf>
    <xf numFmtId="1" fontId="12" fillId="12" borderId="55" xfId="6" applyNumberFormat="1" applyFont="1" applyFill="1" applyBorder="1" applyAlignment="1">
      <alignment horizontal="center" vertical="center"/>
    </xf>
    <xf numFmtId="1" fontId="12" fillId="12" borderId="29" xfId="6" applyNumberFormat="1" applyFont="1" applyFill="1" applyBorder="1" applyAlignment="1">
      <alignment horizontal="center" vertical="center"/>
    </xf>
    <xf numFmtId="1" fontId="12" fillId="12" borderId="23" xfId="6" applyNumberFormat="1" applyFont="1" applyFill="1" applyBorder="1" applyAlignment="1">
      <alignment vertical="center"/>
    </xf>
    <xf numFmtId="0" fontId="12" fillId="12" borderId="45" xfId="6" applyFont="1" applyFill="1" applyBorder="1" applyAlignment="1">
      <alignment vertical="center"/>
    </xf>
    <xf numFmtId="1" fontId="12" fillId="12" borderId="23" xfId="6" applyNumberFormat="1" applyFont="1" applyFill="1" applyBorder="1" applyAlignment="1">
      <alignment horizontal="left" vertical="center"/>
    </xf>
    <xf numFmtId="1" fontId="12" fillId="12" borderId="28" xfId="6" applyNumberFormat="1" applyFont="1" applyFill="1" applyBorder="1" applyAlignment="1">
      <alignment horizontal="left" vertical="center"/>
    </xf>
    <xf numFmtId="0" fontId="11" fillId="10" borderId="45" xfId="6" applyFont="1" applyFill="1" applyBorder="1" applyAlignment="1">
      <alignment vertical="center"/>
    </xf>
    <xf numFmtId="1" fontId="11" fillId="10" borderId="45" xfId="6" applyNumberFormat="1" applyFont="1" applyFill="1" applyBorder="1" applyAlignment="1">
      <alignment horizontal="center" vertical="center"/>
    </xf>
    <xf numFmtId="0" fontId="11" fillId="12" borderId="93" xfId="6" applyFont="1" applyFill="1" applyBorder="1" applyAlignment="1">
      <alignment vertical="center"/>
    </xf>
    <xf numFmtId="0" fontId="11" fillId="12" borderId="94" xfId="6" applyFont="1" applyFill="1" applyBorder="1" applyAlignment="1">
      <alignment vertical="center"/>
    </xf>
    <xf numFmtId="166" fontId="12" fillId="0" borderId="42" xfId="6" applyNumberFormat="1" applyFont="1" applyFill="1" applyBorder="1" applyAlignment="1">
      <alignment horizontal="center" vertical="center"/>
    </xf>
    <xf numFmtId="166" fontId="12" fillId="0" borderId="60" xfId="6" applyNumberFormat="1" applyFont="1" applyFill="1" applyBorder="1" applyAlignment="1">
      <alignment horizontal="center" vertical="center"/>
    </xf>
    <xf numFmtId="0" fontId="11" fillId="10" borderId="100" xfId="6" applyFont="1" applyFill="1" applyBorder="1" applyAlignment="1">
      <alignment vertical="center"/>
    </xf>
    <xf numFmtId="0" fontId="12" fillId="0" borderId="0" xfId="6" applyFont="1" applyFill="1" applyBorder="1" applyAlignment="1">
      <alignment vertical="center"/>
    </xf>
    <xf numFmtId="37" fontId="12" fillId="12" borderId="0" xfId="6" applyNumberFormat="1" applyFont="1" applyFill="1" applyAlignment="1">
      <alignment vertical="center"/>
    </xf>
    <xf numFmtId="0" fontId="11" fillId="0" borderId="14" xfId="6" applyFont="1" applyFill="1" applyBorder="1" applyAlignment="1">
      <alignment vertical="center"/>
    </xf>
    <xf numFmtId="0" fontId="11" fillId="0" borderId="17" xfId="6" applyFont="1" applyFill="1" applyBorder="1" applyAlignment="1">
      <alignment vertical="center"/>
    </xf>
    <xf numFmtId="0" fontId="12" fillId="0" borderId="18" xfId="6" applyFont="1" applyFill="1" applyBorder="1" applyAlignment="1">
      <alignment vertical="center"/>
    </xf>
    <xf numFmtId="1" fontId="12" fillId="0" borderId="0" xfId="6" applyNumberFormat="1" applyFont="1" applyFill="1" applyAlignment="1">
      <alignment vertical="center"/>
    </xf>
    <xf numFmtId="0" fontId="12" fillId="0" borderId="0" xfId="6" applyNumberFormat="1" applyFont="1" applyFill="1" applyAlignment="1">
      <alignment vertical="center"/>
    </xf>
    <xf numFmtId="0" fontId="12" fillId="0" borderId="0" xfId="6" applyFont="1" applyFill="1" applyAlignment="1">
      <alignment horizontal="center" vertical="center"/>
    </xf>
    <xf numFmtId="37" fontId="12" fillId="0" borderId="0" xfId="6" applyNumberFormat="1" applyFont="1" applyFill="1" applyAlignment="1">
      <alignment vertical="center"/>
    </xf>
    <xf numFmtId="0" fontId="12" fillId="0" borderId="26" xfId="6" applyFont="1" applyFill="1" applyBorder="1" applyAlignment="1">
      <alignment vertical="center"/>
    </xf>
    <xf numFmtId="0" fontId="12" fillId="0" borderId="0" xfId="6" applyFont="1" applyFill="1" applyBorder="1" applyAlignment="1">
      <alignment horizontal="center" vertical="center"/>
    </xf>
    <xf numFmtId="37" fontId="12" fillId="0" borderId="0" xfId="6" applyNumberFormat="1" applyFont="1" applyFill="1" applyBorder="1" applyAlignment="1">
      <alignment horizontal="center" vertical="center"/>
    </xf>
    <xf numFmtId="0" fontId="12" fillId="12" borderId="105" xfId="6" applyFont="1" applyFill="1" applyBorder="1" applyAlignment="1">
      <alignment vertical="center"/>
    </xf>
    <xf numFmtId="0" fontId="12" fillId="0" borderId="0" xfId="6" applyNumberFormat="1" applyFont="1" applyFill="1" applyBorder="1" applyAlignment="1">
      <alignment vertical="center"/>
    </xf>
    <xf numFmtId="37" fontId="11" fillId="12" borderId="0" xfId="0" applyNumberFormat="1" applyFont="1" applyFill="1" applyBorder="1" applyAlignment="1">
      <alignment horizontal="center" vertical="center"/>
    </xf>
    <xf numFmtId="0" fontId="12" fillId="12" borderId="14" xfId="6" applyFont="1" applyFill="1" applyBorder="1" applyAlignment="1">
      <alignment vertical="center"/>
    </xf>
    <xf numFmtId="0" fontId="12" fillId="0" borderId="0" xfId="0" applyFont="1" applyFill="1" applyBorder="1"/>
    <xf numFmtId="0" fontId="26" fillId="11" borderId="0" xfId="0" applyFont="1" applyFill="1"/>
    <xf numFmtId="0" fontId="12" fillId="11" borderId="0" xfId="0" applyFont="1" applyFill="1"/>
    <xf numFmtId="0" fontId="14" fillId="0" borderId="0" xfId="12" applyFont="1" applyFill="1" applyAlignment="1">
      <alignment horizontal="center"/>
    </xf>
    <xf numFmtId="0" fontId="14" fillId="0" borderId="0" xfId="12" applyFont="1" applyAlignment="1">
      <alignment horizontal="center"/>
    </xf>
    <xf numFmtId="0" fontId="12" fillId="3" borderId="0" xfId="0" applyFont="1" applyFill="1"/>
    <xf numFmtId="0" fontId="12" fillId="0" borderId="0" xfId="0" applyFont="1" applyAlignment="1">
      <alignment horizontal="center"/>
    </xf>
    <xf numFmtId="0" fontId="17" fillId="0" borderId="0" xfId="0" applyFont="1" applyAlignment="1">
      <alignment horizontal="center"/>
    </xf>
    <xf numFmtId="0" fontId="29" fillId="2" borderId="0" xfId="0" applyFont="1" applyFill="1"/>
    <xf numFmtId="0" fontId="29" fillId="0" borderId="0" xfId="0" applyFont="1" applyFill="1"/>
    <xf numFmtId="37" fontId="12" fillId="0" borderId="0" xfId="0" applyNumberFormat="1" applyFont="1" applyFill="1"/>
    <xf numFmtId="0" fontId="26" fillId="0" borderId="0" xfId="0" applyFont="1" applyFill="1" applyBorder="1"/>
    <xf numFmtId="0" fontId="12" fillId="11" borderId="23" xfId="0" applyFont="1" applyFill="1" applyBorder="1"/>
    <xf numFmtId="0" fontId="12" fillId="0" borderId="45" xfId="0" applyFont="1" applyBorder="1"/>
    <xf numFmtId="0" fontId="14" fillId="11" borderId="0" xfId="12" applyFont="1" applyFill="1" applyBorder="1"/>
    <xf numFmtId="0" fontId="12" fillId="0" borderId="0" xfId="0" applyFont="1" applyBorder="1"/>
    <xf numFmtId="0" fontId="12" fillId="0" borderId="24" xfId="0" applyFont="1" applyBorder="1"/>
    <xf numFmtId="0" fontId="12" fillId="11" borderId="28" xfId="0" applyFont="1" applyFill="1" applyBorder="1"/>
    <xf numFmtId="0" fontId="12" fillId="0" borderId="5" xfId="0" applyFont="1" applyBorder="1"/>
    <xf numFmtId="0" fontId="12" fillId="11" borderId="14" xfId="0" applyFont="1" applyFill="1" applyBorder="1"/>
    <xf numFmtId="0" fontId="12" fillId="0" borderId="17" xfId="0" applyFont="1" applyBorder="1"/>
    <xf numFmtId="0" fontId="12" fillId="11" borderId="26" xfId="0" applyFont="1" applyFill="1" applyBorder="1"/>
    <xf numFmtId="0" fontId="12" fillId="0" borderId="0" xfId="0" applyFont="1" applyBorder="1" applyAlignment="1">
      <alignment horizontal="right"/>
    </xf>
    <xf numFmtId="0" fontId="12" fillId="0" borderId="5" xfId="0" applyFont="1" applyBorder="1" applyAlignment="1">
      <alignment horizontal="right"/>
    </xf>
    <xf numFmtId="37" fontId="12" fillId="12" borderId="0" xfId="0" applyNumberFormat="1" applyFont="1" applyFill="1" applyAlignment="1">
      <alignment vertical="center"/>
    </xf>
    <xf numFmtId="37" fontId="12" fillId="0" borderId="0" xfId="0" applyNumberFormat="1" applyFont="1" applyFill="1" applyAlignment="1">
      <alignment vertical="center"/>
    </xf>
    <xf numFmtId="0" fontId="11" fillId="10" borderId="14" xfId="10" applyFont="1" applyFill="1" applyBorder="1" applyAlignment="1">
      <alignment horizontal="left" vertical="center"/>
    </xf>
    <xf numFmtId="0" fontId="11" fillId="10" borderId="23" xfId="10" applyFont="1" applyFill="1" applyBorder="1" applyAlignment="1">
      <alignment horizontal="left" vertical="center"/>
    </xf>
    <xf numFmtId="0" fontId="11" fillId="10" borderId="24" xfId="10" applyFont="1" applyFill="1" applyBorder="1" applyAlignment="1">
      <alignment horizontal="center" vertical="center" wrapText="1"/>
    </xf>
    <xf numFmtId="0" fontId="14" fillId="0" borderId="0" xfId="12" applyFont="1" applyAlignment="1">
      <alignment vertical="center"/>
    </xf>
    <xf numFmtId="170" fontId="11" fillId="12" borderId="3" xfId="0" applyNumberFormat="1" applyFont="1" applyFill="1" applyBorder="1" applyAlignment="1">
      <alignment horizontal="center" vertical="center"/>
    </xf>
    <xf numFmtId="0" fontId="11" fillId="10" borderId="17" xfId="10" applyFont="1" applyFill="1" applyBorder="1" applyAlignment="1">
      <alignment vertical="center"/>
    </xf>
    <xf numFmtId="0" fontId="11" fillId="10" borderId="30" xfId="10" applyFont="1" applyFill="1" applyBorder="1" applyAlignment="1">
      <alignment vertical="center"/>
    </xf>
    <xf numFmtId="0" fontId="11" fillId="10" borderId="90" xfId="10" applyFont="1" applyFill="1" applyBorder="1" applyAlignment="1">
      <alignment horizontal="center" vertical="center"/>
    </xf>
    <xf numFmtId="0" fontId="11" fillId="10" borderId="19" xfId="10" applyFont="1" applyFill="1" applyBorder="1" applyAlignment="1">
      <alignment horizontal="center" vertical="center"/>
    </xf>
    <xf numFmtId="0" fontId="11" fillId="10" borderId="22" xfId="10" applyFont="1" applyFill="1" applyBorder="1" applyAlignment="1">
      <alignment horizontal="center" vertical="center"/>
    </xf>
    <xf numFmtId="0" fontId="11" fillId="10" borderId="31" xfId="10" applyFont="1" applyFill="1" applyBorder="1" applyAlignment="1">
      <alignment horizontal="center" vertical="center"/>
    </xf>
    <xf numFmtId="0" fontId="11" fillId="10" borderId="28" xfId="10" applyFont="1" applyFill="1" applyBorder="1" applyAlignment="1">
      <alignment horizontal="left" vertical="center"/>
    </xf>
    <xf numFmtId="0" fontId="11" fillId="10" borderId="55" xfId="10" applyFont="1" applyFill="1" applyBorder="1" applyAlignment="1">
      <alignment horizontal="center" vertical="center"/>
    </xf>
    <xf numFmtId="0" fontId="11" fillId="10" borderId="29" xfId="10" applyFont="1" applyFill="1" applyBorder="1" applyAlignment="1">
      <alignment horizontal="center" vertical="center"/>
    </xf>
    <xf numFmtId="0" fontId="11" fillId="10" borderId="57" xfId="10" applyFont="1" applyFill="1" applyBorder="1" applyAlignment="1">
      <alignment horizontal="center" vertical="center"/>
    </xf>
    <xf numFmtId="37" fontId="11" fillId="12" borderId="23" xfId="0" applyNumberFormat="1" applyFont="1" applyFill="1" applyBorder="1" applyAlignment="1">
      <alignment horizontal="center" vertical="center"/>
    </xf>
    <xf numFmtId="37" fontId="11" fillId="12" borderId="90" xfId="0" applyNumberFormat="1" applyFont="1" applyFill="1" applyBorder="1" applyAlignment="1">
      <alignment horizontal="center" vertical="center"/>
    </xf>
    <xf numFmtId="37" fontId="11" fillId="12" borderId="11" xfId="0" applyNumberFormat="1" applyFont="1" applyFill="1" applyBorder="1" applyAlignment="1">
      <alignment horizontal="center" vertical="center"/>
    </xf>
    <xf numFmtId="37" fontId="11" fillId="12" borderId="13" xfId="0" applyNumberFormat="1" applyFont="1" applyFill="1" applyBorder="1" applyAlignment="1">
      <alignment horizontal="center" vertical="center"/>
    </xf>
    <xf numFmtId="37" fontId="11" fillId="12" borderId="36" xfId="0" applyNumberFormat="1" applyFont="1" applyFill="1" applyBorder="1" applyAlignment="1">
      <alignment horizontal="right" vertical="center"/>
    </xf>
    <xf numFmtId="37" fontId="11" fillId="12" borderId="103" xfId="0" applyNumberFormat="1" applyFont="1" applyFill="1" applyBorder="1" applyAlignment="1">
      <alignment horizontal="right" vertical="center"/>
    </xf>
    <xf numFmtId="39" fontId="11" fillId="12" borderId="53" xfId="0" applyNumberFormat="1" applyFont="1" applyFill="1" applyBorder="1" applyAlignment="1">
      <alignment horizontal="center" vertical="center"/>
    </xf>
    <xf numFmtId="171" fontId="11" fillId="12" borderId="3" xfId="7" applyNumberFormat="1" applyFont="1" applyFill="1" applyBorder="1" applyAlignment="1">
      <alignment horizontal="center" vertical="center"/>
    </xf>
    <xf numFmtId="0" fontId="11" fillId="10" borderId="5" xfId="10" applyFont="1" applyFill="1" applyBorder="1" applyAlignment="1">
      <alignment horizontal="center" vertical="center"/>
    </xf>
    <xf numFmtId="1" fontId="12" fillId="12" borderId="42" xfId="6" applyNumberFormat="1" applyFont="1" applyFill="1" applyBorder="1" applyAlignment="1">
      <alignment horizontal="center" vertical="center"/>
    </xf>
    <xf numFmtId="172" fontId="12" fillId="12" borderId="96" xfId="0" applyNumberFormat="1" applyFont="1" applyFill="1" applyBorder="1" applyAlignment="1">
      <alignment vertical="center"/>
    </xf>
    <xf numFmtId="37" fontId="11" fillId="12" borderId="8" xfId="0" applyNumberFormat="1" applyFont="1" applyFill="1" applyBorder="1" applyAlignment="1">
      <alignment horizontal="center" vertical="center"/>
    </xf>
    <xf numFmtId="37" fontId="12" fillId="12" borderId="0" xfId="0" applyNumberFormat="1" applyFont="1" applyFill="1" applyBorder="1" applyAlignment="1">
      <alignment horizontal="center" vertical="center"/>
    </xf>
    <xf numFmtId="37" fontId="12" fillId="12" borderId="106" xfId="0" applyNumberFormat="1" applyFont="1" applyFill="1" applyBorder="1" applyAlignment="1">
      <alignment vertical="center"/>
    </xf>
    <xf numFmtId="172" fontId="11" fillId="12" borderId="3" xfId="0" applyNumberFormat="1" applyFont="1" applyFill="1" applyBorder="1" applyAlignment="1">
      <alignment horizontal="center" vertical="center"/>
    </xf>
    <xf numFmtId="177" fontId="11" fillId="12" borderId="53" xfId="0" applyNumberFormat="1" applyFont="1" applyFill="1" applyBorder="1" applyAlignment="1">
      <alignment horizontal="center" vertical="center"/>
    </xf>
    <xf numFmtId="37" fontId="12" fillId="12" borderId="0" xfId="0" applyNumberFormat="1" applyFont="1" applyFill="1" applyBorder="1" applyAlignment="1">
      <alignment horizontal="left" vertical="center"/>
    </xf>
    <xf numFmtId="37" fontId="11" fillId="0" borderId="10" xfId="0" applyNumberFormat="1" applyFont="1" applyFill="1" applyBorder="1" applyAlignment="1">
      <alignment horizontal="center" vertical="center"/>
    </xf>
    <xf numFmtId="37" fontId="11" fillId="0" borderId="0" xfId="0" applyNumberFormat="1" applyFont="1" applyFill="1" applyAlignment="1">
      <alignment vertical="center"/>
    </xf>
    <xf numFmtId="37" fontId="12" fillId="10" borderId="30" xfId="0" applyNumberFormat="1" applyFont="1" applyFill="1" applyBorder="1" applyAlignment="1">
      <alignment vertical="center"/>
    </xf>
    <xf numFmtId="37" fontId="12" fillId="12" borderId="0" xfId="0" applyNumberFormat="1" applyFont="1" applyFill="1" applyBorder="1" applyAlignment="1">
      <alignment vertical="center"/>
    </xf>
    <xf numFmtId="0" fontId="11" fillId="10" borderId="30" xfId="10" applyFont="1" applyFill="1" applyBorder="1" applyAlignment="1">
      <alignment horizontal="center" vertical="center" wrapText="1"/>
    </xf>
    <xf numFmtId="0" fontId="12" fillId="12" borderId="26" xfId="10" applyFont="1" applyFill="1" applyBorder="1" applyAlignment="1">
      <alignment horizontal="left" vertical="center"/>
    </xf>
    <xf numFmtId="0" fontId="12" fillId="12" borderId="28" xfId="10" applyFont="1" applyFill="1" applyBorder="1" applyAlignment="1">
      <alignment horizontal="left" vertical="center"/>
    </xf>
    <xf numFmtId="37" fontId="11" fillId="10" borderId="21" xfId="0" applyNumberFormat="1" applyFont="1" applyFill="1" applyBorder="1" applyAlignment="1">
      <alignment horizontal="center" vertical="center"/>
    </xf>
    <xf numFmtId="37" fontId="11" fillId="10" borderId="49" xfId="0" applyNumberFormat="1" applyFont="1" applyFill="1" applyBorder="1" applyAlignment="1">
      <alignment horizontal="center" vertical="center"/>
    </xf>
    <xf numFmtId="37" fontId="11" fillId="10" borderId="28" xfId="0" applyNumberFormat="1" applyFont="1" applyFill="1" applyBorder="1" applyAlignment="1">
      <alignment horizontal="left" vertical="center"/>
    </xf>
    <xf numFmtId="37" fontId="11" fillId="10" borderId="97" xfId="0" applyNumberFormat="1" applyFont="1" applyFill="1" applyBorder="1" applyAlignment="1">
      <alignment horizontal="center" vertical="center"/>
    </xf>
    <xf numFmtId="37" fontId="11" fillId="10" borderId="5" xfId="0" applyNumberFormat="1" applyFont="1" applyFill="1" applyBorder="1" applyAlignment="1">
      <alignment horizontal="center" vertical="center"/>
    </xf>
    <xf numFmtId="37" fontId="11" fillId="10" borderId="59" xfId="0" applyNumberFormat="1" applyFont="1" applyFill="1" applyBorder="1" applyAlignment="1">
      <alignment vertical="center"/>
    </xf>
    <xf numFmtId="37" fontId="11" fillId="10" borderId="103" xfId="0" applyNumberFormat="1" applyFont="1" applyFill="1" applyBorder="1" applyAlignment="1">
      <alignment horizontal="center" vertical="center"/>
    </xf>
    <xf numFmtId="37" fontId="11" fillId="10" borderId="53" xfId="0" applyNumberFormat="1" applyFont="1" applyFill="1" applyBorder="1" applyAlignment="1">
      <alignment horizontal="center" vertical="center"/>
    </xf>
    <xf numFmtId="37" fontId="11" fillId="10" borderId="3" xfId="0" applyNumberFormat="1" applyFont="1" applyFill="1" applyBorder="1" applyAlignment="1">
      <alignment horizontal="center" vertical="center"/>
    </xf>
    <xf numFmtId="37" fontId="17" fillId="12" borderId="0" xfId="0" applyNumberFormat="1" applyFont="1" applyFill="1" applyAlignment="1">
      <alignment horizontal="left" vertical="center"/>
    </xf>
    <xf numFmtId="37" fontId="11" fillId="10" borderId="33" xfId="0" applyNumberFormat="1" applyFont="1" applyFill="1" applyBorder="1" applyAlignment="1">
      <alignment horizontal="center" vertical="center"/>
    </xf>
    <xf numFmtId="37" fontId="32" fillId="0" borderId="0" xfId="0" applyNumberFormat="1" applyFont="1" applyFill="1" applyAlignment="1">
      <alignment vertical="center"/>
    </xf>
    <xf numFmtId="37" fontId="12" fillId="0" borderId="0" xfId="0" applyNumberFormat="1" applyFont="1" applyFill="1" applyBorder="1" applyAlignment="1">
      <alignment vertical="center"/>
    </xf>
    <xf numFmtId="170" fontId="12" fillId="12" borderId="0" xfId="0" applyNumberFormat="1" applyFont="1" applyFill="1" applyBorder="1" applyAlignment="1">
      <alignment horizontal="center" vertical="center"/>
    </xf>
    <xf numFmtId="0" fontId="11" fillId="10" borderId="93" xfId="10" applyFont="1" applyFill="1" applyBorder="1" applyAlignment="1">
      <alignment horizontal="left" vertical="center"/>
    </xf>
    <xf numFmtId="0" fontId="11" fillId="10" borderId="95" xfId="10" applyFont="1" applyFill="1" applyBorder="1" applyAlignment="1">
      <alignment horizontal="center" vertical="center" wrapText="1"/>
    </xf>
    <xf numFmtId="0" fontId="11" fillId="10" borderId="16" xfId="10" applyFont="1" applyFill="1" applyBorder="1" applyAlignment="1">
      <alignment horizontal="left" vertical="center"/>
    </xf>
    <xf numFmtId="37" fontId="11" fillId="10" borderId="31" xfId="0" applyNumberFormat="1" applyFont="1" applyFill="1" applyBorder="1" applyAlignment="1">
      <alignment horizontal="center" vertical="center"/>
    </xf>
    <xf numFmtId="0" fontId="11" fillId="10" borderId="15" xfId="10" applyFont="1" applyFill="1" applyBorder="1" applyAlignment="1">
      <alignment horizontal="left" vertical="center"/>
    </xf>
    <xf numFmtId="37" fontId="11" fillId="10" borderId="57" xfId="0" applyNumberFormat="1" applyFont="1" applyFill="1" applyBorder="1" applyAlignment="1">
      <alignment horizontal="center" vertical="center"/>
    </xf>
    <xf numFmtId="37" fontId="12" fillId="0" borderId="0" xfId="0" applyNumberFormat="1" applyFont="1" applyFill="1" applyAlignment="1">
      <alignment horizontal="left" vertical="center"/>
    </xf>
    <xf numFmtId="0" fontId="11" fillId="10" borderId="17" xfId="10" applyFont="1" applyFill="1" applyBorder="1" applyAlignment="1">
      <alignment horizontal="center" vertical="center"/>
    </xf>
    <xf numFmtId="0" fontId="11" fillId="10" borderId="30" xfId="10" applyFont="1" applyFill="1" applyBorder="1" applyAlignment="1">
      <alignment horizontal="center" vertical="center"/>
    </xf>
    <xf numFmtId="37" fontId="12" fillId="0" borderId="0" xfId="0" applyNumberFormat="1" applyFont="1" applyFill="1" applyBorder="1" applyAlignment="1">
      <alignment horizontal="left" vertical="center"/>
    </xf>
    <xf numFmtId="0" fontId="12" fillId="12" borderId="0" xfId="0" applyFont="1" applyFill="1" applyAlignment="1">
      <alignment vertical="center"/>
    </xf>
    <xf numFmtId="37" fontId="13" fillId="0" borderId="0" xfId="0" applyNumberFormat="1" applyFont="1" applyFill="1" applyAlignment="1">
      <alignment horizontal="left" vertical="center"/>
    </xf>
    <xf numFmtId="1" fontId="16" fillId="10" borderId="24" xfId="0" applyNumberFormat="1" applyFont="1" applyFill="1" applyBorder="1" applyAlignment="1">
      <alignment horizontal="center" vertical="center"/>
    </xf>
    <xf numFmtId="1" fontId="12" fillId="12" borderId="0" xfId="0" applyNumberFormat="1" applyFont="1" applyFill="1" applyBorder="1" applyAlignment="1">
      <alignment horizontal="left" vertical="center"/>
    </xf>
    <xf numFmtId="2" fontId="12" fillId="0" borderId="0" xfId="0" applyNumberFormat="1" applyFont="1" applyFill="1" applyBorder="1" applyAlignment="1">
      <alignment horizontal="center" vertical="center"/>
    </xf>
    <xf numFmtId="0" fontId="11" fillId="10" borderId="98" xfId="10" applyFont="1" applyFill="1" applyBorder="1" applyAlignment="1">
      <alignment horizontal="left" vertical="center"/>
    </xf>
    <xf numFmtId="0" fontId="11" fillId="10" borderId="42" xfId="10" applyFont="1" applyFill="1" applyBorder="1" applyAlignment="1">
      <alignment horizontal="center" vertical="center" wrapText="1"/>
    </xf>
    <xf numFmtId="1" fontId="16" fillId="10" borderId="44" xfId="0" applyNumberFormat="1" applyFont="1" applyFill="1" applyBorder="1" applyAlignment="1">
      <alignment horizontal="center" vertical="center"/>
    </xf>
    <xf numFmtId="0" fontId="11" fillId="10" borderId="56" xfId="10" applyFont="1" applyFill="1" applyBorder="1" applyAlignment="1">
      <alignment horizontal="left" vertical="center"/>
    </xf>
    <xf numFmtId="0" fontId="11" fillId="10" borderId="55" xfId="10" applyFont="1" applyFill="1" applyBorder="1" applyAlignment="1">
      <alignment horizontal="center" vertical="center" wrapText="1"/>
    </xf>
    <xf numFmtId="1" fontId="16" fillId="10" borderId="55" xfId="0" applyNumberFormat="1" applyFont="1" applyFill="1" applyBorder="1" applyAlignment="1">
      <alignment horizontal="center" vertical="center"/>
    </xf>
    <xf numFmtId="1" fontId="16" fillId="10" borderId="53" xfId="0" applyNumberFormat="1" applyFont="1" applyFill="1" applyBorder="1" applyAlignment="1">
      <alignment horizontal="center" vertical="center"/>
    </xf>
    <xf numFmtId="1" fontId="16" fillId="10" borderId="3" xfId="0" applyNumberFormat="1" applyFont="1" applyFill="1" applyBorder="1" applyAlignment="1">
      <alignment horizontal="center" vertical="center"/>
    </xf>
    <xf numFmtId="3" fontId="12" fillId="12" borderId="11" xfId="6" applyNumberFormat="1" applyFont="1" applyFill="1" applyBorder="1" applyAlignment="1">
      <alignment horizontal="center" vertical="center"/>
    </xf>
    <xf numFmtId="3" fontId="12" fillId="12" borderId="2" xfId="6" applyNumberFormat="1" applyFont="1" applyFill="1" applyBorder="1" applyAlignment="1">
      <alignment horizontal="center" vertical="center"/>
    </xf>
    <xf numFmtId="3" fontId="12" fillId="12" borderId="7" xfId="6" applyNumberFormat="1" applyFont="1" applyFill="1" applyBorder="1" applyAlignment="1">
      <alignment horizontal="center" vertical="center"/>
    </xf>
    <xf numFmtId="1" fontId="12" fillId="12" borderId="0" xfId="0" applyNumberFormat="1" applyFont="1" applyFill="1" applyAlignment="1">
      <alignment vertical="center"/>
    </xf>
    <xf numFmtId="0" fontId="12" fillId="12" borderId="0" xfId="0" applyFont="1" applyFill="1" applyBorder="1" applyAlignment="1">
      <alignment vertical="center"/>
    </xf>
    <xf numFmtId="3" fontId="11" fillId="10" borderId="17" xfId="0" applyNumberFormat="1" applyFont="1" applyFill="1" applyBorder="1" applyAlignment="1">
      <alignment horizontal="left" vertical="center"/>
    </xf>
    <xf numFmtId="0" fontId="12" fillId="12" borderId="3" xfId="6" applyFont="1" applyFill="1" applyBorder="1" applyAlignment="1">
      <alignment horizontal="center" vertical="center"/>
    </xf>
    <xf numFmtId="176" fontId="12" fillId="12" borderId="2" xfId="6" applyNumberFormat="1" applyFont="1" applyFill="1" applyBorder="1" applyAlignment="1">
      <alignment horizontal="center" vertical="center"/>
    </xf>
    <xf numFmtId="176" fontId="12" fillId="12" borderId="7" xfId="6" applyNumberFormat="1" applyFont="1" applyFill="1" applyBorder="1" applyAlignment="1">
      <alignment horizontal="center" vertical="center"/>
    </xf>
    <xf numFmtId="176" fontId="12" fillId="12" borderId="53" xfId="6" applyNumberFormat="1" applyFont="1" applyFill="1" applyBorder="1" applyAlignment="1">
      <alignment horizontal="center" vertical="center"/>
    </xf>
    <xf numFmtId="176" fontId="12" fillId="12" borderId="3" xfId="6" applyNumberFormat="1" applyFont="1" applyFill="1" applyBorder="1" applyAlignment="1">
      <alignment horizontal="center" vertical="center"/>
    </xf>
    <xf numFmtId="0" fontId="11" fillId="10" borderId="14" xfId="10" applyFont="1" applyFill="1" applyBorder="1" applyAlignment="1">
      <alignment vertical="center"/>
    </xf>
    <xf numFmtId="0" fontId="12" fillId="10" borderId="17" xfId="10" applyFont="1" applyFill="1" applyBorder="1" applyAlignment="1">
      <alignment horizontal="left" vertical="center"/>
    </xf>
    <xf numFmtId="0" fontId="11" fillId="10" borderId="17" xfId="10" applyFont="1" applyFill="1" applyBorder="1" applyAlignment="1">
      <alignment horizontal="center" vertical="center" wrapText="1"/>
    </xf>
    <xf numFmtId="0" fontId="12" fillId="0" borderId="0" xfId="0" applyFont="1" applyFill="1" applyAlignment="1">
      <alignment vertical="center"/>
    </xf>
    <xf numFmtId="0" fontId="11" fillId="10" borderId="36" xfId="10" applyFont="1" applyFill="1" applyBorder="1" applyAlignment="1">
      <alignment horizontal="left" vertical="center"/>
    </xf>
    <xf numFmtId="0" fontId="11" fillId="10" borderId="106" xfId="10" applyFont="1" applyFill="1" applyBorder="1" applyAlignment="1">
      <alignment horizontal="right" vertical="center"/>
    </xf>
    <xf numFmtId="0" fontId="11" fillId="10" borderId="37" xfId="10" applyFont="1" applyFill="1" applyBorder="1" applyAlignment="1">
      <alignment horizontal="right" vertical="center"/>
    </xf>
    <xf numFmtId="0" fontId="11" fillId="10" borderId="26" xfId="10" applyFont="1" applyFill="1" applyBorder="1" applyAlignment="1">
      <alignment horizontal="left" vertical="center"/>
    </xf>
    <xf numFmtId="0" fontId="11" fillId="10" borderId="59" xfId="10" applyFont="1" applyFill="1" applyBorder="1" applyAlignment="1">
      <alignment horizontal="center" vertical="center" wrapText="1"/>
    </xf>
    <xf numFmtId="0" fontId="11" fillId="10" borderId="53" xfId="10" applyFont="1" applyFill="1" applyBorder="1" applyAlignment="1">
      <alignment horizontal="center" vertical="center" wrapText="1"/>
    </xf>
    <xf numFmtId="0" fontId="11" fillId="10" borderId="3" xfId="10" applyFont="1" applyFill="1" applyBorder="1" applyAlignment="1">
      <alignment horizontal="center" vertical="center" wrapText="1"/>
    </xf>
    <xf numFmtId="166" fontId="12" fillId="12" borderId="42" xfId="10" applyNumberFormat="1" applyFont="1" applyFill="1" applyBorder="1" applyAlignment="1">
      <alignment horizontal="center" vertical="center"/>
    </xf>
    <xf numFmtId="2" fontId="12" fillId="12" borderId="27" xfId="6" applyNumberFormat="1" applyFont="1" applyFill="1" applyBorder="1" applyAlignment="1">
      <alignment horizontal="center" vertical="center"/>
    </xf>
    <xf numFmtId="0" fontId="11" fillId="12" borderId="16" xfId="10" applyFont="1" applyFill="1" applyBorder="1" applyAlignment="1">
      <alignment horizontal="left" vertical="center"/>
    </xf>
    <xf numFmtId="166" fontId="11" fillId="12" borderId="2" xfId="10" applyNumberFormat="1" applyFont="1" applyFill="1" applyBorder="1" applyAlignment="1">
      <alignment horizontal="center" vertical="center"/>
    </xf>
    <xf numFmtId="0" fontId="11" fillId="12" borderId="28" xfId="0" applyFont="1" applyFill="1" applyBorder="1" applyAlignment="1">
      <alignment horizontal="left" vertical="center"/>
    </xf>
    <xf numFmtId="166" fontId="11" fillId="12" borderId="97" xfId="0" applyNumberFormat="1" applyFont="1" applyFill="1" applyBorder="1" applyAlignment="1">
      <alignment horizontal="center" vertical="center"/>
    </xf>
    <xf numFmtId="0" fontId="11" fillId="10" borderId="43" xfId="10" applyFont="1" applyFill="1" applyBorder="1" applyAlignment="1">
      <alignment horizontal="center" vertical="center" wrapText="1"/>
    </xf>
    <xf numFmtId="0" fontId="11" fillId="10" borderId="27" xfId="10" applyFont="1" applyFill="1" applyBorder="1" applyAlignment="1">
      <alignment horizontal="center" vertical="center" wrapText="1"/>
    </xf>
    <xf numFmtId="0" fontId="11" fillId="10" borderId="29" xfId="10" applyFont="1" applyFill="1" applyBorder="1" applyAlignment="1">
      <alignment horizontal="center" vertical="center" wrapText="1"/>
    </xf>
    <xf numFmtId="166" fontId="12" fillId="12" borderId="9" xfId="10" applyNumberFormat="1" applyFont="1" applyFill="1" applyBorder="1" applyAlignment="1">
      <alignment horizontal="center" vertical="center"/>
    </xf>
    <xf numFmtId="166" fontId="11" fillId="12" borderId="55" xfId="0" applyNumberFormat="1" applyFont="1" applyFill="1" applyBorder="1" applyAlignment="1">
      <alignment horizontal="center" vertical="center"/>
    </xf>
    <xf numFmtId="0" fontId="12" fillId="10" borderId="30" xfId="10" applyFont="1" applyFill="1" applyBorder="1" applyAlignment="1">
      <alignment horizontal="center" vertical="center" wrapText="1"/>
    </xf>
    <xf numFmtId="0" fontId="11" fillId="10" borderId="32" xfId="10" applyFont="1" applyFill="1" applyBorder="1" applyAlignment="1">
      <alignment vertical="center"/>
    </xf>
    <xf numFmtId="0" fontId="12" fillId="12" borderId="26" xfId="0" applyFont="1" applyFill="1" applyBorder="1" applyAlignment="1">
      <alignment horizontal="left" vertical="center"/>
    </xf>
    <xf numFmtId="0" fontId="12" fillId="0" borderId="0" xfId="0" applyFont="1" applyFill="1" applyBorder="1" applyAlignment="1">
      <alignment vertical="center"/>
    </xf>
    <xf numFmtId="0" fontId="12" fillId="12" borderId="28" xfId="0" applyFont="1" applyFill="1" applyBorder="1" applyAlignment="1">
      <alignment horizontal="left" vertical="center"/>
    </xf>
    <xf numFmtId="0" fontId="12" fillId="12" borderId="26" xfId="0" applyFont="1" applyFill="1" applyBorder="1" applyAlignment="1">
      <alignment vertical="center"/>
    </xf>
    <xf numFmtId="0" fontId="12" fillId="12" borderId="27" xfId="0" applyFont="1" applyFill="1" applyBorder="1" applyAlignment="1">
      <alignment horizontal="center" vertical="center"/>
    </xf>
    <xf numFmtId="0" fontId="12" fillId="12" borderId="28" xfId="0" applyFont="1" applyFill="1" applyBorder="1" applyAlignment="1">
      <alignment vertical="center"/>
    </xf>
    <xf numFmtId="0" fontId="12" fillId="12" borderId="29" xfId="0" applyFont="1" applyFill="1" applyBorder="1" applyAlignment="1">
      <alignment horizontal="center" vertical="center"/>
    </xf>
    <xf numFmtId="0" fontId="12" fillId="10" borderId="30" xfId="10" applyFont="1" applyFill="1" applyBorder="1" applyAlignment="1">
      <alignment horizontal="left" vertical="center"/>
    </xf>
    <xf numFmtId="0" fontId="11" fillId="10" borderId="44" xfId="10" applyFont="1" applyFill="1" applyBorder="1" applyAlignment="1">
      <alignment horizontal="center" vertical="center"/>
    </xf>
    <xf numFmtId="0" fontId="11" fillId="10" borderId="40" xfId="10" applyFont="1" applyFill="1" applyBorder="1" applyAlignment="1">
      <alignment horizontal="left" vertical="center"/>
    </xf>
    <xf numFmtId="0" fontId="11" fillId="10" borderId="41" xfId="10" applyFont="1" applyFill="1" applyBorder="1" applyAlignment="1">
      <alignment horizontal="center" vertical="center"/>
    </xf>
    <xf numFmtId="0" fontId="11" fillId="10" borderId="43" xfId="10" applyFont="1" applyFill="1" applyBorder="1" applyAlignment="1">
      <alignment horizontal="center" vertical="center"/>
    </xf>
    <xf numFmtId="0" fontId="11" fillId="10" borderId="60" xfId="10" applyFont="1" applyFill="1" applyBorder="1" applyAlignment="1">
      <alignment horizontal="center" vertical="center"/>
    </xf>
    <xf numFmtId="0" fontId="11" fillId="10" borderId="42" xfId="10" applyFont="1" applyFill="1" applyBorder="1" applyAlignment="1">
      <alignment horizontal="center" vertical="center"/>
    </xf>
    <xf numFmtId="0" fontId="12" fillId="12" borderId="23" xfId="6" applyFont="1" applyFill="1" applyBorder="1" applyAlignment="1">
      <alignment horizontal="left" vertical="center"/>
    </xf>
    <xf numFmtId="1" fontId="12" fillId="12" borderId="90" xfId="6" applyNumberFormat="1" applyFont="1" applyFill="1" applyBorder="1" applyAlignment="1">
      <alignment horizontal="center" vertical="center"/>
    </xf>
    <xf numFmtId="0" fontId="12" fillId="12" borderId="26" xfId="6" applyFont="1" applyFill="1" applyBorder="1" applyAlignment="1">
      <alignment horizontal="left" vertical="center"/>
    </xf>
    <xf numFmtId="0" fontId="12" fillId="12" borderId="28" xfId="6" applyFont="1" applyFill="1" applyBorder="1" applyAlignment="1">
      <alignment horizontal="left" vertical="center"/>
    </xf>
    <xf numFmtId="1" fontId="12" fillId="12" borderId="0" xfId="0" applyNumberFormat="1" applyFont="1" applyFill="1" applyAlignment="1">
      <alignment horizontal="left" vertical="center"/>
    </xf>
    <xf numFmtId="37" fontId="12" fillId="12" borderId="0" xfId="6" applyNumberFormat="1" applyFont="1" applyFill="1" applyBorder="1" applyAlignment="1">
      <alignment vertical="center"/>
    </xf>
    <xf numFmtId="37" fontId="13" fillId="0" borderId="0" xfId="0" applyNumberFormat="1" applyFont="1" applyFill="1" applyAlignment="1">
      <alignment horizontal="left"/>
    </xf>
    <xf numFmtId="37" fontId="12" fillId="12" borderId="0" xfId="6" applyNumberFormat="1" applyFont="1" applyFill="1" applyBorder="1" applyAlignment="1">
      <alignment horizontal="center" vertical="center"/>
    </xf>
    <xf numFmtId="0" fontId="12" fillId="0" borderId="0" xfId="0" applyFont="1" applyAlignment="1">
      <alignment vertical="center"/>
    </xf>
    <xf numFmtId="37" fontId="12" fillId="12" borderId="47" xfId="6" applyNumberFormat="1" applyFont="1" applyFill="1" applyBorder="1" applyAlignment="1">
      <alignment horizontal="center" vertical="center"/>
    </xf>
    <xf numFmtId="39" fontId="12" fillId="3" borderId="0" xfId="6" applyNumberFormat="1" applyFont="1" applyFill="1" applyBorder="1" applyAlignment="1">
      <alignment horizontal="center" vertical="center"/>
    </xf>
    <xf numFmtId="37" fontId="11" fillId="12" borderId="16" xfId="6" applyNumberFormat="1" applyFont="1" applyFill="1" applyBorder="1" applyAlignment="1">
      <alignment horizontal="left" vertical="center"/>
    </xf>
    <xf numFmtId="39" fontId="12" fillId="3" borderId="21" xfId="6" applyNumberFormat="1" applyFont="1" applyFill="1" applyBorder="1" applyAlignment="1">
      <alignment horizontal="center" vertical="center"/>
    </xf>
    <xf numFmtId="37" fontId="12" fillId="12" borderId="21" xfId="6" applyNumberFormat="1" applyFont="1" applyFill="1" applyBorder="1" applyAlignment="1">
      <alignment horizontal="center" vertical="center"/>
    </xf>
    <xf numFmtId="37" fontId="12" fillId="12" borderId="15" xfId="6" applyNumberFormat="1" applyFont="1" applyFill="1" applyBorder="1" applyAlignment="1">
      <alignment horizontal="center" vertical="center"/>
    </xf>
    <xf numFmtId="37" fontId="12" fillId="12" borderId="108" xfId="6" applyNumberFormat="1" applyFont="1" applyFill="1" applyBorder="1" applyAlignment="1">
      <alignment horizontal="center" vertical="center"/>
    </xf>
    <xf numFmtId="37" fontId="12" fillId="12" borderId="109" xfId="6" applyNumberFormat="1" applyFont="1" applyFill="1" applyBorder="1" applyAlignment="1">
      <alignment horizontal="center" vertical="center"/>
    </xf>
    <xf numFmtId="39" fontId="12" fillId="3" borderId="20" xfId="6" applyNumberFormat="1" applyFont="1" applyFill="1" applyBorder="1" applyAlignment="1">
      <alignment horizontal="center" vertical="center"/>
    </xf>
    <xf numFmtId="37" fontId="11" fillId="12" borderId="15" xfId="6" applyNumberFormat="1" applyFont="1" applyFill="1" applyBorder="1" applyAlignment="1">
      <alignment horizontal="left" vertical="center"/>
    </xf>
    <xf numFmtId="37" fontId="12" fillId="12" borderId="47" xfId="6" applyNumberFormat="1" applyFont="1" applyFill="1" applyBorder="1" applyAlignment="1" applyProtection="1">
      <alignment horizontal="center" vertical="center"/>
      <protection hidden="1"/>
    </xf>
    <xf numFmtId="37" fontId="12" fillId="12" borderId="108" xfId="6" applyNumberFormat="1" applyFont="1" applyFill="1" applyBorder="1" applyAlignment="1" applyProtection="1">
      <alignment horizontal="center" vertical="center"/>
      <protection hidden="1"/>
    </xf>
    <xf numFmtId="1" fontId="12" fillId="0" borderId="33" xfId="6" applyNumberFormat="1" applyFont="1" applyFill="1" applyBorder="1" applyAlignment="1">
      <alignment horizontal="center" vertical="center"/>
    </xf>
    <xf numFmtId="170" fontId="11" fillId="12" borderId="116" xfId="0" applyNumberFormat="1" applyFont="1" applyFill="1" applyBorder="1" applyAlignment="1">
      <alignment horizontal="center" vertical="center"/>
    </xf>
    <xf numFmtId="37" fontId="12" fillId="10" borderId="123" xfId="0" applyNumberFormat="1" applyFont="1" applyFill="1" applyBorder="1" applyAlignment="1">
      <alignment vertical="center"/>
    </xf>
    <xf numFmtId="37" fontId="12" fillId="10" borderId="0" xfId="0" applyNumberFormat="1" applyFont="1" applyFill="1" applyBorder="1" applyAlignment="1">
      <alignment vertical="center"/>
    </xf>
    <xf numFmtId="37" fontId="11" fillId="10" borderId="0" xfId="0" applyNumberFormat="1" applyFont="1" applyFill="1" applyBorder="1" applyAlignment="1">
      <alignment vertical="center"/>
    </xf>
    <xf numFmtId="37" fontId="16" fillId="10" borderId="6" xfId="6" applyNumberFormat="1" applyFont="1" applyFill="1" applyBorder="1" applyAlignment="1">
      <alignment horizontal="center" vertical="center" wrapText="1"/>
    </xf>
    <xf numFmtId="37" fontId="16" fillId="10" borderId="40" xfId="6" applyNumberFormat="1" applyFont="1" applyFill="1" applyBorder="1" applyAlignment="1">
      <alignment horizontal="center" vertical="center" wrapText="1"/>
    </xf>
    <xf numFmtId="37" fontId="16" fillId="10" borderId="122" xfId="6" applyNumberFormat="1" applyFont="1" applyFill="1" applyBorder="1" applyAlignment="1">
      <alignment horizontal="center" vertical="center"/>
    </xf>
    <xf numFmtId="37" fontId="11" fillId="10" borderId="20" xfId="10" applyNumberFormat="1" applyFont="1" applyFill="1" applyBorder="1" applyAlignment="1">
      <alignment horizontal="left" vertical="center"/>
    </xf>
    <xf numFmtId="37" fontId="12" fillId="10" borderId="20" xfId="10" applyNumberFormat="1" applyFont="1" applyFill="1" applyBorder="1" applyAlignment="1">
      <alignment horizontal="center" vertical="center"/>
    </xf>
    <xf numFmtId="37" fontId="11" fillId="10" borderId="121" xfId="10" applyNumberFormat="1" applyFont="1" applyFill="1" applyBorder="1" applyAlignment="1">
      <alignment horizontal="center" vertical="center"/>
    </xf>
    <xf numFmtId="37" fontId="12" fillId="12" borderId="112" xfId="0" applyNumberFormat="1" applyFont="1" applyFill="1" applyBorder="1" applyAlignment="1">
      <alignment horizontal="center" vertical="center"/>
    </xf>
    <xf numFmtId="37" fontId="12" fillId="12" borderId="0" xfId="0" applyNumberFormat="1" applyFont="1" applyFill="1" applyBorder="1" applyAlignment="1">
      <alignment horizontal="center"/>
    </xf>
    <xf numFmtId="0" fontId="35" fillId="12" borderId="0" xfId="0" applyFont="1" applyFill="1" applyAlignment="1">
      <alignment vertical="center"/>
    </xf>
    <xf numFmtId="37" fontId="12" fillId="0" borderId="110" xfId="0" applyNumberFormat="1" applyFont="1" applyFill="1" applyBorder="1" applyAlignment="1">
      <alignment horizontal="center"/>
    </xf>
    <xf numFmtId="37" fontId="12" fillId="0" borderId="111" xfId="0" applyNumberFormat="1" applyFont="1" applyFill="1" applyBorder="1" applyAlignment="1">
      <alignment horizontal="center"/>
    </xf>
    <xf numFmtId="37" fontId="12" fillId="0" borderId="114" xfId="0" applyNumberFormat="1" applyFont="1" applyFill="1" applyBorder="1" applyAlignment="1">
      <alignment horizontal="center"/>
    </xf>
    <xf numFmtId="37" fontId="12" fillId="12" borderId="22" xfId="0" applyNumberFormat="1" applyFont="1" applyFill="1" applyBorder="1" applyAlignment="1">
      <alignment horizontal="center"/>
    </xf>
    <xf numFmtId="37" fontId="11" fillId="12" borderId="18" xfId="10" applyNumberFormat="1" applyFont="1" applyFill="1" applyBorder="1" applyAlignment="1">
      <alignment horizontal="center" vertical="center" wrapText="1"/>
    </xf>
    <xf numFmtId="37" fontId="11" fillId="10" borderId="22" xfId="10" applyNumberFormat="1" applyFont="1" applyFill="1" applyBorder="1" applyAlignment="1">
      <alignment horizontal="center" vertical="center" wrapText="1"/>
    </xf>
    <xf numFmtId="37" fontId="11" fillId="10" borderId="22" xfId="10" applyNumberFormat="1" applyFont="1" applyFill="1" applyBorder="1" applyAlignment="1">
      <alignment horizontal="center" vertical="center"/>
    </xf>
    <xf numFmtId="37" fontId="12" fillId="12" borderId="43" xfId="0" applyNumberFormat="1" applyFont="1" applyFill="1" applyBorder="1" applyAlignment="1">
      <alignment horizontal="center"/>
    </xf>
    <xf numFmtId="37" fontId="11" fillId="12" borderId="22" xfId="10" applyNumberFormat="1" applyFont="1" applyFill="1" applyBorder="1" applyAlignment="1">
      <alignment horizontal="center" vertical="center" wrapText="1"/>
    </xf>
    <xf numFmtId="37" fontId="11" fillId="10" borderId="21" xfId="10" applyNumberFormat="1" applyFont="1" applyFill="1" applyBorder="1" applyAlignment="1">
      <alignment horizontal="center" vertical="center"/>
    </xf>
    <xf numFmtId="37" fontId="11" fillId="12" borderId="116" xfId="0" applyNumberFormat="1" applyFont="1" applyFill="1" applyBorder="1" applyAlignment="1">
      <alignment horizontal="center" vertical="center"/>
    </xf>
    <xf numFmtId="39" fontId="12" fillId="12" borderId="116" xfId="0" applyNumberFormat="1" applyFont="1" applyFill="1" applyBorder="1" applyAlignment="1">
      <alignment horizontal="center" vertical="center"/>
    </xf>
    <xf numFmtId="37" fontId="11" fillId="12" borderId="117" xfId="0" applyNumberFormat="1" applyFont="1" applyFill="1" applyBorder="1" applyAlignment="1">
      <alignment horizontal="center" vertical="center"/>
    </xf>
    <xf numFmtId="39" fontId="12" fillId="12" borderId="0" xfId="0" applyNumberFormat="1" applyFont="1" applyFill="1" applyBorder="1" applyAlignment="1">
      <alignment vertical="center"/>
    </xf>
    <xf numFmtId="170" fontId="12" fillId="12" borderId="0" xfId="0" applyNumberFormat="1" applyFont="1" applyFill="1" applyBorder="1" applyAlignment="1">
      <alignment vertical="center"/>
    </xf>
    <xf numFmtId="37" fontId="11" fillId="12" borderId="0" xfId="0" applyNumberFormat="1" applyFont="1" applyFill="1" applyBorder="1" applyAlignment="1">
      <alignment vertical="center"/>
    </xf>
    <xf numFmtId="37" fontId="11" fillId="12" borderId="0" xfId="0" applyNumberFormat="1" applyFont="1" applyFill="1" applyAlignment="1">
      <alignment vertical="center"/>
    </xf>
    <xf numFmtId="37" fontId="11" fillId="10" borderId="0" xfId="10" applyNumberFormat="1" applyFont="1" applyFill="1" applyBorder="1" applyAlignment="1">
      <alignment horizontal="left" vertical="center"/>
    </xf>
    <xf numFmtId="37" fontId="12" fillId="10" borderId="0" xfId="10" applyNumberFormat="1" applyFont="1" applyFill="1" applyBorder="1" applyAlignment="1">
      <alignment horizontal="center" vertical="center"/>
    </xf>
    <xf numFmtId="0" fontId="11" fillId="10" borderId="22" xfId="10" applyNumberFormat="1" applyFont="1" applyFill="1" applyBorder="1" applyAlignment="1">
      <alignment horizontal="center" vertical="center"/>
    </xf>
    <xf numFmtId="37" fontId="12" fillId="10" borderId="22" xfId="10" applyNumberFormat="1" applyFont="1" applyFill="1" applyBorder="1" applyAlignment="1">
      <alignment horizontal="center" vertical="center"/>
    </xf>
    <xf numFmtId="37" fontId="11" fillId="10" borderId="22" xfId="10" applyNumberFormat="1" applyFont="1" applyFill="1" applyBorder="1" applyAlignment="1">
      <alignment horizontal="left" vertical="center"/>
    </xf>
    <xf numFmtId="37" fontId="12" fillId="10" borderId="31" xfId="10" applyNumberFormat="1" applyFont="1" applyFill="1" applyBorder="1" applyAlignment="1">
      <alignment horizontal="center" vertical="center"/>
    </xf>
    <xf numFmtId="37" fontId="11" fillId="12" borderId="29" xfId="0" applyNumberFormat="1" applyFont="1" applyFill="1" applyBorder="1" applyAlignment="1">
      <alignment horizontal="center"/>
    </xf>
    <xf numFmtId="1" fontId="11" fillId="0" borderId="36" xfId="0" applyNumberFormat="1" applyFont="1" applyFill="1" applyBorder="1" applyAlignment="1">
      <alignment horizontal="left" vertical="center"/>
    </xf>
    <xf numFmtId="37" fontId="12" fillId="0" borderId="106" xfId="0" applyNumberFormat="1" applyFont="1" applyFill="1" applyBorder="1" applyAlignment="1">
      <alignment horizontal="center" vertical="center"/>
    </xf>
    <xf numFmtId="37" fontId="11" fillId="0" borderId="106" xfId="0" applyNumberFormat="1" applyFont="1" applyFill="1" applyBorder="1" applyAlignment="1">
      <alignment horizontal="center" vertical="center"/>
    </xf>
    <xf numFmtId="37" fontId="11" fillId="12" borderId="106" xfId="0" applyNumberFormat="1" applyFont="1" applyFill="1" applyBorder="1" applyAlignment="1">
      <alignment horizontal="center" vertical="center"/>
    </xf>
    <xf numFmtId="37" fontId="11" fillId="12" borderId="53" xfId="0" applyNumberFormat="1" applyFont="1" applyFill="1" applyBorder="1" applyAlignment="1">
      <alignment horizontal="center" vertical="center"/>
    </xf>
    <xf numFmtId="1" fontId="11" fillId="12" borderId="0" xfId="0" applyNumberFormat="1" applyFont="1" applyFill="1" applyBorder="1" applyAlignment="1">
      <alignment horizontal="left" vertical="center"/>
    </xf>
    <xf numFmtId="37" fontId="12" fillId="12" borderId="28" xfId="0" applyNumberFormat="1" applyFont="1" applyFill="1" applyBorder="1" applyAlignment="1">
      <alignment horizontal="center" vertical="center"/>
    </xf>
    <xf numFmtId="37" fontId="12" fillId="12" borderId="5" xfId="0" applyNumberFormat="1" applyFont="1" applyFill="1" applyBorder="1" applyAlignment="1">
      <alignment horizontal="center" vertical="center"/>
    </xf>
    <xf numFmtId="37" fontId="16" fillId="10" borderId="17" xfId="6" applyNumberFormat="1" applyFont="1" applyFill="1" applyBorder="1" applyAlignment="1">
      <alignment horizontal="center" vertical="center" wrapText="1"/>
    </xf>
    <xf numFmtId="37" fontId="11" fillId="12" borderId="0" xfId="10" applyNumberFormat="1" applyFont="1" applyFill="1" applyBorder="1" applyAlignment="1">
      <alignment horizontal="center" vertical="center"/>
    </xf>
    <xf numFmtId="37" fontId="12" fillId="12" borderId="0" xfId="10" applyNumberFormat="1" applyFont="1" applyFill="1" applyBorder="1" applyAlignment="1">
      <alignment horizontal="center" vertical="center"/>
    </xf>
    <xf numFmtId="37" fontId="12" fillId="10" borderId="26" xfId="0" applyNumberFormat="1" applyFont="1" applyFill="1" applyBorder="1" applyAlignment="1">
      <alignment vertical="center"/>
    </xf>
    <xf numFmtId="37" fontId="11" fillId="10" borderId="44" xfId="0" applyNumberFormat="1" applyFont="1" applyFill="1" applyBorder="1" applyAlignment="1">
      <alignment horizontal="left" vertical="center"/>
    </xf>
    <xf numFmtId="37" fontId="11" fillId="10" borderId="43" xfId="0" applyNumberFormat="1" applyFont="1" applyFill="1" applyBorder="1" applyAlignment="1">
      <alignment horizontal="left" vertical="center"/>
    </xf>
    <xf numFmtId="37" fontId="11" fillId="10" borderId="2" xfId="10" applyNumberFormat="1" applyFont="1" applyFill="1" applyBorder="1" applyAlignment="1">
      <alignment horizontal="center" vertical="center"/>
    </xf>
    <xf numFmtId="0" fontId="11" fillId="10" borderId="15" xfId="0" applyFont="1" applyFill="1" applyBorder="1" applyAlignment="1">
      <alignment vertical="center"/>
    </xf>
    <xf numFmtId="37" fontId="12" fillId="10" borderId="19" xfId="10" applyNumberFormat="1" applyFont="1" applyFill="1" applyBorder="1" applyAlignment="1">
      <alignment horizontal="center" vertical="center"/>
    </xf>
    <xf numFmtId="37" fontId="12" fillId="10" borderId="124" xfId="10" applyNumberFormat="1" applyFont="1" applyFill="1" applyBorder="1" applyAlignment="1">
      <alignment horizontal="center" vertical="center"/>
    </xf>
    <xf numFmtId="37" fontId="22" fillId="10" borderId="45" xfId="10" applyNumberFormat="1" applyFont="1" applyFill="1" applyBorder="1" applyAlignment="1">
      <alignment horizontal="left" vertical="center"/>
    </xf>
    <xf numFmtId="37" fontId="11" fillId="10" borderId="45" xfId="10" applyNumberFormat="1" applyFont="1" applyFill="1" applyBorder="1" applyAlignment="1">
      <alignment horizontal="center" vertical="center" wrapText="1"/>
    </xf>
    <xf numFmtId="37" fontId="11" fillId="10" borderId="45" xfId="10" applyNumberFormat="1" applyFont="1" applyFill="1" applyBorder="1" applyAlignment="1">
      <alignment horizontal="center" vertical="center"/>
    </xf>
    <xf numFmtId="37" fontId="12" fillId="10" borderId="86" xfId="10" applyNumberFormat="1" applyFont="1" applyFill="1" applyBorder="1" applyAlignment="1">
      <alignment horizontal="center" vertical="center"/>
    </xf>
    <xf numFmtId="37" fontId="12" fillId="10" borderId="45" xfId="10" applyNumberFormat="1" applyFont="1" applyFill="1" applyBorder="1" applyAlignment="1">
      <alignment horizontal="center" vertical="center"/>
    </xf>
    <xf numFmtId="37" fontId="12" fillId="10" borderId="94" xfId="10" applyNumberFormat="1" applyFont="1" applyFill="1" applyBorder="1" applyAlignment="1">
      <alignment horizontal="center" vertical="center"/>
    </xf>
    <xf numFmtId="37" fontId="11" fillId="10" borderId="24" xfId="10" applyNumberFormat="1" applyFont="1" applyFill="1" applyBorder="1" applyAlignment="1">
      <alignment horizontal="center" vertical="center"/>
    </xf>
    <xf numFmtId="0" fontId="11" fillId="10" borderId="16" xfId="0" applyFont="1" applyFill="1" applyBorder="1" applyAlignment="1">
      <alignment vertical="center"/>
    </xf>
    <xf numFmtId="37" fontId="12" fillId="10" borderId="96" xfId="10" applyNumberFormat="1" applyFont="1" applyFill="1" applyBorder="1" applyAlignment="1">
      <alignment horizontal="center" vertical="center"/>
    </xf>
    <xf numFmtId="37" fontId="12" fillId="10" borderId="100" xfId="10" applyNumberFormat="1" applyFont="1" applyFill="1" applyBorder="1" applyAlignment="1">
      <alignment horizontal="center" vertical="center"/>
    </xf>
    <xf numFmtId="1" fontId="11" fillId="0" borderId="14" xfId="0" applyNumberFormat="1" applyFont="1" applyFill="1" applyBorder="1" applyAlignment="1">
      <alignment horizontal="left" vertical="center"/>
    </xf>
    <xf numFmtId="37" fontId="12" fillId="0" borderId="17" xfId="0" applyNumberFormat="1" applyFont="1" applyFill="1" applyBorder="1" applyAlignment="1">
      <alignment horizontal="center" vertical="center"/>
    </xf>
    <xf numFmtId="37" fontId="11" fillId="0" borderId="17" xfId="0" applyNumberFormat="1" applyFont="1" applyFill="1" applyBorder="1" applyAlignment="1">
      <alignment horizontal="center" vertical="center"/>
    </xf>
    <xf numFmtId="37" fontId="11" fillId="12" borderId="17" xfId="0" applyNumberFormat="1" applyFont="1" applyFill="1" applyBorder="1" applyAlignment="1">
      <alignment horizontal="center" vertical="center"/>
    </xf>
    <xf numFmtId="37" fontId="11" fillId="12" borderId="58" xfId="0" applyNumberFormat="1" applyFont="1" applyFill="1" applyBorder="1" applyAlignment="1">
      <alignment horizontal="center" vertical="center"/>
    </xf>
    <xf numFmtId="0" fontId="12" fillId="0" borderId="0" xfId="0" applyFont="1" applyFill="1" applyAlignment="1">
      <alignment horizontal="left" vertical="center"/>
    </xf>
    <xf numFmtId="37" fontId="16" fillId="10" borderId="30" xfId="6" applyNumberFormat="1" applyFont="1" applyFill="1" applyBorder="1" applyAlignment="1">
      <alignment horizontal="center" vertical="center" wrapText="1"/>
    </xf>
    <xf numFmtId="37" fontId="11" fillId="10" borderId="27" xfId="10" applyNumberFormat="1" applyFont="1" applyFill="1" applyBorder="1" applyAlignment="1">
      <alignment horizontal="center" vertical="center"/>
    </xf>
    <xf numFmtId="37" fontId="12" fillId="10" borderId="18" xfId="10" applyNumberFormat="1" applyFont="1" applyFill="1" applyBorder="1" applyAlignment="1">
      <alignment horizontal="center" vertical="center"/>
    </xf>
    <xf numFmtId="37" fontId="12" fillId="10" borderId="54" xfId="10" applyNumberFormat="1" applyFont="1" applyFill="1" applyBorder="1" applyAlignment="1">
      <alignment horizontal="center" vertical="center"/>
    </xf>
    <xf numFmtId="37" fontId="11" fillId="10" borderId="21" xfId="10" applyNumberFormat="1" applyFont="1" applyFill="1" applyBorder="1" applyAlignment="1">
      <alignment horizontal="center" vertical="center" wrapText="1"/>
    </xf>
    <xf numFmtId="37" fontId="12" fillId="10" borderId="40" xfId="10" applyNumberFormat="1" applyFont="1" applyFill="1" applyBorder="1" applyAlignment="1">
      <alignment horizontal="center" vertical="center"/>
    </xf>
    <xf numFmtId="37" fontId="12" fillId="10" borderId="21" xfId="10" applyNumberFormat="1" applyFont="1" applyFill="1" applyBorder="1" applyAlignment="1">
      <alignment horizontal="center" vertical="center"/>
    </xf>
    <xf numFmtId="37" fontId="11" fillId="10" borderId="49" xfId="10" applyNumberFormat="1" applyFont="1" applyFill="1" applyBorder="1" applyAlignment="1">
      <alignment horizontal="center" vertical="center"/>
    </xf>
    <xf numFmtId="37" fontId="12" fillId="0" borderId="17" xfId="0" applyNumberFormat="1" applyFont="1" applyFill="1" applyBorder="1" applyAlignment="1">
      <alignment vertical="center"/>
    </xf>
    <xf numFmtId="37" fontId="12" fillId="12" borderId="17" xfId="0" applyNumberFormat="1" applyFont="1" applyFill="1" applyBorder="1" applyAlignment="1">
      <alignment vertical="center"/>
    </xf>
    <xf numFmtId="37" fontId="11" fillId="0" borderId="8" xfId="0" applyNumberFormat="1" applyFont="1" applyFill="1" applyBorder="1" applyAlignment="1">
      <alignment horizontal="center" vertical="center"/>
    </xf>
    <xf numFmtId="37" fontId="12" fillId="17" borderId="94" xfId="0" applyNumberFormat="1" applyFont="1" applyFill="1" applyBorder="1" applyAlignment="1">
      <alignment vertical="center"/>
    </xf>
    <xf numFmtId="37" fontId="12" fillId="0" borderId="0" xfId="0" applyNumberFormat="1" applyFont="1" applyFill="1" applyBorder="1" applyAlignment="1">
      <alignment horizontal="center" vertical="center"/>
    </xf>
    <xf numFmtId="1" fontId="12" fillId="0" borderId="0" xfId="0" applyNumberFormat="1" applyFont="1" applyFill="1" applyAlignment="1">
      <alignment horizontal="left" vertical="center"/>
    </xf>
    <xf numFmtId="37" fontId="12" fillId="0" borderId="20" xfId="0" applyNumberFormat="1" applyFont="1" applyFill="1" applyBorder="1" applyAlignment="1">
      <alignment vertical="center"/>
    </xf>
    <xf numFmtId="0" fontId="12" fillId="0" borderId="20" xfId="0" applyFont="1" applyFill="1" applyBorder="1" applyAlignment="1">
      <alignment vertical="center"/>
    </xf>
    <xf numFmtId="0" fontId="12" fillId="0" borderId="20" xfId="0" applyFont="1" applyFill="1" applyBorder="1" applyAlignment="1">
      <alignment horizontal="left" vertical="center"/>
    </xf>
    <xf numFmtId="37" fontId="12" fillId="0" borderId="48" xfId="0" applyNumberFormat="1" applyFont="1" applyFill="1" applyBorder="1" applyAlignment="1">
      <alignment vertical="center"/>
    </xf>
    <xf numFmtId="37" fontId="12" fillId="0" borderId="43" xfId="0" applyNumberFormat="1" applyFont="1" applyFill="1" applyBorder="1" applyAlignment="1">
      <alignment vertical="center"/>
    </xf>
    <xf numFmtId="37" fontId="12" fillId="0" borderId="21" xfId="0" applyNumberFormat="1" applyFont="1" applyFill="1" applyBorder="1" applyAlignment="1">
      <alignment vertical="center"/>
    </xf>
    <xf numFmtId="37" fontId="12" fillId="0" borderId="41" xfId="0" applyNumberFormat="1" applyFont="1" applyFill="1" applyBorder="1" applyAlignment="1">
      <alignment vertical="center"/>
    </xf>
    <xf numFmtId="0" fontId="12" fillId="0" borderId="0" xfId="0" applyFont="1" applyFill="1" applyBorder="1" applyAlignment="1">
      <alignment horizontal="left" vertical="center"/>
    </xf>
    <xf numFmtId="0" fontId="21" fillId="0" borderId="0" xfId="0" applyFont="1" applyFill="1" applyAlignment="1">
      <alignment vertical="center"/>
    </xf>
    <xf numFmtId="1" fontId="21" fillId="0" borderId="0" xfId="0" applyNumberFormat="1" applyFont="1" applyFill="1" applyAlignment="1">
      <alignment vertical="center"/>
    </xf>
    <xf numFmtId="0" fontId="21" fillId="0" borderId="0" xfId="0" applyFont="1" applyFill="1" applyBorder="1" applyAlignment="1">
      <alignment vertical="center"/>
    </xf>
    <xf numFmtId="1" fontId="21" fillId="0" borderId="0" xfId="0" applyNumberFormat="1" applyFont="1" applyFill="1" applyBorder="1" applyAlignment="1">
      <alignment vertical="center"/>
    </xf>
    <xf numFmtId="0" fontId="12" fillId="12" borderId="0" xfId="10" applyFont="1" applyFill="1" applyAlignment="1">
      <alignment vertical="center"/>
    </xf>
    <xf numFmtId="3" fontId="12" fillId="12" borderId="60" xfId="10" applyNumberFormat="1" applyFont="1" applyFill="1" applyBorder="1" applyAlignment="1" applyProtection="1">
      <alignment horizontal="center" vertical="center"/>
    </xf>
    <xf numFmtId="3" fontId="11" fillId="12" borderId="7" xfId="10" applyNumberFormat="1" applyFont="1" applyFill="1" applyBorder="1" applyAlignment="1" applyProtection="1">
      <alignment horizontal="center" vertical="center"/>
    </xf>
    <xf numFmtId="1" fontId="12" fillId="12" borderId="26" xfId="10" applyNumberFormat="1" applyFont="1" applyFill="1" applyBorder="1" applyAlignment="1" applyProtection="1">
      <alignment horizontal="left" vertical="center"/>
    </xf>
    <xf numFmtId="1" fontId="12" fillId="12" borderId="0" xfId="10" applyNumberFormat="1" applyFont="1" applyFill="1" applyBorder="1" applyAlignment="1" applyProtection="1">
      <alignment horizontal="center" vertical="center"/>
    </xf>
    <xf numFmtId="1" fontId="12" fillId="12" borderId="16" xfId="10" applyNumberFormat="1" applyFont="1" applyFill="1" applyBorder="1" applyAlignment="1" applyProtection="1">
      <alignment horizontal="left" vertical="center"/>
    </xf>
    <xf numFmtId="1" fontId="12" fillId="12" borderId="22" xfId="10" applyNumberFormat="1" applyFont="1" applyFill="1" applyBorder="1" applyAlignment="1" applyProtection="1">
      <alignment horizontal="center" vertical="center"/>
    </xf>
    <xf numFmtId="1" fontId="12" fillId="13" borderId="60" xfId="10" applyNumberFormat="1" applyFont="1" applyFill="1" applyBorder="1" applyAlignment="1" applyProtection="1">
      <alignment horizontal="center" vertical="center"/>
    </xf>
    <xf numFmtId="1" fontId="12" fillId="13" borderId="22" xfId="10" applyNumberFormat="1" applyFont="1" applyFill="1" applyBorder="1" applyAlignment="1" applyProtection="1">
      <alignment horizontal="center" vertical="center"/>
    </xf>
    <xf numFmtId="1" fontId="12" fillId="12" borderId="15" xfId="10" applyNumberFormat="1" applyFont="1" applyFill="1" applyBorder="1" applyAlignment="1" applyProtection="1">
      <alignment horizontal="left" vertical="center"/>
    </xf>
    <xf numFmtId="1" fontId="12" fillId="12" borderId="21" xfId="10" applyNumberFormat="1" applyFont="1" applyFill="1" applyBorder="1" applyAlignment="1" applyProtection="1">
      <alignment horizontal="center" vertical="center"/>
    </xf>
    <xf numFmtId="1" fontId="12" fillId="12" borderId="28" xfId="10" applyNumberFormat="1" applyFont="1" applyFill="1" applyBorder="1" applyAlignment="1" applyProtection="1">
      <alignment horizontal="left" vertical="center"/>
    </xf>
    <xf numFmtId="1" fontId="12" fillId="12" borderId="5" xfId="10" applyNumberFormat="1" applyFont="1" applyFill="1" applyBorder="1" applyAlignment="1" applyProtection="1">
      <alignment horizontal="center" vertical="center"/>
    </xf>
    <xf numFmtId="1" fontId="12" fillId="13" borderId="26" xfId="10" applyNumberFormat="1" applyFont="1" applyFill="1" applyBorder="1" applyAlignment="1" applyProtection="1">
      <alignment horizontal="left" vertical="center"/>
    </xf>
    <xf numFmtId="1" fontId="12" fillId="13" borderId="0" xfId="10" applyNumberFormat="1" applyFont="1" applyFill="1" applyBorder="1" applyAlignment="1" applyProtection="1">
      <alignment horizontal="center" vertical="center"/>
    </xf>
    <xf numFmtId="1" fontId="12" fillId="12" borderId="125" xfId="10" applyNumberFormat="1" applyFont="1" applyFill="1" applyBorder="1" applyAlignment="1" applyProtection="1">
      <alignment horizontal="left" vertical="center"/>
    </xf>
    <xf numFmtId="1" fontId="12" fillId="12" borderId="126" xfId="10" applyNumberFormat="1" applyFont="1" applyFill="1" applyBorder="1" applyAlignment="1" applyProtection="1">
      <alignment horizontal="center" vertical="center"/>
    </xf>
    <xf numFmtId="3" fontId="11" fillId="12" borderId="31" xfId="10" applyNumberFormat="1" applyFont="1" applyFill="1" applyBorder="1" applyAlignment="1" applyProtection="1">
      <alignment horizontal="center" vertical="center"/>
    </xf>
    <xf numFmtId="3" fontId="12" fillId="12" borderId="27" xfId="10" applyNumberFormat="1" applyFont="1" applyFill="1" applyBorder="1" applyAlignment="1" applyProtection="1">
      <alignment horizontal="center" vertical="center"/>
    </xf>
    <xf numFmtId="3" fontId="11" fillId="12" borderId="27" xfId="10" applyNumberFormat="1" applyFont="1" applyFill="1" applyBorder="1" applyAlignment="1" applyProtection="1">
      <alignment horizontal="center" vertical="center"/>
    </xf>
    <xf numFmtId="3" fontId="12" fillId="12" borderId="54" xfId="10" applyNumberFormat="1" applyFont="1" applyFill="1" applyBorder="1" applyAlignment="1" applyProtection="1">
      <alignment horizontal="center" vertical="center"/>
    </xf>
    <xf numFmtId="3" fontId="12" fillId="12" borderId="50" xfId="10" applyNumberFormat="1" applyFont="1" applyFill="1" applyBorder="1" applyAlignment="1" applyProtection="1">
      <alignment horizontal="center" vertical="center"/>
    </xf>
    <xf numFmtId="1" fontId="12" fillId="13" borderId="27" xfId="10" applyNumberFormat="1" applyFont="1" applyFill="1" applyBorder="1" applyAlignment="1" applyProtection="1">
      <alignment horizontal="center" vertical="center"/>
    </xf>
    <xf numFmtId="0" fontId="12" fillId="0" borderId="0" xfId="10" applyFont="1" applyFill="1" applyBorder="1" applyAlignment="1">
      <alignment horizontal="left" vertical="center"/>
    </xf>
    <xf numFmtId="0" fontId="12" fillId="0" borderId="0" xfId="10" applyFont="1" applyFill="1" applyBorder="1" applyAlignment="1">
      <alignment vertical="center"/>
    </xf>
    <xf numFmtId="1" fontId="12" fillId="13" borderId="0" xfId="10" applyNumberFormat="1" applyFont="1" applyFill="1" applyBorder="1" applyAlignment="1" applyProtection="1">
      <alignment horizontal="left" vertical="center"/>
    </xf>
    <xf numFmtId="37" fontId="12" fillId="0" borderId="29" xfId="0" applyNumberFormat="1" applyFont="1" applyFill="1" applyBorder="1" applyAlignment="1">
      <alignment horizontal="center" vertical="center"/>
    </xf>
    <xf numFmtId="0" fontId="12" fillId="0" borderId="0" xfId="10" applyFont="1" applyFill="1" applyAlignment="1">
      <alignment horizontal="left" vertical="center"/>
    </xf>
    <xf numFmtId="2" fontId="12" fillId="0" borderId="0" xfId="10" applyNumberFormat="1" applyFont="1" applyFill="1" applyBorder="1" applyAlignment="1" applyProtection="1">
      <alignment horizontal="left"/>
    </xf>
    <xf numFmtId="0" fontId="12" fillId="0" borderId="0" xfId="0" applyFont="1" applyFill="1" applyAlignment="1">
      <alignment horizontal="left"/>
    </xf>
    <xf numFmtId="1" fontId="11" fillId="0" borderId="0" xfId="10" applyNumberFormat="1" applyFont="1" applyFill="1" applyBorder="1" applyAlignment="1">
      <alignment horizontal="center" vertical="center"/>
    </xf>
    <xf numFmtId="0" fontId="12" fillId="12" borderId="23" xfId="0" applyFont="1" applyFill="1" applyBorder="1" applyAlignment="1">
      <alignment horizontal="left" vertical="center"/>
    </xf>
    <xf numFmtId="37" fontId="11" fillId="12" borderId="0" xfId="0" applyNumberFormat="1" applyFont="1" applyFill="1"/>
    <xf numFmtId="37" fontId="12" fillId="12" borderId="0" xfId="0" applyNumberFormat="1" applyFont="1" applyFill="1"/>
    <xf numFmtId="37" fontId="12" fillId="12" borderId="0" xfId="0" applyNumberFormat="1" applyFont="1" applyFill="1" applyBorder="1"/>
    <xf numFmtId="37" fontId="14" fillId="12" borderId="0" xfId="12" applyNumberFormat="1" applyFont="1" applyFill="1" applyAlignment="1"/>
    <xf numFmtId="37" fontId="16" fillId="0" borderId="0" xfId="6" applyNumberFormat="1" applyFont="1" applyFill="1" applyBorder="1" applyAlignment="1">
      <alignment horizontal="center" vertical="center" wrapText="1"/>
    </xf>
    <xf numFmtId="37" fontId="12" fillId="0" borderId="0" xfId="6" applyNumberFormat="1" applyFont="1" applyFill="1" applyAlignment="1">
      <alignment horizontal="center" vertical="center"/>
    </xf>
    <xf numFmtId="37" fontId="12" fillId="10" borderId="17" xfId="0" applyNumberFormat="1" applyFont="1" applyFill="1" applyBorder="1"/>
    <xf numFmtId="37" fontId="12" fillId="0" borderId="0" xfId="0" applyNumberFormat="1" applyFont="1" applyFill="1" applyBorder="1" applyAlignment="1">
      <alignment horizontal="center"/>
    </xf>
    <xf numFmtId="37" fontId="12" fillId="12" borderId="27" xfId="0" applyNumberFormat="1" applyFont="1" applyFill="1" applyBorder="1" applyAlignment="1">
      <alignment horizontal="center"/>
    </xf>
    <xf numFmtId="37" fontId="12" fillId="12" borderId="26" xfId="0" applyNumberFormat="1" applyFont="1" applyFill="1" applyBorder="1"/>
    <xf numFmtId="37" fontId="12" fillId="12" borderId="29" xfId="0" applyNumberFormat="1" applyFont="1" applyFill="1" applyBorder="1" applyAlignment="1">
      <alignment horizontal="center"/>
    </xf>
    <xf numFmtId="37" fontId="12" fillId="9" borderId="0" xfId="0" applyNumberFormat="1" applyFont="1" applyFill="1" applyBorder="1"/>
    <xf numFmtId="37" fontId="12" fillId="9" borderId="0" xfId="0" applyNumberFormat="1" applyFont="1" applyFill="1" applyBorder="1" applyAlignment="1">
      <alignment horizontal="center"/>
    </xf>
    <xf numFmtId="37" fontId="12" fillId="12" borderId="17" xfId="0" applyNumberFormat="1" applyFont="1" applyFill="1" applyBorder="1" applyAlignment="1">
      <alignment horizontal="center"/>
    </xf>
    <xf numFmtId="37" fontId="11" fillId="12" borderId="0" xfId="0" applyNumberFormat="1" applyFont="1" applyFill="1" applyBorder="1"/>
    <xf numFmtId="37" fontId="12" fillId="12" borderId="5" xfId="0" applyNumberFormat="1" applyFont="1" applyFill="1" applyBorder="1"/>
    <xf numFmtId="37" fontId="11" fillId="12" borderId="0" xfId="0" applyNumberFormat="1" applyFont="1" applyFill="1" applyBorder="1" applyAlignment="1">
      <alignment horizontal="center"/>
    </xf>
    <xf numFmtId="37" fontId="12" fillId="0" borderId="0" xfId="0" applyNumberFormat="1" applyFont="1" applyFill="1" applyBorder="1"/>
    <xf numFmtId="37" fontId="11" fillId="0" borderId="0" xfId="0" applyNumberFormat="1" applyFont="1" applyFill="1" applyBorder="1" applyAlignment="1">
      <alignment horizontal="center"/>
    </xf>
    <xf numFmtId="37" fontId="12" fillId="12" borderId="0" xfId="10" applyNumberFormat="1" applyFont="1" applyFill="1" applyBorder="1" applyAlignment="1">
      <alignment vertical="center"/>
    </xf>
    <xf numFmtId="37" fontId="11" fillId="0" borderId="0" xfId="10" applyNumberFormat="1" applyFont="1" applyFill="1" applyBorder="1" applyAlignment="1">
      <alignment horizontal="center" vertical="center" wrapText="1"/>
    </xf>
    <xf numFmtId="37" fontId="11" fillId="0" borderId="0" xfId="10" applyNumberFormat="1" applyFont="1" applyFill="1" applyBorder="1" applyAlignment="1">
      <alignment horizontal="center" vertical="center"/>
    </xf>
    <xf numFmtId="37" fontId="12" fillId="0" borderId="26" xfId="0" applyNumberFormat="1" applyFont="1" applyFill="1" applyBorder="1"/>
    <xf numFmtId="37" fontId="11" fillId="0" borderId="0" xfId="0" applyNumberFormat="1" applyFont="1" applyFill="1" applyBorder="1"/>
    <xf numFmtId="37" fontId="12" fillId="12" borderId="0" xfId="0" applyNumberFormat="1" applyFont="1" applyFill="1" applyBorder="1" applyAlignment="1">
      <alignment horizontal="left"/>
    </xf>
    <xf numFmtId="37" fontId="11" fillId="0" borderId="0" xfId="0" applyNumberFormat="1" applyFont="1" applyFill="1"/>
    <xf numFmtId="37" fontId="12" fillId="12" borderId="5" xfId="0" applyNumberFormat="1" applyFont="1" applyFill="1" applyBorder="1" applyAlignment="1">
      <alignment horizontal="center"/>
    </xf>
    <xf numFmtId="37" fontId="12" fillId="0" borderId="27" xfId="0" applyNumberFormat="1" applyFont="1" applyFill="1" applyBorder="1" applyAlignment="1">
      <alignment horizontal="center"/>
    </xf>
    <xf numFmtId="37" fontId="12" fillId="0" borderId="61" xfId="0" applyNumberFormat="1" applyFont="1" applyFill="1" applyBorder="1"/>
    <xf numFmtId="37" fontId="12" fillId="12" borderId="27" xfId="0" applyNumberFormat="1" applyFont="1" applyFill="1" applyBorder="1"/>
    <xf numFmtId="37" fontId="12" fillId="12" borderId="26" xfId="0" applyNumberFormat="1" applyFont="1" applyFill="1" applyBorder="1" applyAlignment="1">
      <alignment horizontal="left"/>
    </xf>
    <xf numFmtId="37" fontId="12" fillId="12" borderId="26" xfId="0" applyNumberFormat="1" applyFont="1" applyFill="1" applyBorder="1" applyAlignment="1">
      <alignment horizontal="right"/>
    </xf>
    <xf numFmtId="37" fontId="12" fillId="12" borderId="0" xfId="0" applyNumberFormat="1" applyFont="1" applyFill="1" applyBorder="1" applyAlignment="1">
      <alignment horizontal="right"/>
    </xf>
    <xf numFmtId="37" fontId="12" fillId="9" borderId="0" xfId="0" applyNumberFormat="1" applyFont="1" applyFill="1" applyBorder="1" applyAlignment="1">
      <alignment horizontal="right"/>
    </xf>
    <xf numFmtId="0" fontId="12" fillId="12" borderId="15" xfId="0" applyFont="1" applyFill="1" applyBorder="1" applyAlignment="1">
      <alignment horizontal="left" vertical="center"/>
    </xf>
    <xf numFmtId="37" fontId="12" fillId="12" borderId="0" xfId="0" applyNumberFormat="1" applyFont="1" applyFill="1" applyAlignment="1">
      <alignment horizontal="right"/>
    </xf>
    <xf numFmtId="37" fontId="11" fillId="10" borderId="14" xfId="0" applyNumberFormat="1" applyFont="1" applyFill="1" applyBorder="1" applyAlignment="1">
      <alignment horizontal="left"/>
    </xf>
    <xf numFmtId="37" fontId="11" fillId="11" borderId="15" xfId="0" applyNumberFormat="1" applyFont="1" applyFill="1" applyBorder="1" applyAlignment="1">
      <alignment horizontal="left"/>
    </xf>
    <xf numFmtId="37" fontId="12" fillId="9" borderId="0" xfId="10" applyNumberFormat="1" applyFont="1" applyFill="1" applyBorder="1" applyAlignment="1">
      <alignment vertical="center"/>
    </xf>
    <xf numFmtId="37" fontId="12" fillId="12" borderId="42" xfId="0" applyNumberFormat="1" applyFont="1" applyFill="1" applyBorder="1" applyAlignment="1">
      <alignment horizontal="right"/>
    </xf>
    <xf numFmtId="37" fontId="12" fillId="12" borderId="43" xfId="0" applyNumberFormat="1" applyFont="1" applyFill="1" applyBorder="1" applyAlignment="1">
      <alignment horizontal="right"/>
    </xf>
    <xf numFmtId="37" fontId="12" fillId="12" borderId="27" xfId="0" applyNumberFormat="1" applyFont="1" applyFill="1" applyBorder="1" applyAlignment="1">
      <alignment horizontal="right"/>
    </xf>
    <xf numFmtId="37" fontId="12" fillId="14" borderId="0" xfId="10" applyNumberFormat="1" applyFont="1" applyFill="1" applyBorder="1" applyAlignment="1">
      <alignment vertical="center"/>
    </xf>
    <xf numFmtId="37" fontId="12" fillId="12" borderId="24" xfId="0" applyNumberFormat="1" applyFont="1" applyFill="1" applyBorder="1" applyAlignment="1">
      <alignment horizontal="right"/>
    </xf>
    <xf numFmtId="37" fontId="11" fillId="12" borderId="0" xfId="0" applyNumberFormat="1" applyFont="1" applyFill="1" applyBorder="1" applyAlignment="1">
      <alignment horizontal="left"/>
    </xf>
    <xf numFmtId="37" fontId="11" fillId="12" borderId="0" xfId="0" applyNumberFormat="1" applyFont="1" applyFill="1" applyBorder="1" applyAlignment="1">
      <alignment horizontal="right"/>
    </xf>
    <xf numFmtId="37" fontId="12" fillId="12" borderId="46" xfId="0" applyNumberFormat="1" applyFont="1" applyFill="1" applyBorder="1" applyAlignment="1">
      <alignment horizontal="left"/>
    </xf>
    <xf numFmtId="37" fontId="12" fillId="12" borderId="20" xfId="0" applyNumberFormat="1" applyFont="1" applyFill="1" applyBorder="1" applyAlignment="1">
      <alignment horizontal="center"/>
    </xf>
    <xf numFmtId="37" fontId="12" fillId="12" borderId="20" xfId="0" applyNumberFormat="1" applyFont="1" applyFill="1" applyBorder="1" applyAlignment="1">
      <alignment horizontal="right"/>
    </xf>
    <xf numFmtId="37" fontId="12" fillId="0" borderId="0" xfId="0" applyNumberFormat="1" applyFont="1" applyFill="1" applyBorder="1" applyAlignment="1">
      <alignment horizontal="right"/>
    </xf>
    <xf numFmtId="37" fontId="12" fillId="0" borderId="27" xfId="0" applyNumberFormat="1" applyFont="1" applyFill="1" applyBorder="1" applyAlignment="1">
      <alignment horizontal="right"/>
    </xf>
    <xf numFmtId="37" fontId="12" fillId="0" borderId="26" xfId="0" applyNumberFormat="1" applyFont="1" applyFill="1" applyBorder="1" applyAlignment="1">
      <alignment horizontal="left"/>
    </xf>
    <xf numFmtId="37" fontId="11" fillId="10" borderId="45" xfId="0" applyNumberFormat="1" applyFont="1" applyFill="1" applyBorder="1" applyAlignment="1">
      <alignment horizontal="right"/>
    </xf>
    <xf numFmtId="37" fontId="14" fillId="12" borderId="0" xfId="12" applyNumberFormat="1" applyFont="1" applyFill="1" applyBorder="1" applyAlignment="1"/>
    <xf numFmtId="37" fontId="14" fillId="12" borderId="0" xfId="12" applyNumberFormat="1" applyFont="1" applyFill="1" applyBorder="1"/>
    <xf numFmtId="37" fontId="11" fillId="0" borderId="0" xfId="10" applyNumberFormat="1" applyFont="1" applyFill="1" applyBorder="1" applyAlignment="1">
      <alignment vertical="center"/>
    </xf>
    <xf numFmtId="37" fontId="11" fillId="10" borderId="0" xfId="10" applyNumberFormat="1" applyFont="1" applyFill="1" applyBorder="1" applyAlignment="1">
      <alignment horizontal="right" vertical="center"/>
    </xf>
    <xf numFmtId="37" fontId="11" fillId="12" borderId="0" xfId="10" applyNumberFormat="1" applyFont="1" applyFill="1" applyBorder="1" applyAlignment="1">
      <alignment vertical="center"/>
    </xf>
    <xf numFmtId="37" fontId="12" fillId="12" borderId="26" xfId="10" applyNumberFormat="1" applyFont="1" applyFill="1" applyBorder="1" applyAlignment="1">
      <alignment vertical="center"/>
    </xf>
    <xf numFmtId="37" fontId="12" fillId="14" borderId="0" xfId="0" applyNumberFormat="1" applyFont="1" applyFill="1" applyBorder="1" applyAlignment="1">
      <alignment horizontal="center"/>
    </xf>
    <xf numFmtId="37" fontId="12" fillId="9" borderId="0" xfId="10" applyNumberFormat="1" applyFont="1" applyFill="1" applyBorder="1" applyAlignment="1">
      <alignment horizontal="center" vertical="center"/>
    </xf>
    <xf numFmtId="37" fontId="12" fillId="12" borderId="51" xfId="0" applyNumberFormat="1" applyFont="1" applyFill="1" applyBorder="1"/>
    <xf numFmtId="37" fontId="12" fillId="12" borderId="20" xfId="0" applyNumberFormat="1" applyFont="1" applyFill="1" applyBorder="1"/>
    <xf numFmtId="37" fontId="12" fillId="12" borderId="44" xfId="0" applyNumberFormat="1" applyFont="1" applyFill="1" applyBorder="1"/>
    <xf numFmtId="37" fontId="12" fillId="0" borderId="43" xfId="0" applyNumberFormat="1" applyFont="1" applyFill="1" applyBorder="1" applyAlignment="1">
      <alignment horizontal="right"/>
    </xf>
    <xf numFmtId="37" fontId="12" fillId="12" borderId="40" xfId="0" applyNumberFormat="1" applyFont="1" applyFill="1" applyBorder="1"/>
    <xf numFmtId="37" fontId="11" fillId="12" borderId="19" xfId="0" applyNumberFormat="1" applyFont="1" applyFill="1" applyBorder="1"/>
    <xf numFmtId="37" fontId="11" fillId="12" borderId="22" xfId="0" applyNumberFormat="1" applyFont="1" applyFill="1" applyBorder="1"/>
    <xf numFmtId="37" fontId="11" fillId="12" borderId="22" xfId="0" applyNumberFormat="1" applyFont="1" applyFill="1" applyBorder="1" applyAlignment="1">
      <alignment horizontal="right"/>
    </xf>
    <xf numFmtId="37" fontId="38" fillId="12" borderId="0" xfId="0" applyNumberFormat="1" applyFont="1" applyFill="1" applyBorder="1" applyAlignment="1">
      <alignment horizontal="right"/>
    </xf>
    <xf numFmtId="37" fontId="12" fillId="12" borderId="44" xfId="0" applyNumberFormat="1" applyFont="1" applyFill="1" applyBorder="1" applyAlignment="1">
      <alignment horizontal="right"/>
    </xf>
    <xf numFmtId="37" fontId="11" fillId="12" borderId="51" xfId="0" applyNumberFormat="1" applyFont="1" applyFill="1" applyBorder="1"/>
    <xf numFmtId="37" fontId="11" fillId="12" borderId="20" xfId="0" applyNumberFormat="1" applyFont="1" applyFill="1" applyBorder="1" applyAlignment="1">
      <alignment horizontal="center"/>
    </xf>
    <xf numFmtId="37" fontId="12" fillId="0" borderId="0" xfId="0" applyNumberFormat="1" applyFont="1" applyFill="1" applyAlignment="1">
      <alignment horizontal="left"/>
    </xf>
    <xf numFmtId="37" fontId="12" fillId="0" borderId="0" xfId="0" applyNumberFormat="1" applyFont="1" applyFill="1" applyAlignment="1">
      <alignment horizontal="right"/>
    </xf>
    <xf numFmtId="37" fontId="11" fillId="10" borderId="23" xfId="0" applyNumberFormat="1" applyFont="1" applyFill="1" applyBorder="1"/>
    <xf numFmtId="37" fontId="11" fillId="10" borderId="24" xfId="0" applyNumberFormat="1" applyFont="1" applyFill="1" applyBorder="1" applyAlignment="1">
      <alignment horizontal="right"/>
    </xf>
    <xf numFmtId="37" fontId="41" fillId="10" borderId="28" xfId="0" applyNumberFormat="1" applyFont="1" applyFill="1" applyBorder="1" applyAlignment="1">
      <alignment horizontal="left"/>
    </xf>
    <xf numFmtId="37" fontId="41" fillId="10" borderId="5" xfId="0" applyNumberFormat="1" applyFont="1" applyFill="1" applyBorder="1" applyAlignment="1">
      <alignment horizontal="right"/>
    </xf>
    <xf numFmtId="37" fontId="41" fillId="10" borderId="29" xfId="0" applyNumberFormat="1" applyFont="1" applyFill="1" applyBorder="1" applyAlignment="1">
      <alignment horizontal="right"/>
    </xf>
    <xf numFmtId="37" fontId="12" fillId="12" borderId="14" xfId="0" applyNumberFormat="1" applyFont="1" applyFill="1" applyBorder="1" applyAlignment="1">
      <alignment horizontal="left"/>
    </xf>
    <xf numFmtId="37" fontId="12" fillId="12" borderId="17" xfId="0" applyNumberFormat="1" applyFont="1" applyFill="1" applyBorder="1" applyAlignment="1">
      <alignment horizontal="right"/>
    </xf>
    <xf numFmtId="37" fontId="11" fillId="12" borderId="30" xfId="0" applyNumberFormat="1" applyFont="1" applyFill="1" applyBorder="1" applyAlignment="1">
      <alignment horizontal="right"/>
    </xf>
    <xf numFmtId="37" fontId="23" fillId="12" borderId="0" xfId="0" applyNumberFormat="1" applyFont="1" applyFill="1"/>
    <xf numFmtId="37" fontId="23" fillId="12" borderId="0" xfId="0" applyNumberFormat="1" applyFont="1" applyFill="1" applyAlignment="1">
      <alignment horizontal="right"/>
    </xf>
    <xf numFmtId="37" fontId="41" fillId="12" borderId="26" xfId="0" applyNumberFormat="1" applyFont="1" applyFill="1" applyBorder="1" applyAlignment="1">
      <alignment horizontal="left"/>
    </xf>
    <xf numFmtId="37" fontId="42" fillId="12" borderId="0" xfId="0" applyNumberFormat="1" applyFont="1" applyFill="1" applyBorder="1" applyAlignment="1">
      <alignment horizontal="right"/>
    </xf>
    <xf numFmtId="37" fontId="12" fillId="10" borderId="28" xfId="0" applyNumberFormat="1" applyFont="1" applyFill="1" applyBorder="1" applyAlignment="1">
      <alignment horizontal="left"/>
    </xf>
    <xf numFmtId="37" fontId="12" fillId="10" borderId="5" xfId="0" applyNumberFormat="1" applyFont="1" applyFill="1" applyBorder="1" applyAlignment="1">
      <alignment horizontal="right"/>
    </xf>
    <xf numFmtId="37" fontId="12" fillId="10" borderId="29" xfId="0" applyNumberFormat="1" applyFont="1" applyFill="1" applyBorder="1" applyAlignment="1">
      <alignment horizontal="right"/>
    </xf>
    <xf numFmtId="37" fontId="41" fillId="12" borderId="0" xfId="0" applyNumberFormat="1" applyFont="1" applyFill="1" applyBorder="1" applyAlignment="1">
      <alignment horizontal="left"/>
    </xf>
    <xf numFmtId="37" fontId="11" fillId="12" borderId="0" xfId="0" applyNumberFormat="1" applyFont="1" applyFill="1" applyAlignment="1">
      <alignment horizontal="right"/>
    </xf>
    <xf numFmtId="37" fontId="11" fillId="0" borderId="0" xfId="0" applyNumberFormat="1" applyFont="1" applyFill="1" applyAlignment="1">
      <alignment horizontal="center"/>
    </xf>
    <xf numFmtId="37" fontId="11" fillId="0" borderId="23" xfId="0" applyNumberFormat="1" applyFont="1" applyFill="1" applyBorder="1"/>
    <xf numFmtId="37" fontId="11" fillId="0" borderId="24" xfId="0" applyNumberFormat="1" applyFont="1" applyFill="1" applyBorder="1"/>
    <xf numFmtId="37" fontId="11" fillId="0" borderId="14" xfId="0" applyNumberFormat="1" applyFont="1" applyFill="1" applyBorder="1"/>
    <xf numFmtId="37" fontId="12" fillId="0" borderId="30" xfId="0" applyNumberFormat="1" applyFont="1" applyFill="1" applyBorder="1"/>
    <xf numFmtId="37" fontId="12" fillId="0" borderId="27" xfId="0" applyNumberFormat="1" applyFont="1" applyFill="1" applyBorder="1"/>
    <xf numFmtId="37" fontId="11" fillId="0" borderId="61" xfId="0" applyNumberFormat="1" applyFont="1" applyFill="1" applyBorder="1"/>
    <xf numFmtId="37" fontId="12" fillId="0" borderId="65" xfId="0" applyNumberFormat="1" applyFont="1" applyFill="1" applyBorder="1"/>
    <xf numFmtId="37" fontId="11" fillId="0" borderId="28" xfId="0" applyNumberFormat="1" applyFont="1" applyFill="1" applyBorder="1"/>
    <xf numFmtId="37" fontId="12" fillId="0" borderId="23" xfId="0" applyNumberFormat="1" applyFont="1" applyFill="1" applyBorder="1"/>
    <xf numFmtId="37" fontId="12" fillId="0" borderId="24" xfId="0" applyNumberFormat="1" applyFont="1" applyFill="1" applyBorder="1"/>
    <xf numFmtId="37" fontId="11" fillId="0" borderId="26" xfId="0" applyNumberFormat="1" applyFont="1" applyFill="1" applyBorder="1"/>
    <xf numFmtId="37" fontId="12" fillId="0" borderId="29" xfId="0" applyNumberFormat="1" applyFont="1" applyFill="1" applyBorder="1"/>
    <xf numFmtId="37" fontId="11" fillId="0" borderId="65" xfId="0" applyNumberFormat="1" applyFont="1" applyFill="1" applyBorder="1"/>
    <xf numFmtId="37" fontId="11" fillId="0" borderId="66" xfId="0" applyNumberFormat="1" applyFont="1" applyFill="1" applyBorder="1"/>
    <xf numFmtId="37" fontId="43" fillId="0" borderId="0" xfId="0" applyNumberFormat="1" applyFont="1" applyFill="1" applyBorder="1" applyAlignment="1">
      <alignment horizontal="right"/>
    </xf>
    <xf numFmtId="37" fontId="11" fillId="0" borderId="28" xfId="0" applyNumberFormat="1" applyFont="1" applyFill="1" applyBorder="1" applyAlignment="1">
      <alignment horizontal="left"/>
    </xf>
    <xf numFmtId="37" fontId="11" fillId="0" borderId="0" xfId="0" applyNumberFormat="1" applyFont="1" applyFill="1" applyBorder="1" applyAlignment="1">
      <alignment horizontal="right"/>
    </xf>
    <xf numFmtId="37" fontId="11" fillId="0" borderId="45" xfId="0" applyNumberFormat="1" applyFont="1" applyFill="1" applyBorder="1"/>
    <xf numFmtId="37" fontId="11" fillId="0" borderId="17" xfId="0" applyNumberFormat="1" applyFont="1" applyFill="1" applyBorder="1" applyAlignment="1">
      <alignment horizontal="center"/>
    </xf>
    <xf numFmtId="37" fontId="11" fillId="0" borderId="30" xfId="0" applyNumberFormat="1" applyFont="1" applyFill="1" applyBorder="1" applyAlignment="1">
      <alignment horizontal="center"/>
    </xf>
    <xf numFmtId="37" fontId="11" fillId="0" borderId="72" xfId="0" applyNumberFormat="1" applyFont="1" applyFill="1" applyBorder="1"/>
    <xf numFmtId="37" fontId="11" fillId="0" borderId="70" xfId="0" applyNumberFormat="1" applyFont="1" applyFill="1" applyBorder="1" applyAlignment="1">
      <alignment horizontal="center"/>
    </xf>
    <xf numFmtId="37" fontId="11" fillId="0" borderId="73" xfId="0" applyNumberFormat="1" applyFont="1" applyFill="1" applyBorder="1" applyAlignment="1">
      <alignment horizontal="center"/>
    </xf>
    <xf numFmtId="37" fontId="11" fillId="0" borderId="16" xfId="0" applyNumberFormat="1" applyFont="1" applyFill="1" applyBorder="1"/>
    <xf numFmtId="37" fontId="11" fillId="0" borderId="31" xfId="0" applyNumberFormat="1" applyFont="1" applyFill="1" applyBorder="1" applyAlignment="1">
      <alignment horizontal="right"/>
    </xf>
    <xf numFmtId="37" fontId="11" fillId="0" borderId="27" xfId="0" applyNumberFormat="1" applyFont="1" applyFill="1" applyBorder="1" applyAlignment="1">
      <alignment horizontal="right"/>
    </xf>
    <xf numFmtId="37" fontId="11" fillId="0" borderId="36" xfId="0" applyNumberFormat="1" applyFont="1" applyFill="1" applyBorder="1"/>
    <xf numFmtId="37" fontId="11" fillId="0" borderId="37" xfId="0" applyNumberFormat="1" applyFont="1" applyFill="1" applyBorder="1" applyAlignment="1">
      <alignment horizontal="right"/>
    </xf>
    <xf numFmtId="37" fontId="44" fillId="0" borderId="0" xfId="0" applyNumberFormat="1" applyFont="1" applyFill="1"/>
    <xf numFmtId="37" fontId="40" fillId="0" borderId="0" xfId="0" applyNumberFormat="1" applyFont="1" applyFill="1" applyBorder="1"/>
    <xf numFmtId="37" fontId="12" fillId="0" borderId="24" xfId="0" applyNumberFormat="1" applyFont="1" applyFill="1" applyBorder="1" applyAlignment="1">
      <alignment horizontal="center"/>
    </xf>
    <xf numFmtId="37" fontId="11" fillId="0" borderId="45" xfId="0" applyNumberFormat="1" applyFont="1" applyFill="1" applyBorder="1" applyAlignment="1">
      <alignment horizontal="center"/>
    </xf>
    <xf numFmtId="37" fontId="11" fillId="12" borderId="17" xfId="0" applyNumberFormat="1" applyFont="1" applyFill="1" applyBorder="1" applyAlignment="1">
      <alignment horizontal="right"/>
    </xf>
    <xf numFmtId="37" fontId="41" fillId="12" borderId="27" xfId="0" applyNumberFormat="1" applyFont="1" applyFill="1" applyBorder="1" applyAlignment="1">
      <alignment horizontal="right"/>
    </xf>
    <xf numFmtId="37" fontId="11" fillId="12" borderId="27" xfId="0" applyNumberFormat="1" applyFont="1" applyFill="1" applyBorder="1" applyAlignment="1">
      <alignment horizontal="right"/>
    </xf>
    <xf numFmtId="37" fontId="21" fillId="12" borderId="0" xfId="0" applyNumberFormat="1" applyFont="1" applyFill="1" applyBorder="1" applyAlignment="1">
      <alignment horizontal="center"/>
    </xf>
    <xf numFmtId="37" fontId="16" fillId="10" borderId="51" xfId="0" applyNumberFormat="1" applyFont="1" applyFill="1" applyBorder="1"/>
    <xf numFmtId="37" fontId="16" fillId="10" borderId="48" xfId="0" applyNumberFormat="1" applyFont="1" applyFill="1" applyBorder="1"/>
    <xf numFmtId="37" fontId="16" fillId="10" borderId="19" xfId="0" applyNumberFormat="1" applyFont="1" applyFill="1" applyBorder="1"/>
    <xf numFmtId="37" fontId="16" fillId="10" borderId="22" xfId="0" applyNumberFormat="1" applyFont="1" applyFill="1" applyBorder="1"/>
    <xf numFmtId="37" fontId="16" fillId="10" borderId="22" xfId="0" applyNumberFormat="1" applyFont="1" applyFill="1" applyBorder="1" applyAlignment="1">
      <alignment horizontal="center"/>
    </xf>
    <xf numFmtId="37" fontId="11" fillId="12" borderId="44" xfId="0" applyNumberFormat="1" applyFont="1" applyFill="1" applyBorder="1"/>
    <xf numFmtId="37" fontId="16" fillId="10" borderId="20" xfId="0" applyNumberFormat="1" applyFont="1" applyFill="1" applyBorder="1"/>
    <xf numFmtId="37" fontId="12" fillId="10" borderId="48" xfId="0" applyNumberFormat="1" applyFont="1" applyFill="1" applyBorder="1" applyAlignment="1">
      <alignment horizontal="center"/>
    </xf>
    <xf numFmtId="37" fontId="12" fillId="12" borderId="41" xfId="0" applyNumberFormat="1" applyFont="1" applyFill="1" applyBorder="1" applyAlignment="1">
      <alignment horizontal="center"/>
    </xf>
    <xf numFmtId="9" fontId="12" fillId="12" borderId="48" xfId="7" applyFont="1" applyFill="1" applyBorder="1" applyAlignment="1">
      <alignment horizontal="center"/>
    </xf>
    <xf numFmtId="37" fontId="11" fillId="12" borderId="76" xfId="0" applyNumberFormat="1" applyFont="1" applyFill="1" applyBorder="1"/>
    <xf numFmtId="37" fontId="11" fillId="12" borderId="77" xfId="0" applyNumberFormat="1" applyFont="1" applyFill="1" applyBorder="1" applyAlignment="1">
      <alignment horizontal="center"/>
    </xf>
    <xf numFmtId="37" fontId="11" fillId="12" borderId="83" xfId="0" applyNumberFormat="1" applyFont="1" applyFill="1" applyBorder="1" applyAlignment="1">
      <alignment horizontal="center"/>
    </xf>
    <xf numFmtId="37" fontId="12" fillId="0" borderId="41" xfId="0" applyNumberFormat="1" applyFont="1" applyFill="1" applyBorder="1" applyAlignment="1">
      <alignment horizontal="center"/>
    </xf>
    <xf numFmtId="37" fontId="11" fillId="12" borderId="87" xfId="0" applyNumberFormat="1" applyFont="1" applyFill="1" applyBorder="1"/>
    <xf numFmtId="37" fontId="11" fillId="12" borderId="88" xfId="0" applyNumberFormat="1" applyFont="1" applyFill="1" applyBorder="1" applyAlignment="1">
      <alignment horizontal="center"/>
    </xf>
    <xf numFmtId="37" fontId="12" fillId="12" borderId="89" xfId="0" applyNumberFormat="1" applyFont="1" applyFill="1" applyBorder="1" applyAlignment="1">
      <alignment horizontal="center"/>
    </xf>
    <xf numFmtId="37" fontId="11" fillId="12" borderId="48" xfId="0" applyNumberFormat="1" applyFont="1" applyFill="1" applyBorder="1" applyAlignment="1">
      <alignment horizontal="center"/>
    </xf>
    <xf numFmtId="37" fontId="11" fillId="12" borderId="74" xfId="0" applyNumberFormat="1" applyFont="1" applyFill="1" applyBorder="1"/>
    <xf numFmtId="37" fontId="11" fillId="12" borderId="63" xfId="0" applyNumberFormat="1" applyFont="1" applyFill="1" applyBorder="1" applyAlignment="1">
      <alignment horizontal="center"/>
    </xf>
    <xf numFmtId="37" fontId="12" fillId="12" borderId="75" xfId="0" applyNumberFormat="1" applyFont="1" applyFill="1" applyBorder="1" applyAlignment="1">
      <alignment horizontal="center"/>
    </xf>
    <xf numFmtId="37" fontId="11" fillId="12" borderId="40" xfId="0" applyNumberFormat="1" applyFont="1" applyFill="1" applyBorder="1"/>
    <xf numFmtId="37" fontId="11" fillId="12" borderId="41" xfId="0" applyNumberFormat="1" applyFont="1" applyFill="1" applyBorder="1" applyAlignment="1">
      <alignment horizontal="center"/>
    </xf>
    <xf numFmtId="9" fontId="12" fillId="12" borderId="43" xfId="7" applyFont="1" applyFill="1" applyBorder="1" applyAlignment="1">
      <alignment horizontal="center"/>
    </xf>
    <xf numFmtId="37" fontId="12" fillId="0" borderId="20" xfId="0" applyNumberFormat="1" applyFont="1" applyFill="1" applyBorder="1" applyAlignment="1">
      <alignment horizontal="center"/>
    </xf>
    <xf numFmtId="37" fontId="12" fillId="12" borderId="48" xfId="0" applyNumberFormat="1" applyFont="1" applyFill="1" applyBorder="1" applyAlignment="1">
      <alignment horizontal="center"/>
    </xf>
    <xf numFmtId="9" fontId="12" fillId="12" borderId="41" xfId="7" applyFont="1" applyFill="1" applyBorder="1" applyAlignment="1">
      <alignment horizontal="center"/>
    </xf>
    <xf numFmtId="37" fontId="12" fillId="12" borderId="0" xfId="7" applyNumberFormat="1" applyFont="1" applyFill="1" applyBorder="1" applyAlignment="1">
      <alignment horizontal="center"/>
    </xf>
    <xf numFmtId="37" fontId="11" fillId="0" borderId="18" xfId="0" applyNumberFormat="1" applyFont="1" applyFill="1" applyBorder="1" applyAlignment="1">
      <alignment horizontal="center"/>
    </xf>
    <xf numFmtId="37" fontId="11" fillId="10" borderId="18" xfId="0" applyNumberFormat="1" applyFont="1" applyFill="1" applyBorder="1" applyAlignment="1">
      <alignment horizontal="center"/>
    </xf>
    <xf numFmtId="39" fontId="12" fillId="12" borderId="43" xfId="0" applyNumberFormat="1" applyFont="1" applyFill="1" applyBorder="1" applyAlignment="1">
      <alignment horizontal="center"/>
    </xf>
    <xf numFmtId="171" fontId="12" fillId="12" borderId="41" xfId="7" applyNumberFormat="1" applyFont="1" applyFill="1" applyBorder="1" applyAlignment="1">
      <alignment horizontal="center"/>
    </xf>
    <xf numFmtId="37" fontId="12" fillId="12" borderId="83" xfId="0" applyNumberFormat="1" applyFont="1" applyFill="1" applyBorder="1" applyAlignment="1">
      <alignment horizontal="center"/>
    </xf>
    <xf numFmtId="37" fontId="11" fillId="12" borderId="22" xfId="0" applyNumberFormat="1" applyFont="1" applyFill="1" applyBorder="1" applyAlignment="1">
      <alignment horizontal="center"/>
    </xf>
    <xf numFmtId="37" fontId="12" fillId="12" borderId="18" xfId="0" applyNumberFormat="1" applyFont="1" applyFill="1" applyBorder="1" applyAlignment="1">
      <alignment horizontal="center"/>
    </xf>
    <xf numFmtId="37" fontId="11" fillId="12" borderId="21" xfId="0" applyNumberFormat="1" applyFont="1" applyFill="1" applyBorder="1" applyAlignment="1">
      <alignment horizontal="center"/>
    </xf>
    <xf numFmtId="37" fontId="45" fillId="12" borderId="19" xfId="0" applyNumberFormat="1" applyFont="1" applyFill="1" applyBorder="1"/>
    <xf numFmtId="37" fontId="12" fillId="12" borderId="51" xfId="7" applyNumberFormat="1" applyFont="1" applyFill="1" applyBorder="1" applyAlignment="1">
      <alignment horizontal="left"/>
    </xf>
    <xf numFmtId="170" fontId="12" fillId="12" borderId="41" xfId="0" applyNumberFormat="1" applyFont="1" applyFill="1" applyBorder="1" applyAlignment="1">
      <alignment horizontal="center"/>
    </xf>
    <xf numFmtId="37" fontId="12" fillId="0" borderId="0" xfId="0" applyNumberFormat="1" applyFont="1" applyBorder="1"/>
    <xf numFmtId="37" fontId="11" fillId="12" borderId="89" xfId="0" applyNumberFormat="1" applyFont="1" applyFill="1" applyBorder="1" applyAlignment="1">
      <alignment horizontal="center"/>
    </xf>
    <xf numFmtId="37" fontId="31" fillId="12" borderId="44" xfId="0" applyNumberFormat="1" applyFont="1" applyFill="1" applyBorder="1" applyAlignment="1">
      <alignment horizontal="left"/>
    </xf>
    <xf numFmtId="37" fontId="31" fillId="12" borderId="40" xfId="0" applyNumberFormat="1" applyFont="1" applyFill="1" applyBorder="1" applyAlignment="1">
      <alignment horizontal="left"/>
    </xf>
    <xf numFmtId="37" fontId="12" fillId="0" borderId="0" xfId="6" applyNumberFormat="1" applyFont="1" applyFill="1" applyBorder="1" applyAlignment="1">
      <alignment vertical="center"/>
    </xf>
    <xf numFmtId="37" fontId="11" fillId="0" borderId="0" xfId="10" applyNumberFormat="1" applyFont="1" applyFill="1" applyBorder="1" applyAlignment="1">
      <alignment horizontal="left" vertical="center"/>
    </xf>
    <xf numFmtId="37" fontId="12" fillId="0" borderId="0" xfId="10" applyNumberFormat="1" applyFont="1" applyFill="1" applyBorder="1" applyAlignment="1">
      <alignment horizontal="center" vertical="center"/>
    </xf>
    <xf numFmtId="9" fontId="12" fillId="0" borderId="0" xfId="7" applyFont="1" applyFill="1" applyAlignment="1">
      <alignment horizontal="center" vertical="center"/>
    </xf>
    <xf numFmtId="37" fontId="12" fillId="0" borderId="51" xfId="6" applyNumberFormat="1" applyFont="1" applyFill="1" applyBorder="1" applyAlignment="1">
      <alignment vertical="center"/>
    </xf>
    <xf numFmtId="37" fontId="12" fillId="0" borderId="44" xfId="6" applyNumberFormat="1" applyFont="1" applyFill="1" applyBorder="1" applyAlignment="1">
      <alignment vertical="center"/>
    </xf>
    <xf numFmtId="37" fontId="11" fillId="0" borderId="22" xfId="10" applyNumberFormat="1" applyFont="1" applyFill="1" applyBorder="1" applyAlignment="1">
      <alignment horizontal="center" vertical="center"/>
    </xf>
    <xf numFmtId="37" fontId="11" fillId="0" borderId="0" xfId="6" applyNumberFormat="1" applyFont="1" applyFill="1" applyBorder="1" applyAlignment="1">
      <alignment vertical="center"/>
    </xf>
    <xf numFmtId="37" fontId="12" fillId="0" borderId="0" xfId="6" applyNumberFormat="1" applyFont="1" applyFill="1" applyBorder="1" applyAlignment="1">
      <alignment horizontal="left" vertical="center"/>
    </xf>
    <xf numFmtId="37" fontId="11" fillId="0" borderId="0" xfId="6" applyNumberFormat="1" applyFont="1" applyFill="1" applyBorder="1" applyAlignment="1">
      <alignment horizontal="left" vertical="center"/>
    </xf>
    <xf numFmtId="37" fontId="12" fillId="0" borderId="44" xfId="0" applyNumberFormat="1" applyFont="1" applyFill="1" applyBorder="1" applyAlignment="1">
      <alignment horizontal="right"/>
    </xf>
    <xf numFmtId="37" fontId="12" fillId="12" borderId="51" xfId="0" applyNumberFormat="1" applyFont="1" applyFill="1" applyBorder="1" applyAlignment="1">
      <alignment horizontal="right"/>
    </xf>
    <xf numFmtId="37" fontId="12" fillId="12" borderId="38" xfId="0" applyNumberFormat="1" applyFont="1" applyFill="1" applyBorder="1" applyAlignment="1">
      <alignment horizontal="right"/>
    </xf>
    <xf numFmtId="37" fontId="12" fillId="12" borderId="47" xfId="0" applyNumberFormat="1" applyFont="1" applyFill="1" applyBorder="1" applyAlignment="1">
      <alignment horizontal="right"/>
    </xf>
    <xf numFmtId="37" fontId="12" fillId="12" borderId="52" xfId="0" applyNumberFormat="1" applyFont="1" applyFill="1" applyBorder="1" applyAlignment="1">
      <alignment horizontal="right"/>
    </xf>
    <xf numFmtId="37" fontId="11" fillId="10" borderId="14" xfId="0" applyNumberFormat="1" applyFont="1" applyFill="1" applyBorder="1"/>
    <xf numFmtId="37" fontId="12" fillId="12" borderId="38" xfId="0" applyNumberFormat="1" applyFont="1" applyFill="1" applyBorder="1"/>
    <xf numFmtId="37" fontId="12" fillId="12" borderId="47" xfId="0" applyNumberFormat="1" applyFont="1" applyFill="1" applyBorder="1"/>
    <xf numFmtId="37" fontId="11" fillId="0" borderId="24" xfId="0" applyNumberFormat="1" applyFont="1" applyFill="1" applyBorder="1" applyAlignment="1">
      <alignment horizontal="right"/>
    </xf>
    <xf numFmtId="37" fontId="11" fillId="0" borderId="71" xfId="0" applyNumberFormat="1" applyFont="1" applyFill="1" applyBorder="1" applyAlignment="1">
      <alignment horizontal="right"/>
    </xf>
    <xf numFmtId="37" fontId="12" fillId="0" borderId="81" xfId="0" applyNumberFormat="1" applyFont="1" applyFill="1" applyBorder="1" applyAlignment="1">
      <alignment horizontal="right"/>
    </xf>
    <xf numFmtId="37" fontId="11" fillId="0" borderId="29" xfId="0" applyNumberFormat="1" applyFont="1" applyFill="1" applyBorder="1" applyAlignment="1">
      <alignment horizontal="right"/>
    </xf>
    <xf numFmtId="37" fontId="11" fillId="0" borderId="39" xfId="0" applyNumberFormat="1" applyFont="1" applyFill="1" applyBorder="1" applyAlignment="1">
      <alignment horizontal="right"/>
    </xf>
    <xf numFmtId="37" fontId="12" fillId="0" borderId="48" xfId="0" applyNumberFormat="1" applyFont="1" applyFill="1" applyBorder="1" applyAlignment="1">
      <alignment horizontal="center"/>
    </xf>
    <xf numFmtId="37" fontId="12" fillId="0" borderId="43" xfId="0" applyNumberFormat="1" applyFont="1" applyFill="1" applyBorder="1" applyAlignment="1">
      <alignment horizontal="center"/>
    </xf>
    <xf numFmtId="37" fontId="12" fillId="0" borderId="0" xfId="0" applyNumberFormat="1" applyFont="1" applyFill="1" applyBorder="1" applyAlignment="1">
      <alignment horizontal="left"/>
    </xf>
    <xf numFmtId="37" fontId="11" fillId="0" borderId="43" xfId="0" applyNumberFormat="1" applyFont="1" applyFill="1" applyBorder="1" applyAlignment="1">
      <alignment horizontal="center"/>
    </xf>
    <xf numFmtId="39" fontId="12" fillId="0" borderId="41" xfId="0" applyNumberFormat="1" applyFont="1" applyFill="1" applyBorder="1" applyAlignment="1">
      <alignment horizontal="center"/>
    </xf>
    <xf numFmtId="0" fontId="7" fillId="10" borderId="17" xfId="10" applyFont="1" applyFill="1" applyBorder="1" applyAlignment="1">
      <alignment vertical="center"/>
    </xf>
    <xf numFmtId="0" fontId="7" fillId="10" borderId="30" xfId="10" applyFont="1" applyFill="1" applyBorder="1" applyAlignment="1">
      <alignment vertical="center"/>
    </xf>
    <xf numFmtId="37" fontId="12" fillId="0" borderId="144" xfId="0" applyNumberFormat="1" applyFont="1" applyFill="1" applyBorder="1" applyAlignment="1">
      <alignment horizontal="center"/>
    </xf>
    <xf numFmtId="37" fontId="11" fillId="10" borderId="159" xfId="10" applyNumberFormat="1" applyFont="1" applyFill="1" applyBorder="1" applyAlignment="1">
      <alignment horizontal="center" vertical="center"/>
    </xf>
    <xf numFmtId="37" fontId="11" fillId="10" borderId="160" xfId="10" applyNumberFormat="1" applyFont="1" applyFill="1" applyBorder="1" applyAlignment="1">
      <alignment horizontal="center" vertical="center"/>
    </xf>
    <xf numFmtId="37" fontId="12" fillId="12" borderId="129" xfId="0" applyNumberFormat="1" applyFont="1" applyFill="1" applyBorder="1" applyAlignment="1">
      <alignment horizontal="center" vertical="center"/>
    </xf>
    <xf numFmtId="0" fontId="11" fillId="10" borderId="11" xfId="10" applyFont="1" applyFill="1" applyBorder="1" applyAlignment="1">
      <alignment horizontal="center" vertical="center"/>
    </xf>
    <xf numFmtId="0" fontId="11" fillId="10" borderId="13" xfId="10" applyFont="1" applyFill="1" applyBorder="1" applyAlignment="1">
      <alignment horizontal="center" vertical="center"/>
    </xf>
    <xf numFmtId="37" fontId="11" fillId="12" borderId="93" xfId="0" applyNumberFormat="1" applyFont="1" applyFill="1" applyBorder="1" applyAlignment="1">
      <alignment horizontal="left" vertical="center"/>
    </xf>
    <xf numFmtId="37" fontId="11" fillId="12" borderId="36" xfId="0" applyNumberFormat="1" applyFont="1" applyFill="1" applyBorder="1" applyAlignment="1">
      <alignment horizontal="left" vertical="center"/>
    </xf>
    <xf numFmtId="37" fontId="11" fillId="10" borderId="93" xfId="0" applyNumberFormat="1" applyFont="1" applyFill="1" applyBorder="1" applyAlignment="1">
      <alignment horizontal="left" vertical="center"/>
    </xf>
    <xf numFmtId="37" fontId="11" fillId="10" borderId="13" xfId="0" applyNumberFormat="1" applyFont="1" applyFill="1" applyBorder="1" applyAlignment="1">
      <alignment horizontal="center" vertical="center"/>
    </xf>
    <xf numFmtId="37" fontId="12" fillId="0" borderId="162" xfId="0" applyNumberFormat="1" applyFont="1" applyFill="1" applyBorder="1" applyAlignment="1">
      <alignment horizontal="center"/>
    </xf>
    <xf numFmtId="37" fontId="12" fillId="0" borderId="164" xfId="0" applyNumberFormat="1" applyFont="1" applyFill="1" applyBorder="1" applyAlignment="1">
      <alignment horizontal="center"/>
    </xf>
    <xf numFmtId="37" fontId="12" fillId="0" borderId="165" xfId="0" applyNumberFormat="1" applyFont="1" applyFill="1" applyBorder="1" applyAlignment="1">
      <alignment horizontal="center"/>
    </xf>
    <xf numFmtId="37" fontId="12" fillId="0" borderId="147" xfId="0" applyNumberFormat="1" applyFont="1" applyFill="1" applyBorder="1" applyAlignment="1">
      <alignment horizontal="center"/>
    </xf>
    <xf numFmtId="37" fontId="12" fillId="0" borderId="166" xfId="0" applyNumberFormat="1" applyFont="1" applyFill="1" applyBorder="1" applyAlignment="1">
      <alignment horizontal="center"/>
    </xf>
    <xf numFmtId="37" fontId="11" fillId="10" borderId="167" xfId="0" applyNumberFormat="1" applyFont="1" applyFill="1" applyBorder="1" applyAlignment="1">
      <alignment horizontal="left" vertical="center"/>
    </xf>
    <xf numFmtId="37" fontId="11" fillId="10" borderId="168" xfId="0" applyNumberFormat="1" applyFont="1" applyFill="1" applyBorder="1" applyAlignment="1">
      <alignment horizontal="left" vertical="center"/>
    </xf>
    <xf numFmtId="37" fontId="12" fillId="10" borderId="168" xfId="0" applyNumberFormat="1" applyFont="1" applyFill="1" applyBorder="1" applyAlignment="1">
      <alignment vertical="center"/>
    </xf>
    <xf numFmtId="37" fontId="12" fillId="10" borderId="169" xfId="0" applyNumberFormat="1" applyFont="1" applyFill="1" applyBorder="1" applyAlignment="1">
      <alignment vertical="center"/>
    </xf>
    <xf numFmtId="37" fontId="12" fillId="10" borderId="15" xfId="0" applyNumberFormat="1" applyFont="1" applyFill="1" applyBorder="1" applyAlignment="1">
      <alignment horizontal="left" vertical="center"/>
    </xf>
    <xf numFmtId="37" fontId="16" fillId="10" borderId="170" xfId="6" applyNumberFormat="1" applyFont="1" applyFill="1" applyBorder="1" applyAlignment="1">
      <alignment horizontal="center" vertical="center"/>
    </xf>
    <xf numFmtId="0" fontId="11" fillId="10" borderId="107" xfId="10" applyFont="1" applyFill="1" applyBorder="1" applyAlignment="1">
      <alignment horizontal="left" vertical="center"/>
    </xf>
    <xf numFmtId="37" fontId="11" fillId="10" borderId="171" xfId="10" applyNumberFormat="1" applyFont="1" applyFill="1" applyBorder="1" applyAlignment="1">
      <alignment horizontal="center" vertical="center"/>
    </xf>
    <xf numFmtId="37" fontId="16" fillId="10" borderId="172" xfId="6" applyNumberFormat="1" applyFont="1" applyFill="1" applyBorder="1" applyAlignment="1">
      <alignment horizontal="center" vertical="center"/>
    </xf>
    <xf numFmtId="37" fontId="11" fillId="12" borderId="143" xfId="0" applyNumberFormat="1" applyFont="1" applyFill="1" applyBorder="1" applyAlignment="1">
      <alignment horizontal="center"/>
    </xf>
    <xf numFmtId="37" fontId="11" fillId="12" borderId="15" xfId="0" applyNumberFormat="1" applyFont="1" applyFill="1" applyBorder="1" applyAlignment="1">
      <alignment horizontal="left"/>
    </xf>
    <xf numFmtId="37" fontId="11" fillId="10" borderId="31" xfId="10" applyNumberFormat="1" applyFont="1" applyFill="1" applyBorder="1" applyAlignment="1">
      <alignment horizontal="center" vertical="center" wrapText="1"/>
    </xf>
    <xf numFmtId="37" fontId="11" fillId="12" borderId="16" xfId="0" applyNumberFormat="1" applyFont="1" applyFill="1" applyBorder="1" applyAlignment="1">
      <alignment horizontal="left"/>
    </xf>
    <xf numFmtId="1" fontId="11" fillId="12" borderId="173" xfId="0" applyNumberFormat="1" applyFont="1" applyFill="1" applyBorder="1" applyAlignment="1">
      <alignment horizontal="left" vertical="center"/>
    </xf>
    <xf numFmtId="37" fontId="11" fillId="12" borderId="27" xfId="0" applyNumberFormat="1" applyFont="1" applyFill="1" applyBorder="1" applyAlignment="1">
      <alignment vertical="center"/>
    </xf>
    <xf numFmtId="39" fontId="12" fillId="12" borderId="22" xfId="0" applyNumberFormat="1" applyFont="1" applyFill="1" applyBorder="1" applyAlignment="1">
      <alignment horizontal="center"/>
    </xf>
    <xf numFmtId="39" fontId="11" fillId="10" borderId="22" xfId="10" applyNumberFormat="1" applyFont="1" applyFill="1" applyBorder="1" applyAlignment="1">
      <alignment horizontal="center" vertical="center"/>
    </xf>
    <xf numFmtId="0" fontId="11" fillId="10" borderId="26" xfId="10" applyFont="1" applyFill="1" applyBorder="1" applyAlignment="1">
      <alignment vertical="center"/>
    </xf>
    <xf numFmtId="1" fontId="16" fillId="10" borderId="27" xfId="0" applyNumberFormat="1" applyFont="1" applyFill="1" applyBorder="1" applyAlignment="1">
      <alignment horizontal="center" vertical="center"/>
    </xf>
    <xf numFmtId="3" fontId="12" fillId="12" borderId="33" xfId="0" applyNumberFormat="1" applyFont="1" applyFill="1" applyBorder="1" applyAlignment="1">
      <alignment horizontal="center" vertical="center"/>
    </xf>
    <xf numFmtId="3" fontId="12" fillId="12" borderId="60" xfId="0" applyNumberFormat="1" applyFont="1" applyFill="1" applyBorder="1" applyAlignment="1">
      <alignment horizontal="center" vertical="center"/>
    </xf>
    <xf numFmtId="176" fontId="12" fillId="12" borderId="60" xfId="0" applyNumberFormat="1" applyFont="1" applyFill="1" applyBorder="1" applyAlignment="1">
      <alignment horizontal="center" vertical="center"/>
    </xf>
    <xf numFmtId="3" fontId="12" fillId="12" borderId="9" xfId="0" applyNumberFormat="1" applyFont="1" applyFill="1" applyBorder="1" applyAlignment="1">
      <alignment horizontal="center" vertical="center"/>
    </xf>
    <xf numFmtId="3" fontId="12" fillId="12" borderId="57" xfId="0" applyNumberFormat="1" applyFont="1" applyFill="1" applyBorder="1" applyAlignment="1">
      <alignment horizontal="center" vertical="center"/>
    </xf>
    <xf numFmtId="0" fontId="16" fillId="10" borderId="23" xfId="6" applyFont="1" applyFill="1" applyBorder="1" applyAlignment="1">
      <alignment horizontal="center" vertical="center"/>
    </xf>
    <xf numFmtId="0" fontId="11" fillId="12" borderId="93" xfId="6" applyFont="1" applyFill="1" applyBorder="1" applyAlignment="1">
      <alignment horizontal="center" vertical="center"/>
    </xf>
    <xf numFmtId="0" fontId="11" fillId="12" borderId="181" xfId="6" applyFont="1" applyFill="1" applyBorder="1" applyAlignment="1">
      <alignment horizontal="left" vertical="center"/>
    </xf>
    <xf numFmtId="0" fontId="16" fillId="12" borderId="35" xfId="6" applyFont="1" applyFill="1" applyBorder="1" applyAlignment="1">
      <alignment horizontal="right" vertical="center"/>
    </xf>
    <xf numFmtId="2" fontId="12" fillId="0" borderId="0" xfId="6" applyNumberFormat="1" applyFont="1" applyFill="1" applyBorder="1" applyAlignment="1">
      <alignment horizontal="center" vertical="center"/>
    </xf>
    <xf numFmtId="0" fontId="11" fillId="12" borderId="23" xfId="6" applyFont="1" applyFill="1" applyBorder="1" applyAlignment="1">
      <alignment horizontal="center" vertical="center"/>
    </xf>
    <xf numFmtId="1" fontId="11" fillId="10" borderId="33" xfId="6" applyNumberFormat="1" applyFont="1" applyFill="1" applyBorder="1" applyAlignment="1">
      <alignment horizontal="center" vertical="center"/>
    </xf>
    <xf numFmtId="3" fontId="11" fillId="12" borderId="7" xfId="6" applyNumberFormat="1" applyFont="1" applyFill="1" applyBorder="1" applyAlignment="1">
      <alignment horizontal="center" vertical="center"/>
    </xf>
    <xf numFmtId="0" fontId="12" fillId="12" borderId="34" xfId="6" applyFont="1" applyFill="1" applyBorder="1" applyAlignment="1">
      <alignment vertical="center"/>
    </xf>
    <xf numFmtId="37" fontId="12" fillId="0" borderId="2" xfId="6" applyNumberFormat="1" applyFont="1" applyFill="1" applyBorder="1" applyAlignment="1">
      <alignment horizontal="center" vertical="center"/>
    </xf>
    <xf numFmtId="37" fontId="12" fillId="0" borderId="53" xfId="6" applyNumberFormat="1" applyFont="1" applyFill="1" applyBorder="1" applyAlignment="1">
      <alignment horizontal="center" vertical="center"/>
    </xf>
    <xf numFmtId="3" fontId="12" fillId="0" borderId="53" xfId="6" applyNumberFormat="1" applyFont="1" applyFill="1" applyBorder="1" applyAlignment="1">
      <alignment horizontal="center" vertical="center"/>
    </xf>
    <xf numFmtId="3" fontId="12" fillId="0" borderId="0" xfId="6" applyNumberFormat="1" applyFont="1" applyFill="1" applyBorder="1" applyAlignment="1">
      <alignment horizontal="center" vertical="center"/>
    </xf>
    <xf numFmtId="0" fontId="16" fillId="10" borderId="43" xfId="6" applyFont="1" applyFill="1" applyBorder="1" applyAlignment="1">
      <alignment horizontal="center" vertical="center" wrapText="1"/>
    </xf>
    <xf numFmtId="0" fontId="16" fillId="10" borderId="6" xfId="6" applyFont="1" applyFill="1" applyBorder="1" applyAlignment="1">
      <alignment horizontal="center" vertical="center" wrapText="1"/>
    </xf>
    <xf numFmtId="0" fontId="11" fillId="10" borderId="19" xfId="6" applyFont="1" applyFill="1" applyBorder="1" applyAlignment="1">
      <alignment horizontal="center" vertical="center"/>
    </xf>
    <xf numFmtId="0" fontId="11" fillId="10" borderId="22" xfId="6" applyFont="1" applyFill="1" applyBorder="1" applyAlignment="1">
      <alignment horizontal="center" vertical="center"/>
    </xf>
    <xf numFmtId="0" fontId="11" fillId="10" borderId="31" xfId="6" applyFont="1" applyFill="1" applyBorder="1" applyAlignment="1">
      <alignment horizontal="center" vertical="center"/>
    </xf>
    <xf numFmtId="0" fontId="16" fillId="10" borderId="26" xfId="6" applyFont="1" applyFill="1" applyBorder="1" applyAlignment="1">
      <alignment horizontal="center" vertical="center"/>
    </xf>
    <xf numFmtId="0" fontId="11" fillId="10" borderId="42" xfId="6" applyFont="1" applyFill="1" applyBorder="1" applyAlignment="1">
      <alignment horizontal="center" vertical="center"/>
    </xf>
    <xf numFmtId="0" fontId="11" fillId="10" borderId="60" xfId="6" applyFont="1" applyFill="1" applyBorder="1" applyAlignment="1">
      <alignment horizontal="center" vertical="center"/>
    </xf>
    <xf numFmtId="176" fontId="16" fillId="12" borderId="8" xfId="6" applyNumberFormat="1" applyFont="1" applyFill="1" applyBorder="1" applyAlignment="1">
      <alignment horizontal="center" vertical="center" wrapText="1"/>
    </xf>
    <xf numFmtId="176" fontId="11" fillId="12" borderId="57" xfId="6" applyNumberFormat="1" applyFont="1" applyFill="1" applyBorder="1" applyAlignment="1">
      <alignment horizontal="center" vertical="center"/>
    </xf>
    <xf numFmtId="0" fontId="11" fillId="10" borderId="11" xfId="6" applyFont="1" applyFill="1" applyBorder="1" applyAlignment="1">
      <alignment horizontal="center" vertical="center"/>
    </xf>
    <xf numFmtId="39" fontId="11" fillId="12" borderId="3" xfId="6" applyNumberFormat="1" applyFont="1" applyFill="1" applyBorder="1" applyAlignment="1">
      <alignment horizontal="center" vertical="center"/>
    </xf>
    <xf numFmtId="0" fontId="11" fillId="10" borderId="90" xfId="6" applyFont="1" applyFill="1" applyBorder="1" applyAlignment="1">
      <alignment horizontal="center" vertical="center"/>
    </xf>
    <xf numFmtId="0" fontId="11" fillId="12" borderId="100" xfId="6" applyFont="1" applyFill="1" applyBorder="1" applyAlignment="1">
      <alignment vertical="center"/>
    </xf>
    <xf numFmtId="0" fontId="11" fillId="10" borderId="96" xfId="6" applyFont="1" applyFill="1" applyBorder="1" applyAlignment="1">
      <alignment horizontal="center" vertical="center"/>
    </xf>
    <xf numFmtId="0" fontId="11" fillId="10" borderId="13" xfId="6" applyFont="1" applyFill="1" applyBorder="1" applyAlignment="1">
      <alignment horizontal="center" vertical="center"/>
    </xf>
    <xf numFmtId="1" fontId="11" fillId="10" borderId="55" xfId="6" applyNumberFormat="1" applyFont="1" applyFill="1" applyBorder="1" applyAlignment="1">
      <alignment horizontal="center" vertical="center"/>
    </xf>
    <xf numFmtId="1" fontId="11" fillId="10" borderId="5" xfId="6" applyNumberFormat="1" applyFont="1" applyFill="1" applyBorder="1" applyAlignment="1">
      <alignment horizontal="center" vertical="center"/>
    </xf>
    <xf numFmtId="1" fontId="11" fillId="10" borderId="11" xfId="6" applyNumberFormat="1" applyFont="1" applyFill="1" applyBorder="1" applyAlignment="1">
      <alignment horizontal="center" vertical="center"/>
    </xf>
    <xf numFmtId="1" fontId="11" fillId="10" borderId="13" xfId="6" applyNumberFormat="1" applyFont="1" applyFill="1" applyBorder="1" applyAlignment="1">
      <alignment horizontal="center" vertical="center"/>
    </xf>
    <xf numFmtId="166" fontId="11" fillId="12" borderId="6" xfId="6" applyNumberFormat="1" applyFont="1" applyFill="1" applyBorder="1" applyAlignment="1">
      <alignment horizontal="center" vertical="center"/>
    </xf>
    <xf numFmtId="166" fontId="11" fillId="12" borderId="9" xfId="6" applyNumberFormat="1" applyFont="1" applyFill="1" applyBorder="1" applyAlignment="1">
      <alignment horizontal="center" vertical="center"/>
    </xf>
    <xf numFmtId="166" fontId="11" fillId="12" borderId="2" xfId="6" applyNumberFormat="1" applyFont="1" applyFill="1" applyBorder="1" applyAlignment="1">
      <alignment horizontal="center" vertical="center"/>
    </xf>
    <xf numFmtId="166" fontId="11" fillId="12" borderId="7" xfId="6" applyNumberFormat="1" applyFont="1" applyFill="1" applyBorder="1" applyAlignment="1">
      <alignment horizontal="center" vertical="center"/>
    </xf>
    <xf numFmtId="0" fontId="11" fillId="10" borderId="93" xfId="6" applyFont="1" applyFill="1" applyBorder="1" applyAlignment="1">
      <alignment vertical="center"/>
    </xf>
    <xf numFmtId="0" fontId="16" fillId="10" borderId="15" xfId="6" applyFont="1" applyFill="1" applyBorder="1" applyAlignment="1">
      <alignment horizontal="center" vertical="center"/>
    </xf>
    <xf numFmtId="1" fontId="12" fillId="12" borderId="10" xfId="0" applyNumberFormat="1" applyFont="1" applyFill="1" applyBorder="1" applyAlignment="1">
      <alignment horizontal="center" vertical="center"/>
    </xf>
    <xf numFmtId="3" fontId="12" fillId="12" borderId="0" xfId="10" applyNumberFormat="1" applyFont="1" applyFill="1" applyBorder="1" applyAlignment="1" applyProtection="1">
      <alignment horizontal="center" vertical="center"/>
    </xf>
    <xf numFmtId="1" fontId="12" fillId="7" borderId="28" xfId="10" applyNumberFormat="1" applyFont="1" applyFill="1" applyBorder="1" applyAlignment="1" applyProtection="1">
      <alignment horizontal="left" vertical="center"/>
    </xf>
    <xf numFmtId="1" fontId="12" fillId="7" borderId="5" xfId="10" applyNumberFormat="1" applyFont="1" applyFill="1" applyBorder="1" applyAlignment="1" applyProtection="1">
      <alignment horizontal="center" vertical="center"/>
    </xf>
    <xf numFmtId="2" fontId="12" fillId="7" borderId="29" xfId="10" applyNumberFormat="1" applyFont="1" applyFill="1" applyBorder="1" applyAlignment="1" applyProtection="1">
      <alignment horizontal="left" vertical="center"/>
    </xf>
    <xf numFmtId="2" fontId="12" fillId="7" borderId="55" xfId="10" applyNumberFormat="1" applyFont="1" applyFill="1" applyBorder="1" applyAlignment="1" applyProtection="1">
      <alignment horizontal="left" vertical="center"/>
    </xf>
    <xf numFmtId="2" fontId="12" fillId="7" borderId="57" xfId="10" applyNumberFormat="1" applyFont="1" applyFill="1" applyBorder="1" applyAlignment="1" applyProtection="1">
      <alignment horizontal="left" vertical="center"/>
    </xf>
    <xf numFmtId="2" fontId="12" fillId="7" borderId="5" xfId="10" applyNumberFormat="1" applyFont="1" applyFill="1" applyBorder="1" applyAlignment="1" applyProtection="1">
      <alignment horizontal="left" vertical="center"/>
    </xf>
    <xf numFmtId="2" fontId="12" fillId="12" borderId="29" xfId="10" applyNumberFormat="1" applyFont="1" applyFill="1" applyBorder="1" applyAlignment="1" applyProtection="1">
      <alignment horizontal="left" vertical="center"/>
    </xf>
    <xf numFmtId="1" fontId="12" fillId="13" borderId="43" xfId="10" applyNumberFormat="1" applyFont="1" applyFill="1" applyBorder="1" applyAlignment="1" applyProtection="1">
      <alignment horizontal="center" vertical="center"/>
    </xf>
    <xf numFmtId="2" fontId="12" fillId="12" borderId="57" xfId="10" applyNumberFormat="1" applyFont="1" applyFill="1" applyBorder="1" applyAlignment="1" applyProtection="1">
      <alignment horizontal="left" vertical="center"/>
    </xf>
    <xf numFmtId="1" fontId="12" fillId="18" borderId="26" xfId="10" applyNumberFormat="1" applyFont="1" applyFill="1" applyBorder="1" applyAlignment="1" applyProtection="1">
      <alignment horizontal="left" vertical="center"/>
    </xf>
    <xf numFmtId="1" fontId="12" fillId="18" borderId="0" xfId="10" applyNumberFormat="1" applyFont="1" applyFill="1" applyBorder="1" applyAlignment="1" applyProtection="1">
      <alignment horizontal="center" vertical="center"/>
    </xf>
    <xf numFmtId="3" fontId="12" fillId="18" borderId="60" xfId="10" applyNumberFormat="1" applyFont="1" applyFill="1" applyBorder="1" applyAlignment="1" applyProtection="1">
      <alignment horizontal="center" vertical="center"/>
    </xf>
    <xf numFmtId="1" fontId="12" fillId="12" borderId="0" xfId="10" applyNumberFormat="1" applyFont="1" applyFill="1" applyBorder="1" applyAlignment="1" applyProtection="1">
      <alignment horizontal="left" vertical="center"/>
    </xf>
    <xf numFmtId="1" fontId="12" fillId="12" borderId="146" xfId="10" applyNumberFormat="1" applyFont="1" applyFill="1" applyBorder="1" applyAlignment="1" applyProtection="1">
      <alignment horizontal="left" vertical="center"/>
    </xf>
    <xf numFmtId="1" fontId="12" fillId="12" borderId="145" xfId="10" applyNumberFormat="1" applyFont="1" applyFill="1" applyBorder="1" applyAlignment="1" applyProtection="1">
      <alignment horizontal="center" vertical="center"/>
    </xf>
    <xf numFmtId="1" fontId="12" fillId="12" borderId="46" xfId="10" applyNumberFormat="1" applyFont="1" applyFill="1" applyBorder="1" applyAlignment="1" applyProtection="1">
      <alignment horizontal="left" vertical="center"/>
    </xf>
    <xf numFmtId="1" fontId="12" fillId="12" borderId="20" xfId="10" applyNumberFormat="1" applyFont="1" applyFill="1" applyBorder="1" applyAlignment="1" applyProtection="1">
      <alignment horizontal="center" vertical="center"/>
    </xf>
    <xf numFmtId="1" fontId="12" fillId="0" borderId="0" xfId="10" applyNumberFormat="1" applyFont="1" applyFill="1" applyBorder="1" applyAlignment="1" applyProtection="1">
      <alignment horizontal="left" vertical="center"/>
    </xf>
    <xf numFmtId="1" fontId="12" fillId="0" borderId="0" xfId="10" applyNumberFormat="1" applyFont="1" applyFill="1" applyBorder="1" applyAlignment="1" applyProtection="1">
      <alignment horizontal="center" vertical="center"/>
    </xf>
    <xf numFmtId="2" fontId="12" fillId="0" borderId="0" xfId="10" applyNumberFormat="1" applyFont="1" applyFill="1" applyBorder="1" applyAlignment="1" applyProtection="1">
      <alignment horizontal="left" vertical="center"/>
    </xf>
    <xf numFmtId="1" fontId="12" fillId="0" borderId="2" xfId="0" applyNumberFormat="1" applyFont="1" applyFill="1" applyBorder="1" applyAlignment="1">
      <alignment horizontal="center" vertical="center"/>
    </xf>
    <xf numFmtId="1" fontId="12" fillId="7" borderId="15" xfId="10" applyNumberFormat="1" applyFont="1" applyFill="1" applyBorder="1" applyAlignment="1" applyProtection="1">
      <alignment horizontal="left" vertical="center"/>
    </xf>
    <xf numFmtId="1" fontId="12" fillId="7" borderId="21" xfId="10" applyNumberFormat="1" applyFont="1" applyFill="1" applyBorder="1" applyAlignment="1" applyProtection="1">
      <alignment horizontal="center" vertical="center"/>
    </xf>
    <xf numFmtId="2" fontId="12" fillId="7" borderId="49" xfId="10" applyNumberFormat="1" applyFont="1" applyFill="1" applyBorder="1" applyAlignment="1" applyProtection="1">
      <alignment horizontal="left" vertical="center"/>
    </xf>
    <xf numFmtId="1" fontId="12" fillId="7" borderId="93" xfId="10" applyNumberFormat="1" applyFont="1" applyFill="1" applyBorder="1" applyAlignment="1" applyProtection="1">
      <alignment horizontal="left" vertical="center"/>
    </xf>
    <xf numFmtId="1" fontId="12" fillId="7" borderId="94" xfId="10" applyNumberFormat="1" applyFont="1" applyFill="1" applyBorder="1" applyAlignment="1" applyProtection="1">
      <alignment horizontal="center" vertical="center"/>
    </xf>
    <xf numFmtId="2" fontId="12" fillId="7" borderId="95" xfId="10" applyNumberFormat="1" applyFont="1" applyFill="1" applyBorder="1" applyAlignment="1" applyProtection="1">
      <alignment horizontal="left" vertical="center"/>
    </xf>
    <xf numFmtId="2" fontId="12" fillId="7" borderId="21" xfId="10" applyNumberFormat="1" applyFont="1" applyFill="1" applyBorder="1" applyAlignment="1" applyProtection="1">
      <alignment horizontal="left" vertical="center"/>
    </xf>
    <xf numFmtId="2" fontId="12" fillId="7" borderId="9" xfId="10" applyNumberFormat="1" applyFont="1" applyFill="1" applyBorder="1" applyAlignment="1" applyProtection="1">
      <alignment horizontal="left" vertical="center"/>
    </xf>
    <xf numFmtId="2" fontId="12" fillId="7" borderId="94" xfId="10" applyNumberFormat="1" applyFont="1" applyFill="1" applyBorder="1" applyAlignment="1" applyProtection="1">
      <alignment horizontal="left" vertical="center"/>
    </xf>
    <xf numFmtId="2" fontId="12" fillId="7" borderId="13" xfId="10" applyNumberFormat="1" applyFont="1" applyFill="1" applyBorder="1" applyAlignment="1" applyProtection="1">
      <alignment horizontal="left" vertical="center"/>
    </xf>
    <xf numFmtId="0" fontId="12" fillId="0" borderId="0" xfId="0" applyFont="1" applyFill="1" applyBorder="1" applyAlignment="1">
      <alignment horizontal="center"/>
    </xf>
    <xf numFmtId="0" fontId="11" fillId="0" borderId="0" xfId="10" applyFont="1" applyFill="1" applyBorder="1" applyAlignment="1">
      <alignment horizontal="left" vertical="center"/>
    </xf>
    <xf numFmtId="37" fontId="12" fillId="0" borderId="3" xfId="6" applyNumberFormat="1" applyFont="1" applyFill="1" applyBorder="1" applyAlignment="1">
      <alignment horizontal="center" vertical="center"/>
    </xf>
    <xf numFmtId="0" fontId="12" fillId="12" borderId="184" xfId="6" applyFont="1" applyFill="1" applyBorder="1" applyAlignment="1">
      <alignment vertical="center"/>
    </xf>
    <xf numFmtId="0" fontId="12" fillId="12" borderId="185" xfId="6" applyFont="1" applyFill="1" applyBorder="1" applyAlignment="1">
      <alignment vertical="center"/>
    </xf>
    <xf numFmtId="1" fontId="12" fillId="12" borderId="153" xfId="6" applyNumberFormat="1" applyFont="1" applyFill="1" applyBorder="1" applyAlignment="1">
      <alignment horizontal="left" vertical="center"/>
    </xf>
    <xf numFmtId="1" fontId="12" fillId="12" borderId="155" xfId="6" applyNumberFormat="1" applyFont="1" applyFill="1" applyBorder="1" applyAlignment="1">
      <alignment horizontal="left" vertical="center"/>
    </xf>
    <xf numFmtId="0" fontId="11" fillId="10" borderId="94" xfId="6" applyFont="1" applyFill="1" applyBorder="1" applyAlignment="1">
      <alignment vertical="center"/>
    </xf>
    <xf numFmtId="0" fontId="14" fillId="0" borderId="0" xfId="12" applyFont="1" applyFill="1" applyAlignment="1">
      <alignment vertical="center"/>
    </xf>
    <xf numFmtId="166" fontId="12" fillId="12" borderId="54" xfId="10" applyNumberFormat="1" applyFont="1" applyFill="1" applyBorder="1" applyAlignment="1">
      <alignment horizontal="center" vertical="center"/>
    </xf>
    <xf numFmtId="39" fontId="12" fillId="12" borderId="41" xfId="0" applyNumberFormat="1" applyFont="1" applyFill="1" applyBorder="1" applyAlignment="1">
      <alignment horizontal="center"/>
    </xf>
    <xf numFmtId="0" fontId="11" fillId="0" borderId="0" xfId="0" applyFont="1"/>
    <xf numFmtId="37" fontId="11" fillId="0" borderId="2" xfId="0" applyNumberFormat="1" applyFont="1" applyFill="1" applyBorder="1" applyAlignment="1">
      <alignment horizontal="center" vertical="center"/>
    </xf>
    <xf numFmtId="37" fontId="11" fillId="0" borderId="31" xfId="0" applyNumberFormat="1" applyFont="1" applyFill="1" applyBorder="1" applyAlignment="1">
      <alignment horizontal="center" vertical="center"/>
    </xf>
    <xf numFmtId="37" fontId="11" fillId="0" borderId="53" xfId="0" applyNumberFormat="1" applyFont="1" applyFill="1" applyBorder="1" applyAlignment="1">
      <alignment horizontal="center" vertical="center"/>
    </xf>
    <xf numFmtId="37" fontId="11" fillId="0" borderId="37" xfId="0" applyNumberFormat="1" applyFont="1" applyFill="1" applyBorder="1" applyAlignment="1">
      <alignment horizontal="center" vertical="center"/>
    </xf>
    <xf numFmtId="37" fontId="12" fillId="18" borderId="0" xfId="0" applyNumberFormat="1" applyFont="1" applyFill="1" applyBorder="1"/>
    <xf numFmtId="37" fontId="12" fillId="18" borderId="0" xfId="0" applyNumberFormat="1" applyFont="1" applyFill="1" applyBorder="1" applyAlignment="1">
      <alignment horizontal="center"/>
    </xf>
    <xf numFmtId="39" fontId="12" fillId="3" borderId="51" xfId="6" applyNumberFormat="1" applyFont="1" applyFill="1" applyBorder="1" applyAlignment="1">
      <alignment horizontal="center" vertical="center"/>
    </xf>
    <xf numFmtId="39" fontId="12" fillId="3" borderId="48" xfId="6" applyNumberFormat="1" applyFont="1" applyFill="1" applyBorder="1" applyAlignment="1">
      <alignment horizontal="center" vertical="center"/>
    </xf>
    <xf numFmtId="39" fontId="12" fillId="3" borderId="44" xfId="6" applyNumberFormat="1" applyFont="1" applyFill="1" applyBorder="1" applyAlignment="1">
      <alignment horizontal="center" vertical="center"/>
    </xf>
    <xf numFmtId="39" fontId="12" fillId="3" borderId="43" xfId="6" applyNumberFormat="1" applyFont="1" applyFill="1" applyBorder="1" applyAlignment="1">
      <alignment horizontal="center" vertical="center"/>
    </xf>
    <xf numFmtId="39" fontId="12" fillId="3" borderId="40" xfId="6" applyNumberFormat="1" applyFont="1" applyFill="1" applyBorder="1" applyAlignment="1">
      <alignment horizontal="center" vertical="center"/>
    </xf>
    <xf numFmtId="39" fontId="12" fillId="3" borderId="41" xfId="6" applyNumberFormat="1" applyFont="1" applyFill="1" applyBorder="1" applyAlignment="1">
      <alignment horizontal="center" vertical="center"/>
    </xf>
    <xf numFmtId="170" fontId="12" fillId="3" borderId="20" xfId="6" applyNumberFormat="1" applyFont="1" applyFill="1" applyBorder="1" applyAlignment="1">
      <alignment horizontal="center" vertical="center"/>
    </xf>
    <xf numFmtId="170" fontId="12" fillId="3" borderId="48" xfId="6" applyNumberFormat="1" applyFont="1" applyFill="1" applyBorder="1" applyAlignment="1">
      <alignment horizontal="center" vertical="center"/>
    </xf>
    <xf numFmtId="170" fontId="12" fillId="3" borderId="0" xfId="6" applyNumberFormat="1" applyFont="1" applyFill="1" applyBorder="1" applyAlignment="1">
      <alignment horizontal="center" vertical="center"/>
    </xf>
    <xf numFmtId="170" fontId="12" fillId="3" borderId="43" xfId="6" applyNumberFormat="1" applyFont="1" applyFill="1" applyBorder="1" applyAlignment="1">
      <alignment horizontal="center" vertical="center"/>
    </xf>
    <xf numFmtId="170" fontId="12" fillId="3" borderId="21" xfId="6" applyNumberFormat="1" applyFont="1" applyFill="1" applyBorder="1" applyAlignment="1">
      <alignment horizontal="center" vertical="center"/>
    </xf>
    <xf numFmtId="170" fontId="12" fillId="3" borderId="41" xfId="6" applyNumberFormat="1" applyFont="1" applyFill="1" applyBorder="1" applyAlignment="1">
      <alignment horizontal="center" vertical="center"/>
    </xf>
    <xf numFmtId="170" fontId="12" fillId="12" borderId="22" xfId="6" applyNumberFormat="1" applyFont="1" applyFill="1" applyBorder="1" applyAlignment="1">
      <alignment horizontal="center" vertical="center"/>
    </xf>
    <xf numFmtId="170" fontId="12" fillId="12" borderId="21" xfId="6" applyNumberFormat="1" applyFont="1" applyFill="1" applyBorder="1" applyAlignment="1">
      <alignment horizontal="center" vertical="center"/>
    </xf>
    <xf numFmtId="170" fontId="12" fillId="12" borderId="19" xfId="6" applyNumberFormat="1" applyFont="1" applyFill="1" applyBorder="1" applyAlignment="1">
      <alignment horizontal="center" vertical="center"/>
    </xf>
    <xf numFmtId="170" fontId="12" fillId="3" borderId="0" xfId="6" applyNumberFormat="1" applyFont="1" applyFill="1" applyBorder="1" applyAlignment="1" applyProtection="1">
      <alignment horizontal="center" vertical="center"/>
      <protection hidden="1"/>
    </xf>
    <xf numFmtId="170" fontId="12" fillId="3" borderId="21" xfId="6" applyNumberFormat="1" applyFont="1" applyFill="1" applyBorder="1" applyAlignment="1" applyProtection="1">
      <alignment horizontal="center" vertical="center"/>
      <protection hidden="1"/>
    </xf>
    <xf numFmtId="37" fontId="12" fillId="0" borderId="27" xfId="0" applyNumberFormat="1" applyFont="1" applyFill="1" applyBorder="1" applyAlignment="1">
      <alignment horizontal="center" vertical="center"/>
    </xf>
    <xf numFmtId="37" fontId="11" fillId="0" borderId="0" xfId="0" applyNumberFormat="1" applyFont="1" applyFill="1" applyBorder="1" applyAlignment="1">
      <alignment horizontal="center" vertical="center"/>
    </xf>
    <xf numFmtId="37" fontId="12" fillId="12" borderId="30" xfId="0" applyNumberFormat="1" applyFont="1" applyFill="1" applyBorder="1"/>
    <xf numFmtId="37" fontId="12" fillId="0" borderId="51" xfId="6" applyNumberFormat="1" applyFont="1" applyFill="1" applyBorder="1" applyAlignment="1">
      <alignment horizontal="center" vertical="center"/>
    </xf>
    <xf numFmtId="37" fontId="12" fillId="12" borderId="22" xfId="0" applyNumberFormat="1" applyFont="1" applyFill="1" applyBorder="1"/>
    <xf numFmtId="1" fontId="12" fillId="0" borderId="0" xfId="10" applyNumberFormat="1" applyFont="1" applyFill="1" applyBorder="1" applyAlignment="1">
      <alignment horizontal="center" vertical="center"/>
    </xf>
    <xf numFmtId="37" fontId="12" fillId="0" borderId="26" xfId="6" applyNumberFormat="1" applyFont="1" applyFill="1" applyBorder="1" applyAlignment="1" applyProtection="1">
      <alignment horizontal="center" vertical="center"/>
      <protection hidden="1"/>
    </xf>
    <xf numFmtId="37" fontId="12" fillId="0" borderId="0" xfId="6" applyNumberFormat="1" applyFont="1" applyFill="1" applyBorder="1" applyAlignment="1" applyProtection="1">
      <alignment horizontal="center" vertical="center"/>
      <protection hidden="1"/>
    </xf>
    <xf numFmtId="37" fontId="12" fillId="0" borderId="27" xfId="6" applyNumberFormat="1" applyFont="1" applyFill="1" applyBorder="1" applyAlignment="1" applyProtection="1">
      <alignment horizontal="center" vertical="center"/>
      <protection hidden="1"/>
    </xf>
    <xf numFmtId="37" fontId="12" fillId="0" borderId="26" xfId="6" applyNumberFormat="1" applyFont="1" applyFill="1" applyBorder="1" applyAlignment="1">
      <alignment horizontal="center" vertical="center"/>
    </xf>
    <xf numFmtId="37" fontId="12" fillId="0" borderId="15" xfId="6" applyNumberFormat="1" applyFont="1" applyFill="1" applyBorder="1" applyAlignment="1" applyProtection="1">
      <alignment horizontal="center" vertical="center"/>
      <protection hidden="1"/>
    </xf>
    <xf numFmtId="37" fontId="12" fillId="0" borderId="21" xfId="6" applyNumberFormat="1" applyFont="1" applyFill="1" applyBorder="1" applyAlignment="1" applyProtection="1">
      <alignment horizontal="center" vertical="center"/>
      <protection hidden="1"/>
    </xf>
    <xf numFmtId="37" fontId="12" fillId="0" borderId="49" xfId="6" applyNumberFormat="1" applyFont="1" applyFill="1" applyBorder="1" applyAlignment="1" applyProtection="1">
      <alignment horizontal="center" vertical="center"/>
      <protection hidden="1"/>
    </xf>
    <xf numFmtId="37" fontId="12" fillId="0" borderId="15" xfId="6" applyNumberFormat="1" applyFont="1" applyFill="1" applyBorder="1" applyAlignment="1">
      <alignment horizontal="center" vertical="center"/>
    </xf>
    <xf numFmtId="37" fontId="12" fillId="0" borderId="21" xfId="6" applyNumberFormat="1" applyFont="1" applyFill="1" applyBorder="1" applyAlignment="1">
      <alignment horizontal="center" vertical="center"/>
    </xf>
    <xf numFmtId="37" fontId="12" fillId="0" borderId="22" xfId="6" applyNumberFormat="1" applyFont="1" applyFill="1" applyBorder="1" applyAlignment="1">
      <alignment horizontal="center" vertical="center"/>
    </xf>
    <xf numFmtId="37" fontId="12" fillId="0" borderId="20" xfId="6" applyNumberFormat="1" applyFont="1" applyFill="1" applyBorder="1" applyAlignment="1">
      <alignment horizontal="center" vertical="center"/>
    </xf>
    <xf numFmtId="37" fontId="12" fillId="0" borderId="48" xfId="6" applyNumberFormat="1" applyFont="1" applyFill="1" applyBorder="1" applyAlignment="1">
      <alignment horizontal="center" vertical="center"/>
    </xf>
    <xf numFmtId="37" fontId="12" fillId="0" borderId="44" xfId="6" applyNumberFormat="1" applyFont="1" applyFill="1" applyBorder="1" applyAlignment="1">
      <alignment horizontal="center" vertical="center"/>
    </xf>
    <xf numFmtId="37" fontId="12" fillId="0" borderId="43" xfId="6" applyNumberFormat="1" applyFont="1" applyFill="1" applyBorder="1" applyAlignment="1">
      <alignment horizontal="center" vertical="center"/>
    </xf>
    <xf numFmtId="37" fontId="12" fillId="0" borderId="40" xfId="6" applyNumberFormat="1" applyFont="1" applyFill="1" applyBorder="1" applyAlignment="1">
      <alignment horizontal="center" vertical="center"/>
    </xf>
    <xf numFmtId="37" fontId="12" fillId="0" borderId="41" xfId="6" applyNumberFormat="1" applyFont="1" applyFill="1" applyBorder="1" applyAlignment="1">
      <alignment horizontal="center" vertical="center"/>
    </xf>
    <xf numFmtId="37" fontId="11" fillId="0" borderId="16" xfId="6" applyNumberFormat="1" applyFont="1" applyFill="1" applyBorder="1" applyAlignment="1">
      <alignment horizontal="left" vertical="center"/>
    </xf>
    <xf numFmtId="37" fontId="11" fillId="0" borderId="15" xfId="6" applyNumberFormat="1" applyFont="1" applyFill="1" applyBorder="1" applyAlignment="1">
      <alignment horizontal="left" vertical="center"/>
    </xf>
    <xf numFmtId="170" fontId="12" fillId="0" borderId="20" xfId="6" applyNumberFormat="1" applyFont="1" applyFill="1" applyBorder="1" applyAlignment="1" applyProtection="1">
      <alignment horizontal="center" vertical="center"/>
      <protection hidden="1"/>
    </xf>
    <xf numFmtId="170" fontId="12" fillId="0" borderId="48" xfId="6" applyNumberFormat="1" applyFont="1" applyFill="1" applyBorder="1" applyAlignment="1" applyProtection="1">
      <alignment horizontal="center" vertical="center"/>
      <protection hidden="1"/>
    </xf>
    <xf numFmtId="39" fontId="12" fillId="0" borderId="51" xfId="6" applyNumberFormat="1" applyFont="1" applyFill="1" applyBorder="1" applyAlignment="1" applyProtection="1">
      <alignment horizontal="center" vertical="center"/>
      <protection hidden="1"/>
    </xf>
    <xf numFmtId="39" fontId="12" fillId="0" borderId="20" xfId="6" applyNumberFormat="1" applyFont="1" applyFill="1" applyBorder="1" applyAlignment="1" applyProtection="1">
      <alignment horizontal="center" vertical="center"/>
      <protection hidden="1"/>
    </xf>
    <xf numFmtId="39" fontId="12" fillId="0" borderId="48" xfId="6" applyNumberFormat="1" applyFont="1" applyFill="1" applyBorder="1" applyAlignment="1" applyProtection="1">
      <alignment horizontal="center" vertical="center"/>
      <protection hidden="1"/>
    </xf>
    <xf numFmtId="170" fontId="12" fillId="0" borderId="0" xfId="6" applyNumberFormat="1" applyFont="1" applyFill="1" applyBorder="1" applyAlignment="1" applyProtection="1">
      <alignment horizontal="center" vertical="center"/>
      <protection hidden="1"/>
    </xf>
    <xf numFmtId="170" fontId="12" fillId="0" borderId="43" xfId="6" applyNumberFormat="1" applyFont="1" applyFill="1" applyBorder="1" applyAlignment="1" applyProtection="1">
      <alignment horizontal="center" vertical="center"/>
      <protection hidden="1"/>
    </xf>
    <xf numFmtId="39" fontId="12" fillId="0" borderId="44" xfId="6" applyNumberFormat="1" applyFont="1" applyFill="1" applyBorder="1" applyAlignment="1" applyProtection="1">
      <alignment horizontal="center" vertical="center"/>
      <protection hidden="1"/>
    </xf>
    <xf numFmtId="39" fontId="12" fillId="0" borderId="0" xfId="6" applyNumberFormat="1" applyFont="1" applyFill="1" applyBorder="1" applyAlignment="1" applyProtection="1">
      <alignment horizontal="center" vertical="center"/>
      <protection hidden="1"/>
    </xf>
    <xf numFmtId="39" fontId="12" fillId="0" borderId="43" xfId="6" applyNumberFormat="1" applyFont="1" applyFill="1" applyBorder="1" applyAlignment="1" applyProtection="1">
      <alignment horizontal="center" vertical="center"/>
      <protection hidden="1"/>
    </xf>
    <xf numFmtId="39" fontId="12" fillId="0" borderId="0" xfId="6" applyNumberFormat="1" applyFont="1" applyFill="1" applyBorder="1" applyAlignment="1">
      <alignment horizontal="center" vertical="center"/>
    </xf>
    <xf numFmtId="170" fontId="12" fillId="0" borderId="21" xfId="6" applyNumberFormat="1" applyFont="1" applyFill="1" applyBorder="1" applyAlignment="1" applyProtection="1">
      <alignment horizontal="center" vertical="center"/>
      <protection hidden="1"/>
    </xf>
    <xf numFmtId="170" fontId="12" fillId="0" borderId="41" xfId="6" applyNumberFormat="1" applyFont="1" applyFill="1" applyBorder="1" applyAlignment="1" applyProtection="1">
      <alignment horizontal="center" vertical="center"/>
      <protection hidden="1"/>
    </xf>
    <xf numFmtId="39" fontId="12" fillId="0" borderId="40" xfId="6" applyNumberFormat="1" applyFont="1" applyFill="1" applyBorder="1" applyAlignment="1" applyProtection="1">
      <alignment horizontal="center" vertical="center"/>
      <protection hidden="1"/>
    </xf>
    <xf numFmtId="39" fontId="12" fillId="0" borderId="21" xfId="6" applyNumberFormat="1" applyFont="1" applyFill="1" applyBorder="1" applyAlignment="1" applyProtection="1">
      <alignment horizontal="center" vertical="center"/>
      <protection hidden="1"/>
    </xf>
    <xf numFmtId="39" fontId="12" fillId="0" borderId="41" xfId="6" applyNumberFormat="1" applyFont="1" applyFill="1" applyBorder="1" applyAlignment="1" applyProtection="1">
      <alignment horizontal="center" vertical="center"/>
      <protection hidden="1"/>
    </xf>
    <xf numFmtId="37" fontId="12" fillId="0" borderId="49" xfId="6" applyNumberFormat="1" applyFont="1" applyFill="1" applyBorder="1" applyAlignment="1">
      <alignment horizontal="center" vertical="center"/>
    </xf>
    <xf numFmtId="170" fontId="12" fillId="0" borderId="51" xfId="6" applyNumberFormat="1" applyFont="1" applyFill="1" applyBorder="1" applyAlignment="1" applyProtection="1">
      <alignment horizontal="center" vertical="center"/>
      <protection hidden="1"/>
    </xf>
    <xf numFmtId="170" fontId="12" fillId="0" borderId="44" xfId="6" applyNumberFormat="1" applyFont="1" applyFill="1" applyBorder="1" applyAlignment="1" applyProtection="1">
      <alignment horizontal="center" vertical="center"/>
      <protection hidden="1"/>
    </xf>
    <xf numFmtId="170" fontId="12" fillId="0" borderId="40" xfId="6" applyNumberFormat="1" applyFont="1" applyFill="1" applyBorder="1" applyAlignment="1" applyProtection="1">
      <alignment horizontal="center" vertical="center"/>
      <protection hidden="1"/>
    </xf>
    <xf numFmtId="170" fontId="12" fillId="0" borderId="0" xfId="6" applyNumberFormat="1" applyFont="1" applyFill="1" applyBorder="1" applyAlignment="1">
      <alignment horizontal="center" vertical="center"/>
    </xf>
    <xf numFmtId="39" fontId="12" fillId="3" borderId="12" xfId="6" applyNumberFormat="1" applyFont="1" applyFill="1" applyBorder="1" applyAlignment="1" applyProtection="1">
      <alignment horizontal="center" vertical="center"/>
      <protection hidden="1"/>
    </xf>
    <xf numFmtId="39" fontId="12" fillId="3" borderId="42" xfId="6" applyNumberFormat="1" applyFont="1" applyFill="1" applyBorder="1" applyAlignment="1" applyProtection="1">
      <alignment horizontal="center" vertical="center"/>
      <protection hidden="1"/>
    </xf>
    <xf numFmtId="39" fontId="12" fillId="3" borderId="6" xfId="6" applyNumberFormat="1" applyFont="1" applyFill="1" applyBorder="1" applyAlignment="1" applyProtection="1">
      <alignment horizontal="center" vertical="center"/>
      <protection hidden="1"/>
    </xf>
    <xf numFmtId="37" fontId="12" fillId="12" borderId="41" xfId="6" applyNumberFormat="1" applyFont="1" applyFill="1" applyBorder="1" applyAlignment="1">
      <alignment horizontal="center" vertical="center"/>
    </xf>
    <xf numFmtId="37" fontId="12" fillId="0" borderId="46" xfId="6" applyNumberFormat="1" applyFont="1" applyFill="1" applyBorder="1" applyAlignment="1">
      <alignment horizontal="center" vertical="center"/>
    </xf>
    <xf numFmtId="37" fontId="12" fillId="0" borderId="50" xfId="6" applyNumberFormat="1" applyFont="1" applyFill="1" applyBorder="1" applyAlignment="1">
      <alignment horizontal="center" vertical="center"/>
    </xf>
    <xf numFmtId="37" fontId="12" fillId="0" borderId="27" xfId="6" applyNumberFormat="1" applyFont="1" applyFill="1" applyBorder="1" applyAlignment="1">
      <alignment horizontal="center" vertical="center"/>
    </xf>
    <xf numFmtId="2" fontId="12" fillId="3" borderId="20" xfId="7" applyNumberFormat="1" applyFont="1" applyFill="1" applyBorder="1" applyAlignment="1" applyProtection="1">
      <alignment horizontal="center" vertical="center"/>
      <protection hidden="1"/>
    </xf>
    <xf numFmtId="2" fontId="12" fillId="3" borderId="0" xfId="6" applyNumberFormat="1" applyFont="1" applyFill="1" applyBorder="1" applyAlignment="1" applyProtection="1">
      <alignment horizontal="center" vertical="center"/>
      <protection hidden="1"/>
    </xf>
    <xf numFmtId="2" fontId="12" fillId="3" borderId="0" xfId="7" applyNumberFormat="1" applyFont="1" applyFill="1" applyBorder="1" applyAlignment="1" applyProtection="1">
      <alignment horizontal="center" vertical="center"/>
      <protection hidden="1"/>
    </xf>
    <xf numFmtId="2" fontId="12" fillId="3" borderId="21" xfId="6" applyNumberFormat="1" applyFont="1" applyFill="1" applyBorder="1" applyAlignment="1" applyProtection="1">
      <alignment horizontal="center" vertical="center"/>
      <protection hidden="1"/>
    </xf>
    <xf numFmtId="170" fontId="53" fillId="12" borderId="22" xfId="6" applyNumberFormat="1" applyFont="1" applyFill="1" applyBorder="1" applyAlignment="1">
      <alignment horizontal="center" vertical="center"/>
    </xf>
    <xf numFmtId="170" fontId="53" fillId="12" borderId="18" xfId="6" applyNumberFormat="1" applyFont="1" applyFill="1" applyBorder="1" applyAlignment="1">
      <alignment horizontal="center" vertical="center"/>
    </xf>
    <xf numFmtId="1" fontId="12" fillId="0" borderId="247" xfId="10" applyNumberFormat="1" applyFont="1" applyFill="1" applyBorder="1" applyAlignment="1" applyProtection="1">
      <alignment horizontal="left" vertical="center"/>
    </xf>
    <xf numFmtId="1" fontId="12" fillId="0" borderId="248" xfId="10" applyNumberFormat="1" applyFont="1" applyFill="1" applyBorder="1" applyAlignment="1" applyProtection="1">
      <alignment horizontal="center" vertical="center"/>
    </xf>
    <xf numFmtId="1" fontId="12" fillId="12" borderId="238" xfId="10" applyNumberFormat="1" applyFont="1" applyFill="1" applyBorder="1" applyAlignment="1" applyProtection="1">
      <alignment horizontal="left" vertical="center"/>
    </xf>
    <xf numFmtId="1" fontId="12" fillId="12" borderId="239" xfId="10" applyNumberFormat="1" applyFont="1" applyFill="1" applyBorder="1" applyAlignment="1" applyProtection="1">
      <alignment horizontal="center" vertical="center"/>
    </xf>
    <xf numFmtId="1" fontId="12" fillId="12" borderId="254" xfId="10" applyNumberFormat="1" applyFont="1" applyFill="1" applyBorder="1" applyAlignment="1" applyProtection="1">
      <alignment horizontal="left" vertical="center"/>
    </xf>
    <xf numFmtId="1" fontId="12" fillId="12" borderId="255" xfId="10" applyNumberFormat="1" applyFont="1" applyFill="1" applyBorder="1" applyAlignment="1" applyProtection="1">
      <alignment horizontal="center" vertical="center"/>
    </xf>
    <xf numFmtId="1" fontId="12" fillId="12" borderId="260" xfId="10" applyNumberFormat="1" applyFont="1" applyFill="1" applyBorder="1" applyAlignment="1" applyProtection="1">
      <alignment horizontal="left" vertical="center"/>
    </xf>
    <xf numFmtId="1" fontId="12" fillId="12" borderId="261" xfId="10" applyNumberFormat="1" applyFont="1" applyFill="1" applyBorder="1" applyAlignment="1" applyProtection="1">
      <alignment horizontal="center" vertical="center"/>
    </xf>
    <xf numFmtId="3" fontId="11" fillId="12" borderId="2" xfId="10" applyNumberFormat="1" applyFont="1" applyFill="1" applyBorder="1" applyAlignment="1" applyProtection="1">
      <alignment horizontal="center" vertical="center"/>
    </xf>
    <xf numFmtId="1" fontId="12" fillId="12" borderId="268" xfId="10" applyNumberFormat="1" applyFont="1" applyFill="1" applyBorder="1" applyAlignment="1" applyProtection="1">
      <alignment horizontal="left" vertical="center"/>
    </xf>
    <xf numFmtId="1" fontId="12" fillId="12" borderId="269" xfId="10" applyNumberFormat="1" applyFont="1" applyFill="1" applyBorder="1" applyAlignment="1" applyProtection="1">
      <alignment horizontal="center" vertical="center"/>
    </xf>
    <xf numFmtId="1" fontId="12" fillId="13" borderId="269" xfId="10" applyNumberFormat="1" applyFont="1" applyFill="1" applyBorder="1" applyAlignment="1" applyProtection="1">
      <alignment horizontal="center" vertical="center"/>
    </xf>
    <xf numFmtId="1" fontId="12" fillId="12" borderId="273" xfId="10" applyNumberFormat="1" applyFont="1" applyFill="1" applyBorder="1" applyAlignment="1" applyProtection="1">
      <alignment horizontal="left" vertical="center"/>
    </xf>
    <xf numFmtId="1" fontId="12" fillId="12" borderId="274" xfId="10" applyNumberFormat="1" applyFont="1" applyFill="1" applyBorder="1" applyAlignment="1" applyProtection="1">
      <alignment horizontal="center" vertical="center"/>
    </xf>
    <xf numFmtId="1" fontId="12" fillId="13" borderId="274" xfId="10" applyNumberFormat="1" applyFont="1" applyFill="1" applyBorder="1" applyAlignment="1" applyProtection="1">
      <alignment horizontal="center" vertical="center"/>
    </xf>
    <xf numFmtId="1" fontId="12" fillId="12" borderId="278" xfId="10" applyNumberFormat="1" applyFont="1" applyFill="1" applyBorder="1" applyAlignment="1" applyProtection="1">
      <alignment horizontal="left" vertical="center"/>
    </xf>
    <xf numFmtId="1" fontId="12" fillId="12" borderId="279" xfId="10" applyNumberFormat="1" applyFont="1" applyFill="1" applyBorder="1" applyAlignment="1" applyProtection="1">
      <alignment horizontal="center" vertical="center"/>
    </xf>
    <xf numFmtId="165" fontId="12" fillId="0" borderId="229" xfId="10" applyNumberFormat="1" applyFont="1" applyFill="1" applyBorder="1" applyAlignment="1" applyProtection="1">
      <alignment horizontal="center" vertical="center"/>
    </xf>
    <xf numFmtId="165" fontId="12" fillId="0" borderId="230" xfId="10" applyNumberFormat="1" applyFont="1" applyFill="1" applyBorder="1" applyAlignment="1" applyProtection="1">
      <alignment horizontal="center" vertical="center"/>
    </xf>
    <xf numFmtId="165" fontId="12" fillId="0" borderId="231" xfId="10" applyNumberFormat="1" applyFont="1" applyFill="1" applyBorder="1" applyAlignment="1" applyProtection="1">
      <alignment horizontal="center" vertical="center"/>
    </xf>
    <xf numFmtId="3" fontId="11" fillId="12" borderId="295" xfId="10" applyNumberFormat="1" applyFont="1" applyFill="1" applyBorder="1" applyAlignment="1" applyProtection="1">
      <alignment horizontal="center" vertical="center"/>
    </xf>
    <xf numFmtId="165" fontId="12" fillId="12" borderId="229" xfId="10" applyNumberFormat="1" applyFont="1" applyFill="1" applyBorder="1" applyAlignment="1" applyProtection="1">
      <alignment horizontal="center" vertical="center"/>
    </xf>
    <xf numFmtId="165" fontId="12" fillId="12" borderId="230" xfId="10" applyNumberFormat="1" applyFont="1" applyFill="1" applyBorder="1" applyAlignment="1" applyProtection="1">
      <alignment horizontal="center" vertical="center"/>
    </xf>
    <xf numFmtId="165" fontId="12" fillId="12" borderId="231" xfId="10" applyNumberFormat="1" applyFont="1" applyFill="1" applyBorder="1" applyAlignment="1" applyProtection="1">
      <alignment horizontal="center" vertical="center"/>
    </xf>
    <xf numFmtId="1" fontId="12" fillId="13" borderId="239" xfId="10" applyNumberFormat="1" applyFont="1" applyFill="1" applyBorder="1" applyAlignment="1" applyProtection="1">
      <alignment horizontal="center" vertical="center"/>
    </xf>
    <xf numFmtId="3" fontId="11" fillId="12" borderId="49" xfId="10" applyNumberFormat="1" applyFont="1" applyFill="1" applyBorder="1" applyAlignment="1" applyProtection="1">
      <alignment horizontal="center" vertical="center"/>
    </xf>
    <xf numFmtId="1" fontId="12" fillId="13" borderId="255" xfId="10" applyNumberFormat="1" applyFont="1" applyFill="1" applyBorder="1" applyAlignment="1" applyProtection="1">
      <alignment horizontal="center" vertical="center"/>
    </xf>
    <xf numFmtId="3" fontId="12" fillId="12" borderId="334" xfId="10" applyNumberFormat="1" applyFont="1" applyFill="1" applyBorder="1" applyAlignment="1" applyProtection="1">
      <alignment horizontal="center" vertical="center"/>
    </xf>
    <xf numFmtId="1" fontId="12" fillId="12" borderId="335" xfId="10" applyNumberFormat="1" applyFont="1" applyFill="1" applyBorder="1" applyAlignment="1" applyProtection="1">
      <alignment horizontal="center" vertical="center"/>
    </xf>
    <xf numFmtId="3" fontId="12" fillId="12" borderId="175" xfId="10" applyNumberFormat="1" applyFont="1" applyFill="1" applyBorder="1" applyAlignment="1" applyProtection="1">
      <alignment horizontal="center" vertical="center"/>
    </xf>
    <xf numFmtId="1" fontId="12" fillId="12" borderId="341" xfId="10" applyNumberFormat="1" applyFont="1" applyFill="1" applyBorder="1" applyAlignment="1" applyProtection="1">
      <alignment horizontal="left" vertical="center"/>
    </xf>
    <xf numFmtId="1" fontId="12" fillId="13" borderId="344" xfId="10" applyNumberFormat="1" applyFont="1" applyFill="1" applyBorder="1" applyAlignment="1" applyProtection="1">
      <alignment horizontal="center" vertical="center"/>
    </xf>
    <xf numFmtId="1" fontId="12" fillId="13" borderId="259" xfId="10" applyNumberFormat="1" applyFont="1" applyFill="1" applyBorder="1" applyAlignment="1" applyProtection="1">
      <alignment horizontal="center" vertical="center"/>
    </xf>
    <xf numFmtId="1" fontId="12" fillId="12" borderId="344" xfId="10" applyNumberFormat="1" applyFont="1" applyFill="1" applyBorder="1" applyAlignment="1" applyProtection="1">
      <alignment horizontal="left" vertical="center"/>
    </xf>
    <xf numFmtId="1" fontId="12" fillId="13" borderId="280" xfId="10" applyNumberFormat="1" applyFont="1" applyFill="1" applyBorder="1" applyAlignment="1" applyProtection="1">
      <alignment horizontal="left" vertical="center"/>
    </xf>
    <xf numFmtId="1" fontId="12" fillId="13" borderId="281" xfId="10" applyNumberFormat="1" applyFont="1" applyFill="1" applyBorder="1" applyAlignment="1" applyProtection="1">
      <alignment horizontal="center" vertical="center"/>
    </xf>
    <xf numFmtId="3" fontId="12" fillId="12" borderId="346" xfId="10" applyNumberFormat="1" applyFont="1" applyFill="1" applyBorder="1" applyAlignment="1" applyProtection="1">
      <alignment horizontal="center" vertical="center"/>
    </xf>
    <xf numFmtId="1" fontId="12" fillId="13" borderId="243" xfId="10" applyNumberFormat="1" applyFont="1" applyFill="1" applyBorder="1" applyAlignment="1" applyProtection="1">
      <alignment horizontal="center" vertical="center"/>
    </xf>
    <xf numFmtId="1" fontId="12" fillId="12" borderId="347" xfId="10" applyNumberFormat="1" applyFont="1" applyFill="1" applyBorder="1" applyAlignment="1" applyProtection="1">
      <alignment horizontal="left" vertical="center"/>
    </xf>
    <xf numFmtId="1" fontId="12" fillId="12" borderId="201" xfId="10" applyNumberFormat="1" applyFont="1" applyFill="1" applyBorder="1" applyAlignment="1" applyProtection="1">
      <alignment horizontal="center" vertical="center"/>
    </xf>
    <xf numFmtId="1" fontId="12" fillId="13" borderId="350" xfId="10" applyNumberFormat="1" applyFont="1" applyFill="1" applyBorder="1" applyAlignment="1" applyProtection="1">
      <alignment horizontal="center" vertical="center"/>
    </xf>
    <xf numFmtId="3" fontId="12" fillId="12" borderId="350" xfId="10" applyNumberFormat="1" applyFont="1" applyFill="1" applyBorder="1" applyAlignment="1" applyProtection="1">
      <alignment horizontal="center" vertical="center"/>
    </xf>
    <xf numFmtId="3" fontId="12" fillId="12" borderId="7" xfId="10" applyNumberFormat="1" applyFont="1" applyFill="1" applyBorder="1" applyAlignment="1" applyProtection="1">
      <alignment horizontal="center" vertical="center"/>
    </xf>
    <xf numFmtId="1" fontId="12" fillId="12" borderId="357" xfId="10" applyNumberFormat="1" applyFont="1" applyFill="1" applyBorder="1" applyAlignment="1" applyProtection="1">
      <alignment horizontal="left" vertical="center"/>
    </xf>
    <xf numFmtId="1" fontId="12" fillId="12" borderId="358" xfId="10" applyNumberFormat="1" applyFont="1" applyFill="1" applyBorder="1" applyAlignment="1" applyProtection="1">
      <alignment horizontal="center" vertical="center"/>
    </xf>
    <xf numFmtId="1" fontId="12" fillId="13" borderId="360" xfId="10" applyNumberFormat="1" applyFont="1" applyFill="1" applyBorder="1" applyAlignment="1" applyProtection="1">
      <alignment horizontal="center" vertical="center"/>
    </xf>
    <xf numFmtId="1" fontId="12" fillId="12" borderId="282" xfId="10" applyNumberFormat="1" applyFont="1" applyFill="1" applyBorder="1" applyAlignment="1" applyProtection="1">
      <alignment horizontal="center" vertical="center"/>
    </xf>
    <xf numFmtId="1" fontId="12" fillId="13" borderId="365" xfId="10" applyNumberFormat="1" applyFont="1" applyFill="1" applyBorder="1" applyAlignment="1" applyProtection="1">
      <alignment horizontal="center" vertical="center"/>
    </xf>
    <xf numFmtId="1" fontId="12" fillId="12" borderId="334" xfId="10" applyNumberFormat="1" applyFont="1" applyFill="1" applyBorder="1" applyAlignment="1" applyProtection="1">
      <alignment horizontal="center" vertical="center"/>
    </xf>
    <xf numFmtId="1" fontId="12" fillId="12" borderId="367" xfId="10" applyNumberFormat="1" applyFont="1" applyFill="1" applyBorder="1" applyAlignment="1" applyProtection="1">
      <alignment horizontal="center" vertical="center"/>
    </xf>
    <xf numFmtId="1" fontId="12" fillId="13" borderId="325" xfId="10" applyNumberFormat="1" applyFont="1" applyFill="1" applyBorder="1" applyAlignment="1" applyProtection="1">
      <alignment horizontal="center" vertical="center"/>
    </xf>
    <xf numFmtId="1" fontId="12" fillId="12" borderId="20" xfId="10" applyNumberFormat="1" applyFont="1" applyFill="1" applyBorder="1" applyAlignment="1" applyProtection="1">
      <alignment horizontal="left" vertical="center"/>
    </xf>
    <xf numFmtId="9" fontId="11" fillId="0" borderId="0" xfId="7" applyFont="1" applyFill="1" applyBorder="1" applyAlignment="1">
      <alignment horizontal="center" vertical="center"/>
    </xf>
    <xf numFmtId="1" fontId="12" fillId="0" borderId="0" xfId="0" applyNumberFormat="1" applyFont="1" applyFill="1" applyBorder="1" applyAlignment="1">
      <alignment horizontal="center" vertical="center"/>
    </xf>
    <xf numFmtId="170" fontId="12" fillId="0" borderId="0" xfId="0" applyNumberFormat="1" applyFont="1" applyFill="1" applyBorder="1" applyAlignment="1">
      <alignment horizontal="center"/>
    </xf>
    <xf numFmtId="37" fontId="11" fillId="0" borderId="0" xfId="0" applyNumberFormat="1" applyFont="1" applyFill="1" applyBorder="1" applyAlignment="1">
      <alignment horizontal="left"/>
    </xf>
    <xf numFmtId="0" fontId="11" fillId="17" borderId="14" xfId="10" applyFont="1" applyFill="1" applyBorder="1" applyAlignment="1">
      <alignment vertical="center"/>
    </xf>
    <xf numFmtId="1" fontId="11" fillId="17" borderId="17" xfId="10" applyNumberFormat="1" applyFont="1" applyFill="1" applyBorder="1" applyAlignment="1">
      <alignment horizontal="center" vertical="center"/>
    </xf>
    <xf numFmtId="1" fontId="11" fillId="17" borderId="17" xfId="10" applyNumberFormat="1" applyFont="1" applyFill="1" applyBorder="1" applyAlignment="1">
      <alignment horizontal="left" vertical="center"/>
    </xf>
    <xf numFmtId="0" fontId="11" fillId="17" borderId="90" xfId="6" applyNumberFormat="1" applyFont="1" applyFill="1" applyBorder="1" applyAlignment="1">
      <alignment horizontal="center" vertical="center"/>
    </xf>
    <xf numFmtId="0" fontId="11" fillId="17" borderId="24" xfId="6" applyNumberFormat="1" applyFont="1" applyFill="1" applyBorder="1" applyAlignment="1">
      <alignment horizontal="center" vertical="center"/>
    </xf>
    <xf numFmtId="0" fontId="11" fillId="17" borderId="55" xfId="6" applyFont="1" applyFill="1" applyBorder="1" applyAlignment="1">
      <alignment horizontal="center" vertical="center"/>
    </xf>
    <xf numFmtId="0" fontId="11" fillId="17" borderId="29" xfId="6" applyFont="1" applyFill="1" applyBorder="1" applyAlignment="1">
      <alignment horizontal="center" vertical="center"/>
    </xf>
    <xf numFmtId="0" fontId="11" fillId="17" borderId="13" xfId="6" applyFont="1" applyFill="1" applyBorder="1" applyAlignment="1">
      <alignment horizontal="center" vertical="center"/>
    </xf>
    <xf numFmtId="0" fontId="11" fillId="17" borderId="46" xfId="6" applyFont="1" applyFill="1" applyBorder="1" applyAlignment="1">
      <alignment vertical="center"/>
    </xf>
    <xf numFmtId="0" fontId="11" fillId="17" borderId="25" xfId="6" applyFont="1" applyFill="1" applyBorder="1" applyAlignment="1">
      <alignment horizontal="center" vertical="center"/>
    </xf>
    <xf numFmtId="0" fontId="11" fillId="17" borderId="2" xfId="6" applyFont="1" applyFill="1" applyBorder="1" applyAlignment="1">
      <alignment horizontal="center" vertical="center"/>
    </xf>
    <xf numFmtId="0" fontId="11" fillId="17" borderId="7" xfId="6" applyFont="1" applyFill="1" applyBorder="1" applyAlignment="1">
      <alignment horizontal="center" vertical="center"/>
    </xf>
    <xf numFmtId="0" fontId="11" fillId="17" borderId="21" xfId="6" applyFont="1" applyFill="1" applyBorder="1" applyAlignment="1">
      <alignment horizontal="center" vertical="center"/>
    </xf>
    <xf numFmtId="0" fontId="11" fillId="17" borderId="9" xfId="6" applyFont="1" applyFill="1" applyBorder="1" applyAlignment="1">
      <alignment horizontal="center" vertical="center"/>
    </xf>
    <xf numFmtId="0" fontId="11" fillId="17" borderId="26" xfId="6" applyFont="1" applyFill="1" applyBorder="1" applyAlignment="1">
      <alignment vertical="center"/>
    </xf>
    <xf numFmtId="0" fontId="11" fillId="17" borderId="42" xfId="6" applyFont="1" applyFill="1" applyBorder="1" applyAlignment="1">
      <alignment horizontal="center" vertical="center"/>
    </xf>
    <xf numFmtId="0" fontId="11" fillId="17" borderId="96" xfId="6" applyNumberFormat="1" applyFont="1" applyFill="1" applyBorder="1" applyAlignment="1">
      <alignment horizontal="center" vertical="center"/>
    </xf>
    <xf numFmtId="0" fontId="11" fillId="17" borderId="53" xfId="6" applyNumberFormat="1" applyFont="1" applyFill="1" applyBorder="1" applyAlignment="1">
      <alignment horizontal="center" vertical="center"/>
    </xf>
    <xf numFmtId="1" fontId="11" fillId="17" borderId="168" xfId="10" applyNumberFormat="1" applyFont="1" applyFill="1" applyBorder="1" applyAlignment="1">
      <alignment horizontal="left" vertical="center"/>
    </xf>
    <xf numFmtId="1" fontId="11" fillId="17" borderId="98" xfId="10" applyNumberFormat="1" applyFont="1" applyFill="1" applyBorder="1" applyAlignment="1">
      <alignment horizontal="left" vertical="center"/>
    </xf>
    <xf numFmtId="37" fontId="11" fillId="17" borderId="20" xfId="10" applyNumberFormat="1" applyFont="1" applyFill="1" applyBorder="1" applyAlignment="1">
      <alignment horizontal="center" vertical="center"/>
    </xf>
    <xf numFmtId="37" fontId="11" fillId="17" borderId="42" xfId="0" applyNumberFormat="1" applyFont="1" applyFill="1" applyBorder="1" applyAlignment="1">
      <alignment horizontal="center" vertical="center"/>
    </xf>
    <xf numFmtId="37" fontId="11" fillId="17" borderId="44" xfId="0" applyNumberFormat="1" applyFont="1" applyFill="1" applyBorder="1" applyAlignment="1">
      <alignment horizontal="center" vertical="center"/>
    </xf>
    <xf numFmtId="37" fontId="11" fillId="17" borderId="60" xfId="0" applyNumberFormat="1" applyFont="1" applyFill="1" applyBorder="1" applyAlignment="1">
      <alignment horizontal="center" vertical="center"/>
    </xf>
    <xf numFmtId="37" fontId="11" fillId="0" borderId="161" xfId="10" applyNumberFormat="1" applyFont="1" applyFill="1" applyBorder="1" applyAlignment="1">
      <alignment horizontal="center" vertical="center"/>
    </xf>
    <xf numFmtId="37" fontId="11" fillId="0" borderId="31" xfId="10" applyNumberFormat="1" applyFont="1" applyFill="1" applyBorder="1" applyAlignment="1">
      <alignment horizontal="center" vertical="center"/>
    </xf>
    <xf numFmtId="37" fontId="11" fillId="0" borderId="119" xfId="10" applyNumberFormat="1" applyFont="1" applyFill="1" applyBorder="1" applyAlignment="1">
      <alignment horizontal="center" vertical="center"/>
    </xf>
    <xf numFmtId="37" fontId="11" fillId="0" borderId="113" xfId="10" applyNumberFormat="1" applyFont="1" applyFill="1" applyBorder="1" applyAlignment="1">
      <alignment horizontal="center" vertical="center"/>
    </xf>
    <xf numFmtId="37" fontId="11" fillId="17" borderId="174" xfId="0" applyNumberFormat="1" applyFont="1" applyFill="1" applyBorder="1" applyAlignment="1">
      <alignment horizontal="center" vertical="center"/>
    </xf>
    <xf numFmtId="1" fontId="11" fillId="17" borderId="116" xfId="10" applyNumberFormat="1" applyFont="1" applyFill="1" applyBorder="1" applyAlignment="1">
      <alignment horizontal="left" vertical="center"/>
    </xf>
    <xf numFmtId="37" fontId="11" fillId="10" borderId="372" xfId="0" applyNumberFormat="1" applyFont="1" applyFill="1" applyBorder="1" applyAlignment="1">
      <alignment horizontal="left" vertical="center"/>
    </xf>
    <xf numFmtId="37" fontId="12" fillId="10" borderId="373" xfId="0" applyNumberFormat="1" applyFont="1" applyFill="1" applyBorder="1" applyAlignment="1">
      <alignment vertical="center"/>
    </xf>
    <xf numFmtId="37" fontId="12" fillId="10" borderId="375" xfId="0" applyNumberFormat="1" applyFont="1" applyFill="1" applyBorder="1" applyAlignment="1">
      <alignment vertical="center"/>
    </xf>
    <xf numFmtId="37" fontId="11" fillId="10" borderId="376" xfId="0" applyNumberFormat="1" applyFont="1" applyFill="1" applyBorder="1" applyAlignment="1">
      <alignment horizontal="left" vertical="center"/>
    </xf>
    <xf numFmtId="37" fontId="11" fillId="10" borderId="377" xfId="0" applyNumberFormat="1" applyFont="1" applyFill="1" applyBorder="1" applyAlignment="1">
      <alignment horizontal="left" vertical="center"/>
    </xf>
    <xf numFmtId="37" fontId="16" fillId="10" borderId="43" xfId="6" applyNumberFormat="1" applyFont="1" applyFill="1" applyBorder="1" applyAlignment="1">
      <alignment horizontal="center" vertical="center" wrapText="1"/>
    </xf>
    <xf numFmtId="37" fontId="16" fillId="10" borderId="42" xfId="6" applyNumberFormat="1" applyFont="1" applyFill="1" applyBorder="1" applyAlignment="1">
      <alignment horizontal="center" vertical="center" wrapText="1"/>
    </xf>
    <xf numFmtId="37" fontId="16" fillId="10" borderId="44" xfId="6" applyNumberFormat="1" applyFont="1" applyFill="1" applyBorder="1" applyAlignment="1">
      <alignment horizontal="center" vertical="center" wrapText="1"/>
    </xf>
    <xf numFmtId="37" fontId="12" fillId="10" borderId="44" xfId="10" applyNumberFormat="1" applyFont="1" applyFill="1" applyBorder="1" applyAlignment="1">
      <alignment horizontal="center" vertical="center"/>
    </xf>
    <xf numFmtId="37" fontId="12" fillId="10" borderId="381" xfId="10" applyNumberFormat="1" applyFont="1" applyFill="1" applyBorder="1" applyAlignment="1">
      <alignment horizontal="center" vertical="center"/>
    </xf>
    <xf numFmtId="37" fontId="11" fillId="10" borderId="381" xfId="10" applyNumberFormat="1" applyFont="1" applyFill="1" applyBorder="1" applyAlignment="1">
      <alignment horizontal="left" vertical="center"/>
    </xf>
    <xf numFmtId="37" fontId="11" fillId="0" borderId="118" xfId="10" applyNumberFormat="1" applyFont="1" applyFill="1" applyBorder="1" applyAlignment="1">
      <alignment horizontal="center" vertical="center"/>
    </xf>
    <xf numFmtId="1" fontId="11" fillId="17" borderId="374" xfId="0" applyNumberFormat="1" applyFont="1" applyFill="1" applyBorder="1" applyAlignment="1">
      <alignment horizontal="left" vertical="center"/>
    </xf>
    <xf numFmtId="1" fontId="11" fillId="17" borderId="26" xfId="0" applyNumberFormat="1" applyFont="1" applyFill="1" applyBorder="1" applyAlignment="1">
      <alignment horizontal="left" vertical="center"/>
    </xf>
    <xf numFmtId="37" fontId="11" fillId="17" borderId="21" xfId="10" applyNumberFormat="1" applyFont="1" applyFill="1" applyBorder="1" applyAlignment="1">
      <alignment horizontal="left" vertical="center"/>
    </xf>
    <xf numFmtId="37" fontId="11" fillId="17" borderId="21" xfId="10" applyNumberFormat="1" applyFont="1" applyFill="1" applyBorder="1" applyAlignment="1">
      <alignment horizontal="center" vertical="center"/>
    </xf>
    <xf numFmtId="37" fontId="12" fillId="17" borderId="21" xfId="0" applyNumberFormat="1" applyFont="1" applyFill="1" applyBorder="1" applyAlignment="1">
      <alignment vertical="center"/>
    </xf>
    <xf numFmtId="37" fontId="11" fillId="17" borderId="378" xfId="0" applyNumberFormat="1" applyFont="1" applyFill="1" applyBorder="1" applyAlignment="1">
      <alignment horizontal="center" vertical="center"/>
    </xf>
    <xf numFmtId="37" fontId="11" fillId="17" borderId="379" xfId="0" applyNumberFormat="1" applyFont="1" applyFill="1" applyBorder="1" applyAlignment="1">
      <alignment horizontal="center" vertical="center"/>
    </xf>
    <xf numFmtId="37" fontId="11" fillId="17" borderId="380" xfId="0" applyNumberFormat="1" applyFont="1" applyFill="1" applyBorder="1" applyAlignment="1">
      <alignment horizontal="center" vertical="center"/>
    </xf>
    <xf numFmtId="37" fontId="11" fillId="17" borderId="94" xfId="10" applyNumberFormat="1" applyFont="1" applyFill="1" applyBorder="1" applyAlignment="1">
      <alignment horizontal="center" vertical="center"/>
    </xf>
    <xf numFmtId="37" fontId="11" fillId="17" borderId="100" xfId="0" applyNumberFormat="1" applyFont="1" applyFill="1" applyBorder="1" applyAlignment="1">
      <alignment horizontal="center" vertical="center"/>
    </xf>
    <xf numFmtId="37" fontId="11" fillId="17" borderId="11" xfId="0" applyNumberFormat="1" applyFont="1" applyFill="1" applyBorder="1" applyAlignment="1">
      <alignment horizontal="center" vertical="center"/>
    </xf>
    <xf numFmtId="37" fontId="11" fillId="17" borderId="13" xfId="0" applyNumberFormat="1" applyFont="1" applyFill="1" applyBorder="1" applyAlignment="1">
      <alignment horizontal="center" vertical="center"/>
    </xf>
    <xf numFmtId="37" fontId="11" fillId="17" borderId="10" xfId="0" applyNumberFormat="1" applyFont="1" applyFill="1" applyBorder="1" applyAlignment="1">
      <alignment horizontal="center" vertical="center"/>
    </xf>
    <xf numFmtId="1" fontId="11" fillId="17" borderId="10" xfId="0" applyNumberFormat="1" applyFont="1" applyFill="1" applyBorder="1" applyAlignment="1">
      <alignment horizontal="left" vertical="center"/>
    </xf>
    <xf numFmtId="1" fontId="11" fillId="17" borderId="23" xfId="0" applyNumberFormat="1" applyFont="1" applyFill="1" applyBorder="1" applyAlignment="1">
      <alignment horizontal="left" vertical="center"/>
    </xf>
    <xf numFmtId="37" fontId="11" fillId="17" borderId="39" xfId="0" applyNumberFormat="1" applyFont="1" applyFill="1" applyBorder="1" applyAlignment="1">
      <alignment horizontal="center" vertical="center"/>
    </xf>
    <xf numFmtId="37" fontId="11" fillId="17" borderId="22" xfId="10" applyNumberFormat="1" applyFont="1" applyFill="1" applyBorder="1" applyAlignment="1">
      <alignment horizontal="left" vertical="center"/>
    </xf>
    <xf numFmtId="37" fontId="11" fillId="17" borderId="22" xfId="10" applyNumberFormat="1" applyFont="1" applyFill="1" applyBorder="1" applyAlignment="1">
      <alignment horizontal="center" vertical="center"/>
    </xf>
    <xf numFmtId="37" fontId="12" fillId="17" borderId="22" xfId="0" applyNumberFormat="1" applyFont="1" applyFill="1" applyBorder="1" applyAlignment="1">
      <alignment vertical="center"/>
    </xf>
    <xf numFmtId="37" fontId="11" fillId="17" borderId="2" xfId="0" applyNumberFormat="1" applyFont="1" applyFill="1" applyBorder="1" applyAlignment="1">
      <alignment horizontal="center" vertical="center"/>
    </xf>
    <xf numFmtId="37" fontId="11" fillId="17" borderId="120" xfId="0" applyNumberFormat="1" applyFont="1" applyFill="1" applyBorder="1" applyAlignment="1">
      <alignment horizontal="center" vertical="center"/>
    </xf>
    <xf numFmtId="1" fontId="11" fillId="17" borderId="26" xfId="10" applyNumberFormat="1" applyFont="1" applyFill="1" applyBorder="1" applyAlignment="1">
      <alignment horizontal="left" vertical="center"/>
    </xf>
    <xf numFmtId="1" fontId="11" fillId="17" borderId="23" xfId="10" applyNumberFormat="1" applyFont="1" applyFill="1" applyBorder="1" applyAlignment="1">
      <alignment horizontal="left" vertical="center"/>
    </xf>
    <xf numFmtId="37" fontId="11" fillId="17" borderId="7" xfId="0" applyNumberFormat="1" applyFont="1" applyFill="1" applyBorder="1" applyAlignment="1">
      <alignment horizontal="center" vertical="center"/>
    </xf>
    <xf numFmtId="1" fontId="11" fillId="17" borderId="93" xfId="10" applyNumberFormat="1" applyFont="1" applyFill="1" applyBorder="1" applyAlignment="1">
      <alignment horizontal="left" vertical="center"/>
    </xf>
    <xf numFmtId="1" fontId="11" fillId="17" borderId="25" xfId="10" applyNumberFormat="1" applyFont="1" applyFill="1" applyBorder="1" applyAlignment="1">
      <alignment horizontal="left" vertical="center"/>
    </xf>
    <xf numFmtId="1" fontId="11" fillId="17" borderId="15" xfId="10" applyNumberFormat="1" applyFont="1" applyFill="1" applyBorder="1" applyAlignment="1">
      <alignment horizontal="left" vertical="center"/>
    </xf>
    <xf numFmtId="0" fontId="12" fillId="0" borderId="22" xfId="10" applyFont="1" applyFill="1" applyBorder="1" applyAlignment="1">
      <alignment horizontal="center" vertical="center"/>
    </xf>
    <xf numFmtId="0" fontId="12" fillId="0" borderId="0" xfId="0" applyFont="1" applyFill="1" applyBorder="1" applyAlignment="1">
      <alignment horizontal="center" vertical="center"/>
    </xf>
    <xf numFmtId="1" fontId="11" fillId="0" borderId="2" xfId="0" applyNumberFormat="1" applyFont="1" applyFill="1" applyBorder="1" applyAlignment="1">
      <alignment horizontal="center" vertical="center"/>
    </xf>
    <xf numFmtId="39" fontId="12" fillId="3" borderId="20" xfId="6" applyNumberFormat="1" applyFont="1" applyFill="1" applyBorder="1" applyAlignment="1" applyProtection="1">
      <alignment horizontal="center" vertical="center"/>
      <protection hidden="1"/>
    </xf>
    <xf numFmtId="39" fontId="12" fillId="3" borderId="0" xfId="6" applyNumberFormat="1" applyFont="1" applyFill="1" applyBorder="1" applyAlignment="1" applyProtection="1">
      <alignment horizontal="center" vertical="center"/>
      <protection hidden="1"/>
    </xf>
    <xf numFmtId="0" fontId="57" fillId="15" borderId="0" xfId="0" applyFont="1" applyFill="1" applyAlignment="1">
      <alignment horizontal="center"/>
    </xf>
    <xf numFmtId="1" fontId="12" fillId="16" borderId="0" xfId="10" applyNumberFormat="1" applyFont="1" applyFill="1" applyBorder="1" applyAlignment="1" applyProtection="1">
      <alignment horizontal="center" vertical="center"/>
    </xf>
    <xf numFmtId="3" fontId="12" fillId="16" borderId="60" xfId="10" applyNumberFormat="1" applyFont="1" applyFill="1" applyBorder="1" applyAlignment="1" applyProtection="1">
      <alignment horizontal="center" vertical="center"/>
    </xf>
    <xf numFmtId="3" fontId="11" fillId="0" borderId="0" xfId="6" applyNumberFormat="1" applyFont="1" applyFill="1" applyBorder="1" applyAlignment="1">
      <alignment horizontal="center" vertical="center"/>
    </xf>
    <xf numFmtId="0" fontId="12" fillId="0" borderId="22" xfId="6" applyFont="1" applyFill="1" applyBorder="1" applyAlignment="1">
      <alignment vertical="center"/>
    </xf>
    <xf numFmtId="0" fontId="11" fillId="0" borderId="22" xfId="6" applyFont="1" applyFill="1" applyBorder="1" applyAlignment="1">
      <alignment vertical="center"/>
    </xf>
    <xf numFmtId="0" fontId="12" fillId="0" borderId="51" xfId="6" applyFont="1" applyFill="1" applyBorder="1" applyAlignment="1">
      <alignment vertical="center"/>
    </xf>
    <xf numFmtId="0" fontId="12" fillId="0" borderId="20" xfId="6" applyFont="1" applyFill="1" applyBorder="1" applyAlignment="1">
      <alignment vertical="center"/>
    </xf>
    <xf numFmtId="1" fontId="12" fillId="0" borderId="6" xfId="6" applyNumberFormat="1" applyFont="1" applyFill="1" applyBorder="1" applyAlignment="1">
      <alignment horizontal="right" vertical="center"/>
    </xf>
    <xf numFmtId="0" fontId="11" fillId="10" borderId="384" xfId="6" applyFont="1" applyFill="1" applyBorder="1" applyAlignment="1">
      <alignment horizontal="center" vertical="center"/>
    </xf>
    <xf numFmtId="1" fontId="12" fillId="12" borderId="7" xfId="6" applyNumberFormat="1" applyFont="1" applyFill="1" applyBorder="1" applyAlignment="1">
      <alignment horizontal="center" vertical="center"/>
    </xf>
    <xf numFmtId="1" fontId="12" fillId="0" borderId="1" xfId="6" applyNumberFormat="1" applyFont="1" applyFill="1" applyBorder="1" applyAlignment="1">
      <alignment horizontal="center" vertical="center"/>
    </xf>
    <xf numFmtId="1" fontId="12" fillId="12" borderId="1" xfId="6" applyNumberFormat="1" applyFont="1" applyFill="1" applyBorder="1" applyAlignment="1">
      <alignment horizontal="center" vertical="center"/>
    </xf>
    <xf numFmtId="1" fontId="12" fillId="12" borderId="7" xfId="6" applyNumberFormat="1" applyFont="1" applyFill="1" applyBorder="1" applyAlignment="1">
      <alignment horizontal="right" vertical="center"/>
    </xf>
    <xf numFmtId="1" fontId="11" fillId="12" borderId="34" xfId="6" applyNumberFormat="1" applyFont="1" applyFill="1" applyBorder="1" applyAlignment="1">
      <alignment horizontal="center" vertical="center"/>
    </xf>
    <xf numFmtId="3" fontId="12" fillId="0" borderId="0" xfId="0" applyNumberFormat="1" applyFont="1" applyFill="1" applyBorder="1" applyAlignment="1">
      <alignment horizontal="center"/>
    </xf>
    <xf numFmtId="37" fontId="11" fillId="0" borderId="0" xfId="0" applyNumberFormat="1" applyFont="1" applyFill="1" applyBorder="1" applyAlignment="1">
      <alignment vertical="center"/>
    </xf>
    <xf numFmtId="0" fontId="11" fillId="0" borderId="0" xfId="10" applyFont="1" applyFill="1" applyBorder="1" applyAlignment="1">
      <alignment horizontal="center" vertical="center"/>
    </xf>
    <xf numFmtId="0" fontId="12" fillId="11" borderId="0" xfId="0" applyFont="1" applyFill="1" applyBorder="1"/>
    <xf numFmtId="0" fontId="28" fillId="0" borderId="0" xfId="0" applyFont="1" applyBorder="1" applyAlignment="1">
      <alignment horizontal="center"/>
    </xf>
    <xf numFmtId="0" fontId="26" fillId="11" borderId="0" xfId="0" applyFont="1" applyFill="1" applyBorder="1"/>
    <xf numFmtId="0" fontId="14" fillId="0" borderId="0" xfId="12" applyFont="1" applyFill="1" applyBorder="1" applyAlignment="1">
      <alignment horizontal="center"/>
    </xf>
    <xf numFmtId="0" fontId="14" fillId="0" borderId="0" xfId="12" applyFont="1" applyBorder="1" applyAlignment="1">
      <alignment horizontal="center"/>
    </xf>
    <xf numFmtId="0" fontId="29" fillId="0" borderId="0" xfId="0" applyFont="1" applyFill="1" applyBorder="1"/>
    <xf numFmtId="0" fontId="12" fillId="0" borderId="42" xfId="0" applyFont="1" applyFill="1" applyBorder="1" applyAlignment="1">
      <alignment horizontal="center"/>
    </xf>
    <xf numFmtId="0" fontId="12" fillId="0" borderId="21" xfId="0" applyFont="1" applyFill="1" applyBorder="1" applyAlignment="1">
      <alignment horizontal="center"/>
    </xf>
    <xf numFmtId="0" fontId="14" fillId="10" borderId="2" xfId="12" applyFont="1" applyFill="1" applyBorder="1" applyAlignment="1">
      <alignment horizontal="center"/>
    </xf>
    <xf numFmtId="37" fontId="14" fillId="0" borderId="0" xfId="12" applyNumberFormat="1" applyFont="1" applyFill="1" applyAlignment="1">
      <alignment vertical="center"/>
    </xf>
    <xf numFmtId="0" fontId="11" fillId="0" borderId="0" xfId="0" applyFont="1" applyFill="1" applyBorder="1" applyAlignment="1">
      <alignment vertical="center"/>
    </xf>
    <xf numFmtId="0" fontId="17" fillId="10" borderId="17" xfId="10" applyFont="1" applyFill="1" applyBorder="1" applyAlignment="1">
      <alignment horizontal="left" vertical="center"/>
    </xf>
    <xf numFmtId="37" fontId="12" fillId="0" borderId="392" xfId="0" applyNumberFormat="1" applyFont="1" applyFill="1" applyBorder="1" applyAlignment="1">
      <alignment horizontal="center"/>
    </xf>
    <xf numFmtId="37" fontId="12" fillId="0" borderId="394" xfId="0" applyNumberFormat="1" applyFont="1" applyFill="1" applyBorder="1" applyAlignment="1">
      <alignment horizontal="center"/>
    </xf>
    <xf numFmtId="37" fontId="12" fillId="3" borderId="394" xfId="0" applyNumberFormat="1" applyFont="1" applyFill="1" applyBorder="1" applyAlignment="1">
      <alignment horizontal="center"/>
    </xf>
    <xf numFmtId="37" fontId="12" fillId="0" borderId="396" xfId="0" applyNumberFormat="1" applyFont="1" applyFill="1" applyBorder="1" applyAlignment="1">
      <alignment horizontal="center"/>
    </xf>
    <xf numFmtId="37" fontId="12" fillId="0" borderId="397" xfId="0" applyNumberFormat="1" applyFont="1" applyFill="1" applyBorder="1" applyAlignment="1">
      <alignment horizontal="center"/>
    </xf>
    <xf numFmtId="37" fontId="11" fillId="12" borderId="398" xfId="0" applyNumberFormat="1" applyFont="1" applyFill="1" applyBorder="1" applyAlignment="1">
      <alignment horizontal="center"/>
    </xf>
    <xf numFmtId="37" fontId="12" fillId="0" borderId="399" xfId="0" applyNumberFormat="1" applyFont="1" applyFill="1" applyBorder="1" applyAlignment="1">
      <alignment horizontal="center"/>
    </xf>
    <xf numFmtId="37" fontId="11" fillId="12" borderId="400" xfId="0" applyNumberFormat="1" applyFont="1" applyFill="1" applyBorder="1" applyAlignment="1">
      <alignment horizontal="center"/>
    </xf>
    <xf numFmtId="37" fontId="12" fillId="0" borderId="401" xfId="0" applyNumberFormat="1" applyFont="1" applyFill="1" applyBorder="1" applyAlignment="1">
      <alignment horizontal="center"/>
    </xf>
    <xf numFmtId="37" fontId="11" fillId="12" borderId="402" xfId="0" applyNumberFormat="1" applyFont="1" applyFill="1" applyBorder="1" applyAlignment="1">
      <alignment horizontal="center"/>
    </xf>
    <xf numFmtId="37" fontId="12" fillId="0" borderId="403" xfId="0" applyNumberFormat="1" applyFont="1" applyFill="1" applyBorder="1" applyAlignment="1">
      <alignment horizontal="center"/>
    </xf>
    <xf numFmtId="37" fontId="12" fillId="0" borderId="404" xfId="0" applyNumberFormat="1" applyFont="1" applyFill="1" applyBorder="1" applyAlignment="1">
      <alignment horizontal="center"/>
    </xf>
    <xf numFmtId="37" fontId="12" fillId="0" borderId="405" xfId="0" applyNumberFormat="1" applyFont="1" applyFill="1" applyBorder="1" applyAlignment="1">
      <alignment horizontal="center"/>
    </xf>
    <xf numFmtId="37" fontId="12" fillId="12" borderId="59" xfId="0" applyNumberFormat="1" applyFont="1" applyFill="1" applyBorder="1" applyAlignment="1">
      <alignment horizontal="center"/>
    </xf>
    <xf numFmtId="37" fontId="12" fillId="0" borderId="406" xfId="0" applyNumberFormat="1" applyFont="1" applyFill="1" applyBorder="1" applyAlignment="1">
      <alignment horizontal="center"/>
    </xf>
    <xf numFmtId="37" fontId="12" fillId="0" borderId="407" xfId="0" applyNumberFormat="1" applyFont="1" applyFill="1" applyBorder="1" applyAlignment="1">
      <alignment horizontal="center"/>
    </xf>
    <xf numFmtId="37" fontId="11" fillId="12" borderId="408" xfId="0" applyNumberFormat="1" applyFont="1" applyFill="1" applyBorder="1" applyAlignment="1">
      <alignment horizontal="center"/>
    </xf>
    <xf numFmtId="37" fontId="12" fillId="0" borderId="409" xfId="0" applyNumberFormat="1" applyFont="1" applyFill="1" applyBorder="1" applyAlignment="1">
      <alignment horizontal="center"/>
    </xf>
    <xf numFmtId="1" fontId="12" fillId="12" borderId="411" xfId="0" applyNumberFormat="1" applyFont="1" applyFill="1" applyBorder="1" applyAlignment="1">
      <alignment horizontal="left"/>
    </xf>
    <xf numFmtId="37" fontId="12" fillId="0" borderId="412" xfId="0" applyNumberFormat="1" applyFont="1" applyFill="1" applyBorder="1" applyAlignment="1">
      <alignment horizontal="center"/>
    </xf>
    <xf numFmtId="37" fontId="12" fillId="12" borderId="412" xfId="0" applyNumberFormat="1" applyFont="1" applyFill="1" applyBorder="1" applyAlignment="1">
      <alignment horizontal="center"/>
    </xf>
    <xf numFmtId="37" fontId="12" fillId="0" borderId="414" xfId="0" applyNumberFormat="1" applyFont="1" applyFill="1" applyBorder="1" applyAlignment="1">
      <alignment horizontal="center"/>
    </xf>
    <xf numFmtId="1" fontId="12" fillId="12" borderId="415" xfId="0" applyNumberFormat="1" applyFont="1" applyFill="1" applyBorder="1" applyAlignment="1">
      <alignment horizontal="left"/>
    </xf>
    <xf numFmtId="37" fontId="12" fillId="0" borderId="416" xfId="0" applyNumberFormat="1" applyFont="1" applyFill="1" applyBorder="1" applyAlignment="1">
      <alignment horizontal="center"/>
    </xf>
    <xf numFmtId="37" fontId="12" fillId="12" borderId="416" xfId="0" applyNumberFormat="1" applyFont="1" applyFill="1" applyBorder="1" applyAlignment="1">
      <alignment horizontal="center"/>
    </xf>
    <xf numFmtId="37" fontId="12" fillId="0" borderId="417" xfId="0" applyNumberFormat="1" applyFont="1" applyFill="1" applyBorder="1" applyAlignment="1">
      <alignment horizontal="center"/>
    </xf>
    <xf numFmtId="37" fontId="12" fillId="0" borderId="418" xfId="0" applyNumberFormat="1" applyFont="1" applyFill="1" applyBorder="1" applyAlignment="1">
      <alignment horizontal="center"/>
    </xf>
    <xf numFmtId="37" fontId="12" fillId="0" borderId="419" xfId="0" applyNumberFormat="1" applyFont="1" applyFill="1" applyBorder="1" applyAlignment="1">
      <alignment horizontal="center"/>
    </xf>
    <xf numFmtId="37" fontId="21" fillId="10" borderId="17" xfId="6" applyNumberFormat="1" applyFont="1" applyFill="1" applyBorder="1" applyAlignment="1">
      <alignment horizontal="left" vertical="center"/>
    </xf>
    <xf numFmtId="37" fontId="16" fillId="10" borderId="420" xfId="6" applyNumberFormat="1" applyFont="1" applyFill="1" applyBorder="1" applyAlignment="1">
      <alignment horizontal="center" vertical="center"/>
    </xf>
    <xf numFmtId="37" fontId="11" fillId="17" borderId="6" xfId="0" applyNumberFormat="1" applyFont="1" applyFill="1" applyBorder="1" applyAlignment="1">
      <alignment horizontal="center" vertical="center"/>
    </xf>
    <xf numFmtId="1" fontId="11" fillId="17" borderId="14" xfId="0" applyNumberFormat="1" applyFont="1" applyFill="1" applyBorder="1" applyAlignment="1">
      <alignment horizontal="left" vertical="center"/>
    </xf>
    <xf numFmtId="37" fontId="11" fillId="17" borderId="17" xfId="10" applyNumberFormat="1" applyFont="1" applyFill="1" applyBorder="1" applyAlignment="1">
      <alignment horizontal="left" vertical="center"/>
    </xf>
    <xf numFmtId="37" fontId="11" fillId="17" borderId="17" xfId="10" applyNumberFormat="1" applyFont="1" applyFill="1" applyBorder="1" applyAlignment="1">
      <alignment horizontal="center" vertical="center"/>
    </xf>
    <xf numFmtId="37" fontId="12" fillId="17" borderId="17" xfId="0" applyNumberFormat="1" applyFont="1" applyFill="1" applyBorder="1" applyAlignment="1">
      <alignment vertical="center"/>
    </xf>
    <xf numFmtId="37" fontId="11" fillId="17" borderId="17" xfId="0" applyNumberFormat="1" applyFont="1" applyFill="1" applyBorder="1" applyAlignment="1">
      <alignment horizontal="center" vertical="center"/>
    </xf>
    <xf numFmtId="37" fontId="12" fillId="17" borderId="30" xfId="0" applyNumberFormat="1" applyFont="1" applyFill="1" applyBorder="1" applyAlignment="1">
      <alignment horizontal="center" vertical="center"/>
    </xf>
    <xf numFmtId="37" fontId="12" fillId="0" borderId="422" xfId="0" applyNumberFormat="1" applyFont="1" applyFill="1" applyBorder="1" applyAlignment="1">
      <alignment horizontal="center"/>
    </xf>
    <xf numFmtId="37" fontId="12" fillId="0" borderId="423" xfId="0" applyNumberFormat="1" applyFont="1" applyFill="1" applyBorder="1" applyAlignment="1">
      <alignment horizontal="center"/>
    </xf>
    <xf numFmtId="37" fontId="12" fillId="12" borderId="424" xfId="0" applyNumberFormat="1" applyFont="1" applyFill="1" applyBorder="1" applyAlignment="1">
      <alignment horizontal="center"/>
    </xf>
    <xf numFmtId="37" fontId="12" fillId="0" borderId="425" xfId="0" applyNumberFormat="1" applyFont="1" applyFill="1" applyBorder="1" applyAlignment="1">
      <alignment horizontal="center"/>
    </xf>
    <xf numFmtId="37" fontId="11" fillId="12" borderId="426" xfId="0" applyNumberFormat="1" applyFont="1" applyFill="1" applyBorder="1" applyAlignment="1">
      <alignment horizontal="center"/>
    </xf>
    <xf numFmtId="1" fontId="11" fillId="17" borderId="36" xfId="0" applyNumberFormat="1" applyFont="1" applyFill="1" applyBorder="1" applyAlignment="1">
      <alignment horizontal="left" vertical="center"/>
    </xf>
    <xf numFmtId="37" fontId="11" fillId="17" borderId="106" xfId="10" applyNumberFormat="1" applyFont="1" applyFill="1" applyBorder="1" applyAlignment="1">
      <alignment horizontal="left" vertical="center"/>
    </xf>
    <xf numFmtId="37" fontId="11" fillId="17" borderId="106" xfId="10" applyNumberFormat="1" applyFont="1" applyFill="1" applyBorder="1" applyAlignment="1">
      <alignment horizontal="center" vertical="center"/>
    </xf>
    <xf numFmtId="37" fontId="12" fillId="17" borderId="106" xfId="0" applyNumberFormat="1" applyFont="1" applyFill="1" applyBorder="1" applyAlignment="1">
      <alignment vertical="center"/>
    </xf>
    <xf numFmtId="37" fontId="11" fillId="17" borderId="106" xfId="0" applyNumberFormat="1" applyFont="1" applyFill="1" applyBorder="1" applyAlignment="1">
      <alignment horizontal="center" vertical="center"/>
    </xf>
    <xf numFmtId="37" fontId="12" fillId="17" borderId="37" xfId="0" applyNumberFormat="1" applyFont="1" applyFill="1" applyBorder="1" applyAlignment="1">
      <alignment horizontal="center" vertical="center"/>
    </xf>
    <xf numFmtId="37" fontId="12" fillId="0" borderId="428" xfId="0" applyNumberFormat="1" applyFont="1" applyFill="1" applyBorder="1" applyAlignment="1">
      <alignment horizontal="center"/>
    </xf>
    <xf numFmtId="37" fontId="12" fillId="0" borderId="429" xfId="0" applyNumberFormat="1" applyFont="1" applyFill="1" applyBorder="1" applyAlignment="1">
      <alignment horizontal="center"/>
    </xf>
    <xf numFmtId="172" fontId="12" fillId="0" borderId="429" xfId="0" applyNumberFormat="1" applyFont="1" applyFill="1" applyBorder="1" applyAlignment="1">
      <alignment horizontal="center"/>
    </xf>
    <xf numFmtId="172" fontId="12" fillId="0" borderId="414" xfId="0" applyNumberFormat="1" applyFont="1" applyFill="1" applyBorder="1" applyAlignment="1">
      <alignment horizontal="center"/>
    </xf>
    <xf numFmtId="37" fontId="12" fillId="0" borderId="430" xfId="0" applyNumberFormat="1" applyFont="1" applyFill="1" applyBorder="1" applyAlignment="1">
      <alignment horizontal="center"/>
    </xf>
    <xf numFmtId="172" fontId="12" fillId="0" borderId="430" xfId="0" applyNumberFormat="1" applyFont="1" applyFill="1" applyBorder="1" applyAlignment="1">
      <alignment horizontal="center"/>
    </xf>
    <xf numFmtId="37" fontId="12" fillId="0" borderId="431" xfId="0" applyNumberFormat="1" applyFont="1" applyFill="1" applyBorder="1" applyAlignment="1">
      <alignment horizontal="center"/>
    </xf>
    <xf numFmtId="37" fontId="12" fillId="0" borderId="432" xfId="0" applyNumberFormat="1" applyFont="1" applyFill="1" applyBorder="1" applyAlignment="1">
      <alignment horizontal="center"/>
    </xf>
    <xf numFmtId="37" fontId="12" fillId="0" borderId="433" xfId="0" applyNumberFormat="1" applyFont="1" applyFill="1" applyBorder="1" applyAlignment="1">
      <alignment horizontal="center"/>
    </xf>
    <xf numFmtId="37" fontId="12" fillId="0" borderId="434" xfId="0" applyNumberFormat="1" applyFont="1" applyFill="1" applyBorder="1" applyAlignment="1">
      <alignment horizontal="center"/>
    </xf>
    <xf numFmtId="37" fontId="12" fillId="0" borderId="435" xfId="0" applyNumberFormat="1" applyFont="1" applyFill="1" applyBorder="1" applyAlignment="1">
      <alignment horizontal="center"/>
    </xf>
    <xf numFmtId="37" fontId="12" fillId="0" borderId="437" xfId="0" applyNumberFormat="1" applyFont="1" applyFill="1" applyBorder="1" applyAlignment="1">
      <alignment horizontal="center"/>
    </xf>
    <xf numFmtId="172" fontId="12" fillId="0" borderId="416" xfId="0" applyNumberFormat="1" applyFont="1" applyFill="1" applyBorder="1" applyAlignment="1">
      <alignment horizontal="center"/>
    </xf>
    <xf numFmtId="37" fontId="12" fillId="0" borderId="438" xfId="0" applyNumberFormat="1" applyFont="1" applyFill="1" applyBorder="1" applyAlignment="1">
      <alignment horizontal="center"/>
    </xf>
    <xf numFmtId="37" fontId="12" fillId="0" borderId="439" xfId="0" applyNumberFormat="1" applyFont="1" applyFill="1" applyBorder="1" applyAlignment="1">
      <alignment horizontal="center"/>
    </xf>
    <xf numFmtId="37" fontId="12" fillId="0" borderId="443" xfId="0" applyNumberFormat="1" applyFont="1" applyFill="1" applyBorder="1" applyAlignment="1">
      <alignment horizontal="center"/>
    </xf>
    <xf numFmtId="37" fontId="12" fillId="0" borderId="445" xfId="0" applyNumberFormat="1" applyFont="1" applyFill="1" applyBorder="1" applyAlignment="1">
      <alignment horizontal="center"/>
    </xf>
    <xf numFmtId="37" fontId="12" fillId="12" borderId="444" xfId="0" applyNumberFormat="1" applyFont="1" applyFill="1" applyBorder="1" applyAlignment="1">
      <alignment horizontal="center"/>
    </xf>
    <xf numFmtId="37" fontId="12" fillId="0" borderId="446" xfId="0" applyNumberFormat="1" applyFont="1" applyFill="1" applyBorder="1" applyAlignment="1">
      <alignment horizontal="center"/>
    </xf>
    <xf numFmtId="37" fontId="11" fillId="12" borderId="0" xfId="10" applyNumberFormat="1" applyFont="1" applyFill="1" applyBorder="1" applyAlignment="1">
      <alignment horizontal="left" vertical="center"/>
    </xf>
    <xf numFmtId="37" fontId="16" fillId="12" borderId="27" xfId="6" applyNumberFormat="1" applyFont="1" applyFill="1" applyBorder="1" applyAlignment="1">
      <alignment horizontal="center" vertical="center"/>
    </xf>
    <xf numFmtId="37" fontId="16" fillId="10" borderId="2" xfId="6" applyNumberFormat="1" applyFont="1" applyFill="1" applyBorder="1" applyAlignment="1">
      <alignment horizontal="center" vertical="center" wrapText="1"/>
    </xf>
    <xf numFmtId="37" fontId="16" fillId="10" borderId="447" xfId="6" applyNumberFormat="1" applyFont="1" applyFill="1" applyBorder="1" applyAlignment="1">
      <alignment horizontal="center" vertical="center"/>
    </xf>
    <xf numFmtId="37" fontId="11" fillId="10" borderId="448" xfId="0" applyNumberFormat="1" applyFont="1" applyFill="1" applyBorder="1" applyAlignment="1">
      <alignment vertical="center"/>
    </xf>
    <xf numFmtId="37" fontId="12" fillId="0" borderId="450" xfId="0" applyNumberFormat="1" applyFont="1" applyFill="1" applyBorder="1" applyAlignment="1">
      <alignment horizontal="center"/>
    </xf>
    <xf numFmtId="37" fontId="12" fillId="0" borderId="453" xfId="0" applyNumberFormat="1" applyFont="1" applyFill="1" applyBorder="1" applyAlignment="1">
      <alignment horizontal="center"/>
    </xf>
    <xf numFmtId="37" fontId="12" fillId="3" borderId="450" xfId="0" applyNumberFormat="1" applyFont="1" applyFill="1" applyBorder="1" applyAlignment="1">
      <alignment horizontal="center"/>
    </xf>
    <xf numFmtId="39" fontId="12" fillId="0" borderId="394" xfId="0" applyNumberFormat="1" applyFont="1" applyFill="1" applyBorder="1" applyAlignment="1">
      <alignment horizontal="center"/>
    </xf>
    <xf numFmtId="37" fontId="12" fillId="3" borderId="453" xfId="0" applyNumberFormat="1" applyFont="1" applyFill="1" applyBorder="1" applyAlignment="1">
      <alignment horizontal="center"/>
    </xf>
    <xf numFmtId="39" fontId="12" fillId="0" borderId="453" xfId="0" applyNumberFormat="1" applyFont="1" applyFill="1" applyBorder="1" applyAlignment="1">
      <alignment horizontal="center"/>
    </xf>
    <xf numFmtId="39" fontId="12" fillId="0" borderId="450" xfId="0" applyNumberFormat="1" applyFont="1" applyFill="1" applyBorder="1" applyAlignment="1">
      <alignment horizontal="center"/>
    </xf>
    <xf numFmtId="172" fontId="12" fillId="0" borderId="450" xfId="0" applyNumberFormat="1" applyFont="1" applyFill="1" applyBorder="1" applyAlignment="1">
      <alignment horizontal="center"/>
    </xf>
    <xf numFmtId="172" fontId="12" fillId="0" borderId="394" xfId="0" applyNumberFormat="1" applyFont="1" applyFill="1" applyBorder="1" applyAlignment="1">
      <alignment horizontal="center"/>
    </xf>
    <xf numFmtId="172" fontId="12" fillId="0" borderId="453" xfId="0" applyNumberFormat="1" applyFont="1" applyFill="1" applyBorder="1" applyAlignment="1">
      <alignment horizontal="center"/>
    </xf>
    <xf numFmtId="37" fontId="12" fillId="0" borderId="454" xfId="0" applyNumberFormat="1" applyFont="1" applyFill="1" applyBorder="1" applyAlignment="1">
      <alignment horizontal="center"/>
    </xf>
    <xf numFmtId="37" fontId="12" fillId="0" borderId="455" xfId="0" applyNumberFormat="1" applyFont="1" applyFill="1" applyBorder="1" applyAlignment="1">
      <alignment horizontal="center"/>
    </xf>
    <xf numFmtId="37" fontId="12" fillId="0" borderId="456" xfId="0" applyNumberFormat="1" applyFont="1" applyFill="1" applyBorder="1" applyAlignment="1">
      <alignment horizontal="center"/>
    </xf>
    <xf numFmtId="37" fontId="12" fillId="3" borderId="454" xfId="0" applyNumberFormat="1" applyFont="1" applyFill="1" applyBorder="1" applyAlignment="1">
      <alignment horizontal="center"/>
    </xf>
    <xf numFmtId="37" fontId="12" fillId="3" borderId="455" xfId="0" applyNumberFormat="1" applyFont="1" applyFill="1" applyBorder="1" applyAlignment="1">
      <alignment horizontal="center"/>
    </xf>
    <xf numFmtId="37" fontId="12" fillId="3" borderId="456" xfId="0" applyNumberFormat="1" applyFont="1" applyFill="1" applyBorder="1" applyAlignment="1">
      <alignment horizontal="center"/>
    </xf>
    <xf numFmtId="37" fontId="12" fillId="0" borderId="457" xfId="0" applyNumberFormat="1" applyFont="1" applyFill="1" applyBorder="1" applyAlignment="1">
      <alignment horizontal="center"/>
    </xf>
    <xf numFmtId="37" fontId="11" fillId="12" borderId="458" xfId="0" applyNumberFormat="1" applyFont="1" applyFill="1" applyBorder="1" applyAlignment="1">
      <alignment horizontal="center"/>
    </xf>
    <xf numFmtId="37" fontId="12" fillId="0" borderId="459" xfId="0" applyNumberFormat="1" applyFont="1" applyFill="1" applyBorder="1" applyAlignment="1">
      <alignment horizontal="center"/>
    </xf>
    <xf numFmtId="37" fontId="11" fillId="12" borderId="460" xfId="0" applyNumberFormat="1" applyFont="1" applyFill="1" applyBorder="1" applyAlignment="1">
      <alignment horizontal="center"/>
    </xf>
    <xf numFmtId="37" fontId="12" fillId="0" borderId="461" xfId="0" applyNumberFormat="1" applyFont="1" applyFill="1" applyBorder="1" applyAlignment="1">
      <alignment horizontal="center"/>
    </xf>
    <xf numFmtId="37" fontId="12" fillId="0" borderId="436" xfId="0" applyNumberFormat="1" applyFont="1" applyFill="1" applyBorder="1" applyAlignment="1">
      <alignment horizontal="center"/>
    </xf>
    <xf numFmtId="37" fontId="11" fillId="12" borderId="462" xfId="0" applyNumberFormat="1" applyFont="1" applyFill="1" applyBorder="1" applyAlignment="1">
      <alignment horizontal="center"/>
    </xf>
    <xf numFmtId="37" fontId="12" fillId="0" borderId="463" xfId="0" applyNumberFormat="1" applyFont="1" applyFill="1" applyBorder="1" applyAlignment="1">
      <alignment horizontal="center"/>
    </xf>
    <xf numFmtId="37" fontId="11" fillId="12" borderId="464" xfId="0" applyNumberFormat="1" applyFont="1" applyFill="1" applyBorder="1" applyAlignment="1">
      <alignment horizontal="center"/>
    </xf>
    <xf numFmtId="0" fontId="60" fillId="0" borderId="0" xfId="0" applyFont="1" applyFill="1" applyAlignment="1">
      <alignment vertical="center"/>
    </xf>
    <xf numFmtId="37" fontId="12" fillId="12" borderId="469" xfId="0" applyNumberFormat="1" applyFont="1" applyFill="1" applyBorder="1" applyAlignment="1">
      <alignment horizontal="right"/>
    </xf>
    <xf numFmtId="37" fontId="12" fillId="12" borderId="482" xfId="0" applyNumberFormat="1" applyFont="1" applyFill="1" applyBorder="1" applyAlignment="1">
      <alignment horizontal="right"/>
    </xf>
    <xf numFmtId="37" fontId="12" fillId="12" borderId="466" xfId="0" applyNumberFormat="1" applyFont="1" applyFill="1" applyBorder="1" applyAlignment="1">
      <alignment horizontal="center"/>
    </xf>
    <xf numFmtId="37" fontId="11" fillId="12" borderId="53" xfId="0" applyNumberFormat="1" applyFont="1" applyFill="1" applyBorder="1" applyAlignment="1">
      <alignment horizontal="right"/>
    </xf>
    <xf numFmtId="37" fontId="11" fillId="12" borderId="3" xfId="0" applyNumberFormat="1" applyFont="1" applyFill="1" applyBorder="1" applyAlignment="1">
      <alignment horizontal="right"/>
    </xf>
    <xf numFmtId="37" fontId="11" fillId="10" borderId="93" xfId="0" applyNumberFormat="1" applyFont="1" applyFill="1" applyBorder="1" applyAlignment="1">
      <alignment horizontal="left"/>
    </xf>
    <xf numFmtId="37" fontId="11" fillId="12" borderId="58" xfId="0" applyNumberFormat="1" applyFont="1" applyFill="1" applyBorder="1" applyAlignment="1">
      <alignment horizontal="right"/>
    </xf>
    <xf numFmtId="37" fontId="11" fillId="10" borderId="58" xfId="0" applyNumberFormat="1" applyFont="1" applyFill="1" applyBorder="1" applyAlignment="1">
      <alignment horizontal="right"/>
    </xf>
    <xf numFmtId="37" fontId="11" fillId="10" borderId="30" xfId="0" applyNumberFormat="1" applyFont="1" applyFill="1" applyBorder="1" applyAlignment="1">
      <alignment horizontal="right"/>
    </xf>
    <xf numFmtId="37" fontId="12" fillId="12" borderId="60" xfId="0" applyNumberFormat="1" applyFont="1" applyFill="1" applyBorder="1" applyAlignment="1">
      <alignment horizontal="right"/>
    </xf>
    <xf numFmtId="37" fontId="12" fillId="0" borderId="55" xfId="0" applyNumberFormat="1" applyFont="1" applyFill="1" applyBorder="1" applyAlignment="1">
      <alignment horizontal="right"/>
    </xf>
    <xf numFmtId="37" fontId="11" fillId="12" borderId="17" xfId="0" applyNumberFormat="1" applyFont="1" applyFill="1" applyBorder="1" applyAlignment="1">
      <alignment horizontal="center"/>
    </xf>
    <xf numFmtId="37" fontId="11" fillId="12" borderId="8" xfId="0" applyNumberFormat="1" applyFont="1" applyFill="1" applyBorder="1" applyAlignment="1">
      <alignment horizontal="right"/>
    </xf>
    <xf numFmtId="37" fontId="12" fillId="12" borderId="45" xfId="0" applyNumberFormat="1" applyFont="1" applyFill="1" applyBorder="1"/>
    <xf numFmtId="1" fontId="47" fillId="17" borderId="17" xfId="10" applyNumberFormat="1" applyFont="1" applyFill="1" applyBorder="1" applyAlignment="1">
      <alignment horizontal="left" vertical="center"/>
    </xf>
    <xf numFmtId="1" fontId="11" fillId="0" borderId="26" xfId="10" applyNumberFormat="1" applyFont="1" applyFill="1" applyBorder="1" applyAlignment="1">
      <alignment horizontal="center" vertical="center"/>
    </xf>
    <xf numFmtId="1" fontId="18" fillId="17" borderId="17" xfId="10" applyNumberFormat="1" applyFont="1" applyFill="1" applyBorder="1" applyAlignment="1">
      <alignment horizontal="center" vertical="center"/>
    </xf>
    <xf numFmtId="1" fontId="18" fillId="17" borderId="17" xfId="10" applyNumberFormat="1" applyFont="1" applyFill="1" applyBorder="1" applyAlignment="1">
      <alignment horizontal="right" vertical="center"/>
    </xf>
    <xf numFmtId="37" fontId="12" fillId="10" borderId="94" xfId="0" applyNumberFormat="1" applyFont="1" applyFill="1" applyBorder="1"/>
    <xf numFmtId="37" fontId="12" fillId="12" borderId="534" xfId="0" applyNumberFormat="1" applyFont="1" applyFill="1" applyBorder="1" applyAlignment="1">
      <alignment horizontal="right"/>
    </xf>
    <xf numFmtId="37" fontId="12" fillId="12" borderId="466" xfId="0" applyNumberFormat="1" applyFont="1" applyFill="1" applyBorder="1"/>
    <xf numFmtId="37" fontId="12" fillId="12" borderId="535" xfId="0" applyNumberFormat="1" applyFont="1" applyFill="1" applyBorder="1" applyAlignment="1">
      <alignment horizontal="right"/>
    </xf>
    <xf numFmtId="37" fontId="12" fillId="12" borderId="465" xfId="0" applyNumberFormat="1" applyFont="1" applyFill="1" applyBorder="1"/>
    <xf numFmtId="37" fontId="12" fillId="12" borderId="536" xfId="0" applyNumberFormat="1" applyFont="1" applyFill="1" applyBorder="1"/>
    <xf numFmtId="37" fontId="12" fillId="12" borderId="537" xfId="0" applyNumberFormat="1" applyFont="1" applyFill="1" applyBorder="1"/>
    <xf numFmtId="37" fontId="12" fillId="12" borderId="538" xfId="0" applyNumberFormat="1" applyFont="1" applyFill="1" applyBorder="1" applyAlignment="1">
      <alignment horizontal="right"/>
    </xf>
    <xf numFmtId="37" fontId="12" fillId="12" borderId="533" xfId="0" applyNumberFormat="1" applyFont="1" applyFill="1" applyBorder="1" applyAlignment="1">
      <alignment horizontal="right"/>
    </xf>
    <xf numFmtId="37" fontId="12" fillId="12" borderId="540" xfId="0" applyNumberFormat="1" applyFont="1" applyFill="1" applyBorder="1" applyAlignment="1">
      <alignment horizontal="right"/>
    </xf>
    <xf numFmtId="37" fontId="12" fillId="12" borderId="541" xfId="0" applyNumberFormat="1" applyFont="1" applyFill="1" applyBorder="1" applyAlignment="1">
      <alignment horizontal="right"/>
    </xf>
    <xf numFmtId="37" fontId="11" fillId="0" borderId="10" xfId="0" applyNumberFormat="1" applyFont="1" applyFill="1" applyBorder="1" applyAlignment="1">
      <alignment horizontal="right"/>
    </xf>
    <xf numFmtId="37" fontId="11" fillId="12" borderId="14" xfId="0" applyNumberFormat="1" applyFont="1" applyFill="1" applyBorder="1"/>
    <xf numFmtId="37" fontId="11" fillId="12" borderId="17" xfId="0" applyNumberFormat="1" applyFont="1" applyFill="1" applyBorder="1"/>
    <xf numFmtId="37" fontId="11" fillId="12" borderId="542" xfId="0" applyNumberFormat="1" applyFont="1" applyFill="1" applyBorder="1" applyAlignment="1">
      <alignment horizontal="right"/>
    </xf>
    <xf numFmtId="37" fontId="11" fillId="12" borderId="10" xfId="0" applyNumberFormat="1" applyFont="1" applyFill="1" applyBorder="1" applyAlignment="1">
      <alignment horizontal="right"/>
    </xf>
    <xf numFmtId="37" fontId="11" fillId="10" borderId="17" xfId="0" applyNumberFormat="1" applyFont="1" applyFill="1" applyBorder="1"/>
    <xf numFmtId="37" fontId="11" fillId="10" borderId="542" xfId="0" applyNumberFormat="1" applyFont="1" applyFill="1" applyBorder="1" applyAlignment="1">
      <alignment horizontal="right"/>
    </xf>
    <xf numFmtId="37" fontId="11" fillId="10" borderId="8" xfId="0" applyNumberFormat="1" applyFont="1" applyFill="1" applyBorder="1" applyAlignment="1">
      <alignment horizontal="right"/>
    </xf>
    <xf numFmtId="37" fontId="11" fillId="10" borderId="10" xfId="0" applyNumberFormat="1" applyFont="1" applyFill="1" applyBorder="1" applyAlignment="1">
      <alignment horizontal="right"/>
    </xf>
    <xf numFmtId="37" fontId="11" fillId="10" borderId="545" xfId="0" applyNumberFormat="1" applyFont="1" applyFill="1" applyBorder="1"/>
    <xf numFmtId="37" fontId="11" fillId="10" borderId="387" xfId="0" applyNumberFormat="1" applyFont="1" applyFill="1" applyBorder="1"/>
    <xf numFmtId="37" fontId="11" fillId="10" borderId="389" xfId="0" applyNumberFormat="1" applyFont="1" applyFill="1" applyBorder="1"/>
    <xf numFmtId="37" fontId="12" fillId="0" borderId="387" xfId="0" applyNumberFormat="1" applyFont="1" applyFill="1" applyBorder="1"/>
    <xf numFmtId="37" fontId="11" fillId="19" borderId="496" xfId="0" applyNumberFormat="1" applyFont="1" applyFill="1" applyBorder="1"/>
    <xf numFmtId="37" fontId="11" fillId="19" borderId="520" xfId="0" applyNumberFormat="1" applyFont="1" applyFill="1" applyBorder="1"/>
    <xf numFmtId="37" fontId="12" fillId="0" borderId="472" xfId="0" applyNumberFormat="1" applyFont="1" applyFill="1" applyBorder="1" applyAlignment="1">
      <alignment horizontal="left"/>
    </xf>
    <xf numFmtId="37" fontId="12" fillId="0" borderId="489" xfId="0" applyNumberFormat="1" applyFont="1" applyFill="1" applyBorder="1" applyAlignment="1">
      <alignment horizontal="left"/>
    </xf>
    <xf numFmtId="37" fontId="12" fillId="12" borderId="23" xfId="10" applyNumberFormat="1" applyFont="1" applyFill="1" applyBorder="1" applyAlignment="1">
      <alignment vertical="center"/>
    </xf>
    <xf numFmtId="37" fontId="11" fillId="12" borderId="28" xfId="0" applyNumberFormat="1" applyFont="1" applyFill="1" applyBorder="1"/>
    <xf numFmtId="37" fontId="12" fillId="12" borderId="94" xfId="0" applyNumberFormat="1" applyFont="1" applyFill="1" applyBorder="1" applyAlignment="1">
      <alignment horizontal="right"/>
    </xf>
    <xf numFmtId="37" fontId="12" fillId="12" borderId="459" xfId="0" applyNumberFormat="1" applyFont="1" applyFill="1" applyBorder="1" applyAlignment="1">
      <alignment horizontal="right"/>
    </xf>
    <xf numFmtId="37" fontId="12" fillId="12" borderId="461" xfId="0" applyNumberFormat="1" applyFont="1" applyFill="1" applyBorder="1" applyAlignment="1">
      <alignment horizontal="right"/>
    </xf>
    <xf numFmtId="37" fontId="11" fillId="12" borderId="35" xfId="0" applyNumberFormat="1" applyFont="1" applyFill="1" applyBorder="1" applyAlignment="1">
      <alignment horizontal="right"/>
    </xf>
    <xf numFmtId="37" fontId="11" fillId="0" borderId="383" xfId="0" applyNumberFormat="1" applyFont="1" applyFill="1" applyBorder="1" applyAlignment="1">
      <alignment horizontal="center"/>
    </xf>
    <xf numFmtId="37" fontId="11" fillId="0" borderId="58" xfId="0" applyNumberFormat="1" applyFont="1" applyFill="1" applyBorder="1" applyAlignment="1">
      <alignment horizontal="right"/>
    </xf>
    <xf numFmtId="1" fontId="11" fillId="0" borderId="10" xfId="10" applyNumberFormat="1" applyFont="1" applyFill="1" applyBorder="1" applyAlignment="1">
      <alignment horizontal="right" vertical="center"/>
    </xf>
    <xf numFmtId="37" fontId="11" fillId="0" borderId="30" xfId="0" applyNumberFormat="1" applyFont="1" applyFill="1" applyBorder="1"/>
    <xf numFmtId="37" fontId="11" fillId="0" borderId="35" xfId="0" applyNumberFormat="1" applyFont="1" applyFill="1" applyBorder="1" applyAlignment="1">
      <alignment horizontal="right"/>
    </xf>
    <xf numFmtId="37" fontId="12" fillId="0" borderId="47" xfId="0" applyNumberFormat="1" applyFont="1" applyFill="1" applyBorder="1" applyAlignment="1">
      <alignment horizontal="right"/>
    </xf>
    <xf numFmtId="37" fontId="11" fillId="12" borderId="52" xfId="0" applyNumberFormat="1" applyFont="1" applyFill="1" applyBorder="1" applyAlignment="1">
      <alignment horizontal="right"/>
    </xf>
    <xf numFmtId="37" fontId="12" fillId="12" borderId="465" xfId="0" applyNumberFormat="1" applyFont="1" applyFill="1" applyBorder="1" applyAlignment="1">
      <alignment horizontal="right"/>
    </xf>
    <xf numFmtId="37" fontId="11" fillId="12" borderId="10" xfId="0" applyNumberFormat="1" applyFont="1" applyFill="1" applyBorder="1"/>
    <xf numFmtId="37" fontId="11" fillId="0" borderId="47" xfId="0" applyNumberFormat="1" applyFont="1" applyFill="1" applyBorder="1" applyAlignment="1">
      <alignment horizontal="right"/>
    </xf>
    <xf numFmtId="37" fontId="32" fillId="12" borderId="535" xfId="0" applyNumberFormat="1" applyFont="1" applyFill="1" applyBorder="1" applyAlignment="1">
      <alignment horizontal="right"/>
    </xf>
    <xf numFmtId="37" fontId="32" fillId="12" borderId="469" xfId="0" applyNumberFormat="1" applyFont="1" applyFill="1" applyBorder="1" applyAlignment="1">
      <alignment horizontal="right"/>
    </xf>
    <xf numFmtId="37" fontId="32" fillId="12" borderId="482" xfId="0" applyNumberFormat="1" applyFont="1" applyFill="1" applyBorder="1" applyAlignment="1">
      <alignment horizontal="right"/>
    </xf>
    <xf numFmtId="37" fontId="12" fillId="0" borderId="536" xfId="0" applyNumberFormat="1" applyFont="1" applyFill="1" applyBorder="1" applyAlignment="1">
      <alignment horizontal="right"/>
    </xf>
    <xf numFmtId="37" fontId="32" fillId="12" borderId="538" xfId="0" applyNumberFormat="1" applyFont="1" applyFill="1" applyBorder="1" applyAlignment="1">
      <alignment horizontal="right"/>
    </xf>
    <xf numFmtId="37" fontId="12" fillId="12" borderId="555" xfId="0" applyNumberFormat="1" applyFont="1" applyFill="1" applyBorder="1"/>
    <xf numFmtId="37" fontId="12" fillId="12" borderId="555" xfId="0" applyNumberFormat="1" applyFont="1" applyFill="1" applyBorder="1" applyAlignment="1">
      <alignment horizontal="right"/>
    </xf>
    <xf numFmtId="37" fontId="32" fillId="12" borderId="556" xfId="0" applyNumberFormat="1" applyFont="1" applyFill="1" applyBorder="1" applyAlignment="1">
      <alignment horizontal="right"/>
    </xf>
    <xf numFmtId="37" fontId="32" fillId="12" borderId="557" xfId="0" applyNumberFormat="1" applyFont="1" applyFill="1" applyBorder="1" applyAlignment="1">
      <alignment horizontal="right"/>
    </xf>
    <xf numFmtId="37" fontId="32" fillId="12" borderId="558" xfId="0" applyNumberFormat="1" applyFont="1" applyFill="1" applyBorder="1" applyAlignment="1">
      <alignment horizontal="right"/>
    </xf>
    <xf numFmtId="37" fontId="11" fillId="0" borderId="559" xfId="0" applyNumberFormat="1" applyFont="1" applyFill="1" applyBorder="1" applyAlignment="1">
      <alignment horizontal="right"/>
    </xf>
    <xf numFmtId="37" fontId="11" fillId="12" borderId="158" xfId="0" applyNumberFormat="1" applyFont="1" applyFill="1" applyBorder="1" applyAlignment="1">
      <alignment horizontal="right"/>
    </xf>
    <xf numFmtId="37" fontId="12" fillId="12" borderId="536" xfId="0" applyNumberFormat="1" applyFont="1" applyFill="1" applyBorder="1" applyAlignment="1">
      <alignment horizontal="right"/>
    </xf>
    <xf numFmtId="37" fontId="11" fillId="12" borderId="16" xfId="0" applyNumberFormat="1" applyFont="1" applyFill="1" applyBorder="1"/>
    <xf numFmtId="37" fontId="11" fillId="0" borderId="158" xfId="0" applyNumberFormat="1" applyFont="1" applyFill="1" applyBorder="1" applyAlignment="1">
      <alignment horizontal="right"/>
    </xf>
    <xf numFmtId="37" fontId="32" fillId="12" borderId="540" xfId="0" applyNumberFormat="1" applyFont="1" applyFill="1" applyBorder="1" applyAlignment="1">
      <alignment horizontal="right"/>
    </xf>
    <xf numFmtId="37" fontId="32" fillId="12" borderId="541" xfId="0" applyNumberFormat="1" applyFont="1" applyFill="1" applyBorder="1" applyAlignment="1">
      <alignment horizontal="right"/>
    </xf>
    <xf numFmtId="37" fontId="11" fillId="12" borderId="36" xfId="0" applyNumberFormat="1" applyFont="1" applyFill="1" applyBorder="1"/>
    <xf numFmtId="37" fontId="11" fillId="12" borderId="106" xfId="0" applyNumberFormat="1" applyFont="1" applyFill="1" applyBorder="1" applyAlignment="1">
      <alignment horizontal="right"/>
    </xf>
    <xf numFmtId="37" fontId="11" fillId="0" borderId="444" xfId="0" applyNumberFormat="1" applyFont="1" applyFill="1" applyBorder="1" applyAlignment="1">
      <alignment horizontal="right"/>
    </xf>
    <xf numFmtId="37" fontId="12" fillId="0" borderId="38" xfId="0" applyNumberFormat="1" applyFont="1" applyFill="1" applyBorder="1"/>
    <xf numFmtId="37" fontId="12" fillId="0" borderId="47" xfId="0" applyNumberFormat="1" applyFont="1" applyFill="1" applyBorder="1"/>
    <xf numFmtId="37" fontId="12" fillId="12" borderId="52" xfId="0" applyNumberFormat="1" applyFont="1" applyFill="1" applyBorder="1"/>
    <xf numFmtId="37" fontId="11" fillId="12" borderId="52" xfId="0" applyNumberFormat="1" applyFont="1" applyFill="1" applyBorder="1"/>
    <xf numFmtId="37" fontId="12" fillId="0" borderId="5" xfId="0" applyNumberFormat="1" applyFont="1" applyFill="1" applyBorder="1" applyAlignment="1">
      <alignment vertical="center"/>
    </xf>
    <xf numFmtId="0" fontId="12" fillId="0" borderId="29" xfId="0" applyFont="1" applyFill="1" applyBorder="1" applyAlignment="1">
      <alignment vertical="center"/>
    </xf>
    <xf numFmtId="0" fontId="12" fillId="0" borderId="27" xfId="0" applyFont="1" applyFill="1" applyBorder="1" applyAlignment="1">
      <alignment vertical="center"/>
    </xf>
    <xf numFmtId="0" fontId="12" fillId="0" borderId="5" xfId="0" applyFont="1" applyFill="1" applyBorder="1" applyAlignment="1">
      <alignment vertical="center"/>
    </xf>
    <xf numFmtId="37" fontId="12" fillId="0" borderId="2" xfId="0" applyNumberFormat="1" applyFont="1" applyFill="1" applyBorder="1" applyAlignment="1">
      <alignment horizontal="center" vertical="center"/>
    </xf>
    <xf numFmtId="37" fontId="12" fillId="0" borderId="53" xfId="0" applyNumberFormat="1" applyFont="1" applyFill="1" applyBorder="1" applyAlignment="1">
      <alignment horizontal="center" vertical="center"/>
    </xf>
    <xf numFmtId="9" fontId="12" fillId="0" borderId="22" xfId="9" applyFont="1" applyFill="1" applyBorder="1" applyAlignment="1">
      <alignment vertical="center"/>
    </xf>
    <xf numFmtId="37" fontId="12" fillId="0" borderId="22" xfId="0" applyNumberFormat="1" applyFont="1" applyFill="1" applyBorder="1" applyAlignment="1">
      <alignment vertical="center"/>
    </xf>
    <xf numFmtId="37" fontId="12" fillId="0" borderId="18" xfId="0" applyNumberFormat="1" applyFont="1" applyFill="1" applyBorder="1" applyAlignment="1">
      <alignment horizontal="center" vertical="center"/>
    </xf>
    <xf numFmtId="0" fontId="12" fillId="0" borderId="16" xfId="0" applyFont="1" applyFill="1" applyBorder="1" applyAlignment="1">
      <alignment horizontal="left" vertical="center"/>
    </xf>
    <xf numFmtId="37" fontId="12" fillId="0" borderId="19" xfId="0" applyNumberFormat="1" applyFont="1" applyFill="1" applyBorder="1" applyAlignment="1">
      <alignment vertical="center"/>
    </xf>
    <xf numFmtId="37" fontId="12" fillId="0" borderId="18" xfId="0" applyNumberFormat="1" applyFont="1" applyFill="1" applyBorder="1" applyAlignment="1">
      <alignment vertical="center"/>
    </xf>
    <xf numFmtId="37" fontId="12" fillId="0" borderId="106" xfId="0" applyNumberFormat="1" applyFont="1" applyFill="1" applyBorder="1" applyAlignment="1">
      <alignment vertical="center"/>
    </xf>
    <xf numFmtId="0" fontId="12" fillId="0" borderId="36" xfId="0" applyFont="1" applyFill="1" applyBorder="1" applyAlignment="1">
      <alignment horizontal="left" vertical="center"/>
    </xf>
    <xf numFmtId="9" fontId="12" fillId="0" borderId="106" xfId="9" applyFont="1" applyFill="1" applyBorder="1" applyAlignment="1">
      <alignment vertical="center"/>
    </xf>
    <xf numFmtId="37" fontId="12" fillId="0" borderId="44" xfId="0" applyNumberFormat="1" applyFont="1" applyFill="1" applyBorder="1" applyAlignment="1">
      <alignment vertical="center"/>
    </xf>
    <xf numFmtId="1" fontId="12" fillId="0" borderId="40" xfId="0" applyNumberFormat="1" applyFont="1" applyFill="1" applyBorder="1" applyAlignment="1">
      <alignment horizontal="center" vertical="center"/>
    </xf>
    <xf numFmtId="37" fontId="12" fillId="0" borderId="41" xfId="0" applyNumberFormat="1" applyFont="1" applyFill="1" applyBorder="1" applyAlignment="1">
      <alignment horizontal="center" vertical="center"/>
    </xf>
    <xf numFmtId="37" fontId="12" fillId="0" borderId="6" xfId="0" applyNumberFormat="1" applyFont="1" applyFill="1" applyBorder="1" applyAlignment="1">
      <alignment horizontal="center" vertical="center"/>
    </xf>
    <xf numFmtId="1" fontId="12" fillId="0" borderId="19" xfId="0" applyNumberFormat="1" applyFont="1" applyFill="1" applyBorder="1" applyAlignment="1">
      <alignment horizontal="center" vertical="center"/>
    </xf>
    <xf numFmtId="1" fontId="12" fillId="0" borderId="51" xfId="0" applyNumberFormat="1" applyFont="1" applyFill="1" applyBorder="1" applyAlignment="1">
      <alignment horizontal="center" vertical="center"/>
    </xf>
    <xf numFmtId="37" fontId="12" fillId="0" borderId="12" xfId="0" applyNumberFormat="1" applyFont="1" applyFill="1" applyBorder="1" applyAlignment="1">
      <alignment horizontal="center" vertical="center"/>
    </xf>
    <xf numFmtId="37" fontId="12" fillId="0" borderId="40" xfId="0" applyNumberFormat="1" applyFont="1" applyFill="1" applyBorder="1" applyAlignment="1">
      <alignment vertical="center"/>
    </xf>
    <xf numFmtId="0" fontId="12" fillId="0" borderId="5" xfId="0" applyFont="1" applyFill="1" applyBorder="1" applyAlignment="1">
      <alignment horizontal="left" vertical="center"/>
    </xf>
    <xf numFmtId="37" fontId="12" fillId="0" borderId="5" xfId="0" applyNumberFormat="1" applyFont="1" applyFill="1" applyBorder="1" applyAlignment="1">
      <alignment horizontal="center" vertical="center"/>
    </xf>
    <xf numFmtId="37" fontId="12" fillId="0" borderId="42" xfId="0" applyNumberFormat="1" applyFont="1" applyFill="1" applyBorder="1" applyAlignment="1">
      <alignment vertical="center"/>
    </xf>
    <xf numFmtId="37" fontId="12" fillId="0" borderId="561" xfId="0" applyNumberFormat="1" applyFont="1" applyFill="1" applyBorder="1" applyAlignment="1">
      <alignment vertical="center"/>
    </xf>
    <xf numFmtId="37" fontId="12" fillId="0" borderId="562" xfId="0" applyNumberFormat="1" applyFont="1" applyFill="1" applyBorder="1" applyAlignment="1">
      <alignment vertical="center"/>
    </xf>
    <xf numFmtId="37" fontId="12" fillId="0" borderId="563" xfId="0" applyNumberFormat="1" applyFont="1" applyFill="1" applyBorder="1" applyAlignment="1">
      <alignment vertical="center"/>
    </xf>
    <xf numFmtId="37" fontId="12" fillId="0" borderId="564" xfId="0" applyNumberFormat="1" applyFont="1" applyFill="1" applyBorder="1" applyAlignment="1">
      <alignment vertical="center"/>
    </xf>
    <xf numFmtId="37" fontId="12" fillId="0" borderId="565" xfId="0" applyNumberFormat="1" applyFont="1" applyFill="1" applyBorder="1" applyAlignment="1">
      <alignment vertical="center"/>
    </xf>
    <xf numFmtId="37" fontId="12" fillId="0" borderId="566" xfId="0" applyNumberFormat="1" applyFont="1" applyFill="1" applyBorder="1" applyAlignment="1">
      <alignment vertical="center"/>
    </xf>
    <xf numFmtId="37" fontId="12" fillId="0" borderId="12" xfId="0" applyNumberFormat="1" applyFont="1" applyFill="1" applyBorder="1" applyAlignment="1">
      <alignment vertical="center"/>
    </xf>
    <xf numFmtId="37" fontId="12" fillId="0" borderId="51" xfId="0" applyNumberFormat="1" applyFont="1" applyFill="1" applyBorder="1" applyAlignment="1">
      <alignment vertical="center"/>
    </xf>
    <xf numFmtId="9" fontId="12" fillId="0" borderId="43" xfId="7" applyFont="1" applyFill="1" applyBorder="1" applyAlignment="1">
      <alignment vertical="center"/>
    </xf>
    <xf numFmtId="9" fontId="12" fillId="0" borderId="42" xfId="7" applyFont="1" applyFill="1" applyBorder="1" applyAlignment="1">
      <alignment vertical="center"/>
    </xf>
    <xf numFmtId="9" fontId="12" fillId="0" borderId="44" xfId="7" applyFont="1" applyFill="1" applyBorder="1" applyAlignment="1">
      <alignment vertical="center"/>
    </xf>
    <xf numFmtId="37" fontId="12" fillId="0" borderId="6" xfId="0" applyNumberFormat="1" applyFont="1" applyFill="1" applyBorder="1" applyAlignment="1">
      <alignment vertical="center"/>
    </xf>
    <xf numFmtId="37" fontId="12" fillId="0" borderId="570" xfId="0" applyNumberFormat="1" applyFont="1" applyFill="1" applyBorder="1" applyAlignment="1">
      <alignment vertical="center"/>
    </xf>
    <xf numFmtId="37" fontId="12" fillId="0" borderId="571" xfId="0" applyNumberFormat="1" applyFont="1" applyFill="1" applyBorder="1" applyAlignment="1">
      <alignment vertical="center"/>
    </xf>
    <xf numFmtId="37" fontId="12" fillId="0" borderId="572" xfId="0" applyNumberFormat="1" applyFont="1" applyFill="1" applyBorder="1" applyAlignment="1">
      <alignment vertical="center"/>
    </xf>
    <xf numFmtId="0" fontId="12" fillId="0" borderId="566" xfId="0" applyFont="1" applyFill="1" applyBorder="1" applyAlignment="1">
      <alignment vertical="center"/>
    </xf>
    <xf numFmtId="0" fontId="12" fillId="0" borderId="561" xfId="0" applyFont="1" applyFill="1" applyBorder="1" applyAlignment="1">
      <alignment vertical="center"/>
    </xf>
    <xf numFmtId="37" fontId="41" fillId="10" borderId="97" xfId="0" applyNumberFormat="1" applyFont="1" applyFill="1" applyBorder="1" applyAlignment="1">
      <alignment horizontal="right"/>
    </xf>
    <xf numFmtId="37" fontId="11" fillId="12" borderId="50" xfId="0" applyNumberFormat="1" applyFont="1" applyFill="1" applyBorder="1" applyAlignment="1">
      <alignment horizontal="right"/>
    </xf>
    <xf numFmtId="37" fontId="12" fillId="12" borderId="48" xfId="0" applyNumberFormat="1" applyFont="1" applyFill="1" applyBorder="1" applyAlignment="1">
      <alignment horizontal="right"/>
    </xf>
    <xf numFmtId="37" fontId="41" fillId="10" borderId="59" xfId="0" applyNumberFormat="1" applyFont="1" applyFill="1" applyBorder="1" applyAlignment="1">
      <alignment horizontal="right"/>
    </xf>
    <xf numFmtId="37" fontId="12" fillId="12" borderId="383" xfId="0" applyNumberFormat="1" applyFont="1" applyFill="1" applyBorder="1" applyAlignment="1">
      <alignment horizontal="right"/>
    </xf>
    <xf numFmtId="37" fontId="12" fillId="12" borderId="35" xfId="0" applyNumberFormat="1" applyFont="1" applyFill="1" applyBorder="1" applyAlignment="1">
      <alignment horizontal="right"/>
    </xf>
    <xf numFmtId="37" fontId="42" fillId="12" borderId="44" xfId="0" applyNumberFormat="1" applyFont="1" applyFill="1" applyBorder="1" applyAlignment="1">
      <alignment horizontal="right"/>
    </xf>
    <xf numFmtId="37" fontId="42" fillId="12" borderId="43" xfId="0" applyNumberFormat="1" applyFont="1" applyFill="1" applyBorder="1" applyAlignment="1">
      <alignment horizontal="right"/>
    </xf>
    <xf numFmtId="37" fontId="12" fillId="10" borderId="97" xfId="0" applyNumberFormat="1" applyFont="1" applyFill="1" applyBorder="1" applyAlignment="1">
      <alignment horizontal="right"/>
    </xf>
    <xf numFmtId="37" fontId="12" fillId="10" borderId="59" xfId="0" applyNumberFormat="1" applyFont="1" applyFill="1" applyBorder="1" applyAlignment="1">
      <alignment horizontal="right"/>
    </xf>
    <xf numFmtId="1" fontId="11" fillId="17" borderId="17" xfId="10" applyNumberFormat="1" applyFont="1" applyFill="1" applyBorder="1" applyAlignment="1">
      <alignment horizontal="right" vertical="center"/>
    </xf>
    <xf numFmtId="37" fontId="12" fillId="12" borderId="466" xfId="0" applyNumberFormat="1" applyFont="1" applyFill="1" applyBorder="1" applyAlignment="1">
      <alignment horizontal="right"/>
    </xf>
    <xf numFmtId="37" fontId="12" fillId="12" borderId="481" xfId="0" applyNumberFormat="1" applyFont="1" applyFill="1" applyBorder="1" applyAlignment="1">
      <alignment horizontal="right"/>
    </xf>
    <xf numFmtId="37" fontId="11" fillId="12" borderId="383" xfId="0" applyNumberFormat="1" applyFont="1" applyFill="1" applyBorder="1" applyAlignment="1">
      <alignment horizontal="right"/>
    </xf>
    <xf numFmtId="37" fontId="18" fillId="12" borderId="0" xfId="0" applyNumberFormat="1" applyFont="1" applyFill="1" applyBorder="1" applyAlignment="1">
      <alignment horizontal="left"/>
    </xf>
    <xf numFmtId="37" fontId="32" fillId="12" borderId="0" xfId="0" applyNumberFormat="1" applyFont="1" applyFill="1" applyBorder="1"/>
    <xf numFmtId="37" fontId="32" fillId="12" borderId="0" xfId="0" applyNumberFormat="1" applyFont="1" applyFill="1" applyBorder="1" applyAlignment="1">
      <alignment horizontal="center"/>
    </xf>
    <xf numFmtId="9" fontId="32" fillId="12" borderId="0" xfId="7" applyFont="1" applyFill="1" applyBorder="1" applyAlignment="1">
      <alignment horizontal="center"/>
    </xf>
    <xf numFmtId="37" fontId="32" fillId="0" borderId="0" xfId="0" applyNumberFormat="1" applyFont="1" applyFill="1" applyBorder="1" applyAlignment="1">
      <alignment horizontal="center"/>
    </xf>
    <xf numFmtId="37" fontId="18" fillId="12" borderId="0" xfId="0" applyNumberFormat="1" applyFont="1" applyFill="1" applyBorder="1" applyAlignment="1">
      <alignment horizontal="center"/>
    </xf>
    <xf numFmtId="37" fontId="18" fillId="0" borderId="0" xfId="0" applyNumberFormat="1" applyFont="1" applyFill="1" applyBorder="1" applyAlignment="1">
      <alignment horizontal="center"/>
    </xf>
    <xf numFmtId="37" fontId="61" fillId="10" borderId="48" xfId="0" applyNumberFormat="1" applyFont="1" applyFill="1" applyBorder="1" applyAlignment="1">
      <alignment horizontal="center"/>
    </xf>
    <xf numFmtId="37" fontId="32" fillId="12" borderId="42" xfId="0" applyNumberFormat="1" applyFont="1" applyFill="1" applyBorder="1" applyAlignment="1">
      <alignment horizontal="center"/>
    </xf>
    <xf numFmtId="37" fontId="18" fillId="10" borderId="2" xfId="0" applyNumberFormat="1" applyFont="1" applyFill="1" applyBorder="1" applyAlignment="1">
      <alignment horizontal="center"/>
    </xf>
    <xf numFmtId="39" fontId="32" fillId="12" borderId="42" xfId="0" applyNumberFormat="1" applyFont="1" applyFill="1" applyBorder="1" applyAlignment="1">
      <alignment horizontal="center"/>
    </xf>
    <xf numFmtId="37" fontId="18" fillId="0" borderId="42" xfId="0" applyNumberFormat="1" applyFont="1" applyFill="1" applyBorder="1" applyAlignment="1">
      <alignment horizontal="center"/>
    </xf>
    <xf numFmtId="171" fontId="32" fillId="12" borderId="6" xfId="7" applyNumberFormat="1" applyFont="1" applyFill="1" applyBorder="1" applyAlignment="1">
      <alignment horizontal="center"/>
    </xf>
    <xf numFmtId="37" fontId="32" fillId="12" borderId="48" xfId="0" applyNumberFormat="1" applyFont="1" applyFill="1" applyBorder="1" applyAlignment="1">
      <alignment horizontal="center"/>
    </xf>
    <xf numFmtId="37" fontId="32" fillId="12" borderId="43" xfId="0" applyNumberFormat="1" applyFont="1" applyFill="1" applyBorder="1" applyAlignment="1">
      <alignment horizontal="center"/>
    </xf>
    <xf numFmtId="37" fontId="17" fillId="12" borderId="0" xfId="0" applyNumberFormat="1" applyFont="1" applyFill="1" applyBorder="1" applyAlignment="1">
      <alignment horizontal="center"/>
    </xf>
    <xf numFmtId="37" fontId="18" fillId="12" borderId="6" xfId="0" applyNumberFormat="1" applyFont="1" applyFill="1" applyBorder="1" applyAlignment="1">
      <alignment horizontal="center"/>
    </xf>
    <xf numFmtId="37" fontId="32" fillId="0" borderId="0" xfId="0" applyNumberFormat="1" applyFont="1" applyBorder="1"/>
    <xf numFmtId="37" fontId="61" fillId="10" borderId="48" xfId="0" applyNumberFormat="1" applyFont="1" applyFill="1" applyBorder="1"/>
    <xf numFmtId="37" fontId="16" fillId="10" borderId="20" xfId="0" applyNumberFormat="1" applyFont="1" applyFill="1" applyBorder="1" applyAlignment="1">
      <alignment horizontal="center"/>
    </xf>
    <xf numFmtId="37" fontId="11" fillId="5" borderId="42" xfId="0" applyNumberFormat="1" applyFont="1" applyFill="1" applyBorder="1" applyAlignment="1">
      <alignment horizontal="center" vertical="center"/>
    </xf>
    <xf numFmtId="37" fontId="11" fillId="5" borderId="19" xfId="0" applyNumberFormat="1" applyFont="1" applyFill="1" applyBorder="1" applyAlignment="1">
      <alignment horizontal="center" vertical="center"/>
    </xf>
    <xf numFmtId="37" fontId="11" fillId="5" borderId="22" xfId="0" applyNumberFormat="1" applyFont="1" applyFill="1" applyBorder="1" applyAlignment="1">
      <alignment horizontal="center" vertical="center"/>
    </xf>
    <xf numFmtId="37" fontId="11" fillId="5" borderId="18" xfId="0" applyNumberFormat="1" applyFont="1" applyFill="1" applyBorder="1" applyAlignment="1">
      <alignment horizontal="center" vertical="center"/>
    </xf>
    <xf numFmtId="170" fontId="12" fillId="0" borderId="450" xfId="0" applyNumberFormat="1" applyFont="1" applyFill="1" applyBorder="1" applyAlignment="1">
      <alignment horizontal="center"/>
    </xf>
    <xf numFmtId="37" fontId="11" fillId="0" borderId="288" xfId="10" applyNumberFormat="1" applyFont="1" applyFill="1" applyBorder="1" applyAlignment="1">
      <alignment horizontal="center" vertical="center"/>
    </xf>
    <xf numFmtId="37" fontId="11" fillId="0" borderId="294" xfId="10" applyNumberFormat="1" applyFont="1" applyFill="1" applyBorder="1" applyAlignment="1">
      <alignment horizontal="center" vertical="center"/>
    </xf>
    <xf numFmtId="37" fontId="12" fillId="0" borderId="587" xfId="0" applyNumberFormat="1" applyFont="1" applyFill="1" applyBorder="1" applyAlignment="1">
      <alignment horizontal="center"/>
    </xf>
    <xf numFmtId="37" fontId="12" fillId="0" borderId="588" xfId="0" applyNumberFormat="1" applyFont="1" applyFill="1" applyBorder="1" applyAlignment="1">
      <alignment horizontal="center"/>
    </xf>
    <xf numFmtId="37" fontId="12" fillId="0" borderId="530" xfId="0" applyNumberFormat="1" applyFont="1" applyFill="1" applyBorder="1" applyAlignment="1">
      <alignment horizontal="center"/>
    </xf>
    <xf numFmtId="37" fontId="12" fillId="0" borderId="589" xfId="0" applyNumberFormat="1" applyFont="1" applyFill="1" applyBorder="1" applyAlignment="1">
      <alignment horizontal="center"/>
    </xf>
    <xf numFmtId="37" fontId="11" fillId="0" borderId="590" xfId="10" applyNumberFormat="1" applyFont="1" applyFill="1" applyBorder="1" applyAlignment="1">
      <alignment horizontal="center" vertical="center"/>
    </xf>
    <xf numFmtId="37" fontId="11" fillId="0" borderId="21" xfId="10" applyNumberFormat="1" applyFont="1" applyFill="1" applyBorder="1" applyAlignment="1">
      <alignment horizontal="center" vertical="center"/>
    </xf>
    <xf numFmtId="37" fontId="11" fillId="0" borderId="163" xfId="10" applyNumberFormat="1" applyFont="1" applyFill="1" applyBorder="1" applyAlignment="1">
      <alignment horizontal="center" vertical="center"/>
    </xf>
    <xf numFmtId="37" fontId="12" fillId="0" borderId="592" xfId="0" applyNumberFormat="1" applyFont="1" applyFill="1" applyBorder="1" applyAlignment="1">
      <alignment horizontal="center"/>
    </xf>
    <xf numFmtId="37" fontId="12" fillId="0" borderId="593" xfId="0" applyNumberFormat="1" applyFont="1" applyFill="1" applyBorder="1" applyAlignment="1">
      <alignment horizontal="center"/>
    </xf>
    <xf numFmtId="172" fontId="12" fillId="0" borderId="593" xfId="0" applyNumberFormat="1" applyFont="1" applyFill="1" applyBorder="1" applyAlignment="1">
      <alignment horizontal="center"/>
    </xf>
    <xf numFmtId="37" fontId="12" fillId="0" borderId="594" xfId="0" applyNumberFormat="1" applyFont="1" applyFill="1" applyBorder="1" applyAlignment="1">
      <alignment horizontal="center"/>
    </xf>
    <xf numFmtId="170" fontId="12" fillId="0" borderId="593" xfId="0" applyNumberFormat="1" applyFont="1" applyFill="1" applyBorder="1" applyAlignment="1">
      <alignment horizontal="center"/>
    </xf>
    <xf numFmtId="39" fontId="12" fillId="0" borderId="593" xfId="0" applyNumberFormat="1" applyFont="1" applyFill="1" applyBorder="1" applyAlignment="1">
      <alignment horizontal="center"/>
    </xf>
    <xf numFmtId="37" fontId="11" fillId="0" borderId="595" xfId="10" applyNumberFormat="1" applyFont="1" applyFill="1" applyBorder="1" applyAlignment="1">
      <alignment horizontal="center" vertical="center"/>
    </xf>
    <xf numFmtId="37" fontId="11" fillId="0" borderId="596" xfId="10" applyNumberFormat="1" applyFont="1" applyFill="1" applyBorder="1" applyAlignment="1">
      <alignment horizontal="center" vertical="center"/>
    </xf>
    <xf numFmtId="37" fontId="11" fillId="0" borderId="106" xfId="10" applyNumberFormat="1" applyFont="1" applyFill="1" applyBorder="1" applyAlignment="1">
      <alignment horizontal="center" vertical="center"/>
    </xf>
    <xf numFmtId="37" fontId="11" fillId="0" borderId="597" xfId="10" applyNumberFormat="1" applyFont="1" applyFill="1" applyBorder="1" applyAlignment="1">
      <alignment horizontal="center" vertical="center"/>
    </xf>
    <xf numFmtId="37" fontId="11" fillId="0" borderId="37" xfId="10" applyNumberFormat="1" applyFont="1" applyFill="1" applyBorder="1" applyAlignment="1">
      <alignment horizontal="center" vertical="center"/>
    </xf>
    <xf numFmtId="0" fontId="12" fillId="0" borderId="0" xfId="0" applyFont="1"/>
    <xf numFmtId="1" fontId="12" fillId="0" borderId="0" xfId="0" applyNumberFormat="1" applyFont="1" applyFill="1" applyBorder="1" applyAlignment="1">
      <alignment vertical="center"/>
    </xf>
    <xf numFmtId="37" fontId="16" fillId="0" borderId="0" xfId="6" applyNumberFormat="1" applyFont="1" applyFill="1" applyBorder="1" applyAlignment="1">
      <alignment horizontal="left" vertical="center"/>
    </xf>
    <xf numFmtId="37" fontId="16" fillId="0" borderId="44" xfId="6" applyNumberFormat="1" applyFont="1" applyFill="1" applyBorder="1" applyAlignment="1">
      <alignment horizontal="center" vertical="center" wrapText="1"/>
    </xf>
    <xf numFmtId="1" fontId="11" fillId="12" borderId="14" xfId="0" applyNumberFormat="1" applyFont="1" applyFill="1" applyBorder="1" applyAlignment="1">
      <alignment horizontal="left" vertical="center"/>
    </xf>
    <xf numFmtId="39" fontId="12" fillId="12" borderId="17" xfId="0" applyNumberFormat="1" applyFont="1" applyFill="1" applyBorder="1" applyAlignment="1">
      <alignment horizontal="center" vertical="center"/>
    </xf>
    <xf numFmtId="170" fontId="11" fillId="12" borderId="17" xfId="0" applyNumberFormat="1" applyFont="1" applyFill="1" applyBorder="1" applyAlignment="1">
      <alignment horizontal="center" vertical="center"/>
    </xf>
    <xf numFmtId="37" fontId="11" fillId="12" borderId="383" xfId="0" applyNumberFormat="1" applyFont="1" applyFill="1" applyBorder="1" applyAlignment="1">
      <alignment horizontal="center" vertical="center"/>
    </xf>
    <xf numFmtId="37" fontId="11" fillId="12" borderId="35" xfId="0" applyNumberFormat="1" applyFont="1" applyFill="1" applyBorder="1" applyAlignment="1">
      <alignment horizontal="center" vertical="center"/>
    </xf>
    <xf numFmtId="1" fontId="11" fillId="10" borderId="168" xfId="10" applyNumberFormat="1" applyFont="1" applyFill="1" applyBorder="1" applyAlignment="1">
      <alignment horizontal="left" vertical="center"/>
    </xf>
    <xf numFmtId="1" fontId="12" fillId="0" borderId="22" xfId="10" applyNumberFormat="1" applyFont="1" applyFill="1" applyBorder="1" applyAlignment="1">
      <alignment horizontal="center" vertical="center"/>
    </xf>
    <xf numFmtId="37" fontId="64" fillId="10" borderId="169" xfId="0" applyNumberFormat="1" applyFont="1" applyFill="1" applyBorder="1" applyAlignment="1">
      <alignment vertical="center"/>
    </xf>
    <xf numFmtId="1" fontId="12" fillId="0" borderId="2" xfId="0" applyNumberFormat="1" applyFont="1" applyFill="1" applyBorder="1" applyAlignment="1">
      <alignment horizontal="left" vertical="center"/>
    </xf>
    <xf numFmtId="37" fontId="12" fillId="0" borderId="2" xfId="0" applyNumberFormat="1" applyFont="1" applyFill="1" applyBorder="1" applyAlignment="1">
      <alignment vertical="center"/>
    </xf>
    <xf numFmtId="37" fontId="21" fillId="0" borderId="0" xfId="0" applyNumberFormat="1" applyFont="1" applyFill="1" applyAlignment="1">
      <alignment vertical="center"/>
    </xf>
    <xf numFmtId="0" fontId="12" fillId="0" borderId="22" xfId="0" applyFont="1" applyFill="1" applyBorder="1" applyAlignment="1">
      <alignment vertical="center"/>
    </xf>
    <xf numFmtId="37" fontId="32" fillId="12" borderId="481" xfId="0" applyNumberFormat="1" applyFont="1" applyFill="1" applyBorder="1" applyAlignment="1">
      <alignment horizontal="right"/>
    </xf>
    <xf numFmtId="37" fontId="32" fillId="12" borderId="466" xfId="0" applyNumberFormat="1" applyFont="1" applyFill="1" applyBorder="1" applyAlignment="1">
      <alignment horizontal="right"/>
    </xf>
    <xf numFmtId="37" fontId="32" fillId="12" borderId="470" xfId="0" applyNumberFormat="1" applyFont="1" applyFill="1" applyBorder="1" applyAlignment="1">
      <alignment horizontal="right"/>
    </xf>
    <xf numFmtId="37" fontId="12" fillId="12" borderId="21" xfId="0" applyNumberFormat="1" applyFont="1" applyFill="1" applyBorder="1"/>
    <xf numFmtId="37" fontId="16" fillId="10" borderId="44" xfId="0" applyNumberFormat="1" applyFont="1" applyFill="1" applyBorder="1"/>
    <xf numFmtId="37" fontId="16" fillId="10" borderId="0" xfId="0" applyNumberFormat="1" applyFont="1" applyFill="1" applyBorder="1"/>
    <xf numFmtId="37" fontId="16" fillId="10" borderId="43" xfId="0" applyNumberFormat="1" applyFont="1" applyFill="1" applyBorder="1" applyAlignment="1">
      <alignment horizontal="center"/>
    </xf>
    <xf numFmtId="37" fontId="12" fillId="10" borderId="22" xfId="0" applyNumberFormat="1" applyFont="1" applyFill="1" applyBorder="1" applyAlignment="1">
      <alignment horizontal="center"/>
    </xf>
    <xf numFmtId="0" fontId="12" fillId="0" borderId="51" xfId="0" applyFont="1" applyFill="1" applyBorder="1"/>
    <xf numFmtId="0" fontId="12" fillId="0" borderId="44" xfId="0" applyFont="1" applyFill="1" applyBorder="1"/>
    <xf numFmtId="0" fontId="11" fillId="0" borderId="19" xfId="0" applyFont="1" applyFill="1" applyBorder="1"/>
    <xf numFmtId="9" fontId="12" fillId="0" borderId="48" xfId="7" applyFont="1" applyFill="1" applyBorder="1"/>
    <xf numFmtId="9" fontId="12" fillId="0" borderId="43" xfId="7" applyFont="1" applyFill="1" applyBorder="1"/>
    <xf numFmtId="0" fontId="12" fillId="0" borderId="40" xfId="0" applyFont="1" applyFill="1" applyBorder="1"/>
    <xf numFmtId="1" fontId="12" fillId="0" borderId="41" xfId="0" applyNumberFormat="1" applyFont="1" applyFill="1" applyBorder="1"/>
    <xf numFmtId="3" fontId="12" fillId="0" borderId="41" xfId="0" applyNumberFormat="1" applyFont="1" applyFill="1" applyBorder="1"/>
    <xf numFmtId="3" fontId="11" fillId="0" borderId="18" xfId="0" applyNumberFormat="1" applyFont="1" applyFill="1" applyBorder="1"/>
    <xf numFmtId="3" fontId="12" fillId="0" borderId="48" xfId="0" applyNumberFormat="1" applyFont="1" applyFill="1" applyBorder="1"/>
    <xf numFmtId="3" fontId="12" fillId="0" borderId="43" xfId="0" applyNumberFormat="1" applyFont="1" applyFill="1" applyBorder="1"/>
    <xf numFmtId="1" fontId="16" fillId="10" borderId="90" xfId="0" applyNumberFormat="1" applyFont="1" applyFill="1" applyBorder="1" applyAlignment="1">
      <alignment horizontal="center" vertical="center"/>
    </xf>
    <xf numFmtId="1" fontId="12" fillId="0" borderId="238" xfId="10" applyNumberFormat="1" applyFont="1" applyFill="1" applyBorder="1" applyAlignment="1" applyProtection="1">
      <alignment horizontal="left" vertical="center"/>
    </xf>
    <xf numFmtId="1" fontId="12" fillId="0" borderId="28" xfId="10" applyNumberFormat="1" applyFont="1" applyFill="1" applyBorder="1" applyAlignment="1" applyProtection="1">
      <alignment horizontal="left" vertical="center"/>
    </xf>
    <xf numFmtId="165" fontId="12" fillId="12" borderId="611" xfId="10" applyNumberFormat="1" applyFont="1" applyFill="1" applyBorder="1" applyAlignment="1" applyProtection="1">
      <alignment horizontal="center" vertical="center"/>
    </xf>
    <xf numFmtId="165" fontId="12" fillId="12" borderId="612" xfId="10" applyNumberFormat="1" applyFont="1" applyFill="1" applyBorder="1" applyAlignment="1" applyProtection="1">
      <alignment horizontal="center" vertical="center"/>
    </xf>
    <xf numFmtId="165" fontId="12" fillId="12" borderId="509" xfId="10" applyNumberFormat="1" applyFont="1" applyFill="1" applyBorder="1" applyAlignment="1" applyProtection="1">
      <alignment horizontal="center" vertical="center"/>
    </xf>
    <xf numFmtId="3" fontId="12" fillId="12" borderId="31" xfId="10" applyNumberFormat="1" applyFont="1" applyFill="1" applyBorder="1" applyAlignment="1" applyProtection="1">
      <alignment horizontal="center" vertical="center"/>
    </xf>
    <xf numFmtId="3" fontId="12" fillId="12" borderId="325" xfId="10" applyNumberFormat="1" applyFont="1" applyFill="1" applyBorder="1" applyAlignment="1" applyProtection="1">
      <alignment horizontal="center" vertical="center"/>
    </xf>
    <xf numFmtId="1" fontId="12" fillId="13" borderId="334" xfId="10" applyNumberFormat="1" applyFont="1" applyFill="1" applyBorder="1" applyAlignment="1" applyProtection="1">
      <alignment horizontal="center" vertical="center"/>
    </xf>
    <xf numFmtId="1" fontId="12" fillId="12" borderId="629" xfId="10" applyNumberFormat="1" applyFont="1" applyFill="1" applyBorder="1" applyAlignment="1" applyProtection="1">
      <alignment horizontal="left" vertical="center"/>
    </xf>
    <xf numFmtId="1" fontId="12" fillId="12" borderId="630" xfId="10" applyNumberFormat="1" applyFont="1" applyFill="1" applyBorder="1" applyAlignment="1" applyProtection="1">
      <alignment horizontal="center" vertical="center"/>
    </xf>
    <xf numFmtId="1" fontId="12" fillId="13" borderId="630" xfId="10" applyNumberFormat="1" applyFont="1" applyFill="1" applyBorder="1" applyAlignment="1" applyProtection="1">
      <alignment horizontal="center" vertical="center"/>
    </xf>
    <xf numFmtId="3" fontId="12" fillId="12" borderId="318" xfId="10" applyNumberFormat="1" applyFont="1" applyFill="1" applyBorder="1" applyAlignment="1" applyProtection="1">
      <alignment horizontal="center" vertical="center"/>
    </xf>
    <xf numFmtId="165" fontId="12" fillId="12" borderId="328" xfId="10" applyNumberFormat="1" applyFont="1" applyFill="1" applyBorder="1" applyAlignment="1" applyProtection="1">
      <alignment horizontal="center" vertical="center"/>
    </xf>
    <xf numFmtId="165" fontId="12" fillId="12" borderId="613" xfId="10" applyNumberFormat="1" applyFont="1" applyFill="1" applyBorder="1" applyAlignment="1" applyProtection="1">
      <alignment horizontal="center" vertical="center"/>
    </xf>
    <xf numFmtId="0" fontId="11" fillId="0" borderId="14" xfId="10" applyFont="1" applyFill="1" applyBorder="1" applyAlignment="1">
      <alignment horizontal="left" vertical="center"/>
    </xf>
    <xf numFmtId="0" fontId="12" fillId="0" borderId="0" xfId="0" applyFont="1" applyFill="1" applyAlignment="1">
      <alignment horizontal="center" vertical="center"/>
    </xf>
    <xf numFmtId="0" fontId="12" fillId="0" borderId="21" xfId="10" applyFont="1" applyFill="1" applyBorder="1" applyAlignment="1">
      <alignment horizontal="center" vertical="center"/>
    </xf>
    <xf numFmtId="0" fontId="12" fillId="0" borderId="45" xfId="0" applyFont="1" applyFill="1" applyBorder="1" applyAlignment="1">
      <alignment vertical="center"/>
    </xf>
    <xf numFmtId="1" fontId="12" fillId="13" borderId="150" xfId="10" applyNumberFormat="1" applyFont="1" applyFill="1" applyBorder="1" applyAlignment="1" applyProtection="1">
      <alignment horizontal="center" vertical="center"/>
    </xf>
    <xf numFmtId="3" fontId="11" fillId="12" borderId="512" xfId="10" applyNumberFormat="1" applyFont="1" applyFill="1" applyBorder="1" applyAlignment="1" applyProtection="1">
      <alignment horizontal="center" vertical="center"/>
    </xf>
    <xf numFmtId="1" fontId="12" fillId="13" borderId="667" xfId="10" applyNumberFormat="1" applyFont="1" applyFill="1" applyBorder="1" applyAlignment="1" applyProtection="1">
      <alignment horizontal="center" vertical="center"/>
    </xf>
    <xf numFmtId="0" fontId="14" fillId="11" borderId="45" xfId="12" applyFont="1" applyFill="1" applyBorder="1"/>
    <xf numFmtId="37" fontId="11" fillId="0" borderId="45" xfId="0" applyNumberFormat="1" applyFont="1" applyFill="1" applyBorder="1" applyAlignment="1">
      <alignment horizontal="left"/>
    </xf>
    <xf numFmtId="0" fontId="12" fillId="12" borderId="45" xfId="0" applyFont="1" applyFill="1" applyBorder="1"/>
    <xf numFmtId="0" fontId="14" fillId="11" borderId="26" xfId="12" applyFont="1" applyFill="1" applyBorder="1"/>
    <xf numFmtId="0" fontId="14" fillId="12" borderId="0" xfId="12" applyFont="1" applyFill="1" applyBorder="1" applyAlignment="1">
      <alignment horizontal="left"/>
    </xf>
    <xf numFmtId="0" fontId="12" fillId="12" borderId="0" xfId="0" applyFont="1" applyFill="1" applyBorder="1"/>
    <xf numFmtId="0" fontId="12" fillId="0" borderId="27" xfId="0" applyFont="1" applyBorder="1"/>
    <xf numFmtId="0" fontId="14" fillId="12" borderId="0" xfId="12" applyFont="1" applyFill="1" applyBorder="1"/>
    <xf numFmtId="0" fontId="14" fillId="11" borderId="28" xfId="12" applyFont="1" applyFill="1" applyBorder="1"/>
    <xf numFmtId="0" fontId="14" fillId="11" borderId="5" xfId="12" applyFont="1" applyFill="1" applyBorder="1"/>
    <xf numFmtId="0" fontId="12" fillId="0" borderId="29" xfId="0" applyFont="1" applyBorder="1"/>
    <xf numFmtId="0" fontId="12" fillId="11" borderId="45" xfId="0" applyFont="1" applyFill="1" applyBorder="1"/>
    <xf numFmtId="0" fontId="12" fillId="11" borderId="17" xfId="0" applyFont="1" applyFill="1" applyBorder="1"/>
    <xf numFmtId="0" fontId="12" fillId="0" borderId="30" xfId="0" applyFont="1" applyBorder="1"/>
    <xf numFmtId="0" fontId="12" fillId="11" borderId="5" xfId="0" applyFont="1" applyFill="1" applyBorder="1"/>
    <xf numFmtId="0" fontId="12" fillId="0" borderId="5" xfId="0" applyFont="1" applyFill="1" applyBorder="1"/>
    <xf numFmtId="0" fontId="17" fillId="0" borderId="0" xfId="0" applyFont="1" applyFill="1" applyBorder="1" applyAlignment="1">
      <alignment horizontal="center"/>
    </xf>
    <xf numFmtId="37" fontId="11" fillId="21" borderId="19" xfId="0" applyNumberFormat="1" applyFont="1" applyFill="1" applyBorder="1" applyAlignment="1">
      <alignment horizontal="center" vertical="center"/>
    </xf>
    <xf numFmtId="0" fontId="11" fillId="6" borderId="0" xfId="0" applyFont="1" applyFill="1" applyBorder="1" applyAlignment="1">
      <alignment vertical="center"/>
    </xf>
    <xf numFmtId="0" fontId="11" fillId="6" borderId="0" xfId="10" applyFont="1" applyFill="1" applyBorder="1" applyAlignment="1">
      <alignment vertical="center"/>
    </xf>
    <xf numFmtId="37" fontId="12" fillId="0" borderId="26" xfId="6" applyNumberFormat="1" applyFont="1" applyFill="1" applyBorder="1" applyAlignment="1">
      <alignment horizontal="left" vertical="center"/>
    </xf>
    <xf numFmtId="0" fontId="12" fillId="0" borderId="12" xfId="6" applyFont="1" applyFill="1" applyBorder="1" applyAlignment="1">
      <alignment horizontal="center" vertical="center"/>
    </xf>
    <xf numFmtId="37" fontId="11" fillId="0" borderId="0" xfId="6" applyNumberFormat="1" applyFont="1" applyFill="1" applyAlignment="1">
      <alignment vertical="center"/>
    </xf>
    <xf numFmtId="0" fontId="11" fillId="0" borderId="0" xfId="6" applyFont="1" applyFill="1" applyAlignment="1">
      <alignment vertical="center"/>
    </xf>
    <xf numFmtId="37" fontId="12" fillId="0" borderId="23" xfId="6" applyNumberFormat="1" applyFont="1" applyFill="1" applyBorder="1" applyAlignment="1">
      <alignment vertical="center"/>
    </xf>
    <xf numFmtId="170" fontId="21" fillId="0" borderId="0" xfId="6" applyNumberFormat="1" applyFont="1" applyFill="1" applyBorder="1" applyAlignment="1">
      <alignment horizontal="left"/>
    </xf>
    <xf numFmtId="0" fontId="22" fillId="0" borderId="0" xfId="6" applyFont="1" applyFill="1" applyAlignment="1">
      <alignment horizontal="left" vertical="center"/>
    </xf>
    <xf numFmtId="37" fontId="22" fillId="0" borderId="0" xfId="0" applyNumberFormat="1" applyFont="1" applyFill="1" applyAlignment="1">
      <alignment vertical="center"/>
    </xf>
    <xf numFmtId="2" fontId="12" fillId="0" borderId="42" xfId="6" applyNumberFormat="1" applyFont="1" applyFill="1" applyBorder="1" applyAlignment="1">
      <alignment horizontal="center" vertical="center"/>
    </xf>
    <xf numFmtId="166" fontId="12" fillId="0" borderId="27" xfId="6" applyNumberFormat="1" applyFont="1" applyFill="1" applyBorder="1" applyAlignment="1">
      <alignment horizontal="center" vertical="center"/>
    </xf>
    <xf numFmtId="3" fontId="12" fillId="0" borderId="32" xfId="6" applyNumberFormat="1" applyFont="1" applyFill="1" applyBorder="1" applyAlignment="1">
      <alignment horizontal="center" vertical="center"/>
    </xf>
    <xf numFmtId="3" fontId="12" fillId="0" borderId="90" xfId="6" applyNumberFormat="1" applyFont="1" applyFill="1" applyBorder="1" applyAlignment="1">
      <alignment horizontal="center" vertical="center"/>
    </xf>
    <xf numFmtId="3" fontId="12" fillId="0" borderId="33" xfId="6" applyNumberFormat="1" applyFont="1" applyFill="1" applyBorder="1" applyAlignment="1">
      <alignment horizontal="center" vertical="center"/>
    </xf>
    <xf numFmtId="3" fontId="12" fillId="0" borderId="98" xfId="6" applyNumberFormat="1" applyFont="1" applyFill="1" applyBorder="1" applyAlignment="1">
      <alignment horizontal="center" vertical="center"/>
    </xf>
    <xf numFmtId="3" fontId="12" fillId="0" borderId="42" xfId="6" applyNumberFormat="1" applyFont="1" applyFill="1" applyBorder="1" applyAlignment="1">
      <alignment horizontal="center" vertical="center"/>
    </xf>
    <xf numFmtId="3" fontId="12" fillId="0" borderId="60" xfId="6" applyNumberFormat="1" applyFont="1" applyFill="1" applyBorder="1" applyAlignment="1">
      <alignment horizontal="center" vertical="center"/>
    </xf>
    <xf numFmtId="166" fontId="12" fillId="0" borderId="55" xfId="6" applyNumberFormat="1" applyFont="1" applyFill="1" applyBorder="1" applyAlignment="1">
      <alignment horizontal="center" vertical="center"/>
    </xf>
    <xf numFmtId="2" fontId="12" fillId="0" borderId="55" xfId="6" applyNumberFormat="1" applyFont="1" applyFill="1" applyBorder="1" applyAlignment="1">
      <alignment horizontal="center" vertical="center"/>
    </xf>
    <xf numFmtId="166" fontId="12" fillId="0" borderId="29" xfId="6" applyNumberFormat="1" applyFont="1" applyFill="1" applyBorder="1" applyAlignment="1">
      <alignment horizontal="center" vertical="center"/>
    </xf>
    <xf numFmtId="3" fontId="12" fillId="0" borderId="56" xfId="6" applyNumberFormat="1" applyFont="1" applyFill="1" applyBorder="1" applyAlignment="1">
      <alignment horizontal="center" vertical="center"/>
    </xf>
    <xf numFmtId="3" fontId="12" fillId="0" borderId="55" xfId="6" applyNumberFormat="1" applyFont="1" applyFill="1" applyBorder="1" applyAlignment="1">
      <alignment horizontal="center" vertical="center"/>
    </xf>
    <xf numFmtId="3" fontId="12" fillId="0" borderId="57" xfId="6" applyNumberFormat="1" applyFont="1" applyFill="1" applyBorder="1" applyAlignment="1">
      <alignment horizontal="center" vertical="center"/>
    </xf>
    <xf numFmtId="37" fontId="11" fillId="0" borderId="4" xfId="0" applyNumberFormat="1" applyFont="1" applyFill="1" applyBorder="1" applyAlignment="1">
      <alignment horizontal="left" vertical="center"/>
    </xf>
    <xf numFmtId="37" fontId="11" fillId="0" borderId="1" xfId="0" applyNumberFormat="1" applyFont="1" applyFill="1" applyBorder="1" applyAlignment="1">
      <alignment horizontal="left" vertical="center"/>
    </xf>
    <xf numFmtId="37" fontId="11" fillId="0" borderId="34" xfId="0" applyNumberFormat="1" applyFont="1" applyFill="1" applyBorder="1" applyAlignment="1">
      <alignment horizontal="left" vertical="center"/>
    </xf>
    <xf numFmtId="37" fontId="12" fillId="0" borderId="42" xfId="0" applyNumberFormat="1" applyFont="1" applyFill="1" applyBorder="1" applyAlignment="1">
      <alignment horizontal="center" vertical="center"/>
    </xf>
    <xf numFmtId="172" fontId="11" fillId="0" borderId="0" xfId="0" applyNumberFormat="1" applyFont="1" applyFill="1" applyBorder="1" applyAlignment="1">
      <alignment horizontal="center" vertical="center"/>
    </xf>
    <xf numFmtId="172" fontId="12" fillId="0" borderId="0" xfId="0" applyNumberFormat="1" applyFont="1" applyFill="1" applyBorder="1" applyAlignment="1">
      <alignment vertical="center"/>
    </xf>
    <xf numFmtId="37" fontId="30" fillId="0" borderId="0" xfId="0" applyNumberFormat="1" applyFont="1" applyFill="1" applyAlignment="1">
      <alignment vertical="center"/>
    </xf>
    <xf numFmtId="37" fontId="11" fillId="0" borderId="23" xfId="0" applyNumberFormat="1" applyFont="1" applyFill="1" applyBorder="1" applyAlignment="1">
      <alignment horizontal="center" vertical="center"/>
    </xf>
    <xf numFmtId="37" fontId="11" fillId="0" borderId="90" xfId="0" applyNumberFormat="1" applyFont="1" applyFill="1" applyBorder="1" applyAlignment="1">
      <alignment horizontal="center" vertical="center"/>
    </xf>
    <xf numFmtId="37" fontId="11" fillId="0" borderId="11" xfId="0" applyNumberFormat="1" applyFont="1" applyFill="1" applyBorder="1" applyAlignment="1">
      <alignment horizontal="center" vertical="center"/>
    </xf>
    <xf numFmtId="37" fontId="11" fillId="0" borderId="13" xfId="0" applyNumberFormat="1" applyFont="1" applyFill="1" applyBorder="1" applyAlignment="1">
      <alignment horizontal="center" vertical="center"/>
    </xf>
    <xf numFmtId="37" fontId="11" fillId="0" borderId="36" xfId="0" applyNumberFormat="1" applyFont="1" applyFill="1" applyBorder="1" applyAlignment="1">
      <alignment horizontal="right" vertical="center"/>
    </xf>
    <xf numFmtId="37" fontId="11" fillId="0" borderId="103" xfId="0" applyNumberFormat="1" applyFont="1" applyFill="1" applyBorder="1" applyAlignment="1">
      <alignment horizontal="right" vertical="center"/>
    </xf>
    <xf numFmtId="39" fontId="11" fillId="0" borderId="53" xfId="0" applyNumberFormat="1" applyFont="1" applyFill="1" applyBorder="1" applyAlignment="1">
      <alignment horizontal="center" vertical="center"/>
    </xf>
    <xf numFmtId="171" fontId="11" fillId="0" borderId="3" xfId="7" applyNumberFormat="1" applyFont="1" applyFill="1" applyBorder="1" applyAlignment="1">
      <alignment horizontal="center" vertical="center"/>
    </xf>
    <xf numFmtId="37" fontId="12" fillId="0" borderId="93" xfId="0" applyNumberFormat="1" applyFont="1" applyFill="1" applyBorder="1" applyAlignment="1">
      <alignment horizontal="left" vertical="center"/>
    </xf>
    <xf numFmtId="172" fontId="12" fillId="0" borderId="96" xfId="0" applyNumberFormat="1" applyFont="1" applyFill="1" applyBorder="1" applyAlignment="1">
      <alignment vertical="center"/>
    </xf>
    <xf numFmtId="37" fontId="12" fillId="0" borderId="36" xfId="0" applyNumberFormat="1" applyFont="1" applyFill="1" applyBorder="1" applyAlignment="1">
      <alignment horizontal="left" vertical="center"/>
    </xf>
    <xf numFmtId="172" fontId="11" fillId="0" borderId="3" xfId="0" applyNumberFormat="1" applyFont="1" applyFill="1" applyBorder="1" applyAlignment="1">
      <alignment horizontal="center" vertical="center"/>
    </xf>
    <xf numFmtId="37" fontId="11" fillId="0" borderId="0" xfId="0" applyNumberFormat="1" applyFont="1" applyFill="1" applyBorder="1" applyAlignment="1">
      <alignment horizontal="left" vertical="center"/>
    </xf>
    <xf numFmtId="37" fontId="12" fillId="0" borderId="26" xfId="0" applyNumberFormat="1" applyFont="1" applyFill="1" applyBorder="1" applyAlignment="1">
      <alignment horizontal="left" vertical="center"/>
    </xf>
    <xf numFmtId="37" fontId="12" fillId="0" borderId="28" xfId="0" applyNumberFormat="1" applyFont="1" applyFill="1" applyBorder="1" applyAlignment="1">
      <alignment horizontal="left" vertical="center"/>
    </xf>
    <xf numFmtId="37" fontId="53" fillId="0" borderId="0" xfId="0" applyNumberFormat="1" applyFont="1" applyFill="1" applyAlignment="1">
      <alignment vertical="center"/>
    </xf>
    <xf numFmtId="37" fontId="11" fillId="0" borderId="36" xfId="0" applyNumberFormat="1" applyFont="1" applyFill="1" applyBorder="1" applyAlignment="1">
      <alignment horizontal="left" vertical="center"/>
    </xf>
    <xf numFmtId="37" fontId="12" fillId="0" borderId="15" xfId="0" applyNumberFormat="1" applyFont="1" applyFill="1" applyBorder="1" applyAlignment="1">
      <alignment horizontal="left" vertical="center"/>
    </xf>
    <xf numFmtId="37" fontId="11" fillId="0" borderId="16" xfId="0" applyNumberFormat="1" applyFont="1" applyFill="1" applyBorder="1" applyAlignment="1">
      <alignment horizontal="left" vertical="center"/>
    </xf>
    <xf numFmtId="0" fontId="12" fillId="0" borderId="27" xfId="6" applyFont="1" applyFill="1" applyBorder="1" applyAlignment="1">
      <alignment horizontal="center" vertical="center"/>
    </xf>
    <xf numFmtId="0" fontId="12" fillId="0" borderId="29" xfId="6" applyFont="1" applyFill="1" applyBorder="1" applyAlignment="1">
      <alignment horizontal="center" vertical="center"/>
    </xf>
    <xf numFmtId="0" fontId="12" fillId="0" borderId="5" xfId="6" applyFont="1" applyFill="1" applyBorder="1" applyAlignment="1">
      <alignment horizontal="center" vertical="center"/>
    </xf>
    <xf numFmtId="37" fontId="17" fillId="0" borderId="0" xfId="0" applyNumberFormat="1" applyFont="1" applyFill="1" applyAlignment="1">
      <alignment horizontal="left" vertical="center"/>
    </xf>
    <xf numFmtId="37" fontId="17" fillId="0" borderId="0" xfId="0" applyNumberFormat="1" applyFont="1" applyFill="1" applyAlignment="1">
      <alignment vertical="center"/>
    </xf>
    <xf numFmtId="37" fontId="12" fillId="0" borderId="23" xfId="0" applyNumberFormat="1" applyFont="1" applyFill="1" applyBorder="1" applyAlignment="1">
      <alignment horizontal="left" vertical="center"/>
    </xf>
    <xf numFmtId="37" fontId="12" fillId="0" borderId="60" xfId="0" applyNumberFormat="1" applyFont="1" applyFill="1" applyBorder="1" applyAlignment="1">
      <alignment horizontal="center" vertical="center"/>
    </xf>
    <xf numFmtId="37" fontId="12" fillId="0" borderId="57" xfId="0" applyNumberFormat="1" applyFont="1" applyFill="1" applyBorder="1" applyAlignment="1">
      <alignment horizontal="center" vertical="center"/>
    </xf>
    <xf numFmtId="0" fontId="21" fillId="0" borderId="0" xfId="6" applyFont="1" applyFill="1" applyAlignment="1">
      <alignment vertical="center"/>
    </xf>
    <xf numFmtId="37" fontId="12" fillId="0" borderId="47" xfId="6" applyNumberFormat="1" applyFont="1" applyFill="1" applyBorder="1" applyAlignment="1" applyProtection="1">
      <alignment horizontal="center" vertical="center"/>
      <protection hidden="1"/>
    </xf>
    <xf numFmtId="37" fontId="12" fillId="0" borderId="108" xfId="6" applyNumberFormat="1" applyFont="1" applyFill="1" applyBorder="1" applyAlignment="1" applyProtection="1">
      <alignment horizontal="center" vertical="center"/>
      <protection hidden="1"/>
    </xf>
    <xf numFmtId="37" fontId="12" fillId="0" borderId="47" xfId="6" applyNumberFormat="1" applyFont="1" applyFill="1" applyBorder="1" applyAlignment="1">
      <alignment horizontal="center" vertical="center"/>
    </xf>
    <xf numFmtId="37" fontId="12" fillId="0" borderId="52" xfId="6" applyNumberFormat="1" applyFont="1" applyFill="1" applyBorder="1" applyAlignment="1">
      <alignment horizontal="center" vertical="center"/>
    </xf>
    <xf numFmtId="37" fontId="12" fillId="0" borderId="23" xfId="6" applyNumberFormat="1" applyFont="1" applyFill="1" applyBorder="1" applyAlignment="1">
      <alignment horizontal="left" vertical="center"/>
    </xf>
    <xf numFmtId="37" fontId="12" fillId="0" borderId="38" xfId="6" applyNumberFormat="1" applyFont="1" applyFill="1" applyBorder="1" applyAlignment="1">
      <alignment horizontal="center" vertical="center"/>
    </xf>
    <xf numFmtId="37" fontId="11" fillId="0" borderId="38" xfId="6" applyNumberFormat="1" applyFont="1" applyFill="1" applyBorder="1" applyAlignment="1">
      <alignment horizontal="center" vertical="center" wrapText="1"/>
    </xf>
    <xf numFmtId="37" fontId="12" fillId="0" borderId="45" xfId="6" applyNumberFormat="1" applyFont="1" applyFill="1" applyBorder="1" applyAlignment="1">
      <alignment vertical="center"/>
    </xf>
    <xf numFmtId="37" fontId="12" fillId="0" borderId="24" xfId="6" applyNumberFormat="1" applyFont="1" applyFill="1" applyBorder="1" applyAlignment="1">
      <alignment vertical="center"/>
    </xf>
    <xf numFmtId="37" fontId="11" fillId="0" borderId="23" xfId="6" applyNumberFormat="1" applyFont="1" applyFill="1" applyBorder="1" applyAlignment="1">
      <alignment vertical="center"/>
    </xf>
    <xf numFmtId="37" fontId="11" fillId="0" borderId="45" xfId="6" applyNumberFormat="1" applyFont="1" applyFill="1" applyBorder="1" applyAlignment="1">
      <alignment vertical="center"/>
    </xf>
    <xf numFmtId="37" fontId="11" fillId="0" borderId="24" xfId="6" applyNumberFormat="1" applyFont="1" applyFill="1" applyBorder="1" applyAlignment="1">
      <alignment vertical="center"/>
    </xf>
    <xf numFmtId="37" fontId="11" fillId="0" borderId="28" xfId="6" applyNumberFormat="1" applyFont="1" applyFill="1" applyBorder="1" applyAlignment="1">
      <alignment horizontal="left" vertical="center"/>
    </xf>
    <xf numFmtId="37" fontId="33" fillId="0" borderId="52" xfId="6" applyNumberFormat="1" applyFont="1" applyFill="1" applyBorder="1" applyAlignment="1">
      <alignment horizontal="center" vertical="center"/>
    </xf>
    <xf numFmtId="37" fontId="33" fillId="0" borderId="28" xfId="6" applyNumberFormat="1" applyFont="1" applyFill="1" applyBorder="1" applyAlignment="1">
      <alignment horizontal="center" vertical="center"/>
    </xf>
    <xf numFmtId="37" fontId="33" fillId="0" borderId="5" xfId="6" applyNumberFormat="1" applyFont="1" applyFill="1" applyBorder="1" applyAlignment="1">
      <alignment horizontal="center" vertical="center"/>
    </xf>
    <xf numFmtId="37" fontId="33" fillId="0" borderId="29" xfId="6" applyNumberFormat="1" applyFont="1" applyFill="1" applyBorder="1" applyAlignment="1">
      <alignment horizontal="center" vertical="center"/>
    </xf>
    <xf numFmtId="37" fontId="34" fillId="0" borderId="5" xfId="6" applyNumberFormat="1" applyFont="1" applyFill="1" applyBorder="1" applyAlignment="1">
      <alignment horizontal="center" vertical="center"/>
    </xf>
    <xf numFmtId="37" fontId="12" fillId="0" borderId="0" xfId="6" applyNumberFormat="1" applyFont="1" applyFill="1" applyBorder="1" applyAlignment="1">
      <alignment horizontal="center"/>
    </xf>
    <xf numFmtId="37" fontId="14" fillId="0" borderId="0" xfId="12" applyNumberFormat="1" applyFont="1" applyFill="1" applyBorder="1" applyAlignment="1">
      <alignment horizontal="center" vertical="center"/>
    </xf>
    <xf numFmtId="37" fontId="14" fillId="0" borderId="0" xfId="12" applyNumberFormat="1" applyFont="1" applyFill="1" applyBorder="1" applyAlignment="1">
      <alignment vertical="center"/>
    </xf>
    <xf numFmtId="37" fontId="14" fillId="0" borderId="0" xfId="12" applyNumberFormat="1" applyFont="1" applyFill="1" applyBorder="1" applyAlignment="1" applyProtection="1">
      <alignment vertical="center"/>
      <protection hidden="1"/>
    </xf>
    <xf numFmtId="37" fontId="12" fillId="0" borderId="0" xfId="6" applyNumberFormat="1" applyFont="1" applyFill="1" applyBorder="1"/>
    <xf numFmtId="0" fontId="12" fillId="0" borderId="0" xfId="6" applyFont="1" applyFill="1" applyBorder="1" applyAlignment="1">
      <alignment horizontal="left" vertical="center"/>
    </xf>
    <xf numFmtId="0" fontId="12" fillId="0" borderId="94" xfId="0" applyFont="1" applyFill="1" applyBorder="1" applyAlignment="1">
      <alignment vertical="center"/>
    </xf>
    <xf numFmtId="37" fontId="33" fillId="0" borderId="93" xfId="6" applyNumberFormat="1" applyFont="1" applyFill="1" applyBorder="1" applyAlignment="1">
      <alignment horizontal="left" vertical="center"/>
    </xf>
    <xf numFmtId="0" fontId="12" fillId="0" borderId="31" xfId="0" applyFont="1" applyFill="1" applyBorder="1" applyAlignment="1">
      <alignment vertical="center"/>
    </xf>
    <xf numFmtId="170" fontId="12" fillId="0" borderId="20" xfId="6" applyNumberFormat="1" applyFont="1" applyFill="1" applyBorder="1" applyAlignment="1">
      <alignment horizontal="center" vertical="center"/>
    </xf>
    <xf numFmtId="0" fontId="21" fillId="0" borderId="0" xfId="6" applyFont="1" applyFill="1" applyBorder="1" applyAlignment="1">
      <alignment vertical="center"/>
    </xf>
    <xf numFmtId="0" fontId="21" fillId="0" borderId="23" xfId="0" applyFont="1" applyFill="1" applyBorder="1" applyAlignment="1">
      <alignment vertical="center"/>
    </xf>
    <xf numFmtId="0" fontId="11" fillId="0" borderId="94" xfId="6" applyFont="1" applyFill="1" applyBorder="1" applyAlignment="1">
      <alignment vertical="center"/>
    </xf>
    <xf numFmtId="0" fontId="12" fillId="0" borderId="19" xfId="6" applyFont="1" applyFill="1" applyBorder="1" applyAlignment="1">
      <alignment horizontal="center" vertical="center"/>
    </xf>
    <xf numFmtId="1" fontId="16" fillId="0" borderId="0" xfId="6" applyNumberFormat="1" applyFont="1" applyFill="1" applyBorder="1" applyAlignment="1">
      <alignment horizontal="center" vertical="center" wrapText="1"/>
    </xf>
    <xf numFmtId="1" fontId="14" fillId="0" borderId="0" xfId="12" applyNumberFormat="1" applyFont="1" applyFill="1" applyAlignment="1">
      <alignment vertical="center"/>
    </xf>
    <xf numFmtId="0" fontId="12" fillId="0" borderId="0" xfId="6" applyFont="1" applyFill="1" applyAlignment="1">
      <alignment horizontal="left" vertical="center"/>
    </xf>
    <xf numFmtId="0" fontId="12" fillId="0" borderId="45" xfId="6" applyFont="1" applyFill="1" applyBorder="1" applyAlignment="1">
      <alignment horizontal="center" vertical="center"/>
    </xf>
    <xf numFmtId="0" fontId="14" fillId="0" borderId="0" xfId="12" applyFont="1" applyFill="1" applyAlignment="1">
      <alignment horizontal="right"/>
    </xf>
    <xf numFmtId="0" fontId="12" fillId="0" borderId="16" xfId="6" applyFont="1" applyFill="1" applyBorder="1" applyAlignment="1">
      <alignment vertical="center"/>
    </xf>
    <xf numFmtId="0" fontId="11" fillId="0" borderId="15" xfId="6" applyFont="1" applyFill="1" applyBorder="1" applyAlignment="1">
      <alignment vertical="center"/>
    </xf>
    <xf numFmtId="0" fontId="12" fillId="0" borderId="42" xfId="6" applyFont="1" applyFill="1" applyBorder="1" applyAlignment="1">
      <alignment horizontal="center" vertical="center"/>
    </xf>
    <xf numFmtId="0" fontId="11" fillId="0" borderId="94" xfId="6" applyFont="1" applyFill="1" applyBorder="1" applyAlignment="1">
      <alignment horizontal="center" vertical="center"/>
    </xf>
    <xf numFmtId="0" fontId="11" fillId="0" borderId="21" xfId="6" applyFont="1" applyFill="1" applyBorder="1" applyAlignment="1">
      <alignment vertical="center"/>
    </xf>
    <xf numFmtId="0" fontId="11" fillId="0" borderId="16" xfId="6" applyFont="1" applyFill="1" applyBorder="1" applyAlignment="1">
      <alignment vertical="center"/>
    </xf>
    <xf numFmtId="166" fontId="11" fillId="0" borderId="2" xfId="6" applyNumberFormat="1" applyFont="1" applyFill="1" applyBorder="1" applyAlignment="1">
      <alignment horizontal="center" vertical="center"/>
    </xf>
    <xf numFmtId="166" fontId="11" fillId="0" borderId="7" xfId="6" applyNumberFormat="1" applyFont="1" applyFill="1" applyBorder="1" applyAlignment="1">
      <alignment horizontal="center" vertical="center"/>
    </xf>
    <xf numFmtId="37" fontId="25" fillId="0" borderId="0" xfId="6" applyNumberFormat="1" applyFont="1" applyFill="1" applyBorder="1" applyAlignment="1">
      <alignment horizontal="right" vertical="center"/>
    </xf>
    <xf numFmtId="166" fontId="12" fillId="0" borderId="153" xfId="6" applyNumberFormat="1" applyFont="1" applyFill="1" applyBorder="1" applyAlignment="1">
      <alignment vertical="center"/>
    </xf>
    <xf numFmtId="166" fontId="12" fillId="0" borderId="184" xfId="6" applyNumberFormat="1" applyFont="1" applyFill="1" applyBorder="1" applyAlignment="1">
      <alignment vertical="center"/>
    </xf>
    <xf numFmtId="166" fontId="12" fillId="0" borderId="48" xfId="6" applyNumberFormat="1" applyFont="1" applyFill="1" applyBorder="1" applyAlignment="1">
      <alignment vertical="center"/>
    </xf>
    <xf numFmtId="1" fontId="12" fillId="0" borderId="153" xfId="6" applyNumberFormat="1" applyFont="1" applyFill="1" applyBorder="1" applyAlignment="1">
      <alignment horizontal="left" vertical="center"/>
    </xf>
    <xf numFmtId="0" fontId="12" fillId="0" borderId="184" xfId="6" applyFont="1" applyFill="1" applyBorder="1" applyAlignment="1">
      <alignment vertical="center"/>
    </xf>
    <xf numFmtId="0" fontId="12" fillId="0" borderId="154" xfId="6" applyFont="1" applyFill="1" applyBorder="1" applyAlignment="1">
      <alignment vertical="center"/>
    </xf>
    <xf numFmtId="166" fontId="12" fillId="0" borderId="41" xfId="6" applyNumberFormat="1" applyFont="1" applyFill="1" applyBorder="1" applyAlignment="1">
      <alignment vertical="center"/>
    </xf>
    <xf numFmtId="166" fontId="11" fillId="0" borderId="58" xfId="6" applyNumberFormat="1" applyFont="1" applyFill="1" applyBorder="1" applyAlignment="1">
      <alignment horizontal="center" vertical="center"/>
    </xf>
    <xf numFmtId="0" fontId="27" fillId="0" borderId="0" xfId="6" applyFont="1" applyFill="1" applyAlignment="1">
      <alignment horizontal="center" vertical="center"/>
    </xf>
    <xf numFmtId="1" fontId="21" fillId="0" borderId="0" xfId="6" applyNumberFormat="1" applyFont="1" applyFill="1" applyAlignment="1">
      <alignment horizontal="center" vertical="center"/>
    </xf>
    <xf numFmtId="0" fontId="21" fillId="0" borderId="0" xfId="6" applyFont="1" applyFill="1" applyAlignment="1">
      <alignment horizontal="center" vertical="center"/>
    </xf>
    <xf numFmtId="166" fontId="12" fillId="0" borderId="26" xfId="6" applyNumberFormat="1" applyFont="1" applyFill="1" applyBorder="1" applyAlignment="1">
      <alignment horizontal="center" vertical="center"/>
    </xf>
    <xf numFmtId="166" fontId="12" fillId="0" borderId="28" xfId="6" applyNumberFormat="1" applyFont="1" applyFill="1" applyBorder="1" applyAlignment="1">
      <alignment horizontal="center" vertical="center"/>
    </xf>
    <xf numFmtId="0" fontId="12" fillId="0" borderId="55" xfId="6" applyFont="1" applyFill="1" applyBorder="1" applyAlignment="1">
      <alignment horizontal="center" vertical="center"/>
    </xf>
    <xf numFmtId="0" fontId="22" fillId="0" borderId="95" xfId="6" applyFont="1" applyFill="1" applyBorder="1" applyAlignment="1">
      <alignment vertical="center"/>
    </xf>
    <xf numFmtId="0" fontId="22" fillId="0" borderId="31" xfId="6" applyFont="1" applyFill="1" applyBorder="1" applyAlignment="1">
      <alignment vertical="center"/>
    </xf>
    <xf numFmtId="0" fontId="22" fillId="0" borderId="31" xfId="6" applyFont="1" applyFill="1" applyBorder="1" applyAlignment="1">
      <alignment horizontal="center" vertical="center"/>
    </xf>
    <xf numFmtId="0" fontId="21" fillId="0" borderId="27" xfId="6" applyNumberFormat="1" applyFont="1" applyFill="1" applyBorder="1" applyAlignment="1">
      <alignment horizontal="center" vertical="center"/>
    </xf>
    <xf numFmtId="0" fontId="21" fillId="0" borderId="29" xfId="6" applyNumberFormat="1" applyFont="1" applyFill="1" applyBorder="1" applyAlignment="1">
      <alignment horizontal="center" vertical="center"/>
    </xf>
    <xf numFmtId="0" fontId="21" fillId="0" borderId="0" xfId="6" applyFont="1" applyFill="1" applyBorder="1" applyAlignment="1">
      <alignment horizontal="left" vertical="center"/>
    </xf>
    <xf numFmtId="0" fontId="24" fillId="0" borderId="0" xfId="12" applyFont="1" applyFill="1" applyAlignment="1">
      <alignment horizontal="right"/>
    </xf>
    <xf numFmtId="1" fontId="12" fillId="0" borderId="153" xfId="6" applyNumberFormat="1" applyFont="1" applyFill="1" applyBorder="1" applyAlignment="1">
      <alignment vertical="center"/>
    </xf>
    <xf numFmtId="0" fontId="12" fillId="0" borderId="51" xfId="6" applyFont="1" applyFill="1" applyBorder="1" applyAlignment="1">
      <alignment horizontal="center" vertical="center"/>
    </xf>
    <xf numFmtId="0" fontId="12" fillId="0" borderId="0" xfId="6" applyNumberFormat="1" applyFont="1" applyFill="1" applyAlignment="1">
      <alignment horizontal="center" vertical="center"/>
    </xf>
    <xf numFmtId="0" fontId="16" fillId="0" borderId="0" xfId="6" applyNumberFormat="1" applyFont="1" applyFill="1" applyBorder="1" applyAlignment="1">
      <alignment horizontal="center" vertical="center" wrapText="1"/>
    </xf>
    <xf numFmtId="0" fontId="19" fillId="0" borderId="0" xfId="6" applyNumberFormat="1" applyFont="1" applyFill="1" applyBorder="1" applyAlignment="1">
      <alignment horizontal="center" vertical="center"/>
    </xf>
    <xf numFmtId="0" fontId="19" fillId="0" borderId="0" xfId="6" applyFont="1" applyFill="1" applyBorder="1" applyAlignment="1">
      <alignment horizontal="center" vertical="center"/>
    </xf>
    <xf numFmtId="0" fontId="21" fillId="0" borderId="0" xfId="6" applyFont="1" applyFill="1" applyAlignment="1">
      <alignment horizontal="left" vertical="center"/>
    </xf>
    <xf numFmtId="0" fontId="53" fillId="0" borderId="0" xfId="6" applyFont="1" applyFill="1" applyAlignment="1">
      <alignment vertical="center"/>
    </xf>
    <xf numFmtId="166" fontId="11" fillId="0" borderId="40" xfId="6" applyNumberFormat="1" applyFont="1" applyFill="1" applyBorder="1" applyAlignment="1">
      <alignment horizontal="center" vertical="center"/>
    </xf>
    <xf numFmtId="1" fontId="11" fillId="0" borderId="40" xfId="6" applyNumberFormat="1" applyFont="1" applyFill="1" applyBorder="1" applyAlignment="1">
      <alignment horizontal="right" vertical="center"/>
    </xf>
    <xf numFmtId="1" fontId="11" fillId="0" borderId="19" xfId="6" applyNumberFormat="1" applyFont="1" applyFill="1" applyBorder="1" applyAlignment="1">
      <alignment horizontal="center" vertical="center"/>
    </xf>
    <xf numFmtId="0" fontId="12" fillId="0" borderId="107" xfId="6" applyFont="1" applyFill="1" applyBorder="1" applyAlignment="1">
      <alignment vertical="center"/>
    </xf>
    <xf numFmtId="0" fontId="12" fillId="0" borderId="48" xfId="6" applyFont="1" applyFill="1" applyBorder="1" applyAlignment="1">
      <alignment vertical="center"/>
    </xf>
    <xf numFmtId="1" fontId="12" fillId="0" borderId="12" xfId="6" applyNumberFormat="1" applyFont="1" applyFill="1" applyBorder="1" applyAlignment="1">
      <alignment horizontal="center" vertical="center"/>
    </xf>
    <xf numFmtId="1" fontId="11" fillId="0" borderId="51" xfId="6" applyNumberFormat="1" applyFont="1" applyFill="1" applyBorder="1" applyAlignment="1">
      <alignment horizontal="center" vertical="center"/>
    </xf>
    <xf numFmtId="0" fontId="11" fillId="0" borderId="17" xfId="6" applyFont="1" applyFill="1" applyBorder="1" applyAlignment="1">
      <alignment horizontal="center" vertical="center"/>
    </xf>
    <xf numFmtId="1" fontId="11" fillId="0" borderId="58" xfId="6" applyNumberFormat="1" applyFont="1" applyFill="1" applyBorder="1" applyAlignment="1">
      <alignment horizontal="center" vertical="center"/>
    </xf>
    <xf numFmtId="1" fontId="11" fillId="0" borderId="383" xfId="6" applyNumberFormat="1" applyFont="1" applyFill="1" applyBorder="1" applyAlignment="1">
      <alignment horizontal="center" vertical="center"/>
    </xf>
    <xf numFmtId="0" fontId="12" fillId="12" borderId="546" xfId="6" applyFont="1" applyFill="1" applyBorder="1" applyAlignment="1">
      <alignment horizontal="center" vertical="center"/>
    </xf>
    <xf numFmtId="0" fontId="12" fillId="12" borderId="505" xfId="6" applyFont="1" applyFill="1" applyBorder="1" applyAlignment="1">
      <alignment horizontal="center" vertical="center"/>
    </xf>
    <xf numFmtId="0" fontId="12" fillId="12" borderId="673" xfId="6" applyFont="1" applyFill="1" applyBorder="1" applyAlignment="1">
      <alignment horizontal="center" vertical="center"/>
    </xf>
    <xf numFmtId="0" fontId="12" fillId="12" borderId="674" xfId="6" applyFont="1" applyFill="1" applyBorder="1" applyAlignment="1">
      <alignment horizontal="center" vertical="center"/>
    </xf>
    <xf numFmtId="0" fontId="12" fillId="12" borderId="481" xfId="6" applyFont="1" applyFill="1" applyBorder="1" applyAlignment="1">
      <alignment horizontal="center" vertical="center"/>
    </xf>
    <xf numFmtId="0" fontId="12" fillId="12" borderId="469" xfId="6" applyFont="1" applyFill="1" applyBorder="1" applyAlignment="1">
      <alignment horizontal="center" vertical="center"/>
    </xf>
    <xf numFmtId="0" fontId="12" fillId="12" borderId="470" xfId="6" applyFont="1" applyFill="1" applyBorder="1" applyAlignment="1">
      <alignment horizontal="center" vertical="center"/>
    </xf>
    <xf numFmtId="0" fontId="12" fillId="12" borderId="675" xfId="6" applyFont="1" applyFill="1" applyBorder="1" applyAlignment="1">
      <alignment horizontal="center" vertical="center"/>
    </xf>
    <xf numFmtId="0" fontId="12" fillId="12" borderId="676" xfId="6" applyFont="1" applyFill="1" applyBorder="1" applyAlignment="1">
      <alignment horizontal="center" vertical="center"/>
    </xf>
    <xf numFmtId="0" fontId="12" fillId="12" borderId="677" xfId="6" applyFont="1" applyFill="1" applyBorder="1" applyAlignment="1">
      <alignment horizontal="center" vertical="center"/>
    </xf>
    <xf numFmtId="0" fontId="12" fillId="12" borderId="678" xfId="6" applyFont="1" applyFill="1" applyBorder="1" applyAlignment="1">
      <alignment horizontal="center" vertical="center"/>
    </xf>
    <xf numFmtId="0" fontId="12" fillId="12" borderId="679" xfId="6" applyFont="1" applyFill="1" applyBorder="1" applyAlignment="1">
      <alignment horizontal="center" vertical="center"/>
    </xf>
    <xf numFmtId="0" fontId="21" fillId="0" borderId="0" xfId="0" applyFont="1" applyFill="1" applyBorder="1" applyAlignment="1" applyProtection="1">
      <alignment horizontal="center" vertical="center"/>
    </xf>
    <xf numFmtId="2" fontId="21" fillId="0" borderId="0" xfId="0" applyNumberFormat="1" applyFont="1" applyFill="1" applyBorder="1" applyAlignment="1" applyProtection="1">
      <alignment horizontal="center" vertical="center"/>
    </xf>
    <xf numFmtId="0" fontId="11" fillId="0" borderId="93" xfId="6" applyFont="1" applyFill="1" applyBorder="1" applyAlignment="1">
      <alignment vertical="center"/>
    </xf>
    <xf numFmtId="0" fontId="21" fillId="0" borderId="0" xfId="6" applyNumberFormat="1" applyFont="1" applyFill="1" applyAlignment="1">
      <alignment vertical="center"/>
    </xf>
    <xf numFmtId="0" fontId="21" fillId="0" borderId="38" xfId="6" applyFont="1" applyFill="1" applyBorder="1" applyAlignment="1">
      <alignment vertical="center"/>
    </xf>
    <xf numFmtId="0" fontId="21" fillId="0" borderId="47" xfId="6" applyFont="1" applyFill="1" applyBorder="1" applyAlignment="1">
      <alignment vertical="center"/>
    </xf>
    <xf numFmtId="0" fontId="21" fillId="0" borderId="52" xfId="6" applyFont="1" applyFill="1" applyBorder="1" applyAlignment="1">
      <alignment vertical="center"/>
    </xf>
    <xf numFmtId="0" fontId="22" fillId="0" borderId="10" xfId="6" applyFont="1" applyFill="1" applyBorder="1" applyAlignment="1">
      <alignment vertical="center"/>
    </xf>
    <xf numFmtId="37" fontId="16" fillId="0" borderId="0" xfId="6" applyNumberFormat="1" applyFont="1" applyFill="1" applyBorder="1" applyAlignment="1">
      <alignment horizontal="center" vertical="center"/>
    </xf>
    <xf numFmtId="0" fontId="12" fillId="0" borderId="0" xfId="0" applyFont="1" applyFill="1" applyAlignment="1">
      <alignment horizontal="right" vertical="center"/>
    </xf>
    <xf numFmtId="1" fontId="12" fillId="0" borderId="0" xfId="0" applyNumberFormat="1" applyFont="1" applyFill="1" applyAlignment="1">
      <alignment vertical="center"/>
    </xf>
    <xf numFmtId="37" fontId="11" fillId="0" borderId="458" xfId="0" applyNumberFormat="1" applyFont="1" applyFill="1" applyBorder="1" applyAlignment="1">
      <alignment horizontal="center"/>
    </xf>
    <xf numFmtId="37" fontId="11" fillId="0" borderId="460" xfId="0" applyNumberFormat="1" applyFont="1" applyFill="1" applyBorder="1" applyAlignment="1">
      <alignment horizontal="center"/>
    </xf>
    <xf numFmtId="37" fontId="11" fillId="0" borderId="44" xfId="0" applyNumberFormat="1" applyFont="1" applyFill="1" applyBorder="1" applyAlignment="1">
      <alignment horizontal="center" vertical="center"/>
    </xf>
    <xf numFmtId="37" fontId="11" fillId="0" borderId="680" xfId="10" applyNumberFormat="1" applyFont="1" applyFill="1" applyBorder="1" applyAlignment="1">
      <alignment horizontal="center" vertical="center"/>
    </xf>
    <xf numFmtId="37" fontId="11" fillId="0" borderId="530" xfId="0" applyNumberFormat="1" applyFont="1" applyFill="1" applyBorder="1" applyAlignment="1">
      <alignment horizontal="center"/>
    </xf>
    <xf numFmtId="37" fontId="11" fillId="0" borderId="26" xfId="0" applyNumberFormat="1" applyFont="1" applyFill="1" applyBorder="1" applyAlignment="1">
      <alignment horizontal="center" vertical="center"/>
    </xf>
    <xf numFmtId="0" fontId="36" fillId="0" borderId="0" xfId="12" applyFont="1" applyFill="1" applyAlignment="1">
      <alignment vertical="center"/>
    </xf>
    <xf numFmtId="37" fontId="16" fillId="0" borderId="5" xfId="6" applyNumberFormat="1" applyFont="1" applyFill="1" applyBorder="1" applyAlignment="1">
      <alignment horizontal="center" vertical="center"/>
    </xf>
    <xf numFmtId="0" fontId="13" fillId="0" borderId="0" xfId="0" applyFont="1" applyFill="1" applyAlignment="1">
      <alignment horizontal="left" vertical="center"/>
    </xf>
    <xf numFmtId="37" fontId="60" fillId="0" borderId="0" xfId="0" applyNumberFormat="1" applyFont="1" applyFill="1" applyAlignment="1">
      <alignment vertical="center"/>
    </xf>
    <xf numFmtId="37" fontId="59" fillId="0" borderId="0" xfId="12" applyNumberFormat="1" applyFont="1" applyFill="1" applyAlignment="1">
      <alignment vertical="center"/>
    </xf>
    <xf numFmtId="0" fontId="14" fillId="0" borderId="0" xfId="12" applyFont="1" applyFill="1" applyBorder="1" applyAlignment="1">
      <alignment vertical="center"/>
    </xf>
    <xf numFmtId="1" fontId="14" fillId="10" borderId="2" xfId="12" applyNumberFormat="1" applyFont="1" applyFill="1" applyBorder="1" applyAlignment="1">
      <alignment horizontal="center" vertical="center"/>
    </xf>
    <xf numFmtId="37" fontId="65" fillId="0" borderId="0" xfId="6" applyNumberFormat="1" applyFont="1" applyFill="1" applyBorder="1" applyAlignment="1">
      <alignment horizontal="center" vertical="center" wrapText="1"/>
    </xf>
    <xf numFmtId="0" fontId="12" fillId="0" borderId="38" xfId="0" applyFont="1" applyFill="1" applyBorder="1" applyAlignment="1">
      <alignment horizontal="left" vertical="center"/>
    </xf>
    <xf numFmtId="0" fontId="12" fillId="0" borderId="47" xfId="0" applyFont="1" applyFill="1" applyBorder="1" applyAlignment="1">
      <alignment horizontal="left" vertical="center"/>
    </xf>
    <xf numFmtId="0" fontId="12" fillId="0" borderId="52" xfId="0" applyFont="1" applyFill="1" applyBorder="1" applyAlignment="1">
      <alignment horizontal="left" vertical="center"/>
    </xf>
    <xf numFmtId="37" fontId="11" fillId="0" borderId="19" xfId="0" applyNumberFormat="1" applyFont="1" applyFill="1" applyBorder="1" applyAlignment="1">
      <alignment horizontal="center" vertical="center"/>
    </xf>
    <xf numFmtId="0" fontId="12" fillId="0" borderId="5" xfId="0" applyFont="1" applyFill="1" applyBorder="1" applyAlignment="1">
      <alignment horizontal="center" vertical="center"/>
    </xf>
    <xf numFmtId="37" fontId="11" fillId="0" borderId="22" xfId="0" applyNumberFormat="1" applyFont="1" applyFill="1" applyBorder="1" applyAlignment="1">
      <alignment vertical="center"/>
    </xf>
    <xf numFmtId="37" fontId="12" fillId="0" borderId="45" xfId="0" applyNumberFormat="1" applyFont="1" applyFill="1" applyBorder="1" applyAlignment="1">
      <alignment vertical="center"/>
    </xf>
    <xf numFmtId="37" fontId="12" fillId="0" borderId="0" xfId="0" applyNumberFormat="1" applyFont="1" applyFill="1" applyAlignment="1">
      <alignment horizontal="right" vertical="center"/>
    </xf>
    <xf numFmtId="0" fontId="12" fillId="0" borderId="44" xfId="0" applyFont="1" applyFill="1" applyBorder="1" applyAlignment="1">
      <alignment vertical="center"/>
    </xf>
    <xf numFmtId="37" fontId="12" fillId="0" borderId="0" xfId="0" applyNumberFormat="1" applyFont="1" applyFill="1" applyBorder="1" applyAlignment="1">
      <alignment horizontal="right" vertical="center"/>
    </xf>
    <xf numFmtId="37" fontId="63" fillId="0" borderId="0" xfId="0" applyNumberFormat="1" applyFont="1" applyFill="1" applyAlignment="1">
      <alignment vertical="center"/>
    </xf>
    <xf numFmtId="37" fontId="12" fillId="0" borderId="560" xfId="0" applyNumberFormat="1" applyFont="1" applyFill="1" applyBorder="1" applyAlignment="1">
      <alignment vertical="center"/>
    </xf>
    <xf numFmtId="37" fontId="12" fillId="0" borderId="567" xfId="0" applyNumberFormat="1" applyFont="1" applyFill="1" applyBorder="1" applyAlignment="1">
      <alignment vertical="center"/>
    </xf>
    <xf numFmtId="37" fontId="12" fillId="0" borderId="568" xfId="0" applyNumberFormat="1" applyFont="1" applyFill="1" applyBorder="1" applyAlignment="1">
      <alignment vertical="center"/>
    </xf>
    <xf numFmtId="37" fontId="12" fillId="0" borderId="569" xfId="0" applyNumberFormat="1" applyFont="1" applyFill="1" applyBorder="1" applyAlignment="1">
      <alignment vertical="center"/>
    </xf>
    <xf numFmtId="1" fontId="12" fillId="0" borderId="20" xfId="10" applyNumberFormat="1" applyFont="1" applyFill="1" applyBorder="1" applyAlignment="1">
      <alignment horizontal="center" vertical="center"/>
    </xf>
    <xf numFmtId="37" fontId="19" fillId="0" borderId="20" xfId="6" applyNumberFormat="1" applyFont="1" applyFill="1" applyBorder="1" applyAlignment="1">
      <alignment horizontal="center" vertical="center" wrapText="1"/>
    </xf>
    <xf numFmtId="1" fontId="14" fillId="0" borderId="0" xfId="12" applyNumberFormat="1" applyFont="1" applyFill="1" applyBorder="1" applyAlignment="1">
      <alignment horizontal="center" vertical="center"/>
    </xf>
    <xf numFmtId="37" fontId="19" fillId="0" borderId="0" xfId="6" applyNumberFormat="1" applyFont="1" applyFill="1" applyBorder="1" applyAlignment="1">
      <alignment horizontal="center" vertical="center" wrapText="1"/>
    </xf>
    <xf numFmtId="1" fontId="9" fillId="0" borderId="0" xfId="12" applyNumberFormat="1" applyFill="1" applyBorder="1" applyAlignment="1">
      <alignment horizontal="center" vertical="center"/>
    </xf>
    <xf numFmtId="0" fontId="11" fillId="0" borderId="0" xfId="0" applyFont="1" applyFill="1" applyAlignment="1">
      <alignment vertical="center"/>
    </xf>
    <xf numFmtId="37" fontId="11" fillId="0" borderId="0" xfId="0" applyNumberFormat="1" applyFont="1" applyFill="1" applyAlignment="1">
      <alignment horizontal="center" vertical="center"/>
    </xf>
    <xf numFmtId="37" fontId="12" fillId="0" borderId="22" xfId="0" applyNumberFormat="1" applyFont="1" applyFill="1" applyBorder="1" applyAlignment="1">
      <alignment horizontal="center"/>
    </xf>
    <xf numFmtId="39" fontId="12" fillId="0" borderId="22" xfId="0" applyNumberFormat="1" applyFont="1" applyFill="1" applyBorder="1" applyAlignment="1">
      <alignment horizontal="center"/>
    </xf>
    <xf numFmtId="37" fontId="11" fillId="0" borderId="18" xfId="10" applyNumberFormat="1" applyFont="1" applyFill="1" applyBorder="1" applyAlignment="1">
      <alignment horizontal="center" vertical="center" wrapText="1"/>
    </xf>
    <xf numFmtId="37" fontId="11" fillId="0" borderId="116" xfId="0" applyNumberFormat="1" applyFont="1" applyFill="1" applyBorder="1" applyAlignment="1">
      <alignment horizontal="center" vertical="center"/>
    </xf>
    <xf numFmtId="39" fontId="12" fillId="0" borderId="116" xfId="0" applyNumberFormat="1" applyFont="1" applyFill="1" applyBorder="1" applyAlignment="1">
      <alignment horizontal="center" vertical="center"/>
    </xf>
    <xf numFmtId="170" fontId="11" fillId="0" borderId="116" xfId="0" applyNumberFormat="1" applyFont="1" applyFill="1" applyBorder="1" applyAlignment="1">
      <alignment horizontal="center" vertical="center"/>
    </xf>
    <xf numFmtId="37" fontId="11" fillId="0" borderId="117" xfId="0" applyNumberFormat="1" applyFont="1" applyFill="1" applyBorder="1" applyAlignment="1">
      <alignment horizontal="center" vertical="center"/>
    </xf>
    <xf numFmtId="37" fontId="11" fillId="0" borderId="464" xfId="0" applyNumberFormat="1" applyFont="1" applyFill="1" applyBorder="1" applyAlignment="1">
      <alignment horizontal="center"/>
    </xf>
    <xf numFmtId="37" fontId="11" fillId="0" borderId="16" xfId="0" applyNumberFormat="1" applyFont="1" applyFill="1" applyBorder="1" applyAlignment="1">
      <alignment horizontal="left"/>
    </xf>
    <xf numFmtId="0" fontId="11" fillId="0" borderId="0" xfId="10" applyFont="1" applyFill="1" applyBorder="1" applyAlignment="1">
      <alignment vertical="center"/>
    </xf>
    <xf numFmtId="0" fontId="22" fillId="0" borderId="0" xfId="0" applyFont="1" applyFill="1" applyAlignment="1">
      <alignment vertical="center"/>
    </xf>
    <xf numFmtId="1" fontId="11" fillId="0" borderId="0" xfId="0" applyNumberFormat="1" applyFont="1" applyFill="1" applyAlignment="1">
      <alignment horizontal="left" vertical="center"/>
    </xf>
    <xf numFmtId="37" fontId="66" fillId="0" borderId="2" xfId="6" applyNumberFormat="1" applyFont="1" applyFill="1" applyBorder="1" applyAlignment="1">
      <alignment horizontal="center" vertical="center" wrapText="1"/>
    </xf>
    <xf numFmtId="37" fontId="66" fillId="0" borderId="22" xfId="6" applyNumberFormat="1" applyFont="1" applyFill="1" applyBorder="1" applyAlignment="1">
      <alignment horizontal="center" vertical="center" wrapText="1"/>
    </xf>
    <xf numFmtId="1" fontId="12" fillId="0" borderId="0" xfId="0" applyNumberFormat="1" applyFont="1" applyFill="1" applyBorder="1" applyAlignment="1">
      <alignment horizontal="left"/>
    </xf>
    <xf numFmtId="37" fontId="11" fillId="21" borderId="51" xfId="0" applyNumberFormat="1" applyFont="1" applyFill="1" applyBorder="1" applyAlignment="1">
      <alignment horizontal="center" vertical="center"/>
    </xf>
    <xf numFmtId="37" fontId="11" fillId="21" borderId="40" xfId="0" applyNumberFormat="1" applyFont="1" applyFill="1" applyBorder="1" applyAlignment="1">
      <alignment horizontal="center" vertical="center"/>
    </xf>
    <xf numFmtId="0" fontId="14" fillId="0" borderId="0" xfId="12" applyFont="1" applyBorder="1" applyAlignment="1">
      <alignment vertical="center"/>
    </xf>
    <xf numFmtId="37" fontId="11" fillId="12" borderId="682" xfId="0" applyNumberFormat="1" applyFont="1" applyFill="1" applyBorder="1" applyAlignment="1">
      <alignment horizontal="center"/>
    </xf>
    <xf numFmtId="37" fontId="11" fillId="12" borderId="684" xfId="0" applyNumberFormat="1" applyFont="1" applyFill="1" applyBorder="1" applyAlignment="1">
      <alignment horizontal="center"/>
    </xf>
    <xf numFmtId="37" fontId="63" fillId="0" borderId="0" xfId="0" applyNumberFormat="1" applyFont="1" applyFill="1" applyBorder="1" applyAlignment="1">
      <alignment vertical="center"/>
    </xf>
    <xf numFmtId="1" fontId="11" fillId="0" borderId="0" xfId="6" applyNumberFormat="1" applyFont="1" applyFill="1" applyBorder="1" applyAlignment="1">
      <alignment horizontal="center" vertical="center" wrapText="1"/>
    </xf>
    <xf numFmtId="0" fontId="12" fillId="0" borderId="0" xfId="0" applyNumberFormat="1" applyFont="1" applyFill="1" applyAlignment="1">
      <alignment vertical="center"/>
    </xf>
    <xf numFmtId="37" fontId="11" fillId="0" borderId="0" xfId="6" applyNumberFormat="1" applyFont="1" applyFill="1" applyBorder="1" applyAlignment="1">
      <alignment horizontal="center" vertical="center" wrapText="1"/>
    </xf>
    <xf numFmtId="37" fontId="11" fillId="0" borderId="680" xfId="6" applyNumberFormat="1" applyFont="1" applyFill="1" applyBorder="1" applyAlignment="1">
      <alignment horizontal="center" vertical="center"/>
    </xf>
    <xf numFmtId="0" fontId="13" fillId="8" borderId="0" xfId="0" applyFont="1" applyFill="1" applyAlignment="1">
      <alignment vertical="center"/>
    </xf>
    <xf numFmtId="37" fontId="12" fillId="8" borderId="0" xfId="0" applyNumberFormat="1" applyFont="1" applyFill="1" applyAlignment="1">
      <alignment vertical="center"/>
    </xf>
    <xf numFmtId="37" fontId="12" fillId="8" borderId="0" xfId="0" applyNumberFormat="1" applyFont="1" applyFill="1" applyBorder="1" applyAlignment="1">
      <alignment vertical="center"/>
    </xf>
    <xf numFmtId="0" fontId="12" fillId="8" borderId="0" xfId="0" applyFont="1" applyFill="1" applyAlignment="1">
      <alignment vertical="center"/>
    </xf>
    <xf numFmtId="0" fontId="12" fillId="4" borderId="0" xfId="0" applyFont="1" applyFill="1" applyAlignment="1">
      <alignment horizontal="left" vertical="center"/>
    </xf>
    <xf numFmtId="37" fontId="12" fillId="4" borderId="0" xfId="0" applyNumberFormat="1" applyFont="1" applyFill="1" applyAlignment="1">
      <alignment vertical="center"/>
    </xf>
    <xf numFmtId="37" fontId="12" fillId="4" borderId="0" xfId="0" applyNumberFormat="1" applyFont="1" applyFill="1" applyBorder="1" applyAlignment="1">
      <alignment vertical="center"/>
    </xf>
    <xf numFmtId="0" fontId="11" fillId="8" borderId="0" xfId="0" applyFont="1" applyFill="1" applyAlignment="1">
      <alignment horizontal="left" vertical="center"/>
    </xf>
    <xf numFmtId="37" fontId="12" fillId="4" borderId="561" xfId="0" applyNumberFormat="1" applyFont="1" applyFill="1" applyBorder="1" applyAlignment="1">
      <alignment vertical="center"/>
    </xf>
    <xf numFmtId="9" fontId="12" fillId="0" borderId="562" xfId="7" applyFont="1" applyFill="1" applyBorder="1" applyAlignment="1">
      <alignment vertical="center"/>
    </xf>
    <xf numFmtId="37" fontId="12" fillId="4" borderId="0" xfId="0" applyNumberFormat="1" applyFont="1" applyFill="1" applyAlignment="1">
      <alignment horizontal="left" vertical="center"/>
    </xf>
    <xf numFmtId="0" fontId="12" fillId="0" borderId="560" xfId="0" applyFont="1" applyFill="1" applyBorder="1" applyAlignment="1">
      <alignment horizontal="left" vertical="center"/>
    </xf>
    <xf numFmtId="0" fontId="12" fillId="0" borderId="685" xfId="0" applyFont="1" applyFill="1" applyBorder="1" applyAlignment="1">
      <alignment vertical="center"/>
    </xf>
    <xf numFmtId="1" fontId="12" fillId="0" borderId="686" xfId="0" applyNumberFormat="1" applyFont="1" applyFill="1" applyBorder="1" applyAlignment="1">
      <alignment horizontal="left" vertical="center"/>
    </xf>
    <xf numFmtId="0" fontId="12" fillId="0" borderId="687" xfId="0" applyFont="1" applyFill="1" applyBorder="1" applyAlignment="1">
      <alignment vertical="center"/>
    </xf>
    <xf numFmtId="1" fontId="12" fillId="0" borderId="688" xfId="0" applyNumberFormat="1" applyFont="1" applyFill="1" applyBorder="1" applyAlignment="1">
      <alignment horizontal="left" vertical="center"/>
    </xf>
    <xf numFmtId="1" fontId="12" fillId="0" borderId="689" xfId="0" applyNumberFormat="1" applyFont="1" applyFill="1" applyBorder="1" applyAlignment="1">
      <alignment horizontal="left" vertical="center"/>
    </xf>
    <xf numFmtId="37" fontId="12" fillId="0" borderId="689" xfId="0" applyNumberFormat="1" applyFont="1" applyFill="1" applyBorder="1" applyAlignment="1">
      <alignment vertical="center"/>
    </xf>
    <xf numFmtId="0" fontId="12" fillId="0" borderId="690" xfId="0" applyFont="1" applyFill="1" applyBorder="1" applyAlignment="1">
      <alignment vertical="center"/>
    </xf>
    <xf numFmtId="0" fontId="12" fillId="4" borderId="560" xfId="0" applyFont="1" applyFill="1" applyBorder="1" applyAlignment="1">
      <alignment horizontal="left" vertical="center"/>
    </xf>
    <xf numFmtId="0" fontId="12" fillId="0" borderId="693" xfId="0" applyFont="1" applyFill="1" applyBorder="1" applyAlignment="1">
      <alignment vertical="center"/>
    </xf>
    <xf numFmtId="0" fontId="12" fillId="0" borderId="562" xfId="0" applyFont="1" applyFill="1" applyBorder="1" applyAlignment="1">
      <alignment horizontal="left" vertical="center"/>
    </xf>
    <xf numFmtId="0" fontId="12" fillId="0" borderId="686" xfId="0" applyFont="1" applyFill="1" applyBorder="1" applyAlignment="1">
      <alignment horizontal="left" vertical="center"/>
    </xf>
    <xf numFmtId="0" fontId="12" fillId="0" borderId="565" xfId="0" applyFont="1" applyFill="1" applyBorder="1" applyAlignment="1">
      <alignment horizontal="left" vertical="center"/>
    </xf>
    <xf numFmtId="37" fontId="21" fillId="0" borderId="566" xfId="0" applyNumberFormat="1" applyFont="1" applyFill="1" applyBorder="1" applyAlignment="1">
      <alignment vertical="center"/>
    </xf>
    <xf numFmtId="37" fontId="63" fillId="0" borderId="566" xfId="0" applyNumberFormat="1" applyFont="1" applyFill="1" applyBorder="1" applyAlignment="1">
      <alignment vertical="center"/>
    </xf>
    <xf numFmtId="37" fontId="12" fillId="0" borderId="685" xfId="0" applyNumberFormat="1" applyFont="1" applyFill="1" applyBorder="1" applyAlignment="1">
      <alignment vertical="center"/>
    </xf>
    <xf numFmtId="37" fontId="12" fillId="0" borderId="687" xfId="0" applyNumberFormat="1" applyFont="1" applyFill="1" applyBorder="1" applyAlignment="1">
      <alignment vertical="center"/>
    </xf>
    <xf numFmtId="37" fontId="12" fillId="0" borderId="694" xfId="0" applyNumberFormat="1" applyFont="1" applyFill="1" applyBorder="1" applyAlignment="1">
      <alignment vertical="center"/>
    </xf>
    <xf numFmtId="37" fontId="12" fillId="0" borderId="690" xfId="0" applyNumberFormat="1" applyFont="1" applyFill="1" applyBorder="1" applyAlignment="1">
      <alignment vertical="center"/>
    </xf>
    <xf numFmtId="37" fontId="12" fillId="4" borderId="691" xfId="0" applyNumberFormat="1" applyFont="1" applyFill="1" applyBorder="1" applyAlignment="1">
      <alignment horizontal="left" vertical="center"/>
    </xf>
    <xf numFmtId="37" fontId="12" fillId="4" borderId="692" xfId="0" applyNumberFormat="1" applyFont="1" applyFill="1" applyBorder="1" applyAlignment="1">
      <alignment vertical="center"/>
    </xf>
    <xf numFmtId="37" fontId="12" fillId="4" borderId="691" xfId="0" applyNumberFormat="1" applyFont="1" applyFill="1" applyBorder="1" applyAlignment="1">
      <alignment vertical="center"/>
    </xf>
    <xf numFmtId="37" fontId="12" fillId="4" borderId="692" xfId="0" applyNumberFormat="1" applyFont="1" applyFill="1" applyBorder="1" applyAlignment="1">
      <alignment horizontal="left" vertical="center"/>
    </xf>
    <xf numFmtId="0" fontId="12" fillId="4" borderId="692" xfId="0" applyFont="1" applyFill="1" applyBorder="1" applyAlignment="1">
      <alignment vertical="center"/>
    </xf>
    <xf numFmtId="37" fontId="67" fillId="0" borderId="0" xfId="0" applyNumberFormat="1" applyFont="1" applyFill="1" applyBorder="1" applyAlignment="1">
      <alignment vertical="center"/>
    </xf>
    <xf numFmtId="37" fontId="22" fillId="0" borderId="0" xfId="0" applyNumberFormat="1" applyFont="1" applyFill="1" applyBorder="1" applyAlignment="1">
      <alignment vertical="center"/>
    </xf>
    <xf numFmtId="37" fontId="11" fillId="0" borderId="20" xfId="0" applyNumberFormat="1" applyFont="1" applyFill="1" applyBorder="1" applyAlignment="1">
      <alignment vertical="center"/>
    </xf>
    <xf numFmtId="0" fontId="12" fillId="0" borderId="562" xfId="0" applyFont="1" applyFill="1" applyBorder="1" applyAlignment="1">
      <alignment vertical="center"/>
    </xf>
    <xf numFmtId="0" fontId="11" fillId="6" borderId="0" xfId="0" applyFont="1" applyFill="1" applyAlignment="1">
      <alignment horizontal="left" vertical="center"/>
    </xf>
    <xf numFmtId="37" fontId="11" fillId="6" borderId="0" xfId="0" applyNumberFormat="1" applyFont="1" applyFill="1" applyAlignment="1">
      <alignment vertical="center"/>
    </xf>
    <xf numFmtId="37" fontId="11" fillId="6" borderId="0" xfId="0" applyNumberFormat="1" applyFont="1" applyFill="1" applyBorder="1" applyAlignment="1">
      <alignment vertical="center"/>
    </xf>
    <xf numFmtId="0" fontId="11" fillId="6" borderId="0" xfId="0" applyFont="1" applyFill="1" applyAlignment="1">
      <alignment vertical="center"/>
    </xf>
    <xf numFmtId="1" fontId="12" fillId="0" borderId="695" xfId="0" applyNumberFormat="1" applyFont="1" applyFill="1" applyBorder="1" applyAlignment="1">
      <alignment horizontal="left" vertical="center"/>
    </xf>
    <xf numFmtId="37" fontId="12" fillId="0" borderId="696" xfId="0" applyNumberFormat="1" applyFont="1" applyFill="1" applyBorder="1" applyAlignment="1">
      <alignment horizontal="center" vertical="center"/>
    </xf>
    <xf numFmtId="37" fontId="12" fillId="0" borderId="694" xfId="0" applyNumberFormat="1" applyFont="1" applyFill="1" applyBorder="1" applyAlignment="1">
      <alignment horizontal="center" vertical="center"/>
    </xf>
    <xf numFmtId="1" fontId="12" fillId="0" borderId="697" xfId="0" applyNumberFormat="1" applyFont="1" applyFill="1" applyBorder="1" applyAlignment="1">
      <alignment horizontal="left" vertical="center"/>
    </xf>
    <xf numFmtId="37" fontId="12" fillId="0" borderId="698" xfId="0" applyNumberFormat="1" applyFont="1" applyFill="1" applyBorder="1" applyAlignment="1">
      <alignment horizontal="center" vertical="center"/>
    </xf>
    <xf numFmtId="1" fontId="12" fillId="0" borderId="699" xfId="0" applyNumberFormat="1" applyFont="1" applyFill="1" applyBorder="1" applyAlignment="1">
      <alignment horizontal="center" vertical="center"/>
    </xf>
    <xf numFmtId="37" fontId="12" fillId="0" borderId="689" xfId="0" applyNumberFormat="1" applyFont="1" applyFill="1" applyBorder="1" applyAlignment="1">
      <alignment horizontal="center" vertical="center"/>
    </xf>
    <xf numFmtId="37" fontId="12" fillId="0" borderId="700" xfId="0" applyNumberFormat="1" applyFont="1" applyFill="1" applyBorder="1" applyAlignment="1">
      <alignment horizontal="center" vertical="center"/>
    </xf>
    <xf numFmtId="0" fontId="11" fillId="4" borderId="561" xfId="10" applyFont="1" applyFill="1" applyBorder="1" applyAlignment="1">
      <alignment horizontal="left" vertical="center"/>
    </xf>
    <xf numFmtId="0" fontId="11" fillId="4" borderId="560" xfId="10" applyFont="1" applyFill="1" applyBorder="1" applyAlignment="1">
      <alignment horizontal="left" vertical="center"/>
    </xf>
    <xf numFmtId="0" fontId="11" fillId="4" borderId="685" xfId="10" applyFont="1" applyFill="1" applyBorder="1" applyAlignment="1">
      <alignment horizontal="left" vertical="center"/>
    </xf>
    <xf numFmtId="37" fontId="12" fillId="4" borderId="22" xfId="0" applyNumberFormat="1" applyFont="1" applyFill="1" applyBorder="1" applyAlignment="1">
      <alignment vertical="center"/>
    </xf>
    <xf numFmtId="37" fontId="11" fillId="4" borderId="22" xfId="0" applyNumberFormat="1" applyFont="1" applyFill="1" applyBorder="1" applyAlignment="1">
      <alignment horizontal="center" vertical="center"/>
    </xf>
    <xf numFmtId="37" fontId="12" fillId="0" borderId="701" xfId="0" applyNumberFormat="1" applyFont="1" applyFill="1" applyBorder="1" applyAlignment="1">
      <alignment vertical="center"/>
    </xf>
    <xf numFmtId="0" fontId="11" fillId="0" borderId="695" xfId="0" applyFont="1" applyFill="1" applyBorder="1" applyAlignment="1">
      <alignment horizontal="left" vertical="center"/>
    </xf>
    <xf numFmtId="37" fontId="11" fillId="0" borderId="6" xfId="0" applyNumberFormat="1" applyFont="1" applyFill="1" applyBorder="1" applyAlignment="1">
      <alignment horizontal="center" vertical="center"/>
    </xf>
    <xf numFmtId="37" fontId="11" fillId="0" borderId="696" xfId="0" applyNumberFormat="1" applyFont="1" applyFill="1" applyBorder="1" applyAlignment="1">
      <alignment horizontal="center" vertical="center"/>
    </xf>
    <xf numFmtId="37" fontId="12" fillId="0" borderId="20" xfId="0" applyNumberFormat="1" applyFont="1" applyFill="1" applyBorder="1" applyAlignment="1">
      <alignment horizontal="center" vertical="center"/>
    </xf>
    <xf numFmtId="37" fontId="12" fillId="0" borderId="566" xfId="0" applyNumberFormat="1" applyFont="1" applyFill="1" applyBorder="1" applyAlignment="1">
      <alignment horizontal="center" vertical="center"/>
    </xf>
    <xf numFmtId="0" fontId="11" fillId="0" borderId="48" xfId="0" applyFont="1" applyFill="1" applyBorder="1" applyAlignment="1">
      <alignment horizontal="left" vertical="center"/>
    </xf>
    <xf numFmtId="37" fontId="63" fillId="0" borderId="561" xfId="0" applyNumberFormat="1" applyFont="1" applyFill="1" applyBorder="1" applyAlignment="1">
      <alignment vertical="center"/>
    </xf>
    <xf numFmtId="1" fontId="12" fillId="0" borderId="20" xfId="0" applyNumberFormat="1" applyFont="1" applyFill="1" applyBorder="1" applyAlignment="1">
      <alignment horizontal="left" vertical="center"/>
    </xf>
    <xf numFmtId="1" fontId="12" fillId="0" borderId="20" xfId="0" applyNumberFormat="1" applyFont="1" applyFill="1" applyBorder="1" applyAlignment="1">
      <alignment horizontal="center" vertical="center"/>
    </xf>
    <xf numFmtId="1" fontId="12" fillId="0" borderId="0" xfId="0" applyNumberFormat="1" applyFont="1" applyFill="1" applyBorder="1" applyAlignment="1">
      <alignment horizontal="left" vertical="center"/>
    </xf>
    <xf numFmtId="37" fontId="11" fillId="4" borderId="561" xfId="10" applyNumberFormat="1" applyFont="1" applyFill="1" applyBorder="1" applyAlignment="1">
      <alignment horizontal="left" vertical="center"/>
    </xf>
    <xf numFmtId="0" fontId="12" fillId="0" borderId="561" xfId="0" applyFont="1" applyFill="1" applyBorder="1" applyAlignment="1">
      <alignment horizontal="left" vertical="center"/>
    </xf>
    <xf numFmtId="37" fontId="12" fillId="0" borderId="561" xfId="0" applyNumberFormat="1" applyFont="1" applyFill="1" applyBorder="1" applyAlignment="1">
      <alignment horizontal="center" vertical="center"/>
    </xf>
    <xf numFmtId="0" fontId="11" fillId="6" borderId="560" xfId="0" applyFont="1" applyFill="1" applyBorder="1" applyAlignment="1">
      <alignment horizontal="left" vertical="center"/>
    </xf>
    <xf numFmtId="0" fontId="11" fillId="6" borderId="561" xfId="0" applyFont="1" applyFill="1" applyBorder="1" applyAlignment="1">
      <alignment horizontal="center" vertical="center"/>
    </xf>
    <xf numFmtId="37" fontId="12" fillId="6" borderId="561" xfId="0" applyNumberFormat="1" applyFont="1" applyFill="1" applyBorder="1" applyAlignment="1">
      <alignment vertical="center"/>
    </xf>
    <xf numFmtId="37" fontId="12" fillId="6" borderId="561" xfId="0" applyNumberFormat="1" applyFont="1" applyFill="1" applyBorder="1" applyAlignment="1">
      <alignment horizontal="center" vertical="center"/>
    </xf>
    <xf numFmtId="37" fontId="11" fillId="6" borderId="561" xfId="0" applyNumberFormat="1" applyFont="1" applyFill="1" applyBorder="1" applyAlignment="1">
      <alignment horizontal="center" vertical="center"/>
    </xf>
    <xf numFmtId="37" fontId="11" fillId="6" borderId="685" xfId="0" applyNumberFormat="1" applyFont="1" applyFill="1" applyBorder="1" applyAlignment="1">
      <alignment horizontal="center" vertical="center"/>
    </xf>
    <xf numFmtId="0" fontId="11" fillId="0" borderId="565" xfId="0" applyFont="1" applyFill="1" applyBorder="1" applyAlignment="1">
      <alignment horizontal="left" vertical="center"/>
    </xf>
    <xf numFmtId="164" fontId="11" fillId="0" borderId="566" xfId="13" applyFont="1" applyFill="1" applyBorder="1" applyAlignment="1">
      <alignment vertical="center"/>
    </xf>
    <xf numFmtId="37" fontId="11" fillId="0" borderId="41" xfId="0" applyNumberFormat="1" applyFont="1" applyFill="1" applyBorder="1" applyAlignment="1">
      <alignment horizontal="center" vertical="center"/>
    </xf>
    <xf numFmtId="37" fontId="11" fillId="0" borderId="18" xfId="0" applyNumberFormat="1" applyFont="1" applyFill="1" applyBorder="1" applyAlignment="1">
      <alignment horizontal="center" vertical="center"/>
    </xf>
    <xf numFmtId="37" fontId="11" fillId="0" borderId="694" xfId="0" applyNumberFormat="1" applyFont="1" applyFill="1" applyBorder="1" applyAlignment="1">
      <alignment horizontal="center" vertical="center"/>
    </xf>
    <xf numFmtId="37" fontId="12" fillId="0" borderId="702" xfId="0" applyNumberFormat="1" applyFont="1" applyFill="1" applyBorder="1" applyAlignment="1">
      <alignment vertical="center"/>
    </xf>
    <xf numFmtId="37" fontId="12" fillId="0" borderId="700" xfId="0" applyNumberFormat="1" applyFont="1" applyFill="1" applyBorder="1" applyAlignment="1">
      <alignment vertical="center"/>
    </xf>
    <xf numFmtId="0" fontId="11" fillId="0" borderId="703" xfId="0" applyFont="1" applyFill="1" applyBorder="1" applyAlignment="1">
      <alignment horizontal="left" vertical="center"/>
    </xf>
    <xf numFmtId="0" fontId="12" fillId="4" borderId="19" xfId="0" applyFont="1" applyFill="1" applyBorder="1" applyAlignment="1">
      <alignment horizontal="left" vertical="center"/>
    </xf>
    <xf numFmtId="37" fontId="12" fillId="4" borderId="51" xfId="0" applyNumberFormat="1" applyFont="1" applyFill="1" applyBorder="1" applyAlignment="1">
      <alignment vertical="center"/>
    </xf>
    <xf numFmtId="37" fontId="12" fillId="4" borderId="40" xfId="0" applyNumberFormat="1" applyFont="1" applyFill="1" applyBorder="1" applyAlignment="1">
      <alignment vertical="center"/>
    </xf>
    <xf numFmtId="0" fontId="12" fillId="0" borderId="22" xfId="0" applyFont="1" applyFill="1" applyBorder="1" applyAlignment="1">
      <alignment horizontal="left" vertical="center"/>
    </xf>
    <xf numFmtId="0" fontId="11" fillId="0" borderId="0" xfId="0" applyFont="1" applyFill="1" applyBorder="1" applyAlignment="1">
      <alignment horizontal="left" vertical="center"/>
    </xf>
    <xf numFmtId="0" fontId="11" fillId="4" borderId="0" xfId="10" applyFont="1" applyFill="1" applyBorder="1" applyAlignment="1">
      <alignment horizontal="left" vertical="center"/>
    </xf>
    <xf numFmtId="0" fontId="12" fillId="4" borderId="0" xfId="0" applyFont="1" applyFill="1" applyAlignment="1">
      <alignment vertical="center"/>
    </xf>
    <xf numFmtId="1" fontId="12" fillId="0" borderId="560" xfId="0" applyNumberFormat="1" applyFont="1" applyFill="1" applyBorder="1" applyAlignment="1">
      <alignment horizontal="left" vertical="center"/>
    </xf>
    <xf numFmtId="1" fontId="12" fillId="0" borderId="562" xfId="0" applyNumberFormat="1" applyFont="1" applyFill="1" applyBorder="1" applyAlignment="1">
      <alignment horizontal="left" vertical="center"/>
    </xf>
    <xf numFmtId="1" fontId="12" fillId="0" borderId="565" xfId="0" applyNumberFormat="1" applyFont="1" applyFill="1" applyBorder="1" applyAlignment="1">
      <alignment horizontal="left" vertical="center"/>
    </xf>
    <xf numFmtId="37" fontId="12" fillId="0" borderId="705" xfId="0" applyNumberFormat="1" applyFont="1" applyFill="1" applyBorder="1" applyAlignment="1">
      <alignment vertical="center"/>
    </xf>
    <xf numFmtId="37" fontId="12" fillId="0" borderId="706" xfId="0" applyNumberFormat="1" applyFont="1" applyFill="1" applyBorder="1" applyAlignment="1">
      <alignment vertical="center"/>
    </xf>
    <xf numFmtId="37" fontId="12" fillId="0" borderId="691" xfId="0" applyNumberFormat="1" applyFont="1" applyFill="1" applyBorder="1" applyAlignment="1">
      <alignment vertical="center"/>
    </xf>
    <xf numFmtId="37" fontId="12" fillId="0" borderId="699" xfId="0" applyNumberFormat="1" applyFont="1" applyFill="1" applyBorder="1" applyAlignment="1">
      <alignment vertical="center"/>
    </xf>
    <xf numFmtId="37" fontId="12" fillId="0" borderId="692" xfId="0" applyNumberFormat="1" applyFont="1" applyFill="1" applyBorder="1" applyAlignment="1">
      <alignment vertical="center"/>
    </xf>
    <xf numFmtId="37" fontId="12" fillId="0" borderId="707" xfId="0" applyNumberFormat="1" applyFont="1" applyFill="1" applyBorder="1" applyAlignment="1">
      <alignment vertical="center"/>
    </xf>
    <xf numFmtId="0" fontId="12" fillId="0" borderId="701" xfId="0" applyFont="1" applyFill="1" applyBorder="1" applyAlignment="1">
      <alignment vertical="center"/>
    </xf>
    <xf numFmtId="0" fontId="12" fillId="0" borderId="709" xfId="0" applyFont="1" applyFill="1" applyBorder="1" applyAlignment="1">
      <alignment vertical="center"/>
    </xf>
    <xf numFmtId="1" fontId="12" fillId="4" borderId="560" xfId="0" applyNumberFormat="1" applyFont="1" applyFill="1" applyBorder="1" applyAlignment="1">
      <alignment horizontal="left" vertical="center"/>
    </xf>
    <xf numFmtId="37" fontId="11" fillId="0" borderId="566" xfId="0" applyNumberFormat="1" applyFont="1" applyFill="1" applyBorder="1" applyAlignment="1">
      <alignment vertical="center"/>
    </xf>
    <xf numFmtId="1" fontId="11" fillId="4" borderId="560" xfId="0" applyNumberFormat="1" applyFont="1" applyFill="1" applyBorder="1" applyAlignment="1">
      <alignment horizontal="left" vertical="center"/>
    </xf>
    <xf numFmtId="37" fontId="11" fillId="4" borderId="561" xfId="0" applyNumberFormat="1" applyFont="1" applyFill="1" applyBorder="1" applyAlignment="1">
      <alignment vertical="center"/>
    </xf>
    <xf numFmtId="0" fontId="12" fillId="4" borderId="561" xfId="0" applyFont="1" applyFill="1" applyBorder="1" applyAlignment="1">
      <alignment vertical="center"/>
    </xf>
    <xf numFmtId="0" fontId="12" fillId="4" borderId="685" xfId="0" applyFont="1" applyFill="1" applyBorder="1" applyAlignment="1">
      <alignment vertical="center"/>
    </xf>
    <xf numFmtId="0" fontId="11" fillId="4" borderId="562" xfId="10" applyFont="1" applyFill="1" applyBorder="1" applyAlignment="1">
      <alignment horizontal="left" vertical="center"/>
    </xf>
    <xf numFmtId="0" fontId="11" fillId="0" borderId="566" xfId="0" applyFont="1" applyFill="1" applyBorder="1" applyAlignment="1">
      <alignment horizontal="left" vertical="center"/>
    </xf>
    <xf numFmtId="37" fontId="11" fillId="0" borderId="566" xfId="0" applyNumberFormat="1" applyFont="1" applyFill="1" applyBorder="1" applyAlignment="1">
      <alignment horizontal="center" vertical="center"/>
    </xf>
    <xf numFmtId="37" fontId="12" fillId="4" borderId="710" xfId="0" applyNumberFormat="1" applyFont="1" applyFill="1" applyBorder="1" applyAlignment="1">
      <alignment horizontal="left" vertical="center"/>
    </xf>
    <xf numFmtId="37" fontId="12" fillId="4" borderId="704" xfId="0" applyNumberFormat="1" applyFont="1" applyFill="1" applyBorder="1" applyAlignment="1">
      <alignment vertical="center"/>
    </xf>
    <xf numFmtId="0" fontId="12" fillId="4" borderId="704" xfId="0" applyFont="1" applyFill="1" applyBorder="1" applyAlignment="1">
      <alignment vertical="center"/>
    </xf>
    <xf numFmtId="0" fontId="12" fillId="4" borderId="708" xfId="0" applyFont="1" applyFill="1" applyBorder="1" applyAlignment="1">
      <alignment vertical="center"/>
    </xf>
    <xf numFmtId="1" fontId="12" fillId="0" borderId="561" xfId="0" applyNumberFormat="1" applyFont="1" applyFill="1" applyBorder="1" applyAlignment="1">
      <alignment horizontal="left" vertical="center"/>
    </xf>
    <xf numFmtId="0" fontId="11" fillId="4" borderId="560" xfId="0" applyFont="1" applyFill="1" applyBorder="1" applyAlignment="1">
      <alignment horizontal="left" vertical="center"/>
    </xf>
    <xf numFmtId="37" fontId="11" fillId="4" borderId="685" xfId="0" applyNumberFormat="1" applyFont="1" applyFill="1" applyBorder="1" applyAlignment="1">
      <alignment vertical="center"/>
    </xf>
    <xf numFmtId="37" fontId="12" fillId="0" borderId="701" xfId="0" applyNumberFormat="1" applyFont="1" applyFill="1" applyBorder="1" applyAlignment="1">
      <alignment horizontal="center" vertical="center"/>
    </xf>
    <xf numFmtId="37" fontId="12" fillId="0" borderId="685" xfId="0" applyNumberFormat="1" applyFont="1" applyFill="1" applyBorder="1" applyAlignment="1">
      <alignment horizontal="center" vertical="center"/>
    </xf>
    <xf numFmtId="37" fontId="12" fillId="0" borderId="702" xfId="0" applyNumberFormat="1" applyFont="1" applyFill="1" applyBorder="1" applyAlignment="1">
      <alignment horizontal="center" vertical="center"/>
    </xf>
    <xf numFmtId="37" fontId="12" fillId="0" borderId="709" xfId="0" applyNumberFormat="1" applyFont="1" applyFill="1" applyBorder="1" applyAlignment="1">
      <alignment horizontal="center" vertical="center"/>
    </xf>
    <xf numFmtId="9" fontId="12" fillId="0" borderId="703" xfId="9" applyFont="1" applyFill="1" applyBorder="1" applyAlignment="1">
      <alignment vertical="center"/>
    </xf>
    <xf numFmtId="9" fontId="12" fillId="0" borderId="713" xfId="9" applyFont="1" applyFill="1" applyBorder="1" applyAlignment="1">
      <alignment vertical="center"/>
    </xf>
    <xf numFmtId="37" fontId="12" fillId="4" borderId="685" xfId="0" applyNumberFormat="1" applyFont="1" applyFill="1" applyBorder="1" applyAlignment="1">
      <alignment vertical="center"/>
    </xf>
    <xf numFmtId="37" fontId="12" fillId="0" borderId="714" xfId="0" applyNumberFormat="1" applyFont="1" applyFill="1" applyBorder="1" applyAlignment="1">
      <alignment vertical="center"/>
    </xf>
    <xf numFmtId="37" fontId="12" fillId="0" borderId="706" xfId="0" applyNumberFormat="1" applyFont="1" applyFill="1" applyBorder="1" applyAlignment="1">
      <alignment horizontal="center" vertical="center"/>
    </xf>
    <xf numFmtId="37" fontId="12" fillId="0" borderId="715" xfId="0" applyNumberFormat="1" applyFont="1" applyFill="1" applyBorder="1" applyAlignment="1">
      <alignment horizontal="center" vertical="center"/>
    </xf>
    <xf numFmtId="37" fontId="12" fillId="0" borderId="703" xfId="0" applyNumberFormat="1" applyFont="1" applyFill="1" applyBorder="1" applyAlignment="1">
      <alignment vertical="center"/>
    </xf>
    <xf numFmtId="37" fontId="21" fillId="0" borderId="0" xfId="0" applyNumberFormat="1" applyFont="1" applyFill="1" applyBorder="1" applyAlignment="1">
      <alignment vertical="center"/>
    </xf>
    <xf numFmtId="37" fontId="12" fillId="0" borderId="0" xfId="0" applyNumberFormat="1" applyFont="1" applyFill="1" applyAlignment="1">
      <alignment horizontal="center" vertical="center"/>
    </xf>
    <xf numFmtId="37" fontId="12" fillId="0" borderId="715" xfId="0" applyNumberFormat="1" applyFont="1" applyFill="1" applyBorder="1" applyAlignment="1">
      <alignment vertical="center"/>
    </xf>
    <xf numFmtId="0" fontId="12" fillId="0" borderId="6" xfId="0" applyFont="1" applyFill="1" applyBorder="1" applyAlignment="1">
      <alignment vertical="center"/>
    </xf>
    <xf numFmtId="0" fontId="12" fillId="0" borderId="696" xfId="0" applyFont="1" applyFill="1" applyBorder="1" applyAlignment="1">
      <alignment vertical="center"/>
    </xf>
    <xf numFmtId="0" fontId="12" fillId="0" borderId="2" xfId="0" applyFont="1" applyFill="1" applyBorder="1" applyAlignment="1">
      <alignment vertical="center"/>
    </xf>
    <xf numFmtId="0" fontId="12" fillId="0" borderId="694" xfId="0" applyFont="1" applyFill="1" applyBorder="1" applyAlignment="1">
      <alignment vertical="center"/>
    </xf>
    <xf numFmtId="0" fontId="12" fillId="0" borderId="689" xfId="0" applyFont="1" applyFill="1" applyBorder="1" applyAlignment="1">
      <alignment vertical="center"/>
    </xf>
    <xf numFmtId="0" fontId="12" fillId="0" borderId="700" xfId="0" applyFont="1" applyFill="1" applyBorder="1" applyAlignment="1">
      <alignment vertical="center"/>
    </xf>
    <xf numFmtId="0" fontId="11" fillId="0" borderId="710" xfId="0" applyFont="1" applyFill="1" applyBorder="1" applyAlignment="1">
      <alignment horizontal="left" vertical="center"/>
    </xf>
    <xf numFmtId="37" fontId="11" fillId="0" borderId="704" xfId="0" applyNumberFormat="1" applyFont="1" applyFill="1" applyBorder="1" applyAlignment="1">
      <alignment vertical="center"/>
    </xf>
    <xf numFmtId="0" fontId="11" fillId="0" borderId="704" xfId="0" applyFont="1" applyFill="1" applyBorder="1" applyAlignment="1">
      <alignment vertical="center"/>
    </xf>
    <xf numFmtId="37" fontId="12" fillId="0" borderId="696" xfId="0" applyNumberFormat="1" applyFont="1" applyFill="1" applyBorder="1" applyAlignment="1">
      <alignment vertical="center"/>
    </xf>
    <xf numFmtId="37" fontId="11" fillId="0" borderId="716" xfId="0" applyNumberFormat="1" applyFont="1" applyFill="1" applyBorder="1" applyAlignment="1">
      <alignment vertical="center"/>
    </xf>
    <xf numFmtId="37" fontId="11" fillId="0" borderId="717" xfId="0" applyNumberFormat="1" applyFont="1" applyFill="1" applyBorder="1" applyAlignment="1">
      <alignment vertical="center"/>
    </xf>
    <xf numFmtId="0" fontId="11" fillId="0" borderId="566" xfId="0" applyFont="1" applyFill="1" applyBorder="1" applyAlignment="1">
      <alignment vertical="center"/>
    </xf>
    <xf numFmtId="37" fontId="12" fillId="0" borderId="698" xfId="0" applyNumberFormat="1" applyFont="1" applyFill="1" applyBorder="1" applyAlignment="1">
      <alignment vertical="center"/>
    </xf>
    <xf numFmtId="0" fontId="11" fillId="0" borderId="704" xfId="0" applyFont="1" applyFill="1" applyBorder="1" applyAlignment="1">
      <alignment horizontal="right" vertical="center"/>
    </xf>
    <xf numFmtId="0" fontId="11" fillId="0" borderId="0" xfId="0" applyFont="1" applyFill="1" applyBorder="1" applyAlignment="1">
      <alignment horizontal="right" vertical="center"/>
    </xf>
    <xf numFmtId="0" fontId="11" fillId="0" borderId="566" xfId="0" applyFont="1" applyFill="1" applyBorder="1" applyAlignment="1">
      <alignment horizontal="right" vertical="center"/>
    </xf>
    <xf numFmtId="0" fontId="12" fillId="0" borderId="560" xfId="0" applyFont="1" applyFill="1" applyBorder="1" applyAlignment="1">
      <alignment horizontal="right" vertical="center"/>
    </xf>
    <xf numFmtId="0" fontId="11" fillId="0" borderId="560" xfId="0" applyFont="1" applyFill="1" applyBorder="1" applyAlignment="1">
      <alignment horizontal="left" vertical="center"/>
    </xf>
    <xf numFmtId="0" fontId="12" fillId="4" borderId="560" xfId="0" applyFont="1" applyFill="1" applyBorder="1" applyAlignment="1">
      <alignment vertical="center"/>
    </xf>
    <xf numFmtId="37" fontId="11" fillId="0" borderId="18" xfId="0" applyNumberFormat="1" applyFont="1" applyFill="1" applyBorder="1" applyAlignment="1">
      <alignment vertical="center"/>
    </xf>
    <xf numFmtId="37" fontId="11" fillId="0" borderId="2" xfId="0" applyNumberFormat="1" applyFont="1" applyFill="1" applyBorder="1" applyAlignment="1">
      <alignment vertical="center"/>
    </xf>
    <xf numFmtId="37" fontId="11" fillId="0" borderId="694" xfId="0" applyNumberFormat="1" applyFont="1" applyFill="1" applyBorder="1" applyAlignment="1">
      <alignment vertical="center"/>
    </xf>
    <xf numFmtId="0" fontId="11" fillId="0" borderId="562" xfId="0" applyFont="1" applyFill="1" applyBorder="1" applyAlignment="1">
      <alignment horizontal="left" vertical="center"/>
    </xf>
    <xf numFmtId="37" fontId="11" fillId="0" borderId="48" xfId="0" applyNumberFormat="1" applyFont="1" applyFill="1" applyBorder="1" applyAlignment="1">
      <alignment vertical="center"/>
    </xf>
    <xf numFmtId="37" fontId="11" fillId="0" borderId="12" xfId="0" applyNumberFormat="1" applyFont="1" applyFill="1" applyBorder="1" applyAlignment="1">
      <alignment vertical="center"/>
    </xf>
    <xf numFmtId="37" fontId="11" fillId="0" borderId="698" xfId="0" applyNumberFormat="1" applyFont="1" applyFill="1" applyBorder="1" applyAlignment="1">
      <alignment vertical="center"/>
    </xf>
    <xf numFmtId="0" fontId="11" fillId="0" borderId="711" xfId="0" applyFont="1" applyFill="1" applyBorder="1" applyAlignment="1">
      <alignment horizontal="left" vertical="center"/>
    </xf>
    <xf numFmtId="37" fontId="11" fillId="0" borderId="45" xfId="0" applyNumberFormat="1" applyFont="1" applyFill="1" applyBorder="1" applyAlignment="1">
      <alignment vertical="center"/>
    </xf>
    <xf numFmtId="0" fontId="11" fillId="0" borderId="45" xfId="0" applyFont="1" applyFill="1" applyBorder="1" applyAlignment="1">
      <alignment vertical="center"/>
    </xf>
    <xf numFmtId="37" fontId="11" fillId="0" borderId="100" xfId="0" applyNumberFormat="1" applyFont="1" applyFill="1" applyBorder="1" applyAlignment="1">
      <alignment vertical="center"/>
    </xf>
    <xf numFmtId="37" fontId="11" fillId="0" borderId="11" xfId="0" applyNumberFormat="1" applyFont="1" applyFill="1" applyBorder="1" applyAlignment="1">
      <alignment vertical="center"/>
    </xf>
    <xf numFmtId="37" fontId="11" fillId="0" borderId="712" xfId="0" applyNumberFormat="1" applyFont="1" applyFill="1" applyBorder="1" applyAlignment="1">
      <alignment vertical="center"/>
    </xf>
    <xf numFmtId="37" fontId="12" fillId="22" borderId="0" xfId="0" applyNumberFormat="1" applyFont="1" applyFill="1" applyAlignment="1">
      <alignment vertical="center"/>
    </xf>
    <xf numFmtId="39" fontId="12" fillId="0" borderId="561" xfId="0" applyNumberFormat="1" applyFont="1" applyFill="1" applyBorder="1" applyAlignment="1">
      <alignment vertical="center"/>
    </xf>
    <xf numFmtId="37" fontId="12" fillId="4" borderId="560" xfId="0" applyNumberFormat="1" applyFont="1" applyFill="1" applyBorder="1" applyAlignment="1">
      <alignment vertical="center"/>
    </xf>
    <xf numFmtId="0" fontId="12" fillId="4" borderId="710" xfId="0" applyFont="1" applyFill="1" applyBorder="1" applyAlignment="1">
      <alignment horizontal="left" vertical="center"/>
    </xf>
    <xf numFmtId="37" fontId="12" fillId="4" borderId="708" xfId="0" applyNumberFormat="1" applyFont="1" applyFill="1" applyBorder="1" applyAlignment="1">
      <alignment vertical="center"/>
    </xf>
    <xf numFmtId="0" fontId="11" fillId="23" borderId="0" xfId="0" applyFont="1" applyFill="1" applyAlignment="1">
      <alignment vertical="center"/>
    </xf>
    <xf numFmtId="37" fontId="12" fillId="23" borderId="0" xfId="0" applyNumberFormat="1" applyFont="1" applyFill="1" applyAlignment="1">
      <alignment vertical="center"/>
    </xf>
    <xf numFmtId="37" fontId="11" fillId="23" borderId="0" xfId="0" applyNumberFormat="1" applyFont="1" applyFill="1" applyAlignment="1">
      <alignment vertical="center"/>
    </xf>
    <xf numFmtId="0" fontId="11" fillId="23" borderId="0" xfId="0" applyFont="1" applyFill="1" applyBorder="1" applyAlignment="1">
      <alignment vertical="center"/>
    </xf>
    <xf numFmtId="37" fontId="21" fillId="23" borderId="0" xfId="0" applyNumberFormat="1" applyFont="1" applyFill="1" applyAlignment="1">
      <alignment vertical="center"/>
    </xf>
    <xf numFmtId="37" fontId="11" fillId="0" borderId="0" xfId="0" applyNumberFormat="1" applyFont="1" applyFill="1" applyAlignment="1">
      <alignment horizontal="left" vertical="center"/>
    </xf>
    <xf numFmtId="37" fontId="11" fillId="23" borderId="0" xfId="0" applyNumberFormat="1" applyFont="1" applyFill="1" applyAlignment="1">
      <alignment horizontal="left" vertical="center"/>
    </xf>
    <xf numFmtId="37" fontId="12" fillId="0" borderId="719" xfId="0" applyNumberFormat="1" applyFont="1" applyFill="1" applyBorder="1" applyAlignment="1">
      <alignment horizontal="left" vertical="center"/>
    </xf>
    <xf numFmtId="37" fontId="12" fillId="0" borderId="720" xfId="0" applyNumberFormat="1" applyFont="1" applyFill="1" applyBorder="1" applyAlignment="1">
      <alignment horizontal="left" vertical="center"/>
    </xf>
    <xf numFmtId="37" fontId="12" fillId="0" borderId="721" xfId="0" applyNumberFormat="1" applyFont="1" applyFill="1" applyBorder="1" applyAlignment="1">
      <alignment horizontal="left" vertical="center"/>
    </xf>
    <xf numFmtId="0" fontId="12" fillId="0" borderId="722" xfId="0" applyFont="1" applyFill="1" applyBorder="1" applyAlignment="1" applyProtection="1">
      <alignment vertical="center"/>
    </xf>
    <xf numFmtId="0" fontId="12" fillId="0" borderId="715" xfId="0" applyFont="1" applyFill="1" applyBorder="1" applyAlignment="1" applyProtection="1">
      <alignment horizontal="center" vertical="center"/>
    </xf>
    <xf numFmtId="2" fontId="12" fillId="0" borderId="686" xfId="0" applyNumberFormat="1" applyFont="1" applyFill="1" applyBorder="1" applyAlignment="1" applyProtection="1">
      <alignment vertical="center"/>
    </xf>
    <xf numFmtId="1" fontId="12" fillId="0" borderId="694" xfId="0" applyNumberFormat="1" applyFont="1" applyFill="1" applyBorder="1" applyAlignment="1" applyProtection="1">
      <alignment horizontal="center" vertical="center"/>
    </xf>
    <xf numFmtId="0" fontId="12" fillId="0" borderId="686" xfId="0" applyFont="1" applyFill="1" applyBorder="1" applyAlignment="1" applyProtection="1">
      <alignment vertical="center"/>
    </xf>
    <xf numFmtId="0" fontId="12" fillId="0" borderId="694" xfId="0" applyFont="1" applyFill="1" applyBorder="1" applyAlignment="1" applyProtection="1">
      <alignment horizontal="center" vertical="center"/>
    </xf>
    <xf numFmtId="0" fontId="12" fillId="0" borderId="688" xfId="0" applyFont="1" applyFill="1" applyBorder="1" applyAlignment="1" applyProtection="1">
      <alignment vertical="center"/>
    </xf>
    <xf numFmtId="0" fontId="12" fillId="0" borderId="700" xfId="0" applyFont="1" applyFill="1" applyBorder="1" applyAlignment="1" applyProtection="1">
      <alignment horizontal="center" vertical="center"/>
    </xf>
    <xf numFmtId="0" fontId="21" fillId="0" borderId="0" xfId="0" applyFont="1" applyFill="1" applyAlignment="1">
      <alignment vertical="center" wrapText="1"/>
    </xf>
    <xf numFmtId="1" fontId="17" fillId="0" borderId="0" xfId="0" applyNumberFormat="1" applyFont="1" applyFill="1" applyAlignment="1">
      <alignment horizontal="left" vertical="center"/>
    </xf>
    <xf numFmtId="1" fontId="19" fillId="0" borderId="0" xfId="0" applyNumberFormat="1" applyFont="1" applyFill="1" applyAlignment="1">
      <alignment horizontal="left" vertical="center"/>
    </xf>
    <xf numFmtId="0" fontId="14" fillId="0" borderId="0" xfId="12" applyFont="1" applyFill="1" applyAlignment="1">
      <alignment horizontal="right" vertical="center"/>
    </xf>
    <xf numFmtId="1" fontId="19" fillId="0" borderId="0" xfId="0" applyNumberFormat="1" applyFont="1" applyFill="1" applyAlignment="1">
      <alignment vertical="center"/>
    </xf>
    <xf numFmtId="2" fontId="12" fillId="0" borderId="0" xfId="0" applyNumberFormat="1" applyFont="1" applyFill="1" applyAlignment="1">
      <alignment vertical="center"/>
    </xf>
    <xf numFmtId="0" fontId="19" fillId="0" borderId="0" xfId="0" applyFont="1" applyFill="1" applyAlignment="1">
      <alignment vertical="center"/>
    </xf>
    <xf numFmtId="37" fontId="11" fillId="0" borderId="30" xfId="0" applyNumberFormat="1" applyFont="1" applyFill="1" applyBorder="1" applyAlignment="1">
      <alignment horizontal="left" vertical="center"/>
    </xf>
    <xf numFmtId="0" fontId="19" fillId="0" borderId="0" xfId="0" applyFont="1" applyFill="1" applyBorder="1" applyAlignment="1">
      <alignment vertical="center"/>
    </xf>
    <xf numFmtId="0" fontId="19" fillId="0" borderId="0" xfId="0" applyFont="1" applyFill="1" applyBorder="1" applyAlignment="1">
      <alignment horizontal="center" vertical="center"/>
    </xf>
    <xf numFmtId="1" fontId="19" fillId="0" borderId="0" xfId="0" applyNumberFormat="1" applyFont="1" applyFill="1" applyAlignment="1">
      <alignment horizontal="right" vertical="center"/>
    </xf>
    <xf numFmtId="166" fontId="19" fillId="0" borderId="0" xfId="0" applyNumberFormat="1" applyFont="1" applyFill="1" applyAlignment="1">
      <alignment vertical="center"/>
    </xf>
    <xf numFmtId="166" fontId="19" fillId="0" borderId="0" xfId="0" applyNumberFormat="1" applyFont="1" applyFill="1" applyBorder="1" applyAlignment="1">
      <alignment horizontal="center" vertical="center"/>
    </xf>
    <xf numFmtId="0" fontId="11" fillId="0" borderId="0" xfId="10" applyFont="1" applyFill="1" applyBorder="1" applyAlignment="1">
      <alignment horizontal="center" vertical="center" wrapText="1"/>
    </xf>
    <xf numFmtId="165" fontId="19" fillId="0" borderId="0" xfId="0" applyNumberFormat="1" applyFont="1" applyFill="1" applyAlignment="1">
      <alignment vertical="center"/>
    </xf>
    <xf numFmtId="1" fontId="19" fillId="0" borderId="0" xfId="0" applyNumberFormat="1" applyFont="1" applyFill="1" applyBorder="1" applyAlignment="1">
      <alignment horizontal="left" vertical="center"/>
    </xf>
    <xf numFmtId="1" fontId="19" fillId="0" borderId="0" xfId="0" applyNumberFormat="1" applyFont="1" applyFill="1" applyBorder="1" applyAlignment="1">
      <alignment vertical="center"/>
    </xf>
    <xf numFmtId="0" fontId="17" fillId="0" borderId="0" xfId="0" applyFont="1" applyFill="1" applyBorder="1" applyAlignment="1">
      <alignment vertical="center"/>
    </xf>
    <xf numFmtId="3" fontId="19" fillId="0" borderId="0" xfId="0" applyNumberFormat="1" applyFont="1" applyFill="1" applyAlignment="1">
      <alignment vertical="center"/>
    </xf>
    <xf numFmtId="3" fontId="19" fillId="0" borderId="0" xfId="0" applyNumberFormat="1" applyFont="1" applyFill="1" applyBorder="1" applyAlignment="1">
      <alignment vertical="center"/>
    </xf>
    <xf numFmtId="165" fontId="19" fillId="0" borderId="0" xfId="0" applyNumberFormat="1" applyFont="1" applyFill="1" applyBorder="1" applyAlignment="1">
      <alignment vertical="center"/>
    </xf>
    <xf numFmtId="3" fontId="12" fillId="0" borderId="0" xfId="0" applyNumberFormat="1" applyFont="1" applyFill="1" applyBorder="1" applyAlignment="1">
      <alignment vertical="center"/>
    </xf>
    <xf numFmtId="166" fontId="12" fillId="0" borderId="0" xfId="0" applyNumberFormat="1" applyFont="1" applyFill="1" applyBorder="1" applyAlignment="1">
      <alignment horizontal="center" vertical="center"/>
    </xf>
    <xf numFmtId="3" fontId="19" fillId="0" borderId="0" xfId="0" applyNumberFormat="1" applyFont="1" applyFill="1" applyBorder="1" applyAlignment="1">
      <alignment horizontal="center" vertical="center"/>
    </xf>
    <xf numFmtId="176" fontId="12" fillId="0" borderId="0" xfId="6" applyNumberFormat="1" applyFont="1" applyFill="1" applyBorder="1" applyAlignment="1">
      <alignment horizontal="center" vertical="center"/>
    </xf>
    <xf numFmtId="0" fontId="21" fillId="0" borderId="0" xfId="0" applyFont="1" applyFill="1" applyBorder="1" applyAlignment="1">
      <alignment horizontal="left" vertical="center"/>
    </xf>
    <xf numFmtId="0" fontId="11" fillId="0" borderId="0" xfId="0" applyFont="1" applyFill="1" applyBorder="1" applyAlignment="1">
      <alignment horizontal="center" vertical="center"/>
    </xf>
    <xf numFmtId="1" fontId="19" fillId="0" borderId="0" xfId="0" applyNumberFormat="1" applyFont="1" applyFill="1" applyBorder="1" applyAlignment="1">
      <alignment horizontal="center" vertical="center"/>
    </xf>
    <xf numFmtId="1" fontId="17" fillId="0" borderId="0" xfId="0" applyNumberFormat="1" applyFont="1" applyFill="1" applyBorder="1" applyAlignment="1">
      <alignment horizontal="left" vertical="center"/>
    </xf>
    <xf numFmtId="1" fontId="25" fillId="0" borderId="0" xfId="0" applyNumberFormat="1" applyFont="1" applyFill="1" applyBorder="1" applyAlignment="1">
      <alignment horizontal="left" vertical="center"/>
    </xf>
    <xf numFmtId="0" fontId="25" fillId="0" borderId="0" xfId="0" applyFont="1" applyFill="1" applyBorder="1" applyAlignment="1">
      <alignment horizontal="right" vertical="center"/>
    </xf>
    <xf numFmtId="0" fontId="25" fillId="0" borderId="0" xfId="0" applyFont="1" applyFill="1" applyAlignment="1">
      <alignment horizontal="right" vertical="center"/>
    </xf>
    <xf numFmtId="1" fontId="47" fillId="0" borderId="0" xfId="0" applyNumberFormat="1" applyFont="1" applyFill="1" applyAlignment="1">
      <alignment horizontal="left" vertical="center"/>
    </xf>
    <xf numFmtId="0" fontId="11" fillId="0" borderId="0" xfId="0" applyFont="1" applyFill="1" applyAlignment="1">
      <alignment horizontal="left" vertical="center"/>
    </xf>
    <xf numFmtId="0" fontId="11" fillId="0" borderId="561" xfId="0" applyFont="1" applyFill="1" applyBorder="1" applyAlignment="1">
      <alignment horizontal="center" vertical="center"/>
    </xf>
    <xf numFmtId="0" fontId="11" fillId="0" borderId="685" xfId="0" applyFont="1" applyFill="1" applyBorder="1" applyAlignment="1">
      <alignment horizontal="center" vertical="center"/>
    </xf>
    <xf numFmtId="1" fontId="12" fillId="0" borderId="687" xfId="0" applyNumberFormat="1" applyFont="1" applyFill="1" applyBorder="1" applyAlignment="1">
      <alignment horizontal="center" vertical="center"/>
    </xf>
    <xf numFmtId="0" fontId="12" fillId="0" borderId="687" xfId="0" applyFont="1" applyFill="1" applyBorder="1" applyAlignment="1">
      <alignment horizontal="center" vertical="center"/>
    </xf>
    <xf numFmtId="166" fontId="12" fillId="0" borderId="566" xfId="0" applyNumberFormat="1" applyFont="1" applyFill="1" applyBorder="1" applyAlignment="1">
      <alignment horizontal="center" vertical="center"/>
    </xf>
    <xf numFmtId="1" fontId="12" fillId="0" borderId="690" xfId="0" applyNumberFormat="1" applyFont="1" applyFill="1" applyBorder="1" applyAlignment="1">
      <alignment horizontal="center" vertical="center"/>
    </xf>
    <xf numFmtId="0" fontId="11" fillId="0" borderId="2" xfId="0" applyFont="1" applyFill="1" applyBorder="1" applyAlignment="1">
      <alignment horizontal="center" vertical="center"/>
    </xf>
    <xf numFmtId="2" fontId="12" fillId="0" borderId="2" xfId="0" applyNumberFormat="1" applyFont="1" applyFill="1" applyBorder="1" applyAlignment="1">
      <alignment horizontal="center" vertical="center"/>
    </xf>
    <xf numFmtId="0" fontId="12" fillId="0" borderId="2" xfId="0" applyFont="1" applyFill="1" applyBorder="1" applyAlignment="1">
      <alignment horizontal="center" vertical="center"/>
    </xf>
    <xf numFmtId="0" fontId="12" fillId="0" borderId="2" xfId="0" applyFont="1" applyFill="1" applyBorder="1" applyAlignment="1">
      <alignment horizontal="left" vertical="center"/>
    </xf>
    <xf numFmtId="37" fontId="12" fillId="0" borderId="21" xfId="0" applyNumberFormat="1" applyFont="1" applyFill="1" applyBorder="1" applyAlignment="1">
      <alignment horizontal="center" vertical="center"/>
    </xf>
    <xf numFmtId="0" fontId="15" fillId="0" borderId="14" xfId="10" applyFont="1" applyFill="1" applyBorder="1" applyAlignment="1">
      <alignment vertical="center"/>
    </xf>
    <xf numFmtId="37" fontId="12" fillId="0" borderId="47" xfId="6" applyNumberFormat="1" applyFont="1" applyFill="1" applyBorder="1" applyAlignment="1">
      <alignment vertical="center"/>
    </xf>
    <xf numFmtId="37" fontId="12" fillId="0" borderId="52" xfId="6" applyNumberFormat="1" applyFont="1" applyFill="1" applyBorder="1" applyAlignment="1">
      <alignment vertical="center"/>
    </xf>
    <xf numFmtId="0" fontId="12" fillId="0" borderId="24" xfId="0" applyFont="1" applyFill="1" applyBorder="1" applyAlignment="1">
      <alignment vertical="center"/>
    </xf>
    <xf numFmtId="0" fontId="7" fillId="0" borderId="17" xfId="10" applyFont="1" applyFill="1" applyBorder="1" applyAlignment="1">
      <alignment vertical="center"/>
    </xf>
    <xf numFmtId="0" fontId="7" fillId="0" borderId="30" xfId="10" applyFont="1" applyFill="1" applyBorder="1" applyAlignment="1">
      <alignment vertical="center"/>
    </xf>
    <xf numFmtId="37" fontId="12" fillId="0" borderId="45" xfId="6" applyNumberFormat="1" applyFont="1" applyFill="1" applyBorder="1" applyAlignment="1">
      <alignment horizontal="center" vertical="center"/>
    </xf>
    <xf numFmtId="37" fontId="12" fillId="0" borderId="24" xfId="6" applyNumberFormat="1" applyFont="1" applyFill="1" applyBorder="1" applyAlignment="1">
      <alignment horizontal="center" vertical="center"/>
    </xf>
    <xf numFmtId="37" fontId="11" fillId="0" borderId="26" xfId="6" applyNumberFormat="1" applyFont="1" applyFill="1" applyBorder="1" applyAlignment="1">
      <alignment horizontal="center" vertical="center"/>
    </xf>
    <xf numFmtId="0" fontId="68" fillId="0" borderId="0" xfId="12" applyFont="1" applyFill="1" applyAlignment="1">
      <alignment vertical="center"/>
    </xf>
    <xf numFmtId="37" fontId="12" fillId="0" borderId="108" xfId="6" applyNumberFormat="1" applyFont="1" applyFill="1" applyBorder="1" applyAlignment="1">
      <alignment horizontal="center" vertical="center"/>
    </xf>
    <xf numFmtId="170" fontId="12" fillId="0" borderId="27" xfId="6" applyNumberFormat="1" applyFont="1" applyFill="1" applyBorder="1" applyAlignment="1">
      <alignment horizontal="center" vertical="center"/>
    </xf>
    <xf numFmtId="37" fontId="12" fillId="0" borderId="19" xfId="6" applyNumberFormat="1" applyFont="1" applyFill="1" applyBorder="1" applyAlignment="1">
      <alignment horizontal="center" vertical="center"/>
    </xf>
    <xf numFmtId="37" fontId="12" fillId="0" borderId="18" xfId="6" applyNumberFormat="1" applyFont="1" applyFill="1" applyBorder="1" applyAlignment="1">
      <alignment horizontal="center" vertical="center"/>
    </xf>
    <xf numFmtId="37" fontId="12" fillId="0" borderId="19" xfId="6" applyNumberFormat="1" applyFont="1" applyFill="1" applyBorder="1" applyAlignment="1">
      <alignment vertical="center"/>
    </xf>
    <xf numFmtId="37" fontId="12" fillId="0" borderId="22" xfId="6" applyNumberFormat="1" applyFont="1" applyFill="1" applyBorder="1" applyAlignment="1">
      <alignment vertical="center"/>
    </xf>
    <xf numFmtId="37" fontId="12" fillId="0" borderId="18" xfId="6" applyNumberFormat="1" applyFont="1" applyFill="1" applyBorder="1" applyAlignment="1">
      <alignment vertical="center"/>
    </xf>
    <xf numFmtId="37" fontId="12" fillId="0" borderId="26" xfId="6" applyNumberFormat="1" applyFont="1" applyFill="1" applyBorder="1" applyAlignment="1" applyProtection="1">
      <alignment horizontal="left" vertical="center"/>
      <protection hidden="1"/>
    </xf>
    <xf numFmtId="170" fontId="12" fillId="0" borderId="27" xfId="6" applyNumberFormat="1" applyFont="1" applyFill="1" applyBorder="1" applyAlignment="1" applyProtection="1">
      <alignment horizontal="center" vertical="center"/>
      <protection hidden="1"/>
    </xf>
    <xf numFmtId="0" fontId="12" fillId="0" borderId="51" xfId="0" applyFont="1" applyFill="1" applyBorder="1" applyAlignment="1">
      <alignment vertical="center"/>
    </xf>
    <xf numFmtId="0" fontId="12" fillId="0" borderId="48" xfId="0" applyFont="1" applyFill="1" applyBorder="1" applyAlignment="1">
      <alignment vertical="center"/>
    </xf>
    <xf numFmtId="0" fontId="12" fillId="0" borderId="43" xfId="0" applyFont="1" applyFill="1" applyBorder="1" applyAlignment="1">
      <alignment vertical="center"/>
    </xf>
    <xf numFmtId="37" fontId="12" fillId="0" borderId="40" xfId="6" applyNumberFormat="1" applyFont="1" applyFill="1" applyBorder="1" applyAlignment="1">
      <alignment vertical="center"/>
    </xf>
    <xf numFmtId="0" fontId="12" fillId="0" borderId="21" xfId="0" applyFont="1" applyFill="1" applyBorder="1" applyAlignment="1">
      <alignment vertical="center"/>
    </xf>
    <xf numFmtId="0" fontId="12" fillId="0" borderId="41" xfId="0" applyFont="1" applyFill="1" applyBorder="1" applyAlignment="1">
      <alignment vertical="center"/>
    </xf>
    <xf numFmtId="170" fontId="12" fillId="0" borderId="19" xfId="6" applyNumberFormat="1" applyFont="1" applyFill="1" applyBorder="1" applyAlignment="1">
      <alignment horizontal="center" vertical="center"/>
    </xf>
    <xf numFmtId="170" fontId="12" fillId="0" borderId="22" xfId="6" applyNumberFormat="1" applyFont="1" applyFill="1" applyBorder="1" applyAlignment="1">
      <alignment horizontal="center" vertical="center"/>
    </xf>
    <xf numFmtId="170" fontId="12" fillId="0" borderId="18" xfId="6" applyNumberFormat="1" applyFont="1" applyFill="1" applyBorder="1" applyAlignment="1">
      <alignment horizontal="center" vertical="center"/>
    </xf>
    <xf numFmtId="37" fontId="12" fillId="0" borderId="28" xfId="6" applyNumberFormat="1" applyFont="1" applyFill="1" applyBorder="1" applyAlignment="1" applyProtection="1">
      <alignment horizontal="left" vertical="center"/>
      <protection hidden="1"/>
    </xf>
    <xf numFmtId="37" fontId="12" fillId="0" borderId="28" xfId="6" applyNumberFormat="1" applyFont="1" applyFill="1" applyBorder="1" applyAlignment="1" applyProtection="1">
      <alignment horizontal="center" vertical="center"/>
      <protection hidden="1"/>
    </xf>
    <xf numFmtId="37" fontId="12" fillId="0" borderId="5" xfId="6" applyNumberFormat="1" applyFont="1" applyFill="1" applyBorder="1" applyAlignment="1" applyProtection="1">
      <alignment horizontal="center" vertical="center"/>
      <protection hidden="1"/>
    </xf>
    <xf numFmtId="37" fontId="12" fillId="0" borderId="28" xfId="6" applyNumberFormat="1" applyFont="1" applyFill="1" applyBorder="1" applyAlignment="1">
      <alignment horizontal="center" vertical="center"/>
    </xf>
    <xf numFmtId="37" fontId="12" fillId="0" borderId="5" xfId="6" applyNumberFormat="1" applyFont="1" applyFill="1" applyBorder="1" applyAlignment="1">
      <alignment horizontal="center" vertical="center"/>
    </xf>
    <xf numFmtId="37" fontId="12" fillId="0" borderId="97" xfId="6" applyNumberFormat="1" applyFont="1" applyFill="1" applyBorder="1" applyAlignment="1">
      <alignment horizontal="center" vertical="center"/>
    </xf>
    <xf numFmtId="37" fontId="12" fillId="0" borderId="59" xfId="6" applyNumberFormat="1" applyFont="1" applyFill="1" applyBorder="1" applyAlignment="1">
      <alignment horizontal="center" vertical="center"/>
    </xf>
    <xf numFmtId="170" fontId="12" fillId="0" borderId="29" xfId="6" applyNumberFormat="1" applyFont="1" applyFill="1" applyBorder="1" applyAlignment="1" applyProtection="1">
      <alignment horizontal="center" vertical="center"/>
      <protection hidden="1"/>
    </xf>
    <xf numFmtId="37" fontId="12" fillId="0" borderId="0" xfId="6" applyNumberFormat="1" applyFont="1" applyFill="1" applyBorder="1" applyAlignment="1" applyProtection="1">
      <alignment horizontal="left" vertical="center"/>
      <protection hidden="1"/>
    </xf>
    <xf numFmtId="0" fontId="15" fillId="6" borderId="14" xfId="10" applyFont="1" applyFill="1" applyBorder="1" applyAlignment="1">
      <alignment vertical="center"/>
    </xf>
    <xf numFmtId="0" fontId="11" fillId="6" borderId="17" xfId="10" applyFont="1" applyFill="1" applyBorder="1" applyAlignment="1">
      <alignment vertical="center"/>
    </xf>
    <xf numFmtId="0" fontId="12" fillId="4" borderId="0" xfId="6" applyFont="1" applyFill="1" applyAlignment="1">
      <alignment vertical="center"/>
    </xf>
    <xf numFmtId="0" fontId="12" fillId="23" borderId="0" xfId="6" applyFont="1" applyFill="1" applyAlignment="1">
      <alignment vertical="center"/>
    </xf>
    <xf numFmtId="0" fontId="13" fillId="23" borderId="0" xfId="6" applyFont="1" applyFill="1" applyAlignment="1">
      <alignment vertical="center"/>
    </xf>
    <xf numFmtId="0" fontId="12" fillId="23" borderId="0" xfId="6" applyFont="1" applyFill="1" applyBorder="1" applyAlignment="1">
      <alignment vertical="center"/>
    </xf>
    <xf numFmtId="0" fontId="12" fillId="23" borderId="0" xfId="6" applyFont="1" applyFill="1" applyBorder="1" applyAlignment="1">
      <alignment horizontal="left" vertical="center"/>
    </xf>
    <xf numFmtId="0" fontId="12" fillId="23" borderId="0" xfId="6" applyNumberFormat="1" applyFont="1" applyFill="1" applyBorder="1" applyAlignment="1">
      <alignment vertical="center"/>
    </xf>
    <xf numFmtId="0" fontId="12" fillId="4" borderId="26" xfId="0" applyFont="1" applyFill="1" applyBorder="1" applyAlignment="1">
      <alignment vertical="center"/>
    </xf>
    <xf numFmtId="0" fontId="12" fillId="4" borderId="23" xfId="0" applyFont="1" applyFill="1" applyBorder="1" applyAlignment="1">
      <alignment vertical="center"/>
    </xf>
    <xf numFmtId="37" fontId="12" fillId="4" borderId="0" xfId="6" applyNumberFormat="1" applyFont="1" applyFill="1" applyBorder="1" applyAlignment="1">
      <alignment vertical="center"/>
    </xf>
    <xf numFmtId="37" fontId="11" fillId="4" borderId="0" xfId="6" applyNumberFormat="1" applyFont="1" applyFill="1" applyBorder="1" applyAlignment="1">
      <alignment vertical="center"/>
    </xf>
    <xf numFmtId="0" fontId="12" fillId="4" borderId="0" xfId="0" applyFont="1" applyFill="1" applyBorder="1" applyAlignment="1">
      <alignment vertical="center"/>
    </xf>
    <xf numFmtId="37" fontId="11" fillId="0" borderId="158" xfId="0" applyNumberFormat="1" applyFont="1" applyFill="1" applyBorder="1" applyAlignment="1">
      <alignment horizontal="center" vertical="center"/>
    </xf>
    <xf numFmtId="37" fontId="12" fillId="0" borderId="26" xfId="6" applyNumberFormat="1" applyFont="1" applyFill="1" applyBorder="1" applyAlignment="1">
      <alignment vertical="center"/>
    </xf>
    <xf numFmtId="37" fontId="12" fillId="0" borderId="27" xfId="6" applyNumberFormat="1" applyFont="1" applyFill="1" applyBorder="1" applyAlignment="1">
      <alignment vertical="center"/>
    </xf>
    <xf numFmtId="0" fontId="12" fillId="0" borderId="16" xfId="0" applyFont="1" applyFill="1" applyBorder="1" applyAlignment="1">
      <alignment vertical="center"/>
    </xf>
    <xf numFmtId="37" fontId="12" fillId="0" borderId="29" xfId="6" applyNumberFormat="1" applyFont="1" applyFill="1" applyBorder="1" applyAlignment="1">
      <alignment vertical="center"/>
    </xf>
    <xf numFmtId="0" fontId="12" fillId="0" borderId="16" xfId="0" applyFont="1" applyFill="1" applyBorder="1" applyAlignment="1">
      <alignment horizontal="center" vertical="center"/>
    </xf>
    <xf numFmtId="0" fontId="12" fillId="0" borderId="22" xfId="0" applyFont="1" applyFill="1" applyBorder="1" applyAlignment="1">
      <alignment horizontal="center" vertical="center"/>
    </xf>
    <xf numFmtId="0" fontId="12" fillId="0" borderId="31" xfId="0" applyFont="1" applyFill="1" applyBorder="1" applyAlignment="1">
      <alignment horizontal="center" vertical="center"/>
    </xf>
    <xf numFmtId="37" fontId="12" fillId="0" borderId="16" xfId="6" applyNumberFormat="1" applyFont="1" applyFill="1" applyBorder="1" applyAlignment="1">
      <alignment horizontal="center" vertical="center"/>
    </xf>
    <xf numFmtId="39" fontId="12" fillId="0" borderId="27" xfId="6" applyNumberFormat="1" applyFont="1" applyFill="1" applyBorder="1" applyAlignment="1">
      <alignment horizontal="center" vertical="center"/>
    </xf>
    <xf numFmtId="37" fontId="12" fillId="0" borderId="23" xfId="6" applyNumberFormat="1" applyFont="1" applyFill="1" applyBorder="1" applyAlignment="1">
      <alignment horizontal="center" vertical="center"/>
    </xf>
    <xf numFmtId="173" fontId="12" fillId="0" borderId="0" xfId="6" applyNumberFormat="1" applyFont="1" applyFill="1" applyBorder="1" applyAlignment="1">
      <alignment horizontal="center" vertical="center"/>
    </xf>
    <xf numFmtId="173" fontId="12" fillId="0" borderId="27" xfId="6" applyNumberFormat="1" applyFont="1" applyFill="1" applyBorder="1" applyAlignment="1">
      <alignment horizontal="center" vertical="center"/>
    </xf>
    <xf numFmtId="37" fontId="12" fillId="0" borderId="31" xfId="6" applyNumberFormat="1" applyFont="1" applyFill="1" applyBorder="1" applyAlignment="1">
      <alignment horizontal="center" vertical="center"/>
    </xf>
    <xf numFmtId="39" fontId="12" fillId="0" borderId="21" xfId="6" applyNumberFormat="1" applyFont="1" applyFill="1" applyBorder="1" applyAlignment="1">
      <alignment horizontal="center" vertical="center"/>
    </xf>
    <xf numFmtId="39" fontId="12" fillId="0" borderId="49" xfId="6" applyNumberFormat="1" applyFont="1" applyFill="1" applyBorder="1" applyAlignment="1">
      <alignment horizontal="center" vertical="center"/>
    </xf>
    <xf numFmtId="37" fontId="12" fillId="0" borderId="21" xfId="6" applyNumberFormat="1" applyFont="1" applyFill="1" applyBorder="1" applyAlignment="1">
      <alignment vertical="center"/>
    </xf>
    <xf numFmtId="173" fontId="12" fillId="0" borderId="21" xfId="6" applyNumberFormat="1" applyFont="1" applyFill="1" applyBorder="1" applyAlignment="1">
      <alignment horizontal="center" vertical="center"/>
    </xf>
    <xf numFmtId="173" fontId="12" fillId="0" borderId="49" xfId="6" applyNumberFormat="1" applyFont="1" applyFill="1" applyBorder="1" applyAlignment="1">
      <alignment horizontal="center" vertical="center"/>
    </xf>
    <xf numFmtId="39" fontId="12" fillId="0" borderId="20" xfId="6" applyNumberFormat="1" applyFont="1" applyFill="1" applyBorder="1" applyAlignment="1">
      <alignment horizontal="center" vertical="center"/>
    </xf>
    <xf numFmtId="39" fontId="12" fillId="0" borderId="50" xfId="6" applyNumberFormat="1" applyFont="1" applyFill="1" applyBorder="1" applyAlignment="1" applyProtection="1">
      <alignment horizontal="center" vertical="center"/>
      <protection hidden="1"/>
    </xf>
    <xf numFmtId="37" fontId="12" fillId="0" borderId="20" xfId="6" applyNumberFormat="1" applyFont="1" applyFill="1" applyBorder="1" applyAlignment="1">
      <alignment vertical="center"/>
    </xf>
    <xf numFmtId="173" fontId="12" fillId="0" borderId="20" xfId="6" applyNumberFormat="1" applyFont="1" applyFill="1" applyBorder="1" applyAlignment="1">
      <alignment horizontal="center" vertical="center"/>
    </xf>
    <xf numFmtId="173" fontId="12" fillId="0" borderId="50" xfId="6" applyNumberFormat="1" applyFont="1" applyFill="1" applyBorder="1" applyAlignment="1">
      <alignment horizontal="center" vertical="center"/>
    </xf>
    <xf numFmtId="39" fontId="12" fillId="0" borderId="50" xfId="6" applyNumberFormat="1" applyFont="1" applyFill="1" applyBorder="1" applyAlignment="1">
      <alignment horizontal="center" vertical="center"/>
    </xf>
    <xf numFmtId="39" fontId="12" fillId="0" borderId="27" xfId="6" applyNumberFormat="1" applyFont="1" applyFill="1" applyBorder="1" applyAlignment="1" applyProtection="1">
      <alignment horizontal="center" vertical="center"/>
      <protection hidden="1"/>
    </xf>
    <xf numFmtId="39" fontId="12" fillId="0" borderId="49" xfId="6" applyNumberFormat="1" applyFont="1" applyFill="1" applyBorder="1" applyAlignment="1" applyProtection="1">
      <alignment horizontal="center" vertical="center"/>
      <protection hidden="1"/>
    </xf>
    <xf numFmtId="37" fontId="12" fillId="4" borderId="0" xfId="6" applyNumberFormat="1" applyFont="1" applyFill="1" applyBorder="1" applyAlignment="1">
      <alignment horizontal="center" vertical="center"/>
    </xf>
    <xf numFmtId="0" fontId="15" fillId="4" borderId="14" xfId="10" applyFont="1" applyFill="1" applyBorder="1" applyAlignment="1">
      <alignment vertical="center"/>
    </xf>
    <xf numFmtId="0" fontId="7" fillId="4" borderId="17" xfId="10" applyFont="1" applyFill="1" applyBorder="1" applyAlignment="1">
      <alignment vertical="center"/>
    </xf>
    <xf numFmtId="0" fontId="7" fillId="4" borderId="30" xfId="10" applyFont="1" applyFill="1" applyBorder="1" applyAlignment="1">
      <alignment vertical="center"/>
    </xf>
    <xf numFmtId="37" fontId="11" fillId="4" borderId="19" xfId="0" applyNumberFormat="1" applyFont="1" applyFill="1" applyBorder="1" applyAlignment="1">
      <alignment horizontal="center" vertical="center"/>
    </xf>
    <xf numFmtId="170" fontId="54" fillId="0" borderId="0" xfId="6" applyNumberFormat="1" applyFont="1" applyFill="1" applyBorder="1" applyAlignment="1">
      <alignment horizontal="left"/>
    </xf>
    <xf numFmtId="173" fontId="12" fillId="0" borderId="20" xfId="6" applyNumberFormat="1" applyFont="1" applyFill="1" applyBorder="1" applyAlignment="1" applyProtection="1">
      <alignment horizontal="center" vertical="center"/>
      <protection hidden="1"/>
    </xf>
    <xf numFmtId="173" fontId="12" fillId="0" borderId="50" xfId="6" applyNumberFormat="1" applyFont="1" applyFill="1" applyBorder="1" applyAlignment="1" applyProtection="1">
      <alignment horizontal="center" vertical="center"/>
      <protection hidden="1"/>
    </xf>
    <xf numFmtId="173" fontId="12" fillId="0" borderId="0" xfId="6" applyNumberFormat="1" applyFont="1" applyFill="1" applyBorder="1" applyAlignment="1" applyProtection="1">
      <alignment horizontal="center" vertical="center"/>
      <protection hidden="1"/>
    </xf>
    <xf numFmtId="173" fontId="12" fillId="0" borderId="27" xfId="6" applyNumberFormat="1" applyFont="1" applyFill="1" applyBorder="1" applyAlignment="1" applyProtection="1">
      <alignment horizontal="center" vertical="center"/>
      <protection hidden="1"/>
    </xf>
    <xf numFmtId="173" fontId="12" fillId="0" borderId="21" xfId="6" applyNumberFormat="1" applyFont="1" applyFill="1" applyBorder="1" applyAlignment="1" applyProtection="1">
      <alignment horizontal="center" vertical="center"/>
      <protection hidden="1"/>
    </xf>
    <xf numFmtId="173" fontId="12" fillId="0" borderId="49" xfId="6" applyNumberFormat="1" applyFont="1" applyFill="1" applyBorder="1" applyAlignment="1" applyProtection="1">
      <alignment horizontal="center" vertical="center"/>
      <protection hidden="1"/>
    </xf>
    <xf numFmtId="0" fontId="12" fillId="0" borderId="0" xfId="6" applyFont="1" applyFill="1" applyBorder="1" applyAlignment="1">
      <alignment horizontal="right" vertical="center"/>
    </xf>
    <xf numFmtId="0" fontId="12" fillId="0" borderId="0" xfId="6" applyNumberFormat="1" applyFont="1" applyFill="1" applyBorder="1" applyAlignment="1">
      <alignment horizontal="right" vertical="center"/>
    </xf>
    <xf numFmtId="0" fontId="69" fillId="0" borderId="0" xfId="6" applyFont="1" applyFill="1" applyAlignment="1">
      <alignment vertical="center"/>
    </xf>
    <xf numFmtId="0" fontId="12" fillId="0" borderId="2" xfId="6" applyFont="1" applyFill="1" applyBorder="1" applyAlignment="1">
      <alignment vertical="center"/>
    </xf>
    <xf numFmtId="37" fontId="11" fillId="0" borderId="17" xfId="0" applyNumberFormat="1" applyFont="1" applyFill="1" applyBorder="1" applyAlignment="1">
      <alignment horizontal="left" vertical="center"/>
    </xf>
    <xf numFmtId="0" fontId="11" fillId="0" borderId="22" xfId="6" applyFont="1" applyFill="1" applyBorder="1" applyAlignment="1">
      <alignment horizontal="center" vertical="center"/>
    </xf>
    <xf numFmtId="0" fontId="12" fillId="0" borderId="17" xfId="6" applyFont="1" applyFill="1" applyBorder="1" applyAlignment="1">
      <alignment vertical="center"/>
    </xf>
    <xf numFmtId="0" fontId="12" fillId="0" borderId="17" xfId="6" applyFont="1" applyFill="1" applyBorder="1" applyAlignment="1">
      <alignment horizontal="center" vertical="center"/>
    </xf>
    <xf numFmtId="0" fontId="12" fillId="0" borderId="30" xfId="6" applyFont="1" applyFill="1" applyBorder="1" applyAlignment="1">
      <alignment horizontal="center" vertical="center"/>
    </xf>
    <xf numFmtId="37" fontId="12" fillId="0" borderId="0" xfId="6" applyNumberFormat="1" applyFont="1" applyFill="1" applyBorder="1" applyAlignment="1" applyProtection="1">
      <alignment horizontal="left"/>
      <protection hidden="1"/>
    </xf>
    <xf numFmtId="0" fontId="12" fillId="0" borderId="6" xfId="6" applyFont="1" applyFill="1" applyBorder="1" applyAlignment="1">
      <alignment horizontal="center" vertical="center"/>
    </xf>
    <xf numFmtId="0" fontId="12" fillId="0" borderId="2" xfId="6" applyFont="1" applyFill="1" applyBorder="1" applyAlignment="1">
      <alignment horizontal="center" vertical="center"/>
    </xf>
    <xf numFmtId="37" fontId="11" fillId="0" borderId="1" xfId="6" applyNumberFormat="1" applyFont="1" applyFill="1" applyBorder="1" applyAlignment="1">
      <alignment vertical="center"/>
    </xf>
    <xf numFmtId="37" fontId="11" fillId="0" borderId="2" xfId="6" applyNumberFormat="1" applyFont="1" applyFill="1" applyBorder="1" applyAlignment="1">
      <alignment vertical="center"/>
    </xf>
    <xf numFmtId="37" fontId="11" fillId="0" borderId="2" xfId="6" applyNumberFormat="1" applyFont="1" applyFill="1" applyBorder="1" applyAlignment="1">
      <alignment horizontal="center" vertical="center"/>
    </xf>
    <xf numFmtId="37" fontId="11" fillId="0" borderId="18" xfId="6" applyNumberFormat="1" applyFont="1" applyFill="1" applyBorder="1" applyAlignment="1">
      <alignment horizontal="center" vertical="center"/>
    </xf>
    <xf numFmtId="37" fontId="11" fillId="0" borderId="107" xfId="6" applyNumberFormat="1" applyFont="1" applyFill="1" applyBorder="1" applyAlignment="1">
      <alignment vertical="center"/>
    </xf>
    <xf numFmtId="37" fontId="11" fillId="0" borderId="12" xfId="6" applyNumberFormat="1" applyFont="1" applyFill="1" applyBorder="1" applyAlignment="1">
      <alignment vertical="center"/>
    </xf>
    <xf numFmtId="37" fontId="11" fillId="0" borderId="12" xfId="6" applyNumberFormat="1" applyFont="1" applyFill="1" applyBorder="1" applyAlignment="1">
      <alignment horizontal="center" vertical="center"/>
    </xf>
    <xf numFmtId="37" fontId="12" fillId="0" borderId="0" xfId="6" applyNumberFormat="1" applyFont="1" applyFill="1" applyBorder="1" applyAlignment="1" applyProtection="1">
      <alignment horizontal="center"/>
      <protection hidden="1"/>
    </xf>
    <xf numFmtId="37" fontId="11" fillId="0" borderId="0" xfId="6" applyNumberFormat="1" applyFont="1" applyFill="1" applyBorder="1" applyAlignment="1" applyProtection="1">
      <alignment horizontal="left"/>
      <protection hidden="1"/>
    </xf>
    <xf numFmtId="0" fontId="11" fillId="0" borderId="0" xfId="6" applyFont="1" applyFill="1" applyBorder="1" applyAlignment="1">
      <alignment horizontal="center" vertical="center"/>
    </xf>
    <xf numFmtId="37" fontId="11" fillId="0" borderId="48" xfId="6" applyNumberFormat="1" applyFont="1" applyFill="1" applyBorder="1" applyAlignment="1" applyProtection="1">
      <alignment horizontal="left"/>
      <protection hidden="1"/>
    </xf>
    <xf numFmtId="0" fontId="12" fillId="0" borderId="44" xfId="6" applyFont="1" applyFill="1" applyBorder="1" applyAlignment="1">
      <alignment vertical="center"/>
    </xf>
    <xf numFmtId="37" fontId="11" fillId="0" borderId="43" xfId="6" applyNumberFormat="1" applyFont="1" applyFill="1" applyBorder="1" applyAlignment="1" applyProtection="1">
      <alignment horizontal="left"/>
      <protection hidden="1"/>
    </xf>
    <xf numFmtId="37" fontId="11" fillId="0" borderId="2" xfId="6" applyNumberFormat="1" applyFont="1" applyFill="1" applyBorder="1" applyAlignment="1" applyProtection="1">
      <alignment horizontal="left"/>
      <protection hidden="1"/>
    </xf>
    <xf numFmtId="0" fontId="12" fillId="0" borderId="40" xfId="6" applyFont="1" applyFill="1" applyBorder="1" applyAlignment="1">
      <alignment vertical="center"/>
    </xf>
    <xf numFmtId="0" fontId="12" fillId="0" borderId="21" xfId="6" applyFont="1" applyFill="1" applyBorder="1" applyAlignment="1">
      <alignment vertical="center"/>
    </xf>
    <xf numFmtId="37" fontId="11" fillId="0" borderId="41" xfId="6" applyNumberFormat="1" applyFont="1" applyFill="1" applyBorder="1" applyAlignment="1" applyProtection="1">
      <alignment horizontal="left"/>
      <protection hidden="1"/>
    </xf>
    <xf numFmtId="0" fontId="12" fillId="0" borderId="19" xfId="6" applyFont="1" applyFill="1" applyBorder="1" applyAlignment="1">
      <alignment vertical="center"/>
    </xf>
    <xf numFmtId="0" fontId="11" fillId="0" borderId="2" xfId="6" applyFont="1" applyFill="1" applyBorder="1" applyAlignment="1">
      <alignment horizontal="center" vertical="center"/>
    </xf>
    <xf numFmtId="37" fontId="11" fillId="0" borderId="0" xfId="6" applyNumberFormat="1" applyFont="1" applyFill="1" applyBorder="1" applyAlignment="1">
      <alignment horizontal="center" vertical="center"/>
    </xf>
    <xf numFmtId="37" fontId="12" fillId="0" borderId="51" xfId="6" applyNumberFormat="1" applyFont="1" applyFill="1" applyBorder="1" applyAlignment="1" applyProtection="1">
      <alignment horizontal="left"/>
      <protection hidden="1"/>
    </xf>
    <xf numFmtId="37" fontId="12" fillId="0" borderId="19" xfId="6" applyNumberFormat="1" applyFont="1" applyFill="1" applyBorder="1" applyAlignment="1" applyProtection="1">
      <alignment horizontal="left"/>
      <protection hidden="1"/>
    </xf>
    <xf numFmtId="37" fontId="11" fillId="0" borderId="19" xfId="6" applyNumberFormat="1" applyFont="1" applyFill="1" applyBorder="1" applyAlignment="1" applyProtection="1">
      <alignment horizontal="left"/>
      <protection hidden="1"/>
    </xf>
    <xf numFmtId="37" fontId="11" fillId="0" borderId="22" xfId="6" applyNumberFormat="1" applyFont="1" applyFill="1" applyBorder="1" applyAlignment="1">
      <alignment vertical="center"/>
    </xf>
    <xf numFmtId="1" fontId="11" fillId="0" borderId="2" xfId="6" applyNumberFormat="1" applyFont="1" applyFill="1" applyBorder="1" applyAlignment="1">
      <alignment horizontal="center" vertical="center"/>
    </xf>
    <xf numFmtId="1" fontId="11" fillId="0" borderId="0" xfId="6" applyNumberFormat="1" applyFont="1" applyFill="1" applyBorder="1" applyAlignment="1">
      <alignment horizontal="center" vertical="center"/>
    </xf>
    <xf numFmtId="0" fontId="11" fillId="0" borderId="45" xfId="6" applyFont="1" applyFill="1" applyBorder="1" applyAlignment="1">
      <alignment horizontal="center" vertical="center"/>
    </xf>
    <xf numFmtId="0" fontId="11" fillId="0" borderId="11" xfId="6" applyFont="1" applyFill="1" applyBorder="1" applyAlignment="1">
      <alignment horizontal="center" vertical="center"/>
    </xf>
    <xf numFmtId="0" fontId="11" fillId="0" borderId="96" xfId="6" applyFont="1" applyFill="1" applyBorder="1" applyAlignment="1">
      <alignment horizontal="center" vertical="center"/>
    </xf>
    <xf numFmtId="0" fontId="11" fillId="0" borderId="13" xfId="6" applyFont="1" applyFill="1" applyBorder="1" applyAlignment="1">
      <alignment horizontal="center" vertical="center"/>
    </xf>
    <xf numFmtId="0" fontId="68" fillId="0" borderId="0" xfId="12" applyFont="1" applyFill="1" applyAlignment="1">
      <alignment horizontal="right"/>
    </xf>
    <xf numFmtId="1" fontId="11" fillId="0" borderId="9" xfId="6" applyNumberFormat="1" applyFont="1" applyFill="1" applyBorder="1" applyAlignment="1">
      <alignment horizontal="center" vertical="center"/>
    </xf>
    <xf numFmtId="1" fontId="11" fillId="0" borderId="7" xfId="6" applyNumberFormat="1" applyFont="1" applyFill="1" applyBorder="1" applyAlignment="1">
      <alignment horizontal="center" vertical="center"/>
    </xf>
    <xf numFmtId="0" fontId="12" fillId="0" borderId="36" xfId="6" applyFont="1" applyFill="1" applyBorder="1" applyAlignment="1">
      <alignment vertical="center"/>
    </xf>
    <xf numFmtId="0" fontId="12" fillId="0" borderId="106" xfId="6" applyFont="1" applyFill="1" applyBorder="1" applyAlignment="1">
      <alignment vertical="center"/>
    </xf>
    <xf numFmtId="0" fontId="12" fillId="0" borderId="103" xfId="6" applyFont="1" applyFill="1" applyBorder="1" applyAlignment="1">
      <alignment vertical="center"/>
    </xf>
    <xf numFmtId="1" fontId="12" fillId="0" borderId="53" xfId="6" applyNumberFormat="1" applyFont="1" applyFill="1" applyBorder="1" applyAlignment="1">
      <alignment horizontal="center" vertical="center"/>
    </xf>
    <xf numFmtId="1" fontId="11" fillId="0" borderId="3" xfId="6" applyNumberFormat="1" applyFont="1" applyFill="1" applyBorder="1" applyAlignment="1">
      <alignment horizontal="center" vertical="center"/>
    </xf>
    <xf numFmtId="37" fontId="11" fillId="0" borderId="18" xfId="6" applyNumberFormat="1" applyFont="1" applyFill="1" applyBorder="1" applyAlignment="1" applyProtection="1">
      <alignment horizontal="left"/>
      <protection hidden="1"/>
    </xf>
    <xf numFmtId="3" fontId="12" fillId="0" borderId="19" xfId="6" applyNumberFormat="1" applyFont="1" applyFill="1" applyBorder="1" applyAlignment="1">
      <alignment horizontal="left" vertical="center"/>
    </xf>
    <xf numFmtId="3" fontId="12" fillId="0" borderId="22" xfId="6" applyNumberFormat="1" applyFont="1" applyFill="1" applyBorder="1" applyAlignment="1">
      <alignment horizontal="center" vertical="center"/>
    </xf>
    <xf numFmtId="3" fontId="12" fillId="0" borderId="18" xfId="6" applyNumberFormat="1" applyFont="1" applyFill="1" applyBorder="1" applyAlignment="1">
      <alignment horizontal="center" vertical="center"/>
    </xf>
    <xf numFmtId="3" fontId="12" fillId="0" borderId="2" xfId="6" applyNumberFormat="1" applyFont="1" applyFill="1" applyBorder="1" applyAlignment="1">
      <alignment horizontal="center" vertical="center"/>
    </xf>
    <xf numFmtId="3" fontId="11" fillId="0" borderId="0" xfId="6" applyNumberFormat="1" applyFont="1" applyFill="1" applyAlignment="1">
      <alignment horizontal="center" vertical="center"/>
    </xf>
    <xf numFmtId="0" fontId="11" fillId="0" borderId="19" xfId="6" applyFont="1" applyFill="1" applyBorder="1" applyAlignment="1">
      <alignment vertical="center"/>
    </xf>
    <xf numFmtId="37" fontId="11" fillId="0" borderId="22" xfId="6" applyNumberFormat="1" applyFont="1" applyFill="1" applyBorder="1" applyAlignment="1" applyProtection="1">
      <alignment horizontal="left"/>
      <protection hidden="1"/>
    </xf>
    <xf numFmtId="9" fontId="11" fillId="0" borderId="2" xfId="7" applyFont="1" applyFill="1" applyBorder="1" applyAlignment="1">
      <alignment horizontal="center" vertical="center"/>
    </xf>
    <xf numFmtId="9" fontId="11" fillId="0" borderId="19" xfId="7" applyFont="1" applyFill="1" applyBorder="1" applyAlignment="1">
      <alignment horizontal="center" vertical="center"/>
    </xf>
    <xf numFmtId="37" fontId="11" fillId="4" borderId="17" xfId="6" applyNumberFormat="1" applyFont="1" applyFill="1" applyBorder="1" applyAlignment="1">
      <alignment vertical="center"/>
    </xf>
    <xf numFmtId="37" fontId="12" fillId="4" borderId="17" xfId="6" applyNumberFormat="1" applyFont="1" applyFill="1" applyBorder="1" applyAlignment="1">
      <alignment vertical="center"/>
    </xf>
    <xf numFmtId="37" fontId="12" fillId="4" borderId="17" xfId="6" applyNumberFormat="1" applyFont="1" applyFill="1" applyBorder="1" applyAlignment="1">
      <alignment horizontal="center" vertical="center"/>
    </xf>
    <xf numFmtId="37" fontId="12" fillId="4" borderId="30" xfId="6" applyNumberFormat="1" applyFont="1" applyFill="1" applyBorder="1" applyAlignment="1">
      <alignment vertical="center"/>
    </xf>
    <xf numFmtId="0" fontId="12" fillId="4" borderId="17" xfId="6" applyNumberFormat="1" applyFont="1" applyFill="1" applyBorder="1" applyAlignment="1">
      <alignment vertical="center"/>
    </xf>
    <xf numFmtId="0" fontId="12" fillId="4" borderId="17" xfId="6" applyFont="1" applyFill="1" applyBorder="1" applyAlignment="1">
      <alignment vertical="center"/>
    </xf>
    <xf numFmtId="0" fontId="12" fillId="4" borderId="30" xfId="6" applyFont="1" applyFill="1" applyBorder="1" applyAlignment="1">
      <alignment vertical="center"/>
    </xf>
    <xf numFmtId="37" fontId="11" fillId="0" borderId="14" xfId="6" applyNumberFormat="1" applyFont="1" applyFill="1" applyBorder="1" applyAlignment="1">
      <alignment vertical="center"/>
    </xf>
    <xf numFmtId="37" fontId="12" fillId="0" borderId="17" xfId="6" applyNumberFormat="1" applyFont="1" applyFill="1" applyBorder="1" applyAlignment="1">
      <alignment vertical="center"/>
    </xf>
    <xf numFmtId="37" fontId="12" fillId="0" borderId="17" xfId="6" applyNumberFormat="1" applyFont="1" applyFill="1" applyBorder="1" applyAlignment="1">
      <alignment horizontal="center" vertical="center"/>
    </xf>
    <xf numFmtId="37" fontId="12" fillId="0" borderId="30" xfId="6" applyNumberFormat="1" applyFont="1" applyFill="1" applyBorder="1" applyAlignment="1">
      <alignment vertical="center"/>
    </xf>
    <xf numFmtId="0" fontId="11" fillId="0" borderId="14" xfId="6" applyNumberFormat="1" applyFont="1" applyFill="1" applyBorder="1" applyAlignment="1">
      <alignment vertical="center"/>
    </xf>
    <xf numFmtId="0" fontId="12" fillId="0" borderId="30" xfId="6" applyFont="1" applyFill="1" applyBorder="1" applyAlignment="1">
      <alignment vertical="center"/>
    </xf>
    <xf numFmtId="0" fontId="12" fillId="0" borderId="14" xfId="6" applyFont="1" applyFill="1" applyBorder="1" applyAlignment="1">
      <alignment vertical="center"/>
    </xf>
    <xf numFmtId="37" fontId="11" fillId="0" borderId="0" xfId="6" applyNumberFormat="1" applyFont="1" applyFill="1" applyAlignment="1">
      <alignment horizontal="center" vertical="center"/>
    </xf>
    <xf numFmtId="0" fontId="11" fillId="0" borderId="0" xfId="6" applyNumberFormat="1" applyFont="1" applyFill="1" applyBorder="1" applyAlignment="1">
      <alignment horizontal="center" vertical="center"/>
    </xf>
    <xf numFmtId="37" fontId="12" fillId="0" borderId="0" xfId="6" applyNumberFormat="1" applyFont="1" applyFill="1" applyAlignment="1">
      <alignment horizontal="right" vertical="center"/>
    </xf>
    <xf numFmtId="37" fontId="12" fillId="0" borderId="6" xfId="6" applyNumberFormat="1" applyFont="1" applyFill="1" applyBorder="1" applyAlignment="1">
      <alignment horizontal="center" vertical="center"/>
    </xf>
    <xf numFmtId="37" fontId="12" fillId="0" borderId="25" xfId="6" applyNumberFormat="1" applyFont="1" applyFill="1" applyBorder="1" applyAlignment="1">
      <alignment horizontal="center" vertical="center"/>
    </xf>
    <xf numFmtId="37" fontId="12" fillId="0" borderId="9" xfId="6" applyNumberFormat="1" applyFont="1" applyFill="1" applyBorder="1" applyAlignment="1">
      <alignment horizontal="center" vertical="center"/>
    </xf>
    <xf numFmtId="9" fontId="12" fillId="0" borderId="0" xfId="7" applyFont="1" applyFill="1" applyBorder="1" applyAlignment="1">
      <alignment vertical="center"/>
    </xf>
    <xf numFmtId="37" fontId="12" fillId="0" borderId="1" xfId="6" applyNumberFormat="1" applyFont="1" applyFill="1" applyBorder="1" applyAlignment="1">
      <alignment horizontal="center" vertical="center"/>
    </xf>
    <xf numFmtId="37" fontId="12" fillId="0" borderId="7" xfId="6" applyNumberFormat="1" applyFont="1" applyFill="1" applyBorder="1" applyAlignment="1">
      <alignment horizontal="center" vertical="center"/>
    </xf>
    <xf numFmtId="2" fontId="12" fillId="0" borderId="0" xfId="6" applyNumberFormat="1" applyFont="1" applyFill="1" applyBorder="1" applyAlignment="1">
      <alignment vertical="center"/>
    </xf>
    <xf numFmtId="37" fontId="11" fillId="0" borderId="16" xfId="6" applyNumberFormat="1" applyFont="1" applyFill="1" applyBorder="1" applyAlignment="1">
      <alignment vertical="center"/>
    </xf>
    <xf numFmtId="37" fontId="11" fillId="0" borderId="18" xfId="6" applyNumberFormat="1" applyFont="1" applyFill="1" applyBorder="1" applyAlignment="1">
      <alignment vertical="center"/>
    </xf>
    <xf numFmtId="37" fontId="12" fillId="0" borderId="107" xfId="6" applyNumberFormat="1" applyFont="1" applyFill="1" applyBorder="1" applyAlignment="1">
      <alignment horizontal="center" vertical="center"/>
    </xf>
    <xf numFmtId="37" fontId="12" fillId="0" borderId="12" xfId="6" applyNumberFormat="1" applyFont="1" applyFill="1" applyBorder="1" applyAlignment="1">
      <alignment horizontal="center" vertical="center"/>
    </xf>
    <xf numFmtId="37" fontId="12" fillId="0" borderId="54" xfId="6" applyNumberFormat="1" applyFont="1" applyFill="1" applyBorder="1" applyAlignment="1">
      <alignment horizontal="center" vertical="center"/>
    </xf>
    <xf numFmtId="37" fontId="12" fillId="0" borderId="0" xfId="6" applyNumberFormat="1" applyFont="1" applyFill="1" applyBorder="1" applyAlignment="1">
      <alignment horizontal="right" vertical="center"/>
    </xf>
    <xf numFmtId="37" fontId="11" fillId="0" borderId="54" xfId="6" applyNumberFormat="1" applyFont="1" applyFill="1" applyBorder="1" applyAlignment="1">
      <alignment horizontal="center" vertical="center"/>
    </xf>
    <xf numFmtId="37" fontId="12" fillId="0" borderId="31" xfId="6" applyNumberFormat="1" applyFont="1" applyFill="1" applyBorder="1" applyAlignment="1">
      <alignment horizontal="right" vertical="center"/>
    </xf>
    <xf numFmtId="37" fontId="11" fillId="0" borderId="25" xfId="6" applyNumberFormat="1" applyFont="1" applyFill="1" applyBorder="1" applyAlignment="1">
      <alignment horizontal="center" vertical="center"/>
    </xf>
    <xf numFmtId="37" fontId="11" fillId="0" borderId="6" xfId="6" applyNumberFormat="1" applyFont="1" applyFill="1" applyBorder="1" applyAlignment="1">
      <alignment horizontal="center" vertical="center"/>
    </xf>
    <xf numFmtId="37" fontId="11" fillId="0" borderId="15" xfId="6" applyNumberFormat="1" applyFont="1" applyFill="1" applyBorder="1" applyAlignment="1">
      <alignment horizontal="center" vertical="center"/>
    </xf>
    <xf numFmtId="37" fontId="12" fillId="0" borderId="7" xfId="6" applyNumberFormat="1" applyFont="1" applyFill="1" applyBorder="1" applyAlignment="1">
      <alignment horizontal="right" vertical="center"/>
    </xf>
    <xf numFmtId="37" fontId="11" fillId="0" borderId="34" xfId="6" applyNumberFormat="1" applyFont="1" applyFill="1" applyBorder="1" applyAlignment="1">
      <alignment horizontal="center" vertical="center"/>
    </xf>
    <xf numFmtId="37" fontId="11" fillId="0" borderId="53" xfId="6" applyNumberFormat="1" applyFont="1" applyFill="1" applyBorder="1" applyAlignment="1">
      <alignment horizontal="center" vertical="center"/>
    </xf>
    <xf numFmtId="37" fontId="11" fillId="0" borderId="3" xfId="6" applyNumberFormat="1" applyFont="1" applyFill="1" applyBorder="1" applyAlignment="1">
      <alignment horizontal="center" vertical="center"/>
    </xf>
    <xf numFmtId="37" fontId="11" fillId="0" borderId="105" xfId="6" applyNumberFormat="1" applyFont="1" applyFill="1" applyBorder="1" applyAlignment="1">
      <alignment horizontal="center" vertical="center"/>
    </xf>
    <xf numFmtId="0" fontId="11" fillId="0" borderId="0" xfId="6" applyNumberFormat="1" applyFont="1" applyFill="1" applyAlignment="1">
      <alignment vertical="center"/>
    </xf>
    <xf numFmtId="0" fontId="12" fillId="0" borderId="25" xfId="6" applyNumberFormat="1" applyFont="1" applyFill="1" applyBorder="1" applyAlignment="1">
      <alignment horizontal="center" vertical="center"/>
    </xf>
    <xf numFmtId="39" fontId="12" fillId="0" borderId="0" xfId="6" applyNumberFormat="1" applyFont="1" applyFill="1" applyAlignment="1">
      <alignment horizontal="center" vertical="center"/>
    </xf>
    <xf numFmtId="0" fontId="12" fillId="0" borderId="107" xfId="6" applyNumberFormat="1" applyFont="1" applyFill="1" applyBorder="1" applyAlignment="1">
      <alignment horizontal="center" vertical="center"/>
    </xf>
    <xf numFmtId="0" fontId="11" fillId="0" borderId="26" xfId="6" applyFont="1" applyFill="1" applyBorder="1" applyAlignment="1">
      <alignment vertical="center"/>
    </xf>
    <xf numFmtId="1" fontId="12" fillId="0" borderId="6" xfId="6" applyNumberFormat="1" applyFont="1" applyFill="1" applyBorder="1" applyAlignment="1">
      <alignment vertical="center"/>
    </xf>
    <xf numFmtId="1" fontId="12" fillId="0" borderId="41" xfId="6" applyNumberFormat="1" applyFont="1" applyFill="1" applyBorder="1" applyAlignment="1">
      <alignment vertical="center"/>
    </xf>
    <xf numFmtId="1" fontId="12" fillId="0" borderId="9" xfId="6" applyNumberFormat="1" applyFont="1" applyFill="1" applyBorder="1" applyAlignment="1">
      <alignment vertical="center"/>
    </xf>
    <xf numFmtId="0" fontId="12" fillId="0" borderId="1" xfId="6" applyFont="1" applyFill="1" applyBorder="1" applyAlignment="1">
      <alignment vertical="center"/>
    </xf>
    <xf numFmtId="0" fontId="12" fillId="0" borderId="31" xfId="6" applyFont="1" applyFill="1" applyBorder="1" applyAlignment="1">
      <alignment vertical="center"/>
    </xf>
    <xf numFmtId="0" fontId="12" fillId="0" borderId="34" xfId="6" applyFont="1" applyFill="1" applyBorder="1" applyAlignment="1">
      <alignment vertical="center"/>
    </xf>
    <xf numFmtId="0" fontId="12" fillId="0" borderId="5" xfId="6" applyFont="1" applyFill="1" applyBorder="1" applyAlignment="1">
      <alignment vertical="center"/>
    </xf>
    <xf numFmtId="0" fontId="12" fillId="0" borderId="37" xfId="6" applyFont="1" applyFill="1" applyBorder="1" applyAlignment="1">
      <alignment vertical="center"/>
    </xf>
    <xf numFmtId="0" fontId="12" fillId="0" borderId="17" xfId="6" applyNumberFormat="1" applyFont="1" applyFill="1" applyBorder="1" applyAlignment="1">
      <alignment vertical="center"/>
    </xf>
    <xf numFmtId="1" fontId="12" fillId="0" borderId="11" xfId="6" applyNumberFormat="1" applyFont="1" applyFill="1" applyBorder="1" applyAlignment="1">
      <alignment vertical="center"/>
    </xf>
    <xf numFmtId="37" fontId="12" fillId="0" borderId="93" xfId="6" applyNumberFormat="1" applyFont="1" applyFill="1" applyBorder="1" applyAlignment="1">
      <alignment vertical="center"/>
    </xf>
    <xf numFmtId="37" fontId="12" fillId="0" borderId="11" xfId="6" applyNumberFormat="1" applyFont="1" applyFill="1" applyBorder="1" applyAlignment="1">
      <alignment vertical="center"/>
    </xf>
    <xf numFmtId="37" fontId="12" fillId="0" borderId="13" xfId="6" applyNumberFormat="1" applyFont="1" applyFill="1" applyBorder="1" applyAlignment="1">
      <alignment vertical="center"/>
    </xf>
    <xf numFmtId="37" fontId="12" fillId="0" borderId="6" xfId="6" applyNumberFormat="1" applyFont="1" applyFill="1" applyBorder="1" applyAlignment="1">
      <alignment vertical="center"/>
    </xf>
    <xf numFmtId="37" fontId="12" fillId="0" borderId="9" xfId="6" applyNumberFormat="1" applyFont="1" applyFill="1" applyBorder="1" applyAlignment="1">
      <alignment vertical="center"/>
    </xf>
    <xf numFmtId="37" fontId="12" fillId="0" borderId="42" xfId="6" applyNumberFormat="1" applyFont="1" applyFill="1" applyBorder="1" applyAlignment="1">
      <alignment vertical="center"/>
    </xf>
    <xf numFmtId="37" fontId="12" fillId="0" borderId="60" xfId="6" applyNumberFormat="1" applyFont="1" applyFill="1" applyBorder="1" applyAlignment="1">
      <alignment vertical="center"/>
    </xf>
    <xf numFmtId="37" fontId="12" fillId="0" borderId="16" xfId="6" applyNumberFormat="1" applyFont="1" applyFill="1" applyBorder="1" applyAlignment="1">
      <alignment vertical="center"/>
    </xf>
    <xf numFmtId="37" fontId="12" fillId="0" borderId="2" xfId="6" applyNumberFormat="1" applyFont="1" applyFill="1" applyBorder="1" applyAlignment="1">
      <alignment vertical="center"/>
    </xf>
    <xf numFmtId="37" fontId="12" fillId="0" borderId="7" xfId="6" applyNumberFormat="1" applyFont="1" applyFill="1" applyBorder="1" applyAlignment="1">
      <alignment vertical="center"/>
    </xf>
    <xf numFmtId="37" fontId="12" fillId="0" borderId="1" xfId="6" applyNumberFormat="1" applyFont="1" applyFill="1" applyBorder="1" applyAlignment="1">
      <alignment vertical="center"/>
    </xf>
    <xf numFmtId="0" fontId="11" fillId="0" borderId="20" xfId="6" applyFont="1" applyFill="1" applyBorder="1" applyAlignment="1">
      <alignment horizontal="center" vertical="center"/>
    </xf>
    <xf numFmtId="0" fontId="11" fillId="0" borderId="22" xfId="6" applyFont="1" applyFill="1" applyBorder="1" applyAlignment="1">
      <alignment horizontal="left" vertical="center"/>
    </xf>
    <xf numFmtId="37" fontId="11" fillId="0" borderId="42" xfId="6" applyNumberFormat="1" applyFont="1" applyFill="1" applyBorder="1" applyAlignment="1">
      <alignment horizontal="center" vertical="center"/>
    </xf>
    <xf numFmtId="1" fontId="12" fillId="0" borderId="0" xfId="6" applyNumberFormat="1" applyFont="1" applyFill="1" applyBorder="1" applyAlignment="1">
      <alignment vertical="center"/>
    </xf>
    <xf numFmtId="0" fontId="11" fillId="0" borderId="12" xfId="6" applyFont="1" applyFill="1" applyBorder="1" applyAlignment="1">
      <alignment horizontal="center" vertical="center"/>
    </xf>
    <xf numFmtId="0" fontId="11" fillId="0" borderId="0" xfId="6" applyFont="1" applyFill="1" applyBorder="1" applyAlignment="1">
      <alignment vertical="center"/>
    </xf>
    <xf numFmtId="0" fontId="11" fillId="0" borderId="42" xfId="6" applyFont="1" applyFill="1" applyBorder="1" applyAlignment="1">
      <alignment horizontal="center" vertical="center"/>
    </xf>
    <xf numFmtId="0" fontId="12" fillId="0" borderId="0" xfId="6" applyFont="1" applyFill="1" applyAlignment="1">
      <alignment horizontal="right" vertical="center"/>
    </xf>
    <xf numFmtId="1" fontId="12" fillId="0" borderId="19" xfId="6" applyNumberFormat="1" applyFont="1" applyFill="1" applyBorder="1" applyAlignment="1">
      <alignment horizontal="center" vertical="center"/>
    </xf>
    <xf numFmtId="37" fontId="11" fillId="0" borderId="17" xfId="6" applyNumberFormat="1" applyFont="1" applyFill="1" applyBorder="1" applyAlignment="1">
      <alignment vertical="center"/>
    </xf>
    <xf numFmtId="37" fontId="11" fillId="0" borderId="30" xfId="6" applyNumberFormat="1" applyFont="1" applyFill="1" applyBorder="1" applyAlignment="1">
      <alignment vertical="center"/>
    </xf>
    <xf numFmtId="37" fontId="12" fillId="0" borderId="28" xfId="6" applyNumberFormat="1" applyFont="1" applyFill="1" applyBorder="1" applyAlignment="1">
      <alignment vertical="center"/>
    </xf>
    <xf numFmtId="37" fontId="12" fillId="0" borderId="55" xfId="6" applyNumberFormat="1" applyFont="1" applyFill="1" applyBorder="1" applyAlignment="1">
      <alignment vertical="center"/>
    </xf>
    <xf numFmtId="37" fontId="12" fillId="0" borderId="57" xfId="6" applyNumberFormat="1" applyFont="1" applyFill="1" applyBorder="1" applyAlignment="1">
      <alignment vertical="center"/>
    </xf>
    <xf numFmtId="37" fontId="12" fillId="0" borderId="14" xfId="6" applyNumberFormat="1" applyFont="1" applyFill="1" applyBorder="1" applyAlignment="1">
      <alignment vertical="center"/>
    </xf>
    <xf numFmtId="0" fontId="12" fillId="0" borderId="22" xfId="6" applyFont="1" applyFill="1" applyBorder="1" applyAlignment="1">
      <alignment horizontal="center" vertical="center"/>
    </xf>
    <xf numFmtId="0" fontId="12" fillId="0" borderId="23" xfId="6" applyFont="1" applyFill="1" applyBorder="1" applyAlignment="1">
      <alignment vertical="center"/>
    </xf>
    <xf numFmtId="0" fontId="12" fillId="0" borderId="45" xfId="6" applyFont="1" applyFill="1" applyBorder="1" applyAlignment="1">
      <alignment vertical="center"/>
    </xf>
    <xf numFmtId="1" fontId="11" fillId="0" borderId="90" xfId="6" applyNumberFormat="1" applyFont="1" applyFill="1" applyBorder="1" applyAlignment="1">
      <alignment horizontal="center" vertical="center"/>
    </xf>
    <xf numFmtId="1" fontId="11" fillId="0" borderId="33" xfId="6" applyNumberFormat="1" applyFont="1" applyFill="1" applyBorder="1" applyAlignment="1">
      <alignment horizontal="center" vertical="center"/>
    </xf>
    <xf numFmtId="0" fontId="12" fillId="0" borderId="31" xfId="6" applyFont="1" applyFill="1" applyBorder="1" applyAlignment="1">
      <alignment horizontal="center" vertical="center"/>
    </xf>
    <xf numFmtId="0" fontId="12" fillId="0" borderId="18" xfId="6" applyFont="1" applyFill="1" applyBorder="1" applyAlignment="1">
      <alignment horizontal="right" vertical="center"/>
    </xf>
    <xf numFmtId="0" fontId="12" fillId="0" borderId="41" xfId="6" applyFont="1" applyFill="1" applyBorder="1" applyAlignment="1">
      <alignment vertical="center"/>
    </xf>
    <xf numFmtId="0" fontId="12" fillId="0" borderId="49" xfId="6" applyFont="1" applyFill="1" applyBorder="1" applyAlignment="1">
      <alignment vertical="center"/>
    </xf>
    <xf numFmtId="0" fontId="12" fillId="0" borderId="28" xfId="6" applyFont="1" applyFill="1" applyBorder="1" applyAlignment="1">
      <alignment vertical="center"/>
    </xf>
    <xf numFmtId="0" fontId="12" fillId="0" borderId="105" xfId="6" applyFont="1" applyFill="1" applyBorder="1" applyAlignment="1">
      <alignment vertical="center"/>
    </xf>
    <xf numFmtId="0" fontId="12" fillId="0" borderId="103" xfId="6" applyFont="1" applyFill="1" applyBorder="1" applyAlignment="1">
      <alignment horizontal="right" vertical="center"/>
    </xf>
    <xf numFmtId="0" fontId="12" fillId="0" borderId="53" xfId="6" applyFont="1" applyFill="1" applyBorder="1" applyAlignment="1">
      <alignment vertical="center"/>
    </xf>
    <xf numFmtId="0" fontId="12" fillId="0" borderId="3" xfId="6" applyFont="1" applyFill="1" applyBorder="1" applyAlignment="1">
      <alignment vertical="center"/>
    </xf>
    <xf numFmtId="0" fontId="11" fillId="0" borderId="45" xfId="6" applyFont="1" applyFill="1" applyBorder="1" applyAlignment="1">
      <alignment vertical="center"/>
    </xf>
    <xf numFmtId="0" fontId="12" fillId="0" borderId="96" xfId="6" applyFont="1" applyFill="1" applyBorder="1" applyAlignment="1">
      <alignment vertical="center"/>
    </xf>
    <xf numFmtId="0" fontId="12" fillId="0" borderId="94" xfId="6" applyFont="1" applyFill="1" applyBorder="1" applyAlignment="1">
      <alignment vertical="center"/>
    </xf>
    <xf numFmtId="0" fontId="12" fillId="0" borderId="94" xfId="6" applyFont="1" applyFill="1" applyBorder="1" applyAlignment="1">
      <alignment horizontal="center" vertical="center"/>
    </xf>
    <xf numFmtId="0" fontId="12" fillId="0" borderId="95" xfId="6" applyFont="1" applyFill="1" applyBorder="1" applyAlignment="1">
      <alignment horizontal="center" vertical="center"/>
    </xf>
    <xf numFmtId="0" fontId="11" fillId="0" borderId="21" xfId="6" applyFont="1" applyFill="1" applyBorder="1" applyAlignment="1">
      <alignment horizontal="center" vertical="center"/>
    </xf>
    <xf numFmtId="0" fontId="12" fillId="0" borderId="21" xfId="6" applyFont="1" applyFill="1" applyBorder="1" applyAlignment="1">
      <alignment horizontal="center" vertical="center"/>
    </xf>
    <xf numFmtId="0" fontId="12" fillId="0" borderId="49" xfId="6" applyFont="1" applyFill="1" applyBorder="1" applyAlignment="1">
      <alignment horizontal="center" vertical="center"/>
    </xf>
    <xf numFmtId="0" fontId="12" fillId="0" borderId="48" xfId="6" applyFont="1" applyFill="1" applyBorder="1" applyAlignment="1">
      <alignment horizontal="right" vertical="center"/>
    </xf>
    <xf numFmtId="0" fontId="12" fillId="0" borderId="12" xfId="6" applyFont="1" applyFill="1" applyBorder="1" applyAlignment="1">
      <alignment vertical="center"/>
    </xf>
    <xf numFmtId="0" fontId="12" fillId="0" borderId="54" xfId="6" applyFont="1" applyFill="1" applyBorder="1" applyAlignment="1">
      <alignment vertical="center"/>
    </xf>
    <xf numFmtId="1" fontId="11" fillId="0" borderId="19" xfId="6" applyNumberFormat="1" applyFont="1" applyFill="1" applyBorder="1" applyAlignment="1">
      <alignment vertical="center"/>
    </xf>
    <xf numFmtId="1" fontId="12" fillId="0" borderId="2" xfId="6" applyNumberFormat="1" applyFont="1" applyFill="1" applyBorder="1" applyAlignment="1">
      <alignment vertical="center"/>
    </xf>
    <xf numFmtId="0" fontId="12" fillId="0" borderId="7" xfId="6" applyFont="1" applyFill="1" applyBorder="1" applyAlignment="1">
      <alignment vertical="center"/>
    </xf>
    <xf numFmtId="1" fontId="12" fillId="0" borderId="12" xfId="6" applyNumberFormat="1" applyFont="1" applyFill="1" applyBorder="1" applyAlignment="1">
      <alignment vertical="center"/>
    </xf>
    <xf numFmtId="0" fontId="12" fillId="0" borderId="6" xfId="6" applyFont="1" applyFill="1" applyBorder="1" applyAlignment="1">
      <alignment vertical="center"/>
    </xf>
    <xf numFmtId="0" fontId="12" fillId="0" borderId="9" xfId="6" applyFont="1" applyFill="1" applyBorder="1" applyAlignment="1">
      <alignment vertical="center"/>
    </xf>
    <xf numFmtId="1" fontId="12" fillId="0" borderId="53" xfId="6" applyNumberFormat="1" applyFont="1" applyFill="1" applyBorder="1" applyAlignment="1">
      <alignment vertical="center"/>
    </xf>
    <xf numFmtId="1" fontId="12" fillId="0" borderId="1" xfId="6" applyNumberFormat="1" applyFont="1" applyFill="1" applyBorder="1" applyAlignment="1">
      <alignment vertical="center"/>
    </xf>
    <xf numFmtId="1" fontId="12" fillId="0" borderId="34" xfId="6" applyNumberFormat="1" applyFont="1" applyFill="1" applyBorder="1" applyAlignment="1">
      <alignment vertical="center"/>
    </xf>
    <xf numFmtId="0" fontId="71" fillId="0" borderId="0" xfId="6" applyFont="1" applyFill="1" applyAlignment="1">
      <alignment vertical="center"/>
    </xf>
    <xf numFmtId="0" fontId="12" fillId="0" borderId="24" xfId="6" applyFont="1" applyFill="1" applyBorder="1" applyAlignment="1">
      <alignment vertical="center"/>
    </xf>
    <xf numFmtId="1" fontId="12" fillId="0" borderId="26" xfId="6" applyNumberFormat="1" applyFont="1" applyFill="1" applyBorder="1" applyAlignment="1">
      <alignment vertical="center"/>
    </xf>
    <xf numFmtId="0" fontId="12" fillId="0" borderId="27" xfId="6" applyFont="1" applyFill="1" applyBorder="1" applyAlignment="1">
      <alignment vertical="center"/>
    </xf>
    <xf numFmtId="1" fontId="12" fillId="0" borderId="28" xfId="6" applyNumberFormat="1" applyFont="1" applyFill="1" applyBorder="1" applyAlignment="1">
      <alignment vertical="center"/>
    </xf>
    <xf numFmtId="1" fontId="12" fillId="0" borderId="5" xfId="6" applyNumberFormat="1" applyFont="1" applyFill="1" applyBorder="1" applyAlignment="1">
      <alignment vertical="center"/>
    </xf>
    <xf numFmtId="0" fontId="12" fillId="0" borderId="29" xfId="6" applyFont="1" applyFill="1" applyBorder="1" applyAlignment="1">
      <alignment vertical="center"/>
    </xf>
    <xf numFmtId="3" fontId="12" fillId="0" borderId="0" xfId="6" applyNumberFormat="1" applyFont="1" applyFill="1" applyAlignment="1">
      <alignment vertical="center"/>
    </xf>
    <xf numFmtId="0" fontId="72" fillId="23" borderId="0" xfId="6" applyFont="1" applyFill="1" applyAlignment="1">
      <alignment vertical="center"/>
    </xf>
    <xf numFmtId="0" fontId="12" fillId="23" borderId="0" xfId="6" applyFont="1" applyFill="1" applyAlignment="1">
      <alignment horizontal="left" vertical="center"/>
    </xf>
    <xf numFmtId="0" fontId="12" fillId="23" borderId="0" xfId="6" applyNumberFormat="1" applyFont="1" applyFill="1" applyAlignment="1">
      <alignment vertical="center"/>
    </xf>
    <xf numFmtId="166" fontId="12" fillId="0" borderId="0" xfId="6" applyNumberFormat="1" applyFont="1" applyFill="1" applyBorder="1" applyAlignment="1">
      <alignment horizontal="center" vertical="center"/>
    </xf>
    <xf numFmtId="166" fontId="11" fillId="0" borderId="0" xfId="6" applyNumberFormat="1" applyFont="1" applyFill="1" applyBorder="1" applyAlignment="1">
      <alignment horizontal="center" vertical="center"/>
    </xf>
    <xf numFmtId="0" fontId="69" fillId="0" borderId="560" xfId="6" applyFont="1" applyFill="1" applyBorder="1" applyAlignment="1">
      <alignment vertical="center"/>
    </xf>
    <xf numFmtId="0" fontId="12" fillId="0" borderId="561" xfId="6" applyFont="1" applyFill="1" applyBorder="1" applyAlignment="1">
      <alignment vertical="center"/>
    </xf>
    <xf numFmtId="1" fontId="68" fillId="0" borderId="561" xfId="12" applyNumberFormat="1" applyFont="1" applyFill="1" applyBorder="1" applyAlignment="1">
      <alignment vertical="center"/>
    </xf>
    <xf numFmtId="0" fontId="11" fillId="0" borderId="561" xfId="6" applyFont="1" applyFill="1" applyBorder="1" applyAlignment="1">
      <alignment horizontal="center" vertical="center"/>
    </xf>
    <xf numFmtId="0" fontId="11" fillId="0" borderId="685" xfId="6" applyFont="1" applyFill="1" applyBorder="1" applyAlignment="1">
      <alignment horizontal="center" vertical="center"/>
    </xf>
    <xf numFmtId="0" fontId="69" fillId="0" borderId="562" xfId="6" applyFont="1" applyFill="1" applyBorder="1" applyAlignment="1">
      <alignment vertical="center"/>
    </xf>
    <xf numFmtId="0" fontId="69" fillId="0" borderId="565" xfId="6" applyFont="1" applyFill="1" applyBorder="1" applyAlignment="1">
      <alignment vertical="center"/>
    </xf>
    <xf numFmtId="0" fontId="12" fillId="0" borderId="566" xfId="6" applyFont="1" applyFill="1" applyBorder="1" applyAlignment="1">
      <alignment vertical="center"/>
    </xf>
    <xf numFmtId="0" fontId="12" fillId="0" borderId="723" xfId="10" applyFont="1" applyFill="1" applyBorder="1" applyAlignment="1">
      <alignment horizontal="center" vertical="center"/>
    </xf>
    <xf numFmtId="0" fontId="12" fillId="0" borderId="701" xfId="10" applyFont="1" applyFill="1" applyBorder="1" applyAlignment="1">
      <alignment horizontal="center" vertical="center"/>
    </xf>
    <xf numFmtId="0" fontId="12" fillId="0" borderId="707" xfId="10" applyFont="1" applyFill="1" applyBorder="1" applyAlignment="1">
      <alignment horizontal="center" vertical="center"/>
    </xf>
    <xf numFmtId="0" fontId="12" fillId="0" borderId="709" xfId="10" applyFont="1" applyFill="1" applyBorder="1" applyAlignment="1">
      <alignment horizontal="center" vertical="center"/>
    </xf>
    <xf numFmtId="37" fontId="12" fillId="0" borderId="562" xfId="6" applyNumberFormat="1" applyFont="1" applyFill="1" applyBorder="1" applyAlignment="1" applyProtection="1">
      <alignment horizontal="left"/>
      <protection hidden="1"/>
    </xf>
    <xf numFmtId="0" fontId="12" fillId="0" borderId="696" xfId="6" applyFont="1" applyFill="1" applyBorder="1" applyAlignment="1">
      <alignment horizontal="center" vertical="center"/>
    </xf>
    <xf numFmtId="0" fontId="12" fillId="0" borderId="694" xfId="6" applyFont="1" applyFill="1" applyBorder="1" applyAlignment="1">
      <alignment horizontal="center" vertical="center"/>
    </xf>
    <xf numFmtId="0" fontId="12" fillId="0" borderId="698" xfId="6" applyFont="1" applyFill="1" applyBorder="1" applyAlignment="1">
      <alignment horizontal="center" vertical="center"/>
    </xf>
    <xf numFmtId="37" fontId="11" fillId="0" borderId="686" xfId="6" applyNumberFormat="1" applyFont="1" applyFill="1" applyBorder="1" applyAlignment="1">
      <alignment vertical="center"/>
    </xf>
    <xf numFmtId="37" fontId="11" fillId="0" borderId="694" xfId="6" applyNumberFormat="1" applyFont="1" applyFill="1" applyBorder="1" applyAlignment="1">
      <alignment horizontal="center" vertical="center"/>
    </xf>
    <xf numFmtId="37" fontId="11" fillId="0" borderId="727" xfId="6" applyNumberFormat="1" applyFont="1" applyFill="1" applyBorder="1" applyAlignment="1" applyProtection="1">
      <alignment horizontal="left"/>
      <protection hidden="1"/>
    </xf>
    <xf numFmtId="37" fontId="11" fillId="0" borderId="728" xfId="6" applyNumberFormat="1" applyFont="1" applyFill="1" applyBorder="1" applyAlignment="1" applyProtection="1">
      <alignment horizontal="left"/>
      <protection hidden="1"/>
    </xf>
    <xf numFmtId="37" fontId="11" fillId="0" borderId="729" xfId="6" applyNumberFormat="1" applyFont="1" applyFill="1" applyBorder="1" applyAlignment="1">
      <alignment horizontal="center" vertical="center"/>
    </xf>
    <xf numFmtId="37" fontId="11" fillId="0" borderId="730" xfId="6" applyNumberFormat="1" applyFont="1" applyFill="1" applyBorder="1" applyAlignment="1">
      <alignment horizontal="center" vertical="center"/>
    </xf>
    <xf numFmtId="0" fontId="11" fillId="4" borderId="724" xfId="6" applyFont="1" applyFill="1" applyBorder="1" applyAlignment="1">
      <alignment vertical="center"/>
    </xf>
    <xf numFmtId="0" fontId="12" fillId="4" borderId="725" xfId="6" applyFont="1" applyFill="1" applyBorder="1" applyAlignment="1">
      <alignment vertical="center"/>
    </xf>
    <xf numFmtId="0" fontId="12" fillId="4" borderId="725" xfId="6" applyFont="1" applyFill="1" applyBorder="1" applyAlignment="1">
      <alignment horizontal="center" vertical="center"/>
    </xf>
    <xf numFmtId="0" fontId="12" fillId="4" borderId="726" xfId="6" applyFont="1" applyFill="1" applyBorder="1" applyAlignment="1">
      <alignment horizontal="center" vertical="center"/>
    </xf>
    <xf numFmtId="37" fontId="11" fillId="0" borderId="697" xfId="6" applyNumberFormat="1" applyFont="1" applyFill="1" applyBorder="1" applyAlignment="1">
      <alignment vertical="center"/>
    </xf>
    <xf numFmtId="37" fontId="11" fillId="0" borderId="698" xfId="6" applyNumberFormat="1" applyFont="1" applyFill="1" applyBorder="1" applyAlignment="1">
      <alignment horizontal="center" vertical="center"/>
    </xf>
    <xf numFmtId="37" fontId="11" fillId="0" borderId="728" xfId="6" applyNumberFormat="1" applyFont="1" applyFill="1" applyBorder="1" applyAlignment="1" applyProtection="1">
      <alignment horizontal="center"/>
      <protection hidden="1"/>
    </xf>
    <xf numFmtId="0" fontId="11" fillId="0" borderId="729" xfId="6" applyFont="1" applyFill="1" applyBorder="1" applyAlignment="1">
      <alignment horizontal="center" vertical="center"/>
    </xf>
    <xf numFmtId="0" fontId="11" fillId="0" borderId="730" xfId="6" applyFont="1" applyFill="1" applyBorder="1" applyAlignment="1">
      <alignment horizontal="center" vertical="center"/>
    </xf>
    <xf numFmtId="0" fontId="12" fillId="4" borderId="725" xfId="6" applyFont="1" applyFill="1" applyBorder="1" applyAlignment="1">
      <alignment horizontal="right" vertical="center"/>
    </xf>
    <xf numFmtId="0" fontId="12" fillId="4" borderId="726" xfId="6" applyFont="1" applyFill="1" applyBorder="1" applyAlignment="1">
      <alignment horizontal="right" vertical="center"/>
    </xf>
    <xf numFmtId="0" fontId="12" fillId="0" borderId="714" xfId="6" applyFont="1" applyFill="1" applyBorder="1" applyAlignment="1">
      <alignment vertical="center"/>
    </xf>
    <xf numFmtId="0" fontId="12" fillId="0" borderId="692" xfId="6" applyFont="1" applyFill="1" applyBorder="1" applyAlignment="1">
      <alignment vertical="center"/>
    </xf>
    <xf numFmtId="37" fontId="12" fillId="0" borderId="692" xfId="6" applyNumberFormat="1" applyFont="1" applyFill="1" applyBorder="1" applyAlignment="1" applyProtection="1">
      <alignment horizontal="left"/>
      <protection hidden="1"/>
    </xf>
    <xf numFmtId="37" fontId="11" fillId="0" borderId="692" xfId="6" applyNumberFormat="1" applyFont="1" applyFill="1" applyBorder="1" applyAlignment="1" applyProtection="1">
      <alignment horizontal="left"/>
      <protection hidden="1"/>
    </xf>
    <xf numFmtId="1" fontId="12" fillId="0" borderId="692" xfId="6" applyNumberFormat="1" applyFont="1" applyFill="1" applyBorder="1" applyAlignment="1">
      <alignment horizontal="center" vertical="center"/>
    </xf>
    <xf numFmtId="1" fontId="12" fillId="0" borderId="693" xfId="6" applyNumberFormat="1" applyFont="1" applyFill="1" applyBorder="1" applyAlignment="1">
      <alignment horizontal="center" vertical="center"/>
    </xf>
    <xf numFmtId="0" fontId="12" fillId="0" borderId="703" xfId="6" applyFont="1" applyFill="1" applyBorder="1" applyAlignment="1">
      <alignment vertical="center"/>
    </xf>
    <xf numFmtId="37" fontId="12" fillId="0" borderId="22" xfId="6" applyNumberFormat="1" applyFont="1" applyFill="1" applyBorder="1" applyAlignment="1" applyProtection="1">
      <alignment horizontal="left"/>
      <protection hidden="1"/>
    </xf>
    <xf numFmtId="37" fontId="11" fillId="0" borderId="22" xfId="6" applyNumberFormat="1" applyFont="1" applyFill="1" applyBorder="1" applyAlignment="1">
      <alignment horizontal="center" vertical="center"/>
    </xf>
    <xf numFmtId="37" fontId="11" fillId="0" borderId="701" xfId="6" applyNumberFormat="1" applyFont="1" applyFill="1" applyBorder="1" applyAlignment="1">
      <alignment horizontal="center" vertical="center"/>
    </xf>
    <xf numFmtId="1" fontId="11" fillId="0" borderId="22" xfId="6" applyNumberFormat="1" applyFont="1" applyFill="1" applyBorder="1" applyAlignment="1">
      <alignment horizontal="center" vertical="center"/>
    </xf>
    <xf numFmtId="1" fontId="11" fillId="0" borderId="701" xfId="6" applyNumberFormat="1" applyFont="1" applyFill="1" applyBorder="1" applyAlignment="1">
      <alignment horizontal="center" vertical="center"/>
    </xf>
    <xf numFmtId="0" fontId="12" fillId="0" borderId="713" xfId="6" applyFont="1" applyFill="1" applyBorder="1" applyAlignment="1">
      <alignment vertical="center"/>
    </xf>
    <xf numFmtId="0" fontId="12" fillId="0" borderId="707" xfId="6" applyFont="1" applyFill="1" applyBorder="1" applyAlignment="1">
      <alignment vertical="center"/>
    </xf>
    <xf numFmtId="37" fontId="12" fillId="0" borderId="707" xfId="6" applyNumberFormat="1" applyFont="1" applyFill="1" applyBorder="1" applyAlignment="1" applyProtection="1">
      <alignment horizontal="left"/>
      <protection hidden="1"/>
    </xf>
    <xf numFmtId="37" fontId="11" fillId="0" borderId="707" xfId="6" applyNumberFormat="1" applyFont="1" applyFill="1" applyBorder="1" applyAlignment="1" applyProtection="1">
      <alignment horizontal="left"/>
      <protection hidden="1"/>
    </xf>
    <xf numFmtId="1" fontId="11" fillId="0" borderId="707" xfId="6" applyNumberFormat="1" applyFont="1" applyFill="1" applyBorder="1" applyAlignment="1">
      <alignment horizontal="center" vertical="center"/>
    </xf>
    <xf numFmtId="1" fontId="11" fillId="0" borderId="709" xfId="6" applyNumberFormat="1" applyFont="1" applyFill="1" applyBorder="1" applyAlignment="1">
      <alignment horizontal="center" vertical="center"/>
    </xf>
    <xf numFmtId="37" fontId="12" fillId="4" borderId="0" xfId="6" applyNumberFormat="1" applyFont="1" applyFill="1" applyAlignment="1">
      <alignment vertical="center"/>
    </xf>
    <xf numFmtId="37" fontId="12" fillId="4" borderId="0" xfId="6" applyNumberFormat="1" applyFont="1" applyFill="1" applyBorder="1" applyAlignment="1" applyProtection="1">
      <alignment horizontal="left"/>
      <protection hidden="1"/>
    </xf>
    <xf numFmtId="0" fontId="11" fillId="4" borderId="0" xfId="6" applyFont="1" applyFill="1" applyBorder="1" applyAlignment="1">
      <alignment horizontal="center" vertical="center"/>
    </xf>
    <xf numFmtId="0" fontId="14" fillId="10" borderId="2" xfId="12" applyFont="1" applyFill="1" applyBorder="1" applyAlignment="1">
      <alignment horizontal="center" vertical="center"/>
    </xf>
    <xf numFmtId="37" fontId="16" fillId="10" borderId="21" xfId="6" applyNumberFormat="1" applyFont="1" applyFill="1" applyBorder="1" applyAlignment="1">
      <alignment horizontal="center" vertical="center" wrapText="1"/>
    </xf>
    <xf numFmtId="37" fontId="16" fillId="10" borderId="731" xfId="6" applyNumberFormat="1" applyFont="1" applyFill="1" applyBorder="1" applyAlignment="1">
      <alignment horizontal="center" vertical="center" wrapText="1"/>
    </xf>
    <xf numFmtId="1" fontId="11" fillId="0" borderId="0" xfId="10" applyNumberFormat="1" applyFont="1" applyFill="1" applyBorder="1" applyAlignment="1">
      <alignment horizontal="left" vertical="center"/>
    </xf>
    <xf numFmtId="39" fontId="11" fillId="0" borderId="0" xfId="10" applyNumberFormat="1" applyFont="1" applyFill="1" applyBorder="1" applyAlignment="1">
      <alignment horizontal="center" vertical="center"/>
    </xf>
    <xf numFmtId="172" fontId="12" fillId="0" borderId="0" xfId="0" applyNumberFormat="1" applyFont="1" applyFill="1" applyBorder="1" applyAlignment="1">
      <alignment horizontal="center"/>
    </xf>
    <xf numFmtId="39" fontId="12" fillId="0" borderId="0" xfId="0" applyNumberFormat="1" applyFont="1" applyFill="1" applyBorder="1" applyAlignment="1">
      <alignment horizontal="center"/>
    </xf>
    <xf numFmtId="1" fontId="11" fillId="0" borderId="0" xfId="0" applyNumberFormat="1" applyFont="1" applyFill="1" applyBorder="1" applyAlignment="1">
      <alignment horizontal="left" vertical="center"/>
    </xf>
    <xf numFmtId="39" fontId="12" fillId="0" borderId="0" xfId="0" applyNumberFormat="1" applyFont="1" applyFill="1" applyBorder="1" applyAlignment="1">
      <alignment horizontal="center" vertical="center"/>
    </xf>
    <xf numFmtId="170" fontId="11" fillId="0" borderId="0" xfId="0" applyNumberFormat="1" applyFont="1" applyFill="1" applyBorder="1" applyAlignment="1">
      <alignment horizontal="center" vertical="center"/>
    </xf>
    <xf numFmtId="1" fontId="12" fillId="23" borderId="0" xfId="10" applyNumberFormat="1" applyFont="1" applyFill="1" applyBorder="1" applyAlignment="1" applyProtection="1">
      <alignment horizontal="center" vertical="center"/>
    </xf>
    <xf numFmtId="2" fontId="12" fillId="23" borderId="0" xfId="10" applyNumberFormat="1" applyFont="1" applyFill="1" applyBorder="1" applyAlignment="1" applyProtection="1">
      <alignment horizontal="left" vertical="center"/>
    </xf>
    <xf numFmtId="1" fontId="73" fillId="23" borderId="0" xfId="10" applyNumberFormat="1" applyFont="1" applyFill="1" applyBorder="1" applyAlignment="1" applyProtection="1">
      <alignment horizontal="left" vertical="center"/>
    </xf>
    <xf numFmtId="1" fontId="73" fillId="0" borderId="0" xfId="10" applyNumberFormat="1" applyFont="1" applyFill="1" applyBorder="1" applyAlignment="1" applyProtection="1">
      <alignment horizontal="left" vertical="center"/>
    </xf>
    <xf numFmtId="37" fontId="12" fillId="0" borderId="687" xfId="0" applyNumberFormat="1" applyFont="1" applyFill="1" applyBorder="1"/>
    <xf numFmtId="37" fontId="12" fillId="23" borderId="0" xfId="0" applyNumberFormat="1" applyFont="1" applyFill="1" applyBorder="1"/>
    <xf numFmtId="37" fontId="12" fillId="23" borderId="0" xfId="7" applyNumberFormat="1" applyFont="1" applyFill="1" applyBorder="1"/>
    <xf numFmtId="37" fontId="32" fillId="23" borderId="0" xfId="7" applyNumberFormat="1" applyFont="1" applyFill="1" applyBorder="1"/>
    <xf numFmtId="37" fontId="11" fillId="23" borderId="0" xfId="0" applyNumberFormat="1" applyFont="1" applyFill="1" applyBorder="1"/>
    <xf numFmtId="37" fontId="11" fillId="23" borderId="0" xfId="0" applyNumberFormat="1" applyFont="1" applyFill="1" applyBorder="1" applyAlignment="1">
      <alignment horizontal="center"/>
    </xf>
    <xf numFmtId="37" fontId="12" fillId="0" borderId="0" xfId="7" applyNumberFormat="1" applyFont="1" applyFill="1" applyBorder="1"/>
    <xf numFmtId="37" fontId="32" fillId="0" borderId="0" xfId="7" applyNumberFormat="1" applyFont="1" applyFill="1" applyBorder="1"/>
    <xf numFmtId="37" fontId="12" fillId="4" borderId="0" xfId="0" applyNumberFormat="1" applyFont="1" applyFill="1" applyBorder="1"/>
    <xf numFmtId="37" fontId="12" fillId="0" borderId="560" xfId="0" applyNumberFormat="1" applyFont="1" applyFill="1" applyBorder="1"/>
    <xf numFmtId="37" fontId="12" fillId="0" borderId="685" xfId="0" applyNumberFormat="1" applyFont="1" applyFill="1" applyBorder="1"/>
    <xf numFmtId="37" fontId="12" fillId="0" borderId="562" xfId="0" applyNumberFormat="1" applyFont="1" applyFill="1" applyBorder="1"/>
    <xf numFmtId="37" fontId="11" fillId="0" borderId="565" xfId="0" applyNumberFormat="1" applyFont="1" applyFill="1" applyBorder="1"/>
    <xf numFmtId="37" fontId="11" fillId="0" borderId="690" xfId="0" applyNumberFormat="1" applyFont="1" applyFill="1" applyBorder="1"/>
    <xf numFmtId="1" fontId="12" fillId="12" borderId="526" xfId="10" applyNumberFormat="1" applyFont="1" applyFill="1" applyBorder="1" applyAlignment="1" applyProtection="1">
      <alignment horizontal="left" vertical="center"/>
    </xf>
    <xf numFmtId="1" fontId="12" fillId="12" borderId="527" xfId="10" applyNumberFormat="1" applyFont="1" applyFill="1" applyBorder="1" applyAlignment="1" applyProtection="1">
      <alignment horizontal="center" vertical="center"/>
    </xf>
    <xf numFmtId="1" fontId="16" fillId="10" borderId="33" xfId="0" applyNumberFormat="1" applyFont="1" applyFill="1" applyBorder="1" applyAlignment="1">
      <alignment horizontal="center" vertical="center"/>
    </xf>
    <xf numFmtId="1" fontId="16" fillId="10" borderId="57" xfId="0" applyNumberFormat="1" applyFont="1" applyFill="1" applyBorder="1" applyAlignment="1">
      <alignment horizontal="center" vertical="center"/>
    </xf>
    <xf numFmtId="3" fontId="12" fillId="12" borderId="9" xfId="6" applyNumberFormat="1" applyFont="1" applyFill="1" applyBorder="1" applyAlignment="1">
      <alignment horizontal="center" vertical="center"/>
    </xf>
    <xf numFmtId="3" fontId="12" fillId="12" borderId="3" xfId="6" applyNumberFormat="1" applyFont="1" applyFill="1" applyBorder="1" applyAlignment="1">
      <alignment horizontal="center" vertical="center"/>
    </xf>
    <xf numFmtId="0" fontId="11" fillId="12" borderId="97" xfId="0" applyFont="1" applyFill="1" applyBorder="1" applyAlignment="1">
      <alignment vertical="center"/>
    </xf>
    <xf numFmtId="166" fontId="11" fillId="12" borderId="3" xfId="10" applyNumberFormat="1" applyFont="1" applyFill="1" applyBorder="1" applyAlignment="1">
      <alignment horizontal="center" vertical="center"/>
    </xf>
    <xf numFmtId="166" fontId="12" fillId="12" borderId="60" xfId="10" applyNumberFormat="1" applyFont="1" applyFill="1" applyBorder="1" applyAlignment="1">
      <alignment horizontal="center" vertical="center"/>
    </xf>
    <xf numFmtId="1" fontId="12" fillId="4" borderId="0" xfId="0" applyNumberFormat="1" applyFont="1" applyFill="1" applyBorder="1" applyAlignment="1">
      <alignment horizontal="left" vertical="center"/>
    </xf>
    <xf numFmtId="1" fontId="11" fillId="4" borderId="0" xfId="0" applyNumberFormat="1" applyFont="1" applyFill="1" applyBorder="1" applyAlignment="1">
      <alignment horizontal="left" vertical="center"/>
    </xf>
    <xf numFmtId="166" fontId="12" fillId="4" borderId="0" xfId="0" applyNumberFormat="1" applyFont="1" applyFill="1" applyBorder="1" applyAlignment="1">
      <alignment horizontal="center" vertical="center"/>
    </xf>
    <xf numFmtId="1" fontId="12" fillId="4" borderId="0" xfId="0" applyNumberFormat="1" applyFont="1" applyFill="1" applyBorder="1" applyAlignment="1">
      <alignment horizontal="center" vertical="center"/>
    </xf>
    <xf numFmtId="1" fontId="12" fillId="4" borderId="23" xfId="0" applyNumberFormat="1" applyFont="1" applyFill="1" applyBorder="1" applyAlignment="1">
      <alignment vertical="center"/>
    </xf>
    <xf numFmtId="1" fontId="12" fillId="4" borderId="24" xfId="0" applyNumberFormat="1" applyFont="1" applyFill="1" applyBorder="1" applyAlignment="1">
      <alignment vertical="center"/>
    </xf>
    <xf numFmtId="1" fontId="12" fillId="4" borderId="28" xfId="0" applyNumberFormat="1" applyFont="1" applyFill="1" applyBorder="1" applyAlignment="1">
      <alignment vertical="center"/>
    </xf>
    <xf numFmtId="1" fontId="12" fillId="4" borderId="29" xfId="0" applyNumberFormat="1" applyFont="1" applyFill="1" applyBorder="1" applyAlignment="1">
      <alignment vertical="center"/>
    </xf>
    <xf numFmtId="1" fontId="12" fillId="4" borderId="0" xfId="0" applyNumberFormat="1" applyFont="1" applyFill="1" applyBorder="1" applyAlignment="1">
      <alignment vertical="center"/>
    </xf>
    <xf numFmtId="0" fontId="12" fillId="4" borderId="0" xfId="0" applyFont="1" applyFill="1" applyBorder="1" applyAlignment="1">
      <alignment horizontal="center" vertical="center"/>
    </xf>
    <xf numFmtId="0" fontId="12" fillId="4" borderId="0" xfId="0" applyFont="1" applyFill="1" applyAlignment="1">
      <alignment horizontal="center" vertical="center"/>
    </xf>
    <xf numFmtId="37" fontId="12" fillId="4" borderId="0" xfId="0" applyNumberFormat="1" applyFont="1" applyFill="1" applyAlignment="1">
      <alignment horizontal="center" vertical="center"/>
    </xf>
    <xf numFmtId="37" fontId="12" fillId="4" borderId="0" xfId="0" applyNumberFormat="1" applyFont="1" applyFill="1" applyBorder="1" applyAlignment="1">
      <alignment horizontal="center" vertical="center"/>
    </xf>
    <xf numFmtId="0" fontId="11" fillId="4" borderId="0" xfId="0" applyFont="1" applyFill="1" applyAlignment="1">
      <alignment vertical="center"/>
    </xf>
    <xf numFmtId="37" fontId="11" fillId="6" borderId="19" xfId="0" applyNumberFormat="1" applyFont="1" applyFill="1" applyBorder="1" applyAlignment="1">
      <alignment horizontal="center" vertical="center"/>
    </xf>
    <xf numFmtId="37" fontId="11" fillId="4" borderId="38" xfId="6" applyNumberFormat="1" applyFont="1" applyFill="1" applyBorder="1" applyAlignment="1">
      <alignment vertical="center"/>
    </xf>
    <xf numFmtId="0" fontId="72" fillId="0" borderId="0" xfId="6" applyFont="1" applyFill="1" applyAlignment="1">
      <alignment vertical="center"/>
    </xf>
    <xf numFmtId="0" fontId="13" fillId="8" borderId="0" xfId="6" applyFont="1" applyFill="1" applyAlignment="1">
      <alignment vertical="center"/>
    </xf>
    <xf numFmtId="37" fontId="13" fillId="8" borderId="0" xfId="6" applyNumberFormat="1" applyFont="1" applyFill="1" applyBorder="1" applyAlignment="1" applyProtection="1">
      <alignment horizontal="left"/>
      <protection hidden="1"/>
    </xf>
    <xf numFmtId="0" fontId="13" fillId="8" borderId="0" xfId="6" applyFont="1" applyFill="1" applyBorder="1" applyAlignment="1">
      <alignment horizontal="center" vertical="center"/>
    </xf>
    <xf numFmtId="0" fontId="13" fillId="8" borderId="0" xfId="6" applyFont="1" applyFill="1" applyAlignment="1">
      <alignment horizontal="center" vertical="center"/>
    </xf>
    <xf numFmtId="0" fontId="13" fillId="0" borderId="0" xfId="6" applyFont="1" applyFill="1" applyAlignment="1">
      <alignment vertical="center"/>
    </xf>
    <xf numFmtId="37" fontId="13" fillId="0" borderId="0" xfId="6" applyNumberFormat="1" applyFont="1" applyFill="1" applyAlignment="1">
      <alignment vertical="center"/>
    </xf>
    <xf numFmtId="37" fontId="13" fillId="7" borderId="0" xfId="6" applyNumberFormat="1" applyFont="1" applyFill="1" applyAlignment="1">
      <alignment vertical="center"/>
    </xf>
    <xf numFmtId="0" fontId="60" fillId="4" borderId="0" xfId="6" applyFont="1" applyFill="1" applyAlignment="1">
      <alignment vertical="center"/>
    </xf>
    <xf numFmtId="0" fontId="60" fillId="4" borderId="0" xfId="6" applyNumberFormat="1" applyFont="1" applyFill="1" applyAlignment="1">
      <alignment vertical="center"/>
    </xf>
    <xf numFmtId="0" fontId="60" fillId="0" borderId="0" xfId="6" applyFont="1" applyFill="1" applyAlignment="1">
      <alignment vertical="center"/>
    </xf>
    <xf numFmtId="0" fontId="60" fillId="16" borderId="0" xfId="6" applyFont="1" applyFill="1" applyAlignment="1">
      <alignment vertical="center"/>
    </xf>
    <xf numFmtId="0" fontId="13" fillId="4" borderId="0" xfId="6" applyFont="1" applyFill="1" applyAlignment="1">
      <alignment vertical="center"/>
    </xf>
    <xf numFmtId="0" fontId="60" fillId="0" borderId="0" xfId="6" applyFont="1" applyFill="1" applyBorder="1" applyAlignment="1">
      <alignment horizontal="left" vertical="center"/>
    </xf>
    <xf numFmtId="0" fontId="60" fillId="0" borderId="0" xfId="6" applyFont="1" applyFill="1" applyAlignment="1">
      <alignment horizontal="left" vertical="center"/>
    </xf>
    <xf numFmtId="0" fontId="60" fillId="0" borderId="0" xfId="6" applyNumberFormat="1" applyFont="1" applyFill="1" applyAlignment="1">
      <alignment vertical="center"/>
    </xf>
    <xf numFmtId="0" fontId="60" fillId="12" borderId="0" xfId="6" applyFont="1" applyFill="1" applyAlignment="1">
      <alignment vertical="center"/>
    </xf>
    <xf numFmtId="37" fontId="13" fillId="4" borderId="0" xfId="0" applyNumberFormat="1" applyFont="1" applyFill="1" applyBorder="1" applyAlignment="1">
      <alignment horizontal="left" vertical="center"/>
    </xf>
    <xf numFmtId="0" fontId="60" fillId="4" borderId="0" xfId="6" applyFont="1" applyFill="1" applyBorder="1" applyAlignment="1">
      <alignment vertical="center"/>
    </xf>
    <xf numFmtId="37" fontId="13" fillId="4" borderId="0" xfId="0" applyNumberFormat="1" applyFont="1" applyFill="1" applyBorder="1" applyAlignment="1">
      <alignment horizontal="center" vertical="center"/>
    </xf>
    <xf numFmtId="0" fontId="74" fillId="12" borderId="0" xfId="6" applyFont="1" applyFill="1" applyAlignment="1">
      <alignment vertical="center"/>
    </xf>
    <xf numFmtId="0" fontId="21" fillId="0" borderId="0" xfId="10" applyFont="1" applyFill="1" applyBorder="1" applyAlignment="1">
      <alignment horizontal="left" vertical="center"/>
    </xf>
    <xf numFmtId="3" fontId="12" fillId="12" borderId="42" xfId="10" applyNumberFormat="1" applyFont="1" applyFill="1" applyBorder="1" applyAlignment="1" applyProtection="1">
      <alignment horizontal="center" vertical="center"/>
    </xf>
    <xf numFmtId="3" fontId="11" fillId="12" borderId="266" xfId="10" applyNumberFormat="1" applyFont="1" applyFill="1" applyBorder="1" applyAlignment="1" applyProtection="1">
      <alignment horizontal="center" vertical="center"/>
    </xf>
    <xf numFmtId="3" fontId="12" fillId="0" borderId="249" xfId="10" applyNumberFormat="1" applyFont="1" applyFill="1" applyBorder="1" applyAlignment="1" applyProtection="1">
      <alignment horizontal="center" vertical="center"/>
    </xf>
    <xf numFmtId="3" fontId="12" fillId="12" borderId="743" xfId="10" applyNumberFormat="1" applyFont="1" applyFill="1" applyBorder="1" applyAlignment="1" applyProtection="1">
      <alignment horizontal="center" vertical="center"/>
    </xf>
    <xf numFmtId="3" fontId="12" fillId="12" borderId="266" xfId="10" applyNumberFormat="1" applyFont="1" applyFill="1" applyBorder="1" applyAlignment="1" applyProtection="1">
      <alignment horizontal="center" vertical="center"/>
    </xf>
    <xf numFmtId="1" fontId="60" fillId="4" borderId="0" xfId="10" applyNumberFormat="1" applyFont="1" applyFill="1" applyBorder="1" applyAlignment="1" applyProtection="1">
      <alignment horizontal="left" vertical="center"/>
    </xf>
    <xf numFmtId="1" fontId="60" fillId="4" borderId="0" xfId="10" applyNumberFormat="1" applyFont="1" applyFill="1" applyBorder="1" applyAlignment="1" applyProtection="1">
      <alignment horizontal="center" vertical="center"/>
    </xf>
    <xf numFmtId="2" fontId="60" fillId="4" borderId="0" xfId="10" applyNumberFormat="1" applyFont="1" applyFill="1" applyBorder="1" applyAlignment="1" applyProtection="1">
      <alignment horizontal="left" vertical="center"/>
    </xf>
    <xf numFmtId="1" fontId="13" fillId="23" borderId="0" xfId="10" applyNumberFormat="1" applyFont="1" applyFill="1" applyBorder="1" applyAlignment="1" applyProtection="1">
      <alignment horizontal="left" vertical="center"/>
    </xf>
    <xf numFmtId="1" fontId="60" fillId="23" borderId="0" xfId="10" applyNumberFormat="1" applyFont="1" applyFill="1" applyBorder="1" applyAlignment="1" applyProtection="1">
      <alignment horizontal="center" vertical="center"/>
    </xf>
    <xf numFmtId="2" fontId="60" fillId="23" borderId="0" xfId="10" applyNumberFormat="1" applyFont="1" applyFill="1" applyBorder="1" applyAlignment="1" applyProtection="1">
      <alignment horizontal="left" vertical="center"/>
    </xf>
    <xf numFmtId="37" fontId="12" fillId="0" borderId="46" xfId="0" applyNumberFormat="1" applyFont="1" applyFill="1" applyBorder="1"/>
    <xf numFmtId="1" fontId="13" fillId="0" borderId="0" xfId="10" applyNumberFormat="1" applyFont="1" applyFill="1" applyBorder="1" applyAlignment="1" applyProtection="1">
      <alignment horizontal="left" vertical="center"/>
    </xf>
    <xf numFmtId="1" fontId="60" fillId="0" borderId="0" xfId="10" applyNumberFormat="1" applyFont="1" applyFill="1" applyBorder="1" applyAlignment="1" applyProtection="1">
      <alignment horizontal="center" vertical="center"/>
    </xf>
    <xf numFmtId="2" fontId="60" fillId="0" borderId="0" xfId="10" applyNumberFormat="1" applyFont="1" applyFill="1" applyBorder="1" applyAlignment="1" applyProtection="1">
      <alignment horizontal="left" vertical="center"/>
    </xf>
    <xf numFmtId="37" fontId="11" fillId="0" borderId="17" xfId="0" applyNumberFormat="1" applyFont="1" applyFill="1" applyBorder="1"/>
    <xf numFmtId="37" fontId="11" fillId="4" borderId="45" xfId="0" applyNumberFormat="1" applyFont="1" applyFill="1" applyBorder="1"/>
    <xf numFmtId="0" fontId="11" fillId="0" borderId="0" xfId="0" applyFont="1" applyFill="1" applyBorder="1"/>
    <xf numFmtId="37" fontId="26" fillId="17" borderId="198" xfId="10" applyNumberFormat="1" applyFont="1" applyFill="1" applyBorder="1" applyAlignment="1">
      <alignment vertical="center"/>
    </xf>
    <xf numFmtId="1" fontId="12" fillId="4" borderId="0" xfId="10" applyNumberFormat="1" applyFont="1" applyFill="1" applyBorder="1" applyAlignment="1" applyProtection="1">
      <alignment horizontal="center"/>
    </xf>
    <xf numFmtId="2" fontId="12" fillId="4" borderId="0" xfId="10" applyNumberFormat="1" applyFont="1" applyFill="1" applyBorder="1" applyAlignment="1" applyProtection="1">
      <alignment horizontal="left"/>
    </xf>
    <xf numFmtId="1" fontId="15" fillId="4" borderId="0" xfId="10" applyNumberFormat="1" applyFont="1" applyFill="1" applyBorder="1" applyAlignment="1" applyProtection="1">
      <alignment horizontal="left"/>
    </xf>
    <xf numFmtId="9" fontId="12" fillId="0" borderId="561" xfId="7" applyFont="1" applyFill="1" applyBorder="1" applyAlignment="1">
      <alignment vertical="center"/>
    </xf>
    <xf numFmtId="9" fontId="12" fillId="0" borderId="685" xfId="7" applyFont="1" applyFill="1" applyBorder="1" applyAlignment="1">
      <alignment vertical="center"/>
    </xf>
    <xf numFmtId="9" fontId="12" fillId="0" borderId="566" xfId="7" applyFont="1" applyFill="1" applyBorder="1" applyAlignment="1">
      <alignment vertical="center"/>
    </xf>
    <xf numFmtId="9" fontId="12" fillId="0" borderId="690" xfId="7" applyFont="1" applyFill="1" applyBorder="1" applyAlignment="1">
      <alignment vertical="center"/>
    </xf>
    <xf numFmtId="1" fontId="12" fillId="0" borderId="561" xfId="7" applyNumberFormat="1" applyFont="1" applyFill="1" applyBorder="1" applyAlignment="1">
      <alignment vertical="center"/>
    </xf>
    <xf numFmtId="1" fontId="12" fillId="0" borderId="685" xfId="7" applyNumberFormat="1" applyFont="1" applyFill="1" applyBorder="1" applyAlignment="1">
      <alignment vertical="center"/>
    </xf>
    <xf numFmtId="1" fontId="12" fillId="0" borderId="566" xfId="7" applyNumberFormat="1" applyFont="1" applyFill="1" applyBorder="1" applyAlignment="1">
      <alignment vertical="center"/>
    </xf>
    <xf numFmtId="1" fontId="12" fillId="0" borderId="690" xfId="7" applyNumberFormat="1" applyFont="1" applyFill="1" applyBorder="1" applyAlignment="1">
      <alignment vertical="center"/>
    </xf>
    <xf numFmtId="0" fontId="11" fillId="17" borderId="13" xfId="6" applyNumberFormat="1" applyFont="1" applyFill="1" applyBorder="1" applyAlignment="1">
      <alignment horizontal="center" vertical="center"/>
    </xf>
    <xf numFmtId="0" fontId="11" fillId="17" borderId="37" xfId="6" applyNumberFormat="1" applyFont="1" applyFill="1" applyBorder="1" applyAlignment="1">
      <alignment horizontal="center" vertical="center"/>
    </xf>
    <xf numFmtId="0" fontId="12" fillId="19" borderId="90" xfId="6" applyFont="1" applyFill="1" applyBorder="1" applyAlignment="1">
      <alignment horizontal="center" vertical="center"/>
    </xf>
    <xf numFmtId="0" fontId="12" fillId="19" borderId="42" xfId="6" applyFont="1" applyFill="1" applyBorder="1" applyAlignment="1">
      <alignment horizontal="center" vertical="center"/>
    </xf>
    <xf numFmtId="0" fontId="12" fillId="19" borderId="55" xfId="6" applyFont="1" applyFill="1" applyBorder="1" applyAlignment="1">
      <alignment horizontal="center" vertical="center"/>
    </xf>
    <xf numFmtId="0" fontId="11" fillId="17" borderId="23" xfId="6" applyNumberFormat="1" applyFont="1" applyFill="1" applyBorder="1" applyAlignment="1">
      <alignment horizontal="center" vertical="center"/>
    </xf>
    <xf numFmtId="0" fontId="11" fillId="17" borderId="28" xfId="6" applyFont="1" applyFill="1" applyBorder="1" applyAlignment="1">
      <alignment horizontal="center" vertical="center"/>
    </xf>
    <xf numFmtId="0" fontId="11" fillId="17" borderId="11" xfId="6" applyNumberFormat="1" applyFont="1" applyFill="1" applyBorder="1" applyAlignment="1">
      <alignment horizontal="center" vertical="center"/>
    </xf>
    <xf numFmtId="0" fontId="12" fillId="0" borderId="42" xfId="6" applyNumberFormat="1" applyFont="1" applyFill="1" applyBorder="1" applyAlignment="1">
      <alignment horizontal="center" vertical="center"/>
    </xf>
    <xf numFmtId="0" fontId="12" fillId="0" borderId="55" xfId="6" applyNumberFormat="1" applyFont="1" applyFill="1" applyBorder="1" applyAlignment="1">
      <alignment horizontal="center" vertical="center"/>
    </xf>
    <xf numFmtId="0" fontId="12" fillId="0" borderId="90" xfId="6" applyNumberFormat="1" applyFont="1" applyFill="1" applyBorder="1" applyAlignment="1">
      <alignment horizontal="center" vertical="center"/>
    </xf>
    <xf numFmtId="170" fontId="12" fillId="0" borderId="394" xfId="0" applyNumberFormat="1" applyFont="1" applyFill="1" applyBorder="1" applyAlignment="1">
      <alignment horizontal="center"/>
    </xf>
    <xf numFmtId="170" fontId="12" fillId="0" borderId="453" xfId="0" applyNumberFormat="1" applyFont="1" applyFill="1" applyBorder="1" applyAlignment="1">
      <alignment horizontal="center"/>
    </xf>
    <xf numFmtId="37" fontId="11" fillId="12" borderId="47" xfId="0" applyNumberFormat="1" applyFont="1" applyFill="1" applyBorder="1" applyAlignment="1">
      <alignment horizontal="right"/>
    </xf>
    <xf numFmtId="37" fontId="11" fillId="12" borderId="47" xfId="0" applyNumberFormat="1" applyFont="1" applyFill="1" applyBorder="1"/>
    <xf numFmtId="37" fontId="12" fillId="12" borderId="820" xfId="0" applyNumberFormat="1" applyFont="1" applyFill="1" applyBorder="1"/>
    <xf numFmtId="37" fontId="12" fillId="0" borderId="817" xfId="0" applyNumberFormat="1" applyFont="1" applyFill="1" applyBorder="1"/>
    <xf numFmtId="37" fontId="12" fillId="0" borderId="465" xfId="0" applyNumberFormat="1" applyFont="1" applyFill="1" applyBorder="1"/>
    <xf numFmtId="37" fontId="12" fillId="0" borderId="819" xfId="0" applyNumberFormat="1" applyFont="1" applyFill="1" applyBorder="1"/>
    <xf numFmtId="37" fontId="12" fillId="12" borderId="14" xfId="0" applyNumberFormat="1" applyFont="1" applyFill="1" applyBorder="1"/>
    <xf numFmtId="1" fontId="12" fillId="4" borderId="561" xfId="10" applyNumberFormat="1" applyFont="1" applyFill="1" applyBorder="1" applyAlignment="1" applyProtection="1">
      <alignment horizontal="center" vertical="center"/>
    </xf>
    <xf numFmtId="1" fontId="12" fillId="4" borderId="685" xfId="10" applyNumberFormat="1" applyFont="1" applyFill="1" applyBorder="1" applyAlignment="1" applyProtection="1">
      <alignment horizontal="center" vertical="center"/>
    </xf>
    <xf numFmtId="37" fontId="11" fillId="10" borderId="21" xfId="0" applyNumberFormat="1" applyFont="1" applyFill="1" applyBorder="1"/>
    <xf numFmtId="37" fontId="38" fillId="10" borderId="21" xfId="0" applyNumberFormat="1" applyFont="1" applyFill="1" applyBorder="1"/>
    <xf numFmtId="37" fontId="12" fillId="10" borderId="21" xfId="0" applyNumberFormat="1" applyFont="1" applyFill="1" applyBorder="1"/>
    <xf numFmtId="37" fontId="11" fillId="10" borderId="40" xfId="0" applyNumberFormat="1" applyFont="1" applyFill="1" applyBorder="1"/>
    <xf numFmtId="37" fontId="40" fillId="10" borderId="21" xfId="0" applyNumberFormat="1" applyFont="1" applyFill="1" applyBorder="1"/>
    <xf numFmtId="37" fontId="12" fillId="10" borderId="21" xfId="0" applyNumberFormat="1" applyFont="1" applyFill="1" applyBorder="1" applyAlignment="1">
      <alignment horizontal="right"/>
    </xf>
    <xf numFmtId="1" fontId="11" fillId="0" borderId="0" xfId="0" applyNumberFormat="1" applyFont="1" applyFill="1" applyBorder="1"/>
    <xf numFmtId="37" fontId="12" fillId="10" borderId="18" xfId="0" applyNumberFormat="1" applyFont="1" applyFill="1" applyBorder="1"/>
    <xf numFmtId="37" fontId="16" fillId="10" borderId="18" xfId="0" applyNumberFormat="1" applyFont="1" applyFill="1" applyBorder="1" applyAlignment="1">
      <alignment horizontal="center" wrapText="1"/>
    </xf>
    <xf numFmtId="37" fontId="16" fillId="10" borderId="2" xfId="0" applyNumberFormat="1" applyFont="1" applyFill="1" applyBorder="1" applyAlignment="1">
      <alignment horizontal="center" vertical="center"/>
    </xf>
    <xf numFmtId="3" fontId="12" fillId="18" borderId="43" xfId="0" applyNumberFormat="1" applyFont="1" applyFill="1" applyBorder="1"/>
    <xf numFmtId="37" fontId="11" fillId="18" borderId="0" xfId="0" applyNumberFormat="1" applyFont="1" applyFill="1" applyBorder="1"/>
    <xf numFmtId="37" fontId="32" fillId="18" borderId="0" xfId="0" applyNumberFormat="1" applyFont="1" applyFill="1" applyBorder="1"/>
    <xf numFmtId="37" fontId="16" fillId="18" borderId="44" xfId="0" applyNumberFormat="1" applyFont="1" applyFill="1" applyBorder="1"/>
    <xf numFmtId="37" fontId="18" fillId="18" borderId="0" xfId="0" applyNumberFormat="1" applyFont="1" applyFill="1" applyBorder="1"/>
    <xf numFmtId="0" fontId="12" fillId="18" borderId="51" xfId="0" applyFont="1" applyFill="1" applyBorder="1"/>
    <xf numFmtId="0" fontId="12" fillId="18" borderId="44" xfId="0" applyFont="1" applyFill="1" applyBorder="1"/>
    <xf numFmtId="37" fontId="32" fillId="18" borderId="0" xfId="7" applyNumberFormat="1" applyFont="1" applyFill="1" applyBorder="1"/>
    <xf numFmtId="37" fontId="12" fillId="18" borderId="44" xfId="0" applyNumberFormat="1" applyFont="1" applyFill="1" applyBorder="1"/>
    <xf numFmtId="0" fontId="12" fillId="18" borderId="40" xfId="0" applyFont="1" applyFill="1" applyBorder="1"/>
    <xf numFmtId="0" fontId="11" fillId="18" borderId="19" xfId="0" applyFont="1" applyFill="1" applyBorder="1"/>
    <xf numFmtId="37" fontId="11" fillId="17" borderId="94" xfId="10" applyNumberFormat="1" applyFont="1" applyFill="1" applyBorder="1" applyAlignment="1">
      <alignment horizontal="left" vertical="center"/>
    </xf>
    <xf numFmtId="37" fontId="11" fillId="12" borderId="899" xfId="0" applyNumberFormat="1" applyFont="1" applyFill="1" applyBorder="1" applyAlignment="1">
      <alignment horizontal="center"/>
    </xf>
    <xf numFmtId="37" fontId="11" fillId="12" borderId="901" xfId="0" applyNumberFormat="1" applyFont="1" applyFill="1" applyBorder="1" applyAlignment="1">
      <alignment horizontal="center"/>
    </xf>
    <xf numFmtId="37" fontId="11" fillId="0" borderId="902" xfId="10" applyNumberFormat="1" applyFont="1" applyFill="1" applyBorder="1" applyAlignment="1">
      <alignment horizontal="center" vertical="center"/>
    </xf>
    <xf numFmtId="37" fontId="12" fillId="17" borderId="904" xfId="0" applyNumberFormat="1" applyFont="1" applyFill="1" applyBorder="1" applyAlignment="1">
      <alignment horizontal="center" vertical="center"/>
    </xf>
    <xf numFmtId="37" fontId="11" fillId="10" borderId="173" xfId="0" applyNumberFormat="1" applyFont="1" applyFill="1" applyBorder="1" applyAlignment="1">
      <alignment horizontal="left" vertical="center"/>
    </xf>
    <xf numFmtId="37" fontId="12" fillId="10" borderId="116" xfId="0" applyNumberFormat="1" applyFont="1" applyFill="1" applyBorder="1" applyAlignment="1">
      <alignment vertical="center"/>
    </xf>
    <xf numFmtId="37" fontId="12" fillId="10" borderId="905" xfId="0" applyNumberFormat="1" applyFont="1" applyFill="1" applyBorder="1" applyAlignment="1">
      <alignment vertical="center"/>
    </xf>
    <xf numFmtId="37" fontId="11" fillId="17" borderId="27" xfId="0" applyNumberFormat="1" applyFont="1" applyFill="1" applyBorder="1" applyAlignment="1">
      <alignment horizontal="center" vertical="center"/>
    </xf>
    <xf numFmtId="37" fontId="12" fillId="10" borderId="107" xfId="0" applyNumberFormat="1" applyFont="1" applyFill="1" applyBorder="1" applyAlignment="1">
      <alignment vertical="center"/>
    </xf>
    <xf numFmtId="172" fontId="12" fillId="12" borderId="43" xfId="0" applyNumberFormat="1" applyFont="1" applyFill="1" applyBorder="1" applyAlignment="1">
      <alignment horizontal="center"/>
    </xf>
    <xf numFmtId="3" fontId="11" fillId="21" borderId="19" xfId="0" applyNumberFormat="1" applyFont="1" applyFill="1" applyBorder="1" applyAlignment="1">
      <alignment horizontal="center" vertical="center"/>
    </xf>
    <xf numFmtId="3" fontId="16" fillId="10" borderId="19" xfId="0" applyNumberFormat="1" applyFont="1" applyFill="1" applyBorder="1"/>
    <xf numFmtId="3" fontId="16" fillId="10" borderId="22" xfId="0" applyNumberFormat="1" applyFont="1" applyFill="1" applyBorder="1"/>
    <xf numFmtId="3" fontId="12" fillId="10" borderId="22" xfId="0" applyNumberFormat="1" applyFont="1" applyFill="1" applyBorder="1" applyAlignment="1">
      <alignment horizontal="center"/>
    </xf>
    <xf numFmtId="3" fontId="12" fillId="10" borderId="18" xfId="0" applyNumberFormat="1" applyFont="1" applyFill="1" applyBorder="1"/>
    <xf numFmtId="3" fontId="11" fillId="0" borderId="0" xfId="0" applyNumberFormat="1" applyFont="1" applyFill="1" applyBorder="1"/>
    <xf numFmtId="3" fontId="12" fillId="12" borderId="0" xfId="0" applyNumberFormat="1" applyFont="1" applyFill="1" applyBorder="1"/>
    <xf numFmtId="3" fontId="11" fillId="12" borderId="0" xfId="0" applyNumberFormat="1" applyFont="1" applyFill="1" applyBorder="1" applyAlignment="1">
      <alignment horizontal="center"/>
    </xf>
    <xf numFmtId="3" fontId="16" fillId="10" borderId="51" xfId="0" applyNumberFormat="1" applyFont="1" applyFill="1" applyBorder="1"/>
    <xf numFmtId="3" fontId="16" fillId="10" borderId="20" xfId="0" applyNumberFormat="1" applyFont="1" applyFill="1" applyBorder="1"/>
    <xf numFmtId="3" fontId="16" fillId="10" borderId="48" xfId="0" applyNumberFormat="1" applyFont="1" applyFill="1" applyBorder="1" applyAlignment="1">
      <alignment horizontal="center"/>
    </xf>
    <xf numFmtId="3" fontId="12" fillId="12" borderId="0" xfId="0" applyNumberFormat="1" applyFont="1" applyFill="1" applyBorder="1" applyAlignment="1">
      <alignment horizontal="center"/>
    </xf>
    <xf numFmtId="3" fontId="12" fillId="0" borderId="51" xfId="0" applyNumberFormat="1" applyFont="1" applyFill="1" applyBorder="1"/>
    <xf numFmtId="3" fontId="12" fillId="12" borderId="20" xfId="0" applyNumberFormat="1" applyFont="1" applyFill="1" applyBorder="1"/>
    <xf numFmtId="3" fontId="12" fillId="0" borderId="548" xfId="0" applyNumberFormat="1" applyFont="1" applyFill="1" applyBorder="1"/>
    <xf numFmtId="3" fontId="12" fillId="12" borderId="537" xfId="0" applyNumberFormat="1" applyFont="1" applyFill="1" applyBorder="1"/>
    <xf numFmtId="3" fontId="12" fillId="0" borderId="549" xfId="0" applyNumberFormat="1" applyFont="1" applyFill="1" applyBorder="1"/>
    <xf numFmtId="3" fontId="12" fillId="0" borderId="44" xfId="0" applyNumberFormat="1" applyFont="1" applyFill="1" applyBorder="1" applyAlignment="1">
      <alignment horizontal="right"/>
    </xf>
    <xf numFmtId="3" fontId="12" fillId="0" borderId="887" xfId="0" applyNumberFormat="1" applyFont="1" applyFill="1" applyBorder="1" applyAlignment="1">
      <alignment horizontal="right"/>
    </xf>
    <xf numFmtId="3" fontId="12" fillId="12" borderId="908" xfId="0" applyNumberFormat="1" applyFont="1" applyFill="1" applyBorder="1"/>
    <xf numFmtId="3" fontId="12" fillId="0" borderId="909" xfId="0" applyNumberFormat="1" applyFont="1" applyFill="1" applyBorder="1"/>
    <xf numFmtId="3" fontId="12" fillId="0" borderId="40" xfId="0" applyNumberFormat="1" applyFont="1" applyFill="1" applyBorder="1"/>
    <xf numFmtId="3" fontId="11" fillId="0" borderId="19" xfId="0" applyNumberFormat="1" applyFont="1" applyFill="1" applyBorder="1"/>
    <xf numFmtId="3" fontId="12" fillId="12" borderId="22" xfId="0" applyNumberFormat="1" applyFont="1" applyFill="1" applyBorder="1"/>
    <xf numFmtId="3" fontId="12" fillId="0" borderId="0" xfId="0" applyNumberFormat="1" applyFont="1"/>
    <xf numFmtId="3" fontId="12" fillId="0" borderId="0" xfId="0" applyNumberFormat="1" applyFont="1" applyFill="1" applyBorder="1"/>
    <xf numFmtId="3" fontId="12" fillId="0" borderId="0" xfId="0" applyNumberFormat="1" applyFont="1" applyBorder="1"/>
    <xf numFmtId="3" fontId="12" fillId="0" borderId="0" xfId="0" applyNumberFormat="1" applyFont="1" applyFill="1"/>
    <xf numFmtId="3" fontId="12" fillId="12" borderId="44" xfId="0" applyNumberFormat="1" applyFont="1" applyFill="1" applyBorder="1" applyAlignment="1">
      <alignment horizontal="right"/>
    </xf>
    <xf numFmtId="3" fontId="12" fillId="0" borderId="481" xfId="0" applyNumberFormat="1" applyFont="1" applyFill="1" applyBorder="1"/>
    <xf numFmtId="3" fontId="12" fillId="12" borderId="466" xfId="0" applyNumberFormat="1" applyFont="1" applyFill="1" applyBorder="1"/>
    <xf numFmtId="3" fontId="12" fillId="0" borderId="470" xfId="0" applyNumberFormat="1" applyFont="1" applyFill="1" applyBorder="1"/>
    <xf numFmtId="3" fontId="12" fillId="0" borderId="44" xfId="0" applyNumberFormat="1" applyFont="1" applyFill="1" applyBorder="1"/>
    <xf numFmtId="3" fontId="12" fillId="12" borderId="0" xfId="7" applyNumberFormat="1" applyFont="1" applyFill="1" applyBorder="1" applyAlignment="1">
      <alignment horizontal="center"/>
    </xf>
    <xf numFmtId="3" fontId="11" fillId="12" borderId="0" xfId="0" applyNumberFormat="1" applyFont="1" applyFill="1" applyBorder="1" applyAlignment="1">
      <alignment horizontal="right"/>
    </xf>
    <xf numFmtId="0" fontId="12" fillId="0" borderId="26" xfId="0" applyFont="1" applyFill="1" applyBorder="1" applyAlignment="1">
      <alignment vertical="center"/>
    </xf>
    <xf numFmtId="1" fontId="17" fillId="0" borderId="5" xfId="0" applyNumberFormat="1" applyFont="1" applyFill="1" applyBorder="1" applyAlignment="1">
      <alignment horizontal="left" vertical="center"/>
    </xf>
    <xf numFmtId="0" fontId="12" fillId="0" borderId="45" xfId="0" applyFont="1" applyFill="1" applyBorder="1" applyAlignment="1">
      <alignment horizontal="left" vertical="center"/>
    </xf>
    <xf numFmtId="37" fontId="55" fillId="17" borderId="198" xfId="10" applyNumberFormat="1" applyFont="1" applyFill="1" applyBorder="1" applyAlignment="1">
      <alignment vertical="center"/>
    </xf>
    <xf numFmtId="0" fontId="21" fillId="0" borderId="203" xfId="0" applyFont="1" applyFill="1" applyBorder="1" applyAlignment="1">
      <alignment horizontal="left" vertical="center"/>
    </xf>
    <xf numFmtId="37" fontId="18" fillId="12" borderId="17" xfId="0" applyNumberFormat="1" applyFont="1" applyFill="1" applyBorder="1"/>
    <xf numFmtId="37" fontId="12" fillId="12" borderId="17" xfId="0" applyNumberFormat="1" applyFont="1" applyFill="1" applyBorder="1"/>
    <xf numFmtId="37" fontId="32" fillId="12" borderId="17" xfId="0" applyNumberFormat="1" applyFont="1" applyFill="1" applyBorder="1"/>
    <xf numFmtId="9" fontId="12" fillId="0" borderId="0" xfId="7" applyFont="1" applyFill="1" applyAlignment="1">
      <alignment vertical="center"/>
    </xf>
    <xf numFmtId="37" fontId="11" fillId="4" borderId="23" xfId="0" applyNumberFormat="1" applyFont="1" applyFill="1" applyBorder="1"/>
    <xf numFmtId="37" fontId="18" fillId="4" borderId="45" xfId="0" applyNumberFormat="1" applyFont="1" applyFill="1" applyBorder="1"/>
    <xf numFmtId="37" fontId="11" fillId="4" borderId="24" xfId="0" applyNumberFormat="1" applyFont="1" applyFill="1" applyBorder="1"/>
    <xf numFmtId="37" fontId="32" fillId="12" borderId="5" xfId="0" applyNumberFormat="1" applyFont="1" applyFill="1" applyBorder="1"/>
    <xf numFmtId="37" fontId="11" fillId="4" borderId="45" xfId="7" applyNumberFormat="1" applyFont="1" applyFill="1" applyBorder="1" applyAlignment="1">
      <alignment horizontal="center"/>
    </xf>
    <xf numFmtId="37" fontId="12" fillId="12" borderId="29" xfId="0" applyNumberFormat="1" applyFont="1" applyFill="1" applyBorder="1"/>
    <xf numFmtId="37" fontId="11" fillId="12" borderId="29" xfId="0" applyNumberFormat="1" applyFont="1" applyFill="1" applyBorder="1"/>
    <xf numFmtId="37" fontId="32" fillId="24" borderId="0" xfId="0" applyNumberFormat="1" applyFont="1" applyFill="1" applyBorder="1"/>
    <xf numFmtId="37" fontId="12" fillId="24" borderId="0" xfId="0" applyNumberFormat="1" applyFont="1" applyFill="1" applyBorder="1" applyAlignment="1">
      <alignment horizontal="center"/>
    </xf>
    <xf numFmtId="37" fontId="12" fillId="24" borderId="0" xfId="0" applyNumberFormat="1" applyFont="1" applyFill="1" applyBorder="1"/>
    <xf numFmtId="172" fontId="12" fillId="19" borderId="60" xfId="0" applyNumberFormat="1" applyFont="1" applyFill="1" applyBorder="1" applyAlignment="1">
      <alignment horizontal="center" vertical="center"/>
    </xf>
    <xf numFmtId="37" fontId="66" fillId="0" borderId="20" xfId="6" applyNumberFormat="1" applyFont="1" applyFill="1" applyBorder="1" applyAlignment="1">
      <alignment horizontal="center" vertical="center" wrapText="1"/>
    </xf>
    <xf numFmtId="170" fontId="11" fillId="0" borderId="27" xfId="0" applyNumberFormat="1" applyFont="1" applyFill="1" applyBorder="1" applyAlignment="1">
      <alignment horizontal="right"/>
    </xf>
    <xf numFmtId="37" fontId="12" fillId="0" borderId="71" xfId="0" applyNumberFormat="1" applyFont="1" applyFill="1" applyBorder="1" applyAlignment="1">
      <alignment horizontal="right"/>
    </xf>
    <xf numFmtId="172" fontId="12" fillId="0" borderId="92" xfId="0" applyNumberFormat="1" applyFont="1" applyFill="1" applyBorder="1" applyAlignment="1">
      <alignment horizontal="right"/>
    </xf>
    <xf numFmtId="37" fontId="12" fillId="0" borderId="916" xfId="0" applyNumberFormat="1" applyFont="1" applyFill="1" applyBorder="1" applyAlignment="1">
      <alignment horizontal="center"/>
    </xf>
    <xf numFmtId="37" fontId="12" fillId="0" borderId="466" xfId="0" applyNumberFormat="1" applyFont="1" applyFill="1" applyBorder="1" applyAlignment="1">
      <alignment horizontal="center"/>
    </xf>
    <xf numFmtId="37" fontId="12" fillId="0" borderId="917" xfId="0" applyNumberFormat="1" applyFont="1" applyFill="1" applyBorder="1" applyAlignment="1">
      <alignment horizontal="center"/>
    </xf>
    <xf numFmtId="37" fontId="12" fillId="0" borderId="481" xfId="0" applyNumberFormat="1" applyFont="1" applyFill="1" applyBorder="1" applyAlignment="1">
      <alignment horizontal="center"/>
    </xf>
    <xf numFmtId="37" fontId="12" fillId="12" borderId="603" xfId="0" applyNumberFormat="1" applyFont="1" applyFill="1" applyBorder="1" applyAlignment="1">
      <alignment horizontal="center"/>
    </xf>
    <xf numFmtId="37" fontId="12" fillId="0" borderId="918" xfId="0" applyNumberFormat="1" applyFont="1" applyFill="1" applyBorder="1" applyAlignment="1">
      <alignment horizontal="center"/>
    </xf>
    <xf numFmtId="0" fontId="12" fillId="24" borderId="2" xfId="0" applyFont="1" applyFill="1" applyBorder="1" applyAlignment="1">
      <alignment horizontal="center" vertical="center"/>
    </xf>
    <xf numFmtId="0" fontId="12" fillId="24" borderId="0" xfId="0" applyFont="1" applyFill="1" applyAlignment="1">
      <alignment horizontal="center" vertical="center"/>
    </xf>
    <xf numFmtId="0" fontId="12" fillId="24" borderId="0" xfId="0" applyFont="1" applyFill="1" applyBorder="1" applyAlignment="1">
      <alignment horizontal="center" vertical="center"/>
    </xf>
    <xf numFmtId="0" fontId="12" fillId="24" borderId="0" xfId="0" applyFont="1" applyFill="1" applyAlignment="1">
      <alignment vertical="center"/>
    </xf>
    <xf numFmtId="37" fontId="12" fillId="24" borderId="0" xfId="0" applyNumberFormat="1" applyFont="1" applyFill="1" applyAlignment="1">
      <alignment horizontal="center" vertical="center"/>
    </xf>
    <xf numFmtId="37" fontId="12" fillId="24" borderId="2" xfId="0" applyNumberFormat="1" applyFont="1" applyFill="1" applyBorder="1" applyAlignment="1">
      <alignment horizontal="center" vertical="center"/>
    </xf>
    <xf numFmtId="37" fontId="12" fillId="0" borderId="50" xfId="0" applyNumberFormat="1" applyFont="1" applyFill="1" applyBorder="1" applyAlignment="1">
      <alignment horizontal="right"/>
    </xf>
    <xf numFmtId="37" fontId="12" fillId="0" borderId="46" xfId="0" applyNumberFormat="1" applyFont="1" applyFill="1" applyBorder="1" applyAlignment="1">
      <alignment horizontal="left"/>
    </xf>
    <xf numFmtId="37" fontId="12" fillId="0" borderId="16" xfId="0" applyNumberFormat="1" applyFont="1" applyFill="1" applyBorder="1" applyAlignment="1">
      <alignment horizontal="left"/>
    </xf>
    <xf numFmtId="37" fontId="12" fillId="12" borderId="19" xfId="0" applyNumberFormat="1" applyFont="1" applyFill="1" applyBorder="1" applyAlignment="1">
      <alignment horizontal="right"/>
    </xf>
    <xf numFmtId="37" fontId="12" fillId="12" borderId="22" xfId="0" applyNumberFormat="1" applyFont="1" applyFill="1" applyBorder="1" applyAlignment="1">
      <alignment horizontal="right"/>
    </xf>
    <xf numFmtId="37" fontId="12" fillId="12" borderId="18" xfId="0" applyNumberFormat="1" applyFont="1" applyFill="1" applyBorder="1" applyAlignment="1">
      <alignment horizontal="right"/>
    </xf>
    <xf numFmtId="37" fontId="11" fillId="12" borderId="31" xfId="0" applyNumberFormat="1" applyFont="1" applyFill="1" applyBorder="1" applyAlignment="1">
      <alignment horizontal="right"/>
    </xf>
    <xf numFmtId="37" fontId="11" fillId="0" borderId="27" xfId="0" applyNumberFormat="1" applyFont="1" applyFill="1" applyBorder="1"/>
    <xf numFmtId="37" fontId="32" fillId="12" borderId="2" xfId="0" applyNumberFormat="1" applyFont="1" applyFill="1" applyBorder="1" applyAlignment="1">
      <alignment horizontal="center"/>
    </xf>
    <xf numFmtId="37" fontId="11" fillId="12" borderId="18" xfId="0" applyNumberFormat="1" applyFont="1" applyFill="1" applyBorder="1" applyAlignment="1">
      <alignment horizontal="center"/>
    </xf>
    <xf numFmtId="37" fontId="18" fillId="12" borderId="18" xfId="0" applyNumberFormat="1" applyFont="1" applyFill="1" applyBorder="1" applyAlignment="1">
      <alignment horizontal="center"/>
    </xf>
    <xf numFmtId="172" fontId="12" fillId="12" borderId="0" xfId="0" applyNumberFormat="1" applyFont="1" applyFill="1" applyBorder="1" applyAlignment="1">
      <alignment horizontal="center"/>
    </xf>
    <xf numFmtId="166" fontId="12" fillId="0" borderId="0" xfId="0" applyNumberFormat="1" applyFont="1" applyFill="1" applyAlignment="1">
      <alignment vertical="center"/>
    </xf>
    <xf numFmtId="37" fontId="12" fillId="0" borderId="555" xfId="0" applyNumberFormat="1" applyFont="1" applyFill="1" applyBorder="1"/>
    <xf numFmtId="37" fontId="12" fillId="0" borderId="555" xfId="0" applyNumberFormat="1" applyFont="1" applyFill="1" applyBorder="1" applyAlignment="1">
      <alignment horizontal="right"/>
    </xf>
    <xf numFmtId="37" fontId="32" fillId="0" borderId="556" xfId="0" applyNumberFormat="1" applyFont="1" applyFill="1" applyBorder="1" applyAlignment="1">
      <alignment horizontal="right"/>
    </xf>
    <xf numFmtId="37" fontId="32" fillId="0" borderId="557" xfId="0" applyNumberFormat="1" applyFont="1" applyFill="1" applyBorder="1" applyAlignment="1">
      <alignment horizontal="right"/>
    </xf>
    <xf numFmtId="37" fontId="32" fillId="0" borderId="558" xfId="0" applyNumberFormat="1" applyFont="1" applyFill="1" applyBorder="1" applyAlignment="1">
      <alignment horizontal="right"/>
    </xf>
    <xf numFmtId="0" fontId="12" fillId="0" borderId="0" xfId="0" applyFont="1" applyFill="1"/>
    <xf numFmtId="0" fontId="11" fillId="17" borderId="100" xfId="6" applyFont="1" applyFill="1" applyBorder="1" applyAlignment="1">
      <alignment horizontal="center" vertical="center"/>
    </xf>
    <xf numFmtId="166" fontId="11" fillId="0" borderId="8" xfId="6" applyNumberFormat="1" applyFont="1" applyFill="1" applyBorder="1" applyAlignment="1">
      <alignment horizontal="center" vertical="center"/>
    </xf>
    <xf numFmtId="37" fontId="11" fillId="0" borderId="50" xfId="0" applyNumberFormat="1" applyFont="1" applyFill="1" applyBorder="1" applyAlignment="1">
      <alignment horizontal="center" vertical="center"/>
    </xf>
    <xf numFmtId="37" fontId="12" fillId="0" borderId="606" xfId="0" applyNumberFormat="1" applyFont="1" applyFill="1" applyBorder="1" applyAlignment="1">
      <alignment horizontal="center"/>
    </xf>
    <xf numFmtId="37" fontId="11" fillId="0" borderId="920" xfId="10" applyNumberFormat="1" applyFont="1" applyFill="1" applyBorder="1" applyAlignment="1">
      <alignment horizontal="center" vertical="center"/>
    </xf>
    <xf numFmtId="37" fontId="11" fillId="0" borderId="171" xfId="10" applyNumberFormat="1" applyFont="1" applyFill="1" applyBorder="1" applyAlignment="1">
      <alignment horizontal="center" vertical="center"/>
    </xf>
    <xf numFmtId="37" fontId="12" fillId="0" borderId="921" xfId="0" applyNumberFormat="1" applyFont="1" applyFill="1" applyBorder="1" applyAlignment="1">
      <alignment horizontal="center"/>
    </xf>
    <xf numFmtId="37" fontId="12" fillId="0" borderId="468" xfId="0" applyNumberFormat="1" applyFont="1" applyFill="1" applyBorder="1" applyAlignment="1">
      <alignment horizontal="center"/>
    </xf>
    <xf numFmtId="37" fontId="12" fillId="0" borderId="820" xfId="0" applyNumberFormat="1" applyFont="1" applyFill="1" applyBorder="1" applyAlignment="1">
      <alignment horizontal="center"/>
    </xf>
    <xf numFmtId="37" fontId="11" fillId="12" borderId="922" xfId="0" applyNumberFormat="1" applyFont="1" applyFill="1" applyBorder="1" applyAlignment="1">
      <alignment horizontal="center"/>
    </xf>
    <xf numFmtId="37" fontId="11" fillId="12" borderId="482" xfId="0" applyNumberFormat="1" applyFont="1" applyFill="1" applyBorder="1" applyAlignment="1">
      <alignment horizontal="center"/>
    </xf>
    <xf numFmtId="37" fontId="11" fillId="12" borderId="923" xfId="0" applyNumberFormat="1" applyFont="1" applyFill="1" applyBorder="1" applyAlignment="1">
      <alignment horizontal="center"/>
    </xf>
    <xf numFmtId="1" fontId="12" fillId="12" borderId="924" xfId="0" applyNumberFormat="1" applyFont="1" applyFill="1" applyBorder="1" applyAlignment="1">
      <alignment horizontal="left"/>
    </xf>
    <xf numFmtId="37" fontId="12" fillId="0" borderId="925" xfId="0" applyNumberFormat="1" applyFont="1" applyFill="1" applyBorder="1" applyAlignment="1">
      <alignment horizontal="center"/>
    </xf>
    <xf numFmtId="37" fontId="12" fillId="12" borderId="925" xfId="0" applyNumberFormat="1" applyFont="1" applyFill="1" applyBorder="1" applyAlignment="1">
      <alignment horizontal="center"/>
    </xf>
    <xf numFmtId="37" fontId="12" fillId="0" borderId="926" xfId="0" applyNumberFormat="1" applyFont="1" applyFill="1" applyBorder="1" applyAlignment="1">
      <alignment horizontal="center"/>
    </xf>
    <xf numFmtId="37" fontId="11" fillId="12" borderId="927" xfId="0" applyNumberFormat="1" applyFont="1" applyFill="1" applyBorder="1" applyAlignment="1">
      <alignment horizontal="center"/>
    </xf>
    <xf numFmtId="37" fontId="12" fillId="12" borderId="556" xfId="0" applyNumberFormat="1" applyFont="1" applyFill="1" applyBorder="1" applyAlignment="1">
      <alignment horizontal="right"/>
    </xf>
    <xf numFmtId="37" fontId="11" fillId="0" borderId="53" xfId="0" applyNumberFormat="1" applyFont="1" applyFill="1" applyBorder="1" applyAlignment="1">
      <alignment horizontal="right"/>
    </xf>
    <xf numFmtId="37" fontId="12" fillId="12" borderId="557" xfId="0" applyNumberFormat="1" applyFont="1" applyFill="1" applyBorder="1" applyAlignment="1">
      <alignment horizontal="right"/>
    </xf>
    <xf numFmtId="37" fontId="11" fillId="12" borderId="23" xfId="10" applyNumberFormat="1" applyFont="1" applyFill="1" applyBorder="1" applyAlignment="1">
      <alignment vertical="center"/>
    </xf>
    <xf numFmtId="37" fontId="11" fillId="0" borderId="45" xfId="10" applyNumberFormat="1" applyFont="1" applyFill="1" applyBorder="1" applyAlignment="1">
      <alignment vertical="center"/>
    </xf>
    <xf numFmtId="37" fontId="11" fillId="12" borderId="106" xfId="10" applyNumberFormat="1" applyFont="1" applyFill="1" applyBorder="1" applyAlignment="1">
      <alignment vertical="center"/>
    </xf>
    <xf numFmtId="37" fontId="11" fillId="0" borderId="2" xfId="0" applyNumberFormat="1" applyFont="1" applyFill="1" applyBorder="1" applyAlignment="1">
      <alignment horizontal="right"/>
    </xf>
    <xf numFmtId="37" fontId="12" fillId="10" borderId="17" xfId="0" applyNumberFormat="1" applyFont="1" applyFill="1" applyBorder="1" applyAlignment="1">
      <alignment horizontal="center"/>
    </xf>
    <xf numFmtId="37" fontId="12" fillId="10" borderId="937" xfId="0" applyNumberFormat="1" applyFont="1" applyFill="1" applyBorder="1"/>
    <xf numFmtId="37" fontId="12" fillId="10" borderId="474" xfId="0" applyNumberFormat="1" applyFont="1" applyFill="1" applyBorder="1"/>
    <xf numFmtId="37" fontId="12" fillId="10" borderId="476" xfId="0" applyNumberFormat="1" applyFont="1" applyFill="1" applyBorder="1"/>
    <xf numFmtId="37" fontId="12" fillId="0" borderId="474" xfId="0" applyNumberFormat="1" applyFont="1" applyFill="1" applyBorder="1"/>
    <xf numFmtId="37" fontId="11" fillId="19" borderId="521" xfId="0" applyNumberFormat="1" applyFont="1" applyFill="1" applyBorder="1"/>
    <xf numFmtId="37" fontId="12" fillId="19" borderId="497" xfId="0" applyNumberFormat="1" applyFont="1" applyFill="1" applyBorder="1"/>
    <xf numFmtId="1" fontId="11" fillId="17" borderId="383" xfId="10" applyNumberFormat="1" applyFont="1" applyFill="1" applyBorder="1" applyAlignment="1">
      <alignment horizontal="right" vertical="center"/>
    </xf>
    <xf numFmtId="0" fontId="12" fillId="10" borderId="36" xfId="10" applyFont="1" applyFill="1" applyBorder="1" applyAlignment="1">
      <alignment vertical="center"/>
    </xf>
    <xf numFmtId="0" fontId="11" fillId="10" borderId="106" xfId="10" applyNumberFormat="1" applyFont="1" applyFill="1" applyBorder="1" applyAlignment="1">
      <alignment horizontal="center" vertical="center"/>
    </xf>
    <xf numFmtId="37" fontId="11" fillId="10" borderId="53" xfId="10" applyNumberFormat="1" applyFont="1" applyFill="1" applyBorder="1" applyAlignment="1">
      <alignment horizontal="center" vertical="center"/>
    </xf>
    <xf numFmtId="37" fontId="12" fillId="12" borderId="90" xfId="0" applyNumberFormat="1" applyFont="1" applyFill="1" applyBorder="1" applyAlignment="1">
      <alignment horizontal="right"/>
    </xf>
    <xf numFmtId="37" fontId="12" fillId="12" borderId="33" xfId="0" applyNumberFormat="1" applyFont="1" applyFill="1" applyBorder="1" applyAlignment="1">
      <alignment horizontal="right"/>
    </xf>
    <xf numFmtId="37" fontId="11" fillId="12" borderId="90" xfId="0" applyNumberFormat="1" applyFont="1" applyFill="1" applyBorder="1" applyAlignment="1">
      <alignment horizontal="right"/>
    </xf>
    <xf numFmtId="37" fontId="11" fillId="12" borderId="33" xfId="0" applyNumberFormat="1" applyFont="1" applyFill="1" applyBorder="1" applyAlignment="1">
      <alignment horizontal="right"/>
    </xf>
    <xf numFmtId="37" fontId="12" fillId="0" borderId="42" xfId="0" applyNumberFormat="1" applyFont="1" applyFill="1" applyBorder="1" applyAlignment="1">
      <alignment horizontal="right"/>
    </xf>
    <xf numFmtId="37" fontId="12" fillId="0" borderId="60" xfId="0" applyNumberFormat="1" applyFont="1" applyFill="1" applyBorder="1" applyAlignment="1">
      <alignment horizontal="right"/>
    </xf>
    <xf numFmtId="37" fontId="11" fillId="10" borderId="55" xfId="10" applyNumberFormat="1" applyFont="1" applyFill="1" applyBorder="1" applyAlignment="1">
      <alignment horizontal="center" vertical="center"/>
    </xf>
    <xf numFmtId="37" fontId="11" fillId="10" borderId="12" xfId="10" applyNumberFormat="1" applyFont="1" applyFill="1" applyBorder="1" applyAlignment="1">
      <alignment horizontal="center" vertical="center" wrapText="1"/>
    </xf>
    <xf numFmtId="37" fontId="11" fillId="10" borderId="42" xfId="10" applyNumberFormat="1" applyFont="1" applyFill="1" applyBorder="1" applyAlignment="1">
      <alignment horizontal="center" vertical="center" wrapText="1"/>
    </xf>
    <xf numFmtId="37" fontId="11" fillId="10" borderId="55" xfId="10" applyNumberFormat="1" applyFont="1" applyFill="1" applyBorder="1" applyAlignment="1">
      <alignment horizontal="center" vertical="center" wrapText="1"/>
    </xf>
    <xf numFmtId="37" fontId="11" fillId="10" borderId="54" xfId="10" applyNumberFormat="1" applyFont="1" applyFill="1" applyBorder="1" applyAlignment="1">
      <alignment horizontal="center" vertical="center"/>
    </xf>
    <xf numFmtId="37" fontId="11" fillId="10" borderId="57" xfId="10" applyNumberFormat="1" applyFont="1" applyFill="1" applyBorder="1" applyAlignment="1">
      <alignment horizontal="center" vertical="center"/>
    </xf>
    <xf numFmtId="37" fontId="11" fillId="10" borderId="38" xfId="10" applyNumberFormat="1" applyFont="1" applyFill="1" applyBorder="1" applyAlignment="1">
      <alignment horizontal="center" vertical="center" wrapText="1"/>
    </xf>
    <xf numFmtId="37" fontId="11" fillId="10" borderId="47" xfId="10" applyNumberFormat="1" applyFont="1" applyFill="1" applyBorder="1" applyAlignment="1">
      <alignment horizontal="center" vertical="center" wrapText="1"/>
    </xf>
    <xf numFmtId="37" fontId="11" fillId="10" borderId="52" xfId="10" applyNumberFormat="1" applyFont="1" applyFill="1" applyBorder="1" applyAlignment="1">
      <alignment horizontal="center" vertical="center" wrapText="1"/>
    </xf>
    <xf numFmtId="37" fontId="11" fillId="10" borderId="35" xfId="10" applyNumberFormat="1" applyFont="1" applyFill="1" applyBorder="1" applyAlignment="1">
      <alignment horizontal="center" vertical="center"/>
    </xf>
    <xf numFmtId="37" fontId="11" fillId="11" borderId="14" xfId="0" applyNumberFormat="1" applyFont="1" applyFill="1" applyBorder="1" applyAlignment="1">
      <alignment horizontal="left"/>
    </xf>
    <xf numFmtId="37" fontId="12" fillId="0" borderId="90" xfId="0" applyNumberFormat="1" applyFont="1" applyFill="1" applyBorder="1" applyAlignment="1">
      <alignment horizontal="center" vertical="center"/>
    </xf>
    <xf numFmtId="37" fontId="12" fillId="0" borderId="55" xfId="0" applyNumberFormat="1" applyFont="1" applyFill="1" applyBorder="1" applyAlignment="1">
      <alignment horizontal="center" vertical="center"/>
    </xf>
    <xf numFmtId="37" fontId="12" fillId="12" borderId="908" xfId="0" applyNumberFormat="1" applyFont="1" applyFill="1" applyBorder="1"/>
    <xf numFmtId="37" fontId="12" fillId="12" borderId="558" xfId="0" applyNumberFormat="1" applyFont="1" applyFill="1" applyBorder="1" applyAlignment="1">
      <alignment horizontal="right"/>
    </xf>
    <xf numFmtId="37" fontId="11" fillId="10" borderId="10" xfId="10" applyNumberFormat="1" applyFont="1" applyFill="1" applyBorder="1" applyAlignment="1">
      <alignment horizontal="center" vertical="center" wrapText="1"/>
    </xf>
    <xf numFmtId="0" fontId="14" fillId="0" borderId="0" xfId="12" applyFont="1" applyFill="1"/>
    <xf numFmtId="37" fontId="11" fillId="0" borderId="23" xfId="6" applyNumberFormat="1" applyFont="1" applyFill="1" applyBorder="1" applyAlignment="1">
      <alignment horizontal="center" vertical="center"/>
    </xf>
    <xf numFmtId="37" fontId="11" fillId="0" borderId="45" xfId="6" applyNumberFormat="1" applyFont="1" applyFill="1" applyBorder="1" applyAlignment="1">
      <alignment horizontal="center" vertical="center"/>
    </xf>
    <xf numFmtId="37" fontId="11" fillId="0" borderId="24" xfId="6" applyNumberFormat="1" applyFont="1" applyFill="1" applyBorder="1" applyAlignment="1">
      <alignment horizontal="center" vertical="center"/>
    </xf>
    <xf numFmtId="0" fontId="14" fillId="0" borderId="0" xfId="12" applyFont="1" applyFill="1" applyAlignment="1">
      <alignment horizontal="left" vertical="center"/>
    </xf>
    <xf numFmtId="1" fontId="11" fillId="17" borderId="30" xfId="10" applyNumberFormat="1" applyFont="1" applyFill="1" applyBorder="1" applyAlignment="1">
      <alignment horizontal="center" vertical="center"/>
    </xf>
    <xf numFmtId="37" fontId="11" fillId="10" borderId="58" xfId="10" applyNumberFormat="1" applyFont="1" applyFill="1" applyBorder="1" applyAlignment="1">
      <alignment horizontal="center" vertical="center"/>
    </xf>
    <xf numFmtId="37" fontId="11" fillId="10" borderId="8" xfId="10" applyNumberFormat="1" applyFont="1" applyFill="1" applyBorder="1" applyAlignment="1">
      <alignment horizontal="center" vertical="center"/>
    </xf>
    <xf numFmtId="0" fontId="11" fillId="10" borderId="45" xfId="10" applyFont="1" applyFill="1" applyBorder="1" applyAlignment="1">
      <alignment horizontal="center" vertical="center"/>
    </xf>
    <xf numFmtId="0" fontId="11" fillId="10" borderId="24" xfId="10" applyFont="1" applyFill="1" applyBorder="1" applyAlignment="1">
      <alignment horizontal="center" vertical="center"/>
    </xf>
    <xf numFmtId="1" fontId="12" fillId="12" borderId="944" xfId="10" applyNumberFormat="1" applyFont="1" applyFill="1" applyBorder="1" applyAlignment="1" applyProtection="1">
      <alignment horizontal="left" vertical="center"/>
    </xf>
    <xf numFmtId="1" fontId="12" fillId="12" borderId="945" xfId="10" applyNumberFormat="1" applyFont="1" applyFill="1" applyBorder="1" applyAlignment="1" applyProtection="1">
      <alignment horizontal="center" vertical="center"/>
    </xf>
    <xf numFmtId="2" fontId="12" fillId="12" borderId="948" xfId="10" applyNumberFormat="1" applyFont="1" applyFill="1" applyBorder="1" applyAlignment="1" applyProtection="1">
      <alignment horizontal="center" vertical="center"/>
    </xf>
    <xf numFmtId="1" fontId="12" fillId="12" borderId="532" xfId="10" applyNumberFormat="1" applyFont="1" applyFill="1" applyBorder="1" applyAlignment="1" applyProtection="1">
      <alignment horizontal="left" vertical="center"/>
    </xf>
    <xf numFmtId="1" fontId="12" fillId="12" borderId="935" xfId="10" applyNumberFormat="1" applyFont="1" applyFill="1" applyBorder="1" applyAlignment="1" applyProtection="1">
      <alignment horizontal="center" vertical="center"/>
    </xf>
    <xf numFmtId="2" fontId="12" fillId="12" borderId="951" xfId="10" applyNumberFormat="1" applyFont="1" applyFill="1" applyBorder="1" applyAlignment="1" applyProtection="1">
      <alignment horizontal="center" vertical="center"/>
    </xf>
    <xf numFmtId="0" fontId="14" fillId="0" borderId="0" xfId="12" applyFont="1" applyFill="1" applyAlignment="1"/>
    <xf numFmtId="37" fontId="14" fillId="0" borderId="0" xfId="12" applyNumberFormat="1" applyFont="1" applyFill="1" applyAlignment="1">
      <alignment horizontal="left" vertical="center"/>
    </xf>
    <xf numFmtId="0" fontId="14" fillId="0" borderId="0" xfId="12" applyFont="1" applyFill="1"/>
    <xf numFmtId="0" fontId="32" fillId="0" borderId="0" xfId="0" applyFont="1" applyFill="1" applyProtection="1"/>
    <xf numFmtId="0" fontId="14" fillId="0" borderId="0" xfId="12" applyFont="1" applyFill="1" applyProtection="1"/>
    <xf numFmtId="0" fontId="13" fillId="12" borderId="0" xfId="10" applyFont="1" applyFill="1" applyBorder="1" applyAlignment="1" applyProtection="1">
      <alignment vertical="center"/>
    </xf>
    <xf numFmtId="0" fontId="12" fillId="12" borderId="0" xfId="10" applyFont="1" applyFill="1" applyBorder="1" applyAlignment="1" applyProtection="1">
      <alignment horizontal="center" vertical="center"/>
    </xf>
    <xf numFmtId="0" fontId="12" fillId="12" borderId="0" xfId="10" applyFont="1" applyFill="1" applyBorder="1" applyAlignment="1" applyProtection="1">
      <alignment vertical="center"/>
    </xf>
    <xf numFmtId="0" fontId="18" fillId="0" borderId="0" xfId="10" applyNumberFormat="1" applyFont="1" applyFill="1" applyBorder="1" applyAlignment="1" applyProtection="1">
      <alignment horizontal="center" vertical="center"/>
    </xf>
    <xf numFmtId="0" fontId="12" fillId="12" borderId="0" xfId="10" applyFont="1" applyFill="1" applyAlignment="1" applyProtection="1">
      <alignment vertical="center"/>
    </xf>
    <xf numFmtId="0" fontId="12" fillId="12" borderId="0" xfId="0" applyFont="1" applyFill="1" applyAlignment="1" applyProtection="1">
      <alignment vertical="center"/>
    </xf>
    <xf numFmtId="0" fontId="11" fillId="12" borderId="0" xfId="10" applyFont="1" applyFill="1" applyBorder="1" applyAlignment="1" applyProtection="1">
      <alignment vertical="center"/>
    </xf>
    <xf numFmtId="0" fontId="12" fillId="12" borderId="0" xfId="10" applyFont="1" applyFill="1" applyBorder="1" applyAlignment="1" applyProtection="1">
      <alignment horizontal="left" vertical="center"/>
    </xf>
    <xf numFmtId="0" fontId="11" fillId="12" borderId="0" xfId="10" applyFont="1" applyFill="1" applyBorder="1" applyAlignment="1" applyProtection="1">
      <alignment horizontal="left" vertical="center"/>
    </xf>
    <xf numFmtId="0" fontId="14" fillId="12" borderId="0" xfId="12" applyFont="1" applyFill="1" applyBorder="1" applyAlignment="1" applyProtection="1">
      <alignment horizontal="left" vertical="center"/>
    </xf>
    <xf numFmtId="0" fontId="12" fillId="0" borderId="0" xfId="10" applyFont="1" applyFill="1" applyBorder="1" applyAlignment="1" applyProtection="1">
      <alignment horizontal="left" vertical="center"/>
    </xf>
    <xf numFmtId="0" fontId="12" fillId="0" borderId="0" xfId="10" applyFont="1" applyFill="1" applyAlignment="1" applyProtection="1">
      <alignment vertical="center"/>
    </xf>
    <xf numFmtId="0" fontId="12" fillId="0" borderId="0" xfId="10" applyFont="1" applyFill="1" applyAlignment="1" applyProtection="1">
      <alignment horizontal="left" vertical="center"/>
    </xf>
    <xf numFmtId="0" fontId="14" fillId="0" borderId="0" xfId="12" applyFont="1" applyFill="1" applyAlignment="1" applyProtection="1">
      <alignment horizontal="left" vertical="center"/>
    </xf>
    <xf numFmtId="0" fontId="14" fillId="0" borderId="0" xfId="12" applyFont="1" applyProtection="1"/>
    <xf numFmtId="0" fontId="3" fillId="0" borderId="0" xfId="0" applyFont="1" applyBorder="1" applyAlignment="1" applyProtection="1">
      <alignment horizontal="left"/>
    </xf>
    <xf numFmtId="0" fontId="12" fillId="10" borderId="19" xfId="10" applyFont="1" applyFill="1" applyBorder="1" applyAlignment="1" applyProtection="1">
      <alignment vertical="center"/>
    </xf>
    <xf numFmtId="0" fontId="12" fillId="10" borderId="22" xfId="10" applyNumberFormat="1" applyFont="1" applyFill="1" applyBorder="1" applyAlignment="1" applyProtection="1">
      <alignment horizontal="center" vertical="center"/>
    </xf>
    <xf numFmtId="0" fontId="11" fillId="10" borderId="22" xfId="10" applyNumberFormat="1" applyFont="1" applyFill="1" applyBorder="1" applyAlignment="1" applyProtection="1">
      <alignment horizontal="center" vertical="center"/>
    </xf>
    <xf numFmtId="0" fontId="12" fillId="10" borderId="22" xfId="10" applyNumberFormat="1" applyFont="1" applyFill="1" applyBorder="1" applyAlignment="1" applyProtection="1">
      <alignment vertical="center"/>
    </xf>
    <xf numFmtId="0" fontId="11" fillId="10" borderId="2" xfId="10" applyNumberFormat="1" applyFont="1" applyFill="1" applyBorder="1" applyAlignment="1" applyProtection="1">
      <alignment horizontal="center" vertical="center"/>
    </xf>
    <xf numFmtId="0" fontId="11" fillId="10" borderId="2" xfId="10" applyNumberFormat="1" applyFont="1" applyFill="1" applyBorder="1" applyAlignment="1" applyProtection="1">
      <alignment horizontal="center" vertical="center" wrapText="1"/>
    </xf>
    <xf numFmtId="0" fontId="14" fillId="12" borderId="0" xfId="12" applyFont="1" applyFill="1" applyBorder="1" applyAlignment="1" applyProtection="1">
      <alignment vertical="center"/>
    </xf>
    <xf numFmtId="37" fontId="11" fillId="21" borderId="19" xfId="0" applyNumberFormat="1" applyFont="1" applyFill="1" applyBorder="1" applyAlignment="1" applyProtection="1">
      <alignment horizontal="center" vertical="center"/>
    </xf>
    <xf numFmtId="0" fontId="11" fillId="17" borderId="14" xfId="10" applyFont="1" applyFill="1" applyBorder="1" applyAlignment="1" applyProtection="1">
      <alignment vertical="center"/>
    </xf>
    <xf numFmtId="1" fontId="11" fillId="17" borderId="17" xfId="10" applyNumberFormat="1" applyFont="1" applyFill="1" applyBorder="1" applyAlignment="1" applyProtection="1">
      <alignment horizontal="center" vertical="center"/>
    </xf>
    <xf numFmtId="1" fontId="11" fillId="17" borderId="17" xfId="10" applyNumberFormat="1" applyFont="1" applyFill="1" applyBorder="1" applyAlignment="1" applyProtection="1">
      <alignment horizontal="left" vertical="center"/>
    </xf>
    <xf numFmtId="1" fontId="11" fillId="17" borderId="30" xfId="10" applyNumberFormat="1" applyFont="1" applyFill="1" applyBorder="1" applyAlignment="1" applyProtection="1">
      <alignment horizontal="center" vertical="center"/>
    </xf>
    <xf numFmtId="0" fontId="12" fillId="10" borderId="26" xfId="10" applyFont="1" applyFill="1" applyBorder="1" applyAlignment="1" applyProtection="1">
      <alignment vertical="center"/>
    </xf>
    <xf numFmtId="0" fontId="12" fillId="10" borderId="0" xfId="10" applyNumberFormat="1" applyFont="1" applyFill="1" applyBorder="1" applyAlignment="1" applyProtection="1">
      <alignment horizontal="center" vertical="center"/>
    </xf>
    <xf numFmtId="0" fontId="11" fillId="10" borderId="0" xfId="10" applyNumberFormat="1" applyFont="1" applyFill="1" applyBorder="1" applyAlignment="1" applyProtection="1">
      <alignment horizontal="center" vertical="center"/>
    </xf>
    <xf numFmtId="0" fontId="12" fillId="10" borderId="0" xfId="10" applyNumberFormat="1" applyFont="1" applyFill="1" applyBorder="1" applyAlignment="1" applyProtection="1">
      <alignment vertical="center"/>
    </xf>
    <xf numFmtId="0" fontId="11" fillId="10" borderId="42" xfId="10" applyNumberFormat="1" applyFont="1" applyFill="1" applyBorder="1" applyAlignment="1" applyProtection="1">
      <alignment horizontal="center" vertical="center"/>
    </xf>
    <xf numFmtId="0" fontId="11" fillId="10" borderId="100" xfId="10" applyNumberFormat="1" applyFont="1" applyFill="1" applyBorder="1" applyAlignment="1" applyProtection="1">
      <alignment horizontal="center" vertical="center"/>
    </xf>
    <xf numFmtId="0" fontId="11" fillId="10" borderId="13" xfId="10" applyNumberFormat="1" applyFont="1" applyFill="1" applyBorder="1" applyAlignment="1" applyProtection="1">
      <alignment horizontal="center" vertical="center"/>
    </xf>
    <xf numFmtId="0" fontId="21" fillId="18" borderId="0" xfId="10" applyFont="1" applyFill="1" applyBorder="1" applyAlignment="1" applyProtection="1">
      <alignment vertical="center"/>
    </xf>
    <xf numFmtId="0" fontId="12" fillId="18" borderId="16" xfId="10" applyFont="1" applyFill="1" applyBorder="1" applyAlignment="1" applyProtection="1">
      <alignment vertical="center"/>
    </xf>
    <xf numFmtId="0" fontId="12" fillId="18" borderId="22" xfId="10" applyFont="1" applyFill="1" applyBorder="1" applyAlignment="1" applyProtection="1">
      <alignment horizontal="center" vertical="center"/>
    </xf>
    <xf numFmtId="0" fontId="11" fillId="18" borderId="22" xfId="10" applyFont="1" applyFill="1" applyBorder="1" applyAlignment="1" applyProtection="1">
      <alignment horizontal="center" vertical="center"/>
    </xf>
    <xf numFmtId="0" fontId="12" fillId="18" borderId="22" xfId="10" applyFont="1" applyFill="1" applyBorder="1" applyAlignment="1" applyProtection="1">
      <alignment vertical="center"/>
    </xf>
    <xf numFmtId="0" fontId="12" fillId="18" borderId="2" xfId="10" applyFont="1" applyFill="1" applyBorder="1" applyAlignment="1" applyProtection="1">
      <alignment horizontal="center" vertical="center"/>
    </xf>
    <xf numFmtId="0" fontId="11" fillId="18" borderId="6" xfId="10" applyFont="1" applyFill="1" applyBorder="1" applyAlignment="1" applyProtection="1">
      <alignment horizontal="center" vertical="center"/>
    </xf>
    <xf numFmtId="0" fontId="12" fillId="18" borderId="0" xfId="10" applyFont="1" applyFill="1" applyBorder="1" applyAlignment="1" applyProtection="1">
      <alignment vertical="center"/>
    </xf>
    <xf numFmtId="0" fontId="12" fillId="18" borderId="27" xfId="0" applyFont="1" applyFill="1" applyBorder="1" applyAlignment="1" applyProtection="1">
      <alignment vertical="center"/>
    </xf>
    <xf numFmtId="0" fontId="12" fillId="18" borderId="0" xfId="10" applyFont="1" applyFill="1" applyAlignment="1" applyProtection="1">
      <alignment vertical="center"/>
    </xf>
    <xf numFmtId="0" fontId="11" fillId="10" borderId="16" xfId="0" applyFont="1" applyFill="1" applyBorder="1" applyAlignment="1" applyProtection="1">
      <alignment vertical="center"/>
    </xf>
    <xf numFmtId="0" fontId="11" fillId="10" borderId="22" xfId="10" applyFont="1" applyFill="1" applyBorder="1" applyAlignment="1" applyProtection="1">
      <alignment horizontal="center" vertical="center"/>
    </xf>
    <xf numFmtId="0" fontId="11" fillId="10" borderId="22" xfId="10" applyFont="1" applyFill="1" applyBorder="1" applyAlignment="1" applyProtection="1">
      <alignment vertical="center"/>
    </xf>
    <xf numFmtId="3" fontId="11" fillId="0" borderId="2" xfId="10" applyNumberFormat="1" applyFont="1" applyFill="1" applyBorder="1" applyAlignment="1" applyProtection="1">
      <alignment horizontal="center" vertical="center"/>
    </xf>
    <xf numFmtId="3" fontId="11" fillId="12" borderId="12" xfId="10" applyNumberFormat="1" applyFont="1" applyFill="1" applyBorder="1" applyAlignment="1" applyProtection="1">
      <alignment horizontal="center" vertical="center"/>
    </xf>
    <xf numFmtId="3" fontId="12" fillId="12" borderId="2" xfId="0" applyNumberFormat="1" applyFont="1" applyFill="1" applyBorder="1" applyAlignment="1" applyProtection="1">
      <alignment horizontal="center" vertical="center"/>
    </xf>
    <xf numFmtId="0" fontId="12" fillId="12" borderId="27" xfId="10" applyFont="1" applyFill="1" applyBorder="1" applyAlignment="1" applyProtection="1">
      <alignment vertical="center"/>
    </xf>
    <xf numFmtId="0" fontId="12" fillId="12" borderId="15" xfId="10" applyFont="1" applyFill="1" applyBorder="1" applyAlignment="1" applyProtection="1">
      <alignment vertical="center"/>
    </xf>
    <xf numFmtId="0" fontId="12" fillId="12" borderId="21" xfId="10" applyFont="1" applyFill="1" applyBorder="1" applyAlignment="1" applyProtection="1">
      <alignment horizontal="center" vertical="center"/>
    </xf>
    <xf numFmtId="0" fontId="12" fillId="12" borderId="21" xfId="10" applyFont="1" applyFill="1" applyBorder="1" applyAlignment="1" applyProtection="1">
      <alignment vertical="center"/>
    </xf>
    <xf numFmtId="3" fontId="11" fillId="0" borderId="40" xfId="10" applyNumberFormat="1" applyFont="1" applyFill="1" applyBorder="1" applyAlignment="1" applyProtection="1">
      <alignment horizontal="center" vertical="center"/>
    </xf>
    <xf numFmtId="3" fontId="11" fillId="12" borderId="19" xfId="10" applyNumberFormat="1" applyFont="1" applyFill="1" applyBorder="1" applyAlignment="1" applyProtection="1">
      <alignment horizontal="center" vertical="center"/>
    </xf>
    <xf numFmtId="3" fontId="11" fillId="12" borderId="22" xfId="10" applyNumberFormat="1" applyFont="1" applyFill="1" applyBorder="1" applyAlignment="1" applyProtection="1">
      <alignment horizontal="center" vertical="center"/>
    </xf>
    <xf numFmtId="3" fontId="11" fillId="12" borderId="18" xfId="10" applyNumberFormat="1" applyFont="1" applyFill="1" applyBorder="1" applyAlignment="1" applyProtection="1">
      <alignment horizontal="center" vertical="center"/>
    </xf>
    <xf numFmtId="3" fontId="12" fillId="12" borderId="41" xfId="0" applyNumberFormat="1" applyFont="1" applyFill="1" applyBorder="1" applyAlignment="1" applyProtection="1">
      <alignment vertical="center"/>
    </xf>
    <xf numFmtId="0" fontId="11" fillId="10" borderId="16" xfId="10" applyFont="1" applyFill="1" applyBorder="1" applyAlignment="1" applyProtection="1">
      <alignment vertical="center"/>
    </xf>
    <xf numFmtId="1" fontId="11" fillId="10" borderId="22" xfId="10" applyNumberFormat="1" applyFont="1" applyFill="1" applyBorder="1" applyAlignment="1" applyProtection="1">
      <alignment horizontal="center" vertical="center"/>
    </xf>
    <xf numFmtId="1" fontId="11" fillId="10" borderId="21" xfId="10" applyNumberFormat="1" applyFont="1" applyFill="1" applyBorder="1" applyAlignment="1" applyProtection="1">
      <alignment horizontal="center" vertical="center"/>
    </xf>
    <xf numFmtId="1" fontId="11" fillId="10" borderId="18" xfId="10" applyNumberFormat="1" applyFont="1" applyFill="1" applyBorder="1" applyAlignment="1" applyProtection="1">
      <alignment horizontal="center" vertical="center"/>
    </xf>
    <xf numFmtId="1" fontId="12" fillId="12" borderId="0" xfId="10" applyNumberFormat="1" applyFont="1" applyFill="1" applyBorder="1" applyAlignment="1" applyProtection="1">
      <alignment vertical="center"/>
    </xf>
    <xf numFmtId="0" fontId="12" fillId="12" borderId="26" xfId="0" applyFont="1" applyFill="1" applyBorder="1" applyAlignment="1" applyProtection="1">
      <alignment vertical="center"/>
    </xf>
    <xf numFmtId="0" fontId="12" fillId="0" borderId="226" xfId="10" applyFont="1" applyFill="1" applyBorder="1" applyAlignment="1" applyProtection="1">
      <alignment horizontal="center" vertical="center"/>
    </xf>
    <xf numFmtId="0" fontId="12" fillId="0" borderId="227" xfId="10" applyFont="1" applyFill="1" applyBorder="1" applyAlignment="1" applyProtection="1">
      <alignment horizontal="center" vertical="center"/>
    </xf>
    <xf numFmtId="0" fontId="12" fillId="0" borderId="230" xfId="10" applyFont="1" applyFill="1" applyBorder="1" applyAlignment="1" applyProtection="1">
      <alignment horizontal="center" vertical="center"/>
    </xf>
    <xf numFmtId="0" fontId="12" fillId="0" borderId="231" xfId="10" applyFont="1" applyFill="1" applyBorder="1" applyAlignment="1" applyProtection="1">
      <alignment horizontal="center" vertical="center"/>
    </xf>
    <xf numFmtId="1" fontId="12" fillId="12" borderId="27" xfId="10" applyNumberFormat="1" applyFont="1" applyFill="1" applyBorder="1" applyAlignment="1" applyProtection="1">
      <alignment horizontal="center" vertical="center"/>
    </xf>
    <xf numFmtId="1" fontId="12" fillId="12" borderId="229" xfId="10" applyNumberFormat="1" applyFont="1" applyFill="1" applyBorder="1" applyAlignment="1" applyProtection="1">
      <alignment horizontal="center" vertical="center"/>
    </xf>
    <xf numFmtId="1" fontId="12" fillId="12" borderId="230" xfId="10" applyNumberFormat="1" applyFont="1" applyFill="1" applyBorder="1" applyAlignment="1" applyProtection="1">
      <alignment horizontal="center" vertical="center"/>
    </xf>
    <xf numFmtId="1" fontId="12" fillId="12" borderId="231" xfId="10" applyNumberFormat="1" applyFont="1" applyFill="1" applyBorder="1" applyAlignment="1" applyProtection="1">
      <alignment horizontal="center" vertical="center"/>
    </xf>
    <xf numFmtId="1" fontId="12" fillId="12" borderId="26" xfId="0" applyNumberFormat="1" applyFont="1" applyFill="1" applyBorder="1" applyAlignment="1" applyProtection="1">
      <alignment vertical="center"/>
    </xf>
    <xf numFmtId="0" fontId="11" fillId="0" borderId="238" xfId="0" applyFont="1" applyFill="1" applyBorder="1" applyAlignment="1" applyProtection="1">
      <alignment vertical="center"/>
    </xf>
    <xf numFmtId="0" fontId="11" fillId="12" borderId="239" xfId="10" applyFont="1" applyFill="1" applyBorder="1" applyAlignment="1" applyProtection="1">
      <alignment horizontal="center" vertical="center"/>
    </xf>
    <xf numFmtId="0" fontId="11" fillId="12" borderId="239" xfId="10" applyFont="1" applyFill="1" applyBorder="1" applyAlignment="1" applyProtection="1">
      <alignment vertical="center"/>
    </xf>
    <xf numFmtId="1" fontId="11" fillId="12" borderId="240" xfId="10" applyNumberFormat="1" applyFont="1" applyFill="1" applyBorder="1" applyAlignment="1" applyProtection="1">
      <alignment horizontal="center" vertical="center"/>
    </xf>
    <xf numFmtId="1" fontId="11" fillId="12" borderId="241" xfId="10" applyNumberFormat="1" applyFont="1" applyFill="1" applyBorder="1" applyAlignment="1" applyProtection="1">
      <alignment horizontal="center" vertical="center"/>
    </xf>
    <xf numFmtId="1" fontId="11" fillId="12" borderId="242" xfId="10" applyNumberFormat="1" applyFont="1" applyFill="1" applyBorder="1" applyAlignment="1" applyProtection="1">
      <alignment horizontal="center" vertical="center"/>
    </xf>
    <xf numFmtId="0" fontId="12" fillId="12" borderId="15" xfId="0" applyFont="1" applyFill="1" applyBorder="1" applyAlignment="1" applyProtection="1">
      <alignment vertical="center"/>
    </xf>
    <xf numFmtId="0" fontId="12" fillId="12" borderId="6" xfId="10" applyFont="1" applyFill="1" applyBorder="1" applyAlignment="1" applyProtection="1">
      <alignment vertical="center"/>
    </xf>
    <xf numFmtId="0" fontId="12" fillId="12" borderId="27" xfId="10" applyFont="1" applyFill="1" applyBorder="1" applyAlignment="1" applyProtection="1">
      <alignment horizontal="center" vertical="center"/>
    </xf>
    <xf numFmtId="0" fontId="11" fillId="12" borderId="16" xfId="0" applyFont="1" applyFill="1" applyBorder="1" applyAlignment="1" applyProtection="1">
      <alignment vertical="center"/>
    </xf>
    <xf numFmtId="0" fontId="11" fillId="12" borderId="22" xfId="10" applyFont="1" applyFill="1" applyBorder="1" applyAlignment="1" applyProtection="1">
      <alignment horizontal="center" vertical="center"/>
    </xf>
    <xf numFmtId="0" fontId="11" fillId="12" borderId="22" xfId="10" applyFont="1" applyFill="1" applyBorder="1" applyAlignment="1" applyProtection="1">
      <alignment vertical="center"/>
    </xf>
    <xf numFmtId="1" fontId="11" fillId="12" borderId="235" xfId="10" applyNumberFormat="1" applyFont="1" applyFill="1" applyBorder="1" applyAlignment="1" applyProtection="1">
      <alignment horizontal="center" vertical="center"/>
    </xf>
    <xf numFmtId="1" fontId="11" fillId="12" borderId="236" xfId="10" applyNumberFormat="1" applyFont="1" applyFill="1" applyBorder="1" applyAlignment="1" applyProtection="1">
      <alignment horizontal="center" vertical="center"/>
    </xf>
    <xf numFmtId="1" fontId="11" fillId="12" borderId="237" xfId="10" applyNumberFormat="1" applyFont="1" applyFill="1" applyBorder="1" applyAlignment="1" applyProtection="1">
      <alignment horizontal="center" vertical="center"/>
    </xf>
    <xf numFmtId="9" fontId="12" fillId="12" borderId="249" xfId="7" applyNumberFormat="1" applyFont="1" applyFill="1" applyBorder="1" applyAlignment="1" applyProtection="1">
      <alignment horizontal="center" vertical="center"/>
    </xf>
    <xf numFmtId="0" fontId="12" fillId="0" borderId="250" xfId="10" applyFont="1" applyFill="1" applyBorder="1" applyAlignment="1" applyProtection="1">
      <alignment horizontal="center" vertical="center"/>
    </xf>
    <xf numFmtId="0" fontId="12" fillId="0" borderId="0" xfId="10" applyFont="1" applyFill="1" applyBorder="1" applyAlignment="1" applyProtection="1">
      <alignment horizontal="center" vertical="center"/>
    </xf>
    <xf numFmtId="0" fontId="12" fillId="0" borderId="27" xfId="10" applyFont="1" applyFill="1" applyBorder="1" applyAlignment="1" applyProtection="1">
      <alignment horizontal="center" vertical="center"/>
    </xf>
    <xf numFmtId="0" fontId="12" fillId="12" borderId="42" xfId="10" applyFont="1" applyFill="1" applyBorder="1" applyAlignment="1" applyProtection="1">
      <alignment vertical="center"/>
    </xf>
    <xf numFmtId="0" fontId="12" fillId="12" borderId="255" xfId="10" applyFont="1" applyFill="1" applyBorder="1" applyAlignment="1" applyProtection="1">
      <alignment vertical="center"/>
    </xf>
    <xf numFmtId="0" fontId="12" fillId="12" borderId="256" xfId="10" applyFont="1" applyFill="1" applyBorder="1" applyAlignment="1" applyProtection="1">
      <alignment horizontal="center" vertical="center"/>
    </xf>
    <xf numFmtId="0" fontId="12" fillId="12" borderId="257" xfId="10" applyFont="1" applyFill="1" applyBorder="1" applyAlignment="1" applyProtection="1">
      <alignment horizontal="center" vertical="center"/>
    </xf>
    <xf numFmtId="0" fontId="12" fillId="12" borderId="258" xfId="10" applyFont="1" applyFill="1" applyBorder="1" applyAlignment="1" applyProtection="1">
      <alignment horizontal="center" vertical="center"/>
    </xf>
    <xf numFmtId="0" fontId="12" fillId="12" borderId="261" xfId="10" applyFont="1" applyFill="1" applyBorder="1" applyAlignment="1" applyProtection="1">
      <alignment vertical="center"/>
    </xf>
    <xf numFmtId="0" fontId="12" fillId="12" borderId="262" xfId="10" applyFont="1" applyFill="1" applyBorder="1" applyAlignment="1" applyProtection="1">
      <alignment horizontal="center" vertical="center"/>
    </xf>
    <xf numFmtId="0" fontId="12" fillId="12" borderId="263" xfId="10" applyFont="1" applyFill="1" applyBorder="1" applyAlignment="1" applyProtection="1">
      <alignment horizontal="center" vertical="center"/>
    </xf>
    <xf numFmtId="0" fontId="12" fillId="12" borderId="264" xfId="10" applyFont="1" applyFill="1" applyBorder="1" applyAlignment="1" applyProtection="1">
      <alignment horizontal="center" vertical="center"/>
    </xf>
    <xf numFmtId="0" fontId="12" fillId="12" borderId="744" xfId="10" applyFont="1" applyFill="1" applyBorder="1" applyAlignment="1" applyProtection="1">
      <alignment vertical="center"/>
    </xf>
    <xf numFmtId="9" fontId="12" fillId="12" borderId="266" xfId="7" applyFont="1" applyFill="1" applyBorder="1" applyAlignment="1" applyProtection="1">
      <alignment horizontal="center" vertical="center"/>
    </xf>
    <xf numFmtId="0" fontId="12" fillId="0" borderId="267" xfId="10" applyFont="1" applyFill="1" applyBorder="1" applyAlignment="1" applyProtection="1">
      <alignment horizontal="center" vertical="center"/>
    </xf>
    <xf numFmtId="0" fontId="12" fillId="12" borderId="254" xfId="0" applyFont="1" applyFill="1" applyBorder="1" applyAlignment="1" applyProtection="1">
      <alignment vertical="center"/>
    </xf>
    <xf numFmtId="0" fontId="12" fillId="12" borderId="255" xfId="10" applyFont="1" applyFill="1" applyBorder="1" applyAlignment="1" applyProtection="1">
      <alignment horizontal="center" vertical="center"/>
    </xf>
    <xf numFmtId="0" fontId="27" fillId="12" borderId="743" xfId="10" applyFont="1" applyFill="1" applyBorder="1" applyAlignment="1" applyProtection="1">
      <alignment horizontal="center" vertical="center"/>
    </xf>
    <xf numFmtId="0" fontId="27" fillId="0" borderId="42" xfId="10" applyFont="1" applyFill="1" applyBorder="1" applyAlignment="1" applyProtection="1">
      <alignment horizontal="center" vertical="center"/>
    </xf>
    <xf numFmtId="0" fontId="12" fillId="12" borderId="229" xfId="10" applyFont="1" applyFill="1" applyBorder="1" applyAlignment="1" applyProtection="1">
      <alignment horizontal="center" vertical="center"/>
    </xf>
    <xf numFmtId="0" fontId="12" fillId="12" borderId="230" xfId="10" applyFont="1" applyFill="1" applyBorder="1" applyAlignment="1" applyProtection="1">
      <alignment horizontal="center" vertical="center"/>
    </xf>
    <xf numFmtId="0" fontId="12" fillId="12" borderId="231" xfId="10" applyFont="1" applyFill="1" applyBorder="1" applyAlignment="1" applyProtection="1">
      <alignment horizontal="center" vertical="center"/>
    </xf>
    <xf numFmtId="3" fontId="11" fillId="0" borderId="235" xfId="10" applyNumberFormat="1" applyFont="1" applyFill="1" applyBorder="1" applyAlignment="1" applyProtection="1">
      <alignment horizontal="center" vertical="center"/>
    </xf>
    <xf numFmtId="3" fontId="11" fillId="12" borderId="227" xfId="10" applyNumberFormat="1" applyFont="1" applyFill="1" applyBorder="1" applyAlignment="1" applyProtection="1">
      <alignment horizontal="center" vertical="center"/>
    </xf>
    <xf numFmtId="0" fontId="11" fillId="12" borderId="227" xfId="10" applyNumberFormat="1" applyFont="1" applyFill="1" applyBorder="1" applyAlignment="1" applyProtection="1">
      <alignment horizontal="center" vertical="center"/>
    </xf>
    <xf numFmtId="3" fontId="11" fillId="12" borderId="228" xfId="10" applyNumberFormat="1" applyFont="1" applyFill="1" applyBorder="1" applyAlignment="1" applyProtection="1">
      <alignment horizontal="center" vertical="center"/>
    </xf>
    <xf numFmtId="3" fontId="12" fillId="12" borderId="2" xfId="10" applyNumberFormat="1" applyFont="1" applyFill="1" applyBorder="1" applyAlignment="1" applyProtection="1">
      <alignment vertical="center"/>
    </xf>
    <xf numFmtId="3" fontId="11" fillId="10" borderId="235" xfId="10" applyNumberFormat="1" applyFont="1" applyFill="1" applyBorder="1" applyAlignment="1" applyProtection="1">
      <alignment horizontal="center" vertical="center"/>
    </xf>
    <xf numFmtId="3" fontId="11" fillId="10" borderId="236" xfId="10" applyNumberFormat="1" applyFont="1" applyFill="1" applyBorder="1" applyAlignment="1" applyProtection="1">
      <alignment horizontal="center" vertical="center"/>
    </xf>
    <xf numFmtId="3" fontId="11" fillId="10" borderId="237" xfId="10" applyNumberFormat="1" applyFont="1" applyFill="1" applyBorder="1" applyAlignment="1" applyProtection="1">
      <alignment horizontal="center" vertical="center"/>
    </xf>
    <xf numFmtId="3" fontId="11" fillId="10" borderId="2" xfId="10" applyNumberFormat="1" applyFont="1" applyFill="1" applyBorder="1" applyAlignment="1" applyProtection="1">
      <alignment horizontal="center" vertical="center"/>
    </xf>
    <xf numFmtId="0" fontId="12" fillId="12" borderId="46" xfId="0" applyFont="1" applyFill="1" applyBorder="1" applyAlignment="1" applyProtection="1">
      <alignment vertical="center"/>
    </xf>
    <xf numFmtId="0" fontId="12" fillId="12" borderId="20" xfId="10" applyFont="1" applyFill="1" applyBorder="1" applyAlignment="1" applyProtection="1">
      <alignment horizontal="center" vertical="center"/>
    </xf>
    <xf numFmtId="0" fontId="12" fillId="12" borderId="20" xfId="10" applyFont="1" applyFill="1" applyBorder="1" applyAlignment="1" applyProtection="1">
      <alignment vertical="center"/>
    </xf>
    <xf numFmtId="166" fontId="12" fillId="12" borderId="12" xfId="10" applyNumberFormat="1" applyFont="1" applyFill="1" applyBorder="1" applyAlignment="1" applyProtection="1">
      <alignment horizontal="center" vertical="center"/>
    </xf>
    <xf numFmtId="37" fontId="50" fillId="0" borderId="0" xfId="10" applyNumberFormat="1" applyFont="1" applyFill="1" applyBorder="1" applyAlignment="1" applyProtection="1">
      <alignment horizontal="center" vertical="center"/>
    </xf>
    <xf numFmtId="10" fontId="12" fillId="12" borderId="42" xfId="7" applyNumberFormat="1" applyFont="1" applyFill="1" applyBorder="1" applyAlignment="1" applyProtection="1">
      <alignment horizontal="center" vertical="center"/>
    </xf>
    <xf numFmtId="0" fontId="11" fillId="12" borderId="15" xfId="0" applyFont="1" applyFill="1" applyBorder="1" applyAlignment="1" applyProtection="1">
      <alignment vertical="center"/>
    </xf>
    <xf numFmtId="0" fontId="11" fillId="12" borderId="21" xfId="10" applyFont="1" applyFill="1" applyBorder="1" applyAlignment="1" applyProtection="1">
      <alignment horizontal="center" vertical="center"/>
    </xf>
    <xf numFmtId="0" fontId="11" fillId="12" borderId="21" xfId="10" applyFont="1" applyFill="1" applyBorder="1" applyAlignment="1" applyProtection="1">
      <alignment vertical="center"/>
    </xf>
    <xf numFmtId="37" fontId="11" fillId="12" borderId="232" xfId="10" applyNumberFormat="1" applyFont="1" applyFill="1" applyBorder="1" applyAlignment="1" applyProtection="1">
      <alignment horizontal="center" vertical="center"/>
    </xf>
    <xf numFmtId="37" fontId="11" fillId="12" borderId="233" xfId="10" applyNumberFormat="1" applyFont="1" applyFill="1" applyBorder="1" applyAlignment="1" applyProtection="1">
      <alignment horizontal="center" vertical="center"/>
    </xf>
    <xf numFmtId="37" fontId="11" fillId="12" borderId="234" xfId="10" applyNumberFormat="1" applyFont="1" applyFill="1" applyBorder="1" applyAlignment="1" applyProtection="1">
      <alignment horizontal="center" vertical="center"/>
    </xf>
    <xf numFmtId="37" fontId="11" fillId="12" borderId="6" xfId="10" applyNumberFormat="1" applyFont="1" applyFill="1" applyBorder="1" applyAlignment="1" applyProtection="1">
      <alignment horizontal="center" vertical="center"/>
    </xf>
    <xf numFmtId="37" fontId="12" fillId="12" borderId="42" xfId="10" applyNumberFormat="1" applyFont="1" applyFill="1" applyBorder="1" applyAlignment="1" applyProtection="1">
      <alignment horizontal="center" vertical="center"/>
    </xf>
    <xf numFmtId="37" fontId="12" fillId="12" borderId="229" xfId="10" applyNumberFormat="1" applyFont="1" applyFill="1" applyBorder="1" applyAlignment="1" applyProtection="1">
      <alignment horizontal="center" vertical="center"/>
    </xf>
    <xf numFmtId="37" fontId="12" fillId="12" borderId="230" xfId="10" applyNumberFormat="1" applyFont="1" applyFill="1" applyBorder="1" applyAlignment="1" applyProtection="1">
      <alignment horizontal="center" vertical="center"/>
    </xf>
    <xf numFmtId="37" fontId="12" fillId="12" borderId="231" xfId="10" applyNumberFormat="1" applyFont="1" applyFill="1" applyBorder="1" applyAlignment="1" applyProtection="1">
      <alignment horizontal="center" vertical="center"/>
    </xf>
    <xf numFmtId="0" fontId="11" fillId="12" borderId="28" xfId="0" applyFont="1" applyFill="1" applyBorder="1" applyAlignment="1" applyProtection="1">
      <alignment vertical="center"/>
    </xf>
    <xf numFmtId="0" fontId="11" fillId="12" borderId="5" xfId="10" applyFont="1" applyFill="1" applyBorder="1" applyAlignment="1" applyProtection="1">
      <alignment horizontal="center" vertical="center"/>
    </xf>
    <xf numFmtId="0" fontId="11" fillId="12" borderId="5" xfId="10" applyFont="1" applyFill="1" applyBorder="1" applyAlignment="1" applyProtection="1">
      <alignment vertical="center"/>
    </xf>
    <xf numFmtId="37" fontId="11" fillId="12" borderId="244" xfId="10" applyNumberFormat="1" applyFont="1" applyFill="1" applyBorder="1" applyAlignment="1" applyProtection="1">
      <alignment horizontal="center" vertical="center"/>
    </xf>
    <xf numFmtId="37" fontId="11" fillId="12" borderId="245" xfId="10" applyNumberFormat="1" applyFont="1" applyFill="1" applyBorder="1" applyAlignment="1" applyProtection="1">
      <alignment horizontal="center" vertical="center"/>
    </xf>
    <xf numFmtId="37" fontId="11" fillId="12" borderId="246" xfId="10" applyNumberFormat="1" applyFont="1" applyFill="1" applyBorder="1" applyAlignment="1" applyProtection="1">
      <alignment horizontal="center" vertical="center"/>
    </xf>
    <xf numFmtId="37" fontId="11" fillId="12" borderId="55" xfId="10" applyNumberFormat="1" applyFont="1" applyFill="1" applyBorder="1" applyAlignment="1" applyProtection="1">
      <alignment horizontal="center" vertical="center"/>
    </xf>
    <xf numFmtId="0" fontId="12" fillId="12" borderId="5" xfId="10" applyFont="1" applyFill="1" applyBorder="1" applyAlignment="1" applyProtection="1">
      <alignment horizontal="center" vertical="center"/>
    </xf>
    <xf numFmtId="0" fontId="12" fillId="12" borderId="29" xfId="10" applyFont="1" applyFill="1" applyBorder="1" applyAlignment="1" applyProtection="1">
      <alignment horizontal="center" vertical="center"/>
    </xf>
    <xf numFmtId="0" fontId="11" fillId="12" borderId="0" xfId="0" applyFont="1" applyFill="1" applyBorder="1" applyAlignment="1" applyProtection="1">
      <alignment vertical="center"/>
    </xf>
    <xf numFmtId="0" fontId="11" fillId="12" borderId="0" xfId="10" applyFont="1" applyFill="1" applyBorder="1" applyAlignment="1" applyProtection="1">
      <alignment horizontal="center" vertical="center"/>
    </xf>
    <xf numFmtId="37" fontId="12" fillId="12" borderId="0" xfId="10" applyNumberFormat="1" applyFont="1" applyFill="1" applyBorder="1" applyAlignment="1" applyProtection="1">
      <alignment horizontal="center" vertical="center"/>
    </xf>
    <xf numFmtId="37" fontId="11" fillId="10" borderId="14" xfId="0" applyNumberFormat="1" applyFont="1" applyFill="1" applyBorder="1" applyAlignment="1" applyProtection="1">
      <alignment horizontal="left" vertical="center"/>
    </xf>
    <xf numFmtId="37" fontId="12" fillId="10" borderId="17" xfId="0" applyNumberFormat="1" applyFont="1" applyFill="1" applyBorder="1" applyAlignment="1" applyProtection="1">
      <alignment vertical="center"/>
    </xf>
    <xf numFmtId="37" fontId="12" fillId="10" borderId="30" xfId="0" applyNumberFormat="1" applyFont="1" applyFill="1" applyBorder="1" applyAlignment="1" applyProtection="1">
      <alignment vertical="center"/>
    </xf>
    <xf numFmtId="0" fontId="12" fillId="0" borderId="0" xfId="10" applyFont="1" applyFill="1" applyBorder="1" applyAlignment="1" applyProtection="1">
      <alignment vertical="center"/>
    </xf>
    <xf numFmtId="0" fontId="12" fillId="0" borderId="0" xfId="0" applyFont="1" applyFill="1" applyBorder="1" applyAlignment="1" applyProtection="1">
      <alignment vertical="center"/>
    </xf>
    <xf numFmtId="0" fontId="11" fillId="12" borderId="93" xfId="10" applyFont="1" applyFill="1" applyBorder="1" applyAlignment="1" applyProtection="1">
      <alignment horizontal="left" vertical="center"/>
    </xf>
    <xf numFmtId="0" fontId="12" fillId="12" borderId="45" xfId="10" applyFont="1" applyFill="1" applyBorder="1" applyAlignment="1" applyProtection="1">
      <alignment vertical="center"/>
    </xf>
    <xf numFmtId="0" fontId="11" fillId="10" borderId="90" xfId="10" applyNumberFormat="1" applyFont="1" applyFill="1" applyBorder="1" applyAlignment="1" applyProtection="1">
      <alignment horizontal="center" vertical="center"/>
    </xf>
    <xf numFmtId="0" fontId="11" fillId="10" borderId="33" xfId="10" applyNumberFormat="1" applyFont="1" applyFill="1" applyBorder="1" applyAlignment="1" applyProtection="1">
      <alignment horizontal="center" vertical="center"/>
    </xf>
    <xf numFmtId="0" fontId="12" fillId="12" borderId="16" xfId="10" applyFont="1" applyFill="1" applyBorder="1" applyAlignment="1" applyProtection="1">
      <alignment horizontal="right" vertical="center"/>
    </xf>
    <xf numFmtId="0" fontId="12" fillId="0" borderId="22" xfId="10" applyFont="1" applyFill="1" applyBorder="1" applyAlignment="1" applyProtection="1">
      <alignment vertical="center"/>
    </xf>
    <xf numFmtId="0" fontId="12" fillId="12" borderId="18" xfId="10" applyFont="1" applyFill="1" applyBorder="1" applyAlignment="1" applyProtection="1">
      <alignment horizontal="left" vertical="center"/>
    </xf>
    <xf numFmtId="0" fontId="12" fillId="0" borderId="2" xfId="10" applyFont="1" applyFill="1" applyBorder="1" applyAlignment="1" applyProtection="1">
      <alignment horizontal="left" vertical="center"/>
    </xf>
    <xf numFmtId="0" fontId="12" fillId="0" borderId="7" xfId="10" applyFont="1" applyFill="1" applyBorder="1" applyAlignment="1" applyProtection="1">
      <alignment horizontal="left" vertical="center"/>
    </xf>
    <xf numFmtId="0" fontId="21" fillId="16" borderId="0" xfId="10" applyFont="1" applyFill="1" applyBorder="1" applyAlignment="1" applyProtection="1">
      <alignment vertical="center"/>
    </xf>
    <xf numFmtId="0" fontId="12" fillId="16" borderId="26" xfId="10" applyFont="1" applyFill="1" applyBorder="1" applyAlignment="1" applyProtection="1">
      <alignment horizontal="right" vertical="center"/>
    </xf>
    <xf numFmtId="0" fontId="12" fillId="16" borderId="0" xfId="10" applyFont="1" applyFill="1" applyBorder="1" applyAlignment="1" applyProtection="1">
      <alignment horizontal="left" vertical="center"/>
    </xf>
    <xf numFmtId="0" fontId="12" fillId="16" borderId="0" xfId="10" applyFont="1" applyFill="1" applyBorder="1" applyAlignment="1" applyProtection="1">
      <alignment vertical="center"/>
    </xf>
    <xf numFmtId="0" fontId="12" fillId="16" borderId="0" xfId="10" applyFont="1" applyFill="1" applyBorder="1" applyAlignment="1" applyProtection="1">
      <alignment horizontal="center" vertical="center"/>
    </xf>
    <xf numFmtId="0" fontId="12" fillId="16" borderId="27" xfId="10" applyFont="1" applyFill="1" applyBorder="1" applyAlignment="1" applyProtection="1">
      <alignment horizontal="center" vertical="center"/>
    </xf>
    <xf numFmtId="0" fontId="12" fillId="16" borderId="0" xfId="0" applyFont="1" applyFill="1" applyBorder="1" applyAlignment="1" applyProtection="1">
      <alignment vertical="center"/>
    </xf>
    <xf numFmtId="0" fontId="21" fillId="0" borderId="0" xfId="10" applyFont="1" applyFill="1" applyBorder="1" applyAlignment="1" applyProtection="1">
      <alignment vertical="center"/>
    </xf>
    <xf numFmtId="0" fontId="12" fillId="0" borderId="26" xfId="10" applyFont="1" applyFill="1" applyBorder="1" applyAlignment="1" applyProtection="1">
      <alignment horizontal="right" vertical="center"/>
    </xf>
    <xf numFmtId="0" fontId="12" fillId="0" borderId="20" xfId="10" applyFont="1" applyFill="1" applyBorder="1" applyAlignment="1" applyProtection="1">
      <alignment horizontal="left" vertical="center"/>
    </xf>
    <xf numFmtId="0" fontId="12" fillId="0" borderId="20" xfId="10" applyFont="1" applyFill="1" applyBorder="1" applyAlignment="1" applyProtection="1">
      <alignment vertical="center"/>
    </xf>
    <xf numFmtId="0" fontId="12" fillId="0" borderId="21" xfId="10" applyFont="1" applyFill="1" applyBorder="1" applyAlignment="1" applyProtection="1">
      <alignment horizontal="left" vertical="center"/>
    </xf>
    <xf numFmtId="0" fontId="12" fillId="0" borderId="21" xfId="10" applyFont="1" applyFill="1" applyBorder="1" applyAlignment="1" applyProtection="1">
      <alignment vertical="center"/>
    </xf>
    <xf numFmtId="37" fontId="11" fillId="0" borderId="0" xfId="0" applyNumberFormat="1" applyFont="1" applyFill="1" applyBorder="1" applyAlignment="1" applyProtection="1">
      <alignment vertical="center"/>
    </xf>
    <xf numFmtId="37" fontId="11" fillId="0" borderId="46" xfId="0" applyNumberFormat="1" applyFont="1" applyFill="1" applyBorder="1" applyAlignment="1" applyProtection="1">
      <alignment horizontal="left" vertical="center"/>
    </xf>
    <xf numFmtId="0" fontId="11" fillId="12" borderId="20" xfId="10" applyFont="1" applyFill="1" applyBorder="1" applyAlignment="1" applyProtection="1">
      <alignment horizontal="center" vertical="center"/>
    </xf>
    <xf numFmtId="0" fontId="11" fillId="12" borderId="48" xfId="10" applyFont="1" applyFill="1" applyBorder="1" applyAlignment="1" applyProtection="1">
      <alignment horizontal="center" vertical="center"/>
    </xf>
    <xf numFmtId="0" fontId="11" fillId="12" borderId="12" xfId="10" applyFont="1" applyFill="1" applyBorder="1" applyAlignment="1" applyProtection="1">
      <alignment horizontal="center" vertical="center"/>
    </xf>
    <xf numFmtId="0" fontId="11" fillId="12" borderId="50" xfId="10" applyFont="1" applyFill="1" applyBorder="1" applyAlignment="1" applyProtection="1">
      <alignment horizontal="center" vertical="center"/>
    </xf>
    <xf numFmtId="0" fontId="11" fillId="12" borderId="32" xfId="10" applyFont="1" applyFill="1" applyBorder="1" applyAlignment="1" applyProtection="1">
      <alignment horizontal="center" vertical="center"/>
    </xf>
    <xf numFmtId="0" fontId="11" fillId="12" borderId="24" xfId="10" applyFont="1" applyFill="1" applyBorder="1" applyAlignment="1" applyProtection="1">
      <alignment horizontal="center" vertical="center"/>
    </xf>
    <xf numFmtId="0" fontId="11" fillId="0" borderId="0" xfId="10" applyFont="1" applyFill="1" applyBorder="1" applyAlignment="1" applyProtection="1">
      <alignment horizontal="center" vertical="center"/>
    </xf>
    <xf numFmtId="0" fontId="12" fillId="0" borderId="27" xfId="10" applyFont="1" applyFill="1" applyBorder="1" applyAlignment="1" applyProtection="1">
      <alignment vertical="center"/>
    </xf>
    <xf numFmtId="0" fontId="12" fillId="12" borderId="26" xfId="10" applyFont="1" applyFill="1" applyBorder="1" applyAlignment="1" applyProtection="1">
      <alignment vertical="center"/>
    </xf>
    <xf numFmtId="0" fontId="11" fillId="12" borderId="43" xfId="10" applyFont="1" applyFill="1" applyBorder="1" applyAlignment="1" applyProtection="1">
      <alignment horizontal="center" vertical="center"/>
    </xf>
    <xf numFmtId="0" fontId="11" fillId="12" borderId="42" xfId="10" applyFont="1" applyFill="1" applyBorder="1" applyAlignment="1" applyProtection="1">
      <alignment horizontal="center" vertical="center"/>
    </xf>
    <xf numFmtId="0" fontId="11" fillId="12" borderId="27" xfId="10" applyFont="1" applyFill="1" applyBorder="1" applyAlignment="1" applyProtection="1">
      <alignment horizontal="center" vertical="center"/>
    </xf>
    <xf numFmtId="0" fontId="11" fillId="12" borderId="98" xfId="10" applyFont="1" applyFill="1" applyBorder="1" applyAlignment="1" applyProtection="1">
      <alignment horizontal="center" vertical="center"/>
    </xf>
    <xf numFmtId="0" fontId="11" fillId="12" borderId="41" xfId="10" applyFont="1" applyFill="1" applyBorder="1" applyAlignment="1" applyProtection="1">
      <alignment horizontal="center" vertical="center"/>
    </xf>
    <xf numFmtId="0" fontId="11" fillId="12" borderId="6" xfId="10" applyFont="1" applyFill="1" applyBorder="1" applyAlignment="1" applyProtection="1">
      <alignment horizontal="center" vertical="center"/>
    </xf>
    <xf numFmtId="0" fontId="11" fillId="12" borderId="49" xfId="10" applyFont="1" applyFill="1" applyBorder="1" applyAlignment="1" applyProtection="1">
      <alignment horizontal="center" vertical="center"/>
    </xf>
    <xf numFmtId="0" fontId="11" fillId="12" borderId="25" xfId="10" applyFont="1" applyFill="1" applyBorder="1" applyAlignment="1" applyProtection="1">
      <alignment horizontal="center" vertical="center"/>
    </xf>
    <xf numFmtId="0" fontId="11" fillId="12" borderId="46" xfId="10" applyFont="1" applyFill="1" applyBorder="1" applyAlignment="1" applyProtection="1">
      <alignment vertical="center"/>
    </xf>
    <xf numFmtId="0" fontId="12" fillId="0" borderId="12" xfId="10" applyFont="1" applyFill="1" applyBorder="1" applyAlignment="1" applyProtection="1">
      <alignment horizontal="center" vertical="center"/>
    </xf>
    <xf numFmtId="2" fontId="12" fillId="0" borderId="54" xfId="10" applyNumberFormat="1" applyFont="1" applyFill="1" applyBorder="1" applyAlignment="1" applyProtection="1">
      <alignment horizontal="center" vertical="center"/>
    </xf>
    <xf numFmtId="0" fontId="12" fillId="12" borderId="26" xfId="10" applyFont="1" applyFill="1" applyBorder="1" applyAlignment="1" applyProtection="1">
      <alignment horizontal="center" vertical="center"/>
    </xf>
    <xf numFmtId="2" fontId="12" fillId="12" borderId="27" xfId="10" applyNumberFormat="1" applyFont="1" applyFill="1" applyBorder="1" applyAlignment="1" applyProtection="1">
      <alignment horizontal="center" vertical="center"/>
    </xf>
    <xf numFmtId="0" fontId="50" fillId="12" borderId="0" xfId="10" applyFont="1" applyFill="1" applyBorder="1" applyAlignment="1" applyProtection="1">
      <alignment vertical="center"/>
    </xf>
    <xf numFmtId="0" fontId="11" fillId="12" borderId="28" xfId="10" applyFont="1" applyFill="1" applyBorder="1" applyAlignment="1" applyProtection="1">
      <alignment vertical="center"/>
    </xf>
    <xf numFmtId="0" fontId="12" fillId="12" borderId="5" xfId="10" applyFont="1" applyFill="1" applyBorder="1" applyAlignment="1" applyProtection="1">
      <alignment vertical="center"/>
    </xf>
    <xf numFmtId="0" fontId="12" fillId="0" borderId="59" xfId="10" applyFont="1" applyFill="1" applyBorder="1" applyAlignment="1" applyProtection="1">
      <alignment horizontal="center" vertical="center"/>
    </xf>
    <xf numFmtId="0" fontId="11" fillId="12" borderId="29" xfId="10" applyFont="1" applyFill="1" applyBorder="1" applyAlignment="1" applyProtection="1">
      <alignment horizontal="center" vertical="center"/>
    </xf>
    <xf numFmtId="0" fontId="12" fillId="12" borderId="28" xfId="10" applyFont="1" applyFill="1" applyBorder="1" applyAlignment="1" applyProtection="1">
      <alignment vertical="center"/>
    </xf>
    <xf numFmtId="0" fontId="12" fillId="12" borderId="29" xfId="10" applyFont="1" applyFill="1" applyBorder="1" applyAlignment="1" applyProtection="1">
      <alignment vertical="center"/>
    </xf>
    <xf numFmtId="0" fontId="12" fillId="0" borderId="5" xfId="10" applyFont="1" applyFill="1" applyBorder="1" applyAlignment="1" applyProtection="1">
      <alignment vertical="center"/>
    </xf>
    <xf numFmtId="0" fontId="12" fillId="0" borderId="29" xfId="10" applyFont="1" applyFill="1" applyBorder="1" applyAlignment="1" applyProtection="1">
      <alignment vertical="center"/>
    </xf>
    <xf numFmtId="0" fontId="17" fillId="12" borderId="0" xfId="10" applyFont="1" applyFill="1" applyBorder="1" applyAlignment="1" applyProtection="1">
      <alignment vertical="center"/>
    </xf>
    <xf numFmtId="1" fontId="11" fillId="12" borderId="33" xfId="10" applyNumberFormat="1" applyFont="1" applyFill="1" applyBorder="1" applyAlignment="1" applyProtection="1">
      <alignment horizontal="center" vertical="center"/>
    </xf>
    <xf numFmtId="1" fontId="11" fillId="12" borderId="0" xfId="10" applyNumberFormat="1" applyFont="1" applyFill="1" applyBorder="1" applyAlignment="1" applyProtection="1">
      <alignment horizontal="center" vertical="center"/>
    </xf>
    <xf numFmtId="0" fontId="12" fillId="12" borderId="0" xfId="0" applyFont="1" applyFill="1" applyBorder="1" applyAlignment="1" applyProtection="1">
      <alignment vertical="center"/>
    </xf>
    <xf numFmtId="0" fontId="12" fillId="10" borderId="139" xfId="10" applyFont="1" applyFill="1" applyBorder="1" applyAlignment="1" applyProtection="1">
      <alignment vertical="center"/>
    </xf>
    <xf numFmtId="0" fontId="11" fillId="10" borderId="140" xfId="10" applyNumberFormat="1" applyFont="1" applyFill="1" applyBorder="1" applyAlignment="1" applyProtection="1">
      <alignment horizontal="center" vertical="center"/>
    </xf>
    <xf numFmtId="0" fontId="12" fillId="10" borderId="140" xfId="10" applyNumberFormat="1" applyFont="1" applyFill="1" applyBorder="1" applyAlignment="1" applyProtection="1">
      <alignment vertical="center"/>
    </xf>
    <xf numFmtId="0" fontId="11" fillId="10" borderId="12" xfId="10" applyNumberFormat="1" applyFont="1" applyFill="1" applyBorder="1" applyAlignment="1" applyProtection="1">
      <alignment horizontal="center" vertical="center"/>
    </xf>
    <xf numFmtId="0" fontId="11" fillId="10" borderId="48" xfId="10" applyNumberFormat="1" applyFont="1" applyFill="1" applyBorder="1" applyAlignment="1" applyProtection="1">
      <alignment horizontal="center" vertical="center"/>
    </xf>
    <xf numFmtId="0" fontId="11" fillId="10" borderId="44" xfId="10" applyNumberFormat="1" applyFont="1" applyFill="1" applyBorder="1" applyAlignment="1" applyProtection="1">
      <alignment horizontal="center" vertical="center"/>
    </xf>
    <xf numFmtId="0" fontId="11" fillId="0" borderId="9" xfId="10" applyFont="1" applyFill="1" applyBorder="1" applyAlignment="1" applyProtection="1">
      <alignment horizontal="center" vertical="center"/>
    </xf>
    <xf numFmtId="1" fontId="11" fillId="0" borderId="0" xfId="10" applyNumberFormat="1" applyFont="1" applyFill="1" applyBorder="1" applyAlignment="1" applyProtection="1">
      <alignment horizontal="center" vertical="center"/>
    </xf>
    <xf numFmtId="3" fontId="9" fillId="0" borderId="235" xfId="12" applyNumberFormat="1" applyFill="1" applyBorder="1" applyAlignment="1" applyProtection="1">
      <alignment horizontal="center" vertical="center"/>
    </xf>
    <xf numFmtId="3" fontId="11" fillId="12" borderId="236" xfId="10" applyNumberFormat="1" applyFont="1" applyFill="1" applyBorder="1" applyAlignment="1" applyProtection="1">
      <alignment horizontal="center" vertical="center"/>
    </xf>
    <xf numFmtId="3" fontId="11" fillId="12" borderId="237" xfId="10" applyNumberFormat="1" applyFont="1" applyFill="1" applyBorder="1" applyAlignment="1" applyProtection="1">
      <alignment horizontal="center" vertical="center"/>
    </xf>
    <xf numFmtId="0" fontId="12" fillId="12" borderId="54" xfId="10" applyFont="1" applyFill="1" applyBorder="1" applyAlignment="1" applyProtection="1">
      <alignment vertical="center"/>
    </xf>
    <xf numFmtId="37" fontId="12" fillId="0" borderId="6" xfId="10" applyNumberFormat="1" applyFont="1" applyFill="1" applyBorder="1" applyAlignment="1" applyProtection="1">
      <alignment horizontal="center" vertical="center"/>
    </xf>
    <xf numFmtId="0" fontId="11" fillId="12" borderId="19" xfId="10" applyFont="1" applyFill="1" applyBorder="1" applyAlignment="1" applyProtection="1">
      <alignment horizontal="center" vertical="center"/>
    </xf>
    <xf numFmtId="0" fontId="11" fillId="12" borderId="18" xfId="10" applyFont="1" applyFill="1" applyBorder="1" applyAlignment="1" applyProtection="1">
      <alignment horizontal="center" vertical="center"/>
    </xf>
    <xf numFmtId="0" fontId="12" fillId="12" borderId="49" xfId="0" applyFont="1" applyFill="1" applyBorder="1" applyAlignment="1" applyProtection="1">
      <alignment vertical="center"/>
    </xf>
    <xf numFmtId="1" fontId="11" fillId="10" borderId="31" xfId="10" applyNumberFormat="1" applyFont="1" applyFill="1" applyBorder="1" applyAlignment="1" applyProtection="1">
      <alignment horizontal="center" vertical="center"/>
    </xf>
    <xf numFmtId="0" fontId="12" fillId="12" borderId="235" xfId="10" applyFont="1" applyFill="1" applyBorder="1" applyAlignment="1" applyProtection="1">
      <alignment horizontal="center" vertical="center"/>
    </xf>
    <xf numFmtId="0" fontId="12" fillId="12" borderId="236" xfId="10" applyFont="1" applyFill="1" applyBorder="1" applyAlignment="1" applyProtection="1">
      <alignment horizontal="center" vertical="center"/>
    </xf>
    <xf numFmtId="0" fontId="12" fillId="12" borderId="237" xfId="10" applyFont="1" applyFill="1" applyBorder="1" applyAlignment="1" applyProtection="1">
      <alignment horizontal="center" vertical="center"/>
    </xf>
    <xf numFmtId="0" fontId="12" fillId="12" borderId="7" xfId="10" applyFont="1" applyFill="1" applyBorder="1" applyAlignment="1" applyProtection="1">
      <alignment horizontal="center" vertical="center"/>
    </xf>
    <xf numFmtId="0" fontId="11" fillId="12" borderId="235" xfId="10" applyFont="1" applyFill="1" applyBorder="1" applyAlignment="1" applyProtection="1">
      <alignment horizontal="center" vertical="center"/>
    </xf>
    <xf numFmtId="0" fontId="11" fillId="12" borderId="236" xfId="10" applyFont="1" applyFill="1" applyBorder="1" applyAlignment="1" applyProtection="1">
      <alignment horizontal="center" vertical="center"/>
    </xf>
    <xf numFmtId="0" fontId="11" fillId="12" borderId="237" xfId="10" applyFont="1" applyFill="1" applyBorder="1" applyAlignment="1" applyProtection="1">
      <alignment horizontal="center" vertical="center"/>
    </xf>
    <xf numFmtId="0" fontId="11" fillId="12" borderId="7" xfId="10" applyFont="1" applyFill="1" applyBorder="1" applyAlignment="1" applyProtection="1">
      <alignment horizontal="center" vertical="center"/>
    </xf>
    <xf numFmtId="0" fontId="12" fillId="12" borderId="60" xfId="10" applyFont="1" applyFill="1" applyBorder="1" applyAlignment="1" applyProtection="1">
      <alignment horizontal="center" vertical="center"/>
    </xf>
    <xf numFmtId="1" fontId="12" fillId="12" borderId="60" xfId="10" applyNumberFormat="1" applyFont="1" applyFill="1" applyBorder="1" applyAlignment="1" applyProtection="1">
      <alignment horizontal="center" vertical="center"/>
    </xf>
    <xf numFmtId="9" fontId="12" fillId="12" borderId="0" xfId="7" applyFont="1" applyFill="1" applyBorder="1" applyAlignment="1" applyProtection="1">
      <alignment horizontal="center" vertical="center"/>
    </xf>
    <xf numFmtId="0" fontId="12" fillId="12" borderId="244" xfId="10" applyFont="1" applyFill="1" applyBorder="1" applyAlignment="1" applyProtection="1">
      <alignment horizontal="center" vertical="center"/>
    </xf>
    <xf numFmtId="0" fontId="12" fillId="12" borderId="245" xfId="10" applyFont="1" applyFill="1" applyBorder="1" applyAlignment="1" applyProtection="1">
      <alignment horizontal="center" vertical="center"/>
    </xf>
    <xf numFmtId="0" fontId="12" fillId="12" borderId="246" xfId="10" applyFont="1" applyFill="1" applyBorder="1" applyAlignment="1" applyProtection="1">
      <alignment horizontal="center" vertical="center"/>
    </xf>
    <xf numFmtId="1" fontId="12" fillId="12" borderId="3" xfId="10" applyNumberFormat="1" applyFont="1" applyFill="1" applyBorder="1" applyAlignment="1" applyProtection="1">
      <alignment horizontal="center" vertical="center"/>
    </xf>
    <xf numFmtId="0" fontId="12" fillId="10" borderId="23" xfId="10" applyFont="1" applyFill="1" applyBorder="1" applyAlignment="1" applyProtection="1">
      <alignment vertical="center"/>
    </xf>
    <xf numFmtId="0" fontId="11" fillId="10" borderId="45" xfId="10" applyNumberFormat="1" applyFont="1" applyFill="1" applyBorder="1" applyAlignment="1" applyProtection="1">
      <alignment horizontal="center" vertical="center"/>
    </xf>
    <xf numFmtId="0" fontId="12" fillId="10" borderId="45" xfId="10" applyNumberFormat="1" applyFont="1" applyFill="1" applyBorder="1" applyAlignment="1" applyProtection="1">
      <alignment vertical="center"/>
    </xf>
    <xf numFmtId="0" fontId="11" fillId="10" borderId="104" xfId="10" applyNumberFormat="1" applyFont="1" applyFill="1" applyBorder="1" applyAlignment="1" applyProtection="1">
      <alignment horizontal="center" vertical="center"/>
    </xf>
    <xf numFmtId="0" fontId="11" fillId="0" borderId="13" xfId="10" applyFont="1" applyFill="1" applyBorder="1" applyAlignment="1" applyProtection="1">
      <alignment horizontal="center" vertical="center"/>
    </xf>
    <xf numFmtId="0" fontId="12" fillId="16" borderId="0" xfId="10" applyFont="1" applyFill="1" applyAlignment="1" applyProtection="1">
      <alignment vertical="center"/>
    </xf>
    <xf numFmtId="0" fontId="12" fillId="16" borderId="26" xfId="10" applyFont="1" applyFill="1" applyBorder="1" applyAlignment="1" applyProtection="1">
      <alignment vertical="center"/>
    </xf>
    <xf numFmtId="0" fontId="11" fillId="16" borderId="0" xfId="10" applyNumberFormat="1" applyFont="1" applyFill="1" applyBorder="1" applyAlignment="1" applyProtection="1">
      <alignment horizontal="center" vertical="center"/>
    </xf>
    <xf numFmtId="0" fontId="12" fillId="16" borderId="0" xfId="10" applyNumberFormat="1" applyFont="1" applyFill="1" applyBorder="1" applyAlignment="1" applyProtection="1">
      <alignment vertical="center"/>
    </xf>
    <xf numFmtId="0" fontId="11" fillId="16" borderId="44" xfId="10" applyNumberFormat="1" applyFont="1" applyFill="1" applyBorder="1" applyAlignment="1" applyProtection="1">
      <alignment horizontal="center" vertical="center"/>
    </xf>
    <xf numFmtId="0" fontId="11" fillId="16" borderId="27" xfId="10" applyFont="1" applyFill="1" applyBorder="1" applyAlignment="1" applyProtection="1">
      <alignment horizontal="center" vertical="center"/>
    </xf>
    <xf numFmtId="1" fontId="11" fillId="16" borderId="0" xfId="10" applyNumberFormat="1" applyFont="1" applyFill="1" applyBorder="1" applyAlignment="1" applyProtection="1">
      <alignment horizontal="center" vertical="center"/>
    </xf>
    <xf numFmtId="1" fontId="11" fillId="16" borderId="44" xfId="10" applyNumberFormat="1" applyFont="1" applyFill="1" applyBorder="1" applyAlignment="1" applyProtection="1">
      <alignment horizontal="center" vertical="center"/>
    </xf>
    <xf numFmtId="0" fontId="11" fillId="10" borderId="280" xfId="0" applyFont="1" applyFill="1" applyBorder="1" applyAlignment="1" applyProtection="1">
      <alignment vertical="center"/>
    </xf>
    <xf numFmtId="0" fontId="11" fillId="10" borderId="281" xfId="10" applyNumberFormat="1" applyFont="1" applyFill="1" applyBorder="1" applyAlignment="1" applyProtection="1">
      <alignment horizontal="center" vertical="center"/>
    </xf>
    <xf numFmtId="0" fontId="11" fillId="10" borderId="20" xfId="10" applyFont="1" applyFill="1" applyBorder="1" applyAlignment="1" applyProtection="1">
      <alignment vertical="center"/>
    </xf>
    <xf numFmtId="1" fontId="12" fillId="12" borderId="941" xfId="10" applyNumberFormat="1" applyFont="1" applyFill="1" applyBorder="1" applyAlignment="1" applyProtection="1">
      <alignment horizontal="center" vertical="center"/>
    </xf>
    <xf numFmtId="1" fontId="12" fillId="12" borderId="942" xfId="10" applyNumberFormat="1" applyFont="1" applyFill="1" applyBorder="1" applyAlignment="1" applyProtection="1">
      <alignment horizontal="center" vertical="center"/>
    </xf>
    <xf numFmtId="1" fontId="12" fillId="12" borderId="943" xfId="10" applyNumberFormat="1" applyFont="1" applyFill="1" applyBorder="1" applyAlignment="1" applyProtection="1">
      <alignment horizontal="center" vertical="center"/>
    </xf>
    <xf numFmtId="0" fontId="12" fillId="12" borderId="93" xfId="10" applyFont="1" applyFill="1" applyBorder="1" applyAlignment="1" applyProtection="1">
      <alignment horizontal="left" vertical="center"/>
    </xf>
    <xf numFmtId="0" fontId="12" fillId="12" borderId="94" xfId="10" applyFont="1" applyFill="1" applyBorder="1" applyAlignment="1" applyProtection="1">
      <alignment horizontal="left" vertical="center"/>
    </xf>
    <xf numFmtId="0" fontId="12" fillId="12" borderId="95" xfId="10" applyFont="1" applyFill="1" applyBorder="1" applyAlignment="1" applyProtection="1">
      <alignment vertical="center"/>
    </xf>
    <xf numFmtId="0" fontId="12" fillId="12" borderId="0" xfId="10" applyFont="1" applyFill="1" applyAlignment="1" applyProtection="1">
      <alignment horizontal="left" vertical="center"/>
    </xf>
    <xf numFmtId="0" fontId="12" fillId="12" borderId="945" xfId="10" applyFont="1" applyFill="1" applyBorder="1" applyAlignment="1" applyProtection="1">
      <alignment horizontal="left" vertical="center"/>
    </xf>
    <xf numFmtId="0" fontId="12" fillId="0" borderId="945" xfId="10" applyFont="1" applyFill="1" applyBorder="1" applyAlignment="1" applyProtection="1">
      <alignment horizontal="left" vertical="center"/>
    </xf>
    <xf numFmtId="0" fontId="12" fillId="12" borderId="15" xfId="10" applyFont="1" applyFill="1" applyBorder="1" applyAlignment="1" applyProtection="1">
      <alignment horizontal="left" vertical="center"/>
    </xf>
    <xf numFmtId="0" fontId="12" fillId="12" borderId="21" xfId="10" applyFont="1" applyFill="1" applyBorder="1" applyAlignment="1" applyProtection="1">
      <alignment horizontal="left" vertical="center"/>
    </xf>
    <xf numFmtId="39" fontId="12" fillId="12" borderId="7" xfId="10" applyNumberFormat="1" applyFont="1" applyFill="1" applyBorder="1" applyAlignment="1" applyProtection="1">
      <alignment horizontal="center" vertical="center"/>
    </xf>
    <xf numFmtId="0" fontId="12" fillId="12" borderId="0" xfId="0" applyFont="1" applyFill="1" applyAlignment="1" applyProtection="1">
      <alignment horizontal="left" vertical="center"/>
    </xf>
    <xf numFmtId="0" fontId="12" fillId="12" borderId="935" xfId="10" applyFont="1" applyFill="1" applyBorder="1" applyAlignment="1" applyProtection="1">
      <alignment horizontal="left" vertical="center"/>
    </xf>
    <xf numFmtId="0" fontId="12" fillId="0" borderId="935" xfId="10" applyFont="1" applyFill="1" applyBorder="1" applyAlignment="1" applyProtection="1">
      <alignment horizontal="left" vertical="center"/>
    </xf>
    <xf numFmtId="0" fontId="12" fillId="12" borderId="5" xfId="10" applyFont="1" applyFill="1" applyBorder="1" applyAlignment="1" applyProtection="1">
      <alignment horizontal="left" vertical="center"/>
    </xf>
    <xf numFmtId="171" fontId="12" fillId="12" borderId="57" xfId="7" applyNumberFormat="1" applyFont="1" applyFill="1" applyBorder="1" applyAlignment="1" applyProtection="1">
      <alignment horizontal="center" vertical="center"/>
    </xf>
    <xf numFmtId="0" fontId="11" fillId="17" borderId="93" xfId="10" applyFont="1" applyFill="1" applyBorder="1" applyAlignment="1" applyProtection="1">
      <alignment vertical="center"/>
    </xf>
    <xf numFmtId="1" fontId="12" fillId="17" borderId="94" xfId="10" applyNumberFormat="1" applyFont="1" applyFill="1" applyBorder="1" applyAlignment="1" applyProtection="1">
      <alignment horizontal="left" vertical="center"/>
    </xf>
    <xf numFmtId="0" fontId="11" fillId="17" borderId="94" xfId="10" applyFont="1" applyFill="1" applyBorder="1" applyAlignment="1" applyProtection="1">
      <alignment horizontal="center" vertical="center"/>
    </xf>
    <xf numFmtId="0" fontId="12" fillId="17" borderId="94" xfId="10" applyFont="1" applyFill="1" applyBorder="1" applyAlignment="1" applyProtection="1">
      <alignment vertical="center"/>
    </xf>
    <xf numFmtId="1" fontId="11" fillId="17" borderId="96" xfId="10" applyNumberFormat="1" applyFont="1" applyFill="1" applyBorder="1" applyAlignment="1" applyProtection="1">
      <alignment horizontal="center" vertical="center"/>
    </xf>
    <xf numFmtId="1" fontId="11" fillId="17" borderId="94" xfId="10" applyNumberFormat="1" applyFont="1" applyFill="1" applyBorder="1" applyAlignment="1" applyProtection="1">
      <alignment horizontal="center" vertical="center"/>
    </xf>
    <xf numFmtId="1" fontId="11" fillId="17" borderId="100" xfId="10" applyNumberFormat="1" applyFont="1" applyFill="1" applyBorder="1" applyAlignment="1" applyProtection="1">
      <alignment horizontal="center" vertical="center"/>
    </xf>
    <xf numFmtId="1" fontId="11" fillId="12" borderId="60" xfId="10" applyNumberFormat="1" applyFont="1" applyFill="1" applyBorder="1" applyAlignment="1" applyProtection="1">
      <alignment horizontal="center" vertical="center"/>
    </xf>
    <xf numFmtId="0" fontId="11" fillId="10" borderId="141" xfId="10" applyNumberFormat="1" applyFont="1" applyFill="1" applyBorder="1" applyAlignment="1" applyProtection="1">
      <alignment horizontal="center" vertical="center"/>
    </xf>
    <xf numFmtId="0" fontId="11" fillId="10" borderId="142" xfId="10" applyNumberFormat="1" applyFont="1" applyFill="1" applyBorder="1" applyAlignment="1" applyProtection="1">
      <alignment horizontal="center" vertical="center"/>
    </xf>
    <xf numFmtId="37" fontId="12" fillId="0" borderId="40" xfId="10" applyNumberFormat="1" applyFont="1" applyFill="1" applyBorder="1" applyAlignment="1" applyProtection="1">
      <alignment horizontal="center" vertical="center"/>
    </xf>
    <xf numFmtId="1" fontId="12" fillId="12" borderId="40" xfId="10" applyNumberFormat="1" applyFont="1" applyFill="1" applyBorder="1" applyAlignment="1" applyProtection="1">
      <alignment horizontal="center" vertical="center"/>
    </xf>
    <xf numFmtId="0" fontId="12" fillId="12" borderId="31" xfId="10" applyFont="1" applyFill="1" applyBorder="1" applyAlignment="1" applyProtection="1">
      <alignment vertical="center"/>
    </xf>
    <xf numFmtId="1" fontId="11" fillId="10" borderId="20" xfId="10" applyNumberFormat="1" applyFont="1" applyFill="1" applyBorder="1" applyAlignment="1" applyProtection="1">
      <alignment horizontal="center" vertical="center"/>
    </xf>
    <xf numFmtId="1" fontId="11" fillId="10" borderId="0" xfId="10" applyNumberFormat="1" applyFont="1" applyFill="1" applyBorder="1" applyAlignment="1" applyProtection="1">
      <alignment horizontal="center" vertical="center"/>
    </xf>
    <xf numFmtId="0" fontId="11" fillId="10" borderId="49" xfId="10" applyFont="1" applyFill="1" applyBorder="1" applyAlignment="1" applyProtection="1">
      <alignment horizontal="center" vertical="center"/>
    </xf>
    <xf numFmtId="1" fontId="31" fillId="12" borderId="20" xfId="10" applyNumberFormat="1" applyFont="1" applyFill="1" applyBorder="1" applyAlignment="1" applyProtection="1">
      <alignment horizontal="center" vertical="center"/>
    </xf>
    <xf numFmtId="1" fontId="31" fillId="12" borderId="48" xfId="10" applyNumberFormat="1" applyFont="1" applyFill="1" applyBorder="1" applyAlignment="1" applyProtection="1">
      <alignment horizontal="center" vertical="center"/>
    </xf>
    <xf numFmtId="1" fontId="31" fillId="12" borderId="27" xfId="10" applyNumberFormat="1" applyFont="1" applyFill="1" applyBorder="1" applyAlignment="1" applyProtection="1">
      <alignment horizontal="center" vertical="center"/>
    </xf>
    <xf numFmtId="0" fontId="12" fillId="12" borderId="43" xfId="10" applyFont="1" applyFill="1" applyBorder="1" applyAlignment="1" applyProtection="1">
      <alignment vertical="center"/>
    </xf>
    <xf numFmtId="1" fontId="11" fillId="12" borderId="286" xfId="10" applyNumberFormat="1" applyFont="1" applyFill="1" applyBorder="1" applyAlignment="1" applyProtection="1">
      <alignment horizontal="center" vertical="center"/>
    </xf>
    <xf numFmtId="1" fontId="11" fillId="12" borderId="152" xfId="10" applyNumberFormat="1" applyFont="1" applyFill="1" applyBorder="1" applyAlignment="1" applyProtection="1">
      <alignment horizontal="center" vertical="center"/>
    </xf>
    <xf numFmtId="1" fontId="11" fillId="12" borderId="151" xfId="10" applyNumberFormat="1" applyFont="1" applyFill="1" applyBorder="1" applyAlignment="1" applyProtection="1">
      <alignment horizontal="center" vertical="center"/>
    </xf>
    <xf numFmtId="1" fontId="11" fillId="12" borderId="149" xfId="10" applyNumberFormat="1" applyFont="1" applyFill="1" applyBorder="1" applyAlignment="1" applyProtection="1">
      <alignment horizontal="center" vertical="center"/>
    </xf>
    <xf numFmtId="0" fontId="11" fillId="10" borderId="31" xfId="10" applyFont="1" applyFill="1" applyBorder="1" applyAlignment="1" applyProtection="1">
      <alignment horizontal="center" vertical="center"/>
    </xf>
    <xf numFmtId="9" fontId="12" fillId="12" borderId="131" xfId="7" applyFont="1" applyFill="1" applyBorder="1" applyAlignment="1" applyProtection="1">
      <alignment horizontal="center" vertical="center"/>
    </xf>
    <xf numFmtId="0" fontId="12" fillId="0" borderId="633" xfId="10" applyFont="1" applyFill="1" applyBorder="1" applyAlignment="1" applyProtection="1">
      <alignment horizontal="center" vertical="center"/>
    </xf>
    <xf numFmtId="0" fontId="11" fillId="12" borderId="314" xfId="10" applyFont="1" applyFill="1" applyBorder="1" applyAlignment="1" applyProtection="1">
      <alignment horizontal="center" vertical="center"/>
    </xf>
    <xf numFmtId="1" fontId="12" fillId="0" borderId="229" xfId="10" applyNumberFormat="1" applyFont="1" applyFill="1" applyBorder="1" applyAlignment="1" applyProtection="1">
      <alignment horizontal="center" vertical="center"/>
    </xf>
    <xf numFmtId="1" fontId="12" fillId="0" borderId="230" xfId="10" applyNumberFormat="1" applyFont="1" applyFill="1" applyBorder="1" applyAlignment="1" applyProtection="1">
      <alignment horizontal="center" vertical="center"/>
    </xf>
    <xf numFmtId="1" fontId="12" fillId="0" borderId="231" xfId="10" applyNumberFormat="1" applyFont="1" applyFill="1" applyBorder="1" applyAlignment="1" applyProtection="1">
      <alignment horizontal="center" vertical="center"/>
    </xf>
    <xf numFmtId="0" fontId="12" fillId="12" borderId="127" xfId="10" applyFont="1" applyFill="1" applyBorder="1" applyAlignment="1" applyProtection="1">
      <alignment horizontal="center" vertical="center"/>
    </xf>
    <xf numFmtId="0" fontId="11" fillId="10" borderId="26" xfId="0" applyFont="1" applyFill="1" applyBorder="1" applyAlignment="1" applyProtection="1">
      <alignment vertical="center"/>
    </xf>
    <xf numFmtId="0" fontId="11" fillId="10" borderId="0" xfId="10" applyFont="1" applyFill="1" applyBorder="1" applyAlignment="1" applyProtection="1">
      <alignment horizontal="center" vertical="center"/>
    </xf>
    <xf numFmtId="0" fontId="11" fillId="10" borderId="0" xfId="10" applyFont="1" applyFill="1" applyBorder="1" applyAlignment="1" applyProtection="1">
      <alignment vertical="center"/>
    </xf>
    <xf numFmtId="3" fontId="11" fillId="0" borderId="229" xfId="10" applyNumberFormat="1" applyFont="1" applyFill="1" applyBorder="1" applyAlignment="1" applyProtection="1">
      <alignment horizontal="center" vertical="center"/>
    </xf>
    <xf numFmtId="3" fontId="11" fillId="12" borderId="230" xfId="10" applyNumberFormat="1" applyFont="1" applyFill="1" applyBorder="1" applyAlignment="1" applyProtection="1">
      <alignment horizontal="center" vertical="center"/>
    </xf>
    <xf numFmtId="3" fontId="11" fillId="12" borderId="231" xfId="10" applyNumberFormat="1" applyFont="1" applyFill="1" applyBorder="1" applyAlignment="1" applyProtection="1">
      <alignment horizontal="center" vertical="center"/>
    </xf>
    <xf numFmtId="3" fontId="11" fillId="0" borderId="0" xfId="10" applyNumberFormat="1" applyFont="1" applyFill="1" applyBorder="1" applyAlignment="1" applyProtection="1">
      <alignment horizontal="center" vertical="center"/>
    </xf>
    <xf numFmtId="3" fontId="11" fillId="0" borderId="43" xfId="10" applyNumberFormat="1" applyFont="1" applyFill="1" applyBorder="1" applyAlignment="1" applyProtection="1">
      <alignment horizontal="center" vertical="center"/>
    </xf>
    <xf numFmtId="0" fontId="12" fillId="10" borderId="22" xfId="10" applyFont="1" applyFill="1" applyBorder="1" applyAlignment="1" applyProtection="1">
      <alignment horizontal="center" vertical="center"/>
    </xf>
    <xf numFmtId="1" fontId="11" fillId="10" borderId="235" xfId="10" applyNumberFormat="1" applyFont="1" applyFill="1" applyBorder="1" applyAlignment="1" applyProtection="1">
      <alignment horizontal="center" vertical="center"/>
    </xf>
    <xf numFmtId="1" fontId="11" fillId="10" borderId="236" xfId="10" applyNumberFormat="1" applyFont="1" applyFill="1" applyBorder="1" applyAlignment="1" applyProtection="1">
      <alignment horizontal="center" vertical="center"/>
    </xf>
    <xf numFmtId="1" fontId="11" fillId="10" borderId="237" xfId="10" applyNumberFormat="1" applyFont="1" applyFill="1" applyBorder="1" applyAlignment="1" applyProtection="1">
      <alignment horizontal="center" vertical="center"/>
    </xf>
    <xf numFmtId="1" fontId="11" fillId="0" borderId="22" xfId="10" applyNumberFormat="1" applyFont="1" applyFill="1" applyBorder="1" applyAlignment="1" applyProtection="1">
      <alignment horizontal="center" vertical="center"/>
    </xf>
    <xf numFmtId="1" fontId="11" fillId="0" borderId="294" xfId="10" applyNumberFormat="1" applyFont="1" applyFill="1" applyBorder="1" applyAlignment="1" applyProtection="1">
      <alignment horizontal="center" vertical="center"/>
    </xf>
    <xf numFmtId="1" fontId="12" fillId="12" borderId="31" xfId="10" applyNumberFormat="1" applyFont="1" applyFill="1" applyBorder="1" applyAlignment="1" applyProtection="1">
      <alignment horizontal="center" vertical="center"/>
    </xf>
    <xf numFmtId="1" fontId="12" fillId="12" borderId="43" xfId="10" applyNumberFormat="1" applyFont="1" applyFill="1" applyBorder="1" applyAlignment="1" applyProtection="1">
      <alignment horizontal="center" vertical="center"/>
    </xf>
    <xf numFmtId="165" fontId="12" fillId="12" borderId="27" xfId="10" applyNumberFormat="1" applyFont="1" applyFill="1" applyBorder="1" applyAlignment="1" applyProtection="1">
      <alignment horizontal="center" vertical="center"/>
    </xf>
    <xf numFmtId="0" fontId="12" fillId="12" borderId="28" xfId="0" applyFont="1" applyFill="1" applyBorder="1" applyAlignment="1" applyProtection="1">
      <alignment vertical="center"/>
    </xf>
    <xf numFmtId="1" fontId="12" fillId="12" borderId="244" xfId="10" applyNumberFormat="1" applyFont="1" applyFill="1" applyBorder="1" applyAlignment="1" applyProtection="1">
      <alignment horizontal="center" vertical="center"/>
    </xf>
    <xf numFmtId="1" fontId="12" fillId="12" borderId="245" xfId="10" applyNumberFormat="1" applyFont="1" applyFill="1" applyBorder="1" applyAlignment="1" applyProtection="1">
      <alignment horizontal="center" vertical="center"/>
    </xf>
    <xf numFmtId="1" fontId="12" fillId="12" borderId="246" xfId="10" applyNumberFormat="1" applyFont="1" applyFill="1" applyBorder="1" applyAlignment="1" applyProtection="1">
      <alignment horizontal="center" vertical="center"/>
    </xf>
    <xf numFmtId="1" fontId="11" fillId="12" borderId="5" xfId="10" applyNumberFormat="1" applyFont="1" applyFill="1" applyBorder="1" applyAlignment="1" applyProtection="1">
      <alignment horizontal="center" vertical="center"/>
    </xf>
    <xf numFmtId="1" fontId="11" fillId="12" borderId="59" xfId="10" applyNumberFormat="1" applyFont="1" applyFill="1" applyBorder="1" applyAlignment="1" applyProtection="1">
      <alignment horizontal="center" vertical="center"/>
    </xf>
    <xf numFmtId="1" fontId="12" fillId="12" borderId="29" xfId="10" applyNumberFormat="1" applyFont="1" applyFill="1" applyBorder="1" applyAlignment="1" applyProtection="1">
      <alignment horizontal="center" vertical="center"/>
    </xf>
    <xf numFmtId="0" fontId="21" fillId="7" borderId="0" xfId="10" applyFont="1" applyFill="1" applyAlignment="1" applyProtection="1">
      <alignment horizontal="left" vertical="center"/>
    </xf>
    <xf numFmtId="0" fontId="12" fillId="7" borderId="5" xfId="10" applyFont="1" applyFill="1" applyBorder="1" applyAlignment="1" applyProtection="1">
      <alignment horizontal="left" vertical="center"/>
    </xf>
    <xf numFmtId="171" fontId="19" fillId="7" borderId="138" xfId="10" applyNumberFormat="1" applyFont="1" applyFill="1" applyBorder="1" applyAlignment="1" applyProtection="1">
      <alignment horizontal="left" vertical="center"/>
    </xf>
    <xf numFmtId="171" fontId="19" fillId="7" borderId="135" xfId="10" applyNumberFormat="1" applyFont="1" applyFill="1" applyBorder="1" applyAlignment="1" applyProtection="1">
      <alignment horizontal="left" vertical="center"/>
    </xf>
    <xf numFmtId="0" fontId="22" fillId="7" borderId="0" xfId="10" applyFont="1" applyFill="1" applyAlignment="1" applyProtection="1">
      <alignment horizontal="left" vertical="center"/>
    </xf>
    <xf numFmtId="0" fontId="12" fillId="7" borderId="0" xfId="10" applyFont="1" applyFill="1" applyAlignment="1" applyProtection="1">
      <alignment horizontal="left" vertical="center"/>
    </xf>
    <xf numFmtId="0" fontId="12" fillId="7" borderId="0" xfId="0" applyFont="1" applyFill="1" applyAlignment="1" applyProtection="1">
      <alignment horizontal="left" vertical="center"/>
    </xf>
    <xf numFmtId="171" fontId="19" fillId="7" borderId="55" xfId="10" applyNumberFormat="1" applyFont="1" applyFill="1" applyBorder="1" applyAlignment="1" applyProtection="1">
      <alignment horizontal="left" vertical="center"/>
    </xf>
    <xf numFmtId="0" fontId="11" fillId="0" borderId="60" xfId="10" applyFont="1" applyFill="1" applyBorder="1" applyAlignment="1" applyProtection="1">
      <alignment horizontal="center" vertical="center"/>
    </xf>
    <xf numFmtId="0" fontId="11" fillId="10" borderId="18" xfId="10" applyNumberFormat="1" applyFont="1" applyFill="1" applyBorder="1" applyAlignment="1" applyProtection="1">
      <alignment horizontal="center" vertical="center"/>
    </xf>
    <xf numFmtId="0" fontId="11" fillId="10" borderId="43" xfId="10" applyNumberFormat="1" applyFont="1" applyFill="1" applyBorder="1" applyAlignment="1" applyProtection="1">
      <alignment horizontal="center" vertical="center"/>
    </xf>
    <xf numFmtId="0" fontId="11" fillId="12" borderId="60" xfId="10" applyFont="1" applyFill="1" applyBorder="1" applyAlignment="1" applyProtection="1">
      <alignment horizontal="center" vertical="center"/>
    </xf>
    <xf numFmtId="0" fontId="11" fillId="12" borderId="186" xfId="10" applyFont="1" applyFill="1" applyBorder="1" applyAlignment="1" applyProtection="1">
      <alignment horizontal="center" vertical="center"/>
    </xf>
    <xf numFmtId="37" fontId="12" fillId="0" borderId="289" xfId="10" applyNumberFormat="1" applyFont="1" applyFill="1" applyBorder="1" applyAlignment="1" applyProtection="1">
      <alignment horizontal="center" vertical="center"/>
    </xf>
    <xf numFmtId="1" fontId="12" fillId="12" borderId="233" xfId="10" applyNumberFormat="1" applyFont="1" applyFill="1" applyBorder="1" applyAlignment="1" applyProtection="1">
      <alignment horizontal="center" vertical="center"/>
    </xf>
    <xf numFmtId="1" fontId="12" fillId="12" borderId="237" xfId="10" applyNumberFormat="1" applyFont="1" applyFill="1" applyBorder="1" applyAlignment="1" applyProtection="1">
      <alignment horizontal="center" vertical="center"/>
    </xf>
    <xf numFmtId="0" fontId="11" fillId="12" borderId="187" xfId="10" applyFont="1" applyFill="1" applyBorder="1" applyAlignment="1" applyProtection="1">
      <alignment vertical="center"/>
    </xf>
    <xf numFmtId="1" fontId="31" fillId="12" borderId="128" xfId="10" applyNumberFormat="1" applyFont="1" applyFill="1" applyBorder="1" applyAlignment="1" applyProtection="1">
      <alignment horizontal="center" vertical="center"/>
    </xf>
    <xf numFmtId="1" fontId="31" fillId="12" borderId="129" xfId="10" applyNumberFormat="1" applyFont="1" applyFill="1" applyBorder="1" applyAlignment="1" applyProtection="1">
      <alignment horizontal="center" vertical="center"/>
    </xf>
    <xf numFmtId="0" fontId="12" fillId="12" borderId="112" xfId="10" applyFont="1" applyFill="1" applyBorder="1" applyAlignment="1" applyProtection="1">
      <alignment vertical="center"/>
    </xf>
    <xf numFmtId="0" fontId="11" fillId="0" borderId="269" xfId="10" applyFont="1" applyFill="1" applyBorder="1" applyAlignment="1" applyProtection="1">
      <alignment horizontal="center" vertical="center"/>
    </xf>
    <xf numFmtId="0" fontId="12" fillId="12" borderId="269" xfId="10" applyFont="1" applyFill="1" applyBorder="1" applyAlignment="1" applyProtection="1">
      <alignment vertical="center"/>
    </xf>
    <xf numFmtId="0" fontId="12" fillId="12" borderId="293" xfId="10" applyFont="1" applyFill="1" applyBorder="1" applyAlignment="1" applyProtection="1">
      <alignment vertical="center"/>
    </xf>
    <xf numFmtId="1" fontId="12" fillId="12" borderId="636" xfId="10" applyNumberFormat="1" applyFont="1" applyFill="1" applyBorder="1" applyAlignment="1" applyProtection="1">
      <alignment horizontal="center" vertical="center"/>
    </xf>
    <xf numFmtId="1" fontId="12" fillId="12" borderId="161" xfId="10" applyNumberFormat="1" applyFont="1" applyFill="1" applyBorder="1" applyAlignment="1" applyProtection="1">
      <alignment horizontal="center" vertical="center"/>
    </xf>
    <xf numFmtId="1" fontId="12" fillId="12" borderId="288" xfId="10" applyNumberFormat="1" applyFont="1" applyFill="1" applyBorder="1" applyAlignment="1" applyProtection="1">
      <alignment horizontal="center" vertical="center"/>
    </xf>
    <xf numFmtId="1" fontId="12" fillId="12" borderId="639" xfId="10" applyNumberFormat="1" applyFont="1" applyFill="1" applyBorder="1" applyAlignment="1" applyProtection="1">
      <alignment horizontal="center" vertical="center"/>
    </xf>
    <xf numFmtId="0" fontId="12" fillId="12" borderId="22" xfId="10" applyFont="1" applyFill="1" applyBorder="1" applyAlignment="1" applyProtection="1">
      <alignment vertical="center"/>
    </xf>
    <xf numFmtId="0" fontId="12" fillId="12" borderId="124" xfId="10" applyFont="1" applyFill="1" applyBorder="1" applyAlignment="1" applyProtection="1">
      <alignment vertical="center"/>
    </xf>
    <xf numFmtId="0" fontId="11" fillId="10" borderId="15" xfId="10" applyFont="1" applyFill="1" applyBorder="1" applyAlignment="1" applyProtection="1">
      <alignment vertical="center"/>
    </xf>
    <xf numFmtId="0" fontId="12" fillId="12" borderId="274" xfId="10" applyFont="1" applyFill="1" applyBorder="1" applyAlignment="1" applyProtection="1">
      <alignment vertical="center"/>
    </xf>
    <xf numFmtId="0" fontId="12" fillId="12" borderId="296" xfId="10" applyFont="1" applyFill="1" applyBorder="1" applyAlignment="1" applyProtection="1">
      <alignment vertical="center"/>
    </xf>
    <xf numFmtId="0" fontId="12" fillId="12" borderId="297" xfId="10" applyFont="1" applyFill="1" applyBorder="1" applyAlignment="1" applyProtection="1">
      <alignment horizontal="center" vertical="center"/>
    </xf>
    <xf numFmtId="0" fontId="11" fillId="0" borderId="19" xfId="10" applyFont="1" applyFill="1" applyBorder="1" applyAlignment="1" applyProtection="1">
      <alignment horizontal="center" vertical="center"/>
    </xf>
    <xf numFmtId="0" fontId="11" fillId="0" borderId="22" xfId="10" applyFont="1" applyFill="1" applyBorder="1" applyAlignment="1" applyProtection="1">
      <alignment horizontal="center" vertical="center"/>
    </xf>
    <xf numFmtId="0" fontId="11" fillId="0" borderId="294" xfId="10" applyFont="1" applyFill="1" applyBorder="1" applyAlignment="1" applyProtection="1">
      <alignment horizontal="center" vertical="center"/>
    </xf>
    <xf numFmtId="0" fontId="12" fillId="12" borderId="16" xfId="10" applyFont="1" applyFill="1" applyBorder="1" applyAlignment="1" applyProtection="1">
      <alignment vertical="center"/>
    </xf>
    <xf numFmtId="0" fontId="12" fillId="12" borderId="307" xfId="10" applyFont="1" applyFill="1" applyBorder="1" applyAlignment="1" applyProtection="1">
      <alignment horizontal="center" vertical="center"/>
    </xf>
    <xf numFmtId="0" fontId="12" fillId="12" borderId="225" xfId="10" applyFont="1" applyFill="1" applyBorder="1" applyAlignment="1" applyProtection="1">
      <alignment horizontal="center" vertical="center"/>
    </xf>
    <xf numFmtId="0" fontId="12" fillId="12" borderId="618" xfId="10" applyFont="1" applyFill="1" applyBorder="1" applyAlignment="1" applyProtection="1">
      <alignment horizontal="center" vertical="center"/>
    </xf>
    <xf numFmtId="0" fontId="11" fillId="12" borderId="26" xfId="0" applyFont="1" applyFill="1" applyBorder="1" applyAlignment="1" applyProtection="1">
      <alignment vertical="center"/>
    </xf>
    <xf numFmtId="0" fontId="11" fillId="12" borderId="126" xfId="10" applyFont="1" applyFill="1" applyBorder="1" applyAlignment="1" applyProtection="1">
      <alignment horizontal="center" vertical="center"/>
    </xf>
    <xf numFmtId="0" fontId="11" fillId="12" borderId="126" xfId="10" applyFont="1" applyFill="1" applyBorder="1" applyAlignment="1" applyProtection="1">
      <alignment vertical="center"/>
    </xf>
    <xf numFmtId="1" fontId="12" fillId="12" borderId="638" xfId="10" applyNumberFormat="1" applyFont="1" applyFill="1" applyBorder="1" applyAlignment="1" applyProtection="1">
      <alignment horizontal="center" vertical="center"/>
    </xf>
    <xf numFmtId="1" fontId="12" fillId="12" borderId="303" xfId="10" applyNumberFormat="1" applyFont="1" applyFill="1" applyBorder="1" applyAlignment="1" applyProtection="1">
      <alignment horizontal="center" vertical="center"/>
    </xf>
    <xf numFmtId="1" fontId="12" fillId="12" borderId="641" xfId="10" applyNumberFormat="1" applyFont="1" applyFill="1" applyBorder="1" applyAlignment="1" applyProtection="1">
      <alignment horizontal="center" vertical="center"/>
    </xf>
    <xf numFmtId="0" fontId="12" fillId="12" borderId="136" xfId="10" applyFont="1" applyFill="1" applyBorder="1" applyAlignment="1" applyProtection="1">
      <alignment horizontal="center" vertical="center"/>
    </xf>
    <xf numFmtId="0" fontId="11" fillId="10" borderId="298" xfId="0" applyFont="1" applyFill="1" applyBorder="1" applyAlignment="1" applyProtection="1">
      <alignment vertical="center"/>
    </xf>
    <xf numFmtId="0" fontId="12" fillId="10" borderId="299" xfId="10" applyFont="1" applyFill="1" applyBorder="1" applyAlignment="1" applyProtection="1">
      <alignment horizontal="center" vertical="center"/>
    </xf>
    <xf numFmtId="0" fontId="11" fillId="10" borderId="299" xfId="10" applyFont="1" applyFill="1" applyBorder="1" applyAlignment="1" applyProtection="1">
      <alignment vertical="center"/>
    </xf>
    <xf numFmtId="1" fontId="11" fillId="10" borderId="304" xfId="10" applyNumberFormat="1" applyFont="1" applyFill="1" applyBorder="1" applyAlignment="1" applyProtection="1">
      <alignment horizontal="center" vertical="center"/>
    </xf>
    <xf numFmtId="1" fontId="11" fillId="10" borderId="305" xfId="10" applyNumberFormat="1" applyFont="1" applyFill="1" applyBorder="1" applyAlignment="1" applyProtection="1">
      <alignment horizontal="center" vertical="center"/>
    </xf>
    <xf numFmtId="1" fontId="11" fillId="10" borderId="642" xfId="10" applyNumberFormat="1" applyFont="1" applyFill="1" applyBorder="1" applyAlignment="1" applyProtection="1">
      <alignment horizontal="center" vertical="center"/>
    </xf>
    <xf numFmtId="1" fontId="11" fillId="10" borderId="300" xfId="10" applyNumberFormat="1" applyFont="1" applyFill="1" applyBorder="1" applyAlignment="1" applyProtection="1">
      <alignment horizontal="center" vertical="center"/>
    </xf>
    <xf numFmtId="1" fontId="11" fillId="10" borderId="301" xfId="10" applyNumberFormat="1" applyFont="1" applyFill="1" applyBorder="1" applyAlignment="1" applyProtection="1">
      <alignment horizontal="center" vertical="center"/>
    </xf>
    <xf numFmtId="1" fontId="12" fillId="12" borderId="302" xfId="10" applyNumberFormat="1" applyFont="1" applyFill="1" applyBorder="1" applyAlignment="1" applyProtection="1">
      <alignment horizontal="center" vertical="center"/>
    </xf>
    <xf numFmtId="165" fontId="12" fillId="12" borderId="60" xfId="10" applyNumberFormat="1" applyFont="1" applyFill="1" applyBorder="1" applyAlignment="1" applyProtection="1">
      <alignment horizontal="center" vertical="center"/>
    </xf>
    <xf numFmtId="0" fontId="12" fillId="7" borderId="94" xfId="10" applyFont="1" applyFill="1" applyBorder="1" applyAlignment="1" applyProtection="1">
      <alignment horizontal="left" vertical="center"/>
    </xf>
    <xf numFmtId="171" fontId="19" fillId="7" borderId="182" xfId="10" applyNumberFormat="1" applyFont="1" applyFill="1" applyBorder="1" applyAlignment="1" applyProtection="1">
      <alignment horizontal="left" vertical="center"/>
    </xf>
    <xf numFmtId="171" fontId="19" fillId="7" borderId="183" xfId="10" applyNumberFormat="1" applyFont="1" applyFill="1" applyBorder="1" applyAlignment="1" applyProtection="1">
      <alignment horizontal="left" vertical="center"/>
    </xf>
    <xf numFmtId="1" fontId="12" fillId="12" borderId="234" xfId="10" applyNumberFormat="1" applyFont="1" applyFill="1" applyBorder="1" applyAlignment="1" applyProtection="1">
      <alignment horizontal="center" vertical="center"/>
    </xf>
    <xf numFmtId="1" fontId="12" fillId="12" borderId="131" xfId="10" applyNumberFormat="1" applyFont="1" applyFill="1" applyBorder="1" applyAlignment="1" applyProtection="1">
      <alignment horizontal="center" vertical="center"/>
    </xf>
    <xf numFmtId="0" fontId="11" fillId="0" borderId="643" xfId="10" applyFont="1" applyFill="1" applyBorder="1" applyAlignment="1" applyProtection="1">
      <alignment horizontal="center" vertical="center"/>
    </xf>
    <xf numFmtId="0" fontId="11" fillId="0" borderId="274" xfId="10" applyFont="1" applyFill="1" applyBorder="1" applyAlignment="1" applyProtection="1">
      <alignment horizontal="center" vertical="center"/>
    </xf>
    <xf numFmtId="0" fontId="11" fillId="0" borderId="312" xfId="10" applyFont="1" applyFill="1" applyBorder="1" applyAlignment="1" applyProtection="1">
      <alignment horizontal="center" vertical="center"/>
    </xf>
    <xf numFmtId="0" fontId="12" fillId="12" borderId="22" xfId="10" applyFont="1" applyFill="1" applyBorder="1" applyAlignment="1" applyProtection="1">
      <alignment horizontal="center" vertical="center"/>
    </xf>
    <xf numFmtId="0" fontId="12" fillId="12" borderId="652" xfId="10" applyFont="1" applyFill="1" applyBorder="1" applyAlignment="1" applyProtection="1">
      <alignment horizontal="center" vertical="center"/>
    </xf>
    <xf numFmtId="0" fontId="12" fillId="12" borderId="647" xfId="10" applyFont="1" applyFill="1" applyBorder="1" applyAlignment="1" applyProtection="1">
      <alignment horizontal="center" vertical="center"/>
    </xf>
    <xf numFmtId="1" fontId="12" fillId="12" borderId="226" xfId="10" applyNumberFormat="1" applyFont="1" applyFill="1" applyBorder="1" applyAlignment="1" applyProtection="1">
      <alignment horizontal="center" vertical="center"/>
    </xf>
    <xf numFmtId="1" fontId="12" fillId="12" borderId="227" xfId="10" applyNumberFormat="1" applyFont="1" applyFill="1" applyBorder="1" applyAlignment="1" applyProtection="1">
      <alignment horizontal="center" vertical="center"/>
    </xf>
    <xf numFmtId="1" fontId="12" fillId="12" borderId="644" xfId="10" applyNumberFormat="1" applyFont="1" applyFill="1" applyBorder="1" applyAlignment="1" applyProtection="1">
      <alignment horizontal="center" vertical="center"/>
    </xf>
    <xf numFmtId="1" fontId="12" fillId="12" borderId="648" xfId="10" applyNumberFormat="1" applyFont="1" applyFill="1" applyBorder="1" applyAlignment="1" applyProtection="1">
      <alignment horizontal="center" vertical="center"/>
    </xf>
    <xf numFmtId="1" fontId="12" fillId="12" borderId="228" xfId="10" applyNumberFormat="1" applyFont="1" applyFill="1" applyBorder="1" applyAlignment="1" applyProtection="1">
      <alignment horizontal="center" vertical="center"/>
    </xf>
    <xf numFmtId="3" fontId="11" fillId="12" borderId="320" xfId="10" applyNumberFormat="1" applyFont="1" applyFill="1" applyBorder="1" applyAlignment="1" applyProtection="1">
      <alignment horizontal="center" vertical="center"/>
    </xf>
    <xf numFmtId="3" fontId="11" fillId="12" borderId="649" xfId="10" applyNumberFormat="1" applyFont="1" applyFill="1" applyBorder="1" applyAlignment="1" applyProtection="1">
      <alignment horizontal="center" vertical="center"/>
    </xf>
    <xf numFmtId="0" fontId="11" fillId="10" borderId="260" xfId="0" applyFont="1" applyFill="1" applyBorder="1" applyAlignment="1" applyProtection="1">
      <alignment vertical="center"/>
    </xf>
    <xf numFmtId="0" fontId="12" fillId="10" borderId="261" xfId="10" applyFont="1" applyFill="1" applyBorder="1" applyAlignment="1" applyProtection="1">
      <alignment horizontal="center" vertical="center"/>
    </xf>
    <xf numFmtId="0" fontId="11" fillId="10" borderId="261" xfId="10" applyFont="1" applyFill="1" applyBorder="1" applyAlignment="1" applyProtection="1">
      <alignment vertical="center"/>
    </xf>
    <xf numFmtId="1" fontId="11" fillId="10" borderId="262" xfId="10" applyNumberFormat="1" applyFont="1" applyFill="1" applyBorder="1" applyAlignment="1" applyProtection="1">
      <alignment horizontal="center" vertical="center"/>
    </xf>
    <xf numFmtId="1" fontId="11" fillId="10" borderId="263" xfId="10" applyNumberFormat="1" applyFont="1" applyFill="1" applyBorder="1" applyAlignment="1" applyProtection="1">
      <alignment horizontal="center" vertical="center"/>
    </xf>
    <xf numFmtId="1" fontId="11" fillId="10" borderId="645" xfId="10" applyNumberFormat="1" applyFont="1" applyFill="1" applyBorder="1" applyAlignment="1" applyProtection="1">
      <alignment horizontal="center" vertical="center"/>
    </xf>
    <xf numFmtId="1" fontId="11" fillId="10" borderId="650" xfId="10" applyNumberFormat="1" applyFont="1" applyFill="1" applyBorder="1" applyAlignment="1" applyProtection="1">
      <alignment horizontal="center" vertical="center"/>
    </xf>
    <xf numFmtId="1" fontId="11" fillId="10" borderId="264" xfId="10" applyNumberFormat="1" applyFont="1" applyFill="1" applyBorder="1" applyAlignment="1" applyProtection="1">
      <alignment horizontal="center" vertical="center"/>
    </xf>
    <xf numFmtId="1" fontId="11" fillId="10" borderId="261" xfId="10" applyNumberFormat="1" applyFont="1" applyFill="1" applyBorder="1" applyAlignment="1" applyProtection="1">
      <alignment horizontal="center" vertical="center"/>
    </xf>
    <xf numFmtId="1" fontId="11" fillId="10" borderId="310" xfId="10" applyNumberFormat="1" applyFont="1" applyFill="1" applyBorder="1" applyAlignment="1" applyProtection="1">
      <alignment horizontal="center" vertical="center"/>
    </xf>
    <xf numFmtId="1" fontId="12" fillId="12" borderId="265" xfId="10" applyNumberFormat="1" applyFont="1" applyFill="1" applyBorder="1" applyAlignment="1" applyProtection="1">
      <alignment horizontal="center" vertical="center"/>
    </xf>
    <xf numFmtId="1" fontId="12" fillId="12" borderId="328" xfId="10" applyNumberFormat="1" applyFont="1" applyFill="1" applyBorder="1" applyAlignment="1" applyProtection="1">
      <alignment horizontal="center" vertical="center"/>
    </xf>
    <xf numFmtId="1" fontId="12" fillId="12" borderId="613" xfId="10" applyNumberFormat="1" applyFont="1" applyFill="1" applyBorder="1" applyAlignment="1" applyProtection="1">
      <alignment horizontal="center" vertical="center"/>
    </xf>
    <xf numFmtId="1" fontId="12" fillId="12" borderId="646" xfId="10" applyNumberFormat="1" applyFont="1" applyFill="1" applyBorder="1" applyAlignment="1" applyProtection="1">
      <alignment horizontal="center" vertical="center"/>
    </xf>
    <xf numFmtId="1" fontId="12" fillId="12" borderId="651" xfId="10" applyNumberFormat="1" applyFont="1" applyFill="1" applyBorder="1" applyAlignment="1" applyProtection="1">
      <alignment horizontal="center" vertical="center"/>
    </xf>
    <xf numFmtId="0" fontId="12" fillId="7" borderId="21" xfId="10" applyFont="1" applyFill="1" applyBorder="1" applyAlignment="1" applyProtection="1">
      <alignment horizontal="left" vertical="center"/>
    </xf>
    <xf numFmtId="171" fontId="19" fillId="7" borderId="137" xfId="10" applyNumberFormat="1" applyFont="1" applyFill="1" applyBorder="1" applyAlignment="1" applyProtection="1">
      <alignment horizontal="left" vertical="center"/>
    </xf>
    <xf numFmtId="171" fontId="19" fillId="7" borderId="134" xfId="10" applyNumberFormat="1" applyFont="1" applyFill="1" applyBorder="1" applyAlignment="1" applyProtection="1">
      <alignment horizontal="left" vertical="center"/>
    </xf>
    <xf numFmtId="0" fontId="11" fillId="0" borderId="309" xfId="10" applyFont="1" applyFill="1" applyBorder="1" applyAlignment="1" applyProtection="1">
      <alignment horizontal="center" vertical="center"/>
    </xf>
    <xf numFmtId="0" fontId="11" fillId="0" borderId="311" xfId="10" applyFont="1" applyFill="1" applyBorder="1" applyAlignment="1" applyProtection="1">
      <alignment horizontal="center" vertical="center"/>
    </xf>
    <xf numFmtId="0" fontId="11" fillId="0" borderId="604" xfId="10" applyFont="1" applyFill="1" applyBorder="1" applyAlignment="1" applyProtection="1">
      <alignment horizontal="center" vertical="center"/>
    </xf>
    <xf numFmtId="0" fontId="12" fillId="12" borderId="616" xfId="10" applyFont="1" applyFill="1" applyBorder="1" applyAlignment="1" applyProtection="1">
      <alignment horizontal="center" vertical="center"/>
    </xf>
    <xf numFmtId="0" fontId="12" fillId="0" borderId="131" xfId="10" applyFont="1" applyFill="1" applyBorder="1" applyAlignment="1" applyProtection="1">
      <alignment horizontal="center" vertical="center"/>
    </xf>
    <xf numFmtId="0" fontId="11" fillId="0" borderId="288" xfId="10" applyFont="1" applyFill="1" applyBorder="1" applyAlignment="1" applyProtection="1">
      <alignment horizontal="center" vertical="center"/>
    </xf>
    <xf numFmtId="0" fontId="12" fillId="12" borderId="319" xfId="10" applyFont="1" applyFill="1" applyBorder="1" applyAlignment="1" applyProtection="1">
      <alignment horizontal="center" vertical="center"/>
    </xf>
    <xf numFmtId="1" fontId="12" fillId="12" borderId="605" xfId="10" applyNumberFormat="1" applyFont="1" applyFill="1" applyBorder="1" applyAlignment="1" applyProtection="1">
      <alignment horizontal="center" vertical="center"/>
    </xf>
    <xf numFmtId="1" fontId="12" fillId="12" borderId="606" xfId="10" applyNumberFormat="1" applyFont="1" applyFill="1" applyBorder="1" applyAlignment="1" applyProtection="1">
      <alignment horizontal="center" vertical="center"/>
    </xf>
    <xf numFmtId="1" fontId="12" fillId="12" borderId="506" xfId="10" applyNumberFormat="1" applyFont="1" applyFill="1" applyBorder="1" applyAlignment="1" applyProtection="1">
      <alignment horizontal="center" vertical="center"/>
    </xf>
    <xf numFmtId="3" fontId="11" fillId="0" borderId="607" xfId="10" applyNumberFormat="1" applyFont="1" applyFill="1" applyBorder="1" applyAlignment="1" applyProtection="1">
      <alignment horizontal="center" vertical="center"/>
    </xf>
    <xf numFmtId="3" fontId="11" fillId="12" borderId="608" xfId="10" applyNumberFormat="1" applyFont="1" applyFill="1" applyBorder="1" applyAlignment="1" applyProtection="1">
      <alignment horizontal="center" vertical="center"/>
    </xf>
    <xf numFmtId="3" fontId="11" fillId="12" borderId="559" xfId="10" applyNumberFormat="1" applyFont="1" applyFill="1" applyBorder="1" applyAlignment="1" applyProtection="1">
      <alignment horizontal="center" vertical="center"/>
    </xf>
    <xf numFmtId="0" fontId="12" fillId="12" borderId="31" xfId="10" applyFont="1" applyFill="1" applyBorder="1" applyAlignment="1" applyProtection="1">
      <alignment horizontal="center" vertical="center"/>
    </xf>
    <xf numFmtId="1" fontId="11" fillId="10" borderId="609" xfId="10" applyNumberFormat="1" applyFont="1" applyFill="1" applyBorder="1" applyAlignment="1" applyProtection="1">
      <alignment horizontal="center" vertical="center"/>
    </xf>
    <xf numFmtId="1" fontId="11" fillId="10" borderId="610" xfId="10" applyNumberFormat="1" applyFont="1" applyFill="1" applyBorder="1" applyAlignment="1" applyProtection="1">
      <alignment horizontal="center" vertical="center"/>
    </xf>
    <xf numFmtId="1" fontId="11" fillId="10" borderId="619" xfId="10" applyNumberFormat="1" applyFont="1" applyFill="1" applyBorder="1" applyAlignment="1" applyProtection="1">
      <alignment horizontal="center" vertical="center"/>
    </xf>
    <xf numFmtId="1" fontId="12" fillId="12" borderId="617" xfId="10" applyNumberFormat="1" applyFont="1" applyFill="1" applyBorder="1" applyAlignment="1" applyProtection="1">
      <alignment horizontal="center" vertical="center"/>
    </xf>
    <xf numFmtId="1" fontId="12" fillId="12" borderId="611" xfId="10" applyNumberFormat="1" applyFont="1" applyFill="1" applyBorder="1" applyAlignment="1" applyProtection="1">
      <alignment horizontal="center" vertical="center"/>
    </xf>
    <xf numFmtId="1" fontId="12" fillId="12" borderId="612" xfId="10" applyNumberFormat="1" applyFont="1" applyFill="1" applyBorder="1" applyAlignment="1" applyProtection="1">
      <alignment horizontal="center" vertical="center"/>
    </xf>
    <xf numFmtId="1" fontId="12" fillId="12" borderId="509" xfId="10" applyNumberFormat="1" applyFont="1" applyFill="1" applyBorder="1" applyAlignment="1" applyProtection="1">
      <alignment horizontal="center" vertical="center"/>
    </xf>
    <xf numFmtId="1" fontId="12" fillId="12" borderId="614" xfId="10" applyNumberFormat="1" applyFont="1" applyFill="1" applyBorder="1" applyAlignment="1" applyProtection="1">
      <alignment horizontal="center" vertical="center"/>
    </xf>
    <xf numFmtId="1" fontId="12" fillId="12" borderId="615" xfId="10" applyNumberFormat="1" applyFont="1" applyFill="1" applyBorder="1" applyAlignment="1" applyProtection="1">
      <alignment horizontal="center" vertical="center"/>
    </xf>
    <xf numFmtId="1" fontId="12" fillId="12" borderId="510" xfId="10" applyNumberFormat="1" applyFont="1" applyFill="1" applyBorder="1" applyAlignment="1" applyProtection="1">
      <alignment horizontal="center" vertical="center"/>
    </xf>
    <xf numFmtId="0" fontId="12" fillId="12" borderId="0" xfId="10" applyFont="1" applyFill="1" applyAlignment="1" applyProtection="1">
      <alignment horizontal="center" vertical="center"/>
    </xf>
    <xf numFmtId="0" fontId="11" fillId="17" borderId="23" xfId="10" applyFont="1" applyFill="1" applyBorder="1" applyAlignment="1" applyProtection="1">
      <alignment vertical="center"/>
    </xf>
    <xf numFmtId="1" fontId="11" fillId="17" borderId="45" xfId="10" applyNumberFormat="1" applyFont="1" applyFill="1" applyBorder="1" applyAlignment="1" applyProtection="1">
      <alignment horizontal="left" vertical="center"/>
    </xf>
    <xf numFmtId="1" fontId="11" fillId="17" borderId="45" xfId="10" applyNumberFormat="1" applyFont="1" applyFill="1" applyBorder="1" applyAlignment="1" applyProtection="1">
      <alignment horizontal="center" vertical="center"/>
    </xf>
    <xf numFmtId="1" fontId="11" fillId="17" borderId="24" xfId="10" applyNumberFormat="1" applyFont="1" applyFill="1" applyBorder="1" applyAlignment="1" applyProtection="1">
      <alignment horizontal="center" vertical="center"/>
    </xf>
    <xf numFmtId="0" fontId="12" fillId="10" borderId="316" xfId="10" applyFont="1" applyFill="1" applyBorder="1" applyAlignment="1" applyProtection="1">
      <alignment vertical="center"/>
    </xf>
    <xf numFmtId="0" fontId="11" fillId="10" borderId="317" xfId="10" applyNumberFormat="1" applyFont="1" applyFill="1" applyBorder="1" applyAlignment="1" applyProtection="1">
      <alignment horizontal="center" vertical="center"/>
    </xf>
    <xf numFmtId="0" fontId="12" fillId="10" borderId="317" xfId="10" applyNumberFormat="1" applyFont="1" applyFill="1" applyBorder="1" applyAlignment="1" applyProtection="1">
      <alignment vertical="center"/>
    </xf>
    <xf numFmtId="0" fontId="11" fillId="10" borderId="11" xfId="10" applyNumberFormat="1" applyFont="1" applyFill="1" applyBorder="1" applyAlignment="1" applyProtection="1">
      <alignment horizontal="center" vertical="center"/>
    </xf>
    <xf numFmtId="0" fontId="11" fillId="0" borderId="24" xfId="10" applyFont="1" applyFill="1" applyBorder="1" applyAlignment="1" applyProtection="1">
      <alignment horizontal="center" vertical="center"/>
    </xf>
    <xf numFmtId="3" fontId="9" fillId="0" borderId="2" xfId="12" applyNumberFormat="1" applyFill="1" applyBorder="1" applyAlignment="1" applyProtection="1">
      <alignment horizontal="center" vertical="center"/>
    </xf>
    <xf numFmtId="1" fontId="12" fillId="12" borderId="235" xfId="10" applyNumberFormat="1" applyFont="1" applyFill="1" applyBorder="1" applyAlignment="1" applyProtection="1">
      <alignment horizontal="center" vertical="center"/>
    </xf>
    <xf numFmtId="1" fontId="12" fillId="12" borderId="236" xfId="10" applyNumberFormat="1" applyFont="1" applyFill="1" applyBorder="1" applyAlignment="1" applyProtection="1">
      <alignment horizontal="center" vertical="center"/>
    </xf>
    <xf numFmtId="0" fontId="11" fillId="12" borderId="31" xfId="10" applyFont="1" applyFill="1" applyBorder="1" applyAlignment="1" applyProtection="1">
      <alignment vertical="center"/>
    </xf>
    <xf numFmtId="1" fontId="12" fillId="10" borderId="21" xfId="10" applyNumberFormat="1" applyFont="1" applyFill="1" applyBorder="1" applyAlignment="1" applyProtection="1">
      <alignment horizontal="center" vertical="center"/>
    </xf>
    <xf numFmtId="1" fontId="12" fillId="10" borderId="22" xfId="10" applyNumberFormat="1" applyFont="1" applyFill="1" applyBorder="1" applyAlignment="1" applyProtection="1">
      <alignment horizontal="center" vertical="center"/>
    </xf>
    <xf numFmtId="0" fontId="11" fillId="12" borderId="314" xfId="10" applyFont="1" applyFill="1" applyBorder="1" applyAlignment="1" applyProtection="1">
      <alignment vertical="center"/>
    </xf>
    <xf numFmtId="1" fontId="12" fillId="12" borderId="315" xfId="10" applyNumberFormat="1" applyFont="1" applyFill="1" applyBorder="1" applyAlignment="1" applyProtection="1">
      <alignment horizontal="center" vertical="center"/>
    </xf>
    <xf numFmtId="9" fontId="12" fillId="12" borderId="279" xfId="7" applyFont="1" applyFill="1" applyBorder="1" applyAlignment="1" applyProtection="1">
      <alignment horizontal="center" vertical="center"/>
    </xf>
    <xf numFmtId="0" fontId="12" fillId="0" borderId="279" xfId="10" applyFont="1" applyFill="1" applyBorder="1" applyAlignment="1" applyProtection="1">
      <alignment horizontal="center" vertical="center"/>
    </xf>
    <xf numFmtId="0" fontId="12" fillId="0" borderId="229" xfId="10" applyFont="1" applyFill="1" applyBorder="1" applyAlignment="1" applyProtection="1">
      <alignment horizontal="center" vertical="center"/>
    </xf>
    <xf numFmtId="0" fontId="11" fillId="10" borderId="15" xfId="0" applyFont="1" applyFill="1" applyBorder="1" applyAlignment="1" applyProtection="1">
      <alignment vertical="center"/>
    </xf>
    <xf numFmtId="0" fontId="11" fillId="10" borderId="21" xfId="10" applyFont="1" applyFill="1" applyBorder="1" applyAlignment="1" applyProtection="1">
      <alignment horizontal="center" vertical="center"/>
    </xf>
    <xf numFmtId="0" fontId="11" fillId="10" borderId="21" xfId="10" applyFont="1" applyFill="1" applyBorder="1" applyAlignment="1" applyProtection="1">
      <alignment vertical="center"/>
    </xf>
    <xf numFmtId="3" fontId="11" fillId="0" borderId="232" xfId="10" applyNumberFormat="1" applyFont="1" applyFill="1" applyBorder="1" applyAlignment="1" applyProtection="1">
      <alignment horizontal="center" vertical="center"/>
    </xf>
    <xf numFmtId="3" fontId="11" fillId="12" borderId="233" xfId="10" applyNumberFormat="1" applyFont="1" applyFill="1" applyBorder="1" applyAlignment="1" applyProtection="1">
      <alignment horizontal="center" vertical="center"/>
    </xf>
    <xf numFmtId="3" fontId="11" fillId="12" borderId="234" xfId="10" applyNumberFormat="1" applyFont="1" applyFill="1" applyBorder="1" applyAlignment="1" applyProtection="1">
      <alignment horizontal="center" vertical="center"/>
    </xf>
    <xf numFmtId="0" fontId="11" fillId="10" borderId="132" xfId="0" applyFont="1" applyFill="1" applyBorder="1" applyAlignment="1" applyProtection="1">
      <alignment vertical="center"/>
    </xf>
    <xf numFmtId="0" fontId="12" fillId="10" borderId="133" xfId="10" applyFont="1" applyFill="1" applyBorder="1" applyAlignment="1" applyProtection="1">
      <alignment horizontal="center" vertical="center"/>
    </xf>
    <xf numFmtId="0" fontId="11" fillId="10" borderId="133" xfId="10" applyFont="1" applyFill="1" applyBorder="1" applyAlignment="1" applyProtection="1">
      <alignment vertical="center"/>
    </xf>
    <xf numFmtId="1" fontId="12" fillId="10" borderId="313" xfId="10" applyNumberFormat="1" applyFont="1" applyFill="1" applyBorder="1" applyAlignment="1" applyProtection="1">
      <alignment horizontal="center" vertical="center"/>
    </xf>
    <xf numFmtId="1" fontId="12" fillId="10" borderId="285" xfId="10" applyNumberFormat="1" applyFont="1" applyFill="1" applyBorder="1" applyAlignment="1" applyProtection="1">
      <alignment horizontal="center" vertical="center"/>
    </xf>
    <xf numFmtId="1" fontId="12" fillId="10" borderId="327" xfId="10" applyNumberFormat="1" applyFont="1" applyFill="1" applyBorder="1" applyAlignment="1" applyProtection="1">
      <alignment horizontal="center" vertical="center"/>
    </xf>
    <xf numFmtId="165" fontId="11" fillId="10" borderId="0" xfId="10" applyNumberFormat="1" applyFont="1" applyFill="1" applyAlignment="1" applyProtection="1">
      <alignment horizontal="center" vertical="center"/>
    </xf>
    <xf numFmtId="1" fontId="12" fillId="0" borderId="283" xfId="10" applyNumberFormat="1" applyFont="1" applyFill="1" applyBorder="1" applyAlignment="1" applyProtection="1">
      <alignment horizontal="center" vertical="center"/>
    </xf>
    <xf numFmtId="0" fontId="11" fillId="12" borderId="9" xfId="10" applyFont="1" applyFill="1" applyBorder="1" applyAlignment="1" applyProtection="1">
      <alignment horizontal="center" vertical="center"/>
    </xf>
    <xf numFmtId="37" fontId="12" fillId="0" borderId="235" xfId="10" applyNumberFormat="1" applyFont="1" applyFill="1" applyBorder="1" applyAlignment="1" applyProtection="1">
      <alignment horizontal="center" vertical="center"/>
    </xf>
    <xf numFmtId="1" fontId="12" fillId="12" borderId="320" xfId="10" applyNumberFormat="1" applyFont="1" applyFill="1" applyBorder="1" applyAlignment="1" applyProtection="1">
      <alignment horizontal="center" vertical="center"/>
    </xf>
    <xf numFmtId="1" fontId="31" fillId="12" borderId="239" xfId="10" applyNumberFormat="1" applyFont="1" applyFill="1" applyBorder="1" applyAlignment="1" applyProtection="1">
      <alignment horizontal="center" vertical="center"/>
    </xf>
    <xf numFmtId="1" fontId="12" fillId="12" borderId="241" xfId="10" applyNumberFormat="1" applyFont="1" applyFill="1" applyBorder="1" applyAlignment="1" applyProtection="1">
      <alignment horizontal="center" vertical="center"/>
    </xf>
    <xf numFmtId="1" fontId="12" fillId="12" borderId="242" xfId="10" applyNumberFormat="1" applyFont="1" applyFill="1" applyBorder="1" applyAlignment="1" applyProtection="1">
      <alignment horizontal="center" vertical="center"/>
    </xf>
    <xf numFmtId="0" fontId="11" fillId="12" borderId="18" xfId="10" applyFont="1" applyFill="1" applyBorder="1" applyAlignment="1" applyProtection="1">
      <alignment vertical="center"/>
    </xf>
    <xf numFmtId="1" fontId="11" fillId="12" borderId="2" xfId="10" applyNumberFormat="1" applyFont="1" applyFill="1" applyBorder="1" applyAlignment="1" applyProtection="1">
      <alignment horizontal="center" vertical="center"/>
    </xf>
    <xf numFmtId="1" fontId="11" fillId="12" borderId="31" xfId="10" applyNumberFormat="1" applyFont="1" applyFill="1" applyBorder="1" applyAlignment="1" applyProtection="1">
      <alignment horizontal="center" vertical="center"/>
    </xf>
    <xf numFmtId="1" fontId="12" fillId="10" borderId="40" xfId="10" applyNumberFormat="1" applyFont="1" applyFill="1" applyBorder="1" applyAlignment="1" applyProtection="1">
      <alignment horizontal="center" vertical="center"/>
    </xf>
    <xf numFmtId="9" fontId="12" fillId="12" borderId="323" xfId="7" applyFont="1" applyFill="1" applyBorder="1" applyAlignment="1" applyProtection="1">
      <alignment horizontal="center" vertical="center"/>
    </xf>
    <xf numFmtId="0" fontId="12" fillId="0" borderId="324" xfId="10" applyFont="1" applyFill="1" applyBorder="1" applyAlignment="1" applyProtection="1">
      <alignment horizontal="center" vertical="center"/>
    </xf>
    <xf numFmtId="1" fontId="11" fillId="12" borderId="290" xfId="10" applyNumberFormat="1" applyFont="1" applyFill="1" applyBorder="1" applyAlignment="1" applyProtection="1">
      <alignment horizontal="center" vertical="center"/>
    </xf>
    <xf numFmtId="1" fontId="11" fillId="12" borderId="291" xfId="10" applyNumberFormat="1" applyFont="1" applyFill="1" applyBorder="1" applyAlignment="1" applyProtection="1">
      <alignment horizontal="center" vertical="center"/>
    </xf>
    <xf numFmtId="1" fontId="11" fillId="12" borderId="321" xfId="10" applyNumberFormat="1" applyFont="1" applyFill="1" applyBorder="1" applyAlignment="1" applyProtection="1">
      <alignment horizontal="center" vertical="center"/>
    </xf>
    <xf numFmtId="0" fontId="12" fillId="12" borderId="130" xfId="10" applyFont="1" applyFill="1" applyBorder="1" applyAlignment="1" applyProtection="1">
      <alignment horizontal="center" vertical="center"/>
    </xf>
    <xf numFmtId="0" fontId="11" fillId="12" borderId="20" xfId="10" applyFont="1" applyFill="1" applyBorder="1" applyAlignment="1" applyProtection="1">
      <alignment vertical="center"/>
    </xf>
    <xf numFmtId="165" fontId="11" fillId="0" borderId="0" xfId="10" applyNumberFormat="1" applyFont="1" applyFill="1" applyAlignment="1" applyProtection="1">
      <alignment horizontal="center" vertical="center"/>
    </xf>
    <xf numFmtId="0" fontId="12" fillId="0" borderId="0" xfId="0" applyFont="1" applyFill="1" applyAlignment="1" applyProtection="1">
      <alignment vertical="center"/>
    </xf>
    <xf numFmtId="171" fontId="19" fillId="7" borderId="40" xfId="10" applyNumberFormat="1" applyFont="1" applyFill="1" applyBorder="1" applyAlignment="1" applyProtection="1">
      <alignment horizontal="left" vertical="center"/>
    </xf>
    <xf numFmtId="0" fontId="12" fillId="7" borderId="0" xfId="0" applyFont="1" applyFill="1" applyAlignment="1" applyProtection="1">
      <alignment vertical="center"/>
    </xf>
    <xf numFmtId="0" fontId="12" fillId="7" borderId="0" xfId="10" applyFont="1" applyFill="1" applyAlignment="1" applyProtection="1">
      <alignment vertical="center"/>
    </xf>
    <xf numFmtId="171" fontId="19" fillId="7" borderId="148" xfId="10" applyNumberFormat="1" applyFont="1" applyFill="1" applyBorder="1" applyAlignment="1" applyProtection="1">
      <alignment horizontal="left" vertical="center"/>
    </xf>
    <xf numFmtId="1" fontId="12" fillId="12" borderId="333" xfId="10" applyNumberFormat="1" applyFont="1" applyFill="1" applyBorder="1" applyAlignment="1" applyProtection="1">
      <alignment horizontal="center" vertical="center"/>
    </xf>
    <xf numFmtId="1" fontId="12" fillId="12" borderId="257" xfId="10" applyNumberFormat="1" applyFont="1" applyFill="1" applyBorder="1" applyAlignment="1" applyProtection="1">
      <alignment horizontal="center" vertical="center"/>
    </xf>
    <xf numFmtId="1" fontId="12" fillId="12" borderId="258" xfId="10" applyNumberFormat="1" applyFont="1" applyFill="1" applyBorder="1" applyAlignment="1" applyProtection="1">
      <alignment horizontal="center" vertical="center"/>
    </xf>
    <xf numFmtId="9" fontId="12" fillId="12" borderId="336" xfId="7" applyFont="1" applyFill="1" applyBorder="1" applyAlignment="1" applyProtection="1">
      <alignment horizontal="center" vertical="center"/>
    </xf>
    <xf numFmtId="0" fontId="12" fillId="0" borderId="337" xfId="10" applyFont="1" applyFill="1" applyBorder="1" applyAlignment="1" applyProtection="1">
      <alignment horizontal="center" vertical="center"/>
    </xf>
    <xf numFmtId="1" fontId="12" fillId="12" borderId="339" xfId="10" applyNumberFormat="1" applyFont="1" applyFill="1" applyBorder="1" applyAlignment="1" applyProtection="1">
      <alignment horizontal="center" vertical="center"/>
    </xf>
    <xf numFmtId="1" fontId="12" fillId="12" borderId="340" xfId="10" applyNumberFormat="1" applyFont="1" applyFill="1" applyBorder="1" applyAlignment="1" applyProtection="1">
      <alignment horizontal="center" vertical="center"/>
    </xf>
    <xf numFmtId="1" fontId="12" fillId="12" borderId="2" xfId="10" applyNumberFormat="1" applyFont="1" applyFill="1" applyBorder="1" applyAlignment="1" applyProtection="1">
      <alignment horizontal="center" vertical="center"/>
    </xf>
    <xf numFmtId="0" fontId="11" fillId="10" borderId="46" xfId="0" applyFont="1" applyFill="1" applyBorder="1" applyAlignment="1" applyProtection="1">
      <alignment vertical="center"/>
    </xf>
    <xf numFmtId="0" fontId="11" fillId="10" borderId="20" xfId="10" applyFont="1" applyFill="1" applyBorder="1" applyAlignment="1" applyProtection="1">
      <alignment horizontal="center" vertical="center"/>
    </xf>
    <xf numFmtId="3" fontId="11" fillId="0" borderId="226" xfId="10" applyNumberFormat="1" applyFont="1" applyFill="1" applyBorder="1" applyAlignment="1" applyProtection="1">
      <alignment horizontal="center" vertical="center"/>
    </xf>
    <xf numFmtId="0" fontId="12" fillId="12" borderId="50" xfId="10" applyFont="1" applyFill="1" applyBorder="1" applyAlignment="1" applyProtection="1">
      <alignment horizontal="center" vertical="center"/>
    </xf>
    <xf numFmtId="0" fontId="11" fillId="10" borderId="238" xfId="0" applyFont="1" applyFill="1" applyBorder="1" applyAlignment="1" applyProtection="1">
      <alignment vertical="center"/>
    </xf>
    <xf numFmtId="0" fontId="12" fillId="10" borderId="239" xfId="10" applyFont="1" applyFill="1" applyBorder="1" applyAlignment="1" applyProtection="1">
      <alignment horizontal="center" vertical="center"/>
    </xf>
    <xf numFmtId="0" fontId="11" fillId="10" borderId="239" xfId="10" applyFont="1" applyFill="1" applyBorder="1" applyAlignment="1" applyProtection="1">
      <alignment vertical="center"/>
    </xf>
    <xf numFmtId="1" fontId="11" fillId="10" borderId="332" xfId="10" applyNumberFormat="1" applyFont="1" applyFill="1" applyBorder="1" applyAlignment="1" applyProtection="1">
      <alignment horizontal="center" vertical="center"/>
    </xf>
    <xf numFmtId="1" fontId="11" fillId="10" borderId="241" xfId="10" applyNumberFormat="1" applyFont="1" applyFill="1" applyBorder="1" applyAlignment="1" applyProtection="1">
      <alignment horizontal="center" vertical="center"/>
    </xf>
    <xf numFmtId="1" fontId="11" fillId="10" borderId="242" xfId="10" applyNumberFormat="1" applyFont="1" applyFill="1" applyBorder="1" applyAlignment="1" applyProtection="1">
      <alignment horizontal="center" vertical="center"/>
    </xf>
    <xf numFmtId="1" fontId="12" fillId="12" borderId="325" xfId="10" applyNumberFormat="1" applyFont="1" applyFill="1" applyBorder="1" applyAlignment="1" applyProtection="1">
      <alignment horizontal="center" vertical="center"/>
    </xf>
    <xf numFmtId="0" fontId="12" fillId="0" borderId="239" xfId="10" applyFont="1" applyFill="1" applyBorder="1" applyAlignment="1" applyProtection="1">
      <alignment horizontal="left" vertical="center"/>
    </xf>
    <xf numFmtId="1" fontId="12" fillId="12" borderId="325" xfId="10" applyNumberFormat="1" applyFont="1" applyFill="1" applyBorder="1" applyAlignment="1" applyProtection="1">
      <alignment horizontal="left" vertical="center"/>
    </xf>
    <xf numFmtId="0" fontId="12" fillId="0" borderId="59" xfId="10" applyFont="1" applyFill="1" applyBorder="1" applyAlignment="1" applyProtection="1">
      <alignment horizontal="left" vertical="center"/>
    </xf>
    <xf numFmtId="1" fontId="12" fillId="12" borderId="256" xfId="10" applyNumberFormat="1" applyFont="1" applyFill="1" applyBorder="1" applyAlignment="1" applyProtection="1">
      <alignment horizontal="center" vertical="center"/>
    </xf>
    <xf numFmtId="9" fontId="12" fillId="0" borderId="0" xfId="7" applyFont="1" applyFill="1" applyBorder="1" applyAlignment="1" applyProtection="1">
      <alignment horizontal="center" vertical="center"/>
    </xf>
    <xf numFmtId="0" fontId="12" fillId="12" borderId="617" xfId="10" applyFont="1" applyFill="1" applyBorder="1" applyAlignment="1" applyProtection="1">
      <alignment horizontal="center" vertical="center"/>
    </xf>
    <xf numFmtId="0" fontId="12" fillId="12" borderId="326" xfId="10" applyFont="1" applyFill="1" applyBorder="1" applyAlignment="1" applyProtection="1">
      <alignment horizontal="center" vertical="center"/>
    </xf>
    <xf numFmtId="0" fontId="12" fillId="10" borderId="0" xfId="10" applyFont="1" applyFill="1" applyBorder="1" applyAlignment="1" applyProtection="1">
      <alignment horizontal="center" vertical="center"/>
    </xf>
    <xf numFmtId="0" fontId="11" fillId="10" borderId="43" xfId="10" applyFont="1" applyFill="1" applyBorder="1" applyAlignment="1" applyProtection="1">
      <alignment vertical="center"/>
    </xf>
    <xf numFmtId="1" fontId="11" fillId="10" borderId="326" xfId="10" applyNumberFormat="1" applyFont="1" applyFill="1" applyBorder="1" applyAlignment="1" applyProtection="1">
      <alignment horizontal="center" vertical="center"/>
    </xf>
    <xf numFmtId="1" fontId="11" fillId="10" borderId="230" xfId="10" applyNumberFormat="1" applyFont="1" applyFill="1" applyBorder="1" applyAlignment="1" applyProtection="1">
      <alignment horizontal="center" vertical="center"/>
    </xf>
    <xf numFmtId="1" fontId="11" fillId="10" borderId="231" xfId="10" applyNumberFormat="1" applyFont="1" applyFill="1" applyBorder="1" applyAlignment="1" applyProtection="1">
      <alignment horizontal="center" vertical="center"/>
    </xf>
    <xf numFmtId="0" fontId="12" fillId="0" borderId="255" xfId="10" applyFont="1" applyFill="1" applyBorder="1" applyAlignment="1" applyProtection="1">
      <alignment horizontal="left" vertical="center"/>
    </xf>
    <xf numFmtId="1" fontId="12" fillId="12" borderId="334" xfId="10" applyNumberFormat="1" applyFont="1" applyFill="1" applyBorder="1" applyAlignment="1" applyProtection="1">
      <alignment horizontal="left" vertical="center"/>
    </xf>
    <xf numFmtId="0" fontId="11" fillId="12" borderId="483" xfId="0" applyFont="1" applyFill="1" applyBorder="1" applyAlignment="1" applyProtection="1">
      <alignment vertical="center"/>
    </xf>
    <xf numFmtId="0" fontId="11" fillId="12" borderId="484" xfId="10" applyFont="1" applyFill="1" applyBorder="1" applyAlignment="1" applyProtection="1">
      <alignment horizontal="center" vertical="center"/>
    </xf>
    <xf numFmtId="0" fontId="11" fillId="12" borderId="484" xfId="10" applyFont="1" applyFill="1" applyBorder="1" applyAlignment="1" applyProtection="1">
      <alignment vertical="center"/>
    </xf>
    <xf numFmtId="0" fontId="11" fillId="12" borderId="653" xfId="10" applyFont="1" applyFill="1" applyBorder="1" applyAlignment="1" applyProtection="1">
      <alignment vertical="center"/>
    </xf>
    <xf numFmtId="1" fontId="11" fillId="12" borderId="654" xfId="10" applyNumberFormat="1" applyFont="1" applyFill="1" applyBorder="1" applyAlignment="1" applyProtection="1">
      <alignment horizontal="center" vertical="center"/>
    </xf>
    <xf numFmtId="1" fontId="11" fillId="12" borderId="655" xfId="10" applyNumberFormat="1" applyFont="1" applyFill="1" applyBorder="1" applyAlignment="1" applyProtection="1">
      <alignment horizontal="center" vertical="center"/>
    </xf>
    <xf numFmtId="1" fontId="11" fillId="12" borderId="656" xfId="10" applyNumberFormat="1" applyFont="1" applyFill="1" applyBorder="1" applyAlignment="1" applyProtection="1">
      <alignment horizontal="center" vertical="center"/>
    </xf>
    <xf numFmtId="9" fontId="12" fillId="12" borderId="281" xfId="7" applyFont="1" applyFill="1" applyBorder="1" applyAlignment="1" applyProtection="1">
      <alignment horizontal="center" vertical="center"/>
    </xf>
    <xf numFmtId="1" fontId="12" fillId="12" borderId="622" xfId="10" applyNumberFormat="1" applyFont="1" applyFill="1" applyBorder="1" applyAlignment="1" applyProtection="1">
      <alignment horizontal="center" vertical="center"/>
    </xf>
    <xf numFmtId="1" fontId="12" fillId="12" borderId="623" xfId="10" applyNumberFormat="1" applyFont="1" applyFill="1" applyBorder="1" applyAlignment="1" applyProtection="1">
      <alignment horizontal="center" vertical="center"/>
    </xf>
    <xf numFmtId="1" fontId="12" fillId="12" borderId="624" xfId="10" applyNumberFormat="1" applyFont="1" applyFill="1" applyBorder="1" applyAlignment="1" applyProtection="1">
      <alignment horizontal="center" vertical="center"/>
    </xf>
    <xf numFmtId="0" fontId="12" fillId="12" borderId="126" xfId="10" applyFont="1" applyFill="1" applyBorder="1" applyAlignment="1" applyProtection="1">
      <alignment vertical="center"/>
    </xf>
    <xf numFmtId="1" fontId="12" fillId="12" borderId="625" xfId="10" applyNumberFormat="1" applyFont="1" applyFill="1" applyBorder="1" applyAlignment="1" applyProtection="1">
      <alignment horizontal="center" vertical="center"/>
    </xf>
    <xf numFmtId="1" fontId="12" fillId="12" borderId="626" xfId="10" applyNumberFormat="1" applyFont="1" applyFill="1" applyBorder="1" applyAlignment="1" applyProtection="1">
      <alignment horizontal="center" vertical="center"/>
    </xf>
    <xf numFmtId="1" fontId="12" fillId="12" borderId="627" xfId="10" applyNumberFormat="1" applyFont="1" applyFill="1" applyBorder="1" applyAlignment="1" applyProtection="1">
      <alignment horizontal="center" vertical="center"/>
    </xf>
    <xf numFmtId="0" fontId="21" fillId="7" borderId="0" xfId="10" applyFont="1" applyFill="1" applyAlignment="1" applyProtection="1">
      <alignment vertical="center"/>
    </xf>
    <xf numFmtId="1" fontId="12" fillId="16" borderId="229" xfId="10" applyNumberFormat="1" applyFont="1" applyFill="1" applyBorder="1" applyAlignment="1" applyProtection="1">
      <alignment horizontal="center" vertical="center"/>
    </xf>
    <xf numFmtId="0" fontId="12" fillId="16" borderId="0" xfId="0" applyFont="1" applyFill="1" applyAlignment="1" applyProtection="1">
      <alignment vertical="center"/>
    </xf>
    <xf numFmtId="3" fontId="12" fillId="18" borderId="229" xfId="10" applyNumberFormat="1" applyFont="1" applyFill="1" applyBorder="1" applyAlignment="1" applyProtection="1">
      <alignment horizontal="center" vertical="center"/>
    </xf>
    <xf numFmtId="3" fontId="12" fillId="18" borderId="230" xfId="10" applyNumberFormat="1" applyFont="1" applyFill="1" applyBorder="1" applyAlignment="1" applyProtection="1">
      <alignment horizontal="center" vertical="center"/>
    </xf>
    <xf numFmtId="0" fontId="12" fillId="18" borderId="230" xfId="10" applyFont="1" applyFill="1" applyBorder="1" applyAlignment="1" applyProtection="1">
      <alignment horizontal="center" vertical="center"/>
    </xf>
    <xf numFmtId="0" fontId="12" fillId="18" borderId="231" xfId="10" applyFont="1" applyFill="1" applyBorder="1" applyAlignment="1" applyProtection="1">
      <alignment horizontal="center" vertical="center"/>
    </xf>
    <xf numFmtId="0" fontId="12" fillId="18" borderId="60" xfId="10" applyFont="1" applyFill="1" applyBorder="1" applyAlignment="1" applyProtection="1">
      <alignment horizontal="center" vertical="center"/>
    </xf>
    <xf numFmtId="0" fontId="12" fillId="18" borderId="0" xfId="0" applyFont="1" applyFill="1" applyAlignment="1" applyProtection="1">
      <alignment vertical="center"/>
    </xf>
    <xf numFmtId="2" fontId="12" fillId="18" borderId="229" xfId="10" applyNumberFormat="1" applyFont="1" applyFill="1" applyBorder="1" applyAlignment="1" applyProtection="1">
      <alignment horizontal="center" vertical="center"/>
    </xf>
    <xf numFmtId="2" fontId="12" fillId="18" borderId="230" xfId="10" applyNumberFormat="1" applyFont="1" applyFill="1" applyBorder="1" applyAlignment="1" applyProtection="1">
      <alignment horizontal="center" vertical="center"/>
    </xf>
    <xf numFmtId="2" fontId="12" fillId="18" borderId="231" xfId="10" applyNumberFormat="1" applyFont="1" applyFill="1" applyBorder="1" applyAlignment="1" applyProtection="1">
      <alignment horizontal="center" vertical="center"/>
    </xf>
    <xf numFmtId="0" fontId="12" fillId="0" borderId="323" xfId="10" applyFont="1" applyFill="1" applyBorder="1" applyAlignment="1" applyProtection="1">
      <alignment horizontal="center" vertical="center"/>
    </xf>
    <xf numFmtId="1" fontId="12" fillId="12" borderId="628" xfId="10" applyNumberFormat="1" applyFont="1" applyFill="1" applyBorder="1" applyAlignment="1" applyProtection="1">
      <alignment horizontal="center" vertical="center"/>
    </xf>
    <xf numFmtId="0" fontId="12" fillId="18" borderId="229" xfId="10" applyFont="1" applyFill="1" applyBorder="1" applyAlignment="1" applyProtection="1">
      <alignment horizontal="center" vertical="center"/>
    </xf>
    <xf numFmtId="1" fontId="11" fillId="12" borderId="607" xfId="10" applyNumberFormat="1" applyFont="1" applyFill="1" applyBorder="1" applyAlignment="1" applyProtection="1">
      <alignment horizontal="center" vertical="center"/>
    </xf>
    <xf numFmtId="1" fontId="11" fillId="12" borderId="608" xfId="10" applyNumberFormat="1" applyFont="1" applyFill="1" applyBorder="1" applyAlignment="1" applyProtection="1">
      <alignment horizontal="center" vertical="center"/>
    </xf>
    <xf numFmtId="1" fontId="11" fillId="12" borderId="559" xfId="10" applyNumberFormat="1" applyFont="1" applyFill="1" applyBorder="1" applyAlignment="1" applyProtection="1">
      <alignment horizontal="center" vertical="center"/>
    </xf>
    <xf numFmtId="3" fontId="11" fillId="0" borderId="611" xfId="10" applyNumberFormat="1" applyFont="1" applyFill="1" applyBorder="1" applyAlignment="1" applyProtection="1">
      <alignment horizontal="center" vertical="center"/>
    </xf>
    <xf numFmtId="3" fontId="11" fillId="12" borderId="612" xfId="10" applyNumberFormat="1" applyFont="1" applyFill="1" applyBorder="1" applyAlignment="1" applyProtection="1">
      <alignment horizontal="center" vertical="center"/>
    </xf>
    <xf numFmtId="3" fontId="11" fillId="12" borderId="509" xfId="10" applyNumberFormat="1" applyFont="1" applyFill="1" applyBorder="1" applyAlignment="1" applyProtection="1">
      <alignment horizontal="center" vertical="center"/>
    </xf>
    <xf numFmtId="0" fontId="11" fillId="10" borderId="18" xfId="10" applyFont="1" applyFill="1" applyBorder="1" applyAlignment="1" applyProtection="1">
      <alignment vertical="center"/>
    </xf>
    <xf numFmtId="1" fontId="11" fillId="10" borderId="607" xfId="10" applyNumberFormat="1" applyFont="1" applyFill="1" applyBorder="1" applyAlignment="1" applyProtection="1">
      <alignment horizontal="center" vertical="center"/>
    </xf>
    <xf numFmtId="1" fontId="11" fillId="10" borderId="608" xfId="10" applyNumberFormat="1" applyFont="1" applyFill="1" applyBorder="1" applyAlignment="1" applyProtection="1">
      <alignment horizontal="center" vertical="center"/>
    </xf>
    <xf numFmtId="1" fontId="11" fillId="10" borderId="559" xfId="10" applyNumberFormat="1" applyFont="1" applyFill="1" applyBorder="1" applyAlignment="1" applyProtection="1">
      <alignment horizontal="center" vertical="center"/>
    </xf>
    <xf numFmtId="1" fontId="12" fillId="12" borderId="7" xfId="10" applyNumberFormat="1" applyFont="1" applyFill="1" applyBorder="1" applyAlignment="1" applyProtection="1">
      <alignment horizontal="center" vertical="center"/>
    </xf>
    <xf numFmtId="1" fontId="12" fillId="12" borderId="259" xfId="10" applyNumberFormat="1" applyFont="1" applyFill="1" applyBorder="1" applyAlignment="1" applyProtection="1">
      <alignment horizontal="left" vertical="center"/>
    </xf>
    <xf numFmtId="0" fontId="12" fillId="12" borderId="0" xfId="0" applyFont="1" applyFill="1" applyBorder="1" applyAlignment="1" applyProtection="1">
      <alignment horizontal="left" vertical="center"/>
    </xf>
    <xf numFmtId="37" fontId="12" fillId="0" borderId="607" xfId="10" applyNumberFormat="1" applyFont="1" applyFill="1" applyBorder="1" applyAlignment="1" applyProtection="1">
      <alignment horizontal="center" vertical="center"/>
    </xf>
    <xf numFmtId="1" fontId="12" fillId="12" borderId="608" xfId="10" applyNumberFormat="1" applyFont="1" applyFill="1" applyBorder="1" applyAlignment="1" applyProtection="1">
      <alignment horizontal="center" vertical="center"/>
    </xf>
    <xf numFmtId="1" fontId="12" fillId="12" borderId="559" xfId="10" applyNumberFormat="1" applyFont="1" applyFill="1" applyBorder="1" applyAlignment="1" applyProtection="1">
      <alignment horizontal="center" vertical="center"/>
    </xf>
    <xf numFmtId="0" fontId="11" fillId="12" borderId="1" xfId="0" applyFont="1" applyFill="1" applyBorder="1" applyAlignment="1" applyProtection="1">
      <alignment vertical="center"/>
    </xf>
    <xf numFmtId="0" fontId="11" fillId="12" borderId="2" xfId="10" applyFont="1" applyFill="1" applyBorder="1" applyAlignment="1" applyProtection="1">
      <alignment horizontal="center" vertical="center"/>
    </xf>
    <xf numFmtId="0" fontId="11" fillId="12" borderId="2" xfId="10" applyFont="1" applyFill="1" applyBorder="1" applyAlignment="1" applyProtection="1">
      <alignment vertical="center"/>
    </xf>
    <xf numFmtId="9" fontId="12" fillId="12" borderId="348" xfId="7" applyFont="1" applyFill="1" applyBorder="1" applyAlignment="1" applyProtection="1">
      <alignment horizontal="center" vertical="center"/>
    </xf>
    <xf numFmtId="0" fontId="12" fillId="0" borderId="349" xfId="10" applyFont="1" applyFill="1" applyBorder="1" applyAlignment="1" applyProtection="1">
      <alignment horizontal="center" vertical="center"/>
    </xf>
    <xf numFmtId="1" fontId="11" fillId="10" borderId="289" xfId="10" applyNumberFormat="1" applyFont="1" applyFill="1" applyBorder="1" applyAlignment="1" applyProtection="1">
      <alignment horizontal="center" vertical="center"/>
    </xf>
    <xf numFmtId="1" fontId="11" fillId="10" borderId="292" xfId="10" applyNumberFormat="1" applyFont="1" applyFill="1" applyBorder="1" applyAlignment="1" applyProtection="1">
      <alignment horizontal="center" vertical="center"/>
    </xf>
    <xf numFmtId="1" fontId="11" fillId="10" borderId="343" xfId="10" applyNumberFormat="1" applyFont="1" applyFill="1" applyBorder="1" applyAlignment="1" applyProtection="1">
      <alignment horizontal="center" vertical="center"/>
    </xf>
    <xf numFmtId="1" fontId="12" fillId="12" borderId="136" xfId="10" applyNumberFormat="1" applyFont="1" applyFill="1" applyBorder="1" applyAlignment="1" applyProtection="1">
      <alignment horizontal="center" vertical="center"/>
    </xf>
    <xf numFmtId="165" fontId="12" fillId="12" borderId="50" xfId="10" applyNumberFormat="1" applyFont="1" applyFill="1" applyBorder="1" applyAlignment="1" applyProtection="1">
      <alignment horizontal="center" vertical="center"/>
    </xf>
    <xf numFmtId="171" fontId="19" fillId="0" borderId="0" xfId="10" applyNumberFormat="1" applyFont="1" applyFill="1" applyBorder="1" applyAlignment="1" applyProtection="1">
      <alignment horizontal="left" vertical="center"/>
    </xf>
    <xf numFmtId="171" fontId="12" fillId="0" borderId="0" xfId="7" applyNumberFormat="1" applyFont="1" applyFill="1" applyBorder="1" applyAlignment="1" applyProtection="1">
      <alignment horizontal="center" vertical="center"/>
    </xf>
    <xf numFmtId="0" fontId="12" fillId="0" borderId="0" xfId="0" applyFont="1" applyFill="1" applyAlignment="1" applyProtection="1">
      <alignment horizontal="left" vertical="center"/>
    </xf>
    <xf numFmtId="0" fontId="12" fillId="23" borderId="0" xfId="10" applyFont="1" applyFill="1" applyAlignment="1" applyProtection="1">
      <alignment horizontal="left" vertical="center"/>
    </xf>
    <xf numFmtId="0" fontId="12" fillId="23" borderId="0" xfId="10" applyFont="1" applyFill="1" applyBorder="1" applyAlignment="1" applyProtection="1">
      <alignment horizontal="left" vertical="center"/>
    </xf>
    <xf numFmtId="171" fontId="12" fillId="23" borderId="0" xfId="10" applyNumberFormat="1" applyFont="1" applyFill="1" applyBorder="1" applyAlignment="1" applyProtection="1">
      <alignment horizontal="left" vertical="center"/>
    </xf>
    <xf numFmtId="171" fontId="12" fillId="0" borderId="0" xfId="10" applyNumberFormat="1" applyFont="1" applyFill="1" applyBorder="1" applyAlignment="1" applyProtection="1">
      <alignment horizontal="left" vertical="center"/>
    </xf>
    <xf numFmtId="37" fontId="11" fillId="6" borderId="19" xfId="0" applyNumberFormat="1" applyFont="1" applyFill="1" applyBorder="1" applyAlignment="1" applyProtection="1">
      <alignment horizontal="center" vertical="center"/>
    </xf>
    <xf numFmtId="0" fontId="60" fillId="4" borderId="0" xfId="10" applyFont="1" applyFill="1" applyBorder="1" applyAlignment="1" applyProtection="1">
      <alignment horizontal="left" vertical="center"/>
    </xf>
    <xf numFmtId="171" fontId="60" fillId="4" borderId="0" xfId="10" applyNumberFormat="1" applyFont="1" applyFill="1" applyBorder="1" applyAlignment="1" applyProtection="1">
      <alignment horizontal="left" vertical="center"/>
    </xf>
    <xf numFmtId="0" fontId="60" fillId="0" borderId="0" xfId="10" applyFont="1" applyFill="1" applyBorder="1" applyAlignment="1" applyProtection="1">
      <alignment vertical="center"/>
    </xf>
    <xf numFmtId="171" fontId="60" fillId="0" borderId="0" xfId="7" applyNumberFormat="1" applyFont="1" applyFill="1" applyBorder="1" applyAlignment="1" applyProtection="1">
      <alignment horizontal="center" vertical="center"/>
    </xf>
    <xf numFmtId="0" fontId="60" fillId="0" borderId="0" xfId="10" applyFont="1" applyFill="1" applyAlignment="1" applyProtection="1">
      <alignment horizontal="left" vertical="center"/>
    </xf>
    <xf numFmtId="0" fontId="60" fillId="0" borderId="0" xfId="0" applyFont="1" applyFill="1" applyAlignment="1" applyProtection="1">
      <alignment horizontal="left" vertical="center"/>
    </xf>
    <xf numFmtId="0" fontId="12" fillId="0" borderId="2" xfId="10" applyFont="1" applyFill="1" applyBorder="1" applyAlignment="1" applyProtection="1">
      <alignment vertical="center"/>
    </xf>
    <xf numFmtId="1" fontId="12" fillId="0" borderId="2" xfId="10" applyNumberFormat="1" applyFont="1" applyFill="1" applyBorder="1" applyAlignment="1" applyProtection="1">
      <alignment vertical="center"/>
    </xf>
    <xf numFmtId="1" fontId="12" fillId="0" borderId="0" xfId="10" applyNumberFormat="1" applyFont="1" applyFill="1" applyBorder="1" applyAlignment="1" applyProtection="1">
      <alignment vertical="center"/>
    </xf>
    <xf numFmtId="0" fontId="60" fillId="0" borderId="0" xfId="10" applyFont="1" applyFill="1" applyAlignment="1" applyProtection="1">
      <alignment vertical="center"/>
    </xf>
    <xf numFmtId="0" fontId="60" fillId="4" borderId="0" xfId="10" applyFont="1" applyFill="1" applyBorder="1" applyAlignment="1" applyProtection="1">
      <alignment vertical="center"/>
    </xf>
    <xf numFmtId="0" fontId="60" fillId="4" borderId="0" xfId="10" applyFont="1" applyFill="1" applyBorder="1" applyAlignment="1" applyProtection="1">
      <alignment horizontal="center" vertical="center"/>
    </xf>
    <xf numFmtId="0" fontId="60" fillId="4" borderId="0" xfId="10" applyFont="1" applyFill="1" applyAlignment="1" applyProtection="1">
      <alignment vertical="center"/>
    </xf>
    <xf numFmtId="0" fontId="60" fillId="0" borderId="0" xfId="0" applyFont="1" applyFill="1" applyAlignment="1" applyProtection="1">
      <alignment vertical="center"/>
    </xf>
    <xf numFmtId="1" fontId="60" fillId="0" borderId="0" xfId="10" applyNumberFormat="1" applyFont="1" applyFill="1" applyAlignment="1" applyProtection="1">
      <alignment horizontal="center" vertical="center"/>
    </xf>
    <xf numFmtId="0" fontId="12" fillId="4" borderId="560" xfId="10" applyFont="1" applyFill="1" applyBorder="1" applyAlignment="1" applyProtection="1">
      <alignment vertical="center"/>
    </xf>
    <xf numFmtId="0" fontId="12" fillId="0" borderId="692" xfId="10" applyFont="1" applyFill="1" applyBorder="1" applyAlignment="1" applyProtection="1">
      <alignment vertical="center"/>
    </xf>
    <xf numFmtId="3" fontId="12" fillId="0" borderId="706" xfId="10" applyNumberFormat="1" applyFont="1" applyFill="1" applyBorder="1" applyAlignment="1" applyProtection="1">
      <alignment vertical="center"/>
    </xf>
    <xf numFmtId="0" fontId="12" fillId="0" borderId="706" xfId="10" applyFont="1" applyFill="1" applyBorder="1" applyAlignment="1" applyProtection="1">
      <alignment vertical="center"/>
    </xf>
    <xf numFmtId="0" fontId="12" fillId="0" borderId="691" xfId="10" applyFont="1" applyFill="1" applyBorder="1" applyAlignment="1" applyProtection="1">
      <alignment vertical="center"/>
    </xf>
    <xf numFmtId="0" fontId="12" fillId="0" borderId="732" xfId="10" applyFont="1" applyFill="1" applyBorder="1" applyAlignment="1" applyProtection="1">
      <alignment vertical="center"/>
    </xf>
    <xf numFmtId="0" fontId="12" fillId="0" borderId="562" xfId="10" applyFont="1" applyFill="1" applyBorder="1" applyAlignment="1" applyProtection="1">
      <alignment vertical="center"/>
    </xf>
    <xf numFmtId="3" fontId="12" fillId="0" borderId="2" xfId="10" applyNumberFormat="1" applyFont="1" applyFill="1" applyBorder="1" applyAlignment="1" applyProtection="1">
      <alignment vertical="center"/>
    </xf>
    <xf numFmtId="0" fontId="12" fillId="0" borderId="19" xfId="10" applyFont="1" applyFill="1" applyBorder="1" applyAlignment="1" applyProtection="1">
      <alignment vertical="center"/>
    </xf>
    <xf numFmtId="0" fontId="12" fillId="0" borderId="733" xfId="10" applyFont="1" applyFill="1" applyBorder="1" applyAlignment="1" applyProtection="1">
      <alignment vertical="center"/>
    </xf>
    <xf numFmtId="0" fontId="12" fillId="0" borderId="696" xfId="10" applyFont="1" applyFill="1" applyBorder="1" applyAlignment="1" applyProtection="1">
      <alignment vertical="center"/>
    </xf>
    <xf numFmtId="0" fontId="12" fillId="0" borderId="565" xfId="10" applyFont="1" applyFill="1" applyBorder="1" applyAlignment="1" applyProtection="1">
      <alignment vertical="center"/>
    </xf>
    <xf numFmtId="0" fontId="12" fillId="0" borderId="707" xfId="10" applyFont="1" applyFill="1" applyBorder="1" applyAlignment="1" applyProtection="1">
      <alignment vertical="center"/>
    </xf>
    <xf numFmtId="3" fontId="12" fillId="0" borderId="689" xfId="10" applyNumberFormat="1" applyFont="1" applyFill="1" applyBorder="1" applyAlignment="1" applyProtection="1">
      <alignment vertical="center"/>
    </xf>
    <xf numFmtId="0" fontId="12" fillId="0" borderId="689" xfId="10" applyFont="1" applyFill="1" applyBorder="1" applyAlignment="1" applyProtection="1">
      <alignment vertical="center"/>
    </xf>
    <xf numFmtId="0" fontId="12" fillId="0" borderId="699" xfId="10" applyFont="1" applyFill="1" applyBorder="1" applyAlignment="1" applyProtection="1">
      <alignment vertical="center"/>
    </xf>
    <xf numFmtId="0" fontId="12" fillId="4" borderId="709" xfId="10" applyFont="1" applyFill="1" applyBorder="1" applyAlignment="1" applyProtection="1">
      <alignment vertical="center"/>
    </xf>
    <xf numFmtId="0" fontId="12" fillId="0" borderId="705" xfId="10" applyFont="1" applyFill="1" applyBorder="1" applyAlignment="1" applyProtection="1">
      <alignment vertical="center"/>
    </xf>
    <xf numFmtId="0" fontId="12" fillId="0" borderId="685" xfId="10" applyFont="1" applyFill="1" applyBorder="1" applyAlignment="1" applyProtection="1">
      <alignment vertical="center"/>
    </xf>
    <xf numFmtId="0" fontId="12" fillId="0" borderId="18" xfId="10" applyFont="1" applyFill="1" applyBorder="1" applyAlignment="1" applyProtection="1">
      <alignment vertical="center"/>
    </xf>
    <xf numFmtId="0" fontId="12" fillId="0" borderId="687" xfId="10" applyFont="1" applyFill="1" applyBorder="1" applyAlignment="1" applyProtection="1">
      <alignment vertical="center"/>
    </xf>
    <xf numFmtId="0" fontId="12" fillId="0" borderId="702" xfId="10" applyFont="1" applyFill="1" applyBorder="1" applyAlignment="1" applyProtection="1">
      <alignment vertical="center"/>
    </xf>
    <xf numFmtId="0" fontId="12" fillId="4" borderId="690" xfId="10" applyFont="1" applyFill="1" applyBorder="1" applyAlignment="1" applyProtection="1">
      <alignment vertical="center"/>
    </xf>
    <xf numFmtId="3" fontId="12" fillId="0" borderId="22" xfId="10" applyNumberFormat="1" applyFont="1" applyFill="1" applyBorder="1" applyAlignment="1" applyProtection="1">
      <alignment vertical="center"/>
    </xf>
    <xf numFmtId="0" fontId="60" fillId="4" borderId="560" xfId="10" applyFont="1" applyFill="1" applyBorder="1" applyAlignment="1" applyProtection="1">
      <alignment vertical="center"/>
    </xf>
    <xf numFmtId="0" fontId="60" fillId="4" borderId="561" xfId="10" applyFont="1" applyFill="1" applyBorder="1" applyAlignment="1" applyProtection="1">
      <alignment horizontal="center" vertical="center"/>
    </xf>
    <xf numFmtId="0" fontId="60" fillId="4" borderId="561" xfId="10" applyFont="1" applyFill="1" applyBorder="1" applyAlignment="1" applyProtection="1">
      <alignment vertical="center"/>
    </xf>
    <xf numFmtId="0" fontId="60" fillId="4" borderId="685" xfId="10" applyFont="1" applyFill="1" applyBorder="1" applyAlignment="1" applyProtection="1">
      <alignment vertical="center"/>
    </xf>
    <xf numFmtId="0" fontId="60" fillId="12" borderId="0" xfId="10" applyFont="1" applyFill="1" applyBorder="1" applyAlignment="1" applyProtection="1">
      <alignment vertical="center"/>
    </xf>
    <xf numFmtId="0" fontId="60" fillId="12" borderId="0" xfId="0" applyFont="1" applyFill="1" applyAlignment="1" applyProtection="1">
      <alignment vertical="center"/>
    </xf>
    <xf numFmtId="0" fontId="60" fillId="12" borderId="0" xfId="10" applyFont="1" applyFill="1" applyAlignment="1" applyProtection="1">
      <alignment vertical="center"/>
    </xf>
    <xf numFmtId="0" fontId="12" fillId="0" borderId="20" xfId="0" applyFont="1" applyFill="1" applyBorder="1" applyAlignment="1" applyProtection="1">
      <alignment vertical="center"/>
    </xf>
    <xf numFmtId="0" fontId="12" fillId="0" borderId="20" xfId="10" applyFont="1" applyFill="1" applyBorder="1" applyAlignment="1" applyProtection="1">
      <alignment horizontal="center" vertical="center"/>
    </xf>
    <xf numFmtId="37" fontId="12" fillId="0" borderId="2" xfId="10" applyNumberFormat="1" applyFont="1" applyFill="1" applyBorder="1" applyAlignment="1" applyProtection="1">
      <alignment vertical="center"/>
    </xf>
    <xf numFmtId="37" fontId="12" fillId="0" borderId="562" xfId="10" applyNumberFormat="1" applyFont="1" applyFill="1" applyBorder="1" applyAlignment="1" applyProtection="1">
      <alignment vertical="center"/>
    </xf>
    <xf numFmtId="1" fontId="12" fillId="0" borderId="687" xfId="10" applyNumberFormat="1" applyFont="1" applyFill="1" applyBorder="1" applyAlignment="1" applyProtection="1">
      <alignment horizontal="center" vertical="center"/>
    </xf>
    <xf numFmtId="3" fontId="12" fillId="0" borderId="687" xfId="10" applyNumberFormat="1" applyFont="1" applyFill="1" applyBorder="1" applyAlignment="1" applyProtection="1">
      <alignment horizontal="center" vertical="center"/>
    </xf>
    <xf numFmtId="0" fontId="12" fillId="0" borderId="687" xfId="10" applyFont="1" applyFill="1" applyBorder="1" applyAlignment="1" applyProtection="1">
      <alignment horizontal="center" vertical="center"/>
    </xf>
    <xf numFmtId="37" fontId="12" fillId="0" borderId="565" xfId="10" applyNumberFormat="1" applyFont="1" applyFill="1" applyBorder="1" applyAlignment="1" applyProtection="1">
      <alignment vertical="center"/>
    </xf>
    <xf numFmtId="0" fontId="12" fillId="0" borderId="566" xfId="0" applyFont="1" applyFill="1" applyBorder="1" applyAlignment="1" applyProtection="1">
      <alignment vertical="center"/>
    </xf>
    <xf numFmtId="0" fontId="12" fillId="0" borderId="566" xfId="10" applyFont="1" applyFill="1" applyBorder="1" applyAlignment="1" applyProtection="1">
      <alignment horizontal="center" vertical="center"/>
    </xf>
    <xf numFmtId="1" fontId="12" fillId="0" borderId="690" xfId="10" applyNumberFormat="1" applyFont="1" applyFill="1" applyBorder="1" applyAlignment="1" applyProtection="1">
      <alignment horizontal="center" vertical="center"/>
    </xf>
    <xf numFmtId="37" fontId="12" fillId="0" borderId="0" xfId="10" applyNumberFormat="1" applyFont="1" applyFill="1" applyBorder="1" applyAlignment="1" applyProtection="1">
      <alignment vertical="center"/>
    </xf>
    <xf numFmtId="0" fontId="60" fillId="4" borderId="23" xfId="10" applyFont="1" applyFill="1" applyBorder="1" applyAlignment="1" applyProtection="1">
      <alignment horizontal="left" vertical="center"/>
    </xf>
    <xf numFmtId="0" fontId="60" fillId="4" borderId="45" xfId="10" applyFont="1" applyFill="1" applyBorder="1" applyAlignment="1" applyProtection="1">
      <alignment horizontal="center" vertical="center"/>
    </xf>
    <xf numFmtId="3" fontId="60" fillId="4" borderId="23" xfId="10" applyNumberFormat="1" applyFont="1" applyFill="1" applyBorder="1" applyAlignment="1" applyProtection="1">
      <alignment horizontal="center" vertical="center"/>
    </xf>
    <xf numFmtId="3" fontId="60" fillId="4" borderId="45" xfId="10" applyNumberFormat="1" applyFont="1" applyFill="1" applyBorder="1" applyAlignment="1" applyProtection="1">
      <alignment horizontal="center" vertical="center"/>
    </xf>
    <xf numFmtId="3" fontId="60" fillId="4" borderId="24" xfId="10" applyNumberFormat="1" applyFont="1" applyFill="1" applyBorder="1" applyAlignment="1" applyProtection="1">
      <alignment horizontal="center" vertical="center"/>
    </xf>
    <xf numFmtId="0" fontId="60" fillId="12" borderId="0" xfId="10" applyFont="1" applyFill="1" applyAlignment="1" applyProtection="1">
      <alignment horizontal="center" vertical="center"/>
    </xf>
    <xf numFmtId="0" fontId="60" fillId="12" borderId="0" xfId="0" applyFont="1" applyFill="1" applyAlignment="1" applyProtection="1">
      <alignment horizontal="center" vertical="center"/>
    </xf>
    <xf numFmtId="1" fontId="12" fillId="0" borderId="26" xfId="10" applyNumberFormat="1" applyFont="1" applyFill="1" applyBorder="1" applyAlignment="1" applyProtection="1">
      <alignment horizontal="left" vertical="center"/>
    </xf>
    <xf numFmtId="3" fontId="12" fillId="0" borderId="26" xfId="10" applyNumberFormat="1" applyFont="1" applyFill="1" applyBorder="1" applyAlignment="1" applyProtection="1">
      <alignment horizontal="center" vertical="center"/>
    </xf>
    <xf numFmtId="3" fontId="12" fillId="0" borderId="0" xfId="10" applyNumberFormat="1" applyFont="1" applyFill="1" applyBorder="1" applyAlignment="1" applyProtection="1">
      <alignment horizontal="center" vertical="center"/>
    </xf>
    <xf numFmtId="3" fontId="12" fillId="0" borderId="27" xfId="10" applyNumberFormat="1" applyFont="1" applyFill="1" applyBorder="1" applyAlignment="1" applyProtection="1">
      <alignment horizontal="center" vertical="center"/>
    </xf>
    <xf numFmtId="0" fontId="12" fillId="12" borderId="0" xfId="0" applyFont="1" applyFill="1" applyAlignment="1" applyProtection="1">
      <alignment horizontal="center" vertical="center"/>
    </xf>
    <xf numFmtId="1" fontId="11" fillId="0" borderId="14" xfId="10" applyNumberFormat="1" applyFont="1" applyFill="1" applyBorder="1" applyAlignment="1" applyProtection="1">
      <alignment horizontal="left" vertical="center"/>
    </xf>
    <xf numFmtId="0" fontId="11" fillId="0" borderId="17" xfId="10" applyFont="1" applyFill="1" applyBorder="1" applyAlignment="1" applyProtection="1">
      <alignment horizontal="center" vertical="center"/>
    </xf>
    <xf numFmtId="3" fontId="11" fillId="0" borderId="14" xfId="10" applyNumberFormat="1" applyFont="1" applyFill="1" applyBorder="1" applyAlignment="1" applyProtection="1">
      <alignment horizontal="center" vertical="center"/>
    </xf>
    <xf numFmtId="3" fontId="11" fillId="0" borderId="17" xfId="10" applyNumberFormat="1" applyFont="1" applyFill="1" applyBorder="1" applyAlignment="1" applyProtection="1">
      <alignment horizontal="center" vertical="center"/>
    </xf>
    <xf numFmtId="3" fontId="11" fillId="0" borderId="30" xfId="10" applyNumberFormat="1" applyFont="1" applyFill="1" applyBorder="1" applyAlignment="1" applyProtection="1">
      <alignment horizontal="center" vertical="center"/>
    </xf>
    <xf numFmtId="0" fontId="11" fillId="12" borderId="0" xfId="10" applyFont="1" applyFill="1" applyAlignment="1" applyProtection="1">
      <alignment horizontal="center" vertical="center"/>
    </xf>
    <xf numFmtId="0" fontId="11" fillId="0" borderId="14" xfId="10" applyFont="1" applyFill="1" applyBorder="1" applyAlignment="1" applyProtection="1">
      <alignment horizontal="left" vertical="center"/>
    </xf>
    <xf numFmtId="0" fontId="11" fillId="12" borderId="0" xfId="0" applyFont="1" applyFill="1" applyAlignment="1" applyProtection="1">
      <alignment horizontal="center" vertical="center"/>
    </xf>
    <xf numFmtId="0" fontId="12" fillId="4" borderId="28" xfId="10" applyFont="1" applyFill="1" applyBorder="1" applyAlignment="1" applyProtection="1">
      <alignment horizontal="left" vertical="center"/>
    </xf>
    <xf numFmtId="0" fontId="12" fillId="4" borderId="5" xfId="10" applyFont="1" applyFill="1" applyBorder="1" applyAlignment="1" applyProtection="1">
      <alignment horizontal="center" vertical="center"/>
    </xf>
    <xf numFmtId="3" fontId="12" fillId="4" borderId="5" xfId="10" applyNumberFormat="1" applyFont="1" applyFill="1" applyBorder="1" applyAlignment="1" applyProtection="1">
      <alignment horizontal="center" vertical="center"/>
    </xf>
    <xf numFmtId="0" fontId="12" fillId="0" borderId="0" xfId="10" applyFont="1" applyFill="1" applyAlignment="1" applyProtection="1">
      <alignment horizontal="center" vertical="center"/>
    </xf>
    <xf numFmtId="0" fontId="12" fillId="0" borderId="0" xfId="0" applyFont="1" applyFill="1" applyAlignment="1" applyProtection="1">
      <alignment horizontal="center" vertical="center"/>
    </xf>
    <xf numFmtId="0" fontId="60" fillId="4" borderId="0" xfId="10" applyFont="1" applyFill="1" applyAlignment="1" applyProtection="1">
      <alignment horizontal="center" vertical="center"/>
    </xf>
    <xf numFmtId="0" fontId="60" fillId="4" borderId="0" xfId="0" applyFont="1" applyFill="1" applyAlignment="1" applyProtection="1">
      <alignment vertical="center"/>
    </xf>
    <xf numFmtId="0" fontId="76" fillId="4" borderId="560" xfId="0" applyFont="1" applyFill="1" applyBorder="1" applyProtection="1"/>
    <xf numFmtId="0" fontId="12" fillId="12" borderId="562" xfId="10" applyFont="1" applyFill="1" applyBorder="1" applyAlignment="1" applyProtection="1">
      <alignment vertical="center"/>
    </xf>
    <xf numFmtId="0" fontId="12" fillId="12" borderId="687" xfId="10" applyFont="1" applyFill="1" applyBorder="1" applyAlignment="1" applyProtection="1">
      <alignment vertical="center"/>
    </xf>
    <xf numFmtId="0" fontId="12" fillId="12" borderId="564" xfId="10" applyFont="1" applyFill="1" applyBorder="1" applyAlignment="1" applyProtection="1">
      <alignment horizontal="right" vertical="center"/>
    </xf>
    <xf numFmtId="0" fontId="12" fillId="12" borderId="41" xfId="10" applyFont="1" applyFill="1" applyBorder="1" applyAlignment="1" applyProtection="1">
      <alignment horizontal="center" vertical="center"/>
    </xf>
    <xf numFmtId="0" fontId="12" fillId="12" borderId="21" xfId="10" applyFont="1" applyFill="1" applyBorder="1" applyAlignment="1" applyProtection="1">
      <alignment horizontal="right" vertical="center"/>
    </xf>
    <xf numFmtId="0" fontId="12" fillId="12" borderId="723" xfId="0" applyFont="1" applyFill="1" applyBorder="1" applyAlignment="1" applyProtection="1">
      <alignment horizontal="right" vertical="center"/>
    </xf>
    <xf numFmtId="0" fontId="12" fillId="0" borderId="562" xfId="10" applyFont="1" applyFill="1" applyBorder="1" applyAlignment="1" applyProtection="1">
      <alignment horizontal="right" vertical="center"/>
    </xf>
    <xf numFmtId="37" fontId="12" fillId="0" borderId="0" xfId="10" applyNumberFormat="1" applyFont="1" applyFill="1" applyBorder="1" applyAlignment="1" applyProtection="1">
      <alignment horizontal="center" vertical="center"/>
    </xf>
    <xf numFmtId="1" fontId="12" fillId="0" borderId="43" xfId="10" applyNumberFormat="1" applyFont="1" applyFill="1" applyBorder="1" applyAlignment="1" applyProtection="1">
      <alignment horizontal="center" vertical="center"/>
    </xf>
    <xf numFmtId="0" fontId="12" fillId="0" borderId="687" xfId="0" applyFont="1" applyFill="1" applyBorder="1" applyAlignment="1" applyProtection="1">
      <alignment vertical="center"/>
    </xf>
    <xf numFmtId="1" fontId="12" fillId="0" borderId="687" xfId="0" applyNumberFormat="1" applyFont="1" applyFill="1" applyBorder="1" applyAlignment="1" applyProtection="1">
      <alignment vertical="center"/>
    </xf>
    <xf numFmtId="0" fontId="12" fillId="4" borderId="565" xfId="10" applyFont="1" applyFill="1" applyBorder="1" applyAlignment="1" applyProtection="1">
      <alignment vertical="center"/>
    </xf>
    <xf numFmtId="0" fontId="12" fillId="4" borderId="566" xfId="10" applyFont="1" applyFill="1" applyBorder="1" applyAlignment="1" applyProtection="1">
      <alignment horizontal="right" vertical="center"/>
    </xf>
    <xf numFmtId="0" fontId="12" fillId="4" borderId="566" xfId="10" applyFont="1" applyFill="1" applyBorder="1" applyAlignment="1" applyProtection="1">
      <alignment horizontal="center" vertical="center"/>
    </xf>
    <xf numFmtId="1" fontId="12" fillId="4" borderId="566" xfId="10" applyNumberFormat="1" applyFont="1" applyFill="1" applyBorder="1" applyAlignment="1" applyProtection="1">
      <alignment horizontal="center" vertical="center"/>
    </xf>
    <xf numFmtId="1" fontId="12" fillId="4" borderId="566" xfId="10" applyNumberFormat="1" applyFont="1" applyFill="1" applyBorder="1" applyAlignment="1" applyProtection="1">
      <alignment vertical="center"/>
    </xf>
    <xf numFmtId="0" fontId="12" fillId="4" borderId="566" xfId="10" applyFont="1" applyFill="1" applyBorder="1" applyAlignment="1" applyProtection="1">
      <alignment vertical="center"/>
    </xf>
    <xf numFmtId="0" fontId="12" fillId="4" borderId="0" xfId="10" applyFont="1" applyFill="1" applyAlignment="1" applyProtection="1">
      <alignment vertical="center"/>
    </xf>
    <xf numFmtId="0" fontId="12" fillId="0" borderId="0" xfId="10" applyFont="1" applyFill="1" applyBorder="1" applyAlignment="1" applyProtection="1">
      <alignment horizontal="right" vertical="center"/>
    </xf>
    <xf numFmtId="1" fontId="12" fillId="0" borderId="0" xfId="10" applyNumberFormat="1" applyFont="1" applyFill="1" applyAlignment="1" applyProtection="1">
      <alignment horizontal="center" vertical="center"/>
    </xf>
    <xf numFmtId="1" fontId="12" fillId="0" borderId="0" xfId="10" applyNumberFormat="1" applyFont="1" applyFill="1" applyAlignment="1" applyProtection="1">
      <alignment vertical="center"/>
    </xf>
    <xf numFmtId="0" fontId="13" fillId="4" borderId="560" xfId="10" applyFont="1" applyFill="1" applyBorder="1" applyAlignment="1" applyProtection="1">
      <alignment vertical="center"/>
    </xf>
    <xf numFmtId="0" fontId="60" fillId="4" borderId="561" xfId="10" applyFont="1" applyFill="1" applyBorder="1" applyAlignment="1" applyProtection="1">
      <alignment horizontal="right" vertical="center"/>
    </xf>
    <xf numFmtId="1" fontId="60" fillId="4" borderId="561" xfId="10" applyNumberFormat="1" applyFont="1" applyFill="1" applyBorder="1" applyAlignment="1" applyProtection="1">
      <alignment horizontal="center" vertical="center"/>
    </xf>
    <xf numFmtId="1" fontId="60" fillId="4" borderId="685" xfId="10" applyNumberFormat="1" applyFont="1" applyFill="1" applyBorder="1" applyAlignment="1" applyProtection="1">
      <alignment vertical="center"/>
    </xf>
    <xf numFmtId="0" fontId="12" fillId="4" borderId="562" xfId="10" applyFont="1" applyFill="1" applyBorder="1" applyAlignment="1" applyProtection="1">
      <alignment vertical="center"/>
    </xf>
    <xf numFmtId="1" fontId="12" fillId="0" borderId="2" xfId="10" applyNumberFormat="1" applyFont="1" applyFill="1" applyBorder="1" applyAlignment="1" applyProtection="1">
      <alignment horizontal="center" vertical="center"/>
    </xf>
    <xf numFmtId="1" fontId="12" fillId="0" borderId="694" xfId="10" applyNumberFormat="1" applyFont="1" applyFill="1" applyBorder="1" applyAlignment="1" applyProtection="1">
      <alignment horizontal="center" vertical="center"/>
    </xf>
    <xf numFmtId="0" fontId="12" fillId="0" borderId="703" xfId="10" applyFont="1" applyFill="1" applyBorder="1" applyAlignment="1" applyProtection="1">
      <alignment vertical="center"/>
    </xf>
    <xf numFmtId="0" fontId="12" fillId="0" borderId="22" xfId="10" applyFont="1" applyFill="1" applyBorder="1" applyAlignment="1" applyProtection="1">
      <alignment horizontal="right" vertical="center"/>
    </xf>
    <xf numFmtId="0" fontId="12" fillId="0" borderId="22" xfId="10" applyFont="1" applyFill="1" applyBorder="1" applyAlignment="1" applyProtection="1">
      <alignment horizontal="center" vertical="center"/>
    </xf>
    <xf numFmtId="0" fontId="12" fillId="0" borderId="18" xfId="10" applyFont="1" applyFill="1" applyBorder="1" applyAlignment="1" applyProtection="1">
      <alignment horizontal="center" vertical="center"/>
    </xf>
    <xf numFmtId="2" fontId="12" fillId="0" borderId="2" xfId="10" applyNumberFormat="1" applyFont="1" applyFill="1" applyBorder="1" applyAlignment="1" applyProtection="1">
      <alignment horizontal="center" vertical="center"/>
    </xf>
    <xf numFmtId="2" fontId="12" fillId="0" borderId="694" xfId="10" applyNumberFormat="1" applyFont="1" applyFill="1" applyBorder="1" applyAlignment="1" applyProtection="1">
      <alignment vertical="center"/>
    </xf>
    <xf numFmtId="0" fontId="12" fillId="0" borderId="713" xfId="10" applyFont="1" applyFill="1" applyBorder="1" applyAlignment="1" applyProtection="1">
      <alignment vertical="center"/>
    </xf>
    <xf numFmtId="0" fontId="12" fillId="0" borderId="707" xfId="10" applyFont="1" applyFill="1" applyBorder="1" applyAlignment="1" applyProtection="1">
      <alignment horizontal="right" vertical="center"/>
    </xf>
    <xf numFmtId="0" fontId="12" fillId="0" borderId="707" xfId="10" applyFont="1" applyFill="1" applyBorder="1" applyAlignment="1" applyProtection="1">
      <alignment horizontal="center" vertical="center"/>
    </xf>
    <xf numFmtId="0" fontId="12" fillId="0" borderId="702" xfId="10" applyFont="1" applyFill="1" applyBorder="1" applyAlignment="1" applyProtection="1">
      <alignment horizontal="center" vertical="center"/>
    </xf>
    <xf numFmtId="2" fontId="12" fillId="0" borderId="689" xfId="10" applyNumberFormat="1" applyFont="1" applyFill="1" applyBorder="1" applyAlignment="1" applyProtection="1">
      <alignment horizontal="center" vertical="center"/>
    </xf>
    <xf numFmtId="2" fontId="12" fillId="0" borderId="700" xfId="10" applyNumberFormat="1" applyFont="1" applyFill="1" applyBorder="1" applyAlignment="1" applyProtection="1">
      <alignment vertical="center"/>
    </xf>
    <xf numFmtId="0" fontId="13" fillId="4" borderId="0" xfId="10" applyFont="1" applyFill="1" applyBorder="1" applyAlignment="1" applyProtection="1">
      <alignment vertical="center"/>
    </xf>
    <xf numFmtId="0" fontId="13" fillId="4" borderId="0" xfId="10" applyFont="1" applyFill="1" applyBorder="1" applyAlignment="1" applyProtection="1">
      <alignment horizontal="center" vertical="center"/>
    </xf>
    <xf numFmtId="2" fontId="13" fillId="4" borderId="0" xfId="10" applyNumberFormat="1" applyFont="1" applyFill="1" applyBorder="1" applyAlignment="1" applyProtection="1">
      <alignment horizontal="center" vertical="center"/>
    </xf>
    <xf numFmtId="1" fontId="13" fillId="4" borderId="0" xfId="10" applyNumberFormat="1" applyFont="1" applyFill="1" applyAlignment="1" applyProtection="1">
      <alignment vertical="center"/>
    </xf>
    <xf numFmtId="0" fontId="13" fillId="0" borderId="0" xfId="10" applyFont="1" applyFill="1" applyAlignment="1" applyProtection="1">
      <alignment vertical="center"/>
    </xf>
    <xf numFmtId="0" fontId="13" fillId="0" borderId="0" xfId="0" applyFont="1" applyFill="1" applyAlignment="1" applyProtection="1">
      <alignment vertical="center"/>
    </xf>
    <xf numFmtId="0" fontId="13" fillId="12" borderId="0" xfId="10" applyFont="1" applyFill="1" applyAlignment="1" applyProtection="1">
      <alignment vertical="center"/>
    </xf>
    <xf numFmtId="0" fontId="11" fillId="4" borderId="560" xfId="10" applyFont="1" applyFill="1" applyBorder="1" applyAlignment="1" applyProtection="1">
      <alignment vertical="center"/>
    </xf>
    <xf numFmtId="0" fontId="12" fillId="4" borderId="561" xfId="10" applyFont="1" applyFill="1" applyBorder="1" applyAlignment="1" applyProtection="1">
      <alignment horizontal="center" vertical="center"/>
    </xf>
    <xf numFmtId="0" fontId="19" fillId="4" borderId="561" xfId="10" applyFont="1" applyFill="1" applyBorder="1" applyAlignment="1" applyProtection="1">
      <alignment horizontal="center" vertical="center"/>
    </xf>
    <xf numFmtId="2" fontId="12" fillId="4" borderId="561" xfId="10" applyNumberFormat="1" applyFont="1" applyFill="1" applyBorder="1" applyAlignment="1" applyProtection="1">
      <alignment horizontal="center" vertical="center"/>
    </xf>
    <xf numFmtId="2" fontId="12" fillId="4" borderId="685" xfId="10" applyNumberFormat="1" applyFont="1" applyFill="1" applyBorder="1" applyAlignment="1" applyProtection="1">
      <alignment horizontal="center" vertical="center"/>
    </xf>
    <xf numFmtId="3" fontId="12" fillId="12" borderId="686" xfId="5" applyNumberFormat="1" applyFont="1" applyFill="1" applyBorder="1" applyAlignment="1" applyProtection="1">
      <alignment horizontal="left" vertical="center"/>
    </xf>
    <xf numFmtId="0" fontId="12" fillId="12" borderId="0" xfId="0" applyFont="1" applyFill="1" applyBorder="1" applyAlignment="1" applyProtection="1">
      <alignment horizontal="center" vertical="center"/>
    </xf>
    <xf numFmtId="166" fontId="12" fillId="12" borderId="2" xfId="0" applyNumberFormat="1" applyFont="1" applyFill="1" applyBorder="1" applyAlignment="1" applyProtection="1">
      <alignment horizontal="center" vertical="center"/>
    </xf>
    <xf numFmtId="166" fontId="12" fillId="12" borderId="694" xfId="0" applyNumberFormat="1" applyFont="1" applyFill="1" applyBorder="1" applyAlignment="1" applyProtection="1">
      <alignment horizontal="center" vertical="center"/>
    </xf>
    <xf numFmtId="3" fontId="19" fillId="12" borderId="686" xfId="5" applyNumberFormat="1" applyFont="1" applyFill="1" applyBorder="1" applyAlignment="1" applyProtection="1">
      <alignment vertical="center"/>
    </xf>
    <xf numFmtId="166" fontId="12" fillId="12" borderId="2" xfId="6" applyNumberFormat="1" applyFont="1" applyFill="1" applyBorder="1" applyAlignment="1" applyProtection="1">
      <alignment horizontal="center" vertical="center"/>
    </xf>
    <xf numFmtId="166" fontId="12" fillId="12" borderId="694" xfId="6" applyNumberFormat="1" applyFont="1" applyFill="1" applyBorder="1" applyAlignment="1" applyProtection="1">
      <alignment horizontal="center" vertical="center"/>
    </xf>
    <xf numFmtId="0" fontId="12" fillId="12" borderId="686" xfId="0" applyFont="1" applyFill="1" applyBorder="1" applyAlignment="1" applyProtection="1">
      <alignment vertical="center"/>
    </xf>
    <xf numFmtId="0" fontId="12" fillId="0" borderId="0" xfId="0" applyFont="1" applyFill="1" applyBorder="1" applyAlignment="1" applyProtection="1">
      <alignment horizontal="center" vertical="center"/>
    </xf>
    <xf numFmtId="1" fontId="12" fillId="0" borderId="2" xfId="0" applyNumberFormat="1" applyFont="1" applyFill="1" applyBorder="1" applyAlignment="1" applyProtection="1">
      <alignment horizontal="center" vertical="center"/>
    </xf>
    <xf numFmtId="0" fontId="12" fillId="12" borderId="688" xfId="0" applyFont="1" applyFill="1" applyBorder="1" applyAlignment="1" applyProtection="1">
      <alignment vertical="center"/>
    </xf>
    <xf numFmtId="0" fontId="12" fillId="12" borderId="566" xfId="0" applyFont="1" applyFill="1" applyBorder="1" applyAlignment="1" applyProtection="1">
      <alignment horizontal="center" vertical="center"/>
    </xf>
    <xf numFmtId="9" fontId="12" fillId="12" borderId="689" xfId="7" applyFont="1" applyFill="1" applyBorder="1" applyAlignment="1" applyProtection="1">
      <alignment horizontal="center" vertical="center"/>
    </xf>
    <xf numFmtId="9" fontId="12" fillId="12" borderId="700" xfId="7" applyFont="1" applyFill="1" applyBorder="1" applyAlignment="1" applyProtection="1">
      <alignment horizontal="center" vertical="center"/>
    </xf>
    <xf numFmtId="0" fontId="11" fillId="12" borderId="0" xfId="0" applyFont="1" applyFill="1" applyBorder="1" applyAlignment="1" applyProtection="1">
      <alignment horizontal="center" vertical="center"/>
    </xf>
    <xf numFmtId="166" fontId="11" fillId="12" borderId="0" xfId="0" applyNumberFormat="1" applyFont="1" applyFill="1" applyBorder="1" applyAlignment="1" applyProtection="1">
      <alignment horizontal="center" vertical="center"/>
    </xf>
    <xf numFmtId="2" fontId="12" fillId="12" borderId="689" xfId="7" applyNumberFormat="1" applyFont="1" applyFill="1" applyBorder="1" applyAlignment="1" applyProtection="1">
      <alignment horizontal="center" vertical="center"/>
    </xf>
    <xf numFmtId="2" fontId="12" fillId="12" borderId="700" xfId="7" applyNumberFormat="1" applyFont="1" applyFill="1" applyBorder="1" applyAlignment="1" applyProtection="1">
      <alignment horizontal="center" vertical="center"/>
    </xf>
    <xf numFmtId="166" fontId="12" fillId="12" borderId="51" xfId="0" applyNumberFormat="1" applyFont="1" applyFill="1" applyBorder="1" applyAlignment="1" applyProtection="1">
      <alignment horizontal="center" vertical="center"/>
    </xf>
    <xf numFmtId="166" fontId="12" fillId="12" borderId="20" xfId="0" applyNumberFormat="1" applyFont="1" applyFill="1" applyBorder="1" applyAlignment="1" applyProtection="1">
      <alignment horizontal="center" vertical="center"/>
    </xf>
    <xf numFmtId="166" fontId="12" fillId="12" borderId="734" xfId="0" applyNumberFormat="1" applyFont="1" applyFill="1" applyBorder="1" applyAlignment="1" applyProtection="1">
      <alignment horizontal="center" vertical="center"/>
    </xf>
    <xf numFmtId="166" fontId="12" fillId="12" borderId="44" xfId="6" applyNumberFormat="1" applyFont="1" applyFill="1" applyBorder="1" applyAlignment="1" applyProtection="1">
      <alignment horizontal="center" vertical="center"/>
    </xf>
    <xf numFmtId="166" fontId="12" fillId="12" borderId="0" xfId="6" applyNumberFormat="1" applyFont="1" applyFill="1" applyBorder="1" applyAlignment="1" applyProtection="1">
      <alignment horizontal="center" vertical="center"/>
    </xf>
    <xf numFmtId="166" fontId="12" fillId="12" borderId="687" xfId="6" applyNumberFormat="1" applyFont="1" applyFill="1" applyBorder="1" applyAlignment="1" applyProtection="1">
      <alignment horizontal="center" vertical="center"/>
    </xf>
    <xf numFmtId="1" fontId="12" fillId="0" borderId="44" xfId="0" applyNumberFormat="1" applyFont="1" applyFill="1" applyBorder="1" applyAlignment="1" applyProtection="1">
      <alignment horizontal="center" vertical="center"/>
    </xf>
    <xf numFmtId="1" fontId="12" fillId="0" borderId="0" xfId="0" applyNumberFormat="1" applyFont="1" applyFill="1" applyBorder="1" applyAlignment="1" applyProtection="1">
      <alignment horizontal="center" vertical="center"/>
    </xf>
    <xf numFmtId="1" fontId="12" fillId="0" borderId="687" xfId="0" applyNumberFormat="1" applyFont="1" applyFill="1" applyBorder="1" applyAlignment="1" applyProtection="1">
      <alignment horizontal="center" vertical="center"/>
    </xf>
    <xf numFmtId="2" fontId="12" fillId="12" borderId="572" xfId="7" applyNumberFormat="1" applyFont="1" applyFill="1" applyBorder="1" applyAlignment="1" applyProtection="1">
      <alignment horizontal="center" vertical="center"/>
    </xf>
    <xf numFmtId="2" fontId="12" fillId="12" borderId="566" xfId="7" applyNumberFormat="1" applyFont="1" applyFill="1" applyBorder="1" applyAlignment="1" applyProtection="1">
      <alignment horizontal="center" vertical="center"/>
    </xf>
    <xf numFmtId="2" fontId="12" fillId="12" borderId="690" xfId="7" applyNumberFormat="1" applyFont="1" applyFill="1" applyBorder="1" applyAlignment="1" applyProtection="1">
      <alignment horizontal="center" vertical="center"/>
    </xf>
    <xf numFmtId="166" fontId="12" fillId="12" borderId="44" xfId="0" applyNumberFormat="1" applyFont="1" applyFill="1" applyBorder="1" applyAlignment="1" applyProtection="1">
      <alignment horizontal="center" vertical="center"/>
    </xf>
    <xf numFmtId="166" fontId="12" fillId="12" borderId="0" xfId="0" applyNumberFormat="1" applyFont="1" applyFill="1" applyBorder="1" applyAlignment="1" applyProtection="1">
      <alignment horizontal="center" vertical="center"/>
    </xf>
    <xf numFmtId="166" fontId="12" fillId="12" borderId="687" xfId="0" applyNumberFormat="1" applyFont="1" applyFill="1" applyBorder="1" applyAlignment="1" applyProtection="1">
      <alignment horizontal="center" vertical="center"/>
    </xf>
    <xf numFmtId="0" fontId="12" fillId="12" borderId="0" xfId="6" applyFont="1" applyFill="1" applyBorder="1" applyAlignment="1" applyProtection="1">
      <alignment vertical="center"/>
    </xf>
    <xf numFmtId="9" fontId="11" fillId="12" borderId="0" xfId="7" applyFont="1" applyFill="1" applyBorder="1" applyAlignment="1" applyProtection="1">
      <alignment horizontal="center" vertical="center"/>
    </xf>
    <xf numFmtId="9" fontId="11" fillId="0" borderId="0" xfId="7" applyFont="1" applyFill="1" applyBorder="1" applyAlignment="1" applyProtection="1">
      <alignment horizontal="center" vertical="center"/>
    </xf>
    <xf numFmtId="0" fontId="77" fillId="4" borderId="0" xfId="0" applyFont="1" applyFill="1" applyBorder="1" applyAlignment="1" applyProtection="1">
      <alignment horizontal="center" vertical="center"/>
    </xf>
    <xf numFmtId="9" fontId="77" fillId="4" borderId="0" xfId="7" applyFont="1" applyFill="1" applyBorder="1" applyAlignment="1" applyProtection="1">
      <alignment horizontal="center" vertical="center"/>
    </xf>
    <xf numFmtId="0" fontId="13" fillId="12" borderId="0" xfId="0" applyFont="1" applyFill="1" applyAlignment="1" applyProtection="1">
      <alignment vertical="center"/>
    </xf>
    <xf numFmtId="0" fontId="21" fillId="4" borderId="561" xfId="0" applyFont="1" applyFill="1" applyBorder="1" applyAlignment="1" applyProtection="1">
      <alignment horizontal="center" vertical="center"/>
    </xf>
    <xf numFmtId="9" fontId="22" fillId="4" borderId="561" xfId="7" applyFont="1" applyFill="1" applyBorder="1" applyAlignment="1" applyProtection="1">
      <alignment horizontal="center" vertical="center"/>
    </xf>
    <xf numFmtId="9" fontId="22" fillId="4" borderId="685" xfId="7" applyFont="1" applyFill="1" applyBorder="1" applyAlignment="1" applyProtection="1">
      <alignment horizontal="center" vertical="center"/>
    </xf>
    <xf numFmtId="0" fontId="12" fillId="0" borderId="562" xfId="0" applyFont="1" applyFill="1" applyBorder="1" applyAlignment="1" applyProtection="1">
      <alignment vertical="center"/>
    </xf>
    <xf numFmtId="0" fontId="12" fillId="0" borderId="563" xfId="0" applyFont="1" applyFill="1" applyBorder="1" applyAlignment="1" applyProtection="1">
      <alignment vertical="center"/>
    </xf>
    <xf numFmtId="0" fontId="12" fillId="0" borderId="20" xfId="0" applyFont="1" applyFill="1" applyBorder="1" applyAlignment="1" applyProtection="1">
      <alignment horizontal="center" vertical="center"/>
    </xf>
    <xf numFmtId="3" fontId="12" fillId="0" borderId="20" xfId="10" applyNumberFormat="1" applyFont="1" applyFill="1" applyBorder="1" applyAlignment="1" applyProtection="1">
      <alignment horizontal="center" vertical="center"/>
    </xf>
    <xf numFmtId="3" fontId="12" fillId="0" borderId="734" xfId="10" applyNumberFormat="1" applyFont="1" applyFill="1" applyBorder="1" applyAlignment="1" applyProtection="1">
      <alignment horizontal="center" vertical="center"/>
    </xf>
    <xf numFmtId="0" fontId="11" fillId="0" borderId="713" xfId="0" applyFont="1" applyFill="1" applyBorder="1" applyAlignment="1" applyProtection="1">
      <alignment vertical="center"/>
    </xf>
    <xf numFmtId="0" fontId="12" fillId="0" borderId="707" xfId="0" applyFont="1" applyFill="1" applyBorder="1" applyAlignment="1" applyProtection="1">
      <alignment horizontal="center" vertical="center"/>
    </xf>
    <xf numFmtId="3" fontId="11" fillId="0" borderId="707" xfId="0" applyNumberFormat="1" applyFont="1" applyFill="1" applyBorder="1" applyAlignment="1" applyProtection="1">
      <alignment horizontal="center" vertical="center"/>
    </xf>
    <xf numFmtId="3" fontId="11" fillId="0" borderId="709" xfId="0" applyNumberFormat="1" applyFont="1" applyFill="1" applyBorder="1" applyAlignment="1" applyProtection="1">
      <alignment horizontal="center" vertical="center"/>
    </xf>
    <xf numFmtId="0" fontId="11" fillId="0" borderId="710" xfId="0" applyFont="1" applyFill="1" applyBorder="1" applyAlignment="1" applyProtection="1">
      <alignment vertical="center"/>
    </xf>
    <xf numFmtId="0" fontId="12" fillId="0" borderId="704" xfId="0" applyFont="1" applyFill="1" applyBorder="1" applyAlignment="1" applyProtection="1">
      <alignment horizontal="center" vertical="center"/>
    </xf>
    <xf numFmtId="3" fontId="11" fillId="0" borderId="704" xfId="0" applyNumberFormat="1" applyFont="1" applyFill="1" applyBorder="1" applyAlignment="1" applyProtection="1">
      <alignment horizontal="center" vertical="center"/>
    </xf>
    <xf numFmtId="3" fontId="11" fillId="0" borderId="708" xfId="0" applyNumberFormat="1" applyFont="1" applyFill="1" applyBorder="1" applyAlignment="1" applyProtection="1">
      <alignment horizontal="center" vertical="center"/>
    </xf>
    <xf numFmtId="3" fontId="12" fillId="12" borderId="0" xfId="10" applyNumberFormat="1" applyFont="1" applyFill="1" applyAlignment="1" applyProtection="1">
      <alignment vertical="center"/>
    </xf>
    <xf numFmtId="0" fontId="13" fillId="4" borderId="0" xfId="10" applyFont="1" applyFill="1" applyAlignment="1" applyProtection="1">
      <alignment vertical="center"/>
    </xf>
    <xf numFmtId="1" fontId="13" fillId="0" borderId="0" xfId="10" applyNumberFormat="1" applyFont="1" applyFill="1" applyAlignment="1" applyProtection="1">
      <alignment horizontal="center" vertical="center"/>
    </xf>
    <xf numFmtId="0" fontId="12" fillId="4" borderId="561" xfId="0" applyFont="1" applyFill="1" applyBorder="1" applyAlignment="1" applyProtection="1">
      <alignment horizontal="center" vertical="center"/>
    </xf>
    <xf numFmtId="37" fontId="11" fillId="0" borderId="19" xfId="0" applyNumberFormat="1" applyFont="1" applyFill="1" applyBorder="1" applyAlignment="1" applyProtection="1">
      <alignment horizontal="center" vertical="center"/>
    </xf>
    <xf numFmtId="0" fontId="12" fillId="0" borderId="565" xfId="0" applyFont="1" applyFill="1" applyBorder="1" applyAlignment="1" applyProtection="1">
      <alignment vertical="center"/>
    </xf>
    <xf numFmtId="0" fontId="12" fillId="0" borderId="566" xfId="0" applyFont="1" applyFill="1" applyBorder="1" applyAlignment="1" applyProtection="1">
      <alignment horizontal="center" vertical="center"/>
    </xf>
    <xf numFmtId="3" fontId="12" fillId="0" borderId="566" xfId="10" applyNumberFormat="1" applyFont="1" applyFill="1" applyBorder="1" applyAlignment="1" applyProtection="1">
      <alignment horizontal="center" vertical="center"/>
    </xf>
    <xf numFmtId="3" fontId="12" fillId="0" borderId="690" xfId="10" applyNumberFormat="1" applyFont="1" applyFill="1" applyBorder="1" applyAlignment="1" applyProtection="1">
      <alignment horizontal="center" vertical="center"/>
    </xf>
    <xf numFmtId="0" fontId="12" fillId="0" borderId="560" xfId="0" applyFont="1" applyFill="1" applyBorder="1" applyAlignment="1" applyProtection="1">
      <alignment vertical="center"/>
    </xf>
    <xf numFmtId="0" fontId="12" fillId="0" borderId="561" xfId="0" applyFont="1" applyFill="1" applyBorder="1" applyAlignment="1" applyProtection="1">
      <alignment horizontal="center" vertical="center"/>
    </xf>
    <xf numFmtId="3" fontId="12" fillId="0" borderId="561" xfId="10" applyNumberFormat="1" applyFont="1" applyFill="1" applyBorder="1" applyAlignment="1" applyProtection="1">
      <alignment horizontal="center" vertical="center"/>
    </xf>
    <xf numFmtId="3" fontId="12" fillId="0" borderId="685" xfId="10" applyNumberFormat="1" applyFont="1" applyFill="1" applyBorder="1" applyAlignment="1" applyProtection="1">
      <alignment horizontal="center" vertical="center"/>
    </xf>
    <xf numFmtId="3" fontId="12" fillId="12" borderId="735" xfId="10" applyNumberFormat="1" applyFont="1" applyFill="1" applyBorder="1" applyAlignment="1" applyProtection="1">
      <alignment vertical="center"/>
    </xf>
    <xf numFmtId="3" fontId="12" fillId="12" borderId="736" xfId="10" applyNumberFormat="1" applyFont="1" applyFill="1" applyBorder="1" applyAlignment="1" applyProtection="1">
      <alignment vertical="center"/>
    </xf>
    <xf numFmtId="0" fontId="12" fillId="12" borderId="737" xfId="10" applyFont="1" applyFill="1" applyBorder="1" applyAlignment="1" applyProtection="1">
      <alignment vertical="center"/>
    </xf>
    <xf numFmtId="3" fontId="12" fillId="12" borderId="0" xfId="10" applyNumberFormat="1" applyFont="1" applyFill="1" applyBorder="1" applyAlignment="1" applyProtection="1">
      <alignment vertical="center"/>
    </xf>
    <xf numFmtId="0" fontId="12" fillId="0" borderId="560" xfId="10" applyFont="1" applyFill="1" applyBorder="1" applyAlignment="1" applyProtection="1">
      <alignment vertical="center"/>
    </xf>
    <xf numFmtId="0" fontId="12" fillId="0" borderId="561" xfId="10" applyFont="1" applyFill="1" applyBorder="1" applyAlignment="1" applyProtection="1">
      <alignment horizontal="center" vertical="center"/>
    </xf>
    <xf numFmtId="0" fontId="12" fillId="0" borderId="561" xfId="10" applyFont="1" applyFill="1" applyBorder="1" applyAlignment="1" applyProtection="1">
      <alignment vertical="center"/>
    </xf>
    <xf numFmtId="1" fontId="12" fillId="0" borderId="569" xfId="10" applyNumberFormat="1" applyFont="1" applyFill="1" applyBorder="1" applyAlignment="1" applyProtection="1">
      <alignment vertical="center"/>
    </xf>
    <xf numFmtId="1" fontId="12" fillId="0" borderId="561" xfId="10" applyNumberFormat="1" applyFont="1" applyFill="1" applyBorder="1" applyAlignment="1" applyProtection="1">
      <alignment vertical="center"/>
    </xf>
    <xf numFmtId="1" fontId="12" fillId="0" borderId="738" xfId="10" applyNumberFormat="1" applyFont="1" applyFill="1" applyBorder="1" applyAlignment="1" applyProtection="1">
      <alignment vertical="center"/>
    </xf>
    <xf numFmtId="0" fontId="12" fillId="0" borderId="566" xfId="10" applyFont="1" applyFill="1" applyBorder="1" applyAlignment="1" applyProtection="1">
      <alignment vertical="center"/>
    </xf>
    <xf numFmtId="1" fontId="12" fillId="0" borderId="572" xfId="10" applyNumberFormat="1" applyFont="1" applyFill="1" applyBorder="1" applyAlignment="1" applyProtection="1">
      <alignment vertical="center"/>
    </xf>
    <xf numFmtId="1" fontId="12" fillId="0" borderId="566" xfId="10" applyNumberFormat="1" applyFont="1" applyFill="1" applyBorder="1" applyAlignment="1" applyProtection="1">
      <alignment vertical="center"/>
    </xf>
    <xf numFmtId="0" fontId="12" fillId="0" borderId="739" xfId="10" applyFont="1" applyFill="1" applyBorder="1" applyAlignment="1" applyProtection="1">
      <alignment vertical="center"/>
    </xf>
    <xf numFmtId="0" fontId="12" fillId="4" borderId="0" xfId="10" applyFont="1" applyFill="1" applyBorder="1" applyAlignment="1" applyProtection="1">
      <alignment vertical="center"/>
    </xf>
    <xf numFmtId="0" fontId="12" fillId="0" borderId="2" xfId="10" applyFont="1" applyFill="1" applyBorder="1" applyAlignment="1" applyProtection="1">
      <alignment horizontal="center" vertical="center"/>
    </xf>
    <xf numFmtId="0" fontId="49" fillId="0" borderId="0" xfId="0" applyFont="1" applyBorder="1" applyAlignment="1" applyProtection="1">
      <alignment horizontal="justify" vertical="center"/>
    </xf>
    <xf numFmtId="0" fontId="49" fillId="0" borderId="0" xfId="0" applyFont="1" applyBorder="1" applyAlignment="1" applyProtection="1">
      <alignment horizontal="center" vertical="center"/>
    </xf>
    <xf numFmtId="3" fontId="12" fillId="0" borderId="2" xfId="10" applyNumberFormat="1" applyFont="1" applyFill="1" applyBorder="1" applyAlignment="1" applyProtection="1">
      <alignment horizontal="center" vertical="center"/>
    </xf>
    <xf numFmtId="166" fontId="12" fillId="0" borderId="2" xfId="10" applyNumberFormat="1" applyFont="1" applyFill="1" applyBorder="1" applyAlignment="1" applyProtection="1">
      <alignment horizontal="center" vertical="center"/>
    </xf>
    <xf numFmtId="0" fontId="49" fillId="0" borderId="20" xfId="0" applyFont="1" applyBorder="1" applyAlignment="1" applyProtection="1">
      <alignment horizontal="justify" vertical="center"/>
    </xf>
    <xf numFmtId="0" fontId="49" fillId="0" borderId="48" xfId="0" applyFont="1" applyBorder="1" applyAlignment="1" applyProtection="1">
      <alignment horizontal="center" vertical="center"/>
    </xf>
    <xf numFmtId="3" fontId="12" fillId="4" borderId="2" xfId="10" applyNumberFormat="1" applyFont="1" applyFill="1" applyBorder="1" applyAlignment="1" applyProtection="1">
      <alignment horizontal="right" vertical="center"/>
    </xf>
    <xf numFmtId="0" fontId="32" fillId="0" borderId="41" xfId="0" applyFont="1" applyBorder="1" applyAlignment="1" applyProtection="1">
      <alignment horizontal="left" vertical="center"/>
    </xf>
    <xf numFmtId="0" fontId="49" fillId="0" borderId="43" xfId="0" applyFont="1" applyBorder="1" applyAlignment="1" applyProtection="1">
      <alignment horizontal="center" vertical="center"/>
    </xf>
    <xf numFmtId="0" fontId="12" fillId="4" borderId="2" xfId="10" applyFont="1" applyFill="1" applyBorder="1" applyAlignment="1" applyProtection="1">
      <alignment vertical="center"/>
    </xf>
    <xf numFmtId="3" fontId="12" fillId="4" borderId="2" xfId="10" applyNumberFormat="1" applyFont="1" applyFill="1" applyBorder="1" applyAlignment="1" applyProtection="1">
      <alignment horizontal="center" vertical="center"/>
    </xf>
    <xf numFmtId="9" fontId="12" fillId="0" borderId="2" xfId="7" applyFont="1" applyFill="1" applyBorder="1" applyAlignment="1" applyProtection="1">
      <alignment horizontal="left" vertical="center"/>
    </xf>
    <xf numFmtId="0" fontId="12" fillId="0" borderId="44" xfId="10" applyFont="1" applyFill="1" applyBorder="1" applyAlignment="1" applyProtection="1">
      <alignment horizontal="center" vertical="center"/>
    </xf>
    <xf numFmtId="0" fontId="12" fillId="0" borderId="43" xfId="10" applyFont="1" applyFill="1" applyBorder="1" applyAlignment="1" applyProtection="1">
      <alignment vertical="center"/>
    </xf>
    <xf numFmtId="0" fontId="12" fillId="0" borderId="41" xfId="10" applyFont="1" applyFill="1" applyBorder="1" applyAlignment="1" applyProtection="1">
      <alignment vertical="center"/>
    </xf>
    <xf numFmtId="3" fontId="12" fillId="4" borderId="6" xfId="10" applyNumberFormat="1" applyFont="1" applyFill="1" applyBorder="1" applyAlignment="1" applyProtection="1">
      <alignment horizontal="center" vertical="center"/>
    </xf>
    <xf numFmtId="0" fontId="13" fillId="0" borderId="0" xfId="10" applyFont="1" applyFill="1" applyBorder="1" applyAlignment="1" applyProtection="1">
      <alignment vertical="center"/>
    </xf>
    <xf numFmtId="0" fontId="12" fillId="0" borderId="0" xfId="0" applyFont="1" applyFill="1" applyProtection="1"/>
    <xf numFmtId="0" fontId="14" fillId="0" borderId="0" xfId="12" applyFont="1" applyFill="1" applyAlignment="1" applyProtection="1">
      <alignment vertical="center"/>
    </xf>
    <xf numFmtId="0" fontId="12" fillId="0" borderId="0" xfId="10" applyNumberFormat="1" applyFont="1" applyFill="1" applyBorder="1" applyAlignment="1" applyProtection="1">
      <alignment horizontal="center" vertical="center"/>
    </xf>
    <xf numFmtId="0" fontId="11" fillId="0" borderId="0" xfId="10" applyNumberFormat="1" applyFont="1" applyFill="1" applyBorder="1" applyAlignment="1" applyProtection="1">
      <alignment horizontal="center" vertical="center"/>
    </xf>
    <xf numFmtId="0" fontId="12" fillId="0" borderId="0" xfId="10" applyNumberFormat="1" applyFont="1" applyFill="1" applyBorder="1" applyAlignment="1" applyProtection="1">
      <alignment vertical="center"/>
    </xf>
    <xf numFmtId="0" fontId="12" fillId="12" borderId="621" xfId="10" applyFont="1" applyFill="1" applyBorder="1" applyAlignment="1" applyProtection="1">
      <alignment horizontal="center" vertical="center"/>
    </xf>
    <xf numFmtId="0" fontId="12" fillId="12" borderId="606" xfId="10" applyFont="1" applyFill="1" applyBorder="1" applyAlignment="1" applyProtection="1">
      <alignment horizontal="center" vertical="center"/>
    </xf>
    <xf numFmtId="0" fontId="12" fillId="12" borderId="506" xfId="10" applyFont="1" applyFill="1" applyBorder="1" applyAlignment="1" applyProtection="1">
      <alignment horizontal="center" vertical="center"/>
    </xf>
    <xf numFmtId="0" fontId="12" fillId="12" borderId="611" xfId="10" applyFont="1" applyFill="1" applyBorder="1" applyAlignment="1" applyProtection="1">
      <alignment horizontal="center" vertical="center"/>
    </xf>
    <xf numFmtId="0" fontId="12" fillId="12" borderId="612" xfId="10" applyFont="1" applyFill="1" applyBorder="1" applyAlignment="1" applyProtection="1">
      <alignment horizontal="center" vertical="center"/>
    </xf>
    <xf numFmtId="0" fontId="12" fillId="12" borderId="509" xfId="10" applyFont="1" applyFill="1" applyBorder="1" applyAlignment="1" applyProtection="1">
      <alignment horizontal="center" vertical="center"/>
    </xf>
    <xf numFmtId="0" fontId="12" fillId="12" borderId="662" xfId="10" applyFont="1" applyFill="1" applyBorder="1" applyAlignment="1" applyProtection="1">
      <alignment horizontal="center" vertical="center"/>
    </xf>
    <xf numFmtId="0" fontId="12" fillId="12" borderId="663" xfId="10" applyFont="1" applyFill="1" applyBorder="1" applyAlignment="1" applyProtection="1">
      <alignment horizontal="center" vertical="center"/>
    </xf>
    <xf numFmtId="0" fontId="12" fillId="12" borderId="664" xfId="10" applyFont="1" applyFill="1" applyBorder="1" applyAlignment="1" applyProtection="1">
      <alignment horizontal="center" vertical="center"/>
    </xf>
    <xf numFmtId="0" fontId="12" fillId="12" borderId="527" xfId="10" applyFont="1" applyFill="1" applyBorder="1" applyAlignment="1" applyProtection="1">
      <alignment vertical="center"/>
    </xf>
    <xf numFmtId="0" fontId="12" fillId="12" borderId="665" xfId="10" applyFont="1" applyFill="1" applyBorder="1" applyAlignment="1" applyProtection="1">
      <alignment vertical="center"/>
    </xf>
    <xf numFmtId="9" fontId="12" fillId="12" borderId="324" xfId="7" applyFont="1" applyFill="1" applyBorder="1" applyAlignment="1" applyProtection="1">
      <alignment horizontal="center" vertical="center"/>
    </xf>
    <xf numFmtId="0" fontId="12" fillId="0" borderId="661" xfId="10" applyFont="1" applyFill="1" applyBorder="1" applyAlignment="1" applyProtection="1">
      <alignment horizontal="center" vertical="center"/>
    </xf>
    <xf numFmtId="0" fontId="11" fillId="12" borderId="41" xfId="10" applyFont="1" applyFill="1" applyBorder="1" applyAlignment="1" applyProtection="1">
      <alignment vertical="center"/>
    </xf>
    <xf numFmtId="0" fontId="11" fillId="10" borderId="657" xfId="0" applyFont="1" applyFill="1" applyBorder="1" applyAlignment="1" applyProtection="1">
      <alignment vertical="center"/>
    </xf>
    <xf numFmtId="0" fontId="12" fillId="10" borderId="658" xfId="10" applyFont="1" applyFill="1" applyBorder="1" applyAlignment="1" applyProtection="1">
      <alignment horizontal="center" vertical="center"/>
    </xf>
    <xf numFmtId="0" fontId="11" fillId="10" borderId="658" xfId="10" applyFont="1" applyFill="1" applyBorder="1" applyAlignment="1" applyProtection="1">
      <alignment vertical="center"/>
    </xf>
    <xf numFmtId="1" fontId="11" fillId="10" borderId="226" xfId="10" applyNumberFormat="1" applyFont="1" applyFill="1" applyBorder="1" applyAlignment="1" applyProtection="1">
      <alignment horizontal="center" vertical="center"/>
    </xf>
    <xf numFmtId="1" fontId="11" fillId="10" borderId="227" xfId="10" applyNumberFormat="1" applyFont="1" applyFill="1" applyBorder="1" applyAlignment="1" applyProtection="1">
      <alignment horizontal="center" vertical="center"/>
    </xf>
    <xf numFmtId="1" fontId="11" fillId="10" borderId="228" xfId="10" applyNumberFormat="1" applyFont="1" applyFill="1" applyBorder="1" applyAlignment="1" applyProtection="1">
      <alignment horizontal="center" vertical="center"/>
    </xf>
    <xf numFmtId="1" fontId="12" fillId="12" borderId="54" xfId="10" applyNumberFormat="1" applyFont="1" applyFill="1" applyBorder="1" applyAlignment="1" applyProtection="1">
      <alignment horizontal="center" vertical="center"/>
    </xf>
    <xf numFmtId="0" fontId="12" fillId="12" borderId="526" xfId="0" applyFont="1" applyFill="1" applyBorder="1" applyAlignment="1" applyProtection="1">
      <alignment vertical="center"/>
    </xf>
    <xf numFmtId="0" fontId="12" fillId="12" borderId="527" xfId="10" applyFont="1" applyFill="1" applyBorder="1" applyAlignment="1" applyProtection="1">
      <alignment horizontal="center" vertical="center"/>
    </xf>
    <xf numFmtId="165" fontId="12" fillId="12" borderId="512" xfId="10" applyNumberFormat="1" applyFont="1" applyFill="1" applyBorder="1" applyAlignment="1" applyProtection="1">
      <alignment horizontal="center" vertical="center"/>
    </xf>
    <xf numFmtId="0" fontId="12" fillId="12" borderId="259" xfId="10" applyFont="1" applyFill="1" applyBorder="1" applyAlignment="1" applyProtection="1">
      <alignment horizontal="center" vertical="center"/>
    </xf>
    <xf numFmtId="0" fontId="12" fillId="12" borderId="59" xfId="10" applyFont="1" applyFill="1" applyBorder="1" applyAlignment="1" applyProtection="1">
      <alignment vertical="center"/>
    </xf>
    <xf numFmtId="1" fontId="12" fillId="12" borderId="354" xfId="10" applyNumberFormat="1" applyFont="1" applyFill="1" applyBorder="1" applyAlignment="1" applyProtection="1">
      <alignment horizontal="center" vertical="center"/>
    </xf>
    <xf numFmtId="1" fontId="12" fillId="12" borderId="355" xfId="10" applyNumberFormat="1" applyFont="1" applyFill="1" applyBorder="1" applyAlignment="1" applyProtection="1">
      <alignment horizontal="center" vertical="center"/>
    </xf>
    <xf numFmtId="1" fontId="12" fillId="12" borderId="356" xfId="10" applyNumberFormat="1" applyFont="1" applyFill="1" applyBorder="1" applyAlignment="1" applyProtection="1">
      <alignment horizontal="center" vertical="center"/>
    </xf>
    <xf numFmtId="0" fontId="12" fillId="12" borderId="57" xfId="10" applyFont="1" applyFill="1" applyBorder="1" applyAlignment="1" applyProtection="1">
      <alignment horizontal="center" vertical="center"/>
    </xf>
    <xf numFmtId="0" fontId="22" fillId="0" borderId="0" xfId="10" applyFont="1" applyFill="1" applyAlignment="1" applyProtection="1">
      <alignment horizontal="left" vertical="center"/>
    </xf>
    <xf numFmtId="171" fontId="19" fillId="7" borderId="97" xfId="10" applyNumberFormat="1" applyFont="1" applyFill="1" applyBorder="1" applyAlignment="1" applyProtection="1">
      <alignment horizontal="left" vertical="center"/>
    </xf>
    <xf numFmtId="37" fontId="12" fillId="0" borderId="233" xfId="10" applyNumberFormat="1" applyFont="1" applyFill="1" applyBorder="1" applyAlignment="1" applyProtection="1">
      <alignment horizontal="center" vertical="center"/>
    </xf>
    <xf numFmtId="0" fontId="11" fillId="10" borderId="46" xfId="10" applyFont="1" applyFill="1" applyBorder="1" applyAlignment="1" applyProtection="1">
      <alignment vertical="center"/>
    </xf>
    <xf numFmtId="1" fontId="12" fillId="10" borderId="20" xfId="10" applyNumberFormat="1" applyFont="1" applyFill="1" applyBorder="1" applyAlignment="1" applyProtection="1">
      <alignment horizontal="center" vertical="center"/>
    </xf>
    <xf numFmtId="0" fontId="12" fillId="12" borderId="48" xfId="10" applyFont="1" applyFill="1" applyBorder="1" applyAlignment="1" applyProtection="1">
      <alignment vertical="center"/>
    </xf>
    <xf numFmtId="0" fontId="11" fillId="10" borderId="50" xfId="10" applyFont="1" applyFill="1" applyBorder="1" applyAlignment="1" applyProtection="1">
      <alignment horizontal="center" vertical="center"/>
    </xf>
    <xf numFmtId="9" fontId="12" fillId="12" borderId="322" xfId="7" applyFont="1" applyFill="1" applyBorder="1" applyAlignment="1" applyProtection="1">
      <alignment horizontal="center" vertical="center"/>
    </xf>
    <xf numFmtId="0" fontId="12" fillId="0" borderId="359" xfId="10" applyFont="1" applyFill="1" applyBorder="1" applyAlignment="1" applyProtection="1">
      <alignment horizontal="center" vertical="center"/>
    </xf>
    <xf numFmtId="2" fontId="12" fillId="0" borderId="229" xfId="10" applyNumberFormat="1" applyFont="1" applyFill="1" applyBorder="1" applyAlignment="1" applyProtection="1">
      <alignment horizontal="center" vertical="center"/>
    </xf>
    <xf numFmtId="2" fontId="12" fillId="0" borderId="230" xfId="10" applyNumberFormat="1" applyFont="1" applyFill="1" applyBorder="1" applyAlignment="1" applyProtection="1">
      <alignment horizontal="center" vertical="center"/>
    </xf>
    <xf numFmtId="2" fontId="12" fillId="0" borderId="231" xfId="10" applyNumberFormat="1" applyFont="1" applyFill="1" applyBorder="1" applyAlignment="1" applyProtection="1">
      <alignment horizontal="center" vertical="center"/>
    </xf>
    <xf numFmtId="1" fontId="11" fillId="10" borderId="285" xfId="10" applyNumberFormat="1" applyFont="1" applyFill="1" applyBorder="1" applyAlignment="1" applyProtection="1">
      <alignment horizontal="center" vertical="center"/>
    </xf>
    <xf numFmtId="1" fontId="11" fillId="10" borderId="327" xfId="10" applyNumberFormat="1" applyFont="1" applyFill="1" applyBorder="1" applyAlignment="1" applyProtection="1">
      <alignment horizontal="center" vertical="center"/>
    </xf>
    <xf numFmtId="165" fontId="12" fillId="12" borderId="482" xfId="10" applyNumberFormat="1" applyFont="1" applyFill="1" applyBorder="1" applyAlignment="1" applyProtection="1">
      <alignment horizontal="center" vertical="center"/>
    </xf>
    <xf numFmtId="1" fontId="12" fillId="12" borderId="361" xfId="10" applyNumberFormat="1" applyFont="1" applyFill="1" applyBorder="1" applyAlignment="1" applyProtection="1">
      <alignment horizontal="center" vertical="center"/>
    </xf>
    <xf numFmtId="1" fontId="12" fillId="12" borderId="362" xfId="10" applyNumberFormat="1" applyFont="1" applyFill="1" applyBorder="1" applyAlignment="1" applyProtection="1">
      <alignment horizontal="center" vertical="center"/>
    </xf>
    <xf numFmtId="1" fontId="12" fillId="12" borderId="363" xfId="10" applyNumberFormat="1" applyFont="1" applyFill="1" applyBorder="1" applyAlignment="1" applyProtection="1">
      <alignment horizontal="center" vertical="center"/>
    </xf>
    <xf numFmtId="171" fontId="19" fillId="7" borderId="96" xfId="10" applyNumberFormat="1" applyFont="1" applyFill="1" applyBorder="1" applyAlignment="1" applyProtection="1">
      <alignment horizontal="left" vertical="center"/>
    </xf>
    <xf numFmtId="1" fontId="31" fillId="12" borderId="255" xfId="10" applyNumberFormat="1" applyFont="1" applyFill="1" applyBorder="1" applyAlignment="1" applyProtection="1">
      <alignment horizontal="center" vertical="center"/>
    </xf>
    <xf numFmtId="1" fontId="12" fillId="12" borderId="366" xfId="10" applyNumberFormat="1" applyFont="1" applyFill="1" applyBorder="1" applyAlignment="1" applyProtection="1">
      <alignment horizontal="center" vertical="center"/>
    </xf>
    <xf numFmtId="1" fontId="31" fillId="12" borderId="126" xfId="10" applyNumberFormat="1" applyFont="1" applyFill="1" applyBorder="1" applyAlignment="1" applyProtection="1">
      <alignment horizontal="center" vertical="center"/>
    </xf>
    <xf numFmtId="1" fontId="12" fillId="12" borderId="322" xfId="10" applyNumberFormat="1" applyFont="1" applyFill="1" applyBorder="1" applyAlignment="1" applyProtection="1">
      <alignment horizontal="center" vertical="center"/>
    </xf>
    <xf numFmtId="1" fontId="12" fillId="10" borderId="0" xfId="10" applyNumberFormat="1" applyFont="1" applyFill="1" applyBorder="1" applyAlignment="1" applyProtection="1">
      <alignment horizontal="center" vertical="center"/>
    </xf>
    <xf numFmtId="0" fontId="12" fillId="0" borderId="364" xfId="10" applyFont="1" applyFill="1" applyBorder="1" applyAlignment="1" applyProtection="1">
      <alignment horizontal="center" vertical="center"/>
    </xf>
    <xf numFmtId="166" fontId="12" fillId="0" borderId="611" xfId="10" applyNumberFormat="1" applyFont="1" applyFill="1" applyBorder="1" applyAlignment="1" applyProtection="1">
      <alignment horizontal="center" vertical="center"/>
    </xf>
    <xf numFmtId="166" fontId="12" fillId="0" borderId="612" xfId="10" applyNumberFormat="1" applyFont="1" applyFill="1" applyBorder="1" applyAlignment="1" applyProtection="1">
      <alignment horizontal="center" vertical="center"/>
    </xf>
    <xf numFmtId="166" fontId="12" fillId="0" borderId="509" xfId="10" applyNumberFormat="1" applyFont="1" applyFill="1" applyBorder="1" applyAlignment="1" applyProtection="1">
      <alignment horizontal="center" vertical="center"/>
    </xf>
    <xf numFmtId="1" fontId="12" fillId="12" borderId="607" xfId="10" applyNumberFormat="1" applyFont="1" applyFill="1" applyBorder="1" applyAlignment="1" applyProtection="1">
      <alignment horizontal="center" vertical="center"/>
    </xf>
    <xf numFmtId="1" fontId="11" fillId="10" borderId="668" xfId="10" applyNumberFormat="1" applyFont="1" applyFill="1" applyBorder="1" applyAlignment="1" applyProtection="1">
      <alignment horizontal="center" vertical="center"/>
    </xf>
    <xf numFmtId="1" fontId="11" fillId="10" borderId="669" xfId="10" applyNumberFormat="1" applyFont="1" applyFill="1" applyBorder="1" applyAlignment="1" applyProtection="1">
      <alignment horizontal="center" vertical="center"/>
    </xf>
    <xf numFmtId="1" fontId="11" fillId="10" borderId="670" xfId="10" applyNumberFormat="1" applyFont="1" applyFill="1" applyBorder="1" applyAlignment="1" applyProtection="1">
      <alignment horizontal="center" vertical="center"/>
    </xf>
    <xf numFmtId="1" fontId="12" fillId="12" borderId="659" xfId="10" applyNumberFormat="1" applyFont="1" applyFill="1" applyBorder="1" applyAlignment="1" applyProtection="1">
      <alignment horizontal="center" vertical="center"/>
    </xf>
    <xf numFmtId="0" fontId="12" fillId="12" borderId="347" xfId="0" applyFont="1" applyFill="1" applyBorder="1" applyAlignment="1" applyProtection="1">
      <alignment vertical="center"/>
    </xf>
    <xf numFmtId="0" fontId="12" fillId="12" borderId="201" xfId="10" applyFont="1" applyFill="1" applyBorder="1" applyAlignment="1" applyProtection="1">
      <alignment horizontal="center" vertical="center"/>
    </xf>
    <xf numFmtId="0" fontId="12" fillId="12" borderId="201" xfId="10" applyFont="1" applyFill="1" applyBorder="1" applyAlignment="1" applyProtection="1">
      <alignment vertical="center"/>
    </xf>
    <xf numFmtId="0" fontId="12" fillId="12" borderId="660" xfId="10" applyFont="1" applyFill="1" applyBorder="1" applyAlignment="1" applyProtection="1">
      <alignment vertical="center"/>
    </xf>
    <xf numFmtId="1" fontId="31" fillId="12" borderId="227" xfId="10" applyNumberFormat="1" applyFont="1" applyFill="1" applyBorder="1" applyAlignment="1" applyProtection="1">
      <alignment horizontal="center" vertical="center"/>
    </xf>
    <xf numFmtId="0" fontId="12" fillId="0" borderId="232" xfId="10" applyFont="1" applyFill="1" applyBorder="1" applyAlignment="1" applyProtection="1">
      <alignment horizontal="center" vertical="center"/>
    </xf>
    <xf numFmtId="0" fontId="12" fillId="0" borderId="233" xfId="10" applyFont="1" applyFill="1" applyBorder="1" applyAlignment="1" applyProtection="1">
      <alignment horizontal="center" vertical="center"/>
    </xf>
    <xf numFmtId="0" fontId="12" fillId="0" borderId="234" xfId="10" applyFont="1" applyFill="1" applyBorder="1" applyAlignment="1" applyProtection="1">
      <alignment horizontal="center" vertical="center"/>
    </xf>
    <xf numFmtId="0" fontId="12" fillId="0" borderId="672" xfId="10" applyFont="1" applyFill="1" applyBorder="1" applyAlignment="1" applyProtection="1">
      <alignment horizontal="center" vertical="center"/>
    </xf>
    <xf numFmtId="1" fontId="12" fillId="0" borderId="336" xfId="10" applyNumberFormat="1" applyFont="1" applyFill="1" applyBorder="1" applyAlignment="1" applyProtection="1">
      <alignment horizontal="center" vertical="center"/>
    </xf>
    <xf numFmtId="0" fontId="12" fillId="0" borderId="336" xfId="10" applyFont="1" applyFill="1" applyBorder="1" applyAlignment="1" applyProtection="1">
      <alignment horizontal="center" vertical="center"/>
    </xf>
    <xf numFmtId="3" fontId="11" fillId="0" borderId="223" xfId="10" applyNumberFormat="1" applyFont="1" applyFill="1" applyBorder="1" applyAlignment="1" applyProtection="1">
      <alignment horizontal="center" vertical="center"/>
    </xf>
    <xf numFmtId="3" fontId="11" fillId="12" borderId="223" xfId="10" applyNumberFormat="1" applyFont="1" applyFill="1" applyBorder="1" applyAlignment="1" applyProtection="1">
      <alignment horizontal="center" vertical="center"/>
    </xf>
    <xf numFmtId="1" fontId="11" fillId="10" borderId="370" xfId="10" applyNumberFormat="1" applyFont="1" applyFill="1" applyBorder="1" applyAlignment="1" applyProtection="1">
      <alignment horizontal="center" vertical="center"/>
    </xf>
    <xf numFmtId="1" fontId="11" fillId="10" borderId="287" xfId="10" applyNumberFormat="1" applyFont="1" applyFill="1" applyBorder="1" applyAlignment="1" applyProtection="1">
      <alignment horizontal="center" vertical="center"/>
    </xf>
    <xf numFmtId="1" fontId="12" fillId="12" borderId="671" xfId="10" applyNumberFormat="1" applyFont="1" applyFill="1" applyBorder="1" applyAlignment="1" applyProtection="1">
      <alignment horizontal="center" vertical="center"/>
    </xf>
    <xf numFmtId="0" fontId="12" fillId="0" borderId="94" xfId="10" applyFont="1" applyFill="1" applyBorder="1" applyAlignment="1" applyProtection="1">
      <alignment horizontal="left" vertical="center"/>
    </xf>
    <xf numFmtId="0" fontId="12" fillId="0" borderId="95" xfId="10" applyFont="1" applyFill="1" applyBorder="1" applyAlignment="1" applyProtection="1">
      <alignment vertical="center"/>
    </xf>
    <xf numFmtId="166" fontId="12" fillId="12" borderId="50" xfId="10" applyNumberFormat="1" applyFont="1" applyFill="1" applyBorder="1" applyAlignment="1" applyProtection="1">
      <alignment horizontal="center" vertical="center"/>
    </xf>
    <xf numFmtId="39" fontId="12" fillId="0" borderId="7" xfId="10" applyNumberFormat="1" applyFont="1" applyFill="1" applyBorder="1" applyAlignment="1" applyProtection="1">
      <alignment horizontal="center" vertical="center"/>
    </xf>
    <xf numFmtId="0" fontId="12" fillId="0" borderId="5" xfId="10" applyFont="1" applyFill="1" applyBorder="1" applyAlignment="1" applyProtection="1">
      <alignment horizontal="left" vertical="center"/>
    </xf>
    <xf numFmtId="166" fontId="12" fillId="12" borderId="371" xfId="10" applyNumberFormat="1" applyFont="1" applyFill="1" applyBorder="1" applyAlignment="1" applyProtection="1">
      <alignment horizontal="center" vertical="center"/>
    </xf>
    <xf numFmtId="171" fontId="12" fillId="0" borderId="57" xfId="7" applyNumberFormat="1" applyFont="1" applyFill="1" applyBorder="1" applyAlignment="1" applyProtection="1">
      <alignment horizontal="center" vertical="center"/>
    </xf>
    <xf numFmtId="0" fontId="12" fillId="0" borderId="0" xfId="0" applyFont="1" applyProtection="1"/>
    <xf numFmtId="0" fontId="60" fillId="23" borderId="0" xfId="10" applyFont="1" applyFill="1" applyAlignment="1" applyProtection="1">
      <alignment horizontal="left" vertical="center"/>
    </xf>
    <xf numFmtId="0" fontId="60" fillId="23" borderId="0" xfId="10" applyFont="1" applyFill="1" applyBorder="1" applyAlignment="1" applyProtection="1">
      <alignment horizontal="left" vertical="center"/>
    </xf>
    <xf numFmtId="171" fontId="60" fillId="23" borderId="0" xfId="10" applyNumberFormat="1" applyFont="1" applyFill="1" applyBorder="1" applyAlignment="1" applyProtection="1">
      <alignment horizontal="left" vertical="center"/>
    </xf>
    <xf numFmtId="0" fontId="60" fillId="23" borderId="0" xfId="10" applyFont="1" applyFill="1" applyBorder="1" applyAlignment="1" applyProtection="1">
      <alignment vertical="center"/>
    </xf>
    <xf numFmtId="171" fontId="60" fillId="23" borderId="0" xfId="7" applyNumberFormat="1" applyFont="1" applyFill="1" applyBorder="1" applyAlignment="1" applyProtection="1">
      <alignment horizontal="center" vertical="center"/>
    </xf>
    <xf numFmtId="0" fontId="12" fillId="4" borderId="0" xfId="10" applyFont="1" applyFill="1" applyBorder="1" applyAlignment="1" applyProtection="1">
      <alignment horizontal="center" vertical="center"/>
    </xf>
    <xf numFmtId="0" fontId="13" fillId="4" borderId="0" xfId="10" applyFont="1" applyFill="1" applyAlignment="1" applyProtection="1">
      <alignment horizontal="center" vertical="center"/>
    </xf>
    <xf numFmtId="0" fontId="13" fillId="4" borderId="0" xfId="0" applyFont="1" applyFill="1" applyAlignment="1" applyProtection="1">
      <alignment vertical="center"/>
    </xf>
    <xf numFmtId="0" fontId="13" fillId="4" borderId="560" xfId="10" applyFont="1" applyFill="1" applyBorder="1" applyAlignment="1" applyProtection="1">
      <alignment horizontal="center" vertical="center"/>
    </xf>
    <xf numFmtId="0" fontId="13" fillId="4" borderId="685" xfId="10" applyFont="1" applyFill="1" applyBorder="1" applyAlignment="1" applyProtection="1">
      <alignment horizontal="center" vertical="center"/>
    </xf>
    <xf numFmtId="0" fontId="12" fillId="0" borderId="562" xfId="10" applyFont="1" applyFill="1" applyBorder="1" applyAlignment="1" applyProtection="1">
      <alignment horizontal="center" vertical="center"/>
    </xf>
    <xf numFmtId="0" fontId="78" fillId="4" borderId="560" xfId="0" applyFont="1" applyFill="1" applyBorder="1" applyProtection="1"/>
    <xf numFmtId="0" fontId="13" fillId="4" borderId="561" xfId="10" applyFont="1" applyFill="1" applyBorder="1" applyAlignment="1" applyProtection="1">
      <alignment horizontal="center" vertical="center"/>
    </xf>
    <xf numFmtId="0" fontId="13" fillId="4" borderId="561" xfId="10" applyFont="1" applyFill="1" applyBorder="1" applyAlignment="1" applyProtection="1">
      <alignment vertical="center"/>
    </xf>
    <xf numFmtId="1" fontId="12" fillId="0" borderId="562" xfId="10" applyNumberFormat="1" applyFont="1" applyFill="1" applyBorder="1" applyAlignment="1" applyProtection="1">
      <alignment horizontal="center" vertical="center"/>
    </xf>
    <xf numFmtId="1" fontId="12" fillId="4" borderId="565" xfId="10" applyNumberFormat="1" applyFont="1" applyFill="1" applyBorder="1" applyAlignment="1" applyProtection="1">
      <alignment horizontal="center" vertical="center"/>
    </xf>
    <xf numFmtId="1" fontId="12" fillId="4" borderId="690" xfId="10" applyNumberFormat="1" applyFont="1" applyFill="1" applyBorder="1" applyAlignment="1" applyProtection="1">
      <alignment horizontal="center" vertical="center"/>
    </xf>
    <xf numFmtId="10" fontId="11" fillId="12" borderId="0" xfId="7" applyNumberFormat="1" applyFont="1" applyFill="1" applyBorder="1" applyAlignment="1" applyProtection="1">
      <alignment horizontal="center" vertical="center"/>
    </xf>
    <xf numFmtId="0" fontId="21" fillId="4" borderId="0" xfId="0" applyFont="1" applyFill="1" applyBorder="1" applyAlignment="1" applyProtection="1">
      <alignment horizontal="center" vertical="center"/>
    </xf>
    <xf numFmtId="9" fontId="22" fillId="4" borderId="0" xfId="7" applyFont="1" applyFill="1" applyBorder="1" applyAlignment="1" applyProtection="1">
      <alignment horizontal="center" vertical="center"/>
    </xf>
    <xf numFmtId="0" fontId="11" fillId="0" borderId="565" xfId="0" applyFont="1" applyFill="1" applyBorder="1" applyAlignment="1" applyProtection="1">
      <alignment vertical="center"/>
    </xf>
    <xf numFmtId="0" fontId="11" fillId="0" borderId="566" xfId="0" applyFont="1" applyFill="1" applyBorder="1" applyAlignment="1" applyProtection="1">
      <alignment horizontal="center" vertical="center"/>
    </xf>
    <xf numFmtId="3" fontId="11" fillId="0" borderId="566" xfId="10" applyNumberFormat="1" applyFont="1" applyFill="1" applyBorder="1" applyAlignment="1" applyProtection="1">
      <alignment horizontal="center" vertical="center"/>
    </xf>
    <xf numFmtId="3" fontId="11" fillId="0" borderId="690" xfId="10" applyNumberFormat="1" applyFont="1" applyFill="1" applyBorder="1" applyAlignment="1" applyProtection="1">
      <alignment horizontal="center" vertical="center"/>
    </xf>
    <xf numFmtId="0" fontId="13" fillId="4" borderId="710" xfId="10" applyFont="1" applyFill="1" applyBorder="1" applyAlignment="1" applyProtection="1">
      <alignment vertical="center"/>
    </xf>
    <xf numFmtId="0" fontId="12" fillId="4" borderId="704" xfId="0" applyFont="1" applyFill="1" applyBorder="1" applyAlignment="1" applyProtection="1">
      <alignment horizontal="center" vertical="center"/>
    </xf>
    <xf numFmtId="1" fontId="11" fillId="4" borderId="704" xfId="7" applyNumberFormat="1" applyFont="1" applyFill="1" applyBorder="1" applyAlignment="1" applyProtection="1">
      <alignment horizontal="center" vertical="center"/>
    </xf>
    <xf numFmtId="1" fontId="11" fillId="4" borderId="708" xfId="7" applyNumberFormat="1" applyFont="1" applyFill="1" applyBorder="1" applyAlignment="1" applyProtection="1">
      <alignment horizontal="center" vertical="center"/>
    </xf>
    <xf numFmtId="0" fontId="12" fillId="0" borderId="44" xfId="10" applyFont="1" applyFill="1" applyBorder="1" applyAlignment="1" applyProtection="1">
      <alignment vertical="center"/>
    </xf>
    <xf numFmtId="3" fontId="12" fillId="0" borderId="0" xfId="10" applyNumberFormat="1" applyFont="1" applyFill="1" applyBorder="1" applyAlignment="1" applyProtection="1">
      <alignment horizontal="right" vertical="center"/>
    </xf>
    <xf numFmtId="0" fontId="32" fillId="0" borderId="0" xfId="0" applyFont="1" applyFill="1" applyBorder="1" applyAlignment="1" applyProtection="1">
      <alignment horizontal="left" vertical="center"/>
    </xf>
    <xf numFmtId="9" fontId="12" fillId="4" borderId="2" xfId="7" applyFont="1" applyFill="1" applyBorder="1" applyAlignment="1" applyProtection="1">
      <alignment horizontal="left" vertical="center"/>
    </xf>
    <xf numFmtId="37" fontId="13" fillId="12" borderId="0" xfId="0" applyNumberFormat="1" applyFont="1" applyFill="1" applyProtection="1"/>
    <xf numFmtId="37" fontId="12" fillId="12" borderId="0" xfId="0" applyNumberFormat="1" applyFont="1" applyFill="1" applyProtection="1"/>
    <xf numFmtId="37" fontId="12" fillId="12" borderId="0" xfId="0" applyNumberFormat="1" applyFont="1" applyFill="1" applyBorder="1" applyProtection="1"/>
    <xf numFmtId="37" fontId="12" fillId="12" borderId="0" xfId="0" applyNumberFormat="1" applyFont="1" applyFill="1" applyAlignment="1" applyProtection="1">
      <alignment horizontal="center"/>
    </xf>
    <xf numFmtId="37" fontId="14" fillId="0" borderId="0" xfId="12" applyNumberFormat="1" applyFont="1" applyFill="1" applyProtection="1"/>
    <xf numFmtId="37" fontId="12" fillId="0" borderId="0" xfId="0" applyNumberFormat="1" applyFont="1" applyFill="1" applyProtection="1"/>
    <xf numFmtId="37" fontId="12" fillId="0" borderId="0" xfId="0" applyNumberFormat="1" applyFont="1" applyFill="1" applyAlignment="1" applyProtection="1">
      <alignment horizontal="left"/>
    </xf>
    <xf numFmtId="37" fontId="12" fillId="12" borderId="0" xfId="0" applyNumberFormat="1" applyFont="1" applyFill="1" applyAlignment="1" applyProtection="1">
      <alignment horizontal="left"/>
    </xf>
    <xf numFmtId="37" fontId="12" fillId="0" borderId="0" xfId="6" applyNumberFormat="1" applyFont="1" applyFill="1" applyAlignment="1" applyProtection="1">
      <alignment vertical="center"/>
    </xf>
    <xf numFmtId="37" fontId="12" fillId="10" borderId="93" xfId="6" applyNumberFormat="1" applyFont="1" applyFill="1" applyBorder="1" applyAlignment="1" applyProtection="1">
      <alignment vertical="center"/>
    </xf>
    <xf numFmtId="37" fontId="12" fillId="10" borderId="94" xfId="6" applyNumberFormat="1" applyFont="1" applyFill="1" applyBorder="1" applyAlignment="1" applyProtection="1">
      <alignment vertical="center"/>
    </xf>
    <xf numFmtId="37" fontId="16" fillId="10" borderId="746" xfId="6" applyNumberFormat="1" applyFont="1" applyFill="1" applyBorder="1" applyAlignment="1" applyProtection="1">
      <alignment horizontal="center" vertical="center" wrapText="1"/>
    </xf>
    <xf numFmtId="37" fontId="16" fillId="10" borderId="747" xfId="6" applyNumberFormat="1" applyFont="1" applyFill="1" applyBorder="1" applyAlignment="1" applyProtection="1">
      <alignment horizontal="center" vertical="center" wrapText="1"/>
    </xf>
    <xf numFmtId="37" fontId="16" fillId="0" borderId="0" xfId="6" applyNumberFormat="1" applyFont="1" applyFill="1" applyBorder="1" applyAlignment="1" applyProtection="1">
      <alignment horizontal="center" vertical="center" wrapText="1"/>
    </xf>
    <xf numFmtId="37" fontId="12" fillId="0" borderId="0" xfId="6" applyNumberFormat="1" applyFont="1" applyFill="1" applyBorder="1" applyAlignment="1" applyProtection="1">
      <alignment horizontal="center" vertical="center"/>
    </xf>
    <xf numFmtId="37" fontId="12" fillId="0" borderId="0" xfId="6" applyNumberFormat="1" applyFont="1" applyFill="1" applyAlignment="1" applyProtection="1">
      <alignment horizontal="center" vertical="center"/>
    </xf>
    <xf numFmtId="37" fontId="21" fillId="0" borderId="0" xfId="0" applyNumberFormat="1" applyFont="1" applyFill="1" applyBorder="1" applyProtection="1"/>
    <xf numFmtId="37" fontId="12" fillId="0" borderId="0" xfId="0" applyNumberFormat="1" applyFont="1" applyFill="1" applyBorder="1" applyProtection="1"/>
    <xf numFmtId="37" fontId="12" fillId="0" borderId="0" xfId="0" applyNumberFormat="1" applyFont="1" applyFill="1" applyBorder="1" applyAlignment="1" applyProtection="1">
      <alignment horizontal="center"/>
    </xf>
    <xf numFmtId="37" fontId="11" fillId="10" borderId="200" xfId="10" applyNumberFormat="1" applyFont="1" applyFill="1" applyBorder="1" applyAlignment="1" applyProtection="1">
      <alignment vertical="center"/>
    </xf>
    <xf numFmtId="37" fontId="11" fillId="10" borderId="198" xfId="10" applyNumberFormat="1" applyFont="1" applyFill="1" applyBorder="1" applyAlignment="1" applyProtection="1">
      <alignment horizontal="center" vertical="center" wrapText="1"/>
    </xf>
    <xf numFmtId="37" fontId="12" fillId="10" borderId="199" xfId="10" applyNumberFormat="1" applyFont="1" applyFill="1" applyBorder="1" applyAlignment="1" applyProtection="1">
      <alignment vertical="center"/>
    </xf>
    <xf numFmtId="37" fontId="12" fillId="0" borderId="203" xfId="0" applyNumberFormat="1" applyFont="1" applyFill="1" applyBorder="1" applyProtection="1"/>
    <xf numFmtId="37" fontId="12" fillId="0" borderId="202" xfId="0" applyNumberFormat="1" applyFont="1" applyFill="1" applyBorder="1" applyProtection="1"/>
    <xf numFmtId="37" fontId="37" fillId="10" borderId="213" xfId="0" applyNumberFormat="1" applyFont="1" applyFill="1" applyBorder="1" applyAlignment="1" applyProtection="1">
      <alignment horizontal="left"/>
    </xf>
    <xf numFmtId="37" fontId="12" fillId="10" borderId="201" xfId="0" applyNumberFormat="1" applyFont="1" applyFill="1" applyBorder="1" applyProtection="1"/>
    <xf numFmtId="37" fontId="12" fillId="10" borderId="214" xfId="0" applyNumberFormat="1" applyFont="1" applyFill="1" applyBorder="1" applyProtection="1"/>
    <xf numFmtId="37" fontId="12" fillId="10" borderId="205" xfId="0" applyNumberFormat="1" applyFont="1" applyFill="1" applyBorder="1" applyAlignment="1" applyProtection="1">
      <alignment horizontal="right"/>
    </xf>
    <xf numFmtId="37" fontId="11" fillId="10" borderId="206" xfId="0" applyNumberFormat="1" applyFont="1" applyFill="1" applyBorder="1" applyAlignment="1" applyProtection="1">
      <alignment horizontal="center"/>
    </xf>
    <xf numFmtId="37" fontId="12" fillId="10" borderId="207" xfId="0" applyNumberFormat="1" applyFont="1" applyFill="1" applyBorder="1" applyProtection="1"/>
    <xf numFmtId="37" fontId="51" fillId="0" borderId="0" xfId="0" applyNumberFormat="1" applyFont="1" applyFill="1" applyBorder="1" applyAlignment="1" applyProtection="1">
      <alignment horizontal="left"/>
    </xf>
    <xf numFmtId="37" fontId="35" fillId="0" borderId="0" xfId="0" applyNumberFormat="1" applyFont="1" applyFill="1" applyBorder="1" applyAlignment="1" applyProtection="1">
      <alignment horizontal="left"/>
    </xf>
    <xf numFmtId="37" fontId="35" fillId="0" borderId="0" xfId="0" applyNumberFormat="1" applyFont="1" applyFill="1" applyBorder="1" applyAlignment="1" applyProtection="1">
      <alignment horizontal="center"/>
    </xf>
    <xf numFmtId="37" fontId="53" fillId="0" borderId="0" xfId="0" applyNumberFormat="1" applyFont="1" applyFill="1" applyBorder="1" applyAlignment="1" applyProtection="1">
      <alignment horizontal="right"/>
    </xf>
    <xf numFmtId="39" fontId="53" fillId="0" borderId="0" xfId="0" applyNumberFormat="1" applyFont="1" applyFill="1" applyBorder="1" applyAlignment="1" applyProtection="1">
      <alignment horizontal="left"/>
    </xf>
    <xf numFmtId="37" fontId="11" fillId="10" borderId="198" xfId="10" applyNumberFormat="1" applyFont="1" applyFill="1" applyBorder="1" applyAlignment="1" applyProtection="1">
      <alignment vertical="center"/>
    </xf>
    <xf numFmtId="37" fontId="12" fillId="10" borderId="198" xfId="10" applyNumberFormat="1" applyFont="1" applyFill="1" applyBorder="1" applyAlignment="1" applyProtection="1">
      <alignment horizontal="center" vertical="center"/>
    </xf>
    <xf numFmtId="37" fontId="11" fillId="10" borderId="198" xfId="10" applyNumberFormat="1" applyFont="1" applyFill="1" applyBorder="1" applyAlignment="1" applyProtection="1">
      <alignment horizontal="right" vertical="center"/>
    </xf>
    <xf numFmtId="9" fontId="12" fillId="10" borderId="198" xfId="7" applyFont="1" applyFill="1" applyBorder="1" applyAlignment="1" applyProtection="1">
      <alignment horizontal="center" vertical="center"/>
    </xf>
    <xf numFmtId="37" fontId="11" fillId="0" borderId="0" xfId="6" applyNumberFormat="1" applyFont="1" applyFill="1" applyBorder="1" applyAlignment="1" applyProtection="1">
      <alignment vertical="center"/>
    </xf>
    <xf numFmtId="39" fontId="53" fillId="0" borderId="0" xfId="0" applyNumberFormat="1" applyFont="1" applyFill="1" applyBorder="1" applyAlignment="1" applyProtection="1">
      <alignment horizontal="right"/>
    </xf>
    <xf numFmtId="37" fontId="12" fillId="10" borderId="0" xfId="0" applyNumberFormat="1" applyFont="1" applyFill="1" applyProtection="1"/>
    <xf numFmtId="37" fontId="26" fillId="17" borderId="200" xfId="10" applyNumberFormat="1" applyFont="1" applyFill="1" applyBorder="1" applyAlignment="1" applyProtection="1">
      <alignment vertical="center"/>
    </xf>
    <xf numFmtId="37" fontId="26" fillId="17" borderId="198" xfId="10" applyNumberFormat="1" applyFont="1" applyFill="1" applyBorder="1" applyAlignment="1" applyProtection="1">
      <alignment vertical="center"/>
    </xf>
    <xf numFmtId="37" fontId="11" fillId="17" borderId="198" xfId="10" applyNumberFormat="1" applyFont="1" applyFill="1" applyBorder="1" applyAlignment="1" applyProtection="1">
      <alignment horizontal="center" vertical="center" wrapText="1"/>
    </xf>
    <xf numFmtId="37" fontId="12" fillId="17" borderId="198" xfId="10" applyNumberFormat="1" applyFont="1" applyFill="1" applyBorder="1" applyAlignment="1" applyProtection="1">
      <alignment vertical="center"/>
    </xf>
    <xf numFmtId="37" fontId="12" fillId="17" borderId="199" xfId="10" applyNumberFormat="1" applyFont="1" applyFill="1" applyBorder="1" applyAlignment="1" applyProtection="1">
      <alignment vertical="center"/>
    </xf>
    <xf numFmtId="37" fontId="26" fillId="0" borderId="198" xfId="10" applyNumberFormat="1" applyFont="1" applyFill="1" applyBorder="1" applyAlignment="1" applyProtection="1">
      <alignment vertical="center"/>
    </xf>
    <xf numFmtId="37" fontId="11" fillId="0" borderId="198" xfId="10" applyNumberFormat="1" applyFont="1" applyFill="1" applyBorder="1" applyAlignment="1" applyProtection="1">
      <alignment horizontal="center" vertical="center" wrapText="1"/>
    </xf>
    <xf numFmtId="37" fontId="12" fillId="0" borderId="198" xfId="10" applyNumberFormat="1" applyFont="1" applyFill="1" applyBorder="1" applyAlignment="1" applyProtection="1">
      <alignment vertical="center"/>
    </xf>
    <xf numFmtId="37" fontId="11" fillId="0" borderId="0" xfId="10" applyNumberFormat="1" applyFont="1" applyFill="1" applyBorder="1" applyAlignment="1" applyProtection="1">
      <alignment vertical="center"/>
    </xf>
    <xf numFmtId="37" fontId="11" fillId="0" borderId="0" xfId="10" applyNumberFormat="1" applyFont="1" applyFill="1" applyBorder="1" applyAlignment="1" applyProtection="1">
      <alignment horizontal="center" vertical="center" wrapText="1"/>
    </xf>
    <xf numFmtId="37" fontId="12" fillId="10" borderId="215" xfId="0" applyNumberFormat="1" applyFont="1" applyFill="1" applyBorder="1" applyAlignment="1" applyProtection="1">
      <alignment horizontal="right"/>
    </xf>
    <xf numFmtId="37" fontId="11" fillId="10" borderId="202" xfId="0" applyNumberFormat="1" applyFont="1" applyFill="1" applyBorder="1" applyAlignment="1" applyProtection="1">
      <alignment horizontal="center"/>
    </xf>
    <xf numFmtId="37" fontId="12" fillId="10" borderId="216" xfId="0" applyNumberFormat="1" applyFont="1" applyFill="1" applyBorder="1" applyProtection="1"/>
    <xf numFmtId="37" fontId="12" fillId="0" borderId="0" xfId="0" applyNumberFormat="1" applyFont="1" applyFill="1" applyBorder="1" applyAlignment="1" applyProtection="1">
      <alignment horizontal="right"/>
    </xf>
    <xf numFmtId="37" fontId="51" fillId="0" borderId="0" xfId="0" applyNumberFormat="1" applyFont="1" applyFill="1" applyBorder="1" applyAlignment="1" applyProtection="1">
      <alignment horizontal="right"/>
    </xf>
    <xf numFmtId="0" fontId="11" fillId="10" borderId="14" xfId="10" applyFont="1" applyFill="1" applyBorder="1" applyAlignment="1" applyProtection="1">
      <alignment vertical="center"/>
    </xf>
    <xf numFmtId="1" fontId="12" fillId="10" borderId="17" xfId="10" applyNumberFormat="1" applyFont="1" applyFill="1" applyBorder="1" applyAlignment="1" applyProtection="1">
      <alignment horizontal="center" vertical="center"/>
    </xf>
    <xf numFmtId="1" fontId="11" fillId="10" borderId="17" xfId="10" applyNumberFormat="1" applyFont="1" applyFill="1" applyBorder="1" applyAlignment="1" applyProtection="1">
      <alignment horizontal="center" vertical="center"/>
    </xf>
    <xf numFmtId="1" fontId="11" fillId="10" borderId="30" xfId="10" applyNumberFormat="1" applyFont="1" applyFill="1" applyBorder="1" applyAlignment="1" applyProtection="1">
      <alignment horizontal="center" vertical="center"/>
    </xf>
    <xf numFmtId="37" fontId="21" fillId="4" borderId="0" xfId="0" applyNumberFormat="1" applyFont="1" applyFill="1" applyBorder="1" applyProtection="1"/>
    <xf numFmtId="37" fontId="12" fillId="4" borderId="26" xfId="0" applyNumberFormat="1" applyFont="1" applyFill="1" applyBorder="1" applyProtection="1"/>
    <xf numFmtId="37" fontId="12" fillId="4" borderId="0" xfId="0" applyNumberFormat="1" applyFont="1" applyFill="1" applyBorder="1" applyProtection="1"/>
    <xf numFmtId="37" fontId="12" fillId="4" borderId="0" xfId="0" applyNumberFormat="1" applyFont="1" applyFill="1" applyBorder="1" applyAlignment="1" applyProtection="1">
      <alignment horizontal="center"/>
    </xf>
    <xf numFmtId="37" fontId="12" fillId="4" borderId="27" xfId="0" applyNumberFormat="1" applyFont="1" applyFill="1" applyBorder="1" applyAlignment="1" applyProtection="1">
      <alignment horizontal="center"/>
    </xf>
    <xf numFmtId="0" fontId="12" fillId="10" borderId="140" xfId="10" applyNumberFormat="1" applyFont="1" applyFill="1" applyBorder="1" applyAlignment="1" applyProtection="1">
      <alignment horizontal="center" vertical="center"/>
    </xf>
    <xf numFmtId="0" fontId="12" fillId="10" borderId="748" xfId="10" applyNumberFormat="1" applyFont="1" applyFill="1" applyBorder="1" applyAlignment="1" applyProtection="1">
      <alignment horizontal="center" vertical="center"/>
    </xf>
    <xf numFmtId="37" fontId="11" fillId="10" borderId="6" xfId="10" applyNumberFormat="1" applyFont="1" applyFill="1" applyBorder="1" applyAlignment="1" applyProtection="1">
      <alignment horizontal="center" vertical="center"/>
    </xf>
    <xf numFmtId="37" fontId="46" fillId="0" borderId="0" xfId="0" applyNumberFormat="1" applyFont="1" applyFill="1" applyProtection="1"/>
    <xf numFmtId="37" fontId="12" fillId="12" borderId="749" xfId="0" applyNumberFormat="1" applyFont="1" applyFill="1" applyBorder="1" applyProtection="1"/>
    <xf numFmtId="37" fontId="12" fillId="12" borderId="203" xfId="0" applyNumberFormat="1" applyFont="1" applyFill="1" applyBorder="1" applyProtection="1"/>
    <xf numFmtId="37" fontId="12" fillId="12" borderId="621" xfId="0" applyNumberFormat="1" applyFont="1" applyFill="1" applyBorder="1" applyAlignment="1" applyProtection="1">
      <alignment horizontal="center"/>
    </xf>
    <xf numFmtId="37" fontId="12" fillId="12" borderId="606" xfId="0" applyNumberFormat="1" applyFont="1" applyFill="1" applyBorder="1" applyAlignment="1" applyProtection="1">
      <alignment horizontal="center"/>
    </xf>
    <xf numFmtId="37" fontId="12" fillId="12" borderId="506" xfId="0" applyNumberFormat="1" applyFont="1" applyFill="1" applyBorder="1" applyAlignment="1" applyProtection="1">
      <alignment horizontal="center"/>
    </xf>
    <xf numFmtId="37" fontId="12" fillId="12" borderId="752" xfId="0" applyNumberFormat="1" applyFont="1" applyFill="1" applyBorder="1" applyAlignment="1" applyProtection="1">
      <alignment horizontal="center"/>
    </xf>
    <xf numFmtId="37" fontId="46" fillId="12" borderId="0" xfId="0" applyNumberFormat="1" applyFont="1" applyFill="1" applyProtection="1"/>
    <xf numFmtId="37" fontId="12" fillId="12" borderId="26" xfId="0" applyNumberFormat="1" applyFont="1" applyFill="1" applyBorder="1" applyProtection="1"/>
    <xf numFmtId="170" fontId="12" fillId="12" borderId="754" xfId="0" applyNumberFormat="1" applyFont="1" applyFill="1" applyBorder="1" applyAlignment="1" applyProtection="1">
      <alignment horizontal="center"/>
    </xf>
    <xf numFmtId="170" fontId="12" fillId="12" borderId="755" xfId="0" applyNumberFormat="1" applyFont="1" applyFill="1" applyBorder="1" applyAlignment="1" applyProtection="1">
      <alignment horizontal="center"/>
    </xf>
    <xf numFmtId="170" fontId="12" fillId="12" borderId="756" xfId="0" applyNumberFormat="1" applyFont="1" applyFill="1" applyBorder="1" applyAlignment="1" applyProtection="1">
      <alignment horizontal="center"/>
    </xf>
    <xf numFmtId="170" fontId="12" fillId="12" borderId="27" xfId="0" applyNumberFormat="1" applyFont="1" applyFill="1" applyBorder="1" applyAlignment="1" applyProtection="1">
      <alignment horizontal="center"/>
    </xf>
    <xf numFmtId="37" fontId="11" fillId="10" borderId="16" xfId="0" applyNumberFormat="1" applyFont="1" applyFill="1" applyBorder="1" applyProtection="1"/>
    <xf numFmtId="37" fontId="11" fillId="10" borderId="22" xfId="0" applyNumberFormat="1" applyFont="1" applyFill="1" applyBorder="1" applyProtection="1"/>
    <xf numFmtId="170" fontId="11" fillId="10" borderId="22" xfId="0" applyNumberFormat="1" applyFont="1" applyFill="1" applyBorder="1" applyAlignment="1" applyProtection="1">
      <alignment horizontal="center"/>
    </xf>
    <xf numFmtId="37" fontId="11" fillId="10" borderId="31" xfId="0" applyNumberFormat="1" applyFont="1" applyFill="1" applyBorder="1" applyAlignment="1" applyProtection="1">
      <alignment horizontal="center"/>
    </xf>
    <xf numFmtId="39" fontId="12" fillId="12" borderId="0" xfId="0" applyNumberFormat="1" applyFont="1" applyFill="1" applyBorder="1" applyAlignment="1" applyProtection="1">
      <alignment horizontal="left"/>
    </xf>
    <xf numFmtId="37" fontId="12" fillId="0" borderId="27" xfId="0" applyNumberFormat="1" applyFont="1" applyFill="1" applyBorder="1" applyAlignment="1" applyProtection="1">
      <alignment horizontal="center"/>
    </xf>
    <xf numFmtId="37" fontId="12" fillId="12" borderId="0" xfId="0" applyNumberFormat="1" applyFont="1" applyFill="1" applyBorder="1" applyAlignment="1" applyProtection="1">
      <alignment horizontal="center"/>
    </xf>
    <xf numFmtId="37" fontId="12" fillId="12" borderId="15" xfId="0" applyNumberFormat="1" applyFont="1" applyFill="1" applyBorder="1" applyProtection="1"/>
    <xf numFmtId="39" fontId="12" fillId="12" borderId="21" xfId="0" applyNumberFormat="1" applyFont="1" applyFill="1" applyBorder="1" applyAlignment="1" applyProtection="1">
      <alignment horizontal="left"/>
    </xf>
    <xf numFmtId="37" fontId="12" fillId="12" borderId="21" xfId="0" applyNumberFormat="1" applyFont="1" applyFill="1" applyBorder="1" applyProtection="1"/>
    <xf numFmtId="170" fontId="12" fillId="12" borderId="621" xfId="0" applyNumberFormat="1" applyFont="1" applyFill="1" applyBorder="1" applyAlignment="1" applyProtection="1">
      <alignment horizontal="center"/>
    </xf>
    <xf numFmtId="170" fontId="12" fillId="12" borderId="606" xfId="0" applyNumberFormat="1" applyFont="1" applyFill="1" applyBorder="1" applyAlignment="1" applyProtection="1">
      <alignment horizontal="center"/>
    </xf>
    <xf numFmtId="170" fontId="12" fillId="12" borderId="506" xfId="0" applyNumberFormat="1" applyFont="1" applyFill="1" applyBorder="1" applyAlignment="1" applyProtection="1">
      <alignment horizontal="center"/>
    </xf>
    <xf numFmtId="170" fontId="12" fillId="12" borderId="611" xfId="0" applyNumberFormat="1" applyFont="1" applyFill="1" applyBorder="1" applyAlignment="1" applyProtection="1">
      <alignment horizontal="center"/>
    </xf>
    <xf numFmtId="170" fontId="12" fillId="12" borderId="612" xfId="0" applyNumberFormat="1" applyFont="1" applyFill="1" applyBorder="1" applyAlignment="1" applyProtection="1">
      <alignment horizontal="center"/>
    </xf>
    <xf numFmtId="170" fontId="12" fillId="12" borderId="509" xfId="0" applyNumberFormat="1" applyFont="1" applyFill="1" applyBorder="1" applyAlignment="1" applyProtection="1">
      <alignment horizontal="center"/>
    </xf>
    <xf numFmtId="37" fontId="12" fillId="12" borderId="528" xfId="0" applyNumberFormat="1" applyFont="1" applyFill="1" applyBorder="1" applyProtection="1"/>
    <xf numFmtId="37" fontId="12" fillId="12" borderId="202" xfId="0" applyNumberFormat="1" applyFont="1" applyFill="1" applyBorder="1" applyProtection="1"/>
    <xf numFmtId="170" fontId="12" fillId="12" borderId="662" xfId="0" applyNumberFormat="1" applyFont="1" applyFill="1" applyBorder="1" applyAlignment="1" applyProtection="1">
      <alignment horizontal="center"/>
    </xf>
    <xf numFmtId="170" fontId="12" fillId="12" borderId="663" xfId="0" applyNumberFormat="1" applyFont="1" applyFill="1" applyBorder="1" applyAlignment="1" applyProtection="1">
      <alignment horizontal="center"/>
    </xf>
    <xf numFmtId="170" fontId="12" fillId="12" borderId="664" xfId="0" applyNumberFormat="1" applyFont="1" applyFill="1" applyBorder="1" applyAlignment="1" applyProtection="1">
      <alignment horizontal="center"/>
    </xf>
    <xf numFmtId="37" fontId="11" fillId="4" borderId="0" xfId="0" applyNumberFormat="1" applyFont="1" applyFill="1" applyBorder="1" applyProtection="1"/>
    <xf numFmtId="170" fontId="11" fillId="4" borderId="0" xfId="0" applyNumberFormat="1" applyFont="1" applyFill="1" applyBorder="1" applyAlignment="1" applyProtection="1">
      <alignment horizontal="center"/>
    </xf>
    <xf numFmtId="170" fontId="11" fillId="4" borderId="43" xfId="0" applyNumberFormat="1" applyFont="1" applyFill="1" applyBorder="1" applyAlignment="1" applyProtection="1">
      <alignment horizontal="center"/>
    </xf>
    <xf numFmtId="37" fontId="11" fillId="4" borderId="27" xfId="0" applyNumberFormat="1" applyFont="1" applyFill="1" applyBorder="1" applyAlignment="1" applyProtection="1">
      <alignment horizontal="center"/>
    </xf>
    <xf numFmtId="37" fontId="11" fillId="4" borderId="26" xfId="0" applyNumberFormat="1" applyFont="1" applyFill="1" applyBorder="1" applyProtection="1"/>
    <xf numFmtId="170" fontId="11" fillId="4" borderId="62" xfId="0" applyNumberFormat="1" applyFont="1" applyFill="1" applyBorder="1" applyAlignment="1" applyProtection="1">
      <alignment horizontal="center"/>
    </xf>
    <xf numFmtId="170" fontId="11" fillId="4" borderId="102" xfId="0" applyNumberFormat="1" applyFont="1" applyFill="1" applyBorder="1" applyAlignment="1" applyProtection="1">
      <alignment horizontal="center"/>
    </xf>
    <xf numFmtId="166" fontId="12" fillId="12" borderId="662" xfId="0" applyNumberFormat="1" applyFont="1" applyFill="1" applyBorder="1" applyAlignment="1" applyProtection="1">
      <alignment horizontal="center"/>
    </xf>
    <xf numFmtId="166" fontId="12" fillId="12" borderId="663" xfId="0" applyNumberFormat="1" applyFont="1" applyFill="1" applyBorder="1" applyAlignment="1" applyProtection="1">
      <alignment horizontal="center"/>
    </xf>
    <xf numFmtId="166" fontId="12" fillId="12" borderId="664" xfId="0" applyNumberFormat="1" applyFont="1" applyFill="1" applyBorder="1" applyAlignment="1" applyProtection="1">
      <alignment horizontal="center"/>
    </xf>
    <xf numFmtId="170" fontId="12" fillId="12" borderId="529" xfId="0" applyNumberFormat="1" applyFont="1" applyFill="1" applyBorder="1" applyAlignment="1" applyProtection="1">
      <alignment horizontal="center"/>
    </xf>
    <xf numFmtId="37" fontId="12" fillId="12" borderId="26" xfId="0" applyNumberFormat="1" applyFont="1" applyFill="1" applyBorder="1" applyAlignment="1" applyProtection="1">
      <alignment horizontal="right"/>
    </xf>
    <xf numFmtId="166" fontId="12" fillId="12" borderId="611" xfId="0" applyNumberFormat="1" applyFont="1" applyFill="1" applyBorder="1" applyAlignment="1" applyProtection="1">
      <alignment horizontal="right"/>
    </xf>
    <xf numFmtId="166" fontId="12" fillId="12" borderId="612" xfId="0" applyNumberFormat="1" applyFont="1" applyFill="1" applyBorder="1" applyAlignment="1" applyProtection="1">
      <alignment horizontal="right"/>
    </xf>
    <xf numFmtId="166" fontId="12" fillId="12" borderId="509" xfId="0" applyNumberFormat="1" applyFont="1" applyFill="1" applyBorder="1" applyAlignment="1" applyProtection="1">
      <alignment horizontal="right"/>
    </xf>
    <xf numFmtId="170" fontId="12" fillId="12" borderId="751" xfId="0" applyNumberFormat="1" applyFont="1" applyFill="1" applyBorder="1" applyAlignment="1" applyProtection="1">
      <alignment horizontal="center"/>
    </xf>
    <xf numFmtId="37" fontId="12" fillId="12" borderId="347" xfId="0" applyNumberFormat="1" applyFont="1" applyFill="1" applyBorder="1" applyProtection="1"/>
    <xf numFmtId="37" fontId="12" fillId="12" borderId="201" xfId="0" applyNumberFormat="1" applyFont="1" applyFill="1" applyBorder="1" applyProtection="1"/>
    <xf numFmtId="170" fontId="12" fillId="12" borderId="766" xfId="0" applyNumberFormat="1" applyFont="1" applyFill="1" applyBorder="1" applyAlignment="1" applyProtection="1">
      <alignment horizontal="center"/>
    </xf>
    <xf numFmtId="170" fontId="12" fillId="12" borderId="767" xfId="0" applyNumberFormat="1" applyFont="1" applyFill="1" applyBorder="1" applyAlignment="1" applyProtection="1">
      <alignment horizontal="center"/>
    </xf>
    <xf numFmtId="170" fontId="12" fillId="12" borderId="768" xfId="0" applyNumberFormat="1" applyFont="1" applyFill="1" applyBorder="1" applyAlignment="1" applyProtection="1">
      <alignment horizontal="center"/>
    </xf>
    <xf numFmtId="170" fontId="11" fillId="12" borderId="621" xfId="0" applyNumberFormat="1" applyFont="1" applyFill="1" applyBorder="1" applyAlignment="1" applyProtection="1">
      <alignment horizontal="center"/>
    </xf>
    <xf numFmtId="170" fontId="11" fillId="12" borderId="606" xfId="0" applyNumberFormat="1" applyFont="1" applyFill="1" applyBorder="1" applyAlignment="1" applyProtection="1">
      <alignment horizontal="center"/>
    </xf>
    <xf numFmtId="170" fontId="11" fillId="12" borderId="506" xfId="0" applyNumberFormat="1" applyFont="1" applyFill="1" applyBorder="1" applyAlignment="1" applyProtection="1">
      <alignment horizontal="center"/>
    </xf>
    <xf numFmtId="37" fontId="11" fillId="12" borderId="26" xfId="0" applyNumberFormat="1" applyFont="1" applyFill="1" applyBorder="1" applyAlignment="1" applyProtection="1">
      <alignment horizontal="center"/>
    </xf>
    <xf numFmtId="37" fontId="12" fillId="12" borderId="28" xfId="0" applyNumberFormat="1" applyFont="1" applyFill="1" applyBorder="1" applyProtection="1"/>
    <xf numFmtId="37" fontId="12" fillId="12" borderId="5" xfId="0" applyNumberFormat="1" applyFont="1" applyFill="1" applyBorder="1" applyProtection="1"/>
    <xf numFmtId="37" fontId="11" fillId="12" borderId="614" xfId="0" applyNumberFormat="1" applyFont="1" applyFill="1" applyBorder="1" applyAlignment="1" applyProtection="1">
      <alignment horizontal="center"/>
    </xf>
    <xf numFmtId="37" fontId="11" fillId="12" borderId="615" xfId="0" applyNumberFormat="1" applyFont="1" applyFill="1" applyBorder="1" applyAlignment="1" applyProtection="1">
      <alignment horizontal="center"/>
    </xf>
    <xf numFmtId="37" fontId="11" fillId="12" borderId="510" xfId="0" applyNumberFormat="1" applyFont="1" applyFill="1" applyBorder="1" applyAlignment="1" applyProtection="1">
      <alignment horizontal="center"/>
    </xf>
    <xf numFmtId="37" fontId="11" fillId="12" borderId="29" xfId="0" applyNumberFormat="1" applyFont="1" applyFill="1" applyBorder="1" applyAlignment="1" applyProtection="1">
      <alignment horizontal="center"/>
    </xf>
    <xf numFmtId="37" fontId="54" fillId="12" borderId="0" xfId="0" applyNumberFormat="1" applyFont="1" applyFill="1" applyBorder="1" applyProtection="1"/>
    <xf numFmtId="37" fontId="53" fillId="12" borderId="0" xfId="0" applyNumberFormat="1" applyFont="1" applyFill="1" applyBorder="1" applyProtection="1"/>
    <xf numFmtId="175" fontId="11" fillId="12" borderId="0" xfId="0" applyNumberFormat="1" applyFont="1" applyFill="1" applyBorder="1" applyAlignment="1" applyProtection="1">
      <alignment horizontal="center"/>
    </xf>
    <xf numFmtId="37" fontId="11" fillId="12" borderId="0" xfId="0" applyNumberFormat="1" applyFont="1" applyFill="1" applyBorder="1" applyAlignment="1" applyProtection="1">
      <alignment horizontal="center"/>
    </xf>
    <xf numFmtId="37" fontId="53" fillId="12" borderId="0" xfId="0" applyNumberFormat="1" applyFont="1" applyFill="1" applyBorder="1" applyAlignment="1" applyProtection="1">
      <alignment vertical="center"/>
    </xf>
    <xf numFmtId="37" fontId="22" fillId="0" borderId="0" xfId="0" applyNumberFormat="1" applyFont="1" applyFill="1" applyBorder="1" applyProtection="1"/>
    <xf numFmtId="37" fontId="11" fillId="0" borderId="0" xfId="0" applyNumberFormat="1" applyFont="1" applyFill="1" applyBorder="1" applyAlignment="1" applyProtection="1">
      <alignment horizontal="center"/>
    </xf>
    <xf numFmtId="37" fontId="12" fillId="4" borderId="560" xfId="0" applyNumberFormat="1" applyFont="1" applyFill="1" applyBorder="1" applyProtection="1"/>
    <xf numFmtId="37" fontId="12" fillId="4" borderId="561" xfId="0" applyNumberFormat="1" applyFont="1" applyFill="1" applyBorder="1" applyProtection="1"/>
    <xf numFmtId="170" fontId="12" fillId="4" borderId="561" xfId="0" applyNumberFormat="1" applyFont="1" applyFill="1" applyBorder="1" applyAlignment="1" applyProtection="1">
      <alignment horizontal="center"/>
    </xf>
    <xf numFmtId="37" fontId="12" fillId="4" borderId="685" xfId="0" applyNumberFormat="1" applyFont="1" applyFill="1" applyBorder="1" applyAlignment="1" applyProtection="1">
      <alignment horizontal="center"/>
    </xf>
    <xf numFmtId="37" fontId="12" fillId="4" borderId="562" xfId="0" applyNumberFormat="1" applyFont="1" applyFill="1" applyBorder="1" applyProtection="1"/>
    <xf numFmtId="170" fontId="12" fillId="4" borderId="0" xfId="0" applyNumberFormat="1" applyFont="1" applyFill="1" applyBorder="1" applyAlignment="1" applyProtection="1">
      <alignment horizontal="center"/>
    </xf>
    <xf numFmtId="37" fontId="12" fillId="4" borderId="687" xfId="0" applyNumberFormat="1" applyFont="1" applyFill="1" applyBorder="1" applyAlignment="1" applyProtection="1">
      <alignment horizontal="center"/>
    </xf>
    <xf numFmtId="37" fontId="12" fillId="4" borderId="813" xfId="0" applyNumberFormat="1" applyFont="1" applyFill="1" applyBorder="1" applyProtection="1"/>
    <xf numFmtId="37" fontId="12" fillId="4" borderId="5" xfId="0" applyNumberFormat="1" applyFont="1" applyFill="1" applyBorder="1" applyProtection="1"/>
    <xf numFmtId="170" fontId="12" fillId="4" borderId="5" xfId="0" applyNumberFormat="1" applyFont="1" applyFill="1" applyBorder="1" applyAlignment="1" applyProtection="1">
      <alignment horizontal="center"/>
    </xf>
    <xf numFmtId="37" fontId="11" fillId="4" borderId="687" xfId="0" applyNumberFormat="1" applyFont="1" applyFill="1" applyBorder="1" applyAlignment="1" applyProtection="1">
      <alignment horizontal="center"/>
    </xf>
    <xf numFmtId="170" fontId="11" fillId="4" borderId="0" xfId="7" applyNumberFormat="1" applyFont="1" applyFill="1" applyBorder="1" applyAlignment="1" applyProtection="1">
      <alignment horizontal="center"/>
    </xf>
    <xf numFmtId="39" fontId="11" fillId="4" borderId="0" xfId="0" applyNumberFormat="1" applyFont="1" applyFill="1" applyBorder="1" applyAlignment="1" applyProtection="1">
      <alignment horizontal="center"/>
    </xf>
    <xf numFmtId="172" fontId="11" fillId="4" borderId="0" xfId="0" applyNumberFormat="1" applyFont="1" applyFill="1" applyBorder="1" applyAlignment="1" applyProtection="1">
      <alignment horizontal="center"/>
    </xf>
    <xf numFmtId="170" fontId="11" fillId="4" borderId="5" xfId="0" applyNumberFormat="1" applyFont="1" applyFill="1" applyBorder="1" applyAlignment="1" applyProtection="1">
      <alignment horizontal="center"/>
    </xf>
    <xf numFmtId="37" fontId="11" fillId="4" borderId="814" xfId="0" applyNumberFormat="1" applyFont="1" applyFill="1" applyBorder="1" applyAlignment="1" applyProtection="1">
      <alignment horizontal="center"/>
    </xf>
    <xf numFmtId="170" fontId="12" fillId="4" borderId="0" xfId="0" applyNumberFormat="1" applyFont="1" applyFill="1" applyBorder="1" applyAlignment="1" applyProtection="1">
      <alignment horizontal="right"/>
    </xf>
    <xf numFmtId="37" fontId="12" fillId="4" borderId="687" xfId="0" applyNumberFormat="1" applyFont="1" applyFill="1" applyBorder="1" applyProtection="1"/>
    <xf numFmtId="170" fontId="11" fillId="4" borderId="687" xfId="0" applyNumberFormat="1" applyFont="1" applyFill="1" applyBorder="1" applyAlignment="1" applyProtection="1">
      <alignment horizontal="center"/>
    </xf>
    <xf numFmtId="37" fontId="12" fillId="4" borderId="815" xfId="0" applyNumberFormat="1" applyFont="1" applyFill="1" applyBorder="1" applyProtection="1"/>
    <xf numFmtId="37" fontId="12" fillId="4" borderId="64" xfId="0" applyNumberFormat="1" applyFont="1" applyFill="1" applyBorder="1" applyProtection="1"/>
    <xf numFmtId="37" fontId="12" fillId="4" borderId="565" xfId="0" applyNumberFormat="1" applyFont="1" applyFill="1" applyBorder="1" applyProtection="1"/>
    <xf numFmtId="37" fontId="12" fillId="4" borderId="566" xfId="0" applyNumberFormat="1" applyFont="1" applyFill="1" applyBorder="1" applyProtection="1"/>
    <xf numFmtId="170" fontId="12" fillId="4" borderId="566" xfId="0" applyNumberFormat="1" applyFont="1" applyFill="1" applyBorder="1" applyAlignment="1" applyProtection="1">
      <alignment horizontal="center"/>
    </xf>
    <xf numFmtId="170" fontId="11" fillId="4" borderId="690" xfId="0" applyNumberFormat="1" applyFont="1" applyFill="1" applyBorder="1" applyAlignment="1" applyProtection="1">
      <alignment horizontal="center"/>
    </xf>
    <xf numFmtId="170" fontId="11" fillId="0" borderId="0" xfId="0" applyNumberFormat="1" applyFont="1" applyFill="1" applyBorder="1" applyAlignment="1" applyProtection="1">
      <alignment horizontal="center"/>
    </xf>
    <xf numFmtId="170" fontId="56" fillId="0" borderId="0" xfId="0" applyNumberFormat="1" applyFont="1" applyFill="1" applyBorder="1" applyAlignment="1" applyProtection="1">
      <alignment horizontal="center"/>
    </xf>
    <xf numFmtId="10" fontId="12" fillId="0" borderId="0" xfId="7" applyNumberFormat="1" applyFont="1" applyFill="1" applyProtection="1"/>
    <xf numFmtId="37" fontId="11" fillId="0" borderId="0" xfId="0" applyNumberFormat="1" applyFont="1" applyFill="1" applyBorder="1" applyAlignment="1" applyProtection="1">
      <alignment horizontal="left"/>
    </xf>
    <xf numFmtId="170" fontId="12" fillId="0" borderId="0" xfId="0" applyNumberFormat="1" applyFont="1" applyFill="1" applyBorder="1" applyAlignment="1" applyProtection="1">
      <alignment horizontal="center"/>
    </xf>
    <xf numFmtId="37" fontId="11" fillId="4" borderId="19" xfId="0" applyNumberFormat="1" applyFont="1" applyFill="1" applyBorder="1" applyAlignment="1" applyProtection="1">
      <alignment horizontal="center" vertical="center"/>
    </xf>
    <xf numFmtId="37" fontId="12" fillId="4" borderId="198" xfId="10" applyNumberFormat="1" applyFont="1" applyFill="1" applyBorder="1" applyAlignment="1" applyProtection="1">
      <alignment vertical="center"/>
    </xf>
    <xf numFmtId="37" fontId="12" fillId="4" borderId="199" xfId="10" applyNumberFormat="1" applyFont="1" applyFill="1" applyBorder="1" applyAlignment="1" applyProtection="1">
      <alignment vertical="center"/>
    </xf>
    <xf numFmtId="37" fontId="12" fillId="4" borderId="0" xfId="10" applyNumberFormat="1" applyFont="1" applyFill="1" applyBorder="1" applyAlignment="1" applyProtection="1">
      <alignment vertical="center"/>
    </xf>
    <xf numFmtId="37" fontId="12" fillId="4" borderId="0" xfId="0" applyNumberFormat="1" applyFont="1" applyFill="1" applyProtection="1"/>
    <xf numFmtId="37" fontId="11" fillId="4" borderId="0" xfId="0" applyNumberFormat="1" applyFont="1" applyFill="1" applyBorder="1" applyAlignment="1" applyProtection="1">
      <alignment horizontal="center"/>
    </xf>
    <xf numFmtId="0" fontId="12" fillId="10" borderId="93" xfId="10" applyFont="1" applyFill="1" applyBorder="1" applyAlignment="1" applyProtection="1">
      <alignment vertical="center"/>
    </xf>
    <xf numFmtId="0" fontId="12" fillId="10" borderId="94" xfId="10" applyNumberFormat="1" applyFont="1" applyFill="1" applyBorder="1" applyAlignment="1" applyProtection="1">
      <alignment horizontal="center" vertical="center"/>
    </xf>
    <xf numFmtId="37" fontId="11" fillId="10" borderId="11" xfId="10" applyNumberFormat="1" applyFont="1" applyFill="1" applyBorder="1" applyAlignment="1" applyProtection="1">
      <alignment horizontal="center" vertical="center"/>
    </xf>
    <xf numFmtId="37" fontId="16" fillId="10" borderId="95" xfId="6" applyNumberFormat="1" applyFont="1" applyFill="1" applyBorder="1" applyAlignment="1" applyProtection="1">
      <alignment horizontal="center" vertical="center" wrapText="1"/>
    </xf>
    <xf numFmtId="37" fontId="12" fillId="12" borderId="0" xfId="0" applyNumberFormat="1" applyFont="1" applyFill="1" applyBorder="1" applyAlignment="1" applyProtection="1">
      <alignment horizontal="left"/>
    </xf>
    <xf numFmtId="37" fontId="12" fillId="0" borderId="27" xfId="10" applyNumberFormat="1" applyFont="1" applyFill="1" applyBorder="1" applyAlignment="1" applyProtection="1">
      <alignment vertical="center"/>
    </xf>
    <xf numFmtId="37" fontId="12" fillId="4" borderId="0" xfId="0" applyNumberFormat="1" applyFont="1" applyFill="1" applyBorder="1" applyAlignment="1" applyProtection="1">
      <alignment horizontal="left"/>
    </xf>
    <xf numFmtId="37" fontId="12" fillId="4" borderId="611" xfId="0" applyNumberFormat="1" applyFont="1" applyFill="1" applyBorder="1" applyAlignment="1" applyProtection="1">
      <alignment horizontal="center"/>
    </xf>
    <xf numFmtId="37" fontId="12" fillId="4" borderId="612" xfId="0" applyNumberFormat="1" applyFont="1" applyFill="1" applyBorder="1" applyAlignment="1" applyProtection="1">
      <alignment horizontal="center"/>
    </xf>
    <xf numFmtId="37" fontId="12" fillId="4" borderId="509" xfId="0" applyNumberFormat="1" applyFont="1" applyFill="1" applyBorder="1" applyAlignment="1" applyProtection="1">
      <alignment horizontal="center"/>
    </xf>
    <xf numFmtId="37" fontId="12" fillId="4" borderId="27" xfId="10" applyNumberFormat="1" applyFont="1" applyFill="1" applyBorder="1" applyAlignment="1" applyProtection="1">
      <alignment vertical="center"/>
    </xf>
    <xf numFmtId="37" fontId="12" fillId="12" borderId="754" xfId="0" applyNumberFormat="1" applyFont="1" applyFill="1" applyBorder="1" applyAlignment="1" applyProtection="1">
      <alignment horizontal="center"/>
    </xf>
    <xf numFmtId="37" fontId="12" fillId="12" borderId="755" xfId="0" applyNumberFormat="1" applyFont="1" applyFill="1" applyBorder="1" applyAlignment="1" applyProtection="1">
      <alignment horizontal="center"/>
    </xf>
    <xf numFmtId="37" fontId="12" fillId="12" borderId="756" xfId="0" applyNumberFormat="1" applyFont="1" applyFill="1" applyBorder="1" applyAlignment="1" applyProtection="1">
      <alignment horizontal="center"/>
    </xf>
    <xf numFmtId="37" fontId="11" fillId="10" borderId="22" xfId="0" applyNumberFormat="1" applyFont="1" applyFill="1" applyBorder="1" applyAlignment="1" applyProtection="1">
      <alignment horizontal="left"/>
    </xf>
    <xf numFmtId="39" fontId="12" fillId="12" borderId="0" xfId="0" applyNumberFormat="1" applyFont="1" applyFill="1" applyBorder="1" applyAlignment="1" applyProtection="1">
      <alignment horizontal="center"/>
    </xf>
    <xf numFmtId="37" fontId="11" fillId="0" borderId="0" xfId="0" applyNumberFormat="1" applyFont="1" applyFill="1" applyBorder="1" applyProtection="1"/>
    <xf numFmtId="37" fontId="11" fillId="0" borderId="27" xfId="0" applyNumberFormat="1" applyFont="1" applyFill="1" applyBorder="1" applyAlignment="1" applyProtection="1">
      <alignment horizontal="center"/>
    </xf>
    <xf numFmtId="170" fontId="12" fillId="0" borderId="621" xfId="0" applyNumberFormat="1" applyFont="1" applyFill="1" applyBorder="1" applyAlignment="1" applyProtection="1">
      <alignment horizontal="center"/>
    </xf>
    <xf numFmtId="170" fontId="12" fillId="0" borderId="606" xfId="0" applyNumberFormat="1" applyFont="1" applyFill="1" applyBorder="1" applyAlignment="1" applyProtection="1">
      <alignment horizontal="center"/>
    </xf>
    <xf numFmtId="170" fontId="12" fillId="0" borderId="506" xfId="0" applyNumberFormat="1" applyFont="1" applyFill="1" applyBorder="1" applyAlignment="1" applyProtection="1">
      <alignment horizontal="center"/>
    </xf>
    <xf numFmtId="170" fontId="12" fillId="0" borderId="611" xfId="0" applyNumberFormat="1" applyFont="1" applyFill="1" applyBorder="1" applyAlignment="1" applyProtection="1">
      <alignment horizontal="center"/>
    </xf>
    <xf numFmtId="170" fontId="12" fillId="0" borderId="612" xfId="0" applyNumberFormat="1" applyFont="1" applyFill="1" applyBorder="1" applyAlignment="1" applyProtection="1">
      <alignment horizontal="center"/>
    </xf>
    <xf numFmtId="170" fontId="12" fillId="0" borderId="509" xfId="0" applyNumberFormat="1" applyFont="1" applyFill="1" applyBorder="1" applyAlignment="1" applyProtection="1">
      <alignment horizontal="center"/>
    </xf>
    <xf numFmtId="37" fontId="12" fillId="12" borderId="202" xfId="0" applyNumberFormat="1" applyFont="1" applyFill="1" applyBorder="1" applyAlignment="1" applyProtection="1">
      <alignment horizontal="center"/>
    </xf>
    <xf numFmtId="37" fontId="12" fillId="12" borderId="202" xfId="0" applyNumberFormat="1" applyFont="1" applyFill="1" applyBorder="1" applyAlignment="1" applyProtection="1">
      <alignment horizontal="left"/>
    </xf>
    <xf numFmtId="170" fontId="12" fillId="0" borderId="662" xfId="0" applyNumberFormat="1" applyFont="1" applyFill="1" applyBorder="1" applyAlignment="1" applyProtection="1">
      <alignment horizontal="center"/>
    </xf>
    <xf numFmtId="170" fontId="12" fillId="0" borderId="663" xfId="0" applyNumberFormat="1" applyFont="1" applyFill="1" applyBorder="1" applyAlignment="1" applyProtection="1">
      <alignment horizontal="center"/>
    </xf>
    <xf numFmtId="170" fontId="12" fillId="0" borderId="664" xfId="0" applyNumberFormat="1" applyFont="1" applyFill="1" applyBorder="1" applyAlignment="1" applyProtection="1">
      <alignment horizontal="center"/>
    </xf>
    <xf numFmtId="37" fontId="11" fillId="12" borderId="347" xfId="0" applyNumberFormat="1" applyFont="1" applyFill="1" applyBorder="1" applyProtection="1"/>
    <xf numFmtId="37" fontId="11" fillId="12" borderId="0" xfId="0" applyNumberFormat="1" applyFont="1" applyFill="1" applyBorder="1" applyAlignment="1" applyProtection="1">
      <alignment horizontal="left"/>
    </xf>
    <xf numFmtId="37" fontId="11" fillId="12" borderId="0" xfId="0" applyNumberFormat="1" applyFont="1" applyFill="1" applyBorder="1" applyProtection="1"/>
    <xf numFmtId="170" fontId="11" fillId="12" borderId="754" xfId="0" applyNumberFormat="1" applyFont="1" applyFill="1" applyBorder="1" applyAlignment="1" applyProtection="1">
      <alignment horizontal="center"/>
    </xf>
    <xf numFmtId="170" fontId="11" fillId="12" borderId="755" xfId="0" applyNumberFormat="1" applyFont="1" applyFill="1" applyBorder="1" applyAlignment="1" applyProtection="1">
      <alignment horizontal="center"/>
    </xf>
    <xf numFmtId="170" fontId="11" fillId="12" borderId="756" xfId="0" applyNumberFormat="1" applyFont="1" applyFill="1" applyBorder="1" applyAlignment="1" applyProtection="1">
      <alignment horizontal="center"/>
    </xf>
    <xf numFmtId="170" fontId="11" fillId="12" borderId="751" xfId="0" applyNumberFormat="1" applyFont="1" applyFill="1" applyBorder="1" applyAlignment="1" applyProtection="1">
      <alignment horizontal="center"/>
    </xf>
    <xf numFmtId="37" fontId="21" fillId="0" borderId="0" xfId="0" applyNumberFormat="1" applyFont="1" applyFill="1" applyProtection="1"/>
    <xf numFmtId="37" fontId="11" fillId="0" borderId="0" xfId="0" applyNumberFormat="1" applyFont="1" applyFill="1" applyProtection="1"/>
    <xf numFmtId="170" fontId="11" fillId="12" borderId="611" xfId="0" applyNumberFormat="1" applyFont="1" applyFill="1" applyBorder="1" applyAlignment="1" applyProtection="1">
      <alignment horizontal="center"/>
    </xf>
    <xf numFmtId="170" fontId="11" fillId="12" borderId="612" xfId="0" applyNumberFormat="1" applyFont="1" applyFill="1" applyBorder="1" applyAlignment="1" applyProtection="1">
      <alignment horizontal="center"/>
    </xf>
    <xf numFmtId="170" fontId="11" fillId="12" borderId="509" xfId="0" applyNumberFormat="1" applyFont="1" applyFill="1" applyBorder="1" applyAlignment="1" applyProtection="1">
      <alignment horizontal="center"/>
    </xf>
    <xf numFmtId="37" fontId="12" fillId="12" borderId="5" xfId="0" applyNumberFormat="1" applyFont="1" applyFill="1" applyBorder="1" applyAlignment="1" applyProtection="1">
      <alignment horizontal="center"/>
    </xf>
    <xf numFmtId="37" fontId="12" fillId="12" borderId="5" xfId="0" applyNumberFormat="1" applyFont="1" applyFill="1" applyBorder="1" applyAlignment="1" applyProtection="1">
      <alignment horizontal="left"/>
    </xf>
    <xf numFmtId="171" fontId="11" fillId="0" borderId="614" xfId="7" applyNumberFormat="1" applyFont="1" applyFill="1" applyBorder="1" applyAlignment="1" applyProtection="1">
      <alignment horizontal="center"/>
    </xf>
    <xf numFmtId="171" fontId="11" fillId="0" borderId="615" xfId="7" applyNumberFormat="1" applyFont="1" applyFill="1" applyBorder="1" applyAlignment="1" applyProtection="1">
      <alignment horizontal="center"/>
    </xf>
    <xf numFmtId="171" fontId="11" fillId="0" borderId="510" xfId="7" applyNumberFormat="1" applyFont="1" applyFill="1" applyBorder="1" applyAlignment="1" applyProtection="1">
      <alignment horizontal="center"/>
    </xf>
    <xf numFmtId="170" fontId="12" fillId="12" borderId="29" xfId="0" applyNumberFormat="1" applyFont="1" applyFill="1" applyBorder="1" applyAlignment="1" applyProtection="1">
      <alignment horizontal="center"/>
    </xf>
    <xf numFmtId="37" fontId="53" fillId="0" borderId="0" xfId="0" applyNumberFormat="1" applyFont="1" applyFill="1" applyBorder="1" applyProtection="1"/>
    <xf numFmtId="173" fontId="12" fillId="4" borderId="561" xfId="0" applyNumberFormat="1" applyFont="1" applyFill="1" applyBorder="1" applyAlignment="1" applyProtection="1">
      <alignment horizontal="center"/>
    </xf>
    <xf numFmtId="37" fontId="12" fillId="4" borderId="561" xfId="0" applyNumberFormat="1" applyFont="1" applyFill="1" applyBorder="1" applyAlignment="1" applyProtection="1">
      <alignment horizontal="center"/>
    </xf>
    <xf numFmtId="37" fontId="11" fillId="4" borderId="562" xfId="0" applyNumberFormat="1" applyFont="1" applyFill="1" applyBorder="1" applyProtection="1"/>
    <xf numFmtId="37" fontId="11" fillId="4" borderId="562" xfId="0" applyNumberFormat="1" applyFont="1" applyFill="1" applyBorder="1" applyAlignment="1" applyProtection="1"/>
    <xf numFmtId="37" fontId="12" fillId="0" borderId="0" xfId="0" applyNumberFormat="1" applyFont="1" applyFill="1" applyAlignment="1" applyProtection="1">
      <alignment horizontal="center"/>
    </xf>
    <xf numFmtId="37" fontId="21" fillId="4" borderId="0" xfId="0" applyNumberFormat="1" applyFont="1" applyFill="1" applyProtection="1"/>
    <xf numFmtId="37" fontId="12" fillId="4" borderId="64" xfId="0" applyNumberFormat="1" applyFont="1" applyFill="1" applyBorder="1" applyAlignment="1" applyProtection="1">
      <alignment horizontal="center"/>
    </xf>
    <xf numFmtId="37" fontId="12" fillId="4" borderId="816" xfId="0" applyNumberFormat="1" applyFont="1" applyFill="1" applyBorder="1" applyAlignment="1" applyProtection="1">
      <alignment horizontal="center"/>
    </xf>
    <xf numFmtId="37" fontId="12" fillId="4" borderId="813" xfId="0" applyNumberFormat="1" applyFont="1" applyFill="1" applyBorder="1" applyAlignment="1" applyProtection="1">
      <alignment horizontal="left"/>
    </xf>
    <xf numFmtId="37" fontId="11" fillId="4" borderId="5" xfId="0" applyNumberFormat="1" applyFont="1" applyFill="1" applyBorder="1" applyAlignment="1" applyProtection="1">
      <alignment horizontal="center"/>
    </xf>
    <xf numFmtId="37" fontId="12" fillId="4" borderId="565" xfId="0" applyNumberFormat="1" applyFont="1" applyFill="1" applyBorder="1" applyAlignment="1" applyProtection="1">
      <alignment horizontal="left"/>
    </xf>
    <xf numFmtId="37" fontId="11" fillId="4" borderId="566" xfId="0" applyNumberFormat="1" applyFont="1" applyFill="1" applyBorder="1" applyAlignment="1" applyProtection="1">
      <alignment horizontal="center"/>
    </xf>
    <xf numFmtId="37" fontId="11" fillId="4" borderId="690" xfId="0" applyNumberFormat="1" applyFont="1" applyFill="1" applyBorder="1" applyAlignment="1" applyProtection="1">
      <alignment horizontal="center"/>
    </xf>
    <xf numFmtId="37" fontId="12" fillId="0" borderId="206" xfId="0" applyNumberFormat="1" applyFont="1" applyFill="1" applyBorder="1" applyAlignment="1" applyProtection="1">
      <alignment horizontal="left"/>
    </xf>
    <xf numFmtId="0" fontId="12" fillId="10" borderId="45" xfId="10" applyNumberFormat="1" applyFont="1" applyFill="1" applyBorder="1" applyAlignment="1" applyProtection="1">
      <alignment horizontal="center" vertical="center"/>
    </xf>
    <xf numFmtId="37" fontId="11" fillId="10" borderId="90" xfId="10" applyNumberFormat="1" applyFont="1" applyFill="1" applyBorder="1" applyAlignment="1" applyProtection="1">
      <alignment horizontal="center" vertical="center"/>
    </xf>
    <xf numFmtId="37" fontId="16" fillId="10" borderId="24" xfId="6" applyNumberFormat="1" applyFont="1" applyFill="1" applyBorder="1" applyAlignment="1" applyProtection="1">
      <alignment horizontal="center" vertical="center" wrapText="1"/>
    </xf>
    <xf numFmtId="37" fontId="12" fillId="12" borderId="46" xfId="0" applyNumberFormat="1" applyFont="1" applyFill="1" applyBorder="1" applyProtection="1"/>
    <xf numFmtId="37" fontId="12" fillId="12" borderId="20" xfId="0" applyNumberFormat="1" applyFont="1" applyFill="1" applyBorder="1" applyAlignment="1" applyProtection="1">
      <alignment horizontal="center"/>
    </xf>
    <xf numFmtId="37" fontId="12" fillId="12" borderId="20" xfId="0" applyNumberFormat="1" applyFont="1" applyFill="1" applyBorder="1" applyAlignment="1" applyProtection="1">
      <alignment horizontal="left"/>
    </xf>
    <xf numFmtId="37" fontId="12" fillId="0" borderId="20" xfId="0" applyNumberFormat="1" applyFont="1" applyFill="1" applyBorder="1" applyAlignment="1" applyProtection="1">
      <alignment horizontal="center"/>
    </xf>
    <xf numFmtId="37" fontId="12" fillId="0" borderId="50" xfId="0" applyNumberFormat="1" applyFont="1" applyFill="1" applyBorder="1" applyAlignment="1" applyProtection="1">
      <alignment horizontal="center"/>
    </xf>
    <xf numFmtId="37" fontId="11" fillId="12" borderId="26" xfId="0" applyNumberFormat="1" applyFont="1" applyFill="1" applyBorder="1" applyProtection="1"/>
    <xf numFmtId="37" fontId="11" fillId="4" borderId="0" xfId="0" applyNumberFormat="1" applyFont="1" applyFill="1" applyBorder="1" applyAlignment="1" applyProtection="1">
      <alignment horizontal="left"/>
    </xf>
    <xf numFmtId="37" fontId="11" fillId="4" borderId="210" xfId="0" applyNumberFormat="1" applyFont="1" applyFill="1" applyBorder="1" applyAlignment="1" applyProtection="1">
      <alignment horizontal="center"/>
    </xf>
    <xf numFmtId="170" fontId="12" fillId="4" borderId="529" xfId="0" applyNumberFormat="1" applyFont="1" applyFill="1" applyBorder="1" applyAlignment="1" applyProtection="1">
      <alignment horizontal="center"/>
    </xf>
    <xf numFmtId="171" fontId="11" fillId="12" borderId="614" xfId="7" applyNumberFormat="1" applyFont="1" applyFill="1" applyBorder="1" applyAlignment="1" applyProtection="1">
      <alignment horizontal="center"/>
    </xf>
    <xf numFmtId="171" fontId="11" fillId="12" borderId="615" xfId="7" applyNumberFormat="1" applyFont="1" applyFill="1" applyBorder="1" applyAlignment="1" applyProtection="1">
      <alignment horizontal="center"/>
    </xf>
    <xf numFmtId="171" fontId="11" fillId="12" borderId="510" xfId="7" applyNumberFormat="1" applyFont="1" applyFill="1" applyBorder="1" applyAlignment="1" applyProtection="1">
      <alignment horizontal="center"/>
    </xf>
    <xf numFmtId="170" fontId="11" fillId="12" borderId="29" xfId="0" applyNumberFormat="1" applyFont="1" applyFill="1" applyBorder="1" applyAlignment="1" applyProtection="1">
      <alignment horizontal="center"/>
    </xf>
    <xf numFmtId="37" fontId="12" fillId="4" borderId="44" xfId="0" applyNumberFormat="1" applyFont="1" applyFill="1" applyBorder="1" applyProtection="1"/>
    <xf numFmtId="37" fontId="12" fillId="4" borderId="210" xfId="0" applyNumberFormat="1" applyFont="1" applyFill="1" applyBorder="1" applyAlignment="1" applyProtection="1">
      <alignment horizontal="center"/>
    </xf>
    <xf numFmtId="173" fontId="12" fillId="4" borderId="0" xfId="0" applyNumberFormat="1" applyFont="1" applyFill="1" applyBorder="1" applyAlignment="1" applyProtection="1">
      <alignment horizontal="center"/>
    </xf>
    <xf numFmtId="37" fontId="11" fillId="4" borderId="23" xfId="0" applyNumberFormat="1" applyFont="1" applyFill="1" applyBorder="1" applyAlignment="1" applyProtection="1"/>
    <xf numFmtId="37" fontId="11" fillId="4" borderId="45" xfId="0" applyNumberFormat="1" applyFont="1" applyFill="1" applyBorder="1" applyProtection="1"/>
    <xf numFmtId="37" fontId="11" fillId="4" borderId="45" xfId="0" applyNumberFormat="1" applyFont="1" applyFill="1" applyBorder="1" applyAlignment="1" applyProtection="1">
      <alignment horizontal="left"/>
    </xf>
    <xf numFmtId="37" fontId="11" fillId="4" borderId="45" xfId="0" applyNumberFormat="1" applyFont="1" applyFill="1" applyBorder="1" applyAlignment="1" applyProtection="1">
      <alignment horizontal="center"/>
    </xf>
    <xf numFmtId="37" fontId="11" fillId="4" borderId="24" xfId="0" applyNumberFormat="1" applyFont="1" applyFill="1" applyBorder="1" applyAlignment="1" applyProtection="1">
      <alignment horizontal="center"/>
    </xf>
    <xf numFmtId="37" fontId="11" fillId="4" borderId="28" xfId="0" applyNumberFormat="1" applyFont="1" applyFill="1" applyBorder="1" applyProtection="1"/>
    <xf numFmtId="37" fontId="11" fillId="4" borderId="5" xfId="0" applyNumberFormat="1" applyFont="1" applyFill="1" applyBorder="1" applyProtection="1"/>
    <xf numFmtId="37" fontId="11" fillId="4" borderId="5" xfId="0" applyNumberFormat="1" applyFont="1" applyFill="1" applyBorder="1" applyAlignment="1" applyProtection="1">
      <alignment horizontal="left"/>
    </xf>
    <xf numFmtId="37" fontId="11" fillId="4" borderId="29" xfId="0" applyNumberFormat="1" applyFont="1" applyFill="1" applyBorder="1" applyAlignment="1" applyProtection="1">
      <alignment horizontal="center"/>
    </xf>
    <xf numFmtId="37" fontId="12" fillId="4" borderId="43" xfId="0" applyNumberFormat="1" applyFont="1" applyFill="1" applyBorder="1" applyAlignment="1" applyProtection="1">
      <alignment horizontal="center"/>
    </xf>
    <xf numFmtId="37" fontId="12" fillId="0" borderId="0" xfId="0" applyNumberFormat="1" applyFont="1" applyFill="1" applyBorder="1" applyAlignment="1" applyProtection="1">
      <alignment horizontal="left"/>
    </xf>
    <xf numFmtId="37" fontId="11" fillId="10" borderId="22" xfId="10" applyNumberFormat="1" applyFont="1" applyFill="1" applyBorder="1" applyAlignment="1" applyProtection="1">
      <alignment horizontal="center" vertical="center"/>
    </xf>
    <xf numFmtId="37" fontId="16" fillId="10" borderId="31" xfId="6" applyNumberFormat="1" applyFont="1" applyFill="1" applyBorder="1" applyAlignment="1" applyProtection="1">
      <alignment horizontal="center" vertical="center" wrapText="1"/>
    </xf>
    <xf numFmtId="37" fontId="12" fillId="12" borderId="611" xfId="0" applyNumberFormat="1" applyFont="1" applyFill="1" applyBorder="1" applyAlignment="1" applyProtection="1">
      <alignment horizontal="center"/>
    </xf>
    <xf numFmtId="37" fontId="12" fillId="12" borderId="612" xfId="0" applyNumberFormat="1" applyFont="1" applyFill="1" applyBorder="1" applyAlignment="1" applyProtection="1">
      <alignment horizontal="center"/>
    </xf>
    <xf numFmtId="37" fontId="12" fillId="12" borderId="509" xfId="0" applyNumberFormat="1" applyFont="1" applyFill="1" applyBorder="1" applyAlignment="1" applyProtection="1">
      <alignment horizontal="center"/>
    </xf>
    <xf numFmtId="37" fontId="12" fillId="12" borderId="27" xfId="0" applyNumberFormat="1" applyFont="1" applyFill="1" applyBorder="1" applyProtection="1"/>
    <xf numFmtId="37" fontId="12" fillId="12" borderId="662" xfId="0" applyNumberFormat="1" applyFont="1" applyFill="1" applyBorder="1" applyAlignment="1" applyProtection="1">
      <alignment horizontal="center"/>
    </xf>
    <xf numFmtId="37" fontId="12" fillId="12" borderId="663" xfId="0" applyNumberFormat="1" applyFont="1" applyFill="1" applyBorder="1" applyAlignment="1" applyProtection="1">
      <alignment horizontal="center"/>
    </xf>
    <xf numFmtId="37" fontId="12" fillId="12" borderId="664" xfId="0" applyNumberFormat="1" applyFont="1" applyFill="1" applyBorder="1" applyAlignment="1" applyProtection="1">
      <alignment horizontal="center"/>
    </xf>
    <xf numFmtId="37" fontId="11" fillId="12" borderId="754" xfId="0" applyNumberFormat="1" applyFont="1" applyFill="1" applyBorder="1" applyAlignment="1" applyProtection="1">
      <alignment horizontal="center"/>
    </xf>
    <xf numFmtId="37" fontId="11" fillId="12" borderId="755" xfId="0" applyNumberFormat="1" applyFont="1" applyFill="1" applyBorder="1" applyAlignment="1" applyProtection="1">
      <alignment horizontal="center"/>
    </xf>
    <xf numFmtId="37" fontId="11" fillId="12" borderId="756" xfId="0" applyNumberFormat="1" applyFont="1" applyFill="1" applyBorder="1" applyAlignment="1" applyProtection="1">
      <alignment horizontal="center"/>
    </xf>
    <xf numFmtId="37" fontId="11" fillId="12" borderId="751" xfId="0" applyNumberFormat="1" applyFont="1" applyFill="1" applyBorder="1" applyAlignment="1" applyProtection="1">
      <alignment horizontal="center"/>
    </xf>
    <xf numFmtId="37" fontId="12" fillId="12" borderId="749" xfId="0" applyNumberFormat="1" applyFont="1" applyFill="1" applyBorder="1" applyAlignment="1" applyProtection="1">
      <alignment horizontal="left"/>
    </xf>
    <xf numFmtId="37" fontId="12" fillId="12" borderId="769" xfId="0" applyNumberFormat="1" applyFont="1" applyFill="1" applyBorder="1" applyAlignment="1" applyProtection="1">
      <alignment horizontal="left"/>
    </xf>
    <xf numFmtId="37" fontId="12" fillId="12" borderId="206" xfId="0" applyNumberFormat="1" applyFont="1" applyFill="1" applyBorder="1" applyProtection="1"/>
    <xf numFmtId="37" fontId="11" fillId="12" borderId="0" xfId="0" applyNumberFormat="1" applyFont="1" applyFill="1" applyProtection="1"/>
    <xf numFmtId="37" fontId="12" fillId="12" borderId="203" xfId="0" applyNumberFormat="1" applyFont="1" applyFill="1" applyBorder="1" applyAlignment="1" applyProtection="1">
      <alignment horizontal="right"/>
    </xf>
    <xf numFmtId="37" fontId="27" fillId="12" borderId="27" xfId="0" applyNumberFormat="1" applyFont="1" applyFill="1" applyBorder="1" applyProtection="1"/>
    <xf numFmtId="37" fontId="12" fillId="12" borderId="26" xfId="0" applyNumberFormat="1" applyFont="1" applyFill="1" applyBorder="1" applyAlignment="1" applyProtection="1">
      <alignment horizontal="left"/>
    </xf>
    <xf numFmtId="37" fontId="12" fillId="12" borderId="0" xfId="0" applyNumberFormat="1" applyFont="1" applyFill="1" applyBorder="1" applyAlignment="1" applyProtection="1">
      <alignment horizontal="right"/>
    </xf>
    <xf numFmtId="37" fontId="12" fillId="12" borderId="769" xfId="0" applyNumberFormat="1" applyFont="1" applyFill="1" applyBorder="1" applyProtection="1"/>
    <xf numFmtId="37" fontId="12" fillId="12" borderId="206" xfId="0" applyNumberFormat="1" applyFont="1" applyFill="1" applyBorder="1" applyAlignment="1" applyProtection="1">
      <alignment horizontal="right"/>
    </xf>
    <xf numFmtId="9" fontId="12" fillId="0" borderId="780" xfId="7" applyFont="1" applyFill="1" applyBorder="1" applyAlignment="1" applyProtection="1">
      <alignment horizontal="center"/>
    </xf>
    <xf numFmtId="9" fontId="12" fillId="0" borderId="781" xfId="7" applyFont="1" applyFill="1" applyBorder="1" applyAlignment="1" applyProtection="1">
      <alignment horizontal="center"/>
    </xf>
    <xf numFmtId="9" fontId="12" fillId="0" borderId="782" xfId="7" applyFont="1" applyFill="1" applyBorder="1" applyAlignment="1" applyProtection="1">
      <alignment horizontal="center"/>
    </xf>
    <xf numFmtId="37" fontId="27" fillId="0" borderId="27" xfId="0" applyNumberFormat="1" applyFont="1" applyFill="1" applyBorder="1" applyProtection="1"/>
    <xf numFmtId="37" fontId="12" fillId="12" borderId="0" xfId="0" applyNumberFormat="1" applyFont="1" applyFill="1" applyBorder="1" applyAlignment="1" applyProtection="1">
      <alignment horizontal="center" wrapText="1"/>
    </xf>
    <xf numFmtId="37" fontId="11" fillId="12" borderId="51" xfId="0" applyNumberFormat="1" applyFont="1" applyFill="1" applyBorder="1" applyProtection="1"/>
    <xf numFmtId="37" fontId="12" fillId="12" borderId="786" xfId="0" applyNumberFormat="1" applyFont="1" applyFill="1" applyBorder="1" applyProtection="1"/>
    <xf numFmtId="37" fontId="12" fillId="12" borderId="27" xfId="0" applyNumberFormat="1" applyFont="1" applyFill="1" applyBorder="1" applyAlignment="1" applyProtection="1">
      <alignment horizontal="center"/>
    </xf>
    <xf numFmtId="37" fontId="12" fillId="12" borderId="196" xfId="0" applyNumberFormat="1" applyFont="1" applyFill="1" applyBorder="1" applyAlignment="1" applyProtection="1">
      <alignment horizontal="center"/>
    </xf>
    <xf numFmtId="9" fontId="12" fillId="0" borderId="204" xfId="7" applyFont="1" applyFill="1" applyBorder="1" applyAlignment="1" applyProtection="1">
      <alignment horizontal="center"/>
    </xf>
    <xf numFmtId="37" fontId="12" fillId="12" borderId="461" xfId="0" applyNumberFormat="1" applyFont="1" applyFill="1" applyBorder="1" applyAlignment="1" applyProtection="1">
      <alignment horizontal="center"/>
    </xf>
    <xf numFmtId="37" fontId="12" fillId="12" borderId="436" xfId="0" applyNumberFormat="1" applyFont="1" applyFill="1" applyBorder="1" applyAlignment="1" applyProtection="1">
      <alignment horizontal="center"/>
    </xf>
    <xf numFmtId="37" fontId="12" fillId="12" borderId="539" xfId="0" applyNumberFormat="1" applyFont="1" applyFill="1" applyBorder="1" applyAlignment="1" applyProtection="1">
      <alignment horizontal="center"/>
    </xf>
    <xf numFmtId="37" fontId="11" fillId="12" borderId="752" xfId="0" applyNumberFormat="1" applyFont="1" applyFill="1" applyBorder="1" applyAlignment="1" applyProtection="1">
      <alignment horizontal="center"/>
    </xf>
    <xf numFmtId="9" fontId="12" fillId="0" borderId="208" xfId="7" applyFont="1" applyFill="1" applyBorder="1" applyAlignment="1" applyProtection="1">
      <alignment horizontal="center"/>
    </xf>
    <xf numFmtId="37" fontId="11" fillId="12" borderId="27" xfId="0" applyNumberFormat="1" applyFont="1" applyFill="1" applyBorder="1" applyAlignment="1" applyProtection="1">
      <alignment horizontal="center"/>
    </xf>
    <xf numFmtId="174" fontId="12" fillId="12" borderId="769" xfId="0" applyNumberFormat="1" applyFont="1" applyFill="1" applyBorder="1" applyProtection="1"/>
    <xf numFmtId="37" fontId="12" fillId="12" borderId="771" xfId="0" applyNumberFormat="1" applyFont="1" applyFill="1" applyBorder="1" applyAlignment="1" applyProtection="1">
      <alignment horizontal="center"/>
    </xf>
    <xf numFmtId="3" fontId="12" fillId="0" borderId="205" xfId="7" applyNumberFormat="1" applyFont="1" applyFill="1" applyBorder="1" applyAlignment="1" applyProtection="1">
      <alignment horizontal="center"/>
    </xf>
    <xf numFmtId="170" fontId="12" fillId="12" borderId="783" xfId="0" applyNumberFormat="1" applyFont="1" applyFill="1" applyBorder="1" applyAlignment="1" applyProtection="1">
      <alignment horizontal="center"/>
    </xf>
    <xf numFmtId="170" fontId="12" fillId="12" borderId="784" xfId="0" applyNumberFormat="1" applyFont="1" applyFill="1" applyBorder="1" applyAlignment="1" applyProtection="1">
      <alignment horizontal="center"/>
    </xf>
    <xf numFmtId="170" fontId="12" fillId="12" borderId="785" xfId="0" applyNumberFormat="1" applyFont="1" applyFill="1" applyBorder="1" applyAlignment="1" applyProtection="1">
      <alignment horizontal="center"/>
    </xf>
    <xf numFmtId="170" fontId="11" fillId="12" borderId="753" xfId="0" applyNumberFormat="1" applyFont="1" applyFill="1" applyBorder="1" applyAlignment="1" applyProtection="1">
      <alignment horizontal="center"/>
    </xf>
    <xf numFmtId="0" fontId="12" fillId="10" borderId="20" xfId="10" applyNumberFormat="1" applyFont="1" applyFill="1" applyBorder="1" applyAlignment="1" applyProtection="1">
      <alignment horizontal="center" vertical="center"/>
    </xf>
    <xf numFmtId="37" fontId="11" fillId="10" borderId="20" xfId="10" applyNumberFormat="1" applyFont="1" applyFill="1" applyBorder="1" applyAlignment="1" applyProtection="1">
      <alignment horizontal="center" vertical="center"/>
    </xf>
    <xf numFmtId="37" fontId="16" fillId="10" borderId="50" xfId="6" applyNumberFormat="1" applyFont="1" applyFill="1" applyBorder="1" applyAlignment="1" applyProtection="1">
      <alignment horizontal="center" vertical="center" wrapText="1"/>
    </xf>
    <xf numFmtId="37" fontId="12" fillId="12" borderId="20" xfId="0" applyNumberFormat="1" applyFont="1" applyFill="1" applyBorder="1" applyProtection="1"/>
    <xf numFmtId="9" fontId="12" fillId="0" borderId="787" xfId="7" applyFont="1" applyFill="1" applyBorder="1" applyAlignment="1" applyProtection="1">
      <alignment horizontal="center"/>
    </xf>
    <xf numFmtId="37" fontId="12" fillId="12" borderId="50" xfId="0" applyNumberFormat="1" applyFont="1" applyFill="1" applyBorder="1" applyAlignment="1" applyProtection="1">
      <alignment horizontal="center"/>
    </xf>
    <xf numFmtId="9" fontId="12" fillId="0" borderId="209" xfId="7" applyFont="1" applyFill="1" applyBorder="1" applyAlignment="1" applyProtection="1">
      <alignment horizontal="center"/>
    </xf>
    <xf numFmtId="3" fontId="12" fillId="0" borderId="207" xfId="7" applyNumberFormat="1" applyFont="1" applyFill="1" applyBorder="1" applyAlignment="1" applyProtection="1">
      <alignment horizontal="center"/>
    </xf>
    <xf numFmtId="37" fontId="12" fillId="12" borderId="783" xfId="0" applyNumberFormat="1" applyFont="1" applyFill="1" applyBorder="1" applyAlignment="1" applyProtection="1">
      <alignment horizontal="center"/>
    </xf>
    <xf numFmtId="37" fontId="12" fillId="12" borderId="784" xfId="0" applyNumberFormat="1" applyFont="1" applyFill="1" applyBorder="1" applyAlignment="1" applyProtection="1">
      <alignment horizontal="center"/>
    </xf>
    <xf numFmtId="37" fontId="12" fillId="12" borderId="785" xfId="0" applyNumberFormat="1" applyFont="1" applyFill="1" applyBorder="1" applyAlignment="1" applyProtection="1">
      <alignment horizontal="center"/>
    </xf>
    <xf numFmtId="37" fontId="12" fillId="12" borderId="753" xfId="0" applyNumberFormat="1" applyFont="1" applyFill="1" applyBorder="1" applyAlignment="1" applyProtection="1">
      <alignment horizontal="center"/>
    </xf>
    <xf numFmtId="37" fontId="11" fillId="12" borderId="28" xfId="0" applyNumberFormat="1" applyFont="1" applyFill="1" applyBorder="1" applyProtection="1"/>
    <xf numFmtId="37" fontId="11" fillId="12" borderId="5" xfId="0" applyNumberFormat="1" applyFont="1" applyFill="1" applyBorder="1" applyProtection="1"/>
    <xf numFmtId="3" fontId="11" fillId="0" borderId="770" xfId="7" applyNumberFormat="1" applyFont="1" applyFill="1" applyBorder="1" applyAlignment="1" applyProtection="1">
      <alignment horizontal="center"/>
    </xf>
    <xf numFmtId="3" fontId="12" fillId="0" borderId="0" xfId="7" applyNumberFormat="1" applyFont="1" applyFill="1" applyBorder="1" applyAlignment="1" applyProtection="1">
      <alignment horizontal="center"/>
    </xf>
    <xf numFmtId="37" fontId="12" fillId="4" borderId="208" xfId="0" applyNumberFormat="1" applyFont="1" applyFill="1" applyBorder="1" applyProtection="1"/>
    <xf numFmtId="39" fontId="12" fillId="4" borderId="0" xfId="0" applyNumberFormat="1" applyFont="1" applyFill="1" applyBorder="1" applyAlignment="1" applyProtection="1">
      <alignment horizontal="center"/>
    </xf>
    <xf numFmtId="9" fontId="12" fillId="4" borderId="0" xfId="7" applyFont="1" applyFill="1" applyBorder="1" applyAlignment="1" applyProtection="1">
      <alignment horizontal="center"/>
    </xf>
    <xf numFmtId="3" fontId="12" fillId="4" borderId="0" xfId="7" applyNumberFormat="1" applyFont="1" applyFill="1" applyBorder="1" applyAlignment="1" applyProtection="1">
      <alignment horizontal="center"/>
    </xf>
    <xf numFmtId="37" fontId="12" fillId="12" borderId="16" xfId="0" applyNumberFormat="1" applyFont="1" applyFill="1" applyBorder="1" applyProtection="1"/>
    <xf numFmtId="37" fontId="12" fillId="12" borderId="22" xfId="0" applyNumberFormat="1" applyFont="1" applyFill="1" applyBorder="1" applyProtection="1"/>
    <xf numFmtId="37" fontId="12" fillId="12" borderId="22" xfId="0" applyNumberFormat="1" applyFont="1" applyFill="1" applyBorder="1" applyAlignment="1" applyProtection="1">
      <alignment horizontal="center"/>
    </xf>
    <xf numFmtId="37" fontId="12" fillId="12" borderId="789" xfId="0" applyNumberFormat="1" applyFont="1" applyFill="1" applyBorder="1" applyAlignment="1" applyProtection="1">
      <alignment horizontal="center"/>
    </xf>
    <xf numFmtId="37" fontId="12" fillId="12" borderId="18" xfId="0" applyNumberFormat="1" applyFont="1" applyFill="1" applyBorder="1" applyAlignment="1" applyProtection="1">
      <alignment horizontal="center"/>
    </xf>
    <xf numFmtId="37" fontId="12" fillId="12" borderId="31" xfId="0" applyNumberFormat="1" applyFont="1" applyFill="1" applyBorder="1" applyAlignment="1" applyProtection="1">
      <alignment horizontal="center"/>
    </xf>
    <xf numFmtId="37" fontId="12" fillId="12" borderId="209" xfId="0" applyNumberFormat="1" applyFont="1" applyFill="1" applyBorder="1" applyAlignment="1" applyProtection="1">
      <alignment horizontal="center"/>
    </xf>
    <xf numFmtId="37" fontId="12" fillId="12" borderId="218" xfId="0" applyNumberFormat="1" applyFont="1" applyFill="1" applyBorder="1" applyAlignment="1" applyProtection="1">
      <alignment horizontal="center"/>
    </xf>
    <xf numFmtId="37" fontId="12" fillId="12" borderId="788" xfId="0" applyNumberFormat="1" applyFont="1" applyFill="1" applyBorder="1" applyAlignment="1" applyProtection="1">
      <alignment horizontal="center"/>
    </xf>
    <xf numFmtId="37" fontId="12" fillId="4" borderId="209" xfId="0" applyNumberFormat="1" applyFont="1" applyFill="1" applyBorder="1" applyAlignment="1" applyProtection="1">
      <alignment horizontal="center"/>
    </xf>
    <xf numFmtId="37" fontId="12" fillId="4" borderId="211" xfId="0" applyNumberFormat="1" applyFont="1" applyFill="1" applyBorder="1" applyAlignment="1" applyProtection="1">
      <alignment horizontal="center"/>
    </xf>
    <xf numFmtId="37" fontId="12" fillId="4" borderId="788" xfId="0" applyNumberFormat="1" applyFont="1" applyFill="1" applyBorder="1" applyAlignment="1" applyProtection="1">
      <alignment horizontal="center"/>
    </xf>
    <xf numFmtId="37" fontId="12" fillId="12" borderId="209" xfId="0" applyNumberFormat="1" applyFont="1" applyFill="1" applyBorder="1" applyProtection="1"/>
    <xf numFmtId="37" fontId="12" fillId="12" borderId="211" xfId="0" applyNumberFormat="1" applyFont="1" applyFill="1" applyBorder="1" applyAlignment="1" applyProtection="1">
      <alignment horizontal="center"/>
    </xf>
    <xf numFmtId="37" fontId="12" fillId="12" borderId="750" xfId="0" applyNumberFormat="1" applyFont="1" applyFill="1" applyBorder="1" applyAlignment="1" applyProtection="1">
      <alignment horizontal="center"/>
    </xf>
    <xf numFmtId="37" fontId="37" fillId="12" borderId="46" xfId="0" applyNumberFormat="1" applyFont="1" applyFill="1" applyBorder="1" applyProtection="1"/>
    <xf numFmtId="37" fontId="12" fillId="0" borderId="206" xfId="0" applyNumberFormat="1" applyFont="1" applyFill="1" applyBorder="1" applyAlignment="1" applyProtection="1">
      <alignment horizontal="center"/>
    </xf>
    <xf numFmtId="37" fontId="12" fillId="0" borderId="754" xfId="0" applyNumberFormat="1" applyFont="1" applyFill="1" applyBorder="1" applyAlignment="1" applyProtection="1">
      <alignment horizontal="center"/>
    </xf>
    <xf numFmtId="37" fontId="12" fillId="0" borderId="755" xfId="0" applyNumberFormat="1" applyFont="1" applyFill="1" applyBorder="1" applyAlignment="1" applyProtection="1">
      <alignment horizontal="center"/>
    </xf>
    <xf numFmtId="37" fontId="12" fillId="0" borderId="756" xfId="0" applyNumberFormat="1" applyFont="1" applyFill="1" applyBorder="1" applyAlignment="1" applyProtection="1">
      <alignment horizontal="center"/>
    </xf>
    <xf numFmtId="37" fontId="37" fillId="12" borderId="26" xfId="0" applyNumberFormat="1" applyFont="1" applyFill="1" applyBorder="1" applyProtection="1"/>
    <xf numFmtId="37" fontId="12" fillId="0" borderId="611" xfId="0" applyNumberFormat="1" applyFont="1" applyFill="1" applyBorder="1" applyAlignment="1" applyProtection="1">
      <alignment horizontal="center"/>
    </xf>
    <xf numFmtId="37" fontId="12" fillId="0" borderId="612" xfId="0" applyNumberFormat="1" applyFont="1" applyFill="1" applyBorder="1" applyAlignment="1" applyProtection="1">
      <alignment horizontal="center"/>
    </xf>
    <xf numFmtId="37" fontId="12" fillId="0" borderId="509" xfId="0" applyNumberFormat="1" applyFont="1" applyFill="1" applyBorder="1" applyAlignment="1" applyProtection="1">
      <alignment horizontal="center"/>
    </xf>
    <xf numFmtId="37" fontId="12" fillId="0" borderId="46" xfId="0" applyNumberFormat="1" applyFont="1" applyFill="1" applyBorder="1" applyProtection="1"/>
    <xf numFmtId="37" fontId="12" fillId="0" borderId="20" xfId="0" applyNumberFormat="1" applyFont="1" applyFill="1" applyBorder="1" applyProtection="1"/>
    <xf numFmtId="37" fontId="12" fillId="12" borderId="27" xfId="10" applyNumberFormat="1" applyFont="1" applyFill="1" applyBorder="1" applyAlignment="1" applyProtection="1">
      <alignment horizontal="center" vertical="center"/>
    </xf>
    <xf numFmtId="37" fontId="12" fillId="4" borderId="65" xfId="0" applyNumberFormat="1" applyFont="1" applyFill="1" applyBorder="1" applyProtection="1"/>
    <xf numFmtId="37" fontId="12" fillId="4" borderId="793" xfId="0" applyNumberFormat="1" applyFont="1" applyFill="1" applyBorder="1" applyAlignment="1" applyProtection="1">
      <alignment horizontal="center"/>
    </xf>
    <xf numFmtId="37" fontId="12" fillId="4" borderId="794" xfId="0" applyNumberFormat="1" applyFont="1" applyFill="1" applyBorder="1" applyAlignment="1" applyProtection="1">
      <alignment horizontal="center"/>
    </xf>
    <xf numFmtId="37" fontId="12" fillId="4" borderId="795" xfId="0" applyNumberFormat="1" applyFont="1" applyFill="1" applyBorder="1" applyAlignment="1" applyProtection="1">
      <alignment horizontal="center"/>
    </xf>
    <xf numFmtId="37" fontId="11" fillId="10" borderId="36" xfId="0" applyNumberFormat="1" applyFont="1" applyFill="1" applyBorder="1" applyProtection="1"/>
    <xf numFmtId="37" fontId="11" fillId="10" borderId="106" xfId="0" applyNumberFormat="1" applyFont="1" applyFill="1" applyBorder="1" applyProtection="1"/>
    <xf numFmtId="37" fontId="11" fillId="10" borderId="796" xfId="0" applyNumberFormat="1" applyFont="1" applyFill="1" applyBorder="1" applyAlignment="1" applyProtection="1">
      <alignment horizontal="center"/>
    </xf>
    <xf numFmtId="37" fontId="11" fillId="10" borderId="437" xfId="0" applyNumberFormat="1" applyFont="1" applyFill="1" applyBorder="1" applyAlignment="1" applyProtection="1">
      <alignment horizontal="center"/>
    </xf>
    <xf numFmtId="37" fontId="11" fillId="10" borderId="444" xfId="0" applyNumberFormat="1" applyFont="1" applyFill="1" applyBorder="1" applyAlignment="1" applyProtection="1">
      <alignment horizontal="center"/>
    </xf>
    <xf numFmtId="37" fontId="12" fillId="10" borderId="37" xfId="0" applyNumberFormat="1" applyFont="1" applyFill="1" applyBorder="1" applyAlignment="1" applyProtection="1">
      <alignment horizontal="center"/>
    </xf>
    <xf numFmtId="37" fontId="12" fillId="4" borderId="79" xfId="0" applyNumberFormat="1" applyFont="1" applyFill="1" applyBorder="1" applyAlignment="1" applyProtection="1">
      <alignment horizontal="center"/>
    </xf>
    <xf numFmtId="37" fontId="12" fillId="4" borderId="28" xfId="0" applyNumberFormat="1" applyFont="1" applyFill="1" applyBorder="1" applyProtection="1"/>
    <xf numFmtId="37" fontId="12" fillId="4" borderId="5" xfId="0" applyNumberFormat="1" applyFont="1" applyFill="1" applyBorder="1" applyAlignment="1" applyProtection="1">
      <alignment horizontal="center"/>
    </xf>
    <xf numFmtId="37" fontId="12" fillId="4" borderId="80" xfId="0" applyNumberFormat="1" applyFont="1" applyFill="1" applyBorder="1" applyAlignment="1" applyProtection="1">
      <alignment horizontal="center"/>
    </xf>
    <xf numFmtId="37" fontId="12" fillId="4" borderId="29" xfId="0" applyNumberFormat="1" applyFont="1" applyFill="1" applyBorder="1" applyAlignment="1" applyProtection="1">
      <alignment horizontal="center"/>
    </xf>
    <xf numFmtId="37" fontId="11" fillId="10" borderId="14" xfId="0" applyNumberFormat="1" applyFont="1" applyFill="1" applyBorder="1" applyProtection="1"/>
    <xf numFmtId="37" fontId="12" fillId="10" borderId="17" xfId="0" applyNumberFormat="1" applyFont="1" applyFill="1" applyBorder="1" applyProtection="1"/>
    <xf numFmtId="37" fontId="12" fillId="10" borderId="30" xfId="0" applyNumberFormat="1" applyFont="1" applyFill="1" applyBorder="1" applyProtection="1"/>
    <xf numFmtId="37" fontId="11" fillId="10" borderId="23" xfId="0" applyNumberFormat="1" applyFont="1" applyFill="1" applyBorder="1" applyProtection="1"/>
    <xf numFmtId="37" fontId="11" fillId="10" borderId="90" xfId="0" applyNumberFormat="1" applyFont="1" applyFill="1" applyBorder="1" applyAlignment="1" applyProtection="1">
      <alignment horizontal="center" wrapText="1"/>
    </xf>
    <xf numFmtId="37" fontId="11" fillId="10" borderId="45" xfId="0" applyNumberFormat="1" applyFont="1" applyFill="1" applyBorder="1" applyAlignment="1" applyProtection="1">
      <alignment horizontal="center" wrapText="1"/>
    </xf>
    <xf numFmtId="37" fontId="22" fillId="10" borderId="90" xfId="0" applyNumberFormat="1" applyFont="1" applyFill="1" applyBorder="1" applyProtection="1"/>
    <xf numFmtId="37" fontId="11" fillId="10" borderId="90" xfId="0" applyNumberFormat="1" applyFont="1" applyFill="1" applyBorder="1" applyProtection="1"/>
    <xf numFmtId="37" fontId="11" fillId="10" borderId="15" xfId="0" applyNumberFormat="1" applyFont="1" applyFill="1" applyBorder="1" applyProtection="1"/>
    <xf numFmtId="37" fontId="11" fillId="10" borderId="6" xfId="0" applyNumberFormat="1" applyFont="1" applyFill="1" applyBorder="1" applyAlignment="1" applyProtection="1">
      <alignment horizontal="center" wrapText="1"/>
    </xf>
    <xf numFmtId="37" fontId="11" fillId="10" borderId="21" xfId="0" applyNumberFormat="1" applyFont="1" applyFill="1" applyBorder="1" applyAlignment="1" applyProtection="1">
      <alignment horizontal="center" wrapText="1"/>
    </xf>
    <xf numFmtId="37" fontId="11" fillId="10" borderId="6" xfId="0" applyNumberFormat="1" applyFont="1" applyFill="1" applyBorder="1" applyAlignment="1" applyProtection="1">
      <alignment horizontal="center"/>
    </xf>
    <xf numFmtId="37" fontId="12" fillId="0" borderId="0" xfId="0" applyNumberFormat="1" applyFont="1" applyProtection="1"/>
    <xf numFmtId="37" fontId="12" fillId="12" borderId="496" xfId="0" applyNumberFormat="1" applyFont="1" applyFill="1" applyBorder="1" applyProtection="1"/>
    <xf numFmtId="37" fontId="12" fillId="0" borderId="508" xfId="0" applyNumberFormat="1" applyFont="1" applyFill="1" applyBorder="1" applyAlignment="1" applyProtection="1">
      <alignment horizontal="center"/>
    </xf>
    <xf numFmtId="37" fontId="12" fillId="0" borderId="12" xfId="0" applyNumberFormat="1" applyFont="1" applyFill="1" applyBorder="1" applyAlignment="1" applyProtection="1">
      <alignment horizontal="center"/>
    </xf>
    <xf numFmtId="37" fontId="12" fillId="12" borderId="387" xfId="0" applyNumberFormat="1" applyFont="1" applyFill="1" applyBorder="1" applyProtection="1"/>
    <xf numFmtId="37" fontId="12" fillId="0" borderId="475" xfId="0" applyNumberFormat="1" applyFont="1" applyFill="1" applyBorder="1" applyAlignment="1" applyProtection="1">
      <alignment horizontal="center"/>
    </xf>
    <xf numFmtId="37" fontId="12" fillId="0" borderId="42" xfId="0" applyNumberFormat="1" applyFont="1" applyFill="1" applyBorder="1" applyAlignment="1" applyProtection="1">
      <alignment horizontal="center"/>
    </xf>
    <xf numFmtId="37" fontId="12" fillId="12" borderId="387" xfId="0" applyNumberFormat="1" applyFont="1" applyFill="1" applyBorder="1" applyAlignment="1" applyProtection="1">
      <alignment horizontal="left"/>
    </xf>
    <xf numFmtId="37" fontId="12" fillId="12" borderId="389" xfId="0" applyNumberFormat="1" applyFont="1" applyFill="1" applyBorder="1" applyAlignment="1" applyProtection="1">
      <alignment horizontal="left"/>
    </xf>
    <xf numFmtId="37" fontId="12" fillId="0" borderId="477" xfId="0" applyNumberFormat="1" applyFont="1" applyFill="1" applyBorder="1" applyAlignment="1" applyProtection="1">
      <alignment horizontal="center"/>
    </xf>
    <xf numFmtId="37" fontId="12" fillId="0" borderId="55" xfId="0" applyNumberFormat="1" applyFont="1" applyFill="1" applyBorder="1" applyAlignment="1" applyProtection="1">
      <alignment horizontal="center"/>
    </xf>
    <xf numFmtId="37" fontId="12" fillId="12" borderId="29" xfId="0" applyNumberFormat="1" applyFont="1" applyFill="1" applyBorder="1" applyAlignment="1" applyProtection="1">
      <alignment horizontal="center"/>
    </xf>
    <xf numFmtId="37" fontId="53" fillId="12" borderId="0" xfId="0" applyNumberFormat="1" applyFont="1" applyFill="1" applyProtection="1"/>
    <xf numFmtId="37" fontId="11" fillId="10" borderId="23" xfId="10" applyNumberFormat="1" applyFont="1" applyFill="1" applyBorder="1" applyAlignment="1" applyProtection="1">
      <alignment vertical="center"/>
    </xf>
    <xf numFmtId="37" fontId="11" fillId="10" borderId="45" xfId="10" applyNumberFormat="1" applyFont="1" applyFill="1" applyBorder="1" applyAlignment="1" applyProtection="1">
      <alignment horizontal="center" vertical="center" wrapText="1"/>
    </xf>
    <xf numFmtId="37" fontId="11" fillId="10" borderId="45" xfId="10" applyNumberFormat="1" applyFont="1" applyFill="1" applyBorder="1" applyAlignment="1" applyProtection="1">
      <alignment horizontal="right" vertical="center"/>
    </xf>
    <xf numFmtId="37" fontId="11" fillId="10" borderId="45" xfId="10" applyNumberFormat="1" applyFont="1" applyFill="1" applyBorder="1" applyAlignment="1" applyProtection="1">
      <alignment vertical="center"/>
    </xf>
    <xf numFmtId="37" fontId="12" fillId="10" borderId="45" xfId="10" applyNumberFormat="1" applyFont="1" applyFill="1" applyBorder="1" applyAlignment="1" applyProtection="1">
      <alignment vertical="center"/>
    </xf>
    <xf numFmtId="37" fontId="12" fillId="10" borderId="30" xfId="10" applyNumberFormat="1" applyFont="1" applyFill="1" applyBorder="1" applyAlignment="1" applyProtection="1">
      <alignment vertical="center"/>
    </xf>
    <xf numFmtId="37" fontId="12" fillId="12" borderId="19" xfId="0" applyNumberFormat="1" applyFont="1" applyFill="1" applyBorder="1" applyAlignment="1" applyProtection="1">
      <alignment horizontal="center"/>
    </xf>
    <xf numFmtId="37" fontId="21" fillId="18" borderId="0" xfId="0" applyNumberFormat="1" applyFont="1" applyFill="1" applyBorder="1" applyProtection="1"/>
    <xf numFmtId="37" fontId="12" fillId="18" borderId="26" xfId="0" applyNumberFormat="1" applyFont="1" applyFill="1" applyBorder="1" applyProtection="1"/>
    <xf numFmtId="37" fontId="12" fillId="18" borderId="0" xfId="0" applyNumberFormat="1" applyFont="1" applyFill="1" applyBorder="1" applyAlignment="1" applyProtection="1">
      <alignment horizontal="left"/>
    </xf>
    <xf numFmtId="172" fontId="12" fillId="18" borderId="0" xfId="0" applyNumberFormat="1" applyFont="1" applyFill="1" applyBorder="1" applyAlignment="1" applyProtection="1">
      <alignment horizontal="center"/>
    </xf>
    <xf numFmtId="37" fontId="12" fillId="18" borderId="0" xfId="0" applyNumberFormat="1" applyFont="1" applyFill="1" applyBorder="1" applyAlignment="1" applyProtection="1">
      <alignment horizontal="center"/>
    </xf>
    <xf numFmtId="37" fontId="12" fillId="18" borderId="0" xfId="0" applyNumberFormat="1" applyFont="1" applyFill="1" applyBorder="1" applyProtection="1"/>
    <xf numFmtId="37" fontId="12" fillId="18" borderId="27" xfId="0" applyNumberFormat="1" applyFont="1" applyFill="1" applyBorder="1" applyProtection="1"/>
    <xf numFmtId="37" fontId="12" fillId="0" borderId="27" xfId="0" applyNumberFormat="1" applyFont="1" applyFill="1" applyBorder="1" applyProtection="1"/>
    <xf numFmtId="37" fontId="12" fillId="18" borderId="28" xfId="0" applyNumberFormat="1" applyFont="1" applyFill="1" applyBorder="1" applyAlignment="1" applyProtection="1">
      <alignment horizontal="left"/>
    </xf>
    <xf numFmtId="37" fontId="12" fillId="18" borderId="5" xfId="0" applyNumberFormat="1" applyFont="1" applyFill="1" applyBorder="1" applyAlignment="1" applyProtection="1">
      <alignment horizontal="left"/>
    </xf>
    <xf numFmtId="37" fontId="12" fillId="18" borderId="5" xfId="0" applyNumberFormat="1" applyFont="1" applyFill="1" applyBorder="1" applyAlignment="1" applyProtection="1">
      <alignment horizontal="center"/>
    </xf>
    <xf numFmtId="172" fontId="12" fillId="18" borderId="5" xfId="0" applyNumberFormat="1" applyFont="1" applyFill="1" applyBorder="1" applyAlignment="1" applyProtection="1">
      <alignment horizontal="center"/>
    </xf>
    <xf numFmtId="172" fontId="12" fillId="18" borderId="29" xfId="0" applyNumberFormat="1" applyFont="1" applyFill="1" applyBorder="1" applyAlignment="1" applyProtection="1">
      <alignment horizontal="center"/>
    </xf>
    <xf numFmtId="37" fontId="12" fillId="18" borderId="23" xfId="0" applyNumberFormat="1" applyFont="1" applyFill="1" applyBorder="1" applyAlignment="1" applyProtection="1">
      <alignment horizontal="left"/>
    </xf>
    <xf numFmtId="37" fontId="12" fillId="18" borderId="45" xfId="0" applyNumberFormat="1" applyFont="1" applyFill="1" applyBorder="1" applyAlignment="1" applyProtection="1">
      <alignment horizontal="left"/>
    </xf>
    <xf numFmtId="37" fontId="12" fillId="18" borderId="45" xfId="0" applyNumberFormat="1" applyFont="1" applyFill="1" applyBorder="1" applyAlignment="1" applyProtection="1">
      <alignment horizontal="center"/>
    </xf>
    <xf numFmtId="37" fontId="12" fillId="18" borderId="24" xfId="0" applyNumberFormat="1" applyFont="1" applyFill="1" applyBorder="1" applyAlignment="1" applyProtection="1">
      <alignment horizontal="center"/>
    </xf>
    <xf numFmtId="37" fontId="12" fillId="12" borderId="526" xfId="0" applyNumberFormat="1" applyFont="1" applyFill="1" applyBorder="1" applyAlignment="1" applyProtection="1">
      <alignment horizontal="left"/>
    </xf>
    <xf numFmtId="37" fontId="12" fillId="12" borderId="527" xfId="0" applyNumberFormat="1" applyFont="1" applyFill="1" applyBorder="1" applyAlignment="1" applyProtection="1">
      <alignment horizontal="left"/>
    </xf>
    <xf numFmtId="37" fontId="12" fillId="0" borderId="527" xfId="0" applyNumberFormat="1" applyFont="1" applyFill="1" applyBorder="1" applyAlignment="1" applyProtection="1">
      <alignment horizontal="center"/>
    </xf>
    <xf numFmtId="37" fontId="12" fillId="12" borderId="797" xfId="0" applyNumberFormat="1" applyFont="1" applyFill="1" applyBorder="1" applyAlignment="1" applyProtection="1">
      <alignment horizontal="center"/>
    </xf>
    <xf numFmtId="37" fontId="12" fillId="12" borderId="798" xfId="0" applyNumberFormat="1" applyFont="1" applyFill="1" applyBorder="1" applyAlignment="1" applyProtection="1">
      <alignment horizontal="center"/>
    </xf>
    <xf numFmtId="37" fontId="12" fillId="12" borderId="799" xfId="0" applyNumberFormat="1" applyFont="1" applyFill="1" applyBorder="1" applyAlignment="1" applyProtection="1">
      <alignment horizontal="center"/>
    </xf>
    <xf numFmtId="37" fontId="12" fillId="12" borderId="496" xfId="0" applyNumberFormat="1" applyFont="1" applyFill="1" applyBorder="1" applyAlignment="1" applyProtection="1">
      <alignment horizontal="left"/>
    </xf>
    <xf numFmtId="37" fontId="12" fillId="12" borderId="497" xfId="0" applyNumberFormat="1" applyFont="1" applyFill="1" applyBorder="1" applyAlignment="1" applyProtection="1">
      <alignment horizontal="left"/>
    </xf>
    <xf numFmtId="37" fontId="12" fillId="0" borderId="497" xfId="0" applyNumberFormat="1" applyFont="1" applyFill="1" applyBorder="1" applyAlignment="1" applyProtection="1">
      <alignment horizontal="center"/>
    </xf>
    <xf numFmtId="37" fontId="12" fillId="12" borderId="800" xfId="0" applyNumberFormat="1" applyFont="1" applyFill="1" applyBorder="1" applyAlignment="1" applyProtection="1">
      <alignment horizontal="center"/>
    </xf>
    <xf numFmtId="37" fontId="12" fillId="12" borderId="801" xfId="0" applyNumberFormat="1" applyFont="1" applyFill="1" applyBorder="1" applyAlignment="1" applyProtection="1">
      <alignment horizontal="center"/>
    </xf>
    <xf numFmtId="37" fontId="12" fillId="12" borderId="507" xfId="0" applyNumberFormat="1" applyFont="1" applyFill="1" applyBorder="1" applyAlignment="1" applyProtection="1">
      <alignment horizontal="center"/>
    </xf>
    <xf numFmtId="37" fontId="11" fillId="12" borderId="26" xfId="0" applyNumberFormat="1" applyFont="1" applyFill="1" applyBorder="1" applyAlignment="1" applyProtection="1">
      <alignment horizontal="left"/>
    </xf>
    <xf numFmtId="37" fontId="11" fillId="12" borderId="611" xfId="0" applyNumberFormat="1" applyFont="1" applyFill="1" applyBorder="1" applyAlignment="1" applyProtection="1">
      <alignment horizontal="center"/>
    </xf>
    <xf numFmtId="37" fontId="11" fillId="12" borderId="612" xfId="0" applyNumberFormat="1" applyFont="1" applyFill="1" applyBorder="1" applyAlignment="1" applyProtection="1">
      <alignment horizontal="center"/>
    </xf>
    <xf numFmtId="37" fontId="11" fillId="12" borderId="509" xfId="0" applyNumberFormat="1" applyFont="1" applyFill="1" applyBorder="1" applyAlignment="1" applyProtection="1">
      <alignment horizontal="center"/>
    </xf>
    <xf numFmtId="37" fontId="12" fillId="0" borderId="808" xfId="0" applyNumberFormat="1" applyFont="1" applyFill="1" applyBorder="1" applyAlignment="1" applyProtection="1">
      <alignment horizontal="center"/>
    </xf>
    <xf numFmtId="37" fontId="12" fillId="18" borderId="26" xfId="0" applyNumberFormat="1" applyFont="1" applyFill="1" applyBorder="1" applyAlignment="1" applyProtection="1">
      <alignment horizontal="left"/>
    </xf>
    <xf numFmtId="37" fontId="12" fillId="18" borderId="27" xfId="0" applyNumberFormat="1" applyFont="1" applyFill="1" applyBorder="1" applyAlignment="1" applyProtection="1">
      <alignment horizontal="center"/>
    </xf>
    <xf numFmtId="37" fontId="12" fillId="0" borderId="26" xfId="0" applyNumberFormat="1" applyFont="1" applyFill="1" applyBorder="1" applyAlignment="1" applyProtection="1">
      <alignment horizontal="left"/>
    </xf>
    <xf numFmtId="0" fontId="12" fillId="10" borderId="22" xfId="10" applyNumberFormat="1" applyFont="1" applyFill="1" applyBorder="1" applyAlignment="1" applyProtection="1">
      <alignment horizontal="left" vertical="center"/>
    </xf>
    <xf numFmtId="37" fontId="12" fillId="18" borderId="0" xfId="0" applyNumberFormat="1" applyFont="1" applyFill="1" applyBorder="1" applyAlignment="1" applyProtection="1">
      <alignment horizontal="right"/>
    </xf>
    <xf numFmtId="172" fontId="12" fillId="18" borderId="27" xfId="0" applyNumberFormat="1" applyFont="1" applyFill="1" applyBorder="1" applyAlignment="1" applyProtection="1">
      <alignment horizontal="center"/>
    </xf>
    <xf numFmtId="37" fontId="11" fillId="0" borderId="26" xfId="0" applyNumberFormat="1" applyFont="1" applyFill="1" applyBorder="1" applyProtection="1"/>
    <xf numFmtId="37" fontId="11" fillId="12" borderId="23" xfId="0" applyNumberFormat="1" applyFont="1" applyFill="1" applyBorder="1" applyAlignment="1" applyProtection="1">
      <alignment horizontal="left"/>
    </xf>
    <xf numFmtId="37" fontId="11" fillId="12" borderId="45" xfId="0" applyNumberFormat="1" applyFont="1" applyFill="1" applyBorder="1" applyAlignment="1" applyProtection="1">
      <alignment horizontal="right"/>
    </xf>
    <xf numFmtId="37" fontId="11" fillId="12" borderId="45" xfId="0" applyNumberFormat="1" applyFont="1" applyFill="1" applyBorder="1" applyAlignment="1" applyProtection="1">
      <alignment horizontal="left"/>
    </xf>
    <xf numFmtId="37" fontId="11" fillId="12" borderId="45" xfId="0" applyNumberFormat="1" applyFont="1" applyFill="1" applyBorder="1" applyAlignment="1" applyProtection="1">
      <alignment horizontal="center"/>
    </xf>
    <xf numFmtId="37" fontId="11" fillId="12" borderId="802" xfId="0" applyNumberFormat="1" applyFont="1" applyFill="1" applyBorder="1" applyAlignment="1" applyProtection="1">
      <alignment horizontal="center"/>
    </xf>
    <xf numFmtId="37" fontId="11" fillId="12" borderId="803" xfId="0" applyNumberFormat="1" applyFont="1" applyFill="1" applyBorder="1" applyAlignment="1" applyProtection="1">
      <alignment horizontal="center"/>
    </xf>
    <xf numFmtId="37" fontId="11" fillId="12" borderId="804" xfId="0" applyNumberFormat="1" applyFont="1" applyFill="1" applyBorder="1" applyAlignment="1" applyProtection="1">
      <alignment horizontal="center"/>
    </xf>
    <xf numFmtId="37" fontId="11" fillId="12" borderId="809" xfId="0" applyNumberFormat="1" applyFont="1" applyFill="1" applyBorder="1" applyAlignment="1" applyProtection="1">
      <alignment horizontal="center"/>
    </xf>
    <xf numFmtId="37" fontId="11" fillId="12" borderId="389" xfId="0" applyNumberFormat="1" applyFont="1" applyFill="1" applyBorder="1" applyAlignment="1" applyProtection="1">
      <alignment horizontal="left"/>
    </xf>
    <xf numFmtId="37" fontId="11" fillId="12" borderId="476" xfId="0" applyNumberFormat="1" applyFont="1" applyFill="1" applyBorder="1" applyAlignment="1" applyProtection="1">
      <alignment horizontal="right"/>
    </xf>
    <xf numFmtId="37" fontId="11" fillId="12" borderId="476" xfId="0" applyNumberFormat="1" applyFont="1" applyFill="1" applyBorder="1" applyAlignment="1" applyProtection="1">
      <alignment horizontal="left"/>
    </xf>
    <xf numFmtId="37" fontId="11" fillId="12" borderId="476" xfId="0" applyNumberFormat="1" applyFont="1" applyFill="1" applyBorder="1" applyAlignment="1" applyProtection="1">
      <alignment horizontal="center"/>
    </xf>
    <xf numFmtId="37" fontId="11" fillId="12" borderId="805" xfId="0" applyNumberFormat="1" applyFont="1" applyFill="1" applyBorder="1" applyAlignment="1" applyProtection="1">
      <alignment horizontal="center"/>
    </xf>
    <xf numFmtId="37" fontId="11" fillId="12" borderId="806" xfId="0" applyNumberFormat="1" applyFont="1" applyFill="1" applyBorder="1" applyAlignment="1" applyProtection="1">
      <alignment horizontal="center"/>
    </xf>
    <xf numFmtId="37" fontId="11" fillId="12" borderId="807" xfId="0" applyNumberFormat="1" applyFont="1" applyFill="1" applyBorder="1" applyAlignment="1" applyProtection="1">
      <alignment horizontal="center"/>
    </xf>
    <xf numFmtId="37" fontId="11" fillId="0" borderId="29" xfId="0" applyNumberFormat="1" applyFont="1" applyFill="1" applyBorder="1" applyAlignment="1" applyProtection="1">
      <alignment horizontal="center"/>
    </xf>
    <xf numFmtId="9" fontId="11" fillId="10" borderId="45" xfId="7" applyFont="1" applyFill="1" applyBorder="1" applyAlignment="1" applyProtection="1">
      <alignment horizontal="right" vertical="center"/>
    </xf>
    <xf numFmtId="37" fontId="11" fillId="0" borderId="0" xfId="0" applyNumberFormat="1" applyFont="1" applyFill="1" applyBorder="1" applyAlignment="1" applyProtection="1">
      <alignment horizontal="center" vertical="center"/>
    </xf>
    <xf numFmtId="37" fontId="12" fillId="12" borderId="22" xfId="0" applyNumberFormat="1" applyFont="1" applyFill="1" applyBorder="1" applyAlignment="1" applyProtection="1">
      <alignment horizontal="left"/>
    </xf>
    <xf numFmtId="37" fontId="12" fillId="18" borderId="28" xfId="0" applyNumberFormat="1" applyFont="1" applyFill="1" applyBorder="1" applyProtection="1"/>
    <xf numFmtId="37" fontId="12" fillId="18" borderId="45" xfId="0" applyNumberFormat="1" applyFont="1" applyFill="1" applyBorder="1" applyProtection="1"/>
    <xf numFmtId="172" fontId="12" fillId="18" borderId="45" xfId="0" applyNumberFormat="1" applyFont="1" applyFill="1" applyBorder="1" applyAlignment="1" applyProtection="1">
      <alignment horizontal="center"/>
    </xf>
    <xf numFmtId="37" fontId="12" fillId="18" borderId="24" xfId="0" applyNumberFormat="1" applyFont="1" applyFill="1" applyBorder="1" applyProtection="1"/>
    <xf numFmtId="37" fontId="12" fillId="18" borderId="45" xfId="0" applyNumberFormat="1" applyFont="1" applyFill="1" applyBorder="1" applyAlignment="1" applyProtection="1">
      <alignment horizontal="right"/>
    </xf>
    <xf numFmtId="37" fontId="35" fillId="0" borderId="0" xfId="0" applyNumberFormat="1" applyFont="1" applyFill="1" applyBorder="1" applyProtection="1"/>
    <xf numFmtId="37" fontId="12" fillId="0" borderId="19" xfId="0" applyNumberFormat="1" applyFont="1" applyFill="1" applyBorder="1" applyProtection="1"/>
    <xf numFmtId="37" fontId="12" fillId="0" borderId="18" xfId="0" applyNumberFormat="1" applyFont="1" applyFill="1" applyBorder="1" applyAlignment="1" applyProtection="1">
      <alignment horizontal="left" vertical="center"/>
    </xf>
    <xf numFmtId="37" fontId="12" fillId="0" borderId="2" xfId="0" applyNumberFormat="1" applyFont="1" applyFill="1" applyBorder="1" applyAlignment="1" applyProtection="1">
      <alignment horizontal="center"/>
    </xf>
    <xf numFmtId="37" fontId="12" fillId="0" borderId="18" xfId="0" applyNumberFormat="1" applyFont="1" applyFill="1" applyBorder="1" applyAlignment="1" applyProtection="1">
      <alignment horizontal="right"/>
    </xf>
    <xf numFmtId="37" fontId="12" fillId="0" borderId="18" xfId="0" applyNumberFormat="1" applyFont="1" applyFill="1" applyBorder="1" applyAlignment="1" applyProtection="1">
      <alignment horizontal="center"/>
    </xf>
    <xf numFmtId="37" fontId="12" fillId="0" borderId="2" xfId="0" applyNumberFormat="1" applyFont="1" applyFill="1" applyBorder="1" applyProtection="1"/>
    <xf numFmtId="37" fontId="35" fillId="0" borderId="0" xfId="0" applyNumberFormat="1" applyFont="1" applyFill="1" applyBorder="1" applyAlignment="1" applyProtection="1">
      <alignment horizontal="right"/>
    </xf>
    <xf numFmtId="37" fontId="12" fillId="0" borderId="2" xfId="0" applyNumberFormat="1" applyFont="1" applyFill="1" applyBorder="1" applyAlignment="1" applyProtection="1">
      <alignment horizontal="left"/>
    </xf>
    <xf numFmtId="37" fontId="12" fillId="0" borderId="22" xfId="0" applyNumberFormat="1" applyFont="1" applyFill="1" applyBorder="1" applyProtection="1"/>
    <xf numFmtId="37" fontId="12" fillId="0" borderId="22" xfId="0" applyNumberFormat="1" applyFont="1" applyFill="1" applyBorder="1" applyAlignment="1" applyProtection="1">
      <alignment horizontal="right"/>
    </xf>
    <xf numFmtId="37" fontId="35" fillId="0" borderId="2" xfId="0" applyNumberFormat="1" applyFont="1" applyFill="1" applyBorder="1" applyProtection="1"/>
    <xf numFmtId="37" fontId="12" fillId="12" borderId="23" xfId="0" applyNumberFormat="1" applyFont="1" applyFill="1" applyBorder="1" applyAlignment="1" applyProtection="1"/>
    <xf numFmtId="37" fontId="12" fillId="12" borderId="45" xfId="0" applyNumberFormat="1" applyFont="1" applyFill="1" applyBorder="1" applyAlignment="1" applyProtection="1"/>
    <xf numFmtId="37" fontId="12" fillId="12" borderId="24" xfId="0" applyNumberFormat="1" applyFont="1" applyFill="1" applyBorder="1" applyAlignment="1" applyProtection="1"/>
    <xf numFmtId="37" fontId="12" fillId="12" borderId="188" xfId="0" applyNumberFormat="1" applyFont="1" applyFill="1" applyBorder="1" applyAlignment="1" applyProtection="1">
      <alignment horizontal="center"/>
    </xf>
    <xf numFmtId="37" fontId="12" fillId="12" borderId="45" xfId="0" applyNumberFormat="1" applyFont="1" applyFill="1" applyBorder="1" applyAlignment="1" applyProtection="1">
      <alignment horizontal="center"/>
    </xf>
    <xf numFmtId="37" fontId="12" fillId="12" borderId="24" xfId="0" applyNumberFormat="1" applyFont="1" applyFill="1" applyBorder="1" applyAlignment="1" applyProtection="1">
      <alignment horizontal="center"/>
    </xf>
    <xf numFmtId="37" fontId="12" fillId="0" borderId="14" xfId="0" applyNumberFormat="1" applyFont="1" applyFill="1" applyBorder="1" applyProtection="1"/>
    <xf numFmtId="37" fontId="12" fillId="12" borderId="30" xfId="0" applyNumberFormat="1" applyFont="1" applyFill="1" applyBorder="1" applyProtection="1"/>
    <xf numFmtId="37" fontId="12" fillId="12" borderId="191" xfId="0" applyNumberFormat="1" applyFont="1" applyFill="1" applyBorder="1" applyAlignment="1" applyProtection="1">
      <alignment horizontal="center"/>
    </xf>
    <xf numFmtId="37" fontId="12" fillId="12" borderId="192" xfId="0" applyNumberFormat="1" applyFont="1" applyFill="1" applyBorder="1" applyAlignment="1" applyProtection="1">
      <alignment horizontal="center"/>
    </xf>
    <xf numFmtId="37" fontId="12" fillId="12" borderId="189" xfId="0" applyNumberFormat="1" applyFont="1" applyFill="1" applyBorder="1" applyAlignment="1" applyProtection="1">
      <alignment horizontal="center"/>
    </xf>
    <xf numFmtId="37" fontId="12" fillId="12" borderId="190" xfId="0" applyNumberFormat="1" applyFont="1" applyFill="1" applyBorder="1" applyProtection="1"/>
    <xf numFmtId="37" fontId="12" fillId="12" borderId="2" xfId="0" applyNumberFormat="1" applyFont="1" applyFill="1" applyBorder="1" applyAlignment="1" applyProtection="1">
      <alignment horizontal="center"/>
    </xf>
    <xf numFmtId="37" fontId="12" fillId="12" borderId="14" xfId="0" applyNumberFormat="1" applyFont="1" applyFill="1" applyBorder="1" applyAlignment="1" applyProtection="1">
      <alignment horizontal="left"/>
    </xf>
    <xf numFmtId="37" fontId="12" fillId="12" borderId="2" xfId="0" applyNumberFormat="1" applyFont="1" applyFill="1" applyBorder="1" applyProtection="1"/>
    <xf numFmtId="37" fontId="11" fillId="10" borderId="749" xfId="10" applyNumberFormat="1" applyFont="1" applyFill="1" applyBorder="1" applyAlignment="1" applyProtection="1">
      <alignment vertical="center"/>
    </xf>
    <xf numFmtId="37" fontId="11" fillId="10" borderId="203" xfId="10" applyNumberFormat="1" applyFont="1" applyFill="1" applyBorder="1" applyAlignment="1" applyProtection="1">
      <alignment horizontal="center" vertical="center" wrapText="1"/>
    </xf>
    <xf numFmtId="37" fontId="12" fillId="0" borderId="23" xfId="0" applyNumberFormat="1" applyFont="1" applyFill="1" applyBorder="1" applyProtection="1"/>
    <xf numFmtId="37" fontId="12" fillId="0" borderId="24" xfId="0" applyNumberFormat="1" applyFont="1" applyFill="1" applyBorder="1" applyProtection="1"/>
    <xf numFmtId="170" fontId="11" fillId="0" borderId="14" xfId="0" applyNumberFormat="1" applyFont="1" applyFill="1" applyBorder="1" applyAlignment="1" applyProtection="1">
      <alignment horizontal="center"/>
    </xf>
    <xf numFmtId="170" fontId="11" fillId="0" borderId="17" xfId="0" applyNumberFormat="1" applyFont="1" applyFill="1" applyBorder="1" applyAlignment="1" applyProtection="1">
      <alignment horizontal="center"/>
    </xf>
    <xf numFmtId="170" fontId="11" fillId="0" borderId="383" xfId="0" applyNumberFormat="1" applyFont="1" applyFill="1" applyBorder="1" applyAlignment="1" applyProtection="1">
      <alignment horizontal="center"/>
    </xf>
    <xf numFmtId="170" fontId="11" fillId="0" borderId="35" xfId="0" applyNumberFormat="1" applyFont="1" applyFill="1" applyBorder="1" applyAlignment="1" applyProtection="1">
      <alignment horizontal="center"/>
    </xf>
    <xf numFmtId="37" fontId="12" fillId="0" borderId="26" xfId="0" applyNumberFormat="1" applyFont="1" applyFill="1" applyBorder="1" applyProtection="1"/>
    <xf numFmtId="170" fontId="11" fillId="0" borderId="23" xfId="0" applyNumberFormat="1" applyFont="1" applyFill="1" applyBorder="1" applyAlignment="1" applyProtection="1">
      <alignment horizontal="center"/>
    </xf>
    <xf numFmtId="170" fontId="11" fillId="0" borderId="84" xfId="0" applyNumberFormat="1" applyFont="1" applyFill="1" applyBorder="1" applyAlignment="1" applyProtection="1">
      <alignment horizontal="center"/>
    </xf>
    <xf numFmtId="170" fontId="11" fillId="0" borderId="45" xfId="0" applyNumberFormat="1" applyFont="1" applyFill="1" applyBorder="1" applyAlignment="1" applyProtection="1">
      <alignment horizontal="center"/>
    </xf>
    <xf numFmtId="170" fontId="11" fillId="0" borderId="86" xfId="0" applyNumberFormat="1" applyFont="1" applyFill="1" applyBorder="1" applyAlignment="1" applyProtection="1">
      <alignment horizontal="center"/>
    </xf>
    <xf numFmtId="170" fontId="11" fillId="0" borderId="104" xfId="0" applyNumberFormat="1" applyFont="1" applyFill="1" applyBorder="1" applyAlignment="1" applyProtection="1">
      <alignment horizontal="center"/>
    </xf>
    <xf numFmtId="37" fontId="12" fillId="12" borderId="835" xfId="0" applyNumberFormat="1" applyFont="1" applyFill="1" applyBorder="1" applyProtection="1"/>
    <xf numFmtId="37" fontId="12" fillId="0" borderId="836" xfId="0" applyNumberFormat="1" applyFont="1" applyFill="1" applyBorder="1" applyProtection="1"/>
    <xf numFmtId="37" fontId="12" fillId="0" borderId="835" xfId="0" applyNumberFormat="1" applyFont="1" applyFill="1" applyBorder="1" applyProtection="1"/>
    <xf numFmtId="170" fontId="11" fillId="0" borderId="840" xfId="0" applyNumberFormat="1" applyFont="1" applyFill="1" applyBorder="1" applyAlignment="1" applyProtection="1">
      <alignment horizontal="center"/>
    </xf>
    <xf numFmtId="170" fontId="11" fillId="0" borderId="834" xfId="0" applyNumberFormat="1" applyFont="1" applyFill="1" applyBorder="1" applyAlignment="1" applyProtection="1">
      <alignment horizontal="center"/>
    </xf>
    <xf numFmtId="37" fontId="12" fillId="0" borderId="844" xfId="0" applyNumberFormat="1" applyFont="1" applyFill="1" applyBorder="1" applyProtection="1"/>
    <xf numFmtId="170" fontId="11" fillId="0" borderId="842" xfId="0" applyNumberFormat="1" applyFont="1" applyFill="1" applyBorder="1" applyAlignment="1" applyProtection="1">
      <alignment horizontal="center"/>
    </xf>
    <xf numFmtId="170" fontId="11" fillId="0" borderId="79" xfId="0" applyNumberFormat="1" applyFont="1" applyFill="1" applyBorder="1" applyAlignment="1" applyProtection="1">
      <alignment horizontal="center"/>
    </xf>
    <xf numFmtId="37" fontId="12" fillId="0" borderId="44" xfId="0" applyNumberFormat="1" applyFont="1" applyFill="1" applyBorder="1" applyProtection="1"/>
    <xf numFmtId="170" fontId="11" fillId="0" borderId="43" xfId="0" applyNumberFormat="1" applyFont="1" applyFill="1" applyBorder="1" applyAlignment="1" applyProtection="1">
      <alignment horizontal="center"/>
    </xf>
    <xf numFmtId="37" fontId="12" fillId="12" borderId="838" xfId="0" applyNumberFormat="1" applyFont="1" applyFill="1" applyBorder="1" applyProtection="1"/>
    <xf numFmtId="37" fontId="12" fillId="0" borderId="839" xfId="0" applyNumberFormat="1" applyFont="1" applyFill="1" applyBorder="1" applyProtection="1"/>
    <xf numFmtId="37" fontId="12" fillId="0" borderId="838" xfId="0" applyNumberFormat="1" applyFont="1" applyFill="1" applyBorder="1" applyProtection="1"/>
    <xf numFmtId="170" fontId="11" fillId="0" borderId="841" xfId="0" applyNumberFormat="1" applyFont="1" applyFill="1" applyBorder="1" applyAlignment="1" applyProtection="1">
      <alignment horizontal="center"/>
    </xf>
    <xf numFmtId="170" fontId="11" fillId="0" borderId="837" xfId="0" applyNumberFormat="1" applyFont="1" applyFill="1" applyBorder="1" applyAlignment="1" applyProtection="1">
      <alignment horizontal="center"/>
    </xf>
    <xf numFmtId="37" fontId="12" fillId="0" borderId="845" xfId="0" applyNumberFormat="1" applyFont="1" applyFill="1" applyBorder="1" applyProtection="1"/>
    <xf numFmtId="170" fontId="11" fillId="0" borderId="843" xfId="0" applyNumberFormat="1" applyFont="1" applyFill="1" applyBorder="1" applyAlignment="1" applyProtection="1">
      <alignment horizontal="center"/>
    </xf>
    <xf numFmtId="170" fontId="11" fillId="0" borderId="26" xfId="0" applyNumberFormat="1" applyFont="1" applyFill="1" applyBorder="1" applyAlignment="1" applyProtection="1">
      <alignment horizontal="center"/>
    </xf>
    <xf numFmtId="170" fontId="11" fillId="0" borderId="44" xfId="0" applyNumberFormat="1" applyFont="1" applyFill="1" applyBorder="1" applyAlignment="1" applyProtection="1">
      <alignment horizontal="center"/>
    </xf>
    <xf numFmtId="37" fontId="12" fillId="0" borderId="28" xfId="0" applyNumberFormat="1" applyFont="1" applyFill="1" applyBorder="1" applyProtection="1"/>
    <xf numFmtId="37" fontId="12" fillId="0" borderId="29" xfId="0" applyNumberFormat="1" applyFont="1" applyFill="1" applyBorder="1" applyProtection="1"/>
    <xf numFmtId="170" fontId="11" fillId="0" borderId="15" xfId="0" applyNumberFormat="1" applyFont="1" applyFill="1" applyBorder="1" applyAlignment="1" applyProtection="1">
      <alignment horizontal="center"/>
    </xf>
    <xf numFmtId="170" fontId="11" fillId="0" borderId="82" xfId="0" applyNumberFormat="1" applyFont="1" applyFill="1" applyBorder="1" applyAlignment="1" applyProtection="1">
      <alignment horizontal="center"/>
    </xf>
    <xf numFmtId="170" fontId="11" fillId="0" borderId="21" xfId="0" applyNumberFormat="1" applyFont="1" applyFill="1" applyBorder="1" applyAlignment="1" applyProtection="1">
      <alignment horizontal="center"/>
    </xf>
    <xf numFmtId="170" fontId="11" fillId="0" borderId="40" xfId="0" applyNumberFormat="1" applyFont="1" applyFill="1" applyBorder="1" applyAlignment="1" applyProtection="1">
      <alignment horizontal="center"/>
    </xf>
    <xf numFmtId="170" fontId="11" fillId="0" borderId="41" xfId="0" applyNumberFormat="1" applyFont="1" applyFill="1" applyBorder="1" applyAlignment="1" applyProtection="1">
      <alignment horizontal="center"/>
    </xf>
    <xf numFmtId="37" fontId="12" fillId="12" borderId="195" xfId="0" applyNumberFormat="1" applyFont="1" applyFill="1" applyBorder="1" applyAlignment="1" applyProtection="1">
      <alignment horizontal="center"/>
    </xf>
    <xf numFmtId="37" fontId="12" fillId="12" borderId="193" xfId="0" applyNumberFormat="1" applyFont="1" applyFill="1" applyBorder="1" applyAlignment="1" applyProtection="1">
      <alignment horizontal="center"/>
    </xf>
    <xf numFmtId="37" fontId="12" fillId="12" borderId="69" xfId="0" applyNumberFormat="1" applyFont="1" applyFill="1" applyBorder="1" applyAlignment="1" applyProtection="1">
      <alignment horizontal="center"/>
    </xf>
    <xf numFmtId="37" fontId="12" fillId="12" borderId="194" xfId="0" applyNumberFormat="1" applyFont="1" applyFill="1" applyBorder="1" applyAlignment="1" applyProtection="1">
      <alignment horizontal="center"/>
    </xf>
    <xf numFmtId="37" fontId="12" fillId="12" borderId="190" xfId="0" applyNumberFormat="1" applyFont="1" applyFill="1" applyBorder="1" applyAlignment="1" applyProtection="1">
      <alignment horizontal="center"/>
    </xf>
    <xf numFmtId="37" fontId="12" fillId="12" borderId="19" xfId="0" applyNumberFormat="1" applyFont="1" applyFill="1" applyBorder="1" applyProtection="1"/>
    <xf numFmtId="37" fontId="12" fillId="12" borderId="18" xfId="0" applyNumberFormat="1" applyFont="1" applyFill="1" applyBorder="1" applyProtection="1"/>
    <xf numFmtId="37" fontId="12" fillId="12" borderId="11" xfId="0" applyNumberFormat="1" applyFont="1" applyFill="1" applyBorder="1" applyAlignment="1" applyProtection="1">
      <alignment horizontal="center"/>
    </xf>
    <xf numFmtId="37" fontId="12" fillId="12" borderId="13" xfId="0" applyNumberFormat="1" applyFont="1" applyFill="1" applyBorder="1" applyAlignment="1" applyProtection="1">
      <alignment horizontal="center"/>
    </xf>
    <xf numFmtId="37" fontId="12" fillId="0" borderId="53" xfId="0" applyNumberFormat="1" applyFont="1" applyFill="1" applyBorder="1" applyAlignment="1" applyProtection="1">
      <alignment horizontal="center"/>
    </xf>
    <xf numFmtId="37" fontId="12" fillId="0" borderId="3" xfId="0" applyNumberFormat="1" applyFont="1" applyFill="1" applyBorder="1" applyAlignment="1" applyProtection="1">
      <alignment horizontal="center"/>
    </xf>
    <xf numFmtId="37" fontId="12" fillId="12" borderId="17" xfId="0" applyNumberFormat="1" applyFont="1" applyFill="1" applyBorder="1" applyAlignment="1" applyProtection="1">
      <alignment horizontal="center"/>
    </xf>
    <xf numFmtId="37" fontId="12" fillId="12" borderId="30" xfId="0" applyNumberFormat="1" applyFont="1" applyFill="1" applyBorder="1" applyAlignment="1" applyProtection="1">
      <alignment horizontal="center"/>
    </xf>
    <xf numFmtId="0" fontId="60" fillId="0" borderId="0" xfId="10" applyFont="1" applyFill="1" applyBorder="1" applyAlignment="1" applyProtection="1">
      <alignment horizontal="left" vertical="center"/>
    </xf>
    <xf numFmtId="171" fontId="60" fillId="0" borderId="0" xfId="10" applyNumberFormat="1" applyFont="1" applyFill="1" applyBorder="1" applyAlignment="1" applyProtection="1">
      <alignment horizontal="left" vertical="center"/>
    </xf>
    <xf numFmtId="3" fontId="12" fillId="0" borderId="561" xfId="10" applyNumberFormat="1" applyFont="1" applyFill="1" applyBorder="1" applyAlignment="1" applyProtection="1">
      <alignment vertical="center"/>
    </xf>
    <xf numFmtId="1" fontId="12" fillId="0" borderId="685" xfId="10" applyNumberFormat="1" applyFont="1" applyFill="1" applyBorder="1" applyAlignment="1" applyProtection="1">
      <alignment vertical="center"/>
    </xf>
    <xf numFmtId="3" fontId="12" fillId="0" borderId="0" xfId="10" applyNumberFormat="1" applyFont="1" applyFill="1" applyBorder="1" applyAlignment="1" applyProtection="1">
      <alignment vertical="center"/>
    </xf>
    <xf numFmtId="1" fontId="12" fillId="0" borderId="687" xfId="10" applyNumberFormat="1" applyFont="1" applyFill="1" applyBorder="1" applyAlignment="1" applyProtection="1">
      <alignment vertical="center"/>
    </xf>
    <xf numFmtId="0" fontId="11" fillId="4" borderId="713" xfId="10" applyFont="1" applyFill="1" applyBorder="1" applyAlignment="1" applyProtection="1">
      <alignment vertical="center"/>
    </xf>
    <xf numFmtId="0" fontId="11" fillId="0" borderId="707" xfId="10" applyFont="1" applyFill="1" applyBorder="1" applyAlignment="1" applyProtection="1">
      <alignment vertical="center"/>
    </xf>
    <xf numFmtId="1" fontId="11" fillId="0" borderId="707" xfId="10" applyNumberFormat="1" applyFont="1" applyFill="1" applyBorder="1" applyAlignment="1" applyProtection="1">
      <alignment vertical="center"/>
    </xf>
    <xf numFmtId="1" fontId="11" fillId="0" borderId="709" xfId="10" applyNumberFormat="1" applyFont="1" applyFill="1" applyBorder="1" applyAlignment="1" applyProtection="1">
      <alignment vertical="center"/>
    </xf>
    <xf numFmtId="0" fontId="11" fillId="4" borderId="710" xfId="10" applyFont="1" applyFill="1" applyBorder="1" applyAlignment="1" applyProtection="1">
      <alignment vertical="center"/>
    </xf>
    <xf numFmtId="0" fontId="11" fillId="0" borderId="704" xfId="10" applyFont="1" applyFill="1" applyBorder="1" applyAlignment="1" applyProtection="1">
      <alignment vertical="center"/>
    </xf>
    <xf numFmtId="1" fontId="11" fillId="0" borderId="704" xfId="10" applyNumberFormat="1" applyFont="1" applyFill="1" applyBorder="1" applyAlignment="1" applyProtection="1">
      <alignment vertical="center"/>
    </xf>
    <xf numFmtId="1" fontId="11" fillId="0" borderId="708" xfId="10" applyNumberFormat="1" applyFont="1" applyFill="1" applyBorder="1" applyAlignment="1" applyProtection="1">
      <alignment vertical="center"/>
    </xf>
    <xf numFmtId="0" fontId="11" fillId="0" borderId="713" xfId="10" applyFont="1" applyFill="1" applyBorder="1" applyAlignment="1" applyProtection="1">
      <alignment vertical="center"/>
    </xf>
    <xf numFmtId="3" fontId="11" fillId="0" borderId="707" xfId="10" applyNumberFormat="1" applyFont="1" applyFill="1" applyBorder="1" applyAlignment="1" applyProtection="1">
      <alignment vertical="center"/>
    </xf>
    <xf numFmtId="0" fontId="12" fillId="4" borderId="710" xfId="10" applyFont="1" applyFill="1" applyBorder="1" applyAlignment="1" applyProtection="1">
      <alignment vertical="center"/>
    </xf>
    <xf numFmtId="0" fontId="12" fillId="0" borderId="704" xfId="10" applyFont="1" applyFill="1" applyBorder="1" applyAlignment="1" applyProtection="1">
      <alignment vertical="center"/>
    </xf>
    <xf numFmtId="3" fontId="12" fillId="0" borderId="704" xfId="10" applyNumberFormat="1" applyFont="1" applyFill="1" applyBorder="1" applyAlignment="1" applyProtection="1">
      <alignment vertical="center"/>
    </xf>
    <xf numFmtId="1" fontId="12" fillId="0" borderId="704" xfId="10" applyNumberFormat="1" applyFont="1" applyFill="1" applyBorder="1" applyAlignment="1" applyProtection="1">
      <alignment vertical="center"/>
    </xf>
    <xf numFmtId="1" fontId="12" fillId="0" borderId="708" xfId="10" applyNumberFormat="1" applyFont="1" applyFill="1" applyBorder="1" applyAlignment="1" applyProtection="1">
      <alignment vertical="center"/>
    </xf>
    <xf numFmtId="37" fontId="12" fillId="12" borderId="560" xfId="0" applyNumberFormat="1" applyFont="1" applyFill="1" applyBorder="1" applyProtection="1"/>
    <xf numFmtId="37" fontId="12" fillId="12" borderId="561" xfId="0" applyNumberFormat="1" applyFont="1" applyFill="1" applyBorder="1" applyProtection="1"/>
    <xf numFmtId="37" fontId="12" fillId="12" borderId="685" xfId="0" applyNumberFormat="1" applyFont="1" applyFill="1" applyBorder="1" applyProtection="1"/>
    <xf numFmtId="37" fontId="12" fillId="12" borderId="562" xfId="0" applyNumberFormat="1" applyFont="1" applyFill="1" applyBorder="1" applyProtection="1"/>
    <xf numFmtId="37" fontId="12" fillId="12" borderId="687" xfId="0" applyNumberFormat="1" applyFont="1" applyFill="1" applyBorder="1" applyProtection="1"/>
    <xf numFmtId="37" fontId="12" fillId="12" borderId="565" xfId="0" applyNumberFormat="1" applyFont="1" applyFill="1" applyBorder="1" applyProtection="1"/>
    <xf numFmtId="37" fontId="12" fillId="12" borderId="566" xfId="0" applyNumberFormat="1" applyFont="1" applyFill="1" applyBorder="1" applyProtection="1"/>
    <xf numFmtId="37" fontId="12" fillId="12" borderId="690" xfId="0" applyNumberFormat="1" applyFont="1" applyFill="1" applyBorder="1" applyProtection="1"/>
    <xf numFmtId="37" fontId="12" fillId="0" borderId="560" xfId="0" applyNumberFormat="1" applyFont="1" applyFill="1" applyBorder="1" applyProtection="1"/>
    <xf numFmtId="37" fontId="11" fillId="0" borderId="561" xfId="0" applyNumberFormat="1" applyFont="1" applyFill="1" applyBorder="1" applyProtection="1"/>
    <xf numFmtId="37" fontId="11" fillId="0" borderId="685" xfId="0" applyNumberFormat="1" applyFont="1" applyFill="1" applyBorder="1" applyProtection="1"/>
    <xf numFmtId="37" fontId="12" fillId="0" borderId="562" xfId="0" applyNumberFormat="1" applyFont="1" applyFill="1" applyBorder="1" applyProtection="1"/>
    <xf numFmtId="37" fontId="12" fillId="0" borderId="687" xfId="0" applyNumberFormat="1" applyFont="1" applyFill="1" applyBorder="1" applyProtection="1"/>
    <xf numFmtId="37" fontId="11" fillId="0" borderId="810" xfId="0" applyNumberFormat="1" applyFont="1" applyFill="1" applyBorder="1" applyProtection="1"/>
    <xf numFmtId="37" fontId="11" fillId="0" borderId="17" xfId="0" applyNumberFormat="1" applyFont="1" applyFill="1" applyBorder="1" applyProtection="1"/>
    <xf numFmtId="37" fontId="11" fillId="0" borderId="811" xfId="0" applyNumberFormat="1" applyFont="1" applyFill="1" applyBorder="1" applyProtection="1"/>
    <xf numFmtId="37" fontId="12" fillId="12" borderId="711" xfId="0" applyNumberFormat="1" applyFont="1" applyFill="1" applyBorder="1" applyProtection="1"/>
    <xf numFmtId="37" fontId="12" fillId="0" borderId="45" xfId="0" applyNumberFormat="1" applyFont="1" applyFill="1" applyBorder="1" applyProtection="1"/>
    <xf numFmtId="9" fontId="12" fillId="0" borderId="45" xfId="7" applyFont="1" applyFill="1" applyBorder="1" applyProtection="1"/>
    <xf numFmtId="39" fontId="12" fillId="0" borderId="45" xfId="0" applyNumberFormat="1" applyFont="1" applyFill="1" applyBorder="1" applyProtection="1"/>
    <xf numFmtId="39" fontId="12" fillId="0" borderId="812" xfId="0" applyNumberFormat="1" applyFont="1" applyFill="1" applyBorder="1" applyProtection="1"/>
    <xf numFmtId="37" fontId="12" fillId="0" borderId="813" xfId="0" applyNumberFormat="1" applyFont="1" applyFill="1" applyBorder="1" applyProtection="1"/>
    <xf numFmtId="37" fontId="12" fillId="0" borderId="5" xfId="0" applyNumberFormat="1" applyFont="1" applyFill="1" applyBorder="1" applyProtection="1"/>
    <xf numFmtId="10" fontId="12" fillId="0" borderId="5" xfId="7" applyNumberFormat="1" applyFont="1" applyFill="1" applyBorder="1" applyProtection="1"/>
    <xf numFmtId="39" fontId="12" fillId="0" borderId="5" xfId="0" applyNumberFormat="1" applyFont="1" applyFill="1" applyBorder="1" applyProtection="1"/>
    <xf numFmtId="39" fontId="12" fillId="0" borderId="814" xfId="0" applyNumberFormat="1" applyFont="1" applyFill="1" applyBorder="1" applyProtection="1"/>
    <xf numFmtId="37" fontId="12" fillId="0" borderId="810" xfId="0" applyNumberFormat="1" applyFont="1" applyFill="1" applyBorder="1" applyProtection="1"/>
    <xf numFmtId="37" fontId="12" fillId="0" borderId="17" xfId="0" applyNumberFormat="1" applyFont="1" applyFill="1" applyBorder="1" applyProtection="1"/>
    <xf numFmtId="37" fontId="12" fillId="0" borderId="811" xfId="0" applyNumberFormat="1" applyFont="1" applyFill="1" applyBorder="1" applyProtection="1"/>
    <xf numFmtId="37" fontId="12" fillId="0" borderId="711" xfId="0" applyNumberFormat="1" applyFont="1" applyFill="1" applyBorder="1" applyProtection="1"/>
    <xf numFmtId="37" fontId="12" fillId="12" borderId="45" xfId="0" applyNumberFormat="1" applyFont="1" applyFill="1" applyBorder="1" applyProtection="1"/>
    <xf numFmtId="37" fontId="12" fillId="12" borderId="812" xfId="0" applyNumberFormat="1" applyFont="1" applyFill="1" applyBorder="1" applyProtection="1"/>
    <xf numFmtId="37" fontId="11" fillId="0" borderId="687" xfId="0" applyNumberFormat="1" applyFont="1" applyFill="1" applyBorder="1" applyProtection="1"/>
    <xf numFmtId="37" fontId="12" fillId="0" borderId="565" xfId="0" applyNumberFormat="1" applyFont="1" applyFill="1" applyBorder="1" applyProtection="1"/>
    <xf numFmtId="37" fontId="11" fillId="0" borderId="566" xfId="0" applyNumberFormat="1" applyFont="1" applyFill="1" applyBorder="1" applyProtection="1"/>
    <xf numFmtId="37" fontId="11" fillId="0" borderId="690" xfId="0" applyNumberFormat="1" applyFont="1" applyFill="1" applyBorder="1" applyProtection="1"/>
    <xf numFmtId="9" fontId="12" fillId="12" borderId="561" xfId="7" applyFont="1" applyFill="1" applyBorder="1" applyProtection="1"/>
    <xf numFmtId="9" fontId="12" fillId="12" borderId="685" xfId="7" applyFont="1" applyFill="1" applyBorder="1" applyProtection="1"/>
    <xf numFmtId="37" fontId="12" fillId="12" borderId="564" xfId="0" applyNumberFormat="1" applyFont="1" applyFill="1" applyBorder="1" applyProtection="1"/>
    <xf numFmtId="9" fontId="12" fillId="12" borderId="21" xfId="7" applyFont="1" applyFill="1" applyBorder="1" applyProtection="1"/>
    <xf numFmtId="9" fontId="12" fillId="12" borderId="723" xfId="7" applyFont="1" applyFill="1" applyBorder="1" applyProtection="1"/>
    <xf numFmtId="37" fontId="12" fillId="4" borderId="563" xfId="0" applyNumberFormat="1" applyFont="1" applyFill="1" applyBorder="1" applyProtection="1"/>
    <xf numFmtId="37" fontId="12" fillId="12" borderId="734" xfId="0" applyNumberFormat="1" applyFont="1" applyFill="1" applyBorder="1" applyProtection="1"/>
    <xf numFmtId="37" fontId="12" fillId="12" borderId="723" xfId="0" applyNumberFormat="1" applyFont="1" applyFill="1" applyBorder="1" applyProtection="1"/>
    <xf numFmtId="0" fontId="13" fillId="0" borderId="0" xfId="0" applyFont="1" applyFill="1" applyProtection="1"/>
    <xf numFmtId="0" fontId="14" fillId="0" borderId="0" xfId="12" applyFont="1" applyFill="1" applyAlignment="1" applyProtection="1">
      <alignment horizontal="left"/>
    </xf>
    <xf numFmtId="0" fontId="12" fillId="0" borderId="0" xfId="0" applyFont="1" applyAlignment="1" applyProtection="1">
      <alignment horizontal="left"/>
    </xf>
    <xf numFmtId="0" fontId="12" fillId="0" borderId="0" xfId="0" applyFont="1" applyFill="1" applyAlignment="1" applyProtection="1">
      <alignment horizontal="left"/>
    </xf>
    <xf numFmtId="0" fontId="11" fillId="10" borderId="23" xfId="0" applyFont="1" applyFill="1" applyBorder="1" applyProtection="1"/>
    <xf numFmtId="0" fontId="12" fillId="10" borderId="45" xfId="0" applyFont="1" applyFill="1" applyBorder="1" applyProtection="1"/>
    <xf numFmtId="0" fontId="12" fillId="10" borderId="24" xfId="0" applyFont="1" applyFill="1" applyBorder="1" applyProtection="1"/>
    <xf numFmtId="0" fontId="12" fillId="0" borderId="23" xfId="0" applyFont="1" applyFill="1" applyBorder="1" applyProtection="1"/>
    <xf numFmtId="0" fontId="11" fillId="0" borderId="90" xfId="0" applyFont="1" applyFill="1" applyBorder="1" applyAlignment="1" applyProtection="1">
      <alignment horizontal="center"/>
    </xf>
    <xf numFmtId="1" fontId="11" fillId="0" borderId="45"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11" fillId="10" borderId="93" xfId="0" applyFont="1" applyFill="1" applyBorder="1" applyProtection="1"/>
    <xf numFmtId="1" fontId="11" fillId="10" borderId="11" xfId="0" applyNumberFormat="1" applyFont="1" applyFill="1" applyBorder="1" applyAlignment="1" applyProtection="1">
      <alignment horizontal="center"/>
    </xf>
    <xf numFmtId="1" fontId="11" fillId="10" borderId="94" xfId="0" applyNumberFormat="1" applyFont="1" applyFill="1" applyBorder="1" applyAlignment="1" applyProtection="1">
      <alignment horizontal="center"/>
    </xf>
    <xf numFmtId="1" fontId="11" fillId="10" borderId="95" xfId="0" applyNumberFormat="1" applyFont="1" applyFill="1" applyBorder="1" applyAlignment="1" applyProtection="1">
      <alignment horizontal="center"/>
    </xf>
    <xf numFmtId="0" fontId="12" fillId="0" borderId="26" xfId="0" applyFont="1" applyFill="1" applyBorder="1" applyAlignment="1" applyProtection="1">
      <alignment horizontal="right"/>
    </xf>
    <xf numFmtId="1" fontId="12" fillId="0" borderId="42" xfId="0" applyNumberFormat="1" applyFont="1" applyFill="1" applyBorder="1" applyAlignment="1" applyProtection="1">
      <alignment horizontal="right"/>
    </xf>
    <xf numFmtId="1" fontId="12" fillId="0" borderId="0" xfId="0" applyNumberFormat="1" applyFont="1" applyFill="1" applyBorder="1" applyAlignment="1" applyProtection="1">
      <alignment horizontal="right"/>
    </xf>
    <xf numFmtId="1" fontId="12" fillId="0" borderId="27" xfId="0" applyNumberFormat="1" applyFont="1" applyFill="1" applyBorder="1" applyAlignment="1" applyProtection="1">
      <alignment horizontal="right"/>
    </xf>
    <xf numFmtId="0" fontId="11" fillId="10" borderId="16" xfId="0" applyFont="1" applyFill="1" applyBorder="1" applyProtection="1"/>
    <xf numFmtId="1" fontId="11" fillId="10" borderId="2" xfId="0" applyNumberFormat="1" applyFont="1" applyFill="1" applyBorder="1" applyAlignment="1" applyProtection="1">
      <alignment horizontal="center"/>
    </xf>
    <xf numFmtId="0" fontId="11" fillId="10" borderId="22" xfId="0" applyFont="1" applyFill="1" applyBorder="1" applyAlignment="1" applyProtection="1">
      <alignment horizontal="center"/>
    </xf>
    <xf numFmtId="1" fontId="11" fillId="10" borderId="22" xfId="0" applyNumberFormat="1" applyFont="1" applyFill="1" applyBorder="1" applyAlignment="1" applyProtection="1">
      <alignment horizontal="center"/>
    </xf>
    <xf numFmtId="1" fontId="11" fillId="10" borderId="31" xfId="0" applyNumberFormat="1" applyFont="1" applyFill="1" applyBorder="1" applyAlignment="1" applyProtection="1">
      <alignment horizontal="center"/>
    </xf>
    <xf numFmtId="0" fontId="11" fillId="10" borderId="31" xfId="0" applyFont="1" applyFill="1" applyBorder="1" applyAlignment="1" applyProtection="1">
      <alignment horizontal="center"/>
    </xf>
    <xf numFmtId="1" fontId="12" fillId="0" borderId="26" xfId="0" applyNumberFormat="1" applyFont="1" applyFill="1" applyBorder="1" applyAlignment="1" applyProtection="1">
      <alignment horizontal="right"/>
    </xf>
    <xf numFmtId="0" fontId="12" fillId="0" borderId="0" xfId="0" applyFont="1" applyFill="1" applyBorder="1" applyAlignment="1" applyProtection="1">
      <alignment horizontal="right"/>
    </xf>
    <xf numFmtId="0" fontId="12" fillId="0" borderId="27" xfId="0" applyFont="1" applyFill="1" applyBorder="1" applyAlignment="1" applyProtection="1">
      <alignment horizontal="right"/>
    </xf>
    <xf numFmtId="1" fontId="12" fillId="0" borderId="28" xfId="0" applyNumberFormat="1" applyFont="1" applyFill="1" applyBorder="1" applyAlignment="1" applyProtection="1">
      <alignment horizontal="right"/>
    </xf>
    <xf numFmtId="1" fontId="12" fillId="0" borderId="55" xfId="0" applyNumberFormat="1" applyFont="1" applyFill="1" applyBorder="1" applyAlignment="1" applyProtection="1">
      <alignment horizontal="right"/>
    </xf>
    <xf numFmtId="0" fontId="12" fillId="0" borderId="5" xfId="0" applyFont="1" applyFill="1" applyBorder="1" applyAlignment="1" applyProtection="1">
      <alignment horizontal="right"/>
    </xf>
    <xf numFmtId="0" fontId="12" fillId="0" borderId="29" xfId="0" applyFont="1" applyFill="1" applyBorder="1" applyAlignment="1" applyProtection="1">
      <alignment horizontal="right"/>
    </xf>
    <xf numFmtId="0" fontId="11" fillId="10" borderId="14" xfId="0" applyFont="1" applyFill="1" applyBorder="1" applyProtection="1"/>
    <xf numFmtId="1" fontId="11" fillId="10" borderId="58" xfId="0" applyNumberFormat="1" applyFont="1" applyFill="1" applyBorder="1" applyAlignment="1" applyProtection="1">
      <alignment horizontal="center"/>
    </xf>
    <xf numFmtId="0" fontId="11" fillId="10" borderId="17" xfId="0" applyFont="1" applyFill="1" applyBorder="1" applyAlignment="1" applyProtection="1">
      <alignment horizontal="center"/>
    </xf>
    <xf numFmtId="0" fontId="11" fillId="10" borderId="30" xfId="0" applyFont="1" applyFill="1" applyBorder="1" applyAlignment="1" applyProtection="1">
      <alignment horizontal="center"/>
    </xf>
    <xf numFmtId="0" fontId="11" fillId="0" borderId="0" xfId="0" applyFont="1" applyFill="1" applyBorder="1" applyProtection="1"/>
    <xf numFmtId="1"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center"/>
    </xf>
    <xf numFmtId="0" fontId="12" fillId="10" borderId="17" xfId="0" applyFont="1" applyFill="1" applyBorder="1" applyProtection="1"/>
    <xf numFmtId="0" fontId="12" fillId="10" borderId="30" xfId="0" applyFont="1" applyFill="1" applyBorder="1" applyProtection="1"/>
    <xf numFmtId="0" fontId="11" fillId="10" borderId="26" xfId="0" applyFont="1" applyFill="1" applyBorder="1" applyProtection="1"/>
    <xf numFmtId="0" fontId="11" fillId="10" borderId="19" xfId="0" applyFont="1" applyFill="1" applyBorder="1" applyAlignment="1" applyProtection="1">
      <alignment horizontal="center"/>
    </xf>
    <xf numFmtId="0" fontId="11" fillId="10" borderId="18" xfId="0" applyFont="1" applyFill="1" applyBorder="1" applyAlignment="1" applyProtection="1">
      <alignment horizontal="center"/>
    </xf>
    <xf numFmtId="0" fontId="12" fillId="0" borderId="0" xfId="0" applyFont="1" applyFill="1" applyBorder="1" applyProtection="1"/>
    <xf numFmtId="1" fontId="12" fillId="0" borderId="26" xfId="0" applyNumberFormat="1" applyFont="1" applyFill="1" applyBorder="1" applyProtection="1"/>
    <xf numFmtId="37" fontId="12" fillId="0" borderId="44" xfId="0" applyNumberFormat="1" applyFont="1" applyFill="1" applyBorder="1" applyAlignment="1" applyProtection="1">
      <alignment horizontal="center"/>
    </xf>
    <xf numFmtId="37" fontId="12" fillId="0" borderId="43" xfId="0" applyNumberFormat="1" applyFont="1" applyFill="1" applyBorder="1" applyAlignment="1" applyProtection="1">
      <alignment horizontal="center"/>
    </xf>
    <xf numFmtId="0" fontId="12" fillId="0" borderId="28" xfId="0" applyFont="1" applyFill="1" applyBorder="1" applyProtection="1"/>
    <xf numFmtId="37" fontId="12" fillId="0" borderId="97" xfId="0" applyNumberFormat="1" applyFont="1" applyFill="1" applyBorder="1" applyAlignment="1" applyProtection="1">
      <alignment horizontal="center"/>
    </xf>
    <xf numFmtId="37" fontId="12" fillId="0" borderId="5" xfId="0" applyNumberFormat="1" applyFont="1" applyFill="1" applyBorder="1" applyAlignment="1" applyProtection="1">
      <alignment horizontal="center"/>
    </xf>
    <xf numFmtId="37" fontId="12" fillId="0" borderId="59" xfId="0" applyNumberFormat="1" applyFont="1" applyFill="1" applyBorder="1" applyAlignment="1" applyProtection="1">
      <alignment horizontal="center"/>
    </xf>
    <xf numFmtId="37" fontId="12" fillId="0" borderId="29" xfId="0" applyNumberFormat="1" applyFont="1" applyFill="1" applyBorder="1" applyAlignment="1" applyProtection="1">
      <alignment horizontal="center"/>
    </xf>
    <xf numFmtId="0" fontId="12" fillId="10" borderId="23" xfId="0" applyFont="1" applyFill="1" applyBorder="1" applyProtection="1"/>
    <xf numFmtId="0" fontId="9" fillId="0" borderId="0" xfId="12" applyFill="1" applyProtection="1"/>
    <xf numFmtId="179" fontId="12" fillId="0" borderId="386" xfId="0" applyNumberFormat="1" applyFont="1" applyFill="1" applyBorder="1" applyAlignment="1" applyProtection="1">
      <alignment horizontal="center"/>
    </xf>
    <xf numFmtId="1" fontId="12" fillId="0" borderId="0" xfId="0" applyNumberFormat="1" applyFont="1" applyFill="1" applyProtection="1"/>
    <xf numFmtId="1" fontId="12" fillId="0" borderId="0" xfId="0" applyNumberFormat="1" applyFont="1" applyFill="1" applyBorder="1" applyProtection="1"/>
    <xf numFmtId="4" fontId="12" fillId="0" borderId="386" xfId="0" applyNumberFormat="1" applyFont="1" applyFill="1" applyBorder="1" applyAlignment="1" applyProtection="1">
      <alignment horizontal="center"/>
    </xf>
    <xf numFmtId="0" fontId="21" fillId="0" borderId="0" xfId="0" applyFont="1" applyFill="1" applyProtection="1"/>
    <xf numFmtId="4" fontId="12" fillId="0" borderId="37" xfId="0" applyNumberFormat="1" applyFont="1" applyFill="1" applyBorder="1" applyAlignment="1" applyProtection="1">
      <alignment horizontal="center"/>
    </xf>
    <xf numFmtId="0" fontId="12" fillId="0" borderId="0" xfId="0" applyFont="1" applyFill="1" applyBorder="1" applyAlignment="1" applyProtection="1">
      <alignment horizontal="left"/>
      <protection hidden="1"/>
    </xf>
    <xf numFmtId="1" fontId="12" fillId="0" borderId="0" xfId="0" applyNumberFormat="1" applyFont="1" applyFill="1" applyBorder="1" applyAlignment="1" applyProtection="1">
      <alignment horizontal="center"/>
    </xf>
    <xf numFmtId="0" fontId="12" fillId="0" borderId="0" xfId="0" applyNumberFormat="1" applyFont="1" applyFill="1" applyBorder="1" applyAlignment="1" applyProtection="1">
      <alignment horizontal="left"/>
      <protection hidden="1"/>
    </xf>
    <xf numFmtId="0" fontId="12" fillId="10" borderId="24" xfId="0" applyFont="1" applyFill="1" applyBorder="1" applyAlignment="1" applyProtection="1">
      <alignment horizontal="center"/>
    </xf>
    <xf numFmtId="0" fontId="9" fillId="0" borderId="0" xfId="12" applyFill="1" applyBorder="1" applyAlignment="1" applyProtection="1">
      <alignment horizontal="center"/>
    </xf>
    <xf numFmtId="166" fontId="12" fillId="0" borderId="386" xfId="0" applyNumberFormat="1" applyFont="1" applyFill="1" applyBorder="1" applyAlignment="1" applyProtection="1">
      <alignment horizontal="center"/>
      <protection hidden="1"/>
    </xf>
    <xf numFmtId="3" fontId="12" fillId="0" borderId="0" xfId="0" applyNumberFormat="1" applyFont="1" applyFill="1" applyBorder="1" applyAlignment="1" applyProtection="1">
      <alignment horizontal="center"/>
    </xf>
    <xf numFmtId="166" fontId="12" fillId="0" borderId="0" xfId="0" applyNumberFormat="1" applyFont="1" applyFill="1" applyBorder="1" applyProtection="1"/>
    <xf numFmtId="166" fontId="12" fillId="0" borderId="37" xfId="0" applyNumberFormat="1" applyFont="1" applyFill="1" applyBorder="1" applyAlignment="1" applyProtection="1">
      <alignment horizontal="center"/>
      <protection hidden="1"/>
    </xf>
    <xf numFmtId="3" fontId="12" fillId="0" borderId="386" xfId="0" applyNumberFormat="1" applyFont="1" applyFill="1" applyBorder="1" applyAlignment="1" applyProtection="1">
      <alignment horizontal="center"/>
      <protection hidden="1"/>
    </xf>
    <xf numFmtId="3" fontId="12" fillId="0" borderId="37" xfId="0" applyNumberFormat="1" applyFont="1" applyFill="1" applyBorder="1" applyAlignment="1" applyProtection="1">
      <alignment horizontal="center"/>
      <protection hidden="1"/>
    </xf>
    <xf numFmtId="3" fontId="12" fillId="0" borderId="0" xfId="0" applyNumberFormat="1" applyFont="1" applyFill="1" applyBorder="1" applyAlignment="1" applyProtection="1">
      <alignment horizontal="center"/>
      <protection hidden="1"/>
    </xf>
    <xf numFmtId="0" fontId="9" fillId="0" borderId="0" xfId="12" applyFill="1" applyBorder="1" applyAlignment="1" applyProtection="1">
      <alignment horizontal="left"/>
      <protection hidden="1"/>
    </xf>
    <xf numFmtId="0" fontId="9" fillId="0" borderId="0" xfId="12" applyFill="1" applyAlignment="1" applyProtection="1">
      <alignment horizontal="center"/>
    </xf>
    <xf numFmtId="3" fontId="12" fillId="0" borderId="388" xfId="0" applyNumberFormat="1" applyFont="1" applyFill="1" applyBorder="1" applyAlignment="1" applyProtection="1">
      <alignment horizontal="center"/>
      <protection hidden="1"/>
    </xf>
    <xf numFmtId="3" fontId="12" fillId="0" borderId="390" xfId="0" applyNumberFormat="1" applyFont="1" applyFill="1" applyBorder="1" applyAlignment="1" applyProtection="1">
      <alignment horizontal="center"/>
      <protection hidden="1"/>
    </xf>
    <xf numFmtId="0" fontId="9" fillId="0" borderId="0" xfId="12" applyFill="1" applyBorder="1" applyProtection="1"/>
    <xf numFmtId="1" fontId="9" fillId="0" borderId="0" xfId="12" applyNumberFormat="1" applyFill="1" applyBorder="1" applyProtection="1"/>
    <xf numFmtId="2" fontId="12" fillId="0" borderId="386" xfId="0" applyNumberFormat="1" applyFont="1" applyFill="1" applyBorder="1" applyAlignment="1" applyProtection="1">
      <alignment horizontal="center"/>
      <protection hidden="1"/>
    </xf>
    <xf numFmtId="2" fontId="12" fillId="0" borderId="37" xfId="0" applyNumberFormat="1" applyFont="1" applyFill="1" applyBorder="1" applyAlignment="1" applyProtection="1">
      <alignment horizontal="center"/>
      <protection hidden="1"/>
    </xf>
    <xf numFmtId="1" fontId="12" fillId="0" borderId="386" xfId="0" applyNumberFormat="1" applyFont="1" applyFill="1" applyBorder="1" applyAlignment="1" applyProtection="1">
      <alignment horizontal="center"/>
      <protection hidden="1"/>
    </xf>
    <xf numFmtId="0" fontId="9" fillId="0" borderId="0" xfId="12" applyNumberFormat="1" applyFill="1" applyBorder="1" applyAlignment="1" applyProtection="1">
      <alignment horizontal="left"/>
      <protection hidden="1"/>
    </xf>
    <xf numFmtId="3" fontId="9" fillId="0" borderId="0" xfId="12" applyNumberFormat="1" applyFill="1" applyBorder="1" applyAlignment="1" applyProtection="1">
      <alignment horizontal="center"/>
    </xf>
    <xf numFmtId="176" fontId="12" fillId="0" borderId="386" xfId="0" applyNumberFormat="1" applyFont="1" applyFill="1" applyBorder="1" applyAlignment="1" applyProtection="1">
      <alignment horizontal="center"/>
      <protection hidden="1"/>
    </xf>
    <xf numFmtId="176" fontId="12" fillId="0" borderId="37" xfId="0" applyNumberFormat="1" applyFont="1" applyFill="1" applyBorder="1" applyAlignment="1" applyProtection="1">
      <alignment horizontal="center"/>
      <protection hidden="1"/>
    </xf>
    <xf numFmtId="0" fontId="32" fillId="10" borderId="93" xfId="0" applyNumberFormat="1" applyFont="1" applyFill="1" applyBorder="1" applyAlignment="1" applyProtection="1">
      <alignment horizontal="left"/>
      <protection hidden="1"/>
    </xf>
    <xf numFmtId="3" fontId="32" fillId="10" borderId="94" xfId="0" applyNumberFormat="1" applyFont="1" applyFill="1" applyBorder="1" applyAlignment="1" applyProtection="1">
      <alignment horizontal="center"/>
    </xf>
    <xf numFmtId="0" fontId="32" fillId="10" borderId="94" xfId="0" applyFont="1" applyFill="1" applyBorder="1" applyProtection="1"/>
    <xf numFmtId="1" fontId="32" fillId="10" borderId="95" xfId="0" applyNumberFormat="1" applyFont="1" applyFill="1" applyBorder="1" applyProtection="1"/>
    <xf numFmtId="0" fontId="32" fillId="0" borderId="0" xfId="0" applyFont="1" applyFill="1" applyBorder="1" applyProtection="1"/>
    <xf numFmtId="1" fontId="32" fillId="0" borderId="0" xfId="0" applyNumberFormat="1" applyFont="1" applyFill="1" applyBorder="1" applyProtection="1"/>
    <xf numFmtId="0" fontId="18" fillId="0" borderId="1" xfId="0" applyNumberFormat="1" applyFont="1" applyFill="1" applyBorder="1" applyAlignment="1" applyProtection="1">
      <alignment horizontal="left"/>
      <protection hidden="1"/>
    </xf>
    <xf numFmtId="3" fontId="18" fillId="0" borderId="19" xfId="0" applyNumberFormat="1" applyFont="1" applyFill="1" applyBorder="1" applyAlignment="1" applyProtection="1">
      <alignment horizontal="left"/>
    </xf>
    <xf numFmtId="0" fontId="18" fillId="0" borderId="18" xfId="0" applyFont="1" applyFill="1" applyBorder="1" applyProtection="1"/>
    <xf numFmtId="0" fontId="18" fillId="0" borderId="19" xfId="0" applyFont="1" applyFill="1" applyBorder="1" applyProtection="1"/>
    <xf numFmtId="0" fontId="18" fillId="0" borderId="22" xfId="0" applyFont="1" applyFill="1" applyBorder="1" applyProtection="1"/>
    <xf numFmtId="1" fontId="18" fillId="0" borderId="31" xfId="0" applyNumberFormat="1" applyFont="1" applyFill="1" applyBorder="1" applyProtection="1"/>
    <xf numFmtId="0" fontId="32" fillId="0" borderId="46" xfId="0" applyNumberFormat="1" applyFont="1" applyFill="1" applyBorder="1" applyAlignment="1" applyProtection="1">
      <alignment horizontal="left"/>
      <protection hidden="1"/>
    </xf>
    <xf numFmtId="0" fontId="32" fillId="0" borderId="51" xfId="0" applyNumberFormat="1" applyFont="1" applyFill="1" applyBorder="1" applyAlignment="1" applyProtection="1">
      <alignment horizontal="left"/>
      <protection hidden="1"/>
    </xf>
    <xf numFmtId="0" fontId="32" fillId="0" borderId="20" xfId="0" applyNumberFormat="1" applyFont="1" applyFill="1" applyBorder="1" applyAlignment="1" applyProtection="1">
      <alignment horizontal="left"/>
      <protection hidden="1"/>
    </xf>
    <xf numFmtId="3" fontId="32" fillId="0" borderId="50" xfId="0" applyNumberFormat="1" applyFont="1" applyFill="1" applyBorder="1" applyAlignment="1" applyProtection="1">
      <alignment horizontal="center"/>
    </xf>
    <xf numFmtId="0" fontId="32" fillId="0" borderId="26" xfId="0" applyNumberFormat="1" applyFont="1" applyFill="1" applyBorder="1" applyAlignment="1" applyProtection="1">
      <alignment horizontal="left"/>
      <protection hidden="1"/>
    </xf>
    <xf numFmtId="0" fontId="32" fillId="0" borderId="44" xfId="0" applyNumberFormat="1" applyFont="1" applyFill="1" applyBorder="1" applyAlignment="1" applyProtection="1">
      <alignment horizontal="left"/>
      <protection hidden="1"/>
    </xf>
    <xf numFmtId="0" fontId="32" fillId="0" borderId="0" xfId="0" applyNumberFormat="1" applyFont="1" applyFill="1" applyBorder="1" applyAlignment="1" applyProtection="1">
      <alignment horizontal="left"/>
      <protection hidden="1"/>
    </xf>
    <xf numFmtId="3" fontId="32" fillId="0" borderId="27" xfId="0" applyNumberFormat="1" applyFont="1" applyFill="1" applyBorder="1" applyAlignment="1" applyProtection="1">
      <alignment horizontal="center"/>
    </xf>
    <xf numFmtId="2" fontId="32" fillId="0" borderId="27" xfId="0" applyNumberFormat="1" applyFont="1" applyFill="1" applyBorder="1" applyAlignment="1" applyProtection="1">
      <alignment horizontal="center"/>
    </xf>
    <xf numFmtId="165" fontId="32" fillId="0" borderId="0" xfId="0" applyNumberFormat="1" applyFont="1" applyFill="1" applyBorder="1" applyProtection="1"/>
    <xf numFmtId="16" fontId="32" fillId="0" borderId="46" xfId="0" applyNumberFormat="1" applyFont="1" applyFill="1" applyBorder="1" applyAlignment="1" applyProtection="1">
      <alignment horizontal="left"/>
      <protection hidden="1"/>
    </xf>
    <xf numFmtId="16" fontId="32" fillId="0" borderId="51" xfId="0" applyNumberFormat="1" applyFont="1" applyFill="1" applyBorder="1" applyAlignment="1" applyProtection="1">
      <alignment horizontal="left"/>
      <protection hidden="1"/>
    </xf>
    <xf numFmtId="16" fontId="32" fillId="0" borderId="20" xfId="0" applyNumberFormat="1" applyFont="1" applyFill="1" applyBorder="1" applyAlignment="1" applyProtection="1">
      <alignment horizontal="left"/>
      <protection hidden="1"/>
    </xf>
    <xf numFmtId="16" fontId="32" fillId="0" borderId="26" xfId="0" applyNumberFormat="1" applyFont="1" applyFill="1" applyBorder="1" applyAlignment="1" applyProtection="1">
      <alignment horizontal="left"/>
      <protection hidden="1"/>
    </xf>
    <xf numFmtId="16" fontId="32" fillId="0" borderId="44" xfId="0" applyNumberFormat="1" applyFont="1" applyFill="1" applyBorder="1" applyAlignment="1" applyProtection="1">
      <alignment horizontal="left"/>
      <protection hidden="1"/>
    </xf>
    <xf numFmtId="16" fontId="32" fillId="0" borderId="0" xfId="0" applyNumberFormat="1" applyFont="1" applyFill="1" applyBorder="1" applyAlignment="1" applyProtection="1">
      <alignment horizontal="left"/>
      <protection hidden="1"/>
    </xf>
    <xf numFmtId="16" fontId="32" fillId="0" borderId="15" xfId="0" applyNumberFormat="1" applyFont="1" applyFill="1" applyBorder="1" applyAlignment="1" applyProtection="1">
      <alignment horizontal="left"/>
      <protection hidden="1"/>
    </xf>
    <xf numFmtId="16" fontId="32" fillId="0" borderId="40" xfId="0" applyNumberFormat="1" applyFont="1" applyFill="1" applyBorder="1" applyAlignment="1" applyProtection="1">
      <alignment horizontal="left"/>
      <protection hidden="1"/>
    </xf>
    <xf numFmtId="16" fontId="32" fillId="0" borderId="21" xfId="0" applyNumberFormat="1" applyFont="1" applyFill="1" applyBorder="1" applyAlignment="1" applyProtection="1">
      <alignment horizontal="left"/>
      <protection hidden="1"/>
    </xf>
    <xf numFmtId="3" fontId="32" fillId="0" borderId="49" xfId="0" applyNumberFormat="1" applyFont="1" applyFill="1" applyBorder="1" applyAlignment="1" applyProtection="1">
      <alignment horizontal="center"/>
    </xf>
    <xf numFmtId="165" fontId="32" fillId="0" borderId="50" xfId="0" applyNumberFormat="1" applyFont="1" applyFill="1" applyBorder="1" applyAlignment="1" applyProtection="1">
      <alignment horizontal="center"/>
    </xf>
    <xf numFmtId="0" fontId="32" fillId="0" borderId="46" xfId="0" applyFont="1" applyFill="1" applyBorder="1" applyAlignment="1" applyProtection="1">
      <alignment horizontal="left"/>
      <protection hidden="1"/>
    </xf>
    <xf numFmtId="0" fontId="32" fillId="0" borderId="51" xfId="0" applyFont="1" applyFill="1" applyBorder="1" applyAlignment="1" applyProtection="1">
      <alignment horizontal="left"/>
      <protection hidden="1"/>
    </xf>
    <xf numFmtId="0" fontId="32" fillId="0" borderId="20" xfId="0" applyFont="1" applyFill="1" applyBorder="1" applyAlignment="1" applyProtection="1">
      <alignment horizontal="left"/>
      <protection hidden="1"/>
    </xf>
    <xf numFmtId="2" fontId="32" fillId="0" borderId="50" xfId="0" applyNumberFormat="1" applyFont="1" applyFill="1" applyBorder="1" applyAlignment="1" applyProtection="1">
      <alignment horizontal="center"/>
    </xf>
    <xf numFmtId="0" fontId="32" fillId="0" borderId="26" xfId="0" applyFont="1" applyFill="1" applyBorder="1" applyAlignment="1" applyProtection="1">
      <alignment horizontal="left"/>
      <protection hidden="1"/>
    </xf>
    <xf numFmtId="0" fontId="32" fillId="0" borderId="44" xfId="0" applyFont="1" applyFill="1" applyBorder="1" applyAlignment="1" applyProtection="1">
      <alignment horizontal="left"/>
      <protection hidden="1"/>
    </xf>
    <xf numFmtId="0" fontId="32" fillId="0" borderId="0" xfId="0" applyFont="1" applyFill="1" applyBorder="1" applyAlignment="1" applyProtection="1">
      <alignment horizontal="left"/>
      <protection hidden="1"/>
    </xf>
    <xf numFmtId="0" fontId="32" fillId="0" borderId="15" xfId="0" applyFont="1" applyFill="1" applyBorder="1" applyAlignment="1" applyProtection="1">
      <alignment horizontal="left"/>
      <protection hidden="1"/>
    </xf>
    <xf numFmtId="0" fontId="32" fillId="0" borderId="40" xfId="0" applyFont="1" applyFill="1" applyBorder="1" applyAlignment="1" applyProtection="1">
      <alignment horizontal="left"/>
      <protection hidden="1"/>
    </xf>
    <xf numFmtId="0" fontId="32" fillId="0" borderId="21" xfId="0" applyFont="1" applyFill="1" applyBorder="1" applyAlignment="1" applyProtection="1">
      <alignment horizontal="left"/>
      <protection hidden="1"/>
    </xf>
    <xf numFmtId="2" fontId="32" fillId="0" borderId="49" xfId="0" applyNumberFormat="1" applyFont="1" applyFill="1" applyBorder="1" applyAlignment="1" applyProtection="1">
      <alignment horizontal="center"/>
    </xf>
    <xf numFmtId="0" fontId="32" fillId="0" borderId="107" xfId="0" applyFont="1" applyFill="1" applyBorder="1" applyAlignment="1" applyProtection="1">
      <alignment horizontal="left"/>
      <protection hidden="1"/>
    </xf>
    <xf numFmtId="0" fontId="32" fillId="0" borderId="56" xfId="0" applyFont="1" applyFill="1" applyBorder="1" applyAlignment="1" applyProtection="1">
      <alignment horizontal="left"/>
      <protection hidden="1"/>
    </xf>
    <xf numFmtId="0" fontId="32" fillId="0" borderId="97" xfId="0" applyFont="1" applyFill="1" applyBorder="1" applyAlignment="1" applyProtection="1">
      <alignment horizontal="left"/>
      <protection hidden="1"/>
    </xf>
    <xf numFmtId="0" fontId="32" fillId="0" borderId="5" xfId="0" applyFont="1" applyFill="1" applyBorder="1" applyAlignment="1" applyProtection="1">
      <alignment horizontal="left"/>
      <protection hidden="1"/>
    </xf>
    <xf numFmtId="2" fontId="32" fillId="0" borderId="29" xfId="0" applyNumberFormat="1" applyFont="1" applyFill="1" applyBorder="1" applyAlignment="1" applyProtection="1">
      <alignment horizontal="center"/>
    </xf>
    <xf numFmtId="0" fontId="32" fillId="0" borderId="28" xfId="0" applyFont="1" applyFill="1" applyBorder="1" applyAlignment="1" applyProtection="1">
      <alignment horizontal="left"/>
      <protection hidden="1"/>
    </xf>
    <xf numFmtId="166" fontId="32" fillId="0" borderId="0" xfId="0" applyNumberFormat="1" applyFont="1" applyFill="1" applyBorder="1" applyProtection="1"/>
    <xf numFmtId="0" fontId="32" fillId="0" borderId="26" xfId="0" applyFont="1" applyFill="1" applyBorder="1" applyProtection="1"/>
    <xf numFmtId="166" fontId="32" fillId="0" borderId="27" xfId="0" applyNumberFormat="1" applyFont="1" applyFill="1" applyBorder="1" applyAlignment="1" applyProtection="1">
      <alignment horizontal="center"/>
    </xf>
    <xf numFmtId="0" fontId="32" fillId="0" borderId="15" xfId="0" applyFont="1" applyFill="1" applyBorder="1" applyProtection="1"/>
    <xf numFmtId="0" fontId="32" fillId="0" borderId="21" xfId="0" applyFont="1" applyFill="1" applyBorder="1" applyProtection="1"/>
    <xf numFmtId="2" fontId="32" fillId="0" borderId="46" xfId="0" applyNumberFormat="1" applyFont="1" applyFill="1" applyBorder="1" applyAlignment="1" applyProtection="1">
      <alignment horizontal="left"/>
      <protection hidden="1"/>
    </xf>
    <xf numFmtId="2" fontId="32" fillId="0" borderId="20" xfId="0" applyNumberFormat="1" applyFont="1" applyFill="1" applyBorder="1" applyAlignment="1" applyProtection="1">
      <alignment horizontal="left"/>
      <protection hidden="1"/>
    </xf>
    <xf numFmtId="2" fontId="32" fillId="0" borderId="26" xfId="0" applyNumberFormat="1" applyFont="1" applyFill="1" applyBorder="1" applyAlignment="1" applyProtection="1">
      <alignment horizontal="left"/>
      <protection hidden="1"/>
    </xf>
    <xf numFmtId="2" fontId="32" fillId="0" borderId="0" xfId="0" applyNumberFormat="1" applyFont="1" applyFill="1" applyBorder="1" applyAlignment="1" applyProtection="1">
      <alignment horizontal="left"/>
      <protection hidden="1"/>
    </xf>
    <xf numFmtId="3" fontId="32" fillId="0" borderId="0" xfId="0" applyNumberFormat="1" applyFont="1" applyFill="1" applyBorder="1" applyAlignment="1" applyProtection="1">
      <alignment horizontal="left"/>
      <protection hidden="1"/>
    </xf>
    <xf numFmtId="0" fontId="32" fillId="0" borderId="16" xfId="0" applyFont="1" applyFill="1" applyBorder="1" applyProtection="1"/>
    <xf numFmtId="0" fontId="32" fillId="0" borderId="22" xfId="0" applyFont="1" applyFill="1" applyBorder="1" applyProtection="1"/>
    <xf numFmtId="3" fontId="32" fillId="0" borderId="31" xfId="0" applyNumberFormat="1" applyFont="1" applyFill="1" applyBorder="1" applyAlignment="1" applyProtection="1">
      <alignment horizontal="center"/>
    </xf>
    <xf numFmtId="0" fontId="32" fillId="0" borderId="27" xfId="0" applyFont="1" applyFill="1" applyBorder="1" applyAlignment="1" applyProtection="1">
      <alignment horizontal="center"/>
    </xf>
    <xf numFmtId="1" fontId="32" fillId="0" borderId="46" xfId="0" applyNumberFormat="1" applyFont="1" applyFill="1" applyBorder="1" applyAlignment="1" applyProtection="1">
      <alignment horizontal="left"/>
      <protection hidden="1"/>
    </xf>
    <xf numFmtId="1" fontId="32" fillId="0" borderId="20" xfId="0" applyNumberFormat="1" applyFont="1" applyFill="1" applyBorder="1" applyAlignment="1" applyProtection="1">
      <alignment horizontal="left"/>
      <protection hidden="1"/>
    </xf>
    <xf numFmtId="1" fontId="32" fillId="0" borderId="50" xfId="0" applyNumberFormat="1" applyFont="1" applyFill="1" applyBorder="1" applyAlignment="1" applyProtection="1">
      <alignment horizontal="center"/>
    </xf>
    <xf numFmtId="1" fontId="32" fillId="0" borderId="26" xfId="0" applyNumberFormat="1" applyFont="1" applyFill="1" applyBorder="1" applyAlignment="1" applyProtection="1">
      <alignment horizontal="left"/>
      <protection hidden="1"/>
    </xf>
    <xf numFmtId="1" fontId="32" fillId="0" borderId="0" xfId="0" applyNumberFormat="1" applyFont="1" applyFill="1" applyBorder="1" applyAlignment="1" applyProtection="1">
      <alignment horizontal="left"/>
      <protection hidden="1"/>
    </xf>
    <xf numFmtId="1" fontId="32" fillId="0" borderId="27" xfId="7" applyNumberFormat="1" applyFont="1" applyFill="1" applyBorder="1" applyAlignment="1" applyProtection="1">
      <alignment horizontal="center"/>
    </xf>
    <xf numFmtId="1" fontId="32" fillId="0" borderId="49" xfId="7" applyNumberFormat="1" applyFont="1" applyFill="1" applyBorder="1" applyAlignment="1" applyProtection="1">
      <alignment horizontal="center"/>
    </xf>
    <xf numFmtId="1" fontId="32" fillId="0" borderId="27" xfId="0" applyNumberFormat="1" applyFont="1" applyFill="1" applyBorder="1" applyAlignment="1" applyProtection="1">
      <alignment horizontal="center"/>
    </xf>
    <xf numFmtId="1" fontId="32" fillId="0" borderId="28" xfId="0" applyNumberFormat="1" applyFont="1" applyFill="1" applyBorder="1" applyAlignment="1" applyProtection="1">
      <alignment horizontal="left"/>
      <protection hidden="1"/>
    </xf>
    <xf numFmtId="1" fontId="32" fillId="0" borderId="5" xfId="0" applyNumberFormat="1" applyFont="1" applyFill="1" applyBorder="1" applyAlignment="1" applyProtection="1">
      <alignment horizontal="left"/>
      <protection hidden="1"/>
    </xf>
    <xf numFmtId="0" fontId="32" fillId="10" borderId="23" xfId="0" applyFont="1" applyFill="1" applyBorder="1" applyProtection="1"/>
    <xf numFmtId="3" fontId="32" fillId="10" borderId="45" xfId="0" applyNumberFormat="1" applyFont="1" applyFill="1" applyBorder="1" applyAlignment="1" applyProtection="1">
      <alignment horizontal="center"/>
    </xf>
    <xf numFmtId="0" fontId="32" fillId="10" borderId="45" xfId="0" applyFont="1" applyFill="1" applyBorder="1" applyProtection="1"/>
    <xf numFmtId="1" fontId="32" fillId="10" borderId="24" xfId="0" applyNumberFormat="1" applyFont="1" applyFill="1" applyBorder="1" applyProtection="1"/>
    <xf numFmtId="3" fontId="32" fillId="0" borderId="98" xfId="0" applyNumberFormat="1" applyFont="1" applyFill="1" applyBorder="1" applyAlignment="1" applyProtection="1">
      <alignment horizontal="left"/>
      <protection hidden="1"/>
    </xf>
    <xf numFmtId="3" fontId="32" fillId="0" borderId="44" xfId="0" applyNumberFormat="1" applyFont="1" applyFill="1" applyBorder="1" applyAlignment="1" applyProtection="1">
      <alignment horizontal="left"/>
      <protection hidden="1"/>
    </xf>
    <xf numFmtId="37" fontId="32" fillId="0" borderId="27" xfId="0" applyNumberFormat="1" applyFont="1" applyFill="1" applyBorder="1" applyAlignment="1" applyProtection="1">
      <alignment horizontal="center"/>
    </xf>
    <xf numFmtId="3" fontId="32" fillId="0" borderId="107" xfId="0" applyNumberFormat="1" applyFont="1" applyFill="1" applyBorder="1" applyAlignment="1" applyProtection="1">
      <alignment horizontal="left"/>
      <protection hidden="1"/>
    </xf>
    <xf numFmtId="3" fontId="32" fillId="0" borderId="51" xfId="0" applyNumberFormat="1" applyFont="1" applyFill="1" applyBorder="1" applyAlignment="1" applyProtection="1">
      <alignment horizontal="left"/>
      <protection hidden="1"/>
    </xf>
    <xf numFmtId="3" fontId="32" fillId="0" borderId="20" xfId="0" applyNumberFormat="1" applyFont="1" applyFill="1" applyBorder="1" applyAlignment="1" applyProtection="1">
      <alignment horizontal="left"/>
      <protection hidden="1"/>
    </xf>
    <xf numFmtId="37" fontId="32" fillId="0" borderId="50" xfId="0" applyNumberFormat="1" applyFont="1" applyFill="1" applyBorder="1" applyAlignment="1" applyProtection="1">
      <alignment horizontal="center"/>
    </xf>
    <xf numFmtId="3" fontId="32" fillId="0" borderId="25" xfId="0" applyNumberFormat="1" applyFont="1" applyFill="1" applyBorder="1" applyAlignment="1" applyProtection="1">
      <alignment horizontal="left"/>
      <protection hidden="1"/>
    </xf>
    <xf numFmtId="3" fontId="32" fillId="0" borderId="40" xfId="0" applyNumberFormat="1" applyFont="1" applyFill="1" applyBorder="1" applyAlignment="1" applyProtection="1">
      <alignment horizontal="left"/>
      <protection hidden="1"/>
    </xf>
    <xf numFmtId="3" fontId="32" fillId="0" borderId="21" xfId="0" applyNumberFormat="1" applyFont="1" applyFill="1" applyBorder="1" applyAlignment="1" applyProtection="1">
      <alignment horizontal="left"/>
      <protection hidden="1"/>
    </xf>
    <xf numFmtId="37" fontId="32" fillId="0" borderId="49" xfId="0" applyNumberFormat="1" applyFont="1" applyFill="1" applyBorder="1" applyAlignment="1" applyProtection="1">
      <alignment horizontal="center"/>
    </xf>
    <xf numFmtId="0" fontId="32" fillId="0" borderId="1" xfId="0" applyFont="1" applyFill="1" applyBorder="1" applyAlignment="1" applyProtection="1">
      <alignment horizontal="left"/>
      <protection hidden="1"/>
    </xf>
    <xf numFmtId="0" fontId="32" fillId="0" borderId="19" xfId="0" applyFont="1" applyFill="1" applyBorder="1" applyAlignment="1" applyProtection="1">
      <alignment horizontal="left"/>
      <protection hidden="1"/>
    </xf>
    <xf numFmtId="0" fontId="32" fillId="0" borderId="22" xfId="0" applyFont="1" applyFill="1" applyBorder="1" applyAlignment="1" applyProtection="1">
      <alignment horizontal="left"/>
      <protection hidden="1"/>
    </xf>
    <xf numFmtId="0" fontId="32" fillId="0" borderId="20" xfId="0" applyFont="1" applyFill="1" applyBorder="1" applyProtection="1"/>
    <xf numFmtId="0" fontId="32" fillId="0" borderId="27" xfId="0" applyFont="1" applyFill="1" applyBorder="1" applyProtection="1"/>
    <xf numFmtId="0" fontId="32" fillId="0" borderId="34" xfId="0" applyFont="1" applyFill="1" applyBorder="1" applyProtection="1"/>
    <xf numFmtId="0" fontId="32" fillId="0" borderId="105" xfId="0" applyFont="1" applyFill="1" applyBorder="1" applyProtection="1"/>
    <xf numFmtId="0" fontId="32" fillId="0" borderId="106" xfId="0" applyFont="1" applyFill="1" applyBorder="1" applyProtection="1"/>
    <xf numFmtId="2" fontId="32" fillId="0" borderId="37" xfId="0" applyNumberFormat="1" applyFont="1" applyFill="1" applyBorder="1" applyAlignment="1" applyProtection="1">
      <alignment horizontal="center"/>
    </xf>
    <xf numFmtId="0" fontId="32" fillId="0" borderId="0" xfId="0" applyFont="1" applyFill="1" applyBorder="1" applyAlignment="1" applyProtection="1">
      <alignment horizontal="left"/>
    </xf>
    <xf numFmtId="0" fontId="32" fillId="0" borderId="28" xfId="0" applyFont="1" applyFill="1" applyBorder="1" applyProtection="1"/>
    <xf numFmtId="0" fontId="32" fillId="0" borderId="5" xfId="0" applyFont="1" applyFill="1" applyBorder="1" applyAlignment="1" applyProtection="1">
      <alignment horizontal="left"/>
    </xf>
    <xf numFmtId="0" fontId="32" fillId="0" borderId="5" xfId="0" applyFont="1" applyFill="1" applyBorder="1" applyProtection="1"/>
    <xf numFmtId="0" fontId="32" fillId="10" borderId="23" xfId="0" applyNumberFormat="1" applyFont="1" applyFill="1" applyBorder="1" applyAlignment="1" applyProtection="1">
      <alignment horizontal="left"/>
      <protection hidden="1"/>
    </xf>
    <xf numFmtId="0" fontId="32" fillId="0" borderId="107" xfId="0" applyFont="1" applyFill="1" applyBorder="1" applyProtection="1"/>
    <xf numFmtId="0" fontId="32" fillId="0" borderId="51" xfId="0" applyFont="1" applyFill="1" applyBorder="1" applyProtection="1"/>
    <xf numFmtId="0" fontId="32" fillId="0" borderId="98" xfId="0" applyFont="1" applyFill="1" applyBorder="1" applyProtection="1"/>
    <xf numFmtId="0" fontId="32" fillId="0" borderId="44" xfId="0" applyFont="1" applyFill="1" applyBorder="1" applyProtection="1"/>
    <xf numFmtId="0" fontId="32" fillId="0" borderId="40" xfId="0" applyFont="1" applyFill="1" applyBorder="1" applyProtection="1"/>
    <xf numFmtId="37" fontId="32" fillId="0" borderId="0" xfId="0" applyNumberFormat="1" applyFont="1" applyFill="1" applyProtection="1"/>
    <xf numFmtId="0" fontId="32" fillId="0" borderId="25" xfId="0" applyFont="1" applyFill="1" applyBorder="1" applyProtection="1"/>
    <xf numFmtId="0" fontId="32" fillId="0" borderId="44" xfId="0" applyFont="1" applyFill="1" applyBorder="1" applyAlignment="1" applyProtection="1">
      <alignment horizontal="left"/>
    </xf>
    <xf numFmtId="0" fontId="32" fillId="0" borderId="56" xfId="0" applyFont="1" applyFill="1" applyBorder="1" applyProtection="1"/>
    <xf numFmtId="0" fontId="32" fillId="0" borderId="97" xfId="0" applyFont="1" applyFill="1" applyBorder="1" applyAlignment="1" applyProtection="1">
      <alignment horizontal="left"/>
    </xf>
    <xf numFmtId="1" fontId="32" fillId="0" borderId="21" xfId="0" applyNumberFormat="1" applyFont="1" applyFill="1" applyBorder="1" applyAlignment="1" applyProtection="1">
      <alignment horizontal="left"/>
      <protection hidden="1"/>
    </xf>
    <xf numFmtId="0" fontId="32" fillId="10" borderId="24" xfId="0" applyFont="1" applyFill="1" applyBorder="1" applyAlignment="1" applyProtection="1">
      <alignment horizontal="center"/>
    </xf>
    <xf numFmtId="178" fontId="32" fillId="0" borderId="49" xfId="0" applyNumberFormat="1" applyFont="1" applyFill="1" applyBorder="1" applyAlignment="1" applyProtection="1">
      <alignment horizontal="center"/>
    </xf>
    <xf numFmtId="2" fontId="32" fillId="0" borderId="31" xfId="0" applyNumberFormat="1" applyFont="1" applyFill="1" applyBorder="1" applyAlignment="1" applyProtection="1">
      <alignment horizontal="center"/>
    </xf>
    <xf numFmtId="0" fontId="32" fillId="0" borderId="46" xfId="0" applyFont="1" applyFill="1" applyBorder="1" applyProtection="1"/>
    <xf numFmtId="0" fontId="32" fillId="0" borderId="20" xfId="0" applyFont="1" applyFill="1" applyBorder="1" applyAlignment="1" applyProtection="1">
      <alignment horizontal="left"/>
    </xf>
    <xf numFmtId="0" fontId="32" fillId="0" borderId="51" xfId="0" applyFont="1" applyFill="1" applyBorder="1" applyAlignment="1" applyProtection="1">
      <alignment horizontal="left"/>
    </xf>
    <xf numFmtId="0" fontId="32" fillId="0" borderId="28" xfId="0" applyNumberFormat="1" applyFont="1" applyFill="1" applyBorder="1" applyAlignment="1" applyProtection="1">
      <alignment horizontal="left"/>
      <protection hidden="1"/>
    </xf>
    <xf numFmtId="0" fontId="32" fillId="0" borderId="5" xfId="0" applyNumberFormat="1" applyFont="1" applyFill="1" applyBorder="1" applyAlignment="1" applyProtection="1">
      <alignment horizontal="left"/>
      <protection hidden="1"/>
    </xf>
    <xf numFmtId="0" fontId="18" fillId="0" borderId="0" xfId="0" applyFont="1" applyFill="1" applyProtection="1"/>
    <xf numFmtId="0" fontId="11" fillId="0" borderId="0" xfId="0" applyFont="1" applyFill="1" applyProtection="1"/>
    <xf numFmtId="37" fontId="13" fillId="12" borderId="0" xfId="0" applyNumberFormat="1" applyFont="1" applyFill="1" applyAlignment="1" applyProtection="1">
      <alignment horizontal="left"/>
    </xf>
    <xf numFmtId="37" fontId="12" fillId="12" borderId="0" xfId="0" applyNumberFormat="1" applyFont="1" applyFill="1" applyAlignment="1" applyProtection="1">
      <alignment horizontal="right"/>
    </xf>
    <xf numFmtId="37" fontId="11" fillId="23" borderId="0" xfId="0" applyNumberFormat="1" applyFont="1" applyFill="1" applyProtection="1"/>
    <xf numFmtId="37" fontId="14" fillId="12" borderId="0" xfId="12" applyNumberFormat="1" applyFont="1" applyFill="1" applyAlignment="1" applyProtection="1">
      <alignment horizontal="left"/>
    </xf>
    <xf numFmtId="37" fontId="14" fillId="12" borderId="0" xfId="12" applyNumberFormat="1" applyFont="1" applyFill="1" applyAlignment="1" applyProtection="1"/>
    <xf numFmtId="37" fontId="14" fillId="0" borderId="0" xfId="12" applyNumberFormat="1" applyFont="1" applyFill="1" applyBorder="1" applyAlignment="1" applyProtection="1"/>
    <xf numFmtId="37" fontId="12" fillId="12" borderId="0" xfId="0" applyNumberFormat="1" applyFont="1" applyFill="1" applyAlignment="1" applyProtection="1"/>
    <xf numFmtId="37" fontId="14" fillId="12" borderId="0" xfId="12" applyNumberFormat="1" applyFont="1" applyFill="1" applyAlignment="1" applyProtection="1">
      <alignment horizontal="right"/>
    </xf>
    <xf numFmtId="37" fontId="14" fillId="12" borderId="0" xfId="12" applyNumberFormat="1" applyFont="1" applyFill="1" applyProtection="1"/>
    <xf numFmtId="37" fontId="18" fillId="10" borderId="6" xfId="10" applyNumberFormat="1" applyFont="1" applyFill="1" applyBorder="1" applyAlignment="1" applyProtection="1">
      <alignment horizontal="center" vertical="center"/>
    </xf>
    <xf numFmtId="37" fontId="11" fillId="11" borderId="15" xfId="0" applyNumberFormat="1" applyFont="1" applyFill="1" applyBorder="1" applyAlignment="1" applyProtection="1">
      <alignment horizontal="left"/>
    </xf>
    <xf numFmtId="37" fontId="12" fillId="11" borderId="21" xfId="0" applyNumberFormat="1" applyFont="1" applyFill="1" applyBorder="1" applyProtection="1"/>
    <xf numFmtId="37" fontId="12" fillId="10" borderId="6" xfId="0" applyNumberFormat="1" applyFont="1" applyFill="1" applyBorder="1" applyAlignment="1" applyProtection="1">
      <alignment horizontal="center"/>
    </xf>
    <xf numFmtId="37" fontId="18" fillId="10" borderId="40" xfId="10" applyNumberFormat="1" applyFont="1" applyFill="1" applyBorder="1" applyAlignment="1" applyProtection="1">
      <alignment horizontal="center" vertical="center"/>
    </xf>
    <xf numFmtId="37" fontId="18" fillId="10" borderId="384" xfId="10" applyNumberFormat="1" applyFont="1" applyFill="1" applyBorder="1" applyAlignment="1" applyProtection="1">
      <alignment horizontal="center" vertical="center"/>
    </xf>
    <xf numFmtId="37" fontId="12" fillId="12" borderId="0" xfId="10" applyNumberFormat="1" applyFont="1" applyFill="1" applyAlignment="1" applyProtection="1">
      <alignment vertical="center"/>
    </xf>
    <xf numFmtId="37" fontId="12" fillId="12" borderId="478" xfId="0" applyNumberFormat="1" applyFont="1" applyFill="1" applyBorder="1" applyAlignment="1" applyProtection="1">
      <alignment horizontal="left" vertical="center"/>
    </xf>
    <xf numFmtId="37" fontId="12" fillId="12" borderId="479" xfId="0" applyNumberFormat="1" applyFont="1" applyFill="1" applyBorder="1" applyAlignment="1" applyProtection="1">
      <alignment vertical="center"/>
    </xf>
    <xf numFmtId="37" fontId="12" fillId="12" borderId="480" xfId="0" applyNumberFormat="1" applyFont="1" applyFill="1" applyBorder="1" applyAlignment="1" applyProtection="1">
      <alignment vertical="center"/>
    </xf>
    <xf numFmtId="37" fontId="12" fillId="12" borderId="47" xfId="10" applyNumberFormat="1" applyFont="1" applyFill="1" applyBorder="1" applyAlignment="1" applyProtection="1">
      <alignment vertical="center"/>
    </xf>
    <xf numFmtId="37" fontId="12" fillId="12" borderId="465" xfId="0" applyNumberFormat="1" applyFont="1" applyFill="1" applyBorder="1" applyAlignment="1" applyProtection="1">
      <alignment horizontal="left" vertical="center"/>
    </xf>
    <xf numFmtId="37" fontId="12" fillId="12" borderId="466" xfId="0" applyNumberFormat="1" applyFont="1" applyFill="1" applyBorder="1" applyAlignment="1" applyProtection="1">
      <alignment vertical="center"/>
    </xf>
    <xf numFmtId="37" fontId="12" fillId="12" borderId="469" xfId="0" applyNumberFormat="1" applyFont="1" applyFill="1" applyBorder="1" applyAlignment="1" applyProtection="1">
      <alignment vertical="center"/>
    </xf>
    <xf numFmtId="37" fontId="12" fillId="12" borderId="469" xfId="10" applyNumberFormat="1" applyFont="1" applyFill="1" applyBorder="1" applyAlignment="1" applyProtection="1">
      <alignment horizontal="right" vertical="center"/>
    </xf>
    <xf numFmtId="37" fontId="12" fillId="12" borderId="469" xfId="10" applyNumberFormat="1" applyFont="1" applyFill="1" applyBorder="1" applyAlignment="1" applyProtection="1">
      <alignment vertical="center"/>
    </xf>
    <xf numFmtId="37" fontId="12" fillId="12" borderId="481" xfId="10" applyNumberFormat="1" applyFont="1" applyFill="1" applyBorder="1" applyAlignment="1" applyProtection="1">
      <alignment vertical="center"/>
    </xf>
    <xf numFmtId="37" fontId="21" fillId="12" borderId="0" xfId="10" applyNumberFormat="1" applyFont="1" applyFill="1" applyBorder="1" applyAlignment="1" applyProtection="1">
      <alignment vertical="center"/>
    </xf>
    <xf numFmtId="37" fontId="12" fillId="9" borderId="0" xfId="10" applyNumberFormat="1" applyFont="1" applyFill="1" applyBorder="1" applyAlignment="1" applyProtection="1">
      <alignment horizontal="left" vertical="center"/>
    </xf>
    <xf numFmtId="37" fontId="12" fillId="9" borderId="0" xfId="10" applyNumberFormat="1" applyFont="1" applyFill="1" applyBorder="1" applyAlignment="1" applyProtection="1">
      <alignment vertical="center"/>
    </xf>
    <xf numFmtId="37" fontId="12" fillId="9" borderId="0" xfId="0" applyNumberFormat="1" applyFont="1" applyFill="1" applyBorder="1" applyAlignment="1" applyProtection="1">
      <alignment vertical="center"/>
    </xf>
    <xf numFmtId="37" fontId="12" fillId="9" borderId="0" xfId="10" applyNumberFormat="1" applyFont="1" applyFill="1" applyBorder="1" applyAlignment="1" applyProtection="1">
      <alignment horizontal="right" vertical="center"/>
    </xf>
    <xf numFmtId="37" fontId="12" fillId="12" borderId="0" xfId="10" applyNumberFormat="1" applyFont="1" applyFill="1" applyBorder="1" applyAlignment="1" applyProtection="1">
      <alignment vertical="center"/>
    </xf>
    <xf numFmtId="37" fontId="11" fillId="12" borderId="93" xfId="0" applyNumberFormat="1" applyFont="1" applyFill="1" applyBorder="1" applyAlignment="1" applyProtection="1">
      <alignment horizontal="left" vertical="center"/>
    </xf>
    <xf numFmtId="37" fontId="12" fillId="12" borderId="94" xfId="0" applyNumberFormat="1" applyFont="1" applyFill="1" applyBorder="1" applyAlignment="1" applyProtection="1">
      <alignment horizontal="left" vertical="center"/>
    </xf>
    <xf numFmtId="37" fontId="12" fillId="12" borderId="11" xfId="0" applyNumberFormat="1" applyFont="1" applyFill="1" applyBorder="1" applyAlignment="1" applyProtection="1">
      <alignment horizontal="left" vertical="center"/>
    </xf>
    <xf numFmtId="37" fontId="12" fillId="12" borderId="11" xfId="10" applyNumberFormat="1" applyFont="1" applyFill="1" applyBorder="1" applyAlignment="1" applyProtection="1">
      <alignment horizontal="right" vertical="center"/>
    </xf>
    <xf numFmtId="37" fontId="11" fillId="12" borderId="11" xfId="10" applyNumberFormat="1" applyFont="1" applyFill="1" applyBorder="1" applyAlignment="1" applyProtection="1">
      <alignment vertical="center"/>
    </xf>
    <xf numFmtId="37" fontId="11" fillId="12" borderId="384" xfId="10" applyNumberFormat="1" applyFont="1" applyFill="1" applyBorder="1" applyAlignment="1" applyProtection="1">
      <alignment vertical="center"/>
    </xf>
    <xf numFmtId="37" fontId="11" fillId="12" borderId="36" xfId="10" applyNumberFormat="1" applyFont="1" applyFill="1" applyBorder="1" applyAlignment="1" applyProtection="1">
      <alignment horizontal="left" vertical="center"/>
    </xf>
    <xf numFmtId="37" fontId="12" fillId="12" borderId="106" xfId="0" applyNumberFormat="1" applyFont="1" applyFill="1" applyBorder="1" applyAlignment="1" applyProtection="1">
      <alignment vertical="center"/>
    </xf>
    <xf numFmtId="37" fontId="12" fillId="0" borderId="53" xfId="0" applyNumberFormat="1" applyFont="1" applyFill="1" applyBorder="1" applyAlignment="1" applyProtection="1">
      <alignment horizontal="center" vertical="center"/>
    </xf>
    <xf numFmtId="37" fontId="12" fillId="12" borderId="53" xfId="0" applyNumberFormat="1" applyFont="1" applyFill="1" applyBorder="1" applyAlignment="1" applyProtection="1">
      <alignment horizontal="right"/>
    </xf>
    <xf numFmtId="37" fontId="11" fillId="12" borderId="53" xfId="0" applyNumberFormat="1" applyFont="1" applyFill="1" applyBorder="1" applyAlignment="1" applyProtection="1"/>
    <xf numFmtId="37" fontId="11" fillId="12" borderId="105" xfId="0" applyNumberFormat="1" applyFont="1" applyFill="1" applyBorder="1" applyAlignment="1" applyProtection="1"/>
    <xf numFmtId="37" fontId="11" fillId="12" borderId="39" xfId="10" applyNumberFormat="1" applyFont="1" applyFill="1" applyBorder="1" applyAlignment="1" applyProtection="1">
      <alignment vertical="center"/>
    </xf>
    <xf numFmtId="37" fontId="12" fillId="9" borderId="0" xfId="0" applyNumberFormat="1" applyFont="1" applyFill="1" applyBorder="1" applyAlignment="1" applyProtection="1">
      <alignment horizontal="left" vertical="center"/>
    </xf>
    <xf numFmtId="37" fontId="12" fillId="4" borderId="0" xfId="0" applyNumberFormat="1" applyFont="1" applyFill="1" applyAlignment="1" applyProtection="1">
      <alignment horizontal="center"/>
    </xf>
    <xf numFmtId="37" fontId="12" fillId="12" borderId="26" xfId="10" applyNumberFormat="1" applyFont="1" applyFill="1" applyBorder="1" applyAlignment="1" applyProtection="1">
      <alignment horizontal="left" vertical="center"/>
    </xf>
    <xf numFmtId="37" fontId="12" fillId="12" borderId="0" xfId="0" applyNumberFormat="1" applyFont="1" applyFill="1" applyBorder="1" applyAlignment="1" applyProtection="1">
      <alignment vertical="center"/>
    </xf>
    <xf numFmtId="37" fontId="12" fillId="12" borderId="42" xfId="0" applyNumberFormat="1" applyFont="1" applyFill="1" applyBorder="1" applyAlignment="1" applyProtection="1">
      <alignment horizontal="right"/>
    </xf>
    <xf numFmtId="37" fontId="12" fillId="12" borderId="43" xfId="0" applyNumberFormat="1" applyFont="1" applyFill="1" applyBorder="1" applyAlignment="1" applyProtection="1">
      <alignment horizontal="right"/>
    </xf>
    <xf numFmtId="37" fontId="12" fillId="12" borderId="47" xfId="0" applyNumberFormat="1" applyFont="1" applyFill="1" applyBorder="1" applyProtection="1"/>
    <xf numFmtId="37" fontId="12" fillId="12" borderId="465" xfId="10" applyNumberFormat="1" applyFont="1" applyFill="1" applyBorder="1" applyAlignment="1" applyProtection="1">
      <alignment horizontal="left" vertical="center"/>
    </xf>
    <xf numFmtId="37" fontId="12" fillId="12" borderId="469" xfId="0" applyNumberFormat="1" applyFont="1" applyFill="1" applyBorder="1" applyAlignment="1" applyProtection="1">
      <alignment horizontal="right"/>
    </xf>
    <xf numFmtId="37" fontId="12" fillId="12" borderId="470" xfId="0" applyNumberFormat="1" applyFont="1" applyFill="1" applyBorder="1" applyAlignment="1" applyProtection="1">
      <alignment horizontal="right"/>
    </xf>
    <xf numFmtId="37" fontId="12" fillId="12" borderId="466" xfId="0" applyNumberFormat="1" applyFont="1" applyFill="1" applyBorder="1" applyAlignment="1" applyProtection="1">
      <alignment horizontal="right"/>
    </xf>
    <xf numFmtId="37" fontId="12" fillId="12" borderId="47" xfId="0" applyNumberFormat="1" applyFont="1" applyFill="1" applyBorder="1" applyAlignment="1" applyProtection="1">
      <alignment horizontal="center"/>
    </xf>
    <xf numFmtId="14" fontId="12" fillId="12" borderId="0" xfId="0" applyNumberFormat="1" applyFont="1" applyFill="1" applyBorder="1" applyProtection="1"/>
    <xf numFmtId="37" fontId="12" fillId="12" borderId="47" xfId="0" applyNumberFormat="1" applyFont="1" applyFill="1" applyBorder="1" applyAlignment="1" applyProtection="1">
      <alignment horizontal="right"/>
    </xf>
    <xf numFmtId="37" fontId="12" fillId="0" borderId="465" xfId="10" applyNumberFormat="1" applyFont="1" applyFill="1" applyBorder="1" applyAlignment="1" applyProtection="1">
      <alignment horizontal="left" vertical="center"/>
    </xf>
    <xf numFmtId="37" fontId="12" fillId="0" borderId="466" xfId="0" applyNumberFormat="1" applyFont="1" applyFill="1" applyBorder="1" applyAlignment="1" applyProtection="1">
      <alignment vertical="center"/>
    </xf>
    <xf numFmtId="37" fontId="12" fillId="0" borderId="469" xfId="0" applyNumberFormat="1" applyFont="1" applyFill="1" applyBorder="1" applyAlignment="1" applyProtection="1">
      <alignment horizontal="right"/>
    </xf>
    <xf numFmtId="37" fontId="12" fillId="0" borderId="470" xfId="0" applyNumberFormat="1" applyFont="1" applyFill="1" applyBorder="1" applyAlignment="1" applyProtection="1">
      <alignment horizontal="right"/>
    </xf>
    <xf numFmtId="37" fontId="12" fillId="0" borderId="466" xfId="0" applyNumberFormat="1" applyFont="1" applyFill="1" applyBorder="1" applyAlignment="1" applyProtection="1">
      <alignment horizontal="right"/>
    </xf>
    <xf numFmtId="37" fontId="12" fillId="0" borderId="47" xfId="0" applyNumberFormat="1" applyFont="1" applyFill="1" applyBorder="1" applyAlignment="1" applyProtection="1">
      <alignment horizontal="right"/>
    </xf>
    <xf numFmtId="37" fontId="12" fillId="0" borderId="469" xfId="0" applyNumberFormat="1" applyFont="1" applyFill="1" applyBorder="1" applyAlignment="1" applyProtection="1">
      <alignment horizontal="center" vertical="center"/>
    </xf>
    <xf numFmtId="37" fontId="12" fillId="0" borderId="481" xfId="0" applyNumberFormat="1" applyFont="1" applyFill="1" applyBorder="1" applyAlignment="1" applyProtection="1">
      <alignment horizontal="right"/>
    </xf>
    <xf numFmtId="37" fontId="32" fillId="12" borderId="466" xfId="0" applyNumberFormat="1" applyFont="1" applyFill="1" applyBorder="1" applyAlignment="1" applyProtection="1">
      <alignment horizontal="right" vertical="center"/>
    </xf>
    <xf numFmtId="37" fontId="12" fillId="12" borderId="536" xfId="10" applyNumberFormat="1" applyFont="1" applyFill="1" applyBorder="1" applyAlignment="1" applyProtection="1">
      <alignment horizontal="left" vertical="center"/>
    </xf>
    <xf numFmtId="37" fontId="12" fillId="12" borderId="537" xfId="0" applyNumberFormat="1" applyFont="1" applyFill="1" applyBorder="1" applyAlignment="1" applyProtection="1">
      <alignment vertical="center"/>
    </xf>
    <xf numFmtId="37" fontId="12" fillId="12" borderId="540" xfId="0" applyNumberFormat="1" applyFont="1" applyFill="1" applyBorder="1" applyAlignment="1" applyProtection="1">
      <alignment horizontal="right"/>
    </xf>
    <xf numFmtId="37" fontId="12" fillId="12" borderId="549" xfId="0" applyNumberFormat="1" applyFont="1" applyFill="1" applyBorder="1" applyAlignment="1" applyProtection="1">
      <alignment horizontal="right"/>
    </xf>
    <xf numFmtId="37" fontId="12" fillId="12" borderId="537" xfId="0" applyNumberFormat="1" applyFont="1" applyFill="1" applyBorder="1" applyAlignment="1" applyProtection="1">
      <alignment horizontal="right"/>
    </xf>
    <xf numFmtId="37" fontId="11" fillId="12" borderId="93" xfId="10" applyNumberFormat="1" applyFont="1" applyFill="1" applyBorder="1" applyAlignment="1" applyProtection="1">
      <alignment horizontal="left" vertical="center"/>
    </xf>
    <xf numFmtId="37" fontId="11" fillId="12" borderId="94" xfId="10" applyNumberFormat="1" applyFont="1" applyFill="1" applyBorder="1" applyAlignment="1" applyProtection="1">
      <alignment vertical="center"/>
    </xf>
    <xf numFmtId="37" fontId="11" fillId="0" borderId="100" xfId="10" applyNumberFormat="1" applyFont="1" applyFill="1" applyBorder="1" applyAlignment="1" applyProtection="1">
      <alignment vertical="center"/>
    </xf>
    <xf numFmtId="37" fontId="11" fillId="12" borderId="11" xfId="0" applyNumberFormat="1" applyFont="1" applyFill="1" applyBorder="1" applyAlignment="1" applyProtection="1">
      <alignment horizontal="right"/>
    </xf>
    <xf numFmtId="37" fontId="11" fillId="12" borderId="100" xfId="0" applyNumberFormat="1" applyFont="1" applyFill="1" applyBorder="1" applyAlignment="1" applyProtection="1">
      <alignment horizontal="right"/>
    </xf>
    <xf numFmtId="37" fontId="11" fillId="12" borderId="94" xfId="0" applyNumberFormat="1" applyFont="1" applyFill="1" applyBorder="1" applyAlignment="1" applyProtection="1">
      <alignment horizontal="right"/>
    </xf>
    <xf numFmtId="37" fontId="11" fillId="12" borderId="28" xfId="0" applyNumberFormat="1" applyFont="1" applyFill="1" applyBorder="1" applyAlignment="1" applyProtection="1">
      <alignment horizontal="left"/>
    </xf>
    <xf numFmtId="37" fontId="11" fillId="12" borderId="5" xfId="10" applyNumberFormat="1" applyFont="1" applyFill="1" applyBorder="1" applyAlignment="1" applyProtection="1">
      <alignment vertical="center"/>
    </xf>
    <xf numFmtId="37" fontId="11" fillId="12" borderId="59" xfId="10" applyNumberFormat="1" applyFont="1" applyFill="1" applyBorder="1" applyAlignment="1" applyProtection="1">
      <alignment vertical="center"/>
    </xf>
    <xf numFmtId="37" fontId="11" fillId="12" borderId="55" xfId="0" applyNumberFormat="1" applyFont="1" applyFill="1" applyBorder="1" applyAlignment="1" applyProtection="1">
      <alignment horizontal="right"/>
    </xf>
    <xf numFmtId="37" fontId="11" fillId="12" borderId="59" xfId="0" applyNumberFormat="1" applyFont="1" applyFill="1" applyBorder="1" applyAlignment="1" applyProtection="1">
      <alignment horizontal="right"/>
    </xf>
    <xf numFmtId="37" fontId="11" fillId="12" borderId="5" xfId="0" applyNumberFormat="1" applyFont="1" applyFill="1" applyBorder="1" applyAlignment="1" applyProtection="1">
      <alignment horizontal="right"/>
    </xf>
    <xf numFmtId="37" fontId="22" fillId="12" borderId="0" xfId="0" applyNumberFormat="1" applyFont="1" applyFill="1" applyBorder="1" applyAlignment="1" applyProtection="1">
      <alignment horizontal="left"/>
    </xf>
    <xf numFmtId="37" fontId="12" fillId="14" borderId="0" xfId="10" applyNumberFormat="1" applyFont="1" applyFill="1" applyBorder="1" applyAlignment="1" applyProtection="1">
      <alignment horizontal="left" vertical="center"/>
    </xf>
    <xf numFmtId="37" fontId="12" fillId="14" borderId="0" xfId="10" applyNumberFormat="1" applyFont="1" applyFill="1" applyBorder="1" applyAlignment="1" applyProtection="1">
      <alignment vertical="center"/>
    </xf>
    <xf numFmtId="37" fontId="12" fillId="14" borderId="0" xfId="0" applyNumberFormat="1" applyFont="1" applyFill="1" applyBorder="1" applyAlignment="1" applyProtection="1">
      <alignment horizontal="right"/>
    </xf>
    <xf numFmtId="37" fontId="12" fillId="9" borderId="0" xfId="0" applyNumberFormat="1" applyFont="1" applyFill="1" applyBorder="1" applyAlignment="1" applyProtection="1">
      <alignment horizontal="right"/>
    </xf>
    <xf numFmtId="37" fontId="12" fillId="12" borderId="0" xfId="10" applyNumberFormat="1" applyFont="1" applyFill="1" applyBorder="1" applyAlignment="1" applyProtection="1">
      <alignment horizontal="left" vertical="center"/>
    </xf>
    <xf numFmtId="37" fontId="18" fillId="10" borderId="11" xfId="10" applyNumberFormat="1" applyFont="1" applyFill="1" applyBorder="1" applyAlignment="1" applyProtection="1">
      <alignment horizontal="center" vertical="center"/>
    </xf>
    <xf numFmtId="37" fontId="18" fillId="10" borderId="9" xfId="10" applyNumberFormat="1" applyFont="1" applyFill="1" applyBorder="1" applyAlignment="1" applyProtection="1">
      <alignment horizontal="center" vertical="center"/>
    </xf>
    <xf numFmtId="37" fontId="12" fillId="12" borderId="12" xfId="0" applyNumberFormat="1" applyFont="1" applyFill="1" applyBorder="1" applyAlignment="1" applyProtection="1">
      <alignment horizontal="right"/>
    </xf>
    <xf numFmtId="37" fontId="12" fillId="12" borderId="60" xfId="0" applyNumberFormat="1" applyFont="1" applyFill="1" applyBorder="1" applyProtection="1"/>
    <xf numFmtId="37" fontId="12" fillId="9" borderId="0" xfId="0" applyNumberFormat="1" applyFont="1" applyFill="1" applyBorder="1" applyAlignment="1" applyProtection="1">
      <alignment horizontal="left"/>
    </xf>
    <xf numFmtId="37" fontId="11" fillId="10" borderId="15" xfId="0" applyNumberFormat="1" applyFont="1" applyFill="1" applyBorder="1" applyAlignment="1" applyProtection="1">
      <alignment horizontal="left"/>
    </xf>
    <xf numFmtId="37" fontId="12" fillId="10" borderId="21" xfId="10" applyNumberFormat="1" applyFont="1" applyFill="1" applyBorder="1" applyAlignment="1" applyProtection="1">
      <alignment vertical="center"/>
    </xf>
    <xf numFmtId="37" fontId="12" fillId="10" borderId="21" xfId="10" applyNumberFormat="1" applyFont="1" applyFill="1" applyBorder="1" applyAlignment="1" applyProtection="1">
      <alignment horizontal="center" vertical="center"/>
    </xf>
    <xf numFmtId="37" fontId="12" fillId="10" borderId="41" xfId="10" applyNumberFormat="1" applyFont="1" applyFill="1" applyBorder="1" applyAlignment="1" applyProtection="1">
      <alignment horizontal="center" vertical="center"/>
    </xf>
    <xf numFmtId="37" fontId="12" fillId="9" borderId="0" xfId="0" applyNumberFormat="1" applyFont="1" applyFill="1" applyProtection="1"/>
    <xf numFmtId="37" fontId="12" fillId="9" borderId="385" xfId="0" applyNumberFormat="1" applyFont="1" applyFill="1" applyBorder="1" applyAlignment="1" applyProtection="1">
      <alignment horizontal="left"/>
    </xf>
    <xf numFmtId="37" fontId="12" fillId="9" borderId="472" xfId="0" applyNumberFormat="1" applyFont="1" applyFill="1" applyBorder="1" applyAlignment="1" applyProtection="1">
      <alignment horizontal="center"/>
    </xf>
    <xf numFmtId="37" fontId="12" fillId="9" borderId="504" xfId="0" applyNumberFormat="1" applyFont="1" applyFill="1" applyBorder="1" applyAlignment="1" applyProtection="1">
      <alignment horizontal="right"/>
    </xf>
    <xf numFmtId="37" fontId="12" fillId="9" borderId="598" xfId="0" applyNumberFormat="1" applyFont="1" applyFill="1" applyBorder="1" applyAlignment="1" applyProtection="1">
      <alignment horizontal="right"/>
    </xf>
    <xf numFmtId="37" fontId="12" fillId="9" borderId="27" xfId="0" applyNumberFormat="1" applyFont="1" applyFill="1" applyBorder="1" applyAlignment="1" applyProtection="1">
      <alignment horizontal="left"/>
    </xf>
    <xf numFmtId="37" fontId="12" fillId="9" borderId="0" xfId="0" applyNumberFormat="1" applyFont="1" applyFill="1" applyBorder="1" applyProtection="1"/>
    <xf numFmtId="37" fontId="12" fillId="9" borderId="26" xfId="0" applyNumberFormat="1" applyFont="1" applyFill="1" applyBorder="1" applyAlignment="1" applyProtection="1">
      <alignment horizontal="left"/>
    </xf>
    <xf numFmtId="37" fontId="12" fillId="9" borderId="0" xfId="0" applyNumberFormat="1" applyFont="1" applyFill="1" applyBorder="1" applyAlignment="1" applyProtection="1">
      <alignment horizontal="center"/>
    </xf>
    <xf numFmtId="37" fontId="12" fillId="9" borderId="498" xfId="0" applyNumberFormat="1" applyFont="1" applyFill="1" applyBorder="1" applyAlignment="1" applyProtection="1">
      <alignment horizontal="right"/>
    </xf>
    <xf numFmtId="37" fontId="12" fillId="9" borderId="599" xfId="0" applyNumberFormat="1" applyFont="1" applyFill="1" applyBorder="1" applyAlignment="1" applyProtection="1">
      <alignment horizontal="right"/>
    </xf>
    <xf numFmtId="37" fontId="12" fillId="9" borderId="27" xfId="0" applyNumberFormat="1" applyFont="1" applyFill="1" applyBorder="1" applyProtection="1"/>
    <xf numFmtId="170" fontId="12" fillId="9" borderId="0" xfId="0" applyNumberFormat="1" applyFont="1" applyFill="1" applyBorder="1" applyAlignment="1" applyProtection="1">
      <alignment horizontal="center"/>
    </xf>
    <xf numFmtId="37" fontId="12" fillId="9" borderId="200" xfId="0" applyNumberFormat="1" applyFont="1" applyFill="1" applyBorder="1" applyAlignment="1" applyProtection="1">
      <alignment horizontal="left"/>
    </xf>
    <xf numFmtId="37" fontId="12" fillId="9" borderId="198" xfId="0" applyNumberFormat="1" applyFont="1" applyFill="1" applyBorder="1" applyAlignment="1" applyProtection="1">
      <alignment horizontal="center"/>
    </xf>
    <xf numFmtId="37" fontId="12" fillId="9" borderId="502" xfId="0" applyNumberFormat="1" applyFont="1" applyFill="1" applyBorder="1" applyAlignment="1" applyProtection="1">
      <alignment horizontal="center"/>
    </xf>
    <xf numFmtId="37" fontId="12" fillId="9" borderId="503" xfId="0" applyNumberFormat="1" applyFont="1" applyFill="1" applyBorder="1" applyAlignment="1" applyProtection="1">
      <alignment horizontal="right"/>
    </xf>
    <xf numFmtId="37" fontId="12" fillId="9" borderId="601" xfId="0" applyNumberFormat="1" applyFont="1" applyFill="1" applyBorder="1" applyAlignment="1" applyProtection="1">
      <alignment horizontal="right"/>
    </xf>
    <xf numFmtId="37" fontId="25" fillId="9" borderId="27" xfId="0" applyNumberFormat="1" applyFont="1" applyFill="1" applyBorder="1" applyAlignment="1" applyProtection="1">
      <alignment horizontal="left"/>
    </xf>
    <xf numFmtId="37" fontId="12" fillId="9" borderId="501" xfId="0" applyNumberFormat="1" applyFont="1" applyFill="1" applyBorder="1" applyAlignment="1" applyProtection="1">
      <alignment horizontal="center"/>
    </xf>
    <xf numFmtId="37" fontId="12" fillId="9" borderId="496" xfId="0" applyNumberFormat="1" applyFont="1" applyFill="1" applyBorder="1" applyAlignment="1" applyProtection="1">
      <alignment horizontal="left"/>
    </xf>
    <xf numFmtId="37" fontId="12" fillId="9" borderId="497" xfId="0" applyNumberFormat="1" applyFont="1" applyFill="1" applyBorder="1" applyAlignment="1" applyProtection="1">
      <alignment horizontal="center"/>
    </xf>
    <xf numFmtId="37" fontId="12" fillId="9" borderId="499" xfId="0" applyNumberFormat="1" applyFont="1" applyFill="1" applyBorder="1" applyAlignment="1" applyProtection="1">
      <alignment horizontal="right"/>
    </xf>
    <xf numFmtId="37" fontId="12" fillId="9" borderId="602" xfId="0" applyNumberFormat="1" applyFont="1" applyFill="1" applyBorder="1" applyAlignment="1" applyProtection="1">
      <alignment horizontal="right"/>
    </xf>
    <xf numFmtId="37" fontId="12" fillId="0" borderId="28" xfId="10" applyNumberFormat="1" applyFont="1" applyFill="1" applyBorder="1" applyAlignment="1" applyProtection="1">
      <alignment horizontal="left" vertical="center"/>
    </xf>
    <xf numFmtId="37" fontId="12" fillId="0" borderId="500" xfId="0" applyNumberFormat="1" applyFont="1" applyFill="1" applyBorder="1" applyAlignment="1" applyProtection="1">
      <alignment horizontal="right"/>
    </xf>
    <xf numFmtId="37" fontId="12" fillId="0" borderId="603" xfId="0" applyNumberFormat="1" applyFont="1" applyFill="1" applyBorder="1" applyAlignment="1" applyProtection="1">
      <alignment horizontal="right"/>
    </xf>
    <xf numFmtId="37" fontId="11" fillId="10" borderId="93" xfId="0" applyNumberFormat="1" applyFont="1" applyFill="1" applyBorder="1" applyAlignment="1" applyProtection="1">
      <alignment horizontal="left"/>
    </xf>
    <xf numFmtId="37" fontId="12" fillId="10" borderId="94" xfId="10" applyNumberFormat="1" applyFont="1" applyFill="1" applyBorder="1" applyAlignment="1" applyProtection="1">
      <alignment vertical="center"/>
    </xf>
    <xf numFmtId="37" fontId="12" fillId="10" borderId="94" xfId="10" applyNumberFormat="1" applyFont="1" applyFill="1" applyBorder="1" applyAlignment="1" applyProtection="1">
      <alignment horizontal="center" vertical="center"/>
    </xf>
    <xf numFmtId="37" fontId="12" fillId="10" borderId="100" xfId="10" applyNumberFormat="1" applyFont="1" applyFill="1" applyBorder="1" applyAlignment="1" applyProtection="1">
      <alignment horizontal="center" vertical="center"/>
    </xf>
    <xf numFmtId="37" fontId="12" fillId="0" borderId="26" xfId="10" applyNumberFormat="1" applyFont="1" applyFill="1" applyBorder="1" applyAlignment="1" applyProtection="1">
      <alignment horizontal="left" vertical="center"/>
    </xf>
    <xf numFmtId="37" fontId="12" fillId="0" borderId="498" xfId="0" applyNumberFormat="1" applyFont="1" applyFill="1" applyBorder="1" applyAlignment="1" applyProtection="1">
      <alignment horizontal="right"/>
    </xf>
    <xf numFmtId="37" fontId="12" fillId="0" borderId="599" xfId="0" applyNumberFormat="1" applyFont="1" applyFill="1" applyBorder="1" applyAlignment="1" applyProtection="1">
      <alignment horizontal="right"/>
    </xf>
    <xf numFmtId="37" fontId="11" fillId="10" borderId="14" xfId="10" applyNumberFormat="1" applyFont="1" applyFill="1" applyBorder="1" applyAlignment="1" applyProtection="1">
      <alignment horizontal="left" vertical="center"/>
    </xf>
    <xf numFmtId="37" fontId="11" fillId="10" borderId="17" xfId="10" applyNumberFormat="1" applyFont="1" applyFill="1" applyBorder="1" applyAlignment="1" applyProtection="1">
      <alignment vertical="center"/>
    </xf>
    <xf numFmtId="37" fontId="11" fillId="10" borderId="35" xfId="10" applyNumberFormat="1" applyFont="1" applyFill="1" applyBorder="1" applyAlignment="1" applyProtection="1">
      <alignment vertical="center"/>
    </xf>
    <xf numFmtId="37" fontId="11" fillId="10" borderId="58" xfId="0" applyNumberFormat="1" applyFont="1" applyFill="1" applyBorder="1" applyAlignment="1" applyProtection="1">
      <alignment horizontal="right"/>
    </xf>
    <xf numFmtId="37" fontId="11" fillId="10" borderId="35" xfId="0" applyNumberFormat="1" applyFont="1" applyFill="1" applyBorder="1" applyAlignment="1" applyProtection="1">
      <alignment horizontal="right"/>
    </xf>
    <xf numFmtId="37" fontId="11" fillId="10" borderId="30" xfId="0" applyNumberFormat="1" applyFont="1" applyFill="1" applyBorder="1" applyAlignment="1" applyProtection="1">
      <alignment horizontal="right"/>
    </xf>
    <xf numFmtId="37" fontId="12" fillId="12" borderId="10" xfId="0" applyNumberFormat="1" applyFont="1" applyFill="1" applyBorder="1" applyProtection="1"/>
    <xf numFmtId="37" fontId="11" fillId="0" borderId="5" xfId="10" applyNumberFormat="1" applyFont="1" applyFill="1" applyBorder="1" applyAlignment="1" applyProtection="1">
      <alignment horizontal="left" vertical="center"/>
    </xf>
    <xf numFmtId="37" fontId="12" fillId="0" borderId="5" xfId="0" applyNumberFormat="1" applyFont="1" applyFill="1" applyBorder="1" applyAlignment="1" applyProtection="1">
      <alignment horizontal="right"/>
    </xf>
    <xf numFmtId="37" fontId="12" fillId="10" borderId="11" xfId="0" applyNumberFormat="1" applyFont="1" applyFill="1" applyBorder="1" applyAlignment="1" applyProtection="1">
      <alignment horizontal="center"/>
    </xf>
    <xf numFmtId="37" fontId="18" fillId="10" borderId="108" xfId="10" applyNumberFormat="1" applyFont="1" applyFill="1" applyBorder="1" applyAlignment="1" applyProtection="1">
      <alignment horizontal="center" vertical="center"/>
    </xf>
    <xf numFmtId="37" fontId="12" fillId="12" borderId="478" xfId="0" applyNumberFormat="1" applyFont="1" applyFill="1" applyBorder="1" applyAlignment="1" applyProtection="1">
      <alignment horizontal="left"/>
    </xf>
    <xf numFmtId="37" fontId="12" fillId="12" borderId="479" xfId="0" applyNumberFormat="1" applyFont="1" applyFill="1" applyBorder="1" applyAlignment="1" applyProtection="1">
      <alignment horizontal="center"/>
    </xf>
    <xf numFmtId="37" fontId="12" fillId="12" borderId="556" xfId="0" applyNumberFormat="1" applyFont="1" applyFill="1" applyBorder="1" applyAlignment="1" applyProtection="1">
      <alignment horizontal="right"/>
    </xf>
    <xf numFmtId="37" fontId="12" fillId="12" borderId="481" xfId="0" applyNumberFormat="1" applyFont="1" applyFill="1" applyBorder="1" applyAlignment="1" applyProtection="1">
      <alignment horizontal="right"/>
    </xf>
    <xf numFmtId="37" fontId="12" fillId="12" borderId="465" xfId="0" applyNumberFormat="1" applyFont="1" applyFill="1" applyBorder="1" applyAlignment="1" applyProtection="1">
      <alignment horizontal="left"/>
    </xf>
    <xf numFmtId="37" fontId="12" fillId="12" borderId="466" xfId="0" applyNumberFormat="1" applyFont="1" applyFill="1" applyBorder="1" applyAlignment="1" applyProtection="1">
      <alignment horizontal="center"/>
    </xf>
    <xf numFmtId="37" fontId="12" fillId="12" borderId="467" xfId="0" applyNumberFormat="1" applyFont="1" applyFill="1" applyBorder="1" applyAlignment="1" applyProtection="1">
      <alignment horizontal="left"/>
    </xf>
    <xf numFmtId="37" fontId="12" fillId="12" borderId="468" xfId="0" applyNumberFormat="1" applyFont="1" applyFill="1" applyBorder="1" applyAlignment="1" applyProtection="1">
      <alignment horizontal="center"/>
    </xf>
    <xf numFmtId="37" fontId="12" fillId="12" borderId="471" xfId="0" applyNumberFormat="1" applyFont="1" applyFill="1" applyBorder="1" applyAlignment="1" applyProtection="1">
      <alignment horizontal="right"/>
    </xf>
    <xf numFmtId="37" fontId="12" fillId="12" borderId="584" xfId="0" applyNumberFormat="1" applyFont="1" applyFill="1" applyBorder="1" applyAlignment="1" applyProtection="1">
      <alignment horizontal="right"/>
    </xf>
    <xf numFmtId="37" fontId="12" fillId="12" borderId="28" xfId="0" applyNumberFormat="1" applyFont="1" applyFill="1" applyBorder="1" applyAlignment="1" applyProtection="1">
      <alignment horizontal="left"/>
    </xf>
    <xf numFmtId="37" fontId="12" fillId="12" borderId="55" xfId="0" applyNumberFormat="1" applyFont="1" applyFill="1" applyBorder="1" applyAlignment="1" applyProtection="1">
      <alignment horizontal="right"/>
    </xf>
    <xf numFmtId="37" fontId="11" fillId="12" borderId="53" xfId="0" applyNumberFormat="1" applyFont="1" applyFill="1" applyBorder="1" applyAlignment="1" applyProtection="1">
      <alignment horizontal="right"/>
    </xf>
    <xf numFmtId="37" fontId="11" fillId="12" borderId="105" xfId="0" applyNumberFormat="1" applyFont="1" applyFill="1" applyBorder="1" applyAlignment="1" applyProtection="1">
      <alignment horizontal="right"/>
    </xf>
    <xf numFmtId="37" fontId="21" fillId="12" borderId="0" xfId="0" applyNumberFormat="1" applyFont="1" applyFill="1" applyBorder="1" applyAlignment="1" applyProtection="1">
      <alignment horizontal="left"/>
    </xf>
    <xf numFmtId="37" fontId="21" fillId="12" borderId="0" xfId="0" applyNumberFormat="1" applyFont="1" applyFill="1" applyProtection="1"/>
    <xf numFmtId="37" fontId="11" fillId="12" borderId="0" xfId="0" applyNumberFormat="1" applyFont="1" applyFill="1" applyBorder="1" applyAlignment="1" applyProtection="1">
      <alignment horizontal="right"/>
    </xf>
    <xf numFmtId="37" fontId="11" fillId="10" borderId="14" xfId="0" applyNumberFormat="1" applyFont="1" applyFill="1" applyBorder="1" applyAlignment="1" applyProtection="1">
      <alignment horizontal="left"/>
    </xf>
    <xf numFmtId="37" fontId="12" fillId="10" borderId="17" xfId="10" applyNumberFormat="1" applyFont="1" applyFill="1" applyBorder="1" applyAlignment="1" applyProtection="1">
      <alignment vertical="center"/>
    </xf>
    <xf numFmtId="37" fontId="12" fillId="10" borderId="17" xfId="10" applyNumberFormat="1" applyFont="1" applyFill="1" applyBorder="1" applyAlignment="1" applyProtection="1">
      <alignment horizontal="center" vertical="center"/>
    </xf>
    <xf numFmtId="37" fontId="12" fillId="12" borderId="487" xfId="0" applyNumberFormat="1" applyFont="1" applyFill="1" applyBorder="1" applyAlignment="1" applyProtection="1">
      <alignment horizontal="left"/>
    </xf>
    <xf numFmtId="37" fontId="12" fillId="12" borderId="488" xfId="0" applyNumberFormat="1" applyFont="1" applyFill="1" applyBorder="1" applyAlignment="1" applyProtection="1">
      <alignment horizontal="center"/>
    </xf>
    <xf numFmtId="37" fontId="12" fillId="12" borderId="489" xfId="0" applyNumberFormat="1" applyFont="1" applyFill="1" applyBorder="1" applyAlignment="1" applyProtection="1">
      <alignment horizontal="left"/>
    </xf>
    <xf numFmtId="37" fontId="12" fillId="12" borderId="490" xfId="0" applyNumberFormat="1" applyFont="1" applyFill="1" applyBorder="1" applyAlignment="1" applyProtection="1">
      <alignment horizontal="center"/>
    </xf>
    <xf numFmtId="37" fontId="12" fillId="12" borderId="491" xfId="0" applyNumberFormat="1" applyFont="1" applyFill="1" applyBorder="1" applyAlignment="1" applyProtection="1">
      <alignment horizontal="left"/>
    </xf>
    <xf numFmtId="37" fontId="12" fillId="12" borderId="492" xfId="0" applyNumberFormat="1" applyFont="1" applyFill="1" applyBorder="1" applyAlignment="1" applyProtection="1">
      <alignment horizontal="center"/>
    </xf>
    <xf numFmtId="37" fontId="11" fillId="12" borderId="5" xfId="0" applyNumberFormat="1" applyFont="1" applyFill="1" applyBorder="1" applyAlignment="1" applyProtection="1">
      <alignment horizontal="center"/>
    </xf>
    <xf numFmtId="37" fontId="12" fillId="11" borderId="17" xfId="10" applyNumberFormat="1" applyFont="1" applyFill="1" applyBorder="1" applyAlignment="1" applyProtection="1">
      <alignment vertical="center"/>
    </xf>
    <xf numFmtId="37" fontId="12" fillId="11" borderId="17" xfId="10" applyNumberFormat="1" applyFont="1" applyFill="1" applyBorder="1" applyAlignment="1" applyProtection="1">
      <alignment horizontal="center" vertical="center"/>
    </xf>
    <xf numFmtId="37" fontId="11" fillId="0" borderId="5" xfId="0" applyNumberFormat="1" applyFont="1" applyFill="1" applyBorder="1" applyAlignment="1" applyProtection="1">
      <alignment horizontal="right"/>
    </xf>
    <xf numFmtId="37" fontId="11" fillId="10" borderId="383" xfId="0" applyNumberFormat="1" applyFont="1" applyFill="1" applyBorder="1" applyAlignment="1" applyProtection="1">
      <alignment horizontal="right"/>
    </xf>
    <xf numFmtId="37" fontId="11" fillId="10" borderId="10" xfId="0" applyNumberFormat="1" applyFont="1" applyFill="1" applyBorder="1" applyAlignment="1" applyProtection="1">
      <alignment horizontal="right"/>
    </xf>
    <xf numFmtId="37" fontId="11" fillId="16" borderId="0" xfId="0" applyNumberFormat="1" applyFont="1" applyFill="1" applyBorder="1" applyAlignment="1" applyProtection="1">
      <alignment horizontal="left"/>
    </xf>
    <xf numFmtId="37" fontId="11" fillId="16" borderId="0" xfId="10" applyNumberFormat="1" applyFont="1" applyFill="1" applyBorder="1" applyAlignment="1" applyProtection="1">
      <alignment vertical="center"/>
    </xf>
    <xf numFmtId="37" fontId="11" fillId="16" borderId="0" xfId="0" applyNumberFormat="1" applyFont="1" applyFill="1" applyBorder="1" applyAlignment="1" applyProtection="1">
      <alignment horizontal="right"/>
    </xf>
    <xf numFmtId="37" fontId="12" fillId="0" borderId="19" xfId="0" applyNumberFormat="1" applyFont="1" applyFill="1" applyBorder="1" applyAlignment="1" applyProtection="1">
      <alignment horizontal="left"/>
    </xf>
    <xf numFmtId="37" fontId="11" fillId="0" borderId="22" xfId="10" applyNumberFormat="1" applyFont="1" applyFill="1" applyBorder="1" applyAlignment="1" applyProtection="1">
      <alignment vertical="center"/>
    </xf>
    <xf numFmtId="37" fontId="11" fillId="0" borderId="18" xfId="10" applyNumberFormat="1" applyFont="1" applyFill="1" applyBorder="1" applyAlignment="1" applyProtection="1">
      <alignment vertical="center"/>
    </xf>
    <xf numFmtId="37" fontId="12" fillId="9" borderId="2" xfId="0" applyNumberFormat="1" applyFont="1" applyFill="1" applyBorder="1" applyAlignment="1" applyProtection="1">
      <alignment horizontal="right"/>
    </xf>
    <xf numFmtId="37" fontId="11" fillId="0" borderId="0" xfId="0" applyNumberFormat="1" applyFont="1" applyFill="1" applyBorder="1" applyAlignment="1" applyProtection="1">
      <alignment horizontal="right"/>
    </xf>
    <xf numFmtId="37" fontId="11" fillId="0" borderId="0" xfId="0" applyNumberFormat="1" applyFont="1" applyFill="1" applyAlignment="1" applyProtection="1">
      <alignment vertical="center"/>
    </xf>
    <xf numFmtId="37" fontId="12" fillId="0" borderId="0" xfId="0" applyNumberFormat="1" applyFont="1" applyFill="1" applyAlignment="1" applyProtection="1">
      <alignment vertical="center"/>
    </xf>
    <xf numFmtId="37" fontId="11" fillId="0" borderId="0" xfId="0" applyNumberFormat="1" applyFont="1" applyFill="1" applyAlignment="1" applyProtection="1">
      <alignment horizontal="center" vertical="center"/>
    </xf>
    <xf numFmtId="0" fontId="0" fillId="0" borderId="0" xfId="0" applyProtection="1"/>
    <xf numFmtId="180" fontId="66" fillId="0" borderId="2" xfId="6" applyNumberFormat="1" applyFont="1" applyFill="1" applyBorder="1" applyAlignment="1" applyProtection="1">
      <alignment horizontal="center" vertical="center" wrapText="1"/>
    </xf>
    <xf numFmtId="180" fontId="60" fillId="0" borderId="0" xfId="0" applyNumberFormat="1" applyFont="1" applyFill="1" applyAlignment="1" applyProtection="1">
      <alignment vertical="center"/>
    </xf>
    <xf numFmtId="37" fontId="14" fillId="0" borderId="0" xfId="12" applyNumberFormat="1" applyFont="1" applyFill="1" applyAlignment="1" applyProtection="1">
      <alignment vertical="center"/>
    </xf>
    <xf numFmtId="37" fontId="12" fillId="10" borderId="94" xfId="0" applyNumberFormat="1" applyFont="1" applyFill="1" applyBorder="1" applyProtection="1"/>
    <xf numFmtId="37" fontId="12" fillId="10" borderId="41" xfId="0" applyNumberFormat="1" applyFont="1" applyFill="1" applyBorder="1" applyAlignment="1" applyProtection="1">
      <alignment horizontal="center"/>
    </xf>
    <xf numFmtId="37" fontId="12" fillId="12" borderId="46" xfId="0" applyNumberFormat="1" applyFont="1" applyFill="1" applyBorder="1" applyAlignment="1" applyProtection="1">
      <alignment horizontal="left"/>
    </xf>
    <xf numFmtId="180" fontId="12" fillId="12" borderId="20" xfId="0" applyNumberFormat="1" applyFont="1" applyFill="1" applyBorder="1" applyAlignment="1" applyProtection="1">
      <alignment horizontal="center"/>
    </xf>
    <xf numFmtId="37" fontId="12" fillId="12" borderId="54" xfId="0" applyNumberFormat="1" applyFont="1" applyFill="1" applyBorder="1" applyAlignment="1" applyProtection="1">
      <alignment horizontal="right"/>
    </xf>
    <xf numFmtId="37" fontId="12" fillId="12" borderId="60" xfId="0" applyNumberFormat="1" applyFont="1" applyFill="1" applyBorder="1" applyAlignment="1" applyProtection="1">
      <alignment horizontal="right"/>
    </xf>
    <xf numFmtId="37" fontId="12" fillId="12" borderId="555" xfId="0" applyNumberFormat="1" applyFont="1" applyFill="1" applyBorder="1" applyAlignment="1" applyProtection="1">
      <alignment horizontal="left"/>
    </xf>
    <xf numFmtId="181" fontId="12" fillId="12" borderId="908" xfId="0" applyNumberFormat="1" applyFont="1" applyFill="1" applyBorder="1" applyAlignment="1" applyProtection="1">
      <alignment horizontal="center"/>
    </xf>
    <xf numFmtId="37" fontId="12" fillId="12" borderId="908" xfId="0" applyNumberFormat="1" applyFont="1" applyFill="1" applyBorder="1" applyAlignment="1" applyProtection="1">
      <alignment horizontal="center"/>
    </xf>
    <xf numFmtId="37" fontId="12" fillId="12" borderId="557" xfId="0" applyNumberFormat="1" applyFont="1" applyFill="1" applyBorder="1" applyAlignment="1" applyProtection="1">
      <alignment horizontal="right"/>
    </xf>
    <xf numFmtId="37" fontId="12" fillId="12" borderId="482" xfId="0" applyNumberFormat="1" applyFont="1" applyFill="1" applyBorder="1" applyAlignment="1" applyProtection="1">
      <alignment horizontal="right"/>
    </xf>
    <xf numFmtId="37" fontId="25" fillId="12" borderId="27" xfId="0" applyNumberFormat="1" applyFont="1" applyFill="1" applyBorder="1" applyProtection="1"/>
    <xf numFmtId="37" fontId="12" fillId="12" borderId="42" xfId="0" applyNumberFormat="1" applyFont="1" applyFill="1" applyBorder="1" applyProtection="1"/>
    <xf numFmtId="37" fontId="12" fillId="12" borderId="819" xfId="0" applyNumberFormat="1" applyFont="1" applyFill="1" applyBorder="1" applyAlignment="1" applyProtection="1">
      <alignment horizontal="left"/>
    </xf>
    <xf numFmtId="37" fontId="12" fillId="0" borderId="820" xfId="0" applyNumberFormat="1" applyFont="1" applyFill="1" applyBorder="1" applyAlignment="1" applyProtection="1">
      <alignment horizontal="center"/>
    </xf>
    <xf numFmtId="37" fontId="12" fillId="12" borderId="678" xfId="0" applyNumberFormat="1" applyFont="1" applyFill="1" applyBorder="1" applyAlignment="1" applyProtection="1">
      <alignment horizontal="center"/>
    </xf>
    <xf numFmtId="37" fontId="11" fillId="12" borderId="94" xfId="0" applyNumberFormat="1" applyFont="1" applyFill="1" applyBorder="1" applyAlignment="1" applyProtection="1">
      <alignment horizontal="center"/>
    </xf>
    <xf numFmtId="37" fontId="11" fillId="12" borderId="13" xfId="0" applyNumberFormat="1" applyFont="1" applyFill="1" applyBorder="1" applyAlignment="1" applyProtection="1">
      <alignment horizontal="right"/>
    </xf>
    <xf numFmtId="37" fontId="11" fillId="12" borderId="36" xfId="0" applyNumberFormat="1" applyFont="1" applyFill="1" applyBorder="1" applyAlignment="1" applyProtection="1">
      <alignment horizontal="left"/>
    </xf>
    <xf numFmtId="37" fontId="11" fillId="12" borderId="106" xfId="0" applyNumberFormat="1" applyFont="1" applyFill="1" applyBorder="1" applyAlignment="1" applyProtection="1">
      <alignment horizontal="center"/>
    </xf>
    <xf numFmtId="37" fontId="11" fillId="0" borderId="53" xfId="0" applyNumberFormat="1" applyFont="1" applyFill="1" applyBorder="1" applyAlignment="1" applyProtection="1">
      <alignment horizontal="right"/>
    </xf>
    <xf numFmtId="37" fontId="11" fillId="0" borderId="3" xfId="0" applyNumberFormat="1" applyFont="1" applyFill="1" applyBorder="1" applyAlignment="1" applyProtection="1">
      <alignment horizontal="right"/>
    </xf>
    <xf numFmtId="37" fontId="12" fillId="10" borderId="95" xfId="10" applyNumberFormat="1" applyFont="1" applyFill="1" applyBorder="1" applyAlignment="1" applyProtection="1">
      <alignment horizontal="center" vertical="center"/>
    </xf>
    <xf numFmtId="37" fontId="9" fillId="12" borderId="42" xfId="12" applyNumberFormat="1" applyFill="1" applyBorder="1" applyProtection="1"/>
    <xf numFmtId="37" fontId="12" fillId="0" borderId="480" xfId="0" applyNumberFormat="1" applyFont="1" applyFill="1" applyBorder="1" applyAlignment="1" applyProtection="1">
      <alignment horizontal="right"/>
    </xf>
    <xf numFmtId="37" fontId="12" fillId="0" borderId="922" xfId="0" applyNumberFormat="1" applyFont="1" applyFill="1" applyBorder="1" applyAlignment="1" applyProtection="1">
      <alignment horizontal="right"/>
    </xf>
    <xf numFmtId="37" fontId="12" fillId="0" borderId="482" xfId="0" applyNumberFormat="1" applyFont="1" applyFill="1" applyBorder="1" applyAlignment="1" applyProtection="1">
      <alignment horizontal="right"/>
    </xf>
    <xf numFmtId="37" fontId="12" fillId="0" borderId="471" xfId="0" applyNumberFormat="1" applyFont="1" applyFill="1" applyBorder="1" applyAlignment="1" applyProtection="1">
      <alignment horizontal="right"/>
    </xf>
    <xf numFmtId="37" fontId="12" fillId="0" borderId="923" xfId="0" applyNumberFormat="1" applyFont="1" applyFill="1" applyBorder="1" applyAlignment="1" applyProtection="1">
      <alignment horizontal="right"/>
    </xf>
    <xf numFmtId="37" fontId="11" fillId="12" borderId="3" xfId="0" applyNumberFormat="1" applyFont="1" applyFill="1" applyBorder="1" applyAlignment="1" applyProtection="1">
      <alignment horizontal="right"/>
    </xf>
    <xf numFmtId="37" fontId="11" fillId="10" borderId="23" xfId="0" applyNumberFormat="1" applyFont="1" applyFill="1" applyBorder="1" applyAlignment="1" applyProtection="1">
      <alignment horizontal="left"/>
    </xf>
    <xf numFmtId="37" fontId="11" fillId="10" borderId="45" xfId="0" applyNumberFormat="1" applyFont="1" applyFill="1" applyBorder="1" applyAlignment="1" applyProtection="1">
      <alignment horizontal="center"/>
    </xf>
    <xf numFmtId="37" fontId="11" fillId="10" borderId="24" xfId="0" applyNumberFormat="1" applyFont="1" applyFill="1" applyBorder="1" applyAlignment="1" applyProtection="1">
      <alignment horizontal="center"/>
    </xf>
    <xf numFmtId="37" fontId="12" fillId="12" borderId="385" xfId="0" applyNumberFormat="1" applyFont="1" applyFill="1" applyBorder="1" applyAlignment="1" applyProtection="1">
      <alignment horizontal="left"/>
    </xf>
    <xf numFmtId="37" fontId="12" fillId="12" borderId="472" xfId="0" applyNumberFormat="1" applyFont="1" applyFill="1" applyBorder="1" applyAlignment="1" applyProtection="1">
      <alignment horizontal="center"/>
    </xf>
    <xf numFmtId="37" fontId="12" fillId="0" borderId="473" xfId="0" applyNumberFormat="1" applyFont="1" applyFill="1" applyBorder="1" applyAlignment="1" applyProtection="1">
      <alignment horizontal="right"/>
    </xf>
    <xf numFmtId="37" fontId="12" fillId="0" borderId="511" xfId="0" applyNumberFormat="1" applyFont="1" applyFill="1" applyBorder="1" applyAlignment="1" applyProtection="1">
      <alignment horizontal="right"/>
    </xf>
    <xf numFmtId="37" fontId="12" fillId="12" borderId="52" xfId="0" applyNumberFormat="1" applyFont="1" applyFill="1" applyBorder="1" applyProtection="1"/>
    <xf numFmtId="37" fontId="11" fillId="12" borderId="14" xfId="0" applyNumberFormat="1" applyFont="1" applyFill="1" applyBorder="1" applyAlignment="1" applyProtection="1">
      <alignment horizontal="left"/>
    </xf>
    <xf numFmtId="37" fontId="11" fillId="12" borderId="17" xfId="0" applyNumberFormat="1" applyFont="1" applyFill="1" applyBorder="1" applyAlignment="1" applyProtection="1">
      <alignment horizontal="center"/>
    </xf>
    <xf numFmtId="37" fontId="11" fillId="12" borderId="58" xfId="0" applyNumberFormat="1" applyFont="1" applyFill="1" applyBorder="1" applyAlignment="1" applyProtection="1">
      <alignment horizontal="right"/>
    </xf>
    <xf numFmtId="37" fontId="11" fillId="12" borderId="8" xfId="0" applyNumberFormat="1" applyFont="1" applyFill="1" applyBorder="1" applyAlignment="1" applyProtection="1">
      <alignment horizontal="right"/>
    </xf>
    <xf numFmtId="37" fontId="12" fillId="0" borderId="10" xfId="0" applyNumberFormat="1" applyFont="1" applyFill="1" applyBorder="1" applyProtection="1"/>
    <xf numFmtId="0" fontId="12" fillId="23" borderId="0" xfId="10" applyFont="1" applyFill="1" applyBorder="1" applyAlignment="1" applyProtection="1">
      <alignment vertical="center"/>
    </xf>
    <xf numFmtId="171" fontId="12" fillId="23" borderId="0" xfId="7" applyNumberFormat="1" applyFont="1" applyFill="1" applyBorder="1" applyAlignment="1" applyProtection="1">
      <alignment horizontal="center" vertical="center"/>
    </xf>
    <xf numFmtId="37" fontId="12" fillId="4" borderId="0" xfId="0" applyNumberFormat="1" applyFont="1" applyFill="1" applyBorder="1" applyAlignment="1" applyProtection="1">
      <alignment horizontal="right"/>
    </xf>
    <xf numFmtId="37" fontId="12" fillId="4" borderId="0" xfId="0" applyNumberFormat="1" applyFont="1" applyFill="1" applyAlignment="1" applyProtection="1">
      <alignment horizontal="right"/>
    </xf>
    <xf numFmtId="37" fontId="12" fillId="0" borderId="560" xfId="0" applyNumberFormat="1" applyFont="1" applyFill="1" applyBorder="1" applyAlignment="1" applyProtection="1">
      <alignment horizontal="left"/>
    </xf>
    <xf numFmtId="37" fontId="12" fillId="0" borderId="561" xfId="0" applyNumberFormat="1" applyFont="1" applyFill="1" applyBorder="1" applyProtection="1"/>
    <xf numFmtId="37" fontId="12" fillId="0" borderId="561" xfId="0" applyNumberFormat="1" applyFont="1" applyFill="1" applyBorder="1" applyAlignment="1" applyProtection="1">
      <alignment horizontal="right"/>
    </xf>
    <xf numFmtId="37" fontId="12" fillId="0" borderId="685" xfId="0" applyNumberFormat="1" applyFont="1" applyFill="1" applyBorder="1" applyAlignment="1" applyProtection="1">
      <alignment horizontal="right"/>
    </xf>
    <xf numFmtId="37" fontId="12" fillId="0" borderId="565" xfId="0" applyNumberFormat="1" applyFont="1" applyFill="1" applyBorder="1" applyAlignment="1" applyProtection="1">
      <alignment horizontal="left"/>
    </xf>
    <xf numFmtId="37" fontId="12" fillId="0" borderId="566" xfId="0" applyNumberFormat="1" applyFont="1" applyFill="1" applyBorder="1" applyProtection="1"/>
    <xf numFmtId="37" fontId="12" fillId="0" borderId="566" xfId="0" applyNumberFormat="1" applyFont="1" applyFill="1" applyBorder="1" applyAlignment="1" applyProtection="1">
      <alignment horizontal="right"/>
    </xf>
    <xf numFmtId="37" fontId="12" fillId="0" borderId="690" xfId="0" applyNumberFormat="1" applyFont="1" applyFill="1" applyBorder="1" applyAlignment="1" applyProtection="1">
      <alignment horizontal="right"/>
    </xf>
    <xf numFmtId="37" fontId="12" fillId="4" borderId="710" xfId="0" applyNumberFormat="1" applyFont="1" applyFill="1" applyBorder="1" applyAlignment="1" applyProtection="1">
      <alignment horizontal="left"/>
    </xf>
    <xf numFmtId="172" fontId="12" fillId="0" borderId="708" xfId="0" applyNumberFormat="1" applyFont="1" applyFill="1" applyBorder="1" applyAlignment="1" applyProtection="1">
      <alignment horizontal="right"/>
    </xf>
    <xf numFmtId="37" fontId="11" fillId="0" borderId="560" xfId="0" applyNumberFormat="1" applyFont="1" applyFill="1" applyBorder="1" applyAlignment="1" applyProtection="1">
      <alignment horizontal="left"/>
    </xf>
    <xf numFmtId="37" fontId="11" fillId="0" borderId="561" xfId="0" applyNumberFormat="1" applyFont="1" applyFill="1" applyBorder="1" applyAlignment="1" applyProtection="1">
      <alignment horizontal="center"/>
    </xf>
    <xf numFmtId="37" fontId="11" fillId="0" borderId="561" xfId="0" applyNumberFormat="1" applyFont="1" applyFill="1" applyBorder="1" applyAlignment="1" applyProtection="1">
      <alignment horizontal="right"/>
    </xf>
    <xf numFmtId="37" fontId="11" fillId="0" borderId="685" xfId="0" applyNumberFormat="1" applyFont="1" applyFill="1" applyBorder="1" applyAlignment="1" applyProtection="1">
      <alignment horizontal="right"/>
    </xf>
    <xf numFmtId="37" fontId="12" fillId="0" borderId="563" xfId="0" applyNumberFormat="1" applyFont="1" applyFill="1" applyBorder="1" applyAlignment="1" applyProtection="1">
      <alignment horizontal="left"/>
    </xf>
    <xf numFmtId="37" fontId="12" fillId="0" borderId="20" xfId="0" applyNumberFormat="1" applyFont="1" applyFill="1" applyBorder="1" applyAlignment="1" applyProtection="1">
      <alignment horizontal="right"/>
    </xf>
    <xf numFmtId="37" fontId="12" fillId="0" borderId="734" xfId="0" applyNumberFormat="1" applyFont="1" applyFill="1" applyBorder="1" applyAlignment="1" applyProtection="1">
      <alignment horizontal="right"/>
    </xf>
    <xf numFmtId="37" fontId="12" fillId="0" borderId="562" xfId="0" applyNumberFormat="1" applyFont="1" applyFill="1" applyBorder="1" applyAlignment="1" applyProtection="1">
      <alignment horizontal="left"/>
    </xf>
    <xf numFmtId="37" fontId="12" fillId="0" borderId="687" xfId="0" applyNumberFormat="1" applyFont="1" applyFill="1" applyBorder="1" applyAlignment="1" applyProtection="1">
      <alignment horizontal="right"/>
    </xf>
    <xf numFmtId="37" fontId="12" fillId="0" borderId="566" xfId="0" applyNumberFormat="1" applyFont="1" applyFill="1" applyBorder="1" applyAlignment="1" applyProtection="1">
      <alignment horizontal="center"/>
    </xf>
    <xf numFmtId="37" fontId="12" fillId="4" borderId="0" xfId="0" applyNumberFormat="1" applyFont="1" applyFill="1" applyAlignment="1" applyProtection="1">
      <alignment horizontal="left"/>
    </xf>
    <xf numFmtId="37" fontId="12" fillId="0" borderId="722" xfId="0" applyNumberFormat="1" applyFont="1" applyFill="1" applyBorder="1" applyAlignment="1" applyProtection="1">
      <alignment horizontal="left"/>
    </xf>
    <xf numFmtId="37" fontId="12" fillId="0" borderId="706" xfId="0" applyNumberFormat="1" applyFont="1" applyFill="1" applyBorder="1" applyProtection="1"/>
    <xf numFmtId="37" fontId="12" fillId="0" borderId="715" xfId="0" applyNumberFormat="1" applyFont="1" applyFill="1" applyBorder="1" applyProtection="1"/>
    <xf numFmtId="37" fontId="12" fillId="0" borderId="686" xfId="0" applyNumberFormat="1" applyFont="1" applyFill="1" applyBorder="1" applyAlignment="1" applyProtection="1">
      <alignment horizontal="left"/>
    </xf>
    <xf numFmtId="37" fontId="12" fillId="0" borderId="694" xfId="0" applyNumberFormat="1" applyFont="1" applyFill="1" applyBorder="1" applyProtection="1"/>
    <xf numFmtId="37" fontId="12" fillId="0" borderId="688" xfId="0" applyNumberFormat="1" applyFont="1" applyFill="1" applyBorder="1" applyAlignment="1" applyProtection="1">
      <alignment horizontal="left"/>
    </xf>
    <xf numFmtId="37" fontId="12" fillId="0" borderId="689" xfId="0" applyNumberFormat="1" applyFont="1" applyFill="1" applyBorder="1" applyProtection="1"/>
    <xf numFmtId="37" fontId="12" fillId="0" borderId="700" xfId="0" applyNumberFormat="1" applyFont="1" applyFill="1" applyBorder="1" applyProtection="1"/>
    <xf numFmtId="37" fontId="12" fillId="4" borderId="560" xfId="0" applyNumberFormat="1" applyFont="1" applyFill="1" applyBorder="1" applyAlignment="1" applyProtection="1">
      <alignment horizontal="left"/>
    </xf>
    <xf numFmtId="37" fontId="12" fillId="4" borderId="685" xfId="0" applyNumberFormat="1" applyFont="1" applyFill="1" applyBorder="1" applyProtection="1"/>
    <xf numFmtId="37" fontId="12" fillId="12" borderId="686" xfId="0" applyNumberFormat="1" applyFont="1" applyFill="1" applyBorder="1" applyAlignment="1" applyProtection="1">
      <alignment horizontal="left"/>
    </xf>
    <xf numFmtId="37" fontId="12" fillId="12" borderId="694" xfId="0" applyNumberFormat="1" applyFont="1" applyFill="1" applyBorder="1" applyProtection="1"/>
    <xf numFmtId="37" fontId="12" fillId="12" borderId="688" xfId="0" applyNumberFormat="1" applyFont="1" applyFill="1" applyBorder="1" applyAlignment="1" applyProtection="1">
      <alignment horizontal="left"/>
    </xf>
    <xf numFmtId="37" fontId="12" fillId="12" borderId="689" xfId="0" applyNumberFormat="1" applyFont="1" applyFill="1" applyBorder="1" applyProtection="1"/>
    <xf numFmtId="37" fontId="12" fillId="12" borderId="700" xfId="0" applyNumberFormat="1" applyFont="1" applyFill="1" applyBorder="1" applyProtection="1"/>
    <xf numFmtId="37" fontId="12" fillId="12" borderId="564" xfId="0" applyNumberFormat="1" applyFont="1" applyFill="1" applyBorder="1" applyAlignment="1" applyProtection="1">
      <alignment horizontal="left"/>
    </xf>
    <xf numFmtId="37" fontId="12" fillId="12" borderId="723" xfId="0" applyNumberFormat="1" applyFont="1" applyFill="1" applyBorder="1" applyAlignment="1" applyProtection="1">
      <alignment horizontal="center"/>
    </xf>
    <xf numFmtId="37" fontId="12" fillId="12" borderId="703" xfId="0" applyNumberFormat="1" applyFont="1" applyFill="1" applyBorder="1" applyAlignment="1" applyProtection="1">
      <alignment horizontal="left"/>
    </xf>
    <xf numFmtId="37" fontId="12" fillId="12" borderId="701" xfId="0" applyNumberFormat="1" applyFont="1" applyFill="1" applyBorder="1" applyAlignment="1" applyProtection="1">
      <alignment horizontal="center"/>
    </xf>
    <xf numFmtId="37" fontId="11" fillId="12" borderId="713" xfId="0" applyNumberFormat="1" applyFont="1" applyFill="1" applyBorder="1" applyAlignment="1" applyProtection="1">
      <alignment horizontal="left"/>
    </xf>
    <xf numFmtId="37" fontId="11" fillId="12" borderId="709" xfId="0" applyNumberFormat="1" applyFont="1" applyFill="1" applyBorder="1" applyAlignment="1" applyProtection="1">
      <alignment horizontal="center"/>
    </xf>
    <xf numFmtId="37" fontId="21" fillId="12" borderId="0" xfId="0" applyNumberFormat="1" applyFont="1" applyFill="1" applyBorder="1" applyProtection="1"/>
    <xf numFmtId="37" fontId="14" fillId="12" borderId="0" xfId="12" applyNumberFormat="1" applyFont="1" applyFill="1" applyBorder="1" applyProtection="1"/>
    <xf numFmtId="37" fontId="12" fillId="12" borderId="0" xfId="6" applyNumberFormat="1" applyFont="1" applyFill="1" applyAlignment="1" applyProtection="1">
      <alignment vertical="center"/>
    </xf>
    <xf numFmtId="37" fontId="11" fillId="10" borderId="0" xfId="10" applyNumberFormat="1" applyFont="1" applyFill="1" applyBorder="1" applyAlignment="1" applyProtection="1">
      <alignment horizontal="center" vertical="center"/>
    </xf>
    <xf numFmtId="37" fontId="12" fillId="12" borderId="0" xfId="6" applyNumberFormat="1" applyFont="1" applyFill="1" applyBorder="1" applyAlignment="1" applyProtection="1">
      <alignment vertical="center"/>
    </xf>
    <xf numFmtId="1" fontId="18" fillId="17" borderId="17" xfId="10" applyNumberFormat="1" applyFont="1" applyFill="1" applyBorder="1" applyAlignment="1" applyProtection="1">
      <alignment horizontal="center" vertical="center"/>
    </xf>
    <xf numFmtId="1" fontId="18" fillId="17" borderId="17" xfId="10" applyNumberFormat="1" applyFont="1" applyFill="1" applyBorder="1" applyAlignment="1" applyProtection="1">
      <alignment horizontal="right" vertical="center"/>
    </xf>
    <xf numFmtId="37" fontId="38" fillId="12" borderId="0" xfId="0" applyNumberFormat="1" applyFont="1" applyFill="1" applyBorder="1" applyAlignment="1" applyProtection="1">
      <alignment horizontal="right"/>
    </xf>
    <xf numFmtId="0" fontId="11" fillId="10" borderId="23" xfId="10" applyFont="1" applyFill="1" applyBorder="1" applyAlignment="1" applyProtection="1">
      <alignment vertical="center"/>
    </xf>
    <xf numFmtId="1" fontId="11" fillId="10" borderId="24" xfId="10" applyNumberFormat="1" applyFont="1" applyFill="1" applyBorder="1" applyAlignment="1" applyProtection="1">
      <alignment horizontal="center" vertical="center"/>
    </xf>
    <xf numFmtId="1" fontId="11" fillId="10" borderId="45" xfId="10" applyNumberFormat="1" applyFont="1" applyFill="1" applyBorder="1" applyAlignment="1" applyProtection="1">
      <alignment horizontal="center" vertical="center"/>
    </xf>
    <xf numFmtId="37" fontId="12" fillId="12" borderId="576" xfId="0" applyNumberFormat="1" applyFont="1" applyFill="1" applyBorder="1" applyAlignment="1" applyProtection="1">
      <alignment horizontal="right"/>
    </xf>
    <xf numFmtId="37" fontId="12" fillId="12" borderId="577" xfId="0" applyNumberFormat="1" applyFont="1" applyFill="1" applyBorder="1" applyAlignment="1" applyProtection="1">
      <alignment horizontal="right"/>
    </xf>
    <xf numFmtId="0" fontId="12" fillId="12" borderId="0" xfId="0" applyFont="1" applyFill="1" applyProtection="1"/>
    <xf numFmtId="37" fontId="12" fillId="12" borderId="581" xfId="0" applyNumberFormat="1" applyFont="1" applyFill="1" applyBorder="1" applyAlignment="1" applyProtection="1">
      <alignment horizontal="right"/>
    </xf>
    <xf numFmtId="37" fontId="11" fillId="12" borderId="35" xfId="0" applyNumberFormat="1" applyFont="1" applyFill="1" applyBorder="1" applyAlignment="1" applyProtection="1">
      <alignment horizontal="right"/>
    </xf>
    <xf numFmtId="37" fontId="12" fillId="12" borderId="10" xfId="0" applyNumberFormat="1" applyFont="1" applyFill="1" applyBorder="1" applyAlignment="1" applyProtection="1">
      <alignment horizontal="right"/>
    </xf>
    <xf numFmtId="37" fontId="11" fillId="12" borderId="5" xfId="0" applyNumberFormat="1" applyFont="1" applyFill="1" applyBorder="1" applyAlignment="1" applyProtection="1">
      <alignment horizontal="left"/>
    </xf>
    <xf numFmtId="1" fontId="11" fillId="10" borderId="23" xfId="10" applyNumberFormat="1" applyFont="1" applyFill="1" applyBorder="1" applyAlignment="1" applyProtection="1">
      <alignment horizontal="center" vertical="center"/>
    </xf>
    <xf numFmtId="37" fontId="12" fillId="12" borderId="889" xfId="0" applyNumberFormat="1" applyFont="1" applyFill="1" applyBorder="1" applyAlignment="1" applyProtection="1">
      <alignment horizontal="right"/>
    </xf>
    <xf numFmtId="37" fontId="12" fillId="12" borderId="855" xfId="0" applyNumberFormat="1" applyFont="1" applyFill="1" applyBorder="1" applyAlignment="1" applyProtection="1">
      <alignment horizontal="right"/>
    </xf>
    <xf numFmtId="1" fontId="12" fillId="12" borderId="855" xfId="0" applyNumberFormat="1" applyFont="1" applyFill="1" applyBorder="1" applyAlignment="1" applyProtection="1">
      <alignment horizontal="right"/>
    </xf>
    <xf numFmtId="0" fontId="12" fillId="12" borderId="855" xfId="0" applyFont="1" applyFill="1" applyBorder="1" applyAlignment="1" applyProtection="1">
      <alignment horizontal="right"/>
    </xf>
    <xf numFmtId="37" fontId="12" fillId="12" borderId="861" xfId="0" applyNumberFormat="1" applyFont="1" applyFill="1" applyBorder="1" applyAlignment="1" applyProtection="1">
      <alignment horizontal="right"/>
    </xf>
    <xf numFmtId="37" fontId="12" fillId="12" borderId="14" xfId="0" applyNumberFormat="1" applyFont="1" applyFill="1" applyBorder="1" applyProtection="1"/>
    <xf numFmtId="37" fontId="39" fillId="12" borderId="0" xfId="0" applyNumberFormat="1" applyFont="1" applyFill="1" applyBorder="1" applyProtection="1"/>
    <xf numFmtId="37" fontId="39" fillId="12" borderId="0" xfId="0" applyNumberFormat="1" applyFont="1" applyFill="1" applyBorder="1" applyAlignment="1" applyProtection="1">
      <alignment horizontal="center"/>
    </xf>
    <xf numFmtId="37" fontId="40" fillId="12" borderId="0" xfId="0" applyNumberFormat="1" applyFont="1" applyFill="1" applyBorder="1" applyAlignment="1" applyProtection="1">
      <alignment horizontal="center"/>
    </xf>
    <xf numFmtId="1" fontId="11" fillId="17" borderId="10" xfId="10" applyNumberFormat="1" applyFont="1" applyFill="1" applyBorder="1" applyAlignment="1" applyProtection="1">
      <alignment horizontal="center" vertical="center"/>
    </xf>
    <xf numFmtId="1" fontId="11" fillId="0" borderId="0" xfId="10" applyNumberFormat="1" applyFont="1" applyFill="1" applyBorder="1" applyAlignment="1" applyProtection="1">
      <alignment vertical="center"/>
    </xf>
    <xf numFmtId="1" fontId="11" fillId="10" borderId="38" xfId="10" applyNumberFormat="1" applyFont="1" applyFill="1" applyBorder="1" applyAlignment="1" applyProtection="1">
      <alignment horizontal="center" vertical="center"/>
    </xf>
    <xf numFmtId="37" fontId="12" fillId="12" borderId="576" xfId="0" applyNumberFormat="1" applyFont="1" applyFill="1" applyBorder="1" applyAlignment="1" applyProtection="1"/>
    <xf numFmtId="37" fontId="12" fillId="12" borderId="0" xfId="0" applyNumberFormat="1" applyFont="1" applyFill="1" applyBorder="1" applyAlignment="1" applyProtection="1"/>
    <xf numFmtId="37" fontId="12" fillId="0" borderId="576" xfId="0" applyNumberFormat="1" applyFont="1" applyFill="1" applyBorder="1" applyAlignment="1" applyProtection="1"/>
    <xf numFmtId="37" fontId="12" fillId="12" borderId="577" xfId="0" applyNumberFormat="1" applyFont="1" applyFill="1" applyBorder="1" applyAlignment="1" applyProtection="1"/>
    <xf numFmtId="37" fontId="12" fillId="0" borderId="577" xfId="0" applyNumberFormat="1" applyFont="1" applyFill="1" applyBorder="1" applyAlignment="1" applyProtection="1"/>
    <xf numFmtId="17" fontId="12" fillId="0" borderId="0" xfId="0" applyNumberFormat="1" applyFont="1" applyFill="1" applyBorder="1" applyProtection="1"/>
    <xf numFmtId="37" fontId="11" fillId="12" borderId="8" xfId="0" applyNumberFormat="1" applyFont="1" applyFill="1" applyBorder="1" applyAlignment="1" applyProtection="1"/>
    <xf numFmtId="37" fontId="12" fillId="12" borderId="35" xfId="0" applyNumberFormat="1" applyFont="1" applyFill="1" applyBorder="1" applyAlignment="1" applyProtection="1"/>
    <xf numFmtId="37" fontId="12" fillId="12" borderId="58" xfId="0" applyNumberFormat="1" applyFont="1" applyFill="1" applyBorder="1" applyAlignment="1" applyProtection="1"/>
    <xf numFmtId="37" fontId="12" fillId="12" borderId="8" xfId="0" applyNumberFormat="1" applyFont="1" applyFill="1" applyBorder="1" applyAlignment="1" applyProtection="1"/>
    <xf numFmtId="37" fontId="12" fillId="12" borderId="10" xfId="0" applyNumberFormat="1" applyFont="1" applyFill="1" applyBorder="1" applyAlignment="1" applyProtection="1"/>
    <xf numFmtId="0" fontId="12" fillId="12" borderId="0" xfId="0" applyFont="1" applyFill="1" applyAlignment="1" applyProtection="1"/>
    <xf numFmtId="37" fontId="12" fillId="0" borderId="33" xfId="0" applyNumberFormat="1" applyFont="1" applyFill="1" applyBorder="1" applyAlignment="1" applyProtection="1">
      <alignment horizontal="center"/>
    </xf>
    <xf numFmtId="37" fontId="12" fillId="0" borderId="60" xfId="0" applyNumberFormat="1" applyFont="1" applyFill="1" applyBorder="1" applyAlignment="1" applyProtection="1">
      <alignment horizontal="center"/>
    </xf>
    <xf numFmtId="37" fontId="11" fillId="0" borderId="60" xfId="0" applyNumberFormat="1" applyFont="1" applyFill="1" applyBorder="1" applyAlignment="1" applyProtection="1">
      <alignment horizontal="center"/>
    </xf>
    <xf numFmtId="37" fontId="11" fillId="0" borderId="57" xfId="0" applyNumberFormat="1" applyFont="1" applyFill="1" applyBorder="1" applyAlignment="1" applyProtection="1">
      <alignment horizontal="center"/>
    </xf>
    <xf numFmtId="37" fontId="11" fillId="12" borderId="30" xfId="0" applyNumberFormat="1" applyFont="1" applyFill="1" applyBorder="1" applyAlignment="1" applyProtection="1">
      <alignment horizontal="center"/>
    </xf>
    <xf numFmtId="0" fontId="12" fillId="12" borderId="0" xfId="0" applyFont="1" applyFill="1" applyBorder="1" applyProtection="1"/>
    <xf numFmtId="37" fontId="12" fillId="0" borderId="576" xfId="0" applyNumberFormat="1" applyFont="1" applyFill="1" applyBorder="1" applyAlignment="1" applyProtection="1">
      <alignment horizontal="right"/>
    </xf>
    <xf numFmtId="37" fontId="12" fillId="0" borderId="577" xfId="0" applyNumberFormat="1" applyFont="1" applyFill="1" applyBorder="1" applyAlignment="1" applyProtection="1">
      <alignment horizontal="right"/>
    </xf>
    <xf numFmtId="37" fontId="12" fillId="12" borderId="893" xfId="0" applyNumberFormat="1" applyFont="1" applyFill="1" applyBorder="1" applyAlignment="1" applyProtection="1">
      <alignment horizontal="right"/>
    </xf>
    <xf numFmtId="37" fontId="12" fillId="12" borderId="582" xfId="0" applyNumberFormat="1" applyFont="1" applyFill="1" applyBorder="1" applyAlignment="1" applyProtection="1">
      <alignment horizontal="right"/>
    </xf>
    <xf numFmtId="1" fontId="11" fillId="10" borderId="14" xfId="10" applyNumberFormat="1" applyFont="1" applyFill="1" applyBorder="1" applyAlignment="1" applyProtection="1">
      <alignment horizontal="center" vertical="center"/>
    </xf>
    <xf numFmtId="3" fontId="12" fillId="12" borderId="576" xfId="0" applyNumberFormat="1" applyFont="1" applyFill="1" applyBorder="1" applyAlignment="1" applyProtection="1">
      <alignment horizontal="right"/>
    </xf>
    <xf numFmtId="0" fontId="12" fillId="12" borderId="940" xfId="0" applyFont="1" applyFill="1" applyBorder="1" applyAlignment="1" applyProtection="1">
      <alignment horizontal="right"/>
    </xf>
    <xf numFmtId="3" fontId="12" fillId="12" borderId="893" xfId="0" applyNumberFormat="1" applyFont="1" applyFill="1" applyBorder="1" applyAlignment="1" applyProtection="1">
      <alignment horizontal="right"/>
    </xf>
    <xf numFmtId="3" fontId="12" fillId="12" borderId="581" xfId="0" applyNumberFormat="1" applyFont="1" applyFill="1" applyBorder="1" applyAlignment="1" applyProtection="1">
      <alignment horizontal="right"/>
    </xf>
    <xf numFmtId="37" fontId="11" fillId="12" borderId="0" xfId="0" applyNumberFormat="1" applyFont="1" applyFill="1" applyBorder="1" applyAlignment="1" applyProtection="1"/>
    <xf numFmtId="37" fontId="11" fillId="0" borderId="8" xfId="0" applyNumberFormat="1" applyFont="1" applyFill="1" applyBorder="1" applyAlignment="1" applyProtection="1">
      <alignment horizontal="center"/>
    </xf>
    <xf numFmtId="37" fontId="12" fillId="0" borderId="893" xfId="0" applyNumberFormat="1" applyFont="1" applyFill="1" applyBorder="1" applyAlignment="1" applyProtection="1">
      <alignment horizontal="right"/>
    </xf>
    <xf numFmtId="37" fontId="11" fillId="0" borderId="58" xfId="0" applyNumberFormat="1" applyFont="1" applyFill="1" applyBorder="1" applyAlignment="1" applyProtection="1">
      <alignment horizontal="center"/>
    </xf>
    <xf numFmtId="37" fontId="11" fillId="12" borderId="10" xfId="0" applyNumberFormat="1" applyFont="1" applyFill="1" applyBorder="1" applyAlignment="1" applyProtection="1">
      <alignment horizontal="right"/>
    </xf>
    <xf numFmtId="37" fontId="12" fillId="12" borderId="722" xfId="0" applyNumberFormat="1" applyFont="1" applyFill="1" applyBorder="1" applyProtection="1"/>
    <xf numFmtId="37" fontId="12" fillId="0" borderId="686" xfId="0" applyNumberFormat="1" applyFont="1" applyFill="1" applyBorder="1" applyProtection="1"/>
    <xf numFmtId="37" fontId="12" fillId="12" borderId="694" xfId="0" applyNumberFormat="1" applyFont="1" applyFill="1" applyBorder="1" applyAlignment="1" applyProtection="1">
      <alignment horizontal="center"/>
    </xf>
    <xf numFmtId="37" fontId="12" fillId="0" borderId="694" xfId="0" applyNumberFormat="1" applyFont="1" applyFill="1" applyBorder="1" applyAlignment="1" applyProtection="1">
      <alignment horizontal="center"/>
    </xf>
    <xf numFmtId="37" fontId="12" fillId="12" borderId="688" xfId="0" applyNumberFormat="1" applyFont="1" applyFill="1" applyBorder="1" applyProtection="1"/>
    <xf numFmtId="37" fontId="12" fillId="0" borderId="689" xfId="0" applyNumberFormat="1" applyFont="1" applyFill="1" applyBorder="1" applyAlignment="1" applyProtection="1">
      <alignment horizontal="center"/>
    </xf>
    <xf numFmtId="37" fontId="12" fillId="0" borderId="700" xfId="0" applyNumberFormat="1" applyFont="1" applyFill="1" applyBorder="1" applyAlignment="1" applyProtection="1">
      <alignment horizontal="center"/>
    </xf>
    <xf numFmtId="37" fontId="11" fillId="10" borderId="0" xfId="10" applyNumberFormat="1" applyFont="1" applyFill="1" applyBorder="1" applyAlignment="1" applyProtection="1">
      <alignment horizontal="right" vertical="center"/>
    </xf>
    <xf numFmtId="37" fontId="11" fillId="10" borderId="45" xfId="0" applyNumberFormat="1" applyFont="1" applyFill="1" applyBorder="1" applyAlignment="1" applyProtection="1">
      <alignment horizontal="right"/>
    </xf>
    <xf numFmtId="37" fontId="11" fillId="10" borderId="24" xfId="0" applyNumberFormat="1" applyFont="1" applyFill="1" applyBorder="1" applyAlignment="1" applyProtection="1">
      <alignment horizontal="right"/>
    </xf>
    <xf numFmtId="37" fontId="12" fillId="12" borderId="44" xfId="0" applyNumberFormat="1" applyFont="1" applyFill="1" applyBorder="1" applyAlignment="1" applyProtection="1">
      <alignment horizontal="right"/>
    </xf>
    <xf numFmtId="37" fontId="11" fillId="12" borderId="27" xfId="0" applyNumberFormat="1" applyFont="1" applyFill="1" applyBorder="1" applyAlignment="1" applyProtection="1">
      <alignment horizontal="right"/>
    </xf>
    <xf numFmtId="37" fontId="12" fillId="12" borderId="43" xfId="0" applyNumberFormat="1" applyFont="1" applyFill="1" applyBorder="1" applyProtection="1"/>
    <xf numFmtId="37" fontId="11" fillId="0" borderId="27" xfId="0" applyNumberFormat="1" applyFont="1" applyFill="1" applyBorder="1" applyAlignment="1" applyProtection="1">
      <alignment horizontal="right"/>
    </xf>
    <xf numFmtId="37" fontId="51" fillId="20" borderId="26" xfId="0" applyNumberFormat="1" applyFont="1" applyFill="1" applyBorder="1" applyAlignment="1" applyProtection="1">
      <alignment horizontal="right"/>
    </xf>
    <xf numFmtId="37" fontId="51" fillId="20" borderId="44" xfId="0" applyNumberFormat="1" applyFont="1" applyFill="1" applyBorder="1" applyAlignment="1" applyProtection="1">
      <alignment horizontal="right"/>
    </xf>
    <xf numFmtId="37" fontId="51" fillId="20" borderId="0" xfId="0" applyNumberFormat="1" applyFont="1" applyFill="1" applyBorder="1" applyAlignment="1" applyProtection="1">
      <alignment horizontal="right"/>
    </xf>
    <xf numFmtId="37" fontId="51" fillId="20" borderId="43" xfId="0" applyNumberFormat="1" applyFont="1" applyFill="1" applyBorder="1" applyAlignment="1" applyProtection="1">
      <alignment horizontal="right"/>
    </xf>
    <xf numFmtId="37" fontId="62" fillId="20" borderId="27" xfId="0" applyNumberFormat="1" applyFont="1" applyFill="1" applyBorder="1" applyAlignment="1" applyProtection="1">
      <alignment horizontal="right"/>
    </xf>
    <xf numFmtId="37" fontId="51" fillId="0" borderId="44" xfId="0" applyNumberFormat="1" applyFont="1" applyFill="1" applyBorder="1" applyAlignment="1" applyProtection="1">
      <alignment horizontal="right"/>
    </xf>
    <xf numFmtId="37" fontId="12" fillId="0" borderId="44" xfId="0" applyNumberFormat="1" applyFont="1" applyFill="1" applyBorder="1" applyAlignment="1" applyProtection="1">
      <alignment horizontal="right"/>
    </xf>
    <xf numFmtId="37" fontId="12" fillId="0" borderId="43" xfId="0" applyNumberFormat="1" applyFont="1" applyFill="1" applyBorder="1" applyAlignment="1" applyProtection="1">
      <alignment horizontal="right"/>
    </xf>
    <xf numFmtId="37" fontId="41" fillId="10" borderId="28" xfId="0" applyNumberFormat="1" applyFont="1" applyFill="1" applyBorder="1" applyAlignment="1" applyProtection="1">
      <alignment horizontal="left"/>
    </xf>
    <xf numFmtId="37" fontId="41" fillId="10" borderId="97" xfId="0" applyNumberFormat="1" applyFont="1" applyFill="1" applyBorder="1" applyAlignment="1" applyProtection="1">
      <alignment horizontal="right"/>
    </xf>
    <xf numFmtId="37" fontId="41" fillId="10" borderId="5" xfId="0" applyNumberFormat="1" applyFont="1" applyFill="1" applyBorder="1" applyAlignment="1" applyProtection="1">
      <alignment horizontal="right"/>
    </xf>
    <xf numFmtId="37" fontId="41" fillId="10" borderId="59" xfId="0" applyNumberFormat="1" applyFont="1" applyFill="1" applyBorder="1" applyAlignment="1" applyProtection="1">
      <alignment horizontal="right"/>
    </xf>
    <xf numFmtId="37" fontId="41" fillId="10" borderId="29" xfId="0" applyNumberFormat="1" applyFont="1" applyFill="1" applyBorder="1" applyAlignment="1" applyProtection="1">
      <alignment horizontal="right"/>
    </xf>
    <xf numFmtId="37" fontId="11" fillId="12" borderId="383" xfId="0" applyNumberFormat="1" applyFont="1" applyFill="1" applyBorder="1" applyAlignment="1" applyProtection="1">
      <alignment horizontal="right"/>
    </xf>
    <xf numFmtId="37" fontId="11" fillId="12" borderId="17" xfId="0" applyNumberFormat="1" applyFont="1" applyFill="1" applyBorder="1" applyAlignment="1" applyProtection="1">
      <alignment horizontal="right"/>
    </xf>
    <xf numFmtId="37" fontId="12" fillId="12" borderId="23" xfId="0" applyNumberFormat="1" applyFont="1" applyFill="1" applyBorder="1" applyAlignment="1" applyProtection="1">
      <alignment horizontal="left"/>
    </xf>
    <xf numFmtId="37" fontId="12" fillId="12" borderId="86" xfId="0" applyNumberFormat="1" applyFont="1" applyFill="1" applyBorder="1" applyAlignment="1" applyProtection="1">
      <alignment horizontal="right"/>
    </xf>
    <xf numFmtId="37" fontId="12" fillId="12" borderId="45" xfId="0" applyNumberFormat="1" applyFont="1" applyFill="1" applyBorder="1" applyAlignment="1" applyProtection="1">
      <alignment horizontal="right"/>
    </xf>
    <xf numFmtId="37" fontId="12" fillId="12" borderId="104" xfId="0" applyNumberFormat="1" applyFont="1" applyFill="1" applyBorder="1" applyAlignment="1" applyProtection="1">
      <alignment horizontal="right"/>
    </xf>
    <xf numFmtId="37" fontId="11" fillId="12" borderId="24" xfId="0" applyNumberFormat="1" applyFont="1" applyFill="1" applyBorder="1" applyAlignment="1" applyProtection="1">
      <alignment horizontal="right"/>
    </xf>
    <xf numFmtId="37" fontId="11" fillId="12" borderId="30" xfId="0" applyNumberFormat="1" applyFont="1" applyFill="1" applyBorder="1" applyAlignment="1" applyProtection="1">
      <alignment horizontal="right"/>
    </xf>
    <xf numFmtId="37" fontId="41" fillId="10" borderId="14" xfId="0" applyNumberFormat="1" applyFont="1" applyFill="1" applyBorder="1" applyAlignment="1" applyProtection="1">
      <alignment horizontal="left"/>
    </xf>
    <xf numFmtId="37" fontId="41" fillId="10" borderId="383" xfId="0" applyNumberFormat="1" applyFont="1" applyFill="1" applyBorder="1" applyAlignment="1" applyProtection="1">
      <alignment horizontal="right"/>
    </xf>
    <xf numFmtId="37" fontId="41" fillId="10" borderId="17" xfId="0" applyNumberFormat="1" applyFont="1" applyFill="1" applyBorder="1" applyAlignment="1" applyProtection="1">
      <alignment horizontal="right"/>
    </xf>
    <xf numFmtId="37" fontId="41" fillId="10" borderId="35" xfId="0" applyNumberFormat="1" applyFont="1" applyFill="1" applyBorder="1" applyAlignment="1" applyProtection="1">
      <alignment horizontal="right"/>
    </xf>
    <xf numFmtId="37" fontId="41" fillId="10" borderId="30" xfId="0" applyNumberFormat="1" applyFont="1" applyFill="1" applyBorder="1" applyAlignment="1" applyProtection="1">
      <alignment horizontal="right"/>
    </xf>
    <xf numFmtId="37" fontId="11" fillId="12" borderId="86" xfId="0" applyNumberFormat="1" applyFont="1" applyFill="1" applyBorder="1" applyAlignment="1" applyProtection="1">
      <alignment horizontal="right"/>
    </xf>
    <xf numFmtId="37" fontId="11" fillId="12" borderId="104" xfId="0" applyNumberFormat="1" applyFont="1" applyFill="1" applyBorder="1" applyAlignment="1" applyProtection="1">
      <alignment horizontal="right"/>
    </xf>
    <xf numFmtId="37" fontId="11" fillId="12" borderId="97" xfId="0" applyNumberFormat="1" applyFont="1" applyFill="1" applyBorder="1" applyAlignment="1" applyProtection="1">
      <alignment horizontal="right"/>
    </xf>
    <xf numFmtId="37" fontId="11" fillId="12" borderId="29" xfId="0" applyNumberFormat="1" applyFont="1" applyFill="1" applyBorder="1" applyAlignment="1" applyProtection="1">
      <alignment horizontal="right"/>
    </xf>
    <xf numFmtId="37" fontId="23" fillId="12" borderId="0" xfId="0" applyNumberFormat="1" applyFont="1" applyFill="1" applyProtection="1"/>
    <xf numFmtId="37" fontId="23" fillId="12" borderId="0" xfId="0" applyNumberFormat="1" applyFont="1" applyFill="1" applyAlignment="1" applyProtection="1">
      <alignment horizontal="right"/>
    </xf>
    <xf numFmtId="37" fontId="41" fillId="12" borderId="26" xfId="0" applyNumberFormat="1" applyFont="1" applyFill="1" applyBorder="1" applyAlignment="1" applyProtection="1">
      <alignment horizontal="left"/>
    </xf>
    <xf numFmtId="37" fontId="42" fillId="0" borderId="44" xfId="0" applyNumberFormat="1" applyFont="1" applyFill="1" applyBorder="1" applyAlignment="1" applyProtection="1">
      <alignment horizontal="right"/>
    </xf>
    <xf numFmtId="37" fontId="42" fillId="0" borderId="0" xfId="0" applyNumberFormat="1" applyFont="1" applyFill="1" applyBorder="1" applyAlignment="1" applyProtection="1">
      <alignment horizontal="right"/>
    </xf>
    <xf numFmtId="37" fontId="42" fillId="0" borderId="43" xfId="0" applyNumberFormat="1" applyFont="1" applyFill="1" applyBorder="1" applyAlignment="1" applyProtection="1">
      <alignment horizontal="right"/>
    </xf>
    <xf numFmtId="37" fontId="41" fillId="12" borderId="27" xfId="0" applyNumberFormat="1" applyFont="1" applyFill="1" applyBorder="1" applyAlignment="1" applyProtection="1">
      <alignment horizontal="right"/>
    </xf>
    <xf numFmtId="37" fontId="12" fillId="10" borderId="28" xfId="0" applyNumberFormat="1" applyFont="1" applyFill="1" applyBorder="1" applyAlignment="1" applyProtection="1">
      <alignment horizontal="left"/>
    </xf>
    <xf numFmtId="37" fontId="12" fillId="10" borderId="97" xfId="0" applyNumberFormat="1" applyFont="1" applyFill="1" applyBorder="1" applyAlignment="1" applyProtection="1">
      <alignment horizontal="right"/>
    </xf>
    <xf numFmtId="37" fontId="12" fillId="10" borderId="5" xfId="0" applyNumberFormat="1" applyFont="1" applyFill="1" applyBorder="1" applyAlignment="1" applyProtection="1">
      <alignment horizontal="right"/>
    </xf>
    <xf numFmtId="37" fontId="12" fillId="10" borderId="59" xfId="0" applyNumberFormat="1" applyFont="1" applyFill="1" applyBorder="1" applyAlignment="1" applyProtection="1">
      <alignment horizontal="right"/>
    </xf>
    <xf numFmtId="37" fontId="12" fillId="10" borderId="29" xfId="0" applyNumberFormat="1" applyFont="1" applyFill="1" applyBorder="1" applyAlignment="1" applyProtection="1">
      <alignment horizontal="right"/>
    </xf>
    <xf numFmtId="37" fontId="41" fillId="12" borderId="0" xfId="0" applyNumberFormat="1" applyFont="1" applyFill="1" applyBorder="1" applyAlignment="1" applyProtection="1">
      <alignment horizontal="left"/>
    </xf>
    <xf numFmtId="37" fontId="42" fillId="12" borderId="26" xfId="0" applyNumberFormat="1" applyFont="1" applyFill="1" applyBorder="1" applyAlignment="1" applyProtection="1">
      <alignment horizontal="left"/>
    </xf>
    <xf numFmtId="37" fontId="11" fillId="10" borderId="29" xfId="0" applyNumberFormat="1" applyFont="1" applyFill="1" applyBorder="1" applyAlignment="1" applyProtection="1">
      <alignment horizontal="right"/>
    </xf>
    <xf numFmtId="37" fontId="42" fillId="12" borderId="44" xfId="0" applyNumberFormat="1" applyFont="1" applyFill="1" applyBorder="1" applyAlignment="1" applyProtection="1">
      <alignment horizontal="right"/>
    </xf>
    <xf numFmtId="37" fontId="42" fillId="12" borderId="0" xfId="0" applyNumberFormat="1" applyFont="1" applyFill="1" applyBorder="1" applyAlignment="1" applyProtection="1">
      <alignment horizontal="right"/>
    </xf>
    <xf numFmtId="37" fontId="42" fillId="12" borderId="43" xfId="0" applyNumberFormat="1" applyFont="1" applyFill="1" applyBorder="1" applyAlignment="1" applyProtection="1">
      <alignment horizontal="right"/>
    </xf>
    <xf numFmtId="37" fontId="11" fillId="12" borderId="0" xfId="0" applyNumberFormat="1" applyFont="1" applyFill="1" applyAlignment="1" applyProtection="1">
      <alignment horizontal="right"/>
    </xf>
    <xf numFmtId="37" fontId="12" fillId="4" borderId="722" xfId="0" applyNumberFormat="1" applyFont="1" applyFill="1" applyBorder="1" applyProtection="1"/>
    <xf numFmtId="37" fontId="12" fillId="0" borderId="706" xfId="0" applyNumberFormat="1" applyFont="1" applyFill="1" applyBorder="1" applyAlignment="1" applyProtection="1">
      <alignment horizontal="right"/>
    </xf>
    <xf numFmtId="37" fontId="12" fillId="0" borderId="715" xfId="0" applyNumberFormat="1" applyFont="1" applyFill="1" applyBorder="1" applyAlignment="1" applyProtection="1">
      <alignment horizontal="right"/>
    </xf>
    <xf numFmtId="37" fontId="12" fillId="0" borderId="2" xfId="0" applyNumberFormat="1" applyFont="1" applyFill="1" applyBorder="1" applyAlignment="1" applyProtection="1">
      <alignment horizontal="right"/>
    </xf>
    <xf numFmtId="37" fontId="12" fillId="0" borderId="694" xfId="0" applyNumberFormat="1" applyFont="1" applyFill="1" applyBorder="1" applyAlignment="1" applyProtection="1">
      <alignment horizontal="right"/>
    </xf>
    <xf numFmtId="37" fontId="12" fillId="4" borderId="688" xfId="0" applyNumberFormat="1" applyFont="1" applyFill="1" applyBorder="1" applyProtection="1"/>
    <xf numFmtId="37" fontId="12" fillId="4" borderId="689" xfId="0" applyNumberFormat="1" applyFont="1" applyFill="1" applyBorder="1" applyAlignment="1" applyProtection="1">
      <alignment horizontal="right"/>
    </xf>
    <xf numFmtId="37" fontId="12" fillId="4" borderId="700" xfId="0" applyNumberFormat="1" applyFont="1" applyFill="1" applyBorder="1" applyAlignment="1" applyProtection="1">
      <alignment horizontal="right"/>
    </xf>
    <xf numFmtId="37" fontId="11" fillId="0" borderId="0" xfId="10" applyNumberFormat="1" applyFont="1" applyFill="1" applyBorder="1" applyAlignment="1" applyProtection="1">
      <alignment horizontal="right" vertical="center"/>
    </xf>
    <xf numFmtId="37" fontId="12" fillId="0" borderId="0" xfId="6" applyNumberFormat="1" applyFont="1" applyFill="1" applyBorder="1" applyAlignment="1" applyProtection="1">
      <alignment vertical="center"/>
    </xf>
    <xf numFmtId="37" fontId="12" fillId="10" borderId="45" xfId="6" applyNumberFormat="1" applyFont="1" applyFill="1" applyBorder="1" applyAlignment="1" applyProtection="1">
      <alignment vertical="center"/>
    </xf>
    <xf numFmtId="37" fontId="11" fillId="10" borderId="24" xfId="10" applyNumberFormat="1" applyFont="1" applyFill="1" applyBorder="1" applyAlignment="1" applyProtection="1">
      <alignment horizontal="right" vertical="center"/>
    </xf>
    <xf numFmtId="37" fontId="12" fillId="0" borderId="16" xfId="6" applyNumberFormat="1" applyFont="1" applyFill="1" applyBorder="1" applyAlignment="1" applyProtection="1">
      <alignment vertical="center"/>
    </xf>
    <xf numFmtId="37" fontId="12" fillId="0" borderId="22" xfId="10" applyNumberFormat="1" applyFont="1" applyFill="1" applyBorder="1" applyAlignment="1" applyProtection="1">
      <alignment horizontal="right" vertical="center"/>
    </xf>
    <xf numFmtId="37" fontId="12" fillId="0" borderId="22" xfId="6" applyNumberFormat="1" applyFont="1" applyFill="1" applyBorder="1" applyAlignment="1" applyProtection="1">
      <alignment vertical="center"/>
    </xf>
    <xf numFmtId="37" fontId="12" fillId="0" borderId="19" xfId="10" applyNumberFormat="1" applyFont="1" applyFill="1" applyBorder="1" applyAlignment="1" applyProtection="1">
      <alignment horizontal="left" vertical="center"/>
    </xf>
    <xf numFmtId="37" fontId="12" fillId="0" borderId="18" xfId="10" applyNumberFormat="1" applyFont="1" applyFill="1" applyBorder="1" applyAlignment="1" applyProtection="1">
      <alignment horizontal="right" vertical="center"/>
    </xf>
    <xf numFmtId="37" fontId="12" fillId="0" borderId="31" xfId="10" applyNumberFormat="1" applyFont="1" applyFill="1" applyBorder="1" applyAlignment="1" applyProtection="1">
      <alignment horizontal="right" vertical="center"/>
    </xf>
    <xf numFmtId="37" fontId="11" fillId="0" borderId="46" xfId="6" applyNumberFormat="1" applyFont="1" applyFill="1" applyBorder="1" applyAlignment="1" applyProtection="1">
      <alignment vertical="center"/>
    </xf>
    <xf numFmtId="37" fontId="11" fillId="0" borderId="20" xfId="6" applyNumberFormat="1" applyFont="1" applyFill="1" applyBorder="1" applyAlignment="1" applyProtection="1">
      <alignment vertical="center"/>
    </xf>
    <xf numFmtId="37" fontId="12" fillId="0" borderId="20" xfId="6" applyNumberFormat="1" applyFont="1" applyFill="1" applyBorder="1" applyAlignment="1" applyProtection="1">
      <alignment vertical="center"/>
    </xf>
    <xf numFmtId="37" fontId="12" fillId="0" borderId="51" xfId="6" applyNumberFormat="1" applyFont="1" applyFill="1" applyBorder="1" applyAlignment="1" applyProtection="1">
      <alignment horizontal="center" vertical="center"/>
    </xf>
    <xf numFmtId="37" fontId="12" fillId="0" borderId="20" xfId="6" applyNumberFormat="1" applyFont="1" applyFill="1" applyBorder="1" applyAlignment="1" applyProtection="1">
      <alignment horizontal="center" vertical="center"/>
    </xf>
    <xf numFmtId="37" fontId="12" fillId="0" borderId="48" xfId="6" applyNumberFormat="1" applyFont="1" applyFill="1" applyBorder="1" applyAlignment="1" applyProtection="1">
      <alignment vertical="center"/>
    </xf>
    <xf numFmtId="37" fontId="12" fillId="0" borderId="51" xfId="10" applyNumberFormat="1" applyFont="1" applyFill="1" applyBorder="1" applyAlignment="1" applyProtection="1">
      <alignment horizontal="center" vertical="center"/>
    </xf>
    <xf numFmtId="37" fontId="12" fillId="0" borderId="20" xfId="10" applyNumberFormat="1" applyFont="1" applyFill="1" applyBorder="1" applyAlignment="1" applyProtection="1">
      <alignment horizontal="center" vertical="center"/>
    </xf>
    <xf numFmtId="37" fontId="12" fillId="0" borderId="50" xfId="10" applyNumberFormat="1" applyFont="1" applyFill="1" applyBorder="1" applyAlignment="1" applyProtection="1">
      <alignment horizontal="center" vertical="center" wrapText="1"/>
    </xf>
    <xf numFmtId="37" fontId="11" fillId="0" borderId="15" xfId="6" applyNumberFormat="1" applyFont="1" applyFill="1" applyBorder="1" applyAlignment="1" applyProtection="1">
      <alignment vertical="center"/>
    </xf>
    <xf numFmtId="37" fontId="11" fillId="0" borderId="21" xfId="6" applyNumberFormat="1" applyFont="1" applyFill="1" applyBorder="1" applyAlignment="1" applyProtection="1">
      <alignment vertical="center"/>
    </xf>
    <xf numFmtId="37" fontId="12" fillId="0" borderId="21" xfId="6" applyNumberFormat="1" applyFont="1" applyFill="1" applyBorder="1" applyAlignment="1" applyProtection="1">
      <alignment vertical="center"/>
    </xf>
    <xf numFmtId="37" fontId="12" fillId="0" borderId="40" xfId="6" applyNumberFormat="1" applyFont="1" applyFill="1" applyBorder="1" applyAlignment="1" applyProtection="1">
      <alignment horizontal="center" vertical="center"/>
    </xf>
    <xf numFmtId="37" fontId="12" fillId="0" borderId="21" xfId="6" applyNumberFormat="1" applyFont="1" applyFill="1" applyBorder="1" applyAlignment="1" applyProtection="1">
      <alignment horizontal="center" vertical="center"/>
    </xf>
    <xf numFmtId="37" fontId="12" fillId="0" borderId="41" xfId="6" applyNumberFormat="1" applyFont="1" applyFill="1" applyBorder="1" applyAlignment="1" applyProtection="1">
      <alignment vertical="center"/>
    </xf>
    <xf numFmtId="37" fontId="12" fillId="0" borderId="21" xfId="10" applyNumberFormat="1" applyFont="1" applyFill="1" applyBorder="1" applyAlignment="1" applyProtection="1">
      <alignment horizontal="center" vertical="center"/>
    </xf>
    <xf numFmtId="37" fontId="12" fillId="0" borderId="49" xfId="10" applyNumberFormat="1" applyFont="1" applyFill="1" applyBorder="1" applyAlignment="1" applyProtection="1">
      <alignment horizontal="center" vertical="center" wrapText="1"/>
    </xf>
    <xf numFmtId="37" fontId="12" fillId="0" borderId="847" xfId="0" applyNumberFormat="1" applyFont="1" applyFill="1" applyBorder="1" applyAlignment="1" applyProtection="1">
      <alignment horizontal="left"/>
    </xf>
    <xf numFmtId="37" fontId="12" fillId="0" borderId="849" xfId="6" applyNumberFormat="1" applyFont="1" applyFill="1" applyBorder="1" applyAlignment="1" applyProtection="1">
      <alignment vertical="center"/>
    </xf>
    <xf numFmtId="9" fontId="12" fillId="0" borderId="850" xfId="7" applyFont="1" applyFill="1" applyBorder="1" applyAlignment="1" applyProtection="1">
      <alignment horizontal="center" vertical="center"/>
    </xf>
    <xf numFmtId="37" fontId="12" fillId="0" borderId="849" xfId="10" applyNumberFormat="1" applyFont="1" applyFill="1" applyBorder="1" applyAlignment="1" applyProtection="1">
      <alignment horizontal="right" vertical="center"/>
    </xf>
    <xf numFmtId="37" fontId="12" fillId="0" borderId="848" xfId="6" applyNumberFormat="1" applyFont="1" applyFill="1" applyBorder="1" applyAlignment="1" applyProtection="1">
      <alignment vertical="center"/>
    </xf>
    <xf numFmtId="9" fontId="12" fillId="0" borderId="851" xfId="7" applyFont="1" applyFill="1" applyBorder="1" applyAlignment="1" applyProtection="1">
      <alignment horizontal="center" vertical="center"/>
    </xf>
    <xf numFmtId="9" fontId="12" fillId="0" borderId="852" xfId="7" applyFont="1" applyFill="1" applyBorder="1" applyAlignment="1" applyProtection="1">
      <alignment horizontal="center" vertical="center"/>
    </xf>
    <xf numFmtId="37" fontId="12" fillId="0" borderId="200" xfId="0" applyNumberFormat="1" applyFont="1" applyFill="1" applyBorder="1" applyAlignment="1" applyProtection="1">
      <alignment horizontal="left"/>
    </xf>
    <xf numFmtId="37" fontId="12" fillId="0" borderId="198" xfId="6" applyNumberFormat="1" applyFont="1" applyFill="1" applyBorder="1" applyAlignment="1" applyProtection="1">
      <alignment vertical="center"/>
    </xf>
    <xf numFmtId="37" fontId="12" fillId="12" borderId="198" xfId="0" applyNumberFormat="1" applyFont="1" applyFill="1" applyBorder="1" applyAlignment="1" applyProtection="1">
      <alignment horizontal="right"/>
    </xf>
    <xf numFmtId="9" fontId="12" fillId="0" borderId="600" xfId="7" applyFont="1" applyFill="1" applyBorder="1" applyAlignment="1" applyProtection="1">
      <alignment horizontal="center" vertical="center"/>
    </xf>
    <xf numFmtId="9" fontId="12" fillId="0" borderId="198" xfId="7" applyFont="1" applyFill="1" applyBorder="1" applyAlignment="1" applyProtection="1">
      <alignment horizontal="center" vertical="center"/>
    </xf>
    <xf numFmtId="37" fontId="12" fillId="0" borderId="853" xfId="6" applyNumberFormat="1" applyFont="1" applyFill="1" applyBorder="1" applyAlignment="1" applyProtection="1">
      <alignment vertical="center"/>
    </xf>
    <xf numFmtId="9" fontId="12" fillId="0" borderId="854" xfId="7" applyFont="1" applyFill="1" applyBorder="1" applyAlignment="1" applyProtection="1">
      <alignment horizontal="center" vertical="center"/>
    </xf>
    <xf numFmtId="9" fontId="12" fillId="0" borderId="855" xfId="7" applyFont="1" applyFill="1" applyBorder="1" applyAlignment="1" applyProtection="1">
      <alignment horizontal="center" vertical="center"/>
    </xf>
    <xf numFmtId="37" fontId="12" fillId="0" borderId="856" xfId="10" applyNumberFormat="1" applyFont="1" applyFill="1" applyBorder="1" applyAlignment="1" applyProtection="1">
      <alignment horizontal="left" vertical="center"/>
    </xf>
    <xf numFmtId="37" fontId="12" fillId="12" borderId="858" xfId="0" applyNumberFormat="1" applyFont="1" applyFill="1" applyBorder="1" applyAlignment="1" applyProtection="1">
      <alignment horizontal="right"/>
    </xf>
    <xf numFmtId="37" fontId="12" fillId="0" borderId="858" xfId="6" applyNumberFormat="1" applyFont="1" applyFill="1" applyBorder="1" applyAlignment="1" applyProtection="1">
      <alignment vertical="center"/>
    </xf>
    <xf numFmtId="9" fontId="12" fillId="0" borderId="859" xfId="7" applyFont="1" applyFill="1" applyBorder="1" applyAlignment="1" applyProtection="1">
      <alignment horizontal="center" vertical="center"/>
    </xf>
    <xf numFmtId="9" fontId="12" fillId="0" borderId="858" xfId="7" applyFont="1" applyFill="1" applyBorder="1" applyAlignment="1" applyProtection="1">
      <alignment horizontal="center" vertical="center"/>
    </xf>
    <xf numFmtId="37" fontId="12" fillId="12" borderId="857" xfId="0" applyNumberFormat="1" applyFont="1" applyFill="1" applyBorder="1" applyAlignment="1" applyProtection="1">
      <alignment horizontal="right"/>
    </xf>
    <xf numFmtId="9" fontId="12" fillId="0" borderId="860" xfId="7" applyFont="1" applyFill="1" applyBorder="1" applyAlignment="1" applyProtection="1">
      <alignment horizontal="center" vertical="center"/>
    </xf>
    <xf numFmtId="9" fontId="12" fillId="0" borderId="861" xfId="7" applyFont="1" applyFill="1" applyBorder="1" applyAlignment="1" applyProtection="1">
      <alignment horizontal="center" vertical="center"/>
    </xf>
    <xf numFmtId="37" fontId="11" fillId="0" borderId="0" xfId="10" applyNumberFormat="1" applyFont="1" applyFill="1" applyBorder="1" applyAlignment="1" applyProtection="1">
      <alignment horizontal="left" vertical="center"/>
    </xf>
    <xf numFmtId="9" fontId="12" fillId="0" borderId="0" xfId="7" applyFont="1" applyFill="1" applyAlignment="1" applyProtection="1">
      <alignment horizontal="center" vertical="center"/>
    </xf>
    <xf numFmtId="1" fontId="47" fillId="17" borderId="17" xfId="10" applyNumberFormat="1" applyFont="1" applyFill="1" applyBorder="1" applyAlignment="1" applyProtection="1">
      <alignment horizontal="left" vertical="center"/>
    </xf>
    <xf numFmtId="37" fontId="11" fillId="10" borderId="17" xfId="0" applyNumberFormat="1" applyFont="1" applyFill="1" applyBorder="1" applyAlignment="1" applyProtection="1">
      <alignment horizontal="center"/>
    </xf>
    <xf numFmtId="37" fontId="12" fillId="0" borderId="26" xfId="0" applyNumberFormat="1" applyFont="1" applyFill="1" applyBorder="1" applyAlignment="1" applyProtection="1">
      <alignment horizontal="center"/>
    </xf>
    <xf numFmtId="37" fontId="11" fillId="10" borderId="383" xfId="0" applyNumberFormat="1" applyFont="1" applyFill="1" applyBorder="1" applyAlignment="1" applyProtection="1">
      <alignment horizontal="center"/>
    </xf>
    <xf numFmtId="37" fontId="11" fillId="10" borderId="35" xfId="0" applyNumberFormat="1" applyFont="1" applyFill="1" applyBorder="1" applyAlignment="1" applyProtection="1">
      <alignment horizontal="center"/>
    </xf>
    <xf numFmtId="37" fontId="11" fillId="10" borderId="30" xfId="0" applyNumberFormat="1" applyFont="1" applyFill="1" applyBorder="1" applyAlignment="1" applyProtection="1">
      <alignment horizontal="center"/>
    </xf>
    <xf numFmtId="37" fontId="12" fillId="0" borderId="51" xfId="6" applyNumberFormat="1" applyFont="1" applyFill="1" applyBorder="1" applyAlignment="1" applyProtection="1">
      <alignment horizontal="left" vertical="center"/>
    </xf>
    <xf numFmtId="37" fontId="12" fillId="0" borderId="48" xfId="10" applyNumberFormat="1" applyFont="1" applyFill="1" applyBorder="1" applyAlignment="1" applyProtection="1">
      <alignment horizontal="center" vertical="center"/>
    </xf>
    <xf numFmtId="37" fontId="12" fillId="0" borderId="50" xfId="10" applyNumberFormat="1" applyFont="1" applyFill="1" applyBorder="1" applyAlignment="1" applyProtection="1">
      <alignment horizontal="center" vertical="center"/>
    </xf>
    <xf numFmtId="37" fontId="12" fillId="0" borderId="26" xfId="6" applyNumberFormat="1" applyFont="1" applyFill="1" applyBorder="1" applyAlignment="1" applyProtection="1">
      <alignment vertical="center"/>
    </xf>
    <xf numFmtId="37" fontId="12" fillId="0" borderId="44" xfId="6" applyNumberFormat="1" applyFont="1" applyFill="1" applyBorder="1" applyAlignment="1" applyProtection="1">
      <alignment horizontal="left" vertical="center"/>
    </xf>
    <xf numFmtId="37" fontId="12" fillId="0" borderId="43" xfId="10" applyNumberFormat="1" applyFont="1" applyFill="1" applyBorder="1" applyAlignment="1" applyProtection="1">
      <alignment horizontal="center" vertical="center"/>
    </xf>
    <xf numFmtId="37" fontId="12" fillId="0" borderId="27" xfId="10" applyNumberFormat="1" applyFont="1" applyFill="1" applyBorder="1" applyAlignment="1" applyProtection="1">
      <alignment horizontal="center" vertical="center"/>
    </xf>
    <xf numFmtId="37" fontId="11" fillId="0" borderId="0" xfId="10" applyNumberFormat="1" applyFont="1" applyFill="1" applyBorder="1" applyAlignment="1" applyProtection="1">
      <alignment horizontal="center" vertical="center"/>
    </xf>
    <xf numFmtId="37" fontId="12" fillId="0" borderId="0" xfId="6" applyNumberFormat="1" applyFont="1" applyFill="1" applyBorder="1" applyAlignment="1" applyProtection="1">
      <alignment horizontal="left" vertical="center"/>
    </xf>
    <xf numFmtId="37" fontId="12" fillId="0" borderId="0" xfId="10" applyNumberFormat="1" applyFont="1" applyFill="1" applyBorder="1" applyAlignment="1" applyProtection="1">
      <alignment horizontal="left" vertical="center"/>
    </xf>
    <xf numFmtId="37" fontId="12" fillId="10" borderId="14" xfId="0" applyNumberFormat="1" applyFont="1" applyFill="1" applyBorder="1" applyProtection="1"/>
    <xf numFmtId="37" fontId="12" fillId="0" borderId="23" xfId="6" applyNumberFormat="1" applyFont="1" applyFill="1" applyBorder="1" applyAlignment="1" applyProtection="1">
      <alignment vertical="center"/>
    </xf>
    <xf numFmtId="37" fontId="12" fillId="0" borderId="864" xfId="6" applyNumberFormat="1" applyFont="1" applyFill="1" applyBorder="1" applyAlignment="1" applyProtection="1">
      <alignment horizontal="left" vertical="center"/>
    </xf>
    <xf numFmtId="37" fontId="12" fillId="0" borderId="865" xfId="10" applyNumberFormat="1" applyFont="1" applyFill="1" applyBorder="1" applyAlignment="1" applyProtection="1">
      <alignment horizontal="center" vertical="center"/>
    </xf>
    <xf numFmtId="37" fontId="12" fillId="0" borderId="866" xfId="10" applyNumberFormat="1" applyFont="1" applyFill="1" applyBorder="1" applyAlignment="1" applyProtection="1">
      <alignment horizontal="center" vertical="center"/>
    </xf>
    <xf numFmtId="37" fontId="12" fillId="0" borderId="864" xfId="10" applyNumberFormat="1" applyFont="1" applyFill="1" applyBorder="1" applyAlignment="1" applyProtection="1">
      <alignment horizontal="left" vertical="center"/>
    </xf>
    <xf numFmtId="37" fontId="12" fillId="0" borderId="865" xfId="10" applyNumberFormat="1" applyFont="1" applyFill="1" applyBorder="1" applyAlignment="1" applyProtection="1">
      <alignment horizontal="left" vertical="center"/>
    </xf>
    <xf numFmtId="37" fontId="12" fillId="0" borderId="867" xfId="10" applyNumberFormat="1" applyFont="1" applyFill="1" applyBorder="1" applyAlignment="1" applyProtection="1">
      <alignment horizontal="center" vertical="center"/>
    </xf>
    <xf numFmtId="37" fontId="12" fillId="0" borderId="600" xfId="6" applyNumberFormat="1" applyFont="1" applyFill="1" applyBorder="1" applyAlignment="1" applyProtection="1">
      <alignment horizontal="left" vertical="center"/>
    </xf>
    <xf numFmtId="37" fontId="12" fillId="0" borderId="198" xfId="10" applyNumberFormat="1" applyFont="1" applyFill="1" applyBorder="1" applyAlignment="1" applyProtection="1">
      <alignment horizontal="center" vertical="center"/>
    </xf>
    <xf numFmtId="37" fontId="12" fillId="0" borderId="853" xfId="10" applyNumberFormat="1" applyFont="1" applyFill="1" applyBorder="1" applyAlignment="1" applyProtection="1">
      <alignment horizontal="center" vertical="center"/>
    </xf>
    <xf numFmtId="37" fontId="12" fillId="0" borderId="600" xfId="10" applyNumberFormat="1" applyFont="1" applyFill="1" applyBorder="1" applyAlignment="1" applyProtection="1">
      <alignment horizontal="left" vertical="center"/>
    </xf>
    <xf numFmtId="37" fontId="12" fillId="0" borderId="198" xfId="10" applyNumberFormat="1" applyFont="1" applyFill="1" applyBorder="1" applyAlignment="1" applyProtection="1">
      <alignment horizontal="left" vertical="center"/>
    </xf>
    <xf numFmtId="37" fontId="12" fillId="0" borderId="868" xfId="10" applyNumberFormat="1" applyFont="1" applyFill="1" applyBorder="1" applyAlignment="1" applyProtection="1">
      <alignment horizontal="center" vertical="center"/>
    </xf>
    <xf numFmtId="37" fontId="12" fillId="0" borderId="600" xfId="6" applyNumberFormat="1" applyFont="1" applyFill="1" applyBorder="1" applyAlignment="1" applyProtection="1">
      <alignment horizontal="left" vertical="center" wrapText="1"/>
    </xf>
    <xf numFmtId="37" fontId="12" fillId="0" borderId="600" xfId="10" applyNumberFormat="1" applyFont="1" applyFill="1" applyBorder="1" applyAlignment="1" applyProtection="1">
      <alignment horizontal="left" vertical="center" wrapText="1"/>
    </xf>
    <xf numFmtId="37" fontId="12" fillId="0" borderId="198" xfId="10" applyNumberFormat="1" applyFont="1" applyFill="1" applyBorder="1" applyAlignment="1" applyProtection="1">
      <alignment horizontal="left" vertical="center" wrapText="1"/>
    </xf>
    <xf numFmtId="37" fontId="12" fillId="0" borderId="15" xfId="6" applyNumberFormat="1" applyFont="1" applyFill="1" applyBorder="1" applyAlignment="1" applyProtection="1">
      <alignment vertical="center"/>
    </xf>
    <xf numFmtId="37" fontId="12" fillId="0" borderId="869" xfId="6" applyNumberFormat="1" applyFont="1" applyFill="1" applyBorder="1" applyAlignment="1" applyProtection="1">
      <alignment horizontal="left" vertical="center"/>
    </xf>
    <xf numFmtId="37" fontId="12" fillId="0" borderId="870" xfId="10" applyNumberFormat="1" applyFont="1" applyFill="1" applyBorder="1" applyAlignment="1" applyProtection="1">
      <alignment horizontal="center" vertical="center"/>
    </xf>
    <xf numFmtId="37" fontId="12" fillId="0" borderId="871" xfId="10" applyNumberFormat="1" applyFont="1" applyFill="1" applyBorder="1" applyAlignment="1" applyProtection="1">
      <alignment horizontal="center" vertical="center"/>
    </xf>
    <xf numFmtId="37" fontId="12" fillId="0" borderId="869" xfId="10" applyNumberFormat="1" applyFont="1" applyFill="1" applyBorder="1" applyAlignment="1" applyProtection="1">
      <alignment horizontal="left" vertical="center"/>
    </xf>
    <xf numFmtId="37" fontId="12" fillId="0" borderId="870" xfId="10" applyNumberFormat="1" applyFont="1" applyFill="1" applyBorder="1" applyAlignment="1" applyProtection="1">
      <alignment horizontal="left" vertical="center"/>
    </xf>
    <xf numFmtId="37" fontId="12" fillId="0" borderId="872" xfId="10" applyNumberFormat="1" applyFont="1" applyFill="1" applyBorder="1" applyAlignment="1" applyProtection="1">
      <alignment horizontal="center" vertical="center"/>
    </xf>
    <xf numFmtId="37" fontId="11" fillId="0" borderId="0" xfId="6" applyNumberFormat="1" applyFont="1" applyFill="1" applyBorder="1" applyAlignment="1" applyProtection="1">
      <alignment horizontal="left" vertical="center"/>
    </xf>
    <xf numFmtId="37" fontId="11" fillId="0" borderId="43" xfId="10" applyNumberFormat="1" applyFont="1" applyFill="1" applyBorder="1" applyAlignment="1" applyProtection="1">
      <alignment horizontal="center" vertical="center"/>
    </xf>
    <xf numFmtId="37" fontId="12" fillId="0" borderId="0" xfId="10" applyNumberFormat="1" applyFont="1" applyFill="1" applyBorder="1" applyAlignment="1" applyProtection="1">
      <alignment horizontal="right" vertical="center"/>
    </xf>
    <xf numFmtId="0" fontId="12" fillId="4" borderId="0" xfId="10" applyFont="1" applyFill="1" applyBorder="1" applyAlignment="1" applyProtection="1">
      <alignment horizontal="left" vertical="center"/>
    </xf>
    <xf numFmtId="171" fontId="12" fillId="4" borderId="0" xfId="10" applyNumberFormat="1" applyFont="1" applyFill="1" applyBorder="1" applyAlignment="1" applyProtection="1">
      <alignment horizontal="left"/>
    </xf>
    <xf numFmtId="37" fontId="11" fillId="6" borderId="560" xfId="0" applyNumberFormat="1" applyFont="1" applyFill="1" applyBorder="1" applyAlignment="1" applyProtection="1"/>
    <xf numFmtId="37" fontId="12" fillId="0" borderId="561" xfId="6" applyNumberFormat="1" applyFont="1" applyFill="1" applyBorder="1" applyAlignment="1" applyProtection="1">
      <alignment vertical="center"/>
    </xf>
    <xf numFmtId="37" fontId="12" fillId="0" borderId="685" xfId="6" applyNumberFormat="1" applyFont="1" applyFill="1" applyBorder="1" applyAlignment="1" applyProtection="1">
      <alignment vertical="center"/>
    </xf>
    <xf numFmtId="37" fontId="12" fillId="0" borderId="562" xfId="6" applyNumberFormat="1" applyFont="1" applyFill="1" applyBorder="1" applyAlignment="1" applyProtection="1">
      <alignment vertical="center"/>
    </xf>
    <xf numFmtId="39" fontId="12" fillId="0" borderId="0" xfId="6" applyNumberFormat="1" applyFont="1" applyFill="1" applyBorder="1" applyAlignment="1" applyProtection="1">
      <alignment vertical="center"/>
    </xf>
    <xf numFmtId="39" fontId="12" fillId="0" borderId="687" xfId="6" applyNumberFormat="1" applyFont="1" applyFill="1" applyBorder="1" applyAlignment="1" applyProtection="1">
      <alignment vertical="center"/>
    </xf>
    <xf numFmtId="37" fontId="12" fillId="0" borderId="565" xfId="6" applyNumberFormat="1" applyFont="1" applyFill="1" applyBorder="1" applyAlignment="1" applyProtection="1">
      <alignment vertical="center"/>
    </xf>
    <xf numFmtId="39" fontId="12" fillId="0" borderId="566" xfId="6" applyNumberFormat="1" applyFont="1" applyFill="1" applyBorder="1" applyAlignment="1" applyProtection="1">
      <alignment vertical="center"/>
    </xf>
    <xf numFmtId="39" fontId="12" fillId="0" borderId="690" xfId="6" applyNumberFormat="1" applyFont="1" applyFill="1" applyBorder="1" applyAlignment="1" applyProtection="1">
      <alignment vertical="center"/>
    </xf>
    <xf numFmtId="37" fontId="12" fillId="12" borderId="561" xfId="0" applyNumberFormat="1" applyFont="1" applyFill="1" applyBorder="1" applyAlignment="1" applyProtection="1"/>
    <xf numFmtId="37" fontId="12" fillId="12" borderId="685" xfId="0" applyNumberFormat="1" applyFont="1" applyFill="1" applyBorder="1" applyAlignment="1" applyProtection="1"/>
    <xf numFmtId="37" fontId="12" fillId="0" borderId="562" xfId="0" applyNumberFormat="1" applyFont="1" applyFill="1" applyBorder="1" applyAlignment="1" applyProtection="1"/>
    <xf numFmtId="39" fontId="12" fillId="0" borderId="0" xfId="0" applyNumberFormat="1" applyFont="1" applyFill="1" applyBorder="1" applyAlignment="1" applyProtection="1"/>
    <xf numFmtId="37" fontId="12" fillId="0" borderId="565" xfId="0" applyNumberFormat="1" applyFont="1" applyFill="1" applyBorder="1" applyAlignment="1" applyProtection="1"/>
    <xf numFmtId="39" fontId="12" fillId="0" borderId="566" xfId="0" applyNumberFormat="1" applyFont="1" applyFill="1" applyBorder="1" applyAlignment="1" applyProtection="1"/>
    <xf numFmtId="37" fontId="11" fillId="4" borderId="560" xfId="0" applyNumberFormat="1" applyFont="1" applyFill="1" applyBorder="1" applyAlignment="1" applyProtection="1">
      <alignment horizontal="left"/>
    </xf>
    <xf numFmtId="37" fontId="11" fillId="4" borderId="561" xfId="0" applyNumberFormat="1" applyFont="1" applyFill="1" applyBorder="1" applyAlignment="1" applyProtection="1">
      <alignment horizontal="center"/>
    </xf>
    <xf numFmtId="37" fontId="11" fillId="4" borderId="685" xfId="0" applyNumberFormat="1" applyFont="1" applyFill="1" applyBorder="1" applyAlignment="1" applyProtection="1">
      <alignment horizontal="center"/>
    </xf>
    <xf numFmtId="37" fontId="11" fillId="0" borderId="562" xfId="0" applyNumberFormat="1" applyFont="1" applyFill="1" applyBorder="1" applyAlignment="1" applyProtection="1">
      <alignment horizontal="right"/>
    </xf>
    <xf numFmtId="37" fontId="12" fillId="0" borderId="734" xfId="0" applyNumberFormat="1" applyFont="1" applyFill="1" applyBorder="1" applyAlignment="1" applyProtection="1">
      <alignment horizontal="center"/>
    </xf>
    <xf numFmtId="37" fontId="12" fillId="0" borderId="562" xfId="0" applyNumberFormat="1" applyFont="1" applyFill="1" applyBorder="1" applyAlignment="1" applyProtection="1">
      <alignment horizontal="right"/>
    </xf>
    <xf numFmtId="37" fontId="12" fillId="0" borderId="687" xfId="0" applyNumberFormat="1" applyFont="1" applyFill="1" applyBorder="1" applyAlignment="1" applyProtection="1">
      <alignment horizontal="center"/>
    </xf>
    <xf numFmtId="37" fontId="12" fillId="0" borderId="727" xfId="0" applyNumberFormat="1" applyFont="1" applyFill="1" applyBorder="1" applyAlignment="1" applyProtection="1">
      <alignment horizontal="left"/>
    </xf>
    <xf numFmtId="37" fontId="12" fillId="0" borderId="728" xfId="0" applyNumberFormat="1" applyFont="1" applyFill="1" applyBorder="1" applyAlignment="1" applyProtection="1">
      <alignment horizontal="center"/>
    </xf>
    <xf numFmtId="37" fontId="12" fillId="0" borderId="846" xfId="0" applyNumberFormat="1" applyFont="1" applyFill="1" applyBorder="1" applyAlignment="1" applyProtection="1">
      <alignment horizontal="center"/>
    </xf>
    <xf numFmtId="37" fontId="11" fillId="6" borderId="560" xfId="0" applyNumberFormat="1" applyFont="1" applyFill="1" applyBorder="1" applyAlignment="1" applyProtection="1">
      <alignment horizontal="left"/>
    </xf>
    <xf numFmtId="37" fontId="11" fillId="6" borderId="561" xfId="0" applyNumberFormat="1" applyFont="1" applyFill="1" applyBorder="1" applyAlignment="1" applyProtection="1">
      <alignment horizontal="center"/>
    </xf>
    <xf numFmtId="37" fontId="11" fillId="6" borderId="685" xfId="0" applyNumberFormat="1" applyFont="1" applyFill="1" applyBorder="1" applyAlignment="1" applyProtection="1">
      <alignment horizontal="center"/>
    </xf>
    <xf numFmtId="37" fontId="12" fillId="12" borderId="562" xfId="0" applyNumberFormat="1" applyFont="1" applyFill="1" applyBorder="1" applyAlignment="1" applyProtection="1">
      <alignment horizontal="right"/>
    </xf>
    <xf numFmtId="37" fontId="19" fillId="12" borderId="0" xfId="0" applyNumberFormat="1" applyFont="1" applyFill="1" applyBorder="1" applyAlignment="1" applyProtection="1">
      <alignment horizontal="center"/>
    </xf>
    <xf numFmtId="37" fontId="19" fillId="12" borderId="43" xfId="0" applyNumberFormat="1" applyFont="1" applyFill="1" applyBorder="1" applyAlignment="1" applyProtection="1">
      <alignment horizontal="center"/>
    </xf>
    <xf numFmtId="37" fontId="35" fillId="12" borderId="687" xfId="0" applyNumberFormat="1" applyFont="1" applyFill="1" applyBorder="1" applyAlignment="1" applyProtection="1">
      <alignment horizontal="center"/>
    </xf>
    <xf numFmtId="37" fontId="12" fillId="12" borderId="564" xfId="0" applyNumberFormat="1" applyFont="1" applyFill="1" applyBorder="1" applyAlignment="1" applyProtection="1">
      <alignment horizontal="right"/>
    </xf>
    <xf numFmtId="37" fontId="19" fillId="12" borderId="21" xfId="0" applyNumberFormat="1" applyFont="1" applyFill="1" applyBorder="1" applyAlignment="1" applyProtection="1">
      <alignment horizontal="center"/>
    </xf>
    <xf numFmtId="37" fontId="19" fillId="12" borderId="41" xfId="0" applyNumberFormat="1" applyFont="1" applyFill="1" applyBorder="1" applyAlignment="1" applyProtection="1">
      <alignment horizontal="center"/>
    </xf>
    <xf numFmtId="37" fontId="19" fillId="0" borderId="0" xfId="0" applyNumberFormat="1" applyFont="1" applyFill="1" applyBorder="1" applyAlignment="1" applyProtection="1">
      <alignment horizontal="center"/>
    </xf>
    <xf numFmtId="37" fontId="19" fillId="0" borderId="21" xfId="0" applyNumberFormat="1" applyFont="1" applyFill="1" applyBorder="1" applyAlignment="1" applyProtection="1">
      <alignment horizontal="center"/>
    </xf>
    <xf numFmtId="37" fontId="12" fillId="0" borderId="21" xfId="0" applyNumberFormat="1" applyFont="1" applyFill="1" applyBorder="1" applyAlignment="1" applyProtection="1">
      <alignment horizontal="center"/>
    </xf>
    <xf numFmtId="37" fontId="12" fillId="0" borderId="41" xfId="0" applyNumberFormat="1" applyFont="1" applyFill="1" applyBorder="1" applyAlignment="1" applyProtection="1">
      <alignment horizontal="center"/>
    </xf>
    <xf numFmtId="37" fontId="19" fillId="0" borderId="43" xfId="0" applyNumberFormat="1" applyFont="1" applyFill="1" applyBorder="1" applyAlignment="1" applyProtection="1">
      <alignment horizontal="center"/>
    </xf>
    <xf numFmtId="37" fontId="12" fillId="0" borderId="564" xfId="0" applyNumberFormat="1" applyFont="1" applyFill="1" applyBorder="1" applyAlignment="1" applyProtection="1">
      <alignment horizontal="right"/>
    </xf>
    <xf numFmtId="37" fontId="19" fillId="0" borderId="41" xfId="0" applyNumberFormat="1" applyFont="1" applyFill="1" applyBorder="1" applyAlignment="1" applyProtection="1">
      <alignment horizontal="center"/>
    </xf>
    <xf numFmtId="37" fontId="35" fillId="0" borderId="687" xfId="0" applyNumberFormat="1" applyFont="1" applyFill="1" applyBorder="1" applyAlignment="1" applyProtection="1">
      <alignment horizontal="center"/>
    </xf>
    <xf numFmtId="37" fontId="11" fillId="0" borderId="560" xfId="0" applyNumberFormat="1" applyFont="1" applyFill="1" applyBorder="1" applyAlignment="1" applyProtection="1">
      <alignment horizontal="right"/>
    </xf>
    <xf numFmtId="37" fontId="12" fillId="0" borderId="561" xfId="0" applyNumberFormat="1" applyFont="1" applyFill="1" applyBorder="1" applyAlignment="1" applyProtection="1">
      <alignment horizontal="center"/>
    </xf>
    <xf numFmtId="37" fontId="12" fillId="0" borderId="685" xfId="0" applyNumberFormat="1" applyFont="1" applyFill="1" applyBorder="1" applyAlignment="1" applyProtection="1">
      <alignment horizontal="center"/>
    </xf>
    <xf numFmtId="37" fontId="16" fillId="0" borderId="0" xfId="0" applyNumberFormat="1" applyFont="1" applyFill="1" applyBorder="1" applyAlignment="1" applyProtection="1">
      <alignment horizontal="center"/>
    </xf>
    <xf numFmtId="37" fontId="16" fillId="0" borderId="43" xfId="0" applyNumberFormat="1" applyFont="1" applyFill="1" applyBorder="1" applyAlignment="1" applyProtection="1">
      <alignment horizontal="center"/>
    </xf>
    <xf numFmtId="37" fontId="11" fillId="0" borderId="565" xfId="0" applyNumberFormat="1" applyFont="1" applyFill="1" applyBorder="1" applyAlignment="1" applyProtection="1">
      <alignment horizontal="right"/>
    </xf>
    <xf numFmtId="37" fontId="16" fillId="0" borderId="566" xfId="0" applyNumberFormat="1" applyFont="1" applyFill="1" applyBorder="1" applyAlignment="1" applyProtection="1">
      <alignment horizontal="center"/>
    </xf>
    <xf numFmtId="37" fontId="12" fillId="0" borderId="690" xfId="0" applyNumberFormat="1" applyFont="1" applyFill="1" applyBorder="1" applyAlignment="1" applyProtection="1">
      <alignment horizontal="center"/>
    </xf>
    <xf numFmtId="37" fontId="12" fillId="12" borderId="79" xfId="0" applyNumberFormat="1" applyFont="1" applyFill="1" applyBorder="1" applyAlignment="1" applyProtection="1">
      <alignment horizontal="right"/>
    </xf>
    <xf numFmtId="37" fontId="12" fillId="12" borderId="68" xfId="0" applyNumberFormat="1" applyFont="1" applyFill="1" applyBorder="1" applyAlignment="1" applyProtection="1">
      <alignment horizontal="right"/>
    </xf>
    <xf numFmtId="37" fontId="12" fillId="12" borderId="85" xfId="0" applyNumberFormat="1" applyFont="1" applyFill="1" applyBorder="1" applyAlignment="1" applyProtection="1">
      <alignment horizontal="right"/>
    </xf>
    <xf numFmtId="37" fontId="12" fillId="12" borderId="64" xfId="0" applyNumberFormat="1" applyFont="1" applyFill="1" applyBorder="1" applyAlignment="1" applyProtection="1">
      <alignment horizontal="right"/>
    </xf>
    <xf numFmtId="37" fontId="12" fillId="12" borderId="101" xfId="0" applyNumberFormat="1" applyFont="1" applyFill="1" applyBorder="1" applyAlignment="1" applyProtection="1">
      <alignment horizontal="right"/>
    </xf>
    <xf numFmtId="37" fontId="12" fillId="0" borderId="79" xfId="0" applyNumberFormat="1" applyFont="1" applyFill="1" applyBorder="1" applyAlignment="1" applyProtection="1">
      <alignment horizontal="right"/>
    </xf>
    <xf numFmtId="37" fontId="12" fillId="12" borderId="875" xfId="0" applyNumberFormat="1" applyFont="1" applyFill="1" applyBorder="1" applyAlignment="1" applyProtection="1">
      <alignment horizontal="right"/>
    </xf>
    <xf numFmtId="37" fontId="12" fillId="0" borderId="82" xfId="0" applyNumberFormat="1" applyFont="1" applyFill="1" applyBorder="1" applyAlignment="1" applyProtection="1">
      <alignment horizontal="right"/>
    </xf>
    <xf numFmtId="37" fontId="12" fillId="0" borderId="21" xfId="0" applyNumberFormat="1" applyFont="1" applyFill="1" applyBorder="1" applyAlignment="1" applyProtection="1">
      <alignment horizontal="right"/>
    </xf>
    <xf numFmtId="37" fontId="12" fillId="12" borderId="876" xfId="0" applyNumberFormat="1" applyFont="1" applyFill="1" applyBorder="1" applyAlignment="1" applyProtection="1">
      <alignment horizontal="right"/>
    </xf>
    <xf numFmtId="37" fontId="11" fillId="0" borderId="711" xfId="0" applyNumberFormat="1" applyFont="1" applyFill="1" applyBorder="1" applyAlignment="1" applyProtection="1">
      <alignment horizontal="right"/>
    </xf>
    <xf numFmtId="37" fontId="11" fillId="0" borderId="84" xfId="0" applyNumberFormat="1" applyFont="1" applyFill="1" applyBorder="1" applyAlignment="1" applyProtection="1">
      <alignment horizontal="right"/>
    </xf>
    <xf numFmtId="37" fontId="11" fillId="0" borderId="45" xfId="0" applyNumberFormat="1" applyFont="1" applyFill="1" applyBorder="1" applyAlignment="1" applyProtection="1">
      <alignment horizontal="right"/>
    </xf>
    <xf numFmtId="37" fontId="11" fillId="0" borderId="877" xfId="0" applyNumberFormat="1" applyFont="1" applyFill="1" applyBorder="1" applyAlignment="1" applyProtection="1">
      <alignment horizontal="right"/>
    </xf>
    <xf numFmtId="37" fontId="11" fillId="0" borderId="79" xfId="0" applyNumberFormat="1" applyFont="1" applyFill="1" applyBorder="1" applyAlignment="1" applyProtection="1">
      <alignment horizontal="right"/>
    </xf>
    <xf numFmtId="37" fontId="11" fillId="0" borderId="875" xfId="0" applyNumberFormat="1" applyFont="1" applyFill="1" applyBorder="1" applyAlignment="1" applyProtection="1">
      <alignment horizontal="right"/>
    </xf>
    <xf numFmtId="37" fontId="11" fillId="0" borderId="813" xfId="0" applyNumberFormat="1" applyFont="1" applyFill="1" applyBorder="1" applyAlignment="1" applyProtection="1">
      <alignment horizontal="right"/>
    </xf>
    <xf numFmtId="37" fontId="11" fillId="0" borderId="80" xfId="0" applyNumberFormat="1" applyFont="1" applyFill="1" applyBorder="1" applyAlignment="1" applyProtection="1">
      <alignment horizontal="right"/>
    </xf>
    <xf numFmtId="37" fontId="11" fillId="0" borderId="878" xfId="0" applyNumberFormat="1" applyFont="1" applyFill="1" applyBorder="1" applyAlignment="1" applyProtection="1">
      <alignment horizontal="right"/>
    </xf>
    <xf numFmtId="37" fontId="12" fillId="0" borderId="875" xfId="0" applyNumberFormat="1" applyFont="1" applyFill="1" applyBorder="1" applyAlignment="1" applyProtection="1">
      <alignment horizontal="right"/>
    </xf>
    <xf numFmtId="37" fontId="12" fillId="0" borderId="815" xfId="0" applyNumberFormat="1" applyFont="1" applyFill="1" applyBorder="1" applyAlignment="1" applyProtection="1">
      <alignment horizontal="right"/>
    </xf>
    <xf numFmtId="37" fontId="12" fillId="0" borderId="879" xfId="0" applyNumberFormat="1" applyFont="1" applyFill="1" applyBorder="1" applyAlignment="1" applyProtection="1">
      <alignment horizontal="right"/>
    </xf>
    <xf numFmtId="37" fontId="12" fillId="0" borderId="880" xfId="0" applyNumberFormat="1" applyFont="1" applyFill="1" applyBorder="1" applyAlignment="1" applyProtection="1">
      <alignment horizontal="right"/>
    </xf>
    <xf numFmtId="37" fontId="12" fillId="0" borderId="78" xfId="0" applyNumberFormat="1" applyFont="1" applyFill="1" applyBorder="1" applyAlignment="1" applyProtection="1">
      <alignment horizontal="right"/>
    </xf>
    <xf numFmtId="37" fontId="12" fillId="0" borderId="63" xfId="0" applyNumberFormat="1" applyFont="1" applyFill="1" applyBorder="1" applyAlignment="1" applyProtection="1">
      <alignment horizontal="right"/>
    </xf>
    <xf numFmtId="37" fontId="12" fillId="0" borderId="881" xfId="0" applyNumberFormat="1" applyFont="1" applyFill="1" applyBorder="1" applyAlignment="1" applyProtection="1">
      <alignment horizontal="right"/>
    </xf>
    <xf numFmtId="37" fontId="12" fillId="0" borderId="565" xfId="0" applyNumberFormat="1" applyFont="1" applyFill="1" applyBorder="1" applyAlignment="1" applyProtection="1">
      <alignment horizontal="right"/>
    </xf>
    <xf numFmtId="37" fontId="12" fillId="0" borderId="882" xfId="0" applyNumberFormat="1" applyFont="1" applyFill="1" applyBorder="1" applyAlignment="1" applyProtection="1">
      <alignment horizontal="right"/>
    </xf>
    <xf numFmtId="37" fontId="12" fillId="0" borderId="883" xfId="0" applyNumberFormat="1" applyFont="1" applyFill="1" applyBorder="1" applyAlignment="1" applyProtection="1">
      <alignment horizontal="right"/>
    </xf>
    <xf numFmtId="37" fontId="11" fillId="12" borderId="91" xfId="0" applyNumberFormat="1" applyFont="1" applyFill="1" applyBorder="1" applyAlignment="1" applyProtection="1">
      <alignment horizontal="right"/>
    </xf>
    <xf numFmtId="37" fontId="11" fillId="12" borderId="99" xfId="0" applyNumberFormat="1" applyFont="1" applyFill="1" applyBorder="1" applyAlignment="1" applyProtection="1">
      <alignment horizontal="right"/>
    </xf>
    <xf numFmtId="37" fontId="30" fillId="12" borderId="84" xfId="0" applyNumberFormat="1" applyFont="1" applyFill="1" applyBorder="1" applyAlignment="1" applyProtection="1">
      <alignment horizontal="right"/>
    </xf>
    <xf numFmtId="37" fontId="30" fillId="12" borderId="45" xfId="0" applyNumberFormat="1" applyFont="1" applyFill="1" applyBorder="1" applyAlignment="1" applyProtection="1">
      <alignment horizontal="right"/>
    </xf>
    <xf numFmtId="37" fontId="12" fillId="12" borderId="67" xfId="0" applyNumberFormat="1" applyFont="1" applyFill="1" applyBorder="1" applyAlignment="1" applyProtection="1">
      <alignment horizontal="right"/>
    </xf>
    <xf numFmtId="37" fontId="30" fillId="12" borderId="79" xfId="0" applyNumberFormat="1" applyFont="1" applyFill="1" applyBorder="1" applyAlignment="1" applyProtection="1">
      <alignment horizontal="right"/>
    </xf>
    <xf numFmtId="37" fontId="30" fillId="12" borderId="0" xfId="0" applyNumberFormat="1" applyFont="1" applyFill="1" applyBorder="1" applyAlignment="1" applyProtection="1">
      <alignment horizontal="right"/>
    </xf>
    <xf numFmtId="37" fontId="11" fillId="6" borderId="862" xfId="0" applyNumberFormat="1" applyFont="1" applyFill="1" applyBorder="1" applyAlignment="1" applyProtection="1">
      <alignment horizontal="left"/>
    </xf>
    <xf numFmtId="37" fontId="11" fillId="6" borderId="863" xfId="0" applyNumberFormat="1" applyFont="1" applyFill="1" applyBorder="1" applyAlignment="1" applyProtection="1">
      <alignment horizontal="center"/>
    </xf>
    <xf numFmtId="37" fontId="12" fillId="12" borderId="65" xfId="0" applyNumberFormat="1" applyFont="1" applyFill="1" applyBorder="1" applyAlignment="1" applyProtection="1">
      <alignment horizontal="right"/>
    </xf>
    <xf numFmtId="37" fontId="11" fillId="12" borderId="69" xfId="0" applyNumberFormat="1" applyFont="1" applyFill="1" applyBorder="1" applyAlignment="1" applyProtection="1">
      <alignment horizontal="right"/>
    </xf>
    <xf numFmtId="37" fontId="41" fillId="4" borderId="562" xfId="0" applyNumberFormat="1" applyFont="1" applyFill="1" applyBorder="1" applyAlignment="1" applyProtection="1">
      <alignment horizontal="left"/>
    </xf>
    <xf numFmtId="37" fontId="41" fillId="0" borderId="562" xfId="0" applyNumberFormat="1" applyFont="1" applyFill="1" applyBorder="1" applyAlignment="1" applyProtection="1">
      <alignment horizontal="left"/>
    </xf>
    <xf numFmtId="37" fontId="12" fillId="0" borderId="27" xfId="0" applyNumberFormat="1" applyFont="1" applyFill="1" applyBorder="1" applyAlignment="1" applyProtection="1">
      <alignment horizontal="right"/>
    </xf>
    <xf numFmtId="37" fontId="12" fillId="0" borderId="873" xfId="0" applyNumberFormat="1" applyFont="1" applyFill="1" applyBorder="1" applyAlignment="1" applyProtection="1">
      <alignment horizontal="right"/>
    </xf>
    <xf numFmtId="37" fontId="42" fillId="0" borderId="562" xfId="0" applyNumberFormat="1" applyFont="1" applyFill="1" applyBorder="1" applyAlignment="1" applyProtection="1">
      <alignment horizontal="right"/>
    </xf>
    <xf numFmtId="37" fontId="11" fillId="0" borderId="565" xfId="0" applyNumberFormat="1" applyFont="1" applyFill="1" applyBorder="1" applyProtection="1"/>
    <xf numFmtId="37" fontId="12" fillId="0" borderId="874" xfId="0" applyNumberFormat="1" applyFont="1" applyFill="1" applyBorder="1" applyAlignment="1" applyProtection="1">
      <alignment horizontal="right"/>
    </xf>
    <xf numFmtId="37" fontId="12" fillId="0" borderId="739" xfId="0" applyNumberFormat="1" applyFont="1" applyFill="1" applyBorder="1" applyAlignment="1" applyProtection="1">
      <alignment horizontal="right"/>
    </xf>
    <xf numFmtId="37" fontId="41" fillId="4" borderId="560" xfId="0" applyNumberFormat="1" applyFont="1" applyFill="1" applyBorder="1" applyAlignment="1" applyProtection="1">
      <alignment horizontal="left"/>
    </xf>
    <xf numFmtId="37" fontId="12" fillId="0" borderId="738" xfId="0" applyNumberFormat="1" applyFont="1" applyFill="1" applyBorder="1" applyAlignment="1" applyProtection="1">
      <alignment horizontal="right"/>
    </xf>
    <xf numFmtId="37" fontId="11" fillId="0" borderId="562" xfId="0" applyNumberFormat="1" applyFont="1" applyFill="1" applyBorder="1" applyProtection="1"/>
    <xf numFmtId="37" fontId="12" fillId="0" borderId="0" xfId="0" applyNumberFormat="1" applyFont="1" applyFill="1" applyAlignment="1" applyProtection="1">
      <alignment horizontal="right"/>
    </xf>
    <xf numFmtId="37" fontId="13" fillId="12" borderId="0" xfId="0" applyNumberFormat="1" applyFont="1" applyFill="1" applyAlignment="1" applyProtection="1">
      <alignment horizontal="left" vertical="center"/>
    </xf>
    <xf numFmtId="0" fontId="22" fillId="4" borderId="0" xfId="0" applyFont="1" applyFill="1" applyProtection="1"/>
    <xf numFmtId="0" fontId="12" fillId="4" borderId="0" xfId="0" applyFont="1" applyFill="1" applyProtection="1"/>
    <xf numFmtId="0" fontId="22" fillId="0" borderId="0" xfId="0" applyFont="1" applyFill="1" applyProtection="1"/>
    <xf numFmtId="0" fontId="11" fillId="0" borderId="0" xfId="10" applyFont="1" applyFill="1" applyBorder="1" applyAlignment="1" applyProtection="1">
      <alignment horizontal="left" vertical="center"/>
    </xf>
    <xf numFmtId="0" fontId="11" fillId="10" borderId="23" xfId="10" applyFont="1" applyFill="1" applyBorder="1" applyAlignment="1" applyProtection="1">
      <alignment horizontal="left" vertical="center"/>
    </xf>
    <xf numFmtId="0" fontId="11" fillId="4" borderId="45" xfId="10" applyFont="1" applyFill="1" applyBorder="1" applyAlignment="1" applyProtection="1">
      <alignment horizontal="center" vertical="center"/>
    </xf>
    <xf numFmtId="0" fontId="11" fillId="10" borderId="28" xfId="10" applyFont="1" applyFill="1" applyBorder="1" applyAlignment="1" applyProtection="1">
      <alignment horizontal="left" vertical="center"/>
    </xf>
    <xf numFmtId="0" fontId="11" fillId="10" borderId="28" xfId="10" applyFont="1" applyFill="1" applyBorder="1" applyAlignment="1" applyProtection="1">
      <alignment horizontal="center" vertical="center"/>
    </xf>
    <xf numFmtId="0" fontId="11" fillId="10" borderId="5" xfId="10" applyFont="1" applyFill="1" applyBorder="1" applyAlignment="1" applyProtection="1">
      <alignment horizontal="center" vertical="center"/>
    </xf>
    <xf numFmtId="0" fontId="11" fillId="10" borderId="29" xfId="10" applyFont="1" applyFill="1" applyBorder="1" applyAlignment="1" applyProtection="1">
      <alignment horizontal="center" vertical="center"/>
    </xf>
    <xf numFmtId="0" fontId="11" fillId="4" borderId="5" xfId="10" applyFont="1" applyFill="1" applyBorder="1" applyAlignment="1" applyProtection="1">
      <alignment horizontal="center" vertical="center"/>
    </xf>
    <xf numFmtId="0" fontId="11" fillId="10" borderId="14" xfId="10" applyFont="1" applyFill="1" applyBorder="1" applyAlignment="1" applyProtection="1">
      <alignment horizontal="left" vertical="center"/>
    </xf>
    <xf numFmtId="0" fontId="11" fillId="10" borderId="17" xfId="10" applyFont="1" applyFill="1" applyBorder="1" applyAlignment="1" applyProtection="1">
      <alignment horizontal="center" vertical="center"/>
    </xf>
    <xf numFmtId="0" fontId="11" fillId="4" borderId="17" xfId="10" applyFont="1" applyFill="1" applyBorder="1" applyAlignment="1" applyProtection="1">
      <alignment horizontal="center" vertical="center"/>
    </xf>
    <xf numFmtId="0" fontId="11" fillId="10" borderId="30" xfId="10" applyFont="1" applyFill="1" applyBorder="1" applyAlignment="1" applyProtection="1">
      <alignment horizontal="center" vertical="center"/>
    </xf>
    <xf numFmtId="0" fontId="32" fillId="0" borderId="26" xfId="6" applyFont="1" applyFill="1" applyBorder="1" applyProtection="1"/>
    <xf numFmtId="168" fontId="52" fillId="0" borderId="817" xfId="0" applyNumberFormat="1" applyFont="1" applyFill="1" applyBorder="1" applyAlignment="1" applyProtection="1"/>
    <xf numFmtId="166" fontId="32" fillId="0" borderId="817" xfId="6" applyNumberFormat="1" applyFont="1" applyFill="1" applyBorder="1" applyAlignment="1" applyProtection="1">
      <alignment horizontal="center"/>
    </xf>
    <xf numFmtId="166" fontId="32" fillId="0" borderId="818" xfId="6" applyNumberFormat="1" applyFont="1" applyFill="1" applyBorder="1" applyAlignment="1" applyProtection="1">
      <alignment horizontal="center"/>
    </xf>
    <xf numFmtId="2" fontId="32" fillId="0" borderId="674" xfId="6" applyNumberFormat="1" applyFont="1" applyFill="1" applyBorder="1" applyAlignment="1" applyProtection="1">
      <alignment horizontal="center"/>
    </xf>
    <xf numFmtId="168" fontId="52" fillId="0" borderId="818" xfId="0" applyNumberFormat="1" applyFont="1" applyFill="1" applyBorder="1" applyAlignment="1" applyProtection="1">
      <alignment horizontal="center"/>
    </xf>
    <xf numFmtId="168" fontId="32" fillId="0" borderId="818" xfId="0" applyNumberFormat="1" applyFont="1" applyFill="1" applyBorder="1" applyAlignment="1" applyProtection="1">
      <alignment horizontal="center"/>
    </xf>
    <xf numFmtId="169" fontId="32" fillId="0" borderId="817" xfId="0" applyNumberFormat="1" applyFont="1" applyFill="1" applyBorder="1" applyAlignment="1" applyProtection="1">
      <alignment horizontal="center"/>
    </xf>
    <xf numFmtId="169" fontId="32" fillId="0" borderId="818" xfId="0" applyNumberFormat="1" applyFont="1" applyFill="1" applyBorder="1" applyAlignment="1" applyProtection="1">
      <alignment horizontal="center"/>
    </xf>
    <xf numFmtId="168" fontId="32" fillId="0" borderId="674" xfId="0" applyNumberFormat="1" applyFont="1" applyFill="1" applyBorder="1" applyAlignment="1" applyProtection="1">
      <alignment horizontal="center"/>
    </xf>
    <xf numFmtId="168" fontId="52" fillId="0" borderId="465" xfId="0" applyNumberFormat="1" applyFont="1" applyFill="1" applyBorder="1" applyAlignment="1" applyProtection="1"/>
    <xf numFmtId="166" fontId="32" fillId="0" borderId="465" xfId="6" applyNumberFormat="1" applyFont="1" applyFill="1" applyBorder="1" applyAlignment="1" applyProtection="1">
      <alignment horizontal="center"/>
    </xf>
    <xf numFmtId="166" fontId="32" fillId="0" borderId="466" xfId="6" applyNumberFormat="1" applyFont="1" applyFill="1" applyBorder="1" applyAlignment="1" applyProtection="1">
      <alignment horizontal="center"/>
    </xf>
    <xf numFmtId="2" fontId="32" fillId="0" borderId="675" xfId="6" applyNumberFormat="1" applyFont="1" applyFill="1" applyBorder="1" applyAlignment="1" applyProtection="1">
      <alignment horizontal="center"/>
    </xf>
    <xf numFmtId="168" fontId="52" fillId="0" borderId="466" xfId="0" applyNumberFormat="1" applyFont="1" applyFill="1" applyBorder="1" applyAlignment="1" applyProtection="1">
      <alignment horizontal="center"/>
    </xf>
    <xf numFmtId="168" fontId="32" fillId="0" borderId="466" xfId="0" applyNumberFormat="1" applyFont="1" applyFill="1" applyBorder="1" applyAlignment="1" applyProtection="1">
      <alignment horizontal="center"/>
    </xf>
    <xf numFmtId="169" fontId="32" fillId="0" borderId="465" xfId="0" applyNumberFormat="1" applyFont="1" applyFill="1" applyBorder="1" applyAlignment="1" applyProtection="1">
      <alignment horizontal="center"/>
    </xf>
    <xf numFmtId="169" fontId="32" fillId="0" borderId="466" xfId="0" applyNumberFormat="1" applyFont="1" applyFill="1" applyBorder="1" applyAlignment="1" applyProtection="1">
      <alignment horizontal="center"/>
    </xf>
    <xf numFmtId="168" fontId="32" fillId="0" borderId="675" xfId="0" applyNumberFormat="1" applyFont="1" applyFill="1" applyBorder="1" applyAlignment="1" applyProtection="1">
      <alignment horizontal="center"/>
    </xf>
    <xf numFmtId="168" fontId="32" fillId="0" borderId="465" xfId="0" applyNumberFormat="1" applyFont="1" applyFill="1" applyBorder="1" applyAlignment="1" applyProtection="1"/>
    <xf numFmtId="0" fontId="32" fillId="0" borderId="28" xfId="6" applyFont="1" applyFill="1" applyBorder="1" applyProtection="1"/>
    <xf numFmtId="166" fontId="32" fillId="0" borderId="819" xfId="6" applyNumberFormat="1" applyFont="1" applyFill="1" applyBorder="1" applyAlignment="1" applyProtection="1">
      <alignment horizontal="center"/>
    </xf>
    <xf numFmtId="166" fontId="32" fillId="0" borderId="820" xfId="6" applyNumberFormat="1" applyFont="1" applyFill="1" applyBorder="1" applyAlignment="1" applyProtection="1">
      <alignment horizontal="center"/>
    </xf>
    <xf numFmtId="2" fontId="32" fillId="0" borderId="679" xfId="6" applyNumberFormat="1" applyFont="1" applyFill="1" applyBorder="1" applyAlignment="1" applyProtection="1">
      <alignment horizontal="center"/>
    </xf>
    <xf numFmtId="168" fontId="52" fillId="0" borderId="820" xfId="0" applyNumberFormat="1" applyFont="1" applyFill="1" applyBorder="1" applyAlignment="1" applyProtection="1">
      <alignment horizontal="center"/>
    </xf>
    <xf numFmtId="168" fontId="32" fillId="0" borderId="820" xfId="0" applyNumberFormat="1" applyFont="1" applyFill="1" applyBorder="1" applyAlignment="1" applyProtection="1">
      <alignment horizontal="center"/>
    </xf>
    <xf numFmtId="169" fontId="32" fillId="0" borderId="819" xfId="0" applyNumberFormat="1" applyFont="1" applyFill="1" applyBorder="1" applyAlignment="1" applyProtection="1">
      <alignment horizontal="center"/>
    </xf>
    <xf numFmtId="169" fontId="32" fillId="0" borderId="820" xfId="0" applyNumberFormat="1" applyFont="1" applyFill="1" applyBorder="1" applyAlignment="1" applyProtection="1">
      <alignment horizontal="center"/>
    </xf>
    <xf numFmtId="168" fontId="32" fillId="0" borderId="679" xfId="0" applyNumberFormat="1" applyFont="1" applyFill="1" applyBorder="1" applyAlignment="1" applyProtection="1">
      <alignment horizontal="center"/>
    </xf>
    <xf numFmtId="0" fontId="11" fillId="0" borderId="45" xfId="10" applyFont="1" applyFill="1" applyBorder="1" applyAlignment="1" applyProtection="1">
      <alignment horizontal="center" vertical="center"/>
    </xf>
    <xf numFmtId="0" fontId="11" fillId="0" borderId="5" xfId="10" applyFont="1" applyFill="1" applyBorder="1" applyAlignment="1" applyProtection="1">
      <alignment horizontal="center" vertical="center"/>
    </xf>
    <xf numFmtId="0" fontId="14" fillId="0" borderId="0" xfId="12" applyFont="1" applyAlignment="1"/>
    <xf numFmtId="37" fontId="11" fillId="10" borderId="17" xfId="0" applyNumberFormat="1" applyFont="1" applyFill="1" applyBorder="1" applyAlignment="1">
      <alignment horizontal="center" vertical="center"/>
    </xf>
    <xf numFmtId="37" fontId="11" fillId="10" borderId="30" xfId="0" applyNumberFormat="1" applyFont="1" applyFill="1" applyBorder="1" applyAlignment="1">
      <alignment horizontal="center" vertical="center"/>
    </xf>
    <xf numFmtId="37" fontId="11" fillId="10" borderId="26" xfId="0" applyNumberFormat="1" applyFont="1" applyFill="1" applyBorder="1" applyAlignment="1">
      <alignment horizontal="center" vertical="center"/>
    </xf>
    <xf numFmtId="37" fontId="11" fillId="10" borderId="44" xfId="0" applyNumberFormat="1" applyFont="1" applyFill="1" applyBorder="1" applyAlignment="1">
      <alignment horizontal="center" vertical="center"/>
    </xf>
    <xf numFmtId="37" fontId="11" fillId="10" borderId="0" xfId="0" applyNumberFormat="1" applyFont="1" applyFill="1" applyBorder="1" applyAlignment="1">
      <alignment horizontal="center" vertical="center"/>
    </xf>
    <xf numFmtId="37" fontId="11" fillId="10" borderId="43" xfId="0" applyNumberFormat="1" applyFont="1" applyFill="1" applyBorder="1" applyAlignment="1">
      <alignment horizontal="center" vertical="center"/>
    </xf>
    <xf numFmtId="37" fontId="11" fillId="3" borderId="8" xfId="0" applyNumberFormat="1" applyFont="1" applyFill="1" applyBorder="1" applyAlignment="1" applyProtection="1">
      <alignment horizontal="center" vertical="center"/>
      <protection locked="0"/>
    </xf>
    <xf numFmtId="170" fontId="11" fillId="3" borderId="13" xfId="0" applyNumberFormat="1" applyFont="1" applyFill="1" applyBorder="1" applyAlignment="1" applyProtection="1">
      <alignment horizontal="center" vertical="center"/>
      <protection locked="0"/>
    </xf>
    <xf numFmtId="170" fontId="11" fillId="3" borderId="7" xfId="0" applyNumberFormat="1" applyFont="1" applyFill="1" applyBorder="1" applyAlignment="1" applyProtection="1">
      <alignment horizontal="center" vertical="center"/>
      <protection locked="0"/>
    </xf>
    <xf numFmtId="37" fontId="12" fillId="3" borderId="23" xfId="0" applyNumberFormat="1" applyFont="1" applyFill="1" applyBorder="1" applyAlignment="1" applyProtection="1">
      <alignment horizontal="left" vertical="center"/>
      <protection locked="0"/>
    </xf>
    <xf numFmtId="37" fontId="12" fillId="3" borderId="90" xfId="0" applyNumberFormat="1" applyFont="1" applyFill="1" applyBorder="1" applyAlignment="1" applyProtection="1">
      <alignment horizontal="center" vertical="center"/>
      <protection locked="0"/>
    </xf>
    <xf numFmtId="37" fontId="12" fillId="3" borderId="26" xfId="0" applyNumberFormat="1" applyFont="1" applyFill="1" applyBorder="1" applyAlignment="1" applyProtection="1">
      <alignment horizontal="left" vertical="center"/>
      <protection locked="0"/>
    </xf>
    <xf numFmtId="37" fontId="12" fillId="3" borderId="42" xfId="0" applyNumberFormat="1" applyFont="1" applyFill="1" applyBorder="1" applyAlignment="1" applyProtection="1">
      <alignment horizontal="center" vertical="center"/>
      <protection locked="0"/>
    </xf>
    <xf numFmtId="37" fontId="12" fillId="3" borderId="28" xfId="0" applyNumberFormat="1" applyFont="1" applyFill="1" applyBorder="1" applyAlignment="1" applyProtection="1">
      <alignment horizontal="left" vertical="center"/>
      <protection locked="0"/>
    </xf>
    <xf numFmtId="37" fontId="12" fillId="3" borderId="55" xfId="0" applyNumberFormat="1" applyFont="1" applyFill="1" applyBorder="1" applyAlignment="1" applyProtection="1">
      <alignment horizontal="center" vertical="center"/>
      <protection locked="0"/>
    </xf>
    <xf numFmtId="172" fontId="12" fillId="3" borderId="43" xfId="0" applyNumberFormat="1" applyFont="1" applyFill="1" applyBorder="1" applyAlignment="1" applyProtection="1">
      <alignment horizontal="center" vertical="center"/>
      <protection locked="0"/>
    </xf>
    <xf numFmtId="37" fontId="12" fillId="3" borderId="30" xfId="0" applyNumberFormat="1" applyFont="1" applyFill="1" applyBorder="1" applyAlignment="1" applyProtection="1">
      <alignment horizontal="center" vertical="center"/>
      <protection locked="0"/>
    </xf>
    <xf numFmtId="37" fontId="12" fillId="3" borderId="27" xfId="0" applyNumberFormat="1" applyFont="1" applyFill="1" applyBorder="1" applyAlignment="1" applyProtection="1">
      <alignment horizontal="center" vertical="center"/>
      <protection locked="0"/>
    </xf>
    <xf numFmtId="37" fontId="12" fillId="3" borderId="6" xfId="0" applyNumberFormat="1" applyFont="1" applyFill="1" applyBorder="1" applyAlignment="1" applyProtection="1">
      <alignment horizontal="center" vertical="center"/>
      <protection locked="0"/>
    </xf>
    <xf numFmtId="37" fontId="12" fillId="3" borderId="49" xfId="0" applyNumberFormat="1" applyFont="1" applyFill="1" applyBorder="1" applyAlignment="1" applyProtection="1">
      <alignment horizontal="center" vertical="center"/>
      <protection locked="0"/>
    </xf>
    <xf numFmtId="37" fontId="12" fillId="3" borderId="33" xfId="0" applyNumberFormat="1" applyFont="1" applyFill="1" applyBorder="1" applyAlignment="1" applyProtection="1">
      <alignment horizontal="center" vertical="center"/>
      <protection locked="0"/>
    </xf>
    <xf numFmtId="37" fontId="12" fillId="3" borderId="60" xfId="0" applyNumberFormat="1" applyFont="1" applyFill="1" applyBorder="1" applyAlignment="1" applyProtection="1">
      <alignment horizontal="center" vertical="center"/>
      <protection locked="0"/>
    </xf>
    <xf numFmtId="9" fontId="12" fillId="3" borderId="60" xfId="7" applyFont="1" applyFill="1" applyBorder="1" applyAlignment="1" applyProtection="1">
      <alignment horizontal="center" vertical="center"/>
      <protection locked="0"/>
    </xf>
    <xf numFmtId="9" fontId="12" fillId="3" borderId="57" xfId="7" applyFont="1" applyFill="1" applyBorder="1" applyAlignment="1" applyProtection="1">
      <alignment horizontal="center" vertical="center"/>
      <protection locked="0"/>
    </xf>
    <xf numFmtId="171" fontId="12" fillId="3" borderId="33" xfId="7" applyNumberFormat="1" applyFont="1" applyFill="1" applyBorder="1" applyAlignment="1" applyProtection="1">
      <alignment horizontal="center" vertical="center"/>
      <protection locked="0"/>
    </xf>
    <xf numFmtId="171" fontId="12" fillId="3" borderId="60" xfId="7" applyNumberFormat="1" applyFont="1" applyFill="1" applyBorder="1" applyAlignment="1" applyProtection="1">
      <alignment horizontal="center" vertical="center"/>
      <protection locked="0"/>
    </xf>
    <xf numFmtId="171" fontId="12" fillId="3" borderId="57" xfId="7" applyNumberFormat="1" applyFont="1" applyFill="1" applyBorder="1" applyAlignment="1" applyProtection="1">
      <alignment horizontal="center" vertical="center"/>
      <protection locked="0"/>
    </xf>
    <xf numFmtId="37" fontId="12" fillId="3" borderId="0" xfId="0" applyNumberFormat="1" applyFont="1" applyFill="1" applyBorder="1" applyAlignment="1" applyProtection="1">
      <alignment horizontal="center" vertical="center"/>
      <protection locked="0"/>
    </xf>
    <xf numFmtId="37" fontId="12" fillId="3" borderId="5" xfId="0" applyNumberFormat="1" applyFont="1" applyFill="1" applyBorder="1" applyAlignment="1" applyProtection="1">
      <alignment horizontal="center" vertical="center"/>
      <protection locked="0"/>
    </xf>
    <xf numFmtId="37" fontId="12" fillId="3" borderId="9" xfId="0" applyNumberFormat="1" applyFont="1" applyFill="1" applyBorder="1" applyAlignment="1" applyProtection="1">
      <alignment horizontal="center" vertical="center"/>
      <protection locked="0"/>
    </xf>
    <xf numFmtId="37" fontId="12" fillId="3" borderId="8" xfId="0" applyNumberFormat="1" applyFont="1" applyFill="1" applyBorder="1" applyAlignment="1" applyProtection="1">
      <alignment horizontal="center" vertical="center"/>
      <protection locked="0"/>
    </xf>
    <xf numFmtId="37" fontId="12" fillId="3" borderId="54" xfId="0" applyNumberFormat="1" applyFont="1" applyFill="1" applyBorder="1" applyAlignment="1" applyProtection="1">
      <alignment horizontal="center" vertical="center"/>
      <protection locked="0"/>
    </xf>
    <xf numFmtId="172" fontId="12" fillId="3" borderId="57" xfId="0" applyNumberFormat="1" applyFont="1" applyFill="1" applyBorder="1" applyAlignment="1" applyProtection="1">
      <alignment horizontal="center" vertical="center"/>
      <protection locked="0"/>
    </xf>
    <xf numFmtId="37" fontId="12" fillId="3" borderId="57" xfId="0" applyNumberFormat="1" applyFont="1" applyFill="1" applyBorder="1" applyAlignment="1" applyProtection="1">
      <alignment horizontal="center" vertical="center"/>
      <protection locked="0"/>
    </xf>
    <xf numFmtId="37" fontId="12" fillId="3" borderId="45" xfId="0" applyNumberFormat="1" applyFont="1" applyFill="1" applyBorder="1" applyAlignment="1" applyProtection="1">
      <alignment horizontal="center" vertical="center"/>
      <protection locked="0"/>
    </xf>
    <xf numFmtId="37" fontId="12" fillId="3" borderId="44" xfId="0" applyNumberFormat="1" applyFont="1" applyFill="1" applyBorder="1" applyAlignment="1" applyProtection="1">
      <alignment horizontal="center" vertical="center"/>
      <protection locked="0"/>
    </xf>
    <xf numFmtId="37" fontId="12" fillId="3" borderId="43" xfId="0" applyNumberFormat="1" applyFont="1" applyFill="1" applyBorder="1" applyAlignment="1" applyProtection="1">
      <alignment horizontal="center" vertical="center"/>
      <protection locked="0"/>
    </xf>
    <xf numFmtId="1" fontId="12" fillId="3" borderId="26" xfId="0" applyNumberFormat="1" applyFont="1" applyFill="1" applyBorder="1" applyAlignment="1" applyProtection="1">
      <alignment horizontal="left" vertical="center"/>
      <protection locked="0"/>
    </xf>
    <xf numFmtId="166" fontId="12" fillId="3" borderId="42" xfId="0" applyNumberFormat="1" applyFont="1" applyFill="1" applyBorder="1" applyAlignment="1" applyProtection="1">
      <alignment horizontal="center" vertical="center"/>
      <protection locked="0"/>
    </xf>
    <xf numFmtId="1" fontId="12" fillId="3" borderId="42" xfId="0" applyNumberFormat="1" applyFont="1" applyFill="1" applyBorder="1" applyAlignment="1" applyProtection="1">
      <alignment horizontal="center" vertical="center"/>
      <protection locked="0"/>
    </xf>
    <xf numFmtId="3" fontId="19" fillId="3" borderId="0" xfId="0" applyNumberFormat="1" applyFont="1" applyFill="1" applyBorder="1" applyAlignment="1" applyProtection="1">
      <alignment horizontal="center" vertical="center"/>
      <protection locked="0"/>
    </xf>
    <xf numFmtId="2" fontId="12" fillId="3" borderId="42" xfId="0" applyNumberFormat="1" applyFont="1" applyFill="1" applyBorder="1" applyAlignment="1" applyProtection="1">
      <alignment horizontal="center" vertical="center"/>
      <protection locked="0"/>
    </xf>
    <xf numFmtId="1" fontId="12" fillId="3" borderId="28" xfId="0" applyNumberFormat="1" applyFont="1" applyFill="1" applyBorder="1" applyAlignment="1" applyProtection="1">
      <alignment horizontal="left" vertical="center"/>
      <protection locked="0"/>
    </xf>
    <xf numFmtId="166" fontId="12" fillId="3" borderId="55" xfId="0" applyNumberFormat="1" applyFont="1" applyFill="1" applyBorder="1" applyAlignment="1" applyProtection="1">
      <alignment horizontal="center" vertical="center"/>
      <protection locked="0"/>
    </xf>
    <xf numFmtId="1" fontId="12" fillId="3" borderId="55" xfId="0" applyNumberFormat="1" applyFont="1" applyFill="1" applyBorder="1" applyAlignment="1" applyProtection="1">
      <alignment horizontal="center" vertical="center"/>
      <protection locked="0"/>
    </xf>
    <xf numFmtId="3" fontId="19" fillId="3" borderId="5" xfId="0" applyNumberFormat="1" applyFont="1" applyFill="1" applyBorder="1" applyAlignment="1" applyProtection="1">
      <alignment horizontal="center" vertical="center"/>
      <protection locked="0"/>
    </xf>
    <xf numFmtId="1" fontId="12" fillId="3" borderId="46" xfId="0" applyNumberFormat="1" applyFont="1" applyFill="1" applyBorder="1" applyAlignment="1" applyProtection="1">
      <alignment horizontal="left" vertical="center"/>
      <protection locked="0"/>
    </xf>
    <xf numFmtId="165" fontId="12" fillId="3" borderId="12" xfId="0" applyNumberFormat="1" applyFont="1" applyFill="1" applyBorder="1" applyAlignment="1" applyProtection="1">
      <alignment horizontal="center" vertical="center"/>
      <protection locked="0"/>
    </xf>
    <xf numFmtId="1" fontId="12" fillId="3" borderId="12" xfId="0" applyNumberFormat="1" applyFont="1" applyFill="1" applyBorder="1" applyAlignment="1" applyProtection="1">
      <alignment horizontal="center" vertical="center"/>
      <protection locked="0"/>
    </xf>
    <xf numFmtId="3" fontId="19" fillId="3" borderId="48" xfId="0" applyNumberFormat="1" applyFont="1" applyFill="1" applyBorder="1" applyAlignment="1" applyProtection="1">
      <alignment horizontal="center" vertical="center"/>
      <protection locked="0"/>
    </xf>
    <xf numFmtId="165" fontId="12" fillId="3" borderId="42" xfId="0" applyNumberFormat="1" applyFont="1" applyFill="1" applyBorder="1" applyAlignment="1" applyProtection="1">
      <alignment horizontal="center" vertical="center"/>
      <protection locked="0"/>
    </xf>
    <xf numFmtId="3" fontId="19" fillId="3" borderId="43" xfId="0" applyNumberFormat="1" applyFont="1" applyFill="1" applyBorder="1" applyAlignment="1" applyProtection="1">
      <alignment horizontal="center" vertical="center"/>
      <protection locked="0"/>
    </xf>
    <xf numFmtId="165" fontId="12" fillId="3" borderId="55" xfId="0" applyNumberFormat="1" applyFont="1" applyFill="1" applyBorder="1" applyAlignment="1" applyProtection="1">
      <alignment horizontal="center" vertical="center"/>
      <protection locked="0"/>
    </xf>
    <xf numFmtId="3" fontId="19" fillId="3" borderId="59" xfId="0" applyNumberFormat="1" applyFont="1" applyFill="1" applyBorder="1" applyAlignment="1" applyProtection="1">
      <alignment horizontal="center" vertical="center"/>
      <protection locked="0"/>
    </xf>
    <xf numFmtId="2" fontId="12" fillId="3" borderId="12" xfId="0" applyNumberFormat="1" applyFont="1" applyFill="1" applyBorder="1" applyAlignment="1" applyProtection="1">
      <alignment horizontal="center" vertical="center"/>
      <protection locked="0"/>
    </xf>
    <xf numFmtId="2" fontId="12" fillId="3" borderId="55" xfId="0" applyNumberFormat="1" applyFont="1" applyFill="1" applyBorder="1" applyAlignment="1" applyProtection="1">
      <alignment horizontal="center" vertical="center"/>
      <protection locked="0"/>
    </xf>
    <xf numFmtId="0" fontId="12" fillId="3" borderId="23" xfId="0" applyFont="1" applyFill="1" applyBorder="1" applyAlignment="1" applyProtection="1">
      <alignment horizontal="left" vertical="center"/>
      <protection locked="0"/>
    </xf>
    <xf numFmtId="166" fontId="12" fillId="3" borderId="90" xfId="0" applyNumberFormat="1" applyFont="1" applyFill="1" applyBorder="1" applyAlignment="1" applyProtection="1">
      <alignment horizontal="center" vertical="center"/>
      <protection locked="0"/>
    </xf>
    <xf numFmtId="1" fontId="12" fillId="3" borderId="90" xfId="0" applyNumberFormat="1" applyFont="1" applyFill="1" applyBorder="1" applyAlignment="1" applyProtection="1">
      <alignment horizontal="center" vertical="center"/>
      <protection locked="0"/>
    </xf>
    <xf numFmtId="166" fontId="19" fillId="3" borderId="24" xfId="0" applyNumberFormat="1" applyFont="1" applyFill="1" applyBorder="1" applyAlignment="1" applyProtection="1">
      <alignment horizontal="center" vertical="center"/>
      <protection locked="0"/>
    </xf>
    <xf numFmtId="0" fontId="12" fillId="3" borderId="26" xfId="0" applyFont="1" applyFill="1" applyBorder="1" applyAlignment="1" applyProtection="1">
      <alignment horizontal="left" vertical="center"/>
      <protection locked="0"/>
    </xf>
    <xf numFmtId="166" fontId="19" fillId="3" borderId="27" xfId="0" applyNumberFormat="1" applyFont="1" applyFill="1" applyBorder="1" applyAlignment="1" applyProtection="1">
      <alignment horizontal="center" vertical="center"/>
      <protection locked="0"/>
    </xf>
    <xf numFmtId="166" fontId="19" fillId="3" borderId="57" xfId="0" applyNumberFormat="1" applyFont="1" applyFill="1" applyBorder="1" applyAlignment="1" applyProtection="1">
      <alignment horizontal="center" vertical="center"/>
      <protection locked="0"/>
    </xf>
    <xf numFmtId="2" fontId="12" fillId="3" borderId="14" xfId="0" applyNumberFormat="1" applyFont="1" applyFill="1" applyBorder="1" applyAlignment="1" applyProtection="1">
      <alignment horizontal="center" vertical="center"/>
      <protection locked="0"/>
    </xf>
    <xf numFmtId="0" fontId="11" fillId="3" borderId="53" xfId="10" applyFont="1" applyFill="1" applyBorder="1" applyAlignment="1" applyProtection="1">
      <alignment horizontal="center" vertical="center"/>
      <protection locked="0"/>
    </xf>
    <xf numFmtId="0" fontId="12" fillId="3" borderId="26" xfId="10" applyFont="1" applyFill="1" applyBorder="1" applyAlignment="1" applyProtection="1">
      <alignment horizontal="left" vertical="center"/>
      <protection locked="0"/>
    </xf>
    <xf numFmtId="0" fontId="12" fillId="3" borderId="42" xfId="10" applyFont="1" applyFill="1" applyBorder="1" applyAlignment="1" applyProtection="1">
      <alignment horizontal="center" vertical="center" wrapText="1"/>
      <protection locked="0"/>
    </xf>
    <xf numFmtId="0" fontId="12" fillId="3" borderId="42" xfId="0" applyFont="1" applyFill="1" applyBorder="1" applyAlignment="1" applyProtection="1">
      <alignment horizontal="center" vertical="center"/>
      <protection locked="0"/>
    </xf>
    <xf numFmtId="0" fontId="12" fillId="3" borderId="6" xfId="0" applyFont="1" applyFill="1" applyBorder="1" applyAlignment="1" applyProtection="1">
      <alignment horizontal="center" vertical="center"/>
      <protection locked="0"/>
    </xf>
    <xf numFmtId="0" fontId="12" fillId="3" borderId="15" xfId="10" applyFont="1" applyFill="1" applyBorder="1" applyAlignment="1" applyProtection="1">
      <alignment horizontal="left" vertical="center"/>
      <protection locked="0"/>
    </xf>
    <xf numFmtId="0" fontId="12" fillId="3" borderId="6" xfId="10" applyFont="1" applyFill="1" applyBorder="1" applyAlignment="1" applyProtection="1">
      <alignment horizontal="center" vertical="center" wrapText="1"/>
      <protection locked="0"/>
    </xf>
    <xf numFmtId="0" fontId="12" fillId="3" borderId="90" xfId="10" applyFont="1" applyFill="1" applyBorder="1" applyAlignment="1" applyProtection="1">
      <alignment horizontal="center" vertical="center" wrapText="1"/>
      <protection locked="0"/>
    </xf>
    <xf numFmtId="0" fontId="12" fillId="3" borderId="90" xfId="0" applyFont="1" applyFill="1" applyBorder="1" applyAlignment="1" applyProtection="1">
      <alignment horizontal="center" vertical="center"/>
      <protection locked="0"/>
    </xf>
    <xf numFmtId="166" fontId="12" fillId="3" borderId="42" xfId="10" applyNumberFormat="1" applyFont="1" applyFill="1" applyBorder="1" applyAlignment="1" applyProtection="1">
      <alignment horizontal="center" vertical="center" wrapText="1"/>
      <protection locked="0"/>
    </xf>
    <xf numFmtId="0" fontId="12" fillId="3" borderId="27" xfId="0" applyFont="1" applyFill="1" applyBorder="1" applyAlignment="1" applyProtection="1">
      <alignment horizontal="center" vertical="center"/>
      <protection locked="0"/>
    </xf>
    <xf numFmtId="0" fontId="12" fillId="3" borderId="9" xfId="0" applyFont="1" applyFill="1" applyBorder="1" applyAlignment="1" applyProtection="1">
      <alignment horizontal="center" vertical="center"/>
      <protection locked="0"/>
    </xf>
    <xf numFmtId="3" fontId="12" fillId="3" borderId="90" xfId="0" applyNumberFormat="1" applyFont="1" applyFill="1" applyBorder="1" applyAlignment="1" applyProtection="1">
      <alignment horizontal="center" vertical="center"/>
      <protection locked="0"/>
    </xf>
    <xf numFmtId="3" fontId="12" fillId="3" borderId="42" xfId="0" applyNumberFormat="1" applyFont="1" applyFill="1" applyBorder="1" applyAlignment="1" applyProtection="1">
      <alignment horizontal="center" vertical="center"/>
      <protection locked="0"/>
    </xf>
    <xf numFmtId="176" fontId="12" fillId="3" borderId="42" xfId="0" applyNumberFormat="1" applyFont="1" applyFill="1" applyBorder="1" applyAlignment="1" applyProtection="1">
      <alignment horizontal="center" vertical="center"/>
      <protection locked="0"/>
    </xf>
    <xf numFmtId="3" fontId="12" fillId="3" borderId="6" xfId="0" applyNumberFormat="1" applyFont="1" applyFill="1" applyBorder="1" applyAlignment="1" applyProtection="1">
      <alignment horizontal="center" vertical="center"/>
      <protection locked="0"/>
    </xf>
    <xf numFmtId="3" fontId="12" fillId="3" borderId="55" xfId="0" applyNumberFormat="1" applyFont="1" applyFill="1" applyBorder="1" applyAlignment="1" applyProtection="1">
      <alignment horizontal="center" vertical="center"/>
      <protection locked="0"/>
    </xf>
    <xf numFmtId="0" fontId="12" fillId="3" borderId="55" xfId="0" applyFont="1" applyFill="1" applyBorder="1" applyAlignment="1" applyProtection="1">
      <alignment horizontal="center" vertical="center"/>
      <protection locked="0"/>
    </xf>
    <xf numFmtId="39" fontId="12" fillId="3" borderId="90" xfId="0" applyNumberFormat="1" applyFont="1" applyFill="1" applyBorder="1" applyAlignment="1" applyProtection="1">
      <alignment horizontal="center" vertical="center"/>
      <protection locked="0"/>
    </xf>
    <xf numFmtId="0" fontId="12" fillId="3" borderId="24" xfId="0" applyFont="1" applyFill="1" applyBorder="1" applyAlignment="1" applyProtection="1">
      <alignment horizontal="center" vertical="center"/>
      <protection locked="0"/>
    </xf>
    <xf numFmtId="39" fontId="12" fillId="3" borderId="42" xfId="0" applyNumberFormat="1" applyFont="1" applyFill="1" applyBorder="1" applyAlignment="1" applyProtection="1">
      <alignment horizontal="center" vertical="center"/>
      <protection locked="0"/>
    </xf>
    <xf numFmtId="1" fontId="12" fillId="3" borderId="27" xfId="0" applyNumberFormat="1" applyFont="1" applyFill="1" applyBorder="1" applyAlignment="1" applyProtection="1">
      <alignment horizontal="center" vertical="center"/>
      <protection locked="0"/>
    </xf>
    <xf numFmtId="39" fontId="12" fillId="3" borderId="55" xfId="0" applyNumberFormat="1" applyFont="1" applyFill="1" applyBorder="1" applyAlignment="1" applyProtection="1">
      <alignment horizontal="center" vertical="center"/>
      <protection locked="0"/>
    </xf>
    <xf numFmtId="0" fontId="12" fillId="3" borderId="29" xfId="0" applyFont="1" applyFill="1" applyBorder="1" applyAlignment="1" applyProtection="1">
      <alignment horizontal="center" vertical="center"/>
      <protection locked="0"/>
    </xf>
    <xf numFmtId="37" fontId="12" fillId="3" borderId="26" xfId="6" applyNumberFormat="1" applyFont="1" applyFill="1" applyBorder="1" applyAlignment="1" applyProtection="1">
      <alignment horizontal="left" vertical="center"/>
      <protection locked="0"/>
    </xf>
    <xf numFmtId="37" fontId="12" fillId="3" borderId="47" xfId="6" applyNumberFormat="1" applyFont="1" applyFill="1" applyBorder="1" applyAlignment="1" applyProtection="1">
      <alignment horizontal="center" vertical="center"/>
      <protection locked="0"/>
    </xf>
    <xf numFmtId="37" fontId="12" fillId="3" borderId="26" xfId="6" applyNumberFormat="1" applyFont="1" applyFill="1" applyBorder="1" applyAlignment="1" applyProtection="1">
      <alignment horizontal="center" vertical="center"/>
      <protection locked="0"/>
    </xf>
    <xf numFmtId="37" fontId="12" fillId="3" borderId="0" xfId="6" applyNumberFormat="1" applyFont="1" applyFill="1" applyBorder="1" applyAlignment="1" applyProtection="1">
      <alignment horizontal="center" vertical="center"/>
      <protection locked="0"/>
    </xf>
    <xf numFmtId="170" fontId="12" fillId="3" borderId="51" xfId="6" applyNumberFormat="1" applyFont="1" applyFill="1" applyBorder="1" applyAlignment="1" applyProtection="1">
      <alignment horizontal="center" vertical="center"/>
      <protection locked="0"/>
    </xf>
    <xf numFmtId="170" fontId="12" fillId="3" borderId="20" xfId="6" applyNumberFormat="1" applyFont="1" applyFill="1" applyBorder="1" applyAlignment="1" applyProtection="1">
      <alignment horizontal="center" vertical="center"/>
      <protection locked="0"/>
    </xf>
    <xf numFmtId="170" fontId="12" fillId="3" borderId="44" xfId="6" applyNumberFormat="1" applyFont="1" applyFill="1" applyBorder="1" applyAlignment="1" applyProtection="1">
      <alignment horizontal="center" vertical="center"/>
      <protection locked="0"/>
    </xf>
    <xf numFmtId="170" fontId="12" fillId="3" borderId="0" xfId="6" applyNumberFormat="1" applyFont="1" applyFill="1" applyBorder="1" applyAlignment="1" applyProtection="1">
      <alignment horizontal="center" vertical="center"/>
      <protection locked="0"/>
    </xf>
    <xf numFmtId="170" fontId="12" fillId="3" borderId="40" xfId="6" applyNumberFormat="1" applyFont="1" applyFill="1" applyBorder="1" applyAlignment="1" applyProtection="1">
      <alignment horizontal="center" vertical="center"/>
      <protection locked="0"/>
    </xf>
    <xf numFmtId="170" fontId="12" fillId="3" borderId="21" xfId="6" applyNumberFormat="1" applyFont="1" applyFill="1" applyBorder="1" applyAlignment="1" applyProtection="1">
      <alignment horizontal="center" vertical="center"/>
      <protection locked="0"/>
    </xf>
    <xf numFmtId="37" fontId="12" fillId="3" borderId="15" xfId="6" applyNumberFormat="1" applyFont="1" applyFill="1" applyBorder="1" applyAlignment="1" applyProtection="1">
      <alignment horizontal="left" vertical="center"/>
      <protection locked="0"/>
    </xf>
    <xf numFmtId="37" fontId="12" fillId="3" borderId="21" xfId="6" applyNumberFormat="1" applyFont="1" applyFill="1" applyBorder="1" applyAlignment="1" applyProtection="1">
      <alignment horizontal="center" vertical="center"/>
      <protection locked="0"/>
    </xf>
    <xf numFmtId="37" fontId="12" fillId="3" borderId="46" xfId="6" applyNumberFormat="1" applyFont="1" applyFill="1" applyBorder="1" applyAlignment="1" applyProtection="1">
      <alignment horizontal="left" vertical="center"/>
      <protection locked="0"/>
    </xf>
    <xf numFmtId="37" fontId="12" fillId="3" borderId="109" xfId="6" applyNumberFormat="1" applyFont="1" applyFill="1" applyBorder="1" applyAlignment="1" applyProtection="1">
      <alignment horizontal="center" vertical="center"/>
      <protection locked="0"/>
    </xf>
    <xf numFmtId="37" fontId="12" fillId="3" borderId="46" xfId="6" applyNumberFormat="1" applyFont="1" applyFill="1" applyBorder="1" applyAlignment="1" applyProtection="1">
      <alignment horizontal="center" vertical="center"/>
      <protection locked="0"/>
    </xf>
    <xf numFmtId="37" fontId="12" fillId="3" borderId="20" xfId="6" applyNumberFormat="1" applyFont="1" applyFill="1" applyBorder="1" applyAlignment="1" applyProtection="1">
      <alignment horizontal="center" vertical="center"/>
      <protection locked="0"/>
    </xf>
    <xf numFmtId="37" fontId="12" fillId="3" borderId="108" xfId="6" applyNumberFormat="1" applyFont="1" applyFill="1" applyBorder="1" applyAlignment="1" applyProtection="1">
      <alignment horizontal="center" vertical="center"/>
      <protection locked="0"/>
    </xf>
    <xf numFmtId="37" fontId="12" fillId="3" borderId="15" xfId="6" applyNumberFormat="1" applyFont="1" applyFill="1" applyBorder="1" applyAlignment="1" applyProtection="1">
      <alignment horizontal="center" vertical="center"/>
      <protection locked="0"/>
    </xf>
    <xf numFmtId="37" fontId="12" fillId="3" borderId="26" xfId="6" applyNumberFormat="1" applyFont="1" applyFill="1" applyBorder="1" applyAlignment="1" applyProtection="1">
      <alignment horizontal="left" vertical="center"/>
      <protection locked="0" hidden="1"/>
    </xf>
    <xf numFmtId="37" fontId="12" fillId="3" borderId="47" xfId="6" applyNumberFormat="1" applyFont="1" applyFill="1" applyBorder="1" applyAlignment="1" applyProtection="1">
      <alignment horizontal="center" vertical="center"/>
      <protection locked="0" hidden="1"/>
    </xf>
    <xf numFmtId="37" fontId="12" fillId="3" borderId="15" xfId="6" applyNumberFormat="1" applyFont="1" applyFill="1" applyBorder="1" applyAlignment="1" applyProtection="1">
      <alignment horizontal="left" vertical="center"/>
      <protection locked="0" hidden="1"/>
    </xf>
    <xf numFmtId="37" fontId="12" fillId="3" borderId="108" xfId="6" applyNumberFormat="1" applyFont="1" applyFill="1" applyBorder="1" applyAlignment="1" applyProtection="1">
      <alignment horizontal="center" vertical="center"/>
      <protection locked="0" hidden="1"/>
    </xf>
    <xf numFmtId="170" fontId="12" fillId="3" borderId="20" xfId="6" applyNumberFormat="1" applyFont="1" applyFill="1" applyBorder="1" applyAlignment="1" applyProtection="1">
      <alignment horizontal="center" vertical="center"/>
      <protection locked="0" hidden="1"/>
    </xf>
    <xf numFmtId="170" fontId="12" fillId="3" borderId="0" xfId="6" applyNumberFormat="1" applyFont="1" applyFill="1" applyBorder="1" applyAlignment="1" applyProtection="1">
      <alignment horizontal="center" vertical="center"/>
      <protection locked="0" hidden="1"/>
    </xf>
    <xf numFmtId="170" fontId="12" fillId="3" borderId="21" xfId="6" applyNumberFormat="1" applyFont="1" applyFill="1" applyBorder="1" applyAlignment="1" applyProtection="1">
      <alignment horizontal="center" vertical="center"/>
      <protection locked="0" hidden="1"/>
    </xf>
    <xf numFmtId="37" fontId="12" fillId="3" borderId="26" xfId="6" applyNumberFormat="1" applyFont="1" applyFill="1" applyBorder="1" applyAlignment="1" applyProtection="1">
      <alignment vertical="center"/>
      <protection locked="0"/>
    </xf>
    <xf numFmtId="37" fontId="12" fillId="3" borderId="28" xfId="6" applyNumberFormat="1" applyFont="1" applyFill="1" applyBorder="1" applyAlignment="1" applyProtection="1">
      <alignment horizontal="left" vertical="center"/>
      <protection locked="0"/>
    </xf>
    <xf numFmtId="1" fontId="12" fillId="3" borderId="449" xfId="0" applyNumberFormat="1" applyFont="1" applyFill="1" applyBorder="1" applyAlignment="1" applyProtection="1">
      <alignment horizontal="left"/>
      <protection locked="0"/>
    </xf>
    <xf numFmtId="37" fontId="12" fillId="3" borderId="454" xfId="0" applyNumberFormat="1" applyFont="1" applyFill="1" applyBorder="1" applyAlignment="1" applyProtection="1">
      <alignment horizontal="center"/>
      <protection locked="0"/>
    </xf>
    <xf numFmtId="1" fontId="12" fillId="3" borderId="451" xfId="0" applyNumberFormat="1" applyFont="1" applyFill="1" applyBorder="1" applyAlignment="1" applyProtection="1">
      <alignment horizontal="left"/>
      <protection locked="0"/>
    </xf>
    <xf numFmtId="37" fontId="12" fillId="3" borderId="455" xfId="0" applyNumberFormat="1" applyFont="1" applyFill="1" applyBorder="1" applyAlignment="1" applyProtection="1">
      <alignment horizontal="center"/>
      <protection locked="0"/>
    </xf>
    <xf numFmtId="1" fontId="12" fillId="3" borderId="452" xfId="0" applyNumberFormat="1" applyFont="1" applyFill="1" applyBorder="1" applyAlignment="1" applyProtection="1">
      <alignment horizontal="left"/>
      <protection locked="0"/>
    </xf>
    <xf numFmtId="37" fontId="12" fillId="3" borderId="456" xfId="0" applyNumberFormat="1" applyFont="1" applyFill="1" applyBorder="1" applyAlignment="1" applyProtection="1">
      <alignment horizontal="center"/>
      <protection locked="0"/>
    </xf>
    <xf numFmtId="37" fontId="12" fillId="3" borderId="450" xfId="0" applyNumberFormat="1" applyFont="1" applyFill="1" applyBorder="1" applyAlignment="1" applyProtection="1">
      <alignment horizontal="center"/>
      <protection locked="0"/>
    </xf>
    <xf numFmtId="37" fontId="12" fillId="3" borderId="394" xfId="0" applyNumberFormat="1" applyFont="1" applyFill="1" applyBorder="1" applyAlignment="1" applyProtection="1">
      <alignment horizontal="center"/>
      <protection locked="0"/>
    </xf>
    <xf numFmtId="37" fontId="12" fillId="3" borderId="453" xfId="0" applyNumberFormat="1" applyFont="1" applyFill="1" applyBorder="1" applyAlignment="1" applyProtection="1">
      <alignment horizontal="center"/>
      <protection locked="0"/>
    </xf>
    <xf numFmtId="1" fontId="12" fillId="3" borderId="440" xfId="0" applyNumberFormat="1" applyFont="1" applyFill="1" applyBorder="1" applyAlignment="1" applyProtection="1">
      <alignment horizontal="left"/>
      <protection locked="0"/>
    </xf>
    <xf numFmtId="37" fontId="12" fillId="3" borderId="429" xfId="0" applyNumberFormat="1" applyFont="1" applyFill="1" applyBorder="1" applyAlignment="1" applyProtection="1">
      <alignment horizontal="center"/>
      <protection locked="0"/>
    </xf>
    <xf numFmtId="1" fontId="12" fillId="3" borderId="441" xfId="0" applyNumberFormat="1" applyFont="1" applyFill="1" applyBorder="1" applyAlignment="1" applyProtection="1">
      <alignment horizontal="left"/>
      <protection locked="0"/>
    </xf>
    <xf numFmtId="37" fontId="12" fillId="3" borderId="414" xfId="0" applyNumberFormat="1" applyFont="1" applyFill="1" applyBorder="1" applyAlignment="1" applyProtection="1">
      <alignment horizontal="center"/>
      <protection locked="0"/>
    </xf>
    <xf numFmtId="1" fontId="12" fillId="3" borderId="442" xfId="0" applyNumberFormat="1" applyFont="1" applyFill="1" applyBorder="1" applyAlignment="1" applyProtection="1">
      <alignment horizontal="left"/>
      <protection locked="0"/>
    </xf>
    <xf numFmtId="37" fontId="12" fillId="3" borderId="443" xfId="0" applyNumberFormat="1" applyFont="1" applyFill="1" applyBorder="1" applyAlignment="1" applyProtection="1">
      <alignment horizontal="center"/>
      <protection locked="0"/>
    </xf>
    <xf numFmtId="1" fontId="12" fillId="3" borderId="718" xfId="0" applyNumberFormat="1" applyFont="1" applyFill="1" applyBorder="1" applyAlignment="1" applyProtection="1">
      <alignment horizontal="left"/>
      <protection locked="0"/>
    </xf>
    <xf numFmtId="1" fontId="12" fillId="3" borderId="906" xfId="0" applyNumberFormat="1" applyFont="1" applyFill="1" applyBorder="1" applyAlignment="1" applyProtection="1">
      <alignment horizontal="left"/>
      <protection locked="0"/>
    </xf>
    <xf numFmtId="37" fontId="12" fillId="3" borderId="437" xfId="0" applyNumberFormat="1" applyFont="1" applyFill="1" applyBorder="1" applyAlignment="1" applyProtection="1">
      <alignment horizontal="center"/>
      <protection locked="0"/>
    </xf>
    <xf numFmtId="1" fontId="12" fillId="3" borderId="900" xfId="0" applyNumberFormat="1" applyFont="1" applyFill="1" applyBorder="1" applyAlignment="1" applyProtection="1">
      <alignment horizontal="left"/>
      <protection locked="0"/>
    </xf>
    <xf numFmtId="37" fontId="12" fillId="3" borderId="430" xfId="0" applyNumberFormat="1" applyFont="1" applyFill="1" applyBorder="1" applyAlignment="1" applyProtection="1">
      <alignment horizontal="center"/>
      <protection locked="0"/>
    </xf>
    <xf numFmtId="1" fontId="12" fillId="3" borderId="907" xfId="0" applyNumberFormat="1" applyFont="1" applyFill="1" applyBorder="1" applyAlignment="1" applyProtection="1">
      <alignment horizontal="left"/>
      <protection locked="0"/>
    </xf>
    <xf numFmtId="37" fontId="12" fillId="3" borderId="416" xfId="0" applyNumberFormat="1" applyFont="1" applyFill="1" applyBorder="1" applyAlignment="1" applyProtection="1">
      <alignment horizontal="center"/>
      <protection locked="0"/>
    </xf>
    <xf numFmtId="1" fontId="12" fillId="3" borderId="903" xfId="0" applyNumberFormat="1" applyFont="1" applyFill="1" applyBorder="1" applyAlignment="1" applyProtection="1">
      <alignment horizontal="left"/>
      <protection locked="0"/>
    </xf>
    <xf numFmtId="1" fontId="12" fillId="3" borderId="919" xfId="0" applyNumberFormat="1" applyFont="1" applyFill="1" applyBorder="1" applyAlignment="1" applyProtection="1">
      <alignment horizontal="left"/>
      <protection locked="0"/>
    </xf>
    <xf numFmtId="37" fontId="12" fillId="3" borderId="606" xfId="0" applyNumberFormat="1" applyFont="1" applyFill="1" applyBorder="1" applyAlignment="1" applyProtection="1">
      <alignment horizontal="center"/>
      <protection locked="0"/>
    </xf>
    <xf numFmtId="1" fontId="12" fillId="3" borderId="391" xfId="0" applyNumberFormat="1" applyFont="1" applyFill="1" applyBorder="1" applyAlignment="1" applyProtection="1">
      <alignment horizontal="left"/>
      <protection locked="0"/>
    </xf>
    <xf numFmtId="37" fontId="12" fillId="3" borderId="392" xfId="0" applyNumberFormat="1" applyFont="1" applyFill="1" applyBorder="1" applyAlignment="1" applyProtection="1">
      <alignment horizontal="center"/>
      <protection locked="0"/>
    </xf>
    <xf numFmtId="1" fontId="12" fillId="3" borderId="393" xfId="0" applyNumberFormat="1" applyFont="1" applyFill="1" applyBorder="1" applyAlignment="1" applyProtection="1">
      <alignment horizontal="left"/>
      <protection locked="0"/>
    </xf>
    <xf numFmtId="1" fontId="12" fillId="3" borderId="395" xfId="0" applyNumberFormat="1" applyFont="1" applyFill="1" applyBorder="1" applyAlignment="1" applyProtection="1">
      <alignment horizontal="left"/>
      <protection locked="0"/>
    </xf>
    <xf numFmtId="37" fontId="12" fillId="3" borderId="396" xfId="0" applyNumberFormat="1" applyFont="1" applyFill="1" applyBorder="1" applyAlignment="1" applyProtection="1">
      <alignment horizontal="center"/>
      <protection locked="0"/>
    </xf>
    <xf numFmtId="1" fontId="12" fillId="3" borderId="421" xfId="0" applyNumberFormat="1" applyFont="1" applyFill="1" applyBorder="1" applyAlignment="1" applyProtection="1">
      <alignment horizontal="left"/>
      <protection locked="0"/>
    </xf>
    <xf numFmtId="37" fontId="12" fillId="3" borderId="422" xfId="0" applyNumberFormat="1" applyFont="1" applyFill="1" applyBorder="1" applyAlignment="1" applyProtection="1">
      <alignment horizontal="center"/>
      <protection locked="0"/>
    </xf>
    <xf numFmtId="1" fontId="12" fillId="3" borderId="681" xfId="0" applyNumberFormat="1" applyFont="1" applyFill="1" applyBorder="1" applyAlignment="1" applyProtection="1">
      <alignment horizontal="left"/>
      <protection locked="0"/>
    </xf>
    <xf numFmtId="1" fontId="12" fillId="3" borderId="683" xfId="0" applyNumberFormat="1" applyFont="1" applyFill="1" applyBorder="1" applyAlignment="1" applyProtection="1">
      <alignment horizontal="left"/>
      <protection locked="0"/>
    </xf>
    <xf numFmtId="1" fontId="12" fillId="3" borderId="410" xfId="0" applyNumberFormat="1" applyFont="1" applyFill="1" applyBorder="1" applyAlignment="1" applyProtection="1">
      <alignment horizontal="left"/>
      <protection locked="0"/>
    </xf>
    <xf numFmtId="37" fontId="12" fillId="3" borderId="406" xfId="0" applyNumberFormat="1" applyFont="1" applyFill="1" applyBorder="1" applyAlignment="1" applyProtection="1">
      <alignment horizontal="center"/>
      <protection locked="0"/>
    </xf>
    <xf numFmtId="1" fontId="12" fillId="3" borderId="115" xfId="0" applyNumberFormat="1" applyFont="1" applyFill="1" applyBorder="1" applyAlignment="1" applyProtection="1">
      <alignment horizontal="left"/>
      <protection locked="0"/>
    </xf>
    <xf numFmtId="1" fontId="12" fillId="3" borderId="427" xfId="0" applyNumberFormat="1" applyFont="1" applyFill="1" applyBorder="1" applyAlignment="1" applyProtection="1">
      <alignment horizontal="left"/>
      <protection locked="0"/>
    </xf>
    <xf numFmtId="1" fontId="12" fillId="3" borderId="413" xfId="0" applyNumberFormat="1" applyFont="1" applyFill="1" applyBorder="1" applyAlignment="1" applyProtection="1">
      <alignment horizontal="left"/>
      <protection locked="0"/>
    </xf>
    <xf numFmtId="1" fontId="12" fillId="3" borderId="591" xfId="0" applyNumberFormat="1" applyFont="1" applyFill="1" applyBorder="1" applyAlignment="1" applyProtection="1">
      <alignment horizontal="left"/>
      <protection locked="0"/>
    </xf>
    <xf numFmtId="37" fontId="12" fillId="3" borderId="594" xfId="0" applyNumberFormat="1" applyFont="1" applyFill="1" applyBorder="1" applyAlignment="1" applyProtection="1">
      <alignment horizontal="center"/>
      <protection locked="0"/>
    </xf>
    <xf numFmtId="37" fontId="12" fillId="3" borderId="593" xfId="0" applyNumberFormat="1" applyFont="1" applyFill="1" applyBorder="1" applyAlignment="1" applyProtection="1">
      <alignment horizontal="center"/>
      <protection locked="0"/>
    </xf>
    <xf numFmtId="0" fontId="12" fillId="3" borderId="176" xfId="6" applyFont="1" applyFill="1" applyBorder="1" applyAlignment="1" applyProtection="1">
      <alignment horizontal="center" vertical="center"/>
      <protection locked="0"/>
    </xf>
    <xf numFmtId="166" fontId="12" fillId="3" borderId="157" xfId="6" applyNumberFormat="1" applyFont="1" applyFill="1" applyBorder="1" applyAlignment="1" applyProtection="1">
      <alignment horizontal="center" vertical="center"/>
      <protection locked="0"/>
    </xf>
    <xf numFmtId="0" fontId="12" fillId="3" borderId="157" xfId="6" applyFont="1" applyFill="1" applyBorder="1" applyAlignment="1" applyProtection="1">
      <alignment horizontal="center" vertical="center"/>
      <protection locked="0"/>
    </xf>
    <xf numFmtId="2" fontId="20" fillId="3" borderId="382" xfId="6" applyNumberFormat="1" applyFont="1" applyFill="1" applyBorder="1" applyAlignment="1" applyProtection="1">
      <alignment horizontal="center" vertical="center"/>
      <protection locked="0"/>
    </xf>
    <xf numFmtId="0" fontId="12" fillId="3" borderId="2" xfId="6" applyFont="1" applyFill="1" applyBorder="1" applyAlignment="1" applyProtection="1">
      <alignment horizontal="center" vertical="center"/>
      <protection locked="0"/>
    </xf>
    <xf numFmtId="0" fontId="19" fillId="3" borderId="2" xfId="6" applyFont="1" applyFill="1" applyBorder="1" applyAlignment="1" applyProtection="1">
      <alignment horizontal="center" vertical="center"/>
      <protection locked="0"/>
    </xf>
    <xf numFmtId="2" fontId="20" fillId="3" borderId="177" xfId="6" applyNumberFormat="1" applyFont="1" applyFill="1" applyBorder="1" applyAlignment="1" applyProtection="1">
      <alignment horizontal="center" vertical="center"/>
      <protection locked="0"/>
    </xf>
    <xf numFmtId="0" fontId="19" fillId="3" borderId="176" xfId="6" applyFont="1" applyFill="1" applyBorder="1" applyAlignment="1" applyProtection="1">
      <alignment horizontal="center" vertical="center"/>
      <protection locked="0"/>
    </xf>
    <xf numFmtId="166" fontId="19" fillId="3" borderId="157" xfId="6" applyNumberFormat="1" applyFont="1" applyFill="1" applyBorder="1" applyAlignment="1" applyProtection="1">
      <alignment horizontal="center" vertical="center"/>
      <protection locked="0"/>
    </xf>
    <xf numFmtId="0" fontId="19" fillId="3" borderId="178" xfId="6" applyFont="1" applyFill="1" applyBorder="1" applyAlignment="1" applyProtection="1">
      <alignment horizontal="center" vertical="center"/>
      <protection locked="0"/>
    </xf>
    <xf numFmtId="166" fontId="19" fillId="3" borderId="179" xfId="6" applyNumberFormat="1" applyFont="1" applyFill="1" applyBorder="1" applyAlignment="1" applyProtection="1">
      <alignment horizontal="center" vertical="center"/>
      <protection locked="0"/>
    </xf>
    <xf numFmtId="2" fontId="20" fillId="3" borderId="180" xfId="6" applyNumberFormat="1" applyFont="1" applyFill="1" applyBorder="1" applyAlignment="1" applyProtection="1">
      <alignment horizontal="center" vertical="center"/>
      <protection locked="0"/>
    </xf>
    <xf numFmtId="2" fontId="20" fillId="3" borderId="35" xfId="6" applyNumberFormat="1" applyFont="1" applyFill="1" applyBorder="1" applyAlignment="1" applyProtection="1">
      <alignment horizontal="center" vertical="center"/>
      <protection locked="0"/>
    </xf>
    <xf numFmtId="37" fontId="20" fillId="3" borderId="7" xfId="6" applyNumberFormat="1" applyFont="1" applyFill="1" applyBorder="1" applyAlignment="1" applyProtection="1">
      <alignment horizontal="center" vertical="center"/>
      <protection locked="0"/>
    </xf>
    <xf numFmtId="1" fontId="12" fillId="3" borderId="1" xfId="6" applyNumberFormat="1" applyFont="1" applyFill="1" applyBorder="1" applyAlignment="1" applyProtection="1">
      <alignment vertical="center"/>
      <protection locked="0"/>
    </xf>
    <xf numFmtId="0" fontId="19" fillId="3" borderId="884" xfId="6" applyFont="1" applyFill="1" applyBorder="1" applyAlignment="1" applyProtection="1">
      <alignment horizontal="center" vertical="center"/>
      <protection locked="0"/>
    </xf>
    <xf numFmtId="0" fontId="19" fillId="3" borderId="885" xfId="6" applyFont="1" applyFill="1" applyBorder="1" applyAlignment="1" applyProtection="1">
      <alignment horizontal="center" vertical="center"/>
      <protection locked="0"/>
    </xf>
    <xf numFmtId="0" fontId="19" fillId="3" borderId="886" xfId="6" applyFont="1" applyFill="1" applyBorder="1" applyAlignment="1" applyProtection="1">
      <alignment horizontal="center" vertical="center"/>
      <protection locked="0"/>
    </xf>
    <xf numFmtId="0" fontId="12" fillId="3" borderId="0" xfId="6" applyFont="1" applyFill="1" applyBorder="1" applyAlignment="1" applyProtection="1">
      <alignment horizontal="center" vertical="center"/>
      <protection locked="0"/>
    </xf>
    <xf numFmtId="0" fontId="12" fillId="3" borderId="5" xfId="6" applyFont="1" applyFill="1" applyBorder="1" applyAlignment="1" applyProtection="1">
      <alignment horizontal="center" vertical="center"/>
      <protection locked="0"/>
    </xf>
    <xf numFmtId="0" fontId="12" fillId="3" borderId="45" xfId="6" applyFont="1" applyFill="1" applyBorder="1" applyAlignment="1" applyProtection="1">
      <alignment horizontal="center" vertical="center"/>
      <protection locked="0"/>
    </xf>
    <xf numFmtId="0" fontId="12" fillId="3" borderId="104" xfId="6" applyFont="1" applyFill="1" applyBorder="1" applyAlignment="1" applyProtection="1">
      <alignment horizontal="center" vertical="center"/>
      <protection locked="0"/>
    </xf>
    <xf numFmtId="0" fontId="12" fillId="3" borderId="43" xfId="6" applyFont="1" applyFill="1" applyBorder="1" applyAlignment="1" applyProtection="1">
      <alignment horizontal="center" vertical="center"/>
      <protection locked="0"/>
    </xf>
    <xf numFmtId="0" fontId="12" fillId="3" borderId="59" xfId="6" applyFont="1" applyFill="1" applyBorder="1" applyAlignment="1" applyProtection="1">
      <alignment horizontal="center" vertical="center"/>
      <protection locked="0"/>
    </xf>
    <xf numFmtId="0" fontId="12" fillId="3" borderId="90" xfId="6" applyFont="1" applyFill="1" applyBorder="1" applyAlignment="1" applyProtection="1">
      <alignment horizontal="center" vertical="center"/>
      <protection locked="0"/>
    </xf>
    <xf numFmtId="0" fontId="12" fillId="3" borderId="42" xfId="6" applyFont="1" applyFill="1" applyBorder="1" applyAlignment="1" applyProtection="1">
      <alignment horizontal="center" vertical="center"/>
      <protection locked="0"/>
    </xf>
    <xf numFmtId="0" fontId="12" fillId="3" borderId="55" xfId="6" applyFont="1" applyFill="1" applyBorder="1" applyAlignment="1" applyProtection="1">
      <alignment horizontal="center" vertical="center"/>
      <protection locked="0"/>
    </xf>
    <xf numFmtId="166" fontId="12" fillId="3" borderId="60" xfId="6" applyNumberFormat="1" applyFont="1" applyFill="1" applyBorder="1" applyAlignment="1" applyProtection="1">
      <alignment horizontal="center" vertical="center"/>
      <protection locked="0"/>
    </xf>
    <xf numFmtId="0" fontId="12" fillId="3" borderId="50" xfId="6" applyFont="1" applyFill="1" applyBorder="1" applyAlignment="1" applyProtection="1">
      <alignment horizontal="center" vertical="center"/>
      <protection locked="0"/>
    </xf>
    <xf numFmtId="0" fontId="12" fillId="3" borderId="60" xfId="6" applyFont="1" applyFill="1" applyBorder="1" applyAlignment="1" applyProtection="1">
      <alignment horizontal="center" vertical="center"/>
      <protection locked="0"/>
    </xf>
    <xf numFmtId="0" fontId="12" fillId="3" borderId="27" xfId="6" applyFont="1" applyFill="1" applyBorder="1" applyAlignment="1" applyProtection="1">
      <alignment horizontal="center" vertical="center"/>
      <protection locked="0"/>
    </xf>
    <xf numFmtId="37" fontId="12" fillId="3" borderId="25" xfId="0" applyNumberFormat="1" applyFont="1" applyFill="1" applyBorder="1" applyAlignment="1" applyProtection="1">
      <alignment horizontal="center" vertical="center"/>
      <protection locked="0"/>
    </xf>
    <xf numFmtId="0" fontId="12" fillId="3" borderId="9" xfId="6" applyFont="1" applyFill="1" applyBorder="1" applyAlignment="1" applyProtection="1">
      <alignment horizontal="center" vertical="center"/>
      <protection locked="0"/>
    </xf>
    <xf numFmtId="0" fontId="12" fillId="3" borderId="29" xfId="6" applyFont="1" applyFill="1" applyBorder="1" applyAlignment="1" applyProtection="1">
      <alignment horizontal="center" vertical="center"/>
      <protection locked="0"/>
    </xf>
    <xf numFmtId="0" fontId="12" fillId="3" borderId="57" xfId="6" applyFont="1" applyFill="1" applyBorder="1" applyAlignment="1" applyProtection="1">
      <alignment horizontal="center" vertical="center"/>
      <protection locked="0"/>
    </xf>
    <xf numFmtId="0" fontId="12" fillId="3" borderId="227" xfId="10" applyFont="1" applyFill="1" applyBorder="1" applyAlignment="1" applyProtection="1">
      <alignment horizontal="center" vertical="center"/>
      <protection locked="0"/>
    </xf>
    <xf numFmtId="0" fontId="12" fillId="3" borderId="228" xfId="10" applyFont="1" applyFill="1" applyBorder="1" applyAlignment="1" applyProtection="1">
      <alignment horizontal="center" vertical="center"/>
      <protection locked="0"/>
    </xf>
    <xf numFmtId="0" fontId="12" fillId="3" borderId="235" xfId="10" applyFont="1" applyFill="1" applyBorder="1" applyAlignment="1" applyProtection="1">
      <alignment horizontal="center" vertical="center"/>
      <protection locked="0"/>
    </xf>
    <xf numFmtId="0" fontId="12" fillId="3" borderId="745" xfId="10" applyFont="1" applyFill="1" applyBorder="1" applyAlignment="1" applyProtection="1">
      <alignment horizontal="center" vertical="center"/>
      <protection locked="0"/>
    </xf>
    <xf numFmtId="0" fontId="12" fillId="3" borderId="229" xfId="10" applyFont="1" applyFill="1" applyBorder="1" applyAlignment="1" applyProtection="1">
      <alignment horizontal="center" vertical="center"/>
      <protection locked="0"/>
    </xf>
    <xf numFmtId="0" fontId="12" fillId="3" borderId="230" xfId="10" applyFont="1" applyFill="1" applyBorder="1" applyAlignment="1" applyProtection="1">
      <alignment horizontal="center" vertical="center"/>
      <protection locked="0"/>
    </xf>
    <xf numFmtId="9" fontId="12" fillId="3" borderId="232" xfId="7" applyFont="1" applyFill="1" applyBorder="1" applyAlignment="1" applyProtection="1">
      <alignment horizontal="center" vertical="center"/>
      <protection locked="0"/>
    </xf>
    <xf numFmtId="9" fontId="12" fillId="3" borderId="233" xfId="7" applyFont="1" applyFill="1" applyBorder="1" applyAlignment="1" applyProtection="1">
      <alignment horizontal="center" vertical="center"/>
      <protection locked="0"/>
    </xf>
    <xf numFmtId="9" fontId="12" fillId="3" borderId="234" xfId="7" applyFont="1" applyFill="1" applyBorder="1" applyAlignment="1" applyProtection="1">
      <alignment horizontal="center" vertical="center"/>
      <protection locked="0"/>
    </xf>
    <xf numFmtId="0" fontId="12" fillId="3" borderId="231" xfId="10" applyFont="1" applyFill="1" applyBorder="1" applyAlignment="1" applyProtection="1">
      <alignment horizontal="center" vertical="center"/>
      <protection locked="0"/>
    </xf>
    <xf numFmtId="0" fontId="12" fillId="3" borderId="2" xfId="10" applyFont="1" applyFill="1" applyBorder="1" applyAlignment="1" applyProtection="1">
      <alignment horizontal="center" vertical="center"/>
      <protection locked="0"/>
    </xf>
    <xf numFmtId="0" fontId="12" fillId="3" borderId="251" xfId="10" applyFont="1" applyFill="1" applyBorder="1" applyAlignment="1" applyProtection="1">
      <alignment horizontal="center" vertical="center"/>
      <protection locked="0"/>
    </xf>
    <xf numFmtId="0" fontId="12" fillId="3" borderId="252" xfId="10" applyFont="1" applyFill="1" applyBorder="1" applyAlignment="1" applyProtection="1">
      <alignment horizontal="center" vertical="center"/>
      <protection locked="0"/>
    </xf>
    <xf numFmtId="0" fontId="12" fillId="3" borderId="253" xfId="10" applyFont="1" applyFill="1" applyBorder="1" applyAlignment="1" applyProtection="1">
      <alignment horizontal="center" vertical="center"/>
      <protection locked="0"/>
    </xf>
    <xf numFmtId="0" fontId="12" fillId="3" borderId="631" xfId="10" applyFont="1" applyFill="1" applyBorder="1" applyAlignment="1" applyProtection="1">
      <alignment horizontal="center" vertical="center"/>
      <protection locked="0"/>
    </xf>
    <xf numFmtId="0" fontId="12" fillId="3" borderId="632" xfId="10" applyFont="1" applyFill="1" applyBorder="1" applyAlignment="1" applyProtection="1">
      <alignment horizontal="center" vertical="center"/>
      <protection locked="0"/>
    </xf>
    <xf numFmtId="0" fontId="12" fillId="3" borderId="634" xfId="10" applyFont="1" applyFill="1" applyBorder="1" applyAlignment="1" applyProtection="1">
      <alignment horizontal="center" vertical="center"/>
      <protection locked="0"/>
    </xf>
    <xf numFmtId="0" fontId="12" fillId="3" borderId="220" xfId="10" applyFont="1" applyFill="1" applyBorder="1" applyAlignment="1" applyProtection="1">
      <alignment horizontal="center" vertical="center"/>
      <protection locked="0"/>
    </xf>
    <xf numFmtId="0" fontId="12" fillId="3" borderId="211" xfId="10" applyFont="1" applyFill="1" applyBorder="1" applyAlignment="1" applyProtection="1">
      <alignment horizontal="center" vertical="center"/>
      <protection locked="0"/>
    </xf>
    <xf numFmtId="0" fontId="12" fillId="3" borderId="221" xfId="10" applyFont="1" applyFill="1" applyBorder="1" applyAlignment="1" applyProtection="1">
      <alignment horizontal="center" vertical="center"/>
      <protection locked="0"/>
    </xf>
    <xf numFmtId="0" fontId="12" fillId="3" borderId="740" xfId="10" applyFont="1" applyFill="1" applyBorder="1" applyAlignment="1" applyProtection="1">
      <alignment horizontal="center" vertical="center"/>
      <protection locked="0"/>
    </xf>
    <xf numFmtId="0" fontId="12" fillId="3" borderId="741" xfId="10" applyFont="1" applyFill="1" applyBorder="1" applyAlignment="1" applyProtection="1">
      <alignment horizontal="center" vertical="center"/>
      <protection locked="0"/>
    </xf>
    <xf numFmtId="0" fontId="12" fillId="3" borderId="742" xfId="10" applyFont="1" applyFill="1" applyBorder="1" applyAlignment="1" applyProtection="1">
      <alignment horizontal="center" vertical="center"/>
      <protection locked="0"/>
    </xf>
    <xf numFmtId="0" fontId="12" fillId="3" borderId="240" xfId="10" applyFont="1" applyFill="1" applyBorder="1" applyAlignment="1" applyProtection="1">
      <alignment horizontal="center" vertical="center"/>
      <protection locked="0"/>
    </xf>
    <xf numFmtId="0" fontId="12" fillId="3" borderId="241" xfId="10" applyFont="1" applyFill="1" applyBorder="1" applyAlignment="1" applyProtection="1">
      <alignment horizontal="center" vertical="center"/>
      <protection locked="0"/>
    </xf>
    <xf numFmtId="0" fontId="12" fillId="3" borderId="242" xfId="10" applyFont="1" applyFill="1" applyBorder="1" applyAlignment="1" applyProtection="1">
      <alignment horizontal="center" vertical="center"/>
      <protection locked="0"/>
    </xf>
    <xf numFmtId="166" fontId="12" fillId="3" borderId="226" xfId="10" applyNumberFormat="1" applyFont="1" applyFill="1" applyBorder="1" applyAlignment="1" applyProtection="1">
      <alignment horizontal="center" vertical="center"/>
      <protection locked="0"/>
    </xf>
    <xf numFmtId="166" fontId="12" fillId="3" borderId="227" xfId="10" applyNumberFormat="1" applyFont="1" applyFill="1" applyBorder="1" applyAlignment="1" applyProtection="1">
      <alignment horizontal="center" vertical="center"/>
      <protection locked="0"/>
    </xf>
    <xf numFmtId="166" fontId="12" fillId="3" borderId="228" xfId="10" applyNumberFormat="1" applyFont="1" applyFill="1" applyBorder="1" applyAlignment="1" applyProtection="1">
      <alignment horizontal="center" vertical="center"/>
      <protection locked="0"/>
    </xf>
    <xf numFmtId="10" fontId="12" fillId="3" borderId="229" xfId="7" applyNumberFormat="1" applyFont="1" applyFill="1" applyBorder="1" applyAlignment="1" applyProtection="1">
      <alignment horizontal="center" vertical="center"/>
      <protection locked="0"/>
    </xf>
    <xf numFmtId="10" fontId="12" fillId="3" borderId="230" xfId="7" applyNumberFormat="1" applyFont="1" applyFill="1" applyBorder="1" applyAlignment="1" applyProtection="1">
      <alignment horizontal="center" vertical="center"/>
      <protection locked="0"/>
    </xf>
    <xf numFmtId="10" fontId="12" fillId="3" borderId="231" xfId="7" applyNumberFormat="1" applyFont="1" applyFill="1" applyBorder="1" applyAlignment="1" applyProtection="1">
      <alignment horizontal="center" vertical="center"/>
      <protection locked="0"/>
    </xf>
    <xf numFmtId="37" fontId="12" fillId="3" borderId="229" xfId="10" applyNumberFormat="1" applyFont="1" applyFill="1" applyBorder="1" applyAlignment="1" applyProtection="1">
      <alignment horizontal="center" vertical="center"/>
      <protection locked="0"/>
    </xf>
    <xf numFmtId="37" fontId="12" fillId="3" borderId="230" xfId="10" applyNumberFormat="1" applyFont="1" applyFill="1" applyBorder="1" applyAlignment="1" applyProtection="1">
      <alignment horizontal="center" vertical="center"/>
      <protection locked="0"/>
    </xf>
    <xf numFmtId="37" fontId="12" fillId="3" borderId="231" xfId="10" applyNumberFormat="1" applyFont="1" applyFill="1" applyBorder="1" applyAlignment="1" applyProtection="1">
      <alignment horizontal="center" vertical="center"/>
      <protection locked="0"/>
    </xf>
    <xf numFmtId="37" fontId="12" fillId="3" borderId="232" xfId="10" applyNumberFormat="1" applyFont="1" applyFill="1" applyBorder="1" applyAlignment="1" applyProtection="1">
      <alignment horizontal="center" vertical="center"/>
      <protection locked="0"/>
    </xf>
    <xf numFmtId="37" fontId="12" fillId="3" borderId="233" xfId="10" applyNumberFormat="1" applyFont="1" applyFill="1" applyBorder="1" applyAlignment="1" applyProtection="1">
      <alignment horizontal="center" vertical="center"/>
      <protection locked="0"/>
    </xf>
    <xf numFmtId="37" fontId="12" fillId="3" borderId="234" xfId="10" applyNumberFormat="1" applyFont="1" applyFill="1" applyBorder="1" applyAlignment="1" applyProtection="1">
      <alignment horizontal="center" vertical="center"/>
      <protection locked="0"/>
    </xf>
    <xf numFmtId="0" fontId="12" fillId="3" borderId="2" xfId="10" applyFont="1" applyFill="1" applyBorder="1" applyAlignment="1" applyProtection="1">
      <alignment horizontal="left" vertical="center"/>
      <protection locked="0"/>
    </xf>
    <xf numFmtId="0" fontId="12" fillId="3" borderId="55" xfId="10" applyFont="1" applyFill="1" applyBorder="1" applyAlignment="1" applyProtection="1">
      <alignment horizontal="center" vertical="center"/>
      <protection locked="0"/>
    </xf>
    <xf numFmtId="0" fontId="12" fillId="3" borderId="59" xfId="10" applyFont="1" applyFill="1" applyBorder="1" applyAlignment="1" applyProtection="1">
      <alignment horizontal="center" vertical="center"/>
      <protection locked="0"/>
    </xf>
    <xf numFmtId="1" fontId="12" fillId="3" borderId="270" xfId="10" applyNumberFormat="1" applyFont="1" applyFill="1" applyBorder="1" applyAlignment="1" applyProtection="1">
      <alignment horizontal="center" vertical="center"/>
      <protection locked="0"/>
    </xf>
    <xf numFmtId="1" fontId="12" fillId="3" borderId="271" xfId="10" applyNumberFormat="1" applyFont="1" applyFill="1" applyBorder="1" applyAlignment="1" applyProtection="1">
      <alignment horizontal="center" vertical="center"/>
      <protection locked="0"/>
    </xf>
    <xf numFmtId="1" fontId="31" fillId="3" borderId="271" xfId="10" applyNumberFormat="1" applyFont="1" applyFill="1" applyBorder="1" applyAlignment="1" applyProtection="1">
      <alignment horizontal="center" vertical="center"/>
      <protection locked="0"/>
    </xf>
    <xf numFmtId="1" fontId="12" fillId="3" borderId="272" xfId="10" applyNumberFormat="1" applyFont="1" applyFill="1" applyBorder="1" applyAlignment="1" applyProtection="1">
      <alignment horizontal="center" vertical="center"/>
      <protection locked="0"/>
    </xf>
    <xf numFmtId="1" fontId="12" fillId="3" borderId="275" xfId="10" applyNumberFormat="1" applyFont="1" applyFill="1" applyBorder="1" applyAlignment="1" applyProtection="1">
      <alignment horizontal="center" vertical="center"/>
      <protection locked="0"/>
    </xf>
    <xf numFmtId="1" fontId="12" fillId="3" borderId="276" xfId="10" applyNumberFormat="1" applyFont="1" applyFill="1" applyBorder="1" applyAlignment="1" applyProtection="1">
      <alignment horizontal="center" vertical="center"/>
      <protection locked="0"/>
    </xf>
    <xf numFmtId="1" fontId="31" fillId="3" borderId="276" xfId="10" applyNumberFormat="1" applyFont="1" applyFill="1" applyBorder="1" applyAlignment="1" applyProtection="1">
      <alignment horizontal="center" vertical="center"/>
      <protection locked="0"/>
    </xf>
    <xf numFmtId="1" fontId="12" fillId="3" borderId="277" xfId="10" applyNumberFormat="1" applyFont="1" applyFill="1" applyBorder="1" applyAlignment="1" applyProtection="1">
      <alignment horizontal="center" vertical="center"/>
      <protection locked="0"/>
    </xf>
    <xf numFmtId="0" fontId="12" fillId="3" borderId="946" xfId="10" applyFont="1" applyFill="1" applyBorder="1" applyAlignment="1" applyProtection="1">
      <alignment horizontal="center" vertical="center"/>
      <protection locked="0"/>
    </xf>
    <xf numFmtId="0" fontId="12" fillId="3" borderId="947" xfId="10" applyFont="1" applyFill="1" applyBorder="1" applyAlignment="1" applyProtection="1">
      <alignment horizontal="center" vertical="center"/>
      <protection locked="0"/>
    </xf>
    <xf numFmtId="166" fontId="19" fillId="3" borderId="949" xfId="7" applyNumberFormat="1" applyFont="1" applyFill="1" applyBorder="1" applyAlignment="1" applyProtection="1">
      <alignment horizontal="center" vertical="center"/>
      <protection locked="0"/>
    </xf>
    <xf numFmtId="166" fontId="19" fillId="3" borderId="950" xfId="7" applyNumberFormat="1" applyFont="1" applyFill="1" applyBorder="1" applyAlignment="1" applyProtection="1">
      <alignment horizontal="center" vertical="center"/>
      <protection locked="0"/>
    </xf>
    <xf numFmtId="1" fontId="12" fillId="3" borderId="284" xfId="10" applyNumberFormat="1" applyFont="1" applyFill="1" applyBorder="1" applyAlignment="1" applyProtection="1">
      <alignment horizontal="center" vertical="center"/>
      <protection locked="0"/>
    </xf>
    <xf numFmtId="1" fontId="12" fillId="3" borderId="631" xfId="10" applyNumberFormat="1" applyFont="1" applyFill="1" applyBorder="1" applyAlignment="1" applyProtection="1">
      <alignment horizontal="center" vertical="center"/>
      <protection locked="0"/>
    </xf>
    <xf numFmtId="1" fontId="12" fillId="3" borderId="632" xfId="10" applyNumberFormat="1" applyFont="1" applyFill="1" applyBorder="1" applyAlignment="1" applyProtection="1">
      <alignment horizontal="center" vertical="center"/>
      <protection locked="0"/>
    </xf>
    <xf numFmtId="1" fontId="12" fillId="3" borderId="634" xfId="10" applyNumberFormat="1" applyFont="1" applyFill="1" applyBorder="1" applyAlignment="1" applyProtection="1">
      <alignment horizontal="center" vertical="center"/>
      <protection locked="0"/>
    </xf>
    <xf numFmtId="0" fontId="11" fillId="3" borderId="635" xfId="10" applyFont="1" applyFill="1" applyBorder="1" applyAlignment="1" applyProtection="1">
      <alignment horizontal="center" vertical="center"/>
      <protection locked="0"/>
    </xf>
    <xf numFmtId="0" fontId="11" fillId="3" borderId="225" xfId="10" applyFont="1" applyFill="1" applyBorder="1" applyAlignment="1" applyProtection="1">
      <alignment horizontal="center" vertical="center"/>
      <protection locked="0"/>
    </xf>
    <xf numFmtId="0" fontId="11" fillId="3" borderId="618" xfId="10" applyFont="1" applyFill="1" applyBorder="1" applyAlignment="1" applyProtection="1">
      <alignment horizontal="center" vertical="center"/>
      <protection locked="0"/>
    </xf>
    <xf numFmtId="0" fontId="11" fillId="3" borderId="271" xfId="10" applyFont="1" applyFill="1" applyBorder="1" applyAlignment="1" applyProtection="1">
      <alignment horizontal="center" vertical="center"/>
      <protection locked="0"/>
    </xf>
    <xf numFmtId="0" fontId="11" fillId="3" borderId="272" xfId="10" applyFont="1" applyFill="1" applyBorder="1" applyAlignment="1" applyProtection="1">
      <alignment horizontal="center" vertical="center"/>
      <protection locked="0"/>
    </xf>
    <xf numFmtId="0" fontId="11" fillId="3" borderId="637" xfId="10" applyFont="1" applyFill="1" applyBorder="1" applyAlignment="1" applyProtection="1">
      <alignment horizontal="center" vertical="center"/>
      <protection locked="0"/>
    </xf>
    <xf numFmtId="0" fontId="11" fillId="3" borderId="308" xfId="10" applyFont="1" applyFill="1" applyBorder="1" applyAlignment="1" applyProtection="1">
      <alignment horizontal="center" vertical="center"/>
      <protection locked="0"/>
    </xf>
    <xf numFmtId="0" fontId="11" fillId="3" borderId="640" xfId="10" applyFont="1" applyFill="1" applyBorder="1" applyAlignment="1" applyProtection="1">
      <alignment horizontal="center" vertical="center"/>
      <protection locked="0"/>
    </xf>
    <xf numFmtId="0" fontId="11" fillId="3" borderId="306" xfId="10" applyFont="1" applyFill="1" applyBorder="1" applyAlignment="1" applyProtection="1">
      <alignment horizontal="center" vertical="center"/>
      <protection locked="0"/>
    </xf>
    <xf numFmtId="0" fontId="11" fillId="3" borderId="309" xfId="10" applyFont="1" applyFill="1" applyBorder="1" applyAlignment="1" applyProtection="1">
      <alignment horizontal="center" vertical="center"/>
      <protection locked="0"/>
    </xf>
    <xf numFmtId="0" fontId="11" fillId="3" borderId="276" xfId="10" applyFont="1" applyFill="1" applyBorder="1" applyAlignment="1" applyProtection="1">
      <alignment horizontal="center" vertical="center"/>
      <protection locked="0"/>
    </xf>
    <xf numFmtId="0" fontId="11" fillId="3" borderId="277" xfId="10" applyFont="1" applyFill="1" applyBorder="1" applyAlignment="1" applyProtection="1">
      <alignment horizontal="center" vertical="center"/>
      <protection locked="0"/>
    </xf>
    <xf numFmtId="0" fontId="12" fillId="3" borderId="279" xfId="10" applyFont="1" applyFill="1" applyBorder="1" applyAlignment="1" applyProtection="1">
      <alignment horizontal="center" vertical="center"/>
      <protection locked="0"/>
    </xf>
    <xf numFmtId="0" fontId="12" fillId="3" borderId="620" xfId="10" applyFont="1" applyFill="1" applyBorder="1" applyAlignment="1" applyProtection="1">
      <alignment horizontal="center" vertical="center"/>
      <protection locked="0"/>
    </xf>
    <xf numFmtId="165" fontId="12" fillId="3" borderId="226" xfId="10" applyNumberFormat="1" applyFont="1" applyFill="1" applyBorder="1" applyAlignment="1" applyProtection="1">
      <alignment horizontal="center" vertical="center"/>
      <protection locked="0"/>
    </xf>
    <xf numFmtId="165" fontId="12" fillId="3" borderId="227" xfId="10" applyNumberFormat="1" applyFont="1" applyFill="1" applyBorder="1" applyAlignment="1" applyProtection="1">
      <alignment horizontal="center" vertical="center"/>
      <protection locked="0"/>
    </xf>
    <xf numFmtId="165" fontId="12" fillId="3" borderId="228" xfId="10" applyNumberFormat="1" applyFont="1" applyFill="1" applyBorder="1" applyAlignment="1" applyProtection="1">
      <alignment horizontal="center" vertical="center"/>
      <protection locked="0"/>
    </xf>
    <xf numFmtId="0" fontId="12" fillId="3" borderId="338" xfId="10" applyFont="1" applyFill="1" applyBorder="1" applyAlignment="1" applyProtection="1">
      <alignment horizontal="center" vertical="center"/>
      <protection locked="0"/>
    </xf>
    <xf numFmtId="0" fontId="12" fillId="3" borderId="329" xfId="10" applyFont="1" applyFill="1" applyBorder="1" applyAlignment="1" applyProtection="1">
      <alignment horizontal="center" vertical="center"/>
      <protection locked="0"/>
    </xf>
    <xf numFmtId="0" fontId="12" fillId="3" borderId="330" xfId="10" applyFont="1" applyFill="1" applyBorder="1" applyAlignment="1" applyProtection="1">
      <alignment horizontal="center" vertical="center"/>
      <protection locked="0"/>
    </xf>
    <xf numFmtId="166" fontId="12" fillId="3" borderId="342" xfId="10" applyNumberFormat="1" applyFont="1" applyFill="1" applyBorder="1" applyAlignment="1" applyProtection="1">
      <alignment horizontal="center" vertical="center"/>
      <protection locked="0"/>
    </xf>
    <xf numFmtId="166" fontId="12" fillId="3" borderId="241" xfId="10" applyNumberFormat="1" applyFont="1" applyFill="1" applyBorder="1" applyAlignment="1" applyProtection="1">
      <alignment horizontal="center" vertical="center"/>
      <protection locked="0"/>
    </xf>
    <xf numFmtId="166" fontId="12" fillId="3" borderId="242" xfId="10" applyNumberFormat="1" applyFont="1" applyFill="1" applyBorder="1" applyAlignment="1" applyProtection="1">
      <alignment horizontal="center" vertical="center"/>
      <protection locked="0"/>
    </xf>
    <xf numFmtId="166" fontId="19" fillId="3" borderId="331" xfId="10" applyNumberFormat="1" applyFont="1" applyFill="1" applyBorder="1" applyAlignment="1" applyProtection="1">
      <alignment horizontal="center" vertical="center"/>
      <protection locked="0"/>
    </xf>
    <xf numFmtId="166" fontId="19" fillId="3" borderId="245" xfId="10" applyNumberFormat="1" applyFont="1" applyFill="1" applyBorder="1" applyAlignment="1" applyProtection="1">
      <alignment horizontal="center" vertical="center"/>
      <protection locked="0"/>
    </xf>
    <xf numFmtId="166" fontId="19" fillId="3" borderId="246" xfId="10" applyNumberFormat="1" applyFont="1" applyFill="1" applyBorder="1" applyAlignment="1" applyProtection="1">
      <alignment horizontal="center" vertical="center"/>
      <protection locked="0"/>
    </xf>
    <xf numFmtId="166" fontId="12" fillId="3" borderId="345" xfId="10" applyNumberFormat="1" applyFont="1" applyFill="1" applyBorder="1" applyAlignment="1" applyProtection="1">
      <alignment horizontal="center" vertical="center"/>
      <protection locked="0"/>
    </xf>
    <xf numFmtId="166" fontId="12" fillId="3" borderId="245" xfId="10" applyNumberFormat="1" applyFont="1" applyFill="1" applyBorder="1" applyAlignment="1" applyProtection="1">
      <alignment horizontal="center" vertical="center"/>
      <protection locked="0"/>
    </xf>
    <xf numFmtId="1" fontId="12" fillId="3" borderId="240" xfId="10" applyNumberFormat="1" applyFont="1" applyFill="1" applyBorder="1" applyAlignment="1" applyProtection="1">
      <alignment horizontal="center" vertical="center"/>
      <protection locked="0"/>
    </xf>
    <xf numFmtId="1" fontId="12" fillId="3" borderId="241" xfId="10" applyNumberFormat="1" applyFont="1" applyFill="1" applyBorder="1" applyAlignment="1" applyProtection="1">
      <alignment horizontal="center" vertical="center"/>
      <protection locked="0"/>
    </xf>
    <xf numFmtId="1" fontId="12" fillId="3" borderId="242" xfId="10" applyNumberFormat="1" applyFont="1" applyFill="1" applyBorder="1" applyAlignment="1" applyProtection="1">
      <alignment horizontal="center" vertical="center"/>
      <protection locked="0"/>
    </xf>
    <xf numFmtId="166" fontId="12" fillId="3" borderId="257" xfId="10" applyNumberFormat="1" applyFont="1" applyFill="1" applyBorder="1" applyAlignment="1" applyProtection="1">
      <alignment horizontal="center" vertical="center"/>
      <protection locked="0"/>
    </xf>
    <xf numFmtId="166" fontId="12" fillId="3" borderId="258" xfId="10" applyNumberFormat="1" applyFont="1" applyFill="1" applyBorder="1" applyAlignment="1" applyProtection="1">
      <alignment horizontal="center" vertical="center"/>
      <protection locked="0"/>
    </xf>
    <xf numFmtId="0" fontId="12" fillId="3" borderId="222" xfId="10" applyFont="1" applyFill="1" applyBorder="1" applyAlignment="1" applyProtection="1">
      <alignment horizontal="center" vertical="center"/>
      <protection locked="0"/>
    </xf>
    <xf numFmtId="0" fontId="12" fillId="3" borderId="223" xfId="10" applyFont="1" applyFill="1" applyBorder="1" applyAlignment="1" applyProtection="1">
      <alignment horizontal="center" vertical="center"/>
      <protection locked="0"/>
    </xf>
    <xf numFmtId="0" fontId="12" fillId="3" borderId="224" xfId="10" applyFont="1" applyFill="1" applyBorder="1" applyAlignment="1" applyProtection="1">
      <alignment horizontal="center" vertical="center"/>
      <protection locked="0"/>
    </xf>
    <xf numFmtId="0" fontId="12" fillId="3" borderId="351" xfId="10" applyFont="1" applyFill="1" applyBorder="1" applyAlignment="1" applyProtection="1">
      <alignment horizontal="center" vertical="center"/>
      <protection locked="0"/>
    </xf>
    <xf numFmtId="0" fontId="12" fillId="3" borderId="352" xfId="10" applyFont="1" applyFill="1" applyBorder="1" applyAlignment="1" applyProtection="1">
      <alignment horizontal="center" vertical="center"/>
      <protection locked="0"/>
    </xf>
    <xf numFmtId="0" fontId="12" fillId="3" borderId="353" xfId="10" applyFont="1" applyFill="1" applyBorder="1" applyAlignment="1" applyProtection="1">
      <alignment horizontal="center" vertical="center"/>
      <protection locked="0"/>
    </xf>
    <xf numFmtId="165" fontId="11" fillId="3" borderId="226" xfId="10" applyNumberFormat="1" applyFont="1" applyFill="1" applyBorder="1" applyAlignment="1" applyProtection="1">
      <alignment horizontal="center" vertical="center"/>
      <protection locked="0"/>
    </xf>
    <xf numFmtId="165" fontId="11" fillId="3" borderId="227" xfId="10" applyNumberFormat="1" applyFont="1" applyFill="1" applyBorder="1" applyAlignment="1" applyProtection="1">
      <alignment horizontal="center" vertical="center"/>
      <protection locked="0"/>
    </xf>
    <xf numFmtId="165" fontId="11" fillId="3" borderId="228" xfId="10" applyNumberFormat="1" applyFont="1" applyFill="1" applyBorder="1" applyAlignment="1" applyProtection="1">
      <alignment horizontal="center" vertical="center"/>
      <protection locked="0"/>
    </xf>
    <xf numFmtId="0" fontId="12" fillId="3" borderId="256" xfId="10" applyFont="1" applyFill="1" applyBorder="1" applyAlignment="1" applyProtection="1">
      <alignment horizontal="center" vertical="center"/>
      <protection locked="0"/>
    </xf>
    <xf numFmtId="0" fontId="12" fillId="3" borderId="257" xfId="10" applyFont="1" applyFill="1" applyBorder="1" applyAlignment="1" applyProtection="1">
      <alignment horizontal="center" vertical="center"/>
      <protection locked="0"/>
    </xf>
    <xf numFmtId="0" fontId="12" fillId="3" borderId="258" xfId="10" applyFont="1" applyFill="1" applyBorder="1" applyAlignment="1" applyProtection="1">
      <alignment horizontal="center" vertical="center"/>
      <protection locked="0"/>
    </xf>
    <xf numFmtId="165" fontId="12" fillId="3" borderId="666" xfId="10" applyNumberFormat="1" applyFont="1" applyFill="1" applyBorder="1" applyAlignment="1" applyProtection="1">
      <alignment horizontal="center" vertical="center"/>
      <protection locked="0"/>
    </xf>
    <xf numFmtId="165" fontId="12" fillId="3" borderId="655" xfId="10" applyNumberFormat="1" applyFont="1" applyFill="1" applyBorder="1" applyAlignment="1" applyProtection="1">
      <alignment horizontal="center" vertical="center"/>
      <protection locked="0"/>
    </xf>
    <xf numFmtId="165" fontId="12" fillId="3" borderId="656" xfId="10" applyNumberFormat="1" applyFont="1" applyFill="1" applyBorder="1" applyAlignment="1" applyProtection="1">
      <alignment horizontal="center" vertical="center"/>
      <protection locked="0"/>
    </xf>
    <xf numFmtId="0" fontId="12" fillId="3" borderId="217" xfId="10" applyFont="1" applyFill="1" applyBorder="1" applyAlignment="1" applyProtection="1">
      <alignment horizontal="center" vertical="center"/>
      <protection locked="0"/>
    </xf>
    <xf numFmtId="0" fontId="12" fillId="3" borderId="218" xfId="10" applyFont="1" applyFill="1" applyBorder="1" applyAlignment="1" applyProtection="1">
      <alignment horizontal="center" vertical="center"/>
      <protection locked="0"/>
    </xf>
    <xf numFmtId="0" fontId="12" fillId="3" borderId="219" xfId="10" applyFont="1" applyFill="1" applyBorder="1" applyAlignment="1" applyProtection="1">
      <alignment horizontal="center" vertical="center"/>
      <protection locked="0"/>
    </xf>
    <xf numFmtId="0" fontId="12" fillId="3" borderId="913" xfId="10" applyFont="1" applyFill="1" applyBorder="1" applyAlignment="1" applyProtection="1">
      <alignment horizontal="center" vertical="center"/>
      <protection locked="0"/>
    </xf>
    <xf numFmtId="0" fontId="12" fillId="3" borderId="914" xfId="10" applyFont="1" applyFill="1" applyBorder="1" applyAlignment="1" applyProtection="1">
      <alignment horizontal="center" vertical="center"/>
      <protection locked="0"/>
    </xf>
    <xf numFmtId="0" fontId="12" fillId="3" borderId="915" xfId="10" applyFont="1" applyFill="1" applyBorder="1" applyAlignment="1" applyProtection="1">
      <alignment horizontal="center" vertical="center"/>
      <protection locked="0"/>
    </xf>
    <xf numFmtId="165" fontId="12" fillId="3" borderId="910" xfId="10" applyNumberFormat="1" applyFont="1" applyFill="1" applyBorder="1" applyAlignment="1" applyProtection="1">
      <alignment horizontal="center" vertical="center"/>
      <protection locked="0"/>
    </xf>
    <xf numFmtId="165" fontId="12" fillId="3" borderId="911" xfId="10" applyNumberFormat="1" applyFont="1" applyFill="1" applyBorder="1" applyAlignment="1" applyProtection="1">
      <alignment horizontal="center" vertical="center"/>
      <protection locked="0"/>
    </xf>
    <xf numFmtId="165" fontId="12" fillId="3" borderId="912" xfId="10" applyNumberFormat="1" applyFont="1" applyFill="1" applyBorder="1" applyAlignment="1" applyProtection="1">
      <alignment horizontal="center" vertical="center"/>
      <protection locked="0"/>
    </xf>
    <xf numFmtId="0" fontId="12" fillId="3" borderId="368" xfId="10" applyFont="1" applyFill="1" applyBorder="1" applyAlignment="1" applyProtection="1">
      <alignment horizontal="center" vertical="center"/>
      <protection locked="0"/>
    </xf>
    <xf numFmtId="166" fontId="12" fillId="3" borderId="218" xfId="10" applyNumberFormat="1" applyFont="1" applyFill="1" applyBorder="1" applyAlignment="1" applyProtection="1">
      <alignment horizontal="center" vertical="center"/>
      <protection locked="0"/>
    </xf>
    <xf numFmtId="166" fontId="19" fillId="3" borderId="369" xfId="10" applyNumberFormat="1" applyFont="1" applyFill="1" applyBorder="1" applyAlignment="1" applyProtection="1">
      <alignment horizontal="center" vertical="center"/>
      <protection locked="0"/>
    </xf>
    <xf numFmtId="166" fontId="12" fillId="3" borderId="369" xfId="10" applyNumberFormat="1" applyFont="1" applyFill="1" applyBorder="1" applyAlignment="1" applyProtection="1">
      <alignment horizontal="center" vertical="center"/>
      <protection locked="0"/>
    </xf>
    <xf numFmtId="170" fontId="12" fillId="3" borderId="760" xfId="0" applyNumberFormat="1" applyFont="1" applyFill="1" applyBorder="1" applyAlignment="1" applyProtection="1">
      <alignment horizontal="center"/>
      <protection locked="0"/>
    </xf>
    <xf numFmtId="170" fontId="12" fillId="3" borderId="761" xfId="0" applyNumberFormat="1" applyFont="1" applyFill="1" applyBorder="1" applyAlignment="1" applyProtection="1">
      <alignment horizontal="center"/>
      <protection locked="0"/>
    </xf>
    <xf numFmtId="170" fontId="12" fillId="3" borderId="762" xfId="0" applyNumberFormat="1" applyFont="1" applyFill="1" applyBorder="1" applyAlignment="1" applyProtection="1">
      <alignment horizontal="center"/>
      <protection locked="0"/>
    </xf>
    <xf numFmtId="170" fontId="12" fillId="3" borderId="763" xfId="0" applyNumberFormat="1" applyFont="1" applyFill="1" applyBorder="1" applyAlignment="1" applyProtection="1">
      <alignment horizontal="center"/>
      <protection locked="0"/>
    </xf>
    <xf numFmtId="170" fontId="12" fillId="3" borderId="764" xfId="0" applyNumberFormat="1" applyFont="1" applyFill="1" applyBorder="1" applyAlignment="1" applyProtection="1">
      <alignment horizontal="center"/>
      <protection locked="0"/>
    </xf>
    <xf numFmtId="170" fontId="12" fillId="3" borderId="765" xfId="0" applyNumberFormat="1" applyFont="1" applyFill="1" applyBorder="1" applyAlignment="1" applyProtection="1">
      <alignment horizontal="center"/>
      <protection locked="0"/>
    </xf>
    <xf numFmtId="9" fontId="12" fillId="3" borderId="0" xfId="7" applyFont="1" applyFill="1" applyBorder="1" applyAlignment="1" applyProtection="1">
      <alignment horizontal="center"/>
      <protection locked="0"/>
    </xf>
    <xf numFmtId="170" fontId="12" fillId="3" borderId="757" xfId="0" applyNumberFormat="1" applyFont="1" applyFill="1" applyBorder="1" applyAlignment="1" applyProtection="1">
      <alignment horizontal="center"/>
      <protection locked="0"/>
    </xf>
    <xf numFmtId="170" fontId="12" fillId="3" borderId="758" xfId="0" applyNumberFormat="1" applyFont="1" applyFill="1" applyBorder="1" applyAlignment="1" applyProtection="1">
      <alignment horizontal="center"/>
      <protection locked="0"/>
    </xf>
    <xf numFmtId="170" fontId="12" fillId="3" borderId="759" xfId="0" applyNumberFormat="1" applyFont="1" applyFill="1" applyBorder="1" applyAlignment="1" applyProtection="1">
      <alignment horizontal="center"/>
      <protection locked="0"/>
    </xf>
    <xf numFmtId="9" fontId="12" fillId="3" borderId="775" xfId="7" applyFont="1" applyFill="1" applyBorder="1" applyAlignment="1" applyProtection="1">
      <alignment horizontal="center"/>
      <protection locked="0"/>
    </xf>
    <xf numFmtId="9" fontId="12" fillId="3" borderId="776" xfId="7" applyFont="1" applyFill="1" applyBorder="1" applyAlignment="1" applyProtection="1">
      <alignment horizontal="center"/>
      <protection locked="0"/>
    </xf>
    <xf numFmtId="9" fontId="12" fillId="3" borderId="777" xfId="7" applyFont="1" applyFill="1" applyBorder="1" applyAlignment="1" applyProtection="1">
      <alignment horizontal="center"/>
      <protection locked="0"/>
    </xf>
    <xf numFmtId="9" fontId="12" fillId="3" borderId="772" xfId="7" applyFont="1" applyFill="1" applyBorder="1" applyAlignment="1" applyProtection="1">
      <alignment horizontal="center"/>
      <protection locked="0"/>
    </xf>
    <xf numFmtId="9" fontId="12" fillId="3" borderId="773" xfId="7" applyFont="1" applyFill="1" applyBorder="1" applyAlignment="1" applyProtection="1">
      <alignment horizontal="center"/>
      <protection locked="0"/>
    </xf>
    <xf numFmtId="9" fontId="12" fillId="3" borderId="774" xfId="7" applyFont="1" applyFill="1" applyBorder="1" applyAlignment="1" applyProtection="1">
      <alignment horizontal="center"/>
      <protection locked="0"/>
    </xf>
    <xf numFmtId="9" fontId="12" fillId="3" borderId="778" xfId="7" applyFont="1" applyFill="1" applyBorder="1" applyAlignment="1" applyProtection="1">
      <alignment horizontal="center"/>
      <protection locked="0"/>
    </xf>
    <xf numFmtId="9" fontId="12" fillId="3" borderId="212" xfId="7" applyFont="1" applyFill="1" applyBorder="1" applyAlignment="1" applyProtection="1">
      <alignment horizontal="center"/>
      <protection locked="0"/>
    </xf>
    <xf numFmtId="9" fontId="12" fillId="3" borderId="779" xfId="7" applyFont="1" applyFill="1" applyBorder="1" applyAlignment="1" applyProtection="1">
      <alignment horizontal="center"/>
      <protection locked="0"/>
    </xf>
    <xf numFmtId="9" fontId="12" fillId="3" borderId="196" xfId="7" applyFont="1" applyFill="1" applyBorder="1" applyAlignment="1" applyProtection="1">
      <alignment horizontal="center"/>
      <protection locked="0"/>
    </xf>
    <xf numFmtId="3" fontId="12" fillId="3" borderId="196" xfId="7" applyNumberFormat="1" applyFont="1" applyFill="1" applyBorder="1" applyAlignment="1" applyProtection="1">
      <alignment horizontal="center"/>
      <protection locked="0"/>
    </xf>
    <xf numFmtId="3" fontId="12" fillId="3" borderId="197" xfId="7" applyNumberFormat="1" applyFont="1" applyFill="1" applyBorder="1" applyAlignment="1" applyProtection="1">
      <alignment horizontal="center"/>
      <protection locked="0"/>
    </xf>
    <xf numFmtId="37" fontId="12" fillId="3" borderId="760" xfId="0" applyNumberFormat="1" applyFont="1" applyFill="1" applyBorder="1" applyAlignment="1" applyProtection="1">
      <alignment horizontal="center"/>
      <protection locked="0"/>
    </xf>
    <xf numFmtId="37" fontId="12" fillId="3" borderId="761" xfId="0" applyNumberFormat="1" applyFont="1" applyFill="1" applyBorder="1" applyAlignment="1" applyProtection="1">
      <alignment horizontal="center"/>
      <protection locked="0"/>
    </xf>
    <xf numFmtId="37" fontId="12" fillId="3" borderId="762" xfId="0" applyNumberFormat="1" applyFont="1" applyFill="1" applyBorder="1" applyAlignment="1" applyProtection="1">
      <alignment horizontal="center"/>
      <protection locked="0"/>
    </xf>
    <xf numFmtId="37" fontId="12" fillId="3" borderId="791" xfId="0" applyNumberFormat="1" applyFont="1" applyFill="1" applyBorder="1" applyAlignment="1" applyProtection="1">
      <alignment horizontal="center"/>
      <protection locked="0"/>
    </xf>
    <xf numFmtId="37" fontId="12" fillId="3" borderId="790" xfId="0" applyNumberFormat="1" applyFont="1" applyFill="1" applyBorder="1" applyAlignment="1" applyProtection="1">
      <alignment horizontal="center"/>
      <protection locked="0"/>
    </xf>
    <xf numFmtId="37" fontId="12" fillId="3" borderId="792" xfId="0" applyNumberFormat="1" applyFont="1" applyFill="1" applyBorder="1" applyAlignment="1" applyProtection="1">
      <alignment horizontal="center"/>
      <protection locked="0"/>
    </xf>
    <xf numFmtId="37" fontId="12" fillId="3" borderId="524" xfId="0" applyNumberFormat="1" applyFont="1" applyFill="1" applyBorder="1" applyAlignment="1" applyProtection="1">
      <alignment horizontal="center"/>
      <protection locked="0"/>
    </xf>
    <xf numFmtId="37" fontId="12" fillId="3" borderId="525" xfId="0" applyNumberFormat="1" applyFont="1" applyFill="1" applyBorder="1" applyAlignment="1" applyProtection="1">
      <alignment horizontal="center"/>
      <protection locked="0"/>
    </xf>
    <xf numFmtId="37" fontId="12" fillId="3" borderId="494" xfId="0" applyNumberFormat="1" applyFont="1" applyFill="1" applyBorder="1" applyAlignment="1" applyProtection="1">
      <alignment horizontal="center"/>
      <protection locked="0"/>
    </xf>
    <xf numFmtId="37" fontId="12" fillId="3" borderId="517" xfId="0" applyNumberFormat="1" applyFont="1" applyFill="1" applyBorder="1" applyAlignment="1" applyProtection="1">
      <alignment horizontal="center"/>
      <protection locked="0"/>
    </xf>
    <xf numFmtId="37" fontId="12" fillId="3" borderId="518" xfId="0" applyNumberFormat="1" applyFont="1" applyFill="1" applyBorder="1" applyAlignment="1" applyProtection="1">
      <alignment horizontal="center"/>
      <protection locked="0"/>
    </xf>
    <xf numFmtId="37" fontId="12" fillId="3" borderId="519" xfId="0" applyNumberFormat="1" applyFont="1" applyFill="1" applyBorder="1" applyAlignment="1" applyProtection="1">
      <alignment horizontal="center"/>
      <protection locked="0"/>
    </xf>
    <xf numFmtId="172" fontId="12" fillId="3" borderId="790" xfId="0" applyNumberFormat="1" applyFont="1" applyFill="1" applyBorder="1" applyAlignment="1" applyProtection="1">
      <alignment horizontal="center"/>
      <protection locked="0"/>
    </xf>
    <xf numFmtId="172" fontId="12" fillId="3" borderId="792" xfId="0" applyNumberFormat="1" applyFont="1" applyFill="1" applyBorder="1" applyAlignment="1" applyProtection="1">
      <alignment horizontal="center"/>
      <protection locked="0"/>
    </xf>
    <xf numFmtId="172" fontId="12" fillId="3" borderId="791" xfId="0" applyNumberFormat="1" applyFont="1" applyFill="1" applyBorder="1" applyAlignment="1" applyProtection="1">
      <alignment horizontal="center"/>
      <protection locked="0"/>
    </xf>
    <xf numFmtId="0" fontId="12" fillId="3" borderId="385" xfId="0" applyNumberFormat="1" applyFont="1" applyFill="1" applyBorder="1" applyAlignment="1" applyProtection="1">
      <alignment horizontal="left"/>
      <protection locked="0" hidden="1"/>
    </xf>
    <xf numFmtId="0" fontId="12" fillId="3" borderId="387" xfId="0" applyNumberFormat="1" applyFont="1" applyFill="1" applyBorder="1" applyAlignment="1" applyProtection="1">
      <alignment horizontal="left"/>
      <protection locked="0" hidden="1"/>
    </xf>
    <xf numFmtId="0" fontId="12" fillId="3" borderId="389" xfId="0" applyNumberFormat="1" applyFont="1" applyFill="1" applyBorder="1" applyAlignment="1" applyProtection="1">
      <alignment horizontal="left"/>
      <protection locked="0" hidden="1"/>
    </xf>
    <xf numFmtId="0" fontId="12" fillId="3" borderId="36" xfId="0" applyNumberFormat="1" applyFont="1" applyFill="1" applyBorder="1" applyAlignment="1" applyProtection="1">
      <alignment horizontal="left"/>
      <protection locked="0" hidden="1"/>
    </xf>
    <xf numFmtId="0" fontId="32" fillId="3" borderId="51" xfId="0" applyFont="1" applyFill="1" applyBorder="1" applyProtection="1">
      <protection locked="0"/>
    </xf>
    <xf numFmtId="0" fontId="32" fillId="3" borderId="48" xfId="0" applyFont="1" applyFill="1" applyBorder="1" applyProtection="1">
      <protection locked="0"/>
    </xf>
    <xf numFmtId="0" fontId="32" fillId="3" borderId="44" xfId="0" applyFont="1" applyFill="1" applyBorder="1" applyProtection="1">
      <protection locked="0"/>
    </xf>
    <xf numFmtId="0" fontId="32" fillId="3" borderId="43" xfId="0" applyFont="1" applyFill="1" applyBorder="1" applyProtection="1">
      <protection locked="0"/>
    </xf>
    <xf numFmtId="0" fontId="32" fillId="3" borderId="40" xfId="0" applyFont="1" applyFill="1" applyBorder="1" applyProtection="1">
      <protection locked="0"/>
    </xf>
    <xf numFmtId="0" fontId="32" fillId="3" borderId="41" xfId="0" applyFont="1" applyFill="1" applyBorder="1" applyProtection="1">
      <protection locked="0"/>
    </xf>
    <xf numFmtId="0" fontId="32" fillId="3" borderId="19" xfId="0" applyFont="1" applyFill="1" applyBorder="1" applyProtection="1">
      <protection locked="0"/>
    </xf>
    <xf numFmtId="0" fontId="32" fillId="3" borderId="18" xfId="0" applyFont="1" applyFill="1" applyBorder="1" applyProtection="1">
      <protection locked="0"/>
    </xf>
    <xf numFmtId="0" fontId="32" fillId="3" borderId="97" xfId="0" applyFont="1" applyFill="1" applyBorder="1" applyProtection="1">
      <protection locked="0"/>
    </xf>
    <xf numFmtId="0" fontId="32" fillId="3" borderId="59" xfId="0" applyFont="1" applyFill="1" applyBorder="1" applyProtection="1">
      <protection locked="0"/>
    </xf>
    <xf numFmtId="2" fontId="32" fillId="3" borderId="27" xfId="0" applyNumberFormat="1" applyFont="1" applyFill="1" applyBorder="1" applyAlignment="1" applyProtection="1">
      <alignment horizontal="center"/>
      <protection locked="0"/>
    </xf>
    <xf numFmtId="2" fontId="32" fillId="3" borderId="29" xfId="0" applyNumberFormat="1" applyFont="1" applyFill="1" applyBorder="1" applyAlignment="1" applyProtection="1">
      <alignment horizontal="center"/>
      <protection locked="0"/>
    </xf>
    <xf numFmtId="0" fontId="32" fillId="3" borderId="51" xfId="0" applyNumberFormat="1" applyFont="1" applyFill="1" applyBorder="1" applyAlignment="1" applyProtection="1">
      <alignment horizontal="left"/>
      <protection locked="0" hidden="1"/>
    </xf>
    <xf numFmtId="0" fontId="32" fillId="3" borderId="48" xfId="0" applyNumberFormat="1" applyFont="1" applyFill="1" applyBorder="1" applyAlignment="1" applyProtection="1">
      <alignment horizontal="left"/>
      <protection locked="0" hidden="1"/>
    </xf>
    <xf numFmtId="0" fontId="32" fillId="3" borderId="44" xfId="0" applyNumberFormat="1" applyFont="1" applyFill="1" applyBorder="1" applyAlignment="1" applyProtection="1">
      <alignment horizontal="left"/>
      <protection locked="0" hidden="1"/>
    </xf>
    <xf numFmtId="0" fontId="32" fillId="3" borderId="43" xfId="0" applyNumberFormat="1" applyFont="1" applyFill="1" applyBorder="1" applyAlignment="1" applyProtection="1">
      <alignment horizontal="left"/>
      <protection locked="0" hidden="1"/>
    </xf>
    <xf numFmtId="2" fontId="32" fillId="3" borderId="51" xfId="0" applyNumberFormat="1" applyFont="1" applyFill="1" applyBorder="1" applyAlignment="1" applyProtection="1">
      <alignment horizontal="left"/>
      <protection locked="0" hidden="1"/>
    </xf>
    <xf numFmtId="2" fontId="32" fillId="3" borderId="48" xfId="0" applyNumberFormat="1" applyFont="1" applyFill="1" applyBorder="1" applyAlignment="1" applyProtection="1">
      <alignment horizontal="left"/>
      <protection locked="0" hidden="1"/>
    </xf>
    <xf numFmtId="2" fontId="32" fillId="3" borderId="44" xfId="0" applyNumberFormat="1" applyFont="1" applyFill="1" applyBorder="1" applyAlignment="1" applyProtection="1">
      <alignment horizontal="left"/>
      <protection locked="0" hidden="1"/>
    </xf>
    <xf numFmtId="2" fontId="32" fillId="3" borderId="43" xfId="0" applyNumberFormat="1" applyFont="1" applyFill="1" applyBorder="1" applyAlignment="1" applyProtection="1">
      <alignment horizontal="left"/>
      <protection locked="0" hidden="1"/>
    </xf>
    <xf numFmtId="1" fontId="32" fillId="3" borderId="51" xfId="0" applyNumberFormat="1" applyFont="1" applyFill="1" applyBorder="1" applyAlignment="1" applyProtection="1">
      <alignment horizontal="left"/>
      <protection locked="0" hidden="1"/>
    </xf>
    <xf numFmtId="1" fontId="32" fillId="3" borderId="48" xfId="0" applyNumberFormat="1" applyFont="1" applyFill="1" applyBorder="1" applyAlignment="1" applyProtection="1">
      <alignment horizontal="left"/>
      <protection locked="0" hidden="1"/>
    </xf>
    <xf numFmtId="1" fontId="32" fillId="3" borderId="44" xfId="0" applyNumberFormat="1" applyFont="1" applyFill="1" applyBorder="1" applyAlignment="1" applyProtection="1">
      <alignment horizontal="left"/>
      <protection locked="0" hidden="1"/>
    </xf>
    <xf numFmtId="1" fontId="32" fillId="3" borderId="43" xfId="0" applyNumberFormat="1" applyFont="1" applyFill="1" applyBorder="1" applyAlignment="1" applyProtection="1">
      <alignment horizontal="left"/>
      <protection locked="0" hidden="1"/>
    </xf>
    <xf numFmtId="0" fontId="32" fillId="3" borderId="40" xfId="0" applyFont="1" applyFill="1" applyBorder="1" applyAlignment="1" applyProtection="1">
      <alignment horizontal="left"/>
      <protection locked="0" hidden="1"/>
    </xf>
    <xf numFmtId="0" fontId="32" fillId="3" borderId="41" xfId="0" applyFont="1" applyFill="1" applyBorder="1" applyAlignment="1" applyProtection="1">
      <alignment horizontal="left"/>
      <protection locked="0" hidden="1"/>
    </xf>
    <xf numFmtId="9" fontId="32" fillId="3" borderId="50" xfId="0" applyNumberFormat="1" applyFont="1" applyFill="1" applyBorder="1" applyAlignment="1" applyProtection="1">
      <alignment horizontal="center"/>
      <protection locked="0"/>
    </xf>
    <xf numFmtId="9" fontId="32" fillId="3" borderId="27" xfId="0" applyNumberFormat="1" applyFont="1" applyFill="1" applyBorder="1" applyAlignment="1" applyProtection="1">
      <alignment horizontal="center"/>
      <protection locked="0"/>
    </xf>
    <xf numFmtId="1" fontId="32" fillId="3" borderId="97" xfId="0" applyNumberFormat="1" applyFont="1" applyFill="1" applyBorder="1" applyAlignment="1" applyProtection="1">
      <alignment horizontal="left"/>
      <protection locked="0" hidden="1"/>
    </xf>
    <xf numFmtId="1" fontId="32" fillId="3" borderId="59" xfId="0" applyNumberFormat="1" applyFont="1" applyFill="1" applyBorder="1" applyAlignment="1" applyProtection="1">
      <alignment horizontal="left"/>
      <protection locked="0" hidden="1"/>
    </xf>
    <xf numFmtId="9" fontId="32" fillId="3" borderId="29" xfId="0" applyNumberFormat="1" applyFont="1" applyFill="1" applyBorder="1" applyAlignment="1" applyProtection="1">
      <alignment horizontal="center"/>
      <protection locked="0"/>
    </xf>
    <xf numFmtId="0" fontId="32" fillId="3" borderId="0" xfId="0" applyFont="1" applyFill="1" applyBorder="1" applyAlignment="1" applyProtection="1">
      <alignment horizontal="left"/>
      <protection locked="0" hidden="1"/>
    </xf>
    <xf numFmtId="3" fontId="32" fillId="3" borderId="0" xfId="0" applyNumberFormat="1" applyFont="1" applyFill="1" applyBorder="1" applyAlignment="1" applyProtection="1">
      <alignment horizontal="left"/>
      <protection locked="0" hidden="1"/>
    </xf>
    <xf numFmtId="3" fontId="32" fillId="3" borderId="20" xfId="0" applyNumberFormat="1" applyFont="1" applyFill="1" applyBorder="1" applyAlignment="1" applyProtection="1">
      <alignment horizontal="left"/>
      <protection locked="0" hidden="1"/>
    </xf>
    <xf numFmtId="3" fontId="32" fillId="3" borderId="21" xfId="0" applyNumberFormat="1" applyFont="1" applyFill="1" applyBorder="1" applyAlignment="1" applyProtection="1">
      <alignment horizontal="left"/>
      <protection locked="0" hidden="1"/>
    </xf>
    <xf numFmtId="0" fontId="32" fillId="3" borderId="22" xfId="0" applyFont="1" applyFill="1" applyBorder="1" applyAlignment="1" applyProtection="1">
      <alignment horizontal="left"/>
      <protection locked="0" hidden="1"/>
    </xf>
    <xf numFmtId="0" fontId="32" fillId="3" borderId="106" xfId="0" applyFont="1" applyFill="1" applyBorder="1" applyProtection="1">
      <protection locked="0"/>
    </xf>
    <xf numFmtId="0" fontId="32" fillId="3" borderId="27" xfId="0" applyFont="1" applyFill="1" applyBorder="1" applyProtection="1">
      <protection locked="0"/>
    </xf>
    <xf numFmtId="0" fontId="32" fillId="3" borderId="29" xfId="0" applyFont="1" applyFill="1" applyBorder="1" applyProtection="1">
      <protection locked="0"/>
    </xf>
    <xf numFmtId="0" fontId="32" fillId="3" borderId="20" xfId="0" applyFont="1" applyFill="1" applyBorder="1" applyProtection="1">
      <protection locked="0"/>
    </xf>
    <xf numFmtId="0" fontId="32" fillId="3" borderId="0" xfId="0" applyFont="1" applyFill="1" applyBorder="1" applyProtection="1">
      <protection locked="0"/>
    </xf>
    <xf numFmtId="0" fontId="32" fillId="3" borderId="21" xfId="0" applyFont="1" applyFill="1" applyBorder="1" applyProtection="1">
      <protection locked="0"/>
    </xf>
    <xf numFmtId="37" fontId="32" fillId="3" borderId="27" xfId="0" applyNumberFormat="1" applyFont="1" applyFill="1" applyBorder="1" applyAlignment="1" applyProtection="1">
      <alignment horizontal="center"/>
      <protection locked="0"/>
    </xf>
    <xf numFmtId="0" fontId="32" fillId="3" borderId="5" xfId="0" applyFont="1" applyFill="1" applyBorder="1" applyProtection="1">
      <protection locked="0"/>
    </xf>
    <xf numFmtId="37" fontId="32" fillId="3" borderId="29" xfId="0" applyNumberFormat="1" applyFont="1" applyFill="1" applyBorder="1" applyAlignment="1" applyProtection="1">
      <alignment horizontal="center"/>
      <protection locked="0"/>
    </xf>
    <xf numFmtId="166" fontId="32" fillId="3" borderId="20" xfId="6" applyNumberFormat="1" applyFont="1" applyFill="1" applyBorder="1" applyAlignment="1" applyProtection="1">
      <alignment horizontal="center"/>
      <protection locked="0"/>
    </xf>
    <xf numFmtId="166" fontId="32" fillId="3" borderId="21" xfId="6" applyNumberFormat="1" applyFont="1" applyFill="1" applyBorder="1" applyAlignment="1" applyProtection="1">
      <alignment horizontal="center"/>
      <protection locked="0"/>
    </xf>
    <xf numFmtId="166" fontId="32" fillId="3" borderId="0" xfId="6" applyNumberFormat="1" applyFont="1" applyFill="1" applyBorder="1" applyAlignment="1" applyProtection="1">
      <alignment horizontal="center"/>
      <protection locked="0"/>
    </xf>
    <xf numFmtId="166" fontId="32" fillId="3" borderId="27" xfId="6" applyNumberFormat="1" applyFont="1" applyFill="1" applyBorder="1" applyAlignment="1" applyProtection="1">
      <alignment horizontal="center"/>
      <protection locked="0"/>
    </xf>
    <xf numFmtId="166" fontId="32" fillId="3" borderId="5" xfId="6" applyNumberFormat="1" applyFont="1" applyFill="1" applyBorder="1" applyAlignment="1" applyProtection="1">
      <alignment horizontal="center"/>
      <protection locked="0"/>
    </xf>
    <xf numFmtId="166" fontId="32" fillId="3" borderId="29" xfId="6" applyNumberFormat="1" applyFont="1" applyFill="1" applyBorder="1" applyAlignment="1" applyProtection="1">
      <alignment horizontal="center"/>
      <protection locked="0"/>
    </xf>
    <xf numFmtId="166" fontId="32" fillId="3" borderId="953" xfId="6" applyNumberFormat="1" applyFont="1" applyFill="1" applyBorder="1" applyAlignment="1" applyProtection="1">
      <alignment horizontal="center"/>
      <protection locked="0"/>
    </xf>
    <xf numFmtId="166" fontId="32" fillId="3" borderId="955" xfId="6" applyNumberFormat="1" applyFont="1" applyFill="1" applyBorder="1" applyAlignment="1" applyProtection="1">
      <alignment horizontal="center"/>
      <protection locked="0"/>
    </xf>
    <xf numFmtId="166" fontId="32" fillId="3" borderId="954" xfId="6" applyNumberFormat="1" applyFont="1" applyFill="1" applyBorder="1" applyAlignment="1" applyProtection="1">
      <alignment horizontal="center"/>
      <protection locked="0"/>
    </xf>
    <xf numFmtId="166" fontId="32" fillId="3" borderId="956" xfId="6" applyNumberFormat="1" applyFont="1" applyFill="1" applyBorder="1" applyAlignment="1" applyProtection="1">
      <alignment horizontal="center"/>
      <protection locked="0"/>
    </xf>
    <xf numFmtId="166" fontId="32" fillId="3" borderId="828" xfId="6" applyNumberFormat="1" applyFont="1" applyFill="1" applyBorder="1" applyAlignment="1" applyProtection="1">
      <alignment horizontal="center"/>
      <protection locked="0"/>
    </xf>
    <xf numFmtId="166" fontId="32" fillId="3" borderId="952" xfId="6" applyNumberFormat="1" applyFont="1" applyFill="1" applyBorder="1" applyAlignment="1" applyProtection="1">
      <alignment horizontal="center"/>
      <protection locked="0"/>
    </xf>
    <xf numFmtId="166" fontId="32" fillId="3" borderId="825" xfId="6" applyNumberFormat="1" applyFont="1" applyFill="1" applyBorder="1" applyAlignment="1" applyProtection="1">
      <alignment horizontal="center"/>
      <protection locked="0"/>
    </xf>
    <xf numFmtId="172" fontId="12" fillId="3" borderId="480" xfId="10" applyNumberFormat="1" applyFont="1" applyFill="1" applyBorder="1" applyAlignment="1" applyProtection="1">
      <alignment horizontal="right" vertical="center"/>
      <protection locked="0"/>
    </xf>
    <xf numFmtId="172" fontId="12" fillId="3" borderId="583" xfId="10" applyNumberFormat="1" applyFont="1" applyFill="1" applyBorder="1" applyAlignment="1" applyProtection="1">
      <alignment horizontal="right" vertical="center"/>
      <protection locked="0"/>
    </xf>
    <xf numFmtId="37" fontId="12" fillId="3" borderId="469" xfId="0" applyNumberFormat="1" applyFont="1" applyFill="1" applyBorder="1" applyAlignment="1" applyProtection="1">
      <alignment horizontal="center" vertical="center"/>
      <protection locked="0"/>
    </xf>
    <xf numFmtId="37" fontId="12" fillId="3" borderId="540" xfId="0" applyNumberFormat="1" applyFont="1" applyFill="1" applyBorder="1" applyAlignment="1" applyProtection="1">
      <alignment horizontal="center" vertical="center"/>
      <protection locked="0"/>
    </xf>
    <xf numFmtId="37" fontId="12" fillId="3" borderId="493" xfId="0" applyNumberFormat="1" applyFont="1" applyFill="1" applyBorder="1" applyAlignment="1" applyProtection="1">
      <alignment horizontal="right"/>
      <protection locked="0"/>
    </xf>
    <xf numFmtId="37" fontId="12" fillId="3" borderId="585" xfId="0" applyNumberFormat="1" applyFont="1" applyFill="1" applyBorder="1" applyAlignment="1" applyProtection="1">
      <alignment horizontal="right"/>
      <protection locked="0"/>
    </xf>
    <xf numFmtId="37" fontId="12" fillId="3" borderId="494" xfId="0" applyNumberFormat="1" applyFont="1" applyFill="1" applyBorder="1" applyAlignment="1" applyProtection="1">
      <alignment horizontal="right"/>
      <protection locked="0"/>
    </xf>
    <xf numFmtId="37" fontId="12" fillId="3" borderId="531" xfId="0" applyNumberFormat="1" applyFont="1" applyFill="1" applyBorder="1" applyAlignment="1" applyProtection="1">
      <alignment horizontal="right"/>
      <protection locked="0"/>
    </xf>
    <xf numFmtId="37" fontId="12" fillId="3" borderId="495" xfId="0" applyNumberFormat="1" applyFont="1" applyFill="1" applyBorder="1" applyAlignment="1" applyProtection="1">
      <alignment horizontal="right"/>
      <protection locked="0"/>
    </xf>
    <xf numFmtId="37" fontId="12" fillId="3" borderId="586" xfId="0" applyNumberFormat="1" applyFont="1" applyFill="1" applyBorder="1" applyAlignment="1" applyProtection="1">
      <alignment horizontal="right"/>
      <protection locked="0"/>
    </xf>
    <xf numFmtId="37" fontId="12" fillId="3" borderId="104" xfId="0" applyNumberFormat="1" applyFont="1" applyFill="1" applyBorder="1" applyAlignment="1" applyProtection="1">
      <alignment horizontal="center"/>
      <protection locked="0"/>
    </xf>
    <xf numFmtId="37" fontId="12" fillId="3" borderId="43" xfId="0" applyNumberFormat="1" applyFont="1" applyFill="1" applyBorder="1" applyAlignment="1" applyProtection="1">
      <alignment horizontal="center"/>
      <protection locked="0"/>
    </xf>
    <xf numFmtId="37" fontId="12" fillId="3" borderId="41" xfId="0" applyNumberFormat="1" applyFont="1" applyFill="1" applyBorder="1" applyAlignment="1" applyProtection="1">
      <alignment horizontal="center"/>
      <protection locked="0"/>
    </xf>
    <xf numFmtId="181" fontId="12" fillId="3" borderId="0" xfId="0" applyNumberFormat="1" applyFont="1" applyFill="1" applyBorder="1" applyAlignment="1" applyProtection="1">
      <alignment horizontal="center"/>
      <protection locked="0"/>
    </xf>
    <xf numFmtId="181" fontId="12" fillId="3" borderId="466" xfId="0" applyNumberFormat="1" applyFont="1" applyFill="1" applyBorder="1" applyAlignment="1" applyProtection="1">
      <alignment horizontal="center"/>
      <protection locked="0"/>
    </xf>
    <xf numFmtId="37" fontId="12" fillId="3" borderId="466" xfId="0" applyNumberFormat="1" applyFont="1" applyFill="1" applyBorder="1" applyAlignment="1" applyProtection="1">
      <alignment horizontal="center"/>
      <protection locked="0"/>
    </xf>
    <xf numFmtId="180" fontId="12" fillId="3" borderId="0" xfId="0" applyNumberFormat="1" applyFont="1" applyFill="1" applyBorder="1" applyAlignment="1" applyProtection="1">
      <alignment horizontal="center"/>
      <protection locked="0"/>
    </xf>
    <xf numFmtId="37" fontId="12" fillId="3" borderId="516" xfId="0" applyNumberFormat="1" applyFont="1" applyFill="1" applyBorder="1" applyAlignment="1" applyProtection="1">
      <alignment horizontal="right"/>
      <protection locked="0"/>
    </xf>
    <xf numFmtId="37" fontId="12" fillId="3" borderId="517" xfId="0" applyNumberFormat="1" applyFont="1" applyFill="1" applyBorder="1" applyAlignment="1" applyProtection="1">
      <alignment horizontal="right"/>
      <protection locked="0"/>
    </xf>
    <xf numFmtId="37" fontId="12" fillId="3" borderId="936" xfId="0" applyNumberFormat="1" applyFont="1" applyFill="1" applyBorder="1" applyAlignment="1" applyProtection="1">
      <alignment horizontal="right"/>
      <protection locked="0"/>
    </xf>
    <xf numFmtId="37" fontId="12" fillId="3" borderId="931" xfId="0" applyNumberFormat="1" applyFont="1" applyFill="1" applyBorder="1" applyAlignment="1" applyProtection="1">
      <alignment horizontal="left"/>
      <protection locked="0"/>
    </xf>
    <xf numFmtId="37" fontId="12" fillId="3" borderId="932" xfId="0" applyNumberFormat="1" applyFont="1" applyFill="1" applyBorder="1" applyProtection="1">
      <protection locked="0"/>
    </xf>
    <xf numFmtId="37" fontId="12" fillId="3" borderId="933" xfId="0" applyNumberFormat="1" applyFont="1" applyFill="1" applyBorder="1" applyAlignment="1" applyProtection="1">
      <alignment horizontal="right"/>
      <protection locked="0"/>
    </xf>
    <xf numFmtId="37" fontId="12" fillId="3" borderId="934" xfId="0" applyNumberFormat="1" applyFont="1" applyFill="1" applyBorder="1" applyAlignment="1" applyProtection="1">
      <alignment horizontal="right"/>
      <protection locked="0"/>
    </xf>
    <xf numFmtId="37" fontId="12" fillId="3" borderId="532" xfId="0" applyNumberFormat="1" applyFont="1" applyFill="1" applyBorder="1" applyAlignment="1" applyProtection="1">
      <alignment horizontal="left"/>
      <protection locked="0"/>
    </xf>
    <xf numFmtId="37" fontId="12" fillId="3" borderId="935" xfId="0" applyNumberFormat="1" applyFont="1" applyFill="1" applyBorder="1" applyProtection="1">
      <protection locked="0"/>
    </xf>
    <xf numFmtId="37" fontId="12" fillId="3" borderId="518" xfId="0" applyNumberFormat="1" applyFont="1" applyFill="1" applyBorder="1" applyAlignment="1" applyProtection="1">
      <alignment horizontal="right"/>
      <protection locked="0"/>
    </xf>
    <xf numFmtId="37" fontId="12" fillId="3" borderId="519" xfId="0" applyNumberFormat="1" applyFont="1" applyFill="1" applyBorder="1" applyAlignment="1" applyProtection="1">
      <alignment horizontal="right"/>
      <protection locked="0"/>
    </xf>
    <xf numFmtId="1" fontId="11" fillId="3" borderId="928" xfId="10" applyNumberFormat="1" applyFont="1" applyFill="1" applyBorder="1" applyAlignment="1" applyProtection="1">
      <alignment horizontal="center" vertical="center"/>
      <protection locked="0"/>
    </xf>
    <xf numFmtId="1" fontId="11" fillId="3" borderId="929" xfId="10" applyNumberFormat="1" applyFont="1" applyFill="1" applyBorder="1" applyAlignment="1" applyProtection="1">
      <alignment horizontal="center" vertical="center"/>
      <protection locked="0"/>
    </xf>
    <xf numFmtId="1" fontId="11" fillId="3" borderId="930" xfId="10" applyNumberFormat="1" applyFont="1" applyFill="1" applyBorder="1" applyAlignment="1" applyProtection="1">
      <alignment horizontal="center" vertical="center"/>
      <protection locked="0"/>
    </xf>
    <xf numFmtId="37" fontId="12" fillId="3" borderId="485" xfId="0" applyNumberFormat="1" applyFont="1" applyFill="1" applyBorder="1" applyAlignment="1" applyProtection="1">
      <alignment horizontal="left"/>
      <protection locked="0"/>
    </xf>
    <xf numFmtId="37" fontId="12" fillId="3" borderId="486" xfId="0" applyNumberFormat="1" applyFont="1" applyFill="1" applyBorder="1" applyAlignment="1" applyProtection="1">
      <alignment horizontal="left"/>
      <protection locked="0"/>
    </xf>
    <xf numFmtId="37" fontId="12" fillId="3" borderId="515" xfId="0" applyNumberFormat="1" applyFont="1" applyFill="1" applyBorder="1" applyAlignment="1" applyProtection="1">
      <alignment horizontal="left"/>
      <protection locked="0"/>
    </xf>
    <xf numFmtId="37" fontId="12" fillId="3" borderId="10" xfId="0" applyNumberFormat="1" applyFont="1" applyFill="1" applyBorder="1" applyAlignment="1" applyProtection="1">
      <alignment horizontal="center"/>
      <protection locked="0"/>
    </xf>
    <xf numFmtId="37" fontId="32" fillId="3" borderId="556" xfId="0" applyNumberFormat="1" applyFont="1" applyFill="1" applyBorder="1" applyAlignment="1" applyProtection="1">
      <alignment horizontal="right"/>
      <protection locked="0"/>
    </xf>
    <xf numFmtId="37" fontId="32" fillId="3" borderId="557" xfId="0" applyNumberFormat="1" applyFont="1" applyFill="1" applyBorder="1" applyAlignment="1" applyProtection="1">
      <alignment horizontal="right"/>
      <protection locked="0"/>
    </xf>
    <xf numFmtId="37" fontId="32" fillId="3" borderId="540" xfId="0" applyNumberFormat="1" applyFont="1" applyFill="1" applyBorder="1" applyAlignment="1" applyProtection="1">
      <alignment horizontal="right"/>
      <protection locked="0"/>
    </xf>
    <xf numFmtId="37" fontId="32" fillId="3" borderId="541" xfId="0" applyNumberFormat="1" applyFont="1" applyFill="1" applyBorder="1" applyAlignment="1" applyProtection="1">
      <alignment horizontal="right"/>
      <protection locked="0"/>
    </xf>
    <xf numFmtId="37" fontId="12" fillId="3" borderId="26" xfId="0" applyNumberFormat="1" applyFont="1" applyFill="1" applyBorder="1" applyAlignment="1" applyProtection="1">
      <alignment horizontal="right"/>
      <protection locked="0"/>
    </xf>
    <xf numFmtId="37" fontId="32" fillId="3" borderId="539" xfId="0" applyNumberFormat="1" applyFont="1" applyFill="1" applyBorder="1" applyAlignment="1" applyProtection="1">
      <alignment horizontal="right"/>
      <protection locked="0"/>
    </xf>
    <xf numFmtId="37" fontId="12" fillId="3" borderId="543" xfId="0" applyNumberFormat="1" applyFont="1" applyFill="1" applyBorder="1" applyAlignment="1" applyProtection="1">
      <alignment horizontal="right"/>
      <protection locked="0"/>
    </xf>
    <xf numFmtId="37" fontId="12" fillId="3" borderId="544" xfId="0" applyNumberFormat="1" applyFont="1" applyFill="1" applyBorder="1" applyAlignment="1" applyProtection="1">
      <alignment horizontal="right"/>
      <protection locked="0"/>
    </xf>
    <xf numFmtId="37" fontId="12" fillId="3" borderId="38" xfId="0" applyNumberFormat="1" applyFont="1" applyFill="1" applyBorder="1" applyAlignment="1" applyProtection="1">
      <alignment horizontal="right"/>
      <protection locked="0"/>
    </xf>
    <xf numFmtId="37" fontId="12" fillId="3" borderId="38" xfId="0" applyNumberFormat="1" applyFont="1" applyFill="1" applyBorder="1" applyProtection="1">
      <protection locked="0"/>
    </xf>
    <xf numFmtId="37" fontId="12" fillId="3" borderId="47" xfId="0" applyNumberFormat="1" applyFont="1" applyFill="1" applyBorder="1" applyAlignment="1" applyProtection="1">
      <alignment horizontal="right"/>
      <protection locked="0"/>
    </xf>
    <xf numFmtId="37" fontId="12" fillId="3" borderId="47" xfId="0" applyNumberFormat="1" applyFont="1" applyFill="1" applyBorder="1" applyProtection="1">
      <protection locked="0"/>
    </xf>
    <xf numFmtId="37" fontId="12" fillId="3" borderId="52" xfId="0" applyNumberFormat="1" applyFont="1" applyFill="1" applyBorder="1" applyAlignment="1" applyProtection="1">
      <alignment horizontal="right"/>
      <protection locked="0"/>
    </xf>
    <xf numFmtId="37" fontId="12" fillId="3" borderId="52" xfId="0" applyNumberFormat="1" applyFont="1" applyFill="1" applyBorder="1" applyProtection="1">
      <protection locked="0"/>
    </xf>
    <xf numFmtId="37" fontId="11" fillId="3" borderId="10" xfId="0" applyNumberFormat="1" applyFont="1" applyFill="1" applyBorder="1" applyAlignment="1" applyProtection="1">
      <alignment horizontal="right"/>
      <protection locked="0"/>
    </xf>
    <xf numFmtId="37" fontId="12" fillId="3" borderId="487" xfId="0" applyNumberFormat="1" applyFont="1" applyFill="1" applyBorder="1" applyProtection="1">
      <protection locked="0"/>
    </xf>
    <xf numFmtId="37" fontId="12" fillId="3" borderId="489" xfId="0" applyNumberFormat="1" applyFont="1" applyFill="1" applyBorder="1" applyProtection="1">
      <protection locked="0"/>
    </xf>
    <xf numFmtId="37" fontId="12" fillId="3" borderId="532" xfId="0" applyNumberFormat="1" applyFont="1" applyFill="1" applyBorder="1" applyProtection="1">
      <protection locked="0"/>
    </xf>
    <xf numFmtId="37" fontId="12" fillId="3" borderId="469" xfId="0" applyNumberFormat="1" applyFont="1" applyFill="1" applyBorder="1" applyAlignment="1" applyProtection="1">
      <alignment horizontal="right"/>
      <protection locked="0"/>
    </xf>
    <xf numFmtId="37" fontId="12" fillId="3" borderId="482" xfId="0" applyNumberFormat="1" applyFont="1" applyFill="1" applyBorder="1" applyAlignment="1" applyProtection="1">
      <alignment horizontal="right"/>
      <protection locked="0"/>
    </xf>
    <xf numFmtId="37" fontId="12" fillId="3" borderId="505" xfId="0" applyNumberFormat="1" applyFont="1" applyFill="1" applyBorder="1" applyAlignment="1" applyProtection="1">
      <alignment horizontal="right"/>
      <protection locked="0"/>
    </xf>
    <xf numFmtId="37" fontId="12" fillId="3" borderId="547" xfId="0" applyNumberFormat="1" applyFont="1" applyFill="1" applyBorder="1" applyAlignment="1" applyProtection="1">
      <alignment horizontal="right"/>
      <protection locked="0"/>
    </xf>
    <xf numFmtId="171" fontId="12" fillId="3" borderId="938" xfId="7" applyNumberFormat="1" applyFont="1" applyFill="1" applyBorder="1" applyAlignment="1" applyProtection="1">
      <alignment horizontal="center"/>
      <protection locked="0"/>
    </xf>
    <xf numFmtId="171" fontId="12" fillId="3" borderId="939" xfId="7" applyNumberFormat="1" applyFont="1" applyFill="1" applyBorder="1" applyAlignment="1" applyProtection="1">
      <alignment horizontal="center"/>
      <protection locked="0"/>
    </xf>
    <xf numFmtId="37" fontId="12" fillId="3" borderId="677" xfId="0" applyNumberFormat="1" applyFont="1" applyFill="1" applyBorder="1" applyAlignment="1" applyProtection="1">
      <alignment horizontal="right"/>
      <protection locked="0"/>
    </xf>
    <xf numFmtId="37" fontId="12" fillId="3" borderId="888" xfId="0" applyNumberFormat="1" applyFont="1" applyFill="1" applyBorder="1" applyAlignment="1" applyProtection="1">
      <alignment horizontal="right"/>
      <protection locked="0"/>
    </xf>
    <xf numFmtId="171" fontId="11" fillId="3" borderId="17" xfId="7" applyNumberFormat="1" applyFont="1" applyFill="1" applyBorder="1" applyAlignment="1" applyProtection="1">
      <alignment horizontal="center" vertical="center"/>
      <protection locked="0"/>
    </xf>
    <xf numFmtId="37" fontId="12" fillId="3" borderId="550" xfId="0" applyNumberFormat="1" applyFont="1" applyFill="1" applyBorder="1" applyAlignment="1" applyProtection="1">
      <protection locked="0"/>
    </xf>
    <xf numFmtId="170" fontId="12" fillId="3" borderId="550" xfId="0" applyNumberFormat="1" applyFont="1" applyFill="1" applyBorder="1" applyAlignment="1" applyProtection="1">
      <alignment horizontal="center"/>
      <protection locked="0"/>
    </xf>
    <xf numFmtId="37" fontId="12" fillId="3" borderId="552" xfId="0" applyNumberFormat="1" applyFont="1" applyFill="1" applyBorder="1" applyAlignment="1" applyProtection="1">
      <alignment horizontal="right"/>
      <protection locked="0"/>
    </xf>
    <xf numFmtId="37" fontId="12" fillId="3" borderId="550" xfId="0" applyNumberFormat="1" applyFont="1" applyFill="1" applyBorder="1" applyAlignment="1" applyProtection="1">
      <alignment horizontal="right"/>
      <protection locked="0"/>
    </xf>
    <xf numFmtId="37" fontId="12" fillId="3" borderId="531" xfId="0" applyNumberFormat="1" applyFont="1" applyFill="1" applyBorder="1" applyAlignment="1" applyProtection="1">
      <protection locked="0"/>
    </xf>
    <xf numFmtId="170" fontId="12" fillId="3" borderId="531" xfId="0" applyNumberFormat="1" applyFont="1" applyFill="1" applyBorder="1" applyAlignment="1" applyProtection="1">
      <alignment horizontal="center"/>
      <protection locked="0"/>
    </xf>
    <xf numFmtId="37" fontId="12" fillId="3" borderId="551" xfId="0" applyNumberFormat="1" applyFont="1" applyFill="1" applyBorder="1" applyProtection="1">
      <protection locked="0"/>
    </xf>
    <xf numFmtId="170" fontId="12" fillId="3" borderId="551" xfId="0" applyNumberFormat="1" applyFont="1" applyFill="1" applyBorder="1" applyAlignment="1" applyProtection="1">
      <alignment horizontal="center"/>
      <protection locked="0"/>
    </xf>
    <xf numFmtId="37" fontId="12" fillId="3" borderId="551" xfId="0" applyNumberFormat="1" applyFont="1" applyFill="1" applyBorder="1" applyAlignment="1" applyProtection="1">
      <alignment horizontal="right"/>
      <protection locked="0"/>
    </xf>
    <xf numFmtId="37" fontId="12" fillId="3" borderId="553" xfId="0" applyNumberFormat="1" applyFont="1" applyFill="1" applyBorder="1" applyProtection="1">
      <protection locked="0"/>
    </xf>
    <xf numFmtId="37" fontId="12" fillId="3" borderId="554" xfId="0" applyNumberFormat="1" applyFont="1" applyFill="1" applyBorder="1" applyAlignment="1" applyProtection="1">
      <alignment horizontal="right"/>
      <protection locked="0"/>
    </xf>
    <xf numFmtId="37" fontId="12" fillId="3" borderId="573" xfId="0" applyNumberFormat="1" applyFont="1" applyFill="1" applyBorder="1" applyProtection="1">
      <protection locked="0"/>
    </xf>
    <xf numFmtId="37" fontId="12" fillId="3" borderId="575" xfId="0" applyNumberFormat="1" applyFont="1" applyFill="1" applyBorder="1" applyAlignment="1" applyProtection="1">
      <alignment horizontal="right"/>
      <protection locked="0"/>
    </xf>
    <xf numFmtId="37" fontId="12" fillId="3" borderId="884" xfId="0" applyNumberFormat="1" applyFont="1" applyFill="1" applyBorder="1" applyAlignment="1" applyProtection="1">
      <alignment horizontal="right"/>
      <protection locked="0"/>
    </xf>
    <xf numFmtId="37" fontId="12" fillId="3" borderId="574" xfId="0" applyNumberFormat="1" applyFont="1" applyFill="1" applyBorder="1" applyAlignment="1" applyProtection="1">
      <alignment horizontal="right"/>
      <protection locked="0"/>
    </xf>
    <xf numFmtId="37" fontId="11" fillId="3" borderId="514" xfId="0" applyNumberFormat="1" applyFont="1" applyFill="1" applyBorder="1" applyAlignment="1" applyProtection="1">
      <alignment horizontal="right"/>
      <protection locked="0"/>
    </xf>
    <xf numFmtId="37" fontId="11" fillId="3" borderId="885" xfId="0" applyNumberFormat="1" applyFont="1" applyFill="1" applyBorder="1" applyAlignment="1" applyProtection="1">
      <alignment horizontal="right"/>
      <protection locked="0"/>
    </xf>
    <xf numFmtId="37" fontId="11" fillId="3" borderId="513" xfId="0" applyNumberFormat="1" applyFont="1" applyFill="1" applyBorder="1" applyAlignment="1" applyProtection="1">
      <alignment horizontal="right"/>
      <protection locked="0"/>
    </xf>
    <xf numFmtId="37" fontId="12" fillId="3" borderId="486" xfId="0" applyNumberFormat="1" applyFont="1" applyFill="1" applyBorder="1" applyProtection="1">
      <protection locked="0"/>
    </xf>
    <xf numFmtId="37" fontId="12" fillId="3" borderId="514" xfId="0" applyNumberFormat="1" applyFont="1" applyFill="1" applyBorder="1" applyAlignment="1" applyProtection="1">
      <alignment horizontal="right"/>
      <protection locked="0"/>
    </xf>
    <xf numFmtId="37" fontId="12" fillId="3" borderId="885" xfId="0" applyNumberFormat="1" applyFont="1" applyFill="1" applyBorder="1" applyAlignment="1" applyProtection="1">
      <alignment horizontal="right"/>
      <protection locked="0"/>
    </xf>
    <xf numFmtId="37" fontId="12" fillId="3" borderId="513" xfId="0" applyNumberFormat="1" applyFont="1" applyFill="1" applyBorder="1" applyAlignment="1" applyProtection="1">
      <alignment horizontal="right"/>
      <protection locked="0"/>
    </xf>
    <xf numFmtId="37" fontId="12" fillId="3" borderId="578" xfId="0" applyNumberFormat="1" applyFont="1" applyFill="1" applyBorder="1" applyProtection="1">
      <protection locked="0"/>
    </xf>
    <xf numFmtId="37" fontId="12" fillId="3" borderId="580" xfId="0" applyNumberFormat="1" applyFont="1" applyFill="1" applyBorder="1" applyAlignment="1" applyProtection="1">
      <alignment horizontal="right"/>
      <protection locked="0"/>
    </xf>
    <xf numFmtId="37" fontId="12" fillId="3" borderId="886" xfId="0" applyNumberFormat="1" applyFont="1" applyFill="1" applyBorder="1" applyAlignment="1" applyProtection="1">
      <alignment horizontal="right"/>
      <protection locked="0"/>
    </xf>
    <xf numFmtId="37" fontId="12" fillId="3" borderId="522" xfId="0" applyNumberFormat="1" applyFont="1" applyFill="1" applyBorder="1" applyAlignment="1" applyProtection="1">
      <alignment horizontal="right"/>
      <protection locked="0"/>
    </xf>
    <xf numFmtId="37" fontId="12" fillId="3" borderId="523" xfId="0" applyNumberFormat="1" applyFont="1" applyFill="1" applyBorder="1" applyAlignment="1" applyProtection="1">
      <alignment horizontal="right"/>
      <protection locked="0"/>
    </xf>
    <xf numFmtId="37" fontId="12" fillId="3" borderId="894" xfId="0" applyNumberFormat="1" applyFont="1" applyFill="1" applyBorder="1" applyAlignment="1" applyProtection="1">
      <alignment horizontal="right"/>
      <protection locked="0"/>
    </xf>
    <xf numFmtId="37" fontId="12" fillId="3" borderId="573" xfId="0" applyNumberFormat="1" applyFont="1" applyFill="1" applyBorder="1" applyAlignment="1" applyProtection="1">
      <alignment horizontal="right"/>
      <protection locked="0"/>
    </xf>
    <xf numFmtId="37" fontId="12" fillId="3" borderId="895" xfId="0" applyNumberFormat="1" applyFont="1" applyFill="1" applyBorder="1" applyAlignment="1" applyProtection="1">
      <alignment horizontal="right"/>
      <protection locked="0"/>
    </xf>
    <xf numFmtId="37" fontId="12" fillId="3" borderId="486" xfId="0" applyNumberFormat="1" applyFont="1" applyFill="1" applyBorder="1" applyAlignment="1" applyProtection="1">
      <alignment horizontal="right"/>
      <protection locked="0"/>
    </xf>
    <xf numFmtId="37" fontId="12" fillId="3" borderId="575" xfId="0" applyNumberFormat="1" applyFont="1" applyFill="1" applyBorder="1" applyAlignment="1" applyProtection="1">
      <protection locked="0"/>
    </xf>
    <xf numFmtId="37" fontId="12" fillId="3" borderId="894" xfId="0" applyNumberFormat="1" applyFont="1" applyFill="1" applyBorder="1" applyAlignment="1" applyProtection="1">
      <protection locked="0"/>
    </xf>
    <xf numFmtId="37" fontId="12" fillId="3" borderId="574" xfId="0" applyNumberFormat="1" applyFont="1" applyFill="1" applyBorder="1" applyAlignment="1" applyProtection="1">
      <protection locked="0"/>
    </xf>
    <xf numFmtId="37" fontId="12" fillId="3" borderId="514" xfId="0" applyNumberFormat="1" applyFont="1" applyFill="1" applyBorder="1" applyAlignment="1" applyProtection="1">
      <protection locked="0"/>
    </xf>
    <xf numFmtId="37" fontId="12" fillId="3" borderId="895" xfId="0" applyNumberFormat="1" applyFont="1" applyFill="1" applyBorder="1" applyAlignment="1" applyProtection="1">
      <protection locked="0"/>
    </xf>
    <xf numFmtId="37" fontId="12" fillId="3" borderId="513" xfId="0" applyNumberFormat="1" applyFont="1" applyFill="1" applyBorder="1" applyAlignment="1" applyProtection="1">
      <protection locked="0"/>
    </xf>
    <xf numFmtId="37" fontId="12" fillId="3" borderId="890" xfId="0" applyNumberFormat="1" applyFont="1" applyFill="1" applyBorder="1" applyProtection="1">
      <protection locked="0"/>
    </xf>
    <xf numFmtId="37" fontId="12" fillId="3" borderId="897" xfId="0" applyNumberFormat="1" applyFont="1" applyFill="1" applyBorder="1" applyAlignment="1" applyProtection="1">
      <alignment horizontal="right"/>
      <protection locked="0"/>
    </xf>
    <xf numFmtId="37" fontId="12" fillId="3" borderId="891" xfId="0" applyNumberFormat="1" applyFont="1" applyFill="1" applyBorder="1" applyAlignment="1" applyProtection="1">
      <alignment horizontal="right"/>
      <protection locked="0"/>
    </xf>
    <xf numFmtId="37" fontId="12" fillId="3" borderId="892" xfId="0" applyNumberFormat="1" applyFont="1" applyFill="1" applyBorder="1" applyAlignment="1" applyProtection="1">
      <alignment horizontal="right"/>
      <protection locked="0"/>
    </xf>
    <xf numFmtId="37" fontId="11" fillId="3" borderId="895" xfId="0" applyNumberFormat="1" applyFont="1" applyFill="1" applyBorder="1" applyAlignment="1" applyProtection="1">
      <alignment horizontal="right"/>
      <protection locked="0"/>
    </xf>
    <xf numFmtId="37" fontId="11" fillId="3" borderId="898" xfId="0" applyNumberFormat="1" applyFont="1" applyFill="1" applyBorder="1" applyAlignment="1" applyProtection="1">
      <alignment horizontal="right"/>
      <protection locked="0"/>
    </xf>
    <xf numFmtId="37" fontId="11" fillId="3" borderId="522" xfId="0" applyNumberFormat="1" applyFont="1" applyFill="1" applyBorder="1" applyAlignment="1" applyProtection="1">
      <alignment horizontal="right"/>
      <protection locked="0"/>
    </xf>
    <xf numFmtId="37" fontId="11" fillId="3" borderId="523" xfId="0" applyNumberFormat="1" applyFont="1" applyFill="1" applyBorder="1" applyAlignment="1" applyProtection="1">
      <alignment horizontal="right"/>
      <protection locked="0"/>
    </xf>
    <xf numFmtId="3" fontId="12" fillId="3" borderId="575" xfId="0" applyNumberFormat="1" applyFont="1" applyFill="1" applyBorder="1" applyAlignment="1" applyProtection="1">
      <alignment horizontal="right"/>
      <protection locked="0"/>
    </xf>
    <xf numFmtId="3" fontId="12" fillId="3" borderId="894" xfId="0" applyNumberFormat="1" applyFont="1" applyFill="1" applyBorder="1" applyAlignment="1" applyProtection="1">
      <alignment horizontal="right"/>
      <protection locked="0"/>
    </xf>
    <xf numFmtId="3" fontId="12" fillId="3" borderId="574" xfId="0" applyNumberFormat="1" applyFont="1" applyFill="1" applyBorder="1" applyAlignment="1" applyProtection="1">
      <alignment horizontal="right"/>
      <protection locked="0"/>
    </xf>
    <xf numFmtId="37" fontId="12" fillId="3" borderId="890" xfId="0" applyNumberFormat="1" applyFont="1" applyFill="1" applyBorder="1" applyAlignment="1" applyProtection="1">
      <alignment horizontal="right"/>
      <protection locked="0"/>
    </xf>
    <xf numFmtId="3" fontId="12" fillId="3" borderId="892" xfId="0" applyNumberFormat="1" applyFont="1" applyFill="1" applyBorder="1" applyAlignment="1" applyProtection="1">
      <alignment horizontal="right"/>
      <protection locked="0"/>
    </xf>
    <xf numFmtId="3" fontId="12" fillId="3" borderId="897" xfId="0" applyNumberFormat="1" applyFont="1" applyFill="1" applyBorder="1" applyAlignment="1" applyProtection="1">
      <alignment horizontal="right"/>
      <protection locked="0"/>
    </xf>
    <xf numFmtId="3" fontId="12" fillId="3" borderId="891" xfId="0" applyNumberFormat="1" applyFont="1" applyFill="1" applyBorder="1" applyAlignment="1" applyProtection="1">
      <alignment horizontal="right"/>
      <protection locked="0"/>
    </xf>
    <xf numFmtId="37" fontId="11" fillId="3" borderId="486" xfId="0" applyNumberFormat="1" applyFont="1" applyFill="1" applyBorder="1" applyAlignment="1" applyProtection="1">
      <alignment horizontal="right"/>
      <protection locked="0"/>
    </xf>
    <xf numFmtId="3" fontId="11" fillId="3" borderId="523" xfId="0" applyNumberFormat="1" applyFont="1" applyFill="1" applyBorder="1" applyAlignment="1" applyProtection="1">
      <alignment horizontal="right"/>
      <protection locked="0"/>
    </xf>
    <xf numFmtId="3" fontId="11" fillId="3" borderId="896" xfId="0" applyNumberFormat="1" applyFont="1" applyFill="1" applyBorder="1" applyAlignment="1" applyProtection="1">
      <alignment horizontal="right"/>
      <protection locked="0"/>
    </xf>
    <xf numFmtId="3" fontId="11" fillId="3" borderId="579" xfId="0" applyNumberFormat="1" applyFont="1" applyFill="1" applyBorder="1" applyAlignment="1" applyProtection="1">
      <alignment horizontal="right"/>
      <protection locked="0"/>
    </xf>
    <xf numFmtId="3" fontId="11" fillId="3" borderId="580" xfId="0" applyNumberFormat="1" applyFont="1" applyFill="1" applyBorder="1" applyAlignment="1" applyProtection="1">
      <alignment horizontal="right"/>
      <protection locked="0"/>
    </xf>
    <xf numFmtId="37" fontId="12" fillId="3" borderId="26" xfId="0" applyNumberFormat="1" applyFont="1" applyFill="1" applyBorder="1" applyProtection="1">
      <protection locked="0"/>
    </xf>
    <xf numFmtId="37" fontId="32" fillId="3" borderId="42" xfId="0" applyNumberFormat="1" applyFont="1" applyFill="1" applyBorder="1" applyAlignment="1" applyProtection="1">
      <alignment horizontal="center"/>
      <protection locked="0"/>
    </xf>
    <xf numFmtId="37" fontId="32" fillId="3" borderId="6" xfId="0" applyNumberFormat="1" applyFont="1" applyFill="1" applyBorder="1" applyAlignment="1" applyProtection="1">
      <alignment horizontal="center"/>
      <protection locked="0"/>
    </xf>
    <xf numFmtId="37" fontId="32" fillId="3" borderId="12" xfId="0" applyNumberFormat="1" applyFont="1" applyFill="1" applyBorder="1" applyAlignment="1" applyProtection="1">
      <alignment horizontal="center"/>
      <protection locked="0"/>
    </xf>
    <xf numFmtId="172" fontId="32" fillId="3" borderId="42" xfId="0" applyNumberFormat="1" applyFont="1" applyFill="1" applyBorder="1" applyAlignment="1" applyProtection="1">
      <alignment horizontal="center"/>
      <protection locked="0"/>
    </xf>
    <xf numFmtId="39" fontId="32" fillId="3" borderId="42" xfId="0" applyNumberFormat="1" applyFont="1" applyFill="1" applyBorder="1" applyAlignment="1" applyProtection="1">
      <alignment horizontal="center"/>
      <protection locked="0"/>
    </xf>
    <xf numFmtId="170" fontId="32" fillId="3" borderId="6" xfId="0" applyNumberFormat="1" applyFont="1" applyFill="1" applyBorder="1" applyAlignment="1" applyProtection="1">
      <alignment horizontal="center"/>
      <protection locked="0"/>
    </xf>
    <xf numFmtId="37" fontId="32" fillId="3" borderId="48" xfId="0" applyNumberFormat="1" applyFont="1" applyFill="1" applyBorder="1" applyAlignment="1" applyProtection="1">
      <alignment horizontal="center"/>
      <protection locked="0"/>
    </xf>
    <xf numFmtId="39" fontId="32" fillId="3" borderId="41" xfId="0" applyNumberFormat="1" applyFont="1" applyFill="1" applyBorder="1" applyAlignment="1" applyProtection="1">
      <alignment horizontal="center"/>
      <protection locked="0"/>
    </xf>
    <xf numFmtId="39" fontId="32" fillId="3" borderId="6" xfId="0" applyNumberFormat="1" applyFont="1" applyFill="1" applyBorder="1" applyAlignment="1" applyProtection="1">
      <alignment horizontal="center"/>
      <protection locked="0"/>
    </xf>
    <xf numFmtId="37" fontId="12" fillId="3" borderId="849" xfId="10" applyNumberFormat="1" applyFont="1" applyFill="1" applyBorder="1" applyAlignment="1" applyProtection="1">
      <alignment horizontal="center" vertical="center"/>
      <protection locked="0"/>
    </xf>
    <xf numFmtId="37" fontId="12" fillId="3" borderId="198" xfId="10" applyNumberFormat="1" applyFont="1" applyFill="1" applyBorder="1" applyAlignment="1" applyProtection="1">
      <alignment horizontal="center" vertical="center"/>
      <protection locked="0"/>
    </xf>
    <xf numFmtId="37" fontId="12" fillId="3" borderId="858" xfId="10" applyNumberFormat="1" applyFont="1" applyFill="1" applyBorder="1" applyAlignment="1" applyProtection="1">
      <alignment horizontal="center" vertical="center"/>
      <protection locked="0"/>
    </xf>
    <xf numFmtId="166" fontId="32" fillId="3" borderId="821" xfId="6" applyNumberFormat="1" applyFont="1" applyFill="1" applyBorder="1" applyAlignment="1" applyProtection="1">
      <alignment horizontal="center"/>
      <protection locked="0"/>
    </xf>
    <xf numFmtId="166" fontId="32" fillId="3" borderId="822" xfId="6" applyNumberFormat="1" applyFont="1" applyFill="1" applyBorder="1" applyAlignment="1" applyProtection="1">
      <alignment horizontal="center"/>
      <protection locked="0"/>
    </xf>
    <xf numFmtId="2" fontId="32" fillId="3" borderId="823" xfId="6" applyNumberFormat="1" applyFont="1" applyFill="1" applyBorder="1" applyAlignment="1" applyProtection="1">
      <alignment horizontal="center"/>
      <protection locked="0"/>
    </xf>
    <xf numFmtId="166" fontId="32" fillId="3" borderId="824" xfId="6" applyNumberFormat="1" applyFont="1" applyFill="1" applyBorder="1" applyAlignment="1" applyProtection="1">
      <alignment horizontal="center"/>
      <protection locked="0"/>
    </xf>
    <xf numFmtId="2" fontId="32" fillId="3" borderId="826" xfId="6" applyNumberFormat="1" applyFont="1" applyFill="1" applyBorder="1" applyAlignment="1" applyProtection="1">
      <alignment horizontal="center"/>
      <protection locked="0"/>
    </xf>
    <xf numFmtId="168" fontId="52" fillId="3" borderId="830" xfId="0" applyNumberFormat="1" applyFont="1" applyFill="1" applyBorder="1" applyAlignment="1" applyProtection="1">
      <protection locked="0"/>
    </xf>
    <xf numFmtId="168" fontId="52" fillId="3" borderId="831" xfId="0" applyNumberFormat="1" applyFont="1" applyFill="1" applyBorder="1" applyAlignment="1" applyProtection="1">
      <protection locked="0"/>
    </xf>
    <xf numFmtId="166" fontId="32" fillId="3" borderId="831" xfId="6" applyNumberFormat="1" applyFont="1" applyFill="1" applyBorder="1" applyAlignment="1" applyProtection="1">
      <alignment horizontal="center"/>
      <protection locked="0"/>
    </xf>
    <xf numFmtId="168" fontId="52" fillId="3" borderId="832" xfId="0" applyNumberFormat="1" applyFont="1" applyFill="1" applyBorder="1" applyAlignment="1" applyProtection="1">
      <protection locked="0"/>
    </xf>
    <xf numFmtId="166" fontId="32" fillId="3" borderId="827" xfId="6" applyNumberFormat="1" applyFont="1" applyFill="1" applyBorder="1" applyAlignment="1" applyProtection="1">
      <alignment horizontal="center"/>
      <protection locked="0"/>
    </xf>
    <xf numFmtId="2" fontId="32" fillId="3" borderId="829" xfId="6" applyNumberFormat="1" applyFont="1" applyFill="1" applyBorder="1" applyAlignment="1" applyProtection="1">
      <alignment horizontal="center"/>
      <protection locked="0"/>
    </xf>
    <xf numFmtId="168" fontId="52" fillId="3" borderId="833" xfId="0" applyNumberFormat="1" applyFont="1" applyFill="1" applyBorder="1" applyAlignment="1" applyProtection="1">
      <protection locked="0"/>
    </xf>
    <xf numFmtId="168" fontId="52" fillId="3" borderId="577" xfId="0" applyNumberFormat="1" applyFont="1" applyFill="1" applyBorder="1" applyAlignment="1" applyProtection="1">
      <protection locked="0"/>
    </xf>
    <xf numFmtId="168" fontId="52" fillId="3" borderId="582" xfId="0" applyNumberFormat="1" applyFont="1" applyFill="1" applyBorder="1" applyAlignment="1" applyProtection="1">
      <protection locked="0"/>
    </xf>
    <xf numFmtId="0" fontId="28" fillId="0" borderId="0" xfId="0" applyFont="1" applyAlignment="1">
      <alignment horizontal="center"/>
    </xf>
    <xf numFmtId="166" fontId="19" fillId="3" borderId="24" xfId="0" applyNumberFormat="1" applyFont="1" applyFill="1" applyBorder="1" applyAlignment="1">
      <alignment horizontal="center" vertical="center"/>
    </xf>
    <xf numFmtId="166" fontId="19" fillId="3" borderId="27" xfId="0" applyNumberFormat="1" applyFont="1" applyFill="1" applyBorder="1" applyAlignment="1">
      <alignment horizontal="center" vertical="center"/>
    </xf>
    <xf numFmtId="166" fontId="19" fillId="3" borderId="29" xfId="0" applyNumberFormat="1" applyFont="1" applyFill="1" applyBorder="1" applyAlignment="1">
      <alignment horizontal="center" vertical="center"/>
    </xf>
    <xf numFmtId="39" fontId="12" fillId="0" borderId="429" xfId="0" applyNumberFormat="1" applyFont="1" applyFill="1" applyBorder="1" applyAlignment="1">
      <alignment horizontal="center"/>
    </xf>
    <xf numFmtId="39" fontId="12" fillId="0" borderId="414" xfId="0" applyNumberFormat="1" applyFont="1" applyFill="1" applyBorder="1" applyAlignment="1">
      <alignment horizontal="center"/>
    </xf>
    <xf numFmtId="39" fontId="12" fillId="0" borderId="443" xfId="0" applyNumberFormat="1" applyFont="1" applyFill="1" applyBorder="1" applyAlignment="1">
      <alignment horizontal="center"/>
    </xf>
    <xf numFmtId="170" fontId="11" fillId="24" borderId="0" xfId="0" applyNumberFormat="1" applyFont="1" applyFill="1" applyBorder="1" applyAlignment="1" applyProtection="1">
      <alignment horizontal="center"/>
    </xf>
    <xf numFmtId="0" fontId="12" fillId="4" borderId="64" xfId="0" applyNumberFormat="1" applyFont="1" applyFill="1" applyBorder="1" applyAlignment="1" applyProtection="1">
      <alignment horizontal="center"/>
    </xf>
    <xf numFmtId="0" fontId="28" fillId="0" borderId="0" xfId="0" applyFont="1" applyAlignment="1">
      <alignment horizontal="center"/>
    </xf>
    <xf numFmtId="37" fontId="12" fillId="3" borderId="44" xfId="0" applyNumberFormat="1" applyFont="1" applyFill="1" applyBorder="1" applyAlignment="1" applyProtection="1">
      <alignment horizontal="center" vertical="center"/>
      <protection locked="0"/>
    </xf>
    <xf numFmtId="37" fontId="12" fillId="3" borderId="0" xfId="0" applyNumberFormat="1" applyFont="1" applyFill="1" applyBorder="1" applyAlignment="1" applyProtection="1">
      <alignment horizontal="center" vertical="center"/>
      <protection locked="0"/>
    </xf>
    <xf numFmtId="37" fontId="12" fillId="3" borderId="43" xfId="0" applyNumberFormat="1" applyFont="1" applyFill="1" applyBorder="1" applyAlignment="1" applyProtection="1">
      <alignment horizontal="center" vertical="center"/>
      <protection locked="0"/>
    </xf>
    <xf numFmtId="37" fontId="12" fillId="3" borderId="97" xfId="0" applyNumberFormat="1" applyFont="1" applyFill="1" applyBorder="1" applyAlignment="1" applyProtection="1">
      <alignment horizontal="center" vertical="center"/>
      <protection locked="0"/>
    </xf>
    <xf numFmtId="37" fontId="12" fillId="3" borderId="5" xfId="0" applyNumberFormat="1" applyFont="1" applyFill="1" applyBorder="1" applyAlignment="1" applyProtection="1">
      <alignment horizontal="center" vertical="center"/>
      <protection locked="0"/>
    </xf>
    <xf numFmtId="37" fontId="12" fillId="3" borderId="59" xfId="0" applyNumberFormat="1" applyFont="1" applyFill="1" applyBorder="1" applyAlignment="1" applyProtection="1">
      <alignment horizontal="center" vertical="center"/>
      <protection locked="0"/>
    </xf>
    <xf numFmtId="37" fontId="12" fillId="3" borderId="86" xfId="0" applyNumberFormat="1" applyFont="1" applyFill="1" applyBorder="1" applyAlignment="1" applyProtection="1">
      <alignment horizontal="center" vertical="center"/>
      <protection locked="0"/>
    </xf>
    <xf numFmtId="37" fontId="12" fillId="3" borderId="45" xfId="0" applyNumberFormat="1" applyFont="1" applyFill="1" applyBorder="1" applyAlignment="1" applyProtection="1">
      <alignment horizontal="center" vertical="center"/>
      <protection locked="0"/>
    </xf>
    <xf numFmtId="37" fontId="12" fillId="3" borderId="104" xfId="0" applyNumberFormat="1" applyFont="1" applyFill="1" applyBorder="1" applyAlignment="1" applyProtection="1">
      <alignment horizontal="center" vertical="center"/>
      <protection locked="0"/>
    </xf>
    <xf numFmtId="0" fontId="21" fillId="0" borderId="0" xfId="0" applyFont="1" applyFill="1" applyAlignment="1">
      <alignment horizontal="center" vertical="center"/>
    </xf>
    <xf numFmtId="0" fontId="11" fillId="10" borderId="40" xfId="10" applyFont="1" applyFill="1" applyBorder="1" applyAlignment="1">
      <alignment horizontal="center" vertical="center" wrapText="1"/>
    </xf>
    <xf numFmtId="0" fontId="11" fillId="10" borderId="49" xfId="10" applyFont="1" applyFill="1" applyBorder="1" applyAlignment="1">
      <alignment horizontal="center" vertical="center" wrapText="1"/>
    </xf>
    <xf numFmtId="0" fontId="14" fillId="0" borderId="0" xfId="12" applyFont="1" applyFill="1"/>
    <xf numFmtId="1" fontId="16" fillId="10" borderId="96" xfId="0" applyNumberFormat="1" applyFont="1" applyFill="1" applyBorder="1" applyAlignment="1">
      <alignment horizontal="center" vertical="center"/>
    </xf>
    <xf numFmtId="1" fontId="16" fillId="10" borderId="95" xfId="0" applyNumberFormat="1" applyFont="1" applyFill="1" applyBorder="1" applyAlignment="1">
      <alignment horizontal="center" vertical="center"/>
    </xf>
    <xf numFmtId="0" fontId="11" fillId="10" borderId="21" xfId="10" applyFont="1" applyFill="1" applyBorder="1" applyAlignment="1">
      <alignment horizontal="center" vertical="center" wrapText="1"/>
    </xf>
    <xf numFmtId="37" fontId="11" fillId="0" borderId="23" xfId="6" applyNumberFormat="1" applyFont="1" applyFill="1" applyBorder="1" applyAlignment="1">
      <alignment horizontal="center" vertical="center"/>
    </xf>
    <xf numFmtId="37" fontId="11" fillId="0" borderId="45" xfId="6" applyNumberFormat="1" applyFont="1" applyFill="1" applyBorder="1" applyAlignment="1">
      <alignment horizontal="center" vertical="center"/>
    </xf>
    <xf numFmtId="37" fontId="11" fillId="0" borderId="24" xfId="6" applyNumberFormat="1" applyFont="1" applyFill="1" applyBorder="1" applyAlignment="1">
      <alignment horizontal="center" vertical="center"/>
    </xf>
    <xf numFmtId="1" fontId="14" fillId="10" borderId="19" xfId="12" applyNumberFormat="1" applyFont="1" applyFill="1" applyBorder="1" applyAlignment="1">
      <alignment horizontal="center" vertical="center"/>
    </xf>
    <xf numFmtId="1" fontId="14" fillId="10" borderId="22" xfId="12" applyNumberFormat="1" applyFont="1" applyFill="1" applyBorder="1" applyAlignment="1">
      <alignment horizontal="center" vertical="center"/>
    </xf>
    <xf numFmtId="1" fontId="14" fillId="10" borderId="18" xfId="12" applyNumberFormat="1" applyFont="1" applyFill="1" applyBorder="1" applyAlignment="1">
      <alignment horizontal="center" vertical="center"/>
    </xf>
    <xf numFmtId="0" fontId="14" fillId="0" borderId="0" xfId="12" applyFont="1" applyFill="1" applyAlignment="1">
      <alignment horizontal="center" vertical="center"/>
    </xf>
    <xf numFmtId="0" fontId="59" fillId="0" borderId="0" xfId="12" applyFont="1" applyFill="1" applyAlignment="1">
      <alignment horizontal="center" vertical="center"/>
    </xf>
    <xf numFmtId="0" fontId="14" fillId="0" borderId="0" xfId="12" applyFont="1" applyFill="1" applyAlignment="1">
      <alignment horizontal="left"/>
    </xf>
    <xf numFmtId="37" fontId="14" fillId="0" borderId="0" xfId="12" applyNumberFormat="1" applyFont="1" applyFill="1" applyAlignment="1">
      <alignment horizontal="left" vertical="center"/>
    </xf>
    <xf numFmtId="0" fontId="11" fillId="17" borderId="93" xfId="6" applyFont="1" applyFill="1" applyBorder="1" applyAlignment="1">
      <alignment horizontal="center" vertical="center"/>
    </xf>
    <xf numFmtId="0" fontId="11" fillId="17" borderId="94" xfId="6" applyFont="1" applyFill="1" applyBorder="1" applyAlignment="1">
      <alignment horizontal="center" vertical="center"/>
    </xf>
    <xf numFmtId="0" fontId="11" fillId="17" borderId="95" xfId="6" applyFont="1" applyFill="1" applyBorder="1" applyAlignment="1">
      <alignment horizontal="center" vertical="center"/>
    </xf>
    <xf numFmtId="0" fontId="11" fillId="17" borderId="19" xfId="6" applyFont="1" applyFill="1" applyBorder="1" applyAlignment="1">
      <alignment horizontal="center" vertical="center"/>
    </xf>
    <xf numFmtId="0" fontId="11" fillId="17" borderId="31" xfId="6" applyFont="1" applyFill="1" applyBorder="1" applyAlignment="1">
      <alignment horizontal="center" vertical="center"/>
    </xf>
    <xf numFmtId="0" fontId="14" fillId="0" borderId="0" xfId="12" applyFont="1" applyFill="1" applyAlignment="1">
      <alignment horizontal="left" vertical="center"/>
    </xf>
    <xf numFmtId="0" fontId="14" fillId="0" borderId="0" xfId="12" applyFont="1" applyAlignment="1" applyProtection="1">
      <alignment horizontal="left"/>
    </xf>
    <xf numFmtId="1" fontId="11" fillId="12" borderId="104" xfId="10" applyNumberFormat="1" applyFont="1" applyFill="1" applyBorder="1" applyAlignment="1" applyProtection="1">
      <alignment horizontal="center" vertical="center" wrapText="1"/>
    </xf>
    <xf numFmtId="1" fontId="11" fillId="12" borderId="43" xfId="10" applyNumberFormat="1" applyFont="1" applyFill="1" applyBorder="1" applyAlignment="1" applyProtection="1">
      <alignment horizontal="center" vertical="center" wrapText="1"/>
    </xf>
    <xf numFmtId="37" fontId="11" fillId="10" borderId="14" xfId="0" applyNumberFormat="1" applyFont="1" applyFill="1" applyBorder="1" applyAlignment="1" applyProtection="1">
      <alignment horizontal="center" vertical="center"/>
    </xf>
    <xf numFmtId="37" fontId="11" fillId="10" borderId="17" xfId="0" applyNumberFormat="1" applyFont="1" applyFill="1" applyBorder="1" applyAlignment="1" applyProtection="1">
      <alignment horizontal="center" vertical="center"/>
    </xf>
    <xf numFmtId="37" fontId="11" fillId="10" borderId="30" xfId="0" applyNumberFormat="1" applyFont="1" applyFill="1" applyBorder="1" applyAlignment="1" applyProtection="1">
      <alignment horizontal="center" vertical="center"/>
    </xf>
    <xf numFmtId="0" fontId="60" fillId="4" borderId="561" xfId="10" applyFont="1" applyFill="1" applyBorder="1" applyAlignment="1" applyProtection="1">
      <alignment horizontal="center" vertical="center"/>
    </xf>
    <xf numFmtId="0" fontId="60" fillId="4" borderId="685" xfId="10" applyFont="1" applyFill="1" applyBorder="1" applyAlignment="1" applyProtection="1">
      <alignment horizontal="center" vertical="center"/>
    </xf>
    <xf numFmtId="0" fontId="14" fillId="0" borderId="0" xfId="12" applyFont="1" applyFill="1" applyProtection="1"/>
    <xf numFmtId="0" fontId="14" fillId="0" borderId="0" xfId="12" applyFont="1" applyFill="1" applyAlignment="1" applyProtection="1">
      <alignment horizontal="left" vertical="center"/>
    </xf>
    <xf numFmtId="0" fontId="13" fillId="4" borderId="561" xfId="10" applyFont="1" applyFill="1" applyBorder="1" applyAlignment="1" applyProtection="1">
      <alignment horizontal="center" vertical="center"/>
    </xf>
    <xf numFmtId="0" fontId="13" fillId="4" borderId="685" xfId="10" applyFont="1" applyFill="1" applyBorder="1" applyAlignment="1" applyProtection="1">
      <alignment horizontal="center" vertical="center"/>
    </xf>
    <xf numFmtId="0" fontId="14" fillId="0" borderId="0" xfId="12" applyFont="1" applyFill="1" applyAlignment="1" applyProtection="1"/>
    <xf numFmtId="37" fontId="11" fillId="12" borderId="33" xfId="0" applyNumberFormat="1" applyFont="1" applyFill="1" applyBorder="1" applyAlignment="1" applyProtection="1">
      <alignment horizontal="center" wrapText="1"/>
    </xf>
    <xf numFmtId="37" fontId="11" fillId="12" borderId="9" xfId="0" applyNumberFormat="1" applyFont="1" applyFill="1" applyBorder="1" applyAlignment="1" applyProtection="1">
      <alignment horizontal="center" wrapText="1"/>
    </xf>
    <xf numFmtId="9" fontId="11" fillId="10" borderId="198" xfId="7" applyFont="1" applyFill="1" applyBorder="1" applyAlignment="1" applyProtection="1">
      <alignment horizontal="center" vertical="center"/>
    </xf>
    <xf numFmtId="37" fontId="11" fillId="10" borderId="198" xfId="6" applyNumberFormat="1" applyFont="1" applyFill="1" applyBorder="1" applyAlignment="1" applyProtection="1">
      <alignment horizontal="center" vertical="center"/>
    </xf>
    <xf numFmtId="37" fontId="11" fillId="10" borderId="198" xfId="10" applyNumberFormat="1" applyFont="1" applyFill="1" applyBorder="1" applyAlignment="1" applyProtection="1">
      <alignment horizontal="center" vertical="center"/>
    </xf>
    <xf numFmtId="37" fontId="11" fillId="10" borderId="203" xfId="10" applyNumberFormat="1" applyFont="1" applyFill="1" applyBorder="1" applyAlignment="1" applyProtection="1">
      <alignment horizontal="center" vertical="center"/>
    </xf>
    <xf numFmtId="0" fontId="11" fillId="10" borderId="86" xfId="0" applyFont="1" applyFill="1" applyBorder="1" applyAlignment="1" applyProtection="1">
      <alignment horizontal="center"/>
    </xf>
    <xf numFmtId="0" fontId="11" fillId="10" borderId="45" xfId="0" applyFont="1" applyFill="1" applyBorder="1" applyAlignment="1" applyProtection="1">
      <alignment horizontal="center"/>
    </xf>
    <xf numFmtId="0" fontId="11" fillId="10" borderId="104" xfId="0" applyFont="1" applyFill="1" applyBorder="1" applyAlignment="1" applyProtection="1">
      <alignment horizontal="center"/>
    </xf>
    <xf numFmtId="0" fontId="11" fillId="10" borderId="0" xfId="0" applyFont="1" applyFill="1" applyBorder="1" applyAlignment="1" applyProtection="1">
      <alignment horizontal="center"/>
    </xf>
    <xf numFmtId="0" fontId="11" fillId="10" borderId="27" xfId="0" applyFont="1" applyFill="1" applyBorder="1" applyAlignment="1" applyProtection="1">
      <alignment horizontal="center"/>
    </xf>
    <xf numFmtId="0" fontId="14" fillId="0" borderId="0" xfId="12" applyFont="1" applyFill="1" applyAlignment="1" applyProtection="1">
      <alignment horizontal="left"/>
    </xf>
    <xf numFmtId="1" fontId="14" fillId="10" borderId="19" xfId="12" applyNumberFormat="1" applyFont="1" applyFill="1" applyBorder="1" applyAlignment="1" applyProtection="1">
      <alignment horizontal="center" vertical="center"/>
    </xf>
    <xf numFmtId="1" fontId="14" fillId="10" borderId="22" xfId="12" applyNumberFormat="1" applyFont="1" applyFill="1" applyBorder="1" applyAlignment="1" applyProtection="1">
      <alignment horizontal="center" vertical="center"/>
    </xf>
    <xf numFmtId="1" fontId="14" fillId="10" borderId="18" xfId="12" applyNumberFormat="1" applyFont="1" applyFill="1" applyBorder="1" applyAlignment="1" applyProtection="1">
      <alignment horizontal="center" vertical="center"/>
    </xf>
    <xf numFmtId="37" fontId="14" fillId="12" borderId="0" xfId="12" applyNumberFormat="1" applyFont="1" applyFill="1" applyBorder="1" applyAlignment="1">
      <alignment horizontal="left"/>
    </xf>
    <xf numFmtId="1" fontId="11" fillId="17" borderId="14" xfId="10" applyNumberFormat="1" applyFont="1" applyFill="1" applyBorder="1" applyAlignment="1" applyProtection="1">
      <alignment horizontal="center" vertical="center"/>
    </xf>
    <xf numFmtId="1" fontId="11" fillId="17" borderId="30" xfId="10" applyNumberFormat="1" applyFont="1" applyFill="1" applyBorder="1" applyAlignment="1" applyProtection="1">
      <alignment horizontal="center" vertical="center"/>
    </xf>
    <xf numFmtId="37" fontId="14" fillId="12" borderId="0" xfId="12" applyNumberFormat="1" applyFont="1" applyFill="1" applyBorder="1" applyAlignment="1" applyProtection="1">
      <alignment horizontal="center"/>
    </xf>
    <xf numFmtId="37" fontId="14" fillId="12" borderId="0" xfId="12" applyNumberFormat="1" applyFont="1" applyFill="1" applyBorder="1" applyAlignment="1" applyProtection="1">
      <alignment horizontal="left"/>
    </xf>
    <xf numFmtId="37" fontId="14" fillId="0" borderId="0" xfId="12" applyNumberFormat="1" applyFont="1" applyFill="1" applyAlignment="1">
      <alignment horizontal="left"/>
    </xf>
    <xf numFmtId="37" fontId="11" fillId="10" borderId="58" xfId="6" applyNumberFormat="1" applyFont="1" applyFill="1" applyBorder="1" applyAlignment="1" applyProtection="1">
      <alignment horizontal="center" vertical="center"/>
    </xf>
    <xf numFmtId="9" fontId="11" fillId="17" borderId="58" xfId="7" applyFont="1" applyFill="1" applyBorder="1" applyAlignment="1" applyProtection="1">
      <alignment horizontal="center" vertical="center"/>
    </xf>
    <xf numFmtId="37" fontId="11" fillId="10" borderId="58" xfId="10" applyNumberFormat="1" applyFont="1" applyFill="1" applyBorder="1" applyAlignment="1" applyProtection="1">
      <alignment horizontal="center" vertical="center"/>
    </xf>
    <xf numFmtId="37" fontId="11" fillId="10" borderId="8" xfId="10" applyNumberFormat="1" applyFont="1" applyFill="1" applyBorder="1" applyAlignment="1" applyProtection="1">
      <alignment horizontal="center" vertical="center"/>
    </xf>
    <xf numFmtId="0" fontId="11" fillId="10" borderId="23" xfId="10" applyFont="1" applyFill="1" applyBorder="1" applyAlignment="1" applyProtection="1">
      <alignment horizontal="center" vertical="center"/>
    </xf>
    <xf numFmtId="0" fontId="11" fillId="10" borderId="45" xfId="10" applyFont="1" applyFill="1" applyBorder="1" applyAlignment="1" applyProtection="1">
      <alignment horizontal="center" vertical="center"/>
    </xf>
    <xf numFmtId="0" fontId="11" fillId="10" borderId="24" xfId="10" applyFont="1" applyFill="1" applyBorder="1" applyAlignment="1" applyProtection="1">
      <alignment horizontal="center" vertical="center"/>
    </xf>
  </cellXfs>
  <cellStyles count="15">
    <cellStyle name="Comma 2" xfId="14"/>
    <cellStyle name="Euro" xfId="1"/>
    <cellStyle name="Hipervínculo" xfId="12" builtinId="8"/>
    <cellStyle name="Millares" xfId="13" builtinId="3"/>
    <cellStyle name="Millares 2" xfId="2"/>
    <cellStyle name="Millares 2 2" xfId="3"/>
    <cellStyle name="Normal" xfId="0" builtinId="0"/>
    <cellStyle name="Normal 2" xfId="4"/>
    <cellStyle name="Normal 2 2" xfId="5"/>
    <cellStyle name="Normal 2 3" xfId="10"/>
    <cellStyle name="Normal 3" xfId="6"/>
    <cellStyle name="Normal 4" xfId="11"/>
    <cellStyle name="Porcentaje" xfId="7" builtinId="5"/>
    <cellStyle name="Porcentual 2" xfId="8"/>
    <cellStyle name="Porcentual 2 2" xfId="9"/>
  </cellStyles>
  <dxfs count="8713">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tint="-0.14996795556505021"/>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tint="-0.14996795556505021"/>
        </patternFill>
      </fill>
    </dxf>
    <dxf>
      <fill>
        <patternFill>
          <bgColor theme="0" tint="-0.14996795556505021"/>
        </patternFill>
      </fill>
    </dxf>
    <dxf>
      <font>
        <color theme="0" tint="-0.24994659260841701"/>
      </font>
    </dxf>
    <dxf>
      <font>
        <color theme="0" tint="-0.24994659260841701"/>
      </font>
    </dxf>
    <dxf>
      <font>
        <condense val="0"/>
        <extend val="0"/>
        <color indexed="10"/>
      </font>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ont>
        <condense val="0"/>
        <extend val="0"/>
        <color indexed="10"/>
      </font>
    </dxf>
    <dxf>
      <font>
        <color theme="0" tint="-0.24994659260841701"/>
      </font>
    </dxf>
    <dxf>
      <font>
        <color theme="0" tint="-0.14996795556505021"/>
      </font>
    </dxf>
    <dxf>
      <font>
        <condense val="0"/>
        <extend val="0"/>
        <color indexed="10"/>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font>
      <fill>
        <patternFill>
          <bgColor rgb="FFFF7C80"/>
        </patternFill>
      </fill>
    </dxf>
    <dxf>
      <font>
        <b/>
        <i val="0"/>
      </font>
      <fill>
        <patternFill>
          <bgColor rgb="FFFF7C8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font>
      <fill>
        <patternFill>
          <bgColor theme="5" tint="0.59996337778862885"/>
        </patternFill>
      </fill>
    </dxf>
    <dxf>
      <font>
        <color theme="0" tint="-0.24994659260841701"/>
      </font>
    </dxf>
    <dxf>
      <font>
        <color theme="0" tint="-0.24994659260841701"/>
      </font>
    </dxf>
    <dxf>
      <font>
        <color theme="0" tint="-0.24994659260841701"/>
      </font>
    </dxf>
    <dxf>
      <font>
        <b/>
        <i val="0"/>
      </font>
      <fill>
        <patternFill>
          <bgColor rgb="FFFF7C80"/>
        </patternFill>
      </fill>
    </dxf>
    <dxf>
      <font>
        <b/>
        <i val="0"/>
      </font>
      <fill>
        <patternFill>
          <bgColor rgb="FFFF7C80"/>
        </patternFill>
      </fill>
    </dxf>
    <dxf>
      <font>
        <b/>
        <i val="0"/>
      </font>
      <fill>
        <patternFill>
          <bgColor rgb="FFFF7C80"/>
        </patternFill>
      </fill>
    </dxf>
    <dxf>
      <font>
        <b/>
        <i val="0"/>
      </font>
      <fill>
        <patternFill>
          <bgColor theme="5" tint="0.59996337778862885"/>
        </patternFill>
      </fill>
    </dxf>
    <dxf>
      <font>
        <b/>
        <i val="0"/>
      </font>
      <fill>
        <patternFill>
          <bgColor rgb="FFFF7C8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numFmt numFmtId="3" formatCode="#,##0"/>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font>
      <fill>
        <patternFill>
          <bgColor rgb="FFFF9999"/>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14996795556505021"/>
      </font>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14996795556505021"/>
      </font>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ill>
        <patternFill>
          <bgColor theme="5" tint="0.59996337778862885"/>
        </patternFill>
      </fill>
    </dxf>
    <dxf>
      <font>
        <color theme="0" tint="-0.1499679555650502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1499679555650502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14996795556505021"/>
      </font>
    </dxf>
    <dxf>
      <font>
        <color theme="0" tint="-0.14996795556505021"/>
      </font>
    </dxf>
    <dxf>
      <font>
        <color theme="0" tint="-0.1499679555650502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1499679555650502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1499679555650502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14996795556505021"/>
      </font>
    </dxf>
    <dxf>
      <font>
        <color theme="0" tint="-0.24994659260841701"/>
      </font>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b val="0"/>
        <i val="0"/>
        <color rgb="FFFF0000"/>
      </font>
      <fill>
        <patternFill>
          <bgColor theme="5" tint="0.59996337778862885"/>
        </patternFill>
      </fill>
    </dxf>
    <dxf>
      <font>
        <color theme="0" tint="-0.24994659260841701"/>
      </font>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val="0"/>
        <i val="0"/>
        <color rgb="FFFF0000"/>
      </font>
      <fill>
        <patternFill>
          <bgColor theme="5" tint="0.79998168889431442"/>
        </patternFill>
      </fill>
    </dxf>
    <dxf>
      <font>
        <b val="0"/>
        <i val="0"/>
        <color rgb="FFFF0000"/>
      </font>
      <fill>
        <patternFill>
          <bgColor theme="5" tint="0.59996337778862885"/>
        </patternFill>
      </fill>
    </dxf>
    <dxf>
      <font>
        <b val="0"/>
        <i val="0"/>
        <color rgb="FFFF0000"/>
      </font>
      <fill>
        <patternFill>
          <bgColor theme="5" tint="0.59996337778862885"/>
        </patternFill>
      </fill>
    </dxf>
    <dxf>
      <font>
        <b val="0"/>
        <i val="0"/>
        <color rgb="FFFF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ont>
        <color theme="0" tint="-0.24994659260841701"/>
      </font>
    </dxf>
    <dxf>
      <font>
        <color theme="0" tint="-0.24994659260841701"/>
      </font>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0" tint="-0.14996795556505021"/>
        </patternFill>
      </fill>
    </dxf>
    <dxf>
      <font>
        <color theme="0" tint="-0.14996795556505021"/>
      </font>
    </dxf>
    <dxf>
      <font>
        <color theme="0"/>
      </font>
      <fill>
        <patternFill patternType="none">
          <bgColor auto="1"/>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006100"/>
      </font>
      <fill>
        <patternFill>
          <bgColor rgb="FFC6EFCE"/>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rgb="FFFF0000"/>
      </font>
      <fill>
        <patternFill>
          <fgColor theme="5" tint="0.59996337778862885"/>
          <bgColor theme="5" tint="0.59996337778862885"/>
        </patternFill>
      </fill>
    </dxf>
    <dxf>
      <font>
        <color theme="0" tint="-0.24994659260841701"/>
      </font>
    </dxf>
    <dxf>
      <font>
        <color rgb="FF9C0006"/>
      </font>
      <fill>
        <patternFill>
          <bgColor rgb="FFFFC7CE"/>
        </patternFill>
      </fill>
    </dxf>
    <dxf>
      <font>
        <color rgb="FF9C0006"/>
      </font>
      <fill>
        <patternFill>
          <bgColor rgb="FFFFC7CE"/>
        </patternFill>
      </fill>
    </dxf>
    <dxf>
      <font>
        <b val="0"/>
        <i val="0"/>
        <color theme="5"/>
      </font>
      <fill>
        <patternFill>
          <bgColor theme="5" tint="0.59996337778862885"/>
        </patternFill>
      </fill>
    </dxf>
    <dxf>
      <font>
        <color theme="6" tint="-0.499984740745262"/>
      </font>
      <fill>
        <patternFill>
          <bgColor theme="6" tint="0.79998168889431442"/>
        </patternFill>
      </fill>
    </dxf>
    <dxf>
      <font>
        <color theme="6" tint="-0.499984740745262"/>
      </font>
      <fill>
        <patternFill>
          <bgColor theme="6" tint="0.79998168889431442"/>
        </patternFill>
      </fill>
    </dxf>
    <dxf>
      <font>
        <color theme="0" tint="-0.24994659260841701"/>
      </font>
    </dxf>
    <dxf>
      <font>
        <color theme="0" tint="-0.24994659260841701"/>
      </font>
    </dxf>
    <dxf>
      <fill>
        <patternFill>
          <bgColor theme="9" tint="0.59996337778862885"/>
        </patternFill>
      </fill>
    </dxf>
    <dxf>
      <fill>
        <patternFill>
          <bgColor theme="9" tint="0.59996337778862885"/>
        </patternFill>
      </fill>
    </dxf>
    <dxf>
      <font>
        <color theme="0" tint="-0.34998626667073579"/>
      </font>
      <fill>
        <patternFill>
          <bgColor theme="0" tint="-0.14996795556505021"/>
        </patternFill>
      </fill>
    </dxf>
    <dxf>
      <font>
        <color theme="0" tint="-0.24994659260841701"/>
      </font>
    </dxf>
    <dxf>
      <font>
        <color theme="6" tint="-0.499984740745262"/>
      </font>
      <fill>
        <patternFill>
          <bgColor theme="6" tint="0.79998168889431442"/>
        </patternFill>
      </fill>
    </dxf>
    <dxf>
      <font>
        <color theme="6" tint="-0.499984740745262"/>
      </font>
      <fill>
        <patternFill>
          <bgColor theme="6" tint="0.79998168889431442"/>
        </patternFill>
      </fill>
    </dxf>
    <dxf>
      <font>
        <color theme="6" tint="-0.499984740745262"/>
      </font>
      <fill>
        <patternFill>
          <bgColor theme="6"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rgb="FF9C0006"/>
      </font>
      <fill>
        <patternFill>
          <bgColor rgb="FFFFC7CE"/>
        </patternFill>
      </fill>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rgb="FF9C0006"/>
      </font>
      <fill>
        <patternFill>
          <bgColor rgb="FFFFC7CE"/>
        </patternFill>
      </fill>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rgb="FF9C0006"/>
      </font>
      <fill>
        <patternFill>
          <bgColor rgb="FFFFC7CE"/>
        </patternFill>
      </fill>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rgb="FF9C0006"/>
      </font>
      <fill>
        <patternFill>
          <bgColor rgb="FFFFC7CE"/>
        </patternFill>
      </fill>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rgb="FF9C0006"/>
      </font>
      <fill>
        <patternFill>
          <bgColor rgb="FFFFC7CE"/>
        </patternFill>
      </fill>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rgb="FF9C0006"/>
      </font>
      <fill>
        <patternFill>
          <bgColor rgb="FFFFC7CE"/>
        </patternFill>
      </fill>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rgb="FF9C0006"/>
      </font>
      <fill>
        <patternFill>
          <bgColor rgb="FFFFC7CE"/>
        </patternFill>
      </fill>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rgb="FF9C0006"/>
      </font>
      <fill>
        <patternFill>
          <bgColor rgb="FFFFC7CE"/>
        </patternFill>
      </fill>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rgb="FF9C0006"/>
      </font>
      <fill>
        <patternFill>
          <bgColor rgb="FFFFC7CE"/>
        </patternFill>
      </fill>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rgb="FF9C0006"/>
      </font>
      <fill>
        <patternFill>
          <bgColor rgb="FFFFC7CE"/>
        </patternFill>
      </fill>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rgb="FF9C0006"/>
      </font>
      <fill>
        <patternFill>
          <bgColor rgb="FFFFC7CE"/>
        </patternFill>
      </fill>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rgb="FF9C0006"/>
      </font>
      <fill>
        <patternFill>
          <bgColor rgb="FFFFC7CE"/>
        </patternFill>
      </fill>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rgb="FF9C0006"/>
      </font>
      <fill>
        <patternFill>
          <bgColor rgb="FFFFC7CE"/>
        </patternFill>
      </fill>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rgb="FF9C0006"/>
      </font>
      <fill>
        <patternFill>
          <bgColor rgb="FFFFC7CE"/>
        </patternFill>
      </fill>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rgb="FF9C0006"/>
      </font>
      <fill>
        <patternFill>
          <bgColor rgb="FFFFC7CE"/>
        </patternFill>
      </fill>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rgb="FF9C0006"/>
      </font>
      <fill>
        <patternFill>
          <bgColor rgb="FFFFC7CE"/>
        </patternFill>
      </fill>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rgb="FF9C0006"/>
      </font>
      <fill>
        <patternFill>
          <bgColor rgb="FFFFC7CE"/>
        </patternFill>
      </fill>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rgb="FF9C0006"/>
      </font>
      <fill>
        <patternFill>
          <bgColor rgb="FFFFC7CE"/>
        </patternFill>
      </fill>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rgb="FF9C0006"/>
      </font>
      <fill>
        <patternFill>
          <bgColor rgb="FFFFC7CE"/>
        </patternFill>
      </fill>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rgb="FF9C0006"/>
      </font>
      <fill>
        <patternFill>
          <bgColor rgb="FFFFC7CE"/>
        </patternFill>
      </fill>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rgb="FF9C0006"/>
      </font>
      <fill>
        <patternFill>
          <bgColor rgb="FFFFC7CE"/>
        </patternFill>
      </fill>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rgb="FF9C0006"/>
      </font>
      <fill>
        <patternFill>
          <bgColor rgb="FFFFC7CE"/>
        </patternFill>
      </fill>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rgb="FF9C0006"/>
      </font>
      <fill>
        <patternFill>
          <bgColor rgb="FFFFC7CE"/>
        </patternFill>
      </fill>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rgb="FF9C0006"/>
      </font>
      <fill>
        <patternFill>
          <bgColor rgb="FFFFC7CE"/>
        </patternFill>
      </fill>
    </dxf>
    <dxf>
      <font>
        <color theme="0" tint="-0.24994659260841701"/>
      </font>
    </dxf>
    <dxf>
      <font>
        <color theme="0" tint="-0.24994659260841701"/>
      </font>
    </dxf>
    <dxf>
      <font>
        <color rgb="FF9C0006"/>
      </font>
      <fill>
        <patternFill>
          <bgColor rgb="FFFFC7CE"/>
        </patternFill>
      </fill>
    </dxf>
    <dxf>
      <font>
        <color theme="0" tint="-0.24994659260841701"/>
      </font>
    </dxf>
    <dxf>
      <font>
        <color rgb="FF9C0006"/>
      </font>
      <fill>
        <patternFill>
          <bgColor rgb="FFFFC7CE"/>
        </patternFill>
      </fill>
    </dxf>
    <dxf>
      <font>
        <color theme="0" tint="-0.24994659260841701"/>
      </font>
    </dxf>
    <dxf>
      <font>
        <color rgb="FF9C0006"/>
      </font>
      <fill>
        <patternFill>
          <bgColor rgb="FFFFC7CE"/>
        </patternFill>
      </fill>
    </dxf>
    <dxf>
      <font>
        <color theme="0" tint="-0.24994659260841701"/>
      </font>
    </dxf>
    <dxf>
      <font>
        <color rgb="FF9C0006"/>
      </font>
      <fill>
        <patternFill>
          <bgColor rgb="FFFFC7CE"/>
        </patternFill>
      </fill>
    </dxf>
    <dxf>
      <font>
        <color theme="0" tint="-0.24994659260841701"/>
      </font>
    </dxf>
    <dxf>
      <font>
        <color rgb="FF9C0006"/>
      </font>
      <fill>
        <patternFill>
          <bgColor rgb="FFFFC7CE"/>
        </patternFill>
      </fill>
    </dxf>
    <dxf>
      <font>
        <color theme="0" tint="-0.24994659260841701"/>
      </font>
    </dxf>
    <dxf>
      <font>
        <color rgb="FF9C0006"/>
      </font>
      <fill>
        <patternFill>
          <bgColor rgb="FFFFC7CE"/>
        </patternFill>
      </fill>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rgb="FF9C0006"/>
      </font>
      <fill>
        <patternFill>
          <bgColor rgb="FFFFC7CE"/>
        </patternFill>
      </fill>
    </dxf>
    <dxf>
      <font>
        <color theme="0" tint="-0.14996795556505021"/>
      </font>
    </dxf>
    <dxf>
      <font>
        <color theme="0" tint="-0.24994659260841701"/>
      </font>
    </dxf>
    <dxf>
      <font>
        <color rgb="FF9C0006"/>
      </font>
      <fill>
        <patternFill>
          <bgColor rgb="FFFFC7CE"/>
        </patternFill>
      </fill>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9C0006"/>
      </font>
      <fill>
        <patternFill>
          <bgColor rgb="FFFFC7CE"/>
        </patternFill>
      </fill>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rgb="FF9C0006"/>
      </font>
      <fill>
        <patternFill>
          <bgColor rgb="FFFFC7CE"/>
        </patternFill>
      </fill>
    </dxf>
    <dxf>
      <font>
        <color theme="0" tint="-0.24994659260841701"/>
      </font>
    </dxf>
    <dxf>
      <font>
        <color theme="0" tint="-0.14996795556505021"/>
      </font>
    </dxf>
    <dxf>
      <font>
        <color rgb="FF9C0006"/>
      </font>
      <fill>
        <patternFill>
          <bgColor rgb="FFFFC7CE"/>
        </patternFill>
      </fill>
    </dxf>
    <dxf>
      <font>
        <color theme="0" tint="-0.14996795556505021"/>
      </font>
    </dxf>
    <dxf>
      <font>
        <color theme="0" tint="-0.24994659260841701"/>
      </font>
    </dxf>
    <dxf>
      <font>
        <color theme="0" tint="-0.2499465926084170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rgb="FF9C0006"/>
      </font>
      <fill>
        <patternFill>
          <bgColor rgb="FFFFC7CE"/>
        </patternFill>
      </fill>
    </dxf>
    <dxf>
      <font>
        <color theme="0" tint="-0.14996795556505021"/>
      </font>
    </dxf>
    <dxf>
      <font>
        <color theme="0" tint="-0.14996795556505021"/>
      </font>
    </dxf>
    <dxf>
      <font>
        <color theme="0" tint="-0.24994659260841701"/>
      </font>
    </dxf>
    <dxf>
      <font>
        <color theme="0"/>
      </font>
    </dxf>
    <dxf>
      <font>
        <color theme="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rgb="FF9C0006"/>
      </font>
      <fill>
        <patternFill>
          <bgColor rgb="FFFFC7CE"/>
        </patternFill>
      </fill>
    </dxf>
    <dxf>
      <font>
        <b/>
        <i val="0"/>
      </font>
      <fill>
        <patternFill>
          <bgColor rgb="FFFF9999"/>
        </patternFill>
      </fill>
    </dxf>
    <dxf>
      <font>
        <color rgb="FF9C0006"/>
      </font>
      <fill>
        <patternFill>
          <bgColor rgb="FFFFC7CE"/>
        </patternFill>
      </fill>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14996795556505021"/>
      </font>
    </dxf>
    <dxf>
      <font>
        <color theme="0" tint="-0.1499679555650502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14996795556505021"/>
      </font>
    </dxf>
    <dxf>
      <font>
        <color theme="0" tint="-0.24994659260841701"/>
      </font>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0"/>
        </patternFill>
      </fill>
    </dxf>
    <dxf>
      <fill>
        <patternFill>
          <bgColor theme="0"/>
        </patternFill>
      </fill>
    </dxf>
    <dxf>
      <fill>
        <patternFill>
          <bgColor theme="0"/>
        </patternFill>
      </fill>
    </dxf>
    <dxf>
      <font>
        <color theme="0" tint="-0.24994659260841701"/>
      </font>
    </dxf>
    <dxf>
      <font>
        <color theme="0" tint="-0.2499465926084170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E00"/>
      <rgbColor rgb="00FF6600"/>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B3EFFB"/>
      <rgbColor rgb="00CCFFCC"/>
      <rgbColor rgb="00FFFFCC"/>
      <rgbColor rgb="00A6CAF0"/>
      <rgbColor rgb="00CC9CCC"/>
      <rgbColor rgb="00CC99FF"/>
      <rgbColor rgb="00FFEABF"/>
      <rgbColor rgb="003366FF"/>
      <rgbColor rgb="0033CCCC"/>
      <rgbColor rgb="00339933"/>
      <rgbColor rgb="00FFD10B"/>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AFC876"/>
      <color rgb="FFFFCC00"/>
      <color rgb="FFFFFF99"/>
      <color rgb="FF7FECF1"/>
      <color rgb="FFFFD653"/>
      <color rgb="FFD2FCFB"/>
      <color rgb="FFD3F1FB"/>
      <color rgb="FFE7FDFC"/>
      <color rgb="FFFEED86"/>
      <color rgb="FFF692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7994928578945E-2"/>
          <c:y val="5.26959624029208E-2"/>
          <c:w val="0.92573549853379344"/>
          <c:h val="0.6597368521310556"/>
        </c:manualLayout>
      </c:layout>
      <c:barChart>
        <c:barDir val="col"/>
        <c:grouping val="stacked"/>
        <c:varyColors val="0"/>
        <c:ser>
          <c:idx val="0"/>
          <c:order val="0"/>
          <c:tx>
            <c:strRef>
              <c:f>Alimentos!$B$599</c:f>
              <c:strCache>
                <c:ptCount val="1"/>
                <c:pt idx="0">
                  <c:v>Oferta de Forraje (Pastoreo Directo +  Reservas de Excedentes)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Alimentos!$D$597:$AL$598</c:f>
              <c:multiLvlStrCache>
                <c:ptCount val="35"/>
                <c:lvl>
                  <c:pt idx="0">
                    <c:v>OFE</c:v>
                  </c:pt>
                  <c:pt idx="1">
                    <c:v>REQ</c:v>
                  </c:pt>
                  <c:pt idx="3">
                    <c:v>OFE</c:v>
                  </c:pt>
                  <c:pt idx="4">
                    <c:v>REQ</c:v>
                  </c:pt>
                  <c:pt idx="6">
                    <c:v>OFE</c:v>
                  </c:pt>
                  <c:pt idx="7">
                    <c:v>REQ</c:v>
                  </c:pt>
                  <c:pt idx="9">
                    <c:v>OFE</c:v>
                  </c:pt>
                  <c:pt idx="10">
                    <c:v>REQ</c:v>
                  </c:pt>
                  <c:pt idx="12">
                    <c:v>OFE</c:v>
                  </c:pt>
                  <c:pt idx="13">
                    <c:v>REQ</c:v>
                  </c:pt>
                  <c:pt idx="15">
                    <c:v>OFE</c:v>
                  </c:pt>
                  <c:pt idx="16">
                    <c:v>REQ</c:v>
                  </c:pt>
                  <c:pt idx="18">
                    <c:v>OFE</c:v>
                  </c:pt>
                  <c:pt idx="19">
                    <c:v>REQ</c:v>
                  </c:pt>
                  <c:pt idx="21">
                    <c:v>OFE</c:v>
                  </c:pt>
                  <c:pt idx="22">
                    <c:v>REQ</c:v>
                  </c:pt>
                  <c:pt idx="24">
                    <c:v>OFE</c:v>
                  </c:pt>
                  <c:pt idx="25">
                    <c:v>REQ</c:v>
                  </c:pt>
                  <c:pt idx="27">
                    <c:v>OFE</c:v>
                  </c:pt>
                  <c:pt idx="28">
                    <c:v>REQ</c:v>
                  </c:pt>
                  <c:pt idx="30">
                    <c:v>OFE</c:v>
                  </c:pt>
                  <c:pt idx="31">
                    <c:v>REQ</c:v>
                  </c:pt>
                  <c:pt idx="33">
                    <c:v>OFE</c:v>
                  </c:pt>
                  <c:pt idx="34">
                    <c:v>REQ</c:v>
                  </c:pt>
                </c:lvl>
                <c:lvl>
                  <c:pt idx="0">
                    <c:v>Ene</c:v>
                  </c:pt>
                  <c:pt idx="3">
                    <c:v>Feb</c:v>
                  </c:pt>
                  <c:pt idx="6">
                    <c:v>Mar</c:v>
                  </c:pt>
                  <c:pt idx="9">
                    <c:v>Abr</c:v>
                  </c:pt>
                  <c:pt idx="12">
                    <c:v>May</c:v>
                  </c:pt>
                  <c:pt idx="15">
                    <c:v>Jun</c:v>
                  </c:pt>
                  <c:pt idx="18">
                    <c:v>Jul</c:v>
                  </c:pt>
                  <c:pt idx="21">
                    <c:v>Ago</c:v>
                  </c:pt>
                  <c:pt idx="24">
                    <c:v>Set</c:v>
                  </c:pt>
                  <c:pt idx="27">
                    <c:v>Oct</c:v>
                  </c:pt>
                  <c:pt idx="30">
                    <c:v>Nov</c:v>
                  </c:pt>
                  <c:pt idx="33">
                    <c:v>Dic</c:v>
                  </c:pt>
                </c:lvl>
              </c:multiLvlStrCache>
            </c:multiLvlStrRef>
          </c:cat>
          <c:val>
            <c:numRef>
              <c:f>Alimentos!$D$599:$AM$599</c:f>
              <c:numCache>
                <c:formatCode>#,##0_);\(#,##0\)</c:formatCode>
                <c:ptCount val="36"/>
                <c:pt idx="0">
                  <c:v>0</c:v>
                </c:pt>
                <c:pt idx="3">
                  <c:v>0</c:v>
                </c:pt>
                <c:pt idx="6">
                  <c:v>0</c:v>
                </c:pt>
                <c:pt idx="9">
                  <c:v>0</c:v>
                </c:pt>
                <c:pt idx="12">
                  <c:v>0</c:v>
                </c:pt>
                <c:pt idx="15">
                  <c:v>0</c:v>
                </c:pt>
                <c:pt idx="18">
                  <c:v>0</c:v>
                </c:pt>
                <c:pt idx="21">
                  <c:v>0</c:v>
                </c:pt>
                <c:pt idx="24">
                  <c:v>0</c:v>
                </c:pt>
                <c:pt idx="27">
                  <c:v>0</c:v>
                </c:pt>
                <c:pt idx="30">
                  <c:v>0</c:v>
                </c:pt>
                <c:pt idx="33">
                  <c:v>0</c:v>
                </c:pt>
              </c:numCache>
            </c:numRef>
          </c:val>
          <c:extLst>
            <c:ext xmlns:c16="http://schemas.microsoft.com/office/drawing/2014/chart" uri="{C3380CC4-5D6E-409C-BE32-E72D297353CC}">
              <c16:uniqueId val="{00000000-B782-4A57-93FA-80942F9DF220}"/>
            </c:ext>
          </c:extLst>
        </c:ser>
        <c:ser>
          <c:idx val="1"/>
          <c:order val="1"/>
          <c:tx>
            <c:strRef>
              <c:f>Alimentos!$B$600</c:f>
              <c:strCache>
                <c:ptCount val="1"/>
                <c:pt idx="0">
                  <c:v>Oferta de Cultivos de Reserva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Alimentos!$D$597:$AL$598</c:f>
              <c:multiLvlStrCache>
                <c:ptCount val="35"/>
                <c:lvl>
                  <c:pt idx="0">
                    <c:v>OFE</c:v>
                  </c:pt>
                  <c:pt idx="1">
                    <c:v>REQ</c:v>
                  </c:pt>
                  <c:pt idx="3">
                    <c:v>OFE</c:v>
                  </c:pt>
                  <c:pt idx="4">
                    <c:v>REQ</c:v>
                  </c:pt>
                  <c:pt idx="6">
                    <c:v>OFE</c:v>
                  </c:pt>
                  <c:pt idx="7">
                    <c:v>REQ</c:v>
                  </c:pt>
                  <c:pt idx="9">
                    <c:v>OFE</c:v>
                  </c:pt>
                  <c:pt idx="10">
                    <c:v>REQ</c:v>
                  </c:pt>
                  <c:pt idx="12">
                    <c:v>OFE</c:v>
                  </c:pt>
                  <c:pt idx="13">
                    <c:v>REQ</c:v>
                  </c:pt>
                  <c:pt idx="15">
                    <c:v>OFE</c:v>
                  </c:pt>
                  <c:pt idx="16">
                    <c:v>REQ</c:v>
                  </c:pt>
                  <c:pt idx="18">
                    <c:v>OFE</c:v>
                  </c:pt>
                  <c:pt idx="19">
                    <c:v>REQ</c:v>
                  </c:pt>
                  <c:pt idx="21">
                    <c:v>OFE</c:v>
                  </c:pt>
                  <c:pt idx="22">
                    <c:v>REQ</c:v>
                  </c:pt>
                  <c:pt idx="24">
                    <c:v>OFE</c:v>
                  </c:pt>
                  <c:pt idx="25">
                    <c:v>REQ</c:v>
                  </c:pt>
                  <c:pt idx="27">
                    <c:v>OFE</c:v>
                  </c:pt>
                  <c:pt idx="28">
                    <c:v>REQ</c:v>
                  </c:pt>
                  <c:pt idx="30">
                    <c:v>OFE</c:v>
                  </c:pt>
                  <c:pt idx="31">
                    <c:v>REQ</c:v>
                  </c:pt>
                  <c:pt idx="33">
                    <c:v>OFE</c:v>
                  </c:pt>
                  <c:pt idx="34">
                    <c:v>REQ</c:v>
                  </c:pt>
                </c:lvl>
                <c:lvl>
                  <c:pt idx="0">
                    <c:v>Ene</c:v>
                  </c:pt>
                  <c:pt idx="3">
                    <c:v>Feb</c:v>
                  </c:pt>
                  <c:pt idx="6">
                    <c:v>Mar</c:v>
                  </c:pt>
                  <c:pt idx="9">
                    <c:v>Abr</c:v>
                  </c:pt>
                  <c:pt idx="12">
                    <c:v>May</c:v>
                  </c:pt>
                  <c:pt idx="15">
                    <c:v>Jun</c:v>
                  </c:pt>
                  <c:pt idx="18">
                    <c:v>Jul</c:v>
                  </c:pt>
                  <c:pt idx="21">
                    <c:v>Ago</c:v>
                  </c:pt>
                  <c:pt idx="24">
                    <c:v>Set</c:v>
                  </c:pt>
                  <c:pt idx="27">
                    <c:v>Oct</c:v>
                  </c:pt>
                  <c:pt idx="30">
                    <c:v>Nov</c:v>
                  </c:pt>
                  <c:pt idx="33">
                    <c:v>Dic</c:v>
                  </c:pt>
                </c:lvl>
              </c:multiLvlStrCache>
            </c:multiLvlStrRef>
          </c:cat>
          <c:val>
            <c:numRef>
              <c:f>Alimentos!$D$600:$AM$600</c:f>
              <c:numCache>
                <c:formatCode>#,##0_);\(#,##0\)</c:formatCode>
                <c:ptCount val="36"/>
                <c:pt idx="0">
                  <c:v>0</c:v>
                </c:pt>
                <c:pt idx="3">
                  <c:v>0</c:v>
                </c:pt>
                <c:pt idx="6">
                  <c:v>0</c:v>
                </c:pt>
                <c:pt idx="9">
                  <c:v>0</c:v>
                </c:pt>
                <c:pt idx="12">
                  <c:v>0</c:v>
                </c:pt>
                <c:pt idx="15">
                  <c:v>0</c:v>
                </c:pt>
                <c:pt idx="18">
                  <c:v>0</c:v>
                </c:pt>
                <c:pt idx="21">
                  <c:v>0</c:v>
                </c:pt>
                <c:pt idx="24">
                  <c:v>0</c:v>
                </c:pt>
                <c:pt idx="27">
                  <c:v>0</c:v>
                </c:pt>
                <c:pt idx="30">
                  <c:v>0</c:v>
                </c:pt>
                <c:pt idx="33">
                  <c:v>0</c:v>
                </c:pt>
              </c:numCache>
            </c:numRef>
          </c:val>
          <c:extLst>
            <c:ext xmlns:c16="http://schemas.microsoft.com/office/drawing/2014/chart" uri="{C3380CC4-5D6E-409C-BE32-E72D297353CC}">
              <c16:uniqueId val="{00000001-B782-4A57-93FA-80942F9DF220}"/>
            </c:ext>
          </c:extLst>
        </c:ser>
        <c:ser>
          <c:idx val="2"/>
          <c:order val="2"/>
          <c:tx>
            <c:strRef>
              <c:f>Alimentos!$B$601</c:f>
              <c:strCache>
                <c:ptCount val="1"/>
                <c:pt idx="0">
                  <c:v>Requerimientos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Alimentos!$D$597:$AL$598</c:f>
              <c:multiLvlStrCache>
                <c:ptCount val="35"/>
                <c:lvl>
                  <c:pt idx="0">
                    <c:v>OFE</c:v>
                  </c:pt>
                  <c:pt idx="1">
                    <c:v>REQ</c:v>
                  </c:pt>
                  <c:pt idx="3">
                    <c:v>OFE</c:v>
                  </c:pt>
                  <c:pt idx="4">
                    <c:v>REQ</c:v>
                  </c:pt>
                  <c:pt idx="6">
                    <c:v>OFE</c:v>
                  </c:pt>
                  <c:pt idx="7">
                    <c:v>REQ</c:v>
                  </c:pt>
                  <c:pt idx="9">
                    <c:v>OFE</c:v>
                  </c:pt>
                  <c:pt idx="10">
                    <c:v>REQ</c:v>
                  </c:pt>
                  <c:pt idx="12">
                    <c:v>OFE</c:v>
                  </c:pt>
                  <c:pt idx="13">
                    <c:v>REQ</c:v>
                  </c:pt>
                  <c:pt idx="15">
                    <c:v>OFE</c:v>
                  </c:pt>
                  <c:pt idx="16">
                    <c:v>REQ</c:v>
                  </c:pt>
                  <c:pt idx="18">
                    <c:v>OFE</c:v>
                  </c:pt>
                  <c:pt idx="19">
                    <c:v>REQ</c:v>
                  </c:pt>
                  <c:pt idx="21">
                    <c:v>OFE</c:v>
                  </c:pt>
                  <c:pt idx="22">
                    <c:v>REQ</c:v>
                  </c:pt>
                  <c:pt idx="24">
                    <c:v>OFE</c:v>
                  </c:pt>
                  <c:pt idx="25">
                    <c:v>REQ</c:v>
                  </c:pt>
                  <c:pt idx="27">
                    <c:v>OFE</c:v>
                  </c:pt>
                  <c:pt idx="28">
                    <c:v>REQ</c:v>
                  </c:pt>
                  <c:pt idx="30">
                    <c:v>OFE</c:v>
                  </c:pt>
                  <c:pt idx="31">
                    <c:v>REQ</c:v>
                  </c:pt>
                  <c:pt idx="33">
                    <c:v>OFE</c:v>
                  </c:pt>
                  <c:pt idx="34">
                    <c:v>REQ</c:v>
                  </c:pt>
                </c:lvl>
                <c:lvl>
                  <c:pt idx="0">
                    <c:v>Ene</c:v>
                  </c:pt>
                  <c:pt idx="3">
                    <c:v>Feb</c:v>
                  </c:pt>
                  <c:pt idx="6">
                    <c:v>Mar</c:v>
                  </c:pt>
                  <c:pt idx="9">
                    <c:v>Abr</c:v>
                  </c:pt>
                  <c:pt idx="12">
                    <c:v>May</c:v>
                  </c:pt>
                  <c:pt idx="15">
                    <c:v>Jun</c:v>
                  </c:pt>
                  <c:pt idx="18">
                    <c:v>Jul</c:v>
                  </c:pt>
                  <c:pt idx="21">
                    <c:v>Ago</c:v>
                  </c:pt>
                  <c:pt idx="24">
                    <c:v>Set</c:v>
                  </c:pt>
                  <c:pt idx="27">
                    <c:v>Oct</c:v>
                  </c:pt>
                  <c:pt idx="30">
                    <c:v>Nov</c:v>
                  </c:pt>
                  <c:pt idx="33">
                    <c:v>Dic</c:v>
                  </c:pt>
                </c:lvl>
              </c:multiLvlStrCache>
            </c:multiLvlStrRef>
          </c:cat>
          <c:val>
            <c:numRef>
              <c:f>Alimentos!$D$601:$AM$601</c:f>
              <c:numCache>
                <c:formatCode>#,##0_);\(#,##0\)</c:formatCode>
                <c:ptCount val="36"/>
                <c:pt idx="1">
                  <c:v>0</c:v>
                </c:pt>
                <c:pt idx="4">
                  <c:v>0</c:v>
                </c:pt>
                <c:pt idx="7">
                  <c:v>0</c:v>
                </c:pt>
                <c:pt idx="10">
                  <c:v>0</c:v>
                </c:pt>
                <c:pt idx="13">
                  <c:v>0</c:v>
                </c:pt>
                <c:pt idx="16">
                  <c:v>0</c:v>
                </c:pt>
                <c:pt idx="19">
                  <c:v>0</c:v>
                </c:pt>
                <c:pt idx="22">
                  <c:v>0</c:v>
                </c:pt>
                <c:pt idx="25">
                  <c:v>0</c:v>
                </c:pt>
                <c:pt idx="28">
                  <c:v>0</c:v>
                </c:pt>
                <c:pt idx="31">
                  <c:v>0</c:v>
                </c:pt>
                <c:pt idx="34">
                  <c:v>0</c:v>
                </c:pt>
              </c:numCache>
            </c:numRef>
          </c:val>
          <c:extLst>
            <c:ext xmlns:c16="http://schemas.microsoft.com/office/drawing/2014/chart" uri="{C3380CC4-5D6E-409C-BE32-E72D297353CC}">
              <c16:uniqueId val="{00000002-B782-4A57-93FA-80942F9DF220}"/>
            </c:ext>
          </c:extLst>
        </c:ser>
        <c:dLbls>
          <c:showLegendKey val="0"/>
          <c:showVal val="0"/>
          <c:showCatName val="0"/>
          <c:showSerName val="0"/>
          <c:showPercent val="0"/>
          <c:showBubbleSize val="0"/>
        </c:dLbls>
        <c:gapWidth val="15"/>
        <c:overlap val="100"/>
        <c:axId val="151115264"/>
        <c:axId val="151116800"/>
      </c:barChart>
      <c:catAx>
        <c:axId val="151115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51116800"/>
        <c:crosses val="autoZero"/>
        <c:auto val="1"/>
        <c:lblAlgn val="ctr"/>
        <c:lblOffset val="100"/>
        <c:noMultiLvlLbl val="0"/>
      </c:catAx>
      <c:valAx>
        <c:axId val="151116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r>
                  <a:rPr lang="es-UY"/>
                  <a:t>Toneladas de MS totales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5111526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Alimentos!$B$151</c:f>
              <c:strCache>
                <c:ptCount val="1"/>
                <c:pt idx="0">
                  <c:v>Pasturas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Alimentos!$G$5:$R$5</c:f>
              <c:strCache>
                <c:ptCount val="12"/>
                <c:pt idx="0">
                  <c:v>Ene</c:v>
                </c:pt>
                <c:pt idx="1">
                  <c:v>Feb</c:v>
                </c:pt>
                <c:pt idx="2">
                  <c:v>Mar</c:v>
                </c:pt>
                <c:pt idx="3">
                  <c:v>Abr</c:v>
                </c:pt>
                <c:pt idx="4">
                  <c:v>May</c:v>
                </c:pt>
                <c:pt idx="5">
                  <c:v>Jun</c:v>
                </c:pt>
                <c:pt idx="6">
                  <c:v>Jul</c:v>
                </c:pt>
                <c:pt idx="7">
                  <c:v>Ago</c:v>
                </c:pt>
                <c:pt idx="8">
                  <c:v>Set</c:v>
                </c:pt>
                <c:pt idx="9">
                  <c:v>Oct</c:v>
                </c:pt>
                <c:pt idx="10">
                  <c:v>Nov</c:v>
                </c:pt>
                <c:pt idx="11">
                  <c:v>Dic</c:v>
                </c:pt>
              </c:strCache>
            </c:strRef>
          </c:cat>
          <c:val>
            <c:numRef>
              <c:f>Alimentos!$G$151:$R$151</c:f>
              <c:numCache>
                <c:formatCode>#,##0.0;\-#,##0.0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D87-4FDD-AC16-C85E985B1F00}"/>
            </c:ext>
          </c:extLst>
        </c:ser>
        <c:ser>
          <c:idx val="1"/>
          <c:order val="1"/>
          <c:tx>
            <c:strRef>
              <c:f>Alimentos!$B$152</c:f>
              <c:strCache>
                <c:ptCount val="1"/>
                <c:pt idx="0">
                  <c:v>Reserva</c:v>
                </c:pt>
              </c:strCache>
            </c:strRef>
          </c:tx>
          <c:spPr>
            <a:solidFill>
              <a:srgbClr val="FFD65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Alimentos!$G$5:$R$5</c:f>
              <c:strCache>
                <c:ptCount val="12"/>
                <c:pt idx="0">
                  <c:v>Ene</c:v>
                </c:pt>
                <c:pt idx="1">
                  <c:v>Feb</c:v>
                </c:pt>
                <c:pt idx="2">
                  <c:v>Mar</c:v>
                </c:pt>
                <c:pt idx="3">
                  <c:v>Abr</c:v>
                </c:pt>
                <c:pt idx="4">
                  <c:v>May</c:v>
                </c:pt>
                <c:pt idx="5">
                  <c:v>Jun</c:v>
                </c:pt>
                <c:pt idx="6">
                  <c:v>Jul</c:v>
                </c:pt>
                <c:pt idx="7">
                  <c:v>Ago</c:v>
                </c:pt>
                <c:pt idx="8">
                  <c:v>Set</c:v>
                </c:pt>
                <c:pt idx="9">
                  <c:v>Oct</c:v>
                </c:pt>
                <c:pt idx="10">
                  <c:v>Nov</c:v>
                </c:pt>
                <c:pt idx="11">
                  <c:v>Dic</c:v>
                </c:pt>
              </c:strCache>
            </c:strRef>
          </c:cat>
          <c:val>
            <c:numRef>
              <c:f>Alimentos!$G$152:$R$152</c:f>
              <c:numCache>
                <c:formatCode>#,##0.0;\-#,##0.0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D87-4FDD-AC16-C85E985B1F00}"/>
            </c:ext>
          </c:extLst>
        </c:ser>
        <c:ser>
          <c:idx val="2"/>
          <c:order val="2"/>
          <c:tx>
            <c:strRef>
              <c:f>Alimentos!$B$153</c:f>
              <c:strCache>
                <c:ptCount val="1"/>
                <c:pt idx="0">
                  <c:v>Concentrado (energético+proteico) 2</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Alimentos!$G$5:$R$5</c:f>
              <c:strCache>
                <c:ptCount val="12"/>
                <c:pt idx="0">
                  <c:v>Ene</c:v>
                </c:pt>
                <c:pt idx="1">
                  <c:v>Feb</c:v>
                </c:pt>
                <c:pt idx="2">
                  <c:v>Mar</c:v>
                </c:pt>
                <c:pt idx="3">
                  <c:v>Abr</c:v>
                </c:pt>
                <c:pt idx="4">
                  <c:v>May</c:v>
                </c:pt>
                <c:pt idx="5">
                  <c:v>Jun</c:v>
                </c:pt>
                <c:pt idx="6">
                  <c:v>Jul</c:v>
                </c:pt>
                <c:pt idx="7">
                  <c:v>Ago</c:v>
                </c:pt>
                <c:pt idx="8">
                  <c:v>Set</c:v>
                </c:pt>
                <c:pt idx="9">
                  <c:v>Oct</c:v>
                </c:pt>
                <c:pt idx="10">
                  <c:v>Nov</c:v>
                </c:pt>
                <c:pt idx="11">
                  <c:v>Dic</c:v>
                </c:pt>
              </c:strCache>
            </c:strRef>
          </c:cat>
          <c:val>
            <c:numRef>
              <c:f>Alimentos!$G$153:$R$153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ED87-4FDD-AC16-C85E985B1F00}"/>
            </c:ext>
          </c:extLst>
        </c:ser>
        <c:dLbls>
          <c:showLegendKey val="0"/>
          <c:showVal val="0"/>
          <c:showCatName val="0"/>
          <c:showSerName val="0"/>
          <c:showPercent val="0"/>
          <c:showBubbleSize val="0"/>
        </c:dLbls>
        <c:gapWidth val="219"/>
        <c:overlap val="100"/>
        <c:axId val="151839488"/>
        <c:axId val="151841024"/>
      </c:barChart>
      <c:lineChart>
        <c:grouping val="standard"/>
        <c:varyColors val="0"/>
        <c:ser>
          <c:idx val="3"/>
          <c:order val="3"/>
          <c:tx>
            <c:v>Mínimo Pastura + Reserva</c:v>
          </c:tx>
          <c:spPr>
            <a:ln w="28575" cap="rnd">
              <a:solidFill>
                <a:srgbClr val="FF0000"/>
              </a:solidFill>
              <a:round/>
            </a:ln>
            <a:effectLst/>
          </c:spPr>
          <c:marker>
            <c:symbol val="none"/>
          </c:marker>
          <c:cat>
            <c:strRef>
              <c:f>Alimentos!$G$5:$R$5</c:f>
              <c:strCache>
                <c:ptCount val="12"/>
                <c:pt idx="0">
                  <c:v>Ene</c:v>
                </c:pt>
                <c:pt idx="1">
                  <c:v>Feb</c:v>
                </c:pt>
                <c:pt idx="2">
                  <c:v>Mar</c:v>
                </c:pt>
                <c:pt idx="3">
                  <c:v>Abr</c:v>
                </c:pt>
                <c:pt idx="4">
                  <c:v>May</c:v>
                </c:pt>
                <c:pt idx="5">
                  <c:v>Jun</c:v>
                </c:pt>
                <c:pt idx="6">
                  <c:v>Jul</c:v>
                </c:pt>
                <c:pt idx="7">
                  <c:v>Ago</c:v>
                </c:pt>
                <c:pt idx="8">
                  <c:v>Set</c:v>
                </c:pt>
                <c:pt idx="9">
                  <c:v>Oct</c:v>
                </c:pt>
                <c:pt idx="10">
                  <c:v>Nov</c:v>
                </c:pt>
                <c:pt idx="11">
                  <c:v>Dic</c:v>
                </c:pt>
              </c:strCache>
            </c:strRef>
          </c:cat>
          <c:val>
            <c:numRef>
              <c:f>Alimentos!$G$191:$R$191</c:f>
              <c:numCache>
                <c:formatCode>#,##0.0;\-#,##0.0</c:formatCode>
                <c:ptCount val="12"/>
                <c:pt idx="0">
                  <c:v>12</c:v>
                </c:pt>
                <c:pt idx="1">
                  <c:v>12</c:v>
                </c:pt>
                <c:pt idx="2">
                  <c:v>12</c:v>
                </c:pt>
                <c:pt idx="3">
                  <c:v>12</c:v>
                </c:pt>
                <c:pt idx="4">
                  <c:v>12</c:v>
                </c:pt>
                <c:pt idx="5">
                  <c:v>12</c:v>
                </c:pt>
                <c:pt idx="6">
                  <c:v>12</c:v>
                </c:pt>
                <c:pt idx="7">
                  <c:v>12</c:v>
                </c:pt>
                <c:pt idx="8">
                  <c:v>12</c:v>
                </c:pt>
                <c:pt idx="9">
                  <c:v>12</c:v>
                </c:pt>
                <c:pt idx="10">
                  <c:v>12</c:v>
                </c:pt>
                <c:pt idx="11">
                  <c:v>12</c:v>
                </c:pt>
              </c:numCache>
            </c:numRef>
          </c:val>
          <c:smooth val="0"/>
          <c:extLst>
            <c:ext xmlns:c16="http://schemas.microsoft.com/office/drawing/2014/chart" uri="{C3380CC4-5D6E-409C-BE32-E72D297353CC}">
              <c16:uniqueId val="{00000003-ED87-4FDD-AC16-C85E985B1F00}"/>
            </c:ext>
          </c:extLst>
        </c:ser>
        <c:ser>
          <c:idx val="4"/>
          <c:order val="4"/>
          <c:tx>
            <c:v>Consumo Máximo</c:v>
          </c:tx>
          <c:spPr>
            <a:ln w="28575" cap="rnd">
              <a:solidFill>
                <a:schemeClr val="accent5"/>
              </a:solidFill>
              <a:round/>
            </a:ln>
            <a:effectLst/>
          </c:spPr>
          <c:marker>
            <c:symbol val="none"/>
          </c:marker>
          <c:cat>
            <c:strRef>
              <c:f>Alimentos!$G$5:$R$5</c:f>
              <c:strCache>
                <c:ptCount val="12"/>
                <c:pt idx="0">
                  <c:v>Ene</c:v>
                </c:pt>
                <c:pt idx="1">
                  <c:v>Feb</c:v>
                </c:pt>
                <c:pt idx="2">
                  <c:v>Mar</c:v>
                </c:pt>
                <c:pt idx="3">
                  <c:v>Abr</c:v>
                </c:pt>
                <c:pt idx="4">
                  <c:v>May</c:v>
                </c:pt>
                <c:pt idx="5">
                  <c:v>Jun</c:v>
                </c:pt>
                <c:pt idx="6">
                  <c:v>Jul</c:v>
                </c:pt>
                <c:pt idx="7">
                  <c:v>Ago</c:v>
                </c:pt>
                <c:pt idx="8">
                  <c:v>Set</c:v>
                </c:pt>
                <c:pt idx="9">
                  <c:v>Oct</c:v>
                </c:pt>
                <c:pt idx="10">
                  <c:v>Nov</c:v>
                </c:pt>
                <c:pt idx="11">
                  <c:v>Dic</c:v>
                </c:pt>
              </c:strCache>
            </c:strRef>
          </c:cat>
          <c:val>
            <c:numRef>
              <c:f>Alimentos!$G$194:$R$194</c:f>
              <c:numCache>
                <c:formatCode>#,##0.0;\-#,##0.0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ED87-4FDD-AC16-C85E985B1F00}"/>
            </c:ext>
          </c:extLst>
        </c:ser>
        <c:dLbls>
          <c:showLegendKey val="0"/>
          <c:showVal val="0"/>
          <c:showCatName val="0"/>
          <c:showSerName val="0"/>
          <c:showPercent val="0"/>
          <c:showBubbleSize val="0"/>
        </c:dLbls>
        <c:marker val="1"/>
        <c:smooth val="0"/>
        <c:axId val="151839488"/>
        <c:axId val="151841024"/>
      </c:lineChart>
      <c:catAx>
        <c:axId val="15183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51841024"/>
        <c:crosses val="autoZero"/>
        <c:auto val="1"/>
        <c:lblAlgn val="ctr"/>
        <c:lblOffset val="100"/>
        <c:noMultiLvlLbl val="0"/>
      </c:catAx>
      <c:valAx>
        <c:axId val="1518410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r>
                  <a:rPr lang="es-UY"/>
                  <a:t>Conusmo (kg Ms/animal/día)</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51839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021314715502707E-2"/>
          <c:y val="6.8779515479467632E-2"/>
          <c:w val="0.69524489754154351"/>
          <c:h val="0.74720374021872293"/>
        </c:manualLayout>
      </c:layout>
      <c:barChart>
        <c:barDir val="col"/>
        <c:grouping val="stacked"/>
        <c:varyColors val="0"/>
        <c:ser>
          <c:idx val="0"/>
          <c:order val="0"/>
          <c:tx>
            <c:strRef>
              <c:f>Alimentos!$F$584</c:f>
              <c:strCache>
                <c:ptCount val="1"/>
                <c:pt idx="0">
                  <c:v>Oferta de Forraje (Pastoreo Directo +  Reservas de Excedentes)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Alimentos!$G$582:$J$583</c:f>
              <c:strCache>
                <c:ptCount val="4"/>
                <c:pt idx="0">
                  <c:v>Oferta SPL </c:v>
                </c:pt>
                <c:pt idx="1">
                  <c:v>Requerimientos Lecheria</c:v>
                </c:pt>
                <c:pt idx="2">
                  <c:v>Oferta SPG</c:v>
                </c:pt>
                <c:pt idx="3">
                  <c:v>Requerimientos Ganadería</c:v>
                </c:pt>
              </c:strCache>
            </c:strRef>
          </c:cat>
          <c:val>
            <c:numRef>
              <c:f>Alimentos!$G$584:$J$584</c:f>
              <c:numCache>
                <c:formatCode>#,##0_);\(#,##0\)</c:formatCode>
                <c:ptCount val="4"/>
                <c:pt idx="0">
                  <c:v>0</c:v>
                </c:pt>
                <c:pt idx="2">
                  <c:v>0</c:v>
                </c:pt>
              </c:numCache>
            </c:numRef>
          </c:val>
          <c:extLst>
            <c:ext xmlns:c16="http://schemas.microsoft.com/office/drawing/2014/chart" uri="{C3380CC4-5D6E-409C-BE32-E72D297353CC}">
              <c16:uniqueId val="{00000000-E763-446A-829C-A7E5CCC67942}"/>
            </c:ext>
          </c:extLst>
        </c:ser>
        <c:ser>
          <c:idx val="1"/>
          <c:order val="1"/>
          <c:tx>
            <c:strRef>
              <c:f>Alimentos!$F$585</c:f>
              <c:strCache>
                <c:ptCount val="1"/>
                <c:pt idx="0">
                  <c:v>Oferta de Cultivos de Reserva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Alimentos!$G$582:$J$583</c:f>
              <c:strCache>
                <c:ptCount val="4"/>
                <c:pt idx="0">
                  <c:v>Oferta SPL </c:v>
                </c:pt>
                <c:pt idx="1">
                  <c:v>Requerimientos Lecheria</c:v>
                </c:pt>
                <c:pt idx="2">
                  <c:v>Oferta SPG</c:v>
                </c:pt>
                <c:pt idx="3">
                  <c:v>Requerimientos Ganadería</c:v>
                </c:pt>
              </c:strCache>
            </c:strRef>
          </c:cat>
          <c:val>
            <c:numRef>
              <c:f>Alimentos!$G$585:$J$585</c:f>
              <c:numCache>
                <c:formatCode>#,##0_);\(#,##0\)</c:formatCode>
                <c:ptCount val="4"/>
                <c:pt idx="0">
                  <c:v>0</c:v>
                </c:pt>
                <c:pt idx="2">
                  <c:v>0</c:v>
                </c:pt>
              </c:numCache>
            </c:numRef>
          </c:val>
          <c:extLst>
            <c:ext xmlns:c16="http://schemas.microsoft.com/office/drawing/2014/chart" uri="{C3380CC4-5D6E-409C-BE32-E72D297353CC}">
              <c16:uniqueId val="{00000001-E763-446A-829C-A7E5CCC67942}"/>
            </c:ext>
          </c:extLst>
        </c:ser>
        <c:ser>
          <c:idx val="2"/>
          <c:order val="2"/>
          <c:tx>
            <c:strRef>
              <c:f>Alimentos!$F$586</c:f>
              <c:strCache>
                <c:ptCount val="1"/>
                <c:pt idx="0">
                  <c:v>Requerimientos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Alimentos!$G$582:$J$583</c:f>
              <c:strCache>
                <c:ptCount val="4"/>
                <c:pt idx="0">
                  <c:v>Oferta SPL </c:v>
                </c:pt>
                <c:pt idx="1">
                  <c:v>Requerimientos Lecheria</c:v>
                </c:pt>
                <c:pt idx="2">
                  <c:v>Oferta SPG</c:v>
                </c:pt>
                <c:pt idx="3">
                  <c:v>Requerimientos Ganadería</c:v>
                </c:pt>
              </c:strCache>
            </c:strRef>
          </c:cat>
          <c:val>
            <c:numRef>
              <c:f>Alimentos!$G$586:$J$586</c:f>
              <c:numCache>
                <c:formatCode>#,##0_);\(#,##0\)</c:formatCode>
                <c:ptCount val="4"/>
                <c:pt idx="1">
                  <c:v>0</c:v>
                </c:pt>
                <c:pt idx="3">
                  <c:v>0</c:v>
                </c:pt>
              </c:numCache>
            </c:numRef>
          </c:val>
          <c:extLst>
            <c:ext xmlns:c16="http://schemas.microsoft.com/office/drawing/2014/chart" uri="{C3380CC4-5D6E-409C-BE32-E72D297353CC}">
              <c16:uniqueId val="{00000002-E763-446A-829C-A7E5CCC67942}"/>
            </c:ext>
          </c:extLst>
        </c:ser>
        <c:dLbls>
          <c:showLegendKey val="0"/>
          <c:showVal val="0"/>
          <c:showCatName val="0"/>
          <c:showSerName val="0"/>
          <c:showPercent val="0"/>
          <c:showBubbleSize val="0"/>
        </c:dLbls>
        <c:gapWidth val="150"/>
        <c:overlap val="100"/>
        <c:axId val="152008960"/>
        <c:axId val="152039424"/>
      </c:barChart>
      <c:catAx>
        <c:axId val="15200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52039424"/>
        <c:crosses val="autoZero"/>
        <c:auto val="1"/>
        <c:lblAlgn val="ctr"/>
        <c:lblOffset val="100"/>
        <c:noMultiLvlLbl val="0"/>
      </c:catAx>
      <c:valAx>
        <c:axId val="152039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r>
                  <a:rPr lang="es-UY"/>
                  <a:t>Toneladas  de MS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52008960"/>
        <c:crosses val="autoZero"/>
        <c:crossBetween val="between"/>
      </c:valAx>
      <c:spPr>
        <a:noFill/>
        <a:ln>
          <a:noFill/>
        </a:ln>
        <a:effectLst/>
      </c:spPr>
    </c:plotArea>
    <c:legend>
      <c:legendPos val="r"/>
      <c:layout>
        <c:manualLayout>
          <c:xMode val="edge"/>
          <c:yMode val="edge"/>
          <c:x val="0.81752457113845411"/>
          <c:y val="7.204174829170458E-2"/>
          <c:w val="0.1519184053333294"/>
          <c:h val="0.6206137474054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14659482067759"/>
          <c:y val="5.3428616307488221E-2"/>
          <c:w val="0.84956536147492734"/>
          <c:h val="0.8568890572970832"/>
        </c:manualLayout>
      </c:layout>
      <c:barChart>
        <c:barDir val="col"/>
        <c:grouping val="clustered"/>
        <c:varyColors val="0"/>
        <c:ser>
          <c:idx val="2"/>
          <c:order val="0"/>
          <c:tx>
            <c:strRef>
              <c:f>FinancieroMensual!$B$61</c:f>
              <c:strCache>
                <c:ptCount val="1"/>
                <c:pt idx="0">
                  <c:v>Saldo Mesnual </c:v>
                </c:pt>
              </c:strCache>
            </c:strRef>
          </c:tx>
          <c:spPr>
            <a:solidFill>
              <a:schemeClr val="accent3"/>
            </a:solidFill>
            <a:ln>
              <a:noFill/>
            </a:ln>
            <a:effectLst/>
          </c:spPr>
          <c:invertIfNegative val="0"/>
          <c:cat>
            <c:strRef>
              <c:f>FinancieroMensual!$C$5:$N$5</c:f>
              <c:strCache>
                <c:ptCount val="12"/>
                <c:pt idx="0">
                  <c:v>Ene</c:v>
                </c:pt>
                <c:pt idx="1">
                  <c:v>Feb</c:v>
                </c:pt>
                <c:pt idx="2">
                  <c:v>Mar</c:v>
                </c:pt>
                <c:pt idx="3">
                  <c:v>Abr</c:v>
                </c:pt>
                <c:pt idx="4">
                  <c:v>May</c:v>
                </c:pt>
                <c:pt idx="5">
                  <c:v>Jun</c:v>
                </c:pt>
                <c:pt idx="6">
                  <c:v>Jul</c:v>
                </c:pt>
                <c:pt idx="7">
                  <c:v>Ago</c:v>
                </c:pt>
                <c:pt idx="8">
                  <c:v>Set</c:v>
                </c:pt>
                <c:pt idx="9">
                  <c:v>Oct</c:v>
                </c:pt>
                <c:pt idx="10">
                  <c:v>Nov</c:v>
                </c:pt>
                <c:pt idx="11">
                  <c:v>Dic</c:v>
                </c:pt>
              </c:strCache>
            </c:strRef>
          </c:cat>
          <c:val>
            <c:numRef>
              <c:f>FinancieroMensual!$C$61:$N$61</c:f>
              <c:numCache>
                <c:formatCode>#,##0_);\(#,##0\)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F9AC-4251-B9DF-5C57D937056E}"/>
            </c:ext>
          </c:extLst>
        </c:ser>
        <c:dLbls>
          <c:showLegendKey val="0"/>
          <c:showVal val="0"/>
          <c:showCatName val="0"/>
          <c:showSerName val="0"/>
          <c:showPercent val="0"/>
          <c:showBubbleSize val="0"/>
        </c:dLbls>
        <c:gapWidth val="98"/>
        <c:axId val="189573376"/>
        <c:axId val="189575168"/>
      </c:barChart>
      <c:catAx>
        <c:axId val="1895733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ES"/>
          </a:p>
        </c:txPr>
        <c:crossAx val="189575168"/>
        <c:crosses val="autoZero"/>
        <c:auto val="1"/>
        <c:lblAlgn val="ctr"/>
        <c:lblOffset val="100"/>
        <c:noMultiLvlLbl val="0"/>
      </c:catAx>
      <c:valAx>
        <c:axId val="189575168"/>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s-UY"/>
                  <a:t>U$S</a:t>
                </a:r>
              </a:p>
            </c:rich>
          </c:tx>
          <c:overlay val="0"/>
        </c:title>
        <c:numFmt formatCode="#,##0_);\(#,##0\)" sourceLinked="1"/>
        <c:majorTickMark val="none"/>
        <c:minorTickMark val="none"/>
        <c:tickLblPos val="nextTo"/>
        <c:spPr>
          <a:noFill/>
          <a:ln>
            <a:noFill/>
          </a:ln>
          <a:effectLst/>
        </c:spPr>
        <c:txPr>
          <a:bodyPr rot="-60000000" vert="horz"/>
          <a:lstStyle/>
          <a:p>
            <a:pPr>
              <a:defRPr/>
            </a:pPr>
            <a:endParaRPr lang="es-ES"/>
          </a:p>
        </c:txPr>
        <c:crossAx val="1895733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b="0">
          <a:latin typeface="Arial Narrow" panose="020B0606020202030204" pitchFamily="34" charset="0"/>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strRef>
              <c:f>FinancieroMensual!$C$5:$N$5</c:f>
              <c:strCache>
                <c:ptCount val="12"/>
                <c:pt idx="0">
                  <c:v>Ene</c:v>
                </c:pt>
                <c:pt idx="1">
                  <c:v>Feb</c:v>
                </c:pt>
                <c:pt idx="2">
                  <c:v>Mar</c:v>
                </c:pt>
                <c:pt idx="3">
                  <c:v>Abr</c:v>
                </c:pt>
                <c:pt idx="4">
                  <c:v>May</c:v>
                </c:pt>
                <c:pt idx="5">
                  <c:v>Jun</c:v>
                </c:pt>
                <c:pt idx="6">
                  <c:v>Jul</c:v>
                </c:pt>
                <c:pt idx="7">
                  <c:v>Ago</c:v>
                </c:pt>
                <c:pt idx="8">
                  <c:v>Set</c:v>
                </c:pt>
                <c:pt idx="9">
                  <c:v>Oct</c:v>
                </c:pt>
                <c:pt idx="10">
                  <c:v>Nov</c:v>
                </c:pt>
                <c:pt idx="11">
                  <c:v>Dic</c:v>
                </c:pt>
              </c:strCache>
            </c:strRef>
          </c:cat>
          <c:val>
            <c:numRef>
              <c:f>FinancieroMensual!$C$62:$N$62</c:f>
              <c:numCache>
                <c:formatCode>#,##0_);\(#,##0\)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FDA-4DED-BCA4-85FE4163FAEC}"/>
            </c:ext>
          </c:extLst>
        </c:ser>
        <c:dLbls>
          <c:showLegendKey val="0"/>
          <c:showVal val="0"/>
          <c:showCatName val="0"/>
          <c:showSerName val="0"/>
          <c:showPercent val="0"/>
          <c:showBubbleSize val="0"/>
        </c:dLbls>
        <c:gapWidth val="219"/>
        <c:overlap val="-27"/>
        <c:axId val="189603840"/>
        <c:axId val="189605376"/>
      </c:barChart>
      <c:catAx>
        <c:axId val="1896038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89605376"/>
        <c:crosses val="autoZero"/>
        <c:auto val="1"/>
        <c:lblAlgn val="ctr"/>
        <c:lblOffset val="100"/>
        <c:noMultiLvlLbl val="0"/>
      </c:catAx>
      <c:valAx>
        <c:axId val="1896053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r>
                  <a:rPr lang="es-UY"/>
                  <a:t>U$S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896038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b="0">
          <a:latin typeface="Arial Narrow" panose="020B0606020202030204" pitchFamily="34" charset="0"/>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8545189881243"/>
          <c:y val="7.7426607520498417E-2"/>
          <c:w val="0.8154203690277475"/>
          <c:h val="0.81477634444630576"/>
        </c:manualLayout>
      </c:layout>
      <c:barChart>
        <c:barDir val="col"/>
        <c:grouping val="clustered"/>
        <c:varyColors val="0"/>
        <c:ser>
          <c:idx val="0"/>
          <c:order val="0"/>
          <c:tx>
            <c:strRef>
              <c:f>FinancieroMensual!$B$61</c:f>
              <c:strCache>
                <c:ptCount val="1"/>
                <c:pt idx="0">
                  <c:v>Saldo Mesnual </c:v>
                </c:pt>
              </c:strCache>
            </c:strRef>
          </c:tx>
          <c:spPr>
            <a:solidFill>
              <a:schemeClr val="accent1"/>
            </a:solidFill>
            <a:ln>
              <a:noFill/>
            </a:ln>
            <a:effectLst/>
          </c:spPr>
          <c:invertIfNegative val="0"/>
          <c:cat>
            <c:strRef>
              <c:f>FinancieroMensual!$C$5:$N$5</c:f>
              <c:strCache>
                <c:ptCount val="12"/>
                <c:pt idx="0">
                  <c:v>Ene</c:v>
                </c:pt>
                <c:pt idx="1">
                  <c:v>Feb</c:v>
                </c:pt>
                <c:pt idx="2">
                  <c:v>Mar</c:v>
                </c:pt>
                <c:pt idx="3">
                  <c:v>Abr</c:v>
                </c:pt>
                <c:pt idx="4">
                  <c:v>May</c:v>
                </c:pt>
                <c:pt idx="5">
                  <c:v>Jun</c:v>
                </c:pt>
                <c:pt idx="6">
                  <c:v>Jul</c:v>
                </c:pt>
                <c:pt idx="7">
                  <c:v>Ago</c:v>
                </c:pt>
                <c:pt idx="8">
                  <c:v>Set</c:v>
                </c:pt>
                <c:pt idx="9">
                  <c:v>Oct</c:v>
                </c:pt>
                <c:pt idx="10">
                  <c:v>Nov</c:v>
                </c:pt>
                <c:pt idx="11">
                  <c:v>Dic</c:v>
                </c:pt>
              </c:strCache>
            </c:strRef>
          </c:cat>
          <c:val>
            <c:numRef>
              <c:f>FinancieroMensual!$C$61:$N$61</c:f>
              <c:numCache>
                <c:formatCode>#,##0_);\(#,##0\)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1CD-4A95-A2FC-4CE9D1F010DF}"/>
            </c:ext>
          </c:extLst>
        </c:ser>
        <c:dLbls>
          <c:showLegendKey val="0"/>
          <c:showVal val="0"/>
          <c:showCatName val="0"/>
          <c:showSerName val="0"/>
          <c:showPercent val="0"/>
          <c:showBubbleSize val="0"/>
        </c:dLbls>
        <c:gapWidth val="219"/>
        <c:overlap val="-27"/>
        <c:axId val="177544192"/>
        <c:axId val="177578752"/>
      </c:barChart>
      <c:catAx>
        <c:axId val="1775441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77578752"/>
        <c:crosses val="autoZero"/>
        <c:auto val="1"/>
        <c:lblAlgn val="ctr"/>
        <c:lblOffset val="100"/>
        <c:tickLblSkip val="1"/>
        <c:tickMarkSkip val="1"/>
        <c:noMultiLvlLbl val="0"/>
      </c:catAx>
      <c:valAx>
        <c:axId val="177578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r>
                  <a:rPr lang="es-UY"/>
                  <a:t>U$S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title>
        <c:numFmt formatCode="#,##0_);\(#,##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775441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es-ES"/>
    </a:p>
  </c:txPr>
  <c:printSettings>
    <c:headerFooter alignWithMargins="0"/>
    <c:pageMargins b="1" l="0.75000000000001465" r="0.75000000000001465"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318610598148896"/>
          <c:y val="4.8678097480805545E-2"/>
          <c:w val="0.80338850171984277"/>
          <c:h val="0.81131699659037937"/>
        </c:manualLayout>
      </c:layout>
      <c:barChart>
        <c:barDir val="col"/>
        <c:grouping val="clustered"/>
        <c:varyColors val="0"/>
        <c:ser>
          <c:idx val="0"/>
          <c:order val="0"/>
          <c:tx>
            <c:strRef>
              <c:f>FinancieroMensual!$B$62</c:f>
              <c:strCache>
                <c:ptCount val="1"/>
                <c:pt idx="0">
                  <c:v>SALDO ACUMULADO</c:v>
                </c:pt>
              </c:strCache>
            </c:strRef>
          </c:tx>
          <c:spPr>
            <a:solidFill>
              <a:schemeClr val="accent1"/>
            </a:solidFill>
            <a:ln>
              <a:noFill/>
            </a:ln>
            <a:effectLst/>
          </c:spPr>
          <c:invertIfNegative val="0"/>
          <c:cat>
            <c:strRef>
              <c:f>FinancieroMensual!$C$5:$N$5</c:f>
              <c:strCache>
                <c:ptCount val="12"/>
                <c:pt idx="0">
                  <c:v>Ene</c:v>
                </c:pt>
                <c:pt idx="1">
                  <c:v>Feb</c:v>
                </c:pt>
                <c:pt idx="2">
                  <c:v>Mar</c:v>
                </c:pt>
                <c:pt idx="3">
                  <c:v>Abr</c:v>
                </c:pt>
                <c:pt idx="4">
                  <c:v>May</c:v>
                </c:pt>
                <c:pt idx="5">
                  <c:v>Jun</c:v>
                </c:pt>
                <c:pt idx="6">
                  <c:v>Jul</c:v>
                </c:pt>
                <c:pt idx="7">
                  <c:v>Ago</c:v>
                </c:pt>
                <c:pt idx="8">
                  <c:v>Set</c:v>
                </c:pt>
                <c:pt idx="9">
                  <c:v>Oct</c:v>
                </c:pt>
                <c:pt idx="10">
                  <c:v>Nov</c:v>
                </c:pt>
                <c:pt idx="11">
                  <c:v>Dic</c:v>
                </c:pt>
              </c:strCache>
            </c:strRef>
          </c:cat>
          <c:val>
            <c:numRef>
              <c:f>FinancieroMensual!$C$62:$N$62</c:f>
              <c:numCache>
                <c:formatCode>#,##0_);\(#,##0\)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419-49DB-BB3A-787D3F79102E}"/>
            </c:ext>
          </c:extLst>
        </c:ser>
        <c:dLbls>
          <c:showLegendKey val="0"/>
          <c:showVal val="0"/>
          <c:showCatName val="0"/>
          <c:showSerName val="0"/>
          <c:showPercent val="0"/>
          <c:showBubbleSize val="0"/>
        </c:dLbls>
        <c:gapWidth val="219"/>
        <c:overlap val="-27"/>
        <c:axId val="189629184"/>
        <c:axId val="189630720"/>
      </c:barChart>
      <c:catAx>
        <c:axId val="1896291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89630720"/>
        <c:crosses val="autoZero"/>
        <c:auto val="1"/>
        <c:lblAlgn val="ctr"/>
        <c:lblOffset val="100"/>
        <c:tickLblSkip val="1"/>
        <c:tickMarkSkip val="1"/>
        <c:noMultiLvlLbl val="0"/>
      </c:catAx>
      <c:valAx>
        <c:axId val="1896307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r>
                  <a:rPr lang="es-UY"/>
                  <a:t>U$S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title>
        <c:numFmt formatCode="#,##0_);\(#,##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89629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es-ES"/>
    </a:p>
  </c:txPr>
  <c:printSettings>
    <c:headerFooter alignWithMargins="0"/>
    <c:pageMargins b="1" l="0.75000000000001465" r="0.75000000000001465"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D-5E2C-44B5-BE99-42C3857830E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Alimentos!$D$646:$P$646</c:f>
              <c:strCache>
                <c:ptCount val="13"/>
                <c:pt idx="0">
                  <c:v>Inicio</c:v>
                </c:pt>
                <c:pt idx="1">
                  <c:v>Ene</c:v>
                </c:pt>
                <c:pt idx="2">
                  <c:v>Feb</c:v>
                </c:pt>
                <c:pt idx="3">
                  <c:v>Mar</c:v>
                </c:pt>
                <c:pt idx="4">
                  <c:v>Abr</c:v>
                </c:pt>
                <c:pt idx="5">
                  <c:v>May</c:v>
                </c:pt>
                <c:pt idx="6">
                  <c:v>Jun</c:v>
                </c:pt>
                <c:pt idx="7">
                  <c:v>Jul</c:v>
                </c:pt>
                <c:pt idx="8">
                  <c:v>Ago</c:v>
                </c:pt>
                <c:pt idx="9">
                  <c:v>Set</c:v>
                </c:pt>
                <c:pt idx="10">
                  <c:v>Oct</c:v>
                </c:pt>
                <c:pt idx="11">
                  <c:v>Nov</c:v>
                </c:pt>
                <c:pt idx="12">
                  <c:v>Dic</c:v>
                </c:pt>
              </c:strCache>
            </c:strRef>
          </c:cat>
          <c:val>
            <c:numRef>
              <c:f>Alimentos!$D$647:$P$647</c:f>
              <c:numCache>
                <c:formatCode>#,##0_);\(#,##0\)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E2C-44B5-BE99-42C3857830E1}"/>
            </c:ext>
          </c:extLst>
        </c:ser>
        <c:dLbls>
          <c:showLegendKey val="0"/>
          <c:showVal val="0"/>
          <c:showCatName val="0"/>
          <c:showSerName val="0"/>
          <c:showPercent val="0"/>
          <c:showBubbleSize val="0"/>
        </c:dLbls>
        <c:gapWidth val="60"/>
        <c:axId val="151037056"/>
        <c:axId val="151038592"/>
      </c:barChart>
      <c:lineChart>
        <c:grouping val="standard"/>
        <c:varyColors val="0"/>
        <c:ser>
          <c:idx val="1"/>
          <c:order val="1"/>
          <c:tx>
            <c:strRef>
              <c:f>Alimentos!$D$648:$P$648</c:f>
              <c:strCache>
                <c:ptCount val="13"/>
                <c:pt idx="0">
                  <c:v>0  </c:v>
                </c:pt>
                <c:pt idx="1">
                  <c:v>0  </c:v>
                </c:pt>
                <c:pt idx="2">
                  <c:v>0  </c:v>
                </c:pt>
                <c:pt idx="3">
                  <c:v>0  </c:v>
                </c:pt>
                <c:pt idx="4">
                  <c:v>0  </c:v>
                </c:pt>
                <c:pt idx="5">
                  <c:v>0  </c:v>
                </c:pt>
                <c:pt idx="6">
                  <c:v>0  </c:v>
                </c:pt>
                <c:pt idx="7">
                  <c:v>0  </c:v>
                </c:pt>
                <c:pt idx="8">
                  <c:v>0  </c:v>
                </c:pt>
                <c:pt idx="9">
                  <c:v>0  </c:v>
                </c:pt>
                <c:pt idx="10">
                  <c:v>0  </c:v>
                </c:pt>
                <c:pt idx="11">
                  <c:v>0  </c:v>
                </c:pt>
                <c:pt idx="12">
                  <c:v>0  </c:v>
                </c:pt>
              </c:strCache>
            </c:strRef>
          </c:tx>
          <c:spPr>
            <a:ln w="28575" cap="rnd">
              <a:solidFill>
                <a:schemeClr val="accent2"/>
              </a:solidFill>
              <a:round/>
            </a:ln>
            <a:effectLst/>
          </c:spPr>
          <c:marker>
            <c:symbol val="none"/>
          </c:marker>
          <c:val>
            <c:numRef>
              <c:f>Alimentos!$D$648:$P$648</c:f>
              <c:numCache>
                <c:formatCode>#,##0_);\(#,##0\)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E-5E2C-44B5-BE99-42C3857830E1}"/>
            </c:ext>
          </c:extLst>
        </c:ser>
        <c:dLbls>
          <c:showLegendKey val="0"/>
          <c:showVal val="0"/>
          <c:showCatName val="0"/>
          <c:showSerName val="0"/>
          <c:showPercent val="0"/>
          <c:showBubbleSize val="0"/>
        </c:dLbls>
        <c:marker val="1"/>
        <c:smooth val="0"/>
        <c:axId val="151037056"/>
        <c:axId val="151038592"/>
      </c:lineChart>
      <c:catAx>
        <c:axId val="1510370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51038592"/>
        <c:crosses val="autoZero"/>
        <c:auto val="1"/>
        <c:lblAlgn val="ctr"/>
        <c:lblOffset val="100"/>
        <c:noMultiLvlLbl val="0"/>
      </c:catAx>
      <c:valAx>
        <c:axId val="1510385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r>
                  <a:rPr lang="es-UY"/>
                  <a:t>Toneladas</a:t>
                </a:r>
                <a:r>
                  <a:rPr lang="es-UY" baseline="0"/>
                  <a:t> de MS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510370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latin typeface="Arial Narrow" panose="020B0606020202030204" pitchFamily="34" charset="0"/>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81963636363636"/>
          <c:y val="5.7503081992315089E-2"/>
          <c:w val="0.57160586833855798"/>
          <c:h val="0.82634069238320862"/>
        </c:manualLayout>
      </c:layout>
      <c:barChart>
        <c:barDir val="col"/>
        <c:grouping val="stacked"/>
        <c:varyColors val="0"/>
        <c:ser>
          <c:idx val="0"/>
          <c:order val="0"/>
          <c:tx>
            <c:strRef>
              <c:f>Alimentos!$B$575</c:f>
              <c:strCache>
                <c:ptCount val="1"/>
                <c:pt idx="0">
                  <c:v>Oferta de Forraje (Pastoreo Directo +  Reservas de Excedentes)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Alimentos!$C$574:$D$574</c:f>
              <c:strCache>
                <c:ptCount val="2"/>
                <c:pt idx="0">
                  <c:v>Oferta Global</c:v>
                </c:pt>
                <c:pt idx="1">
                  <c:v>Requerimientos Globales</c:v>
                </c:pt>
              </c:strCache>
            </c:strRef>
          </c:cat>
          <c:val>
            <c:numRef>
              <c:f>Alimentos!$C$575:$D$575</c:f>
              <c:numCache>
                <c:formatCode>#,##0_);\(#,##0\)</c:formatCode>
                <c:ptCount val="2"/>
                <c:pt idx="0">
                  <c:v>0</c:v>
                </c:pt>
              </c:numCache>
            </c:numRef>
          </c:val>
          <c:extLst>
            <c:ext xmlns:c16="http://schemas.microsoft.com/office/drawing/2014/chart" uri="{C3380CC4-5D6E-409C-BE32-E72D297353CC}">
              <c16:uniqueId val="{00000000-B0E0-4141-9BB2-6F61FEE1246F}"/>
            </c:ext>
          </c:extLst>
        </c:ser>
        <c:ser>
          <c:idx val="1"/>
          <c:order val="1"/>
          <c:tx>
            <c:strRef>
              <c:f>Alimentos!$B$576</c:f>
              <c:strCache>
                <c:ptCount val="1"/>
                <c:pt idx="0">
                  <c:v>Oferta de Cultivos de Reserva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Alimentos!$C$574:$D$574</c:f>
              <c:strCache>
                <c:ptCount val="2"/>
                <c:pt idx="0">
                  <c:v>Oferta Global</c:v>
                </c:pt>
                <c:pt idx="1">
                  <c:v>Requerimientos Globales</c:v>
                </c:pt>
              </c:strCache>
            </c:strRef>
          </c:cat>
          <c:val>
            <c:numRef>
              <c:f>Alimentos!$C$576:$D$576</c:f>
              <c:numCache>
                <c:formatCode>#,##0_);\(#,##0\)</c:formatCode>
                <c:ptCount val="2"/>
                <c:pt idx="0">
                  <c:v>0</c:v>
                </c:pt>
              </c:numCache>
            </c:numRef>
          </c:val>
          <c:extLst>
            <c:ext xmlns:c16="http://schemas.microsoft.com/office/drawing/2014/chart" uri="{C3380CC4-5D6E-409C-BE32-E72D297353CC}">
              <c16:uniqueId val="{00000001-B0E0-4141-9BB2-6F61FEE1246F}"/>
            </c:ext>
          </c:extLst>
        </c:ser>
        <c:ser>
          <c:idx val="2"/>
          <c:order val="2"/>
          <c:tx>
            <c:strRef>
              <c:f>Alimentos!$B$577</c:f>
              <c:strCache>
                <c:ptCount val="1"/>
                <c:pt idx="0">
                  <c:v>Requerimientos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Alimentos!$C$574:$D$574</c:f>
              <c:strCache>
                <c:ptCount val="2"/>
                <c:pt idx="0">
                  <c:v>Oferta Global</c:v>
                </c:pt>
                <c:pt idx="1">
                  <c:v>Requerimientos Globales</c:v>
                </c:pt>
              </c:strCache>
            </c:strRef>
          </c:cat>
          <c:val>
            <c:numRef>
              <c:f>Alimentos!$C$577:$D$577</c:f>
              <c:numCache>
                <c:formatCode>#,##0_);\(#,##0\)</c:formatCode>
                <c:ptCount val="2"/>
                <c:pt idx="1">
                  <c:v>0</c:v>
                </c:pt>
              </c:numCache>
            </c:numRef>
          </c:val>
          <c:extLst>
            <c:ext xmlns:c16="http://schemas.microsoft.com/office/drawing/2014/chart" uri="{C3380CC4-5D6E-409C-BE32-E72D297353CC}">
              <c16:uniqueId val="{00000002-B0E0-4141-9BB2-6F61FEE1246F}"/>
            </c:ext>
          </c:extLst>
        </c:ser>
        <c:dLbls>
          <c:showLegendKey val="0"/>
          <c:showVal val="0"/>
          <c:showCatName val="0"/>
          <c:showSerName val="0"/>
          <c:showPercent val="0"/>
          <c:showBubbleSize val="0"/>
        </c:dLbls>
        <c:gapWidth val="150"/>
        <c:overlap val="100"/>
        <c:axId val="151594496"/>
        <c:axId val="151596032"/>
      </c:barChart>
      <c:catAx>
        <c:axId val="151594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51596032"/>
        <c:crosses val="autoZero"/>
        <c:auto val="1"/>
        <c:lblAlgn val="ctr"/>
        <c:lblOffset val="100"/>
        <c:noMultiLvlLbl val="0"/>
      </c:catAx>
      <c:valAx>
        <c:axId val="151596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r>
                  <a:rPr lang="es-UY"/>
                  <a:t>Tonelada</a:t>
                </a:r>
                <a:r>
                  <a:rPr lang="es-UY" baseline="0"/>
                  <a:t> de MS</a:t>
                </a:r>
                <a:endParaRPr lang="es-UY"/>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51594496"/>
        <c:crosses val="autoZero"/>
        <c:crossBetween val="between"/>
      </c:valAx>
      <c:spPr>
        <a:noFill/>
        <a:ln>
          <a:noFill/>
        </a:ln>
        <a:effectLst/>
      </c:spPr>
    </c:plotArea>
    <c:legend>
      <c:legendPos val="r"/>
      <c:layout>
        <c:manualLayout>
          <c:xMode val="edge"/>
          <c:yMode val="edge"/>
          <c:x val="0.72774614818104488"/>
          <c:y val="0.18708840571476673"/>
          <c:w val="0.27225383764150546"/>
          <c:h val="0.589220580891487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564038674799878E-2"/>
          <c:y val="4.5288401533386827E-2"/>
          <c:w val="0.70201930964851389"/>
          <c:h val="0.81660207315195277"/>
        </c:manualLayout>
      </c:layout>
      <c:barChart>
        <c:barDir val="col"/>
        <c:grouping val="stacked"/>
        <c:varyColors val="0"/>
        <c:ser>
          <c:idx val="0"/>
          <c:order val="0"/>
          <c:tx>
            <c:strRef>
              <c:f>Alimentos!$F$592</c:f>
              <c:strCache>
                <c:ptCount val="1"/>
                <c:pt idx="0">
                  <c:v>Oferta de Forraje (Pastoreo Directo +  Reservas de Excedentes)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Alimentos!$G$591:$J$591</c:f>
              <c:strCache>
                <c:ptCount val="4"/>
                <c:pt idx="0">
                  <c:v>Oferta SPVO</c:v>
                </c:pt>
                <c:pt idx="1">
                  <c:v>Requerimientos VO</c:v>
                </c:pt>
                <c:pt idx="2">
                  <c:v>Oferta SP Recría y VS</c:v>
                </c:pt>
                <c:pt idx="3">
                  <c:v>Requerimientos  Recría y VS</c:v>
                </c:pt>
              </c:strCache>
            </c:strRef>
          </c:cat>
          <c:val>
            <c:numRef>
              <c:f>Alimentos!$G$592:$J$592</c:f>
              <c:numCache>
                <c:formatCode>#,##0_);\(#,##0\)</c:formatCode>
                <c:ptCount val="4"/>
                <c:pt idx="0">
                  <c:v>0</c:v>
                </c:pt>
                <c:pt idx="2">
                  <c:v>0</c:v>
                </c:pt>
              </c:numCache>
            </c:numRef>
          </c:val>
          <c:extLst>
            <c:ext xmlns:c16="http://schemas.microsoft.com/office/drawing/2014/chart" uri="{C3380CC4-5D6E-409C-BE32-E72D297353CC}">
              <c16:uniqueId val="{00000000-A84E-47FD-8BBB-C8ABD78AFAB7}"/>
            </c:ext>
          </c:extLst>
        </c:ser>
        <c:ser>
          <c:idx val="1"/>
          <c:order val="1"/>
          <c:tx>
            <c:strRef>
              <c:f>Alimentos!$F$593</c:f>
              <c:strCache>
                <c:ptCount val="1"/>
                <c:pt idx="0">
                  <c:v>Oferta de Cultivos de Reserva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Alimentos!$G$591:$J$591</c:f>
              <c:strCache>
                <c:ptCount val="4"/>
                <c:pt idx="0">
                  <c:v>Oferta SPVO</c:v>
                </c:pt>
                <c:pt idx="1">
                  <c:v>Requerimientos VO</c:v>
                </c:pt>
                <c:pt idx="2">
                  <c:v>Oferta SP Recría y VS</c:v>
                </c:pt>
                <c:pt idx="3">
                  <c:v>Requerimientos  Recría y VS</c:v>
                </c:pt>
              </c:strCache>
            </c:strRef>
          </c:cat>
          <c:val>
            <c:numRef>
              <c:f>Alimentos!$G$593:$J$593</c:f>
              <c:numCache>
                <c:formatCode>#,##0_);\(#,##0\)</c:formatCode>
                <c:ptCount val="4"/>
                <c:pt idx="0">
                  <c:v>0</c:v>
                </c:pt>
                <c:pt idx="2">
                  <c:v>0</c:v>
                </c:pt>
              </c:numCache>
            </c:numRef>
          </c:val>
          <c:extLst>
            <c:ext xmlns:c16="http://schemas.microsoft.com/office/drawing/2014/chart" uri="{C3380CC4-5D6E-409C-BE32-E72D297353CC}">
              <c16:uniqueId val="{00000001-A84E-47FD-8BBB-C8ABD78AFAB7}"/>
            </c:ext>
          </c:extLst>
        </c:ser>
        <c:ser>
          <c:idx val="2"/>
          <c:order val="2"/>
          <c:tx>
            <c:strRef>
              <c:f>Alimentos!$F$594</c:f>
              <c:strCache>
                <c:ptCount val="1"/>
                <c:pt idx="0">
                  <c:v>Requerimientos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Alimentos!$G$591:$J$591</c:f>
              <c:strCache>
                <c:ptCount val="4"/>
                <c:pt idx="0">
                  <c:v>Oferta SPVO</c:v>
                </c:pt>
                <c:pt idx="1">
                  <c:v>Requerimientos VO</c:v>
                </c:pt>
                <c:pt idx="2">
                  <c:v>Oferta SP Recría y VS</c:v>
                </c:pt>
                <c:pt idx="3">
                  <c:v>Requerimientos  Recría y VS</c:v>
                </c:pt>
              </c:strCache>
            </c:strRef>
          </c:cat>
          <c:val>
            <c:numRef>
              <c:f>Alimentos!$G$594:$J$594</c:f>
              <c:numCache>
                <c:formatCode>#,##0_);\(#,##0\)</c:formatCode>
                <c:ptCount val="4"/>
                <c:pt idx="1">
                  <c:v>0</c:v>
                </c:pt>
                <c:pt idx="3">
                  <c:v>0</c:v>
                </c:pt>
              </c:numCache>
            </c:numRef>
          </c:val>
          <c:extLst>
            <c:ext xmlns:c16="http://schemas.microsoft.com/office/drawing/2014/chart" uri="{C3380CC4-5D6E-409C-BE32-E72D297353CC}">
              <c16:uniqueId val="{00000002-A84E-47FD-8BBB-C8ABD78AFAB7}"/>
            </c:ext>
          </c:extLst>
        </c:ser>
        <c:dLbls>
          <c:showLegendKey val="0"/>
          <c:showVal val="0"/>
          <c:showCatName val="0"/>
          <c:showSerName val="0"/>
          <c:showPercent val="0"/>
          <c:showBubbleSize val="0"/>
        </c:dLbls>
        <c:gapWidth val="150"/>
        <c:overlap val="100"/>
        <c:axId val="151399424"/>
        <c:axId val="151413504"/>
      </c:barChart>
      <c:catAx>
        <c:axId val="15139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51413504"/>
        <c:crosses val="autoZero"/>
        <c:auto val="1"/>
        <c:lblAlgn val="ctr"/>
        <c:lblOffset val="100"/>
        <c:noMultiLvlLbl val="0"/>
      </c:catAx>
      <c:valAx>
        <c:axId val="151413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r>
                  <a:rPr lang="es-UY"/>
                  <a:t>Toneladas</a:t>
                </a:r>
                <a:r>
                  <a:rPr lang="es-UY" baseline="0"/>
                  <a:t> de MS</a:t>
                </a:r>
                <a:endParaRPr lang="es-UY"/>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51399424"/>
        <c:crosses val="autoZero"/>
        <c:crossBetween val="between"/>
      </c:valAx>
      <c:spPr>
        <a:noFill/>
        <a:ln>
          <a:noFill/>
        </a:ln>
        <a:effectLst/>
      </c:spPr>
    </c:plotArea>
    <c:legend>
      <c:legendPos val="r"/>
      <c:layout>
        <c:manualLayout>
          <c:xMode val="edge"/>
          <c:yMode val="edge"/>
          <c:x val="0.78711277498279941"/>
          <c:y val="0.16136596084713015"/>
          <c:w val="0.20663241976356292"/>
          <c:h val="0.50494719096879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248952208018231E-2"/>
          <c:y val="7.129620792975104E-2"/>
          <c:w val="0.92550256436675404"/>
          <c:h val="0.85740758414049789"/>
        </c:manualLayout>
      </c:layout>
      <c:barChart>
        <c:barDir val="col"/>
        <c:grouping val="clustered"/>
        <c:varyColors val="0"/>
        <c:ser>
          <c:idx val="0"/>
          <c:order val="0"/>
          <c:tx>
            <c:strRef>
              <c:f>Alimentos!$B$606</c:f>
              <c:strCache>
                <c:ptCount val="1"/>
                <c:pt idx="0">
                  <c:v>Balance Acumulado </c:v>
                </c:pt>
              </c:strCache>
            </c:strRef>
          </c:tx>
          <c:spPr>
            <a:solidFill>
              <a:schemeClr val="accent1"/>
            </a:solidFill>
            <a:ln>
              <a:noFill/>
            </a:ln>
            <a:effectLst/>
          </c:spPr>
          <c:invertIfNegative val="0"/>
          <c:dLbls>
            <c:dLbl>
              <c:idx val="11"/>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049-4C83-8BCD-D3E8C45C91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Alimentos!$D$605:$O$605</c:f>
              <c:strCache>
                <c:ptCount val="12"/>
                <c:pt idx="0">
                  <c:v>Ene</c:v>
                </c:pt>
                <c:pt idx="1">
                  <c:v>Feb</c:v>
                </c:pt>
                <c:pt idx="2">
                  <c:v>Mar</c:v>
                </c:pt>
                <c:pt idx="3">
                  <c:v>Abr</c:v>
                </c:pt>
                <c:pt idx="4">
                  <c:v>May</c:v>
                </c:pt>
                <c:pt idx="5">
                  <c:v>Jun</c:v>
                </c:pt>
                <c:pt idx="6">
                  <c:v>Jul</c:v>
                </c:pt>
                <c:pt idx="7">
                  <c:v>Ago</c:v>
                </c:pt>
                <c:pt idx="8">
                  <c:v>Set</c:v>
                </c:pt>
                <c:pt idx="9">
                  <c:v>Oct</c:v>
                </c:pt>
                <c:pt idx="10">
                  <c:v>Nov</c:v>
                </c:pt>
                <c:pt idx="11">
                  <c:v>Dic</c:v>
                </c:pt>
              </c:strCache>
            </c:strRef>
          </c:cat>
          <c:val>
            <c:numRef>
              <c:f>Alimentos!$D$606:$O$606</c:f>
              <c:numCache>
                <c:formatCode>#,##0_);\(#,##0\)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E8E-48BE-B135-E12171F67DB7}"/>
            </c:ext>
          </c:extLst>
        </c:ser>
        <c:dLbls>
          <c:showLegendKey val="0"/>
          <c:showVal val="0"/>
          <c:showCatName val="0"/>
          <c:showSerName val="0"/>
          <c:showPercent val="0"/>
          <c:showBubbleSize val="0"/>
        </c:dLbls>
        <c:gapWidth val="60"/>
        <c:overlap val="-27"/>
        <c:axId val="151444864"/>
        <c:axId val="151446656"/>
      </c:barChart>
      <c:catAx>
        <c:axId val="15144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51446656"/>
        <c:crosses val="autoZero"/>
        <c:auto val="1"/>
        <c:lblAlgn val="ctr"/>
        <c:lblOffset val="100"/>
        <c:noMultiLvlLbl val="0"/>
      </c:catAx>
      <c:valAx>
        <c:axId val="1514466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r>
                  <a:rPr lang="es-UY"/>
                  <a:t>Ton</a:t>
                </a:r>
                <a:r>
                  <a:rPr lang="es-UY" baseline="0"/>
                  <a:t>eladas de MS</a:t>
                </a:r>
                <a:endParaRPr lang="es-UY"/>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514448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221602122476124E-2"/>
          <c:y val="6.1111111111111109E-2"/>
          <c:w val="0.9184080615778325"/>
          <c:h val="0.6607554546717932"/>
        </c:manualLayout>
      </c:layout>
      <c:barChart>
        <c:barDir val="col"/>
        <c:grouping val="stacked"/>
        <c:varyColors val="0"/>
        <c:ser>
          <c:idx val="0"/>
          <c:order val="0"/>
          <c:tx>
            <c:strRef>
              <c:f>Alimentos!$B$611</c:f>
              <c:strCache>
                <c:ptCount val="1"/>
                <c:pt idx="0">
                  <c:v>Oferta de Forraje (Pastoreo Directo +  Reservas de Excedentes)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Alimentos!$D$609:$AM$610</c:f>
              <c:multiLvlStrCache>
                <c:ptCount val="35"/>
                <c:lvl>
                  <c:pt idx="0">
                    <c:v>OFE</c:v>
                  </c:pt>
                  <c:pt idx="1">
                    <c:v>REQ</c:v>
                  </c:pt>
                  <c:pt idx="3">
                    <c:v>OFE</c:v>
                  </c:pt>
                  <c:pt idx="4">
                    <c:v>REQ</c:v>
                  </c:pt>
                  <c:pt idx="6">
                    <c:v>OFE</c:v>
                  </c:pt>
                  <c:pt idx="7">
                    <c:v>REQ</c:v>
                  </c:pt>
                  <c:pt idx="9">
                    <c:v>OFE</c:v>
                  </c:pt>
                  <c:pt idx="10">
                    <c:v>REQ</c:v>
                  </c:pt>
                  <c:pt idx="12">
                    <c:v>OFE</c:v>
                  </c:pt>
                  <c:pt idx="13">
                    <c:v>REQ</c:v>
                  </c:pt>
                  <c:pt idx="15">
                    <c:v>OFE</c:v>
                  </c:pt>
                  <c:pt idx="16">
                    <c:v>REQ</c:v>
                  </c:pt>
                  <c:pt idx="18">
                    <c:v>OFE</c:v>
                  </c:pt>
                  <c:pt idx="19">
                    <c:v>REQ</c:v>
                  </c:pt>
                  <c:pt idx="21">
                    <c:v>OFE</c:v>
                  </c:pt>
                  <c:pt idx="22">
                    <c:v>REQ</c:v>
                  </c:pt>
                  <c:pt idx="24">
                    <c:v>OFE</c:v>
                  </c:pt>
                  <c:pt idx="25">
                    <c:v>REQ</c:v>
                  </c:pt>
                  <c:pt idx="27">
                    <c:v>OFE</c:v>
                  </c:pt>
                  <c:pt idx="28">
                    <c:v>REQ</c:v>
                  </c:pt>
                  <c:pt idx="30">
                    <c:v>OFE</c:v>
                  </c:pt>
                  <c:pt idx="31">
                    <c:v>REQ</c:v>
                  </c:pt>
                  <c:pt idx="33">
                    <c:v>OFE</c:v>
                  </c:pt>
                  <c:pt idx="34">
                    <c:v>REQ</c:v>
                  </c:pt>
                </c:lvl>
                <c:lvl>
                  <c:pt idx="0">
                    <c:v>Ene</c:v>
                  </c:pt>
                  <c:pt idx="3">
                    <c:v>Feb</c:v>
                  </c:pt>
                  <c:pt idx="6">
                    <c:v>Mar</c:v>
                  </c:pt>
                  <c:pt idx="9">
                    <c:v>Abr</c:v>
                  </c:pt>
                  <c:pt idx="12">
                    <c:v>May</c:v>
                  </c:pt>
                  <c:pt idx="15">
                    <c:v>Jun</c:v>
                  </c:pt>
                  <c:pt idx="18">
                    <c:v>Jul</c:v>
                  </c:pt>
                  <c:pt idx="21">
                    <c:v>Ago</c:v>
                  </c:pt>
                  <c:pt idx="24">
                    <c:v>Set</c:v>
                  </c:pt>
                  <c:pt idx="27">
                    <c:v>Oct</c:v>
                  </c:pt>
                  <c:pt idx="30">
                    <c:v>Nov</c:v>
                  </c:pt>
                  <c:pt idx="33">
                    <c:v>Dic</c:v>
                  </c:pt>
                </c:lvl>
              </c:multiLvlStrCache>
            </c:multiLvlStrRef>
          </c:cat>
          <c:val>
            <c:numRef>
              <c:f>Alimentos!$D$611:$AM$611</c:f>
              <c:numCache>
                <c:formatCode>#,##0_);\(#,##0\)</c:formatCode>
                <c:ptCount val="36"/>
                <c:pt idx="0">
                  <c:v>0</c:v>
                </c:pt>
                <c:pt idx="3">
                  <c:v>0</c:v>
                </c:pt>
                <c:pt idx="6">
                  <c:v>0</c:v>
                </c:pt>
                <c:pt idx="9">
                  <c:v>0</c:v>
                </c:pt>
                <c:pt idx="12">
                  <c:v>0</c:v>
                </c:pt>
                <c:pt idx="15">
                  <c:v>0</c:v>
                </c:pt>
                <c:pt idx="18">
                  <c:v>0</c:v>
                </c:pt>
                <c:pt idx="21">
                  <c:v>0</c:v>
                </c:pt>
                <c:pt idx="24">
                  <c:v>0</c:v>
                </c:pt>
                <c:pt idx="27">
                  <c:v>0</c:v>
                </c:pt>
                <c:pt idx="30">
                  <c:v>0</c:v>
                </c:pt>
                <c:pt idx="33">
                  <c:v>0</c:v>
                </c:pt>
              </c:numCache>
            </c:numRef>
          </c:val>
          <c:extLst>
            <c:ext xmlns:c16="http://schemas.microsoft.com/office/drawing/2014/chart" uri="{C3380CC4-5D6E-409C-BE32-E72D297353CC}">
              <c16:uniqueId val="{00000000-0B93-47A0-9B80-0754D56CFFAB}"/>
            </c:ext>
          </c:extLst>
        </c:ser>
        <c:ser>
          <c:idx val="1"/>
          <c:order val="1"/>
          <c:tx>
            <c:strRef>
              <c:f>Alimentos!$B$612</c:f>
              <c:strCache>
                <c:ptCount val="1"/>
                <c:pt idx="0">
                  <c:v>Oferta de Cultivos de Reserva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Alimentos!$D$609:$AM$610</c:f>
              <c:multiLvlStrCache>
                <c:ptCount val="35"/>
                <c:lvl>
                  <c:pt idx="0">
                    <c:v>OFE</c:v>
                  </c:pt>
                  <c:pt idx="1">
                    <c:v>REQ</c:v>
                  </c:pt>
                  <c:pt idx="3">
                    <c:v>OFE</c:v>
                  </c:pt>
                  <c:pt idx="4">
                    <c:v>REQ</c:v>
                  </c:pt>
                  <c:pt idx="6">
                    <c:v>OFE</c:v>
                  </c:pt>
                  <c:pt idx="7">
                    <c:v>REQ</c:v>
                  </c:pt>
                  <c:pt idx="9">
                    <c:v>OFE</c:v>
                  </c:pt>
                  <c:pt idx="10">
                    <c:v>REQ</c:v>
                  </c:pt>
                  <c:pt idx="12">
                    <c:v>OFE</c:v>
                  </c:pt>
                  <c:pt idx="13">
                    <c:v>REQ</c:v>
                  </c:pt>
                  <c:pt idx="15">
                    <c:v>OFE</c:v>
                  </c:pt>
                  <c:pt idx="16">
                    <c:v>REQ</c:v>
                  </c:pt>
                  <c:pt idx="18">
                    <c:v>OFE</c:v>
                  </c:pt>
                  <c:pt idx="19">
                    <c:v>REQ</c:v>
                  </c:pt>
                  <c:pt idx="21">
                    <c:v>OFE</c:v>
                  </c:pt>
                  <c:pt idx="22">
                    <c:v>REQ</c:v>
                  </c:pt>
                  <c:pt idx="24">
                    <c:v>OFE</c:v>
                  </c:pt>
                  <c:pt idx="25">
                    <c:v>REQ</c:v>
                  </c:pt>
                  <c:pt idx="27">
                    <c:v>OFE</c:v>
                  </c:pt>
                  <c:pt idx="28">
                    <c:v>REQ</c:v>
                  </c:pt>
                  <c:pt idx="30">
                    <c:v>OFE</c:v>
                  </c:pt>
                  <c:pt idx="31">
                    <c:v>REQ</c:v>
                  </c:pt>
                  <c:pt idx="33">
                    <c:v>OFE</c:v>
                  </c:pt>
                  <c:pt idx="34">
                    <c:v>REQ</c:v>
                  </c:pt>
                </c:lvl>
                <c:lvl>
                  <c:pt idx="0">
                    <c:v>Ene</c:v>
                  </c:pt>
                  <c:pt idx="3">
                    <c:v>Feb</c:v>
                  </c:pt>
                  <c:pt idx="6">
                    <c:v>Mar</c:v>
                  </c:pt>
                  <c:pt idx="9">
                    <c:v>Abr</c:v>
                  </c:pt>
                  <c:pt idx="12">
                    <c:v>May</c:v>
                  </c:pt>
                  <c:pt idx="15">
                    <c:v>Jun</c:v>
                  </c:pt>
                  <c:pt idx="18">
                    <c:v>Jul</c:v>
                  </c:pt>
                  <c:pt idx="21">
                    <c:v>Ago</c:v>
                  </c:pt>
                  <c:pt idx="24">
                    <c:v>Set</c:v>
                  </c:pt>
                  <c:pt idx="27">
                    <c:v>Oct</c:v>
                  </c:pt>
                  <c:pt idx="30">
                    <c:v>Nov</c:v>
                  </c:pt>
                  <c:pt idx="33">
                    <c:v>Dic</c:v>
                  </c:pt>
                </c:lvl>
              </c:multiLvlStrCache>
            </c:multiLvlStrRef>
          </c:cat>
          <c:val>
            <c:numRef>
              <c:f>Alimentos!$D$612:$AM$612</c:f>
              <c:numCache>
                <c:formatCode>#,##0_);\(#,##0\)</c:formatCode>
                <c:ptCount val="36"/>
                <c:pt idx="0">
                  <c:v>0</c:v>
                </c:pt>
                <c:pt idx="3">
                  <c:v>0</c:v>
                </c:pt>
                <c:pt idx="6">
                  <c:v>0</c:v>
                </c:pt>
                <c:pt idx="9">
                  <c:v>0</c:v>
                </c:pt>
                <c:pt idx="12">
                  <c:v>0</c:v>
                </c:pt>
                <c:pt idx="15">
                  <c:v>0</c:v>
                </c:pt>
                <c:pt idx="18">
                  <c:v>0</c:v>
                </c:pt>
                <c:pt idx="21">
                  <c:v>0</c:v>
                </c:pt>
                <c:pt idx="24">
                  <c:v>0</c:v>
                </c:pt>
                <c:pt idx="27">
                  <c:v>0</c:v>
                </c:pt>
                <c:pt idx="30">
                  <c:v>0</c:v>
                </c:pt>
                <c:pt idx="33">
                  <c:v>0</c:v>
                </c:pt>
              </c:numCache>
            </c:numRef>
          </c:val>
          <c:extLst>
            <c:ext xmlns:c16="http://schemas.microsoft.com/office/drawing/2014/chart" uri="{C3380CC4-5D6E-409C-BE32-E72D297353CC}">
              <c16:uniqueId val="{00000001-0B93-47A0-9B80-0754D56CFFAB}"/>
            </c:ext>
          </c:extLst>
        </c:ser>
        <c:ser>
          <c:idx val="2"/>
          <c:order val="2"/>
          <c:tx>
            <c:strRef>
              <c:f>Alimentos!$B$613</c:f>
              <c:strCache>
                <c:ptCount val="1"/>
                <c:pt idx="0">
                  <c:v>Requerimientos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Alimentos!$D$609:$AM$610</c:f>
              <c:multiLvlStrCache>
                <c:ptCount val="35"/>
                <c:lvl>
                  <c:pt idx="0">
                    <c:v>OFE</c:v>
                  </c:pt>
                  <c:pt idx="1">
                    <c:v>REQ</c:v>
                  </c:pt>
                  <c:pt idx="3">
                    <c:v>OFE</c:v>
                  </c:pt>
                  <c:pt idx="4">
                    <c:v>REQ</c:v>
                  </c:pt>
                  <c:pt idx="6">
                    <c:v>OFE</c:v>
                  </c:pt>
                  <c:pt idx="7">
                    <c:v>REQ</c:v>
                  </c:pt>
                  <c:pt idx="9">
                    <c:v>OFE</c:v>
                  </c:pt>
                  <c:pt idx="10">
                    <c:v>REQ</c:v>
                  </c:pt>
                  <c:pt idx="12">
                    <c:v>OFE</c:v>
                  </c:pt>
                  <c:pt idx="13">
                    <c:v>REQ</c:v>
                  </c:pt>
                  <c:pt idx="15">
                    <c:v>OFE</c:v>
                  </c:pt>
                  <c:pt idx="16">
                    <c:v>REQ</c:v>
                  </c:pt>
                  <c:pt idx="18">
                    <c:v>OFE</c:v>
                  </c:pt>
                  <c:pt idx="19">
                    <c:v>REQ</c:v>
                  </c:pt>
                  <c:pt idx="21">
                    <c:v>OFE</c:v>
                  </c:pt>
                  <c:pt idx="22">
                    <c:v>REQ</c:v>
                  </c:pt>
                  <c:pt idx="24">
                    <c:v>OFE</c:v>
                  </c:pt>
                  <c:pt idx="25">
                    <c:v>REQ</c:v>
                  </c:pt>
                  <c:pt idx="27">
                    <c:v>OFE</c:v>
                  </c:pt>
                  <c:pt idx="28">
                    <c:v>REQ</c:v>
                  </c:pt>
                  <c:pt idx="30">
                    <c:v>OFE</c:v>
                  </c:pt>
                  <c:pt idx="31">
                    <c:v>REQ</c:v>
                  </c:pt>
                  <c:pt idx="33">
                    <c:v>OFE</c:v>
                  </c:pt>
                  <c:pt idx="34">
                    <c:v>REQ</c:v>
                  </c:pt>
                </c:lvl>
                <c:lvl>
                  <c:pt idx="0">
                    <c:v>Ene</c:v>
                  </c:pt>
                  <c:pt idx="3">
                    <c:v>Feb</c:v>
                  </c:pt>
                  <c:pt idx="6">
                    <c:v>Mar</c:v>
                  </c:pt>
                  <c:pt idx="9">
                    <c:v>Abr</c:v>
                  </c:pt>
                  <c:pt idx="12">
                    <c:v>May</c:v>
                  </c:pt>
                  <c:pt idx="15">
                    <c:v>Jun</c:v>
                  </c:pt>
                  <c:pt idx="18">
                    <c:v>Jul</c:v>
                  </c:pt>
                  <c:pt idx="21">
                    <c:v>Ago</c:v>
                  </c:pt>
                  <c:pt idx="24">
                    <c:v>Set</c:v>
                  </c:pt>
                  <c:pt idx="27">
                    <c:v>Oct</c:v>
                  </c:pt>
                  <c:pt idx="30">
                    <c:v>Nov</c:v>
                  </c:pt>
                  <c:pt idx="33">
                    <c:v>Dic</c:v>
                  </c:pt>
                </c:lvl>
              </c:multiLvlStrCache>
            </c:multiLvlStrRef>
          </c:cat>
          <c:val>
            <c:numRef>
              <c:f>Alimentos!$D$613:$AM$613</c:f>
              <c:numCache>
                <c:formatCode>#,##0_);\(#,##0\)</c:formatCode>
                <c:ptCount val="36"/>
                <c:pt idx="1">
                  <c:v>0</c:v>
                </c:pt>
                <c:pt idx="4">
                  <c:v>0</c:v>
                </c:pt>
                <c:pt idx="7">
                  <c:v>0</c:v>
                </c:pt>
                <c:pt idx="10">
                  <c:v>0</c:v>
                </c:pt>
                <c:pt idx="13">
                  <c:v>0</c:v>
                </c:pt>
                <c:pt idx="16">
                  <c:v>0</c:v>
                </c:pt>
                <c:pt idx="19">
                  <c:v>0</c:v>
                </c:pt>
                <c:pt idx="22">
                  <c:v>0</c:v>
                </c:pt>
                <c:pt idx="25">
                  <c:v>0</c:v>
                </c:pt>
                <c:pt idx="28">
                  <c:v>0</c:v>
                </c:pt>
                <c:pt idx="31">
                  <c:v>0</c:v>
                </c:pt>
                <c:pt idx="34">
                  <c:v>0</c:v>
                </c:pt>
              </c:numCache>
            </c:numRef>
          </c:val>
          <c:extLst>
            <c:ext xmlns:c16="http://schemas.microsoft.com/office/drawing/2014/chart" uri="{C3380CC4-5D6E-409C-BE32-E72D297353CC}">
              <c16:uniqueId val="{00000002-0B93-47A0-9B80-0754D56CFFAB}"/>
            </c:ext>
          </c:extLst>
        </c:ser>
        <c:dLbls>
          <c:showLegendKey val="0"/>
          <c:showVal val="0"/>
          <c:showCatName val="0"/>
          <c:showSerName val="0"/>
          <c:showPercent val="0"/>
          <c:showBubbleSize val="0"/>
        </c:dLbls>
        <c:gapWidth val="21"/>
        <c:overlap val="100"/>
        <c:axId val="151499904"/>
        <c:axId val="151501440"/>
      </c:barChart>
      <c:catAx>
        <c:axId val="151499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51501440"/>
        <c:crosses val="autoZero"/>
        <c:auto val="1"/>
        <c:lblAlgn val="ctr"/>
        <c:lblOffset val="100"/>
        <c:noMultiLvlLbl val="0"/>
      </c:catAx>
      <c:valAx>
        <c:axId val="151501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r>
                  <a:rPr lang="es-UY"/>
                  <a:t>Toneladas de MS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514999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46735149245234E-2"/>
          <c:y val="5.0925925925925923E-2"/>
          <c:w val="0.90801102655197152"/>
          <c:h val="0.65846456692913391"/>
        </c:manualLayout>
      </c:layout>
      <c:barChart>
        <c:barDir val="col"/>
        <c:grouping val="stacked"/>
        <c:varyColors val="0"/>
        <c:ser>
          <c:idx val="0"/>
          <c:order val="0"/>
          <c:tx>
            <c:strRef>
              <c:f>Alimentos!$B$640</c:f>
              <c:strCache>
                <c:ptCount val="1"/>
                <c:pt idx="0">
                  <c:v>Requerimientos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Alimentos!$D$638:$AM$639</c:f>
              <c:multiLvlStrCache>
                <c:ptCount val="35"/>
                <c:lvl>
                  <c:pt idx="0">
                    <c:v>OFE</c:v>
                  </c:pt>
                  <c:pt idx="1">
                    <c:v>REQ</c:v>
                  </c:pt>
                  <c:pt idx="3">
                    <c:v>OFE</c:v>
                  </c:pt>
                  <c:pt idx="4">
                    <c:v>REQ</c:v>
                  </c:pt>
                  <c:pt idx="6">
                    <c:v>OFE</c:v>
                  </c:pt>
                  <c:pt idx="7">
                    <c:v>REQ</c:v>
                  </c:pt>
                  <c:pt idx="9">
                    <c:v>OFE</c:v>
                  </c:pt>
                  <c:pt idx="10">
                    <c:v>REQ</c:v>
                  </c:pt>
                  <c:pt idx="12">
                    <c:v>OFE</c:v>
                  </c:pt>
                  <c:pt idx="13">
                    <c:v>REQ</c:v>
                  </c:pt>
                  <c:pt idx="15">
                    <c:v>OFE</c:v>
                  </c:pt>
                  <c:pt idx="16">
                    <c:v>REQ</c:v>
                  </c:pt>
                  <c:pt idx="18">
                    <c:v>OFE</c:v>
                  </c:pt>
                  <c:pt idx="19">
                    <c:v>REQ</c:v>
                  </c:pt>
                  <c:pt idx="21">
                    <c:v>OFE</c:v>
                  </c:pt>
                  <c:pt idx="22">
                    <c:v>REQ</c:v>
                  </c:pt>
                  <c:pt idx="24">
                    <c:v>OFE</c:v>
                  </c:pt>
                  <c:pt idx="25">
                    <c:v>REQ</c:v>
                  </c:pt>
                  <c:pt idx="27">
                    <c:v>OFE</c:v>
                  </c:pt>
                  <c:pt idx="28">
                    <c:v>REQ</c:v>
                  </c:pt>
                  <c:pt idx="30">
                    <c:v>OFE</c:v>
                  </c:pt>
                  <c:pt idx="31">
                    <c:v>REQ</c:v>
                  </c:pt>
                  <c:pt idx="33">
                    <c:v>OFE</c:v>
                  </c:pt>
                  <c:pt idx="34">
                    <c:v>REQ</c:v>
                  </c:pt>
                </c:lvl>
                <c:lvl>
                  <c:pt idx="0">
                    <c:v>Ene</c:v>
                  </c:pt>
                  <c:pt idx="3">
                    <c:v>Feb</c:v>
                  </c:pt>
                  <c:pt idx="6">
                    <c:v>Mar</c:v>
                  </c:pt>
                  <c:pt idx="9">
                    <c:v>Abr</c:v>
                  </c:pt>
                  <c:pt idx="12">
                    <c:v>May</c:v>
                  </c:pt>
                  <c:pt idx="15">
                    <c:v>Jun</c:v>
                  </c:pt>
                  <c:pt idx="18">
                    <c:v>Jul</c:v>
                  </c:pt>
                  <c:pt idx="21">
                    <c:v>Ago</c:v>
                  </c:pt>
                  <c:pt idx="24">
                    <c:v>Set</c:v>
                  </c:pt>
                  <c:pt idx="27">
                    <c:v>Oct</c:v>
                  </c:pt>
                  <c:pt idx="30">
                    <c:v>Nov</c:v>
                  </c:pt>
                  <c:pt idx="33">
                    <c:v>Dic</c:v>
                  </c:pt>
                </c:lvl>
              </c:multiLvlStrCache>
            </c:multiLvlStrRef>
          </c:cat>
          <c:val>
            <c:numRef>
              <c:f>Alimentos!$D$640:$AM$640</c:f>
              <c:numCache>
                <c:formatCode>#,##0_);\(#,##0\)</c:formatCode>
                <c:ptCount val="36"/>
                <c:pt idx="1">
                  <c:v>0</c:v>
                </c:pt>
                <c:pt idx="4">
                  <c:v>0</c:v>
                </c:pt>
                <c:pt idx="7">
                  <c:v>0</c:v>
                </c:pt>
                <c:pt idx="10">
                  <c:v>0</c:v>
                </c:pt>
                <c:pt idx="13">
                  <c:v>0</c:v>
                </c:pt>
                <c:pt idx="16">
                  <c:v>0</c:v>
                </c:pt>
                <c:pt idx="19">
                  <c:v>0</c:v>
                </c:pt>
                <c:pt idx="22">
                  <c:v>0</c:v>
                </c:pt>
                <c:pt idx="25">
                  <c:v>0</c:v>
                </c:pt>
                <c:pt idx="28">
                  <c:v>0</c:v>
                </c:pt>
                <c:pt idx="31">
                  <c:v>0</c:v>
                </c:pt>
                <c:pt idx="34">
                  <c:v>0</c:v>
                </c:pt>
              </c:numCache>
            </c:numRef>
          </c:val>
          <c:extLst>
            <c:ext xmlns:c16="http://schemas.microsoft.com/office/drawing/2014/chart" uri="{C3380CC4-5D6E-409C-BE32-E72D297353CC}">
              <c16:uniqueId val="{00000000-D38E-4D12-BC85-DED649063B68}"/>
            </c:ext>
          </c:extLst>
        </c:ser>
        <c:ser>
          <c:idx val="1"/>
          <c:order val="1"/>
          <c:tx>
            <c:strRef>
              <c:f>Alimentos!$B$641</c:f>
              <c:strCache>
                <c:ptCount val="1"/>
                <c:pt idx="0">
                  <c:v>Oferta de Forraje (Pastoreo Directo +  Reservas de Excedentes)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Alimentos!$D$638:$AM$639</c:f>
              <c:multiLvlStrCache>
                <c:ptCount val="35"/>
                <c:lvl>
                  <c:pt idx="0">
                    <c:v>OFE</c:v>
                  </c:pt>
                  <c:pt idx="1">
                    <c:v>REQ</c:v>
                  </c:pt>
                  <c:pt idx="3">
                    <c:v>OFE</c:v>
                  </c:pt>
                  <c:pt idx="4">
                    <c:v>REQ</c:v>
                  </c:pt>
                  <c:pt idx="6">
                    <c:v>OFE</c:v>
                  </c:pt>
                  <c:pt idx="7">
                    <c:v>REQ</c:v>
                  </c:pt>
                  <c:pt idx="9">
                    <c:v>OFE</c:v>
                  </c:pt>
                  <c:pt idx="10">
                    <c:v>REQ</c:v>
                  </c:pt>
                  <c:pt idx="12">
                    <c:v>OFE</c:v>
                  </c:pt>
                  <c:pt idx="13">
                    <c:v>REQ</c:v>
                  </c:pt>
                  <c:pt idx="15">
                    <c:v>OFE</c:v>
                  </c:pt>
                  <c:pt idx="16">
                    <c:v>REQ</c:v>
                  </c:pt>
                  <c:pt idx="18">
                    <c:v>OFE</c:v>
                  </c:pt>
                  <c:pt idx="19">
                    <c:v>REQ</c:v>
                  </c:pt>
                  <c:pt idx="21">
                    <c:v>OFE</c:v>
                  </c:pt>
                  <c:pt idx="22">
                    <c:v>REQ</c:v>
                  </c:pt>
                  <c:pt idx="24">
                    <c:v>OFE</c:v>
                  </c:pt>
                  <c:pt idx="25">
                    <c:v>REQ</c:v>
                  </c:pt>
                  <c:pt idx="27">
                    <c:v>OFE</c:v>
                  </c:pt>
                  <c:pt idx="28">
                    <c:v>REQ</c:v>
                  </c:pt>
                  <c:pt idx="30">
                    <c:v>OFE</c:v>
                  </c:pt>
                  <c:pt idx="31">
                    <c:v>REQ</c:v>
                  </c:pt>
                  <c:pt idx="33">
                    <c:v>OFE</c:v>
                  </c:pt>
                  <c:pt idx="34">
                    <c:v>REQ</c:v>
                  </c:pt>
                </c:lvl>
                <c:lvl>
                  <c:pt idx="0">
                    <c:v>Ene</c:v>
                  </c:pt>
                  <c:pt idx="3">
                    <c:v>Feb</c:v>
                  </c:pt>
                  <c:pt idx="6">
                    <c:v>Mar</c:v>
                  </c:pt>
                  <c:pt idx="9">
                    <c:v>Abr</c:v>
                  </c:pt>
                  <c:pt idx="12">
                    <c:v>May</c:v>
                  </c:pt>
                  <c:pt idx="15">
                    <c:v>Jun</c:v>
                  </c:pt>
                  <c:pt idx="18">
                    <c:v>Jul</c:v>
                  </c:pt>
                  <c:pt idx="21">
                    <c:v>Ago</c:v>
                  </c:pt>
                  <c:pt idx="24">
                    <c:v>Set</c:v>
                  </c:pt>
                  <c:pt idx="27">
                    <c:v>Oct</c:v>
                  </c:pt>
                  <c:pt idx="30">
                    <c:v>Nov</c:v>
                  </c:pt>
                  <c:pt idx="33">
                    <c:v>Dic</c:v>
                  </c:pt>
                </c:lvl>
              </c:multiLvlStrCache>
            </c:multiLvlStrRef>
          </c:cat>
          <c:val>
            <c:numRef>
              <c:f>Alimentos!$D$641:$AM$641</c:f>
              <c:numCache>
                <c:formatCode>#,##0_);\(#,##0\)</c:formatCode>
                <c:ptCount val="36"/>
                <c:pt idx="0">
                  <c:v>0</c:v>
                </c:pt>
                <c:pt idx="3">
                  <c:v>0</c:v>
                </c:pt>
                <c:pt idx="6">
                  <c:v>0</c:v>
                </c:pt>
                <c:pt idx="9">
                  <c:v>0</c:v>
                </c:pt>
                <c:pt idx="12">
                  <c:v>0</c:v>
                </c:pt>
                <c:pt idx="15">
                  <c:v>0</c:v>
                </c:pt>
                <c:pt idx="18">
                  <c:v>0</c:v>
                </c:pt>
                <c:pt idx="21">
                  <c:v>0</c:v>
                </c:pt>
                <c:pt idx="24">
                  <c:v>0</c:v>
                </c:pt>
                <c:pt idx="27">
                  <c:v>0</c:v>
                </c:pt>
                <c:pt idx="30">
                  <c:v>0</c:v>
                </c:pt>
                <c:pt idx="33">
                  <c:v>0</c:v>
                </c:pt>
              </c:numCache>
            </c:numRef>
          </c:val>
          <c:extLst>
            <c:ext xmlns:c16="http://schemas.microsoft.com/office/drawing/2014/chart" uri="{C3380CC4-5D6E-409C-BE32-E72D297353CC}">
              <c16:uniqueId val="{00000001-D38E-4D12-BC85-DED649063B68}"/>
            </c:ext>
          </c:extLst>
        </c:ser>
        <c:ser>
          <c:idx val="2"/>
          <c:order val="2"/>
          <c:tx>
            <c:strRef>
              <c:f>Alimentos!$B$642</c:f>
              <c:strCache>
                <c:ptCount val="1"/>
                <c:pt idx="0">
                  <c:v>Oferta de Cultivos de Reserva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Alimentos!$D$638:$AM$639</c:f>
              <c:multiLvlStrCache>
                <c:ptCount val="35"/>
                <c:lvl>
                  <c:pt idx="0">
                    <c:v>OFE</c:v>
                  </c:pt>
                  <c:pt idx="1">
                    <c:v>REQ</c:v>
                  </c:pt>
                  <c:pt idx="3">
                    <c:v>OFE</c:v>
                  </c:pt>
                  <c:pt idx="4">
                    <c:v>REQ</c:v>
                  </c:pt>
                  <c:pt idx="6">
                    <c:v>OFE</c:v>
                  </c:pt>
                  <c:pt idx="7">
                    <c:v>REQ</c:v>
                  </c:pt>
                  <c:pt idx="9">
                    <c:v>OFE</c:v>
                  </c:pt>
                  <c:pt idx="10">
                    <c:v>REQ</c:v>
                  </c:pt>
                  <c:pt idx="12">
                    <c:v>OFE</c:v>
                  </c:pt>
                  <c:pt idx="13">
                    <c:v>REQ</c:v>
                  </c:pt>
                  <c:pt idx="15">
                    <c:v>OFE</c:v>
                  </c:pt>
                  <c:pt idx="16">
                    <c:v>REQ</c:v>
                  </c:pt>
                  <c:pt idx="18">
                    <c:v>OFE</c:v>
                  </c:pt>
                  <c:pt idx="19">
                    <c:v>REQ</c:v>
                  </c:pt>
                  <c:pt idx="21">
                    <c:v>OFE</c:v>
                  </c:pt>
                  <c:pt idx="22">
                    <c:v>REQ</c:v>
                  </c:pt>
                  <c:pt idx="24">
                    <c:v>OFE</c:v>
                  </c:pt>
                  <c:pt idx="25">
                    <c:v>REQ</c:v>
                  </c:pt>
                  <c:pt idx="27">
                    <c:v>OFE</c:v>
                  </c:pt>
                  <c:pt idx="28">
                    <c:v>REQ</c:v>
                  </c:pt>
                  <c:pt idx="30">
                    <c:v>OFE</c:v>
                  </c:pt>
                  <c:pt idx="31">
                    <c:v>REQ</c:v>
                  </c:pt>
                  <c:pt idx="33">
                    <c:v>OFE</c:v>
                  </c:pt>
                  <c:pt idx="34">
                    <c:v>REQ</c:v>
                  </c:pt>
                </c:lvl>
                <c:lvl>
                  <c:pt idx="0">
                    <c:v>Ene</c:v>
                  </c:pt>
                  <c:pt idx="3">
                    <c:v>Feb</c:v>
                  </c:pt>
                  <c:pt idx="6">
                    <c:v>Mar</c:v>
                  </c:pt>
                  <c:pt idx="9">
                    <c:v>Abr</c:v>
                  </c:pt>
                  <c:pt idx="12">
                    <c:v>May</c:v>
                  </c:pt>
                  <c:pt idx="15">
                    <c:v>Jun</c:v>
                  </c:pt>
                  <c:pt idx="18">
                    <c:v>Jul</c:v>
                  </c:pt>
                  <c:pt idx="21">
                    <c:v>Ago</c:v>
                  </c:pt>
                  <c:pt idx="24">
                    <c:v>Set</c:v>
                  </c:pt>
                  <c:pt idx="27">
                    <c:v>Oct</c:v>
                  </c:pt>
                  <c:pt idx="30">
                    <c:v>Nov</c:v>
                  </c:pt>
                  <c:pt idx="33">
                    <c:v>Dic</c:v>
                  </c:pt>
                </c:lvl>
              </c:multiLvlStrCache>
            </c:multiLvlStrRef>
          </c:cat>
          <c:val>
            <c:numRef>
              <c:f>Alimentos!$D$642:$AM$642</c:f>
              <c:numCache>
                <c:formatCode>#,##0_);\(#,##0\)</c:formatCode>
                <c:ptCount val="36"/>
                <c:pt idx="0">
                  <c:v>0</c:v>
                </c:pt>
                <c:pt idx="3">
                  <c:v>0</c:v>
                </c:pt>
                <c:pt idx="6">
                  <c:v>0</c:v>
                </c:pt>
                <c:pt idx="9">
                  <c:v>0</c:v>
                </c:pt>
                <c:pt idx="12">
                  <c:v>0</c:v>
                </c:pt>
                <c:pt idx="15">
                  <c:v>0</c:v>
                </c:pt>
                <c:pt idx="18">
                  <c:v>0</c:v>
                </c:pt>
                <c:pt idx="21">
                  <c:v>0</c:v>
                </c:pt>
                <c:pt idx="24">
                  <c:v>0</c:v>
                </c:pt>
                <c:pt idx="27">
                  <c:v>0</c:v>
                </c:pt>
                <c:pt idx="30">
                  <c:v>0</c:v>
                </c:pt>
                <c:pt idx="33">
                  <c:v>0</c:v>
                </c:pt>
              </c:numCache>
            </c:numRef>
          </c:val>
          <c:extLst>
            <c:ext xmlns:c16="http://schemas.microsoft.com/office/drawing/2014/chart" uri="{C3380CC4-5D6E-409C-BE32-E72D297353CC}">
              <c16:uniqueId val="{00000002-D38E-4D12-BC85-DED649063B68}"/>
            </c:ext>
          </c:extLst>
        </c:ser>
        <c:dLbls>
          <c:showLegendKey val="0"/>
          <c:showVal val="0"/>
          <c:showCatName val="0"/>
          <c:showSerName val="0"/>
          <c:showPercent val="0"/>
          <c:showBubbleSize val="0"/>
        </c:dLbls>
        <c:gapWidth val="10"/>
        <c:overlap val="100"/>
        <c:axId val="151576960"/>
        <c:axId val="151578496"/>
      </c:barChart>
      <c:catAx>
        <c:axId val="15157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51578496"/>
        <c:crosses val="autoZero"/>
        <c:auto val="1"/>
        <c:lblAlgn val="ctr"/>
        <c:lblOffset val="100"/>
        <c:noMultiLvlLbl val="0"/>
      </c:catAx>
      <c:valAx>
        <c:axId val="1515784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r>
                  <a:rPr lang="es-UY"/>
                  <a:t>Toneladas de MS</a:t>
                </a:r>
              </a:p>
            </c:rich>
          </c:tx>
          <c:layout>
            <c:manualLayout>
              <c:xMode val="edge"/>
              <c:yMode val="edge"/>
              <c:x val="1.864580282603618E-2"/>
              <c:y val="0.1736085849772740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5157696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76159079409261E-2"/>
          <c:y val="5.8146770440129843E-2"/>
          <c:w val="0.92121732775948251"/>
          <c:h val="0.61003787240259377"/>
        </c:manualLayout>
      </c:layout>
      <c:barChart>
        <c:barDir val="col"/>
        <c:grouping val="stacked"/>
        <c:varyColors val="0"/>
        <c:ser>
          <c:idx val="0"/>
          <c:order val="0"/>
          <c:tx>
            <c:strRef>
              <c:f>Alimentos!$B$633</c:f>
              <c:strCache>
                <c:ptCount val="1"/>
                <c:pt idx="0">
                  <c:v>Requerimientos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Alimentos!$D$631:$AM$632</c:f>
              <c:multiLvlStrCache>
                <c:ptCount val="35"/>
                <c:lvl>
                  <c:pt idx="0">
                    <c:v>OFE</c:v>
                  </c:pt>
                  <c:pt idx="1">
                    <c:v>REQ</c:v>
                  </c:pt>
                  <c:pt idx="3">
                    <c:v>OFE</c:v>
                  </c:pt>
                  <c:pt idx="4">
                    <c:v>REQ</c:v>
                  </c:pt>
                  <c:pt idx="6">
                    <c:v>OFE</c:v>
                  </c:pt>
                  <c:pt idx="7">
                    <c:v>REQ</c:v>
                  </c:pt>
                  <c:pt idx="9">
                    <c:v>OFE</c:v>
                  </c:pt>
                  <c:pt idx="10">
                    <c:v>REQ</c:v>
                  </c:pt>
                  <c:pt idx="12">
                    <c:v>OFE</c:v>
                  </c:pt>
                  <c:pt idx="13">
                    <c:v>REQ</c:v>
                  </c:pt>
                  <c:pt idx="15">
                    <c:v>OFE</c:v>
                  </c:pt>
                  <c:pt idx="16">
                    <c:v>REQ</c:v>
                  </c:pt>
                  <c:pt idx="18">
                    <c:v>OFE</c:v>
                  </c:pt>
                  <c:pt idx="19">
                    <c:v>REQ</c:v>
                  </c:pt>
                  <c:pt idx="21">
                    <c:v>OFE</c:v>
                  </c:pt>
                  <c:pt idx="22">
                    <c:v>REQ</c:v>
                  </c:pt>
                  <c:pt idx="24">
                    <c:v>OFE</c:v>
                  </c:pt>
                  <c:pt idx="25">
                    <c:v>REQ</c:v>
                  </c:pt>
                  <c:pt idx="27">
                    <c:v>OFE</c:v>
                  </c:pt>
                  <c:pt idx="28">
                    <c:v>REQ</c:v>
                  </c:pt>
                  <c:pt idx="30">
                    <c:v>OFE</c:v>
                  </c:pt>
                  <c:pt idx="31">
                    <c:v>REQ</c:v>
                  </c:pt>
                  <c:pt idx="33">
                    <c:v>OFE</c:v>
                  </c:pt>
                  <c:pt idx="34">
                    <c:v>REQ</c:v>
                  </c:pt>
                </c:lvl>
                <c:lvl>
                  <c:pt idx="0">
                    <c:v>Ene</c:v>
                  </c:pt>
                  <c:pt idx="3">
                    <c:v>Feb</c:v>
                  </c:pt>
                  <c:pt idx="6">
                    <c:v>Mar</c:v>
                  </c:pt>
                  <c:pt idx="9">
                    <c:v>Abr</c:v>
                  </c:pt>
                  <c:pt idx="12">
                    <c:v>May</c:v>
                  </c:pt>
                  <c:pt idx="15">
                    <c:v>Jun</c:v>
                  </c:pt>
                  <c:pt idx="18">
                    <c:v>Jul</c:v>
                  </c:pt>
                  <c:pt idx="21">
                    <c:v>Ago</c:v>
                  </c:pt>
                  <c:pt idx="24">
                    <c:v>Set</c:v>
                  </c:pt>
                  <c:pt idx="27">
                    <c:v>Oct</c:v>
                  </c:pt>
                  <c:pt idx="30">
                    <c:v>Nov</c:v>
                  </c:pt>
                  <c:pt idx="33">
                    <c:v>Dic</c:v>
                  </c:pt>
                </c:lvl>
              </c:multiLvlStrCache>
            </c:multiLvlStrRef>
          </c:cat>
          <c:val>
            <c:numRef>
              <c:f>Alimentos!$D$633:$AM$633</c:f>
              <c:numCache>
                <c:formatCode>#,##0_);\(#,##0\)</c:formatCode>
                <c:ptCount val="36"/>
                <c:pt idx="1">
                  <c:v>0</c:v>
                </c:pt>
                <c:pt idx="4">
                  <c:v>0</c:v>
                </c:pt>
                <c:pt idx="7">
                  <c:v>0</c:v>
                </c:pt>
                <c:pt idx="10">
                  <c:v>0</c:v>
                </c:pt>
                <c:pt idx="13">
                  <c:v>0</c:v>
                </c:pt>
                <c:pt idx="16">
                  <c:v>0</c:v>
                </c:pt>
                <c:pt idx="19">
                  <c:v>0</c:v>
                </c:pt>
                <c:pt idx="22">
                  <c:v>0</c:v>
                </c:pt>
                <c:pt idx="25">
                  <c:v>0</c:v>
                </c:pt>
                <c:pt idx="28">
                  <c:v>0</c:v>
                </c:pt>
                <c:pt idx="31">
                  <c:v>0</c:v>
                </c:pt>
                <c:pt idx="34">
                  <c:v>0</c:v>
                </c:pt>
              </c:numCache>
            </c:numRef>
          </c:val>
          <c:extLst>
            <c:ext xmlns:c16="http://schemas.microsoft.com/office/drawing/2014/chart" uri="{C3380CC4-5D6E-409C-BE32-E72D297353CC}">
              <c16:uniqueId val="{00000000-EF36-48A3-B711-A8DA9DAE274F}"/>
            </c:ext>
          </c:extLst>
        </c:ser>
        <c:ser>
          <c:idx val="1"/>
          <c:order val="1"/>
          <c:tx>
            <c:strRef>
              <c:f>Alimentos!$B$634</c:f>
              <c:strCache>
                <c:ptCount val="1"/>
                <c:pt idx="0">
                  <c:v>Oferta de Forraje (Pastoreo Directo +  Reservas de Excedentes)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Alimentos!$D$631:$AM$632</c:f>
              <c:multiLvlStrCache>
                <c:ptCount val="35"/>
                <c:lvl>
                  <c:pt idx="0">
                    <c:v>OFE</c:v>
                  </c:pt>
                  <c:pt idx="1">
                    <c:v>REQ</c:v>
                  </c:pt>
                  <c:pt idx="3">
                    <c:v>OFE</c:v>
                  </c:pt>
                  <c:pt idx="4">
                    <c:v>REQ</c:v>
                  </c:pt>
                  <c:pt idx="6">
                    <c:v>OFE</c:v>
                  </c:pt>
                  <c:pt idx="7">
                    <c:v>REQ</c:v>
                  </c:pt>
                  <c:pt idx="9">
                    <c:v>OFE</c:v>
                  </c:pt>
                  <c:pt idx="10">
                    <c:v>REQ</c:v>
                  </c:pt>
                  <c:pt idx="12">
                    <c:v>OFE</c:v>
                  </c:pt>
                  <c:pt idx="13">
                    <c:v>REQ</c:v>
                  </c:pt>
                  <c:pt idx="15">
                    <c:v>OFE</c:v>
                  </c:pt>
                  <c:pt idx="16">
                    <c:v>REQ</c:v>
                  </c:pt>
                  <c:pt idx="18">
                    <c:v>OFE</c:v>
                  </c:pt>
                  <c:pt idx="19">
                    <c:v>REQ</c:v>
                  </c:pt>
                  <c:pt idx="21">
                    <c:v>OFE</c:v>
                  </c:pt>
                  <c:pt idx="22">
                    <c:v>REQ</c:v>
                  </c:pt>
                  <c:pt idx="24">
                    <c:v>OFE</c:v>
                  </c:pt>
                  <c:pt idx="25">
                    <c:v>REQ</c:v>
                  </c:pt>
                  <c:pt idx="27">
                    <c:v>OFE</c:v>
                  </c:pt>
                  <c:pt idx="28">
                    <c:v>REQ</c:v>
                  </c:pt>
                  <c:pt idx="30">
                    <c:v>OFE</c:v>
                  </c:pt>
                  <c:pt idx="31">
                    <c:v>REQ</c:v>
                  </c:pt>
                  <c:pt idx="33">
                    <c:v>OFE</c:v>
                  </c:pt>
                  <c:pt idx="34">
                    <c:v>REQ</c:v>
                  </c:pt>
                </c:lvl>
                <c:lvl>
                  <c:pt idx="0">
                    <c:v>Ene</c:v>
                  </c:pt>
                  <c:pt idx="3">
                    <c:v>Feb</c:v>
                  </c:pt>
                  <c:pt idx="6">
                    <c:v>Mar</c:v>
                  </c:pt>
                  <c:pt idx="9">
                    <c:v>Abr</c:v>
                  </c:pt>
                  <c:pt idx="12">
                    <c:v>May</c:v>
                  </c:pt>
                  <c:pt idx="15">
                    <c:v>Jun</c:v>
                  </c:pt>
                  <c:pt idx="18">
                    <c:v>Jul</c:v>
                  </c:pt>
                  <c:pt idx="21">
                    <c:v>Ago</c:v>
                  </c:pt>
                  <c:pt idx="24">
                    <c:v>Set</c:v>
                  </c:pt>
                  <c:pt idx="27">
                    <c:v>Oct</c:v>
                  </c:pt>
                  <c:pt idx="30">
                    <c:v>Nov</c:v>
                  </c:pt>
                  <c:pt idx="33">
                    <c:v>Dic</c:v>
                  </c:pt>
                </c:lvl>
              </c:multiLvlStrCache>
            </c:multiLvlStrRef>
          </c:cat>
          <c:val>
            <c:numRef>
              <c:f>Alimentos!$D$634:$AM$634</c:f>
              <c:numCache>
                <c:formatCode>#,##0_);\(#,##0\)</c:formatCode>
                <c:ptCount val="36"/>
                <c:pt idx="0">
                  <c:v>0</c:v>
                </c:pt>
                <c:pt idx="3">
                  <c:v>0</c:v>
                </c:pt>
                <c:pt idx="6">
                  <c:v>0</c:v>
                </c:pt>
                <c:pt idx="9">
                  <c:v>0</c:v>
                </c:pt>
                <c:pt idx="12">
                  <c:v>0</c:v>
                </c:pt>
                <c:pt idx="15">
                  <c:v>0</c:v>
                </c:pt>
                <c:pt idx="18">
                  <c:v>0</c:v>
                </c:pt>
                <c:pt idx="21">
                  <c:v>0</c:v>
                </c:pt>
                <c:pt idx="24">
                  <c:v>0</c:v>
                </c:pt>
                <c:pt idx="27">
                  <c:v>0</c:v>
                </c:pt>
                <c:pt idx="30">
                  <c:v>0</c:v>
                </c:pt>
                <c:pt idx="33">
                  <c:v>0</c:v>
                </c:pt>
              </c:numCache>
            </c:numRef>
          </c:val>
          <c:extLst>
            <c:ext xmlns:c16="http://schemas.microsoft.com/office/drawing/2014/chart" uri="{C3380CC4-5D6E-409C-BE32-E72D297353CC}">
              <c16:uniqueId val="{00000001-EF36-48A3-B711-A8DA9DAE274F}"/>
            </c:ext>
          </c:extLst>
        </c:ser>
        <c:ser>
          <c:idx val="2"/>
          <c:order val="2"/>
          <c:tx>
            <c:strRef>
              <c:f>Alimentos!$B$635</c:f>
              <c:strCache>
                <c:ptCount val="1"/>
                <c:pt idx="0">
                  <c:v>Oferta de Cultivos de Reserva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Alimentos!$D$631:$AM$632</c:f>
              <c:multiLvlStrCache>
                <c:ptCount val="35"/>
                <c:lvl>
                  <c:pt idx="0">
                    <c:v>OFE</c:v>
                  </c:pt>
                  <c:pt idx="1">
                    <c:v>REQ</c:v>
                  </c:pt>
                  <c:pt idx="3">
                    <c:v>OFE</c:v>
                  </c:pt>
                  <c:pt idx="4">
                    <c:v>REQ</c:v>
                  </c:pt>
                  <c:pt idx="6">
                    <c:v>OFE</c:v>
                  </c:pt>
                  <c:pt idx="7">
                    <c:v>REQ</c:v>
                  </c:pt>
                  <c:pt idx="9">
                    <c:v>OFE</c:v>
                  </c:pt>
                  <c:pt idx="10">
                    <c:v>REQ</c:v>
                  </c:pt>
                  <c:pt idx="12">
                    <c:v>OFE</c:v>
                  </c:pt>
                  <c:pt idx="13">
                    <c:v>REQ</c:v>
                  </c:pt>
                  <c:pt idx="15">
                    <c:v>OFE</c:v>
                  </c:pt>
                  <c:pt idx="16">
                    <c:v>REQ</c:v>
                  </c:pt>
                  <c:pt idx="18">
                    <c:v>OFE</c:v>
                  </c:pt>
                  <c:pt idx="19">
                    <c:v>REQ</c:v>
                  </c:pt>
                  <c:pt idx="21">
                    <c:v>OFE</c:v>
                  </c:pt>
                  <c:pt idx="22">
                    <c:v>REQ</c:v>
                  </c:pt>
                  <c:pt idx="24">
                    <c:v>OFE</c:v>
                  </c:pt>
                  <c:pt idx="25">
                    <c:v>REQ</c:v>
                  </c:pt>
                  <c:pt idx="27">
                    <c:v>OFE</c:v>
                  </c:pt>
                  <c:pt idx="28">
                    <c:v>REQ</c:v>
                  </c:pt>
                  <c:pt idx="30">
                    <c:v>OFE</c:v>
                  </c:pt>
                  <c:pt idx="31">
                    <c:v>REQ</c:v>
                  </c:pt>
                  <c:pt idx="33">
                    <c:v>OFE</c:v>
                  </c:pt>
                  <c:pt idx="34">
                    <c:v>REQ</c:v>
                  </c:pt>
                </c:lvl>
                <c:lvl>
                  <c:pt idx="0">
                    <c:v>Ene</c:v>
                  </c:pt>
                  <c:pt idx="3">
                    <c:v>Feb</c:v>
                  </c:pt>
                  <c:pt idx="6">
                    <c:v>Mar</c:v>
                  </c:pt>
                  <c:pt idx="9">
                    <c:v>Abr</c:v>
                  </c:pt>
                  <c:pt idx="12">
                    <c:v>May</c:v>
                  </c:pt>
                  <c:pt idx="15">
                    <c:v>Jun</c:v>
                  </c:pt>
                  <c:pt idx="18">
                    <c:v>Jul</c:v>
                  </c:pt>
                  <c:pt idx="21">
                    <c:v>Ago</c:v>
                  </c:pt>
                  <c:pt idx="24">
                    <c:v>Set</c:v>
                  </c:pt>
                  <c:pt idx="27">
                    <c:v>Oct</c:v>
                  </c:pt>
                  <c:pt idx="30">
                    <c:v>Nov</c:v>
                  </c:pt>
                  <c:pt idx="33">
                    <c:v>Dic</c:v>
                  </c:pt>
                </c:lvl>
              </c:multiLvlStrCache>
            </c:multiLvlStrRef>
          </c:cat>
          <c:val>
            <c:numRef>
              <c:f>Alimentos!$D$635:$AM$635</c:f>
              <c:numCache>
                <c:formatCode>#,##0_);\(#,##0\)</c:formatCode>
                <c:ptCount val="36"/>
                <c:pt idx="0">
                  <c:v>0</c:v>
                </c:pt>
                <c:pt idx="3">
                  <c:v>0</c:v>
                </c:pt>
                <c:pt idx="6">
                  <c:v>0</c:v>
                </c:pt>
                <c:pt idx="9">
                  <c:v>0</c:v>
                </c:pt>
                <c:pt idx="12">
                  <c:v>0</c:v>
                </c:pt>
                <c:pt idx="15">
                  <c:v>0</c:v>
                </c:pt>
                <c:pt idx="18">
                  <c:v>0</c:v>
                </c:pt>
                <c:pt idx="21">
                  <c:v>0</c:v>
                </c:pt>
                <c:pt idx="24">
                  <c:v>0</c:v>
                </c:pt>
                <c:pt idx="27">
                  <c:v>0</c:v>
                </c:pt>
                <c:pt idx="30">
                  <c:v>0</c:v>
                </c:pt>
                <c:pt idx="33">
                  <c:v>0</c:v>
                </c:pt>
              </c:numCache>
            </c:numRef>
          </c:val>
          <c:extLst>
            <c:ext xmlns:c16="http://schemas.microsoft.com/office/drawing/2014/chart" uri="{C3380CC4-5D6E-409C-BE32-E72D297353CC}">
              <c16:uniqueId val="{00000002-EF36-48A3-B711-A8DA9DAE274F}"/>
            </c:ext>
          </c:extLst>
        </c:ser>
        <c:dLbls>
          <c:showLegendKey val="0"/>
          <c:showVal val="0"/>
          <c:showCatName val="0"/>
          <c:showSerName val="0"/>
          <c:showPercent val="0"/>
          <c:showBubbleSize val="0"/>
        </c:dLbls>
        <c:gapWidth val="24"/>
        <c:overlap val="100"/>
        <c:axId val="151693184"/>
        <c:axId val="151694720"/>
      </c:barChart>
      <c:catAx>
        <c:axId val="151693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51694720"/>
        <c:crosses val="autoZero"/>
        <c:auto val="1"/>
        <c:lblAlgn val="ctr"/>
        <c:lblOffset val="100"/>
        <c:noMultiLvlLbl val="0"/>
      </c:catAx>
      <c:valAx>
        <c:axId val="1516947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r>
                  <a:rPr lang="es-UY"/>
                  <a:t>Toneladas de MS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516931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307557213778566E-2"/>
          <c:y val="5.3474415965692162E-2"/>
          <c:w val="0.91878992420065086"/>
          <c:h val="0.56664915765513979"/>
        </c:manualLayout>
      </c:layout>
      <c:barChart>
        <c:barDir val="col"/>
        <c:grouping val="stacked"/>
        <c:varyColors val="0"/>
        <c:ser>
          <c:idx val="3"/>
          <c:order val="0"/>
          <c:tx>
            <c:strRef>
              <c:f>Alimentos!$B$627</c:f>
              <c:strCache>
                <c:ptCount val="1"/>
                <c:pt idx="0">
                  <c:v>Oferta. Pastoreo Directo </c:v>
                </c:pt>
              </c:strCache>
            </c:strRef>
          </c:tx>
          <c:spPr>
            <a:solidFill>
              <a:schemeClr val="accent3">
                <a:lumMod val="75000"/>
              </a:schemeClr>
            </a:solidFill>
            <a:ln>
              <a:noFill/>
            </a:ln>
            <a:effectLst/>
          </c:spPr>
          <c:invertIfNegative val="0"/>
          <c:cat>
            <c:multiLvlStrRef>
              <c:f>Alimentos!$D$622:$AM$623</c:f>
              <c:multiLvlStrCache>
                <c:ptCount val="35"/>
                <c:lvl>
                  <c:pt idx="0">
                    <c:v>Oferta</c:v>
                  </c:pt>
                  <c:pt idx="1">
                    <c:v>Consumo</c:v>
                  </c:pt>
                  <c:pt idx="3">
                    <c:v>Oferta</c:v>
                  </c:pt>
                  <c:pt idx="4">
                    <c:v>Consumo</c:v>
                  </c:pt>
                  <c:pt idx="6">
                    <c:v>Oferta</c:v>
                  </c:pt>
                  <c:pt idx="7">
                    <c:v>Consumo</c:v>
                  </c:pt>
                  <c:pt idx="9">
                    <c:v>Oferta</c:v>
                  </c:pt>
                  <c:pt idx="10">
                    <c:v>Consumo</c:v>
                  </c:pt>
                  <c:pt idx="12">
                    <c:v>Oferta</c:v>
                  </c:pt>
                  <c:pt idx="13">
                    <c:v>Consumo</c:v>
                  </c:pt>
                  <c:pt idx="15">
                    <c:v>Oferta</c:v>
                  </c:pt>
                  <c:pt idx="16">
                    <c:v>Consumo</c:v>
                  </c:pt>
                  <c:pt idx="18">
                    <c:v>Oferta</c:v>
                  </c:pt>
                  <c:pt idx="19">
                    <c:v>Consumo</c:v>
                  </c:pt>
                  <c:pt idx="21">
                    <c:v>Oferta</c:v>
                  </c:pt>
                  <c:pt idx="22">
                    <c:v>Consumo</c:v>
                  </c:pt>
                  <c:pt idx="24">
                    <c:v>Oferta</c:v>
                  </c:pt>
                  <c:pt idx="25">
                    <c:v>Consumo</c:v>
                  </c:pt>
                  <c:pt idx="27">
                    <c:v>Oferta</c:v>
                  </c:pt>
                  <c:pt idx="28">
                    <c:v>Consumo</c:v>
                  </c:pt>
                  <c:pt idx="30">
                    <c:v>Oferta</c:v>
                  </c:pt>
                  <c:pt idx="31">
                    <c:v>Consumo</c:v>
                  </c:pt>
                  <c:pt idx="33">
                    <c:v>Oferta</c:v>
                  </c:pt>
                  <c:pt idx="34">
                    <c:v>Consumo</c:v>
                  </c:pt>
                </c:lvl>
                <c:lvl>
                  <c:pt idx="0">
                    <c:v>Ene</c:v>
                  </c:pt>
                  <c:pt idx="3">
                    <c:v>Feb</c:v>
                  </c:pt>
                  <c:pt idx="6">
                    <c:v>Mar</c:v>
                  </c:pt>
                  <c:pt idx="9">
                    <c:v>Abr</c:v>
                  </c:pt>
                  <c:pt idx="12">
                    <c:v>May</c:v>
                  </c:pt>
                  <c:pt idx="15">
                    <c:v>Jun</c:v>
                  </c:pt>
                  <c:pt idx="18">
                    <c:v>Jul</c:v>
                  </c:pt>
                  <c:pt idx="21">
                    <c:v>Ago</c:v>
                  </c:pt>
                  <c:pt idx="24">
                    <c:v>Set</c:v>
                  </c:pt>
                  <c:pt idx="27">
                    <c:v>Oct</c:v>
                  </c:pt>
                  <c:pt idx="30">
                    <c:v>Nov</c:v>
                  </c:pt>
                  <c:pt idx="33">
                    <c:v>Dic</c:v>
                  </c:pt>
                </c:lvl>
              </c:multiLvlStrCache>
            </c:multiLvlStrRef>
          </c:cat>
          <c:val>
            <c:numRef>
              <c:f>Alimentos!$D$627:$AM$627</c:f>
              <c:numCache>
                <c:formatCode>#,##0.0;\-#,##0.0</c:formatCode>
                <c:ptCount val="36"/>
                <c:pt idx="0">
                  <c:v>0</c:v>
                </c:pt>
                <c:pt idx="3">
                  <c:v>0</c:v>
                </c:pt>
                <c:pt idx="6">
                  <c:v>0</c:v>
                </c:pt>
                <c:pt idx="9">
                  <c:v>0</c:v>
                </c:pt>
                <c:pt idx="12">
                  <c:v>0</c:v>
                </c:pt>
                <c:pt idx="15">
                  <c:v>0</c:v>
                </c:pt>
                <c:pt idx="18">
                  <c:v>0</c:v>
                </c:pt>
                <c:pt idx="21">
                  <c:v>0</c:v>
                </c:pt>
                <c:pt idx="24">
                  <c:v>0</c:v>
                </c:pt>
                <c:pt idx="27">
                  <c:v>0</c:v>
                </c:pt>
                <c:pt idx="30">
                  <c:v>0</c:v>
                </c:pt>
                <c:pt idx="33">
                  <c:v>0</c:v>
                </c:pt>
              </c:numCache>
            </c:numRef>
          </c:val>
          <c:extLst>
            <c:ext xmlns:c16="http://schemas.microsoft.com/office/drawing/2014/chart" uri="{C3380CC4-5D6E-409C-BE32-E72D297353CC}">
              <c16:uniqueId val="{00000003-4CCC-4E7E-9C25-22384F7AE3EE}"/>
            </c:ext>
          </c:extLst>
        </c:ser>
        <c:ser>
          <c:idx val="4"/>
          <c:order val="1"/>
          <c:tx>
            <c:strRef>
              <c:f>Alimentos!$B$628</c:f>
              <c:strCache>
                <c:ptCount val="1"/>
                <c:pt idx="0">
                  <c:v>Oferta. Reservada</c:v>
                </c:pt>
              </c:strCache>
            </c:strRef>
          </c:tx>
          <c:spPr>
            <a:solidFill>
              <a:schemeClr val="accent3">
                <a:lumMod val="60000"/>
                <a:lumOff val="40000"/>
              </a:schemeClr>
            </a:solidFill>
            <a:ln>
              <a:noFill/>
            </a:ln>
            <a:effectLst/>
          </c:spPr>
          <c:invertIfNegative val="0"/>
          <c:cat>
            <c:multiLvlStrRef>
              <c:f>Alimentos!$D$622:$AM$623</c:f>
              <c:multiLvlStrCache>
                <c:ptCount val="35"/>
                <c:lvl>
                  <c:pt idx="0">
                    <c:v>Oferta</c:v>
                  </c:pt>
                  <c:pt idx="1">
                    <c:v>Consumo</c:v>
                  </c:pt>
                  <c:pt idx="3">
                    <c:v>Oferta</c:v>
                  </c:pt>
                  <c:pt idx="4">
                    <c:v>Consumo</c:v>
                  </c:pt>
                  <c:pt idx="6">
                    <c:v>Oferta</c:v>
                  </c:pt>
                  <c:pt idx="7">
                    <c:v>Consumo</c:v>
                  </c:pt>
                  <c:pt idx="9">
                    <c:v>Oferta</c:v>
                  </c:pt>
                  <c:pt idx="10">
                    <c:v>Consumo</c:v>
                  </c:pt>
                  <c:pt idx="12">
                    <c:v>Oferta</c:v>
                  </c:pt>
                  <c:pt idx="13">
                    <c:v>Consumo</c:v>
                  </c:pt>
                  <c:pt idx="15">
                    <c:v>Oferta</c:v>
                  </c:pt>
                  <c:pt idx="16">
                    <c:v>Consumo</c:v>
                  </c:pt>
                  <c:pt idx="18">
                    <c:v>Oferta</c:v>
                  </c:pt>
                  <c:pt idx="19">
                    <c:v>Consumo</c:v>
                  </c:pt>
                  <c:pt idx="21">
                    <c:v>Oferta</c:v>
                  </c:pt>
                  <c:pt idx="22">
                    <c:v>Consumo</c:v>
                  </c:pt>
                  <c:pt idx="24">
                    <c:v>Oferta</c:v>
                  </c:pt>
                  <c:pt idx="25">
                    <c:v>Consumo</c:v>
                  </c:pt>
                  <c:pt idx="27">
                    <c:v>Oferta</c:v>
                  </c:pt>
                  <c:pt idx="28">
                    <c:v>Consumo</c:v>
                  </c:pt>
                  <c:pt idx="30">
                    <c:v>Oferta</c:v>
                  </c:pt>
                  <c:pt idx="31">
                    <c:v>Consumo</c:v>
                  </c:pt>
                  <c:pt idx="33">
                    <c:v>Oferta</c:v>
                  </c:pt>
                  <c:pt idx="34">
                    <c:v>Consumo</c:v>
                  </c:pt>
                </c:lvl>
                <c:lvl>
                  <c:pt idx="0">
                    <c:v>Ene</c:v>
                  </c:pt>
                  <c:pt idx="3">
                    <c:v>Feb</c:v>
                  </c:pt>
                  <c:pt idx="6">
                    <c:v>Mar</c:v>
                  </c:pt>
                  <c:pt idx="9">
                    <c:v>Abr</c:v>
                  </c:pt>
                  <c:pt idx="12">
                    <c:v>May</c:v>
                  </c:pt>
                  <c:pt idx="15">
                    <c:v>Jun</c:v>
                  </c:pt>
                  <c:pt idx="18">
                    <c:v>Jul</c:v>
                  </c:pt>
                  <c:pt idx="21">
                    <c:v>Ago</c:v>
                  </c:pt>
                  <c:pt idx="24">
                    <c:v>Set</c:v>
                  </c:pt>
                  <c:pt idx="27">
                    <c:v>Oct</c:v>
                  </c:pt>
                  <c:pt idx="30">
                    <c:v>Nov</c:v>
                  </c:pt>
                  <c:pt idx="33">
                    <c:v>Dic</c:v>
                  </c:pt>
                </c:lvl>
              </c:multiLvlStrCache>
            </c:multiLvlStrRef>
          </c:cat>
          <c:val>
            <c:numRef>
              <c:f>Alimentos!$D$628:$AM$628</c:f>
              <c:numCache>
                <c:formatCode>#,##0.0;\-#,##0.0</c:formatCode>
                <c:ptCount val="36"/>
                <c:pt idx="0">
                  <c:v>0</c:v>
                </c:pt>
                <c:pt idx="3">
                  <c:v>0</c:v>
                </c:pt>
                <c:pt idx="6">
                  <c:v>0</c:v>
                </c:pt>
                <c:pt idx="9">
                  <c:v>0</c:v>
                </c:pt>
                <c:pt idx="12">
                  <c:v>0</c:v>
                </c:pt>
                <c:pt idx="15">
                  <c:v>0</c:v>
                </c:pt>
                <c:pt idx="18">
                  <c:v>0</c:v>
                </c:pt>
                <c:pt idx="21">
                  <c:v>0</c:v>
                </c:pt>
                <c:pt idx="24">
                  <c:v>0</c:v>
                </c:pt>
                <c:pt idx="27">
                  <c:v>0</c:v>
                </c:pt>
                <c:pt idx="30">
                  <c:v>0</c:v>
                </c:pt>
                <c:pt idx="33">
                  <c:v>0</c:v>
                </c:pt>
              </c:numCache>
            </c:numRef>
          </c:val>
          <c:extLst>
            <c:ext xmlns:c16="http://schemas.microsoft.com/office/drawing/2014/chart" uri="{C3380CC4-5D6E-409C-BE32-E72D297353CC}">
              <c16:uniqueId val="{00000004-4CCC-4E7E-9C25-22384F7AE3EE}"/>
            </c:ext>
          </c:extLst>
        </c:ser>
        <c:ser>
          <c:idx val="0"/>
          <c:order val="2"/>
          <c:tx>
            <c:strRef>
              <c:f>Alimentos!$B$624</c:f>
              <c:strCache>
                <c:ptCount val="1"/>
                <c:pt idx="0">
                  <c:v>Consumo Forraje </c:v>
                </c:pt>
              </c:strCache>
            </c:strRef>
          </c:tx>
          <c:spPr>
            <a:solidFill>
              <a:schemeClr val="accent3">
                <a:lumMod val="75000"/>
              </a:schemeClr>
            </a:solidFill>
            <a:ln>
              <a:noFill/>
            </a:ln>
            <a:effectLst/>
          </c:spPr>
          <c:invertIfNegative val="0"/>
          <c:cat>
            <c:multiLvlStrRef>
              <c:f>Alimentos!$D$622:$AM$623</c:f>
              <c:multiLvlStrCache>
                <c:ptCount val="35"/>
                <c:lvl>
                  <c:pt idx="0">
                    <c:v>Oferta</c:v>
                  </c:pt>
                  <c:pt idx="1">
                    <c:v>Consumo</c:v>
                  </c:pt>
                  <c:pt idx="3">
                    <c:v>Oferta</c:v>
                  </c:pt>
                  <c:pt idx="4">
                    <c:v>Consumo</c:v>
                  </c:pt>
                  <c:pt idx="6">
                    <c:v>Oferta</c:v>
                  </c:pt>
                  <c:pt idx="7">
                    <c:v>Consumo</c:v>
                  </c:pt>
                  <c:pt idx="9">
                    <c:v>Oferta</c:v>
                  </c:pt>
                  <c:pt idx="10">
                    <c:v>Consumo</c:v>
                  </c:pt>
                  <c:pt idx="12">
                    <c:v>Oferta</c:v>
                  </c:pt>
                  <c:pt idx="13">
                    <c:v>Consumo</c:v>
                  </c:pt>
                  <c:pt idx="15">
                    <c:v>Oferta</c:v>
                  </c:pt>
                  <c:pt idx="16">
                    <c:v>Consumo</c:v>
                  </c:pt>
                  <c:pt idx="18">
                    <c:v>Oferta</c:v>
                  </c:pt>
                  <c:pt idx="19">
                    <c:v>Consumo</c:v>
                  </c:pt>
                  <c:pt idx="21">
                    <c:v>Oferta</c:v>
                  </c:pt>
                  <c:pt idx="22">
                    <c:v>Consumo</c:v>
                  </c:pt>
                  <c:pt idx="24">
                    <c:v>Oferta</c:v>
                  </c:pt>
                  <c:pt idx="25">
                    <c:v>Consumo</c:v>
                  </c:pt>
                  <c:pt idx="27">
                    <c:v>Oferta</c:v>
                  </c:pt>
                  <c:pt idx="28">
                    <c:v>Consumo</c:v>
                  </c:pt>
                  <c:pt idx="30">
                    <c:v>Oferta</c:v>
                  </c:pt>
                  <c:pt idx="31">
                    <c:v>Consumo</c:v>
                  </c:pt>
                  <c:pt idx="33">
                    <c:v>Oferta</c:v>
                  </c:pt>
                  <c:pt idx="34">
                    <c:v>Consumo</c:v>
                  </c:pt>
                </c:lvl>
                <c:lvl>
                  <c:pt idx="0">
                    <c:v>Ene</c:v>
                  </c:pt>
                  <c:pt idx="3">
                    <c:v>Feb</c:v>
                  </c:pt>
                  <c:pt idx="6">
                    <c:v>Mar</c:v>
                  </c:pt>
                  <c:pt idx="9">
                    <c:v>Abr</c:v>
                  </c:pt>
                  <c:pt idx="12">
                    <c:v>May</c:v>
                  </c:pt>
                  <c:pt idx="15">
                    <c:v>Jun</c:v>
                  </c:pt>
                  <c:pt idx="18">
                    <c:v>Jul</c:v>
                  </c:pt>
                  <c:pt idx="21">
                    <c:v>Ago</c:v>
                  </c:pt>
                  <c:pt idx="24">
                    <c:v>Set</c:v>
                  </c:pt>
                  <c:pt idx="27">
                    <c:v>Oct</c:v>
                  </c:pt>
                  <c:pt idx="30">
                    <c:v>Nov</c:v>
                  </c:pt>
                  <c:pt idx="33">
                    <c:v>Dic</c:v>
                  </c:pt>
                </c:lvl>
              </c:multiLvlStrCache>
            </c:multiLvlStrRef>
          </c:cat>
          <c:val>
            <c:numRef>
              <c:f>Alimentos!$D$624:$AM$624</c:f>
              <c:numCache>
                <c:formatCode>#,##0.0;\-#,##0.0</c:formatCode>
                <c:ptCount val="36"/>
                <c:pt idx="1">
                  <c:v>0</c:v>
                </c:pt>
                <c:pt idx="4">
                  <c:v>0</c:v>
                </c:pt>
                <c:pt idx="7">
                  <c:v>0</c:v>
                </c:pt>
                <c:pt idx="10">
                  <c:v>0</c:v>
                </c:pt>
                <c:pt idx="13">
                  <c:v>0</c:v>
                </c:pt>
                <c:pt idx="16">
                  <c:v>0</c:v>
                </c:pt>
                <c:pt idx="19">
                  <c:v>0</c:v>
                </c:pt>
                <c:pt idx="22">
                  <c:v>0</c:v>
                </c:pt>
                <c:pt idx="25">
                  <c:v>0</c:v>
                </c:pt>
                <c:pt idx="28">
                  <c:v>0</c:v>
                </c:pt>
                <c:pt idx="31">
                  <c:v>0</c:v>
                </c:pt>
                <c:pt idx="34">
                  <c:v>0</c:v>
                </c:pt>
              </c:numCache>
            </c:numRef>
          </c:val>
          <c:extLst>
            <c:ext xmlns:c16="http://schemas.microsoft.com/office/drawing/2014/chart" uri="{C3380CC4-5D6E-409C-BE32-E72D297353CC}">
              <c16:uniqueId val="{00000000-4CCC-4E7E-9C25-22384F7AE3EE}"/>
            </c:ext>
          </c:extLst>
        </c:ser>
        <c:ser>
          <c:idx val="1"/>
          <c:order val="3"/>
          <c:tx>
            <c:strRef>
              <c:f>Alimentos!$B$625</c:f>
              <c:strCache>
                <c:ptCount val="1"/>
                <c:pt idx="0">
                  <c:v>Consumo Reserva</c:v>
                </c:pt>
              </c:strCache>
            </c:strRef>
          </c:tx>
          <c:spPr>
            <a:solidFill>
              <a:schemeClr val="accent2">
                <a:lumMod val="40000"/>
                <a:lumOff val="60000"/>
              </a:schemeClr>
            </a:solidFill>
            <a:ln>
              <a:noFill/>
            </a:ln>
            <a:effectLst/>
          </c:spPr>
          <c:invertIfNegative val="0"/>
          <c:cat>
            <c:multiLvlStrRef>
              <c:f>Alimentos!$D$622:$AM$623</c:f>
              <c:multiLvlStrCache>
                <c:ptCount val="35"/>
                <c:lvl>
                  <c:pt idx="0">
                    <c:v>Oferta</c:v>
                  </c:pt>
                  <c:pt idx="1">
                    <c:v>Consumo</c:v>
                  </c:pt>
                  <c:pt idx="3">
                    <c:v>Oferta</c:v>
                  </c:pt>
                  <c:pt idx="4">
                    <c:v>Consumo</c:v>
                  </c:pt>
                  <c:pt idx="6">
                    <c:v>Oferta</c:v>
                  </c:pt>
                  <c:pt idx="7">
                    <c:v>Consumo</c:v>
                  </c:pt>
                  <c:pt idx="9">
                    <c:v>Oferta</c:v>
                  </c:pt>
                  <c:pt idx="10">
                    <c:v>Consumo</c:v>
                  </c:pt>
                  <c:pt idx="12">
                    <c:v>Oferta</c:v>
                  </c:pt>
                  <c:pt idx="13">
                    <c:v>Consumo</c:v>
                  </c:pt>
                  <c:pt idx="15">
                    <c:v>Oferta</c:v>
                  </c:pt>
                  <c:pt idx="16">
                    <c:v>Consumo</c:v>
                  </c:pt>
                  <c:pt idx="18">
                    <c:v>Oferta</c:v>
                  </c:pt>
                  <c:pt idx="19">
                    <c:v>Consumo</c:v>
                  </c:pt>
                  <c:pt idx="21">
                    <c:v>Oferta</c:v>
                  </c:pt>
                  <c:pt idx="22">
                    <c:v>Consumo</c:v>
                  </c:pt>
                  <c:pt idx="24">
                    <c:v>Oferta</c:v>
                  </c:pt>
                  <c:pt idx="25">
                    <c:v>Consumo</c:v>
                  </c:pt>
                  <c:pt idx="27">
                    <c:v>Oferta</c:v>
                  </c:pt>
                  <c:pt idx="28">
                    <c:v>Consumo</c:v>
                  </c:pt>
                  <c:pt idx="30">
                    <c:v>Oferta</c:v>
                  </c:pt>
                  <c:pt idx="31">
                    <c:v>Consumo</c:v>
                  </c:pt>
                  <c:pt idx="33">
                    <c:v>Oferta</c:v>
                  </c:pt>
                  <c:pt idx="34">
                    <c:v>Consumo</c:v>
                  </c:pt>
                </c:lvl>
                <c:lvl>
                  <c:pt idx="0">
                    <c:v>Ene</c:v>
                  </c:pt>
                  <c:pt idx="3">
                    <c:v>Feb</c:v>
                  </c:pt>
                  <c:pt idx="6">
                    <c:v>Mar</c:v>
                  </c:pt>
                  <c:pt idx="9">
                    <c:v>Abr</c:v>
                  </c:pt>
                  <c:pt idx="12">
                    <c:v>May</c:v>
                  </c:pt>
                  <c:pt idx="15">
                    <c:v>Jun</c:v>
                  </c:pt>
                  <c:pt idx="18">
                    <c:v>Jul</c:v>
                  </c:pt>
                  <c:pt idx="21">
                    <c:v>Ago</c:v>
                  </c:pt>
                  <c:pt idx="24">
                    <c:v>Set</c:v>
                  </c:pt>
                  <c:pt idx="27">
                    <c:v>Oct</c:v>
                  </c:pt>
                  <c:pt idx="30">
                    <c:v>Nov</c:v>
                  </c:pt>
                  <c:pt idx="33">
                    <c:v>Dic</c:v>
                  </c:pt>
                </c:lvl>
              </c:multiLvlStrCache>
            </c:multiLvlStrRef>
          </c:cat>
          <c:val>
            <c:numRef>
              <c:f>Alimentos!$D$625:$AM$625</c:f>
              <c:numCache>
                <c:formatCode>#,##0.0;\-#,##0.0</c:formatCode>
                <c:ptCount val="36"/>
                <c:pt idx="1">
                  <c:v>0</c:v>
                </c:pt>
                <c:pt idx="4">
                  <c:v>0</c:v>
                </c:pt>
                <c:pt idx="7">
                  <c:v>0</c:v>
                </c:pt>
                <c:pt idx="10">
                  <c:v>0</c:v>
                </c:pt>
                <c:pt idx="13">
                  <c:v>0</c:v>
                </c:pt>
                <c:pt idx="16">
                  <c:v>0</c:v>
                </c:pt>
                <c:pt idx="19">
                  <c:v>0</c:v>
                </c:pt>
                <c:pt idx="22">
                  <c:v>0</c:v>
                </c:pt>
                <c:pt idx="25">
                  <c:v>0</c:v>
                </c:pt>
                <c:pt idx="28">
                  <c:v>0</c:v>
                </c:pt>
                <c:pt idx="31">
                  <c:v>0</c:v>
                </c:pt>
                <c:pt idx="34">
                  <c:v>0</c:v>
                </c:pt>
              </c:numCache>
            </c:numRef>
          </c:val>
          <c:extLst>
            <c:ext xmlns:c16="http://schemas.microsoft.com/office/drawing/2014/chart" uri="{C3380CC4-5D6E-409C-BE32-E72D297353CC}">
              <c16:uniqueId val="{00000001-4CCC-4E7E-9C25-22384F7AE3EE}"/>
            </c:ext>
          </c:extLst>
        </c:ser>
        <c:ser>
          <c:idx val="2"/>
          <c:order val="4"/>
          <c:tx>
            <c:strRef>
              <c:f>Alimentos!$B$626</c:f>
              <c:strCache>
                <c:ptCount val="1"/>
                <c:pt idx="0">
                  <c:v>Consumo Concentrado </c:v>
                </c:pt>
              </c:strCache>
            </c:strRef>
          </c:tx>
          <c:spPr>
            <a:solidFill>
              <a:schemeClr val="accent2"/>
            </a:solidFill>
            <a:ln>
              <a:noFill/>
            </a:ln>
            <a:effectLst/>
          </c:spPr>
          <c:invertIfNegative val="0"/>
          <c:cat>
            <c:multiLvlStrRef>
              <c:f>Alimentos!$D$622:$AM$623</c:f>
              <c:multiLvlStrCache>
                <c:ptCount val="35"/>
                <c:lvl>
                  <c:pt idx="0">
                    <c:v>Oferta</c:v>
                  </c:pt>
                  <c:pt idx="1">
                    <c:v>Consumo</c:v>
                  </c:pt>
                  <c:pt idx="3">
                    <c:v>Oferta</c:v>
                  </c:pt>
                  <c:pt idx="4">
                    <c:v>Consumo</c:v>
                  </c:pt>
                  <c:pt idx="6">
                    <c:v>Oferta</c:v>
                  </c:pt>
                  <c:pt idx="7">
                    <c:v>Consumo</c:v>
                  </c:pt>
                  <c:pt idx="9">
                    <c:v>Oferta</c:v>
                  </c:pt>
                  <c:pt idx="10">
                    <c:v>Consumo</c:v>
                  </c:pt>
                  <c:pt idx="12">
                    <c:v>Oferta</c:v>
                  </c:pt>
                  <c:pt idx="13">
                    <c:v>Consumo</c:v>
                  </c:pt>
                  <c:pt idx="15">
                    <c:v>Oferta</c:v>
                  </c:pt>
                  <c:pt idx="16">
                    <c:v>Consumo</c:v>
                  </c:pt>
                  <c:pt idx="18">
                    <c:v>Oferta</c:v>
                  </c:pt>
                  <c:pt idx="19">
                    <c:v>Consumo</c:v>
                  </c:pt>
                  <c:pt idx="21">
                    <c:v>Oferta</c:v>
                  </c:pt>
                  <c:pt idx="22">
                    <c:v>Consumo</c:v>
                  </c:pt>
                  <c:pt idx="24">
                    <c:v>Oferta</c:v>
                  </c:pt>
                  <c:pt idx="25">
                    <c:v>Consumo</c:v>
                  </c:pt>
                  <c:pt idx="27">
                    <c:v>Oferta</c:v>
                  </c:pt>
                  <c:pt idx="28">
                    <c:v>Consumo</c:v>
                  </c:pt>
                  <c:pt idx="30">
                    <c:v>Oferta</c:v>
                  </c:pt>
                  <c:pt idx="31">
                    <c:v>Consumo</c:v>
                  </c:pt>
                  <c:pt idx="33">
                    <c:v>Oferta</c:v>
                  </c:pt>
                  <c:pt idx="34">
                    <c:v>Consumo</c:v>
                  </c:pt>
                </c:lvl>
                <c:lvl>
                  <c:pt idx="0">
                    <c:v>Ene</c:v>
                  </c:pt>
                  <c:pt idx="3">
                    <c:v>Feb</c:v>
                  </c:pt>
                  <c:pt idx="6">
                    <c:v>Mar</c:v>
                  </c:pt>
                  <c:pt idx="9">
                    <c:v>Abr</c:v>
                  </c:pt>
                  <c:pt idx="12">
                    <c:v>May</c:v>
                  </c:pt>
                  <c:pt idx="15">
                    <c:v>Jun</c:v>
                  </c:pt>
                  <c:pt idx="18">
                    <c:v>Jul</c:v>
                  </c:pt>
                  <c:pt idx="21">
                    <c:v>Ago</c:v>
                  </c:pt>
                  <c:pt idx="24">
                    <c:v>Set</c:v>
                  </c:pt>
                  <c:pt idx="27">
                    <c:v>Oct</c:v>
                  </c:pt>
                  <c:pt idx="30">
                    <c:v>Nov</c:v>
                  </c:pt>
                  <c:pt idx="33">
                    <c:v>Dic</c:v>
                  </c:pt>
                </c:lvl>
              </c:multiLvlStrCache>
            </c:multiLvlStrRef>
          </c:cat>
          <c:val>
            <c:numRef>
              <c:f>Alimentos!$D$626:$AM$626</c:f>
              <c:numCache>
                <c:formatCode>#,##0.0;\-#,##0.0</c:formatCode>
                <c:ptCount val="36"/>
                <c:pt idx="1">
                  <c:v>0</c:v>
                </c:pt>
                <c:pt idx="4">
                  <c:v>0</c:v>
                </c:pt>
                <c:pt idx="7">
                  <c:v>0</c:v>
                </c:pt>
                <c:pt idx="10">
                  <c:v>0</c:v>
                </c:pt>
                <c:pt idx="13">
                  <c:v>0</c:v>
                </c:pt>
                <c:pt idx="16">
                  <c:v>0</c:v>
                </c:pt>
                <c:pt idx="19">
                  <c:v>0</c:v>
                </c:pt>
                <c:pt idx="22">
                  <c:v>0</c:v>
                </c:pt>
                <c:pt idx="25">
                  <c:v>0</c:v>
                </c:pt>
                <c:pt idx="28">
                  <c:v>0</c:v>
                </c:pt>
                <c:pt idx="31">
                  <c:v>0</c:v>
                </c:pt>
                <c:pt idx="34">
                  <c:v>0</c:v>
                </c:pt>
              </c:numCache>
            </c:numRef>
          </c:val>
          <c:extLst>
            <c:ext xmlns:c16="http://schemas.microsoft.com/office/drawing/2014/chart" uri="{C3380CC4-5D6E-409C-BE32-E72D297353CC}">
              <c16:uniqueId val="{00000002-4CCC-4E7E-9C25-22384F7AE3EE}"/>
            </c:ext>
          </c:extLst>
        </c:ser>
        <c:dLbls>
          <c:showLegendKey val="0"/>
          <c:showVal val="0"/>
          <c:showCatName val="0"/>
          <c:showSerName val="0"/>
          <c:showPercent val="0"/>
          <c:showBubbleSize val="0"/>
        </c:dLbls>
        <c:gapWidth val="21"/>
        <c:overlap val="100"/>
        <c:axId val="151747584"/>
        <c:axId val="151765760"/>
      </c:barChart>
      <c:catAx>
        <c:axId val="151747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1765760"/>
        <c:crosses val="autoZero"/>
        <c:auto val="1"/>
        <c:lblAlgn val="ctr"/>
        <c:lblOffset val="100"/>
        <c:noMultiLvlLbl val="0"/>
      </c:catAx>
      <c:valAx>
        <c:axId val="151765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UY"/>
                  <a:t>Toneladas de MS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51747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1</xdr:col>
      <xdr:colOff>831273</xdr:colOff>
      <xdr:row>0</xdr:row>
      <xdr:rowOff>0</xdr:rowOff>
    </xdr:from>
    <xdr:to>
      <xdr:col>16</xdr:col>
      <xdr:colOff>441628</xdr:colOff>
      <xdr:row>11</xdr:row>
      <xdr:rowOff>40320</xdr:rowOff>
    </xdr:to>
    <xdr:pic>
      <xdr:nvPicPr>
        <xdr:cNvPr id="4"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9091" y="0"/>
          <a:ext cx="11638872" cy="2052000"/>
        </a:xfrm>
        <a:prstGeom prst="rect">
          <a:avLst/>
        </a:prstGeom>
        <a:noFill/>
        <a:ln>
          <a:noFill/>
        </a:ln>
      </xdr:spPr>
    </xdr:pic>
    <xdr:clientData/>
  </xdr:twoCellAnchor>
  <xdr:twoCellAnchor editAs="oneCell">
    <xdr:from>
      <xdr:col>4</xdr:col>
      <xdr:colOff>135084</xdr:colOff>
      <xdr:row>8</xdr:row>
      <xdr:rowOff>61654</xdr:rowOff>
    </xdr:from>
    <xdr:to>
      <xdr:col>6</xdr:col>
      <xdr:colOff>469964</xdr:colOff>
      <xdr:row>10</xdr:row>
      <xdr:rowOff>55894</xdr:rowOff>
    </xdr:to>
    <xdr:pic>
      <xdr:nvPicPr>
        <xdr:cNvPr id="3" name="Imagen 2"/>
        <xdr:cNvPicPr>
          <a:picLocks noChangeAspect="1"/>
        </xdr:cNvPicPr>
      </xdr:nvPicPr>
      <xdr:blipFill>
        <a:blip xmlns:r="http://schemas.openxmlformats.org/officeDocument/2006/relationships" r:embed="rId2"/>
        <a:stretch>
          <a:fillRect/>
        </a:stretch>
      </xdr:blipFill>
      <xdr:spPr>
        <a:xfrm>
          <a:off x="3692931" y="1524694"/>
          <a:ext cx="1781295" cy="360000"/>
        </a:xfrm>
        <a:prstGeom prst="rect">
          <a:avLst/>
        </a:prstGeom>
      </xdr:spPr>
    </xdr:pic>
    <xdr:clientData/>
  </xdr:twoCellAnchor>
  <xdr:twoCellAnchor editAs="oneCell">
    <xdr:from>
      <xdr:col>1</xdr:col>
      <xdr:colOff>567635</xdr:colOff>
      <xdr:row>89</xdr:row>
      <xdr:rowOff>169815</xdr:rowOff>
    </xdr:from>
    <xdr:to>
      <xdr:col>17</xdr:col>
      <xdr:colOff>660181</xdr:colOff>
      <xdr:row>99</xdr:row>
      <xdr:rowOff>3767</xdr:rowOff>
    </xdr:to>
    <xdr:pic>
      <xdr:nvPicPr>
        <xdr:cNvPr id="5" name="Imagen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5453" y="8332913"/>
          <a:ext cx="12844270" cy="1662752"/>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15240</xdr:colOff>
      <xdr:row>49</xdr:row>
      <xdr:rowOff>17145</xdr:rowOff>
    </xdr:from>
    <xdr:to>
      <xdr:col>4</xdr:col>
      <xdr:colOff>7620</xdr:colOff>
      <xdr:row>60</xdr:row>
      <xdr:rowOff>38100</xdr:rowOff>
    </xdr:to>
    <xdr:graphicFrame macro="">
      <xdr:nvGraphicFramePr>
        <xdr:cNvPr id="348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22860</xdr:colOff>
      <xdr:row>49</xdr:row>
      <xdr:rowOff>15240</xdr:rowOff>
    </xdr:from>
    <xdr:to>
      <xdr:col>9</xdr:col>
      <xdr:colOff>30481</xdr:colOff>
      <xdr:row>60</xdr:row>
      <xdr:rowOff>125730</xdr:rowOff>
    </xdr:to>
    <xdr:graphicFrame macro="">
      <xdr:nvGraphicFramePr>
        <xdr:cNvPr id="3481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464820</xdr:colOff>
      <xdr:row>48</xdr:row>
      <xdr:rowOff>0</xdr:rowOff>
    </xdr:from>
    <xdr:to>
      <xdr:col>8</xdr:col>
      <xdr:colOff>152400</xdr:colOff>
      <xdr:row>60</xdr:row>
      <xdr:rowOff>60960</xdr:rowOff>
    </xdr:to>
    <xdr:sp macro="" textlink="">
      <xdr:nvSpPr>
        <xdr:cNvPr id="2" name="Rectángulo 1"/>
        <xdr:cNvSpPr/>
      </xdr:nvSpPr>
      <xdr:spPr bwMode="auto">
        <a:xfrm>
          <a:off x="3962400" y="8610600"/>
          <a:ext cx="3505200" cy="2164080"/>
        </a:xfrm>
        <a:prstGeom prst="rect">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twoCellAnchor>
    <xdr:from>
      <xdr:col>0</xdr:col>
      <xdr:colOff>0</xdr:colOff>
      <xdr:row>48</xdr:row>
      <xdr:rowOff>0</xdr:rowOff>
    </xdr:from>
    <xdr:to>
      <xdr:col>4</xdr:col>
      <xdr:colOff>0</xdr:colOff>
      <xdr:row>60</xdr:row>
      <xdr:rowOff>60960</xdr:rowOff>
    </xdr:to>
    <xdr:sp macro="" textlink="">
      <xdr:nvSpPr>
        <xdr:cNvPr id="5" name="Rectángulo 4"/>
        <xdr:cNvSpPr/>
      </xdr:nvSpPr>
      <xdr:spPr bwMode="auto">
        <a:xfrm>
          <a:off x="0" y="8503920"/>
          <a:ext cx="3497580" cy="2164080"/>
        </a:xfrm>
        <a:prstGeom prst="rect">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348343</xdr:colOff>
      <xdr:row>508</xdr:row>
      <xdr:rowOff>54429</xdr:rowOff>
    </xdr:from>
    <xdr:to>
      <xdr:col>31</xdr:col>
      <xdr:colOff>555171</xdr:colOff>
      <xdr:row>508</xdr:row>
      <xdr:rowOff>97972</xdr:rowOff>
    </xdr:to>
    <xdr:cxnSp macro="">
      <xdr:nvCxnSpPr>
        <xdr:cNvPr id="3" name="Conector recto de flecha 2"/>
        <xdr:cNvCxnSpPr/>
      </xdr:nvCxnSpPr>
      <xdr:spPr bwMode="auto">
        <a:xfrm>
          <a:off x="2862943" y="93127286"/>
          <a:ext cx="22195971" cy="43543"/>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0</xdr:col>
      <xdr:colOff>0</xdr:colOff>
      <xdr:row>105</xdr:row>
      <xdr:rowOff>0</xdr:rowOff>
    </xdr:from>
    <xdr:to>
      <xdr:col>8</xdr:col>
      <xdr:colOff>35859</xdr:colOff>
      <xdr:row>155</xdr:row>
      <xdr:rowOff>188257</xdr:rowOff>
    </xdr:to>
    <xdr:sp macro="" textlink="">
      <xdr:nvSpPr>
        <xdr:cNvPr id="4" name="Rectángulo 3"/>
        <xdr:cNvSpPr/>
      </xdr:nvSpPr>
      <xdr:spPr bwMode="auto">
        <a:xfrm>
          <a:off x="0" y="19767176"/>
          <a:ext cx="9574306" cy="9601199"/>
        </a:xfrm>
        <a:prstGeom prst="rect">
          <a:avLst/>
        </a:prstGeom>
        <a:no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no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129540</xdr:colOff>
      <xdr:row>52</xdr:row>
      <xdr:rowOff>30480</xdr:rowOff>
    </xdr:from>
    <xdr:to>
      <xdr:col>26</xdr:col>
      <xdr:colOff>563880</xdr:colOff>
      <xdr:row>53</xdr:row>
      <xdr:rowOff>60960</xdr:rowOff>
    </xdr:to>
    <xdr:sp macro="" textlink="">
      <xdr:nvSpPr>
        <xdr:cNvPr id="3" name="Flecha derecha 2"/>
        <xdr:cNvSpPr/>
      </xdr:nvSpPr>
      <xdr:spPr bwMode="auto">
        <a:xfrm>
          <a:off x="3208020" y="9471660"/>
          <a:ext cx="12534900" cy="205740"/>
        </a:xfrm>
        <a:prstGeom prst="rightArrow">
          <a:avLst/>
        </a:prstGeom>
        <a:solidFill>
          <a:schemeClr val="accent5">
            <a:lumMod val="20000"/>
            <a:lumOff val="8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twoCellAnchor>
    <xdr:from>
      <xdr:col>4</xdr:col>
      <xdr:colOff>106680</xdr:colOff>
      <xdr:row>59</xdr:row>
      <xdr:rowOff>7620</xdr:rowOff>
    </xdr:from>
    <xdr:to>
      <xdr:col>24</xdr:col>
      <xdr:colOff>586740</xdr:colOff>
      <xdr:row>60</xdr:row>
      <xdr:rowOff>22860</xdr:rowOff>
    </xdr:to>
    <xdr:sp macro="" textlink="">
      <xdr:nvSpPr>
        <xdr:cNvPr id="4" name="Flecha derecha 3"/>
        <xdr:cNvSpPr/>
      </xdr:nvSpPr>
      <xdr:spPr bwMode="auto">
        <a:xfrm>
          <a:off x="3185160" y="10675620"/>
          <a:ext cx="11239500" cy="190500"/>
        </a:xfrm>
        <a:prstGeom prst="rightArrow">
          <a:avLst/>
        </a:prstGeom>
        <a:solidFill>
          <a:schemeClr val="accent5">
            <a:lumMod val="20000"/>
            <a:lumOff val="8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1562100</xdr:colOff>
      <xdr:row>40</xdr:row>
      <xdr:rowOff>38100</xdr:rowOff>
    </xdr:from>
    <xdr:to>
      <xdr:col>7</xdr:col>
      <xdr:colOff>2190750</xdr:colOff>
      <xdr:row>40</xdr:row>
      <xdr:rowOff>123825</xdr:rowOff>
    </xdr:to>
    <xdr:sp macro="" textlink="">
      <xdr:nvSpPr>
        <xdr:cNvPr id="2" name="Flecha derecha 1"/>
        <xdr:cNvSpPr/>
      </xdr:nvSpPr>
      <xdr:spPr bwMode="auto">
        <a:xfrm>
          <a:off x="6734175" y="1247775"/>
          <a:ext cx="0" cy="85725"/>
        </a:xfrm>
        <a:prstGeom prst="rightArrow">
          <a:avLst/>
        </a:prstGeom>
        <a:solidFill>
          <a:srgbClr val="FF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twoCellAnchor>
    <xdr:from>
      <xdr:col>8</xdr:col>
      <xdr:colOff>3266</xdr:colOff>
      <xdr:row>5</xdr:row>
      <xdr:rowOff>38100</xdr:rowOff>
    </xdr:from>
    <xdr:to>
      <xdr:col>8</xdr:col>
      <xdr:colOff>3266</xdr:colOff>
      <xdr:row>5</xdr:row>
      <xdr:rowOff>123825</xdr:rowOff>
    </xdr:to>
    <xdr:sp macro="" textlink="">
      <xdr:nvSpPr>
        <xdr:cNvPr id="6" name="Flecha derecha 5"/>
        <xdr:cNvSpPr/>
      </xdr:nvSpPr>
      <xdr:spPr bwMode="auto">
        <a:xfrm>
          <a:off x="6131923" y="865414"/>
          <a:ext cx="0" cy="85725"/>
        </a:xfrm>
        <a:prstGeom prst="rightArrow">
          <a:avLst/>
        </a:prstGeom>
        <a:solidFill>
          <a:srgbClr val="FF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twoCellAnchor>
    <xdr:from>
      <xdr:col>31</xdr:col>
      <xdr:colOff>3266</xdr:colOff>
      <xdr:row>5</xdr:row>
      <xdr:rowOff>38100</xdr:rowOff>
    </xdr:from>
    <xdr:to>
      <xdr:col>31</xdr:col>
      <xdr:colOff>3266</xdr:colOff>
      <xdr:row>5</xdr:row>
      <xdr:rowOff>123825</xdr:rowOff>
    </xdr:to>
    <xdr:sp macro="" textlink="">
      <xdr:nvSpPr>
        <xdr:cNvPr id="7" name="Flecha derecha 6"/>
        <xdr:cNvSpPr/>
      </xdr:nvSpPr>
      <xdr:spPr bwMode="auto">
        <a:xfrm>
          <a:off x="6687095" y="865414"/>
          <a:ext cx="0" cy="85725"/>
        </a:xfrm>
        <a:prstGeom prst="rightArrow">
          <a:avLst/>
        </a:prstGeom>
        <a:solidFill>
          <a:srgbClr val="FF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twoCellAnchor>
    <xdr:from>
      <xdr:col>32</xdr:col>
      <xdr:colOff>3266</xdr:colOff>
      <xdr:row>5</xdr:row>
      <xdr:rowOff>38100</xdr:rowOff>
    </xdr:from>
    <xdr:to>
      <xdr:col>32</xdr:col>
      <xdr:colOff>3266</xdr:colOff>
      <xdr:row>5</xdr:row>
      <xdr:rowOff>123825</xdr:rowOff>
    </xdr:to>
    <xdr:sp macro="" textlink="">
      <xdr:nvSpPr>
        <xdr:cNvPr id="8" name="Flecha derecha 7"/>
        <xdr:cNvSpPr/>
      </xdr:nvSpPr>
      <xdr:spPr bwMode="auto">
        <a:xfrm>
          <a:off x="20794980" y="865414"/>
          <a:ext cx="0" cy="85725"/>
        </a:xfrm>
        <a:prstGeom prst="rightArrow">
          <a:avLst/>
        </a:prstGeom>
        <a:solidFill>
          <a:srgbClr val="FF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twoCellAnchor>
    <xdr:from>
      <xdr:col>33</xdr:col>
      <xdr:colOff>3266</xdr:colOff>
      <xdr:row>5</xdr:row>
      <xdr:rowOff>38100</xdr:rowOff>
    </xdr:from>
    <xdr:to>
      <xdr:col>33</xdr:col>
      <xdr:colOff>3266</xdr:colOff>
      <xdr:row>5</xdr:row>
      <xdr:rowOff>123825</xdr:rowOff>
    </xdr:to>
    <xdr:sp macro="" textlink="">
      <xdr:nvSpPr>
        <xdr:cNvPr id="9" name="Flecha derecha 8"/>
        <xdr:cNvSpPr/>
      </xdr:nvSpPr>
      <xdr:spPr bwMode="auto">
        <a:xfrm>
          <a:off x="20794980" y="865414"/>
          <a:ext cx="0" cy="85725"/>
        </a:xfrm>
        <a:prstGeom prst="rightArrow">
          <a:avLst/>
        </a:prstGeom>
        <a:solidFill>
          <a:srgbClr val="FF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twoCellAnchor>
    <xdr:from>
      <xdr:col>34</xdr:col>
      <xdr:colOff>3266</xdr:colOff>
      <xdr:row>5</xdr:row>
      <xdr:rowOff>38100</xdr:rowOff>
    </xdr:from>
    <xdr:to>
      <xdr:col>34</xdr:col>
      <xdr:colOff>3266</xdr:colOff>
      <xdr:row>5</xdr:row>
      <xdr:rowOff>123825</xdr:rowOff>
    </xdr:to>
    <xdr:sp macro="" textlink="">
      <xdr:nvSpPr>
        <xdr:cNvPr id="10" name="Flecha derecha 9"/>
        <xdr:cNvSpPr/>
      </xdr:nvSpPr>
      <xdr:spPr bwMode="auto">
        <a:xfrm>
          <a:off x="20794980" y="865414"/>
          <a:ext cx="0" cy="85725"/>
        </a:xfrm>
        <a:prstGeom prst="rightArrow">
          <a:avLst/>
        </a:prstGeom>
        <a:solidFill>
          <a:srgbClr val="FF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twoCellAnchor>
    <xdr:from>
      <xdr:col>35</xdr:col>
      <xdr:colOff>3266</xdr:colOff>
      <xdr:row>5</xdr:row>
      <xdr:rowOff>38100</xdr:rowOff>
    </xdr:from>
    <xdr:to>
      <xdr:col>35</xdr:col>
      <xdr:colOff>3266</xdr:colOff>
      <xdr:row>5</xdr:row>
      <xdr:rowOff>123825</xdr:rowOff>
    </xdr:to>
    <xdr:sp macro="" textlink="">
      <xdr:nvSpPr>
        <xdr:cNvPr id="11" name="Flecha derecha 10"/>
        <xdr:cNvSpPr/>
      </xdr:nvSpPr>
      <xdr:spPr bwMode="auto">
        <a:xfrm>
          <a:off x="20794980" y="865414"/>
          <a:ext cx="0" cy="85725"/>
        </a:xfrm>
        <a:prstGeom prst="rightArrow">
          <a:avLst/>
        </a:prstGeom>
        <a:solidFill>
          <a:srgbClr val="FF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twoCellAnchor>
    <xdr:from>
      <xdr:col>36</xdr:col>
      <xdr:colOff>3266</xdr:colOff>
      <xdr:row>5</xdr:row>
      <xdr:rowOff>38100</xdr:rowOff>
    </xdr:from>
    <xdr:to>
      <xdr:col>36</xdr:col>
      <xdr:colOff>3266</xdr:colOff>
      <xdr:row>5</xdr:row>
      <xdr:rowOff>123825</xdr:rowOff>
    </xdr:to>
    <xdr:sp macro="" textlink="">
      <xdr:nvSpPr>
        <xdr:cNvPr id="12" name="Flecha derecha 11"/>
        <xdr:cNvSpPr/>
      </xdr:nvSpPr>
      <xdr:spPr bwMode="auto">
        <a:xfrm>
          <a:off x="20794980" y="865414"/>
          <a:ext cx="0" cy="85725"/>
        </a:xfrm>
        <a:prstGeom prst="rightArrow">
          <a:avLst/>
        </a:prstGeom>
        <a:solidFill>
          <a:srgbClr val="FF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twoCellAnchor>
    <xdr:from>
      <xdr:col>37</xdr:col>
      <xdr:colOff>3266</xdr:colOff>
      <xdr:row>5</xdr:row>
      <xdr:rowOff>38100</xdr:rowOff>
    </xdr:from>
    <xdr:to>
      <xdr:col>37</xdr:col>
      <xdr:colOff>3266</xdr:colOff>
      <xdr:row>5</xdr:row>
      <xdr:rowOff>123825</xdr:rowOff>
    </xdr:to>
    <xdr:sp macro="" textlink="">
      <xdr:nvSpPr>
        <xdr:cNvPr id="13" name="Flecha derecha 12"/>
        <xdr:cNvSpPr/>
      </xdr:nvSpPr>
      <xdr:spPr bwMode="auto">
        <a:xfrm>
          <a:off x="20794980" y="865414"/>
          <a:ext cx="0" cy="85725"/>
        </a:xfrm>
        <a:prstGeom prst="rightArrow">
          <a:avLst/>
        </a:prstGeom>
        <a:solidFill>
          <a:srgbClr val="FF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twoCellAnchor>
    <xdr:from>
      <xdr:col>38</xdr:col>
      <xdr:colOff>3266</xdr:colOff>
      <xdr:row>5</xdr:row>
      <xdr:rowOff>38100</xdr:rowOff>
    </xdr:from>
    <xdr:to>
      <xdr:col>38</xdr:col>
      <xdr:colOff>3266</xdr:colOff>
      <xdr:row>5</xdr:row>
      <xdr:rowOff>123825</xdr:rowOff>
    </xdr:to>
    <xdr:sp macro="" textlink="">
      <xdr:nvSpPr>
        <xdr:cNvPr id="14" name="Flecha derecha 13"/>
        <xdr:cNvSpPr/>
      </xdr:nvSpPr>
      <xdr:spPr bwMode="auto">
        <a:xfrm>
          <a:off x="20794980" y="865414"/>
          <a:ext cx="0" cy="85725"/>
        </a:xfrm>
        <a:prstGeom prst="rightArrow">
          <a:avLst/>
        </a:prstGeom>
        <a:solidFill>
          <a:srgbClr val="FF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twoCellAnchor>
    <xdr:from>
      <xdr:col>39</xdr:col>
      <xdr:colOff>3266</xdr:colOff>
      <xdr:row>5</xdr:row>
      <xdr:rowOff>38100</xdr:rowOff>
    </xdr:from>
    <xdr:to>
      <xdr:col>39</xdr:col>
      <xdr:colOff>3266</xdr:colOff>
      <xdr:row>5</xdr:row>
      <xdr:rowOff>123825</xdr:rowOff>
    </xdr:to>
    <xdr:sp macro="" textlink="">
      <xdr:nvSpPr>
        <xdr:cNvPr id="15" name="Flecha derecha 14"/>
        <xdr:cNvSpPr/>
      </xdr:nvSpPr>
      <xdr:spPr bwMode="auto">
        <a:xfrm>
          <a:off x="20794980" y="865414"/>
          <a:ext cx="0" cy="85725"/>
        </a:xfrm>
        <a:prstGeom prst="rightArrow">
          <a:avLst/>
        </a:prstGeom>
        <a:solidFill>
          <a:srgbClr val="FF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twoCellAnchor>
    <xdr:from>
      <xdr:col>40</xdr:col>
      <xdr:colOff>3266</xdr:colOff>
      <xdr:row>5</xdr:row>
      <xdr:rowOff>38100</xdr:rowOff>
    </xdr:from>
    <xdr:to>
      <xdr:col>40</xdr:col>
      <xdr:colOff>3266</xdr:colOff>
      <xdr:row>5</xdr:row>
      <xdr:rowOff>123825</xdr:rowOff>
    </xdr:to>
    <xdr:sp macro="" textlink="">
      <xdr:nvSpPr>
        <xdr:cNvPr id="16" name="Flecha derecha 15"/>
        <xdr:cNvSpPr/>
      </xdr:nvSpPr>
      <xdr:spPr bwMode="auto">
        <a:xfrm>
          <a:off x="20794980" y="865414"/>
          <a:ext cx="0" cy="85725"/>
        </a:xfrm>
        <a:prstGeom prst="rightArrow">
          <a:avLst/>
        </a:prstGeom>
        <a:solidFill>
          <a:srgbClr val="FF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twoCellAnchor>
    <xdr:from>
      <xdr:col>41</xdr:col>
      <xdr:colOff>3266</xdr:colOff>
      <xdr:row>5</xdr:row>
      <xdr:rowOff>38100</xdr:rowOff>
    </xdr:from>
    <xdr:to>
      <xdr:col>41</xdr:col>
      <xdr:colOff>3266</xdr:colOff>
      <xdr:row>5</xdr:row>
      <xdr:rowOff>123825</xdr:rowOff>
    </xdr:to>
    <xdr:sp macro="" textlink="">
      <xdr:nvSpPr>
        <xdr:cNvPr id="17" name="Flecha derecha 16"/>
        <xdr:cNvSpPr/>
      </xdr:nvSpPr>
      <xdr:spPr bwMode="auto">
        <a:xfrm>
          <a:off x="20794980" y="865414"/>
          <a:ext cx="0" cy="85725"/>
        </a:xfrm>
        <a:prstGeom prst="rightArrow">
          <a:avLst/>
        </a:prstGeom>
        <a:solidFill>
          <a:srgbClr val="FF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twoCellAnchor>
    <xdr:from>
      <xdr:col>42</xdr:col>
      <xdr:colOff>3266</xdr:colOff>
      <xdr:row>5</xdr:row>
      <xdr:rowOff>38100</xdr:rowOff>
    </xdr:from>
    <xdr:to>
      <xdr:col>42</xdr:col>
      <xdr:colOff>3266</xdr:colOff>
      <xdr:row>5</xdr:row>
      <xdr:rowOff>123825</xdr:rowOff>
    </xdr:to>
    <xdr:sp macro="" textlink="">
      <xdr:nvSpPr>
        <xdr:cNvPr id="18" name="Flecha derecha 17"/>
        <xdr:cNvSpPr/>
      </xdr:nvSpPr>
      <xdr:spPr bwMode="auto">
        <a:xfrm>
          <a:off x="20794980" y="865414"/>
          <a:ext cx="0" cy="85725"/>
        </a:xfrm>
        <a:prstGeom prst="rightArrow">
          <a:avLst/>
        </a:prstGeom>
        <a:solidFill>
          <a:srgbClr val="FF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twoCellAnchor>
    <xdr:from>
      <xdr:col>9</xdr:col>
      <xdr:colOff>3266</xdr:colOff>
      <xdr:row>5</xdr:row>
      <xdr:rowOff>38100</xdr:rowOff>
    </xdr:from>
    <xdr:to>
      <xdr:col>9</xdr:col>
      <xdr:colOff>3266</xdr:colOff>
      <xdr:row>5</xdr:row>
      <xdr:rowOff>123825</xdr:rowOff>
    </xdr:to>
    <xdr:sp macro="" textlink="">
      <xdr:nvSpPr>
        <xdr:cNvPr id="19" name="Flecha derecha 18"/>
        <xdr:cNvSpPr/>
      </xdr:nvSpPr>
      <xdr:spPr bwMode="auto">
        <a:xfrm>
          <a:off x="6687095" y="865414"/>
          <a:ext cx="0" cy="85725"/>
        </a:xfrm>
        <a:prstGeom prst="rightArrow">
          <a:avLst/>
        </a:prstGeom>
        <a:solidFill>
          <a:srgbClr val="FF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twoCellAnchor>
    <xdr:from>
      <xdr:col>10</xdr:col>
      <xdr:colOff>3266</xdr:colOff>
      <xdr:row>5</xdr:row>
      <xdr:rowOff>38100</xdr:rowOff>
    </xdr:from>
    <xdr:to>
      <xdr:col>10</xdr:col>
      <xdr:colOff>3266</xdr:colOff>
      <xdr:row>5</xdr:row>
      <xdr:rowOff>123825</xdr:rowOff>
    </xdr:to>
    <xdr:sp macro="" textlink="">
      <xdr:nvSpPr>
        <xdr:cNvPr id="20" name="Flecha derecha 19"/>
        <xdr:cNvSpPr/>
      </xdr:nvSpPr>
      <xdr:spPr bwMode="auto">
        <a:xfrm>
          <a:off x="6687095" y="865414"/>
          <a:ext cx="0" cy="85725"/>
        </a:xfrm>
        <a:prstGeom prst="rightArrow">
          <a:avLst/>
        </a:prstGeom>
        <a:solidFill>
          <a:srgbClr val="FF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twoCellAnchor>
    <xdr:from>
      <xdr:col>11</xdr:col>
      <xdr:colOff>3266</xdr:colOff>
      <xdr:row>5</xdr:row>
      <xdr:rowOff>38100</xdr:rowOff>
    </xdr:from>
    <xdr:to>
      <xdr:col>11</xdr:col>
      <xdr:colOff>3266</xdr:colOff>
      <xdr:row>5</xdr:row>
      <xdr:rowOff>123825</xdr:rowOff>
    </xdr:to>
    <xdr:sp macro="" textlink="">
      <xdr:nvSpPr>
        <xdr:cNvPr id="21" name="Flecha derecha 20"/>
        <xdr:cNvSpPr/>
      </xdr:nvSpPr>
      <xdr:spPr bwMode="auto">
        <a:xfrm>
          <a:off x="6687095" y="865414"/>
          <a:ext cx="0" cy="85725"/>
        </a:xfrm>
        <a:prstGeom prst="rightArrow">
          <a:avLst/>
        </a:prstGeom>
        <a:solidFill>
          <a:srgbClr val="FF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twoCellAnchor>
    <xdr:from>
      <xdr:col>12</xdr:col>
      <xdr:colOff>3266</xdr:colOff>
      <xdr:row>5</xdr:row>
      <xdr:rowOff>38100</xdr:rowOff>
    </xdr:from>
    <xdr:to>
      <xdr:col>12</xdr:col>
      <xdr:colOff>3266</xdr:colOff>
      <xdr:row>5</xdr:row>
      <xdr:rowOff>123825</xdr:rowOff>
    </xdr:to>
    <xdr:sp macro="" textlink="">
      <xdr:nvSpPr>
        <xdr:cNvPr id="22" name="Flecha derecha 21"/>
        <xdr:cNvSpPr/>
      </xdr:nvSpPr>
      <xdr:spPr bwMode="auto">
        <a:xfrm>
          <a:off x="6687095" y="865414"/>
          <a:ext cx="0" cy="85725"/>
        </a:xfrm>
        <a:prstGeom prst="rightArrow">
          <a:avLst/>
        </a:prstGeom>
        <a:solidFill>
          <a:srgbClr val="FF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twoCellAnchor>
    <xdr:from>
      <xdr:col>13</xdr:col>
      <xdr:colOff>3266</xdr:colOff>
      <xdr:row>5</xdr:row>
      <xdr:rowOff>38100</xdr:rowOff>
    </xdr:from>
    <xdr:to>
      <xdr:col>13</xdr:col>
      <xdr:colOff>3266</xdr:colOff>
      <xdr:row>5</xdr:row>
      <xdr:rowOff>123825</xdr:rowOff>
    </xdr:to>
    <xdr:sp macro="" textlink="">
      <xdr:nvSpPr>
        <xdr:cNvPr id="23" name="Flecha derecha 22"/>
        <xdr:cNvSpPr/>
      </xdr:nvSpPr>
      <xdr:spPr bwMode="auto">
        <a:xfrm>
          <a:off x="6687095" y="865414"/>
          <a:ext cx="0" cy="85725"/>
        </a:xfrm>
        <a:prstGeom prst="rightArrow">
          <a:avLst/>
        </a:prstGeom>
        <a:solidFill>
          <a:srgbClr val="FF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twoCellAnchor>
    <xdr:from>
      <xdr:col>14</xdr:col>
      <xdr:colOff>3266</xdr:colOff>
      <xdr:row>5</xdr:row>
      <xdr:rowOff>38100</xdr:rowOff>
    </xdr:from>
    <xdr:to>
      <xdr:col>14</xdr:col>
      <xdr:colOff>3266</xdr:colOff>
      <xdr:row>5</xdr:row>
      <xdr:rowOff>123825</xdr:rowOff>
    </xdr:to>
    <xdr:sp macro="" textlink="">
      <xdr:nvSpPr>
        <xdr:cNvPr id="24" name="Flecha derecha 23"/>
        <xdr:cNvSpPr/>
      </xdr:nvSpPr>
      <xdr:spPr bwMode="auto">
        <a:xfrm>
          <a:off x="6687095" y="865414"/>
          <a:ext cx="0" cy="85725"/>
        </a:xfrm>
        <a:prstGeom prst="rightArrow">
          <a:avLst/>
        </a:prstGeom>
        <a:solidFill>
          <a:srgbClr val="FF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twoCellAnchor>
    <xdr:from>
      <xdr:col>15</xdr:col>
      <xdr:colOff>3266</xdr:colOff>
      <xdr:row>5</xdr:row>
      <xdr:rowOff>38100</xdr:rowOff>
    </xdr:from>
    <xdr:to>
      <xdr:col>15</xdr:col>
      <xdr:colOff>3266</xdr:colOff>
      <xdr:row>5</xdr:row>
      <xdr:rowOff>123825</xdr:rowOff>
    </xdr:to>
    <xdr:sp macro="" textlink="">
      <xdr:nvSpPr>
        <xdr:cNvPr id="27" name="Flecha derecha 26"/>
        <xdr:cNvSpPr/>
      </xdr:nvSpPr>
      <xdr:spPr bwMode="auto">
        <a:xfrm>
          <a:off x="6687095" y="865414"/>
          <a:ext cx="0" cy="85725"/>
        </a:xfrm>
        <a:prstGeom prst="rightArrow">
          <a:avLst/>
        </a:prstGeom>
        <a:solidFill>
          <a:srgbClr val="FF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twoCellAnchor>
    <xdr:from>
      <xdr:col>16</xdr:col>
      <xdr:colOff>3266</xdr:colOff>
      <xdr:row>5</xdr:row>
      <xdr:rowOff>38100</xdr:rowOff>
    </xdr:from>
    <xdr:to>
      <xdr:col>16</xdr:col>
      <xdr:colOff>3266</xdr:colOff>
      <xdr:row>5</xdr:row>
      <xdr:rowOff>123825</xdr:rowOff>
    </xdr:to>
    <xdr:sp macro="" textlink="">
      <xdr:nvSpPr>
        <xdr:cNvPr id="28" name="Flecha derecha 27"/>
        <xdr:cNvSpPr/>
      </xdr:nvSpPr>
      <xdr:spPr bwMode="auto">
        <a:xfrm>
          <a:off x="6687095" y="865414"/>
          <a:ext cx="0" cy="85725"/>
        </a:xfrm>
        <a:prstGeom prst="rightArrow">
          <a:avLst/>
        </a:prstGeom>
        <a:solidFill>
          <a:srgbClr val="FF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twoCellAnchor>
    <xdr:from>
      <xdr:col>17</xdr:col>
      <xdr:colOff>3266</xdr:colOff>
      <xdr:row>5</xdr:row>
      <xdr:rowOff>38100</xdr:rowOff>
    </xdr:from>
    <xdr:to>
      <xdr:col>17</xdr:col>
      <xdr:colOff>3266</xdr:colOff>
      <xdr:row>5</xdr:row>
      <xdr:rowOff>123825</xdr:rowOff>
    </xdr:to>
    <xdr:sp macro="" textlink="">
      <xdr:nvSpPr>
        <xdr:cNvPr id="29" name="Flecha derecha 28"/>
        <xdr:cNvSpPr/>
      </xdr:nvSpPr>
      <xdr:spPr bwMode="auto">
        <a:xfrm>
          <a:off x="6687095" y="865414"/>
          <a:ext cx="0" cy="85725"/>
        </a:xfrm>
        <a:prstGeom prst="rightArrow">
          <a:avLst/>
        </a:prstGeom>
        <a:solidFill>
          <a:srgbClr val="FF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twoCellAnchor>
    <xdr:from>
      <xdr:col>18</xdr:col>
      <xdr:colOff>3266</xdr:colOff>
      <xdr:row>5</xdr:row>
      <xdr:rowOff>38100</xdr:rowOff>
    </xdr:from>
    <xdr:to>
      <xdr:col>18</xdr:col>
      <xdr:colOff>3266</xdr:colOff>
      <xdr:row>5</xdr:row>
      <xdr:rowOff>123825</xdr:rowOff>
    </xdr:to>
    <xdr:sp macro="" textlink="">
      <xdr:nvSpPr>
        <xdr:cNvPr id="30" name="Flecha derecha 29"/>
        <xdr:cNvSpPr/>
      </xdr:nvSpPr>
      <xdr:spPr bwMode="auto">
        <a:xfrm>
          <a:off x="6687095" y="865414"/>
          <a:ext cx="0" cy="85725"/>
        </a:xfrm>
        <a:prstGeom prst="rightArrow">
          <a:avLst/>
        </a:prstGeom>
        <a:solidFill>
          <a:srgbClr val="FF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twoCellAnchor>
    <xdr:from>
      <xdr:col>19</xdr:col>
      <xdr:colOff>3266</xdr:colOff>
      <xdr:row>5</xdr:row>
      <xdr:rowOff>38100</xdr:rowOff>
    </xdr:from>
    <xdr:to>
      <xdr:col>19</xdr:col>
      <xdr:colOff>3266</xdr:colOff>
      <xdr:row>5</xdr:row>
      <xdr:rowOff>123825</xdr:rowOff>
    </xdr:to>
    <xdr:sp macro="" textlink="">
      <xdr:nvSpPr>
        <xdr:cNvPr id="31" name="Flecha derecha 30"/>
        <xdr:cNvSpPr/>
      </xdr:nvSpPr>
      <xdr:spPr bwMode="auto">
        <a:xfrm>
          <a:off x="6687095" y="865414"/>
          <a:ext cx="0" cy="85725"/>
        </a:xfrm>
        <a:prstGeom prst="rightArrow">
          <a:avLst/>
        </a:prstGeom>
        <a:solidFill>
          <a:srgbClr val="FF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twoCellAnchor>
    <xdr:from>
      <xdr:col>8</xdr:col>
      <xdr:colOff>274320</xdr:colOff>
      <xdr:row>1618</xdr:row>
      <xdr:rowOff>137160</xdr:rowOff>
    </xdr:from>
    <xdr:to>
      <xdr:col>10</xdr:col>
      <xdr:colOff>45720</xdr:colOff>
      <xdr:row>1622</xdr:row>
      <xdr:rowOff>76200</xdr:rowOff>
    </xdr:to>
    <xdr:sp macro="" textlink="">
      <xdr:nvSpPr>
        <xdr:cNvPr id="3" name="Flecha abajo 2"/>
        <xdr:cNvSpPr/>
      </xdr:nvSpPr>
      <xdr:spPr bwMode="auto">
        <a:xfrm>
          <a:off x="6675120" y="222747840"/>
          <a:ext cx="868680" cy="67056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twoCellAnchor>
    <xdr:from>
      <xdr:col>21</xdr:col>
      <xdr:colOff>275182</xdr:colOff>
      <xdr:row>1619</xdr:row>
      <xdr:rowOff>32412</xdr:rowOff>
    </xdr:from>
    <xdr:to>
      <xdr:col>24</xdr:col>
      <xdr:colOff>1973813</xdr:colOff>
      <xdr:row>1623</xdr:row>
      <xdr:rowOff>169572</xdr:rowOff>
    </xdr:to>
    <xdr:sp macro="" textlink="">
      <xdr:nvSpPr>
        <xdr:cNvPr id="32" name="Flecha abajo 31"/>
        <xdr:cNvSpPr/>
      </xdr:nvSpPr>
      <xdr:spPr bwMode="auto">
        <a:xfrm rot="4735826">
          <a:off x="17301758" y="219454436"/>
          <a:ext cx="868680" cy="7611751"/>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68456</xdr:colOff>
      <xdr:row>101</xdr:row>
      <xdr:rowOff>47879</xdr:rowOff>
    </xdr:from>
    <xdr:to>
      <xdr:col>2</xdr:col>
      <xdr:colOff>860611</xdr:colOff>
      <xdr:row>113</xdr:row>
      <xdr:rowOff>9779</xdr:rowOff>
    </xdr:to>
    <xdr:sp macro="" textlink="">
      <xdr:nvSpPr>
        <xdr:cNvPr id="3" name="Llamada de flecha a la derecha 2"/>
        <xdr:cNvSpPr/>
      </xdr:nvSpPr>
      <xdr:spPr bwMode="auto">
        <a:xfrm>
          <a:off x="371627" y="19959306"/>
          <a:ext cx="1447392" cy="2250345"/>
        </a:xfrm>
        <a:prstGeom prst="rightArrowCallout">
          <a:avLst>
            <a:gd name="adj1" fmla="val 4065"/>
            <a:gd name="adj2" fmla="val 24039"/>
            <a:gd name="adj3" fmla="val 17584"/>
            <a:gd name="adj4" fmla="val 92435"/>
          </a:avLst>
        </a:prstGeom>
        <a:solidFill>
          <a:sysClr val="window" lastClr="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s-UY" sz="900">
              <a:solidFill>
                <a:schemeClr val="tx1"/>
              </a:solidFill>
            </a:rPr>
            <a:t>Las celdas de la fila </a:t>
          </a:r>
          <a:r>
            <a:rPr lang="es-UY" sz="900" b="1">
              <a:solidFill>
                <a:schemeClr val="tx1"/>
              </a:solidFill>
            </a:rPr>
            <a:t>106, </a:t>
          </a:r>
          <a:r>
            <a:rPr lang="es-UY" sz="900" b="0">
              <a:solidFill>
                <a:schemeClr val="tx1"/>
              </a:solidFill>
            </a:rPr>
            <a:t>calculan</a:t>
          </a:r>
          <a:r>
            <a:rPr lang="es-UY" sz="900" b="0" baseline="0">
              <a:solidFill>
                <a:schemeClr val="tx1"/>
              </a:solidFill>
            </a:rPr>
            <a:t> </a:t>
          </a:r>
          <a:r>
            <a:rPr lang="es-UY" sz="900">
              <a:solidFill>
                <a:schemeClr val="tx1"/>
              </a:solidFill>
            </a:rPr>
            <a:t>el</a:t>
          </a:r>
          <a:r>
            <a:rPr lang="es-UY" sz="900" baseline="0">
              <a:solidFill>
                <a:schemeClr val="tx1"/>
              </a:solidFill>
            </a:rPr>
            <a:t> forraje utilizable (</a:t>
          </a:r>
          <a:r>
            <a:rPr lang="es-UY" sz="900">
              <a:solidFill>
                <a:schemeClr val="tx1"/>
              </a:solidFill>
            </a:rPr>
            <a:t>kgMS/haVO), para el uso del suelo que se cargó en</a:t>
          </a:r>
          <a:r>
            <a:rPr lang="es-UY" sz="900" baseline="0">
              <a:solidFill>
                <a:schemeClr val="tx1"/>
              </a:solidFill>
            </a:rPr>
            <a:t> el cuadro</a:t>
          </a:r>
          <a:r>
            <a:rPr lang="es-UY" sz="1000" b="1" baseline="0">
              <a:solidFill>
                <a:schemeClr val="tx1"/>
              </a:solidFill>
            </a:rPr>
            <a:t> 34</a:t>
          </a:r>
          <a:r>
            <a:rPr lang="es-UY" sz="900">
              <a:solidFill>
                <a:schemeClr val="tx1"/>
              </a:solidFill>
            </a:rPr>
            <a:t>. Si</a:t>
          </a:r>
          <a:r>
            <a:rPr lang="es-UY" sz="900" baseline="0">
              <a:solidFill>
                <a:schemeClr val="tx1"/>
              </a:solidFill>
            </a:rPr>
            <a:t> discrepa con </a:t>
          </a:r>
        </a:p>
        <a:p>
          <a:pPr algn="ctr"/>
          <a:r>
            <a:rPr lang="es-UY" sz="900" baseline="0">
              <a:solidFill>
                <a:schemeClr val="tx1"/>
              </a:solidFill>
            </a:rPr>
            <a:t>la sugerencia, el usuario e</a:t>
          </a:r>
          <a:r>
            <a:rPr lang="es-UY" sz="900">
              <a:solidFill>
                <a:schemeClr val="tx1"/>
              </a:solidFill>
            </a:rPr>
            <a:t>n la celda </a:t>
          </a:r>
          <a:r>
            <a:rPr lang="es-UY" sz="1000" b="1">
              <a:solidFill>
                <a:schemeClr val="tx1"/>
              </a:solidFill>
            </a:rPr>
            <a:t>S107</a:t>
          </a:r>
          <a:r>
            <a:rPr lang="es-UY" sz="1000" b="0">
              <a:solidFill>
                <a:schemeClr val="tx1"/>
              </a:solidFill>
            </a:rPr>
            <a:t>,</a:t>
          </a:r>
          <a:r>
            <a:rPr lang="es-UY" sz="900">
              <a:solidFill>
                <a:schemeClr val="tx1"/>
              </a:solidFill>
            </a:rPr>
            <a:t> </a:t>
          </a:r>
        </a:p>
        <a:p>
          <a:pPr algn="ctr"/>
          <a:r>
            <a:rPr lang="es-UY" sz="900">
              <a:solidFill>
                <a:schemeClr val="tx1"/>
              </a:solidFill>
            </a:rPr>
            <a:t>puede</a:t>
          </a:r>
          <a:r>
            <a:rPr lang="es-UY" sz="900" baseline="0">
              <a:solidFill>
                <a:schemeClr val="tx1"/>
              </a:solidFill>
            </a:rPr>
            <a:t> corregir  la producción anual (</a:t>
          </a:r>
          <a:r>
            <a:rPr lang="es-UY" sz="900">
              <a:solidFill>
                <a:schemeClr val="tx1"/>
              </a:solidFill>
            </a:rPr>
            <a:t>kg de MS/haVO/año) esperada. Al</a:t>
          </a:r>
          <a:r>
            <a:rPr lang="es-UY" sz="900" baseline="0">
              <a:solidFill>
                <a:schemeClr val="tx1"/>
              </a:solidFill>
            </a:rPr>
            <a:t> introducir este cambio el modelo genera un coef. de corrección que cargado en la celda  </a:t>
          </a:r>
          <a:r>
            <a:rPr lang="es-UY" sz="900" b="1" baseline="0">
              <a:solidFill>
                <a:schemeClr val="tx1"/>
              </a:solidFill>
            </a:rPr>
            <a:t>G99</a:t>
          </a:r>
          <a:r>
            <a:rPr lang="es-UY" sz="900">
              <a:solidFill>
                <a:schemeClr val="tx1"/>
              </a:solidFill>
            </a:rPr>
            <a:t>,</a:t>
          </a:r>
          <a:r>
            <a:rPr lang="es-UY" sz="900" baseline="0">
              <a:solidFill>
                <a:schemeClr val="tx1"/>
              </a:solidFill>
            </a:rPr>
            <a:t> corrige la producción mensual para que cierre con la nueva producción anual.</a:t>
          </a:r>
          <a:endParaRPr lang="es-UY" sz="900">
            <a:solidFill>
              <a:schemeClr val="tx1"/>
            </a:solidFill>
          </a:endParaRPr>
        </a:p>
      </xdr:txBody>
    </xdr:sp>
    <xdr:clientData/>
  </xdr:twoCellAnchor>
  <xdr:twoCellAnchor>
    <xdr:from>
      <xdr:col>5</xdr:col>
      <xdr:colOff>205740</xdr:colOff>
      <xdr:row>618</xdr:row>
      <xdr:rowOff>114300</xdr:rowOff>
    </xdr:from>
    <xdr:to>
      <xdr:col>6</xdr:col>
      <xdr:colOff>289560</xdr:colOff>
      <xdr:row>623</xdr:row>
      <xdr:rowOff>144780</xdr:rowOff>
    </xdr:to>
    <xdr:sp macro="" textlink="">
      <xdr:nvSpPr>
        <xdr:cNvPr id="2" name="Flecha derecha 1"/>
        <xdr:cNvSpPr/>
      </xdr:nvSpPr>
      <xdr:spPr bwMode="auto">
        <a:xfrm>
          <a:off x="4130040" y="89001600"/>
          <a:ext cx="830580" cy="906780"/>
        </a:xfrm>
        <a:prstGeom prst="right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twoCellAnchor>
    <xdr:from>
      <xdr:col>8</xdr:col>
      <xdr:colOff>664733</xdr:colOff>
      <xdr:row>623</xdr:row>
      <xdr:rowOff>67683</xdr:rowOff>
    </xdr:from>
    <xdr:to>
      <xdr:col>10</xdr:col>
      <xdr:colOff>103543</xdr:colOff>
      <xdr:row>630</xdr:row>
      <xdr:rowOff>134472</xdr:rowOff>
    </xdr:to>
    <xdr:sp macro="" textlink="">
      <xdr:nvSpPr>
        <xdr:cNvPr id="8" name="Flecha derecha 7"/>
        <xdr:cNvSpPr/>
      </xdr:nvSpPr>
      <xdr:spPr bwMode="auto">
        <a:xfrm rot="5400000">
          <a:off x="6639485" y="86366649"/>
          <a:ext cx="1312883" cy="926951"/>
        </a:xfrm>
        <a:prstGeom prst="rightArrow">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l"/>
          <a:endParaRPr lang="es-UY" sz="1100"/>
        </a:p>
      </xdr:txBody>
    </xdr:sp>
    <xdr:clientData/>
  </xdr:twoCellAnchor>
  <xdr:twoCellAnchor>
    <xdr:from>
      <xdr:col>5</xdr:col>
      <xdr:colOff>582706</xdr:colOff>
      <xdr:row>646</xdr:row>
      <xdr:rowOff>62753</xdr:rowOff>
    </xdr:from>
    <xdr:to>
      <xdr:col>5</xdr:col>
      <xdr:colOff>591670</xdr:colOff>
      <xdr:row>655</xdr:row>
      <xdr:rowOff>26894</xdr:rowOff>
    </xdr:to>
    <xdr:cxnSp macro="">
      <xdr:nvCxnSpPr>
        <xdr:cNvPr id="5" name="Conector recto de flecha 4"/>
        <xdr:cNvCxnSpPr/>
      </xdr:nvCxnSpPr>
      <xdr:spPr bwMode="auto">
        <a:xfrm flipH="1">
          <a:off x="4518212" y="89207788"/>
          <a:ext cx="8964" cy="1577788"/>
        </a:xfrm>
        <a:prstGeom prst="straightConnector1">
          <a:avLst/>
        </a:prstGeom>
        <a:ln>
          <a:headEnd type="none" w="med" len="med"/>
          <a:tailEnd type="triangle"/>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620485</xdr:colOff>
      <xdr:row>467</xdr:row>
      <xdr:rowOff>97972</xdr:rowOff>
    </xdr:from>
    <xdr:to>
      <xdr:col>21</xdr:col>
      <xdr:colOff>376518</xdr:colOff>
      <xdr:row>467</xdr:row>
      <xdr:rowOff>98612</xdr:rowOff>
    </xdr:to>
    <xdr:cxnSp macro="">
      <xdr:nvCxnSpPr>
        <xdr:cNvPr id="3" name="Conector recto de flecha 2"/>
        <xdr:cNvCxnSpPr/>
      </xdr:nvCxnSpPr>
      <xdr:spPr bwMode="auto">
        <a:xfrm>
          <a:off x="3875314" y="86606743"/>
          <a:ext cx="13765947" cy="64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762000</xdr:colOff>
      <xdr:row>180</xdr:row>
      <xdr:rowOff>98611</xdr:rowOff>
    </xdr:from>
    <xdr:to>
      <xdr:col>21</xdr:col>
      <xdr:colOff>701040</xdr:colOff>
      <xdr:row>180</xdr:row>
      <xdr:rowOff>137160</xdr:rowOff>
    </xdr:to>
    <xdr:cxnSp macro="">
      <xdr:nvCxnSpPr>
        <xdr:cNvPr id="2" name="Conector recto de flecha 1"/>
        <xdr:cNvCxnSpPr/>
      </xdr:nvCxnSpPr>
      <xdr:spPr bwMode="auto">
        <a:xfrm>
          <a:off x="4052047" y="33151482"/>
          <a:ext cx="14192922" cy="38549"/>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403413</xdr:colOff>
      <xdr:row>71</xdr:row>
      <xdr:rowOff>15944</xdr:rowOff>
    </xdr:from>
    <xdr:to>
      <xdr:col>18</xdr:col>
      <xdr:colOff>53788</xdr:colOff>
      <xdr:row>86</xdr:row>
      <xdr:rowOff>62753</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887506</xdr:colOff>
      <xdr:row>415</xdr:row>
      <xdr:rowOff>147915</xdr:rowOff>
    </xdr:from>
    <xdr:to>
      <xdr:col>18</xdr:col>
      <xdr:colOff>143436</xdr:colOff>
      <xdr:row>431</xdr:row>
      <xdr:rowOff>26894</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8466</xdr:colOff>
      <xdr:row>7</xdr:row>
      <xdr:rowOff>8963</xdr:rowOff>
    </xdr:from>
    <xdr:to>
      <xdr:col>4</xdr:col>
      <xdr:colOff>16932</xdr:colOff>
      <xdr:row>20</xdr:row>
      <xdr:rowOff>186266</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1778926</xdr:colOff>
      <xdr:row>51</xdr:row>
      <xdr:rowOff>8964</xdr:rowOff>
    </xdr:from>
    <xdr:to>
      <xdr:col>12</xdr:col>
      <xdr:colOff>403411</xdr:colOff>
      <xdr:row>65</xdr:row>
      <xdr:rowOff>134470</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340659</xdr:colOff>
      <xdr:row>92</xdr:row>
      <xdr:rowOff>12804</xdr:rowOff>
    </xdr:from>
    <xdr:to>
      <xdr:col>17</xdr:col>
      <xdr:colOff>663388</xdr:colOff>
      <xdr:row>107</xdr:row>
      <xdr:rowOff>44823</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349625</xdr:colOff>
      <xdr:row>115</xdr:row>
      <xdr:rowOff>8965</xdr:rowOff>
    </xdr:from>
    <xdr:to>
      <xdr:col>18</xdr:col>
      <xdr:colOff>26895</xdr:colOff>
      <xdr:row>130</xdr:row>
      <xdr:rowOff>8964</xdr:rowOff>
    </xdr:to>
    <xdr:graphicFrame macro="">
      <xdr:nvGraphicFramePr>
        <xdr:cNvPr id="2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510988</xdr:colOff>
      <xdr:row>296</xdr:row>
      <xdr:rowOff>35859</xdr:rowOff>
    </xdr:from>
    <xdr:to>
      <xdr:col>18</xdr:col>
      <xdr:colOff>0</xdr:colOff>
      <xdr:row>311</xdr:row>
      <xdr:rowOff>170330</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654422</xdr:colOff>
      <xdr:row>230</xdr:row>
      <xdr:rowOff>8965</xdr:rowOff>
    </xdr:from>
    <xdr:to>
      <xdr:col>18</xdr:col>
      <xdr:colOff>35858</xdr:colOff>
      <xdr:row>245</xdr:row>
      <xdr:rowOff>71717</xdr:rowOff>
    </xdr:to>
    <xdr:graphicFrame macro="">
      <xdr:nvGraphicFramePr>
        <xdr:cNvPr id="26" name="Gráfico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446314</xdr:colOff>
      <xdr:row>208</xdr:row>
      <xdr:rowOff>34753</xdr:rowOff>
    </xdr:from>
    <xdr:to>
      <xdr:col>18</xdr:col>
      <xdr:colOff>0</xdr:colOff>
      <xdr:row>222</xdr:row>
      <xdr:rowOff>152400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363725</xdr:colOff>
      <xdr:row>190</xdr:row>
      <xdr:rowOff>31091</xdr:rowOff>
    </xdr:from>
    <xdr:to>
      <xdr:col>17</xdr:col>
      <xdr:colOff>635680</xdr:colOff>
      <xdr:row>206</xdr:row>
      <xdr:rowOff>133657</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1147481</xdr:colOff>
      <xdr:row>30</xdr:row>
      <xdr:rowOff>573</xdr:rowOff>
    </xdr:from>
    <xdr:to>
      <xdr:col>16</xdr:col>
      <xdr:colOff>448236</xdr:colOff>
      <xdr:row>44</xdr:row>
      <xdr:rowOff>143435</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489799</xdr:colOff>
      <xdr:row>29</xdr:row>
      <xdr:rowOff>17929</xdr:rowOff>
    </xdr:from>
    <xdr:to>
      <xdr:col>9</xdr:col>
      <xdr:colOff>519953</xdr:colOff>
      <xdr:row>42</xdr:row>
      <xdr:rowOff>62753</xdr:rowOff>
    </xdr:to>
    <xdr:cxnSp macro="">
      <xdr:nvCxnSpPr>
        <xdr:cNvPr id="22" name="Conector recto 21"/>
        <xdr:cNvCxnSpPr/>
      </xdr:nvCxnSpPr>
      <xdr:spPr bwMode="auto">
        <a:xfrm>
          <a:off x="8575964" y="5979458"/>
          <a:ext cx="30154" cy="2375648"/>
        </a:xfrm>
        <a:prstGeom prst="line">
          <a:avLst/>
        </a:prstGeom>
        <a:solidFill>
          <a:srgbClr val="FFFFFF"/>
        </a:solidFill>
        <a:ln w="6350" cap="flat" cmpd="sng" algn="ctr">
          <a:solidFill>
            <a:schemeClr val="bg1">
              <a:lumMod val="75000"/>
            </a:schemeClr>
          </a:solidFill>
          <a:prstDash val="solid"/>
          <a:round/>
          <a:headEnd type="none" w="med" len="med"/>
          <a:tailEnd type="none" w="med" len="med"/>
        </a:ln>
        <a:effectLst/>
      </xdr:spPr>
    </xdr:cxnSp>
    <xdr:clientData/>
  </xdr:twoCellAnchor>
  <xdr:twoCellAnchor>
    <xdr:from>
      <xdr:col>5</xdr:col>
      <xdr:colOff>125505</xdr:colOff>
      <xdr:row>50</xdr:row>
      <xdr:rowOff>8964</xdr:rowOff>
    </xdr:from>
    <xdr:to>
      <xdr:col>5</xdr:col>
      <xdr:colOff>143435</xdr:colOff>
      <xdr:row>62</xdr:row>
      <xdr:rowOff>134471</xdr:rowOff>
    </xdr:to>
    <xdr:cxnSp macro="">
      <xdr:nvCxnSpPr>
        <xdr:cNvPr id="20" name="Conector recto 19"/>
        <xdr:cNvCxnSpPr/>
      </xdr:nvCxnSpPr>
      <xdr:spPr bwMode="auto">
        <a:xfrm>
          <a:off x="5827058" y="9377082"/>
          <a:ext cx="17930" cy="2277036"/>
        </a:xfrm>
        <a:prstGeom prst="line">
          <a:avLst/>
        </a:prstGeom>
        <a:solidFill>
          <a:srgbClr val="FFFFFF"/>
        </a:solidFill>
        <a:ln w="6350" cap="flat" cmpd="sng" algn="ctr">
          <a:solidFill>
            <a:schemeClr val="bg1">
              <a:lumMod val="75000"/>
            </a:schemeClr>
          </a:solidFill>
          <a:prstDash val="solid"/>
          <a:round/>
          <a:headEnd type="none" w="med" len="med"/>
          <a:tailEnd type="none" w="med" len="med"/>
        </a:ln>
        <a:effectLst/>
      </xdr:spPr>
    </xdr:cxnSp>
    <xdr:clientData/>
  </xdr:twoCellAnchor>
  <xdr:twoCellAnchor>
    <xdr:from>
      <xdr:col>0</xdr:col>
      <xdr:colOff>285592</xdr:colOff>
      <xdr:row>5</xdr:row>
      <xdr:rowOff>171673</xdr:rowOff>
    </xdr:from>
    <xdr:to>
      <xdr:col>4</xdr:col>
      <xdr:colOff>10887</xdr:colOff>
      <xdr:row>22</xdr:row>
      <xdr:rowOff>170328</xdr:rowOff>
    </xdr:to>
    <xdr:sp macro="" textlink="">
      <xdr:nvSpPr>
        <xdr:cNvPr id="2" name="Rectángulo 1"/>
        <xdr:cNvSpPr/>
      </xdr:nvSpPr>
      <xdr:spPr bwMode="auto">
        <a:xfrm>
          <a:off x="285592" y="1107844"/>
          <a:ext cx="4721838" cy="2970455"/>
        </a:xfrm>
        <a:prstGeom prst="rect">
          <a:avLst/>
        </a:prstGeom>
        <a:no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noFill/>
          </a:endParaRPr>
        </a:p>
      </xdr:txBody>
    </xdr:sp>
    <xdr:clientData/>
  </xdr:twoCellAnchor>
  <xdr:twoCellAnchor>
    <xdr:from>
      <xdr:col>1</xdr:col>
      <xdr:colOff>8964</xdr:colOff>
      <xdr:row>28</xdr:row>
      <xdr:rowOff>1344</xdr:rowOff>
    </xdr:from>
    <xdr:to>
      <xdr:col>17</xdr:col>
      <xdr:colOff>681317</xdr:colOff>
      <xdr:row>48</xdr:row>
      <xdr:rowOff>35859</xdr:rowOff>
    </xdr:to>
    <xdr:sp macro="" textlink="">
      <xdr:nvSpPr>
        <xdr:cNvPr id="21" name="Rectángulo 20"/>
        <xdr:cNvSpPr/>
      </xdr:nvSpPr>
      <xdr:spPr bwMode="auto">
        <a:xfrm>
          <a:off x="304799" y="5075368"/>
          <a:ext cx="13958047" cy="3620397"/>
        </a:xfrm>
        <a:prstGeom prst="rect">
          <a:avLst/>
        </a:prstGeom>
        <a:no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noFill/>
          </a:endParaRPr>
        </a:p>
      </xdr:txBody>
    </xdr:sp>
    <xdr:clientData/>
  </xdr:twoCellAnchor>
  <xdr:twoCellAnchor>
    <xdr:from>
      <xdr:col>0</xdr:col>
      <xdr:colOff>286870</xdr:colOff>
      <xdr:row>48</xdr:row>
      <xdr:rowOff>171674</xdr:rowOff>
    </xdr:from>
    <xdr:to>
      <xdr:col>18</xdr:col>
      <xdr:colOff>26893</xdr:colOff>
      <xdr:row>69</xdr:row>
      <xdr:rowOff>62753</xdr:rowOff>
    </xdr:to>
    <xdr:sp macro="" textlink="">
      <xdr:nvSpPr>
        <xdr:cNvPr id="24" name="Rectángulo 23"/>
        <xdr:cNvSpPr/>
      </xdr:nvSpPr>
      <xdr:spPr bwMode="auto">
        <a:xfrm>
          <a:off x="286870" y="8831580"/>
          <a:ext cx="14002870" cy="3656255"/>
        </a:xfrm>
        <a:prstGeom prst="rect">
          <a:avLst/>
        </a:prstGeom>
        <a:no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noFill/>
          </a:endParaRPr>
        </a:p>
      </xdr:txBody>
    </xdr:sp>
    <xdr:clientData/>
  </xdr:twoCellAnchor>
  <xdr:twoCellAnchor>
    <xdr:from>
      <xdr:col>1</xdr:col>
      <xdr:colOff>1</xdr:colOff>
      <xdr:row>70</xdr:row>
      <xdr:rowOff>1345</xdr:rowOff>
    </xdr:from>
    <xdr:to>
      <xdr:col>17</xdr:col>
      <xdr:colOff>672353</xdr:colOff>
      <xdr:row>90</xdr:row>
      <xdr:rowOff>80682</xdr:rowOff>
    </xdr:to>
    <xdr:sp macro="" textlink="">
      <xdr:nvSpPr>
        <xdr:cNvPr id="28" name="Rectángulo 27"/>
        <xdr:cNvSpPr/>
      </xdr:nvSpPr>
      <xdr:spPr bwMode="auto">
        <a:xfrm>
          <a:off x="295836" y="12605721"/>
          <a:ext cx="13958046" cy="3665220"/>
        </a:xfrm>
        <a:prstGeom prst="rect">
          <a:avLst/>
        </a:prstGeom>
        <a:no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noFill/>
          </a:endParaRPr>
        </a:p>
      </xdr:txBody>
    </xdr:sp>
    <xdr:clientData/>
  </xdr:twoCellAnchor>
  <xdr:twoCellAnchor>
    <xdr:from>
      <xdr:col>1</xdr:col>
      <xdr:colOff>0</xdr:colOff>
      <xdr:row>91</xdr:row>
      <xdr:rowOff>10309</xdr:rowOff>
    </xdr:from>
    <xdr:to>
      <xdr:col>18</xdr:col>
      <xdr:colOff>0</xdr:colOff>
      <xdr:row>111</xdr:row>
      <xdr:rowOff>35859</xdr:rowOff>
    </xdr:to>
    <xdr:sp macro="" textlink="">
      <xdr:nvSpPr>
        <xdr:cNvPr id="30" name="Rectángulo 29"/>
        <xdr:cNvSpPr/>
      </xdr:nvSpPr>
      <xdr:spPr bwMode="auto">
        <a:xfrm>
          <a:off x="295835" y="16379862"/>
          <a:ext cx="13967012" cy="3611432"/>
        </a:xfrm>
        <a:prstGeom prst="rect">
          <a:avLst/>
        </a:prstGeom>
        <a:no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noFill/>
          </a:endParaRPr>
        </a:p>
      </xdr:txBody>
    </xdr:sp>
    <xdr:clientData/>
  </xdr:twoCellAnchor>
  <xdr:twoCellAnchor>
    <xdr:from>
      <xdr:col>1</xdr:col>
      <xdr:colOff>1</xdr:colOff>
      <xdr:row>114</xdr:row>
      <xdr:rowOff>1344</xdr:rowOff>
    </xdr:from>
    <xdr:to>
      <xdr:col>18</xdr:col>
      <xdr:colOff>0</xdr:colOff>
      <xdr:row>134</xdr:row>
      <xdr:rowOff>26894</xdr:rowOff>
    </xdr:to>
    <xdr:sp macro="" textlink="">
      <xdr:nvSpPr>
        <xdr:cNvPr id="32" name="Rectángulo 31"/>
        <xdr:cNvSpPr/>
      </xdr:nvSpPr>
      <xdr:spPr bwMode="auto">
        <a:xfrm>
          <a:off x="295836" y="20413979"/>
          <a:ext cx="13967011" cy="3620397"/>
        </a:xfrm>
        <a:prstGeom prst="rect">
          <a:avLst/>
        </a:prstGeom>
        <a:no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noFill/>
          </a:endParaRPr>
        </a:p>
      </xdr:txBody>
    </xdr:sp>
    <xdr:clientData/>
  </xdr:twoCellAnchor>
  <xdr:twoCellAnchor>
    <xdr:from>
      <xdr:col>1</xdr:col>
      <xdr:colOff>0</xdr:colOff>
      <xdr:row>189</xdr:row>
      <xdr:rowOff>8965</xdr:rowOff>
    </xdr:from>
    <xdr:to>
      <xdr:col>18</xdr:col>
      <xdr:colOff>0</xdr:colOff>
      <xdr:row>225</xdr:row>
      <xdr:rowOff>151055</xdr:rowOff>
    </xdr:to>
    <xdr:sp macro="" textlink="">
      <xdr:nvSpPr>
        <xdr:cNvPr id="34" name="Rectángulo 33"/>
        <xdr:cNvSpPr/>
      </xdr:nvSpPr>
      <xdr:spPr bwMode="auto">
        <a:xfrm>
          <a:off x="251012" y="28803600"/>
          <a:ext cx="13967012" cy="3548679"/>
        </a:xfrm>
        <a:prstGeom prst="rect">
          <a:avLst/>
        </a:prstGeom>
        <a:no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noFill/>
          </a:endParaRPr>
        </a:p>
      </xdr:txBody>
    </xdr:sp>
    <xdr:clientData/>
  </xdr:twoCellAnchor>
  <xdr:twoCellAnchor>
    <xdr:from>
      <xdr:col>1</xdr:col>
      <xdr:colOff>1</xdr:colOff>
      <xdr:row>229</xdr:row>
      <xdr:rowOff>1344</xdr:rowOff>
    </xdr:from>
    <xdr:to>
      <xdr:col>18</xdr:col>
      <xdr:colOff>2</xdr:colOff>
      <xdr:row>249</xdr:row>
      <xdr:rowOff>44823</xdr:rowOff>
    </xdr:to>
    <xdr:sp macro="" textlink="">
      <xdr:nvSpPr>
        <xdr:cNvPr id="35" name="Rectángulo 34"/>
        <xdr:cNvSpPr/>
      </xdr:nvSpPr>
      <xdr:spPr bwMode="auto">
        <a:xfrm>
          <a:off x="322730" y="34151984"/>
          <a:ext cx="8919068" cy="3759757"/>
        </a:xfrm>
        <a:prstGeom prst="rect">
          <a:avLst/>
        </a:prstGeom>
        <a:no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noFill/>
          </a:endParaRPr>
        </a:p>
      </xdr:txBody>
    </xdr:sp>
    <xdr:clientData/>
  </xdr:twoCellAnchor>
  <xdr:twoCellAnchor>
    <xdr:from>
      <xdr:col>0</xdr:col>
      <xdr:colOff>295834</xdr:colOff>
      <xdr:row>295</xdr:row>
      <xdr:rowOff>1</xdr:rowOff>
    </xdr:from>
    <xdr:to>
      <xdr:col>17</xdr:col>
      <xdr:colOff>672352</xdr:colOff>
      <xdr:row>315</xdr:row>
      <xdr:rowOff>53789</xdr:rowOff>
    </xdr:to>
    <xdr:sp macro="" textlink="">
      <xdr:nvSpPr>
        <xdr:cNvPr id="36" name="Rectángulo 35"/>
        <xdr:cNvSpPr/>
      </xdr:nvSpPr>
      <xdr:spPr bwMode="auto">
        <a:xfrm>
          <a:off x="295834" y="40870095"/>
          <a:ext cx="13958047" cy="3639670"/>
        </a:xfrm>
        <a:prstGeom prst="rect">
          <a:avLst/>
        </a:prstGeom>
        <a:no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noFill/>
          </a:endParaRPr>
        </a:p>
      </xdr:txBody>
    </xdr:sp>
    <xdr:clientData/>
  </xdr:twoCellAnchor>
  <xdr:twoCellAnchor>
    <xdr:from>
      <xdr:col>0</xdr:col>
      <xdr:colOff>0</xdr:colOff>
      <xdr:row>292</xdr:row>
      <xdr:rowOff>170330</xdr:rowOff>
    </xdr:from>
    <xdr:to>
      <xdr:col>19</xdr:col>
      <xdr:colOff>0</xdr:colOff>
      <xdr:row>349</xdr:row>
      <xdr:rowOff>8965</xdr:rowOff>
    </xdr:to>
    <xdr:sp macro="" textlink="">
      <xdr:nvSpPr>
        <xdr:cNvPr id="37" name="Rectángulo 36"/>
        <xdr:cNvSpPr/>
      </xdr:nvSpPr>
      <xdr:spPr bwMode="auto">
        <a:xfrm>
          <a:off x="0" y="40574259"/>
          <a:ext cx="15293788" cy="6938682"/>
        </a:xfrm>
        <a:prstGeom prst="rect">
          <a:avLst/>
        </a:prstGeom>
        <a:no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noFill/>
          </a:endParaRPr>
        </a:p>
      </xdr:txBody>
    </xdr:sp>
    <xdr:clientData/>
  </xdr:twoCellAnchor>
  <xdr:twoCellAnchor>
    <xdr:from>
      <xdr:col>0</xdr:col>
      <xdr:colOff>0</xdr:colOff>
      <xdr:row>227</xdr:row>
      <xdr:rowOff>1344</xdr:rowOff>
    </xdr:from>
    <xdr:to>
      <xdr:col>19</xdr:col>
      <xdr:colOff>0</xdr:colOff>
      <xdr:row>269</xdr:row>
      <xdr:rowOff>0</xdr:rowOff>
    </xdr:to>
    <xdr:sp macro="" textlink="">
      <xdr:nvSpPr>
        <xdr:cNvPr id="38" name="Rectángulo 37"/>
        <xdr:cNvSpPr/>
      </xdr:nvSpPr>
      <xdr:spPr bwMode="auto">
        <a:xfrm>
          <a:off x="0" y="32561156"/>
          <a:ext cx="15293788" cy="7322820"/>
        </a:xfrm>
        <a:prstGeom prst="rect">
          <a:avLst/>
        </a:prstGeom>
        <a:no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noFill/>
          </a:endParaRPr>
        </a:p>
      </xdr:txBody>
    </xdr:sp>
    <xdr:clientData/>
  </xdr:twoCellAnchor>
  <xdr:twoCellAnchor>
    <xdr:from>
      <xdr:col>0</xdr:col>
      <xdr:colOff>1</xdr:colOff>
      <xdr:row>112</xdr:row>
      <xdr:rowOff>1345</xdr:rowOff>
    </xdr:from>
    <xdr:to>
      <xdr:col>19</xdr:col>
      <xdr:colOff>1</xdr:colOff>
      <xdr:row>225</xdr:row>
      <xdr:rowOff>152400</xdr:rowOff>
    </xdr:to>
    <xdr:sp macro="" textlink="">
      <xdr:nvSpPr>
        <xdr:cNvPr id="39" name="Rectángulo 38"/>
        <xdr:cNvSpPr/>
      </xdr:nvSpPr>
      <xdr:spPr bwMode="auto">
        <a:xfrm>
          <a:off x="1" y="20136074"/>
          <a:ext cx="15293788" cy="12217550"/>
        </a:xfrm>
        <a:prstGeom prst="rect">
          <a:avLst/>
        </a:prstGeom>
        <a:no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noFill/>
          </a:endParaRPr>
        </a:p>
      </xdr:txBody>
    </xdr:sp>
    <xdr:clientData/>
  </xdr:twoCellAnchor>
  <xdr:twoCellAnchor>
    <xdr:from>
      <xdr:col>1</xdr:col>
      <xdr:colOff>0</xdr:colOff>
      <xdr:row>414</xdr:row>
      <xdr:rowOff>0</xdr:rowOff>
    </xdr:from>
    <xdr:to>
      <xdr:col>17</xdr:col>
      <xdr:colOff>672353</xdr:colOff>
      <xdr:row>433</xdr:row>
      <xdr:rowOff>149709</xdr:rowOff>
    </xdr:to>
    <xdr:sp macro="" textlink="">
      <xdr:nvSpPr>
        <xdr:cNvPr id="41" name="Rectángulo 40"/>
        <xdr:cNvSpPr/>
      </xdr:nvSpPr>
      <xdr:spPr bwMode="auto">
        <a:xfrm>
          <a:off x="293914" y="55299429"/>
          <a:ext cx="13898496" cy="3458966"/>
        </a:xfrm>
        <a:prstGeom prst="rect">
          <a:avLst/>
        </a:prstGeom>
        <a:no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no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9605</xdr:colOff>
      <xdr:row>65</xdr:row>
      <xdr:rowOff>32657</xdr:rowOff>
    </xdr:from>
    <xdr:to>
      <xdr:col>4</xdr:col>
      <xdr:colOff>642257</xdr:colOff>
      <xdr:row>80</xdr:row>
      <xdr:rowOff>74023</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10341</xdr:colOff>
      <xdr:row>65</xdr:row>
      <xdr:rowOff>32657</xdr:rowOff>
    </xdr:from>
    <xdr:to>
      <xdr:col>14</xdr:col>
      <xdr:colOff>751114</xdr:colOff>
      <xdr:row>80</xdr:row>
      <xdr:rowOff>130627</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250370</xdr:colOff>
      <xdr:row>64</xdr:row>
      <xdr:rowOff>-1</xdr:rowOff>
    </xdr:from>
    <xdr:to>
      <xdr:col>4</xdr:col>
      <xdr:colOff>642256</xdr:colOff>
      <xdr:row>80</xdr:row>
      <xdr:rowOff>65313</xdr:rowOff>
    </xdr:to>
    <xdr:sp macro="" textlink="">
      <xdr:nvSpPr>
        <xdr:cNvPr id="4" name="Rectángulo 3"/>
        <xdr:cNvSpPr/>
      </xdr:nvSpPr>
      <xdr:spPr bwMode="auto">
        <a:xfrm>
          <a:off x="250370" y="11288485"/>
          <a:ext cx="4713515" cy="2852057"/>
        </a:xfrm>
        <a:prstGeom prst="rect">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twoCellAnchor>
    <xdr:from>
      <xdr:col>7</xdr:col>
      <xdr:colOff>642256</xdr:colOff>
      <xdr:row>64</xdr:row>
      <xdr:rowOff>-1</xdr:rowOff>
    </xdr:from>
    <xdr:to>
      <xdr:col>15</xdr:col>
      <xdr:colOff>0</xdr:colOff>
      <xdr:row>80</xdr:row>
      <xdr:rowOff>65313</xdr:rowOff>
    </xdr:to>
    <xdr:sp macro="" textlink="">
      <xdr:nvSpPr>
        <xdr:cNvPr id="5" name="Rectángulo 4"/>
        <xdr:cNvSpPr/>
      </xdr:nvSpPr>
      <xdr:spPr bwMode="auto">
        <a:xfrm>
          <a:off x="6923313" y="11288485"/>
          <a:ext cx="4691744" cy="2852057"/>
        </a:xfrm>
        <a:prstGeom prst="rect">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s-UY"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2:S88"/>
  <sheetViews>
    <sheetView showGridLines="0" zoomScaleNormal="100" workbookViewId="0">
      <selection activeCell="S9" sqref="S9"/>
    </sheetView>
  </sheetViews>
  <sheetFormatPr baseColWidth="10" defaultColWidth="10.875" defaultRowHeight="14.4" x14ac:dyDescent="0.3"/>
  <cols>
    <col min="1" max="1" width="3.125" style="116" customWidth="1"/>
    <col min="2" max="2" width="23.25" style="1270" customWidth="1"/>
    <col min="3" max="3" width="3.75" style="131" customWidth="1"/>
    <col min="4" max="4" width="23.375" style="1270" customWidth="1"/>
    <col min="5" max="19" width="10.875" style="1270"/>
    <col min="20" max="16384" width="10.875" style="116"/>
  </cols>
  <sheetData>
    <row r="12" spans="2:19" ht="30.8" x14ac:dyDescent="0.5">
      <c r="B12" s="5491" t="s">
        <v>772</v>
      </c>
      <c r="C12" s="5491"/>
      <c r="D12" s="5491"/>
      <c r="E12" s="5491"/>
      <c r="F12" s="5491"/>
      <c r="G12" s="5491"/>
      <c r="H12" s="5491"/>
      <c r="I12" s="5491"/>
      <c r="J12" s="5491"/>
      <c r="K12" s="5491"/>
      <c r="L12" s="5491"/>
      <c r="M12" s="5491"/>
      <c r="N12" s="5491"/>
      <c r="O12" s="5491"/>
      <c r="P12" s="5491"/>
      <c r="Q12" s="5491"/>
      <c r="R12" s="5491"/>
    </row>
    <row r="13" spans="2:19" ht="13.95" customHeight="1" x14ac:dyDescent="0.5">
      <c r="B13" s="5482"/>
      <c r="C13" s="973"/>
      <c r="D13" s="5482"/>
      <c r="E13" s="5482"/>
      <c r="F13" s="5482"/>
      <c r="G13" s="5482"/>
      <c r="H13" s="5482"/>
      <c r="I13" s="5482"/>
      <c r="J13" s="5482"/>
      <c r="K13" s="5482"/>
      <c r="L13" s="5482"/>
      <c r="M13" s="5482"/>
      <c r="N13" s="5482"/>
      <c r="O13" s="5482"/>
      <c r="P13" s="5482"/>
      <c r="Q13" s="5482"/>
      <c r="R13" s="5482"/>
    </row>
    <row r="14" spans="2:19" ht="15.75" x14ac:dyDescent="0.3">
      <c r="B14" s="117" t="s">
        <v>289</v>
      </c>
      <c r="C14" s="974"/>
      <c r="D14" s="118"/>
      <c r="E14" s="118"/>
      <c r="F14" s="118"/>
      <c r="G14" s="118"/>
      <c r="H14" s="118"/>
      <c r="I14" s="118"/>
      <c r="J14" s="118"/>
      <c r="K14" s="118"/>
      <c r="L14" s="118"/>
      <c r="M14" s="118"/>
      <c r="N14" s="118"/>
      <c r="O14" s="118"/>
      <c r="P14" s="118"/>
      <c r="Q14" s="118"/>
      <c r="R14" s="118"/>
      <c r="S14" s="118"/>
    </row>
    <row r="15" spans="2:19" x14ac:dyDescent="0.3">
      <c r="D15" s="1270" t="s">
        <v>779</v>
      </c>
    </row>
    <row r="16" spans="2:19" ht="15.75" x14ac:dyDescent="0.3">
      <c r="B16" s="117" t="s">
        <v>775</v>
      </c>
      <c r="C16" s="974"/>
      <c r="D16" s="118"/>
      <c r="E16" s="118"/>
      <c r="F16" s="118"/>
      <c r="G16" s="118"/>
      <c r="H16" s="118"/>
      <c r="I16" s="118"/>
      <c r="J16" s="118"/>
      <c r="K16" s="118"/>
      <c r="L16" s="118"/>
      <c r="M16" s="118"/>
      <c r="N16" s="118"/>
      <c r="O16" s="118"/>
      <c r="P16" s="118"/>
      <c r="Q16" s="118"/>
      <c r="R16" s="118"/>
      <c r="S16" s="118"/>
    </row>
    <row r="17" spans="2:19" x14ac:dyDescent="0.3">
      <c r="B17" s="119" t="s">
        <v>776</v>
      </c>
      <c r="C17" s="975"/>
      <c r="D17" s="2385" t="s">
        <v>778</v>
      </c>
      <c r="E17" s="2385"/>
      <c r="F17" s="2385"/>
      <c r="G17" s="2385"/>
      <c r="H17" s="2385"/>
      <c r="I17" s="2385"/>
      <c r="J17" s="2385"/>
      <c r="K17" s="2385"/>
      <c r="L17" s="2385"/>
      <c r="M17" s="2385"/>
      <c r="N17" s="2385"/>
      <c r="O17" s="2385"/>
      <c r="P17" s="2385"/>
      <c r="Q17" s="2385"/>
      <c r="R17" s="2385"/>
      <c r="S17" s="2385"/>
    </row>
    <row r="18" spans="2:19" x14ac:dyDescent="0.3">
      <c r="B18" s="120" t="s">
        <v>633</v>
      </c>
      <c r="C18" s="976"/>
      <c r="D18" s="2385" t="s">
        <v>777</v>
      </c>
      <c r="E18" s="2385"/>
      <c r="F18" s="2385"/>
      <c r="G18" s="2385"/>
      <c r="H18" s="2385"/>
      <c r="I18" s="2385"/>
      <c r="J18" s="2385"/>
      <c r="K18" s="2385"/>
      <c r="L18" s="2385"/>
      <c r="M18" s="2385"/>
      <c r="N18" s="2385"/>
      <c r="O18" s="2385"/>
      <c r="P18" s="2385"/>
      <c r="Q18" s="2385"/>
      <c r="R18" s="2385"/>
      <c r="S18" s="2385"/>
    </row>
    <row r="19" spans="2:19" x14ac:dyDescent="0.3">
      <c r="B19" s="121"/>
      <c r="C19" s="116"/>
      <c r="D19" s="1270" t="s">
        <v>290</v>
      </c>
    </row>
    <row r="20" spans="2:19" x14ac:dyDescent="0.3">
      <c r="B20" s="122">
        <v>20</v>
      </c>
      <c r="C20" s="731"/>
      <c r="D20" s="1270" t="s">
        <v>291</v>
      </c>
    </row>
    <row r="21" spans="2:19" x14ac:dyDescent="0.3">
      <c r="B21" s="123" t="s">
        <v>770</v>
      </c>
      <c r="C21" s="1343"/>
      <c r="D21" s="1270" t="s">
        <v>771</v>
      </c>
    </row>
    <row r="22" spans="2:19" x14ac:dyDescent="0.3">
      <c r="B22" s="124"/>
      <c r="C22" s="977"/>
      <c r="D22" s="1270" t="s">
        <v>789</v>
      </c>
    </row>
    <row r="23" spans="2:19" x14ac:dyDescent="0.3">
      <c r="B23" s="954">
        <v>1.5</v>
      </c>
      <c r="C23" s="116"/>
      <c r="D23" s="2385" t="s">
        <v>1601</v>
      </c>
      <c r="E23" s="2385"/>
      <c r="F23" s="2385"/>
      <c r="G23" s="2385"/>
      <c r="H23" s="2385"/>
      <c r="I23" s="2385"/>
      <c r="J23" s="2385"/>
      <c r="K23" s="2385"/>
      <c r="L23" s="2385"/>
      <c r="M23" s="2385"/>
      <c r="N23" s="2385"/>
      <c r="O23" s="2385"/>
      <c r="P23" s="2385"/>
      <c r="Q23" s="2385"/>
      <c r="R23" s="116"/>
      <c r="S23" s="116"/>
    </row>
    <row r="24" spans="2:19" x14ac:dyDescent="0.3">
      <c r="B24" s="125"/>
      <c r="C24" s="977"/>
      <c r="D24" s="2385"/>
      <c r="E24" s="2385"/>
      <c r="F24" s="2385"/>
      <c r="G24" s="2385"/>
      <c r="H24" s="2385"/>
      <c r="I24" s="2385"/>
      <c r="J24" s="2385"/>
      <c r="K24" s="2385"/>
      <c r="L24" s="2385"/>
      <c r="M24" s="2385"/>
      <c r="N24" s="2385"/>
      <c r="O24" s="2385"/>
      <c r="P24" s="2385"/>
      <c r="Q24" s="2385"/>
      <c r="R24" s="2385"/>
      <c r="S24" s="2385"/>
    </row>
    <row r="25" spans="2:19" ht="15.75" x14ac:dyDescent="0.3">
      <c r="B25" s="117" t="s">
        <v>1710</v>
      </c>
      <c r="C25" s="974"/>
      <c r="D25" s="118"/>
      <c r="E25" s="118"/>
      <c r="F25" s="118"/>
      <c r="G25" s="118"/>
      <c r="H25" s="118"/>
      <c r="I25" s="118"/>
      <c r="J25" s="118"/>
      <c r="K25" s="118"/>
      <c r="L25" s="118"/>
      <c r="M25" s="118"/>
      <c r="N25" s="118"/>
      <c r="O25" s="118"/>
      <c r="P25" s="118"/>
      <c r="Q25" s="118"/>
      <c r="R25" s="118"/>
      <c r="S25" s="118"/>
    </row>
    <row r="26" spans="2:19" x14ac:dyDescent="0.3">
      <c r="B26" s="2385"/>
      <c r="C26" s="116"/>
      <c r="D26" s="2385"/>
      <c r="E26" s="2385"/>
      <c r="F26" s="2385"/>
      <c r="G26" s="2385"/>
      <c r="H26" s="2385"/>
      <c r="I26" s="2385"/>
      <c r="J26" s="2385"/>
      <c r="K26" s="2385"/>
      <c r="L26" s="2385"/>
      <c r="M26" s="2385"/>
      <c r="N26" s="2385"/>
      <c r="O26" s="2385"/>
      <c r="P26" s="2385"/>
      <c r="Q26" s="2385"/>
      <c r="R26" s="2385"/>
      <c r="S26" s="2385"/>
    </row>
    <row r="27" spans="2:19" x14ac:dyDescent="0.3">
      <c r="B27" s="980" t="s">
        <v>267</v>
      </c>
      <c r="C27" s="978"/>
      <c r="D27" s="980" t="s">
        <v>270</v>
      </c>
      <c r="E27" s="116"/>
      <c r="F27" s="116"/>
      <c r="G27" s="2385"/>
      <c r="H27" s="2385"/>
      <c r="I27" s="2385"/>
      <c r="J27" s="2385"/>
      <c r="K27" s="2385"/>
      <c r="L27" s="2385"/>
      <c r="M27" s="2385"/>
      <c r="N27" s="2385"/>
      <c r="O27" s="2385"/>
      <c r="P27" s="2385"/>
      <c r="Q27" s="2385"/>
      <c r="R27" s="2385"/>
      <c r="S27" s="2385"/>
    </row>
    <row r="28" spans="2:19" ht="6.05" customHeight="1" x14ac:dyDescent="0.3">
      <c r="B28" s="979"/>
      <c r="C28" s="731"/>
      <c r="D28" s="116"/>
      <c r="E28" s="116"/>
      <c r="F28" s="731"/>
      <c r="G28" s="116"/>
      <c r="H28" s="116"/>
      <c r="I28" s="116"/>
      <c r="J28" s="116"/>
      <c r="K28" s="116"/>
      <c r="L28" s="116"/>
      <c r="M28" s="116"/>
      <c r="N28" s="116"/>
      <c r="O28" s="116"/>
      <c r="P28" s="116"/>
      <c r="Q28" s="116"/>
      <c r="R28" s="116"/>
      <c r="S28" s="116"/>
    </row>
    <row r="29" spans="2:19" x14ac:dyDescent="0.3">
      <c r="B29" s="980" t="s">
        <v>751</v>
      </c>
      <c r="C29" s="978"/>
      <c r="D29" s="980" t="s">
        <v>268</v>
      </c>
      <c r="E29" s="116"/>
      <c r="F29" s="116"/>
      <c r="G29" s="2385"/>
      <c r="H29" s="2385"/>
      <c r="I29" s="2385"/>
      <c r="J29" s="2385"/>
      <c r="K29" s="2385"/>
      <c r="L29" s="2385"/>
      <c r="M29" s="2385"/>
      <c r="N29" s="2385"/>
      <c r="O29" s="2385"/>
      <c r="P29" s="2385"/>
      <c r="Q29" s="2385"/>
      <c r="R29" s="2385"/>
      <c r="S29" s="2385"/>
    </row>
    <row r="30" spans="2:19" ht="6.05" customHeight="1" x14ac:dyDescent="0.3">
      <c r="B30" s="979"/>
      <c r="C30" s="731"/>
      <c r="D30" s="116"/>
      <c r="E30" s="116"/>
      <c r="F30" s="731"/>
      <c r="G30" s="116"/>
      <c r="H30" s="116"/>
      <c r="I30" s="116"/>
      <c r="J30" s="116"/>
      <c r="K30" s="116"/>
      <c r="L30" s="116"/>
      <c r="M30" s="116"/>
      <c r="N30" s="116"/>
      <c r="O30" s="116"/>
      <c r="P30" s="116"/>
      <c r="Q30" s="116"/>
      <c r="R30" s="116"/>
      <c r="S30" s="116"/>
    </row>
    <row r="31" spans="2:19" x14ac:dyDescent="0.3">
      <c r="B31" s="980" t="s">
        <v>1711</v>
      </c>
      <c r="C31" s="978"/>
      <c r="D31" s="980" t="s">
        <v>1712</v>
      </c>
      <c r="E31" s="116"/>
      <c r="F31" s="116"/>
      <c r="G31" s="2385"/>
      <c r="H31" s="2385"/>
      <c r="I31" s="2385"/>
      <c r="J31" s="2385"/>
      <c r="K31" s="2385"/>
      <c r="L31" s="2385"/>
      <c r="M31" s="2385"/>
      <c r="N31" s="2385"/>
      <c r="O31" s="2385"/>
      <c r="P31" s="2385"/>
      <c r="Q31" s="2385"/>
      <c r="R31" s="2385"/>
      <c r="S31" s="2385"/>
    </row>
    <row r="32" spans="2:19" ht="6.05" customHeight="1" x14ac:dyDescent="0.3">
      <c r="B32" s="979"/>
      <c r="C32" s="731"/>
      <c r="D32" s="116"/>
      <c r="E32" s="116"/>
      <c r="F32" s="731"/>
      <c r="G32" s="116"/>
      <c r="H32" s="116"/>
      <c r="I32" s="116"/>
      <c r="J32" s="116"/>
      <c r="K32" s="116"/>
      <c r="L32" s="116"/>
      <c r="M32" s="116"/>
      <c r="N32" s="116"/>
      <c r="O32" s="116"/>
      <c r="P32" s="116"/>
      <c r="Q32" s="116"/>
      <c r="R32" s="116"/>
      <c r="S32" s="116"/>
    </row>
    <row r="33" spans="2:19" x14ac:dyDescent="0.3">
      <c r="B33" s="980" t="s">
        <v>1713</v>
      </c>
      <c r="C33" s="978"/>
      <c r="D33" s="980" t="s">
        <v>1714</v>
      </c>
      <c r="E33" s="116"/>
      <c r="F33" s="116"/>
      <c r="G33" s="2385"/>
      <c r="H33" s="2385"/>
      <c r="I33" s="2385"/>
      <c r="J33" s="2385"/>
      <c r="K33" s="2385"/>
      <c r="L33" s="2385"/>
      <c r="M33" s="2385"/>
      <c r="N33" s="2385"/>
      <c r="O33" s="2385"/>
      <c r="P33" s="2385"/>
      <c r="Q33" s="2385"/>
      <c r="R33" s="2385"/>
      <c r="S33" s="2385"/>
    </row>
    <row r="34" spans="2:19" ht="6.05" customHeight="1" x14ac:dyDescent="0.3">
      <c r="B34" s="979"/>
      <c r="C34" s="731"/>
      <c r="D34" s="116"/>
      <c r="E34" s="116"/>
      <c r="F34" s="731"/>
      <c r="G34" s="116"/>
      <c r="H34" s="116"/>
      <c r="I34" s="116"/>
      <c r="J34" s="116"/>
      <c r="K34" s="116"/>
      <c r="L34" s="116"/>
      <c r="M34" s="116"/>
      <c r="N34" s="116"/>
      <c r="O34" s="116"/>
      <c r="P34" s="116"/>
      <c r="Q34" s="116"/>
      <c r="R34" s="116"/>
      <c r="S34" s="116"/>
    </row>
    <row r="35" spans="2:19" x14ac:dyDescent="0.3">
      <c r="B35" s="980" t="s">
        <v>1715</v>
      </c>
      <c r="C35" s="978"/>
      <c r="D35" s="980" t="s">
        <v>255</v>
      </c>
      <c r="E35" s="116"/>
      <c r="F35" s="116"/>
      <c r="G35" s="2385"/>
      <c r="H35" s="2385"/>
      <c r="I35" s="2385"/>
      <c r="J35" s="2385"/>
      <c r="K35" s="2385"/>
      <c r="L35" s="2385"/>
      <c r="M35" s="2385"/>
      <c r="N35" s="2385"/>
      <c r="O35" s="2385"/>
      <c r="P35" s="2385"/>
      <c r="Q35" s="2385"/>
      <c r="R35" s="2385"/>
      <c r="S35" s="2385"/>
    </row>
    <row r="36" spans="2:19" ht="6.05" customHeight="1" x14ac:dyDescent="0.3">
      <c r="B36" s="979"/>
      <c r="C36" s="731"/>
      <c r="D36" s="116"/>
      <c r="E36" s="116"/>
      <c r="F36" s="731"/>
      <c r="G36" s="116"/>
      <c r="H36" s="116"/>
      <c r="I36" s="116"/>
      <c r="J36" s="116"/>
      <c r="K36" s="116"/>
      <c r="L36" s="116"/>
      <c r="M36" s="116"/>
      <c r="N36" s="116"/>
      <c r="O36" s="116"/>
      <c r="P36" s="116"/>
      <c r="Q36" s="116"/>
      <c r="R36" s="116"/>
      <c r="S36" s="116"/>
    </row>
    <row r="37" spans="2:19" x14ac:dyDescent="0.3">
      <c r="B37" s="980" t="s">
        <v>731</v>
      </c>
      <c r="C37" s="978"/>
      <c r="D37" s="980" t="s">
        <v>1717</v>
      </c>
      <c r="E37" s="116"/>
      <c r="F37" s="116"/>
      <c r="G37" s="2385"/>
      <c r="H37" s="2385"/>
      <c r="I37" s="2385"/>
      <c r="J37" s="2385"/>
      <c r="K37" s="2385"/>
      <c r="L37" s="2385"/>
      <c r="M37" s="2385"/>
      <c r="N37" s="2385"/>
      <c r="O37" s="2385"/>
      <c r="P37" s="2385"/>
      <c r="Q37" s="2385"/>
      <c r="R37" s="2385"/>
      <c r="S37" s="2385"/>
    </row>
    <row r="38" spans="2:19" ht="6.05" customHeight="1" x14ac:dyDescent="0.3">
      <c r="B38" s="979"/>
      <c r="C38" s="731"/>
      <c r="D38" s="116"/>
      <c r="E38" s="116"/>
      <c r="F38" s="731"/>
      <c r="G38" s="116"/>
      <c r="H38" s="116"/>
      <c r="I38" s="116"/>
      <c r="J38" s="116"/>
      <c r="K38" s="116"/>
      <c r="L38" s="116"/>
      <c r="M38" s="116"/>
      <c r="N38" s="116"/>
      <c r="O38" s="116"/>
      <c r="P38" s="116"/>
      <c r="Q38" s="116"/>
      <c r="R38" s="116"/>
      <c r="S38" s="116"/>
    </row>
    <row r="39" spans="2:19" x14ac:dyDescent="0.3">
      <c r="B39" s="980" t="s">
        <v>1720</v>
      </c>
      <c r="C39" s="978"/>
      <c r="D39" s="980" t="s">
        <v>1718</v>
      </c>
      <c r="E39" s="116"/>
      <c r="F39" s="116"/>
      <c r="G39" s="2385"/>
      <c r="H39" s="2385"/>
      <c r="I39" s="2385"/>
      <c r="J39" s="2385"/>
      <c r="K39" s="2385"/>
      <c r="L39" s="2385"/>
      <c r="M39" s="2385"/>
      <c r="N39" s="2385"/>
      <c r="O39" s="2385"/>
      <c r="P39" s="2385"/>
      <c r="Q39" s="2385"/>
      <c r="R39" s="2385"/>
      <c r="S39" s="2385"/>
    </row>
    <row r="40" spans="2:19" ht="6.05" customHeight="1" x14ac:dyDescent="0.3">
      <c r="B40" s="979"/>
      <c r="C40" s="731"/>
      <c r="D40" s="116"/>
      <c r="E40" s="116"/>
      <c r="F40" s="731"/>
      <c r="G40" s="116"/>
      <c r="H40" s="116"/>
      <c r="I40" s="116"/>
      <c r="J40" s="116"/>
      <c r="K40" s="116"/>
      <c r="L40" s="116"/>
      <c r="M40" s="116"/>
      <c r="N40" s="116"/>
      <c r="O40" s="116"/>
      <c r="P40" s="116"/>
      <c r="Q40" s="116"/>
      <c r="R40" s="116"/>
      <c r="S40" s="116"/>
    </row>
    <row r="41" spans="2:19" x14ac:dyDescent="0.3">
      <c r="B41" s="980" t="s">
        <v>1719</v>
      </c>
      <c r="C41" s="978"/>
      <c r="D41" s="980" t="s">
        <v>1723</v>
      </c>
      <c r="E41" s="116"/>
      <c r="F41" s="116"/>
      <c r="G41" s="2385"/>
      <c r="H41" s="2385"/>
      <c r="I41" s="2385"/>
      <c r="J41" s="2385"/>
      <c r="K41" s="2385"/>
      <c r="L41" s="2385"/>
      <c r="M41" s="2385"/>
      <c r="N41" s="2385"/>
      <c r="O41" s="2385"/>
      <c r="P41" s="2385"/>
      <c r="Q41" s="2385"/>
      <c r="R41" s="2385"/>
      <c r="S41" s="2385"/>
    </row>
    <row r="42" spans="2:19" ht="6.05" customHeight="1" x14ac:dyDescent="0.3">
      <c r="B42" s="979"/>
      <c r="C42" s="731"/>
      <c r="D42" s="116"/>
      <c r="E42" s="116"/>
      <c r="F42" s="731"/>
      <c r="G42" s="116"/>
      <c r="H42" s="116"/>
      <c r="I42" s="116"/>
      <c r="J42" s="116"/>
      <c r="K42" s="116"/>
      <c r="L42" s="116"/>
      <c r="M42" s="116"/>
      <c r="N42" s="116"/>
      <c r="O42" s="116"/>
      <c r="P42" s="116"/>
      <c r="Q42" s="116"/>
      <c r="R42" s="116"/>
      <c r="S42" s="116"/>
    </row>
    <row r="43" spans="2:19" x14ac:dyDescent="0.3">
      <c r="B43" s="980" t="s">
        <v>1721</v>
      </c>
      <c r="C43" s="978"/>
      <c r="D43" s="980" t="s">
        <v>1716</v>
      </c>
      <c r="E43" s="116"/>
      <c r="F43" s="116"/>
      <c r="G43" s="2385"/>
      <c r="H43" s="2385"/>
      <c r="I43" s="2385"/>
      <c r="J43" s="2385"/>
      <c r="K43" s="2385"/>
      <c r="L43" s="2385"/>
      <c r="M43" s="2385"/>
      <c r="N43" s="2385"/>
      <c r="O43" s="2385"/>
      <c r="P43" s="2385"/>
      <c r="Q43" s="2385"/>
      <c r="R43" s="2385"/>
      <c r="S43" s="2385"/>
    </row>
    <row r="44" spans="2:19" x14ac:dyDescent="0.3">
      <c r="B44" s="2385"/>
      <c r="C44" s="116"/>
      <c r="D44" s="2385"/>
      <c r="E44" s="2385"/>
      <c r="F44" s="2385"/>
      <c r="G44" s="2385"/>
      <c r="H44" s="2385"/>
      <c r="I44" s="2385"/>
      <c r="J44" s="2385"/>
      <c r="K44" s="2385"/>
      <c r="L44" s="2385"/>
      <c r="M44" s="2385"/>
      <c r="N44" s="2385"/>
      <c r="O44" s="2385"/>
      <c r="P44" s="2385"/>
      <c r="Q44" s="2385"/>
      <c r="R44" s="2385"/>
      <c r="S44" s="2385"/>
    </row>
    <row r="45" spans="2:19" x14ac:dyDescent="0.3">
      <c r="B45" s="2385"/>
      <c r="C45" s="116"/>
      <c r="D45" s="2385"/>
      <c r="E45" s="2385"/>
      <c r="F45" s="2385"/>
      <c r="G45" s="2385"/>
      <c r="H45" s="2385"/>
      <c r="I45" s="2385"/>
      <c r="J45" s="2385"/>
      <c r="K45" s="2385"/>
      <c r="L45" s="2385"/>
      <c r="M45" s="2385"/>
      <c r="N45" s="2385"/>
      <c r="O45" s="2385"/>
      <c r="P45" s="2385"/>
      <c r="Q45" s="2385"/>
      <c r="R45" s="2385"/>
      <c r="S45" s="2385"/>
    </row>
    <row r="46" spans="2:19" x14ac:dyDescent="0.3">
      <c r="B46" s="2385"/>
      <c r="C46" s="116"/>
      <c r="D46" s="2385"/>
      <c r="E46" s="2385"/>
      <c r="F46" s="2385"/>
      <c r="G46" s="2385"/>
      <c r="H46" s="2385"/>
      <c r="I46" s="2385"/>
      <c r="J46" s="2385"/>
      <c r="K46" s="2385"/>
      <c r="L46" s="2385"/>
      <c r="M46" s="2385"/>
      <c r="N46" s="2385"/>
      <c r="O46" s="2385"/>
      <c r="P46" s="2385"/>
      <c r="Q46" s="2385"/>
      <c r="R46" s="2385"/>
      <c r="S46" s="2385"/>
    </row>
    <row r="47" spans="2:19" x14ac:dyDescent="0.3">
      <c r="B47" s="2385"/>
      <c r="C47" s="116"/>
      <c r="D47" s="2385"/>
      <c r="E47" s="2385"/>
      <c r="F47" s="2385"/>
      <c r="G47" s="2385"/>
      <c r="H47" s="2385"/>
      <c r="I47" s="2385"/>
      <c r="J47" s="2385"/>
      <c r="K47" s="2385"/>
      <c r="L47" s="2385"/>
      <c r="M47" s="2385"/>
      <c r="N47" s="2385"/>
      <c r="O47" s="2385"/>
      <c r="P47" s="2385"/>
      <c r="Q47" s="2385"/>
      <c r="R47" s="2385"/>
      <c r="S47" s="2385"/>
    </row>
    <row r="48" spans="2:19" s="127" customFormat="1" ht="15.05" hidden="1" x14ac:dyDescent="0.25">
      <c r="B48" s="117" t="s">
        <v>841</v>
      </c>
      <c r="C48" s="974"/>
      <c r="D48" s="117"/>
      <c r="E48" s="117"/>
      <c r="F48" s="117"/>
      <c r="G48" s="117"/>
      <c r="H48" s="117"/>
      <c r="I48" s="117"/>
      <c r="J48" s="117"/>
      <c r="K48" s="117"/>
      <c r="L48" s="117"/>
      <c r="M48" s="117"/>
      <c r="N48" s="117"/>
      <c r="O48" s="117"/>
      <c r="P48" s="117"/>
      <c r="Q48" s="117"/>
      <c r="R48" s="117"/>
      <c r="S48" s="117"/>
    </row>
    <row r="49" spans="2:19" ht="15.05" hidden="1" thickBot="1" x14ac:dyDescent="0.35"/>
    <row r="50" spans="2:19" hidden="1" x14ac:dyDescent="0.3">
      <c r="B50" s="128" t="s">
        <v>267</v>
      </c>
      <c r="C50" s="1327"/>
      <c r="D50" s="129" t="s">
        <v>768</v>
      </c>
      <c r="E50" s="129" t="s">
        <v>767</v>
      </c>
      <c r="F50" s="129"/>
      <c r="G50" s="129"/>
      <c r="H50" s="129"/>
      <c r="I50" s="129"/>
      <c r="J50" s="129"/>
      <c r="K50" s="129"/>
      <c r="L50" s="1328"/>
      <c r="M50" s="1329"/>
      <c r="N50" s="1329"/>
      <c r="O50" s="1329"/>
      <c r="P50" s="1329"/>
      <c r="Q50" s="129"/>
      <c r="R50" s="129"/>
      <c r="S50" s="132"/>
    </row>
    <row r="51" spans="2:19" hidden="1" x14ac:dyDescent="0.3">
      <c r="B51" s="1330"/>
      <c r="C51" s="130"/>
      <c r="D51" s="131"/>
      <c r="E51" s="131" t="s">
        <v>765</v>
      </c>
      <c r="F51" s="131"/>
      <c r="G51" s="131"/>
      <c r="H51" s="131"/>
      <c r="I51" s="131"/>
      <c r="J51" s="131"/>
      <c r="K51" s="131"/>
      <c r="L51" s="1331"/>
      <c r="M51" s="1332"/>
      <c r="N51" s="1331"/>
      <c r="O51" s="1332"/>
      <c r="P51" s="1332"/>
      <c r="Q51" s="131"/>
      <c r="R51" s="131"/>
      <c r="S51" s="1333"/>
    </row>
    <row r="52" spans="2:19" hidden="1" x14ac:dyDescent="0.3">
      <c r="B52" s="1330"/>
      <c r="C52" s="130"/>
      <c r="D52" s="131"/>
      <c r="E52" s="131" t="s">
        <v>641</v>
      </c>
      <c r="F52" s="131"/>
      <c r="G52" s="131"/>
      <c r="H52" s="131"/>
      <c r="I52" s="131"/>
      <c r="J52" s="131"/>
      <c r="K52" s="131"/>
      <c r="L52" s="1331"/>
      <c r="M52" s="1332"/>
      <c r="N52" s="1331"/>
      <c r="O52" s="1332"/>
      <c r="P52" s="1332"/>
      <c r="Q52" s="131"/>
      <c r="R52" s="131"/>
      <c r="S52" s="1333"/>
    </row>
    <row r="53" spans="2:19" hidden="1" x14ac:dyDescent="0.3">
      <c r="B53" s="1330"/>
      <c r="C53" s="130"/>
      <c r="D53" s="131"/>
      <c r="E53" s="131" t="s">
        <v>766</v>
      </c>
      <c r="F53" s="131"/>
      <c r="G53" s="131"/>
      <c r="H53" s="131"/>
      <c r="I53" s="131"/>
      <c r="J53" s="131"/>
      <c r="K53" s="131"/>
      <c r="L53" s="1331"/>
      <c r="M53" s="1332"/>
      <c r="N53" s="1331"/>
      <c r="O53" s="1332"/>
      <c r="P53" s="1332"/>
      <c r="Q53" s="131"/>
      <c r="R53" s="131"/>
      <c r="S53" s="1333"/>
    </row>
    <row r="54" spans="2:19" hidden="1" x14ac:dyDescent="0.3">
      <c r="B54" s="1330"/>
      <c r="C54" s="130"/>
      <c r="D54" s="131"/>
      <c r="E54" s="131" t="s">
        <v>642</v>
      </c>
      <c r="F54" s="131"/>
      <c r="G54" s="131"/>
      <c r="H54" s="131"/>
      <c r="I54" s="131"/>
      <c r="J54" s="131"/>
      <c r="K54" s="131"/>
      <c r="L54" s="1331"/>
      <c r="M54" s="1332"/>
      <c r="N54" s="1334"/>
      <c r="O54" s="1332"/>
      <c r="P54" s="1332"/>
      <c r="Q54" s="131"/>
      <c r="R54" s="131"/>
      <c r="S54" s="1333"/>
    </row>
    <row r="55" spans="2:19" hidden="1" x14ac:dyDescent="0.3">
      <c r="B55" s="1330"/>
      <c r="C55" s="130"/>
      <c r="D55" s="131"/>
      <c r="E55" s="131" t="s">
        <v>643</v>
      </c>
      <c r="F55" s="131"/>
      <c r="G55" s="131"/>
      <c r="H55" s="131"/>
      <c r="I55" s="131"/>
      <c r="J55" s="131"/>
      <c r="K55" s="131"/>
      <c r="L55" s="1334"/>
      <c r="M55" s="1332"/>
      <c r="N55" s="1334"/>
      <c r="O55" s="1332"/>
      <c r="P55" s="1332"/>
      <c r="Q55" s="131"/>
      <c r="R55" s="131"/>
      <c r="S55" s="1333"/>
    </row>
    <row r="56" spans="2:19" hidden="1" x14ac:dyDescent="0.3">
      <c r="B56" s="1330"/>
      <c r="C56" s="130"/>
      <c r="D56" s="131"/>
      <c r="E56" s="131" t="s">
        <v>421</v>
      </c>
      <c r="F56" s="131"/>
      <c r="G56" s="131"/>
      <c r="H56" s="131"/>
      <c r="I56" s="131"/>
      <c r="J56" s="131"/>
      <c r="K56" s="131"/>
      <c r="L56" s="131"/>
      <c r="M56" s="131"/>
      <c r="N56" s="131"/>
      <c r="O56" s="131"/>
      <c r="P56" s="131"/>
      <c r="Q56" s="131"/>
      <c r="R56" s="131"/>
      <c r="S56" s="1333"/>
    </row>
    <row r="57" spans="2:19" ht="15.05" hidden="1" thickBot="1" x14ac:dyDescent="0.35">
      <c r="B57" s="1335"/>
      <c r="C57" s="1336"/>
      <c r="D57" s="134"/>
      <c r="E57" s="134" t="s">
        <v>644</v>
      </c>
      <c r="F57" s="134"/>
      <c r="G57" s="134"/>
      <c r="H57" s="134"/>
      <c r="I57" s="134"/>
      <c r="J57" s="134"/>
      <c r="K57" s="134"/>
      <c r="L57" s="134"/>
      <c r="M57" s="134"/>
      <c r="N57" s="134"/>
      <c r="O57" s="134"/>
      <c r="P57" s="134"/>
      <c r="Q57" s="134"/>
      <c r="R57" s="134"/>
      <c r="S57" s="1337"/>
    </row>
    <row r="58" spans="2:19" hidden="1" x14ac:dyDescent="0.3">
      <c r="B58" s="128" t="s">
        <v>270</v>
      </c>
      <c r="C58" s="1338"/>
      <c r="D58" s="129" t="s">
        <v>781</v>
      </c>
      <c r="E58" s="129"/>
      <c r="F58" s="129"/>
      <c r="G58" s="129"/>
      <c r="H58" s="129"/>
      <c r="I58" s="129"/>
      <c r="J58" s="129"/>
      <c r="K58" s="129"/>
      <c r="L58" s="129"/>
      <c r="M58" s="129"/>
      <c r="N58" s="129"/>
      <c r="O58" s="129"/>
      <c r="P58" s="129"/>
      <c r="Q58" s="129"/>
      <c r="R58" s="129"/>
      <c r="S58" s="132"/>
    </row>
    <row r="59" spans="2:19" hidden="1" x14ac:dyDescent="0.3">
      <c r="B59" s="1330"/>
      <c r="C59" s="130"/>
      <c r="D59" s="116" t="s">
        <v>782</v>
      </c>
      <c r="E59" s="131"/>
      <c r="F59" s="131"/>
      <c r="G59" s="131"/>
      <c r="H59" s="131"/>
      <c r="I59" s="131"/>
      <c r="J59" s="131"/>
      <c r="K59" s="131"/>
      <c r="L59" s="131"/>
      <c r="M59" s="131"/>
      <c r="N59" s="131"/>
      <c r="O59" s="131"/>
      <c r="P59" s="131"/>
      <c r="Q59" s="131"/>
      <c r="R59" s="131"/>
      <c r="S59" s="1333"/>
    </row>
    <row r="60" spans="2:19" hidden="1" x14ac:dyDescent="0.3">
      <c r="B60" s="1330"/>
      <c r="C60" s="130"/>
      <c r="D60" s="116" t="s">
        <v>784</v>
      </c>
      <c r="E60" s="131"/>
      <c r="F60" s="131"/>
      <c r="G60" s="131"/>
      <c r="H60" s="131"/>
      <c r="I60" s="131"/>
      <c r="J60" s="131"/>
      <c r="K60" s="131"/>
      <c r="L60" s="131"/>
      <c r="M60" s="131"/>
      <c r="N60" s="131"/>
      <c r="O60" s="131"/>
      <c r="P60" s="131"/>
      <c r="Q60" s="131"/>
      <c r="R60" s="131"/>
      <c r="S60" s="1333"/>
    </row>
    <row r="61" spans="2:19" ht="15.05" hidden="1" thickBot="1" x14ac:dyDescent="0.35">
      <c r="B61" s="1335"/>
      <c r="C61" s="1336"/>
      <c r="D61" s="134" t="s">
        <v>783</v>
      </c>
      <c r="E61" s="134"/>
      <c r="F61" s="134"/>
      <c r="G61" s="134"/>
      <c r="H61" s="134"/>
      <c r="I61" s="134"/>
      <c r="J61" s="134"/>
      <c r="K61" s="134"/>
      <c r="L61" s="134"/>
      <c r="M61" s="134"/>
      <c r="N61" s="134"/>
      <c r="O61" s="134"/>
      <c r="P61" s="134"/>
      <c r="Q61" s="134"/>
      <c r="R61" s="134"/>
      <c r="S61" s="1337"/>
    </row>
    <row r="62" spans="2:19" ht="15.05" hidden="1" thickBot="1" x14ac:dyDescent="0.35">
      <c r="B62" s="135" t="s">
        <v>116</v>
      </c>
      <c r="C62" s="1339"/>
      <c r="D62" s="136" t="s">
        <v>278</v>
      </c>
      <c r="E62" s="136"/>
      <c r="F62" s="136"/>
      <c r="G62" s="136"/>
      <c r="H62" s="136"/>
      <c r="I62" s="136"/>
      <c r="J62" s="136"/>
      <c r="K62" s="136"/>
      <c r="L62" s="136"/>
      <c r="M62" s="136"/>
      <c r="N62" s="136"/>
      <c r="O62" s="136"/>
      <c r="P62" s="136"/>
      <c r="Q62" s="136"/>
      <c r="R62" s="136"/>
      <c r="S62" s="1340"/>
    </row>
    <row r="63" spans="2:19" hidden="1" x14ac:dyDescent="0.3">
      <c r="B63" s="128" t="s">
        <v>268</v>
      </c>
      <c r="C63" s="1338"/>
      <c r="D63" s="129" t="s">
        <v>281</v>
      </c>
      <c r="E63" s="129"/>
      <c r="F63" s="129"/>
      <c r="G63" s="129"/>
      <c r="H63" s="129"/>
      <c r="I63" s="129"/>
      <c r="J63" s="129"/>
      <c r="K63" s="129"/>
      <c r="L63" s="129"/>
      <c r="M63" s="129"/>
      <c r="N63" s="129"/>
      <c r="O63" s="129"/>
      <c r="P63" s="129"/>
      <c r="Q63" s="129"/>
      <c r="R63" s="129"/>
      <c r="S63" s="132"/>
    </row>
    <row r="64" spans="2:19" ht="15.05" hidden="1" thickBot="1" x14ac:dyDescent="0.35">
      <c r="B64" s="133"/>
      <c r="C64" s="1341"/>
      <c r="D64" s="134" t="s">
        <v>1123</v>
      </c>
      <c r="E64" s="134"/>
      <c r="F64" s="134"/>
      <c r="G64" s="134"/>
      <c r="H64" s="134"/>
      <c r="I64" s="134"/>
      <c r="J64" s="134"/>
      <c r="K64" s="134"/>
      <c r="L64" s="134"/>
      <c r="M64" s="134"/>
      <c r="N64" s="134"/>
      <c r="O64" s="134"/>
      <c r="P64" s="134"/>
      <c r="Q64" s="134"/>
      <c r="R64" s="134"/>
      <c r="S64" s="1337"/>
    </row>
    <row r="65" spans="2:19" hidden="1" x14ac:dyDescent="0.3">
      <c r="B65" s="128" t="s">
        <v>269</v>
      </c>
      <c r="C65" s="1338"/>
      <c r="D65" s="129" t="s">
        <v>276</v>
      </c>
      <c r="E65" s="129"/>
      <c r="F65" s="129"/>
      <c r="G65" s="129"/>
      <c r="H65" s="129"/>
      <c r="I65" s="129"/>
      <c r="J65" s="129"/>
      <c r="K65" s="129"/>
      <c r="L65" s="129"/>
      <c r="M65" s="129"/>
      <c r="N65" s="129"/>
      <c r="O65" s="129"/>
      <c r="P65" s="129"/>
      <c r="Q65" s="129"/>
      <c r="R65" s="129"/>
      <c r="S65" s="132"/>
    </row>
    <row r="66" spans="2:19" ht="15.05" hidden="1" thickBot="1" x14ac:dyDescent="0.35">
      <c r="B66" s="133"/>
      <c r="C66" s="1341"/>
      <c r="D66" s="134" t="s">
        <v>277</v>
      </c>
      <c r="E66" s="134"/>
      <c r="F66" s="134"/>
      <c r="G66" s="134"/>
      <c r="H66" s="134"/>
      <c r="I66" s="134"/>
      <c r="J66" s="134"/>
      <c r="K66" s="134"/>
      <c r="L66" s="134"/>
      <c r="M66" s="134"/>
      <c r="N66" s="134"/>
      <c r="O66" s="134"/>
      <c r="P66" s="134"/>
      <c r="Q66" s="134"/>
      <c r="R66" s="134"/>
      <c r="S66" s="1337"/>
    </row>
    <row r="67" spans="2:19" hidden="1" x14ac:dyDescent="0.3">
      <c r="B67" s="128" t="s">
        <v>271</v>
      </c>
      <c r="C67" s="1338"/>
      <c r="D67" s="129" t="s">
        <v>773</v>
      </c>
      <c r="E67" s="129"/>
      <c r="F67" s="129"/>
      <c r="G67" s="129"/>
      <c r="H67" s="129"/>
      <c r="I67" s="129"/>
      <c r="J67" s="129"/>
      <c r="K67" s="129"/>
      <c r="L67" s="129"/>
      <c r="M67" s="129"/>
      <c r="N67" s="129"/>
      <c r="O67" s="129"/>
      <c r="P67" s="129"/>
      <c r="Q67" s="129"/>
      <c r="R67" s="129"/>
      <c r="S67" s="132"/>
    </row>
    <row r="68" spans="2:19" ht="15.05" hidden="1" thickBot="1" x14ac:dyDescent="0.35">
      <c r="B68" s="133"/>
      <c r="C68" s="1341"/>
      <c r="D68" s="134" t="s">
        <v>774</v>
      </c>
      <c r="E68" s="134"/>
      <c r="F68" s="134"/>
      <c r="G68" s="134"/>
      <c r="H68" s="134"/>
      <c r="I68" s="134"/>
      <c r="J68" s="134"/>
      <c r="K68" s="134"/>
      <c r="L68" s="134"/>
      <c r="M68" s="134"/>
      <c r="N68" s="134"/>
      <c r="O68" s="134"/>
      <c r="P68" s="134"/>
      <c r="Q68" s="134"/>
      <c r="R68" s="134"/>
      <c r="S68" s="1337"/>
    </row>
    <row r="69" spans="2:19" ht="15.05" hidden="1" thickBot="1" x14ac:dyDescent="0.35">
      <c r="B69" s="135" t="s">
        <v>272</v>
      </c>
      <c r="C69" s="1339"/>
      <c r="D69" s="136" t="s">
        <v>279</v>
      </c>
      <c r="E69" s="136"/>
      <c r="F69" s="136"/>
      <c r="G69" s="136"/>
      <c r="H69" s="136"/>
      <c r="I69" s="136"/>
      <c r="J69" s="136"/>
      <c r="K69" s="136"/>
      <c r="L69" s="136"/>
      <c r="M69" s="136"/>
      <c r="N69" s="136"/>
      <c r="O69" s="136"/>
      <c r="P69" s="136"/>
      <c r="Q69" s="136"/>
      <c r="R69" s="136"/>
      <c r="S69" s="1340"/>
    </row>
    <row r="70" spans="2:19" ht="15.05" hidden="1" thickBot="1" x14ac:dyDescent="0.35">
      <c r="B70" s="128" t="s">
        <v>280</v>
      </c>
      <c r="C70" s="1338"/>
      <c r="D70" s="129" t="s">
        <v>282</v>
      </c>
      <c r="E70" s="129"/>
      <c r="F70" s="129"/>
      <c r="G70" s="129"/>
      <c r="H70" s="129"/>
      <c r="I70" s="129"/>
      <c r="J70" s="129"/>
      <c r="K70" s="129"/>
      <c r="L70" s="129"/>
      <c r="M70" s="129"/>
      <c r="N70" s="129"/>
      <c r="O70" s="129"/>
      <c r="P70" s="129"/>
      <c r="Q70" s="129"/>
      <c r="R70" s="129"/>
      <c r="S70" s="132"/>
    </row>
    <row r="71" spans="2:19" hidden="1" x14ac:dyDescent="0.3">
      <c r="B71" s="128" t="s">
        <v>24</v>
      </c>
      <c r="C71" s="1338"/>
      <c r="D71" s="129" t="s">
        <v>283</v>
      </c>
      <c r="E71" s="129"/>
      <c r="F71" s="129"/>
      <c r="G71" s="129"/>
      <c r="H71" s="129"/>
      <c r="I71" s="129"/>
      <c r="J71" s="129"/>
      <c r="K71" s="129"/>
      <c r="L71" s="129"/>
      <c r="M71" s="129"/>
      <c r="N71" s="129"/>
      <c r="O71" s="129"/>
      <c r="P71" s="129"/>
      <c r="Q71" s="129"/>
      <c r="R71" s="129"/>
      <c r="S71" s="132"/>
    </row>
    <row r="72" spans="2:19" hidden="1" x14ac:dyDescent="0.3">
      <c r="B72" s="137"/>
      <c r="C72" s="972"/>
      <c r="D72" s="138" t="s">
        <v>256</v>
      </c>
      <c r="E72" s="131"/>
      <c r="F72" s="131"/>
      <c r="G72" s="131"/>
      <c r="H72" s="131"/>
      <c r="I72" s="131"/>
      <c r="J72" s="131"/>
      <c r="K72" s="131"/>
      <c r="L72" s="131"/>
      <c r="M72" s="131"/>
      <c r="N72" s="131"/>
      <c r="O72" s="131"/>
      <c r="P72" s="131"/>
      <c r="Q72" s="131"/>
      <c r="R72" s="131"/>
      <c r="S72" s="1333"/>
    </row>
    <row r="73" spans="2:19" hidden="1" x14ac:dyDescent="0.3">
      <c r="B73" s="137"/>
      <c r="C73" s="972"/>
      <c r="D73" s="138" t="s">
        <v>257</v>
      </c>
      <c r="E73" s="131"/>
      <c r="F73" s="131"/>
      <c r="G73" s="131"/>
      <c r="H73" s="131"/>
      <c r="I73" s="131"/>
      <c r="J73" s="131"/>
      <c r="K73" s="131"/>
      <c r="L73" s="131"/>
      <c r="M73" s="131"/>
      <c r="N73" s="131"/>
      <c r="O73" s="131"/>
      <c r="P73" s="131"/>
      <c r="Q73" s="131"/>
      <c r="R73" s="131"/>
      <c r="S73" s="1333"/>
    </row>
    <row r="74" spans="2:19" hidden="1" x14ac:dyDescent="0.3">
      <c r="B74" s="137"/>
      <c r="C74" s="972"/>
      <c r="D74" s="138" t="s">
        <v>258</v>
      </c>
      <c r="E74" s="131"/>
      <c r="F74" s="131"/>
      <c r="G74" s="131"/>
      <c r="H74" s="131"/>
      <c r="I74" s="131"/>
      <c r="J74" s="131"/>
      <c r="K74" s="131"/>
      <c r="L74" s="131"/>
      <c r="M74" s="131"/>
      <c r="N74" s="131"/>
      <c r="O74" s="131"/>
      <c r="P74" s="131"/>
      <c r="Q74" s="131"/>
      <c r="R74" s="131"/>
      <c r="S74" s="1333"/>
    </row>
    <row r="75" spans="2:19" hidden="1" x14ac:dyDescent="0.3">
      <c r="B75" s="137"/>
      <c r="C75" s="972"/>
      <c r="D75" s="138" t="s">
        <v>259</v>
      </c>
      <c r="E75" s="116"/>
      <c r="F75" s="116"/>
      <c r="G75" s="116"/>
      <c r="H75" s="116"/>
      <c r="I75" s="116"/>
      <c r="J75" s="116"/>
      <c r="K75" s="116"/>
      <c r="L75" s="116"/>
      <c r="M75" s="116"/>
      <c r="N75" s="116"/>
      <c r="O75" s="131"/>
      <c r="P75" s="131"/>
      <c r="Q75" s="131"/>
      <c r="R75" s="131"/>
      <c r="S75" s="1333"/>
    </row>
    <row r="76" spans="2:19" ht="15.05" hidden="1" thickBot="1" x14ac:dyDescent="0.35">
      <c r="B76" s="133"/>
      <c r="C76" s="1341"/>
      <c r="D76" s="139" t="s">
        <v>260</v>
      </c>
      <c r="E76" s="1342"/>
      <c r="F76" s="1342"/>
      <c r="G76" s="1342"/>
      <c r="H76" s="1342"/>
      <c r="I76" s="1342"/>
      <c r="J76" s="1342"/>
      <c r="K76" s="1342"/>
      <c r="L76" s="1342"/>
      <c r="M76" s="1342"/>
      <c r="N76" s="1342"/>
      <c r="O76" s="134"/>
      <c r="P76" s="134"/>
      <c r="Q76" s="134"/>
      <c r="R76" s="134"/>
      <c r="S76" s="1337"/>
    </row>
    <row r="77" spans="2:19" ht="15.05" hidden="1" thickBot="1" x14ac:dyDescent="0.35">
      <c r="B77" s="133" t="s">
        <v>275</v>
      </c>
      <c r="C77" s="1341"/>
      <c r="D77" s="134" t="s">
        <v>292</v>
      </c>
      <c r="E77" s="134"/>
      <c r="F77" s="134"/>
      <c r="G77" s="134"/>
      <c r="H77" s="134"/>
      <c r="I77" s="134"/>
      <c r="J77" s="134"/>
      <c r="K77" s="134"/>
      <c r="L77" s="134"/>
      <c r="M77" s="134"/>
      <c r="N77" s="134"/>
      <c r="O77" s="134"/>
      <c r="P77" s="134"/>
      <c r="Q77" s="134"/>
      <c r="R77" s="134"/>
      <c r="S77" s="1337"/>
    </row>
    <row r="78" spans="2:19" hidden="1" x14ac:dyDescent="0.3">
      <c r="B78" s="128" t="s">
        <v>274</v>
      </c>
      <c r="C78" s="1338"/>
      <c r="D78" s="129"/>
      <c r="E78" s="129"/>
      <c r="F78" s="129"/>
      <c r="G78" s="129"/>
      <c r="H78" s="129"/>
      <c r="I78" s="129"/>
      <c r="J78" s="129"/>
      <c r="K78" s="129"/>
      <c r="L78" s="129"/>
      <c r="M78" s="129"/>
      <c r="N78" s="129"/>
      <c r="O78" s="129"/>
      <c r="P78" s="129"/>
      <c r="Q78" s="129"/>
      <c r="R78" s="129"/>
      <c r="S78" s="132"/>
    </row>
    <row r="79" spans="2:19" ht="15.05" hidden="1" thickBot="1" x14ac:dyDescent="0.35">
      <c r="B79" s="133"/>
      <c r="C79" s="1341"/>
      <c r="D79" s="134"/>
      <c r="E79" s="134"/>
      <c r="F79" s="134"/>
      <c r="G79" s="134"/>
      <c r="H79" s="134"/>
      <c r="I79" s="134"/>
      <c r="J79" s="134"/>
      <c r="K79" s="134"/>
      <c r="L79" s="134"/>
      <c r="M79" s="134"/>
      <c r="N79" s="134"/>
      <c r="O79" s="134"/>
      <c r="P79" s="134"/>
      <c r="Q79" s="134"/>
      <c r="R79" s="134"/>
      <c r="S79" s="1337"/>
    </row>
    <row r="80" spans="2:19" ht="15.05" hidden="1" thickBot="1" x14ac:dyDescent="0.35">
      <c r="B80" s="135" t="s">
        <v>1709</v>
      </c>
      <c r="C80" s="1339"/>
      <c r="D80" s="136"/>
      <c r="E80" s="136"/>
      <c r="F80" s="136"/>
      <c r="G80" s="136"/>
      <c r="H80" s="136"/>
      <c r="I80" s="136"/>
      <c r="J80" s="136"/>
      <c r="K80" s="136"/>
      <c r="L80" s="136"/>
      <c r="M80" s="136"/>
      <c r="N80" s="136"/>
      <c r="O80" s="136"/>
      <c r="P80" s="136"/>
      <c r="Q80" s="136"/>
      <c r="R80" s="136"/>
      <c r="S80" s="1340"/>
    </row>
    <row r="81" hidden="1" x14ac:dyDescent="0.3"/>
    <row r="82" hidden="1" x14ac:dyDescent="0.3"/>
    <row r="83" hidden="1" x14ac:dyDescent="0.3"/>
    <row r="84" hidden="1" x14ac:dyDescent="0.3"/>
    <row r="85" hidden="1" x14ac:dyDescent="0.3"/>
    <row r="86" hidden="1" x14ac:dyDescent="0.3"/>
    <row r="87" hidden="1" x14ac:dyDescent="0.3"/>
    <row r="88" hidden="1" x14ac:dyDescent="0.3"/>
  </sheetData>
  <mergeCells count="1">
    <mergeCell ref="B12:R12"/>
  </mergeCells>
  <conditionalFormatting sqref="B20:C20">
    <cfRule type="cellIs" dxfId="8712" priority="1" operator="greaterThan">
      <formula>10</formula>
    </cfRule>
  </conditionalFormatting>
  <hyperlinks>
    <hyperlink ref="B18" location="General!B2" display="◄"/>
    <hyperlink ref="B27" location="General!A1" display="General "/>
    <hyperlink ref="D27" location="Precios!A1" display="Precios "/>
    <hyperlink ref="B29" location="Forrajes!A1" display="Forrajes "/>
    <hyperlink ref="D29" location="UsoSuelo!A1" display="UsoSuelo"/>
    <hyperlink ref="B31" location="InsumosCultivos!A1" display="InsumosCultivos "/>
    <hyperlink ref="D31" location="A.Lecheros!A1" display="A.Lecheros"/>
    <hyperlink ref="B33" location="A.Ganaderos!A1" display="A.Ganaderos "/>
    <hyperlink ref="D33" location="Alimentos!A1" display="Alimentos"/>
    <hyperlink ref="B35" location="ResFísico!A1" display="Resultados Físicos "/>
    <hyperlink ref="D35" location="Ingresos!A1" display="Ingresos "/>
    <hyperlink ref="B37" location="Egresos!A1" display="Egresos "/>
    <hyperlink ref="D37" location="MovFinancieros!A1" display="Movimientos Financieros"/>
    <hyperlink ref="B39" location="FinancieroMensual!A1" display="Resultado Financiero Mensual"/>
    <hyperlink ref="D39" location="FinancieroAnual!A1" display="Resultado Financiero Anual"/>
    <hyperlink ref="B41" location="EconómicoMensual!A1" display="Resultado Económico Mensual"/>
    <hyperlink ref="B43" location="Márgenes!A1" display="Márgenes por Rubro"/>
    <hyperlink ref="D43" location="Suplementos!A1" display="Suplementos "/>
    <hyperlink ref="D41" location="EconómicoAnual!A1" display="Resultado Económico Anual"/>
  </hyperlinks>
  <pageMargins left="0.7" right="0.7" top="0.75" bottom="0.75" header="0.3" footer="0.3"/>
  <pageSetup orientation="portrait" horizontalDpi="4294967293"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R341"/>
  <sheetViews>
    <sheetView showGridLines="0" zoomScale="89" zoomScaleNormal="85" workbookViewId="0">
      <pane ySplit="4" topLeftCell="A152" activePane="bottomLeft" state="frozen"/>
      <selection activeCell="Q67" sqref="Q67"/>
      <selection pane="bottomLeft" activeCell="I161" sqref="I161"/>
    </sheetView>
  </sheetViews>
  <sheetFormatPr baseColWidth="10" defaultColWidth="10.875" defaultRowHeight="14.4" x14ac:dyDescent="0.3"/>
  <cols>
    <col min="1" max="1" width="5" style="3311" bestFit="1" customWidth="1"/>
    <col min="2" max="2" width="36.375" style="3311" customWidth="1"/>
    <col min="3" max="3" width="14.375" style="3311" bestFit="1" customWidth="1"/>
    <col min="4" max="6" width="12.375" style="3311" bestFit="1" customWidth="1"/>
    <col min="7" max="7" width="11.625" style="3311" bestFit="1" customWidth="1"/>
    <col min="8" max="16384" width="10.875" style="3311"/>
  </cols>
  <sheetData>
    <row r="1" spans="1:14" ht="17.7" x14ac:dyDescent="0.3">
      <c r="A1" s="2463" t="s">
        <v>633</v>
      </c>
      <c r="B1" s="4054" t="s">
        <v>1311</v>
      </c>
    </row>
    <row r="2" spans="1:14" x14ac:dyDescent="0.3">
      <c r="B2" s="4055" t="s">
        <v>1519</v>
      </c>
      <c r="C2" s="5524" t="str">
        <f>+B42</f>
        <v>Dotación - Lechería</v>
      </c>
      <c r="D2" s="5524"/>
      <c r="E2" s="5524"/>
      <c r="F2" s="5548" t="str">
        <f>+B61</f>
        <v>Uso de concentrado - Lechería</v>
      </c>
      <c r="G2" s="5548"/>
      <c r="H2" s="5548"/>
      <c r="I2" s="5548" t="str">
        <f>+B78</f>
        <v>Dotación Ganadería</v>
      </c>
      <c r="J2" s="5548"/>
      <c r="K2" s="5548"/>
      <c r="L2" s="5524" t="str">
        <f>+B89</f>
        <v>Uso de concentrado - Ganadería</v>
      </c>
      <c r="M2" s="5524"/>
      <c r="N2" s="5524"/>
    </row>
    <row r="3" spans="1:14" x14ac:dyDescent="0.3">
      <c r="B3" s="4055" t="s">
        <v>1522</v>
      </c>
      <c r="C3" s="5548" t="str">
        <f>+B50</f>
        <v>Indicadores de producción animal - Lechería</v>
      </c>
      <c r="D3" s="5548"/>
      <c r="E3" s="5548"/>
      <c r="F3" s="5548" t="str">
        <f>+B69</f>
        <v>Producción de forraje y reserva</v>
      </c>
      <c r="G3" s="5548"/>
      <c r="H3" s="5548"/>
      <c r="I3" s="5548" t="str">
        <f>B83</f>
        <v>Indicadores de producción animal Ganadería</v>
      </c>
      <c r="J3" s="5548"/>
      <c r="K3" s="5548"/>
      <c r="L3" s="4056"/>
      <c r="M3" s="4057"/>
      <c r="N3" s="4055"/>
    </row>
    <row r="4" spans="1:14" ht="15.05" thickBot="1" x14ac:dyDescent="0.35"/>
    <row r="5" spans="1:14" ht="14.25" customHeight="1" thickBot="1" x14ac:dyDescent="0.35">
      <c r="A5" s="2487">
        <f>+Alimentos!A454+1</f>
        <v>105</v>
      </c>
      <c r="B5" s="4058" t="s">
        <v>2080</v>
      </c>
      <c r="C5" s="4059"/>
      <c r="D5" s="4059"/>
      <c r="E5" s="4059"/>
      <c r="F5" s="4059"/>
      <c r="G5" s="4060"/>
    </row>
    <row r="6" spans="1:14" ht="15.05" thickBot="1" x14ac:dyDescent="0.35">
      <c r="B6" s="4061"/>
      <c r="C6" s="4062" t="s">
        <v>317</v>
      </c>
      <c r="D6" s="4063" t="str">
        <f>Alimentos!G5&amp;"-"&amp;Alimentos!I5</f>
        <v>Ene-Mar</v>
      </c>
      <c r="E6" s="4063" t="str">
        <f>Alimentos!J5&amp;"-"&amp;Alimentos!L5</f>
        <v>Abr-Jun</v>
      </c>
      <c r="F6" s="4063" t="str">
        <f>Alimentos!M5&amp;"-"&amp;Alimentos!O5</f>
        <v>Jul-Set</v>
      </c>
      <c r="G6" s="4064" t="str">
        <f>Alimentos!P5&amp;"-"&amp;Alimentos!R5</f>
        <v>Oct-Dic</v>
      </c>
    </row>
    <row r="7" spans="1:14" x14ac:dyDescent="0.3">
      <c r="B7" s="4065" t="s">
        <v>1520</v>
      </c>
      <c r="C7" s="4066" t="e">
        <f>IF(SUM(UsoSuelo!T128:T130)&gt;0,UsoSuelo!T127,AVERAGE(D7:G7))</f>
        <v>#DIV/0!</v>
      </c>
      <c r="D7" s="4067" t="e">
        <f>IF(SUM(UsoSuelo!T128:T130)&gt;0,"",AVERAGE(UsoSuelo!G127:H127))</f>
        <v>#DIV/0!</v>
      </c>
      <c r="E7" s="4067" t="e">
        <f>IF(SUM(UsoSuelo!T128:T130)&gt;0,"",AVERAGE(UsoSuelo!J127:K127))</f>
        <v>#DIV/0!</v>
      </c>
      <c r="F7" s="4067" t="e">
        <f>IF(SUM(UsoSuelo!T128:T130)&gt;0,"",AVERAGE(UsoSuelo!M127:N127))</f>
        <v>#DIV/0!</v>
      </c>
      <c r="G7" s="4068" t="e">
        <f>IF(SUM(UsoSuelo!T128:T130)&gt;0,"",AVERAGE(UsoSuelo!P127:Q127))</f>
        <v>#DIV/0!</v>
      </c>
    </row>
    <row r="8" spans="1:14" x14ac:dyDescent="0.3">
      <c r="B8" s="4069" t="s">
        <v>2157</v>
      </c>
      <c r="C8" s="4070">
        <f>IF(SUM(UsoSuelo!T128:T130)&gt;0,UsoSuelo!T128,AVERAGE(D8:G8))</f>
        <v>0</v>
      </c>
      <c r="D8" s="4071">
        <f>IF(SUM(UsoSuelo!T128:T130)&gt;0,"",AVERAGE(UsoSuelo!G128:H128))</f>
        <v>0</v>
      </c>
      <c r="E8" s="4071">
        <f>IF(SUM(UsoSuelo!T128:T130)&gt;0,"",AVERAGE(UsoSuelo!J128:K128))</f>
        <v>0</v>
      </c>
      <c r="F8" s="4071">
        <f>IF(SUM(UsoSuelo!T128:T130)&gt;0,"",AVERAGE(UsoSuelo!M128:N128))</f>
        <v>0</v>
      </c>
      <c r="G8" s="4072">
        <f>IF(SUM(UsoSuelo!T128:T130)&gt;0,"",AVERAGE(UsoSuelo!P128:Q128))</f>
        <v>0</v>
      </c>
    </row>
    <row r="9" spans="1:14" x14ac:dyDescent="0.3">
      <c r="B9" s="4069" t="s">
        <v>2158</v>
      </c>
      <c r="C9" s="4070" t="e">
        <f>IF(SUM(UsoSuelo!T128:T130)&gt;0,UsoSuelo!T129,AVERAGE(D9:G9))</f>
        <v>#DIV/0!</v>
      </c>
      <c r="D9" s="4071" t="e">
        <f>IF(SUM(UsoSuelo!T128:T130)&gt;0,"",AVERAGE(UsoSuelo!G129:H129))</f>
        <v>#DIV/0!</v>
      </c>
      <c r="E9" s="4071" t="e">
        <f>IF(SUM(UsoSuelo!T128:T130)&gt;0,"",AVERAGE(UsoSuelo!J129:K129))</f>
        <v>#DIV/0!</v>
      </c>
      <c r="F9" s="4071" t="e">
        <f>IF(SUM(UsoSuelo!T128:T130)&gt;0,"",AVERAGE(UsoSuelo!M129:N129))</f>
        <v>#DIV/0!</v>
      </c>
      <c r="G9" s="4072" t="e">
        <f>IF(SUM(UsoSuelo!T128:T130)&gt;0,"",AVERAGE(UsoSuelo!P129:Q129))</f>
        <v>#DIV/0!</v>
      </c>
    </row>
    <row r="10" spans="1:14" x14ac:dyDescent="0.3">
      <c r="B10" s="4069" t="s">
        <v>1190</v>
      </c>
      <c r="C10" s="4070" t="e">
        <f>IF(SUM(UsoSuelo!T128:T130)&gt;0,UsoSuelo!T130,AVERAGE(D10:G10))</f>
        <v>#DIV/0!</v>
      </c>
      <c r="D10" s="4071" t="e">
        <f>IF(SUM(UsoSuelo!T128:T130)&gt;0,"",AVERAGE(UsoSuelo!G130:H130))</f>
        <v>#DIV/0!</v>
      </c>
      <c r="E10" s="4071" t="e">
        <f>IF(SUM(UsoSuelo!T128:T130)&gt;0,"",AVERAGE(UsoSuelo!J130:K130))</f>
        <v>#DIV/0!</v>
      </c>
      <c r="F10" s="4071" t="e">
        <f>IF(SUM(UsoSuelo!T128:T130)&gt;0,"",AVERAGE(UsoSuelo!M130:N130))</f>
        <v>#DIV/0!</v>
      </c>
      <c r="G10" s="4072" t="e">
        <f>IF(SUM(UsoSuelo!T128:T130)&gt;0,"",AVERAGE(UsoSuelo!P130:Q130))</f>
        <v>#DIV/0!</v>
      </c>
    </row>
    <row r="11" spans="1:14" x14ac:dyDescent="0.3">
      <c r="B11" s="4073" t="s">
        <v>1521</v>
      </c>
      <c r="C11" s="4074" t="e">
        <f>IF(SUM(UsoSuelo!T128:T130)&gt;0,UsoSuelo!T131,AVERAGE(D11:G11))</f>
        <v>#DIV/0!</v>
      </c>
      <c r="D11" s="4075" t="e">
        <f>IF(SUM(UsoSuelo!T128:T130)&gt;0,"",AVERAGE(UsoSuelo!G131:H131))</f>
        <v>#DIV/0!</v>
      </c>
      <c r="E11" s="4076" t="e">
        <f>IF(SUM(UsoSuelo!T128:T130)&gt;0,"",AVERAGE(UsoSuelo!J131:K131))</f>
        <v>#DIV/0!</v>
      </c>
      <c r="F11" s="4076" t="e">
        <f>IF(SUM(UsoSuelo!T128:T130)&gt;0,"",AVERAGE(UsoSuelo!M131:N131))</f>
        <v>#DIV/0!</v>
      </c>
      <c r="G11" s="4077" t="e">
        <f>IF(SUM(UsoSuelo!T128:T130)&gt;0,"",AVERAGE(UsoSuelo!P131:Q131))</f>
        <v>#DIV/0!</v>
      </c>
    </row>
    <row r="12" spans="1:14" x14ac:dyDescent="0.3">
      <c r="B12" s="4073" t="s">
        <v>2154</v>
      </c>
      <c r="C12" s="4074">
        <f>+SUM(C13:C24)</f>
        <v>0</v>
      </c>
      <c r="D12" s="4075">
        <f>+SUM(D13:D24)</f>
        <v>0</v>
      </c>
      <c r="E12" s="4075">
        <f>+SUM(E13:E24)</f>
        <v>0</v>
      </c>
      <c r="F12" s="4075">
        <f>+SUM(F13:F24)</f>
        <v>0</v>
      </c>
      <c r="G12" s="4078">
        <f>+SUM(G13:G24)</f>
        <v>0</v>
      </c>
    </row>
    <row r="13" spans="1:14" x14ac:dyDescent="0.3">
      <c r="B13" s="4079" t="str">
        <f>UsoSuelo!D347</f>
        <v>Soja</v>
      </c>
      <c r="C13" s="4070">
        <f>+AVERAGE(D13:G13)</f>
        <v>0</v>
      </c>
      <c r="D13" s="4080">
        <f>AVERAGE(UsoSuelo!G347:H347)</f>
        <v>0</v>
      </c>
      <c r="E13" s="4080">
        <f>AVERAGE(UsoSuelo!J347:K347)</f>
        <v>0</v>
      </c>
      <c r="F13" s="4080">
        <f>AVERAGE(UsoSuelo!M347:N347)</f>
        <v>0</v>
      </c>
      <c r="G13" s="4081">
        <f>AVERAGE(UsoSuelo!P347:Q347)</f>
        <v>0</v>
      </c>
    </row>
    <row r="14" spans="1:14" x14ac:dyDescent="0.3">
      <c r="B14" s="4079" t="str">
        <f>UsoSuelo!D348</f>
        <v>Soja 2ª</v>
      </c>
      <c r="C14" s="4070">
        <f t="shared" ref="C14:C24" si="0">+AVERAGE(D14:G14)</f>
        <v>0</v>
      </c>
      <c r="D14" s="4080">
        <f>AVERAGE(UsoSuelo!G348:H348)</f>
        <v>0</v>
      </c>
      <c r="E14" s="4080">
        <f>AVERAGE(UsoSuelo!J348:K348)</f>
        <v>0</v>
      </c>
      <c r="F14" s="4080">
        <f>AVERAGE(UsoSuelo!M348:N348)</f>
        <v>0</v>
      </c>
      <c r="G14" s="4081">
        <f>AVERAGE(UsoSuelo!P348:Q348)</f>
        <v>0</v>
      </c>
    </row>
    <row r="15" spans="1:14" x14ac:dyDescent="0.3">
      <c r="B15" s="4079" t="str">
        <f>UsoSuelo!D349</f>
        <v>Maíz Grano</v>
      </c>
      <c r="C15" s="4070">
        <f t="shared" si="0"/>
        <v>0</v>
      </c>
      <c r="D15" s="4080">
        <f>AVERAGE(UsoSuelo!G349:H349)</f>
        <v>0</v>
      </c>
      <c r="E15" s="4080">
        <f>AVERAGE(UsoSuelo!J349:K349)</f>
        <v>0</v>
      </c>
      <c r="F15" s="4080">
        <f>AVERAGE(UsoSuelo!M349:N349)</f>
        <v>0</v>
      </c>
      <c r="G15" s="4081">
        <f>AVERAGE(UsoSuelo!P349:Q349)</f>
        <v>0</v>
      </c>
    </row>
    <row r="16" spans="1:14" x14ac:dyDescent="0.3">
      <c r="B16" s="4079" t="str">
        <f>UsoSuelo!D350</f>
        <v>Sorgo grano</v>
      </c>
      <c r="C16" s="4070">
        <f t="shared" si="0"/>
        <v>0</v>
      </c>
      <c r="D16" s="4080">
        <f>AVERAGE(UsoSuelo!G350:H350)</f>
        <v>0</v>
      </c>
      <c r="E16" s="4080">
        <f>AVERAGE(UsoSuelo!J350:K350)</f>
        <v>0</v>
      </c>
      <c r="F16" s="4080">
        <f>AVERAGE(UsoSuelo!M350:N350)</f>
        <v>0</v>
      </c>
      <c r="G16" s="4081">
        <f>AVERAGE(UsoSuelo!P350:Q350)</f>
        <v>0</v>
      </c>
    </row>
    <row r="17" spans="1:15" x14ac:dyDescent="0.3">
      <c r="B17" s="4079" t="str">
        <f>UsoSuelo!D351</f>
        <v>Trigo grano</v>
      </c>
      <c r="C17" s="4070">
        <f t="shared" si="0"/>
        <v>0</v>
      </c>
      <c r="D17" s="4080">
        <f>AVERAGE(UsoSuelo!G351:H351)</f>
        <v>0</v>
      </c>
      <c r="E17" s="4080">
        <f>AVERAGE(UsoSuelo!J351:K351)</f>
        <v>0</v>
      </c>
      <c r="F17" s="4080">
        <f>AVERAGE(UsoSuelo!M351:N351)</f>
        <v>0</v>
      </c>
      <c r="G17" s="4081">
        <f>AVERAGE(UsoSuelo!P351:Q351)</f>
        <v>0</v>
      </c>
    </row>
    <row r="18" spans="1:15" x14ac:dyDescent="0.3">
      <c r="B18" s="4079" t="str">
        <f>UsoSuelo!D352</f>
        <v>Cebada grano</v>
      </c>
      <c r="C18" s="4070">
        <f t="shared" si="0"/>
        <v>0</v>
      </c>
      <c r="D18" s="4080">
        <f>AVERAGE(UsoSuelo!G352:H352)</f>
        <v>0</v>
      </c>
      <c r="E18" s="4080">
        <f>AVERAGE(UsoSuelo!J352:K352)</f>
        <v>0</v>
      </c>
      <c r="F18" s="4080">
        <f>AVERAGE(UsoSuelo!M352:N352)</f>
        <v>0</v>
      </c>
      <c r="G18" s="4081">
        <f>AVERAGE(UsoSuelo!P352:Q352)</f>
        <v>0</v>
      </c>
    </row>
    <row r="19" spans="1:15" x14ac:dyDescent="0.3">
      <c r="B19" s="4079" t="str">
        <f>UsoSuelo!D353</f>
        <v>Avena grano</v>
      </c>
      <c r="C19" s="4070">
        <f t="shared" si="0"/>
        <v>0</v>
      </c>
      <c r="D19" s="4080">
        <f>AVERAGE(UsoSuelo!G353:H353)</f>
        <v>0</v>
      </c>
      <c r="E19" s="4080">
        <f>AVERAGE(UsoSuelo!J353:K353)</f>
        <v>0</v>
      </c>
      <c r="F19" s="4080">
        <f>AVERAGE(UsoSuelo!M353:N353)</f>
        <v>0</v>
      </c>
      <c r="G19" s="4081">
        <f>AVERAGE(UsoSuelo!P353:Q353)</f>
        <v>0</v>
      </c>
    </row>
    <row r="20" spans="1:15" x14ac:dyDescent="0.3">
      <c r="B20" s="4079" t="str">
        <f>UsoSuelo!D354</f>
        <v>Colza grano</v>
      </c>
      <c r="C20" s="4070">
        <f t="shared" si="0"/>
        <v>0</v>
      </c>
      <c r="D20" s="4080">
        <f>AVERAGE(UsoSuelo!G354:H354)</f>
        <v>0</v>
      </c>
      <c r="E20" s="4080">
        <f>AVERAGE(UsoSuelo!J354:K354)</f>
        <v>0</v>
      </c>
      <c r="F20" s="4080">
        <f>AVERAGE(UsoSuelo!M354:N354)</f>
        <v>0</v>
      </c>
      <c r="G20" s="4081">
        <f>AVERAGE(UsoSuelo!P354:Q354)</f>
        <v>0</v>
      </c>
    </row>
    <row r="21" spans="1:15" x14ac:dyDescent="0.3">
      <c r="B21" s="4079">
        <f>UsoSuelo!D355</f>
        <v>0</v>
      </c>
      <c r="C21" s="4070">
        <f t="shared" si="0"/>
        <v>0</v>
      </c>
      <c r="D21" s="4080">
        <f>AVERAGE(UsoSuelo!G355:H355)</f>
        <v>0</v>
      </c>
      <c r="E21" s="4080">
        <f>AVERAGE(UsoSuelo!J355:K355)</f>
        <v>0</v>
      </c>
      <c r="F21" s="4080">
        <f>AVERAGE(UsoSuelo!M355:N355)</f>
        <v>0</v>
      </c>
      <c r="G21" s="4081">
        <f>AVERAGE(UsoSuelo!P355:Q355)</f>
        <v>0</v>
      </c>
    </row>
    <row r="22" spans="1:15" x14ac:dyDescent="0.3">
      <c r="B22" s="4079">
        <f>UsoSuelo!D356</f>
        <v>0</v>
      </c>
      <c r="C22" s="4070">
        <f t="shared" si="0"/>
        <v>0</v>
      </c>
      <c r="D22" s="4080">
        <f>AVERAGE(UsoSuelo!G356:H356)</f>
        <v>0</v>
      </c>
      <c r="E22" s="4080">
        <f>AVERAGE(UsoSuelo!J356:K356)</f>
        <v>0</v>
      </c>
      <c r="F22" s="4080">
        <f>AVERAGE(UsoSuelo!M356:N356)</f>
        <v>0</v>
      </c>
      <c r="G22" s="4081">
        <f>AVERAGE(UsoSuelo!P356:Q356)</f>
        <v>0</v>
      </c>
    </row>
    <row r="23" spans="1:15" x14ac:dyDescent="0.3">
      <c r="B23" s="4079">
        <f>UsoSuelo!D357</f>
        <v>0</v>
      </c>
      <c r="C23" s="4070">
        <f t="shared" si="0"/>
        <v>0</v>
      </c>
      <c r="D23" s="4080">
        <f>AVERAGE(UsoSuelo!G357:H357)</f>
        <v>0</v>
      </c>
      <c r="E23" s="4080">
        <f>AVERAGE(UsoSuelo!J357:K357)</f>
        <v>0</v>
      </c>
      <c r="F23" s="4080">
        <f>AVERAGE(UsoSuelo!M357:N357)</f>
        <v>0</v>
      </c>
      <c r="G23" s="4081">
        <f>AVERAGE(UsoSuelo!P357:Q357)</f>
        <v>0</v>
      </c>
    </row>
    <row r="24" spans="1:15" ht="15.05" thickBot="1" x14ac:dyDescent="0.35">
      <c r="B24" s="4082">
        <f>UsoSuelo!D358</f>
        <v>0</v>
      </c>
      <c r="C24" s="4083">
        <f t="shared" si="0"/>
        <v>0</v>
      </c>
      <c r="D24" s="4084">
        <f>AVERAGE(UsoSuelo!G358:H358)</f>
        <v>0</v>
      </c>
      <c r="E24" s="4084">
        <f>AVERAGE(UsoSuelo!J358:K358)</f>
        <v>0</v>
      </c>
      <c r="F24" s="4084">
        <f>AVERAGE(UsoSuelo!M358:N358)</f>
        <v>0</v>
      </c>
      <c r="G24" s="4085">
        <f>AVERAGE(UsoSuelo!P358:Q358)</f>
        <v>0</v>
      </c>
    </row>
    <row r="25" spans="1:15" ht="15.05" thickBot="1" x14ac:dyDescent="0.35">
      <c r="B25" s="4086" t="s">
        <v>21</v>
      </c>
      <c r="C25" s="4087" t="e">
        <f>+C12+C11+C7</f>
        <v>#DIV/0!</v>
      </c>
      <c r="D25" s="4088">
        <f>IFERROR(D12+D11+D7,0)</f>
        <v>0</v>
      </c>
      <c r="E25" s="4088">
        <f>IFERROR(E12+E11+E7,0)</f>
        <v>0</v>
      </c>
      <c r="F25" s="4088">
        <f>IFERROR(F12+F11+F7,0)</f>
        <v>0</v>
      </c>
      <c r="G25" s="4089">
        <f>IFERROR(G12+G11+G7,0)</f>
        <v>0</v>
      </c>
    </row>
    <row r="26" spans="1:15" x14ac:dyDescent="0.3">
      <c r="B26" s="4090"/>
      <c r="C26" s="4091"/>
      <c r="D26" s="4092"/>
      <c r="E26" s="4092"/>
      <c r="F26" s="4092"/>
      <c r="G26" s="4092"/>
    </row>
    <row r="27" spans="1:15" ht="15.05" thickBot="1" x14ac:dyDescent="0.35"/>
    <row r="28" spans="1:15" ht="15.05" thickBot="1" x14ac:dyDescent="0.35">
      <c r="A28" s="2487">
        <f>+A5+1</f>
        <v>106</v>
      </c>
      <c r="B28" s="4086" t="s">
        <v>2085</v>
      </c>
      <c r="C28" s="4093"/>
      <c r="D28" s="4093"/>
      <c r="E28" s="4093"/>
      <c r="F28" s="4093"/>
      <c r="G28" s="4093"/>
      <c r="H28" s="4093"/>
      <c r="I28" s="4093"/>
      <c r="J28" s="4093"/>
      <c r="K28" s="4093"/>
      <c r="L28" s="4093"/>
      <c r="M28" s="4093"/>
      <c r="N28" s="4094"/>
    </row>
    <row r="29" spans="1:15" x14ac:dyDescent="0.3">
      <c r="B29" s="4095" t="s">
        <v>2155</v>
      </c>
      <c r="C29" s="5543" t="s">
        <v>287</v>
      </c>
      <c r="D29" s="5544"/>
      <c r="E29" s="5544"/>
      <c r="F29" s="5545"/>
      <c r="G29" s="5543" t="s">
        <v>1344</v>
      </c>
      <c r="H29" s="5544"/>
      <c r="I29" s="5544"/>
      <c r="J29" s="5545"/>
      <c r="K29" s="5546" t="s">
        <v>718</v>
      </c>
      <c r="L29" s="5546"/>
      <c r="M29" s="5546"/>
      <c r="N29" s="5547"/>
    </row>
    <row r="30" spans="1:15" x14ac:dyDescent="0.3">
      <c r="B30" s="4073" t="s">
        <v>2156</v>
      </c>
      <c r="C30" s="4096" t="str">
        <f>D6</f>
        <v>Ene-Mar</v>
      </c>
      <c r="D30" s="4075" t="str">
        <f>E6</f>
        <v>Abr-Jun</v>
      </c>
      <c r="E30" s="4075" t="str">
        <f>F6</f>
        <v>Jul-Set</v>
      </c>
      <c r="F30" s="4097" t="str">
        <f>G6</f>
        <v>Oct-Dic</v>
      </c>
      <c r="G30" s="4096" t="str">
        <f t="shared" ref="G30:N30" si="1">C30</f>
        <v>Ene-Mar</v>
      </c>
      <c r="H30" s="4075" t="str">
        <f t="shared" si="1"/>
        <v>Abr-Jun</v>
      </c>
      <c r="I30" s="4075" t="str">
        <f t="shared" si="1"/>
        <v>Jul-Set</v>
      </c>
      <c r="J30" s="4097" t="str">
        <f t="shared" si="1"/>
        <v>Oct-Dic</v>
      </c>
      <c r="K30" s="4075" t="str">
        <f t="shared" si="1"/>
        <v>Ene-Mar</v>
      </c>
      <c r="L30" s="4075" t="str">
        <f t="shared" si="1"/>
        <v>Abr-Jun</v>
      </c>
      <c r="M30" s="4075" t="str">
        <f t="shared" si="1"/>
        <v>Jul-Set</v>
      </c>
      <c r="N30" s="4078" t="str">
        <f t="shared" si="1"/>
        <v>Oct-Dic</v>
      </c>
      <c r="O30" s="4098"/>
    </row>
    <row r="31" spans="1:15" x14ac:dyDescent="0.3">
      <c r="B31" s="4099" t="s">
        <v>31</v>
      </c>
      <c r="C31" s="4100">
        <f>AVERAGE(UsoSuelo!F672:H672)</f>
        <v>0</v>
      </c>
      <c r="D31" s="3453">
        <f>AVERAGE(UsoSuelo!I672:K672)</f>
        <v>0</v>
      </c>
      <c r="E31" s="3453">
        <f>AVERAGE(UsoSuelo!L672:N672)</f>
        <v>0</v>
      </c>
      <c r="F31" s="4101">
        <f>AVERAGE(UsoSuelo!O672:Q672)</f>
        <v>0</v>
      </c>
      <c r="G31" s="4100">
        <f>AVERAGE(UsoSuelo!F746:H746)</f>
        <v>0</v>
      </c>
      <c r="H31" s="3453">
        <f>AVERAGE(UsoSuelo!I746:K746)</f>
        <v>0</v>
      </c>
      <c r="I31" s="3453">
        <f>AVERAGE(UsoSuelo!L746:N746)</f>
        <v>0</v>
      </c>
      <c r="J31" s="4101">
        <f>AVERAGE(UsoSuelo!O746:Q746)</f>
        <v>0</v>
      </c>
      <c r="K31" s="3453">
        <f>AVERAGE(UsoSuelo!F817:H817)</f>
        <v>0</v>
      </c>
      <c r="L31" s="3453">
        <f>AVERAGE(UsoSuelo!I817:K817)</f>
        <v>0</v>
      </c>
      <c r="M31" s="3453">
        <f>AVERAGE(UsoSuelo!L817:N817)</f>
        <v>0</v>
      </c>
      <c r="N31" s="3522">
        <f>AVERAGE(UsoSuelo!O817:Q817)</f>
        <v>0</v>
      </c>
      <c r="O31" s="3452"/>
    </row>
    <row r="32" spans="1:15" x14ac:dyDescent="0.3">
      <c r="B32" s="3944" t="s">
        <v>324</v>
      </c>
      <c r="C32" s="4100">
        <f>AVERAGE(UsoSuelo!F682:H682)</f>
        <v>0</v>
      </c>
      <c r="D32" s="3453">
        <f>AVERAGE(UsoSuelo!I682:K682)</f>
        <v>0</v>
      </c>
      <c r="E32" s="3453">
        <f>AVERAGE(UsoSuelo!L682:N682)</f>
        <v>0</v>
      </c>
      <c r="F32" s="4101">
        <f>AVERAGE(UsoSuelo!O682:Q682)</f>
        <v>0</v>
      </c>
      <c r="G32" s="4100">
        <f>AVERAGE(UsoSuelo!F753:H753)</f>
        <v>0</v>
      </c>
      <c r="H32" s="3453">
        <f>AVERAGE(UsoSuelo!I753:K753)</f>
        <v>0</v>
      </c>
      <c r="I32" s="3453">
        <f>AVERAGE(UsoSuelo!L753:N753)</f>
        <v>0</v>
      </c>
      <c r="J32" s="4101">
        <f>AVERAGE(UsoSuelo!O753:Q753)</f>
        <v>0</v>
      </c>
      <c r="K32" s="3453">
        <f>AVERAGE(UsoSuelo!F824:H824)</f>
        <v>0</v>
      </c>
      <c r="L32" s="3453">
        <f>AVERAGE(UsoSuelo!I824:K824)</f>
        <v>0</v>
      </c>
      <c r="M32" s="3453">
        <f>AVERAGE(UsoSuelo!L824:N824)</f>
        <v>0</v>
      </c>
      <c r="N32" s="3522">
        <f>AVERAGE(UsoSuelo!O824:Q824)</f>
        <v>0</v>
      </c>
      <c r="O32" s="3452"/>
    </row>
    <row r="33" spans="1:15" x14ac:dyDescent="0.3">
      <c r="B33" s="3944" t="s">
        <v>846</v>
      </c>
      <c r="C33" s="4100">
        <f>AVERAGE(UsoSuelo!F697:H697)</f>
        <v>0</v>
      </c>
      <c r="D33" s="3453">
        <f>AVERAGE(UsoSuelo!I697:K697)</f>
        <v>0</v>
      </c>
      <c r="E33" s="3453">
        <f>AVERAGE(UsoSuelo!L697:N697)</f>
        <v>0</v>
      </c>
      <c r="F33" s="4101">
        <f>AVERAGE(UsoSuelo!O697:Q697)</f>
        <v>0</v>
      </c>
      <c r="G33" s="4100">
        <f>AVERAGE(UsoSuelo!F768:H768)</f>
        <v>0</v>
      </c>
      <c r="H33" s="3453">
        <f>AVERAGE(UsoSuelo!I768:K768)</f>
        <v>0</v>
      </c>
      <c r="I33" s="3453">
        <f>AVERAGE(UsoSuelo!L768:N768)</f>
        <v>0</v>
      </c>
      <c r="J33" s="4101">
        <f>AVERAGE(UsoSuelo!O768:Q768)</f>
        <v>0</v>
      </c>
      <c r="K33" s="3453">
        <f>AVERAGE(UsoSuelo!F839:H839)</f>
        <v>0</v>
      </c>
      <c r="L33" s="3453">
        <f>AVERAGE(UsoSuelo!I839:K839)</f>
        <v>0</v>
      </c>
      <c r="M33" s="3453">
        <f>AVERAGE(UsoSuelo!L839:N839)</f>
        <v>0</v>
      </c>
      <c r="N33" s="3522">
        <f>AVERAGE(UsoSuelo!O839:Q839)</f>
        <v>0</v>
      </c>
      <c r="O33" s="3452"/>
    </row>
    <row r="34" spans="1:15" x14ac:dyDescent="0.3">
      <c r="B34" s="3944" t="s">
        <v>325</v>
      </c>
      <c r="C34" s="4100">
        <f>AVERAGE(UsoSuelo!F707:H707)</f>
        <v>0</v>
      </c>
      <c r="D34" s="3453">
        <f>AVERAGE(UsoSuelo!I707:K707)</f>
        <v>0</v>
      </c>
      <c r="E34" s="3453">
        <f>AVERAGE(UsoSuelo!L707:N707)</f>
        <v>0</v>
      </c>
      <c r="F34" s="4101">
        <f>AVERAGE(UsoSuelo!O707:Q707)</f>
        <v>0</v>
      </c>
      <c r="G34" s="4100">
        <f>AVERAGE(UsoSuelo!F778:H778)</f>
        <v>0</v>
      </c>
      <c r="H34" s="3453">
        <f>AVERAGE(UsoSuelo!I778:K778)</f>
        <v>0</v>
      </c>
      <c r="I34" s="3453">
        <f>AVERAGE(UsoSuelo!L778:N778)</f>
        <v>0</v>
      </c>
      <c r="J34" s="4101">
        <f>AVERAGE(UsoSuelo!O778:Q778)</f>
        <v>0</v>
      </c>
      <c r="K34" s="3453">
        <f>AVERAGE(UsoSuelo!F849:H849)</f>
        <v>0</v>
      </c>
      <c r="L34" s="3453">
        <f>AVERAGE(UsoSuelo!I849:K849)</f>
        <v>0</v>
      </c>
      <c r="M34" s="3453">
        <f>AVERAGE(UsoSuelo!L849:N849)</f>
        <v>0</v>
      </c>
      <c r="N34" s="3522">
        <f>AVERAGE(UsoSuelo!O849:Q849)</f>
        <v>0</v>
      </c>
      <c r="O34" s="3452"/>
    </row>
    <row r="35" spans="1:15" x14ac:dyDescent="0.3">
      <c r="B35" s="3944" t="s">
        <v>1192</v>
      </c>
      <c r="C35" s="4100">
        <f>AVERAGE(UsoSuelo!F713:H713)</f>
        <v>0</v>
      </c>
      <c r="D35" s="3453">
        <f>AVERAGE(UsoSuelo!I713:K713)</f>
        <v>0</v>
      </c>
      <c r="E35" s="3453">
        <f>AVERAGE(UsoSuelo!L713:N713)</f>
        <v>0</v>
      </c>
      <c r="F35" s="4101">
        <f>AVERAGE(UsoSuelo!O713:Q713)</f>
        <v>0</v>
      </c>
      <c r="G35" s="4100">
        <f>AVERAGE(UsoSuelo!F784:H784)</f>
        <v>0</v>
      </c>
      <c r="H35" s="3453">
        <f>AVERAGE(UsoSuelo!I784:K784)</f>
        <v>0</v>
      </c>
      <c r="I35" s="3453">
        <f>AVERAGE(UsoSuelo!L784:N784)</f>
        <v>0</v>
      </c>
      <c r="J35" s="4101">
        <f>AVERAGE(UsoSuelo!O784:Q784)</f>
        <v>0</v>
      </c>
      <c r="K35" s="3453">
        <f>AVERAGE(UsoSuelo!F855:H855)</f>
        <v>0</v>
      </c>
      <c r="L35" s="3453">
        <f>AVERAGE(UsoSuelo!I855:K855)</f>
        <v>0</v>
      </c>
      <c r="M35" s="3453">
        <f>AVERAGE(UsoSuelo!L855:N855)</f>
        <v>0</v>
      </c>
      <c r="N35" s="3522">
        <f>AVERAGE(UsoSuelo!O855:Q855)</f>
        <v>0</v>
      </c>
      <c r="O35" s="3452"/>
    </row>
    <row r="36" spans="1:15" x14ac:dyDescent="0.3">
      <c r="B36" s="3944" t="s">
        <v>332</v>
      </c>
      <c r="C36" s="4100">
        <f>AVERAGE(UsoSuelo!F720:H720)</f>
        <v>0</v>
      </c>
      <c r="D36" s="3453">
        <f>AVERAGE(UsoSuelo!I720:K720)</f>
        <v>0</v>
      </c>
      <c r="E36" s="3453">
        <f>AVERAGE(UsoSuelo!L720:N720)</f>
        <v>0</v>
      </c>
      <c r="F36" s="4101">
        <f>AVERAGE(UsoSuelo!O720:Q720)</f>
        <v>0</v>
      </c>
      <c r="G36" s="4100">
        <f>AVERAGE(UsoSuelo!F791:H791)</f>
        <v>0</v>
      </c>
      <c r="H36" s="3453">
        <f>AVERAGE(UsoSuelo!I791:K791)</f>
        <v>0</v>
      </c>
      <c r="I36" s="3453">
        <f>AVERAGE(UsoSuelo!L791:N791)</f>
        <v>0</v>
      </c>
      <c r="J36" s="4101">
        <f>AVERAGE(UsoSuelo!O791:Q791)</f>
        <v>0</v>
      </c>
      <c r="K36" s="3453">
        <f>AVERAGE(UsoSuelo!F862:H862)</f>
        <v>0</v>
      </c>
      <c r="L36" s="3453">
        <f>AVERAGE(UsoSuelo!I862:K862)</f>
        <v>0</v>
      </c>
      <c r="M36" s="3453">
        <f>AVERAGE(UsoSuelo!L862:N862)</f>
        <v>0</v>
      </c>
      <c r="N36" s="3522">
        <f>AVERAGE(UsoSuelo!O862:Q862)</f>
        <v>0</v>
      </c>
      <c r="O36" s="3452"/>
    </row>
    <row r="37" spans="1:15" x14ac:dyDescent="0.3">
      <c r="B37" s="3944" t="s">
        <v>333</v>
      </c>
      <c r="C37" s="4100">
        <f>AVERAGE(UsoSuelo!F726:H726)</f>
        <v>0</v>
      </c>
      <c r="D37" s="3453">
        <f>AVERAGE(UsoSuelo!I726:K726)</f>
        <v>0</v>
      </c>
      <c r="E37" s="3453">
        <f>AVERAGE(UsoSuelo!L726:N726)</f>
        <v>0</v>
      </c>
      <c r="F37" s="4101">
        <f>AVERAGE(UsoSuelo!O726:Q726)</f>
        <v>0</v>
      </c>
      <c r="G37" s="4100">
        <f>AVERAGE(UsoSuelo!F797:H797)</f>
        <v>0</v>
      </c>
      <c r="H37" s="3453">
        <f>AVERAGE(UsoSuelo!I797:K797)</f>
        <v>0</v>
      </c>
      <c r="I37" s="3453">
        <f>AVERAGE(UsoSuelo!L797:N797)</f>
        <v>0</v>
      </c>
      <c r="J37" s="4101">
        <f>AVERAGE(UsoSuelo!O797:Q797)</f>
        <v>0</v>
      </c>
      <c r="K37" s="3453">
        <f>AVERAGE(UsoSuelo!F868:H868)</f>
        <v>0</v>
      </c>
      <c r="L37" s="3453">
        <f>AVERAGE(UsoSuelo!I868:K868)</f>
        <v>0</v>
      </c>
      <c r="M37" s="3453">
        <f>AVERAGE(UsoSuelo!L868:N868)</f>
        <v>0</v>
      </c>
      <c r="N37" s="3522">
        <f>AVERAGE(UsoSuelo!O868:Q868)</f>
        <v>0</v>
      </c>
      <c r="O37" s="3452"/>
    </row>
    <row r="38" spans="1:15" x14ac:dyDescent="0.3">
      <c r="B38" s="4099" t="s">
        <v>119</v>
      </c>
      <c r="C38" s="4100">
        <f>AVERAGE(UsoSuelo!F511:H511)</f>
        <v>0</v>
      </c>
      <c r="D38" s="3453">
        <f>AVERAGE(UsoSuelo!I511:K511)</f>
        <v>0</v>
      </c>
      <c r="E38" s="3453">
        <f>AVERAGE(UsoSuelo!L511:N511)</f>
        <v>0</v>
      </c>
      <c r="F38" s="4101">
        <f>AVERAGE(UsoSuelo!O511:Q511)</f>
        <v>0</v>
      </c>
      <c r="G38" s="4100">
        <f>AVERAGE(UsoSuelo!F550:H550)</f>
        <v>0</v>
      </c>
      <c r="H38" s="3453">
        <f>AVERAGE(UsoSuelo!I550:K550)</f>
        <v>0</v>
      </c>
      <c r="I38" s="3453">
        <f>AVERAGE(UsoSuelo!L550:N550)</f>
        <v>0</v>
      </c>
      <c r="J38" s="4101">
        <f>AVERAGE(UsoSuelo!O550:Q550)</f>
        <v>0</v>
      </c>
      <c r="K38" s="3453">
        <f>AVERAGE(UsoSuelo!F587:H587)</f>
        <v>0</v>
      </c>
      <c r="L38" s="3453">
        <f>AVERAGE(UsoSuelo!I587:K587)</f>
        <v>0</v>
      </c>
      <c r="M38" s="3453">
        <f>AVERAGE(UsoSuelo!L587:N587)</f>
        <v>0</v>
      </c>
      <c r="N38" s="3522">
        <f>AVERAGE(UsoSuelo!O587:Q587)</f>
        <v>0</v>
      </c>
      <c r="O38" s="3452"/>
    </row>
    <row r="39" spans="1:15" ht="15.05" thickBot="1" x14ac:dyDescent="0.35">
      <c r="B39" s="4102" t="s">
        <v>273</v>
      </c>
      <c r="C39" s="4103">
        <f>AVERAGE(UsoSuelo!F530:H530)</f>
        <v>0</v>
      </c>
      <c r="D39" s="4104">
        <f>AVERAGE(UsoSuelo!I530:K530)</f>
        <v>0</v>
      </c>
      <c r="E39" s="4104">
        <f>AVERAGE(UsoSuelo!L530:N530)</f>
        <v>0</v>
      </c>
      <c r="F39" s="4105">
        <f>AVERAGE(UsoSuelo!O530:Q530)</f>
        <v>0</v>
      </c>
      <c r="G39" s="4103">
        <f>AVERAGE(UsoSuelo!F569:H569)</f>
        <v>0</v>
      </c>
      <c r="H39" s="4104">
        <f>AVERAGE(UsoSuelo!I569:K569)</f>
        <v>0</v>
      </c>
      <c r="I39" s="4104">
        <f>AVERAGE(UsoSuelo!L569:N569)</f>
        <v>0</v>
      </c>
      <c r="J39" s="4105">
        <f>AVERAGE(UsoSuelo!O569:Q569)</f>
        <v>0</v>
      </c>
      <c r="K39" s="4104">
        <f>AVERAGE(UsoSuelo!F606:H606)</f>
        <v>0</v>
      </c>
      <c r="L39" s="4104">
        <f>AVERAGE(UsoSuelo!I606:K606)</f>
        <v>0</v>
      </c>
      <c r="M39" s="4104">
        <f>AVERAGE(UsoSuelo!L606:N606)</f>
        <v>0</v>
      </c>
      <c r="N39" s="4106">
        <f>AVERAGE(UsoSuelo!O606:Q606)</f>
        <v>0</v>
      </c>
    </row>
    <row r="41" spans="1:15" ht="15.05" thickBot="1" x14ac:dyDescent="0.35"/>
    <row r="42" spans="1:15" x14ac:dyDescent="0.3">
      <c r="A42" s="2487">
        <f>+A28+1</f>
        <v>107</v>
      </c>
      <c r="B42" s="4107" t="s">
        <v>1701</v>
      </c>
      <c r="C42" s="4060"/>
      <c r="E42" s="4108" t="str">
        <f>+B96</f>
        <v xml:space="preserve">Lista desplegable Indicadores - Dotación Lechería </v>
      </c>
      <c r="F42" s="4108"/>
      <c r="G42" s="4108"/>
      <c r="H42" s="4108"/>
      <c r="I42" s="4092"/>
      <c r="J42" s="4092"/>
      <c r="K42" s="4092"/>
      <c r="L42" s="4092"/>
    </row>
    <row r="43" spans="1:15" ht="15.05" thickBot="1" x14ac:dyDescent="0.35">
      <c r="B43" s="5274" t="s">
        <v>1523</v>
      </c>
      <c r="C43" s="4109">
        <f t="shared" ref="C43:C48" si="2">IF(B43=0,0,VLOOKUP(B43,$E$98:$G$120,3,FALSE))</f>
        <v>0</v>
      </c>
      <c r="G43" s="4110"/>
      <c r="I43" s="4111"/>
      <c r="J43" s="4111"/>
      <c r="K43" s="4111"/>
      <c r="L43" s="4111"/>
    </row>
    <row r="44" spans="1:15" ht="15.05" thickBot="1" x14ac:dyDescent="0.35">
      <c r="B44" s="5275" t="s">
        <v>1675</v>
      </c>
      <c r="C44" s="4112">
        <f t="shared" si="2"/>
        <v>0</v>
      </c>
      <c r="G44" s="4110"/>
      <c r="I44" s="4111"/>
      <c r="J44" s="4111"/>
      <c r="K44" s="4111"/>
      <c r="L44" s="4111"/>
    </row>
    <row r="45" spans="1:15" ht="15.05" thickBot="1" x14ac:dyDescent="0.35">
      <c r="B45" s="5275" t="s">
        <v>1524</v>
      </c>
      <c r="C45" s="4112">
        <f t="shared" si="2"/>
        <v>0</v>
      </c>
      <c r="E45" s="4113"/>
      <c r="G45" s="4110"/>
      <c r="I45" s="4111"/>
      <c r="J45" s="4111"/>
      <c r="K45" s="4111"/>
      <c r="L45" s="4111"/>
    </row>
    <row r="46" spans="1:15" ht="15.05" thickBot="1" x14ac:dyDescent="0.35">
      <c r="B46" s="5275" t="s">
        <v>1525</v>
      </c>
      <c r="C46" s="4112">
        <f t="shared" si="2"/>
        <v>0</v>
      </c>
      <c r="E46" s="4113"/>
      <c r="G46" s="4110"/>
      <c r="I46" s="4111"/>
      <c r="J46" s="4111"/>
      <c r="K46" s="4111"/>
      <c r="L46" s="4111"/>
    </row>
    <row r="47" spans="1:15" ht="15.05" thickBot="1" x14ac:dyDescent="0.35">
      <c r="B47" s="5275" t="s">
        <v>1526</v>
      </c>
      <c r="C47" s="4112">
        <f t="shared" si="2"/>
        <v>0</v>
      </c>
      <c r="G47" s="4110"/>
      <c r="I47" s="4111"/>
      <c r="J47" s="4111"/>
      <c r="K47" s="4111"/>
      <c r="L47" s="4111"/>
    </row>
    <row r="48" spans="1:15" ht="15.05" thickBot="1" x14ac:dyDescent="0.35">
      <c r="B48" s="5276" t="s">
        <v>1527</v>
      </c>
      <c r="C48" s="4114">
        <f t="shared" si="2"/>
        <v>0</v>
      </c>
      <c r="G48" s="4110"/>
      <c r="I48" s="4111"/>
      <c r="J48" s="4111"/>
      <c r="K48" s="4111"/>
      <c r="L48" s="4111"/>
    </row>
    <row r="49" spans="1:16" s="4098" customFormat="1" ht="15.05" thickBot="1" x14ac:dyDescent="0.35">
      <c r="B49" s="4115"/>
      <c r="C49" s="4116"/>
      <c r="F49" s="4117"/>
    </row>
    <row r="50" spans="1:16" x14ac:dyDescent="0.3">
      <c r="A50" s="2487">
        <f>+A42+1</f>
        <v>108</v>
      </c>
      <c r="B50" s="4107" t="s">
        <v>1700</v>
      </c>
      <c r="C50" s="4118"/>
      <c r="E50" s="4108" t="str">
        <f>+B122</f>
        <v>Lista desplegable Indicadores - producción animal LECHERÍA</v>
      </c>
      <c r="F50" s="4108"/>
      <c r="G50" s="4108"/>
      <c r="H50" s="4108"/>
      <c r="I50" s="4119"/>
      <c r="J50" s="4092"/>
      <c r="K50" s="4092"/>
      <c r="L50" s="4092"/>
    </row>
    <row r="51" spans="1:16" ht="15.05" thickBot="1" x14ac:dyDescent="0.35">
      <c r="B51" s="5274"/>
      <c r="C51" s="4120">
        <f t="shared" ref="C51:C59" si="3">IF(B51=0,0,VLOOKUP(B51,Lecheria,3,FALSE))</f>
        <v>0</v>
      </c>
      <c r="D51" s="4117"/>
      <c r="E51" s="4117"/>
      <c r="F51" s="4117"/>
      <c r="G51" s="4121"/>
      <c r="M51" s="4122"/>
      <c r="N51" s="4122"/>
      <c r="O51" s="4122"/>
      <c r="P51" s="4122"/>
    </row>
    <row r="52" spans="1:16" ht="15.05" thickBot="1" x14ac:dyDescent="0.35">
      <c r="B52" s="5275"/>
      <c r="C52" s="4120">
        <f t="shared" si="3"/>
        <v>0</v>
      </c>
      <c r="D52" s="4117"/>
      <c r="E52" s="4117"/>
      <c r="F52" s="4117"/>
      <c r="G52" s="4121"/>
      <c r="M52" s="4122"/>
      <c r="N52" s="4122"/>
      <c r="O52" s="4122"/>
      <c r="P52" s="4122"/>
    </row>
    <row r="53" spans="1:16" ht="15.05" thickBot="1" x14ac:dyDescent="0.35">
      <c r="B53" s="5275"/>
      <c r="C53" s="4120">
        <f t="shared" si="3"/>
        <v>0</v>
      </c>
      <c r="D53" s="4117"/>
      <c r="E53" s="4117"/>
      <c r="F53" s="4117"/>
      <c r="G53" s="4121"/>
      <c r="M53" s="4122"/>
      <c r="N53" s="4122"/>
      <c r="O53" s="4122"/>
      <c r="P53" s="4122"/>
    </row>
    <row r="54" spans="1:16" ht="15.05" thickBot="1" x14ac:dyDescent="0.35">
      <c r="B54" s="5275"/>
      <c r="C54" s="4120">
        <f t="shared" si="3"/>
        <v>0</v>
      </c>
      <c r="D54" s="4117"/>
      <c r="E54" s="4117"/>
      <c r="F54" s="4117"/>
      <c r="G54" s="4121"/>
      <c r="M54" s="4122"/>
      <c r="N54" s="4122"/>
      <c r="O54" s="4122"/>
      <c r="P54" s="4122"/>
    </row>
    <row r="55" spans="1:16" ht="15.05" thickBot="1" x14ac:dyDescent="0.35">
      <c r="B55" s="5275"/>
      <c r="C55" s="4120">
        <f t="shared" si="3"/>
        <v>0</v>
      </c>
      <c r="D55" s="4117"/>
      <c r="E55" s="4117"/>
      <c r="F55" s="4117"/>
      <c r="G55" s="4121"/>
      <c r="M55" s="4122"/>
      <c r="N55" s="4122"/>
      <c r="O55" s="4122"/>
      <c r="P55" s="4122"/>
    </row>
    <row r="56" spans="1:16" ht="15.05" thickBot="1" x14ac:dyDescent="0.35">
      <c r="B56" s="5275"/>
      <c r="C56" s="4120">
        <f t="shared" si="3"/>
        <v>0</v>
      </c>
      <c r="D56" s="4117"/>
      <c r="E56" s="4117"/>
      <c r="F56" s="4117"/>
      <c r="G56" s="4121"/>
      <c r="M56" s="4122"/>
      <c r="N56" s="4122"/>
      <c r="O56" s="4122"/>
      <c r="P56" s="4122"/>
    </row>
    <row r="57" spans="1:16" ht="15.05" thickBot="1" x14ac:dyDescent="0.35">
      <c r="B57" s="5275"/>
      <c r="C57" s="4120">
        <f t="shared" si="3"/>
        <v>0</v>
      </c>
      <c r="D57" s="4117"/>
      <c r="E57" s="4117"/>
      <c r="F57" s="4117"/>
      <c r="G57" s="4121"/>
      <c r="M57" s="4122"/>
      <c r="N57" s="4122"/>
      <c r="O57" s="4122"/>
      <c r="P57" s="4122"/>
    </row>
    <row r="58" spans="1:16" ht="15.05" thickBot="1" x14ac:dyDescent="0.35">
      <c r="B58" s="5275"/>
      <c r="C58" s="4120">
        <f t="shared" si="3"/>
        <v>0</v>
      </c>
      <c r="D58" s="4117"/>
      <c r="E58" s="4117"/>
      <c r="F58" s="4117"/>
      <c r="G58" s="4121"/>
      <c r="M58" s="4122"/>
      <c r="N58" s="4122"/>
      <c r="O58" s="4122"/>
      <c r="P58" s="4122"/>
    </row>
    <row r="59" spans="1:16" ht="15.05" thickBot="1" x14ac:dyDescent="0.35">
      <c r="B59" s="5276"/>
      <c r="C59" s="4123">
        <f t="shared" si="3"/>
        <v>0</v>
      </c>
      <c r="D59" s="4117"/>
      <c r="E59" s="4117"/>
      <c r="F59" s="4117"/>
      <c r="G59" s="4121"/>
      <c r="M59" s="4122"/>
      <c r="N59" s="4122"/>
      <c r="O59" s="4122"/>
      <c r="P59" s="4122"/>
    </row>
    <row r="60" spans="1:16" s="4098" customFormat="1" ht="15.05" thickBot="1" x14ac:dyDescent="0.35">
      <c r="B60" s="4117"/>
      <c r="C60" s="4121"/>
      <c r="G60" s="4111"/>
      <c r="I60" s="4111"/>
      <c r="J60" s="4111"/>
      <c r="K60" s="4111"/>
      <c r="L60" s="4111"/>
    </row>
    <row r="61" spans="1:16" x14ac:dyDescent="0.3">
      <c r="A61" s="2487">
        <f>+A50+1</f>
        <v>109</v>
      </c>
      <c r="B61" s="4107" t="s">
        <v>1699</v>
      </c>
      <c r="C61" s="4060"/>
      <c r="E61" s="4108" t="str">
        <f>+B158</f>
        <v>Lista desplegable Indicadores - Uso de concentrado - Lechería</v>
      </c>
      <c r="F61" s="4108"/>
      <c r="G61" s="4108"/>
      <c r="H61" s="4108"/>
      <c r="I61" s="4108"/>
    </row>
    <row r="62" spans="1:16" ht="15.05" thickBot="1" x14ac:dyDescent="0.35">
      <c r="B62" s="5274" t="s">
        <v>1355</v>
      </c>
      <c r="C62" s="4124" t="e">
        <f t="shared" ref="C62:C67" si="4">IF(B62=0,0,VLOOKUP(B62,$E$160:$G$172,3,FALSE))</f>
        <v>#DIV/0!</v>
      </c>
      <c r="D62" s="4117"/>
      <c r="E62" s="4117"/>
      <c r="F62" s="4117"/>
      <c r="G62" s="4121"/>
      <c r="M62" s="4122"/>
      <c r="N62" s="4122"/>
      <c r="O62" s="4122"/>
      <c r="P62" s="4122"/>
    </row>
    <row r="63" spans="1:16" ht="15.05" thickBot="1" x14ac:dyDescent="0.35">
      <c r="B63" s="5275" t="s">
        <v>1200</v>
      </c>
      <c r="C63" s="4124">
        <f t="shared" si="4"/>
        <v>0</v>
      </c>
      <c r="D63" s="4117"/>
      <c r="E63" s="4117"/>
      <c r="F63" s="4117"/>
      <c r="G63" s="4121"/>
      <c r="M63" s="4122"/>
      <c r="N63" s="4122"/>
      <c r="O63" s="4122"/>
      <c r="P63" s="4122"/>
    </row>
    <row r="64" spans="1:16" ht="15.05" thickBot="1" x14ac:dyDescent="0.35">
      <c r="B64" s="5275"/>
      <c r="C64" s="4124">
        <f t="shared" si="4"/>
        <v>0</v>
      </c>
      <c r="D64" s="4117"/>
      <c r="E64" s="4117"/>
      <c r="F64" s="4117"/>
      <c r="G64" s="4121"/>
      <c r="M64" s="4122"/>
      <c r="N64" s="4122"/>
      <c r="O64" s="4122"/>
      <c r="P64" s="4122"/>
    </row>
    <row r="65" spans="1:16" ht="15.05" thickBot="1" x14ac:dyDescent="0.35">
      <c r="B65" s="5275"/>
      <c r="C65" s="4124">
        <f t="shared" si="4"/>
        <v>0</v>
      </c>
      <c r="D65" s="4117"/>
      <c r="E65" s="4117"/>
      <c r="F65" s="4117"/>
      <c r="G65" s="4121"/>
      <c r="M65" s="4122"/>
      <c r="N65" s="4122"/>
      <c r="O65" s="4122"/>
      <c r="P65" s="4122"/>
    </row>
    <row r="66" spans="1:16" ht="15.05" thickBot="1" x14ac:dyDescent="0.35">
      <c r="B66" s="5275"/>
      <c r="C66" s="4124">
        <f t="shared" si="4"/>
        <v>0</v>
      </c>
      <c r="D66" s="4117"/>
      <c r="E66" s="4117"/>
      <c r="F66" s="4117"/>
      <c r="G66" s="4121"/>
      <c r="M66" s="4122"/>
      <c r="N66" s="4122"/>
      <c r="O66" s="4122"/>
      <c r="P66" s="4122"/>
    </row>
    <row r="67" spans="1:16" ht="15.05" thickBot="1" x14ac:dyDescent="0.35">
      <c r="B67" s="5276"/>
      <c r="C67" s="4125">
        <f t="shared" si="4"/>
        <v>0</v>
      </c>
      <c r="D67" s="4117"/>
      <c r="E67" s="4117"/>
      <c r="F67" s="4117"/>
      <c r="G67" s="4121"/>
      <c r="M67" s="4122"/>
      <c r="N67" s="4122"/>
      <c r="O67" s="4122"/>
      <c r="P67" s="4122"/>
    </row>
    <row r="68" spans="1:16" ht="15.05" thickBot="1" x14ac:dyDescent="0.35">
      <c r="B68" s="4117"/>
      <c r="C68" s="4126"/>
      <c r="D68" s="4117"/>
      <c r="E68" s="4117"/>
      <c r="F68" s="4117"/>
      <c r="G68" s="4121"/>
      <c r="M68" s="4122"/>
      <c r="N68" s="4122"/>
      <c r="O68" s="4122"/>
      <c r="P68" s="4122"/>
    </row>
    <row r="69" spans="1:16" x14ac:dyDescent="0.3">
      <c r="A69" s="2487">
        <f>+A61+1</f>
        <v>110</v>
      </c>
      <c r="B69" s="4107" t="s">
        <v>288</v>
      </c>
      <c r="C69" s="4060"/>
      <c r="D69" s="4115"/>
      <c r="E69" s="4127" t="str">
        <f>+B174</f>
        <v>Lista desplegable Indicadores - Producción de forraje y reserva</v>
      </c>
      <c r="F69" s="4127"/>
      <c r="G69" s="4128"/>
      <c r="H69" s="4108"/>
      <c r="I69" s="4108"/>
      <c r="J69" s="4117"/>
    </row>
    <row r="70" spans="1:16" ht="15.05" thickBot="1" x14ac:dyDescent="0.35">
      <c r="B70" s="5274"/>
      <c r="C70" s="4124">
        <f t="shared" ref="C70:C76" si="5">IF(B70=0,0,VLOOKUP(B70,$E$176:$G$189,3,FALSE))</f>
        <v>0</v>
      </c>
      <c r="D70" s="4117"/>
      <c r="E70" s="4117"/>
      <c r="F70" s="4117"/>
      <c r="G70" s="4121"/>
      <c r="M70" s="4122"/>
      <c r="N70" s="4122"/>
      <c r="O70" s="4122"/>
      <c r="P70" s="4122"/>
    </row>
    <row r="71" spans="1:16" ht="15.05" thickBot="1" x14ac:dyDescent="0.35">
      <c r="B71" s="5275"/>
      <c r="C71" s="4129">
        <f t="shared" si="5"/>
        <v>0</v>
      </c>
      <c r="D71" s="4117"/>
      <c r="E71" s="4117"/>
      <c r="F71" s="4117"/>
      <c r="G71" s="4121"/>
      <c r="M71" s="4122"/>
      <c r="N71" s="4122"/>
      <c r="O71" s="4122"/>
      <c r="P71" s="4122"/>
    </row>
    <row r="72" spans="1:16" ht="15.05" thickBot="1" x14ac:dyDescent="0.35">
      <c r="B72" s="5275"/>
      <c r="C72" s="4129">
        <f t="shared" si="5"/>
        <v>0</v>
      </c>
      <c r="D72" s="4117"/>
      <c r="E72" s="4117"/>
      <c r="F72" s="4117"/>
      <c r="G72" s="4121"/>
      <c r="M72" s="4122"/>
      <c r="N72" s="4122"/>
      <c r="O72" s="4122"/>
      <c r="P72" s="4122"/>
    </row>
    <row r="73" spans="1:16" ht="15.05" thickBot="1" x14ac:dyDescent="0.35">
      <c r="B73" s="5275"/>
      <c r="C73" s="4129">
        <f t="shared" si="5"/>
        <v>0</v>
      </c>
      <c r="D73" s="4117"/>
      <c r="E73" s="4117"/>
      <c r="F73" s="4117"/>
      <c r="G73" s="4121"/>
      <c r="M73" s="4122"/>
      <c r="N73" s="4122"/>
      <c r="O73" s="4122"/>
      <c r="P73" s="4122"/>
    </row>
    <row r="74" spans="1:16" ht="15.05" thickBot="1" x14ac:dyDescent="0.35">
      <c r="B74" s="5275"/>
      <c r="C74" s="4129">
        <f t="shared" si="5"/>
        <v>0</v>
      </c>
      <c r="D74" s="4117"/>
      <c r="E74" s="4117"/>
      <c r="F74" s="4117"/>
      <c r="G74" s="4121"/>
      <c r="M74" s="4122"/>
      <c r="N74" s="4122"/>
      <c r="O74" s="4122"/>
      <c r="P74" s="4122"/>
    </row>
    <row r="75" spans="1:16" ht="15.05" thickBot="1" x14ac:dyDescent="0.35">
      <c r="B75" s="5275"/>
      <c r="C75" s="4129">
        <f t="shared" si="5"/>
        <v>0</v>
      </c>
      <c r="D75" s="4117"/>
      <c r="E75" s="4117"/>
      <c r="F75" s="4117"/>
      <c r="G75" s="4121"/>
      <c r="M75" s="4122"/>
      <c r="N75" s="4122"/>
      <c r="O75" s="4122"/>
      <c r="P75" s="4122"/>
    </row>
    <row r="76" spans="1:16" ht="15.05" thickBot="1" x14ac:dyDescent="0.35">
      <c r="B76" s="5276"/>
      <c r="C76" s="4130">
        <f t="shared" si="5"/>
        <v>0</v>
      </c>
      <c r="D76" s="4117"/>
      <c r="E76" s="4117"/>
      <c r="F76" s="4117"/>
      <c r="G76" s="4121"/>
      <c r="M76" s="4122"/>
      <c r="N76" s="4122"/>
      <c r="O76" s="4122"/>
      <c r="P76" s="4122"/>
    </row>
    <row r="77" spans="1:16" s="4098" customFormat="1" ht="15.05" thickBot="1" x14ac:dyDescent="0.35">
      <c r="B77" s="4117"/>
      <c r="C77" s="4121"/>
      <c r="G77" s="4111"/>
      <c r="I77" s="4111"/>
      <c r="J77" s="4111"/>
      <c r="K77" s="4111"/>
      <c r="L77" s="4111"/>
    </row>
    <row r="78" spans="1:16" s="4098" customFormat="1" x14ac:dyDescent="0.3">
      <c r="A78" s="2487">
        <f>+A69+1</f>
        <v>111</v>
      </c>
      <c r="B78" s="4107" t="s">
        <v>1338</v>
      </c>
      <c r="C78" s="4060"/>
      <c r="E78" s="4131" t="str">
        <f>+B191</f>
        <v>Lista desplegable Indicadores - Dotación Ganadería</v>
      </c>
      <c r="F78" s="4131"/>
      <c r="G78" s="4132"/>
      <c r="H78" s="4131"/>
      <c r="I78" s="4111"/>
      <c r="J78" s="4111"/>
      <c r="K78" s="4111"/>
      <c r="L78" s="4111"/>
    </row>
    <row r="79" spans="1:16" s="4098" customFormat="1" ht="15.05" thickBot="1" x14ac:dyDescent="0.35">
      <c r="B79" s="5274" t="s">
        <v>1542</v>
      </c>
      <c r="C79" s="4133">
        <f>IF(B79=0,0,VLOOKUP(B79,$E$193:$G$200,3,FALSE))</f>
        <v>0</v>
      </c>
      <c r="G79" s="4111"/>
      <c r="I79" s="4111"/>
      <c r="J79" s="4111"/>
      <c r="K79" s="4111"/>
      <c r="L79" s="4111"/>
    </row>
    <row r="80" spans="1:16" s="4098" customFormat="1" ht="15.05" thickBot="1" x14ac:dyDescent="0.35">
      <c r="B80" s="5275" t="s">
        <v>1686</v>
      </c>
      <c r="C80" s="4133" t="e">
        <f>IF(B80=0,0,VLOOKUP(B80,$E$193:$G$200,3,FALSE))</f>
        <v>#DIV/0!</v>
      </c>
      <c r="G80" s="4111"/>
      <c r="I80" s="4111"/>
      <c r="J80" s="4111"/>
      <c r="K80" s="4111"/>
      <c r="L80" s="4111"/>
    </row>
    <row r="81" spans="1:16" s="4098" customFormat="1" ht="15.05" thickBot="1" x14ac:dyDescent="0.35">
      <c r="B81" s="5276"/>
      <c r="C81" s="4134">
        <f>IF(B81=0,0,VLOOKUP(B81,$E$193:$G$200,3,FALSE))</f>
        <v>0</v>
      </c>
      <c r="G81" s="4111"/>
      <c r="I81" s="4111"/>
      <c r="J81" s="4111"/>
      <c r="K81" s="4111"/>
      <c r="L81" s="4111"/>
    </row>
    <row r="82" spans="1:16" s="4098" customFormat="1" ht="15.05" thickBot="1" x14ac:dyDescent="0.35">
      <c r="B82" s="4117"/>
      <c r="C82" s="4121"/>
      <c r="G82" s="4111"/>
      <c r="I82" s="4111"/>
      <c r="J82" s="4111"/>
      <c r="K82" s="4111"/>
      <c r="L82" s="4111"/>
    </row>
    <row r="83" spans="1:16" x14ac:dyDescent="0.3">
      <c r="A83" s="2487">
        <f>+A78+1</f>
        <v>112</v>
      </c>
      <c r="B83" s="4107" t="s">
        <v>1697</v>
      </c>
      <c r="C83" s="4118"/>
      <c r="E83" s="4108" t="str">
        <f>+B202</f>
        <v>Lista desplegable Indicadores - Producción animal GANADERÍA</v>
      </c>
      <c r="F83" s="4108"/>
      <c r="G83" s="4108"/>
      <c r="H83" s="4108"/>
      <c r="I83" s="4119"/>
      <c r="J83" s="4092"/>
      <c r="K83" s="4092"/>
      <c r="L83" s="4092"/>
    </row>
    <row r="84" spans="1:16" ht="15.05" thickBot="1" x14ac:dyDescent="0.35">
      <c r="B84" s="5274" t="s">
        <v>1543</v>
      </c>
      <c r="C84" s="4135">
        <f>IF(B84=0,0,VLOOKUP(B84,$E$204:$G$207,3,FALSE))</f>
        <v>0</v>
      </c>
      <c r="D84" s="4117"/>
      <c r="E84" s="4117"/>
      <c r="F84" s="4117"/>
      <c r="G84" s="4121"/>
      <c r="M84" s="4122"/>
      <c r="N84" s="4122"/>
      <c r="O84" s="4122"/>
      <c r="P84" s="4122"/>
    </row>
    <row r="85" spans="1:16" ht="15.05" thickBot="1" x14ac:dyDescent="0.35">
      <c r="B85" s="5275" t="s">
        <v>1479</v>
      </c>
      <c r="C85" s="4120">
        <f>IF(B85=0,0,VLOOKUP(B85,$E$204:$G$207,3,FALSE))</f>
        <v>0</v>
      </c>
      <c r="D85" s="4117"/>
      <c r="E85" s="4117"/>
      <c r="F85" s="4117"/>
      <c r="G85" s="4121"/>
      <c r="M85" s="4122"/>
      <c r="N85" s="4122"/>
      <c r="O85" s="4122"/>
      <c r="P85" s="4122"/>
    </row>
    <row r="86" spans="1:16" ht="15.05" thickBot="1" x14ac:dyDescent="0.35">
      <c r="B86" s="5275"/>
      <c r="C86" s="4120">
        <f>IF(B86=0,0,VLOOKUP(B86,$E$204:$G$207,3,FALSE))</f>
        <v>0</v>
      </c>
      <c r="D86" s="4117"/>
      <c r="E86" s="4117"/>
      <c r="F86" s="4117"/>
      <c r="G86" s="4121"/>
      <c r="M86" s="4122"/>
      <c r="N86" s="4122"/>
      <c r="O86" s="4122"/>
      <c r="P86" s="4122"/>
    </row>
    <row r="87" spans="1:16" ht="15.05" thickBot="1" x14ac:dyDescent="0.35">
      <c r="B87" s="5276"/>
      <c r="C87" s="4123">
        <f>IF(B87=0,0,VLOOKUP(B87,$E$204:$G$207,3,FALSE))</f>
        <v>0</v>
      </c>
      <c r="D87" s="4117"/>
      <c r="E87" s="4117"/>
      <c r="F87" s="4117"/>
      <c r="G87" s="4121"/>
      <c r="M87" s="4122"/>
      <c r="N87" s="4122"/>
      <c r="O87" s="4122"/>
      <c r="P87" s="4122"/>
    </row>
    <row r="88" spans="1:16" ht="15.05" thickBot="1" x14ac:dyDescent="0.35"/>
    <row r="89" spans="1:16" x14ac:dyDescent="0.3">
      <c r="A89" s="2487">
        <f>+A83+1</f>
        <v>113</v>
      </c>
      <c r="B89" s="4107" t="s">
        <v>1698</v>
      </c>
      <c r="C89" s="4060"/>
      <c r="D89" s="4117"/>
      <c r="E89" s="4136" t="str">
        <f>+B209</f>
        <v>Lista desplegable Indicadores - Uso de concentrado - Ganadería</v>
      </c>
      <c r="F89" s="4136"/>
      <c r="G89" s="4137"/>
      <c r="H89" s="4108"/>
      <c r="I89" s="4108"/>
      <c r="M89" s="4122"/>
      <c r="N89" s="4122"/>
      <c r="O89" s="4122"/>
      <c r="P89" s="4122"/>
    </row>
    <row r="90" spans="1:16" ht="15.05" thickBot="1" x14ac:dyDescent="0.35">
      <c r="B90" s="5274" t="s">
        <v>1694</v>
      </c>
      <c r="C90" s="4138">
        <f>IF(B90=0,0,VLOOKUP(B90,$E$211:$G$214,3,FALSE))</f>
        <v>0</v>
      </c>
      <c r="D90" s="4117"/>
      <c r="E90" s="4117"/>
      <c r="F90" s="4117"/>
      <c r="G90" s="4121"/>
      <c r="M90" s="4122"/>
      <c r="N90" s="4122"/>
      <c r="O90" s="4122"/>
      <c r="P90" s="4122"/>
    </row>
    <row r="91" spans="1:16" ht="15.05" thickBot="1" x14ac:dyDescent="0.35">
      <c r="B91" s="5277" t="s">
        <v>1691</v>
      </c>
      <c r="C91" s="4139" t="e">
        <f>IF(B91=0,0,VLOOKUP(B91,$E$211:$G$214,3,FALSE))</f>
        <v>#DIV/0!</v>
      </c>
      <c r="D91" s="4117"/>
      <c r="E91" s="4117"/>
      <c r="F91" s="4117"/>
      <c r="G91" s="4121"/>
      <c r="M91" s="4122"/>
      <c r="N91" s="4122"/>
      <c r="O91" s="4122"/>
      <c r="P91" s="4122"/>
    </row>
    <row r="92" spans="1:16" x14ac:dyDescent="0.3">
      <c r="B92" s="4117"/>
      <c r="C92" s="4126"/>
      <c r="D92" s="4117"/>
      <c r="E92" s="4117"/>
      <c r="F92" s="4117"/>
      <c r="G92" s="4121"/>
      <c r="M92" s="4122"/>
      <c r="N92" s="4122"/>
      <c r="O92" s="4122"/>
      <c r="P92" s="4122"/>
    </row>
    <row r="93" spans="1:16" x14ac:dyDescent="0.3">
      <c r="B93" s="3440"/>
    </row>
    <row r="94" spans="1:16" x14ac:dyDescent="0.3">
      <c r="B94" s="4117"/>
      <c r="C94" s="4126"/>
      <c r="D94" s="4117"/>
      <c r="E94" s="4117"/>
      <c r="F94" s="4117"/>
      <c r="G94" s="4121"/>
      <c r="M94" s="4122"/>
      <c r="N94" s="4122"/>
      <c r="O94" s="4122"/>
      <c r="P94" s="4122"/>
    </row>
    <row r="95" spans="1:16" ht="15.05" thickBot="1" x14ac:dyDescent="0.35">
      <c r="B95" s="3440"/>
    </row>
    <row r="96" spans="1:16" s="4098" customFormat="1" x14ac:dyDescent="0.3">
      <c r="A96" s="2487">
        <f>+A42</f>
        <v>107</v>
      </c>
      <c r="B96" s="4140" t="s">
        <v>1679</v>
      </c>
      <c r="C96" s="4141"/>
      <c r="D96" s="4142"/>
      <c r="E96" s="4142"/>
      <c r="F96" s="4142"/>
      <c r="G96" s="4143"/>
      <c r="H96" s="4144"/>
      <c r="I96" s="4145"/>
      <c r="J96" s="4145"/>
      <c r="K96" s="4145"/>
      <c r="L96" s="4145"/>
      <c r="M96" s="4144"/>
    </row>
    <row r="97" spans="1:13" s="4098" customFormat="1" x14ac:dyDescent="0.3">
      <c r="A97" s="2487" t="s">
        <v>1695</v>
      </c>
      <c r="B97" s="4146" t="s">
        <v>1676</v>
      </c>
      <c r="C97" s="4147" t="s">
        <v>1677</v>
      </c>
      <c r="D97" s="4148"/>
      <c r="E97" s="4149" t="s">
        <v>1678</v>
      </c>
      <c r="F97" s="4150"/>
      <c r="G97" s="4151"/>
      <c r="H97" s="4144"/>
      <c r="I97" s="4145"/>
      <c r="J97" s="4145"/>
      <c r="K97" s="4145"/>
      <c r="L97" s="4145"/>
      <c r="M97" s="4144"/>
    </row>
    <row r="98" spans="1:13" x14ac:dyDescent="0.3">
      <c r="B98" s="4152" t="s">
        <v>1523</v>
      </c>
      <c r="C98" s="5278"/>
      <c r="D98" s="5279"/>
      <c r="E98" s="4153" t="str">
        <f t="shared" ref="E98:E114" si="6">+IF(C98&lt;&gt;0,C98,B98)</f>
        <v>VM promedio, cabezas</v>
      </c>
      <c r="F98" s="4154"/>
      <c r="G98" s="4155">
        <f>SUM(A.Lecheros!R42+A.Lecheros!R86)</f>
        <v>0</v>
      </c>
      <c r="H98" s="2462"/>
      <c r="I98" s="2462"/>
      <c r="J98" s="4145"/>
      <c r="K98" s="4145"/>
      <c r="L98" s="4145"/>
      <c r="M98" s="4145"/>
    </row>
    <row r="99" spans="1:13" x14ac:dyDescent="0.3">
      <c r="B99" s="4156" t="s">
        <v>1675</v>
      </c>
      <c r="C99" s="5280"/>
      <c r="D99" s="5281"/>
      <c r="E99" s="4157" t="str">
        <f t="shared" si="6"/>
        <v>VO promedio, cabezas</v>
      </c>
      <c r="F99" s="4158"/>
      <c r="G99" s="4159">
        <f>A.Lecheros!R42</f>
        <v>0</v>
      </c>
      <c r="H99" s="2462"/>
      <c r="I99" s="2462"/>
      <c r="J99" s="4145"/>
      <c r="K99" s="4145"/>
      <c r="L99" s="4145"/>
      <c r="M99" s="4145"/>
    </row>
    <row r="100" spans="1:13" x14ac:dyDescent="0.3">
      <c r="B100" s="4156" t="s">
        <v>456</v>
      </c>
      <c r="C100" s="5282"/>
      <c r="D100" s="5283"/>
      <c r="E100" s="4157" t="str">
        <f t="shared" si="6"/>
        <v>Relación VO / VM</v>
      </c>
      <c r="F100" s="4158"/>
      <c r="G100" s="4160">
        <f>IFERROR(G99/G98,0)</f>
        <v>0</v>
      </c>
      <c r="H100" s="2462"/>
      <c r="I100" s="2462"/>
      <c r="J100" s="4161"/>
      <c r="K100" s="4161"/>
      <c r="L100" s="4161"/>
      <c r="M100" s="4161"/>
    </row>
    <row r="101" spans="1:13" x14ac:dyDescent="0.3">
      <c r="B101" s="4162" t="s">
        <v>1524</v>
      </c>
      <c r="C101" s="5278"/>
      <c r="D101" s="5279"/>
      <c r="E101" s="4163" t="str">
        <f t="shared" si="6"/>
        <v>VM al inicio, cabezas</v>
      </c>
      <c r="F101" s="4164"/>
      <c r="G101" s="4155">
        <f>A.Lecheros!F12+A.Lecheros!F69</f>
        <v>0</v>
      </c>
      <c r="H101" s="2462"/>
      <c r="I101" s="2462"/>
      <c r="J101" s="2462"/>
      <c r="K101" s="2462"/>
      <c r="L101" s="2462"/>
      <c r="M101" s="2462"/>
    </row>
    <row r="102" spans="1:13" x14ac:dyDescent="0.3">
      <c r="B102" s="4165" t="s">
        <v>1525</v>
      </c>
      <c r="C102" s="5280"/>
      <c r="D102" s="5281"/>
      <c r="E102" s="4166" t="str">
        <f t="shared" si="6"/>
        <v>VM al final, cabezas</v>
      </c>
      <c r="F102" s="4167"/>
      <c r="G102" s="4159">
        <f>A.Lecheros!Q12+A.Lecheros!Q85</f>
        <v>0</v>
      </c>
      <c r="H102" s="2462"/>
      <c r="I102" s="2462"/>
      <c r="J102" s="2462"/>
      <c r="K102" s="2462"/>
      <c r="L102" s="2462"/>
      <c r="M102" s="2462"/>
    </row>
    <row r="103" spans="1:13" x14ac:dyDescent="0.3">
      <c r="B103" s="4165" t="s">
        <v>1526</v>
      </c>
      <c r="C103" s="5280"/>
      <c r="D103" s="5281"/>
      <c r="E103" s="4166" t="str">
        <f t="shared" si="6"/>
        <v>Stock lechero inicial, cabezas</v>
      </c>
      <c r="F103" s="4167"/>
      <c r="G103" s="4159">
        <f>SUM(A.Lecheros!F12+A.Lecheros!F69+A.Lecheros!F101+A.Lecheros!F129+A.Lecheros!F157+A.Lecheros!F185+A.Lecheros!F212+A.Lecheros!F239+A.Lecheros!F265+A.Lecheros!F287)</f>
        <v>0</v>
      </c>
      <c r="H103" s="2462"/>
      <c r="I103" s="2462"/>
      <c r="J103" s="2462"/>
      <c r="K103" s="2462"/>
      <c r="L103" s="2462"/>
      <c r="M103" s="2462"/>
    </row>
    <row r="104" spans="1:13" x14ac:dyDescent="0.3">
      <c r="B104" s="4168" t="s">
        <v>1527</v>
      </c>
      <c r="C104" s="5282"/>
      <c r="D104" s="5283"/>
      <c r="E104" s="4169" t="str">
        <f t="shared" si="6"/>
        <v>Stock lechero final, cabezas</v>
      </c>
      <c r="F104" s="4170"/>
      <c r="G104" s="4171">
        <f>SUM(A.Lecheros!Q41+A.Lecheros!Q85+A.Lecheros!Q117+A.Lecheros!Q145+A.Lecheros!Q173+A.Lecheros!Q201+A.Lecheros!Q228+A.Lecheros!Q254+A.Lecheros!Q279+A.Lecheros!Q302)</f>
        <v>0</v>
      </c>
      <c r="H104" s="2462"/>
      <c r="I104" s="2462"/>
      <c r="J104" s="2462"/>
      <c r="K104" s="2462"/>
      <c r="L104" s="2462"/>
      <c r="M104" s="2462"/>
    </row>
    <row r="105" spans="1:13" x14ac:dyDescent="0.3">
      <c r="B105" s="4152" t="s">
        <v>2095</v>
      </c>
      <c r="C105" s="5284"/>
      <c r="D105" s="5285"/>
      <c r="E105" s="4153" t="str">
        <f t="shared" si="6"/>
        <v>VM, cab/ha Sup. Útil</v>
      </c>
      <c r="F105" s="4154"/>
      <c r="G105" s="4172" t="e">
        <f>G98/UsoSuelo!C99</f>
        <v>#DIV/0!</v>
      </c>
      <c r="H105" s="2462"/>
      <c r="I105" s="2462"/>
      <c r="J105" s="2462"/>
      <c r="K105" s="2462"/>
      <c r="L105" s="2462"/>
      <c r="M105" s="2462"/>
    </row>
    <row r="106" spans="1:13" x14ac:dyDescent="0.3">
      <c r="B106" s="4173" t="s">
        <v>2096</v>
      </c>
      <c r="C106" s="5278"/>
      <c r="D106" s="5279"/>
      <c r="E106" s="4174" t="str">
        <f t="shared" si="6"/>
        <v>VM, UG/ha Sup. Útil</v>
      </c>
      <c r="F106" s="4175"/>
      <c r="G106" s="4176" t="e">
        <f>(A.Lecheros!I622)/UsoSuelo!C99</f>
        <v>#DIV/0!</v>
      </c>
      <c r="H106" s="2462"/>
      <c r="I106" s="2462"/>
      <c r="J106" s="2462"/>
      <c r="K106" s="2462"/>
      <c r="L106" s="2462"/>
      <c r="M106" s="2462"/>
    </row>
    <row r="107" spans="1:13" x14ac:dyDescent="0.3">
      <c r="B107" s="4177" t="s">
        <v>2097</v>
      </c>
      <c r="C107" s="5280"/>
      <c r="D107" s="5281"/>
      <c r="E107" s="4178" t="str">
        <f t="shared" si="6"/>
        <v>Resto, UG/Ha Sup. Útil</v>
      </c>
      <c r="F107" s="4179"/>
      <c r="G107" s="4160" t="e">
        <f>+(A.Lecheros!I633)/UsoSuelo!C99</f>
        <v>#DIV/0!</v>
      </c>
      <c r="H107" s="2462"/>
      <c r="I107" s="2462"/>
      <c r="J107" s="2462"/>
      <c r="K107" s="2462"/>
      <c r="L107" s="2462"/>
      <c r="M107" s="2462"/>
    </row>
    <row r="108" spans="1:13" x14ac:dyDescent="0.3">
      <c r="B108" s="4177" t="s">
        <v>2098</v>
      </c>
      <c r="C108" s="5282"/>
      <c r="D108" s="5283"/>
      <c r="E108" s="4178" t="str">
        <f t="shared" si="6"/>
        <v>UG/ha Sup. Útil</v>
      </c>
      <c r="F108" s="4179"/>
      <c r="G108" s="4160" t="e">
        <f>+G107+G106</f>
        <v>#DIV/0!</v>
      </c>
      <c r="H108" s="2462"/>
      <c r="I108" s="2462"/>
      <c r="J108" s="2462"/>
      <c r="K108" s="2462"/>
      <c r="L108" s="2462"/>
      <c r="M108" s="2462"/>
    </row>
    <row r="109" spans="1:13" x14ac:dyDescent="0.3">
      <c r="B109" s="4152" t="s">
        <v>455</v>
      </c>
      <c r="C109" s="5278"/>
      <c r="D109" s="5279"/>
      <c r="E109" s="4153" t="str">
        <f t="shared" si="6"/>
        <v>VM, Nº/ha SPL</v>
      </c>
      <c r="F109" s="4154"/>
      <c r="G109" s="4176" t="e">
        <f>G98/AVERAGE(D7:G7)</f>
        <v>#DIV/0!</v>
      </c>
      <c r="H109" s="2462"/>
      <c r="I109" s="2462"/>
      <c r="J109" s="2462"/>
      <c r="K109" s="2462"/>
      <c r="L109" s="2462"/>
      <c r="M109" s="2462"/>
    </row>
    <row r="110" spans="1:13" x14ac:dyDescent="0.3">
      <c r="B110" s="4177" t="s">
        <v>454</v>
      </c>
      <c r="C110" s="5280"/>
      <c r="D110" s="5281"/>
      <c r="E110" s="4178" t="str">
        <f t="shared" si="6"/>
        <v>VM, UG/ha SPL</v>
      </c>
      <c r="F110" s="4179"/>
      <c r="G110" s="4160" t="e">
        <f>+A.Lecheros!I622/ResFísico!C7</f>
        <v>#DIV/0!</v>
      </c>
      <c r="H110" s="2462"/>
      <c r="I110" s="2462"/>
      <c r="J110" s="2462"/>
      <c r="K110" s="2462"/>
      <c r="L110" s="2462"/>
      <c r="M110" s="2462"/>
    </row>
    <row r="111" spans="1:13" x14ac:dyDescent="0.3">
      <c r="B111" s="4177" t="s">
        <v>1312</v>
      </c>
      <c r="C111" s="5280"/>
      <c r="D111" s="5281"/>
      <c r="E111" s="4178" t="str">
        <f t="shared" si="6"/>
        <v>Resto, UG/Ha SPL</v>
      </c>
      <c r="F111" s="4179"/>
      <c r="G111" s="4160" t="e">
        <f>+A.Lecheros!I633/ResFísico!C7</f>
        <v>#DIV/0!</v>
      </c>
      <c r="H111" s="2462"/>
      <c r="I111" s="2462"/>
      <c r="J111" s="2462"/>
      <c r="K111" s="2462"/>
      <c r="L111" s="2462"/>
      <c r="M111" s="2462"/>
    </row>
    <row r="112" spans="1:13" x14ac:dyDescent="0.3">
      <c r="B112" s="4177" t="s">
        <v>1313</v>
      </c>
      <c r="C112" s="5282"/>
      <c r="D112" s="5283"/>
      <c r="E112" s="4178" t="str">
        <f t="shared" si="6"/>
        <v>UG/ha SPL</v>
      </c>
      <c r="F112" s="4179"/>
      <c r="G112" s="4160" t="e">
        <f>+G111+G110</f>
        <v>#DIV/0!</v>
      </c>
      <c r="H112" s="2462"/>
      <c r="I112" s="2462"/>
      <c r="J112" s="2462"/>
      <c r="K112" s="2462"/>
      <c r="L112" s="2462"/>
      <c r="M112" s="2462"/>
    </row>
    <row r="113" spans="1:16" x14ac:dyDescent="0.3">
      <c r="B113" s="4173" t="s">
        <v>1529</v>
      </c>
      <c r="C113" s="5278"/>
      <c r="D113" s="5279"/>
      <c r="E113" s="4174" t="str">
        <f t="shared" si="6"/>
        <v>Vaca Ordeñe, cab/ha VO</v>
      </c>
      <c r="F113" s="4175"/>
      <c r="G113" s="4176" t="e">
        <f>+G99/C8</f>
        <v>#DIV/0!</v>
      </c>
      <c r="H113" s="2462"/>
      <c r="I113" s="2462"/>
      <c r="J113" s="2462"/>
      <c r="K113" s="2462"/>
      <c r="L113" s="2462"/>
      <c r="M113" s="2462"/>
    </row>
    <row r="114" spans="1:16" x14ac:dyDescent="0.3">
      <c r="B114" s="4180" t="s">
        <v>1528</v>
      </c>
      <c r="C114" s="5282"/>
      <c r="D114" s="5283"/>
      <c r="E114" s="4181" t="str">
        <f t="shared" si="6"/>
        <v>VO, UG/ha VO</v>
      </c>
      <c r="F114" s="4182"/>
      <c r="G114" s="4183" t="e">
        <f>+A.Lecheros!H621/ResFísico!C8</f>
        <v>#DIV/0!</v>
      </c>
      <c r="H114" s="2462"/>
      <c r="I114" s="2462"/>
      <c r="J114" s="2462"/>
      <c r="K114" s="2462"/>
      <c r="L114" s="2462"/>
      <c r="M114" s="2462"/>
    </row>
    <row r="115" spans="1:16" x14ac:dyDescent="0.3">
      <c r="B115" s="4184" t="s">
        <v>1943</v>
      </c>
      <c r="C115" s="5278"/>
      <c r="D115" s="5279"/>
      <c r="E115" s="4174" t="str">
        <f t="shared" ref="E115:E120" si="7">+IF(C115&lt;&gt;0,C115,B115)</f>
        <v>Recría, cab / ha Recría</v>
      </c>
      <c r="F115" s="4175"/>
      <c r="G115" s="4176" t="e">
        <f>SUM(A.Lecheros!R118+A.Lecheros!R146+A.Lecheros!R174+A.Lecheros!R202+A.Lecheros!R229+A.Lecheros!R255+A.Lecheros!R280+A.Lecheros!R303)/AVERAGE(D10:G10)</f>
        <v>#DIV/0!</v>
      </c>
      <c r="H115" s="2462"/>
      <c r="I115" s="2462"/>
      <c r="J115" s="2462"/>
      <c r="K115" s="2462"/>
      <c r="L115" s="2462"/>
      <c r="M115" s="2462"/>
    </row>
    <row r="116" spans="1:16" ht="15.05" thickBot="1" x14ac:dyDescent="0.35">
      <c r="B116" s="4185" t="s">
        <v>1944</v>
      </c>
      <c r="C116" s="5286"/>
      <c r="D116" s="5287"/>
      <c r="E116" s="4186" t="str">
        <f t="shared" si="7"/>
        <v>Recría, UG / ha Recría</v>
      </c>
      <c r="F116" s="4187"/>
      <c r="G116" s="4188" t="e">
        <f>(AVERAGE(A.Lecheros!G101,A.Lecheros!J101,A.Lecheros!M101,A.Lecheros!P101)+AVERAGE(A.Lecheros!G129,A.Lecheros!J129,A.Lecheros!M129,A.Lecheros!P129)+AVERAGE(A.Lecheros!G157,A.Lecheros!G157,A.Lecheros!J157,A.Lecheros!M157,A.Lecheros!P157)+AVERAGE(A.Lecheros!G185,A.Lecheros!J185,A.Lecheros!M185,A.Lecheros!P185)+(AVERAGE(A.Lecheros!G212,A.Lecheros!J212,A.Lecheros!M212,A.Lecheros!P212)*0.9)+(AVERAGE(A.Lecheros!G239,A.Lecheros!J239,A.Lecheros!M239,A.Lecheros!P239)*0.4))/AVERAGE(D10:G10)</f>
        <v>#DIV/0!</v>
      </c>
      <c r="H116" s="2462"/>
      <c r="I116" s="2462"/>
      <c r="J116" s="2462"/>
      <c r="K116" s="2462"/>
      <c r="L116" s="2462"/>
      <c r="M116" s="2462"/>
    </row>
    <row r="117" spans="1:16" x14ac:dyDescent="0.3">
      <c r="B117" s="4177"/>
      <c r="C117" s="5280"/>
      <c r="D117" s="5281"/>
      <c r="E117" s="4178">
        <f t="shared" si="7"/>
        <v>0</v>
      </c>
      <c r="F117" s="4179"/>
      <c r="G117" s="5288"/>
      <c r="H117" s="2462"/>
      <c r="I117" s="2462"/>
      <c r="J117" s="2462"/>
      <c r="K117" s="2462"/>
      <c r="L117" s="2462"/>
      <c r="M117" s="2462"/>
    </row>
    <row r="118" spans="1:16" x14ac:dyDescent="0.3">
      <c r="B118" s="4177"/>
      <c r="C118" s="5280"/>
      <c r="D118" s="5281"/>
      <c r="E118" s="4178">
        <f t="shared" si="7"/>
        <v>0</v>
      </c>
      <c r="F118" s="4179"/>
      <c r="G118" s="5288"/>
      <c r="H118" s="2462"/>
      <c r="I118" s="2462"/>
      <c r="J118" s="2462"/>
      <c r="K118" s="2462"/>
      <c r="L118" s="2462"/>
      <c r="M118" s="2462"/>
    </row>
    <row r="119" spans="1:16" x14ac:dyDescent="0.3">
      <c r="B119" s="4177"/>
      <c r="C119" s="5280"/>
      <c r="D119" s="5281"/>
      <c r="E119" s="4178">
        <f t="shared" si="7"/>
        <v>0</v>
      </c>
      <c r="F119" s="4179"/>
      <c r="G119" s="5288"/>
      <c r="H119" s="2462"/>
      <c r="I119" s="2462"/>
      <c r="J119" s="2462"/>
      <c r="K119" s="2462"/>
      <c r="L119" s="2462"/>
      <c r="M119" s="2462"/>
    </row>
    <row r="120" spans="1:16" ht="15.05" thickBot="1" x14ac:dyDescent="0.35">
      <c r="B120" s="4189"/>
      <c r="C120" s="5286"/>
      <c r="D120" s="5287"/>
      <c r="E120" s="4186">
        <f t="shared" si="7"/>
        <v>0</v>
      </c>
      <c r="F120" s="4187"/>
      <c r="G120" s="5289"/>
      <c r="H120" s="2462"/>
      <c r="I120" s="2462"/>
      <c r="J120" s="2462"/>
      <c r="K120" s="2462"/>
      <c r="L120" s="2462"/>
      <c r="M120" s="2462"/>
    </row>
    <row r="121" spans="1:16" ht="15.05" thickBot="1" x14ac:dyDescent="0.35">
      <c r="B121" s="2462"/>
      <c r="C121" s="2462"/>
      <c r="D121" s="2462"/>
      <c r="E121" s="2462"/>
      <c r="F121" s="2462"/>
      <c r="G121" s="2462"/>
      <c r="H121" s="2462"/>
      <c r="I121" s="2462"/>
      <c r="J121" s="2462"/>
      <c r="K121" s="2462"/>
      <c r="L121" s="2462"/>
      <c r="M121" s="2462"/>
    </row>
    <row r="122" spans="1:16" s="4098" customFormat="1" x14ac:dyDescent="0.3">
      <c r="A122" s="2487">
        <f>+A50</f>
        <v>108</v>
      </c>
      <c r="B122" s="4140" t="s">
        <v>1680</v>
      </c>
      <c r="C122" s="4141"/>
      <c r="D122" s="4142"/>
      <c r="E122" s="4142"/>
      <c r="F122" s="4142"/>
      <c r="G122" s="4143"/>
      <c r="H122" s="4144"/>
      <c r="I122" s="4145"/>
      <c r="J122" s="4145"/>
      <c r="K122" s="4145"/>
      <c r="L122" s="4145"/>
      <c r="M122" s="4144"/>
    </row>
    <row r="123" spans="1:16" x14ac:dyDescent="0.3">
      <c r="A123" s="2487" t="s">
        <v>1695</v>
      </c>
      <c r="B123" s="4146" t="s">
        <v>1676</v>
      </c>
      <c r="C123" s="4147" t="s">
        <v>1677</v>
      </c>
      <c r="D123" s="4148"/>
      <c r="E123" s="4149" t="s">
        <v>1678</v>
      </c>
      <c r="F123" s="4150"/>
      <c r="G123" s="4151"/>
      <c r="H123" s="2462"/>
      <c r="I123" s="2462"/>
      <c r="J123" s="2462"/>
      <c r="K123" s="2462"/>
      <c r="L123" s="2462"/>
      <c r="M123" s="4190"/>
      <c r="N123" s="4122"/>
      <c r="O123" s="4122"/>
      <c r="P123" s="4122"/>
    </row>
    <row r="124" spans="1:16" x14ac:dyDescent="0.3">
      <c r="B124" s="4152" t="s">
        <v>1530</v>
      </c>
      <c r="C124" s="5290"/>
      <c r="D124" s="5291"/>
      <c r="E124" s="4154" t="str">
        <f t="shared" ref="E124:E149" si="8">+IF(C124&lt;&gt;0,C124,B124)</f>
        <v>Producción de Leche, Litros total</v>
      </c>
      <c r="F124" s="4154"/>
      <c r="G124" s="4155">
        <f>SUM(A.Lecheros!F46:Q46)</f>
        <v>0</v>
      </c>
      <c r="H124" s="2462"/>
      <c r="I124" s="2462"/>
      <c r="J124" s="2462"/>
      <c r="K124" s="2462"/>
      <c r="L124" s="2462"/>
      <c r="M124" s="4190"/>
      <c r="N124" s="4122"/>
      <c r="O124" s="4122"/>
      <c r="P124" s="4122"/>
    </row>
    <row r="125" spans="1:16" x14ac:dyDescent="0.3">
      <c r="B125" s="4191" t="s">
        <v>1531</v>
      </c>
      <c r="C125" s="5280"/>
      <c r="D125" s="5281"/>
      <c r="E125" s="4144" t="str">
        <f t="shared" si="8"/>
        <v>Producción de leche, L/VM</v>
      </c>
      <c r="F125" s="4144"/>
      <c r="G125" s="4159" t="e">
        <f>G124/G98</f>
        <v>#DIV/0!</v>
      </c>
      <c r="H125" s="2462"/>
      <c r="I125" s="2462"/>
      <c r="J125" s="2462"/>
      <c r="K125" s="2462"/>
      <c r="L125" s="2462"/>
      <c r="M125" s="2462"/>
    </row>
    <row r="126" spans="1:16" x14ac:dyDescent="0.3">
      <c r="B126" s="4156" t="s">
        <v>1532</v>
      </c>
      <c r="C126" s="5292"/>
      <c r="D126" s="5293"/>
      <c r="E126" s="4158" t="str">
        <f t="shared" si="8"/>
        <v>Producción de leche individual, L/VO/día</v>
      </c>
      <c r="F126" s="4158"/>
      <c r="G126" s="4192" t="e">
        <f>AVERAGE(A.Lecheros!F43:Q43)</f>
        <v>#DIV/0!</v>
      </c>
      <c r="H126" s="2462"/>
      <c r="I126" s="2462"/>
      <c r="J126" s="2462"/>
      <c r="K126" s="2462"/>
      <c r="L126" s="2462"/>
      <c r="M126" s="2462"/>
    </row>
    <row r="127" spans="1:16" x14ac:dyDescent="0.3">
      <c r="B127" s="4191" t="s">
        <v>1533</v>
      </c>
      <c r="C127" s="5280"/>
      <c r="D127" s="5281"/>
      <c r="E127" s="4144" t="str">
        <f t="shared" si="8"/>
        <v>Producción de leche, L/ha SPVO</v>
      </c>
      <c r="F127" s="4144"/>
      <c r="G127" s="4159" t="e">
        <f>G124/AVERAGE(D8:F8)</f>
        <v>#DIV/0!</v>
      </c>
      <c r="H127" s="2462"/>
      <c r="I127" s="2462"/>
      <c r="J127" s="2462"/>
      <c r="K127" s="2462"/>
      <c r="L127" s="2462"/>
      <c r="M127" s="2462"/>
    </row>
    <row r="128" spans="1:16" x14ac:dyDescent="0.3">
      <c r="B128" s="4191" t="s">
        <v>1682</v>
      </c>
      <c r="C128" s="5280"/>
      <c r="D128" s="5281"/>
      <c r="E128" s="4144" t="str">
        <f t="shared" si="8"/>
        <v>Producción de leche, L/ha SVM</v>
      </c>
      <c r="F128" s="4144"/>
      <c r="G128" s="4159" t="e">
        <f>+G124/C9</f>
        <v>#DIV/0!</v>
      </c>
      <c r="H128" s="2462"/>
      <c r="I128" s="2462"/>
      <c r="J128" s="2462"/>
      <c r="K128" s="2462"/>
      <c r="L128" s="2462"/>
      <c r="M128" s="2462"/>
    </row>
    <row r="129" spans="2:13" x14ac:dyDescent="0.3">
      <c r="B129" s="4191" t="s">
        <v>461</v>
      </c>
      <c r="C129" s="5280"/>
      <c r="D129" s="5281"/>
      <c r="E129" s="4144" t="str">
        <f t="shared" si="8"/>
        <v>Producción de leche, L/ha SPL</v>
      </c>
      <c r="F129" s="4144"/>
      <c r="G129" s="4159" t="e">
        <f>G124/AVERAGE(D7:F7)</f>
        <v>#DIV/0!</v>
      </c>
      <c r="H129" s="2462"/>
      <c r="I129" s="2462"/>
      <c r="J129" s="4158"/>
      <c r="K129" s="2462"/>
      <c r="L129" s="2462"/>
      <c r="M129" s="2462"/>
    </row>
    <row r="130" spans="2:13" x14ac:dyDescent="0.3">
      <c r="B130" s="4193" t="s">
        <v>2099</v>
      </c>
      <c r="C130" s="5282"/>
      <c r="D130" s="5283"/>
      <c r="E130" s="4194" t="str">
        <f t="shared" si="8"/>
        <v>Producción de Leche, L/ha Sup. Útil</v>
      </c>
      <c r="F130" s="4194"/>
      <c r="G130" s="4171" t="e">
        <f>G124/UsoSuelo!C99</f>
        <v>#DIV/0!</v>
      </c>
      <c r="H130" s="2462"/>
      <c r="I130" s="2462"/>
      <c r="J130" s="2462"/>
      <c r="K130" s="2462"/>
      <c r="L130" s="2462"/>
      <c r="M130" s="2462"/>
    </row>
    <row r="131" spans="2:13" x14ac:dyDescent="0.3">
      <c r="B131" s="4195" t="s">
        <v>2100</v>
      </c>
      <c r="C131" s="5294"/>
      <c r="D131" s="5295"/>
      <c r="E131" s="4196" t="str">
        <f t="shared" si="8"/>
        <v>% de Grasa</v>
      </c>
      <c r="F131" s="4196"/>
      <c r="G131" s="4176">
        <f>+A.Lecheros!R44*100</f>
        <v>0</v>
      </c>
      <c r="H131" s="2462"/>
      <c r="I131" s="2462"/>
      <c r="J131" s="2462"/>
      <c r="K131" s="2462"/>
      <c r="L131" s="2462"/>
      <c r="M131" s="2462"/>
    </row>
    <row r="132" spans="2:13" x14ac:dyDescent="0.3">
      <c r="B132" s="4197" t="s">
        <v>2101</v>
      </c>
      <c r="C132" s="5296"/>
      <c r="D132" s="5297"/>
      <c r="E132" s="4198" t="str">
        <f t="shared" si="8"/>
        <v>% de Proteína</v>
      </c>
      <c r="F132" s="4198"/>
      <c r="G132" s="4160">
        <f>+A.Lecheros!R45*100</f>
        <v>0</v>
      </c>
      <c r="H132" s="2462"/>
      <c r="I132" s="2462"/>
      <c r="J132" s="2462"/>
      <c r="K132" s="2462"/>
      <c r="L132" s="2462"/>
      <c r="M132" s="2462"/>
    </row>
    <row r="133" spans="2:13" x14ac:dyDescent="0.3">
      <c r="B133" s="4191" t="s">
        <v>1534</v>
      </c>
      <c r="C133" s="5280"/>
      <c r="D133" s="5281"/>
      <c r="E133" s="4144" t="str">
        <f t="shared" si="8"/>
        <v>Proteína, kg/ha SPVO</v>
      </c>
      <c r="F133" s="4144"/>
      <c r="G133" s="4159" t="e">
        <f>+A.Lecheros!R616/ResFísico!C8</f>
        <v>#DIV/0!</v>
      </c>
      <c r="H133" s="2462"/>
      <c r="I133" s="2462"/>
      <c r="J133" s="4158"/>
      <c r="K133" s="2462"/>
      <c r="L133" s="2462"/>
      <c r="M133" s="2462"/>
    </row>
    <row r="134" spans="2:13" x14ac:dyDescent="0.3">
      <c r="B134" s="4191" t="s">
        <v>1681</v>
      </c>
      <c r="C134" s="5280"/>
      <c r="D134" s="5281"/>
      <c r="E134" s="4144" t="str">
        <f t="shared" si="8"/>
        <v>Proteína, kg/ha SVM</v>
      </c>
      <c r="F134" s="4144"/>
      <c r="G134" s="4159" t="e">
        <f>+A.Lecheros!R616/C9</f>
        <v>#DIV/0!</v>
      </c>
      <c r="H134" s="2462"/>
      <c r="I134" s="2462"/>
      <c r="J134" s="4158"/>
      <c r="K134" s="2462"/>
      <c r="L134" s="2462"/>
      <c r="M134" s="2462"/>
    </row>
    <row r="135" spans="2:13" x14ac:dyDescent="0.3">
      <c r="B135" s="4191" t="s">
        <v>1535</v>
      </c>
      <c r="C135" s="5280"/>
      <c r="D135" s="5281"/>
      <c r="E135" s="4144" t="str">
        <f t="shared" si="8"/>
        <v>Proteína, kg/ha SPL</v>
      </c>
      <c r="F135" s="4144"/>
      <c r="G135" s="4159" t="e">
        <f>+A.Lecheros!R616/ResFísico!C7</f>
        <v>#DIV/0!</v>
      </c>
      <c r="H135" s="2462"/>
      <c r="I135" s="2462"/>
      <c r="J135" s="2462"/>
      <c r="K135" s="2462"/>
      <c r="L135" s="2462"/>
      <c r="M135" s="2462"/>
    </row>
    <row r="136" spans="2:13" x14ac:dyDescent="0.3">
      <c r="B136" s="4191" t="s">
        <v>1536</v>
      </c>
      <c r="C136" s="5280"/>
      <c r="D136" s="5281"/>
      <c r="E136" s="4144" t="str">
        <f t="shared" si="8"/>
        <v>Grasa, kg/ha SPVO</v>
      </c>
      <c r="F136" s="4144"/>
      <c r="G136" s="4159" t="e">
        <f>+A.Lecheros!R615/ResFísico!C8</f>
        <v>#DIV/0!</v>
      </c>
      <c r="H136" s="2462"/>
      <c r="I136" s="2462"/>
      <c r="J136" s="2462"/>
      <c r="K136" s="2462"/>
      <c r="L136" s="2462"/>
      <c r="M136" s="2462"/>
    </row>
    <row r="137" spans="2:13" x14ac:dyDescent="0.3">
      <c r="B137" s="4191" t="s">
        <v>1683</v>
      </c>
      <c r="C137" s="5280"/>
      <c r="D137" s="5281"/>
      <c r="E137" s="4144" t="str">
        <f t="shared" si="8"/>
        <v>Grasa, kg/ha SVM</v>
      </c>
      <c r="F137" s="4144"/>
      <c r="G137" s="4159" t="e">
        <f>+A.Lecheros!R615/C9</f>
        <v>#DIV/0!</v>
      </c>
      <c r="H137" s="2462"/>
      <c r="I137" s="2462"/>
      <c r="J137" s="2462"/>
      <c r="K137" s="2462"/>
      <c r="L137" s="2462"/>
      <c r="M137" s="2462"/>
    </row>
    <row r="138" spans="2:13" x14ac:dyDescent="0.3">
      <c r="B138" s="4191" t="s">
        <v>1537</v>
      </c>
      <c r="C138" s="5280"/>
      <c r="D138" s="5281"/>
      <c r="E138" s="4144" t="str">
        <f t="shared" si="8"/>
        <v>Grasa, kg/ha SPL</v>
      </c>
      <c r="F138" s="4144"/>
      <c r="G138" s="4159" t="e">
        <f>+A.Lecheros!R615/ResFísico!C7</f>
        <v>#DIV/0!</v>
      </c>
      <c r="H138" s="2462"/>
      <c r="I138" s="2462"/>
      <c r="J138" s="2462"/>
      <c r="K138" s="2462"/>
      <c r="L138" s="2462"/>
      <c r="M138" s="2462"/>
    </row>
    <row r="139" spans="2:13" x14ac:dyDescent="0.3">
      <c r="B139" s="4191" t="s">
        <v>1538</v>
      </c>
      <c r="C139" s="5280"/>
      <c r="D139" s="5281"/>
      <c r="E139" s="4144" t="str">
        <f t="shared" si="8"/>
        <v>Sólidos, kg/ha SPVO</v>
      </c>
      <c r="F139" s="4144"/>
      <c r="G139" s="4159" t="e">
        <f>+G136+G133</f>
        <v>#DIV/0!</v>
      </c>
      <c r="H139" s="2462"/>
      <c r="I139" s="2462"/>
      <c r="J139" s="2462"/>
      <c r="K139" s="2462"/>
      <c r="L139" s="2462"/>
      <c r="M139" s="2462"/>
    </row>
    <row r="140" spans="2:13" x14ac:dyDescent="0.3">
      <c r="B140" s="4191" t="s">
        <v>1684</v>
      </c>
      <c r="C140" s="5280"/>
      <c r="D140" s="5281"/>
      <c r="E140" s="4144" t="str">
        <f>+IF(C140&lt;&gt;0,C140,B140)</f>
        <v>Sólidos, kg/ha SVM</v>
      </c>
      <c r="F140" s="4144"/>
      <c r="G140" s="4159" t="e">
        <f>+G137+G134</f>
        <v>#DIV/0!</v>
      </c>
      <c r="H140" s="2462"/>
      <c r="I140" s="2462"/>
      <c r="J140" s="2462"/>
      <c r="K140" s="2462"/>
      <c r="L140" s="2462"/>
      <c r="M140" s="2462"/>
    </row>
    <row r="141" spans="2:13" x14ac:dyDescent="0.3">
      <c r="B141" s="4191" t="s">
        <v>1539</v>
      </c>
      <c r="C141" s="5280"/>
      <c r="D141" s="5281"/>
      <c r="E141" s="4144" t="str">
        <f t="shared" si="8"/>
        <v>Sólidos kg/ha SPL</v>
      </c>
      <c r="F141" s="4144"/>
      <c r="G141" s="4159" t="e">
        <f>+G138+G135</f>
        <v>#DIV/0!</v>
      </c>
      <c r="H141" s="2462"/>
      <c r="I141" s="2462"/>
      <c r="J141" s="4199"/>
      <c r="K141" s="2462"/>
      <c r="L141" s="2462"/>
      <c r="M141" s="2462"/>
    </row>
    <row r="142" spans="2:13" x14ac:dyDescent="0.3">
      <c r="B142" s="4200" t="s">
        <v>1540</v>
      </c>
      <c r="C142" s="5284"/>
      <c r="D142" s="5285"/>
      <c r="E142" s="4201" t="str">
        <f t="shared" si="8"/>
        <v xml:space="preserve">Producción de carne lechería, kg/ha SPL </v>
      </c>
      <c r="F142" s="4201"/>
      <c r="G142" s="4202" t="e">
        <f>(A.Lecheros!R406-A.Lecheros!R418+A.Lecheros!T484)/C7</f>
        <v>#DIV/0!</v>
      </c>
      <c r="H142" s="2462"/>
      <c r="I142" s="2462"/>
      <c r="J142" s="2462"/>
      <c r="K142" s="2462"/>
      <c r="L142" s="2462"/>
      <c r="M142" s="2462"/>
    </row>
    <row r="143" spans="2:13" ht="3.6" customHeight="1" x14ac:dyDescent="0.3">
      <c r="B143" s="4191"/>
      <c r="C143" s="4144"/>
      <c r="D143" s="4144"/>
      <c r="E143" s="4144"/>
      <c r="F143" s="4144"/>
      <c r="G143" s="4203"/>
      <c r="H143" s="2462"/>
      <c r="I143" s="2462"/>
      <c r="J143" s="2462"/>
      <c r="K143" s="2462"/>
      <c r="L143" s="2462"/>
      <c r="M143" s="2462"/>
    </row>
    <row r="144" spans="2:13" x14ac:dyDescent="0.3">
      <c r="B144" s="4204" t="s">
        <v>457</v>
      </c>
      <c r="C144" s="5298"/>
      <c r="D144" s="5299"/>
      <c r="E144" s="4205" t="str">
        <f t="shared" si="8"/>
        <v>% de descarte</v>
      </c>
      <c r="F144" s="4205"/>
      <c r="G144" s="4206" t="e">
        <f>+A.Lecheros!R28/ResFísico!G98*100</f>
        <v>#DIV/0!</v>
      </c>
      <c r="H144" s="2462"/>
      <c r="I144" s="2462"/>
      <c r="J144" s="2462"/>
      <c r="K144" s="2462"/>
      <c r="L144" s="2462"/>
      <c r="M144" s="2462"/>
    </row>
    <row r="145" spans="1:13" x14ac:dyDescent="0.3">
      <c r="B145" s="4207" t="s">
        <v>458</v>
      </c>
      <c r="C145" s="5300"/>
      <c r="D145" s="5301"/>
      <c r="E145" s="4208" t="str">
        <f t="shared" si="8"/>
        <v>Partos totales</v>
      </c>
      <c r="F145" s="4208"/>
      <c r="G145" s="4159">
        <f>A.Lecheros!R26</f>
        <v>0</v>
      </c>
      <c r="H145" s="2462"/>
      <c r="I145" s="2462"/>
      <c r="J145" s="2462"/>
      <c r="K145" s="2462"/>
      <c r="L145" s="2462"/>
      <c r="M145" s="2462"/>
    </row>
    <row r="146" spans="1:13" x14ac:dyDescent="0.3">
      <c r="B146" s="4207" t="s">
        <v>459</v>
      </c>
      <c r="C146" s="5300"/>
      <c r="D146" s="5301"/>
      <c r="E146" s="4208" t="str">
        <f t="shared" si="8"/>
        <v>% Partos vaquillonas</v>
      </c>
      <c r="F146" s="4208"/>
      <c r="G146" s="4209">
        <f>IFERROR(A.Lecheros!R24/(A.Lecheros!R24+A.Lecheros!R19)*100,0)</f>
        <v>0</v>
      </c>
      <c r="H146" s="2462"/>
      <c r="I146" s="2462"/>
      <c r="J146" s="2462"/>
      <c r="K146" s="2462"/>
      <c r="L146" s="2462"/>
      <c r="M146" s="2462"/>
    </row>
    <row r="147" spans="1:13" x14ac:dyDescent="0.3">
      <c r="B147" s="4180" t="s">
        <v>460</v>
      </c>
      <c r="C147" s="5302"/>
      <c r="D147" s="5303"/>
      <c r="E147" s="4182" t="str">
        <f t="shared" si="8"/>
        <v>Tasa de reemplazo</v>
      </c>
      <c r="F147" s="4182"/>
      <c r="G147" s="4210" t="e">
        <f>+A.Lecheros!R24/ResFísico!G98*100</f>
        <v>#DIV/0!</v>
      </c>
      <c r="H147" s="2462"/>
      <c r="I147" s="2462"/>
      <c r="J147" s="2462"/>
      <c r="K147" s="2462"/>
      <c r="L147" s="2462"/>
      <c r="M147" s="2462"/>
    </row>
    <row r="148" spans="1:13" ht="4.45" customHeight="1" x14ac:dyDescent="0.3">
      <c r="B148" s="4177"/>
      <c r="C148" s="4179"/>
      <c r="D148" s="4179"/>
      <c r="E148" s="4179"/>
      <c r="F148" s="4179"/>
      <c r="G148" s="4160"/>
      <c r="H148" s="2462"/>
      <c r="I148" s="2462"/>
      <c r="J148" s="2462"/>
      <c r="K148" s="2462"/>
      <c r="L148" s="2462"/>
      <c r="M148" s="2462"/>
    </row>
    <row r="149" spans="1:13" x14ac:dyDescent="0.3">
      <c r="B149" s="4204" t="s">
        <v>1336</v>
      </c>
      <c r="C149" s="5298"/>
      <c r="D149" s="5299"/>
      <c r="E149" s="4205" t="str">
        <f t="shared" si="8"/>
        <v>% Mortalidad Adultos, lecheros</v>
      </c>
      <c r="F149" s="4205"/>
      <c r="G149" s="4206" t="e">
        <f>+A.Lecheros!E629*100</f>
        <v>#DIV/0!</v>
      </c>
      <c r="H149" s="2462"/>
      <c r="I149" s="2462"/>
      <c r="J149" s="2462"/>
      <c r="K149" s="2462"/>
      <c r="L149" s="2462"/>
      <c r="M149" s="2462"/>
    </row>
    <row r="150" spans="1:13" x14ac:dyDescent="0.3">
      <c r="B150" s="4207" t="s">
        <v>1337</v>
      </c>
      <c r="C150" s="5300"/>
      <c r="D150" s="5301"/>
      <c r="E150" s="4208" t="str">
        <f>+IF(C150&lt;&gt;0,C150,B150)</f>
        <v xml:space="preserve">% Mortalidad Terneros, lecheros </v>
      </c>
      <c r="F150" s="4208"/>
      <c r="G150" s="4211" t="e">
        <f>+A.Lecheros!E634*100</f>
        <v>#DIV/0!</v>
      </c>
      <c r="H150" s="2462"/>
      <c r="I150" s="2462"/>
      <c r="J150" s="2462"/>
      <c r="K150" s="2462"/>
      <c r="L150" s="2462"/>
      <c r="M150" s="2462"/>
    </row>
    <row r="151" spans="1:13" x14ac:dyDescent="0.3">
      <c r="B151" s="4204"/>
      <c r="C151" s="5298"/>
      <c r="D151" s="5299"/>
      <c r="E151" s="4205">
        <f t="shared" ref="E151:E156" si="9">+IF(C151&lt;&gt;0,C151,B151)</f>
        <v>0</v>
      </c>
      <c r="F151" s="4205"/>
      <c r="G151" s="5304"/>
      <c r="H151" s="2462"/>
      <c r="I151" s="2462"/>
      <c r="J151" s="2462"/>
      <c r="K151" s="2462"/>
      <c r="L151" s="2462"/>
      <c r="M151" s="2462"/>
    </row>
    <row r="152" spans="1:13" x14ac:dyDescent="0.3">
      <c r="B152" s="4207"/>
      <c r="C152" s="5300"/>
      <c r="D152" s="5301"/>
      <c r="E152" s="4208">
        <f t="shared" si="9"/>
        <v>0</v>
      </c>
      <c r="F152" s="4208"/>
      <c r="G152" s="5305"/>
      <c r="H152" s="2462"/>
      <c r="I152" s="2462"/>
      <c r="J152" s="2462"/>
      <c r="K152" s="2462"/>
      <c r="L152" s="2462"/>
      <c r="M152" s="2462"/>
    </row>
    <row r="153" spans="1:13" x14ac:dyDescent="0.3">
      <c r="B153" s="4207"/>
      <c r="C153" s="5300"/>
      <c r="D153" s="5301"/>
      <c r="E153" s="4208">
        <f t="shared" si="9"/>
        <v>0</v>
      </c>
      <c r="F153" s="4208"/>
      <c r="G153" s="5305"/>
      <c r="H153" s="2462"/>
      <c r="I153" s="2462"/>
      <c r="J153" s="2462"/>
      <c r="K153" s="2462"/>
      <c r="L153" s="2462"/>
      <c r="M153" s="2462"/>
    </row>
    <row r="154" spans="1:13" x14ac:dyDescent="0.3">
      <c r="B154" s="4207"/>
      <c r="C154" s="5300"/>
      <c r="D154" s="5301"/>
      <c r="E154" s="4208">
        <f t="shared" si="9"/>
        <v>0</v>
      </c>
      <c r="F154" s="4208"/>
      <c r="G154" s="5305"/>
      <c r="H154" s="2462"/>
      <c r="I154" s="2462"/>
      <c r="J154" s="2462"/>
      <c r="K154" s="2462"/>
      <c r="L154" s="2462"/>
      <c r="M154" s="2462"/>
    </row>
    <row r="155" spans="1:13" x14ac:dyDescent="0.3">
      <c r="B155" s="4207"/>
      <c r="C155" s="5300"/>
      <c r="D155" s="5301"/>
      <c r="E155" s="4208">
        <f t="shared" si="9"/>
        <v>0</v>
      </c>
      <c r="F155" s="4208"/>
      <c r="G155" s="5305"/>
      <c r="H155" s="2462"/>
      <c r="I155" s="2462"/>
      <c r="J155" s="2462"/>
      <c r="K155" s="2462"/>
      <c r="L155" s="2462"/>
      <c r="M155" s="2462"/>
    </row>
    <row r="156" spans="1:13" ht="15.05" thickBot="1" x14ac:dyDescent="0.35">
      <c r="B156" s="4212"/>
      <c r="C156" s="5306"/>
      <c r="D156" s="5307"/>
      <c r="E156" s="4213">
        <f t="shared" si="9"/>
        <v>0</v>
      </c>
      <c r="F156" s="4213"/>
      <c r="G156" s="5308"/>
      <c r="H156" s="2462"/>
      <c r="I156" s="2462"/>
      <c r="J156" s="2462"/>
      <c r="K156" s="2462"/>
      <c r="L156" s="2462"/>
      <c r="M156" s="2462"/>
    </row>
    <row r="157" spans="1:13" ht="15.05" thickBot="1" x14ac:dyDescent="0.35">
      <c r="B157" s="2462"/>
      <c r="C157" s="2462"/>
      <c r="D157" s="2462"/>
      <c r="E157" s="2462"/>
      <c r="F157" s="2462"/>
      <c r="G157" s="2462"/>
      <c r="H157" s="2462"/>
      <c r="I157" s="2462"/>
      <c r="J157" s="2462"/>
      <c r="K157" s="2462"/>
      <c r="L157" s="2462"/>
      <c r="M157" s="2462"/>
    </row>
    <row r="158" spans="1:13" s="4098" customFormat="1" x14ac:dyDescent="0.3">
      <c r="A158" s="2487">
        <f>+A61</f>
        <v>109</v>
      </c>
      <c r="B158" s="4214" t="s">
        <v>1689</v>
      </c>
      <c r="C158" s="4215"/>
      <c r="D158" s="4216"/>
      <c r="E158" s="4216"/>
      <c r="F158" s="4216"/>
      <c r="G158" s="4217"/>
      <c r="H158" s="4144"/>
      <c r="I158" s="4145"/>
      <c r="J158" s="4145"/>
      <c r="K158" s="4145"/>
      <c r="L158" s="4145"/>
      <c r="M158" s="4144"/>
    </row>
    <row r="159" spans="1:13" s="4098" customFormat="1" x14ac:dyDescent="0.3">
      <c r="A159" s="2487" t="s">
        <v>1695</v>
      </c>
      <c r="B159" s="4146" t="s">
        <v>1676</v>
      </c>
      <c r="C159" s="4147" t="s">
        <v>1677</v>
      </c>
      <c r="D159" s="4148"/>
      <c r="E159" s="4149" t="s">
        <v>1678</v>
      </c>
      <c r="F159" s="4150"/>
      <c r="G159" s="4151"/>
      <c r="H159" s="4144"/>
      <c r="I159" s="4145"/>
      <c r="J159" s="4145"/>
      <c r="K159" s="4145"/>
      <c r="L159" s="4145"/>
      <c r="M159" s="4144"/>
    </row>
    <row r="160" spans="1:13" x14ac:dyDescent="0.3">
      <c r="B160" s="4184" t="s">
        <v>2081</v>
      </c>
      <c r="C160" s="5309"/>
      <c r="D160" s="5309"/>
      <c r="E160" s="4174" t="str">
        <f t="shared" ref="E160:E166" si="10">+IF(C160&lt;&gt;0,C160,B160)</f>
        <v>Concentrado VO, gr/l</v>
      </c>
      <c r="F160" s="4175"/>
      <c r="G160" s="4206" t="e">
        <f>SUM((Alimentos!G463:R463)+SUM(Alimentos!G489:R489))/SUM(A.Lecheros!F46:Q46)*1000</f>
        <v>#DIV/0!</v>
      </c>
      <c r="H160" s="2462"/>
      <c r="I160" s="2462"/>
      <c r="J160" s="2462"/>
      <c r="K160" s="2462"/>
      <c r="L160" s="2462"/>
      <c r="M160" s="2462"/>
    </row>
    <row r="161" spans="1:16" x14ac:dyDescent="0.3">
      <c r="B161" s="4218" t="s">
        <v>2082</v>
      </c>
      <c r="C161" s="5310"/>
      <c r="D161" s="5310"/>
      <c r="E161" s="4219" t="str">
        <f t="shared" si="10"/>
        <v>Concentrado VO, kg/Ha SPL</v>
      </c>
      <c r="F161" s="4199"/>
      <c r="G161" s="4220" t="e">
        <f>G160/1000*G129</f>
        <v>#DIV/0!</v>
      </c>
      <c r="H161" s="2462"/>
      <c r="I161" s="2462"/>
      <c r="J161" s="2462"/>
      <c r="K161" s="2462"/>
      <c r="L161" s="2462"/>
      <c r="M161" s="2462"/>
    </row>
    <row r="162" spans="1:16" x14ac:dyDescent="0.3">
      <c r="B162" s="4218" t="s">
        <v>2083</v>
      </c>
      <c r="C162" s="5310"/>
      <c r="D162" s="5310"/>
      <c r="E162" s="4219" t="str">
        <f t="shared" si="10"/>
        <v>Concentrado VO, kg/Ha SPVO</v>
      </c>
      <c r="F162" s="4199"/>
      <c r="G162" s="4220" t="e">
        <f>G160/1000*G127</f>
        <v>#DIV/0!</v>
      </c>
      <c r="H162" s="2462"/>
      <c r="I162" s="2462"/>
      <c r="J162" s="2462"/>
      <c r="K162" s="2462"/>
      <c r="L162" s="2462"/>
      <c r="M162" s="2462"/>
    </row>
    <row r="163" spans="1:16" x14ac:dyDescent="0.3">
      <c r="B163" s="4218" t="s">
        <v>2084</v>
      </c>
      <c r="C163" s="5310"/>
      <c r="D163" s="5310"/>
      <c r="E163" s="4219" t="str">
        <f t="shared" si="10"/>
        <v>Concentrado VO, kg/VM</v>
      </c>
      <c r="F163" s="4199"/>
      <c r="G163" s="4220" t="e">
        <f>G160/1000*G125</f>
        <v>#DIV/0!</v>
      </c>
      <c r="H163" s="2462"/>
      <c r="I163" s="2462"/>
      <c r="J163" s="2462"/>
      <c r="K163" s="2462"/>
      <c r="L163" s="2462"/>
      <c r="M163" s="2462"/>
    </row>
    <row r="164" spans="1:16" x14ac:dyDescent="0.3">
      <c r="B164" s="4221" t="s">
        <v>1314</v>
      </c>
      <c r="C164" s="5311"/>
      <c r="D164" s="5311"/>
      <c r="E164" s="4222" t="str">
        <f t="shared" si="10"/>
        <v>Concentrado Recría y VS, kg/ha SPL</v>
      </c>
      <c r="F164" s="4223"/>
      <c r="G164" s="4224" t="e">
        <f>(SUM(Alimentos!G291:R291)+SUM(A.Lecheros!F593:Q597))/C7</f>
        <v>#DIV/0!</v>
      </c>
      <c r="H164" s="2462"/>
      <c r="I164" s="2462"/>
      <c r="J164" s="2462"/>
      <c r="K164" s="2462"/>
      <c r="L164" s="2462"/>
      <c r="M164" s="2462"/>
    </row>
    <row r="165" spans="1:16" x14ac:dyDescent="0.3">
      <c r="B165" s="4225" t="s">
        <v>1355</v>
      </c>
      <c r="C165" s="5312"/>
      <c r="D165" s="5312"/>
      <c r="E165" s="4226" t="str">
        <f t="shared" si="10"/>
        <v>Concentrado Recria, kg/Ha SP Rec + VS</v>
      </c>
      <c r="F165" s="4227"/>
      <c r="G165" s="4228" t="e">
        <f>(SUM(Alimentos!G291:R291)+SUM(A.Lecheros!F593:Q597))/C10</f>
        <v>#DIV/0!</v>
      </c>
      <c r="H165" s="2462"/>
      <c r="I165" s="2462"/>
      <c r="J165" s="2462"/>
      <c r="K165" s="2462"/>
      <c r="L165" s="2462"/>
      <c r="M165" s="2462"/>
    </row>
    <row r="166" spans="1:16" x14ac:dyDescent="0.3">
      <c r="B166" s="4229" t="s">
        <v>1315</v>
      </c>
      <c r="C166" s="5313"/>
      <c r="D166" s="5313"/>
      <c r="E166" s="4230" t="str">
        <f t="shared" si="10"/>
        <v>Suplementación total, concentrados/Ha SPL</v>
      </c>
      <c r="F166" s="4231"/>
      <c r="G166" s="4202" t="e">
        <f>+SUM(Alimentos!G463:R650)/ResFísico!C7</f>
        <v>#DIV/0!</v>
      </c>
      <c r="H166" s="2462"/>
      <c r="I166" s="2462"/>
      <c r="J166" s="2462"/>
      <c r="K166" s="2462"/>
      <c r="L166" s="2462"/>
      <c r="M166" s="2462"/>
    </row>
    <row r="167" spans="1:16" ht="2.95" customHeight="1" x14ac:dyDescent="0.3">
      <c r="B167" s="4191"/>
      <c r="C167" s="4144"/>
      <c r="D167" s="4144"/>
      <c r="E167" s="4232"/>
      <c r="F167" s="4144"/>
      <c r="G167" s="4233"/>
      <c r="H167" s="2462"/>
      <c r="I167" s="2462"/>
      <c r="J167" s="2462"/>
      <c r="K167" s="2462"/>
      <c r="L167" s="2462"/>
      <c r="M167" s="2462"/>
    </row>
    <row r="168" spans="1:16" ht="15.05" thickBot="1" x14ac:dyDescent="0.35">
      <c r="B168" s="4234" t="s">
        <v>1200</v>
      </c>
      <c r="C168" s="5314"/>
      <c r="D168" s="5314"/>
      <c r="E168" s="4235" t="str">
        <f>+IF(C168&lt;&gt;0,C168,B168)</f>
        <v xml:space="preserve">Kg de concentrado VO, d promedio </v>
      </c>
      <c r="F168" s="4236"/>
      <c r="G168" s="4237">
        <f>+Alimentos!S158</f>
        <v>0</v>
      </c>
      <c r="H168" s="2462"/>
      <c r="I168" s="2462"/>
      <c r="J168" s="2462"/>
      <c r="K168" s="2462"/>
      <c r="L168" s="2462"/>
      <c r="M168" s="2462"/>
    </row>
    <row r="169" spans="1:16" x14ac:dyDescent="0.3">
      <c r="B169" s="4191"/>
      <c r="C169" s="5280"/>
      <c r="D169" s="5281"/>
      <c r="E169" s="4238">
        <f>+IF(C169&lt;&gt;0,C169,B169)</f>
        <v>0</v>
      </c>
      <c r="F169" s="4144"/>
      <c r="G169" s="5315"/>
      <c r="H169" s="2462"/>
      <c r="I169" s="2462"/>
      <c r="J169" s="2462"/>
      <c r="K169" s="2462"/>
      <c r="L169" s="2462"/>
      <c r="M169" s="2462"/>
    </row>
    <row r="170" spans="1:16" x14ac:dyDescent="0.3">
      <c r="B170" s="4191"/>
      <c r="C170" s="5280"/>
      <c r="D170" s="5281"/>
      <c r="E170" s="4238">
        <f>+IF(C170&lt;&gt;0,C170,B170)</f>
        <v>0</v>
      </c>
      <c r="F170" s="4144"/>
      <c r="G170" s="5315"/>
      <c r="H170" s="2462"/>
      <c r="I170" s="2462"/>
      <c r="J170" s="2462"/>
      <c r="K170" s="2462"/>
      <c r="L170" s="2462"/>
      <c r="M170" s="2462"/>
    </row>
    <row r="171" spans="1:16" x14ac:dyDescent="0.3">
      <c r="B171" s="4191"/>
      <c r="C171" s="5280"/>
      <c r="D171" s="5281"/>
      <c r="E171" s="4238">
        <f>+IF(C171&lt;&gt;0,C171,B171)</f>
        <v>0</v>
      </c>
      <c r="F171" s="4144"/>
      <c r="G171" s="5315"/>
      <c r="H171" s="2462"/>
      <c r="I171" s="2462"/>
      <c r="J171" s="2462"/>
      <c r="K171" s="2462"/>
      <c r="L171" s="2462"/>
      <c r="M171" s="2462"/>
    </row>
    <row r="172" spans="1:16" ht="15.05" thickBot="1" x14ac:dyDescent="0.35">
      <c r="B172" s="4239"/>
      <c r="C172" s="5286"/>
      <c r="D172" s="5287"/>
      <c r="E172" s="4240">
        <f>+IF(C172&lt;&gt;0,C172,B172)</f>
        <v>0</v>
      </c>
      <c r="F172" s="4241"/>
      <c r="G172" s="5316"/>
      <c r="H172" s="2462"/>
      <c r="I172" s="2462"/>
      <c r="J172" s="2462"/>
      <c r="K172" s="2462"/>
      <c r="L172" s="2462"/>
      <c r="M172" s="2462"/>
    </row>
    <row r="173" spans="1:16" ht="15.05" thickBot="1" x14ac:dyDescent="0.35">
      <c r="B173" s="4241"/>
      <c r="C173" s="4241"/>
      <c r="D173" s="4241"/>
      <c r="E173" s="4241"/>
      <c r="F173" s="4241"/>
      <c r="G173" s="4241"/>
      <c r="H173" s="2462"/>
      <c r="I173" s="2462"/>
      <c r="J173" s="2462"/>
      <c r="K173" s="2462"/>
      <c r="L173" s="2462"/>
      <c r="M173" s="2462"/>
    </row>
    <row r="174" spans="1:16" x14ac:dyDescent="0.3">
      <c r="A174" s="2487">
        <f>+A69</f>
        <v>110</v>
      </c>
      <c r="B174" s="4242" t="s">
        <v>1688</v>
      </c>
      <c r="C174" s="4215"/>
      <c r="D174" s="4216"/>
      <c r="E174" s="4216"/>
      <c r="F174" s="4216"/>
      <c r="G174" s="4217"/>
      <c r="H174" s="2462"/>
      <c r="I174" s="2462"/>
      <c r="J174" s="2462"/>
      <c r="K174" s="2462"/>
      <c r="L174" s="2462"/>
      <c r="M174" s="2462"/>
    </row>
    <row r="175" spans="1:16" x14ac:dyDescent="0.3">
      <c r="A175" s="2487" t="s">
        <v>1695</v>
      </c>
      <c r="B175" s="4146" t="s">
        <v>1676</v>
      </c>
      <c r="C175" s="4147" t="s">
        <v>1677</v>
      </c>
      <c r="D175" s="4148"/>
      <c r="E175" s="4149" t="s">
        <v>1678</v>
      </c>
      <c r="F175" s="4150"/>
      <c r="G175" s="4151"/>
      <c r="H175" s="2462"/>
      <c r="I175" s="2462"/>
      <c r="J175" s="2462"/>
      <c r="K175" s="2462"/>
      <c r="L175" s="2462"/>
      <c r="M175" s="4190"/>
      <c r="N175" s="4122"/>
      <c r="O175" s="4122"/>
      <c r="P175" s="4122"/>
    </row>
    <row r="176" spans="1:16" x14ac:dyDescent="0.3">
      <c r="B176" s="4243" t="s">
        <v>1545</v>
      </c>
      <c r="C176" s="5278"/>
      <c r="D176" s="5317"/>
      <c r="E176" s="4244" t="str">
        <f t="shared" ref="E176:E184" si="11">+IF(C176&lt;&gt;0,C176,B176)</f>
        <v>Cosecha de Forraje, kg de MS /SPT</v>
      </c>
      <c r="F176" s="4232"/>
      <c r="G176" s="4155" t="e">
        <f>(UsoSuelo!S105+UsoSuelo!S112+UsoSuelo!S116+UsoSuelo!S121+UsoSuelo!S122+UsoSuelo!S123)/(C7+C11)</f>
        <v>#DIV/0!</v>
      </c>
      <c r="H176" s="2462" t="s">
        <v>1351</v>
      </c>
      <c r="I176" s="2462"/>
      <c r="J176" s="2462"/>
      <c r="K176" s="2462"/>
      <c r="L176" s="2462"/>
      <c r="M176" s="2462"/>
    </row>
    <row r="177" spans="1:16" x14ac:dyDescent="0.3">
      <c r="B177" s="4245" t="s">
        <v>1544</v>
      </c>
      <c r="C177" s="5280"/>
      <c r="D177" s="5318"/>
      <c r="E177" s="4246" t="str">
        <f t="shared" si="11"/>
        <v>Cosecha de Forraje, kg de MS /SPL</v>
      </c>
      <c r="F177" s="4144"/>
      <c r="G177" s="4159" t="e">
        <f>(UsoSuelo!S105+UsoSuelo!S121+UsoSuelo!S112+UsoSuelo!S122)/C7</f>
        <v>#DIV/0!</v>
      </c>
      <c r="H177" s="2462" t="s">
        <v>1347</v>
      </c>
      <c r="I177" s="2462"/>
      <c r="J177" s="2462"/>
      <c r="K177" s="2462"/>
      <c r="L177" s="2462"/>
      <c r="M177" s="2462"/>
    </row>
    <row r="178" spans="1:16" x14ac:dyDescent="0.3">
      <c r="B178" s="4245" t="s">
        <v>1546</v>
      </c>
      <c r="C178" s="5280"/>
      <c r="D178" s="5318"/>
      <c r="E178" s="4246" t="str">
        <f t="shared" si="11"/>
        <v>Cosecha de Forraje, kg de MS /SPVO</v>
      </c>
      <c r="F178" s="4144"/>
      <c r="G178" s="4220" t="e">
        <f>(UsoSuelo!S105+UsoSuelo!S121)/C8</f>
        <v>#DIV/0!</v>
      </c>
      <c r="H178" s="2462" t="s">
        <v>1348</v>
      </c>
      <c r="I178" s="2462"/>
      <c r="J178" s="2462"/>
      <c r="K178" s="2462"/>
      <c r="L178" s="2462"/>
      <c r="M178" s="2462"/>
    </row>
    <row r="179" spans="1:16" x14ac:dyDescent="0.3">
      <c r="B179" s="4245" t="s">
        <v>1547</v>
      </c>
      <c r="C179" s="5280"/>
      <c r="D179" s="5318"/>
      <c r="E179" s="4246" t="str">
        <f t="shared" si="11"/>
        <v>Cosecha de Forraje, kg de MS /SP Rec + VS</v>
      </c>
      <c r="F179" s="4144"/>
      <c r="G179" s="4220" t="e">
        <f>+(UsoSuelo!S112+UsoSuelo!S122)/ResFísico!C10</f>
        <v>#DIV/0!</v>
      </c>
      <c r="H179" s="2462" t="s">
        <v>1349</v>
      </c>
      <c r="I179" s="2462"/>
      <c r="J179" s="2462"/>
      <c r="K179" s="2462"/>
      <c r="L179" s="2462"/>
      <c r="M179" s="2462"/>
    </row>
    <row r="180" spans="1:16" x14ac:dyDescent="0.3">
      <c r="B180" s="4245" t="s">
        <v>1548</v>
      </c>
      <c r="C180" s="5282"/>
      <c r="D180" s="5319"/>
      <c r="E180" s="4247" t="str">
        <f t="shared" si="11"/>
        <v>Cosecha de Forraje, kg de MS /SPG</v>
      </c>
      <c r="F180" s="4194"/>
      <c r="G180" s="4171" t="e">
        <f>IF(C11=0,0,(UsoSuelo!S116+UsoSuelo!S123)/C11)</f>
        <v>#DIV/0!</v>
      </c>
      <c r="H180" s="2462" t="s">
        <v>1480</v>
      </c>
      <c r="I180" s="2462"/>
      <c r="J180" s="2462"/>
      <c r="K180" s="2462"/>
      <c r="L180" s="2462"/>
      <c r="M180" s="2462"/>
    </row>
    <row r="181" spans="1:16" x14ac:dyDescent="0.3">
      <c r="B181" s="4243" t="s">
        <v>1197</v>
      </c>
      <c r="C181" s="5317"/>
      <c r="D181" s="5317"/>
      <c r="E181" s="4244" t="str">
        <f t="shared" si="11"/>
        <v xml:space="preserve">Reservas al inicio, kg MS totales </v>
      </c>
      <c r="F181" s="4232"/>
      <c r="G181" s="4224">
        <f>+General!G27</f>
        <v>0</v>
      </c>
      <c r="H181" s="4248"/>
      <c r="I181" s="2462"/>
      <c r="J181" s="2462"/>
      <c r="K181" s="2462"/>
      <c r="L181" s="2462"/>
      <c r="M181" s="2462"/>
    </row>
    <row r="182" spans="1:16" x14ac:dyDescent="0.3">
      <c r="B182" s="4245" t="s">
        <v>1350</v>
      </c>
      <c r="C182" s="5318"/>
      <c r="D182" s="5318"/>
      <c r="E182" s="4246" t="str">
        <f t="shared" si="11"/>
        <v>kg de Reservas producidos (cultivos para reservas)</v>
      </c>
      <c r="F182" s="4144"/>
      <c r="G182" s="4220">
        <f>+UsoSuelo!S121+UsoSuelo!S122+UsoSuelo!S123</f>
        <v>0</v>
      </c>
      <c r="H182" s="2462" t="s">
        <v>1354</v>
      </c>
      <c r="I182" s="2462"/>
      <c r="J182" s="2462"/>
      <c r="K182" s="2462"/>
      <c r="L182" s="2462"/>
      <c r="M182" s="2462"/>
    </row>
    <row r="183" spans="1:16" x14ac:dyDescent="0.3">
      <c r="B183" s="4245" t="s">
        <v>1199</v>
      </c>
      <c r="C183" s="5318"/>
      <c r="D183" s="5318"/>
      <c r="E183" s="4246" t="str">
        <f t="shared" si="11"/>
        <v>kg de Reservas producidos excedentes de forraje</v>
      </c>
      <c r="F183" s="4144"/>
      <c r="G183" s="4220">
        <f>+Alimentos!S374+Alimentos!S373+Alimentos!S372</f>
        <v>0</v>
      </c>
      <c r="H183" s="2462" t="s">
        <v>1354</v>
      </c>
      <c r="I183" s="2462"/>
      <c r="J183" s="2462"/>
      <c r="K183" s="2462"/>
      <c r="L183" s="2462"/>
      <c r="M183" s="2462"/>
    </row>
    <row r="184" spans="1:16" x14ac:dyDescent="0.3">
      <c r="B184" s="4245" t="s">
        <v>1352</v>
      </c>
      <c r="C184" s="5318"/>
      <c r="D184" s="5318"/>
      <c r="E184" s="4246" t="str">
        <f t="shared" si="11"/>
        <v>kg de Reservas compradas</v>
      </c>
      <c r="F184" s="4144"/>
      <c r="G184" s="4220">
        <f>SUM(Alimentos!G394:R394)</f>
        <v>0</v>
      </c>
      <c r="H184" s="2462"/>
      <c r="I184" s="2462"/>
      <c r="J184" s="2462"/>
      <c r="K184" s="2462"/>
      <c r="L184" s="2462"/>
      <c r="M184" s="2462"/>
    </row>
    <row r="185" spans="1:16" x14ac:dyDescent="0.3">
      <c r="B185" s="4245" t="s">
        <v>1353</v>
      </c>
      <c r="C185" s="5318"/>
      <c r="D185" s="5318"/>
      <c r="E185" s="4246" t="str">
        <f>+IF(C185&lt;&gt;0,C185,B185)</f>
        <v>kg de Reservas vendidas</v>
      </c>
      <c r="F185" s="4144"/>
      <c r="G185" s="4220">
        <f>SUM(Alimentos!G398:R398)</f>
        <v>0</v>
      </c>
      <c r="H185" s="2462"/>
      <c r="I185" s="2462"/>
      <c r="J185" s="2462"/>
      <c r="K185" s="2462"/>
      <c r="L185" s="2462"/>
      <c r="M185" s="2462"/>
    </row>
    <row r="186" spans="1:16" x14ac:dyDescent="0.3">
      <c r="B186" s="4249" t="s">
        <v>1198</v>
      </c>
      <c r="C186" s="5319"/>
      <c r="D186" s="5319"/>
      <c r="E186" s="4247" t="str">
        <f>+IF(C186&lt;&gt;0,C186,B186)</f>
        <v xml:space="preserve">Reservas al final, kg MS totales </v>
      </c>
      <c r="F186" s="4194"/>
      <c r="G186" s="4228">
        <f>+Alimentos!R410</f>
        <v>0</v>
      </c>
      <c r="H186" s="2462"/>
      <c r="I186" s="2462"/>
      <c r="J186" s="2462"/>
      <c r="K186" s="2462"/>
      <c r="L186" s="2462"/>
      <c r="M186" s="2462"/>
    </row>
    <row r="187" spans="1:16" x14ac:dyDescent="0.3">
      <c r="B187" s="4245"/>
      <c r="C187" s="5318"/>
      <c r="D187" s="5318"/>
      <c r="E187" s="4250">
        <f>+IF(C187&lt;&gt;0,C187,B187)</f>
        <v>0</v>
      </c>
      <c r="F187" s="4144"/>
      <c r="G187" s="5320"/>
      <c r="H187" s="2462"/>
      <c r="I187" s="2462"/>
      <c r="J187" s="2462"/>
      <c r="K187" s="2462"/>
      <c r="L187" s="2462"/>
      <c r="M187" s="2462"/>
    </row>
    <row r="188" spans="1:16" x14ac:dyDescent="0.3">
      <c r="B188" s="4245"/>
      <c r="C188" s="5318"/>
      <c r="D188" s="5318"/>
      <c r="E188" s="4250">
        <f>+IF(C188&lt;&gt;0,C188,B188)</f>
        <v>0</v>
      </c>
      <c r="F188" s="4144"/>
      <c r="G188" s="5320"/>
      <c r="H188" s="2462"/>
      <c r="I188" s="2462"/>
      <c r="J188" s="2462"/>
      <c r="K188" s="2462"/>
      <c r="L188" s="2462"/>
      <c r="M188" s="2462"/>
    </row>
    <row r="189" spans="1:16" ht="15.05" thickBot="1" x14ac:dyDescent="0.35">
      <c r="B189" s="4251"/>
      <c r="C189" s="5321"/>
      <c r="D189" s="5321"/>
      <c r="E189" s="4252">
        <f>+IF(C189&lt;&gt;0,C189,B189)</f>
        <v>0</v>
      </c>
      <c r="F189" s="4241"/>
      <c r="G189" s="5322"/>
      <c r="H189" s="2462"/>
      <c r="I189" s="2462"/>
      <c r="J189" s="2462"/>
      <c r="K189" s="2462"/>
      <c r="L189" s="2462"/>
      <c r="M189" s="2462"/>
    </row>
    <row r="190" spans="1:16" ht="15.05" thickBot="1" x14ac:dyDescent="0.35">
      <c r="B190" s="2462"/>
      <c r="C190" s="2462"/>
      <c r="D190" s="2462"/>
      <c r="E190" s="2462"/>
      <c r="F190" s="2462"/>
      <c r="G190" s="2462"/>
      <c r="H190" s="2462"/>
      <c r="I190" s="2462"/>
      <c r="J190" s="2462"/>
      <c r="K190" s="2462"/>
      <c r="L190" s="2462"/>
      <c r="M190" s="2462"/>
    </row>
    <row r="191" spans="1:16" s="4098" customFormat="1" x14ac:dyDescent="0.3">
      <c r="A191" s="2487">
        <f>+A78</f>
        <v>111</v>
      </c>
      <c r="B191" s="4140" t="s">
        <v>1687</v>
      </c>
      <c r="C191" s="4141"/>
      <c r="D191" s="4142"/>
      <c r="E191" s="4142"/>
      <c r="F191" s="4142"/>
      <c r="G191" s="4143"/>
      <c r="H191" s="4144"/>
      <c r="I191" s="4145"/>
      <c r="J191" s="4145"/>
      <c r="K191" s="4145"/>
      <c r="L191" s="4145"/>
      <c r="M191" s="4144"/>
    </row>
    <row r="192" spans="1:16" x14ac:dyDescent="0.3">
      <c r="A192" s="2487" t="s">
        <v>1695</v>
      </c>
      <c r="B192" s="4146" t="s">
        <v>1676</v>
      </c>
      <c r="C192" s="4147" t="s">
        <v>1677</v>
      </c>
      <c r="D192" s="4148"/>
      <c r="E192" s="4149" t="s">
        <v>1678</v>
      </c>
      <c r="F192" s="4150"/>
      <c r="G192" s="4151"/>
      <c r="H192" s="2462"/>
      <c r="I192" s="2462"/>
      <c r="J192" s="2462"/>
      <c r="K192" s="2462"/>
      <c r="L192" s="2462"/>
      <c r="M192" s="4190"/>
      <c r="N192" s="4122"/>
      <c r="O192" s="4122"/>
      <c r="P192" s="4122"/>
    </row>
    <row r="193" spans="1:16" s="4098" customFormat="1" x14ac:dyDescent="0.3">
      <c r="B193" s="4162" t="s">
        <v>1541</v>
      </c>
      <c r="C193" s="5323"/>
      <c r="D193" s="5323"/>
      <c r="E193" s="4205" t="str">
        <f t="shared" ref="E193:E200" si="12">+IF(C193&lt;&gt;0,C193,B193)</f>
        <v>Stock Ganadería inicial, cabezas</v>
      </c>
      <c r="F193" s="4164"/>
      <c r="G193" s="4155">
        <f>+SUM(General!C82:C86)</f>
        <v>0</v>
      </c>
      <c r="H193" s="4144"/>
      <c r="I193" s="4144"/>
      <c r="J193" s="4158"/>
      <c r="K193" s="4144"/>
      <c r="L193" s="4144"/>
      <c r="M193" s="4144"/>
    </row>
    <row r="194" spans="1:16" s="4098" customFormat="1" x14ac:dyDescent="0.3">
      <c r="B194" s="4168" t="s">
        <v>1542</v>
      </c>
      <c r="C194" s="5324"/>
      <c r="D194" s="5324"/>
      <c r="E194" s="4253" t="str">
        <f t="shared" si="12"/>
        <v>Stock Ganadería final, cabezas</v>
      </c>
      <c r="F194" s="4170"/>
      <c r="G194" s="4171">
        <f>A.Ganaderos!Q25+A.Ganaderos!Q51+A.Ganaderos!Q78+A.Ganaderos!Q107+A.Ganaderos!Q134</f>
        <v>0</v>
      </c>
      <c r="H194" s="4144"/>
      <c r="I194" s="4144"/>
      <c r="J194" s="4158"/>
      <c r="K194" s="4144"/>
      <c r="L194" s="4144"/>
      <c r="M194" s="4144"/>
    </row>
    <row r="195" spans="1:16" x14ac:dyDescent="0.3">
      <c r="B195" s="4177" t="s">
        <v>1685</v>
      </c>
      <c r="C195" s="5323"/>
      <c r="D195" s="5323"/>
      <c r="E195" s="4205" t="str">
        <f t="shared" si="12"/>
        <v>Ganadería, Cab/ha SPG</v>
      </c>
      <c r="F195" s="4179"/>
      <c r="G195" s="4160" t="e">
        <f>IF(C11=0,0,A.Ganaderos!D249/C11)</f>
        <v>#DIV/0!</v>
      </c>
      <c r="H195" s="2462"/>
      <c r="I195" s="2462"/>
      <c r="J195" s="4179"/>
      <c r="K195" s="2462"/>
      <c r="L195" s="2462"/>
      <c r="M195" s="2462"/>
    </row>
    <row r="196" spans="1:16" x14ac:dyDescent="0.3">
      <c r="B196" s="4180" t="s">
        <v>1686</v>
      </c>
      <c r="C196" s="5324"/>
      <c r="D196" s="5324"/>
      <c r="E196" s="4253" t="str">
        <f t="shared" si="12"/>
        <v>Ganadería, UG/ha SPG</v>
      </c>
      <c r="F196" s="4182"/>
      <c r="G196" s="4183" t="e">
        <f>IF(C11=0,0,A.Ganaderos!J249/C11)</f>
        <v>#DIV/0!</v>
      </c>
      <c r="H196" s="2462"/>
      <c r="I196" s="2462"/>
      <c r="J196" s="4179"/>
      <c r="K196" s="2462"/>
      <c r="L196" s="2462"/>
      <c r="M196" s="2462"/>
    </row>
    <row r="197" spans="1:16" x14ac:dyDescent="0.3">
      <c r="B197" s="4177"/>
      <c r="C197" s="5325"/>
      <c r="D197" s="5325"/>
      <c r="E197" s="4208">
        <f t="shared" si="12"/>
        <v>0</v>
      </c>
      <c r="F197" s="4179"/>
      <c r="G197" s="5326"/>
      <c r="H197" s="2462"/>
      <c r="I197" s="2462"/>
      <c r="J197" s="4179"/>
      <c r="K197" s="2462"/>
      <c r="L197" s="2462"/>
      <c r="M197" s="2462"/>
    </row>
    <row r="198" spans="1:16" x14ac:dyDescent="0.3">
      <c r="B198" s="4177"/>
      <c r="C198" s="5325"/>
      <c r="D198" s="5325"/>
      <c r="E198" s="4208">
        <f t="shared" si="12"/>
        <v>0</v>
      </c>
      <c r="F198" s="4179"/>
      <c r="G198" s="5326"/>
      <c r="H198" s="2462"/>
      <c r="I198" s="2462"/>
      <c r="J198" s="4179"/>
      <c r="K198" s="2462"/>
      <c r="L198" s="2462"/>
      <c r="M198" s="2462"/>
    </row>
    <row r="199" spans="1:16" x14ac:dyDescent="0.3">
      <c r="B199" s="4177"/>
      <c r="C199" s="5325"/>
      <c r="D199" s="5325"/>
      <c r="E199" s="4208">
        <f t="shared" si="12"/>
        <v>0</v>
      </c>
      <c r="F199" s="4179"/>
      <c r="G199" s="5326"/>
      <c r="H199" s="2462"/>
      <c r="I199" s="2462"/>
      <c r="J199" s="4179"/>
      <c r="K199" s="2462"/>
      <c r="L199" s="2462"/>
      <c r="M199" s="2462"/>
    </row>
    <row r="200" spans="1:16" ht="15.05" thickBot="1" x14ac:dyDescent="0.35">
      <c r="B200" s="4189"/>
      <c r="C200" s="5327"/>
      <c r="D200" s="5327"/>
      <c r="E200" s="4213">
        <f t="shared" si="12"/>
        <v>0</v>
      </c>
      <c r="F200" s="4187"/>
      <c r="G200" s="5328"/>
      <c r="H200" s="2462"/>
      <c r="I200" s="2462"/>
      <c r="J200" s="4179"/>
      <c r="K200" s="2462"/>
      <c r="L200" s="2462"/>
      <c r="M200" s="2462"/>
    </row>
    <row r="201" spans="1:16" ht="15.05" thickBot="1" x14ac:dyDescent="0.35">
      <c r="B201" s="2462"/>
      <c r="C201" s="2462"/>
      <c r="D201" s="2462"/>
      <c r="E201" s="2462"/>
      <c r="F201" s="2462"/>
      <c r="G201" s="2462"/>
      <c r="H201" s="2462"/>
      <c r="I201" s="2462"/>
      <c r="J201" s="2462"/>
      <c r="K201" s="2462"/>
      <c r="L201" s="2462"/>
      <c r="M201" s="2462"/>
    </row>
    <row r="202" spans="1:16" x14ac:dyDescent="0.3">
      <c r="A202" s="2487">
        <f>+A83</f>
        <v>112</v>
      </c>
      <c r="B202" s="4242" t="s">
        <v>1696</v>
      </c>
      <c r="C202" s="4216"/>
      <c r="D202" s="4216"/>
      <c r="E202" s="4216"/>
      <c r="F202" s="4216"/>
      <c r="G202" s="4254"/>
      <c r="H202" s="2462"/>
      <c r="I202" s="2462"/>
      <c r="J202" s="2462"/>
      <c r="K202" s="2462"/>
      <c r="L202" s="2462"/>
      <c r="M202" s="2462"/>
    </row>
    <row r="203" spans="1:16" ht="15.05" thickBot="1" x14ac:dyDescent="0.35">
      <c r="A203" s="2487" t="s">
        <v>1695</v>
      </c>
      <c r="B203" s="4146" t="s">
        <v>1676</v>
      </c>
      <c r="C203" s="4147" t="s">
        <v>1677</v>
      </c>
      <c r="D203" s="4148"/>
      <c r="E203" s="4149" t="s">
        <v>1678</v>
      </c>
      <c r="F203" s="4150"/>
      <c r="G203" s="4151"/>
      <c r="H203" s="2462"/>
      <c r="I203" s="2462"/>
      <c r="J203" s="2462"/>
      <c r="K203" s="2462"/>
      <c r="L203" s="2462"/>
      <c r="M203" s="4190"/>
      <c r="N203" s="4122"/>
      <c r="O203" s="4122"/>
      <c r="P203" s="4122"/>
    </row>
    <row r="204" spans="1:16" x14ac:dyDescent="0.3">
      <c r="B204" s="4193" t="s">
        <v>1543</v>
      </c>
      <c r="C204" s="5329"/>
      <c r="D204" s="5329"/>
      <c r="E204" s="4194" t="str">
        <f>+IF(C204&lt;&gt;0,C204,B204)</f>
        <v xml:space="preserve">Producción de carne Ganadería, kg/ha SPG </v>
      </c>
      <c r="F204" s="4194"/>
      <c r="G204" s="4255">
        <f>IFERROR((A.Ganaderos!R170-A.Ganaderos!R179+A.Ganaderos!T190)/C11,0)</f>
        <v>0</v>
      </c>
      <c r="H204" s="2462"/>
      <c r="I204" s="2462"/>
      <c r="J204" s="2462"/>
      <c r="K204" s="2462"/>
      <c r="L204" s="2462"/>
      <c r="M204" s="2462"/>
    </row>
    <row r="205" spans="1:16" x14ac:dyDescent="0.3">
      <c r="B205" s="4204" t="s">
        <v>1479</v>
      </c>
      <c r="C205" s="5330"/>
      <c r="D205" s="5330"/>
      <c r="E205" s="4205" t="str">
        <f>+IF(C205&lt;&gt;0,C205,B205)</f>
        <v>% Mortalidad, Ganadería</v>
      </c>
      <c r="F205" s="4205"/>
      <c r="G205" s="4256">
        <f>+A.Ganaderos!E249*100</f>
        <v>0</v>
      </c>
      <c r="H205" s="2462"/>
      <c r="I205" s="2462"/>
      <c r="J205" s="2462"/>
      <c r="K205" s="2462"/>
      <c r="L205" s="2462"/>
      <c r="M205" s="2462"/>
    </row>
    <row r="206" spans="1:16" ht="15.05" thickBot="1" x14ac:dyDescent="0.35">
      <c r="B206" s="4257"/>
      <c r="C206" s="5331"/>
      <c r="D206" s="5331"/>
      <c r="E206" s="4258">
        <f>+IF(C206&lt;&gt;0,C206,B206)</f>
        <v>0</v>
      </c>
      <c r="F206" s="4232"/>
      <c r="G206" s="5332"/>
      <c r="H206" s="2462"/>
      <c r="I206" s="2462"/>
      <c r="J206" s="2462"/>
      <c r="K206" s="2462"/>
      <c r="L206" s="2462"/>
      <c r="M206" s="2462"/>
    </row>
    <row r="207" spans="1:16" ht="15.05" thickBot="1" x14ac:dyDescent="0.35">
      <c r="B207" s="4239"/>
      <c r="C207" s="5333"/>
      <c r="D207" s="5333"/>
      <c r="E207" s="4240">
        <f>+IF(C207&lt;&gt;0,C207,B207)</f>
        <v>0</v>
      </c>
      <c r="F207" s="4241"/>
      <c r="G207" s="5334"/>
      <c r="H207" s="2462"/>
      <c r="I207" s="2462"/>
      <c r="J207" s="2462"/>
      <c r="K207" s="2462"/>
      <c r="L207" s="2462"/>
      <c r="M207" s="2462"/>
    </row>
    <row r="208" spans="1:16" ht="15.05" thickBot="1" x14ac:dyDescent="0.35">
      <c r="B208" s="2462"/>
      <c r="C208" s="2462"/>
      <c r="D208" s="2462"/>
      <c r="E208" s="2462"/>
      <c r="F208" s="2462"/>
      <c r="G208" s="2462"/>
      <c r="H208" s="2462"/>
      <c r="I208" s="2462"/>
      <c r="J208" s="2462"/>
      <c r="K208" s="2462"/>
      <c r="L208" s="2462"/>
      <c r="M208" s="2462"/>
    </row>
    <row r="209" spans="1:13" x14ac:dyDescent="0.3">
      <c r="A209" s="2487">
        <f>+A89</f>
        <v>113</v>
      </c>
      <c r="B209" s="4140" t="s">
        <v>1690</v>
      </c>
      <c r="C209" s="4141"/>
      <c r="D209" s="4142"/>
      <c r="E209" s="4142"/>
      <c r="F209" s="4142"/>
      <c r="G209" s="4143"/>
      <c r="H209" s="2462"/>
      <c r="I209" s="2462"/>
      <c r="J209" s="2462"/>
      <c r="K209" s="2462"/>
      <c r="L209" s="2462"/>
      <c r="M209" s="2462"/>
    </row>
    <row r="210" spans="1:13" s="4098" customFormat="1" ht="15.05" thickBot="1" x14ac:dyDescent="0.35">
      <c r="A210" s="2487" t="s">
        <v>1695</v>
      </c>
      <c r="B210" s="4146" t="s">
        <v>1676</v>
      </c>
      <c r="C210" s="4147" t="s">
        <v>1677</v>
      </c>
      <c r="D210" s="4148"/>
      <c r="E210" s="4149" t="s">
        <v>1678</v>
      </c>
      <c r="F210" s="4150"/>
      <c r="G210" s="4151"/>
      <c r="H210" s="4144"/>
      <c r="I210" s="4145"/>
      <c r="J210" s="4145"/>
      <c r="K210" s="4145"/>
      <c r="L210" s="4145"/>
      <c r="M210" s="4144"/>
    </row>
    <row r="211" spans="1:13" ht="15.05" thickBot="1" x14ac:dyDescent="0.35">
      <c r="B211" s="4152" t="s">
        <v>1691</v>
      </c>
      <c r="C211" s="5335"/>
      <c r="D211" s="5335"/>
      <c r="E211" s="4244" t="str">
        <f>+IF(C211&lt;&gt;0,C211,B211)</f>
        <v>Concentrado, kg/Ha SPG</v>
      </c>
      <c r="F211" s="4154"/>
      <c r="G211" s="4155" t="e">
        <f>IF(C11=0,0,Alimentos!S348/C11)</f>
        <v>#DIV/0!</v>
      </c>
      <c r="H211" s="2462"/>
      <c r="I211" s="2462"/>
      <c r="J211" s="2462"/>
      <c r="K211" s="2462"/>
      <c r="L211" s="2462"/>
      <c r="M211" s="2462"/>
    </row>
    <row r="212" spans="1:13" x14ac:dyDescent="0.3">
      <c r="B212" s="4156" t="s">
        <v>1694</v>
      </c>
      <c r="C212" s="5329"/>
      <c r="D212" s="5329"/>
      <c r="E212" s="4250" t="str">
        <f>+IF(C212&lt;&gt;0,C212,B212)</f>
        <v>Porcentaje de Concentrado / PV, %</v>
      </c>
      <c r="F212" s="4158"/>
      <c r="G212" s="4171">
        <f>+Alimentos!S333*100</f>
        <v>0</v>
      </c>
      <c r="H212" s="2462"/>
      <c r="I212" s="2462"/>
      <c r="J212" s="2462"/>
      <c r="K212" s="2462"/>
      <c r="L212" s="2462"/>
      <c r="M212" s="2462"/>
    </row>
    <row r="213" spans="1:13" ht="15.05" thickBot="1" x14ac:dyDescent="0.35">
      <c r="B213" s="4152"/>
      <c r="C213" s="5331"/>
      <c r="D213" s="5331"/>
      <c r="E213" s="4259">
        <f>+IF(C213&lt;&gt;0,C213,B213)</f>
        <v>0</v>
      </c>
      <c r="F213" s="4154"/>
      <c r="G213" s="5332"/>
      <c r="H213" s="2462"/>
      <c r="I213" s="2462"/>
      <c r="J213" s="2462"/>
      <c r="K213" s="2462"/>
      <c r="L213" s="2462"/>
      <c r="M213" s="2462"/>
    </row>
    <row r="214" spans="1:13" ht="15.05" thickBot="1" x14ac:dyDescent="0.35">
      <c r="B214" s="4260"/>
      <c r="C214" s="5333"/>
      <c r="D214" s="5333"/>
      <c r="E214" s="4252">
        <f>+IF(C214&lt;&gt;0,C214,B214)</f>
        <v>0</v>
      </c>
      <c r="F214" s="4261"/>
      <c r="G214" s="5334"/>
      <c r="H214" s="2462"/>
      <c r="I214" s="2462"/>
      <c r="J214" s="2462"/>
      <c r="K214" s="2462"/>
      <c r="L214" s="2462"/>
      <c r="M214" s="2462"/>
    </row>
    <row r="215" spans="1:13" x14ac:dyDescent="0.3">
      <c r="H215" s="2462"/>
      <c r="I215" s="2462"/>
      <c r="J215" s="2462"/>
      <c r="K215" s="2462"/>
      <c r="L215" s="2462"/>
      <c r="M215" s="2462"/>
    </row>
    <row r="216" spans="1:13" x14ac:dyDescent="0.3">
      <c r="B216" s="2462"/>
      <c r="C216" s="2462"/>
      <c r="D216" s="2462"/>
      <c r="E216" s="2462"/>
      <c r="F216" s="2462"/>
      <c r="G216" s="2462"/>
      <c r="H216" s="2462"/>
      <c r="I216" s="2462"/>
      <c r="J216" s="2462"/>
      <c r="K216" s="2462"/>
      <c r="L216" s="2462"/>
      <c r="M216" s="2462"/>
    </row>
    <row r="217" spans="1:13" x14ac:dyDescent="0.3">
      <c r="B217" s="2462"/>
      <c r="C217" s="2462"/>
      <c r="D217" s="2462"/>
      <c r="E217" s="2462"/>
      <c r="F217" s="2462"/>
      <c r="G217" s="2462"/>
      <c r="H217" s="2462"/>
      <c r="I217" s="2462"/>
      <c r="J217" s="2462"/>
      <c r="K217" s="2462"/>
      <c r="L217" s="2462"/>
      <c r="M217" s="2462"/>
    </row>
    <row r="218" spans="1:13" x14ac:dyDescent="0.3">
      <c r="B218" s="2462"/>
      <c r="C218" s="2462"/>
      <c r="D218" s="2462"/>
      <c r="E218" s="2462"/>
      <c r="F218" s="2462"/>
      <c r="G218" s="2462"/>
      <c r="H218" s="2462"/>
      <c r="I218" s="2462"/>
      <c r="J218" s="2462"/>
      <c r="K218" s="2462"/>
      <c r="L218" s="2462"/>
      <c r="M218" s="2462"/>
    </row>
    <row r="219" spans="1:13" x14ac:dyDescent="0.3">
      <c r="B219" s="2462"/>
      <c r="C219" s="2462"/>
      <c r="D219" s="2462"/>
      <c r="E219" s="2462"/>
      <c r="F219" s="2462"/>
      <c r="G219" s="2462"/>
      <c r="H219" s="2462"/>
      <c r="I219" s="2462"/>
      <c r="J219" s="2462"/>
      <c r="K219" s="2462"/>
      <c r="L219" s="2462"/>
      <c r="M219" s="2462"/>
    </row>
    <row r="220" spans="1:13" x14ac:dyDescent="0.3">
      <c r="B220" s="2462"/>
      <c r="C220" s="2462"/>
      <c r="D220" s="2462"/>
      <c r="E220" s="2462"/>
      <c r="F220" s="2462"/>
      <c r="G220" s="2462"/>
      <c r="H220" s="2462"/>
      <c r="I220" s="2462"/>
      <c r="J220" s="2462"/>
      <c r="K220" s="2462"/>
      <c r="L220" s="2462"/>
      <c r="M220" s="2462"/>
    </row>
    <row r="221" spans="1:13" x14ac:dyDescent="0.3">
      <c r="B221" s="2462"/>
      <c r="C221" s="2462"/>
      <c r="D221" s="2462"/>
      <c r="E221" s="2462"/>
      <c r="F221" s="2462"/>
      <c r="G221" s="2462"/>
      <c r="H221" s="2462"/>
      <c r="I221" s="2462"/>
      <c r="J221" s="2462"/>
      <c r="K221" s="2462"/>
      <c r="L221" s="2462"/>
      <c r="M221" s="2462"/>
    </row>
    <row r="222" spans="1:13" x14ac:dyDescent="0.3">
      <c r="B222" s="2462"/>
      <c r="C222" s="2462"/>
      <c r="D222" s="2462"/>
      <c r="E222" s="2462"/>
      <c r="F222" s="2462"/>
      <c r="G222" s="2462"/>
      <c r="H222" s="2462"/>
      <c r="I222" s="2462"/>
      <c r="J222" s="2462"/>
      <c r="K222" s="2462"/>
      <c r="L222" s="2462"/>
      <c r="M222" s="2462"/>
    </row>
    <row r="223" spans="1:13" x14ac:dyDescent="0.3">
      <c r="B223" s="2462"/>
      <c r="C223" s="2462"/>
      <c r="D223" s="2462"/>
      <c r="E223" s="2462"/>
      <c r="F223" s="2462"/>
      <c r="G223" s="2462"/>
      <c r="H223" s="2462"/>
      <c r="I223" s="2462"/>
      <c r="J223" s="2462"/>
      <c r="K223" s="2462"/>
      <c r="L223" s="2462"/>
      <c r="M223" s="2462"/>
    </row>
    <row r="224" spans="1:13" x14ac:dyDescent="0.3">
      <c r="B224" s="2462"/>
      <c r="C224" s="2462"/>
      <c r="D224" s="2462"/>
      <c r="E224" s="2462"/>
      <c r="F224" s="2462"/>
      <c r="G224" s="2462"/>
      <c r="H224" s="2462"/>
      <c r="I224" s="2462"/>
      <c r="J224" s="2462"/>
      <c r="K224" s="2462"/>
      <c r="L224" s="2462"/>
      <c r="M224" s="2462"/>
    </row>
    <row r="225" spans="2:13" x14ac:dyDescent="0.3">
      <c r="B225" s="2462"/>
      <c r="C225" s="2462"/>
      <c r="D225" s="2462"/>
      <c r="E225" s="2462"/>
      <c r="F225" s="2462"/>
      <c r="G225" s="2462"/>
      <c r="H225" s="2462"/>
      <c r="I225" s="2462"/>
      <c r="J225" s="2462"/>
      <c r="K225" s="2462"/>
      <c r="L225" s="2462"/>
      <c r="M225" s="2462"/>
    </row>
    <row r="226" spans="2:13" x14ac:dyDescent="0.3">
      <c r="B226" s="2462"/>
      <c r="C226" s="2462"/>
      <c r="D226" s="2462"/>
      <c r="E226" s="2462"/>
      <c r="F226" s="2462"/>
      <c r="G226" s="2462"/>
      <c r="H226" s="2462"/>
      <c r="I226" s="2462"/>
      <c r="J226" s="2462"/>
      <c r="K226" s="2462"/>
      <c r="L226" s="2462"/>
      <c r="M226" s="2462"/>
    </row>
    <row r="227" spans="2:13" x14ac:dyDescent="0.3">
      <c r="B227" s="2462"/>
      <c r="C227" s="2462"/>
      <c r="D227" s="2462"/>
      <c r="E227" s="2462"/>
      <c r="F227" s="2462"/>
      <c r="G227" s="2462"/>
      <c r="H227" s="2462"/>
      <c r="I227" s="2462"/>
      <c r="J227" s="2462"/>
      <c r="K227" s="2462"/>
      <c r="L227" s="2462"/>
      <c r="M227" s="2462"/>
    </row>
    <row r="228" spans="2:13" x14ac:dyDescent="0.3">
      <c r="B228" s="2462"/>
      <c r="C228" s="2462"/>
      <c r="D228" s="2462"/>
      <c r="E228" s="2462"/>
      <c r="F228" s="2462"/>
      <c r="G228" s="2462"/>
      <c r="H228" s="2462"/>
      <c r="I228" s="2462"/>
      <c r="J228" s="2462"/>
      <c r="K228" s="2462"/>
      <c r="L228" s="2462"/>
      <c r="M228" s="2462"/>
    </row>
    <row r="229" spans="2:13" x14ac:dyDescent="0.3">
      <c r="B229" s="2462"/>
      <c r="C229" s="2462"/>
      <c r="D229" s="2462"/>
      <c r="E229" s="2462"/>
      <c r="F229" s="2462"/>
      <c r="G229" s="2462"/>
      <c r="H229" s="2462"/>
      <c r="I229" s="2462"/>
      <c r="J229" s="2462"/>
      <c r="K229" s="2462"/>
      <c r="L229" s="2462"/>
      <c r="M229" s="2462"/>
    </row>
    <row r="230" spans="2:13" x14ac:dyDescent="0.3">
      <c r="B230" s="2462"/>
      <c r="C230" s="2462"/>
      <c r="D230" s="2462"/>
      <c r="E230" s="2462"/>
      <c r="F230" s="2462"/>
      <c r="G230" s="2462"/>
      <c r="H230" s="2462"/>
      <c r="I230" s="2462"/>
      <c r="J230" s="2462"/>
      <c r="K230" s="2462"/>
      <c r="L230" s="2462"/>
      <c r="M230" s="2462"/>
    </row>
    <row r="231" spans="2:13" x14ac:dyDescent="0.3">
      <c r="B231" s="2462"/>
      <c r="C231" s="2462"/>
      <c r="D231" s="2462"/>
      <c r="E231" s="2462"/>
      <c r="F231" s="2462"/>
      <c r="G231" s="2462"/>
      <c r="H231" s="2462"/>
      <c r="I231" s="2462"/>
      <c r="J231" s="2462"/>
      <c r="K231" s="2462"/>
      <c r="L231" s="2462"/>
      <c r="M231" s="2462"/>
    </row>
    <row r="232" spans="2:13" x14ac:dyDescent="0.3">
      <c r="B232" s="2462"/>
      <c r="C232" s="2462"/>
      <c r="D232" s="2462"/>
      <c r="E232" s="2462"/>
      <c r="F232" s="2462"/>
      <c r="G232" s="2462"/>
      <c r="H232" s="2462"/>
      <c r="I232" s="2462"/>
      <c r="J232" s="2462"/>
      <c r="K232" s="2462"/>
      <c r="L232" s="2462"/>
      <c r="M232" s="2462"/>
    </row>
    <row r="233" spans="2:13" x14ac:dyDescent="0.3">
      <c r="B233" s="2462"/>
      <c r="C233" s="2462"/>
      <c r="D233" s="2462"/>
      <c r="E233" s="2462"/>
      <c r="F233" s="2462"/>
      <c r="G233" s="2462"/>
      <c r="H233" s="2462"/>
      <c r="I233" s="2462"/>
      <c r="J233" s="2462"/>
      <c r="K233" s="2462"/>
      <c r="L233" s="2462"/>
      <c r="M233" s="2462"/>
    </row>
    <row r="234" spans="2:13" x14ac:dyDescent="0.3">
      <c r="B234" s="2462"/>
      <c r="C234" s="2462"/>
      <c r="D234" s="2462"/>
      <c r="E234" s="2462"/>
      <c r="F234" s="2462"/>
      <c r="G234" s="2462"/>
      <c r="H234" s="2462"/>
      <c r="I234" s="2462"/>
      <c r="J234" s="2462"/>
      <c r="K234" s="2462"/>
      <c r="L234" s="2462"/>
      <c r="M234" s="2462"/>
    </row>
    <row r="235" spans="2:13" x14ac:dyDescent="0.3">
      <c r="B235" s="2462"/>
      <c r="C235" s="2462"/>
      <c r="D235" s="2462"/>
      <c r="E235" s="2462"/>
      <c r="F235" s="2462"/>
      <c r="G235" s="2462"/>
      <c r="H235" s="2462"/>
      <c r="I235" s="2462"/>
      <c r="J235" s="2462"/>
      <c r="K235" s="2462"/>
      <c r="L235" s="2462"/>
      <c r="M235" s="2462"/>
    </row>
    <row r="236" spans="2:13" x14ac:dyDescent="0.3">
      <c r="B236" s="2462"/>
      <c r="C236" s="2462"/>
      <c r="D236" s="2462"/>
      <c r="E236" s="2462"/>
      <c r="F236" s="2462"/>
      <c r="G236" s="2462"/>
      <c r="H236" s="2462"/>
      <c r="I236" s="2462"/>
      <c r="J236" s="2462"/>
      <c r="K236" s="2462"/>
      <c r="L236" s="2462"/>
      <c r="M236" s="2462"/>
    </row>
    <row r="237" spans="2:13" x14ac:dyDescent="0.3">
      <c r="B237" s="2462"/>
      <c r="C237" s="2462"/>
      <c r="D237" s="2462"/>
      <c r="E237" s="2462"/>
      <c r="F237" s="2462"/>
      <c r="G237" s="2462"/>
      <c r="H237" s="2462"/>
      <c r="I237" s="2462"/>
      <c r="J237" s="2462"/>
      <c r="K237" s="2462"/>
      <c r="L237" s="2462"/>
      <c r="M237" s="2462"/>
    </row>
    <row r="238" spans="2:13" x14ac:dyDescent="0.3">
      <c r="B238" s="2462"/>
      <c r="C238" s="2462"/>
      <c r="D238" s="2462"/>
      <c r="E238" s="2462"/>
      <c r="F238" s="2462"/>
      <c r="G238" s="2462"/>
      <c r="H238" s="2462"/>
      <c r="I238" s="2462"/>
      <c r="J238" s="2462"/>
      <c r="K238" s="2462"/>
      <c r="L238" s="2462"/>
      <c r="M238" s="2462"/>
    </row>
    <row r="239" spans="2:13" x14ac:dyDescent="0.3">
      <c r="B239" s="2462"/>
      <c r="C239" s="2462"/>
      <c r="D239" s="2462"/>
      <c r="E239" s="2462"/>
      <c r="F239" s="2462"/>
      <c r="G239" s="2462"/>
      <c r="H239" s="2462"/>
      <c r="I239" s="2462"/>
      <c r="J239" s="2462"/>
      <c r="K239" s="2462"/>
      <c r="L239" s="2462"/>
      <c r="M239" s="2462"/>
    </row>
    <row r="240" spans="2:13" x14ac:dyDescent="0.3">
      <c r="B240" s="2462"/>
      <c r="C240" s="2462"/>
      <c r="D240" s="2462"/>
      <c r="E240" s="2462"/>
      <c r="F240" s="2462"/>
      <c r="G240" s="2462"/>
      <c r="H240" s="2462"/>
      <c r="I240" s="2462"/>
      <c r="J240" s="2462"/>
      <c r="K240" s="2462"/>
      <c r="L240" s="2462"/>
      <c r="M240" s="2462"/>
    </row>
    <row r="241" spans="2:13" x14ac:dyDescent="0.3">
      <c r="B241" s="2462"/>
      <c r="C241" s="2462"/>
      <c r="D241" s="2462"/>
      <c r="E241" s="2462"/>
      <c r="F241" s="2462"/>
      <c r="G241" s="2462"/>
      <c r="H241" s="2462"/>
      <c r="I241" s="2462"/>
      <c r="J241" s="2462"/>
      <c r="K241" s="2462"/>
      <c r="L241" s="2462"/>
      <c r="M241" s="2462"/>
    </row>
    <row r="242" spans="2:13" x14ac:dyDescent="0.3">
      <c r="B242" s="2462"/>
      <c r="C242" s="2462"/>
      <c r="D242" s="2462"/>
      <c r="E242" s="2462"/>
      <c r="F242" s="2462"/>
      <c r="G242" s="2462"/>
      <c r="H242" s="2462"/>
      <c r="I242" s="2462"/>
      <c r="J242" s="2462"/>
      <c r="K242" s="2462"/>
      <c r="L242" s="2462"/>
      <c r="M242" s="2462"/>
    </row>
    <row r="243" spans="2:13" x14ac:dyDescent="0.3">
      <c r="B243" s="2462"/>
      <c r="C243" s="2462"/>
      <c r="D243" s="2462"/>
      <c r="E243" s="2462"/>
      <c r="F243" s="2462"/>
      <c r="G243" s="2462"/>
      <c r="H243" s="2462"/>
      <c r="I243" s="2462"/>
      <c r="J243" s="2462"/>
      <c r="K243" s="2462"/>
      <c r="L243" s="2462"/>
      <c r="M243" s="2462"/>
    </row>
    <row r="244" spans="2:13" x14ac:dyDescent="0.3">
      <c r="B244" s="2462"/>
      <c r="C244" s="2462"/>
      <c r="D244" s="2462"/>
      <c r="E244" s="2462"/>
      <c r="F244" s="2462"/>
      <c r="G244" s="2462"/>
      <c r="H244" s="2462"/>
      <c r="I244" s="2462"/>
      <c r="J244" s="2462"/>
      <c r="K244" s="2462"/>
      <c r="L244" s="2462"/>
      <c r="M244" s="2462"/>
    </row>
    <row r="245" spans="2:13" x14ac:dyDescent="0.3">
      <c r="B245" s="2462"/>
      <c r="C245" s="2462"/>
      <c r="D245" s="2462"/>
      <c r="E245" s="2462"/>
      <c r="F245" s="2462"/>
      <c r="G245" s="2462"/>
      <c r="H245" s="2462"/>
      <c r="I245" s="2462"/>
      <c r="J245" s="2462"/>
      <c r="K245" s="2462"/>
      <c r="L245" s="2462"/>
      <c r="M245" s="2462"/>
    </row>
    <row r="246" spans="2:13" x14ac:dyDescent="0.3">
      <c r="B246" s="2462"/>
      <c r="C246" s="2462"/>
      <c r="D246" s="2462"/>
      <c r="E246" s="2462"/>
      <c r="F246" s="2462"/>
      <c r="G246" s="2462"/>
      <c r="H246" s="2462"/>
      <c r="I246" s="2462"/>
      <c r="J246" s="2462"/>
      <c r="K246" s="2462"/>
      <c r="L246" s="2462"/>
      <c r="M246" s="2462"/>
    </row>
    <row r="247" spans="2:13" x14ac:dyDescent="0.3">
      <c r="B247" s="2462"/>
      <c r="C247" s="2462"/>
      <c r="D247" s="2462"/>
      <c r="E247" s="2462"/>
      <c r="F247" s="2462"/>
      <c r="G247" s="2462"/>
      <c r="H247" s="2462"/>
      <c r="I247" s="2462"/>
      <c r="J247" s="2462"/>
      <c r="K247" s="2462"/>
      <c r="L247" s="2462"/>
      <c r="M247" s="2462"/>
    </row>
    <row r="248" spans="2:13" x14ac:dyDescent="0.3">
      <c r="B248" s="2462"/>
      <c r="C248" s="2462"/>
      <c r="D248" s="2462"/>
      <c r="E248" s="2462"/>
      <c r="F248" s="2462"/>
      <c r="G248" s="2462"/>
      <c r="H248" s="2462"/>
      <c r="I248" s="2462"/>
      <c r="J248" s="2462"/>
      <c r="K248" s="2462"/>
      <c r="L248" s="2462"/>
      <c r="M248" s="2462"/>
    </row>
    <row r="249" spans="2:13" x14ac:dyDescent="0.3">
      <c r="B249" s="2462"/>
      <c r="C249" s="2462"/>
      <c r="D249" s="2462"/>
      <c r="E249" s="2462"/>
      <c r="F249" s="2462"/>
      <c r="G249" s="2462"/>
      <c r="H249" s="2462"/>
      <c r="I249" s="2462"/>
      <c r="J249" s="2462"/>
      <c r="K249" s="2462"/>
      <c r="L249" s="2462"/>
      <c r="M249" s="2462"/>
    </row>
    <row r="250" spans="2:13" x14ac:dyDescent="0.3">
      <c r="B250" s="2462"/>
      <c r="C250" s="2462"/>
      <c r="D250" s="2462"/>
      <c r="E250" s="2462"/>
      <c r="F250" s="2462"/>
      <c r="G250" s="2462"/>
      <c r="H250" s="2462"/>
      <c r="I250" s="2462"/>
      <c r="J250" s="2462"/>
      <c r="K250" s="2462"/>
      <c r="L250" s="2462"/>
      <c r="M250" s="2462"/>
    </row>
    <row r="251" spans="2:13" x14ac:dyDescent="0.3">
      <c r="B251" s="2462"/>
      <c r="C251" s="2462"/>
      <c r="D251" s="2462"/>
      <c r="E251" s="2462"/>
      <c r="F251" s="2462"/>
      <c r="G251" s="2462"/>
      <c r="H251" s="2462"/>
      <c r="I251" s="2462"/>
      <c r="J251" s="2462"/>
      <c r="K251" s="2462"/>
      <c r="L251" s="2462"/>
      <c r="M251" s="2462"/>
    </row>
    <row r="252" spans="2:13" x14ac:dyDescent="0.3">
      <c r="B252" s="2462"/>
      <c r="C252" s="2462"/>
      <c r="D252" s="2462"/>
      <c r="E252" s="2462"/>
      <c r="F252" s="2462"/>
      <c r="G252" s="2462"/>
      <c r="H252" s="2462"/>
      <c r="I252" s="2462"/>
      <c r="J252" s="2462"/>
      <c r="K252" s="2462"/>
      <c r="L252" s="2462"/>
      <c r="M252" s="2462"/>
    </row>
    <row r="253" spans="2:13" x14ac:dyDescent="0.3">
      <c r="B253" s="2462"/>
      <c r="C253" s="2462"/>
      <c r="D253" s="2462"/>
      <c r="E253" s="2462"/>
      <c r="F253" s="2462"/>
      <c r="G253" s="2462"/>
      <c r="H253" s="2462"/>
      <c r="I253" s="2462"/>
      <c r="J253" s="2462"/>
      <c r="K253" s="2462"/>
      <c r="L253" s="2462"/>
      <c r="M253" s="2462"/>
    </row>
    <row r="254" spans="2:13" x14ac:dyDescent="0.3">
      <c r="B254" s="2462"/>
      <c r="C254" s="2462"/>
      <c r="D254" s="2462"/>
      <c r="E254" s="2462"/>
      <c r="F254" s="2462"/>
      <c r="G254" s="2462"/>
      <c r="H254" s="2462"/>
      <c r="I254" s="2462"/>
      <c r="J254" s="2462"/>
      <c r="K254" s="2462"/>
      <c r="L254" s="2462"/>
      <c r="M254" s="2462"/>
    </row>
    <row r="255" spans="2:13" x14ac:dyDescent="0.3">
      <c r="B255" s="2462"/>
      <c r="C255" s="2462"/>
      <c r="D255" s="2462"/>
      <c r="E255" s="2462"/>
      <c r="F255" s="2462"/>
      <c r="G255" s="2462"/>
      <c r="H255" s="2462"/>
      <c r="I255" s="2462"/>
      <c r="J255" s="2462"/>
      <c r="K255" s="2462"/>
      <c r="L255" s="2462"/>
      <c r="M255" s="2462"/>
    </row>
    <row r="256" spans="2:13" x14ac:dyDescent="0.3">
      <c r="B256" s="2462"/>
      <c r="C256" s="2462"/>
      <c r="D256" s="2462"/>
      <c r="E256" s="2462"/>
      <c r="F256" s="2462"/>
      <c r="G256" s="2462"/>
      <c r="H256" s="2462"/>
      <c r="I256" s="2462"/>
      <c r="J256" s="2462"/>
      <c r="K256" s="2462"/>
      <c r="L256" s="2462"/>
      <c r="M256" s="2462"/>
    </row>
    <row r="257" spans="2:13" x14ac:dyDescent="0.3">
      <c r="B257" s="2462"/>
      <c r="C257" s="2462"/>
      <c r="D257" s="2462"/>
      <c r="E257" s="2462"/>
      <c r="F257" s="2462"/>
      <c r="G257" s="2462"/>
      <c r="H257" s="2462"/>
      <c r="I257" s="2462"/>
      <c r="J257" s="2462"/>
      <c r="K257" s="2462"/>
      <c r="L257" s="2462"/>
      <c r="M257" s="2462"/>
    </row>
    <row r="258" spans="2:13" x14ac:dyDescent="0.3">
      <c r="B258" s="2462"/>
      <c r="C258" s="2462"/>
      <c r="D258" s="2462"/>
      <c r="E258" s="2462"/>
      <c r="F258" s="2462"/>
      <c r="G258" s="2462"/>
      <c r="H258" s="2462"/>
      <c r="I258" s="2462"/>
      <c r="J258" s="2462"/>
      <c r="K258" s="2462"/>
      <c r="L258" s="2462"/>
      <c r="M258" s="2462"/>
    </row>
    <row r="259" spans="2:13" x14ac:dyDescent="0.3">
      <c r="B259" s="2462"/>
      <c r="C259" s="2462"/>
      <c r="D259" s="2462"/>
      <c r="E259" s="2462"/>
      <c r="F259" s="2462"/>
      <c r="G259" s="2462"/>
      <c r="H259" s="2462"/>
      <c r="I259" s="2462"/>
      <c r="J259" s="2462"/>
      <c r="K259" s="2462"/>
      <c r="L259" s="2462"/>
      <c r="M259" s="2462"/>
    </row>
    <row r="260" spans="2:13" x14ac:dyDescent="0.3">
      <c r="B260" s="2462"/>
      <c r="C260" s="2462"/>
      <c r="D260" s="2462"/>
      <c r="E260" s="2462"/>
      <c r="F260" s="2462"/>
      <c r="G260" s="2462"/>
      <c r="H260" s="2462"/>
      <c r="I260" s="2462"/>
      <c r="J260" s="2462"/>
      <c r="K260" s="2462"/>
      <c r="L260" s="2462"/>
      <c r="M260" s="2462"/>
    </row>
    <row r="261" spans="2:13" x14ac:dyDescent="0.3">
      <c r="B261" s="2462"/>
      <c r="C261" s="2462"/>
      <c r="D261" s="2462"/>
      <c r="E261" s="2462"/>
      <c r="F261" s="2462"/>
      <c r="G261" s="2462"/>
      <c r="H261" s="2462"/>
      <c r="I261" s="2462"/>
      <c r="J261" s="2462"/>
      <c r="K261" s="2462"/>
      <c r="L261" s="2462"/>
      <c r="M261" s="2462"/>
    </row>
    <row r="262" spans="2:13" x14ac:dyDescent="0.3">
      <c r="B262" s="2462"/>
      <c r="C262" s="2462"/>
      <c r="D262" s="2462"/>
      <c r="E262" s="2462"/>
      <c r="F262" s="2462"/>
      <c r="G262" s="2462"/>
      <c r="H262" s="2462"/>
      <c r="I262" s="2462"/>
      <c r="J262" s="2462"/>
      <c r="K262" s="2462"/>
      <c r="L262" s="2462"/>
      <c r="M262" s="2462"/>
    </row>
    <row r="263" spans="2:13" x14ac:dyDescent="0.3">
      <c r="B263" s="2462"/>
      <c r="C263" s="2462"/>
      <c r="D263" s="2462"/>
      <c r="E263" s="2462"/>
      <c r="F263" s="2462"/>
      <c r="G263" s="2462"/>
      <c r="H263" s="2462"/>
      <c r="I263" s="2462"/>
      <c r="J263" s="2462"/>
      <c r="K263" s="2462"/>
      <c r="L263" s="2462"/>
      <c r="M263" s="2462"/>
    </row>
    <row r="264" spans="2:13" x14ac:dyDescent="0.3">
      <c r="B264" s="2462"/>
      <c r="C264" s="2462"/>
      <c r="D264" s="2462"/>
      <c r="E264" s="2462"/>
      <c r="F264" s="2462"/>
      <c r="G264" s="2462"/>
      <c r="H264" s="2462"/>
      <c r="I264" s="2462"/>
      <c r="J264" s="2462"/>
      <c r="K264" s="2462"/>
      <c r="L264" s="2462"/>
      <c r="M264" s="2462"/>
    </row>
    <row r="265" spans="2:13" x14ac:dyDescent="0.3">
      <c r="B265" s="2462"/>
      <c r="C265" s="2462"/>
      <c r="D265" s="2462"/>
      <c r="E265" s="2462"/>
      <c r="F265" s="2462"/>
      <c r="G265" s="2462"/>
      <c r="H265" s="2462"/>
      <c r="I265" s="2462"/>
      <c r="J265" s="2462"/>
      <c r="K265" s="2462"/>
      <c r="L265" s="2462"/>
      <c r="M265" s="2462"/>
    </row>
    <row r="266" spans="2:13" x14ac:dyDescent="0.3">
      <c r="B266" s="2462"/>
      <c r="C266" s="2462"/>
      <c r="D266" s="2462"/>
      <c r="E266" s="2462"/>
      <c r="F266" s="2462"/>
      <c r="G266" s="2462"/>
      <c r="H266" s="2462"/>
      <c r="I266" s="2462"/>
      <c r="J266" s="2462"/>
      <c r="K266" s="2462"/>
      <c r="L266" s="2462"/>
      <c r="M266" s="2462"/>
    </row>
    <row r="267" spans="2:13" x14ac:dyDescent="0.3">
      <c r="B267" s="2462"/>
      <c r="C267" s="2462"/>
      <c r="D267" s="2462"/>
      <c r="E267" s="2462"/>
      <c r="F267" s="2462"/>
      <c r="G267" s="2462"/>
      <c r="H267" s="2462"/>
      <c r="I267" s="2462"/>
      <c r="J267" s="2462"/>
      <c r="K267" s="2462"/>
      <c r="L267" s="2462"/>
      <c r="M267" s="2462"/>
    </row>
    <row r="268" spans="2:13" x14ac:dyDescent="0.3">
      <c r="B268" s="2462"/>
      <c r="C268" s="2462"/>
      <c r="D268" s="2462"/>
      <c r="E268" s="2462"/>
      <c r="F268" s="2462"/>
      <c r="G268" s="2462"/>
      <c r="H268" s="2462"/>
      <c r="I268" s="2462"/>
      <c r="J268" s="2462"/>
      <c r="K268" s="2462"/>
      <c r="L268" s="2462"/>
      <c r="M268" s="2462"/>
    </row>
    <row r="269" spans="2:13" x14ac:dyDescent="0.3">
      <c r="B269" s="2462"/>
      <c r="C269" s="2462"/>
      <c r="D269" s="2462"/>
      <c r="E269" s="2462"/>
      <c r="F269" s="2462"/>
      <c r="G269" s="2462"/>
      <c r="H269" s="2462"/>
      <c r="I269" s="2462"/>
      <c r="J269" s="2462"/>
      <c r="K269" s="2462"/>
      <c r="L269" s="2462"/>
      <c r="M269" s="2462"/>
    </row>
    <row r="270" spans="2:13" x14ac:dyDescent="0.3">
      <c r="B270" s="2462"/>
      <c r="C270" s="2462"/>
      <c r="D270" s="2462"/>
      <c r="E270" s="2462"/>
      <c r="F270" s="2462"/>
      <c r="G270" s="2462"/>
      <c r="H270" s="2462"/>
      <c r="I270" s="2462"/>
      <c r="J270" s="2462"/>
      <c r="K270" s="2462"/>
      <c r="L270" s="2462"/>
      <c r="M270" s="2462"/>
    </row>
    <row r="271" spans="2:13" x14ac:dyDescent="0.3">
      <c r="B271" s="2462"/>
      <c r="C271" s="2462"/>
      <c r="D271" s="2462"/>
      <c r="E271" s="2462"/>
      <c r="F271" s="2462"/>
      <c r="G271" s="2462"/>
      <c r="H271" s="2462"/>
      <c r="I271" s="2462"/>
      <c r="J271" s="2462"/>
      <c r="K271" s="2462"/>
      <c r="L271" s="2462"/>
      <c r="M271" s="2462"/>
    </row>
    <row r="272" spans="2:13" x14ac:dyDescent="0.3">
      <c r="B272" s="2462"/>
      <c r="C272" s="2462"/>
      <c r="D272" s="2462"/>
      <c r="E272" s="2462"/>
      <c r="F272" s="2462"/>
      <c r="G272" s="2462"/>
      <c r="H272" s="2462"/>
      <c r="I272" s="2462"/>
      <c r="J272" s="2462"/>
      <c r="K272" s="2462"/>
      <c r="L272" s="2462"/>
      <c r="M272" s="2462"/>
    </row>
    <row r="273" spans="2:13" x14ac:dyDescent="0.3">
      <c r="B273" s="2462"/>
      <c r="C273" s="2462"/>
      <c r="D273" s="2462"/>
      <c r="E273" s="2462"/>
      <c r="F273" s="2462"/>
      <c r="G273" s="2462"/>
      <c r="H273" s="2462"/>
      <c r="I273" s="2462"/>
      <c r="J273" s="2462"/>
      <c r="K273" s="2462"/>
      <c r="L273" s="2462"/>
      <c r="M273" s="2462"/>
    </row>
    <row r="274" spans="2:13" x14ac:dyDescent="0.3">
      <c r="B274" s="2462"/>
      <c r="C274" s="2462"/>
      <c r="D274" s="2462"/>
      <c r="E274" s="2462"/>
      <c r="F274" s="2462"/>
      <c r="G274" s="2462"/>
      <c r="H274" s="2462"/>
      <c r="I274" s="2462"/>
      <c r="J274" s="2462"/>
      <c r="K274" s="2462"/>
      <c r="L274" s="2462"/>
      <c r="M274" s="2462"/>
    </row>
    <row r="275" spans="2:13" x14ac:dyDescent="0.3">
      <c r="B275" s="2462"/>
      <c r="C275" s="2462"/>
      <c r="D275" s="2462"/>
      <c r="E275" s="2462"/>
      <c r="F275" s="2462"/>
      <c r="G275" s="2462"/>
      <c r="H275" s="2462"/>
      <c r="I275" s="2462"/>
      <c r="J275" s="2462"/>
      <c r="K275" s="2462"/>
      <c r="L275" s="2462"/>
      <c r="M275" s="2462"/>
    </row>
    <row r="276" spans="2:13" x14ac:dyDescent="0.3">
      <c r="B276" s="2462"/>
      <c r="C276" s="2462"/>
      <c r="D276" s="2462"/>
      <c r="E276" s="2462"/>
      <c r="F276" s="2462"/>
      <c r="G276" s="2462"/>
      <c r="H276" s="2462"/>
      <c r="I276" s="2462"/>
      <c r="J276" s="2462"/>
      <c r="K276" s="2462"/>
      <c r="L276" s="2462"/>
      <c r="M276" s="2462"/>
    </row>
    <row r="277" spans="2:13" x14ac:dyDescent="0.3">
      <c r="B277" s="2462"/>
      <c r="C277" s="2462"/>
      <c r="D277" s="2462"/>
      <c r="E277" s="2462"/>
      <c r="F277" s="2462"/>
      <c r="G277" s="2462"/>
      <c r="H277" s="2462"/>
      <c r="I277" s="2462"/>
      <c r="J277" s="2462"/>
      <c r="K277" s="2462"/>
      <c r="L277" s="2462"/>
      <c r="M277" s="2462"/>
    </row>
    <row r="278" spans="2:13" x14ac:dyDescent="0.3">
      <c r="B278" s="2462"/>
      <c r="C278" s="2462"/>
      <c r="D278" s="2462"/>
      <c r="E278" s="2462"/>
      <c r="F278" s="2462"/>
      <c r="G278" s="2462"/>
      <c r="H278" s="2462"/>
      <c r="I278" s="2462"/>
      <c r="J278" s="2462"/>
      <c r="K278" s="2462"/>
      <c r="L278" s="2462"/>
      <c r="M278" s="2462"/>
    </row>
    <row r="279" spans="2:13" x14ac:dyDescent="0.3">
      <c r="B279" s="2462"/>
      <c r="C279" s="2462"/>
      <c r="D279" s="2462"/>
      <c r="E279" s="2462"/>
      <c r="F279" s="2462"/>
      <c r="G279" s="2462"/>
      <c r="H279" s="2462"/>
      <c r="I279" s="2462"/>
      <c r="J279" s="2462"/>
      <c r="K279" s="2462"/>
      <c r="L279" s="2462"/>
      <c r="M279" s="2462"/>
    </row>
    <row r="280" spans="2:13" x14ac:dyDescent="0.3">
      <c r="B280" s="2462"/>
      <c r="C280" s="2462"/>
      <c r="D280" s="2462"/>
      <c r="E280" s="2462"/>
      <c r="F280" s="2462"/>
      <c r="G280" s="2462"/>
      <c r="H280" s="2462"/>
      <c r="I280" s="2462"/>
      <c r="J280" s="2462"/>
      <c r="K280" s="2462"/>
      <c r="L280" s="2462"/>
      <c r="M280" s="2462"/>
    </row>
    <row r="281" spans="2:13" x14ac:dyDescent="0.3">
      <c r="B281" s="2462"/>
      <c r="C281" s="2462"/>
      <c r="D281" s="2462"/>
      <c r="E281" s="2462"/>
      <c r="F281" s="2462"/>
      <c r="G281" s="2462"/>
      <c r="H281" s="2462"/>
      <c r="I281" s="2462"/>
      <c r="J281" s="2462"/>
      <c r="K281" s="2462"/>
      <c r="L281" s="2462"/>
      <c r="M281" s="2462"/>
    </row>
    <row r="282" spans="2:13" x14ac:dyDescent="0.3">
      <c r="B282" s="2462"/>
      <c r="C282" s="2462"/>
      <c r="D282" s="2462"/>
      <c r="E282" s="2462"/>
      <c r="F282" s="2462"/>
      <c r="G282" s="2462"/>
      <c r="H282" s="2462"/>
      <c r="I282" s="2462"/>
      <c r="J282" s="2462"/>
      <c r="K282" s="2462"/>
      <c r="L282" s="2462"/>
      <c r="M282" s="2462"/>
    </row>
    <row r="283" spans="2:13" x14ac:dyDescent="0.3">
      <c r="B283" s="2462"/>
      <c r="C283" s="2462"/>
      <c r="D283" s="2462"/>
      <c r="E283" s="2462"/>
      <c r="F283" s="2462"/>
      <c r="G283" s="2462"/>
      <c r="H283" s="2462"/>
      <c r="I283" s="2462"/>
      <c r="J283" s="2462"/>
      <c r="K283" s="2462"/>
      <c r="L283" s="2462"/>
      <c r="M283" s="2462"/>
    </row>
    <row r="284" spans="2:13" x14ac:dyDescent="0.3">
      <c r="B284" s="2462"/>
      <c r="C284" s="2462"/>
      <c r="D284" s="2462"/>
      <c r="E284" s="2462"/>
      <c r="F284" s="2462"/>
      <c r="G284" s="2462"/>
      <c r="H284" s="2462"/>
      <c r="I284" s="2462"/>
      <c r="J284" s="2462"/>
      <c r="K284" s="2462"/>
      <c r="L284" s="2462"/>
      <c r="M284" s="2462"/>
    </row>
    <row r="285" spans="2:13" x14ac:dyDescent="0.3">
      <c r="B285" s="2462"/>
      <c r="C285" s="2462"/>
      <c r="D285" s="2462"/>
      <c r="E285" s="2462"/>
      <c r="F285" s="2462"/>
      <c r="G285" s="2462"/>
      <c r="H285" s="2462"/>
      <c r="I285" s="2462"/>
      <c r="J285" s="2462"/>
      <c r="K285" s="2462"/>
      <c r="L285" s="2462"/>
      <c r="M285" s="2462"/>
    </row>
    <row r="286" spans="2:13" x14ac:dyDescent="0.3">
      <c r="B286" s="2462"/>
      <c r="C286" s="2462"/>
      <c r="D286" s="2462"/>
      <c r="E286" s="2462"/>
      <c r="F286" s="2462"/>
      <c r="G286" s="2462"/>
      <c r="H286" s="2462"/>
      <c r="I286" s="2462"/>
      <c r="J286" s="2462"/>
      <c r="K286" s="2462"/>
      <c r="L286" s="2462"/>
      <c r="M286" s="2462"/>
    </row>
    <row r="287" spans="2:13" x14ac:dyDescent="0.3">
      <c r="B287" s="2462"/>
      <c r="C287" s="2462"/>
      <c r="D287" s="2462"/>
      <c r="E287" s="2462"/>
      <c r="F287" s="2462"/>
      <c r="G287" s="2462"/>
      <c r="H287" s="2462"/>
      <c r="I287" s="2462"/>
      <c r="J287" s="2462"/>
      <c r="K287" s="2462"/>
      <c r="L287" s="2462"/>
      <c r="M287" s="2462"/>
    </row>
    <row r="288" spans="2:13" x14ac:dyDescent="0.3">
      <c r="B288" s="2462"/>
      <c r="C288" s="2462"/>
      <c r="D288" s="2462"/>
      <c r="E288" s="2462"/>
      <c r="F288" s="2462"/>
      <c r="G288" s="2462"/>
      <c r="H288" s="2462"/>
      <c r="I288" s="2462"/>
      <c r="J288" s="2462"/>
      <c r="K288" s="2462"/>
      <c r="L288" s="2462"/>
      <c r="M288" s="2462"/>
    </row>
    <row r="289" spans="2:13" x14ac:dyDescent="0.3">
      <c r="B289" s="2462"/>
      <c r="C289" s="2462"/>
      <c r="D289" s="2462"/>
      <c r="E289" s="2462"/>
      <c r="F289" s="2462"/>
      <c r="G289" s="2462"/>
      <c r="H289" s="2462"/>
      <c r="I289" s="2462"/>
      <c r="J289" s="2462"/>
      <c r="K289" s="2462"/>
      <c r="L289" s="2462"/>
      <c r="M289" s="2462"/>
    </row>
    <row r="290" spans="2:13" x14ac:dyDescent="0.3">
      <c r="B290" s="2462"/>
      <c r="C290" s="2462"/>
      <c r="D290" s="2462"/>
      <c r="E290" s="2462"/>
      <c r="F290" s="2462"/>
      <c r="G290" s="2462"/>
      <c r="H290" s="2462"/>
      <c r="I290" s="2462"/>
      <c r="J290" s="2462"/>
      <c r="K290" s="2462"/>
      <c r="L290" s="2462"/>
      <c r="M290" s="2462"/>
    </row>
    <row r="291" spans="2:13" x14ac:dyDescent="0.3">
      <c r="B291" s="2462"/>
      <c r="C291" s="2462"/>
      <c r="D291" s="2462"/>
      <c r="E291" s="2462"/>
      <c r="F291" s="2462"/>
      <c r="G291" s="2462"/>
      <c r="H291" s="2462"/>
      <c r="I291" s="2462"/>
      <c r="J291" s="2462"/>
      <c r="K291" s="2462"/>
      <c r="L291" s="2462"/>
      <c r="M291" s="2462"/>
    </row>
    <row r="292" spans="2:13" x14ac:dyDescent="0.3">
      <c r="B292" s="2462"/>
      <c r="C292" s="2462"/>
      <c r="D292" s="2462"/>
      <c r="E292" s="2462"/>
      <c r="F292" s="2462"/>
      <c r="G292" s="2462"/>
      <c r="H292" s="2462"/>
      <c r="I292" s="2462"/>
      <c r="J292" s="2462"/>
      <c r="K292" s="2462"/>
      <c r="L292" s="2462"/>
      <c r="M292" s="2462"/>
    </row>
    <row r="293" spans="2:13" x14ac:dyDescent="0.3">
      <c r="B293" s="2462"/>
      <c r="C293" s="2462"/>
      <c r="D293" s="2462"/>
      <c r="E293" s="2462"/>
      <c r="F293" s="2462"/>
      <c r="G293" s="2462"/>
      <c r="H293" s="2462"/>
      <c r="I293" s="2462"/>
      <c r="J293" s="2462"/>
      <c r="K293" s="2462"/>
      <c r="L293" s="2462"/>
      <c r="M293" s="2462"/>
    </row>
    <row r="294" spans="2:13" x14ac:dyDescent="0.3">
      <c r="B294" s="2462"/>
      <c r="C294" s="2462"/>
      <c r="D294" s="2462"/>
      <c r="E294" s="2462"/>
      <c r="F294" s="2462"/>
      <c r="G294" s="2462"/>
      <c r="H294" s="2462"/>
      <c r="I294" s="2462"/>
      <c r="J294" s="2462"/>
      <c r="K294" s="2462"/>
      <c r="L294" s="2462"/>
      <c r="M294" s="2462"/>
    </row>
    <row r="295" spans="2:13" x14ac:dyDescent="0.3">
      <c r="B295" s="2462"/>
      <c r="C295" s="2462"/>
      <c r="D295" s="2462"/>
      <c r="E295" s="2462"/>
      <c r="F295" s="2462"/>
      <c r="G295" s="2462"/>
      <c r="H295" s="2462"/>
      <c r="I295" s="2462"/>
      <c r="J295" s="2462"/>
      <c r="K295" s="2462"/>
      <c r="L295" s="2462"/>
      <c r="M295" s="2462"/>
    </row>
    <row r="296" spans="2:13" x14ac:dyDescent="0.3">
      <c r="B296" s="2462"/>
      <c r="C296" s="2462"/>
      <c r="D296" s="2462"/>
      <c r="E296" s="2462"/>
      <c r="F296" s="2462"/>
      <c r="G296" s="2462"/>
      <c r="H296" s="2462"/>
      <c r="I296" s="2462"/>
      <c r="J296" s="2462"/>
      <c r="K296" s="2462"/>
      <c r="L296" s="2462"/>
      <c r="M296" s="2462"/>
    </row>
    <row r="297" spans="2:13" x14ac:dyDescent="0.3">
      <c r="B297" s="2462"/>
      <c r="C297" s="2462"/>
      <c r="D297" s="2462"/>
      <c r="E297" s="2462"/>
      <c r="F297" s="2462"/>
      <c r="G297" s="2462"/>
      <c r="H297" s="2462"/>
      <c r="I297" s="2462"/>
      <c r="J297" s="2462"/>
      <c r="K297" s="2462"/>
      <c r="L297" s="2462"/>
      <c r="M297" s="2462"/>
    </row>
    <row r="298" spans="2:13" x14ac:dyDescent="0.3">
      <c r="B298" s="2462"/>
      <c r="C298" s="2462"/>
      <c r="D298" s="2462"/>
      <c r="E298" s="2462"/>
      <c r="F298" s="2462"/>
      <c r="G298" s="2462"/>
      <c r="H298" s="2462"/>
      <c r="I298" s="2462"/>
      <c r="J298" s="2462"/>
      <c r="K298" s="2462"/>
      <c r="L298" s="2462"/>
      <c r="M298" s="2462"/>
    </row>
    <row r="299" spans="2:13" x14ac:dyDescent="0.3">
      <c r="B299" s="2462"/>
      <c r="C299" s="2462"/>
      <c r="D299" s="2462"/>
      <c r="E299" s="2462"/>
      <c r="F299" s="2462"/>
      <c r="G299" s="2462"/>
      <c r="H299" s="2462"/>
      <c r="I299" s="2462"/>
      <c r="J299" s="2462"/>
      <c r="K299" s="2462"/>
      <c r="L299" s="2462"/>
      <c r="M299" s="2462"/>
    </row>
    <row r="300" spans="2:13" x14ac:dyDescent="0.3">
      <c r="B300" s="2462"/>
      <c r="C300" s="2462"/>
      <c r="D300" s="2462"/>
      <c r="E300" s="2462"/>
      <c r="F300" s="2462"/>
      <c r="G300" s="2462"/>
      <c r="H300" s="2462"/>
      <c r="I300" s="2462"/>
      <c r="J300" s="2462"/>
      <c r="K300" s="2462"/>
      <c r="L300" s="2462"/>
      <c r="M300" s="2462"/>
    </row>
    <row r="301" spans="2:13" x14ac:dyDescent="0.3">
      <c r="B301" s="2462"/>
      <c r="C301" s="2462"/>
      <c r="D301" s="2462"/>
      <c r="E301" s="2462"/>
      <c r="F301" s="2462"/>
      <c r="G301" s="2462"/>
      <c r="H301" s="2462"/>
      <c r="I301" s="2462"/>
      <c r="J301" s="2462"/>
      <c r="K301" s="2462"/>
      <c r="L301" s="2462"/>
      <c r="M301" s="2462"/>
    </row>
    <row r="302" spans="2:13" x14ac:dyDescent="0.3">
      <c r="B302" s="2462"/>
      <c r="C302" s="2462"/>
      <c r="D302" s="2462"/>
      <c r="E302" s="2462"/>
      <c r="F302" s="2462"/>
      <c r="G302" s="2462"/>
      <c r="H302" s="2462"/>
      <c r="I302" s="2462"/>
      <c r="J302" s="2462"/>
      <c r="K302" s="2462"/>
      <c r="L302" s="2462"/>
      <c r="M302" s="2462"/>
    </row>
    <row r="303" spans="2:13" x14ac:dyDescent="0.3">
      <c r="B303" s="2462"/>
      <c r="C303" s="2462"/>
      <c r="D303" s="2462"/>
      <c r="E303" s="2462"/>
      <c r="F303" s="2462"/>
      <c r="G303" s="2462"/>
      <c r="H303" s="2462"/>
      <c r="I303" s="2462"/>
      <c r="J303" s="2462"/>
      <c r="K303" s="2462"/>
      <c r="L303" s="2462"/>
      <c r="M303" s="2462"/>
    </row>
    <row r="304" spans="2:13" x14ac:dyDescent="0.3">
      <c r="B304" s="2462"/>
      <c r="C304" s="2462"/>
      <c r="D304" s="2462"/>
      <c r="E304" s="2462"/>
      <c r="F304" s="2462"/>
      <c r="G304" s="2462"/>
      <c r="H304" s="2462"/>
      <c r="I304" s="2462"/>
      <c r="J304" s="2462"/>
      <c r="K304" s="2462"/>
      <c r="L304" s="2462"/>
      <c r="M304" s="2462"/>
    </row>
    <row r="305" spans="2:18" x14ac:dyDescent="0.3">
      <c r="B305" s="2462"/>
      <c r="C305" s="2462"/>
      <c r="D305" s="2462"/>
      <c r="E305" s="2462"/>
      <c r="F305" s="2462"/>
      <c r="G305" s="2462"/>
      <c r="H305" s="2462"/>
      <c r="I305" s="2462"/>
      <c r="J305" s="2462"/>
      <c r="K305" s="2462"/>
      <c r="L305" s="2462"/>
      <c r="M305" s="2462"/>
    </row>
    <row r="306" spans="2:18" x14ac:dyDescent="0.3">
      <c r="B306" s="2462"/>
      <c r="C306" s="2462"/>
      <c r="D306" s="2462"/>
      <c r="E306" s="2462"/>
      <c r="F306" s="2462"/>
      <c r="G306" s="2462"/>
      <c r="H306" s="2462"/>
      <c r="I306" s="2462"/>
      <c r="J306" s="2462"/>
      <c r="K306" s="2462"/>
      <c r="L306" s="2462"/>
      <c r="M306" s="2462"/>
    </row>
    <row r="307" spans="2:18" x14ac:dyDescent="0.3">
      <c r="B307" s="2462"/>
      <c r="C307" s="2462"/>
      <c r="D307" s="2462"/>
      <c r="E307" s="2462"/>
      <c r="F307" s="2462"/>
      <c r="G307" s="2462"/>
      <c r="H307" s="2462"/>
      <c r="I307" s="2462"/>
      <c r="J307" s="2462"/>
      <c r="K307" s="2462"/>
      <c r="L307" s="2462"/>
      <c r="M307" s="2462"/>
    </row>
    <row r="308" spans="2:18" x14ac:dyDescent="0.3">
      <c r="B308" s="2462"/>
      <c r="C308" s="2462"/>
      <c r="D308" s="2462"/>
      <c r="E308" s="2462"/>
      <c r="F308" s="2462"/>
      <c r="G308" s="2462"/>
      <c r="H308" s="2462"/>
      <c r="I308" s="2462"/>
      <c r="J308" s="2462"/>
      <c r="K308" s="2462"/>
      <c r="L308" s="2462"/>
      <c r="M308" s="2462"/>
    </row>
    <row r="309" spans="2:18" x14ac:dyDescent="0.3">
      <c r="B309" s="2462"/>
      <c r="C309" s="2462"/>
      <c r="D309" s="2462"/>
      <c r="E309" s="2462"/>
      <c r="F309" s="2462"/>
      <c r="G309" s="2462"/>
      <c r="H309" s="2462"/>
      <c r="I309" s="2462"/>
      <c r="J309" s="2462"/>
      <c r="K309" s="2462"/>
      <c r="L309" s="2462"/>
      <c r="M309" s="2462"/>
    </row>
    <row r="310" spans="2:18" x14ac:dyDescent="0.3">
      <c r="B310" s="2462"/>
      <c r="C310" s="2462"/>
      <c r="D310" s="2462"/>
      <c r="E310" s="2462"/>
      <c r="F310" s="2462"/>
      <c r="G310" s="2462"/>
      <c r="H310" s="2462"/>
      <c r="I310" s="2462"/>
      <c r="J310" s="2462"/>
      <c r="K310" s="2462"/>
      <c r="L310" s="2462"/>
      <c r="M310" s="2462"/>
    </row>
    <row r="311" spans="2:18" x14ac:dyDescent="0.3">
      <c r="B311" s="2462"/>
      <c r="C311" s="2462"/>
      <c r="D311" s="2462"/>
      <c r="E311" s="2462"/>
      <c r="F311" s="2462"/>
      <c r="G311" s="2462"/>
      <c r="H311" s="2462"/>
      <c r="I311" s="2462"/>
      <c r="J311" s="2462"/>
      <c r="K311" s="2462"/>
      <c r="L311" s="2462"/>
      <c r="M311" s="2462"/>
    </row>
    <row r="312" spans="2:18" x14ac:dyDescent="0.3">
      <c r="B312" s="2462"/>
      <c r="C312" s="2462"/>
      <c r="D312" s="2462"/>
      <c r="E312" s="2462"/>
      <c r="F312" s="2462"/>
      <c r="G312" s="2462"/>
      <c r="H312" s="2462"/>
      <c r="I312" s="2462"/>
      <c r="J312" s="2462"/>
      <c r="K312" s="2462"/>
      <c r="L312" s="2462"/>
      <c r="M312" s="2462"/>
    </row>
    <row r="313" spans="2:18" x14ac:dyDescent="0.3">
      <c r="B313" s="2462"/>
      <c r="C313" s="2462"/>
      <c r="D313" s="2462"/>
      <c r="E313" s="2462"/>
      <c r="F313" s="2462"/>
      <c r="G313" s="2462"/>
      <c r="H313" s="2462"/>
      <c r="I313" s="2462"/>
      <c r="J313" s="2462"/>
      <c r="K313" s="2462"/>
      <c r="L313" s="2462"/>
      <c r="M313" s="2462"/>
    </row>
    <row r="314" spans="2:18" x14ac:dyDescent="0.3">
      <c r="B314" s="2462"/>
      <c r="C314" s="2462"/>
      <c r="D314" s="2462"/>
      <c r="E314" s="2462"/>
      <c r="F314" s="2462"/>
      <c r="G314" s="2462"/>
      <c r="H314" s="2462"/>
      <c r="I314" s="2462"/>
      <c r="J314" s="2462"/>
      <c r="K314" s="2462"/>
      <c r="L314" s="2462"/>
      <c r="M314" s="2462"/>
    </row>
    <row r="315" spans="2:18" x14ac:dyDescent="0.3">
      <c r="B315" s="2462"/>
      <c r="C315" s="2462"/>
      <c r="D315" s="2462"/>
      <c r="E315" s="2462"/>
      <c r="F315" s="2462"/>
      <c r="G315" s="2462"/>
      <c r="H315" s="2462"/>
      <c r="I315" s="2462"/>
      <c r="J315" s="2462"/>
      <c r="K315" s="2462"/>
      <c r="L315" s="2462"/>
      <c r="M315" s="2462"/>
    </row>
    <row r="316" spans="2:18" x14ac:dyDescent="0.3">
      <c r="B316" s="2462"/>
      <c r="C316" s="2462"/>
      <c r="D316" s="2462"/>
      <c r="E316" s="2462"/>
      <c r="F316" s="2462"/>
      <c r="G316" s="2462"/>
      <c r="H316" s="2462"/>
      <c r="I316" s="2462"/>
      <c r="J316" s="2462"/>
      <c r="K316" s="2462"/>
      <c r="L316" s="2462"/>
      <c r="M316" s="2462"/>
    </row>
    <row r="317" spans="2:18" x14ac:dyDescent="0.3">
      <c r="B317" s="2462"/>
      <c r="C317" s="2462"/>
      <c r="D317" s="2462"/>
      <c r="E317" s="2462"/>
      <c r="F317" s="4262"/>
      <c r="G317" s="4262"/>
      <c r="H317" s="4262"/>
      <c r="I317" s="4262"/>
      <c r="J317" s="4262"/>
      <c r="K317" s="4262"/>
      <c r="L317" s="4262"/>
      <c r="M317" s="4262"/>
      <c r="N317" s="4263"/>
      <c r="O317" s="4263"/>
      <c r="P317" s="4263"/>
      <c r="Q317" s="4263"/>
      <c r="R317" s="4263"/>
    </row>
    <row r="318" spans="2:18" x14ac:dyDescent="0.3">
      <c r="B318" s="2462"/>
      <c r="C318" s="2462"/>
      <c r="D318" s="2462"/>
      <c r="E318" s="2462"/>
      <c r="F318" s="2462"/>
      <c r="G318" s="2462"/>
      <c r="H318" s="2462"/>
      <c r="I318" s="2462"/>
      <c r="J318" s="2462"/>
      <c r="K318" s="2462"/>
      <c r="L318" s="2462"/>
      <c r="M318" s="2462"/>
    </row>
    <row r="319" spans="2:18" x14ac:dyDescent="0.3">
      <c r="B319" s="2462"/>
      <c r="C319" s="2462"/>
      <c r="D319" s="2462"/>
      <c r="E319" s="2462"/>
      <c r="F319" s="2462"/>
      <c r="G319" s="2462"/>
      <c r="H319" s="2462"/>
      <c r="I319" s="2462"/>
      <c r="J319" s="2462"/>
      <c r="K319" s="2462"/>
      <c r="L319" s="2462"/>
      <c r="M319" s="2462"/>
    </row>
    <row r="320" spans="2:18" x14ac:dyDescent="0.3">
      <c r="B320" s="2462"/>
      <c r="C320" s="2462"/>
      <c r="D320" s="2462"/>
      <c r="E320" s="2462"/>
      <c r="F320" s="2462"/>
      <c r="G320" s="2462"/>
      <c r="H320" s="2462"/>
      <c r="I320" s="2462"/>
      <c r="J320" s="2462"/>
      <c r="K320" s="2462"/>
      <c r="L320" s="2462"/>
      <c r="M320" s="2462"/>
    </row>
    <row r="321" spans="2:18" x14ac:dyDescent="0.3">
      <c r="B321" s="2462"/>
      <c r="C321" s="2462"/>
      <c r="D321" s="2462"/>
      <c r="E321" s="2462"/>
      <c r="F321" s="2462"/>
      <c r="G321" s="2462"/>
      <c r="H321" s="2462"/>
      <c r="I321" s="2462"/>
      <c r="J321" s="2462"/>
      <c r="K321" s="2462"/>
      <c r="L321" s="2462"/>
      <c r="M321" s="2462"/>
    </row>
    <row r="322" spans="2:18" x14ac:dyDescent="0.3">
      <c r="B322" s="2462"/>
      <c r="C322" s="2462"/>
      <c r="D322" s="2462"/>
      <c r="E322" s="2462"/>
      <c r="F322" s="2462"/>
      <c r="G322" s="2462"/>
      <c r="H322" s="2462"/>
      <c r="I322" s="2462"/>
      <c r="J322" s="2462"/>
      <c r="K322" s="2462"/>
      <c r="L322" s="2462"/>
      <c r="M322" s="2462"/>
    </row>
    <row r="323" spans="2:18" x14ac:dyDescent="0.3">
      <c r="B323" s="2462"/>
      <c r="C323" s="2462"/>
      <c r="D323" s="2462"/>
      <c r="E323" s="2462"/>
      <c r="F323" s="4262"/>
      <c r="G323" s="4262"/>
      <c r="H323" s="4262"/>
      <c r="I323" s="4262"/>
      <c r="J323" s="4262"/>
      <c r="K323" s="4262"/>
      <c r="L323" s="4262"/>
      <c r="M323" s="4262"/>
      <c r="N323" s="4263"/>
      <c r="O323" s="4263"/>
      <c r="P323" s="4263"/>
      <c r="Q323" s="4263"/>
      <c r="R323" s="4263"/>
    </row>
    <row r="324" spans="2:18" x14ac:dyDescent="0.3">
      <c r="B324" s="2462"/>
      <c r="C324" s="2462"/>
      <c r="D324" s="2462"/>
      <c r="E324" s="2462"/>
      <c r="F324" s="2462"/>
      <c r="G324" s="2462"/>
      <c r="H324" s="2462"/>
      <c r="I324" s="2462"/>
      <c r="J324" s="2462"/>
      <c r="K324" s="2462"/>
      <c r="L324" s="2462"/>
      <c r="M324" s="2462"/>
    </row>
    <row r="325" spans="2:18" x14ac:dyDescent="0.3">
      <c r="B325" s="2462"/>
      <c r="C325" s="2462"/>
      <c r="D325" s="2462"/>
      <c r="E325" s="2462"/>
      <c r="F325" s="2462"/>
      <c r="G325" s="2462"/>
      <c r="H325" s="2462"/>
      <c r="I325" s="2462"/>
      <c r="J325" s="2462"/>
      <c r="K325" s="2462"/>
      <c r="L325" s="2462"/>
      <c r="M325" s="2462"/>
    </row>
    <row r="326" spans="2:18" x14ac:dyDescent="0.3">
      <c r="B326" s="2462"/>
      <c r="C326" s="2462"/>
      <c r="D326" s="2462"/>
      <c r="E326" s="2462"/>
      <c r="F326" s="2462"/>
      <c r="G326" s="2462"/>
      <c r="H326" s="2462"/>
      <c r="I326" s="2462"/>
      <c r="J326" s="2462"/>
      <c r="K326" s="2462"/>
      <c r="L326" s="2462"/>
      <c r="M326" s="2462"/>
    </row>
    <row r="327" spans="2:18" x14ac:dyDescent="0.3">
      <c r="B327" s="2462"/>
      <c r="C327" s="2462"/>
      <c r="D327" s="2462"/>
      <c r="E327" s="2462"/>
      <c r="F327" s="2462"/>
      <c r="G327" s="2462"/>
      <c r="H327" s="2462"/>
      <c r="I327" s="2462"/>
      <c r="J327" s="2462"/>
      <c r="K327" s="2462"/>
      <c r="L327" s="2462"/>
      <c r="M327" s="2462"/>
    </row>
    <row r="328" spans="2:18" x14ac:dyDescent="0.3">
      <c r="B328" s="2462"/>
      <c r="C328" s="2462"/>
      <c r="D328" s="2462"/>
      <c r="E328" s="2462"/>
      <c r="F328" s="2462"/>
      <c r="G328" s="2462"/>
      <c r="H328" s="2462"/>
      <c r="I328" s="2462"/>
      <c r="J328" s="2462"/>
      <c r="K328" s="2462"/>
      <c r="L328" s="2462"/>
      <c r="M328" s="2462"/>
    </row>
    <row r="329" spans="2:18" x14ac:dyDescent="0.3">
      <c r="B329" s="2462"/>
      <c r="C329" s="2462"/>
      <c r="D329" s="2462"/>
      <c r="E329" s="2462"/>
      <c r="F329" s="2462"/>
      <c r="G329" s="2462"/>
      <c r="H329" s="2462"/>
      <c r="I329" s="2462"/>
      <c r="J329" s="2462"/>
      <c r="K329" s="2462"/>
      <c r="L329" s="2462"/>
      <c r="M329" s="2462"/>
    </row>
    <row r="330" spans="2:18" x14ac:dyDescent="0.3">
      <c r="B330" s="2462"/>
      <c r="C330" s="2462"/>
      <c r="D330" s="2462"/>
      <c r="E330" s="2462"/>
      <c r="F330" s="2462"/>
      <c r="G330" s="2462"/>
      <c r="H330" s="2462"/>
      <c r="I330" s="2462"/>
      <c r="J330" s="2462"/>
      <c r="K330" s="2462"/>
      <c r="L330" s="2462"/>
      <c r="M330" s="2462"/>
    </row>
    <row r="331" spans="2:18" x14ac:dyDescent="0.3">
      <c r="B331" s="2462"/>
      <c r="C331" s="2462"/>
      <c r="D331" s="2462"/>
      <c r="E331" s="2462"/>
      <c r="F331" s="2462"/>
      <c r="G331" s="2462"/>
      <c r="H331" s="2462"/>
      <c r="I331" s="2462"/>
      <c r="J331" s="2462"/>
      <c r="K331" s="2462"/>
      <c r="L331" s="2462"/>
      <c r="M331" s="2462"/>
    </row>
    <row r="332" spans="2:18" x14ac:dyDescent="0.3">
      <c r="B332" s="2462"/>
      <c r="C332" s="2462"/>
      <c r="D332" s="2462"/>
      <c r="E332" s="2462"/>
      <c r="F332" s="2462"/>
      <c r="G332" s="2462"/>
      <c r="H332" s="2462"/>
      <c r="I332" s="2462"/>
      <c r="J332" s="2462"/>
      <c r="K332" s="2462"/>
      <c r="L332" s="2462"/>
      <c r="M332" s="2462"/>
    </row>
    <row r="333" spans="2:18" x14ac:dyDescent="0.3">
      <c r="B333" s="2462"/>
      <c r="C333" s="2462"/>
      <c r="D333" s="2462"/>
      <c r="E333" s="2462"/>
      <c r="F333" s="2462"/>
      <c r="G333" s="2462"/>
      <c r="H333" s="2462"/>
      <c r="I333" s="2462"/>
      <c r="J333" s="2462"/>
      <c r="K333" s="2462"/>
      <c r="L333" s="2462"/>
      <c r="M333" s="2462"/>
    </row>
    <row r="334" spans="2:18" x14ac:dyDescent="0.3">
      <c r="B334" s="2462"/>
      <c r="C334" s="2462"/>
      <c r="D334" s="2462"/>
      <c r="E334" s="2462"/>
      <c r="F334" s="2462"/>
      <c r="G334" s="2462"/>
      <c r="H334" s="2462"/>
      <c r="I334" s="2462"/>
      <c r="J334" s="2462"/>
      <c r="K334" s="2462"/>
      <c r="L334" s="2462"/>
      <c r="M334" s="2462"/>
    </row>
    <row r="341" spans="2:18" x14ac:dyDescent="0.3">
      <c r="B341" s="4263"/>
      <c r="C341" s="4263"/>
      <c r="D341" s="4263"/>
      <c r="E341" s="4263"/>
      <c r="F341" s="4263"/>
      <c r="G341" s="4263"/>
      <c r="H341" s="4263"/>
      <c r="I341" s="4263"/>
      <c r="J341" s="4263"/>
      <c r="K341" s="4263"/>
      <c r="L341" s="4263"/>
      <c r="M341" s="4263"/>
      <c r="N341" s="4263"/>
      <c r="O341" s="4263"/>
      <c r="P341" s="4263"/>
      <c r="Q341" s="4263"/>
      <c r="R341" s="4263"/>
    </row>
  </sheetData>
  <sheetProtection algorithmName="SHA-512" hashValue="J47jZ7IwerIWIpBHYtwQnD7TsUdc1rA9du5bNWvWdIcRfT3+ngTPyM8MrG/Ge4qi7LH5G7RShLIHCxGX7YmcfQ==" saltValue="xoPycu8MSO1IFicVM0mJZQ==" spinCount="100000" sheet="1" objects="1" scenarios="1"/>
  <mergeCells count="10">
    <mergeCell ref="C29:F29"/>
    <mergeCell ref="G29:J29"/>
    <mergeCell ref="K29:N29"/>
    <mergeCell ref="C3:E3"/>
    <mergeCell ref="C2:E2"/>
    <mergeCell ref="F3:H3"/>
    <mergeCell ref="F2:H2"/>
    <mergeCell ref="I3:K3"/>
    <mergeCell ref="I2:K2"/>
    <mergeCell ref="L2:N2"/>
  </mergeCells>
  <conditionalFormatting sqref="B6:G25">
    <cfRule type="cellIs" dxfId="663" priority="53" operator="equal">
      <formula>0</formula>
    </cfRule>
  </conditionalFormatting>
  <conditionalFormatting sqref="H202:XFD202 H174:XFD174 H209:XFD209 A160:XFD173 A176:XFD190 A208:XFD208 A216:XFD323 A215 A211:B214 B28:XFD28 B42:XFD42 A51:XFD60 B50:XFD50 A62:XFD68 B61:XFD61 A70:XFD77 B69:XFD69 A79:XFD82 B78:XFD78 A84:XFD88 B83:XFD83 A90:XFD95 B89:XFD89 A98:XFD121 B96:XFD97 A124:XFD157 B122:XFD123 B191:XFD192 A29:XFD41 A43:XFD49 A204:B207 E204:XFD205 A201:XFD201 A193:B200 E206:F207 H206:XFD207 E211:XFD212 E213:F214 H213:XFD215 E193:XFD196 E197:F200 H197:XFD200">
    <cfRule type="cellIs" dxfId="662" priority="52" operator="equal">
      <formula>0</formula>
    </cfRule>
  </conditionalFormatting>
  <conditionalFormatting sqref="C202:G202">
    <cfRule type="cellIs" dxfId="661" priority="51" operator="equal">
      <formula>0</formula>
    </cfRule>
  </conditionalFormatting>
  <conditionalFormatting sqref="B202">
    <cfRule type="cellIs" dxfId="660" priority="50" operator="equal">
      <formula>0</formula>
    </cfRule>
  </conditionalFormatting>
  <conditionalFormatting sqref="B174:G174">
    <cfRule type="cellIs" dxfId="659" priority="49" operator="equal">
      <formula>0</formula>
    </cfRule>
  </conditionalFormatting>
  <conditionalFormatting sqref="B203:XFD203">
    <cfRule type="cellIs" dxfId="658" priority="48" operator="equal">
      <formula>0</formula>
    </cfRule>
  </conditionalFormatting>
  <conditionalFormatting sqref="B175:XFD175">
    <cfRule type="cellIs" dxfId="657" priority="47" operator="equal">
      <formula>0</formula>
    </cfRule>
  </conditionalFormatting>
  <conditionalFormatting sqref="C158:XFD158">
    <cfRule type="cellIs" dxfId="656" priority="46" operator="equal">
      <formula>0</formula>
    </cfRule>
  </conditionalFormatting>
  <conditionalFormatting sqref="B158">
    <cfRule type="cellIs" dxfId="655" priority="45" operator="equal">
      <formula>0</formula>
    </cfRule>
  </conditionalFormatting>
  <conditionalFormatting sqref="B209:G209">
    <cfRule type="cellIs" dxfId="654" priority="41" operator="equal">
      <formula>0</formula>
    </cfRule>
  </conditionalFormatting>
  <conditionalFormatting sqref="B210:XFD210">
    <cfRule type="cellIs" dxfId="653" priority="40" operator="equal">
      <formula>0</formula>
    </cfRule>
  </conditionalFormatting>
  <conditionalFormatting sqref="B159:XFD159">
    <cfRule type="cellIs" dxfId="652" priority="39" operator="equal">
      <formula>0</formula>
    </cfRule>
  </conditionalFormatting>
  <conditionalFormatting sqref="A1">
    <cfRule type="cellIs" dxfId="651" priority="10" operator="equal">
      <formula>0</formula>
    </cfRule>
  </conditionalFormatting>
  <conditionalFormatting sqref="C43:C48">
    <cfRule type="cellIs" dxfId="650" priority="9" operator="greaterThan">
      <formula>10</formula>
    </cfRule>
  </conditionalFormatting>
  <conditionalFormatting sqref="C204:D207">
    <cfRule type="cellIs" dxfId="649" priority="8" operator="equal">
      <formula>0</formula>
    </cfRule>
  </conditionalFormatting>
  <conditionalFormatting sqref="C199:D200">
    <cfRule type="cellIs" dxfId="648" priority="7" operator="equal">
      <formula>0</formula>
    </cfRule>
  </conditionalFormatting>
  <conditionalFormatting sqref="G199:G200">
    <cfRule type="cellIs" dxfId="647" priority="6" operator="equal">
      <formula>0</formula>
    </cfRule>
  </conditionalFormatting>
  <conditionalFormatting sqref="G206:G207">
    <cfRule type="cellIs" dxfId="646" priority="5" operator="equal">
      <formula>0</formula>
    </cfRule>
  </conditionalFormatting>
  <conditionalFormatting sqref="C211:D214">
    <cfRule type="cellIs" dxfId="645" priority="4" operator="equal">
      <formula>0</formula>
    </cfRule>
  </conditionalFormatting>
  <conditionalFormatting sqref="G213:G214">
    <cfRule type="cellIs" dxfId="644" priority="3" operator="equal">
      <formula>0</formula>
    </cfRule>
  </conditionalFormatting>
  <conditionalFormatting sqref="C193:D198">
    <cfRule type="cellIs" dxfId="643" priority="2" operator="equal">
      <formula>0</formula>
    </cfRule>
  </conditionalFormatting>
  <conditionalFormatting sqref="G197:G198">
    <cfRule type="cellIs" dxfId="642" priority="1" operator="equal">
      <formula>0</formula>
    </cfRule>
  </conditionalFormatting>
  <dataValidations count="7">
    <dataValidation type="list" allowBlank="1" showInputMessage="1" showErrorMessage="1" sqref="B43:B48">
      <formula1>DotLech</formula1>
    </dataValidation>
    <dataValidation type="list" allowBlank="1" showInputMessage="1" showErrorMessage="1" sqref="B51:B59">
      <formula1>lecheria1</formula1>
    </dataValidation>
    <dataValidation type="list" allowBlank="1" showInputMessage="1" showErrorMessage="1" sqref="B79:B81">
      <formula1>Dotgan</formula1>
    </dataValidation>
    <dataValidation type="list" allowBlank="1" showInputMessage="1" showErrorMessage="1" sqref="B84:B87">
      <formula1>ganad</formula1>
    </dataValidation>
    <dataValidation type="list" allowBlank="1" showInputMessage="1" showErrorMessage="1" sqref="B70:B76">
      <formula1>prodforra</formula1>
    </dataValidation>
    <dataValidation type="list" allowBlank="1" showInputMessage="1" showErrorMessage="1" sqref="B62:B67">
      <formula1>conclech</formula1>
    </dataValidation>
    <dataValidation type="list" allowBlank="1" showInputMessage="1" showErrorMessage="1" sqref="B90:B91">
      <formula1>concentradogan</formula1>
    </dataValidation>
  </dataValidations>
  <hyperlinks>
    <hyperlink ref="B2" location="ResFísico!B5:G25" display="Uso del suelo por Rubro"/>
    <hyperlink ref="B3" location="ResFísico!B28:N39" display="Uso del suelo por Destino"/>
    <hyperlink ref="E42:G42" location="ResFísico!B97:G121" display="ResFísico!B97:G121"/>
    <hyperlink ref="E50:H50" location="ResFísico!B125:G159" display="ResFísico!B125:G159"/>
    <hyperlink ref="E61:H61" location="ResFísico!B162:G176" display="ResFísico!B162:G176"/>
    <hyperlink ref="E69:H69" location="ResFísico!B179:G194" display="ResFísico!B179:G194"/>
    <hyperlink ref="E78:G78" location="ResFísico!B198:G207" display="ResFísico!B198:G207"/>
    <hyperlink ref="E83:H83" location="ResFísico!B210:G215" display="ResFísico!B210:G215"/>
    <hyperlink ref="E89:H89" location="ResFísico!B218:G223" display="ResFísico!B218:G223"/>
    <hyperlink ref="F2:G2" location="ResFísico!B62:C68" display="ResFísico!B62:C68"/>
    <hyperlink ref="F3:G3" location="ResFísico!B70:C77" display="ResFísico!B70:C77"/>
    <hyperlink ref="I2:J2" location="ResFísico!B79:C82" display="ResFísico!B79:C82"/>
    <hyperlink ref="L2:M2" location="ResFísico!B90:C92" display="ResFísico!B90:C92"/>
    <hyperlink ref="C2:E2" location="ResFísico!B42:C48" display="ResFísico!B42:C48"/>
    <hyperlink ref="C3:E3" location="ResFísico!B50:C59" display="ResFísico!B50:C59"/>
    <hyperlink ref="F2:H2" location="ResFísico!B61:C67" display="ResFísico!B61:C67"/>
    <hyperlink ref="F3:H3" location="ResFísico!B69:C76" display="ResFísico!B69:C76"/>
    <hyperlink ref="I2:K2" location="ResFísico!B78:C81" display="ResFísico!B78:C81"/>
    <hyperlink ref="I3:K3" location="ResFísico!B83:C87" display="ResFísico!B83:C87"/>
    <hyperlink ref="L2:N2" location="ResFísico!B89:C91" display="ResFísico!B89:C91"/>
    <hyperlink ref="E42:H42" location="ResFísico!B96:G120" display="ResFísico!B96:G120"/>
    <hyperlink ref="E50:I50" location="ResFísico!B122:G156" display="ResFísico!B122:G156"/>
    <hyperlink ref="E61:I61" location="ResFísico!B158:G172" display="ResFísico!B158:G172"/>
    <hyperlink ref="E69:I69" location="ResFísico!B174:G189" display="ResFísico!B174:G189"/>
    <hyperlink ref="E78:H78" location="ResFísico!B191:G200" display="ResFísico!B191:G200"/>
    <hyperlink ref="E83:I83" location="ResFísico!B202:G207" display="ResFísico!B202:G207"/>
    <hyperlink ref="E89:I89" location="ResFísico!B209:G214" display="ResFísico!B209:G214"/>
    <hyperlink ref="A1" location="ManualGlobal!B27:D43" display="◄"/>
  </hyperlinks>
  <pageMargins left="0.7" right="0.7" top="0.75" bottom="0.75" header="0.3" footer="0.3"/>
  <pageSetup orientation="portrait" r:id="rId1"/>
  <rowBreaks count="2" manualBreakCount="2">
    <brk id="76" max="16383" man="1"/>
    <brk id="92" max="16383" man="1"/>
  </rowBreaks>
  <colBreaks count="1" manualBreakCount="1">
    <brk id="4" max="1048575" man="1"/>
  </colBreaks>
  <ignoredErrors>
    <ignoredError sqref="C56:C59 C84:C86 C87 C90 C79:C81 C52:C54 C51 C55 C62 C70 C72:C76 E89 E69"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X774"/>
  <sheetViews>
    <sheetView showGridLines="0" zoomScaleNormal="100" workbookViewId="0">
      <pane ySplit="5" topLeftCell="A6" activePane="bottomLeft" state="frozen"/>
      <selection pane="bottomLeft" activeCell="B575" sqref="B575"/>
    </sheetView>
  </sheetViews>
  <sheetFormatPr baseColWidth="10" defaultColWidth="10.875" defaultRowHeight="14.4" x14ac:dyDescent="0.3"/>
  <cols>
    <col min="1" max="1" width="5.375" style="3436" customWidth="1"/>
    <col min="2" max="2" width="49.375" style="3442" customWidth="1"/>
    <col min="3" max="3" width="14.625" style="3436" customWidth="1"/>
    <col min="4" max="4" width="17" style="3436" customWidth="1"/>
    <col min="5" max="16" width="10.125" style="4265" customWidth="1"/>
    <col min="17" max="17" width="10.875" style="3436"/>
    <col min="18" max="18" width="16" style="3436" hidden="1" customWidth="1"/>
    <col min="19" max="19" width="0" style="3436" hidden="1" customWidth="1"/>
    <col min="20" max="20" width="23" style="3436" hidden="1" customWidth="1"/>
    <col min="21" max="16384" width="10.875" style="3436"/>
  </cols>
  <sheetData>
    <row r="1" spans="1:20" ht="17.7" x14ac:dyDescent="0.3">
      <c r="A1" s="2463" t="s">
        <v>633</v>
      </c>
      <c r="B1" s="4264" t="s">
        <v>701</v>
      </c>
      <c r="R1" s="4266" t="s">
        <v>1125</v>
      </c>
      <c r="S1" s="4266" t="s">
        <v>1121</v>
      </c>
      <c r="T1" s="4266" t="s">
        <v>2279</v>
      </c>
    </row>
    <row r="3" spans="1:20" x14ac:dyDescent="0.3">
      <c r="B3" s="4267" t="s">
        <v>18</v>
      </c>
      <c r="C3" s="4268" t="s">
        <v>702</v>
      </c>
      <c r="D3" s="4268"/>
      <c r="E3" s="4268" t="s">
        <v>2388</v>
      </c>
      <c r="F3" s="4268"/>
      <c r="H3" s="4268" t="s">
        <v>2390</v>
      </c>
      <c r="I3" s="4268"/>
      <c r="K3" s="4269" t="s">
        <v>836</v>
      </c>
      <c r="L3" s="4269"/>
      <c r="M3" s="4268" t="s">
        <v>703</v>
      </c>
      <c r="N3" s="4268"/>
      <c r="O3" s="4268"/>
    </row>
    <row r="4" spans="1:20" x14ac:dyDescent="0.3">
      <c r="B4" s="4267" t="s">
        <v>307</v>
      </c>
      <c r="C4" s="4270"/>
      <c r="E4" s="4267" t="s">
        <v>2389</v>
      </c>
      <c r="F4" s="4271"/>
      <c r="G4" s="3436"/>
      <c r="H4" s="4272" t="s">
        <v>2391</v>
      </c>
      <c r="I4" s="4271"/>
      <c r="M4" s="4268" t="s">
        <v>669</v>
      </c>
      <c r="N4" s="4268"/>
      <c r="O4" s="4268"/>
    </row>
    <row r="5" spans="1:20" ht="15.05" thickBot="1" x14ac:dyDescent="0.35">
      <c r="E5" s="4273" t="str">
        <f>+E7</f>
        <v>Ene</v>
      </c>
      <c r="F5" s="4273" t="str">
        <f t="shared" ref="F5:P5" si="0">+F7</f>
        <v>Feb</v>
      </c>
      <c r="G5" s="4273" t="str">
        <f t="shared" si="0"/>
        <v>Mar</v>
      </c>
      <c r="H5" s="4273" t="str">
        <f t="shared" si="0"/>
        <v>Abr</v>
      </c>
      <c r="I5" s="4273" t="str">
        <f t="shared" si="0"/>
        <v>May</v>
      </c>
      <c r="J5" s="4273" t="str">
        <f t="shared" si="0"/>
        <v>Jun</v>
      </c>
      <c r="K5" s="4273" t="str">
        <f t="shared" si="0"/>
        <v>Jul</v>
      </c>
      <c r="L5" s="4273" t="str">
        <f t="shared" si="0"/>
        <v>Ago</v>
      </c>
      <c r="M5" s="4273" t="str">
        <f t="shared" si="0"/>
        <v>Set</v>
      </c>
      <c r="N5" s="4273" t="str">
        <f t="shared" si="0"/>
        <v>Oct</v>
      </c>
      <c r="O5" s="4273" t="str">
        <f t="shared" si="0"/>
        <v>Nov</v>
      </c>
      <c r="P5" s="4273" t="str">
        <f t="shared" si="0"/>
        <v>Dic</v>
      </c>
      <c r="Q5" s="4273" t="s">
        <v>11</v>
      </c>
    </row>
    <row r="6" spans="1:20" ht="15.05" thickBot="1" x14ac:dyDescent="0.35">
      <c r="A6" s="2487">
        <f>+ResFísico!A89+1</f>
        <v>114</v>
      </c>
      <c r="B6" s="2488" t="s">
        <v>2373</v>
      </c>
      <c r="C6" s="2489"/>
      <c r="D6" s="2490"/>
      <c r="E6" s="2489"/>
      <c r="F6" s="2489"/>
      <c r="G6" s="2489"/>
      <c r="H6" s="2489"/>
      <c r="I6" s="2489"/>
      <c r="J6" s="2489"/>
      <c r="K6" s="2489"/>
      <c r="L6" s="2489"/>
      <c r="M6" s="2489"/>
      <c r="N6" s="2489"/>
      <c r="O6" s="2489"/>
      <c r="P6" s="2489"/>
      <c r="Q6" s="2491"/>
    </row>
    <row r="7" spans="1:20" x14ac:dyDescent="0.3">
      <c r="B7" s="4274" t="s">
        <v>912</v>
      </c>
      <c r="C7" s="4275"/>
      <c r="D7" s="4276" t="s">
        <v>594</v>
      </c>
      <c r="E7" s="4273" t="str">
        <f>+UsoSuelo!G8</f>
        <v>Ene</v>
      </c>
      <c r="F7" s="4273" t="str">
        <f>+UsoSuelo!H8</f>
        <v>Feb</v>
      </c>
      <c r="G7" s="4273" t="str">
        <f>+UsoSuelo!I8</f>
        <v>Mar</v>
      </c>
      <c r="H7" s="4273" t="str">
        <f>+UsoSuelo!J8</f>
        <v>Abr</v>
      </c>
      <c r="I7" s="4273" t="str">
        <f>+UsoSuelo!K8</f>
        <v>May</v>
      </c>
      <c r="J7" s="4273" t="str">
        <f>+UsoSuelo!L8</f>
        <v>Jun</v>
      </c>
      <c r="K7" s="4273" t="str">
        <f>+UsoSuelo!M8</f>
        <v>Jul</v>
      </c>
      <c r="L7" s="4273" t="str">
        <f>+UsoSuelo!N8</f>
        <v>Ago</v>
      </c>
      <c r="M7" s="4273" t="str">
        <f>+UsoSuelo!O8</f>
        <v>Set</v>
      </c>
      <c r="N7" s="4273" t="str">
        <f>+UsoSuelo!P8</f>
        <v>Oct</v>
      </c>
      <c r="O7" s="4273" t="str">
        <f>+UsoSuelo!Q8</f>
        <v>Nov</v>
      </c>
      <c r="P7" s="4277" t="str">
        <f>+UsoSuelo!R8</f>
        <v>Dic</v>
      </c>
      <c r="Q7" s="4278" t="str">
        <f>+Q5</f>
        <v>Total</v>
      </c>
    </row>
    <row r="8" spans="1:20" s="4279" customFormat="1" x14ac:dyDescent="0.2">
      <c r="B8" s="4280" t="s">
        <v>34</v>
      </c>
      <c r="C8" s="4281"/>
      <c r="D8" s="4282"/>
      <c r="E8" s="5336"/>
      <c r="F8" s="5336"/>
      <c r="G8" s="5336"/>
      <c r="H8" s="5336"/>
      <c r="I8" s="5336"/>
      <c r="J8" s="5336"/>
      <c r="K8" s="5336"/>
      <c r="L8" s="5336"/>
      <c r="M8" s="5336"/>
      <c r="N8" s="5336"/>
      <c r="O8" s="5336"/>
      <c r="P8" s="5337"/>
      <c r="Q8" s="4283"/>
    </row>
    <row r="9" spans="1:20" s="4279" customFormat="1" ht="15.05" thickBot="1" x14ac:dyDescent="0.25">
      <c r="B9" s="4284" t="s">
        <v>1767</v>
      </c>
      <c r="C9" s="4285"/>
      <c r="D9" s="4286"/>
      <c r="E9" s="4287">
        <f>A.Lecheros!F50</f>
        <v>0</v>
      </c>
      <c r="F9" s="4287">
        <f>A.Lecheros!G50</f>
        <v>0</v>
      </c>
      <c r="G9" s="4287">
        <f>A.Lecheros!H50</f>
        <v>0</v>
      </c>
      <c r="H9" s="4287">
        <f>A.Lecheros!I50</f>
        <v>0</v>
      </c>
      <c r="I9" s="4287">
        <f>A.Lecheros!J50</f>
        <v>0</v>
      </c>
      <c r="J9" s="4287">
        <f>A.Lecheros!K50</f>
        <v>0</v>
      </c>
      <c r="K9" s="4288">
        <f>A.Lecheros!L50</f>
        <v>0</v>
      </c>
      <c r="L9" s="4288">
        <f>A.Lecheros!M50</f>
        <v>0</v>
      </c>
      <c r="M9" s="4288">
        <f>A.Lecheros!N50</f>
        <v>0</v>
      </c>
      <c r="N9" s="4288">
        <f>A.Lecheros!O50</f>
        <v>0</v>
      </c>
      <c r="O9" s="4289">
        <f>A.Lecheros!P50</f>
        <v>0</v>
      </c>
      <c r="P9" s="4289">
        <f>A.Lecheros!Q50</f>
        <v>0</v>
      </c>
      <c r="Q9" s="4283"/>
    </row>
    <row r="10" spans="1:20" s="4295" customFormat="1" hidden="1" x14ac:dyDescent="0.2">
      <c r="A10" s="4290" t="s">
        <v>1125</v>
      </c>
      <c r="B10" s="4291" t="s">
        <v>1225</v>
      </c>
      <c r="C10" s="4292"/>
      <c r="D10" s="4293"/>
      <c r="E10" s="4294">
        <f>+A.Lecheros!F46</f>
        <v>0</v>
      </c>
      <c r="F10" s="4294">
        <f>+A.Lecheros!G46</f>
        <v>0</v>
      </c>
      <c r="G10" s="4294">
        <f>+A.Lecheros!H46</f>
        <v>0</v>
      </c>
      <c r="H10" s="4294">
        <f>+A.Lecheros!I46</f>
        <v>0</v>
      </c>
      <c r="I10" s="4294">
        <f>+A.Lecheros!J46</f>
        <v>0</v>
      </c>
      <c r="J10" s="4294">
        <f>+A.Lecheros!K46</f>
        <v>0</v>
      </c>
      <c r="K10" s="4292">
        <f>+A.Lecheros!L46</f>
        <v>0</v>
      </c>
      <c r="L10" s="4292">
        <f>+A.Lecheros!M46</f>
        <v>0</v>
      </c>
      <c r="M10" s="4292">
        <f>+A.Lecheros!N46</f>
        <v>0</v>
      </c>
      <c r="N10" s="4292">
        <f>+A.Lecheros!O46</f>
        <v>0</v>
      </c>
      <c r="O10" s="4292">
        <f>+A.Lecheros!P46</f>
        <v>0</v>
      </c>
      <c r="P10" s="4292">
        <f>+A.Lecheros!Q46</f>
        <v>0</v>
      </c>
    </row>
    <row r="11" spans="1:20" s="4279" customFormat="1" x14ac:dyDescent="0.2">
      <c r="B11" s="4296" t="s">
        <v>2379</v>
      </c>
      <c r="C11" s="4297"/>
      <c r="D11" s="4298"/>
      <c r="E11" s="4299">
        <f>E8*E10</f>
        <v>0</v>
      </c>
      <c r="F11" s="4299">
        <f t="shared" ref="F11:P11" si="1">F8*F10</f>
        <v>0</v>
      </c>
      <c r="G11" s="4299">
        <f t="shared" si="1"/>
        <v>0</v>
      </c>
      <c r="H11" s="4299">
        <f t="shared" si="1"/>
        <v>0</v>
      </c>
      <c r="I11" s="4299">
        <f t="shared" si="1"/>
        <v>0</v>
      </c>
      <c r="J11" s="4299">
        <f t="shared" si="1"/>
        <v>0</v>
      </c>
      <c r="K11" s="4300">
        <f t="shared" si="1"/>
        <v>0</v>
      </c>
      <c r="L11" s="4300">
        <f t="shared" si="1"/>
        <v>0</v>
      </c>
      <c r="M11" s="4300">
        <f t="shared" si="1"/>
        <v>0</v>
      </c>
      <c r="N11" s="4300">
        <f t="shared" si="1"/>
        <v>0</v>
      </c>
      <c r="O11" s="4300">
        <f t="shared" si="1"/>
        <v>0</v>
      </c>
      <c r="P11" s="4300">
        <f t="shared" si="1"/>
        <v>0</v>
      </c>
      <c r="Q11" s="4301">
        <f>+SUM(E11:P11)</f>
        <v>0</v>
      </c>
    </row>
    <row r="12" spans="1:20" s="4279" customFormat="1" ht="15.05" thickBot="1" x14ac:dyDescent="0.35">
      <c r="B12" s="4302" t="s">
        <v>406</v>
      </c>
      <c r="C12" s="4303"/>
      <c r="D12" s="4304">
        <f>+General!C138</f>
        <v>0</v>
      </c>
      <c r="E12" s="4305">
        <f>SUM(E13:E15)</f>
        <v>0</v>
      </c>
      <c r="F12" s="4305">
        <f t="shared" ref="F12:P12" si="2">SUM(F13:F15)</f>
        <v>0</v>
      </c>
      <c r="G12" s="4305">
        <f t="shared" si="2"/>
        <v>0</v>
      </c>
      <c r="H12" s="4305">
        <f t="shared" si="2"/>
        <v>0</v>
      </c>
      <c r="I12" s="4305">
        <f t="shared" si="2"/>
        <v>0</v>
      </c>
      <c r="J12" s="4305">
        <f t="shared" si="2"/>
        <v>0</v>
      </c>
      <c r="K12" s="4306">
        <f t="shared" si="2"/>
        <v>0</v>
      </c>
      <c r="L12" s="4306">
        <f t="shared" si="2"/>
        <v>0</v>
      </c>
      <c r="M12" s="4306">
        <f t="shared" si="2"/>
        <v>0</v>
      </c>
      <c r="N12" s="4306">
        <f t="shared" si="2"/>
        <v>0</v>
      </c>
      <c r="O12" s="4307">
        <f t="shared" si="2"/>
        <v>0</v>
      </c>
      <c r="P12" s="4307">
        <f t="shared" si="2"/>
        <v>0</v>
      </c>
      <c r="Q12" s="4308">
        <f>+SUM(E12:P12)</f>
        <v>0</v>
      </c>
    </row>
    <row r="13" spans="1:20" s="4295" customFormat="1" hidden="1" x14ac:dyDescent="0.2">
      <c r="A13" s="4290" t="s">
        <v>1125</v>
      </c>
      <c r="B13" s="4291" t="s">
        <v>410</v>
      </c>
      <c r="C13" s="4292"/>
      <c r="D13" s="4293"/>
      <c r="E13" s="4294">
        <f>IF($D$12="Contado",E11,0)</f>
        <v>0</v>
      </c>
      <c r="F13" s="4294">
        <f t="shared" ref="F13:P13" si="3">IF($D$12="Contado",F11,0)</f>
        <v>0</v>
      </c>
      <c r="G13" s="4294">
        <f t="shared" si="3"/>
        <v>0</v>
      </c>
      <c r="H13" s="4294">
        <f t="shared" si="3"/>
        <v>0</v>
      </c>
      <c r="I13" s="4294">
        <f t="shared" si="3"/>
        <v>0</v>
      </c>
      <c r="J13" s="4294">
        <f t="shared" si="3"/>
        <v>0</v>
      </c>
      <c r="K13" s="4294">
        <f t="shared" si="3"/>
        <v>0</v>
      </c>
      <c r="L13" s="4294">
        <f t="shared" si="3"/>
        <v>0</v>
      </c>
      <c r="M13" s="4294">
        <f t="shared" si="3"/>
        <v>0</v>
      </c>
      <c r="N13" s="4294">
        <f t="shared" si="3"/>
        <v>0</v>
      </c>
      <c r="O13" s="4294">
        <f t="shared" si="3"/>
        <v>0</v>
      </c>
      <c r="P13" s="4294">
        <f t="shared" si="3"/>
        <v>0</v>
      </c>
    </row>
    <row r="14" spans="1:20" s="4295" customFormat="1" hidden="1" x14ac:dyDescent="0.2">
      <c r="A14" s="4290" t="s">
        <v>1125</v>
      </c>
      <c r="B14" s="4309" t="s">
        <v>253</v>
      </c>
      <c r="C14" s="4293"/>
      <c r="D14" s="4293"/>
      <c r="E14" s="4294">
        <f>IF($D$12="30 días",General!C140*General!C141,0)</f>
        <v>0</v>
      </c>
      <c r="F14" s="4294">
        <f>IF($D$12="30 días",E11,0)</f>
        <v>0</v>
      </c>
      <c r="G14" s="4294">
        <f t="shared" ref="G14:P14" si="4">IF($D$12="30 días",F11,0)</f>
        <v>0</v>
      </c>
      <c r="H14" s="4294">
        <f t="shared" si="4"/>
        <v>0</v>
      </c>
      <c r="I14" s="4294">
        <f t="shared" si="4"/>
        <v>0</v>
      </c>
      <c r="J14" s="4294">
        <f t="shared" si="4"/>
        <v>0</v>
      </c>
      <c r="K14" s="4294">
        <f t="shared" si="4"/>
        <v>0</v>
      </c>
      <c r="L14" s="4294">
        <f t="shared" si="4"/>
        <v>0</v>
      </c>
      <c r="M14" s="4294">
        <f t="shared" si="4"/>
        <v>0</v>
      </c>
      <c r="N14" s="4294">
        <f t="shared" si="4"/>
        <v>0</v>
      </c>
      <c r="O14" s="4294">
        <f t="shared" si="4"/>
        <v>0</v>
      </c>
      <c r="P14" s="4294">
        <f t="shared" si="4"/>
        <v>0</v>
      </c>
      <c r="Q14" s="2614"/>
    </row>
    <row r="15" spans="1:20" s="4295" customFormat="1" hidden="1" x14ac:dyDescent="0.2">
      <c r="A15" s="4290" t="s">
        <v>1125</v>
      </c>
      <c r="B15" s="4309" t="s">
        <v>254</v>
      </c>
      <c r="C15" s="4293"/>
      <c r="D15" s="4293"/>
      <c r="E15" s="4294">
        <f>IF($D$12="60 días",General!C143*General!C144,0)</f>
        <v>0</v>
      </c>
      <c r="F15" s="4294">
        <f>IF($D$12="60 días",General!C140*General!C141,0)</f>
        <v>0</v>
      </c>
      <c r="G15" s="4294">
        <f>IF($D$12="60 días",E11,0)</f>
        <v>0</v>
      </c>
      <c r="H15" s="4294">
        <f t="shared" ref="H15:P15" si="5">IF($D$12="60 días",F11,0)</f>
        <v>0</v>
      </c>
      <c r="I15" s="4294">
        <f t="shared" si="5"/>
        <v>0</v>
      </c>
      <c r="J15" s="4294">
        <f t="shared" si="5"/>
        <v>0</v>
      </c>
      <c r="K15" s="4294">
        <f t="shared" si="5"/>
        <v>0</v>
      </c>
      <c r="L15" s="4294">
        <f t="shared" si="5"/>
        <v>0</v>
      </c>
      <c r="M15" s="4294">
        <f t="shared" si="5"/>
        <v>0</v>
      </c>
      <c r="N15" s="4294">
        <f t="shared" si="5"/>
        <v>0</v>
      </c>
      <c r="O15" s="4294">
        <f t="shared" si="5"/>
        <v>0</v>
      </c>
      <c r="P15" s="4294">
        <f t="shared" si="5"/>
        <v>0</v>
      </c>
    </row>
    <row r="17" spans="1:24" ht="15.05" thickBot="1" x14ac:dyDescent="0.35"/>
    <row r="18" spans="1:24" ht="15.05" thickBot="1" x14ac:dyDescent="0.35">
      <c r="A18" s="2487">
        <f>+A6+1</f>
        <v>115</v>
      </c>
      <c r="B18" s="2488" t="s">
        <v>2372</v>
      </c>
      <c r="C18" s="2489"/>
      <c r="D18" s="2490"/>
      <c r="E18" s="2489"/>
      <c r="F18" s="2489"/>
      <c r="G18" s="2489"/>
      <c r="H18" s="2489"/>
      <c r="I18" s="2489"/>
      <c r="J18" s="2489"/>
      <c r="K18" s="2489"/>
      <c r="L18" s="2489"/>
      <c r="M18" s="2489"/>
      <c r="N18" s="2489"/>
      <c r="O18" s="2489"/>
      <c r="P18" s="2489"/>
      <c r="Q18" s="2491"/>
    </row>
    <row r="19" spans="1:24" x14ac:dyDescent="0.3">
      <c r="B19" s="4274" t="s">
        <v>2368</v>
      </c>
      <c r="C19" s="4275"/>
      <c r="D19" s="4276" t="s">
        <v>594</v>
      </c>
      <c r="E19" s="4273" t="str">
        <f>+E7</f>
        <v>Ene</v>
      </c>
      <c r="F19" s="4273" t="str">
        <f t="shared" ref="F19:O19" si="6">+F7</f>
        <v>Feb</v>
      </c>
      <c r="G19" s="4273" t="str">
        <f t="shared" si="6"/>
        <v>Mar</v>
      </c>
      <c r="H19" s="4273" t="str">
        <f t="shared" si="6"/>
        <v>Abr</v>
      </c>
      <c r="I19" s="4273" t="str">
        <f t="shared" si="6"/>
        <v>May</v>
      </c>
      <c r="J19" s="4273" t="str">
        <f t="shared" si="6"/>
        <v>Jun</v>
      </c>
      <c r="K19" s="4273" t="str">
        <f t="shared" si="6"/>
        <v>Jul</v>
      </c>
      <c r="L19" s="4273" t="str">
        <f t="shared" si="6"/>
        <v>Ago</v>
      </c>
      <c r="M19" s="4273" t="str">
        <f t="shared" si="6"/>
        <v>Set</v>
      </c>
      <c r="N19" s="4273" t="str">
        <f t="shared" si="6"/>
        <v>Oct</v>
      </c>
      <c r="O19" s="4273" t="str">
        <f t="shared" si="6"/>
        <v>Nov</v>
      </c>
      <c r="P19" s="4277" t="str">
        <f>+P7</f>
        <v>Dic</v>
      </c>
      <c r="Q19" s="4278" t="str">
        <f>+Q7</f>
        <v>Total</v>
      </c>
      <c r="R19" s="4310" t="s">
        <v>2280</v>
      </c>
      <c r="S19" s="4310" t="s">
        <v>254</v>
      </c>
      <c r="T19" s="4310" t="s">
        <v>2281</v>
      </c>
      <c r="U19" s="3438"/>
    </row>
    <row r="20" spans="1:24" x14ac:dyDescent="0.3">
      <c r="B20" s="4311" t="s">
        <v>1141</v>
      </c>
      <c r="C20" s="4312"/>
      <c r="D20" s="4939" t="s">
        <v>253</v>
      </c>
      <c r="E20" s="4313">
        <f>A.Lecheros!F362</f>
        <v>0</v>
      </c>
      <c r="F20" s="4314">
        <f>A.Lecheros!G362</f>
        <v>0</v>
      </c>
      <c r="G20" s="4314">
        <f>A.Lecheros!H362</f>
        <v>0</v>
      </c>
      <c r="H20" s="4314">
        <f>A.Lecheros!I362</f>
        <v>0</v>
      </c>
      <c r="I20" s="4314">
        <f>A.Lecheros!J362</f>
        <v>0</v>
      </c>
      <c r="J20" s="4314">
        <f>A.Lecheros!K362</f>
        <v>0</v>
      </c>
      <c r="K20" s="4314">
        <f>A.Lecheros!L362</f>
        <v>0</v>
      </c>
      <c r="L20" s="4314">
        <f>A.Lecheros!M362</f>
        <v>0</v>
      </c>
      <c r="M20" s="4313">
        <f>A.Lecheros!N362</f>
        <v>0</v>
      </c>
      <c r="N20" s="4314">
        <f>A.Lecheros!O362</f>
        <v>0</v>
      </c>
      <c r="O20" s="4314">
        <f>A.Lecheros!P362</f>
        <v>0</v>
      </c>
      <c r="P20" s="3724">
        <f>A.Lecheros!Q362</f>
        <v>0</v>
      </c>
      <c r="Q20" s="4315"/>
      <c r="R20" s="3438">
        <f>+IF(D20=General!B173,Ingresos!P20,0)</f>
        <v>0</v>
      </c>
      <c r="S20" s="3438">
        <f>+IF(Ingresos!D20=General!B174,P20+O20,0)</f>
        <v>0</v>
      </c>
      <c r="T20" s="3438">
        <f>+SUM(R20:S20)</f>
        <v>0</v>
      </c>
    </row>
    <row r="21" spans="1:24" x14ac:dyDescent="0.3">
      <c r="B21" s="4316" t="s">
        <v>1959</v>
      </c>
      <c r="C21" s="4285"/>
      <c r="D21" s="5338" t="s">
        <v>253</v>
      </c>
      <c r="E21" s="4317">
        <f>A.Lecheros!F365</f>
        <v>0</v>
      </c>
      <c r="F21" s="4318">
        <f>A.Lecheros!G365</f>
        <v>0</v>
      </c>
      <c r="G21" s="4318">
        <f>A.Lecheros!H365</f>
        <v>0</v>
      </c>
      <c r="H21" s="4318">
        <f>A.Lecheros!I365</f>
        <v>0</v>
      </c>
      <c r="I21" s="4318">
        <f>A.Lecheros!J365</f>
        <v>0</v>
      </c>
      <c r="J21" s="4318">
        <f>A.Lecheros!K365</f>
        <v>0</v>
      </c>
      <c r="K21" s="4318">
        <f>A.Lecheros!L365</f>
        <v>0</v>
      </c>
      <c r="L21" s="4318">
        <f>A.Lecheros!M365</f>
        <v>0</v>
      </c>
      <c r="M21" s="4317">
        <f>A.Lecheros!N365</f>
        <v>0</v>
      </c>
      <c r="N21" s="4318">
        <f>A.Lecheros!O365</f>
        <v>0</v>
      </c>
      <c r="O21" s="4318">
        <f>A.Lecheros!P365</f>
        <v>0</v>
      </c>
      <c r="P21" s="4319">
        <f>A.Lecheros!Q365</f>
        <v>0</v>
      </c>
      <c r="Q21" s="4315"/>
      <c r="R21" s="3438">
        <f>+IF(D21=General!B174,Ingresos!P21,0)</f>
        <v>0</v>
      </c>
      <c r="S21" s="3438">
        <f>+IF(Ingresos!D21=General!B175,P21+O21,0)</f>
        <v>0</v>
      </c>
      <c r="T21" s="3438">
        <f t="shared" ref="T21:T33" si="7">+SUM(R21:S21)</f>
        <v>0</v>
      </c>
    </row>
    <row r="22" spans="1:24" s="3437" customFormat="1" x14ac:dyDescent="0.3">
      <c r="B22" s="4316" t="s">
        <v>399</v>
      </c>
      <c r="C22" s="4285"/>
      <c r="D22" s="5338" t="s">
        <v>253</v>
      </c>
      <c r="E22" s="4317">
        <f>A.Lecheros!F366</f>
        <v>0</v>
      </c>
      <c r="F22" s="4318">
        <f>A.Lecheros!G366</f>
        <v>0</v>
      </c>
      <c r="G22" s="4318">
        <f>A.Lecheros!H366</f>
        <v>0</v>
      </c>
      <c r="H22" s="4318">
        <f>A.Lecheros!I366</f>
        <v>0</v>
      </c>
      <c r="I22" s="4318">
        <f>A.Lecheros!J366</f>
        <v>0</v>
      </c>
      <c r="J22" s="4318">
        <f>A.Lecheros!K366</f>
        <v>0</v>
      </c>
      <c r="K22" s="4318">
        <f>A.Lecheros!L366</f>
        <v>0</v>
      </c>
      <c r="L22" s="4318">
        <f>A.Lecheros!M366</f>
        <v>0</v>
      </c>
      <c r="M22" s="4317">
        <f>A.Lecheros!N366</f>
        <v>0</v>
      </c>
      <c r="N22" s="4318">
        <f>A.Lecheros!O366</f>
        <v>0</v>
      </c>
      <c r="O22" s="4318">
        <f>A.Lecheros!P366</f>
        <v>0</v>
      </c>
      <c r="P22" s="4319">
        <f>A.Lecheros!Q366</f>
        <v>0</v>
      </c>
      <c r="Q22" s="4320"/>
      <c r="R22" s="3438">
        <f>+IF(D22=General!B175,Ingresos!P22,0)</f>
        <v>0</v>
      </c>
      <c r="S22" s="3438">
        <f>+IF(Ingresos!D22=General!B176,P22+O22,0)</f>
        <v>0</v>
      </c>
      <c r="T22" s="3438">
        <f t="shared" si="7"/>
        <v>0</v>
      </c>
      <c r="U22" s="3436"/>
      <c r="W22" s="4321"/>
      <c r="X22" s="4321"/>
    </row>
    <row r="23" spans="1:24" s="3437" customFormat="1" x14ac:dyDescent="0.3">
      <c r="B23" s="4316" t="s">
        <v>400</v>
      </c>
      <c r="C23" s="4285"/>
      <c r="D23" s="5338" t="s">
        <v>253</v>
      </c>
      <c r="E23" s="4317">
        <f>A.Lecheros!F367</f>
        <v>0</v>
      </c>
      <c r="F23" s="4318">
        <f>A.Lecheros!G367</f>
        <v>0</v>
      </c>
      <c r="G23" s="4318">
        <f>A.Lecheros!H367</f>
        <v>0</v>
      </c>
      <c r="H23" s="4318">
        <f>A.Lecheros!I367</f>
        <v>0</v>
      </c>
      <c r="I23" s="4318">
        <f>A.Lecheros!J367</f>
        <v>0</v>
      </c>
      <c r="J23" s="4318">
        <f>A.Lecheros!K367</f>
        <v>0</v>
      </c>
      <c r="K23" s="4318">
        <f>A.Lecheros!L367</f>
        <v>0</v>
      </c>
      <c r="L23" s="4318">
        <f>A.Lecheros!M367</f>
        <v>0</v>
      </c>
      <c r="M23" s="4317">
        <f>A.Lecheros!N367</f>
        <v>0</v>
      </c>
      <c r="N23" s="4318">
        <f>A.Lecheros!O367</f>
        <v>0</v>
      </c>
      <c r="O23" s="4318">
        <f>A.Lecheros!P367</f>
        <v>0</v>
      </c>
      <c r="P23" s="4319">
        <f>A.Lecheros!Q367</f>
        <v>0</v>
      </c>
      <c r="Q23" s="4322"/>
      <c r="R23" s="3438">
        <f>+IF(D23=General!B176,Ingresos!P23,0)</f>
        <v>0</v>
      </c>
      <c r="S23" s="3438">
        <f>+IF(Ingresos!D23=General!B177,P23+O23,0)</f>
        <v>0</v>
      </c>
      <c r="T23" s="3438">
        <f t="shared" si="7"/>
        <v>0</v>
      </c>
      <c r="U23" s="3436"/>
      <c r="W23" s="4321"/>
      <c r="X23" s="4321"/>
    </row>
    <row r="24" spans="1:24" s="3437" customFormat="1" x14ac:dyDescent="0.3">
      <c r="B24" s="4316" t="s">
        <v>401</v>
      </c>
      <c r="C24" s="4285"/>
      <c r="D24" s="5338" t="s">
        <v>253</v>
      </c>
      <c r="E24" s="4317">
        <f>A.Lecheros!F368</f>
        <v>0</v>
      </c>
      <c r="F24" s="4318">
        <f>A.Lecheros!G368</f>
        <v>0</v>
      </c>
      <c r="G24" s="4318">
        <f>A.Lecheros!H368</f>
        <v>0</v>
      </c>
      <c r="H24" s="4318">
        <f>A.Lecheros!I368</f>
        <v>0</v>
      </c>
      <c r="I24" s="4318">
        <f>A.Lecheros!J368</f>
        <v>0</v>
      </c>
      <c r="J24" s="4318">
        <f>A.Lecheros!K368</f>
        <v>0</v>
      </c>
      <c r="K24" s="4318">
        <f>A.Lecheros!L368</f>
        <v>0</v>
      </c>
      <c r="L24" s="4318">
        <f>A.Lecheros!M368</f>
        <v>0</v>
      </c>
      <c r="M24" s="4317">
        <f>A.Lecheros!N368</f>
        <v>0</v>
      </c>
      <c r="N24" s="4318">
        <f>A.Lecheros!O368</f>
        <v>0</v>
      </c>
      <c r="O24" s="4318">
        <f>A.Lecheros!P368</f>
        <v>0</v>
      </c>
      <c r="P24" s="4319">
        <f>A.Lecheros!Q368</f>
        <v>0</v>
      </c>
      <c r="Q24" s="4322"/>
      <c r="R24" s="3438">
        <f>+IF(D24=General!B177,Ingresos!P24,0)</f>
        <v>0</v>
      </c>
      <c r="S24" s="3438">
        <f>+IF(Ingresos!D24=General!B178,P24+O24,0)</f>
        <v>0</v>
      </c>
      <c r="T24" s="3438">
        <f t="shared" si="7"/>
        <v>0</v>
      </c>
      <c r="U24" s="3436"/>
      <c r="W24" s="4321"/>
      <c r="X24" s="4321"/>
    </row>
    <row r="25" spans="1:24" s="3437" customFormat="1" x14ac:dyDescent="0.3">
      <c r="B25" s="4316" t="s">
        <v>402</v>
      </c>
      <c r="C25" s="4285"/>
      <c r="D25" s="5338" t="s">
        <v>253</v>
      </c>
      <c r="E25" s="4317">
        <f>A.Lecheros!F369</f>
        <v>0</v>
      </c>
      <c r="F25" s="4318">
        <f>A.Lecheros!G369</f>
        <v>0</v>
      </c>
      <c r="G25" s="4318">
        <f>A.Lecheros!H369</f>
        <v>0</v>
      </c>
      <c r="H25" s="4318">
        <f>A.Lecheros!I369</f>
        <v>0</v>
      </c>
      <c r="I25" s="4318">
        <f>A.Lecheros!J369</f>
        <v>0</v>
      </c>
      <c r="J25" s="4318">
        <f>A.Lecheros!K369</f>
        <v>0</v>
      </c>
      <c r="K25" s="4318">
        <f>A.Lecheros!L369</f>
        <v>0</v>
      </c>
      <c r="L25" s="4318">
        <f>A.Lecheros!M369</f>
        <v>0</v>
      </c>
      <c r="M25" s="4317">
        <f>A.Lecheros!N369</f>
        <v>0</v>
      </c>
      <c r="N25" s="4318">
        <f>A.Lecheros!O369</f>
        <v>0</v>
      </c>
      <c r="O25" s="4318">
        <f>A.Lecheros!P369</f>
        <v>0</v>
      </c>
      <c r="P25" s="4319">
        <f>A.Lecheros!Q369</f>
        <v>0</v>
      </c>
      <c r="Q25" s="4322"/>
      <c r="R25" s="3438">
        <f>+IF(D25=General!B178,Ingresos!P25,0)</f>
        <v>0</v>
      </c>
      <c r="S25" s="3438">
        <f>+IF(Ingresos!D25=General!B179,P25+O25,0)</f>
        <v>0</v>
      </c>
      <c r="T25" s="3438">
        <f t="shared" si="7"/>
        <v>0</v>
      </c>
      <c r="U25" s="3436"/>
      <c r="W25" s="4321"/>
    </row>
    <row r="26" spans="1:24" s="3437" customFormat="1" x14ac:dyDescent="0.3">
      <c r="B26" s="4316" t="s">
        <v>607</v>
      </c>
      <c r="C26" s="4285"/>
      <c r="D26" s="5338" t="s">
        <v>253</v>
      </c>
      <c r="E26" s="4317">
        <f>A.Lecheros!F370</f>
        <v>0</v>
      </c>
      <c r="F26" s="4318">
        <f>A.Lecheros!G370</f>
        <v>0</v>
      </c>
      <c r="G26" s="4318">
        <f>A.Lecheros!H370</f>
        <v>0</v>
      </c>
      <c r="H26" s="4318">
        <f>A.Lecheros!I370</f>
        <v>0</v>
      </c>
      <c r="I26" s="4318">
        <f>A.Lecheros!J370</f>
        <v>0</v>
      </c>
      <c r="J26" s="4318">
        <f>A.Lecheros!K370</f>
        <v>0</v>
      </c>
      <c r="K26" s="4318">
        <f>A.Lecheros!L370</f>
        <v>0</v>
      </c>
      <c r="L26" s="4318">
        <f>A.Lecheros!M370</f>
        <v>0</v>
      </c>
      <c r="M26" s="4317">
        <f>A.Lecheros!N370</f>
        <v>0</v>
      </c>
      <c r="N26" s="4318">
        <f>A.Lecheros!O370</f>
        <v>0</v>
      </c>
      <c r="O26" s="4318">
        <f>A.Lecheros!P370</f>
        <v>0</v>
      </c>
      <c r="P26" s="4319">
        <f>A.Lecheros!Q370</f>
        <v>0</v>
      </c>
      <c r="Q26" s="4322"/>
      <c r="R26" s="3438">
        <f>+IF(D26=General!B179,Ingresos!P26,0)</f>
        <v>0</v>
      </c>
      <c r="S26" s="3438">
        <f>+IF(Ingresos!D26=General!B180,P26+O26,0)</f>
        <v>0</v>
      </c>
      <c r="T26" s="3438">
        <f t="shared" si="7"/>
        <v>0</v>
      </c>
      <c r="U26" s="3436"/>
    </row>
    <row r="27" spans="1:24" s="3437" customFormat="1" x14ac:dyDescent="0.3">
      <c r="B27" s="4316" t="s">
        <v>386</v>
      </c>
      <c r="C27" s="4285"/>
      <c r="D27" s="5338" t="s">
        <v>253</v>
      </c>
      <c r="E27" s="4317">
        <f>A.Lecheros!F372</f>
        <v>0</v>
      </c>
      <c r="F27" s="4318">
        <f>A.Lecheros!G372</f>
        <v>0</v>
      </c>
      <c r="G27" s="4318">
        <f>A.Lecheros!H372</f>
        <v>0</v>
      </c>
      <c r="H27" s="4318">
        <f>A.Lecheros!I372</f>
        <v>0</v>
      </c>
      <c r="I27" s="4318">
        <f>A.Lecheros!J372</f>
        <v>0</v>
      </c>
      <c r="J27" s="4318">
        <f>A.Lecheros!K372</f>
        <v>0</v>
      </c>
      <c r="K27" s="4318">
        <f>A.Lecheros!L372</f>
        <v>0</v>
      </c>
      <c r="L27" s="4318">
        <f>A.Lecheros!M372</f>
        <v>0</v>
      </c>
      <c r="M27" s="4317">
        <f>A.Lecheros!N372</f>
        <v>0</v>
      </c>
      <c r="N27" s="4318">
        <f>A.Lecheros!O372</f>
        <v>0</v>
      </c>
      <c r="O27" s="4318">
        <f>A.Lecheros!P372</f>
        <v>0</v>
      </c>
      <c r="P27" s="4319">
        <f>A.Lecheros!Q372</f>
        <v>0</v>
      </c>
      <c r="Q27" s="4322"/>
      <c r="R27" s="3438">
        <f>+IF(D27=General!B180,Ingresos!P27,0)</f>
        <v>0</v>
      </c>
      <c r="S27" s="3438">
        <f>+IF(Ingresos!D27=General!B181,P27+O27,0)</f>
        <v>0</v>
      </c>
      <c r="T27" s="3438">
        <f t="shared" si="7"/>
        <v>0</v>
      </c>
      <c r="U27" s="3436"/>
    </row>
    <row r="28" spans="1:24" s="3437" customFormat="1" x14ac:dyDescent="0.3">
      <c r="B28" s="4316" t="s">
        <v>385</v>
      </c>
      <c r="C28" s="4285"/>
      <c r="D28" s="5338" t="s">
        <v>253</v>
      </c>
      <c r="E28" s="4317">
        <f>A.Lecheros!F373</f>
        <v>0</v>
      </c>
      <c r="F28" s="4318">
        <f>A.Lecheros!G373</f>
        <v>0</v>
      </c>
      <c r="G28" s="4318">
        <f>A.Lecheros!H373</f>
        <v>0</v>
      </c>
      <c r="H28" s="4318">
        <f>A.Lecheros!I373</f>
        <v>0</v>
      </c>
      <c r="I28" s="4318">
        <f>A.Lecheros!J373</f>
        <v>0</v>
      </c>
      <c r="J28" s="4318">
        <f>A.Lecheros!K373</f>
        <v>0</v>
      </c>
      <c r="K28" s="4318">
        <f>A.Lecheros!L373</f>
        <v>0</v>
      </c>
      <c r="L28" s="4318">
        <f>A.Lecheros!M373</f>
        <v>0</v>
      </c>
      <c r="M28" s="4317">
        <f>A.Lecheros!N373</f>
        <v>0</v>
      </c>
      <c r="N28" s="4318">
        <f>A.Lecheros!O373</f>
        <v>0</v>
      </c>
      <c r="O28" s="4318">
        <f>A.Lecheros!P373</f>
        <v>0</v>
      </c>
      <c r="P28" s="4319">
        <f>A.Lecheros!Q373</f>
        <v>0</v>
      </c>
      <c r="Q28" s="4322"/>
      <c r="R28" s="3438">
        <f>+IF(D28=General!B181,Ingresos!P28,0)</f>
        <v>0</v>
      </c>
      <c r="S28" s="3438">
        <f>+IF(Ingresos!D28=General!B182,P28+O28,0)</f>
        <v>0</v>
      </c>
      <c r="T28" s="3438">
        <f t="shared" si="7"/>
        <v>0</v>
      </c>
      <c r="U28" s="3436"/>
    </row>
    <row r="29" spans="1:24" s="3437" customFormat="1" x14ac:dyDescent="0.3">
      <c r="B29" s="4316" t="s">
        <v>1129</v>
      </c>
      <c r="C29" s="4285"/>
      <c r="D29" s="5338" t="s">
        <v>253</v>
      </c>
      <c r="E29" s="4317">
        <f>A.Lecheros!F374</f>
        <v>0</v>
      </c>
      <c r="F29" s="4318">
        <f>A.Lecheros!G374</f>
        <v>0</v>
      </c>
      <c r="G29" s="4318">
        <f>A.Lecheros!H374</f>
        <v>0</v>
      </c>
      <c r="H29" s="4318">
        <f>A.Lecheros!I374</f>
        <v>0</v>
      </c>
      <c r="I29" s="4318">
        <f>A.Lecheros!J374</f>
        <v>0</v>
      </c>
      <c r="J29" s="4318">
        <f>A.Lecheros!K374</f>
        <v>0</v>
      </c>
      <c r="K29" s="4318">
        <f>A.Lecheros!L374</f>
        <v>0</v>
      </c>
      <c r="L29" s="4318">
        <f>A.Lecheros!M374</f>
        <v>0</v>
      </c>
      <c r="M29" s="4317">
        <f>A.Lecheros!N374</f>
        <v>0</v>
      </c>
      <c r="N29" s="4318">
        <f>A.Lecheros!O374</f>
        <v>0</v>
      </c>
      <c r="O29" s="4318">
        <f>A.Lecheros!P374</f>
        <v>0</v>
      </c>
      <c r="P29" s="4319">
        <f>A.Lecheros!Q374</f>
        <v>0</v>
      </c>
      <c r="Q29" s="4322"/>
      <c r="R29" s="3438">
        <f>+IF(D29=General!B182,Ingresos!P29,0)</f>
        <v>0</v>
      </c>
      <c r="S29" s="3438">
        <f>+IF(Ingresos!D29=General!B183,P29+O29,0)</f>
        <v>0</v>
      </c>
      <c r="T29" s="3438">
        <f t="shared" si="7"/>
        <v>0</v>
      </c>
      <c r="U29" s="3436"/>
    </row>
    <row r="30" spans="1:24" s="3452" customFormat="1" x14ac:dyDescent="0.3">
      <c r="B30" s="4323" t="s">
        <v>1839</v>
      </c>
      <c r="C30" s="4324"/>
      <c r="D30" s="5338" t="s">
        <v>252</v>
      </c>
      <c r="E30" s="4325">
        <f>A.Lecheros!F375</f>
        <v>0</v>
      </c>
      <c r="F30" s="4326">
        <f>A.Lecheros!G375</f>
        <v>0</v>
      </c>
      <c r="G30" s="4326">
        <f>A.Lecheros!H375</f>
        <v>0</v>
      </c>
      <c r="H30" s="4326">
        <f>A.Lecheros!I375</f>
        <v>0</v>
      </c>
      <c r="I30" s="4326">
        <f>A.Lecheros!J375</f>
        <v>0</v>
      </c>
      <c r="J30" s="4326">
        <f>A.Lecheros!K375</f>
        <v>0</v>
      </c>
      <c r="K30" s="4326">
        <f>A.Lecheros!L375</f>
        <v>0</v>
      </c>
      <c r="L30" s="4326">
        <f>A.Lecheros!M375</f>
        <v>0</v>
      </c>
      <c r="M30" s="4325">
        <f>A.Lecheros!N375</f>
        <v>0</v>
      </c>
      <c r="N30" s="4326">
        <f>A.Lecheros!O375</f>
        <v>0</v>
      </c>
      <c r="O30" s="4326">
        <f>A.Lecheros!P375</f>
        <v>0</v>
      </c>
      <c r="P30" s="4327">
        <f>A.Lecheros!Q375</f>
        <v>0</v>
      </c>
      <c r="Q30" s="4328"/>
      <c r="R30" s="3438">
        <f>+IF(D30=General!B183,Ingresos!P30,0)</f>
        <v>0</v>
      </c>
      <c r="S30" s="3438">
        <f>+IF(Ingresos!D30=General!B184,P30+O30,0)</f>
        <v>0</v>
      </c>
      <c r="T30" s="3438">
        <f t="shared" si="7"/>
        <v>0</v>
      </c>
      <c r="U30" s="3436"/>
    </row>
    <row r="31" spans="1:24" s="3452" customFormat="1" x14ac:dyDescent="0.3">
      <c r="B31" s="4323" t="s">
        <v>1840</v>
      </c>
      <c r="C31" s="4324"/>
      <c r="D31" s="4329"/>
      <c r="E31" s="4325">
        <f>A.Lecheros!F376</f>
        <v>0</v>
      </c>
      <c r="F31" s="4325">
        <f>A.Lecheros!G376</f>
        <v>0</v>
      </c>
      <c r="G31" s="4325">
        <f>A.Lecheros!H376</f>
        <v>0</v>
      </c>
      <c r="H31" s="4325">
        <f>A.Lecheros!I376</f>
        <v>0</v>
      </c>
      <c r="I31" s="4325">
        <f>A.Lecheros!J376</f>
        <v>0</v>
      </c>
      <c r="J31" s="4325">
        <f>A.Lecheros!K376</f>
        <v>0</v>
      </c>
      <c r="K31" s="4325">
        <f>A.Lecheros!L376</f>
        <v>0</v>
      </c>
      <c r="L31" s="4325">
        <f>A.Lecheros!M376</f>
        <v>0</v>
      </c>
      <c r="M31" s="4325">
        <f>A.Lecheros!N376</f>
        <v>0</v>
      </c>
      <c r="N31" s="4325">
        <f>A.Lecheros!O376</f>
        <v>0</v>
      </c>
      <c r="O31" s="4325">
        <f>A.Lecheros!P376</f>
        <v>0</v>
      </c>
      <c r="P31" s="4330">
        <f>A.Lecheros!Q376</f>
        <v>0</v>
      </c>
      <c r="Q31" s="4328"/>
      <c r="R31" s="3438">
        <f>+IF(D31=General!B184,Ingresos!P31,0)</f>
        <v>0</v>
      </c>
      <c r="S31" s="3438">
        <f>+IF(Ingresos!D31=General!B185,P31+O31,0)</f>
        <v>0</v>
      </c>
      <c r="T31" s="3438">
        <f t="shared" si="7"/>
        <v>0</v>
      </c>
      <c r="U31" s="3436"/>
    </row>
    <row r="32" spans="1:24" s="3437" customFormat="1" x14ac:dyDescent="0.3">
      <c r="B32" s="4316" t="s">
        <v>1486</v>
      </c>
      <c r="C32" s="4331" t="s">
        <v>629</v>
      </c>
      <c r="D32" s="4329"/>
      <c r="E32" s="4317">
        <f>A.Lecheros!F364</f>
        <v>0</v>
      </c>
      <c r="F32" s="4318">
        <f>A.Lecheros!G364</f>
        <v>0</v>
      </c>
      <c r="G32" s="4318">
        <f>A.Lecheros!H364</f>
        <v>0</v>
      </c>
      <c r="H32" s="4318">
        <f>A.Lecheros!I364</f>
        <v>0</v>
      </c>
      <c r="I32" s="4318">
        <f>A.Lecheros!J364</f>
        <v>0</v>
      </c>
      <c r="J32" s="4318">
        <f>A.Lecheros!K364</f>
        <v>0</v>
      </c>
      <c r="K32" s="4318">
        <f>A.Lecheros!L364</f>
        <v>0</v>
      </c>
      <c r="L32" s="4318">
        <f>A.Lecheros!M364</f>
        <v>0</v>
      </c>
      <c r="M32" s="4317">
        <f>A.Lecheros!N364</f>
        <v>0</v>
      </c>
      <c r="N32" s="4318">
        <f>A.Lecheros!O364</f>
        <v>0</v>
      </c>
      <c r="O32" s="4318">
        <f>A.Lecheros!P364</f>
        <v>0</v>
      </c>
      <c r="P32" s="4319">
        <f>A.Lecheros!Q364</f>
        <v>0</v>
      </c>
      <c r="Q32" s="4322"/>
      <c r="R32" s="3438">
        <f>+IF(D32=General!B185,Ingresos!P32,0)</f>
        <v>0</v>
      </c>
      <c r="S32" s="3438">
        <f>+IF(Ingresos!D32=General!B186,P32+O32,0)</f>
        <v>0</v>
      </c>
      <c r="T32" s="3438">
        <f t="shared" si="7"/>
        <v>0</v>
      </c>
      <c r="U32" s="3436"/>
    </row>
    <row r="33" spans="2:20" ht="15.05" thickBot="1" x14ac:dyDescent="0.35">
      <c r="B33" s="4332" t="s">
        <v>490</v>
      </c>
      <c r="C33" s="4333"/>
      <c r="D33" s="5339" t="s">
        <v>253</v>
      </c>
      <c r="E33" s="4334">
        <f>+A.Lecheros!F377</f>
        <v>0</v>
      </c>
      <c r="F33" s="4335">
        <f>+A.Lecheros!G377</f>
        <v>0</v>
      </c>
      <c r="G33" s="4335">
        <f>+A.Lecheros!H377</f>
        <v>0</v>
      </c>
      <c r="H33" s="4335">
        <f>+A.Lecheros!I377</f>
        <v>0</v>
      </c>
      <c r="I33" s="4335">
        <f>+A.Lecheros!J377</f>
        <v>0</v>
      </c>
      <c r="J33" s="4335">
        <f>+A.Lecheros!K377</f>
        <v>0</v>
      </c>
      <c r="K33" s="4335">
        <f>+A.Lecheros!L377</f>
        <v>0</v>
      </c>
      <c r="L33" s="4335">
        <f>+A.Lecheros!M377</f>
        <v>0</v>
      </c>
      <c r="M33" s="4334">
        <f>+A.Lecheros!N377</f>
        <v>0</v>
      </c>
      <c r="N33" s="4335">
        <f>+A.Lecheros!O377</f>
        <v>0</v>
      </c>
      <c r="O33" s="4335">
        <f>+A.Lecheros!P377</f>
        <v>0</v>
      </c>
      <c r="P33" s="4336">
        <f>+A.Lecheros!Q377</f>
        <v>0</v>
      </c>
      <c r="Q33" s="4315"/>
      <c r="R33" s="3438">
        <f>+IF(D33=General!B186,Ingresos!P33,0)</f>
        <v>0</v>
      </c>
      <c r="S33" s="3438">
        <f>+IF(Ingresos!D33=General!B187,P33+O33,0)</f>
        <v>0</v>
      </c>
      <c r="T33" s="3438">
        <f t="shared" si="7"/>
        <v>0</v>
      </c>
    </row>
    <row r="34" spans="2:20" x14ac:dyDescent="0.3">
      <c r="B34" s="4337" t="s">
        <v>411</v>
      </c>
      <c r="C34" s="4338"/>
      <c r="D34" s="4339"/>
      <c r="E34" s="4340">
        <f>SUM(E20:E33)</f>
        <v>0</v>
      </c>
      <c r="F34" s="4341">
        <f t="shared" ref="F34:P34" si="8">SUM(F20:F33)</f>
        <v>0</v>
      </c>
      <c r="G34" s="4341">
        <f t="shared" si="8"/>
        <v>0</v>
      </c>
      <c r="H34" s="4341">
        <f t="shared" si="8"/>
        <v>0</v>
      </c>
      <c r="I34" s="4341">
        <f t="shared" si="8"/>
        <v>0</v>
      </c>
      <c r="J34" s="4341">
        <f t="shared" si="8"/>
        <v>0</v>
      </c>
      <c r="K34" s="4341">
        <f t="shared" si="8"/>
        <v>0</v>
      </c>
      <c r="L34" s="4341">
        <f t="shared" si="8"/>
        <v>0</v>
      </c>
      <c r="M34" s="4340">
        <f t="shared" si="8"/>
        <v>0</v>
      </c>
      <c r="N34" s="4341">
        <f t="shared" si="8"/>
        <v>0</v>
      </c>
      <c r="O34" s="4341">
        <f t="shared" si="8"/>
        <v>0</v>
      </c>
      <c r="P34" s="4342">
        <f t="shared" si="8"/>
        <v>0</v>
      </c>
      <c r="Q34" s="4301">
        <f>+SUM(E34:P34)</f>
        <v>0</v>
      </c>
      <c r="T34" s="4310">
        <f>+SUM(T20:T33)</f>
        <v>0</v>
      </c>
    </row>
    <row r="35" spans="2:20" ht="15.05" thickBot="1" x14ac:dyDescent="0.35">
      <c r="B35" s="4343" t="s">
        <v>2381</v>
      </c>
      <c r="C35" s="4344"/>
      <c r="D35" s="4345"/>
      <c r="E35" s="4346">
        <f t="shared" ref="E35:P35" si="9">SUM(E38:E75)</f>
        <v>0</v>
      </c>
      <c r="F35" s="4347">
        <f t="shared" si="9"/>
        <v>0</v>
      </c>
      <c r="G35" s="4347">
        <f t="shared" si="9"/>
        <v>0</v>
      </c>
      <c r="H35" s="4347">
        <f t="shared" si="9"/>
        <v>0</v>
      </c>
      <c r="I35" s="4347">
        <f t="shared" si="9"/>
        <v>0</v>
      </c>
      <c r="J35" s="4347">
        <f t="shared" si="9"/>
        <v>0</v>
      </c>
      <c r="K35" s="4347">
        <f t="shared" si="9"/>
        <v>0</v>
      </c>
      <c r="L35" s="4347">
        <f t="shared" si="9"/>
        <v>0</v>
      </c>
      <c r="M35" s="4346">
        <f t="shared" si="9"/>
        <v>0</v>
      </c>
      <c r="N35" s="4347">
        <f t="shared" si="9"/>
        <v>0</v>
      </c>
      <c r="O35" s="4347">
        <f t="shared" si="9"/>
        <v>0</v>
      </c>
      <c r="P35" s="4348">
        <f t="shared" si="9"/>
        <v>0</v>
      </c>
      <c r="Q35" s="4308">
        <f>+SUM(E35:P35)</f>
        <v>0</v>
      </c>
    </row>
    <row r="36" spans="2:20" hidden="1" x14ac:dyDescent="0.3">
      <c r="B36" s="4349" t="s">
        <v>1125</v>
      </c>
      <c r="C36" s="4295"/>
      <c r="D36" s="4295"/>
      <c r="E36" s="3724"/>
      <c r="F36" s="3724"/>
      <c r="G36" s="3724"/>
      <c r="H36" s="3724"/>
      <c r="I36" s="3724"/>
      <c r="J36" s="3724"/>
      <c r="K36" s="3724"/>
      <c r="L36" s="3724"/>
      <c r="M36" s="3724"/>
      <c r="N36" s="3724"/>
      <c r="O36" s="3724"/>
      <c r="P36" s="3724"/>
    </row>
    <row r="37" spans="2:20" hidden="1" x14ac:dyDescent="0.3">
      <c r="B37" s="4350" t="s">
        <v>407</v>
      </c>
      <c r="C37" s="4351"/>
      <c r="D37" s="4351"/>
      <c r="E37" s="4352"/>
      <c r="F37" s="4352"/>
      <c r="G37" s="4352"/>
      <c r="H37" s="4352"/>
      <c r="I37" s="4352"/>
      <c r="J37" s="4352"/>
      <c r="K37" s="4352"/>
      <c r="L37" s="4352"/>
      <c r="M37" s="4352"/>
      <c r="N37" s="4352"/>
      <c r="O37" s="4352"/>
      <c r="P37" s="4352"/>
    </row>
    <row r="38" spans="2:20" hidden="1" x14ac:dyDescent="0.3">
      <c r="B38" s="4291" t="str">
        <f t="shared" ref="B38:B48" si="10">B20</f>
        <v>Vacas en Ordeñe</v>
      </c>
      <c r="C38" s="4292"/>
      <c r="D38" s="4292"/>
      <c r="E38" s="4353">
        <f t="shared" ref="E38:P38" si="11">IF($D$20="Contado",E20,0)</f>
        <v>0</v>
      </c>
      <c r="F38" s="4353">
        <f t="shared" si="11"/>
        <v>0</v>
      </c>
      <c r="G38" s="4353">
        <f t="shared" si="11"/>
        <v>0</v>
      </c>
      <c r="H38" s="4353">
        <f t="shared" si="11"/>
        <v>0</v>
      </c>
      <c r="I38" s="4353">
        <f t="shared" si="11"/>
        <v>0</v>
      </c>
      <c r="J38" s="4353">
        <f t="shared" si="11"/>
        <v>0</v>
      </c>
      <c r="K38" s="4353">
        <f t="shared" si="11"/>
        <v>0</v>
      </c>
      <c r="L38" s="4353">
        <f t="shared" si="11"/>
        <v>0</v>
      </c>
      <c r="M38" s="4353">
        <f t="shared" si="11"/>
        <v>0</v>
      </c>
      <c r="N38" s="4353">
        <f t="shared" si="11"/>
        <v>0</v>
      </c>
      <c r="O38" s="4353">
        <f t="shared" si="11"/>
        <v>0</v>
      </c>
      <c r="P38" s="4353">
        <f t="shared" si="11"/>
        <v>0</v>
      </c>
    </row>
    <row r="39" spans="2:20" hidden="1" x14ac:dyDescent="0.3">
      <c r="B39" s="4291" t="str">
        <f t="shared" si="10"/>
        <v>Vacas Secas</v>
      </c>
      <c r="C39" s="4292"/>
      <c r="D39" s="4292"/>
      <c r="E39" s="4353">
        <f t="shared" ref="E39:P39" si="12">IF($D$21="Contado",E21,0)</f>
        <v>0</v>
      </c>
      <c r="F39" s="4353">
        <f t="shared" si="12"/>
        <v>0</v>
      </c>
      <c r="G39" s="4353">
        <f t="shared" si="12"/>
        <v>0</v>
      </c>
      <c r="H39" s="4353">
        <f t="shared" si="12"/>
        <v>0</v>
      </c>
      <c r="I39" s="4353">
        <f t="shared" si="12"/>
        <v>0</v>
      </c>
      <c r="J39" s="4353">
        <f t="shared" si="12"/>
        <v>0</v>
      </c>
      <c r="K39" s="4353">
        <f t="shared" si="12"/>
        <v>0</v>
      </c>
      <c r="L39" s="4353">
        <f t="shared" si="12"/>
        <v>0</v>
      </c>
      <c r="M39" s="4353">
        <f t="shared" si="12"/>
        <v>0</v>
      </c>
      <c r="N39" s="4353">
        <f t="shared" si="12"/>
        <v>0</v>
      </c>
      <c r="O39" s="4353">
        <f t="shared" si="12"/>
        <v>0</v>
      </c>
      <c r="P39" s="4353">
        <f t="shared" si="12"/>
        <v>0</v>
      </c>
    </row>
    <row r="40" spans="2:20" hidden="1" x14ac:dyDescent="0.3">
      <c r="B40" s="4291" t="str">
        <f t="shared" si="10"/>
        <v>Vaquillonas preñadas a parir en el 1er trimestre</v>
      </c>
      <c r="C40" s="4292"/>
      <c r="D40" s="4292"/>
      <c r="E40" s="4353">
        <f t="shared" ref="E40:P40" si="13">IF($D$22="Contado",E22,0)</f>
        <v>0</v>
      </c>
      <c r="F40" s="4353">
        <f t="shared" si="13"/>
        <v>0</v>
      </c>
      <c r="G40" s="4353">
        <f t="shared" si="13"/>
        <v>0</v>
      </c>
      <c r="H40" s="4353">
        <f t="shared" si="13"/>
        <v>0</v>
      </c>
      <c r="I40" s="4353">
        <f t="shared" si="13"/>
        <v>0</v>
      </c>
      <c r="J40" s="4353">
        <f t="shared" si="13"/>
        <v>0</v>
      </c>
      <c r="K40" s="4353">
        <f t="shared" si="13"/>
        <v>0</v>
      </c>
      <c r="L40" s="4353">
        <f t="shared" si="13"/>
        <v>0</v>
      </c>
      <c r="M40" s="4353">
        <f t="shared" si="13"/>
        <v>0</v>
      </c>
      <c r="N40" s="4353">
        <f t="shared" si="13"/>
        <v>0</v>
      </c>
      <c r="O40" s="4353">
        <f t="shared" si="13"/>
        <v>0</v>
      </c>
      <c r="P40" s="4353">
        <f t="shared" si="13"/>
        <v>0</v>
      </c>
    </row>
    <row r="41" spans="2:20" hidden="1" x14ac:dyDescent="0.3">
      <c r="B41" s="4291" t="str">
        <f t="shared" si="10"/>
        <v>Vaquillonas preñadas a parir en el 2do trimestre</v>
      </c>
      <c r="C41" s="4292"/>
      <c r="D41" s="4292"/>
      <c r="E41" s="4353">
        <f t="shared" ref="E41:P41" si="14">IF($D$23="Contado",E23,0)</f>
        <v>0</v>
      </c>
      <c r="F41" s="4353">
        <f t="shared" si="14"/>
        <v>0</v>
      </c>
      <c r="G41" s="4353">
        <f t="shared" si="14"/>
        <v>0</v>
      </c>
      <c r="H41" s="4353">
        <f t="shared" si="14"/>
        <v>0</v>
      </c>
      <c r="I41" s="4353">
        <f t="shared" si="14"/>
        <v>0</v>
      </c>
      <c r="J41" s="4353">
        <f t="shared" si="14"/>
        <v>0</v>
      </c>
      <c r="K41" s="4353">
        <f t="shared" si="14"/>
        <v>0</v>
      </c>
      <c r="L41" s="4353">
        <f t="shared" si="14"/>
        <v>0</v>
      </c>
      <c r="M41" s="4353">
        <f t="shared" si="14"/>
        <v>0</v>
      </c>
      <c r="N41" s="4353">
        <f t="shared" si="14"/>
        <v>0</v>
      </c>
      <c r="O41" s="4353">
        <f t="shared" si="14"/>
        <v>0</v>
      </c>
      <c r="P41" s="4353">
        <f t="shared" si="14"/>
        <v>0</v>
      </c>
    </row>
    <row r="42" spans="2:20" hidden="1" x14ac:dyDescent="0.3">
      <c r="B42" s="4291" t="str">
        <f t="shared" si="10"/>
        <v>Vaquillonas preñadas a parir en el 3er trimestre</v>
      </c>
      <c r="C42" s="4292"/>
      <c r="D42" s="4292"/>
      <c r="E42" s="4353">
        <f t="shared" ref="E42:P42" si="15">IF($D$24="Contado",E24,0)</f>
        <v>0</v>
      </c>
      <c r="F42" s="4353">
        <f t="shared" si="15"/>
        <v>0</v>
      </c>
      <c r="G42" s="4353">
        <f t="shared" si="15"/>
        <v>0</v>
      </c>
      <c r="H42" s="4353">
        <f t="shared" si="15"/>
        <v>0</v>
      </c>
      <c r="I42" s="4353">
        <f t="shared" si="15"/>
        <v>0</v>
      </c>
      <c r="J42" s="4353">
        <f t="shared" si="15"/>
        <v>0</v>
      </c>
      <c r="K42" s="4353">
        <f t="shared" si="15"/>
        <v>0</v>
      </c>
      <c r="L42" s="4353">
        <f t="shared" si="15"/>
        <v>0</v>
      </c>
      <c r="M42" s="4353">
        <f t="shared" si="15"/>
        <v>0</v>
      </c>
      <c r="N42" s="4353">
        <f t="shared" si="15"/>
        <v>0</v>
      </c>
      <c r="O42" s="4353">
        <f t="shared" si="15"/>
        <v>0</v>
      </c>
      <c r="P42" s="4353">
        <f t="shared" si="15"/>
        <v>0</v>
      </c>
    </row>
    <row r="43" spans="2:20" hidden="1" x14ac:dyDescent="0.3">
      <c r="B43" s="4291" t="str">
        <f t="shared" si="10"/>
        <v>Vaquillonas preñadas a parir en el 4to trimestre</v>
      </c>
      <c r="C43" s="4292"/>
      <c r="D43" s="4292"/>
      <c r="E43" s="4353">
        <f t="shared" ref="E43:P43" si="16">IF($D$25="Contado",E25,0)</f>
        <v>0</v>
      </c>
      <c r="F43" s="4353">
        <f t="shared" si="16"/>
        <v>0</v>
      </c>
      <c r="G43" s="4353">
        <f t="shared" si="16"/>
        <v>0</v>
      </c>
      <c r="H43" s="4353">
        <f t="shared" si="16"/>
        <v>0</v>
      </c>
      <c r="I43" s="4353">
        <f t="shared" si="16"/>
        <v>0</v>
      </c>
      <c r="J43" s="4353">
        <f t="shared" si="16"/>
        <v>0</v>
      </c>
      <c r="K43" s="4353">
        <f t="shared" si="16"/>
        <v>0</v>
      </c>
      <c r="L43" s="4353">
        <f t="shared" si="16"/>
        <v>0</v>
      </c>
      <c r="M43" s="4353">
        <f t="shared" si="16"/>
        <v>0</v>
      </c>
      <c r="N43" s="4353">
        <f t="shared" si="16"/>
        <v>0</v>
      </c>
      <c r="O43" s="4353">
        <f t="shared" si="16"/>
        <v>0</v>
      </c>
      <c r="P43" s="4353">
        <f t="shared" si="16"/>
        <v>0</v>
      </c>
    </row>
    <row r="44" spans="2:20" hidden="1" x14ac:dyDescent="0.3">
      <c r="B44" s="4291" t="str">
        <f t="shared" si="10"/>
        <v>Vaquillonas</v>
      </c>
      <c r="C44" s="4292"/>
      <c r="D44" s="4292"/>
      <c r="E44" s="4353">
        <f t="shared" ref="E44:P44" si="17">IF($D$26="Contado",E26,0)</f>
        <v>0</v>
      </c>
      <c r="F44" s="4353">
        <f t="shared" si="17"/>
        <v>0</v>
      </c>
      <c r="G44" s="4353">
        <f t="shared" si="17"/>
        <v>0</v>
      </c>
      <c r="H44" s="4353">
        <f t="shared" si="17"/>
        <v>0</v>
      </c>
      <c r="I44" s="4353">
        <f t="shared" si="17"/>
        <v>0</v>
      </c>
      <c r="J44" s="4353">
        <f t="shared" si="17"/>
        <v>0</v>
      </c>
      <c r="K44" s="4353">
        <f t="shared" si="17"/>
        <v>0</v>
      </c>
      <c r="L44" s="4353">
        <f t="shared" si="17"/>
        <v>0</v>
      </c>
      <c r="M44" s="4353">
        <f t="shared" si="17"/>
        <v>0</v>
      </c>
      <c r="N44" s="4353">
        <f t="shared" si="17"/>
        <v>0</v>
      </c>
      <c r="O44" s="4353">
        <f t="shared" si="17"/>
        <v>0</v>
      </c>
      <c r="P44" s="4353">
        <f t="shared" si="17"/>
        <v>0</v>
      </c>
    </row>
    <row r="45" spans="2:20" hidden="1" x14ac:dyDescent="0.3">
      <c r="B45" s="4291" t="str">
        <f t="shared" si="10"/>
        <v xml:space="preserve">Terneras &gt; 6 meses </v>
      </c>
      <c r="C45" s="4292"/>
      <c r="D45" s="4292"/>
      <c r="E45" s="4353">
        <f t="shared" ref="E45:P45" si="18">IF($D$27="Contado",E27,0)</f>
        <v>0</v>
      </c>
      <c r="F45" s="4353">
        <f t="shared" si="18"/>
        <v>0</v>
      </c>
      <c r="G45" s="4353">
        <f t="shared" si="18"/>
        <v>0</v>
      </c>
      <c r="H45" s="4353">
        <f t="shared" si="18"/>
        <v>0</v>
      </c>
      <c r="I45" s="4353">
        <f t="shared" si="18"/>
        <v>0</v>
      </c>
      <c r="J45" s="4353">
        <f t="shared" si="18"/>
        <v>0</v>
      </c>
      <c r="K45" s="4353">
        <f t="shared" si="18"/>
        <v>0</v>
      </c>
      <c r="L45" s="4353">
        <f t="shared" si="18"/>
        <v>0</v>
      </c>
      <c r="M45" s="4353">
        <f t="shared" si="18"/>
        <v>0</v>
      </c>
      <c r="N45" s="4353">
        <f t="shared" si="18"/>
        <v>0</v>
      </c>
      <c r="O45" s="4353">
        <f t="shared" si="18"/>
        <v>0</v>
      </c>
      <c r="P45" s="4353">
        <f t="shared" si="18"/>
        <v>0</v>
      </c>
    </row>
    <row r="46" spans="2:20" hidden="1" x14ac:dyDescent="0.3">
      <c r="B46" s="4291" t="str">
        <f t="shared" si="10"/>
        <v>Terneras &gt; 2 meses &lt; 6 meses</v>
      </c>
      <c r="C46" s="4292"/>
      <c r="D46" s="4292"/>
      <c r="E46" s="4353">
        <f t="shared" ref="E46:P46" si="19">IF($D$28="Contado",E28,0)</f>
        <v>0</v>
      </c>
      <c r="F46" s="4353">
        <f t="shared" si="19"/>
        <v>0</v>
      </c>
      <c r="G46" s="4353">
        <f t="shared" si="19"/>
        <v>0</v>
      </c>
      <c r="H46" s="4353">
        <f t="shared" si="19"/>
        <v>0</v>
      </c>
      <c r="I46" s="4353">
        <f t="shared" si="19"/>
        <v>0</v>
      </c>
      <c r="J46" s="4353">
        <f t="shared" si="19"/>
        <v>0</v>
      </c>
      <c r="K46" s="4353">
        <f t="shared" si="19"/>
        <v>0</v>
      </c>
      <c r="L46" s="4353">
        <f t="shared" si="19"/>
        <v>0</v>
      </c>
      <c r="M46" s="4353">
        <f t="shared" si="19"/>
        <v>0</v>
      </c>
      <c r="N46" s="4353">
        <f t="shared" si="19"/>
        <v>0</v>
      </c>
      <c r="O46" s="4353">
        <f t="shared" si="19"/>
        <v>0</v>
      </c>
      <c r="P46" s="4353">
        <f t="shared" si="19"/>
        <v>0</v>
      </c>
    </row>
    <row r="47" spans="2:20" hidden="1" x14ac:dyDescent="0.3">
      <c r="B47" s="4291" t="str">
        <f t="shared" si="10"/>
        <v>Terneras Lactantes (&lt;2 m)</v>
      </c>
      <c r="C47" s="4292"/>
      <c r="D47" s="4292"/>
      <c r="E47" s="4353">
        <f t="shared" ref="E47:P47" si="20">IF($D$29="Contado",E29,0)</f>
        <v>0</v>
      </c>
      <c r="F47" s="4353">
        <f t="shared" si="20"/>
        <v>0</v>
      </c>
      <c r="G47" s="4353">
        <f t="shared" si="20"/>
        <v>0</v>
      </c>
      <c r="H47" s="4353">
        <f t="shared" si="20"/>
        <v>0</v>
      </c>
      <c r="I47" s="4353">
        <f t="shared" si="20"/>
        <v>0</v>
      </c>
      <c r="J47" s="4353">
        <f t="shared" si="20"/>
        <v>0</v>
      </c>
      <c r="K47" s="4353">
        <f t="shared" si="20"/>
        <v>0</v>
      </c>
      <c r="L47" s="4353">
        <f t="shared" si="20"/>
        <v>0</v>
      </c>
      <c r="M47" s="4353">
        <f t="shared" si="20"/>
        <v>0</v>
      </c>
      <c r="N47" s="4353">
        <f t="shared" si="20"/>
        <v>0</v>
      </c>
      <c r="O47" s="4353">
        <f t="shared" si="20"/>
        <v>0</v>
      </c>
      <c r="P47" s="4353">
        <f t="shared" si="20"/>
        <v>0</v>
      </c>
    </row>
    <row r="48" spans="2:20" hidden="1" x14ac:dyDescent="0.3">
      <c r="B48" s="4291" t="str">
        <f t="shared" si="10"/>
        <v>Terneros Lactantes (&lt;2 m) - Venta</v>
      </c>
      <c r="C48" s="4292"/>
      <c r="D48" s="4292"/>
      <c r="E48" s="4353">
        <f>IF($D$30="Contado",E30,0)</f>
        <v>0</v>
      </c>
      <c r="F48" s="4353">
        <f t="shared" ref="F48:P48" si="21">IF($D$30="Contado",F30,0)</f>
        <v>0</v>
      </c>
      <c r="G48" s="4353">
        <f t="shared" si="21"/>
        <v>0</v>
      </c>
      <c r="H48" s="4353">
        <f t="shared" si="21"/>
        <v>0</v>
      </c>
      <c r="I48" s="4353">
        <f t="shared" si="21"/>
        <v>0</v>
      </c>
      <c r="J48" s="4353">
        <f t="shared" si="21"/>
        <v>0</v>
      </c>
      <c r="K48" s="4353">
        <f t="shared" si="21"/>
        <v>0</v>
      </c>
      <c r="L48" s="4353">
        <f t="shared" si="21"/>
        <v>0</v>
      </c>
      <c r="M48" s="4353">
        <f t="shared" si="21"/>
        <v>0</v>
      </c>
      <c r="N48" s="4353">
        <f t="shared" si="21"/>
        <v>0</v>
      </c>
      <c r="O48" s="4353">
        <f t="shared" si="21"/>
        <v>0</v>
      </c>
      <c r="P48" s="4353">
        <f t="shared" si="21"/>
        <v>0</v>
      </c>
    </row>
    <row r="49" spans="2:16" hidden="1" x14ac:dyDescent="0.3">
      <c r="B49" s="4291" t="str">
        <f>B33</f>
        <v>Toros</v>
      </c>
      <c r="C49" s="4292"/>
      <c r="D49" s="4292"/>
      <c r="E49" s="4353">
        <f t="shared" ref="E49:P49" si="22">IF($D$33="Contado",E33,0)</f>
        <v>0</v>
      </c>
      <c r="F49" s="4353">
        <f t="shared" si="22"/>
        <v>0</v>
      </c>
      <c r="G49" s="4353">
        <f t="shared" si="22"/>
        <v>0</v>
      </c>
      <c r="H49" s="4353">
        <f t="shared" si="22"/>
        <v>0</v>
      </c>
      <c r="I49" s="4353">
        <f t="shared" si="22"/>
        <v>0</v>
      </c>
      <c r="J49" s="4353">
        <f t="shared" si="22"/>
        <v>0</v>
      </c>
      <c r="K49" s="4353">
        <f t="shared" si="22"/>
        <v>0</v>
      </c>
      <c r="L49" s="4353">
        <f t="shared" si="22"/>
        <v>0</v>
      </c>
      <c r="M49" s="4353">
        <f t="shared" si="22"/>
        <v>0</v>
      </c>
      <c r="N49" s="4353">
        <f t="shared" si="22"/>
        <v>0</v>
      </c>
      <c r="O49" s="4353">
        <f t="shared" si="22"/>
        <v>0</v>
      </c>
      <c r="P49" s="4353">
        <f t="shared" si="22"/>
        <v>0</v>
      </c>
    </row>
    <row r="50" spans="2:16" hidden="1" x14ac:dyDescent="0.3">
      <c r="B50" s="4350" t="s">
        <v>408</v>
      </c>
      <c r="C50" s="4351"/>
      <c r="D50" s="4351"/>
      <c r="E50" s="4352"/>
      <c r="F50" s="4352"/>
      <c r="G50" s="4352"/>
      <c r="H50" s="4352"/>
      <c r="I50" s="4352"/>
      <c r="J50" s="4352"/>
      <c r="K50" s="4352"/>
      <c r="L50" s="4352"/>
      <c r="M50" s="4352"/>
      <c r="N50" s="4352"/>
      <c r="O50" s="4352"/>
      <c r="P50" s="4352"/>
    </row>
    <row r="51" spans="2:16" hidden="1" x14ac:dyDescent="0.3">
      <c r="B51" s="4291" t="str">
        <f t="shared" ref="B51:B62" si="23">B38</f>
        <v>Vacas en Ordeñe</v>
      </c>
      <c r="C51" s="4292"/>
      <c r="D51" s="4292"/>
      <c r="E51" s="4353"/>
      <c r="F51" s="4353">
        <f t="shared" ref="F51:P51" si="24">IF($D$20="30 días",E20,0)</f>
        <v>0</v>
      </c>
      <c r="G51" s="4353">
        <f t="shared" si="24"/>
        <v>0</v>
      </c>
      <c r="H51" s="4353">
        <f t="shared" si="24"/>
        <v>0</v>
      </c>
      <c r="I51" s="4353">
        <f t="shared" si="24"/>
        <v>0</v>
      </c>
      <c r="J51" s="4353">
        <f t="shared" si="24"/>
        <v>0</v>
      </c>
      <c r="K51" s="4353">
        <f t="shared" si="24"/>
        <v>0</v>
      </c>
      <c r="L51" s="4353">
        <f t="shared" si="24"/>
        <v>0</v>
      </c>
      <c r="M51" s="4353">
        <f t="shared" si="24"/>
        <v>0</v>
      </c>
      <c r="N51" s="4353">
        <f t="shared" si="24"/>
        <v>0</v>
      </c>
      <c r="O51" s="4353">
        <f t="shared" si="24"/>
        <v>0</v>
      </c>
      <c r="P51" s="4353">
        <f t="shared" si="24"/>
        <v>0</v>
      </c>
    </row>
    <row r="52" spans="2:16" hidden="1" x14ac:dyDescent="0.3">
      <c r="B52" s="4291" t="str">
        <f t="shared" si="23"/>
        <v>Vacas Secas</v>
      </c>
      <c r="C52" s="4292"/>
      <c r="D52" s="4292"/>
      <c r="E52" s="4353"/>
      <c r="F52" s="4353">
        <f t="shared" ref="F52:P52" si="25">IF($D$21="30 días",E21,0)</f>
        <v>0</v>
      </c>
      <c r="G52" s="4353">
        <f t="shared" si="25"/>
        <v>0</v>
      </c>
      <c r="H52" s="4353">
        <f t="shared" si="25"/>
        <v>0</v>
      </c>
      <c r="I52" s="4353">
        <f t="shared" si="25"/>
        <v>0</v>
      </c>
      <c r="J52" s="4353">
        <f t="shared" si="25"/>
        <v>0</v>
      </c>
      <c r="K52" s="4353">
        <f t="shared" si="25"/>
        <v>0</v>
      </c>
      <c r="L52" s="4353">
        <f t="shared" si="25"/>
        <v>0</v>
      </c>
      <c r="M52" s="4353">
        <f t="shared" si="25"/>
        <v>0</v>
      </c>
      <c r="N52" s="4353">
        <f t="shared" si="25"/>
        <v>0</v>
      </c>
      <c r="O52" s="4353">
        <f t="shared" si="25"/>
        <v>0</v>
      </c>
      <c r="P52" s="4353">
        <f t="shared" si="25"/>
        <v>0</v>
      </c>
    </row>
    <row r="53" spans="2:16" hidden="1" x14ac:dyDescent="0.3">
      <c r="B53" s="4291" t="str">
        <f t="shared" si="23"/>
        <v>Vaquillonas preñadas a parir en el 1er trimestre</v>
      </c>
      <c r="C53" s="4292"/>
      <c r="D53" s="4292"/>
      <c r="E53" s="4353"/>
      <c r="F53" s="4353">
        <f t="shared" ref="F53:P53" si="26">IF($D$22="30 días",E22,0)</f>
        <v>0</v>
      </c>
      <c r="G53" s="4353">
        <f t="shared" si="26"/>
        <v>0</v>
      </c>
      <c r="H53" s="4353">
        <f t="shared" si="26"/>
        <v>0</v>
      </c>
      <c r="I53" s="4353">
        <f t="shared" si="26"/>
        <v>0</v>
      </c>
      <c r="J53" s="4353">
        <f t="shared" si="26"/>
        <v>0</v>
      </c>
      <c r="K53" s="4353">
        <f t="shared" si="26"/>
        <v>0</v>
      </c>
      <c r="L53" s="4353">
        <f t="shared" si="26"/>
        <v>0</v>
      </c>
      <c r="M53" s="4353">
        <f t="shared" si="26"/>
        <v>0</v>
      </c>
      <c r="N53" s="4353">
        <f t="shared" si="26"/>
        <v>0</v>
      </c>
      <c r="O53" s="4353">
        <f t="shared" si="26"/>
        <v>0</v>
      </c>
      <c r="P53" s="4353">
        <f t="shared" si="26"/>
        <v>0</v>
      </c>
    </row>
    <row r="54" spans="2:16" hidden="1" x14ac:dyDescent="0.3">
      <c r="B54" s="4291" t="str">
        <f t="shared" si="23"/>
        <v>Vaquillonas preñadas a parir en el 2do trimestre</v>
      </c>
      <c r="C54" s="4292"/>
      <c r="D54" s="4292"/>
      <c r="E54" s="4353"/>
      <c r="F54" s="4353">
        <f t="shared" ref="F54:P54" si="27">IF($D$23="30 días",E23,0)</f>
        <v>0</v>
      </c>
      <c r="G54" s="4353">
        <f t="shared" si="27"/>
        <v>0</v>
      </c>
      <c r="H54" s="4353">
        <f t="shared" si="27"/>
        <v>0</v>
      </c>
      <c r="I54" s="4353">
        <f t="shared" si="27"/>
        <v>0</v>
      </c>
      <c r="J54" s="4353">
        <f t="shared" si="27"/>
        <v>0</v>
      </c>
      <c r="K54" s="4353">
        <f t="shared" si="27"/>
        <v>0</v>
      </c>
      <c r="L54" s="4353">
        <f t="shared" si="27"/>
        <v>0</v>
      </c>
      <c r="M54" s="4353">
        <f t="shared" si="27"/>
        <v>0</v>
      </c>
      <c r="N54" s="4353">
        <f t="shared" si="27"/>
        <v>0</v>
      </c>
      <c r="O54" s="4353">
        <f t="shared" si="27"/>
        <v>0</v>
      </c>
      <c r="P54" s="4353">
        <f t="shared" si="27"/>
        <v>0</v>
      </c>
    </row>
    <row r="55" spans="2:16" hidden="1" x14ac:dyDescent="0.3">
      <c r="B55" s="4291" t="str">
        <f t="shared" si="23"/>
        <v>Vaquillonas preñadas a parir en el 3er trimestre</v>
      </c>
      <c r="C55" s="4292"/>
      <c r="D55" s="4292"/>
      <c r="E55" s="4353"/>
      <c r="F55" s="4353">
        <f t="shared" ref="F55:P55" si="28">IF($D$24="30 días",E24,0)</f>
        <v>0</v>
      </c>
      <c r="G55" s="4353">
        <f t="shared" si="28"/>
        <v>0</v>
      </c>
      <c r="H55" s="4353">
        <f t="shared" si="28"/>
        <v>0</v>
      </c>
      <c r="I55" s="4353">
        <f t="shared" si="28"/>
        <v>0</v>
      </c>
      <c r="J55" s="4353">
        <f t="shared" si="28"/>
        <v>0</v>
      </c>
      <c r="K55" s="4353">
        <f t="shared" si="28"/>
        <v>0</v>
      </c>
      <c r="L55" s="4353">
        <f t="shared" si="28"/>
        <v>0</v>
      </c>
      <c r="M55" s="4353">
        <f t="shared" si="28"/>
        <v>0</v>
      </c>
      <c r="N55" s="4353">
        <f t="shared" si="28"/>
        <v>0</v>
      </c>
      <c r="O55" s="4353">
        <f t="shared" si="28"/>
        <v>0</v>
      </c>
      <c r="P55" s="4353">
        <f t="shared" si="28"/>
        <v>0</v>
      </c>
    </row>
    <row r="56" spans="2:16" hidden="1" x14ac:dyDescent="0.3">
      <c r="B56" s="4291" t="str">
        <f t="shared" si="23"/>
        <v>Vaquillonas preñadas a parir en el 4to trimestre</v>
      </c>
      <c r="C56" s="4292"/>
      <c r="D56" s="4292"/>
      <c r="E56" s="4353"/>
      <c r="F56" s="4353">
        <f t="shared" ref="F56:P56" si="29">IF($D$25="30 días",E25,0)</f>
        <v>0</v>
      </c>
      <c r="G56" s="4353">
        <f t="shared" si="29"/>
        <v>0</v>
      </c>
      <c r="H56" s="4353">
        <f t="shared" si="29"/>
        <v>0</v>
      </c>
      <c r="I56" s="4353">
        <f t="shared" si="29"/>
        <v>0</v>
      </c>
      <c r="J56" s="4353">
        <f t="shared" si="29"/>
        <v>0</v>
      </c>
      <c r="K56" s="4353">
        <f t="shared" si="29"/>
        <v>0</v>
      </c>
      <c r="L56" s="4353">
        <f t="shared" si="29"/>
        <v>0</v>
      </c>
      <c r="M56" s="4353">
        <f t="shared" si="29"/>
        <v>0</v>
      </c>
      <c r="N56" s="4353">
        <f t="shared" si="29"/>
        <v>0</v>
      </c>
      <c r="O56" s="4353">
        <f t="shared" si="29"/>
        <v>0</v>
      </c>
      <c r="P56" s="4353">
        <f t="shared" si="29"/>
        <v>0</v>
      </c>
    </row>
    <row r="57" spans="2:16" hidden="1" x14ac:dyDescent="0.3">
      <c r="B57" s="4291" t="str">
        <f t="shared" si="23"/>
        <v>Vaquillonas</v>
      </c>
      <c r="C57" s="4292"/>
      <c r="D57" s="4292"/>
      <c r="E57" s="4353"/>
      <c r="F57" s="4353">
        <f t="shared" ref="F57:P57" si="30">IF($D$26="30 días",E26,0)</f>
        <v>0</v>
      </c>
      <c r="G57" s="4353">
        <f t="shared" si="30"/>
        <v>0</v>
      </c>
      <c r="H57" s="4353">
        <f t="shared" si="30"/>
        <v>0</v>
      </c>
      <c r="I57" s="4353">
        <f t="shared" si="30"/>
        <v>0</v>
      </c>
      <c r="J57" s="4353">
        <f t="shared" si="30"/>
        <v>0</v>
      </c>
      <c r="K57" s="4353">
        <f t="shared" si="30"/>
        <v>0</v>
      </c>
      <c r="L57" s="4353">
        <f t="shared" si="30"/>
        <v>0</v>
      </c>
      <c r="M57" s="4353">
        <f t="shared" si="30"/>
        <v>0</v>
      </c>
      <c r="N57" s="4353">
        <f t="shared" si="30"/>
        <v>0</v>
      </c>
      <c r="O57" s="4353">
        <f t="shared" si="30"/>
        <v>0</v>
      </c>
      <c r="P57" s="4353">
        <f t="shared" si="30"/>
        <v>0</v>
      </c>
    </row>
    <row r="58" spans="2:16" hidden="1" x14ac:dyDescent="0.3">
      <c r="B58" s="4291" t="str">
        <f t="shared" si="23"/>
        <v xml:space="preserve">Terneras &gt; 6 meses </v>
      </c>
      <c r="C58" s="4292"/>
      <c r="D58" s="4292"/>
      <c r="E58" s="4353"/>
      <c r="F58" s="4353">
        <f t="shared" ref="F58:P58" si="31">IF($D$27="30 días",E27,0)</f>
        <v>0</v>
      </c>
      <c r="G58" s="4353">
        <f t="shared" si="31"/>
        <v>0</v>
      </c>
      <c r="H58" s="4353">
        <f t="shared" si="31"/>
        <v>0</v>
      </c>
      <c r="I58" s="4353">
        <f t="shared" si="31"/>
        <v>0</v>
      </c>
      <c r="J58" s="4353">
        <f t="shared" si="31"/>
        <v>0</v>
      </c>
      <c r="K58" s="4353">
        <f t="shared" si="31"/>
        <v>0</v>
      </c>
      <c r="L58" s="4353">
        <f t="shared" si="31"/>
        <v>0</v>
      </c>
      <c r="M58" s="4353">
        <f t="shared" si="31"/>
        <v>0</v>
      </c>
      <c r="N58" s="4353">
        <f t="shared" si="31"/>
        <v>0</v>
      </c>
      <c r="O58" s="4353">
        <f t="shared" si="31"/>
        <v>0</v>
      </c>
      <c r="P58" s="4353">
        <f t="shared" si="31"/>
        <v>0</v>
      </c>
    </row>
    <row r="59" spans="2:16" hidden="1" x14ac:dyDescent="0.3">
      <c r="B59" s="4291" t="str">
        <f t="shared" si="23"/>
        <v>Terneras &gt; 2 meses &lt; 6 meses</v>
      </c>
      <c r="C59" s="4292"/>
      <c r="D59" s="4292"/>
      <c r="E59" s="4353"/>
      <c r="F59" s="4353">
        <f t="shared" ref="F59:P59" si="32">IF($D$28="30 días",E28,0)</f>
        <v>0</v>
      </c>
      <c r="G59" s="4353">
        <f t="shared" si="32"/>
        <v>0</v>
      </c>
      <c r="H59" s="4353">
        <f t="shared" si="32"/>
        <v>0</v>
      </c>
      <c r="I59" s="4353">
        <f t="shared" si="32"/>
        <v>0</v>
      </c>
      <c r="J59" s="4353">
        <f t="shared" si="32"/>
        <v>0</v>
      </c>
      <c r="K59" s="4353">
        <f t="shared" si="32"/>
        <v>0</v>
      </c>
      <c r="L59" s="4353">
        <f t="shared" si="32"/>
        <v>0</v>
      </c>
      <c r="M59" s="4353">
        <f t="shared" si="32"/>
        <v>0</v>
      </c>
      <c r="N59" s="4353">
        <f t="shared" si="32"/>
        <v>0</v>
      </c>
      <c r="O59" s="4353">
        <f t="shared" si="32"/>
        <v>0</v>
      </c>
      <c r="P59" s="4353">
        <f t="shared" si="32"/>
        <v>0</v>
      </c>
    </row>
    <row r="60" spans="2:16" hidden="1" x14ac:dyDescent="0.3">
      <c r="B60" s="4291" t="str">
        <f t="shared" si="23"/>
        <v>Terneras Lactantes (&lt;2 m)</v>
      </c>
      <c r="C60" s="4292"/>
      <c r="D60" s="4292"/>
      <c r="E60" s="4353"/>
      <c r="F60" s="4353">
        <f t="shared" ref="F60:P60" si="33">IF($D$29="30 días",E29,0)</f>
        <v>0</v>
      </c>
      <c r="G60" s="4353">
        <f t="shared" si="33"/>
        <v>0</v>
      </c>
      <c r="H60" s="4353">
        <f t="shared" si="33"/>
        <v>0</v>
      </c>
      <c r="I60" s="4353">
        <f t="shared" si="33"/>
        <v>0</v>
      </c>
      <c r="J60" s="4353">
        <f t="shared" si="33"/>
        <v>0</v>
      </c>
      <c r="K60" s="4353">
        <f t="shared" si="33"/>
        <v>0</v>
      </c>
      <c r="L60" s="4353">
        <f t="shared" si="33"/>
        <v>0</v>
      </c>
      <c r="M60" s="4353">
        <f t="shared" si="33"/>
        <v>0</v>
      </c>
      <c r="N60" s="4353">
        <f t="shared" si="33"/>
        <v>0</v>
      </c>
      <c r="O60" s="4353">
        <f t="shared" si="33"/>
        <v>0</v>
      </c>
      <c r="P60" s="4353">
        <f t="shared" si="33"/>
        <v>0</v>
      </c>
    </row>
    <row r="61" spans="2:16" hidden="1" x14ac:dyDescent="0.3">
      <c r="B61" s="4291" t="str">
        <f t="shared" si="23"/>
        <v>Terneros Lactantes (&lt;2 m) - Venta</v>
      </c>
      <c r="C61" s="4292"/>
      <c r="D61" s="4292"/>
      <c r="E61" s="4353"/>
      <c r="F61" s="4353">
        <f>IF($D$30="30 días",E30,0)</f>
        <v>0</v>
      </c>
      <c r="G61" s="4353">
        <f t="shared" ref="G61:P61" si="34">IF($D$30="30 días",F30,0)</f>
        <v>0</v>
      </c>
      <c r="H61" s="4353">
        <f t="shared" si="34"/>
        <v>0</v>
      </c>
      <c r="I61" s="4353">
        <f t="shared" si="34"/>
        <v>0</v>
      </c>
      <c r="J61" s="4353">
        <f t="shared" si="34"/>
        <v>0</v>
      </c>
      <c r="K61" s="4353">
        <f t="shared" si="34"/>
        <v>0</v>
      </c>
      <c r="L61" s="4353">
        <f t="shared" si="34"/>
        <v>0</v>
      </c>
      <c r="M61" s="4353">
        <f t="shared" si="34"/>
        <v>0</v>
      </c>
      <c r="N61" s="4353">
        <f t="shared" si="34"/>
        <v>0</v>
      </c>
      <c r="O61" s="4353">
        <f t="shared" si="34"/>
        <v>0</v>
      </c>
      <c r="P61" s="4353">
        <f t="shared" si="34"/>
        <v>0</v>
      </c>
    </row>
    <row r="62" spans="2:16" hidden="1" x14ac:dyDescent="0.3">
      <c r="B62" s="4291" t="str">
        <f t="shared" si="23"/>
        <v>Toros</v>
      </c>
      <c r="C62" s="4292"/>
      <c r="D62" s="4292"/>
      <c r="E62" s="4353"/>
      <c r="F62" s="4353">
        <f t="shared" ref="F62:P62" si="35">IF($D$33="30 días",E33,0)</f>
        <v>0</v>
      </c>
      <c r="G62" s="4353">
        <f t="shared" si="35"/>
        <v>0</v>
      </c>
      <c r="H62" s="4353">
        <f t="shared" si="35"/>
        <v>0</v>
      </c>
      <c r="I62" s="4353">
        <f t="shared" si="35"/>
        <v>0</v>
      </c>
      <c r="J62" s="4353">
        <f t="shared" si="35"/>
        <v>0</v>
      </c>
      <c r="K62" s="4353">
        <f t="shared" si="35"/>
        <v>0</v>
      </c>
      <c r="L62" s="4353">
        <f t="shared" si="35"/>
        <v>0</v>
      </c>
      <c r="M62" s="4353">
        <f t="shared" si="35"/>
        <v>0</v>
      </c>
      <c r="N62" s="4353">
        <f t="shared" si="35"/>
        <v>0</v>
      </c>
      <c r="O62" s="4353">
        <f t="shared" si="35"/>
        <v>0</v>
      </c>
      <c r="P62" s="4353">
        <f t="shared" si="35"/>
        <v>0</v>
      </c>
    </row>
    <row r="63" spans="2:16" hidden="1" x14ac:dyDescent="0.3">
      <c r="B63" s="4350" t="s">
        <v>409</v>
      </c>
      <c r="C63" s="4351"/>
      <c r="D63" s="4351"/>
      <c r="E63" s="4352"/>
      <c r="F63" s="4352"/>
      <c r="G63" s="4352"/>
      <c r="H63" s="4352"/>
      <c r="I63" s="4352"/>
      <c r="J63" s="4352"/>
      <c r="K63" s="4352"/>
      <c r="L63" s="4352"/>
      <c r="M63" s="4352"/>
      <c r="N63" s="4352"/>
      <c r="O63" s="4352"/>
      <c r="P63" s="4352"/>
    </row>
    <row r="64" spans="2:16" hidden="1" x14ac:dyDescent="0.3">
      <c r="B64" s="4291" t="str">
        <f t="shared" ref="B64:B75" si="36">B51</f>
        <v>Vacas en Ordeñe</v>
      </c>
      <c r="C64" s="4292"/>
      <c r="D64" s="4292"/>
      <c r="E64" s="4294"/>
      <c r="F64" s="4294"/>
      <c r="G64" s="4294">
        <f t="shared" ref="G64:P64" si="37">IF($D$20="60 días",E20,0)</f>
        <v>0</v>
      </c>
      <c r="H64" s="4294">
        <f t="shared" si="37"/>
        <v>0</v>
      </c>
      <c r="I64" s="4294">
        <f t="shared" si="37"/>
        <v>0</v>
      </c>
      <c r="J64" s="4294">
        <f t="shared" si="37"/>
        <v>0</v>
      </c>
      <c r="K64" s="4294">
        <f t="shared" si="37"/>
        <v>0</v>
      </c>
      <c r="L64" s="4294">
        <f t="shared" si="37"/>
        <v>0</v>
      </c>
      <c r="M64" s="4294">
        <f t="shared" si="37"/>
        <v>0</v>
      </c>
      <c r="N64" s="4294">
        <f t="shared" si="37"/>
        <v>0</v>
      </c>
      <c r="O64" s="4294">
        <f t="shared" si="37"/>
        <v>0</v>
      </c>
      <c r="P64" s="4294">
        <f t="shared" si="37"/>
        <v>0</v>
      </c>
    </row>
    <row r="65" spans="1:20" hidden="1" x14ac:dyDescent="0.3">
      <c r="B65" s="4291" t="str">
        <f t="shared" si="36"/>
        <v>Vacas Secas</v>
      </c>
      <c r="C65" s="4292"/>
      <c r="D65" s="4292"/>
      <c r="E65" s="4294"/>
      <c r="F65" s="4294"/>
      <c r="G65" s="4294">
        <f t="shared" ref="G65:P65" si="38">IF($D$21="60 días",E21,0)</f>
        <v>0</v>
      </c>
      <c r="H65" s="4294">
        <f t="shared" si="38"/>
        <v>0</v>
      </c>
      <c r="I65" s="4294">
        <f t="shared" si="38"/>
        <v>0</v>
      </c>
      <c r="J65" s="4294">
        <f t="shared" si="38"/>
        <v>0</v>
      </c>
      <c r="K65" s="4294">
        <f t="shared" si="38"/>
        <v>0</v>
      </c>
      <c r="L65" s="4294">
        <f t="shared" si="38"/>
        <v>0</v>
      </c>
      <c r="M65" s="4294">
        <f t="shared" si="38"/>
        <v>0</v>
      </c>
      <c r="N65" s="4294">
        <f t="shared" si="38"/>
        <v>0</v>
      </c>
      <c r="O65" s="4294">
        <f t="shared" si="38"/>
        <v>0</v>
      </c>
      <c r="P65" s="4294">
        <f t="shared" si="38"/>
        <v>0</v>
      </c>
    </row>
    <row r="66" spans="1:20" hidden="1" x14ac:dyDescent="0.3">
      <c r="B66" s="4291" t="str">
        <f t="shared" si="36"/>
        <v>Vaquillonas preñadas a parir en el 1er trimestre</v>
      </c>
      <c r="C66" s="4292"/>
      <c r="D66" s="4292"/>
      <c r="E66" s="4294"/>
      <c r="F66" s="4294"/>
      <c r="G66" s="4294">
        <f t="shared" ref="G66:P66" si="39">IF($D$22="60 días",E22,0)</f>
        <v>0</v>
      </c>
      <c r="H66" s="4294">
        <f t="shared" si="39"/>
        <v>0</v>
      </c>
      <c r="I66" s="4294">
        <f t="shared" si="39"/>
        <v>0</v>
      </c>
      <c r="J66" s="4294">
        <f t="shared" si="39"/>
        <v>0</v>
      </c>
      <c r="K66" s="4294">
        <f t="shared" si="39"/>
        <v>0</v>
      </c>
      <c r="L66" s="4294">
        <f t="shared" si="39"/>
        <v>0</v>
      </c>
      <c r="M66" s="4294">
        <f t="shared" si="39"/>
        <v>0</v>
      </c>
      <c r="N66" s="4294">
        <f t="shared" si="39"/>
        <v>0</v>
      </c>
      <c r="O66" s="4294">
        <f t="shared" si="39"/>
        <v>0</v>
      </c>
      <c r="P66" s="4294">
        <f t="shared" si="39"/>
        <v>0</v>
      </c>
    </row>
    <row r="67" spans="1:20" hidden="1" x14ac:dyDescent="0.3">
      <c r="B67" s="4291" t="str">
        <f t="shared" si="36"/>
        <v>Vaquillonas preñadas a parir en el 2do trimestre</v>
      </c>
      <c r="C67" s="4292"/>
      <c r="D67" s="4292"/>
      <c r="E67" s="4294"/>
      <c r="F67" s="4294"/>
      <c r="G67" s="4294">
        <f t="shared" ref="G67:P67" si="40">IF($D$23="60 días",E23,0)</f>
        <v>0</v>
      </c>
      <c r="H67" s="4294">
        <f t="shared" si="40"/>
        <v>0</v>
      </c>
      <c r="I67" s="4294">
        <f t="shared" si="40"/>
        <v>0</v>
      </c>
      <c r="J67" s="4294">
        <f t="shared" si="40"/>
        <v>0</v>
      </c>
      <c r="K67" s="4294">
        <f t="shared" si="40"/>
        <v>0</v>
      </c>
      <c r="L67" s="4294">
        <f t="shared" si="40"/>
        <v>0</v>
      </c>
      <c r="M67" s="4294">
        <f t="shared" si="40"/>
        <v>0</v>
      </c>
      <c r="N67" s="4294">
        <f t="shared" si="40"/>
        <v>0</v>
      </c>
      <c r="O67" s="4294">
        <f t="shared" si="40"/>
        <v>0</v>
      </c>
      <c r="P67" s="4294">
        <f t="shared" si="40"/>
        <v>0</v>
      </c>
    </row>
    <row r="68" spans="1:20" hidden="1" x14ac:dyDescent="0.3">
      <c r="B68" s="4291" t="str">
        <f t="shared" si="36"/>
        <v>Vaquillonas preñadas a parir en el 3er trimestre</v>
      </c>
      <c r="C68" s="4292"/>
      <c r="D68" s="4292"/>
      <c r="E68" s="4294"/>
      <c r="F68" s="4294"/>
      <c r="G68" s="4294">
        <f t="shared" ref="G68:P68" si="41">IF($D$24="60 días",E24,0)</f>
        <v>0</v>
      </c>
      <c r="H68" s="4294">
        <f t="shared" si="41"/>
        <v>0</v>
      </c>
      <c r="I68" s="4294">
        <f t="shared" si="41"/>
        <v>0</v>
      </c>
      <c r="J68" s="4294">
        <f t="shared" si="41"/>
        <v>0</v>
      </c>
      <c r="K68" s="4294">
        <f t="shared" si="41"/>
        <v>0</v>
      </c>
      <c r="L68" s="4294">
        <f t="shared" si="41"/>
        <v>0</v>
      </c>
      <c r="M68" s="4294">
        <f t="shared" si="41"/>
        <v>0</v>
      </c>
      <c r="N68" s="4294">
        <f t="shared" si="41"/>
        <v>0</v>
      </c>
      <c r="O68" s="4294">
        <f t="shared" si="41"/>
        <v>0</v>
      </c>
      <c r="P68" s="4294">
        <f t="shared" si="41"/>
        <v>0</v>
      </c>
    </row>
    <row r="69" spans="1:20" hidden="1" x14ac:dyDescent="0.3">
      <c r="B69" s="4291" t="str">
        <f t="shared" si="36"/>
        <v>Vaquillonas preñadas a parir en el 4to trimestre</v>
      </c>
      <c r="C69" s="4292"/>
      <c r="D69" s="4292"/>
      <c r="E69" s="4294"/>
      <c r="F69" s="4294"/>
      <c r="G69" s="4294">
        <f t="shared" ref="G69:P69" si="42">IF($D$25="60 días",E25,0)</f>
        <v>0</v>
      </c>
      <c r="H69" s="4294">
        <f t="shared" si="42"/>
        <v>0</v>
      </c>
      <c r="I69" s="4294">
        <f t="shared" si="42"/>
        <v>0</v>
      </c>
      <c r="J69" s="4294">
        <f t="shared" si="42"/>
        <v>0</v>
      </c>
      <c r="K69" s="4294">
        <f t="shared" si="42"/>
        <v>0</v>
      </c>
      <c r="L69" s="4294">
        <f t="shared" si="42"/>
        <v>0</v>
      </c>
      <c r="M69" s="4294">
        <f t="shared" si="42"/>
        <v>0</v>
      </c>
      <c r="N69" s="4294">
        <f t="shared" si="42"/>
        <v>0</v>
      </c>
      <c r="O69" s="4294">
        <f t="shared" si="42"/>
        <v>0</v>
      </c>
      <c r="P69" s="4294">
        <f t="shared" si="42"/>
        <v>0</v>
      </c>
    </row>
    <row r="70" spans="1:20" hidden="1" x14ac:dyDescent="0.3">
      <c r="B70" s="4291" t="str">
        <f t="shared" si="36"/>
        <v>Vaquillonas</v>
      </c>
      <c r="C70" s="4292"/>
      <c r="D70" s="4292"/>
      <c r="E70" s="4294"/>
      <c r="F70" s="4294"/>
      <c r="G70" s="4294">
        <f t="shared" ref="G70:P70" si="43">IF($D$26="60 días",E26,0)</f>
        <v>0</v>
      </c>
      <c r="H70" s="4294">
        <f t="shared" si="43"/>
        <v>0</v>
      </c>
      <c r="I70" s="4294">
        <f t="shared" si="43"/>
        <v>0</v>
      </c>
      <c r="J70" s="4294">
        <f t="shared" si="43"/>
        <v>0</v>
      </c>
      <c r="K70" s="4294">
        <f t="shared" si="43"/>
        <v>0</v>
      </c>
      <c r="L70" s="4294">
        <f t="shared" si="43"/>
        <v>0</v>
      </c>
      <c r="M70" s="4294">
        <f t="shared" si="43"/>
        <v>0</v>
      </c>
      <c r="N70" s="4294">
        <f t="shared" si="43"/>
        <v>0</v>
      </c>
      <c r="O70" s="4294">
        <f t="shared" si="43"/>
        <v>0</v>
      </c>
      <c r="P70" s="4294">
        <f t="shared" si="43"/>
        <v>0</v>
      </c>
    </row>
    <row r="71" spans="1:20" hidden="1" x14ac:dyDescent="0.3">
      <c r="B71" s="4291" t="str">
        <f t="shared" si="36"/>
        <v xml:space="preserve">Terneras &gt; 6 meses </v>
      </c>
      <c r="C71" s="4292"/>
      <c r="D71" s="4292"/>
      <c r="E71" s="4294"/>
      <c r="F71" s="4294"/>
      <c r="G71" s="4294">
        <f t="shared" ref="G71:P71" si="44">IF($D$27="60 días",E27,0)</f>
        <v>0</v>
      </c>
      <c r="H71" s="4294">
        <f t="shared" si="44"/>
        <v>0</v>
      </c>
      <c r="I71" s="4294">
        <f t="shared" si="44"/>
        <v>0</v>
      </c>
      <c r="J71" s="4294">
        <f t="shared" si="44"/>
        <v>0</v>
      </c>
      <c r="K71" s="4294">
        <f t="shared" si="44"/>
        <v>0</v>
      </c>
      <c r="L71" s="4294">
        <f t="shared" si="44"/>
        <v>0</v>
      </c>
      <c r="M71" s="4294">
        <f t="shared" si="44"/>
        <v>0</v>
      </c>
      <c r="N71" s="4294">
        <f t="shared" si="44"/>
        <v>0</v>
      </c>
      <c r="O71" s="4294">
        <f t="shared" si="44"/>
        <v>0</v>
      </c>
      <c r="P71" s="4294">
        <f t="shared" si="44"/>
        <v>0</v>
      </c>
    </row>
    <row r="72" spans="1:20" hidden="1" x14ac:dyDescent="0.3">
      <c r="B72" s="4291" t="str">
        <f t="shared" si="36"/>
        <v>Terneras &gt; 2 meses &lt; 6 meses</v>
      </c>
      <c r="C72" s="4292"/>
      <c r="D72" s="4292"/>
      <c r="E72" s="4294"/>
      <c r="F72" s="4294"/>
      <c r="G72" s="4294">
        <f t="shared" ref="G72:P72" si="45">IF($D$28="60 días",E28,0)</f>
        <v>0</v>
      </c>
      <c r="H72" s="4294">
        <f t="shared" si="45"/>
        <v>0</v>
      </c>
      <c r="I72" s="4294">
        <f t="shared" si="45"/>
        <v>0</v>
      </c>
      <c r="J72" s="4294">
        <f t="shared" si="45"/>
        <v>0</v>
      </c>
      <c r="K72" s="4294">
        <f t="shared" si="45"/>
        <v>0</v>
      </c>
      <c r="L72" s="4294">
        <f t="shared" si="45"/>
        <v>0</v>
      </c>
      <c r="M72" s="4294">
        <f t="shared" si="45"/>
        <v>0</v>
      </c>
      <c r="N72" s="4294">
        <f t="shared" si="45"/>
        <v>0</v>
      </c>
      <c r="O72" s="4294">
        <f t="shared" si="45"/>
        <v>0</v>
      </c>
      <c r="P72" s="4294">
        <f t="shared" si="45"/>
        <v>0</v>
      </c>
    </row>
    <row r="73" spans="1:20" hidden="1" x14ac:dyDescent="0.3">
      <c r="B73" s="4291" t="str">
        <f t="shared" si="36"/>
        <v>Terneras Lactantes (&lt;2 m)</v>
      </c>
      <c r="C73" s="4292"/>
      <c r="D73" s="4292"/>
      <c r="E73" s="4294"/>
      <c r="F73" s="4294"/>
      <c r="G73" s="4294">
        <f t="shared" ref="G73:P73" si="46">IF($D$29="60 días",E29,0)</f>
        <v>0</v>
      </c>
      <c r="H73" s="4294">
        <f t="shared" si="46"/>
        <v>0</v>
      </c>
      <c r="I73" s="4294">
        <f t="shared" si="46"/>
        <v>0</v>
      </c>
      <c r="J73" s="4294">
        <f t="shared" si="46"/>
        <v>0</v>
      </c>
      <c r="K73" s="4294">
        <f t="shared" si="46"/>
        <v>0</v>
      </c>
      <c r="L73" s="4294">
        <f t="shared" si="46"/>
        <v>0</v>
      </c>
      <c r="M73" s="4294">
        <f t="shared" si="46"/>
        <v>0</v>
      </c>
      <c r="N73" s="4294">
        <f t="shared" si="46"/>
        <v>0</v>
      </c>
      <c r="O73" s="4294">
        <f t="shared" si="46"/>
        <v>0</v>
      </c>
      <c r="P73" s="4294">
        <f t="shared" si="46"/>
        <v>0</v>
      </c>
    </row>
    <row r="74" spans="1:20" hidden="1" x14ac:dyDescent="0.3">
      <c r="B74" s="4291" t="str">
        <f t="shared" si="36"/>
        <v>Terneros Lactantes (&lt;2 m) - Venta</v>
      </c>
      <c r="C74" s="4292"/>
      <c r="D74" s="4292"/>
      <c r="E74" s="4294"/>
      <c r="F74" s="4294"/>
      <c r="G74" s="4294">
        <f>IF($D$30="60 días",E30,0)</f>
        <v>0</v>
      </c>
      <c r="H74" s="4294">
        <f t="shared" ref="H74:P74" si="47">IF($D$30="60 días",F30,0)</f>
        <v>0</v>
      </c>
      <c r="I74" s="4294">
        <f t="shared" si="47"/>
        <v>0</v>
      </c>
      <c r="J74" s="4294">
        <f t="shared" si="47"/>
        <v>0</v>
      </c>
      <c r="K74" s="4294">
        <f t="shared" si="47"/>
        <v>0</v>
      </c>
      <c r="L74" s="4294">
        <f t="shared" si="47"/>
        <v>0</v>
      </c>
      <c r="M74" s="4294">
        <f t="shared" si="47"/>
        <v>0</v>
      </c>
      <c r="N74" s="4294">
        <f t="shared" si="47"/>
        <v>0</v>
      </c>
      <c r="O74" s="4294">
        <f t="shared" si="47"/>
        <v>0</v>
      </c>
      <c r="P74" s="4294">
        <f t="shared" si="47"/>
        <v>0</v>
      </c>
    </row>
    <row r="75" spans="1:20" hidden="1" x14ac:dyDescent="0.3">
      <c r="B75" s="4291" t="str">
        <f t="shared" si="36"/>
        <v>Toros</v>
      </c>
      <c r="C75" s="4292"/>
      <c r="D75" s="4292"/>
      <c r="E75" s="4294"/>
      <c r="F75" s="4294"/>
      <c r="G75" s="4294">
        <f t="shared" ref="G75:P75" si="48">IF($D$33="60 días",E33,0)</f>
        <v>0</v>
      </c>
      <c r="H75" s="4294">
        <f t="shared" si="48"/>
        <v>0</v>
      </c>
      <c r="I75" s="4294">
        <f t="shared" si="48"/>
        <v>0</v>
      </c>
      <c r="J75" s="4294">
        <f t="shared" si="48"/>
        <v>0</v>
      </c>
      <c r="K75" s="4294">
        <f t="shared" si="48"/>
        <v>0</v>
      </c>
      <c r="L75" s="4294">
        <f t="shared" si="48"/>
        <v>0</v>
      </c>
      <c r="M75" s="4294">
        <f t="shared" si="48"/>
        <v>0</v>
      </c>
      <c r="N75" s="4294">
        <f t="shared" si="48"/>
        <v>0</v>
      </c>
      <c r="O75" s="4294">
        <f t="shared" si="48"/>
        <v>0</v>
      </c>
      <c r="P75" s="4294">
        <f t="shared" si="48"/>
        <v>0</v>
      </c>
    </row>
    <row r="76" spans="1:20" x14ac:dyDescent="0.3">
      <c r="B76" s="4354"/>
      <c r="C76" s="4295"/>
      <c r="D76" s="4295"/>
      <c r="E76" s="3724"/>
      <c r="F76" s="3724"/>
      <c r="G76" s="3724"/>
      <c r="H76" s="3724"/>
      <c r="I76" s="3724"/>
      <c r="J76" s="3724"/>
      <c r="K76" s="3724"/>
      <c r="L76" s="3724"/>
      <c r="M76" s="3724"/>
      <c r="N76" s="3724"/>
      <c r="O76" s="3724"/>
      <c r="P76" s="3724"/>
    </row>
    <row r="77" spans="1:20" ht="15.05" thickBot="1" x14ac:dyDescent="0.35">
      <c r="B77" s="4354"/>
      <c r="C77" s="4295"/>
      <c r="D77" s="4295"/>
      <c r="E77" s="3724"/>
      <c r="F77" s="3724"/>
      <c r="G77" s="3724"/>
      <c r="H77" s="3724"/>
      <c r="I77" s="3724"/>
      <c r="J77" s="3724"/>
      <c r="K77" s="3724"/>
      <c r="L77" s="3724"/>
      <c r="M77" s="3724"/>
      <c r="N77" s="3724"/>
      <c r="O77" s="3724"/>
      <c r="P77" s="3724"/>
    </row>
    <row r="78" spans="1:20" ht="15.05" thickBot="1" x14ac:dyDescent="0.35">
      <c r="A78" s="2487">
        <f>+A18+1</f>
        <v>116</v>
      </c>
      <c r="B78" s="2488" t="s">
        <v>2371</v>
      </c>
      <c r="C78" s="2489"/>
      <c r="D78" s="2490"/>
      <c r="E78" s="2489"/>
      <c r="F78" s="2489"/>
      <c r="G78" s="2489"/>
      <c r="H78" s="2489"/>
      <c r="I78" s="2489"/>
      <c r="J78" s="2489"/>
      <c r="K78" s="2489"/>
      <c r="L78" s="2489"/>
      <c r="M78" s="2489"/>
      <c r="N78" s="2489"/>
      <c r="O78" s="2489"/>
      <c r="P78" s="2489"/>
      <c r="Q78" s="2491"/>
    </row>
    <row r="79" spans="1:20" x14ac:dyDescent="0.3">
      <c r="B79" s="4274" t="s">
        <v>2368</v>
      </c>
      <c r="C79" s="4275"/>
      <c r="D79" s="4276" t="s">
        <v>594</v>
      </c>
      <c r="E79" s="4273" t="str">
        <f t="shared" ref="E79:Q79" si="49">+E7</f>
        <v>Ene</v>
      </c>
      <c r="F79" s="4273" t="str">
        <f t="shared" si="49"/>
        <v>Feb</v>
      </c>
      <c r="G79" s="4273" t="str">
        <f t="shared" si="49"/>
        <v>Mar</v>
      </c>
      <c r="H79" s="4273" t="str">
        <f t="shared" si="49"/>
        <v>Abr</v>
      </c>
      <c r="I79" s="4273" t="str">
        <f t="shared" si="49"/>
        <v>May</v>
      </c>
      <c r="J79" s="4273" t="str">
        <f t="shared" si="49"/>
        <v>Jun</v>
      </c>
      <c r="K79" s="4355" t="str">
        <f t="shared" si="49"/>
        <v>Jul</v>
      </c>
      <c r="L79" s="4273" t="str">
        <f t="shared" si="49"/>
        <v>Ago</v>
      </c>
      <c r="M79" s="4273" t="str">
        <f t="shared" si="49"/>
        <v>Set</v>
      </c>
      <c r="N79" s="4273" t="str">
        <f t="shared" si="49"/>
        <v>Oct</v>
      </c>
      <c r="O79" s="4273" t="str">
        <f t="shared" si="49"/>
        <v>Nov</v>
      </c>
      <c r="P79" s="4277" t="str">
        <f t="shared" si="49"/>
        <v>Dic</v>
      </c>
      <c r="Q79" s="4356" t="str">
        <f t="shared" si="49"/>
        <v>Total</v>
      </c>
    </row>
    <row r="80" spans="1:20" x14ac:dyDescent="0.3">
      <c r="B80" s="4311" t="s">
        <v>1464</v>
      </c>
      <c r="C80" s="4312"/>
      <c r="D80" s="4962" t="s">
        <v>252</v>
      </c>
      <c r="E80" s="4357">
        <f>+A.Ganaderos!F146</f>
        <v>0</v>
      </c>
      <c r="F80" s="4314">
        <f>+A.Ganaderos!G146</f>
        <v>0</v>
      </c>
      <c r="G80" s="4314">
        <f>+A.Ganaderos!H146</f>
        <v>0</v>
      </c>
      <c r="H80" s="4314">
        <f>+A.Ganaderos!I146</f>
        <v>0</v>
      </c>
      <c r="I80" s="4314">
        <f>+A.Ganaderos!J146</f>
        <v>0</v>
      </c>
      <c r="J80" s="4314">
        <f>+A.Ganaderos!K146</f>
        <v>0</v>
      </c>
      <c r="K80" s="4313">
        <f>+A.Ganaderos!L146</f>
        <v>0</v>
      </c>
      <c r="L80" s="4314">
        <f>+A.Ganaderos!M146</f>
        <v>0</v>
      </c>
      <c r="M80" s="4314">
        <f>+A.Ganaderos!N146</f>
        <v>0</v>
      </c>
      <c r="N80" s="4314">
        <f>+A.Ganaderos!O146</f>
        <v>0</v>
      </c>
      <c r="O80" s="4314">
        <f>+A.Ganaderos!P146</f>
        <v>0</v>
      </c>
      <c r="P80" s="3724">
        <f>+A.Ganaderos!Q146</f>
        <v>0</v>
      </c>
      <c r="Q80" s="4358"/>
      <c r="R80" s="3438">
        <f>+IF(D80=General!B233,Ingresos!P80,0)</f>
        <v>0</v>
      </c>
      <c r="S80" s="3438">
        <f>+IF(Ingresos!D80=General!B234,P80+O80,0)</f>
        <v>0</v>
      </c>
      <c r="T80" s="3438">
        <f>+SUM(R80:S80)</f>
        <v>0</v>
      </c>
    </row>
    <row r="81" spans="2:20" x14ac:dyDescent="0.3">
      <c r="B81" s="4311" t="s">
        <v>1483</v>
      </c>
      <c r="C81" s="4312"/>
      <c r="D81" s="4962" t="s">
        <v>252</v>
      </c>
      <c r="E81" s="4313">
        <f>A.Ganaderos!F147</f>
        <v>0</v>
      </c>
      <c r="F81" s="4314">
        <f>A.Ganaderos!G147</f>
        <v>0</v>
      </c>
      <c r="G81" s="4314">
        <f>A.Ganaderos!H147</f>
        <v>0</v>
      </c>
      <c r="H81" s="4314">
        <f>A.Ganaderos!I147</f>
        <v>0</v>
      </c>
      <c r="I81" s="4314">
        <f>A.Ganaderos!J147</f>
        <v>0</v>
      </c>
      <c r="J81" s="4314">
        <f>A.Ganaderos!K147</f>
        <v>0</v>
      </c>
      <c r="K81" s="4313">
        <f>A.Ganaderos!L147</f>
        <v>0</v>
      </c>
      <c r="L81" s="4314">
        <f>A.Ganaderos!M147</f>
        <v>0</v>
      </c>
      <c r="M81" s="4314">
        <f>A.Ganaderos!N147</f>
        <v>0</v>
      </c>
      <c r="N81" s="4314">
        <f>A.Ganaderos!O147</f>
        <v>0</v>
      </c>
      <c r="O81" s="4314">
        <f>A.Ganaderos!P147</f>
        <v>0</v>
      </c>
      <c r="P81" s="3724">
        <f>A.Ganaderos!Q147</f>
        <v>0</v>
      </c>
      <c r="Q81" s="4358"/>
      <c r="R81" s="3438">
        <f>+IF(D81=General!B234,Ingresos!P81,0)</f>
        <v>0</v>
      </c>
      <c r="S81" s="3438">
        <f>+IF(Ingresos!D81=General!B235,P81+O81,0)</f>
        <v>0</v>
      </c>
      <c r="T81" s="3438">
        <f>+SUM(R81:S81)</f>
        <v>0</v>
      </c>
    </row>
    <row r="82" spans="2:20" x14ac:dyDescent="0.3">
      <c r="B82" s="4311" t="s">
        <v>1484</v>
      </c>
      <c r="C82" s="4312"/>
      <c r="D82" s="4962" t="s">
        <v>252</v>
      </c>
      <c r="E82" s="4313">
        <f>A.Ganaderos!F149</f>
        <v>0</v>
      </c>
      <c r="F82" s="4314">
        <f>A.Ganaderos!G149</f>
        <v>0</v>
      </c>
      <c r="G82" s="4314">
        <f>A.Ganaderos!H149</f>
        <v>0</v>
      </c>
      <c r="H82" s="4314">
        <f>A.Ganaderos!I149</f>
        <v>0</v>
      </c>
      <c r="I82" s="4314">
        <f>A.Ganaderos!J149</f>
        <v>0</v>
      </c>
      <c r="J82" s="4314">
        <f>A.Ganaderos!K149</f>
        <v>0</v>
      </c>
      <c r="K82" s="4313">
        <f>A.Ganaderos!L149</f>
        <v>0</v>
      </c>
      <c r="L82" s="4314">
        <f>A.Ganaderos!M149</f>
        <v>0</v>
      </c>
      <c r="M82" s="4314">
        <f>A.Ganaderos!N149</f>
        <v>0</v>
      </c>
      <c r="N82" s="4314">
        <f>A.Ganaderos!O149</f>
        <v>0</v>
      </c>
      <c r="O82" s="4314">
        <f>A.Ganaderos!P149</f>
        <v>0</v>
      </c>
      <c r="P82" s="3724">
        <f>A.Ganaderos!Q149</f>
        <v>0</v>
      </c>
      <c r="Q82" s="4358"/>
      <c r="R82" s="3438">
        <f>+IF(D82=General!B235,Ingresos!P82,0)</f>
        <v>0</v>
      </c>
      <c r="S82" s="3438">
        <f>+IF(Ingresos!D82=General!B236,P82+O82,0)</f>
        <v>0</v>
      </c>
      <c r="T82" s="3438">
        <f>+SUM(R82:S82)</f>
        <v>0</v>
      </c>
    </row>
    <row r="83" spans="2:20" x14ac:dyDescent="0.3">
      <c r="B83" s="4311" t="s">
        <v>1485</v>
      </c>
      <c r="C83" s="4312"/>
      <c r="D83" s="4962" t="s">
        <v>252</v>
      </c>
      <c r="E83" s="4313">
        <f>A.Ganaderos!F151</f>
        <v>0</v>
      </c>
      <c r="F83" s="4314">
        <f>A.Ganaderos!G151</f>
        <v>0</v>
      </c>
      <c r="G83" s="4314">
        <f>A.Ganaderos!H151</f>
        <v>0</v>
      </c>
      <c r="H83" s="4314">
        <f>A.Ganaderos!I151</f>
        <v>0</v>
      </c>
      <c r="I83" s="4314">
        <f>A.Ganaderos!J151</f>
        <v>0</v>
      </c>
      <c r="J83" s="4314">
        <f>A.Ganaderos!K151</f>
        <v>0</v>
      </c>
      <c r="K83" s="4313">
        <f>A.Ganaderos!L151</f>
        <v>0</v>
      </c>
      <c r="L83" s="4314">
        <f>A.Ganaderos!M151</f>
        <v>0</v>
      </c>
      <c r="M83" s="4314">
        <f>A.Ganaderos!N151</f>
        <v>0</v>
      </c>
      <c r="N83" s="4314">
        <f>A.Ganaderos!O151</f>
        <v>0</v>
      </c>
      <c r="O83" s="4314">
        <f>A.Ganaderos!P151</f>
        <v>0</v>
      </c>
      <c r="P83" s="3724">
        <f>A.Ganaderos!Q151</f>
        <v>0</v>
      </c>
      <c r="Q83" s="4358"/>
      <c r="R83" s="3438">
        <f>+IF(D83=General!B236,Ingresos!P83,0)</f>
        <v>0</v>
      </c>
      <c r="S83" s="3438">
        <f>+IF(Ingresos!D83=General!B237,P83+O83,0)</f>
        <v>0</v>
      </c>
      <c r="T83" s="3438">
        <f>+SUM(R83:S83)</f>
        <v>0</v>
      </c>
    </row>
    <row r="84" spans="2:20" ht="15.05" thickBot="1" x14ac:dyDescent="0.35">
      <c r="B84" s="4311" t="s">
        <v>1491</v>
      </c>
      <c r="C84" s="4312"/>
      <c r="D84" s="4962" t="s">
        <v>252</v>
      </c>
      <c r="E84" s="4313">
        <f>A.Ganaderos!F153</f>
        <v>0</v>
      </c>
      <c r="F84" s="4314">
        <f>A.Ganaderos!G153</f>
        <v>0</v>
      </c>
      <c r="G84" s="4314">
        <f>A.Ganaderos!H153</f>
        <v>0</v>
      </c>
      <c r="H84" s="4314">
        <f>A.Ganaderos!I153</f>
        <v>0</v>
      </c>
      <c r="I84" s="4314">
        <f>A.Ganaderos!J153</f>
        <v>0</v>
      </c>
      <c r="J84" s="4314">
        <f>A.Ganaderos!K153</f>
        <v>0</v>
      </c>
      <c r="K84" s="4313">
        <f>A.Ganaderos!L153</f>
        <v>0</v>
      </c>
      <c r="L84" s="4314">
        <f>A.Ganaderos!M153</f>
        <v>0</v>
      </c>
      <c r="M84" s="4314">
        <f>A.Ganaderos!N153</f>
        <v>0</v>
      </c>
      <c r="N84" s="4314">
        <f>A.Ganaderos!O153</f>
        <v>0</v>
      </c>
      <c r="O84" s="4314">
        <f>A.Ganaderos!P153</f>
        <v>0</v>
      </c>
      <c r="P84" s="3724">
        <f>A.Ganaderos!Q153</f>
        <v>0</v>
      </c>
      <c r="Q84" s="4358"/>
      <c r="R84" s="3438">
        <f>+IF(D84=General!B237,Ingresos!P84,0)</f>
        <v>0</v>
      </c>
      <c r="S84" s="3438">
        <f>+IF(Ingresos!D84=General!B238,P84+O84,0)</f>
        <v>0</v>
      </c>
      <c r="T84" s="3438">
        <f>+SUM(R84:S84)</f>
        <v>0</v>
      </c>
    </row>
    <row r="85" spans="2:20" x14ac:dyDescent="0.3">
      <c r="B85" s="4337" t="s">
        <v>412</v>
      </c>
      <c r="C85" s="4338"/>
      <c r="D85" s="4339"/>
      <c r="E85" s="4340">
        <f t="shared" ref="E85:P85" si="50">SUM(E80:E84)</f>
        <v>0</v>
      </c>
      <c r="F85" s="4341">
        <f t="shared" si="50"/>
        <v>0</v>
      </c>
      <c r="G85" s="4341">
        <f t="shared" si="50"/>
        <v>0</v>
      </c>
      <c r="H85" s="4341">
        <f t="shared" si="50"/>
        <v>0</v>
      </c>
      <c r="I85" s="4341">
        <f t="shared" si="50"/>
        <v>0</v>
      </c>
      <c r="J85" s="4341">
        <f t="shared" si="50"/>
        <v>0</v>
      </c>
      <c r="K85" s="4340">
        <f t="shared" si="50"/>
        <v>0</v>
      </c>
      <c r="L85" s="4341">
        <f t="shared" si="50"/>
        <v>0</v>
      </c>
      <c r="M85" s="4340">
        <f t="shared" si="50"/>
        <v>0</v>
      </c>
      <c r="N85" s="4341">
        <f t="shared" si="50"/>
        <v>0</v>
      </c>
      <c r="O85" s="4341">
        <f t="shared" si="50"/>
        <v>0</v>
      </c>
      <c r="P85" s="4342">
        <f t="shared" si="50"/>
        <v>0</v>
      </c>
      <c r="Q85" s="4301">
        <f>+SUM(E85:P85)</f>
        <v>0</v>
      </c>
      <c r="T85" s="4310">
        <f>SUM(T80:T84)</f>
        <v>0</v>
      </c>
    </row>
    <row r="86" spans="2:20" ht="15.05" thickBot="1" x14ac:dyDescent="0.35">
      <c r="B86" s="4343" t="s">
        <v>2380</v>
      </c>
      <c r="C86" s="4344"/>
      <c r="D86" s="4345"/>
      <c r="E86" s="4346">
        <f t="shared" ref="E86:P86" si="51">SUM(E90:E106)</f>
        <v>0</v>
      </c>
      <c r="F86" s="4347">
        <f t="shared" si="51"/>
        <v>0</v>
      </c>
      <c r="G86" s="4347">
        <f t="shared" si="51"/>
        <v>0</v>
      </c>
      <c r="H86" s="4347">
        <f t="shared" si="51"/>
        <v>0</v>
      </c>
      <c r="I86" s="4347">
        <f t="shared" si="51"/>
        <v>0</v>
      </c>
      <c r="J86" s="4347">
        <f t="shared" si="51"/>
        <v>0</v>
      </c>
      <c r="K86" s="4346">
        <f t="shared" si="51"/>
        <v>0</v>
      </c>
      <c r="L86" s="4347">
        <f t="shared" si="51"/>
        <v>0</v>
      </c>
      <c r="M86" s="4346">
        <f t="shared" si="51"/>
        <v>0</v>
      </c>
      <c r="N86" s="4347">
        <f t="shared" si="51"/>
        <v>0</v>
      </c>
      <c r="O86" s="4347">
        <f t="shared" si="51"/>
        <v>0</v>
      </c>
      <c r="P86" s="4348">
        <f t="shared" si="51"/>
        <v>0</v>
      </c>
      <c r="Q86" s="4308">
        <f>+SUM(E86:P86)</f>
        <v>0</v>
      </c>
    </row>
    <row r="87" spans="2:20" x14ac:dyDescent="0.3">
      <c r="B87" s="3616"/>
      <c r="C87" s="4295"/>
      <c r="D87" s="4295"/>
      <c r="E87" s="3724"/>
      <c r="F87" s="3724"/>
      <c r="G87" s="3724"/>
      <c r="H87" s="3724"/>
      <c r="I87" s="3724"/>
      <c r="J87" s="3724"/>
      <c r="K87" s="3724"/>
      <c r="L87" s="3724"/>
      <c r="M87" s="3724"/>
      <c r="N87" s="3724"/>
      <c r="O87" s="3724"/>
      <c r="P87" s="3724"/>
    </row>
    <row r="88" spans="2:20" hidden="1" x14ac:dyDescent="0.3">
      <c r="B88" s="4349" t="s">
        <v>1125</v>
      </c>
      <c r="C88" s="4295"/>
      <c r="D88" s="4295"/>
      <c r="E88" s="3724"/>
      <c r="F88" s="3724"/>
      <c r="G88" s="3724"/>
      <c r="H88" s="3724"/>
      <c r="I88" s="3724"/>
      <c r="J88" s="3724"/>
      <c r="K88" s="3724"/>
      <c r="L88" s="3724"/>
      <c r="M88" s="3724"/>
      <c r="N88" s="3724"/>
      <c r="O88" s="3724"/>
      <c r="P88" s="3724"/>
    </row>
    <row r="89" spans="2:20" hidden="1" x14ac:dyDescent="0.3">
      <c r="B89" s="4350" t="s">
        <v>407</v>
      </c>
      <c r="C89" s="4351"/>
      <c r="D89" s="4351"/>
      <c r="E89" s="4352"/>
      <c r="F89" s="4352"/>
      <c r="G89" s="4352"/>
      <c r="H89" s="4352"/>
      <c r="I89" s="4352"/>
      <c r="J89" s="4352"/>
      <c r="K89" s="4352"/>
      <c r="L89" s="4352"/>
      <c r="M89" s="4352"/>
      <c r="N89" s="4352"/>
      <c r="O89" s="4352"/>
      <c r="P89" s="4352"/>
    </row>
    <row r="90" spans="2:20" hidden="1" x14ac:dyDescent="0.3">
      <c r="B90" s="4291" t="str">
        <f>B80</f>
        <v>Vacas descarte - Ganadería</v>
      </c>
      <c r="C90" s="4292"/>
      <c r="D90" s="4292"/>
      <c r="E90" s="4353">
        <f t="shared" ref="E90:P90" si="52">IF($D80="Contado",E80,0)</f>
        <v>0</v>
      </c>
      <c r="F90" s="4353">
        <f t="shared" si="52"/>
        <v>0</v>
      </c>
      <c r="G90" s="4353">
        <f t="shared" si="52"/>
        <v>0</v>
      </c>
      <c r="H90" s="4353">
        <f t="shared" si="52"/>
        <v>0</v>
      </c>
      <c r="I90" s="4353">
        <f t="shared" si="52"/>
        <v>0</v>
      </c>
      <c r="J90" s="4353">
        <f t="shared" si="52"/>
        <v>0</v>
      </c>
      <c r="K90" s="4353">
        <f t="shared" si="52"/>
        <v>0</v>
      </c>
      <c r="L90" s="4353">
        <f t="shared" si="52"/>
        <v>0</v>
      </c>
      <c r="M90" s="4353">
        <f t="shared" si="52"/>
        <v>0</v>
      </c>
      <c r="N90" s="4353">
        <f t="shared" si="52"/>
        <v>0</v>
      </c>
      <c r="O90" s="4353">
        <f t="shared" si="52"/>
        <v>0</v>
      </c>
      <c r="P90" s="4353">
        <f t="shared" si="52"/>
        <v>0</v>
      </c>
    </row>
    <row r="91" spans="2:20" hidden="1" x14ac:dyDescent="0.3">
      <c r="B91" s="4291" t="str">
        <f>B81</f>
        <v>Novillos - 2 a 3 años</v>
      </c>
      <c r="C91" s="4292"/>
      <c r="D91" s="4292"/>
      <c r="E91" s="4353">
        <f t="shared" ref="E91:P91" si="53">IF($D81="Contado",E81,0)</f>
        <v>0</v>
      </c>
      <c r="F91" s="4353">
        <f t="shared" si="53"/>
        <v>0</v>
      </c>
      <c r="G91" s="4353">
        <f t="shared" si="53"/>
        <v>0</v>
      </c>
      <c r="H91" s="4353">
        <f t="shared" si="53"/>
        <v>0</v>
      </c>
      <c r="I91" s="4353">
        <f t="shared" si="53"/>
        <v>0</v>
      </c>
      <c r="J91" s="4353">
        <f t="shared" si="53"/>
        <v>0</v>
      </c>
      <c r="K91" s="4353">
        <f t="shared" si="53"/>
        <v>0</v>
      </c>
      <c r="L91" s="4353">
        <f t="shared" si="53"/>
        <v>0</v>
      </c>
      <c r="M91" s="4353">
        <f t="shared" si="53"/>
        <v>0</v>
      </c>
      <c r="N91" s="4353">
        <f t="shared" si="53"/>
        <v>0</v>
      </c>
      <c r="O91" s="4353">
        <f t="shared" si="53"/>
        <v>0</v>
      </c>
      <c r="P91" s="4353">
        <f t="shared" si="53"/>
        <v>0</v>
      </c>
    </row>
    <row r="92" spans="2:20" hidden="1" x14ac:dyDescent="0.3">
      <c r="B92" s="4291" t="str">
        <f>B82</f>
        <v>Novillos - 1 a 2 años</v>
      </c>
      <c r="C92" s="4292"/>
      <c r="D92" s="4292"/>
      <c r="E92" s="4353">
        <f t="shared" ref="E92:P92" si="54">IF($D82="Contado",E82,0)</f>
        <v>0</v>
      </c>
      <c r="F92" s="4353">
        <f t="shared" si="54"/>
        <v>0</v>
      </c>
      <c r="G92" s="4353">
        <f t="shared" si="54"/>
        <v>0</v>
      </c>
      <c r="H92" s="4353">
        <f t="shared" si="54"/>
        <v>0</v>
      </c>
      <c r="I92" s="4353">
        <f t="shared" si="54"/>
        <v>0</v>
      </c>
      <c r="J92" s="4353">
        <f t="shared" si="54"/>
        <v>0</v>
      </c>
      <c r="K92" s="4353">
        <f t="shared" si="54"/>
        <v>0</v>
      </c>
      <c r="L92" s="4353">
        <f t="shared" si="54"/>
        <v>0</v>
      </c>
      <c r="M92" s="4353">
        <f t="shared" si="54"/>
        <v>0</v>
      </c>
      <c r="N92" s="4353">
        <f t="shared" si="54"/>
        <v>0</v>
      </c>
      <c r="O92" s="4353">
        <f t="shared" si="54"/>
        <v>0</v>
      </c>
      <c r="P92" s="4353">
        <f t="shared" si="54"/>
        <v>0</v>
      </c>
    </row>
    <row r="93" spans="2:20" hidden="1" x14ac:dyDescent="0.3">
      <c r="B93" s="4291" t="str">
        <f>B83</f>
        <v>Terneros &gt; 6 meses &lt; 1 año</v>
      </c>
      <c r="C93" s="4292"/>
      <c r="D93" s="4292"/>
      <c r="E93" s="4353">
        <f t="shared" ref="E93:P93" si="55">IF($D83="Contado",E83,0)</f>
        <v>0</v>
      </c>
      <c r="F93" s="4353">
        <f t="shared" si="55"/>
        <v>0</v>
      </c>
      <c r="G93" s="4353">
        <f t="shared" si="55"/>
        <v>0</v>
      </c>
      <c r="H93" s="4353">
        <f t="shared" si="55"/>
        <v>0</v>
      </c>
      <c r="I93" s="4353">
        <f t="shared" si="55"/>
        <v>0</v>
      </c>
      <c r="J93" s="4353">
        <f t="shared" si="55"/>
        <v>0</v>
      </c>
      <c r="K93" s="4353">
        <f t="shared" si="55"/>
        <v>0</v>
      </c>
      <c r="L93" s="4353">
        <f t="shared" si="55"/>
        <v>0</v>
      </c>
      <c r="M93" s="4353">
        <f t="shared" si="55"/>
        <v>0</v>
      </c>
      <c r="N93" s="4353">
        <f t="shared" si="55"/>
        <v>0</v>
      </c>
      <c r="O93" s="4353">
        <f t="shared" si="55"/>
        <v>0</v>
      </c>
      <c r="P93" s="4353">
        <f t="shared" si="55"/>
        <v>0</v>
      </c>
    </row>
    <row r="94" spans="2:20" hidden="1" x14ac:dyDescent="0.3">
      <c r="B94" s="4291" t="str">
        <f>B84</f>
        <v>Terneros &lt;  6 meses</v>
      </c>
      <c r="C94" s="4292"/>
      <c r="D94" s="4292"/>
      <c r="E94" s="4353">
        <f t="shared" ref="E94:P94" si="56">IF($D84="Contado",E84,0)</f>
        <v>0</v>
      </c>
      <c r="F94" s="4353">
        <f t="shared" si="56"/>
        <v>0</v>
      </c>
      <c r="G94" s="4353">
        <f t="shared" si="56"/>
        <v>0</v>
      </c>
      <c r="H94" s="4353">
        <f t="shared" si="56"/>
        <v>0</v>
      </c>
      <c r="I94" s="4353">
        <f t="shared" si="56"/>
        <v>0</v>
      </c>
      <c r="J94" s="4353">
        <f t="shared" si="56"/>
        <v>0</v>
      </c>
      <c r="K94" s="4353">
        <f t="shared" si="56"/>
        <v>0</v>
      </c>
      <c r="L94" s="4353">
        <f t="shared" si="56"/>
        <v>0</v>
      </c>
      <c r="M94" s="4353">
        <f t="shared" si="56"/>
        <v>0</v>
      </c>
      <c r="N94" s="4353">
        <f t="shared" si="56"/>
        <v>0</v>
      </c>
      <c r="O94" s="4353">
        <f t="shared" si="56"/>
        <v>0</v>
      </c>
      <c r="P94" s="4353">
        <f t="shared" si="56"/>
        <v>0</v>
      </c>
    </row>
    <row r="95" spans="2:20" hidden="1" x14ac:dyDescent="0.3">
      <c r="B95" s="4350" t="s">
        <v>408</v>
      </c>
      <c r="C95" s="4351"/>
      <c r="D95" s="4351"/>
      <c r="E95" s="4352"/>
      <c r="F95" s="4352"/>
      <c r="G95" s="4352"/>
      <c r="H95" s="4352"/>
      <c r="I95" s="4352"/>
      <c r="J95" s="4352"/>
      <c r="K95" s="4352"/>
      <c r="L95" s="4352"/>
      <c r="M95" s="4352"/>
      <c r="N95" s="4352"/>
      <c r="O95" s="4352"/>
      <c r="P95" s="4352"/>
    </row>
    <row r="96" spans="2:20" hidden="1" x14ac:dyDescent="0.3">
      <c r="B96" s="4291" t="str">
        <f>B90</f>
        <v>Vacas descarte - Ganadería</v>
      </c>
      <c r="C96" s="4292"/>
      <c r="D96" s="4292"/>
      <c r="E96" s="4353"/>
      <c r="F96" s="4353">
        <f t="shared" ref="F96:P96" si="57">IF($D80="30 días",E80,0)</f>
        <v>0</v>
      </c>
      <c r="G96" s="4353">
        <f t="shared" si="57"/>
        <v>0</v>
      </c>
      <c r="H96" s="4353">
        <f t="shared" si="57"/>
        <v>0</v>
      </c>
      <c r="I96" s="4353">
        <f t="shared" si="57"/>
        <v>0</v>
      </c>
      <c r="J96" s="4353">
        <f t="shared" si="57"/>
        <v>0</v>
      </c>
      <c r="K96" s="4353">
        <f t="shared" si="57"/>
        <v>0</v>
      </c>
      <c r="L96" s="4353">
        <f t="shared" si="57"/>
        <v>0</v>
      </c>
      <c r="M96" s="4353">
        <f t="shared" si="57"/>
        <v>0</v>
      </c>
      <c r="N96" s="4353">
        <f t="shared" si="57"/>
        <v>0</v>
      </c>
      <c r="O96" s="4353">
        <f t="shared" si="57"/>
        <v>0</v>
      </c>
      <c r="P96" s="4353">
        <f t="shared" si="57"/>
        <v>0</v>
      </c>
    </row>
    <row r="97" spans="1:19" hidden="1" x14ac:dyDescent="0.3">
      <c r="B97" s="4291" t="str">
        <f>B91</f>
        <v>Novillos - 2 a 3 años</v>
      </c>
      <c r="C97" s="4292"/>
      <c r="D97" s="4292"/>
      <c r="E97" s="4353"/>
      <c r="F97" s="4353">
        <f t="shared" ref="F97:P97" si="58">IF($D81="30 días",E81,0)</f>
        <v>0</v>
      </c>
      <c r="G97" s="4353">
        <f t="shared" si="58"/>
        <v>0</v>
      </c>
      <c r="H97" s="4353">
        <f t="shared" si="58"/>
        <v>0</v>
      </c>
      <c r="I97" s="4353">
        <f t="shared" si="58"/>
        <v>0</v>
      </c>
      <c r="J97" s="4353">
        <f t="shared" si="58"/>
        <v>0</v>
      </c>
      <c r="K97" s="4353">
        <f t="shared" si="58"/>
        <v>0</v>
      </c>
      <c r="L97" s="4353">
        <f t="shared" si="58"/>
        <v>0</v>
      </c>
      <c r="M97" s="4353">
        <f t="shared" si="58"/>
        <v>0</v>
      </c>
      <c r="N97" s="4353">
        <f t="shared" si="58"/>
        <v>0</v>
      </c>
      <c r="O97" s="4353">
        <f t="shared" si="58"/>
        <v>0</v>
      </c>
      <c r="P97" s="4353">
        <f t="shared" si="58"/>
        <v>0</v>
      </c>
    </row>
    <row r="98" spans="1:19" hidden="1" x14ac:dyDescent="0.3">
      <c r="B98" s="4291" t="str">
        <f>B92</f>
        <v>Novillos - 1 a 2 años</v>
      </c>
      <c r="C98" s="4292"/>
      <c r="D98" s="4292"/>
      <c r="E98" s="4353"/>
      <c r="F98" s="4353">
        <f t="shared" ref="F98:P98" si="59">IF($D82="30 días",E82,0)</f>
        <v>0</v>
      </c>
      <c r="G98" s="4353">
        <f t="shared" si="59"/>
        <v>0</v>
      </c>
      <c r="H98" s="4353">
        <f t="shared" si="59"/>
        <v>0</v>
      </c>
      <c r="I98" s="4353">
        <f t="shared" si="59"/>
        <v>0</v>
      </c>
      <c r="J98" s="4353">
        <f t="shared" si="59"/>
        <v>0</v>
      </c>
      <c r="K98" s="4353">
        <f t="shared" si="59"/>
        <v>0</v>
      </c>
      <c r="L98" s="4353">
        <f t="shared" si="59"/>
        <v>0</v>
      </c>
      <c r="M98" s="4353">
        <f t="shared" si="59"/>
        <v>0</v>
      </c>
      <c r="N98" s="4353">
        <f t="shared" si="59"/>
        <v>0</v>
      </c>
      <c r="O98" s="4353">
        <f t="shared" si="59"/>
        <v>0</v>
      </c>
      <c r="P98" s="4353">
        <f t="shared" si="59"/>
        <v>0</v>
      </c>
    </row>
    <row r="99" spans="1:19" hidden="1" x14ac:dyDescent="0.3">
      <c r="B99" s="4291" t="str">
        <f>B93</f>
        <v>Terneros &gt; 6 meses &lt; 1 año</v>
      </c>
      <c r="C99" s="4292"/>
      <c r="D99" s="4292"/>
      <c r="E99" s="4353"/>
      <c r="F99" s="4353">
        <f t="shared" ref="F99:P99" si="60">IF($D83="30 días",E83,0)</f>
        <v>0</v>
      </c>
      <c r="G99" s="4353">
        <f t="shared" si="60"/>
        <v>0</v>
      </c>
      <c r="H99" s="4353">
        <f t="shared" si="60"/>
        <v>0</v>
      </c>
      <c r="I99" s="4353">
        <f t="shared" si="60"/>
        <v>0</v>
      </c>
      <c r="J99" s="4353">
        <f t="shared" si="60"/>
        <v>0</v>
      </c>
      <c r="K99" s="4353">
        <f t="shared" si="60"/>
        <v>0</v>
      </c>
      <c r="L99" s="4353">
        <f t="shared" si="60"/>
        <v>0</v>
      </c>
      <c r="M99" s="4353">
        <f t="shared" si="60"/>
        <v>0</v>
      </c>
      <c r="N99" s="4353">
        <f t="shared" si="60"/>
        <v>0</v>
      </c>
      <c r="O99" s="4353">
        <f t="shared" si="60"/>
        <v>0</v>
      </c>
      <c r="P99" s="4353">
        <f t="shared" si="60"/>
        <v>0</v>
      </c>
    </row>
    <row r="100" spans="1:19" hidden="1" x14ac:dyDescent="0.3">
      <c r="B100" s="4291" t="str">
        <f>B94</f>
        <v>Terneros &lt;  6 meses</v>
      </c>
      <c r="C100" s="4292"/>
      <c r="D100" s="4292"/>
      <c r="E100" s="4353"/>
      <c r="F100" s="4353">
        <f t="shared" ref="F100:P100" si="61">IF($D84="30 días",E84,0)</f>
        <v>0</v>
      </c>
      <c r="G100" s="4353">
        <f t="shared" si="61"/>
        <v>0</v>
      </c>
      <c r="H100" s="4353">
        <f t="shared" si="61"/>
        <v>0</v>
      </c>
      <c r="I100" s="4353">
        <f t="shared" si="61"/>
        <v>0</v>
      </c>
      <c r="J100" s="4353">
        <f t="shared" si="61"/>
        <v>0</v>
      </c>
      <c r="K100" s="4353">
        <f t="shared" si="61"/>
        <v>0</v>
      </c>
      <c r="L100" s="4353">
        <f t="shared" si="61"/>
        <v>0</v>
      </c>
      <c r="M100" s="4353">
        <f t="shared" si="61"/>
        <v>0</v>
      </c>
      <c r="N100" s="4353">
        <f t="shared" si="61"/>
        <v>0</v>
      </c>
      <c r="O100" s="4353">
        <f t="shared" si="61"/>
        <v>0</v>
      </c>
      <c r="P100" s="4353">
        <f t="shared" si="61"/>
        <v>0</v>
      </c>
    </row>
    <row r="101" spans="1:19" hidden="1" x14ac:dyDescent="0.3">
      <c r="B101" s="4350" t="s">
        <v>409</v>
      </c>
      <c r="C101" s="4351"/>
      <c r="D101" s="4351"/>
      <c r="E101" s="4352"/>
      <c r="F101" s="4352"/>
      <c r="G101" s="4352"/>
      <c r="H101" s="4352"/>
      <c r="I101" s="4352"/>
      <c r="J101" s="4352"/>
      <c r="K101" s="4352"/>
      <c r="L101" s="4352"/>
      <c r="M101" s="4352"/>
      <c r="N101" s="4352"/>
      <c r="O101" s="4352"/>
      <c r="P101" s="4352"/>
    </row>
    <row r="102" spans="1:19" hidden="1" x14ac:dyDescent="0.3">
      <c r="B102" s="4359" t="str">
        <f>B96</f>
        <v>Vacas descarte - Ganadería</v>
      </c>
      <c r="C102" s="4292"/>
      <c r="D102" s="4292"/>
      <c r="E102" s="4353"/>
      <c r="F102" s="4353"/>
      <c r="G102" s="4294">
        <f t="shared" ref="G102:P106" si="62">IF($D80="60 días",E80,0)</f>
        <v>0</v>
      </c>
      <c r="H102" s="4294">
        <f t="shared" si="62"/>
        <v>0</v>
      </c>
      <c r="I102" s="4294">
        <f t="shared" si="62"/>
        <v>0</v>
      </c>
      <c r="J102" s="4294">
        <f t="shared" si="62"/>
        <v>0</v>
      </c>
      <c r="K102" s="4294">
        <f t="shared" si="62"/>
        <v>0</v>
      </c>
      <c r="L102" s="4294">
        <f t="shared" si="62"/>
        <v>0</v>
      </c>
      <c r="M102" s="4294">
        <f t="shared" si="62"/>
        <v>0</v>
      </c>
      <c r="N102" s="4294">
        <f t="shared" si="62"/>
        <v>0</v>
      </c>
      <c r="O102" s="4294">
        <f t="shared" si="62"/>
        <v>0</v>
      </c>
      <c r="P102" s="4294">
        <f t="shared" si="62"/>
        <v>0</v>
      </c>
    </row>
    <row r="103" spans="1:19" hidden="1" x14ac:dyDescent="0.3">
      <c r="B103" s="4359" t="str">
        <f>B97</f>
        <v>Novillos - 2 a 3 años</v>
      </c>
      <c r="C103" s="4292"/>
      <c r="D103" s="4292"/>
      <c r="E103" s="4294"/>
      <c r="F103" s="4294"/>
      <c r="G103" s="4294">
        <f t="shared" si="62"/>
        <v>0</v>
      </c>
      <c r="H103" s="4294">
        <f t="shared" si="62"/>
        <v>0</v>
      </c>
      <c r="I103" s="4294">
        <f t="shared" si="62"/>
        <v>0</v>
      </c>
      <c r="J103" s="4294">
        <f t="shared" si="62"/>
        <v>0</v>
      </c>
      <c r="K103" s="4294">
        <f t="shared" si="62"/>
        <v>0</v>
      </c>
      <c r="L103" s="4294">
        <f t="shared" si="62"/>
        <v>0</v>
      </c>
      <c r="M103" s="4294">
        <f t="shared" si="62"/>
        <v>0</v>
      </c>
      <c r="N103" s="4294">
        <f t="shared" si="62"/>
        <v>0</v>
      </c>
      <c r="O103" s="4294">
        <f t="shared" si="62"/>
        <v>0</v>
      </c>
      <c r="P103" s="4294">
        <f t="shared" si="62"/>
        <v>0</v>
      </c>
    </row>
    <row r="104" spans="1:19" hidden="1" x14ac:dyDescent="0.3">
      <c r="B104" s="4359" t="str">
        <f>B98</f>
        <v>Novillos - 1 a 2 años</v>
      </c>
      <c r="C104" s="4292"/>
      <c r="D104" s="4292"/>
      <c r="E104" s="4294"/>
      <c r="F104" s="4294"/>
      <c r="G104" s="4294">
        <f t="shared" si="62"/>
        <v>0</v>
      </c>
      <c r="H104" s="4294">
        <f t="shared" si="62"/>
        <v>0</v>
      </c>
      <c r="I104" s="4294">
        <f t="shared" si="62"/>
        <v>0</v>
      </c>
      <c r="J104" s="4294">
        <f t="shared" si="62"/>
        <v>0</v>
      </c>
      <c r="K104" s="4294">
        <f t="shared" si="62"/>
        <v>0</v>
      </c>
      <c r="L104" s="4294">
        <f t="shared" si="62"/>
        <v>0</v>
      </c>
      <c r="M104" s="4294">
        <f t="shared" si="62"/>
        <v>0</v>
      </c>
      <c r="N104" s="4294">
        <f t="shared" si="62"/>
        <v>0</v>
      </c>
      <c r="O104" s="4294">
        <f t="shared" si="62"/>
        <v>0</v>
      </c>
      <c r="P104" s="4294">
        <f t="shared" si="62"/>
        <v>0</v>
      </c>
    </row>
    <row r="105" spans="1:19" hidden="1" x14ac:dyDescent="0.3">
      <c r="B105" s="4359" t="str">
        <f>B99</f>
        <v>Terneros &gt; 6 meses &lt; 1 año</v>
      </c>
      <c r="C105" s="4292"/>
      <c r="D105" s="4292"/>
      <c r="E105" s="4294"/>
      <c r="F105" s="4294"/>
      <c r="G105" s="4294">
        <f t="shared" si="62"/>
        <v>0</v>
      </c>
      <c r="H105" s="4294">
        <f t="shared" si="62"/>
        <v>0</v>
      </c>
      <c r="I105" s="4294">
        <f t="shared" si="62"/>
        <v>0</v>
      </c>
      <c r="J105" s="4294">
        <f t="shared" si="62"/>
        <v>0</v>
      </c>
      <c r="K105" s="4294">
        <f t="shared" si="62"/>
        <v>0</v>
      </c>
      <c r="L105" s="4294">
        <f t="shared" si="62"/>
        <v>0</v>
      </c>
      <c r="M105" s="4294">
        <f t="shared" si="62"/>
        <v>0</v>
      </c>
      <c r="N105" s="4294">
        <f t="shared" si="62"/>
        <v>0</v>
      </c>
      <c r="O105" s="4294">
        <f t="shared" si="62"/>
        <v>0</v>
      </c>
      <c r="P105" s="4294">
        <f t="shared" si="62"/>
        <v>0</v>
      </c>
    </row>
    <row r="106" spans="1:19" hidden="1" x14ac:dyDescent="0.3">
      <c r="B106" s="4359" t="str">
        <f>B100</f>
        <v>Terneros &lt;  6 meses</v>
      </c>
      <c r="C106" s="4292"/>
      <c r="D106" s="4292"/>
      <c r="E106" s="4294"/>
      <c r="F106" s="4294"/>
      <c r="G106" s="4294">
        <f t="shared" si="62"/>
        <v>0</v>
      </c>
      <c r="H106" s="4294">
        <f t="shared" si="62"/>
        <v>0</v>
      </c>
      <c r="I106" s="4294">
        <f t="shared" si="62"/>
        <v>0</v>
      </c>
      <c r="J106" s="4294">
        <f t="shared" si="62"/>
        <v>0</v>
      </c>
      <c r="K106" s="4294">
        <f t="shared" si="62"/>
        <v>0</v>
      </c>
      <c r="L106" s="4294">
        <f t="shared" si="62"/>
        <v>0</v>
      </c>
      <c r="M106" s="4294">
        <f t="shared" si="62"/>
        <v>0</v>
      </c>
      <c r="N106" s="4294">
        <f t="shared" si="62"/>
        <v>0</v>
      </c>
      <c r="O106" s="4294">
        <f t="shared" si="62"/>
        <v>0</v>
      </c>
      <c r="P106" s="4294">
        <f t="shared" si="62"/>
        <v>0</v>
      </c>
    </row>
    <row r="107" spans="1:19" ht="15.05" thickBot="1" x14ac:dyDescent="0.35">
      <c r="C107" s="3437"/>
      <c r="D107" s="3437"/>
      <c r="E107" s="3724"/>
      <c r="F107" s="3724"/>
      <c r="G107" s="3724"/>
      <c r="H107" s="3724"/>
      <c r="I107" s="3724"/>
      <c r="J107" s="3724"/>
      <c r="K107" s="3724"/>
      <c r="L107" s="3724"/>
      <c r="M107" s="3724"/>
      <c r="N107" s="3724"/>
      <c r="O107" s="3724"/>
      <c r="P107" s="3724"/>
    </row>
    <row r="108" spans="1:19" ht="15.05" thickBot="1" x14ac:dyDescent="0.35">
      <c r="A108" s="2487">
        <f>+A78+1</f>
        <v>117</v>
      </c>
      <c r="B108" s="2488" t="s">
        <v>2370</v>
      </c>
      <c r="C108" s="2489"/>
      <c r="D108" s="2490"/>
      <c r="E108" s="2489"/>
      <c r="F108" s="2489"/>
      <c r="G108" s="2489"/>
      <c r="H108" s="2489"/>
      <c r="I108" s="2489"/>
      <c r="J108" s="2489"/>
      <c r="K108" s="2489"/>
      <c r="L108" s="2489"/>
      <c r="M108" s="2489"/>
      <c r="N108" s="2489"/>
      <c r="O108" s="2489"/>
      <c r="P108" s="2489"/>
      <c r="Q108" s="2491"/>
    </row>
    <row r="109" spans="1:19" s="3452" customFormat="1" x14ac:dyDescent="0.3">
      <c r="B109" s="4360" t="str">
        <f>UsoSuelo!D347</f>
        <v>Soja</v>
      </c>
      <c r="C109" s="4361"/>
      <c r="D109" s="4361"/>
      <c r="E109" s="4362" t="str">
        <f t="shared" ref="E109:Q109" si="63">+E7</f>
        <v>Ene</v>
      </c>
      <c r="F109" s="4362" t="str">
        <f t="shared" si="63"/>
        <v>Feb</v>
      </c>
      <c r="G109" s="4362" t="str">
        <f t="shared" si="63"/>
        <v>Mar</v>
      </c>
      <c r="H109" s="4362" t="str">
        <f t="shared" si="63"/>
        <v>Abr</v>
      </c>
      <c r="I109" s="4362" t="str">
        <f t="shared" si="63"/>
        <v>May</v>
      </c>
      <c r="J109" s="4362" t="str">
        <f t="shared" si="63"/>
        <v>Jun</v>
      </c>
      <c r="K109" s="4362" t="str">
        <f t="shared" si="63"/>
        <v>Jul</v>
      </c>
      <c r="L109" s="4362" t="str">
        <f t="shared" si="63"/>
        <v>Ago</v>
      </c>
      <c r="M109" s="4362" t="str">
        <f t="shared" si="63"/>
        <v>Set</v>
      </c>
      <c r="N109" s="4362" t="str">
        <f t="shared" si="63"/>
        <v>Oct</v>
      </c>
      <c r="O109" s="4362" t="str">
        <f t="shared" si="63"/>
        <v>Nov</v>
      </c>
      <c r="P109" s="4363" t="str">
        <f t="shared" si="63"/>
        <v>Dic</v>
      </c>
      <c r="Q109" s="3522" t="str">
        <f t="shared" si="63"/>
        <v>Total</v>
      </c>
      <c r="R109" s="3453"/>
      <c r="S109" s="3453"/>
    </row>
    <row r="110" spans="1:19" s="3440" customFormat="1" ht="15.05" hidden="1" thickBot="1" x14ac:dyDescent="0.35">
      <c r="A110" s="4364"/>
      <c r="B110" s="4365" t="s">
        <v>704</v>
      </c>
      <c r="C110" s="4366">
        <f>+UsoSuelo!U347</f>
        <v>0</v>
      </c>
      <c r="D110" s="4366" t="s">
        <v>247</v>
      </c>
      <c r="E110" s="4367"/>
      <c r="F110" s="4367"/>
      <c r="G110" s="4367"/>
      <c r="H110" s="4367"/>
      <c r="I110" s="4367"/>
      <c r="J110" s="4367"/>
      <c r="K110" s="4367"/>
      <c r="L110" s="4367"/>
      <c r="M110" s="4367"/>
      <c r="N110" s="4367"/>
      <c r="O110" s="4367"/>
      <c r="P110" s="4368"/>
      <c r="Q110" s="4369"/>
      <c r="R110" s="3453"/>
      <c r="S110" s="3453"/>
    </row>
    <row r="111" spans="1:19" s="3452" customFormat="1" hidden="1" x14ac:dyDescent="0.3">
      <c r="A111" s="4370"/>
      <c r="B111" s="4371" t="s">
        <v>435</v>
      </c>
      <c r="C111" s="4372">
        <f>UsoSuelo!T347</f>
        <v>0</v>
      </c>
      <c r="D111" s="4372" t="s">
        <v>247</v>
      </c>
      <c r="E111" s="4373"/>
      <c r="F111" s="4373"/>
      <c r="G111" s="4373"/>
      <c r="H111" s="4373"/>
      <c r="I111" s="4373"/>
      <c r="J111" s="4373"/>
      <c r="K111" s="4373"/>
      <c r="L111" s="4373"/>
      <c r="M111" s="4373"/>
      <c r="N111" s="4373"/>
      <c r="O111" s="4373"/>
      <c r="P111" s="4374"/>
      <c r="Q111" s="4375"/>
    </row>
    <row r="112" spans="1:19" s="3452" customFormat="1" hidden="1" x14ac:dyDescent="0.3">
      <c r="A112" s="4370"/>
      <c r="B112" s="4371" t="s">
        <v>433</v>
      </c>
      <c r="C112" s="4376">
        <f>Precios!C194</f>
        <v>3</v>
      </c>
      <c r="D112" s="4372" t="s">
        <v>434</v>
      </c>
      <c r="E112" s="4373"/>
      <c r="F112" s="4373"/>
      <c r="G112" s="4373"/>
      <c r="H112" s="4373"/>
      <c r="I112" s="4373"/>
      <c r="J112" s="4373"/>
      <c r="K112" s="4373"/>
      <c r="L112" s="4373"/>
      <c r="M112" s="4373"/>
      <c r="N112" s="4373"/>
      <c r="O112" s="4373"/>
      <c r="P112" s="4374"/>
      <c r="Q112" s="4375"/>
    </row>
    <row r="113" spans="1:19" s="3452" customFormat="1" hidden="1" x14ac:dyDescent="0.3">
      <c r="A113" s="4370"/>
      <c r="B113" s="4371" t="s">
        <v>425</v>
      </c>
      <c r="C113" s="4372">
        <f>C112*C111</f>
        <v>0</v>
      </c>
      <c r="D113" s="4372" t="s">
        <v>338</v>
      </c>
      <c r="E113" s="4373"/>
      <c r="F113" s="4373"/>
      <c r="G113" s="4373"/>
      <c r="H113" s="4373"/>
      <c r="I113" s="4373"/>
      <c r="J113" s="4373"/>
      <c r="K113" s="4373"/>
      <c r="L113" s="4373"/>
      <c r="M113" s="4373"/>
      <c r="N113" s="4373"/>
      <c r="O113" s="4373"/>
      <c r="P113" s="4374"/>
      <c r="Q113" s="4375"/>
    </row>
    <row r="114" spans="1:19" s="3452" customFormat="1" hidden="1" x14ac:dyDescent="0.3">
      <c r="A114" s="4370"/>
      <c r="B114" s="4371" t="s">
        <v>426</v>
      </c>
      <c r="C114" s="4372">
        <f>Alimentos!T439</f>
        <v>0</v>
      </c>
      <c r="D114" s="4372" t="s">
        <v>338</v>
      </c>
      <c r="E114" s="4373"/>
      <c r="F114" s="4373"/>
      <c r="G114" s="4373"/>
      <c r="H114" s="4373"/>
      <c r="I114" s="4373"/>
      <c r="J114" s="4373"/>
      <c r="K114" s="4373"/>
      <c r="L114" s="4373"/>
      <c r="M114" s="4373"/>
      <c r="N114" s="4373"/>
      <c r="O114" s="4373"/>
      <c r="P114" s="4374"/>
      <c r="Q114" s="4375"/>
    </row>
    <row r="115" spans="1:19" s="3452" customFormat="1" hidden="1" x14ac:dyDescent="0.3">
      <c r="A115" s="4370"/>
      <c r="B115" s="4377" t="s">
        <v>427</v>
      </c>
      <c r="C115" s="4378">
        <f>C113-C114</f>
        <v>0</v>
      </c>
      <c r="D115" s="4379" t="s">
        <v>338</v>
      </c>
      <c r="E115" s="4380">
        <f t="shared" ref="E115:P115" si="64">IF($C117=E$7,$C115,0)</f>
        <v>0</v>
      </c>
      <c r="F115" s="4380">
        <f t="shared" si="64"/>
        <v>0</v>
      </c>
      <c r="G115" s="4380">
        <f t="shared" si="64"/>
        <v>0</v>
      </c>
      <c r="H115" s="4380">
        <f t="shared" si="64"/>
        <v>0</v>
      </c>
      <c r="I115" s="4380">
        <f t="shared" si="64"/>
        <v>0</v>
      </c>
      <c r="J115" s="4380">
        <f t="shared" si="64"/>
        <v>0</v>
      </c>
      <c r="K115" s="4380">
        <f t="shared" si="64"/>
        <v>0</v>
      </c>
      <c r="L115" s="4380">
        <f t="shared" si="64"/>
        <v>0</v>
      </c>
      <c r="M115" s="4380">
        <f t="shared" si="64"/>
        <v>0</v>
      </c>
      <c r="N115" s="4380">
        <f t="shared" si="64"/>
        <v>0</v>
      </c>
      <c r="O115" s="4380">
        <f t="shared" si="64"/>
        <v>0</v>
      </c>
      <c r="P115" s="4381">
        <f t="shared" si="64"/>
        <v>0</v>
      </c>
      <c r="Q115" s="4382" t="str">
        <f>B115&amp;B109</f>
        <v>Saldo Vendible Soja</v>
      </c>
    </row>
    <row r="116" spans="1:19" s="3452" customFormat="1" hidden="1" x14ac:dyDescent="0.3">
      <c r="A116" s="4370"/>
      <c r="B116" s="4371" t="s">
        <v>428</v>
      </c>
      <c r="C116" s="4372">
        <f>VLOOKUP(B109,Precios!$B$194:$G$205,6,FALSE)</f>
        <v>280</v>
      </c>
      <c r="D116" s="4383" t="s">
        <v>432</v>
      </c>
      <c r="E116" s="4373"/>
      <c r="F116" s="4373"/>
      <c r="G116" s="4373"/>
      <c r="H116" s="4373"/>
      <c r="I116" s="4373"/>
      <c r="J116" s="4373"/>
      <c r="K116" s="4373"/>
      <c r="L116" s="4373"/>
      <c r="M116" s="4373"/>
      <c r="N116" s="4373"/>
      <c r="O116" s="4373"/>
      <c r="P116" s="4374"/>
      <c r="Q116" s="4375"/>
    </row>
    <row r="117" spans="1:19" s="3440" customFormat="1" ht="15.05" hidden="1" thickBot="1" x14ac:dyDescent="0.35">
      <c r="A117" s="4364"/>
      <c r="B117" s="4384" t="s">
        <v>429</v>
      </c>
      <c r="C117" s="4385">
        <f>IF(B109=0,0,VLOOKUP(B109,Precios!$B$194:$F$205,Precios!$F$206,FALSE))</f>
        <v>0</v>
      </c>
      <c r="D117" s="4385" t="s">
        <v>431</v>
      </c>
      <c r="E117" s="4386"/>
      <c r="F117" s="4386"/>
      <c r="G117" s="4386"/>
      <c r="H117" s="4386"/>
      <c r="I117" s="4386"/>
      <c r="J117" s="4386"/>
      <c r="K117" s="4386"/>
      <c r="L117" s="4386"/>
      <c r="M117" s="4386"/>
      <c r="N117" s="4386"/>
      <c r="O117" s="4386"/>
      <c r="P117" s="4387"/>
      <c r="Q117" s="4375"/>
    </row>
    <row r="118" spans="1:19" s="3440" customFormat="1" ht="15.05" thickBot="1" x14ac:dyDescent="0.35">
      <c r="B118" s="4388" t="s">
        <v>430</v>
      </c>
      <c r="C118" s="4104"/>
      <c r="D118" s="4104"/>
      <c r="E118" s="4389">
        <f>IF($C$117=E$7,$C$113*$C$116,0)</f>
        <v>0</v>
      </c>
      <c r="F118" s="4389">
        <f t="shared" ref="F118:P118" si="65">IF($C$117=F$7,$C$113*$C$116,0)</f>
        <v>0</v>
      </c>
      <c r="G118" s="4389">
        <f t="shared" si="65"/>
        <v>0</v>
      </c>
      <c r="H118" s="4389">
        <f t="shared" si="65"/>
        <v>0</v>
      </c>
      <c r="I118" s="4389">
        <f t="shared" si="65"/>
        <v>0</v>
      </c>
      <c r="J118" s="4389">
        <f t="shared" si="65"/>
        <v>0</v>
      </c>
      <c r="K118" s="4389">
        <f t="shared" si="65"/>
        <v>0</v>
      </c>
      <c r="L118" s="4389">
        <f t="shared" si="65"/>
        <v>0</v>
      </c>
      <c r="M118" s="4389">
        <f t="shared" si="65"/>
        <v>0</v>
      </c>
      <c r="N118" s="4389">
        <f t="shared" si="65"/>
        <v>0</v>
      </c>
      <c r="O118" s="4389">
        <f t="shared" si="65"/>
        <v>0</v>
      </c>
      <c r="P118" s="4390">
        <f t="shared" si="65"/>
        <v>0</v>
      </c>
      <c r="Q118" s="3851"/>
    </row>
    <row r="119" spans="1:19" s="3452" customFormat="1" x14ac:dyDescent="0.3">
      <c r="B119" s="4391" t="str">
        <f>UsoSuelo!D348</f>
        <v>Soja 2ª</v>
      </c>
      <c r="C119" s="4392"/>
      <c r="D119" s="4392"/>
      <c r="E119" s="4393"/>
      <c r="F119" s="4393"/>
      <c r="G119" s="4393"/>
      <c r="H119" s="4393"/>
      <c r="I119" s="4393"/>
      <c r="J119" s="4393"/>
      <c r="K119" s="4393"/>
      <c r="L119" s="4393"/>
      <c r="M119" s="4393"/>
      <c r="N119" s="4393"/>
      <c r="O119" s="4393"/>
      <c r="P119" s="4394"/>
      <c r="Q119" s="3522"/>
      <c r="R119" s="3453"/>
      <c r="S119" s="3453"/>
    </row>
    <row r="120" spans="1:19" s="3440" customFormat="1" ht="15.05" hidden="1" thickBot="1" x14ac:dyDescent="0.35">
      <c r="A120" s="4364"/>
      <c r="B120" s="4365" t="s">
        <v>704</v>
      </c>
      <c r="C120" s="4366">
        <f>+UsoSuelo!U348</f>
        <v>0</v>
      </c>
      <c r="D120" s="4366" t="s">
        <v>247</v>
      </c>
      <c r="E120" s="4367"/>
      <c r="F120" s="4367"/>
      <c r="G120" s="4367"/>
      <c r="H120" s="4367"/>
      <c r="I120" s="4367"/>
      <c r="J120" s="4367"/>
      <c r="K120" s="4367"/>
      <c r="L120" s="4367"/>
      <c r="M120" s="4367"/>
      <c r="N120" s="4367"/>
      <c r="O120" s="4367"/>
      <c r="P120" s="4368"/>
      <c r="Q120" s="4369"/>
      <c r="R120" s="3453"/>
      <c r="S120" s="3453"/>
    </row>
    <row r="121" spans="1:19" s="3452" customFormat="1" hidden="1" x14ac:dyDescent="0.3">
      <c r="A121" s="4370"/>
      <c r="B121" s="4371" t="s">
        <v>435</v>
      </c>
      <c r="C121" s="4372">
        <f>UsoSuelo!T348</f>
        <v>0</v>
      </c>
      <c r="D121" s="4372" t="s">
        <v>247</v>
      </c>
      <c r="E121" s="4373"/>
      <c r="F121" s="4373"/>
      <c r="G121" s="4373"/>
      <c r="H121" s="4373"/>
      <c r="I121" s="4373"/>
      <c r="J121" s="4373"/>
      <c r="K121" s="4373"/>
      <c r="L121" s="4373"/>
      <c r="M121" s="4373"/>
      <c r="N121" s="4373"/>
      <c r="O121" s="4373"/>
      <c r="P121" s="4374"/>
      <c r="Q121" s="4375"/>
    </row>
    <row r="122" spans="1:19" s="3452" customFormat="1" hidden="1" x14ac:dyDescent="0.3">
      <c r="A122" s="4370"/>
      <c r="B122" s="4371" t="s">
        <v>433</v>
      </c>
      <c r="C122" s="4376">
        <f>Precios!C195</f>
        <v>0</v>
      </c>
      <c r="D122" s="4372" t="s">
        <v>434</v>
      </c>
      <c r="E122" s="4373"/>
      <c r="F122" s="4373"/>
      <c r="G122" s="4373"/>
      <c r="H122" s="4373"/>
      <c r="I122" s="4373"/>
      <c r="J122" s="4373"/>
      <c r="K122" s="4373"/>
      <c r="L122" s="4373"/>
      <c r="M122" s="4373"/>
      <c r="N122" s="4373"/>
      <c r="O122" s="4373"/>
      <c r="P122" s="4374"/>
      <c r="Q122" s="4375"/>
    </row>
    <row r="123" spans="1:19" s="3452" customFormat="1" hidden="1" x14ac:dyDescent="0.3">
      <c r="A123" s="4370"/>
      <c r="B123" s="4371" t="s">
        <v>425</v>
      </c>
      <c r="C123" s="4372">
        <f>C122*C121</f>
        <v>0</v>
      </c>
      <c r="D123" s="4372" t="s">
        <v>338</v>
      </c>
      <c r="E123" s="4373"/>
      <c r="F123" s="4373"/>
      <c r="G123" s="4373"/>
      <c r="H123" s="4373"/>
      <c r="I123" s="4373"/>
      <c r="J123" s="4373"/>
      <c r="K123" s="4373"/>
      <c r="L123" s="4373"/>
      <c r="M123" s="4373"/>
      <c r="N123" s="4373"/>
      <c r="O123" s="4373"/>
      <c r="P123" s="4374"/>
      <c r="Q123" s="4375"/>
    </row>
    <row r="124" spans="1:19" s="3452" customFormat="1" hidden="1" x14ac:dyDescent="0.3">
      <c r="A124" s="4370"/>
      <c r="B124" s="4371" t="s">
        <v>426</v>
      </c>
      <c r="C124" s="4372">
        <f>Alimentos!S440</f>
        <v>0</v>
      </c>
      <c r="D124" s="4372" t="s">
        <v>338</v>
      </c>
      <c r="E124" s="4373"/>
      <c r="F124" s="4373"/>
      <c r="G124" s="4373"/>
      <c r="H124" s="4373"/>
      <c r="I124" s="4373"/>
      <c r="J124" s="4373"/>
      <c r="K124" s="4373"/>
      <c r="L124" s="4373"/>
      <c r="M124" s="4373"/>
      <c r="N124" s="4373"/>
      <c r="O124" s="4373"/>
      <c r="P124" s="4374"/>
      <c r="Q124" s="4375"/>
    </row>
    <row r="125" spans="1:19" s="3452" customFormat="1" hidden="1" x14ac:dyDescent="0.3">
      <c r="A125" s="4370"/>
      <c r="B125" s="4377" t="s">
        <v>427</v>
      </c>
      <c r="C125" s="4378">
        <f>C123-C124</f>
        <v>0</v>
      </c>
      <c r="D125" s="4379" t="s">
        <v>338</v>
      </c>
      <c r="E125" s="4380">
        <f>IF($C127=E$7,$C125,0)</f>
        <v>0</v>
      </c>
      <c r="F125" s="4380">
        <f t="shared" ref="F125:P125" si="66">IF($C127=F$7,$C125,0)</f>
        <v>0</v>
      </c>
      <c r="G125" s="4380">
        <f t="shared" si="66"/>
        <v>0</v>
      </c>
      <c r="H125" s="4380">
        <f t="shared" si="66"/>
        <v>0</v>
      </c>
      <c r="I125" s="4380">
        <f t="shared" si="66"/>
        <v>0</v>
      </c>
      <c r="J125" s="4380">
        <f t="shared" si="66"/>
        <v>0</v>
      </c>
      <c r="K125" s="4380">
        <f t="shared" si="66"/>
        <v>0</v>
      </c>
      <c r="L125" s="4380">
        <f t="shared" si="66"/>
        <v>0</v>
      </c>
      <c r="M125" s="4380">
        <f t="shared" si="66"/>
        <v>0</v>
      </c>
      <c r="N125" s="4380">
        <f t="shared" si="66"/>
        <v>0</v>
      </c>
      <c r="O125" s="4380">
        <f t="shared" si="66"/>
        <v>0</v>
      </c>
      <c r="P125" s="4381">
        <f t="shared" si="66"/>
        <v>0</v>
      </c>
      <c r="Q125" s="4382" t="str">
        <f>B125&amp;B119</f>
        <v>Saldo Vendible Soja 2ª</v>
      </c>
    </row>
    <row r="126" spans="1:19" s="3452" customFormat="1" hidden="1" x14ac:dyDescent="0.3">
      <c r="A126" s="4370"/>
      <c r="B126" s="4371" t="s">
        <v>428</v>
      </c>
      <c r="C126" s="4372">
        <f>VLOOKUP(B119,Precios!$B$194:$G$205,6,FALSE)</f>
        <v>0</v>
      </c>
      <c r="D126" s="4383" t="s">
        <v>432</v>
      </c>
      <c r="E126" s="4373"/>
      <c r="F126" s="4373"/>
      <c r="G126" s="4373"/>
      <c r="H126" s="4373"/>
      <c r="I126" s="4373"/>
      <c r="J126" s="4373"/>
      <c r="K126" s="4373"/>
      <c r="L126" s="4373"/>
      <c r="M126" s="4373"/>
      <c r="N126" s="4373"/>
      <c r="O126" s="4373"/>
      <c r="P126" s="4374"/>
      <c r="Q126" s="4375"/>
    </row>
    <row r="127" spans="1:19" s="3440" customFormat="1" ht="15.05" hidden="1" thickBot="1" x14ac:dyDescent="0.35">
      <c r="A127" s="4364"/>
      <c r="B127" s="4384" t="s">
        <v>429</v>
      </c>
      <c r="C127" s="4385">
        <f>IF(B119=0,0,VLOOKUP(B119,Precios!$B$194:$F$205,Precios!$F$206,FALSE))</f>
        <v>0</v>
      </c>
      <c r="D127" s="4385" t="s">
        <v>431</v>
      </c>
      <c r="E127" s="4386"/>
      <c r="F127" s="4386"/>
      <c r="G127" s="4386"/>
      <c r="H127" s="4386"/>
      <c r="I127" s="4386"/>
      <c r="J127" s="4386"/>
      <c r="K127" s="4386"/>
      <c r="L127" s="4386"/>
      <c r="M127" s="4386"/>
      <c r="N127" s="4386"/>
      <c r="O127" s="4386"/>
      <c r="P127" s="4387"/>
      <c r="Q127" s="4375"/>
    </row>
    <row r="128" spans="1:19" s="3440" customFormat="1" ht="15.05" thickBot="1" x14ac:dyDescent="0.35">
      <c r="B128" s="4388" t="s">
        <v>430</v>
      </c>
      <c r="C128" s="4104"/>
      <c r="D128" s="4104"/>
      <c r="E128" s="4389">
        <f>IF($C$127=E$7,$C$123*$C$126,0)</f>
        <v>0</v>
      </c>
      <c r="F128" s="4389">
        <f t="shared" ref="F128:P128" si="67">IF($C$127=F$7,$C$123*$C$126,0)</f>
        <v>0</v>
      </c>
      <c r="G128" s="4389">
        <f t="shared" si="67"/>
        <v>0</v>
      </c>
      <c r="H128" s="4389">
        <f t="shared" si="67"/>
        <v>0</v>
      </c>
      <c r="I128" s="4389">
        <f t="shared" si="67"/>
        <v>0</v>
      </c>
      <c r="J128" s="4389">
        <f t="shared" si="67"/>
        <v>0</v>
      </c>
      <c r="K128" s="4389">
        <f t="shared" si="67"/>
        <v>0</v>
      </c>
      <c r="L128" s="4389">
        <f t="shared" si="67"/>
        <v>0</v>
      </c>
      <c r="M128" s="4389">
        <f t="shared" si="67"/>
        <v>0</v>
      </c>
      <c r="N128" s="4389">
        <f t="shared" si="67"/>
        <v>0</v>
      </c>
      <c r="O128" s="4389">
        <f t="shared" si="67"/>
        <v>0</v>
      </c>
      <c r="P128" s="4390">
        <f t="shared" si="67"/>
        <v>0</v>
      </c>
      <c r="Q128" s="3851"/>
    </row>
    <row r="129" spans="1:19" s="3452" customFormat="1" x14ac:dyDescent="0.3">
      <c r="B129" s="4391" t="str">
        <f>UsoSuelo!D349</f>
        <v>Maíz Grano</v>
      </c>
      <c r="C129" s="4392"/>
      <c r="D129" s="4392"/>
      <c r="E129" s="4393"/>
      <c r="F129" s="4393"/>
      <c r="G129" s="4393"/>
      <c r="H129" s="4393"/>
      <c r="I129" s="4393"/>
      <c r="J129" s="4393"/>
      <c r="K129" s="4393"/>
      <c r="L129" s="4393"/>
      <c r="M129" s="4393"/>
      <c r="N129" s="4393"/>
      <c r="O129" s="4393"/>
      <c r="P129" s="4394"/>
      <c r="Q129" s="3522"/>
      <c r="R129" s="3453"/>
      <c r="S129" s="3453"/>
    </row>
    <row r="130" spans="1:19" s="3440" customFormat="1" ht="15.05" hidden="1" thickBot="1" x14ac:dyDescent="0.35">
      <c r="A130" s="4364"/>
      <c r="B130" s="4365" t="s">
        <v>704</v>
      </c>
      <c r="C130" s="4366">
        <f>+UsoSuelo!U349</f>
        <v>0</v>
      </c>
      <c r="D130" s="4366" t="s">
        <v>247</v>
      </c>
      <c r="E130" s="4367"/>
      <c r="F130" s="4367"/>
      <c r="G130" s="4367"/>
      <c r="H130" s="4367"/>
      <c r="I130" s="4367"/>
      <c r="J130" s="4367"/>
      <c r="K130" s="4367"/>
      <c r="L130" s="4367"/>
      <c r="M130" s="4367"/>
      <c r="N130" s="4367"/>
      <c r="O130" s="4367"/>
      <c r="P130" s="4368"/>
      <c r="Q130" s="4369"/>
      <c r="R130" s="3453"/>
      <c r="S130" s="3453"/>
    </row>
    <row r="131" spans="1:19" s="3452" customFormat="1" hidden="1" x14ac:dyDescent="0.3">
      <c r="A131" s="4370"/>
      <c r="B131" s="4371" t="s">
        <v>435</v>
      </c>
      <c r="C131" s="4372">
        <f>UsoSuelo!T349</f>
        <v>0</v>
      </c>
      <c r="D131" s="4372" t="s">
        <v>247</v>
      </c>
      <c r="E131" s="4373"/>
      <c r="F131" s="4373"/>
      <c r="G131" s="4373"/>
      <c r="H131" s="4373"/>
      <c r="I131" s="4373"/>
      <c r="J131" s="4373"/>
      <c r="K131" s="4373"/>
      <c r="L131" s="4373"/>
      <c r="M131" s="4373"/>
      <c r="N131" s="4373"/>
      <c r="O131" s="4373"/>
      <c r="P131" s="4374"/>
      <c r="Q131" s="4375"/>
    </row>
    <row r="132" spans="1:19" s="3452" customFormat="1" hidden="1" x14ac:dyDescent="0.3">
      <c r="A132" s="4370"/>
      <c r="B132" s="4371" t="s">
        <v>433</v>
      </c>
      <c r="C132" s="4376">
        <f>Precios!C196</f>
        <v>6</v>
      </c>
      <c r="D132" s="4372" t="s">
        <v>434</v>
      </c>
      <c r="E132" s="4373"/>
      <c r="F132" s="4373"/>
      <c r="G132" s="4373"/>
      <c r="H132" s="4373"/>
      <c r="I132" s="4373"/>
      <c r="J132" s="4373"/>
      <c r="K132" s="4373"/>
      <c r="L132" s="4373"/>
      <c r="M132" s="4373"/>
      <c r="N132" s="4373"/>
      <c r="O132" s="4373"/>
      <c r="P132" s="4374"/>
      <c r="Q132" s="4375"/>
    </row>
    <row r="133" spans="1:19" s="3452" customFormat="1" hidden="1" x14ac:dyDescent="0.3">
      <c r="A133" s="4370"/>
      <c r="B133" s="4371" t="s">
        <v>425</v>
      </c>
      <c r="C133" s="4372">
        <f>C132*C131</f>
        <v>0</v>
      </c>
      <c r="D133" s="4372" t="s">
        <v>338</v>
      </c>
      <c r="E133" s="4373"/>
      <c r="F133" s="4373"/>
      <c r="G133" s="4373"/>
      <c r="H133" s="4373"/>
      <c r="I133" s="4373"/>
      <c r="J133" s="4373"/>
      <c r="K133" s="4373"/>
      <c r="L133" s="4373"/>
      <c r="M133" s="4373"/>
      <c r="N133" s="4373"/>
      <c r="O133" s="4373"/>
      <c r="P133" s="4374"/>
      <c r="Q133" s="4375"/>
    </row>
    <row r="134" spans="1:19" s="3452" customFormat="1" hidden="1" x14ac:dyDescent="0.3">
      <c r="A134" s="4370"/>
      <c r="B134" s="4371" t="s">
        <v>426</v>
      </c>
      <c r="C134" s="4372">
        <f>Alimentos!S441</f>
        <v>0</v>
      </c>
      <c r="D134" s="4372" t="s">
        <v>338</v>
      </c>
      <c r="E134" s="4373"/>
      <c r="F134" s="4373"/>
      <c r="G134" s="4373"/>
      <c r="H134" s="4373"/>
      <c r="I134" s="4373"/>
      <c r="J134" s="4373"/>
      <c r="K134" s="4373"/>
      <c r="L134" s="4373"/>
      <c r="M134" s="4373"/>
      <c r="N134" s="4373"/>
      <c r="O134" s="4373"/>
      <c r="P134" s="4374"/>
      <c r="Q134" s="4375"/>
    </row>
    <row r="135" spans="1:19" s="3452" customFormat="1" hidden="1" x14ac:dyDescent="0.3">
      <c r="A135" s="4370"/>
      <c r="B135" s="4377" t="s">
        <v>427</v>
      </c>
      <c r="C135" s="4378">
        <f>C133-C134</f>
        <v>0</v>
      </c>
      <c r="D135" s="4379" t="s">
        <v>338</v>
      </c>
      <c r="E135" s="4380">
        <f>IF($C137=E$7,$C135,0)</f>
        <v>0</v>
      </c>
      <c r="F135" s="4380">
        <f t="shared" ref="F135:P135" si="68">IF($C137=F$7,$C135,0)</f>
        <v>0</v>
      </c>
      <c r="G135" s="4380">
        <f t="shared" si="68"/>
        <v>0</v>
      </c>
      <c r="H135" s="4380">
        <f t="shared" si="68"/>
        <v>0</v>
      </c>
      <c r="I135" s="4380">
        <f t="shared" si="68"/>
        <v>0</v>
      </c>
      <c r="J135" s="4380">
        <f t="shared" si="68"/>
        <v>0</v>
      </c>
      <c r="K135" s="4380">
        <f t="shared" si="68"/>
        <v>0</v>
      </c>
      <c r="L135" s="4380">
        <f t="shared" si="68"/>
        <v>0</v>
      </c>
      <c r="M135" s="4380">
        <f t="shared" si="68"/>
        <v>0</v>
      </c>
      <c r="N135" s="4380">
        <f t="shared" si="68"/>
        <v>0</v>
      </c>
      <c r="O135" s="4380">
        <f t="shared" si="68"/>
        <v>0</v>
      </c>
      <c r="P135" s="4381">
        <f t="shared" si="68"/>
        <v>0</v>
      </c>
      <c r="Q135" s="4382" t="str">
        <f>B135&amp;B129</f>
        <v>Saldo Vendible Maíz Grano</v>
      </c>
    </row>
    <row r="136" spans="1:19" s="3452" customFormat="1" hidden="1" x14ac:dyDescent="0.3">
      <c r="A136" s="4370"/>
      <c r="B136" s="4371" t="s">
        <v>428</v>
      </c>
      <c r="C136" s="4372">
        <f>VLOOKUP(B129,Precios!$B$194:$G$205,6,FALSE)</f>
        <v>180</v>
      </c>
      <c r="D136" s="4383" t="s">
        <v>432</v>
      </c>
      <c r="E136" s="4373"/>
      <c r="F136" s="4373"/>
      <c r="G136" s="4373"/>
      <c r="H136" s="4373"/>
      <c r="I136" s="4373"/>
      <c r="J136" s="4373"/>
      <c r="K136" s="4373"/>
      <c r="L136" s="4373"/>
      <c r="M136" s="4373"/>
      <c r="N136" s="4373"/>
      <c r="O136" s="4373"/>
      <c r="P136" s="4374"/>
      <c r="Q136" s="4375"/>
    </row>
    <row r="137" spans="1:19" s="3440" customFormat="1" ht="15.05" hidden="1" thickBot="1" x14ac:dyDescent="0.35">
      <c r="A137" s="4364"/>
      <c r="B137" s="4384" t="s">
        <v>429</v>
      </c>
      <c r="C137" s="4385">
        <f>IF(B129=0,0,VLOOKUP(B129,Precios!$B$194:$F$205,Precios!$F$206,FALSE))</f>
        <v>0</v>
      </c>
      <c r="D137" s="4385" t="s">
        <v>431</v>
      </c>
      <c r="E137" s="4386"/>
      <c r="F137" s="4386"/>
      <c r="G137" s="4386"/>
      <c r="H137" s="4386"/>
      <c r="I137" s="4386"/>
      <c r="J137" s="4386"/>
      <c r="K137" s="4386"/>
      <c r="L137" s="4386"/>
      <c r="M137" s="4386"/>
      <c r="N137" s="4386"/>
      <c r="O137" s="4386"/>
      <c r="P137" s="4387"/>
      <c r="Q137" s="4375"/>
    </row>
    <row r="138" spans="1:19" s="3440" customFormat="1" ht="15.05" thickBot="1" x14ac:dyDescent="0.35">
      <c r="B138" s="4388" t="s">
        <v>430</v>
      </c>
      <c r="C138" s="4104"/>
      <c r="D138" s="4104"/>
      <c r="E138" s="4389">
        <f>IF($C$137=E7,$C$133*$C$136,0)</f>
        <v>0</v>
      </c>
      <c r="F138" s="4389">
        <f t="shared" ref="F138:P138" si="69">IF($C$137=F7,$C$133*$C$136,0)</f>
        <v>0</v>
      </c>
      <c r="G138" s="4389">
        <f t="shared" si="69"/>
        <v>0</v>
      </c>
      <c r="H138" s="4389">
        <f t="shared" si="69"/>
        <v>0</v>
      </c>
      <c r="I138" s="4389">
        <f t="shared" si="69"/>
        <v>0</v>
      </c>
      <c r="J138" s="4389">
        <f t="shared" si="69"/>
        <v>0</v>
      </c>
      <c r="K138" s="4389">
        <f t="shared" si="69"/>
        <v>0</v>
      </c>
      <c r="L138" s="4389">
        <f t="shared" si="69"/>
        <v>0</v>
      </c>
      <c r="M138" s="4389">
        <f t="shared" si="69"/>
        <v>0</v>
      </c>
      <c r="N138" s="4389">
        <f t="shared" si="69"/>
        <v>0</v>
      </c>
      <c r="O138" s="4389">
        <f t="shared" si="69"/>
        <v>0</v>
      </c>
      <c r="P138" s="4390">
        <f t="shared" si="69"/>
        <v>0</v>
      </c>
      <c r="Q138" s="3851"/>
    </row>
    <row r="139" spans="1:19" s="3452" customFormat="1" x14ac:dyDescent="0.3">
      <c r="B139" s="4391" t="str">
        <f>UsoSuelo!D350</f>
        <v>Sorgo grano</v>
      </c>
      <c r="C139" s="4392"/>
      <c r="D139" s="4392"/>
      <c r="E139" s="4393"/>
      <c r="F139" s="4393"/>
      <c r="G139" s="4393"/>
      <c r="H139" s="4393"/>
      <c r="I139" s="4393"/>
      <c r="J139" s="4393"/>
      <c r="K139" s="4393"/>
      <c r="L139" s="4393"/>
      <c r="M139" s="4393"/>
      <c r="N139" s="4393"/>
      <c r="O139" s="4393"/>
      <c r="P139" s="4394"/>
      <c r="Q139" s="3522"/>
      <c r="R139" s="3453"/>
      <c r="S139" s="3453"/>
    </row>
    <row r="140" spans="1:19" s="3440" customFormat="1" ht="15.05" hidden="1" thickBot="1" x14ac:dyDescent="0.35">
      <c r="A140" s="4364"/>
      <c r="B140" s="4365" t="s">
        <v>704</v>
      </c>
      <c r="C140" s="4366">
        <f>+UsoSuelo!U350</f>
        <v>0</v>
      </c>
      <c r="D140" s="4366" t="s">
        <v>247</v>
      </c>
      <c r="E140" s="4367"/>
      <c r="F140" s="4367"/>
      <c r="G140" s="4367"/>
      <c r="H140" s="4367"/>
      <c r="I140" s="4367"/>
      <c r="J140" s="4367"/>
      <c r="K140" s="4367"/>
      <c r="L140" s="4367"/>
      <c r="M140" s="4367"/>
      <c r="N140" s="4367"/>
      <c r="O140" s="4367"/>
      <c r="P140" s="4368"/>
      <c r="Q140" s="4369"/>
      <c r="R140" s="3453"/>
      <c r="S140" s="3453"/>
    </row>
    <row r="141" spans="1:19" s="3452" customFormat="1" hidden="1" x14ac:dyDescent="0.3">
      <c r="A141" s="4370"/>
      <c r="B141" s="4371" t="s">
        <v>435</v>
      </c>
      <c r="C141" s="4372">
        <f>UsoSuelo!T350</f>
        <v>0</v>
      </c>
      <c r="D141" s="4372" t="s">
        <v>247</v>
      </c>
      <c r="E141" s="4373"/>
      <c r="F141" s="4373"/>
      <c r="G141" s="4373"/>
      <c r="H141" s="4373"/>
      <c r="I141" s="4373"/>
      <c r="J141" s="4373"/>
      <c r="K141" s="4373"/>
      <c r="L141" s="4373"/>
      <c r="M141" s="4373"/>
      <c r="N141" s="4373"/>
      <c r="O141" s="4373"/>
      <c r="P141" s="4374"/>
      <c r="Q141" s="4375"/>
    </row>
    <row r="142" spans="1:19" s="3452" customFormat="1" hidden="1" x14ac:dyDescent="0.3">
      <c r="A142" s="4370"/>
      <c r="B142" s="4371" t="s">
        <v>433</v>
      </c>
      <c r="C142" s="4376">
        <f>Precios!C197</f>
        <v>0</v>
      </c>
      <c r="D142" s="4372" t="s">
        <v>434</v>
      </c>
      <c r="E142" s="4373"/>
      <c r="F142" s="4373"/>
      <c r="G142" s="4373"/>
      <c r="H142" s="4373"/>
      <c r="I142" s="4373"/>
      <c r="J142" s="4373"/>
      <c r="K142" s="4373"/>
      <c r="L142" s="4373"/>
      <c r="M142" s="4373"/>
      <c r="N142" s="4373"/>
      <c r="O142" s="4373"/>
      <c r="P142" s="4374"/>
      <c r="Q142" s="4375"/>
    </row>
    <row r="143" spans="1:19" s="3452" customFormat="1" hidden="1" x14ac:dyDescent="0.3">
      <c r="A143" s="4370"/>
      <c r="B143" s="4371" t="s">
        <v>425</v>
      </c>
      <c r="C143" s="4372">
        <f>C142*C141</f>
        <v>0</v>
      </c>
      <c r="D143" s="4372" t="s">
        <v>338</v>
      </c>
      <c r="E143" s="4373"/>
      <c r="F143" s="4373"/>
      <c r="G143" s="4373"/>
      <c r="H143" s="4373"/>
      <c r="I143" s="4373"/>
      <c r="J143" s="4373"/>
      <c r="K143" s="4373"/>
      <c r="L143" s="4373"/>
      <c r="M143" s="4373"/>
      <c r="N143" s="4373"/>
      <c r="O143" s="4373"/>
      <c r="P143" s="4374"/>
      <c r="Q143" s="4375"/>
    </row>
    <row r="144" spans="1:19" s="3452" customFormat="1" hidden="1" x14ac:dyDescent="0.3">
      <c r="A144" s="4370"/>
      <c r="B144" s="4371" t="s">
        <v>426</v>
      </c>
      <c r="C144" s="4372">
        <f>Alimentos!S442</f>
        <v>0</v>
      </c>
      <c r="D144" s="4372" t="s">
        <v>338</v>
      </c>
      <c r="E144" s="4373"/>
      <c r="F144" s="4373"/>
      <c r="G144" s="4373"/>
      <c r="H144" s="4373"/>
      <c r="I144" s="4373"/>
      <c r="J144" s="4373"/>
      <c r="K144" s="4373"/>
      <c r="L144" s="4373"/>
      <c r="M144" s="4373"/>
      <c r="N144" s="4373"/>
      <c r="O144" s="4373"/>
      <c r="P144" s="4374"/>
      <c r="Q144" s="4375"/>
    </row>
    <row r="145" spans="1:19" s="3452" customFormat="1" hidden="1" x14ac:dyDescent="0.3">
      <c r="A145" s="4370"/>
      <c r="B145" s="4377" t="s">
        <v>427</v>
      </c>
      <c r="C145" s="4378">
        <f>C143-C144</f>
        <v>0</v>
      </c>
      <c r="D145" s="4379" t="s">
        <v>338</v>
      </c>
      <c r="E145" s="4380">
        <f t="shared" ref="E145:P145" si="70">IF($C147=E$7,$C145,0)</f>
        <v>0</v>
      </c>
      <c r="F145" s="4380">
        <f t="shared" si="70"/>
        <v>0</v>
      </c>
      <c r="G145" s="4380">
        <f t="shared" si="70"/>
        <v>0</v>
      </c>
      <c r="H145" s="4380">
        <f t="shared" si="70"/>
        <v>0</v>
      </c>
      <c r="I145" s="4380">
        <f t="shared" si="70"/>
        <v>0</v>
      </c>
      <c r="J145" s="4380">
        <f t="shared" si="70"/>
        <v>0</v>
      </c>
      <c r="K145" s="4380">
        <f t="shared" si="70"/>
        <v>0</v>
      </c>
      <c r="L145" s="4380">
        <f t="shared" si="70"/>
        <v>0</v>
      </c>
      <c r="M145" s="4380">
        <f t="shared" si="70"/>
        <v>0</v>
      </c>
      <c r="N145" s="4380">
        <f t="shared" si="70"/>
        <v>0</v>
      </c>
      <c r="O145" s="4380">
        <f t="shared" si="70"/>
        <v>0</v>
      </c>
      <c r="P145" s="4381">
        <f t="shared" si="70"/>
        <v>0</v>
      </c>
      <c r="Q145" s="4382" t="str">
        <f>B145&amp;B139</f>
        <v>Saldo Vendible Sorgo grano</v>
      </c>
    </row>
    <row r="146" spans="1:19" s="3452" customFormat="1" hidden="1" x14ac:dyDescent="0.3">
      <c r="A146" s="4370"/>
      <c r="B146" s="4371" t="s">
        <v>428</v>
      </c>
      <c r="C146" s="4372">
        <f>VLOOKUP(B139,Precios!$B$194:$G$205,6,FALSE)</f>
        <v>0</v>
      </c>
      <c r="D146" s="4383" t="s">
        <v>432</v>
      </c>
      <c r="E146" s="4373"/>
      <c r="F146" s="4373"/>
      <c r="G146" s="4373"/>
      <c r="H146" s="4373"/>
      <c r="I146" s="4373"/>
      <c r="J146" s="4373"/>
      <c r="K146" s="4373"/>
      <c r="L146" s="4373"/>
      <c r="M146" s="4373"/>
      <c r="N146" s="4373"/>
      <c r="O146" s="4373"/>
      <c r="P146" s="4374"/>
      <c r="Q146" s="4375"/>
    </row>
    <row r="147" spans="1:19" s="3440" customFormat="1" ht="15.05" hidden="1" thickBot="1" x14ac:dyDescent="0.35">
      <c r="A147" s="4364"/>
      <c r="B147" s="4384" t="s">
        <v>429</v>
      </c>
      <c r="C147" s="4385">
        <f>IF(B139=0,0,VLOOKUP(B139,Precios!$B$194:$F$205,Precios!$F$206,FALSE))</f>
        <v>0</v>
      </c>
      <c r="D147" s="4385" t="s">
        <v>431</v>
      </c>
      <c r="E147" s="4386"/>
      <c r="F147" s="4386"/>
      <c r="G147" s="4386"/>
      <c r="H147" s="4386"/>
      <c r="I147" s="4386"/>
      <c r="J147" s="4386"/>
      <c r="K147" s="4386"/>
      <c r="L147" s="4386"/>
      <c r="M147" s="4386"/>
      <c r="N147" s="4386"/>
      <c r="O147" s="4386"/>
      <c r="P147" s="4387"/>
      <c r="Q147" s="4375"/>
    </row>
    <row r="148" spans="1:19" s="3440" customFormat="1" ht="15.05" thickBot="1" x14ac:dyDescent="0.35">
      <c r="B148" s="4388" t="s">
        <v>430</v>
      </c>
      <c r="C148" s="4104"/>
      <c r="D148" s="4104"/>
      <c r="E148" s="4389">
        <f>IF($C$147=E7,$C$143*$C$146,0)</f>
        <v>0</v>
      </c>
      <c r="F148" s="4389">
        <f t="shared" ref="F148:P148" si="71">IF($C$147=F7,$C$143*$C$146,0)</f>
        <v>0</v>
      </c>
      <c r="G148" s="4389">
        <f t="shared" si="71"/>
        <v>0</v>
      </c>
      <c r="H148" s="4389">
        <f t="shared" si="71"/>
        <v>0</v>
      </c>
      <c r="I148" s="4389">
        <f t="shared" si="71"/>
        <v>0</v>
      </c>
      <c r="J148" s="4389">
        <f t="shared" si="71"/>
        <v>0</v>
      </c>
      <c r="K148" s="4389">
        <f t="shared" si="71"/>
        <v>0</v>
      </c>
      <c r="L148" s="4389">
        <f t="shared" si="71"/>
        <v>0</v>
      </c>
      <c r="M148" s="4389">
        <f t="shared" si="71"/>
        <v>0</v>
      </c>
      <c r="N148" s="4389">
        <f t="shared" si="71"/>
        <v>0</v>
      </c>
      <c r="O148" s="4389">
        <f t="shared" si="71"/>
        <v>0</v>
      </c>
      <c r="P148" s="4390">
        <f t="shared" si="71"/>
        <v>0</v>
      </c>
      <c r="Q148" s="3851"/>
    </row>
    <row r="149" spans="1:19" s="3452" customFormat="1" x14ac:dyDescent="0.3">
      <c r="B149" s="4391" t="str">
        <f>UsoSuelo!D351</f>
        <v>Trigo grano</v>
      </c>
      <c r="C149" s="4392"/>
      <c r="D149" s="4392"/>
      <c r="E149" s="4393"/>
      <c r="F149" s="4393"/>
      <c r="G149" s="4393"/>
      <c r="H149" s="4393"/>
      <c r="I149" s="4393"/>
      <c r="J149" s="4393"/>
      <c r="K149" s="4393"/>
      <c r="L149" s="4393"/>
      <c r="M149" s="4393"/>
      <c r="N149" s="4393"/>
      <c r="O149" s="4393"/>
      <c r="P149" s="4394"/>
      <c r="Q149" s="3522"/>
      <c r="R149" s="3453"/>
      <c r="S149" s="3453"/>
    </row>
    <row r="150" spans="1:19" s="3440" customFormat="1" ht="15.05" hidden="1" thickBot="1" x14ac:dyDescent="0.35">
      <c r="A150" s="4364"/>
      <c r="B150" s="4365" t="s">
        <v>704</v>
      </c>
      <c r="C150" s="4366">
        <f>+UsoSuelo!U351</f>
        <v>0</v>
      </c>
      <c r="D150" s="4366" t="s">
        <v>247</v>
      </c>
      <c r="E150" s="4367"/>
      <c r="F150" s="4367"/>
      <c r="G150" s="4367"/>
      <c r="H150" s="4367"/>
      <c r="I150" s="4367"/>
      <c r="J150" s="4367"/>
      <c r="K150" s="4367"/>
      <c r="L150" s="4367"/>
      <c r="M150" s="4367"/>
      <c r="N150" s="4367"/>
      <c r="O150" s="4367"/>
      <c r="P150" s="4368"/>
      <c r="Q150" s="4369"/>
      <c r="R150" s="3453"/>
      <c r="S150" s="3453"/>
    </row>
    <row r="151" spans="1:19" s="3452" customFormat="1" hidden="1" x14ac:dyDescent="0.3">
      <c r="A151" s="4370"/>
      <c r="B151" s="4371" t="s">
        <v>435</v>
      </c>
      <c r="C151" s="4372">
        <f>UsoSuelo!T351</f>
        <v>0</v>
      </c>
      <c r="D151" s="4372" t="s">
        <v>247</v>
      </c>
      <c r="E151" s="4373"/>
      <c r="F151" s="4373"/>
      <c r="G151" s="4373"/>
      <c r="H151" s="4373"/>
      <c r="I151" s="4373"/>
      <c r="J151" s="4373"/>
      <c r="K151" s="4373"/>
      <c r="L151" s="4373"/>
      <c r="M151" s="4373"/>
      <c r="N151" s="4373"/>
      <c r="O151" s="4373"/>
      <c r="P151" s="4374"/>
      <c r="Q151" s="4375"/>
    </row>
    <row r="152" spans="1:19" s="3452" customFormat="1" hidden="1" x14ac:dyDescent="0.3">
      <c r="A152" s="4370"/>
      <c r="B152" s="4371" t="s">
        <v>433</v>
      </c>
      <c r="C152" s="4376">
        <f>Precios!C198</f>
        <v>0</v>
      </c>
      <c r="D152" s="4372" t="s">
        <v>434</v>
      </c>
      <c r="E152" s="4373"/>
      <c r="F152" s="4373"/>
      <c r="G152" s="4373"/>
      <c r="H152" s="4373"/>
      <c r="I152" s="4373"/>
      <c r="J152" s="4373"/>
      <c r="K152" s="4373"/>
      <c r="L152" s="4373"/>
      <c r="M152" s="4373"/>
      <c r="N152" s="4373"/>
      <c r="O152" s="4373"/>
      <c r="P152" s="4374"/>
      <c r="Q152" s="4375"/>
    </row>
    <row r="153" spans="1:19" s="3452" customFormat="1" hidden="1" x14ac:dyDescent="0.3">
      <c r="A153" s="4370"/>
      <c r="B153" s="4371" t="s">
        <v>425</v>
      </c>
      <c r="C153" s="4372">
        <f>C152*C151</f>
        <v>0</v>
      </c>
      <c r="D153" s="4372" t="s">
        <v>338</v>
      </c>
      <c r="E153" s="4373"/>
      <c r="F153" s="4373"/>
      <c r="G153" s="4373"/>
      <c r="H153" s="4373"/>
      <c r="I153" s="4373"/>
      <c r="J153" s="4373"/>
      <c r="K153" s="4373"/>
      <c r="L153" s="4373"/>
      <c r="M153" s="4373"/>
      <c r="N153" s="4373"/>
      <c r="O153" s="4373"/>
      <c r="P153" s="4374"/>
      <c r="Q153" s="4375"/>
    </row>
    <row r="154" spans="1:19" s="3452" customFormat="1" hidden="1" x14ac:dyDescent="0.3">
      <c r="A154" s="4370"/>
      <c r="B154" s="4371" t="s">
        <v>426</v>
      </c>
      <c r="C154" s="4372">
        <f>Alimentos!S443</f>
        <v>0</v>
      </c>
      <c r="D154" s="4372" t="s">
        <v>338</v>
      </c>
      <c r="E154" s="4373"/>
      <c r="F154" s="4373"/>
      <c r="G154" s="4373"/>
      <c r="H154" s="4373"/>
      <c r="I154" s="4373"/>
      <c r="J154" s="4373"/>
      <c r="K154" s="4373"/>
      <c r="L154" s="4373"/>
      <c r="M154" s="4373"/>
      <c r="N154" s="4373"/>
      <c r="O154" s="4373"/>
      <c r="P154" s="4374"/>
      <c r="Q154" s="4375"/>
    </row>
    <row r="155" spans="1:19" s="3452" customFormat="1" hidden="1" x14ac:dyDescent="0.3">
      <c r="A155" s="4370"/>
      <c r="B155" s="4377" t="s">
        <v>427</v>
      </c>
      <c r="C155" s="4378">
        <f>C153-C154</f>
        <v>0</v>
      </c>
      <c r="D155" s="4379" t="s">
        <v>338</v>
      </c>
      <c r="E155" s="4380">
        <f t="shared" ref="E155:P155" si="72">IF($C157=E$7,$C155,0)</f>
        <v>0</v>
      </c>
      <c r="F155" s="4380">
        <f t="shared" si="72"/>
        <v>0</v>
      </c>
      <c r="G155" s="4380">
        <f t="shared" si="72"/>
        <v>0</v>
      </c>
      <c r="H155" s="4380">
        <f t="shared" si="72"/>
        <v>0</v>
      </c>
      <c r="I155" s="4380">
        <f t="shared" si="72"/>
        <v>0</v>
      </c>
      <c r="J155" s="4380">
        <f t="shared" si="72"/>
        <v>0</v>
      </c>
      <c r="K155" s="4380">
        <f t="shared" si="72"/>
        <v>0</v>
      </c>
      <c r="L155" s="4380">
        <f t="shared" si="72"/>
        <v>0</v>
      </c>
      <c r="M155" s="4380">
        <f t="shared" si="72"/>
        <v>0</v>
      </c>
      <c r="N155" s="4380">
        <f t="shared" si="72"/>
        <v>0</v>
      </c>
      <c r="O155" s="4380">
        <f t="shared" si="72"/>
        <v>0</v>
      </c>
      <c r="P155" s="4381">
        <f t="shared" si="72"/>
        <v>0</v>
      </c>
      <c r="Q155" s="4382" t="str">
        <f>B155&amp;B149</f>
        <v>Saldo Vendible Trigo grano</v>
      </c>
    </row>
    <row r="156" spans="1:19" s="3452" customFormat="1" hidden="1" x14ac:dyDescent="0.3">
      <c r="A156" s="4370"/>
      <c r="B156" s="4371" t="s">
        <v>428</v>
      </c>
      <c r="C156" s="4372">
        <f>VLOOKUP(B149,Precios!$B$194:$G$205,6,FALSE)</f>
        <v>0</v>
      </c>
      <c r="D156" s="4383" t="s">
        <v>432</v>
      </c>
      <c r="E156" s="4373"/>
      <c r="F156" s="4373"/>
      <c r="G156" s="4373"/>
      <c r="H156" s="4373"/>
      <c r="I156" s="4373"/>
      <c r="J156" s="4373"/>
      <c r="K156" s="4373"/>
      <c r="L156" s="4373"/>
      <c r="M156" s="4373"/>
      <c r="N156" s="4373"/>
      <c r="O156" s="4373"/>
      <c r="P156" s="4374"/>
      <c r="Q156" s="4375"/>
    </row>
    <row r="157" spans="1:19" s="3440" customFormat="1" ht="15.05" hidden="1" thickBot="1" x14ac:dyDescent="0.35">
      <c r="A157" s="4364"/>
      <c r="B157" s="4384" t="s">
        <v>429</v>
      </c>
      <c r="C157" s="4385">
        <f>IF(B149=0,0,VLOOKUP(B149,Precios!$B$194:$F$205,Precios!$F$206,FALSE))</f>
        <v>0</v>
      </c>
      <c r="D157" s="4385" t="s">
        <v>431</v>
      </c>
      <c r="E157" s="4386"/>
      <c r="F157" s="4386"/>
      <c r="G157" s="4386"/>
      <c r="H157" s="4386"/>
      <c r="I157" s="4386"/>
      <c r="J157" s="4386"/>
      <c r="K157" s="4386"/>
      <c r="L157" s="4386"/>
      <c r="M157" s="4386"/>
      <c r="N157" s="4386"/>
      <c r="O157" s="4386"/>
      <c r="P157" s="4387"/>
      <c r="Q157" s="4375"/>
    </row>
    <row r="158" spans="1:19" s="3440" customFormat="1" ht="15.05" thickBot="1" x14ac:dyDescent="0.35">
      <c r="B158" s="4388" t="s">
        <v>430</v>
      </c>
      <c r="C158" s="4104"/>
      <c r="D158" s="4104"/>
      <c r="E158" s="4389">
        <f>IF($C$157=E7,$C$153*$C$156,0)</f>
        <v>0</v>
      </c>
      <c r="F158" s="4389">
        <f t="shared" ref="F158:P158" si="73">IF($C$157=F7,$C$153*$C$156,0)</f>
        <v>0</v>
      </c>
      <c r="G158" s="4389">
        <f t="shared" si="73"/>
        <v>0</v>
      </c>
      <c r="H158" s="4389">
        <f t="shared" si="73"/>
        <v>0</v>
      </c>
      <c r="I158" s="4389">
        <f t="shared" si="73"/>
        <v>0</v>
      </c>
      <c r="J158" s="4389">
        <f t="shared" si="73"/>
        <v>0</v>
      </c>
      <c r="K158" s="4389">
        <f t="shared" si="73"/>
        <v>0</v>
      </c>
      <c r="L158" s="4389">
        <f t="shared" si="73"/>
        <v>0</v>
      </c>
      <c r="M158" s="4389">
        <f t="shared" si="73"/>
        <v>0</v>
      </c>
      <c r="N158" s="4389">
        <f t="shared" si="73"/>
        <v>0</v>
      </c>
      <c r="O158" s="4389">
        <f t="shared" si="73"/>
        <v>0</v>
      </c>
      <c r="P158" s="4390">
        <f t="shared" si="73"/>
        <v>0</v>
      </c>
      <c r="Q158" s="3851"/>
    </row>
    <row r="159" spans="1:19" s="3452" customFormat="1" x14ac:dyDescent="0.3">
      <c r="B159" s="4391" t="str">
        <f>UsoSuelo!D352</f>
        <v>Cebada grano</v>
      </c>
      <c r="C159" s="4392"/>
      <c r="D159" s="4392"/>
      <c r="E159" s="4393"/>
      <c r="F159" s="4393"/>
      <c r="G159" s="4393"/>
      <c r="H159" s="4393"/>
      <c r="I159" s="4393"/>
      <c r="J159" s="4393"/>
      <c r="K159" s="4393"/>
      <c r="L159" s="4393"/>
      <c r="M159" s="4393"/>
      <c r="N159" s="4393"/>
      <c r="O159" s="4393"/>
      <c r="P159" s="4394"/>
      <c r="Q159" s="3522"/>
      <c r="R159" s="3453"/>
      <c r="S159" s="3453"/>
    </row>
    <row r="160" spans="1:19" s="3440" customFormat="1" ht="15.05" hidden="1" thickBot="1" x14ac:dyDescent="0.35">
      <c r="A160" s="4364"/>
      <c r="B160" s="4365" t="s">
        <v>704</v>
      </c>
      <c r="C160" s="4366">
        <f>+UsoSuelo!U352</f>
        <v>0</v>
      </c>
      <c r="D160" s="4366" t="s">
        <v>247</v>
      </c>
      <c r="E160" s="4367"/>
      <c r="F160" s="4367"/>
      <c r="G160" s="4367"/>
      <c r="H160" s="4367"/>
      <c r="I160" s="4367"/>
      <c r="J160" s="4367"/>
      <c r="K160" s="4367"/>
      <c r="L160" s="4367"/>
      <c r="M160" s="4367"/>
      <c r="N160" s="4367"/>
      <c r="O160" s="4367"/>
      <c r="P160" s="4368"/>
      <c r="Q160" s="4369"/>
      <c r="R160" s="3453"/>
      <c r="S160" s="3453"/>
    </row>
    <row r="161" spans="1:19" s="3452" customFormat="1" hidden="1" x14ac:dyDescent="0.3">
      <c r="A161" s="4370"/>
      <c r="B161" s="4371" t="s">
        <v>435</v>
      </c>
      <c r="C161" s="4372">
        <f>UsoSuelo!T352</f>
        <v>0</v>
      </c>
      <c r="D161" s="4372" t="s">
        <v>247</v>
      </c>
      <c r="E161" s="4373"/>
      <c r="F161" s="4373"/>
      <c r="G161" s="4373"/>
      <c r="H161" s="4373"/>
      <c r="I161" s="4373"/>
      <c r="J161" s="4373"/>
      <c r="K161" s="4373"/>
      <c r="L161" s="4373"/>
      <c r="M161" s="4373"/>
      <c r="N161" s="4373"/>
      <c r="O161" s="4373"/>
      <c r="P161" s="4374"/>
      <c r="Q161" s="4375"/>
    </row>
    <row r="162" spans="1:19" s="3452" customFormat="1" hidden="1" x14ac:dyDescent="0.3">
      <c r="A162" s="4370"/>
      <c r="B162" s="4371" t="s">
        <v>433</v>
      </c>
      <c r="C162" s="4376">
        <f>Precios!C199</f>
        <v>0</v>
      </c>
      <c r="D162" s="4372" t="s">
        <v>434</v>
      </c>
      <c r="E162" s="4373"/>
      <c r="F162" s="4373"/>
      <c r="G162" s="4373"/>
      <c r="H162" s="4373"/>
      <c r="I162" s="4373"/>
      <c r="J162" s="4373"/>
      <c r="K162" s="4373"/>
      <c r="L162" s="4373"/>
      <c r="M162" s="4373"/>
      <c r="N162" s="4373"/>
      <c r="O162" s="4373"/>
      <c r="P162" s="4374"/>
      <c r="Q162" s="4375"/>
    </row>
    <row r="163" spans="1:19" s="3452" customFormat="1" hidden="1" x14ac:dyDescent="0.3">
      <c r="A163" s="4370"/>
      <c r="B163" s="4371" t="s">
        <v>425</v>
      </c>
      <c r="C163" s="4372">
        <f>C162*C161</f>
        <v>0</v>
      </c>
      <c r="D163" s="4372" t="s">
        <v>338</v>
      </c>
      <c r="E163" s="4373"/>
      <c r="F163" s="4373"/>
      <c r="G163" s="4373"/>
      <c r="H163" s="4373"/>
      <c r="I163" s="4373"/>
      <c r="J163" s="4373"/>
      <c r="K163" s="4373"/>
      <c r="L163" s="4373"/>
      <c r="M163" s="4373"/>
      <c r="N163" s="4373"/>
      <c r="O163" s="4373"/>
      <c r="P163" s="4374"/>
      <c r="Q163" s="4375"/>
    </row>
    <row r="164" spans="1:19" s="3452" customFormat="1" hidden="1" x14ac:dyDescent="0.3">
      <c r="A164" s="4370"/>
      <c r="B164" s="4371" t="s">
        <v>426</v>
      </c>
      <c r="C164" s="4372">
        <f>Alimentos!S444</f>
        <v>0</v>
      </c>
      <c r="D164" s="4372" t="s">
        <v>338</v>
      </c>
      <c r="E164" s="4373"/>
      <c r="F164" s="4373"/>
      <c r="G164" s="4373"/>
      <c r="H164" s="4373"/>
      <c r="I164" s="4373"/>
      <c r="J164" s="4373"/>
      <c r="K164" s="4373"/>
      <c r="L164" s="4373"/>
      <c r="M164" s="4373"/>
      <c r="N164" s="4373"/>
      <c r="O164" s="4373"/>
      <c r="P164" s="4374"/>
      <c r="Q164" s="4375"/>
    </row>
    <row r="165" spans="1:19" s="3452" customFormat="1" hidden="1" x14ac:dyDescent="0.3">
      <c r="A165" s="4370"/>
      <c r="B165" s="4377" t="s">
        <v>427</v>
      </c>
      <c r="C165" s="4378">
        <f>C163-C164</f>
        <v>0</v>
      </c>
      <c r="D165" s="4379" t="s">
        <v>338</v>
      </c>
      <c r="E165" s="4380">
        <f t="shared" ref="E165:P165" si="74">IF($C167=E$7,$C165,0)</f>
        <v>0</v>
      </c>
      <c r="F165" s="4380">
        <f t="shared" si="74"/>
        <v>0</v>
      </c>
      <c r="G165" s="4380">
        <f t="shared" si="74"/>
        <v>0</v>
      </c>
      <c r="H165" s="4380">
        <f t="shared" si="74"/>
        <v>0</v>
      </c>
      <c r="I165" s="4380">
        <f t="shared" si="74"/>
        <v>0</v>
      </c>
      <c r="J165" s="4380">
        <f t="shared" si="74"/>
        <v>0</v>
      </c>
      <c r="K165" s="4380">
        <f t="shared" si="74"/>
        <v>0</v>
      </c>
      <c r="L165" s="4380">
        <f t="shared" si="74"/>
        <v>0</v>
      </c>
      <c r="M165" s="4380">
        <f t="shared" si="74"/>
        <v>0</v>
      </c>
      <c r="N165" s="4380">
        <f t="shared" si="74"/>
        <v>0</v>
      </c>
      <c r="O165" s="4380">
        <f t="shared" si="74"/>
        <v>0</v>
      </c>
      <c r="P165" s="4381">
        <f t="shared" si="74"/>
        <v>0</v>
      </c>
      <c r="Q165" s="4382" t="str">
        <f>B165&amp;B159</f>
        <v>Saldo Vendible Cebada grano</v>
      </c>
    </row>
    <row r="166" spans="1:19" s="3452" customFormat="1" hidden="1" x14ac:dyDescent="0.3">
      <c r="A166" s="4370"/>
      <c r="B166" s="4371" t="s">
        <v>428</v>
      </c>
      <c r="C166" s="4372">
        <f>VLOOKUP(B159,Precios!$B$194:$G$205,6,FALSE)</f>
        <v>0</v>
      </c>
      <c r="D166" s="4383" t="s">
        <v>432</v>
      </c>
      <c r="E166" s="4373"/>
      <c r="F166" s="4373"/>
      <c r="G166" s="4373"/>
      <c r="H166" s="4373"/>
      <c r="I166" s="4373"/>
      <c r="J166" s="4373"/>
      <c r="K166" s="4373"/>
      <c r="L166" s="4373"/>
      <c r="M166" s="4373"/>
      <c r="N166" s="4373"/>
      <c r="O166" s="4373"/>
      <c r="P166" s="4374"/>
      <c r="Q166" s="4375"/>
    </row>
    <row r="167" spans="1:19" s="3440" customFormat="1" ht="15.05" hidden="1" thickBot="1" x14ac:dyDescent="0.35">
      <c r="A167" s="4364"/>
      <c r="B167" s="4384" t="s">
        <v>429</v>
      </c>
      <c r="C167" s="4385">
        <f>IF(B159=0,0,VLOOKUP(B159,Precios!$B$194:$F$205,Precios!$F$206,FALSE))</f>
        <v>0</v>
      </c>
      <c r="D167" s="4385" t="s">
        <v>431</v>
      </c>
      <c r="E167" s="4386"/>
      <c r="F167" s="4386"/>
      <c r="G167" s="4386"/>
      <c r="H167" s="4386"/>
      <c r="I167" s="4386"/>
      <c r="J167" s="4386"/>
      <c r="K167" s="4386"/>
      <c r="L167" s="4386"/>
      <c r="M167" s="4386"/>
      <c r="N167" s="4386"/>
      <c r="O167" s="4386"/>
      <c r="P167" s="4387"/>
      <c r="Q167" s="4375"/>
    </row>
    <row r="168" spans="1:19" s="3440" customFormat="1" ht="15.05" thickBot="1" x14ac:dyDescent="0.35">
      <c r="B168" s="4388" t="s">
        <v>430</v>
      </c>
      <c r="C168" s="4104"/>
      <c r="D168" s="4104"/>
      <c r="E168" s="4389">
        <f>IF($C$167=E7,$C$163*$C$166,0)</f>
        <v>0</v>
      </c>
      <c r="F168" s="4389">
        <f t="shared" ref="F168:P168" si="75">IF($C$167=F7,$C$163*$C$166,0)</f>
        <v>0</v>
      </c>
      <c r="G168" s="4389">
        <f t="shared" si="75"/>
        <v>0</v>
      </c>
      <c r="H168" s="4389">
        <f t="shared" si="75"/>
        <v>0</v>
      </c>
      <c r="I168" s="4389">
        <f t="shared" si="75"/>
        <v>0</v>
      </c>
      <c r="J168" s="4389">
        <f t="shared" si="75"/>
        <v>0</v>
      </c>
      <c r="K168" s="4389">
        <f t="shared" si="75"/>
        <v>0</v>
      </c>
      <c r="L168" s="4389">
        <f t="shared" si="75"/>
        <v>0</v>
      </c>
      <c r="M168" s="4389">
        <f t="shared" si="75"/>
        <v>0</v>
      </c>
      <c r="N168" s="4389">
        <f t="shared" si="75"/>
        <v>0</v>
      </c>
      <c r="O168" s="4389">
        <f t="shared" si="75"/>
        <v>0</v>
      </c>
      <c r="P168" s="4390">
        <f t="shared" si="75"/>
        <v>0</v>
      </c>
      <c r="Q168" s="3851"/>
    </row>
    <row r="169" spans="1:19" s="3452" customFormat="1" x14ac:dyDescent="0.3">
      <c r="B169" s="4391" t="str">
        <f>UsoSuelo!D353</f>
        <v>Avena grano</v>
      </c>
      <c r="C169" s="4392"/>
      <c r="D169" s="4392"/>
      <c r="E169" s="4393"/>
      <c r="F169" s="4393"/>
      <c r="G169" s="4393"/>
      <c r="H169" s="4393"/>
      <c r="I169" s="4393"/>
      <c r="J169" s="4393"/>
      <c r="K169" s="4393"/>
      <c r="L169" s="4393"/>
      <c r="M169" s="4393"/>
      <c r="N169" s="4393"/>
      <c r="O169" s="4393"/>
      <c r="P169" s="4394"/>
      <c r="Q169" s="3522"/>
      <c r="R169" s="3453"/>
      <c r="S169" s="3453"/>
    </row>
    <row r="170" spans="1:19" s="3440" customFormat="1" ht="15.05" hidden="1" thickBot="1" x14ac:dyDescent="0.35">
      <c r="A170" s="4364"/>
      <c r="B170" s="4365" t="s">
        <v>704</v>
      </c>
      <c r="C170" s="4366">
        <f>+UsoSuelo!U353</f>
        <v>0</v>
      </c>
      <c r="D170" s="4366" t="s">
        <v>247</v>
      </c>
      <c r="E170" s="4367"/>
      <c r="F170" s="4367"/>
      <c r="G170" s="4367"/>
      <c r="H170" s="4367"/>
      <c r="I170" s="4367"/>
      <c r="J170" s="4367"/>
      <c r="K170" s="4367"/>
      <c r="L170" s="4367"/>
      <c r="M170" s="4367"/>
      <c r="N170" s="4367"/>
      <c r="O170" s="4367"/>
      <c r="P170" s="4368"/>
      <c r="Q170" s="4369"/>
      <c r="R170" s="3453"/>
      <c r="S170" s="3453"/>
    </row>
    <row r="171" spans="1:19" s="3452" customFormat="1" hidden="1" x14ac:dyDescent="0.3">
      <c r="A171" s="4370"/>
      <c r="B171" s="4371" t="s">
        <v>435</v>
      </c>
      <c r="C171" s="4372">
        <f>+UsoSuelo!T353</f>
        <v>0</v>
      </c>
      <c r="D171" s="4372" t="s">
        <v>247</v>
      </c>
      <c r="E171" s="4373"/>
      <c r="F171" s="4373"/>
      <c r="G171" s="4373"/>
      <c r="H171" s="4373"/>
      <c r="I171" s="4373"/>
      <c r="J171" s="4373"/>
      <c r="K171" s="4373"/>
      <c r="L171" s="4373"/>
      <c r="M171" s="4373"/>
      <c r="N171" s="4373"/>
      <c r="O171" s="4373"/>
      <c r="P171" s="4374"/>
      <c r="Q171" s="4375"/>
    </row>
    <row r="172" spans="1:19" s="3452" customFormat="1" hidden="1" x14ac:dyDescent="0.3">
      <c r="A172" s="4370"/>
      <c r="B172" s="4371" t="s">
        <v>433</v>
      </c>
      <c r="C172" s="4376">
        <f>Precios!C200</f>
        <v>0</v>
      </c>
      <c r="D172" s="4372" t="s">
        <v>434</v>
      </c>
      <c r="E172" s="4373"/>
      <c r="F172" s="4373"/>
      <c r="G172" s="4373"/>
      <c r="H172" s="4373"/>
      <c r="I172" s="4373"/>
      <c r="J172" s="4373"/>
      <c r="K172" s="4373"/>
      <c r="L172" s="4373"/>
      <c r="M172" s="4373"/>
      <c r="N172" s="4373"/>
      <c r="O172" s="4373"/>
      <c r="P172" s="4374"/>
      <c r="Q172" s="4375"/>
    </row>
    <row r="173" spans="1:19" s="3452" customFormat="1" hidden="1" x14ac:dyDescent="0.3">
      <c r="A173" s="4370"/>
      <c r="B173" s="4371" t="s">
        <v>425</v>
      </c>
      <c r="C173" s="4372">
        <f>C172*C171</f>
        <v>0</v>
      </c>
      <c r="D173" s="4372" t="s">
        <v>338</v>
      </c>
      <c r="E173" s="4373"/>
      <c r="F173" s="4373"/>
      <c r="G173" s="4373"/>
      <c r="H173" s="4373"/>
      <c r="I173" s="4373"/>
      <c r="J173" s="4373"/>
      <c r="K173" s="4373"/>
      <c r="L173" s="4373"/>
      <c r="M173" s="4373"/>
      <c r="N173" s="4373"/>
      <c r="O173" s="4373"/>
      <c r="P173" s="4374"/>
      <c r="Q173" s="4375"/>
    </row>
    <row r="174" spans="1:19" s="3452" customFormat="1" hidden="1" x14ac:dyDescent="0.3">
      <c r="A174" s="4370"/>
      <c r="B174" s="4371" t="s">
        <v>426</v>
      </c>
      <c r="C174" s="4372">
        <f>Alimentos!S445</f>
        <v>0</v>
      </c>
      <c r="D174" s="4372" t="s">
        <v>338</v>
      </c>
      <c r="E174" s="4373"/>
      <c r="F174" s="4373"/>
      <c r="G174" s="4373"/>
      <c r="H174" s="4373"/>
      <c r="I174" s="4373"/>
      <c r="J174" s="4373"/>
      <c r="K174" s="4373"/>
      <c r="L174" s="4373"/>
      <c r="M174" s="4373"/>
      <c r="N174" s="4373"/>
      <c r="O174" s="4373"/>
      <c r="P174" s="4374"/>
      <c r="Q174" s="4375"/>
    </row>
    <row r="175" spans="1:19" s="3452" customFormat="1" hidden="1" x14ac:dyDescent="0.3">
      <c r="A175" s="4370"/>
      <c r="B175" s="4377" t="s">
        <v>427</v>
      </c>
      <c r="C175" s="4378">
        <f>C173-C174</f>
        <v>0</v>
      </c>
      <c r="D175" s="4379" t="s">
        <v>338</v>
      </c>
      <c r="E175" s="4380">
        <f t="shared" ref="E175:P175" si="76">IF($C177=E$7,$C175,0)</f>
        <v>0</v>
      </c>
      <c r="F175" s="4380">
        <f t="shared" si="76"/>
        <v>0</v>
      </c>
      <c r="G175" s="4380">
        <f t="shared" si="76"/>
        <v>0</v>
      </c>
      <c r="H175" s="4380">
        <f t="shared" si="76"/>
        <v>0</v>
      </c>
      <c r="I175" s="4380">
        <f t="shared" si="76"/>
        <v>0</v>
      </c>
      <c r="J175" s="4380">
        <f t="shared" si="76"/>
        <v>0</v>
      </c>
      <c r="K175" s="4380">
        <f t="shared" si="76"/>
        <v>0</v>
      </c>
      <c r="L175" s="4380">
        <f t="shared" si="76"/>
        <v>0</v>
      </c>
      <c r="M175" s="4380">
        <f t="shared" si="76"/>
        <v>0</v>
      </c>
      <c r="N175" s="4380">
        <f t="shared" si="76"/>
        <v>0</v>
      </c>
      <c r="O175" s="4380">
        <f t="shared" si="76"/>
        <v>0</v>
      </c>
      <c r="P175" s="4381">
        <f t="shared" si="76"/>
        <v>0</v>
      </c>
      <c r="Q175" s="4382" t="str">
        <f>B175&amp;B169</f>
        <v>Saldo Vendible Avena grano</v>
      </c>
    </row>
    <row r="176" spans="1:19" s="3452" customFormat="1" hidden="1" x14ac:dyDescent="0.3">
      <c r="A176" s="4370"/>
      <c r="B176" s="4371" t="s">
        <v>428</v>
      </c>
      <c r="C176" s="4372">
        <f>VLOOKUP(B169,Precios!$B$194:$G$205,6,FALSE)</f>
        <v>0</v>
      </c>
      <c r="D176" s="4383" t="s">
        <v>432</v>
      </c>
      <c r="E176" s="4373"/>
      <c r="F176" s="4373"/>
      <c r="G176" s="4373"/>
      <c r="H176" s="4373"/>
      <c r="I176" s="4373"/>
      <c r="J176" s="4373"/>
      <c r="K176" s="4373"/>
      <c r="L176" s="4373"/>
      <c r="M176" s="4373"/>
      <c r="N176" s="4373"/>
      <c r="O176" s="4373"/>
      <c r="P176" s="4374"/>
      <c r="Q176" s="4375"/>
    </row>
    <row r="177" spans="1:19" s="3440" customFormat="1" ht="15.05" hidden="1" thickBot="1" x14ac:dyDescent="0.35">
      <c r="A177" s="4364"/>
      <c r="B177" s="4384" t="s">
        <v>429</v>
      </c>
      <c r="C177" s="4385">
        <f>IF(B169=0,0,VLOOKUP(B169,Precios!$B$194:$F$205,Precios!$F$206,FALSE))</f>
        <v>0</v>
      </c>
      <c r="D177" s="4385" t="s">
        <v>431</v>
      </c>
      <c r="E177" s="4386"/>
      <c r="F177" s="4386"/>
      <c r="G177" s="4386"/>
      <c r="H177" s="4386"/>
      <c r="I177" s="4386"/>
      <c r="J177" s="4386"/>
      <c r="K177" s="4386"/>
      <c r="L177" s="4386"/>
      <c r="M177" s="4386"/>
      <c r="N177" s="4386"/>
      <c r="O177" s="4386"/>
      <c r="P177" s="4387"/>
      <c r="Q177" s="4375"/>
    </row>
    <row r="178" spans="1:19" s="3440" customFormat="1" ht="15.05" thickBot="1" x14ac:dyDescent="0.35">
      <c r="B178" s="4388" t="s">
        <v>430</v>
      </c>
      <c r="C178" s="4104"/>
      <c r="D178" s="4104"/>
      <c r="E178" s="4389">
        <f>IF($C$177=E7,$C$173*$C$176,0)</f>
        <v>0</v>
      </c>
      <c r="F178" s="4389">
        <f t="shared" ref="F178:P178" si="77">IF($C$177=F7,$C$173*$C$176,0)</f>
        <v>0</v>
      </c>
      <c r="G178" s="4389">
        <f t="shared" si="77"/>
        <v>0</v>
      </c>
      <c r="H178" s="4389">
        <f t="shared" si="77"/>
        <v>0</v>
      </c>
      <c r="I178" s="4389">
        <f t="shared" si="77"/>
        <v>0</v>
      </c>
      <c r="J178" s="4389">
        <f t="shared" si="77"/>
        <v>0</v>
      </c>
      <c r="K178" s="4389">
        <f t="shared" si="77"/>
        <v>0</v>
      </c>
      <c r="L178" s="4389">
        <f t="shared" si="77"/>
        <v>0</v>
      </c>
      <c r="M178" s="4389">
        <f t="shared" si="77"/>
        <v>0</v>
      </c>
      <c r="N178" s="4389">
        <f t="shared" si="77"/>
        <v>0</v>
      </c>
      <c r="O178" s="4389">
        <f t="shared" si="77"/>
        <v>0</v>
      </c>
      <c r="P178" s="4390">
        <f t="shared" si="77"/>
        <v>0</v>
      </c>
      <c r="Q178" s="3851"/>
    </row>
    <row r="179" spans="1:19" s="3452" customFormat="1" x14ac:dyDescent="0.3">
      <c r="B179" s="4391" t="str">
        <f>UsoSuelo!D354</f>
        <v>Colza grano</v>
      </c>
      <c r="C179" s="4392"/>
      <c r="D179" s="4392"/>
      <c r="E179" s="4393"/>
      <c r="F179" s="4393"/>
      <c r="G179" s="4393"/>
      <c r="H179" s="4393"/>
      <c r="I179" s="4393"/>
      <c r="J179" s="4393"/>
      <c r="K179" s="4393"/>
      <c r="L179" s="4393"/>
      <c r="M179" s="4393"/>
      <c r="N179" s="4393"/>
      <c r="O179" s="4393"/>
      <c r="P179" s="4394"/>
      <c r="Q179" s="3522"/>
      <c r="R179" s="3453"/>
      <c r="S179" s="3453"/>
    </row>
    <row r="180" spans="1:19" s="3440" customFormat="1" ht="15.05" hidden="1" thickBot="1" x14ac:dyDescent="0.35">
      <c r="A180" s="4364"/>
      <c r="B180" s="4365" t="s">
        <v>704</v>
      </c>
      <c r="C180" s="4366">
        <f>+UsoSuelo!U354</f>
        <v>0</v>
      </c>
      <c r="D180" s="4366" t="s">
        <v>247</v>
      </c>
      <c r="E180" s="4367"/>
      <c r="F180" s="4367"/>
      <c r="G180" s="4367"/>
      <c r="H180" s="4367"/>
      <c r="I180" s="4367"/>
      <c r="J180" s="4367"/>
      <c r="K180" s="4367"/>
      <c r="L180" s="4367"/>
      <c r="M180" s="4367"/>
      <c r="N180" s="4367"/>
      <c r="O180" s="4367"/>
      <c r="P180" s="4368"/>
      <c r="Q180" s="4369"/>
      <c r="R180" s="3453"/>
      <c r="S180" s="3453"/>
    </row>
    <row r="181" spans="1:19" s="3452" customFormat="1" hidden="1" x14ac:dyDescent="0.3">
      <c r="A181" s="4370"/>
      <c r="B181" s="4371" t="s">
        <v>435</v>
      </c>
      <c r="C181" s="4372">
        <f>UsoSuelo!T354</f>
        <v>0</v>
      </c>
      <c r="D181" s="4372" t="s">
        <v>247</v>
      </c>
      <c r="E181" s="4373"/>
      <c r="F181" s="4373"/>
      <c r="G181" s="4373"/>
      <c r="H181" s="4373"/>
      <c r="I181" s="4373"/>
      <c r="J181" s="4373"/>
      <c r="K181" s="4373"/>
      <c r="L181" s="4373"/>
      <c r="M181" s="4373"/>
      <c r="N181" s="4373"/>
      <c r="O181" s="4373"/>
      <c r="P181" s="4374"/>
      <c r="Q181" s="4375"/>
    </row>
    <row r="182" spans="1:19" s="3452" customFormat="1" hidden="1" x14ac:dyDescent="0.3">
      <c r="A182" s="4370"/>
      <c r="B182" s="4371" t="s">
        <v>433</v>
      </c>
      <c r="C182" s="4376">
        <f>Precios!C201</f>
        <v>1.8</v>
      </c>
      <c r="D182" s="4372" t="s">
        <v>434</v>
      </c>
      <c r="E182" s="4373"/>
      <c r="F182" s="4373"/>
      <c r="G182" s="4373"/>
      <c r="H182" s="4373"/>
      <c r="I182" s="4373"/>
      <c r="J182" s="4373"/>
      <c r="K182" s="4373"/>
      <c r="L182" s="4373"/>
      <c r="M182" s="4373"/>
      <c r="N182" s="4373"/>
      <c r="O182" s="4373"/>
      <c r="P182" s="4374"/>
      <c r="Q182" s="4375"/>
    </row>
    <row r="183" spans="1:19" s="3452" customFormat="1" hidden="1" x14ac:dyDescent="0.3">
      <c r="A183" s="4370"/>
      <c r="B183" s="4371" t="s">
        <v>425</v>
      </c>
      <c r="C183" s="4372">
        <f>C182*C181</f>
        <v>0</v>
      </c>
      <c r="D183" s="4372" t="s">
        <v>338</v>
      </c>
      <c r="E183" s="4373"/>
      <c r="F183" s="4373"/>
      <c r="G183" s="4373"/>
      <c r="H183" s="4373"/>
      <c r="I183" s="4373"/>
      <c r="J183" s="4373"/>
      <c r="K183" s="4373"/>
      <c r="L183" s="4373"/>
      <c r="M183" s="4373"/>
      <c r="N183" s="4373"/>
      <c r="O183" s="4373"/>
      <c r="P183" s="4374"/>
      <c r="Q183" s="4375"/>
    </row>
    <row r="184" spans="1:19" s="3452" customFormat="1" hidden="1" x14ac:dyDescent="0.3">
      <c r="A184" s="4370"/>
      <c r="B184" s="4371" t="s">
        <v>426</v>
      </c>
      <c r="C184" s="4372">
        <f>Alimentos!S446</f>
        <v>0</v>
      </c>
      <c r="D184" s="4372" t="s">
        <v>338</v>
      </c>
      <c r="E184" s="4373"/>
      <c r="F184" s="4373"/>
      <c r="G184" s="4373"/>
      <c r="H184" s="4373"/>
      <c r="I184" s="4373"/>
      <c r="J184" s="4373"/>
      <c r="K184" s="4373"/>
      <c r="L184" s="4373"/>
      <c r="M184" s="4373"/>
      <c r="N184" s="4373"/>
      <c r="O184" s="4373"/>
      <c r="P184" s="4374"/>
      <c r="Q184" s="4375"/>
    </row>
    <row r="185" spans="1:19" s="3452" customFormat="1" hidden="1" x14ac:dyDescent="0.3">
      <c r="A185" s="4370"/>
      <c r="B185" s="4377" t="s">
        <v>427</v>
      </c>
      <c r="C185" s="4378">
        <f>C183-C184</f>
        <v>0</v>
      </c>
      <c r="D185" s="4379" t="s">
        <v>338</v>
      </c>
      <c r="E185" s="4380">
        <f t="shared" ref="E185:P185" si="78">IF($C187=E$7,$C185,0)</f>
        <v>0</v>
      </c>
      <c r="F185" s="4380">
        <f t="shared" si="78"/>
        <v>0</v>
      </c>
      <c r="G185" s="4380">
        <f t="shared" si="78"/>
        <v>0</v>
      </c>
      <c r="H185" s="4380">
        <f t="shared" si="78"/>
        <v>0</v>
      </c>
      <c r="I185" s="4380">
        <f t="shared" si="78"/>
        <v>0</v>
      </c>
      <c r="J185" s="4380">
        <f t="shared" si="78"/>
        <v>0</v>
      </c>
      <c r="K185" s="4380">
        <f t="shared" si="78"/>
        <v>0</v>
      </c>
      <c r="L185" s="4380">
        <f t="shared" si="78"/>
        <v>0</v>
      </c>
      <c r="M185" s="4380">
        <f t="shared" si="78"/>
        <v>0</v>
      </c>
      <c r="N185" s="4380">
        <f t="shared" si="78"/>
        <v>0</v>
      </c>
      <c r="O185" s="4380">
        <f t="shared" si="78"/>
        <v>0</v>
      </c>
      <c r="P185" s="4381">
        <f t="shared" si="78"/>
        <v>0</v>
      </c>
      <c r="Q185" s="4382" t="str">
        <f>B185&amp;B179</f>
        <v>Saldo Vendible Colza grano</v>
      </c>
    </row>
    <row r="186" spans="1:19" s="3452" customFormat="1" hidden="1" x14ac:dyDescent="0.3">
      <c r="A186" s="4370"/>
      <c r="B186" s="4371" t="s">
        <v>428</v>
      </c>
      <c r="C186" s="4372">
        <f>VLOOKUP(B179,Precios!$B$194:$G$205,6,FALSE)</f>
        <v>350</v>
      </c>
      <c r="D186" s="4383" t="s">
        <v>432</v>
      </c>
      <c r="E186" s="4373"/>
      <c r="F186" s="4373"/>
      <c r="G186" s="4373"/>
      <c r="H186" s="4373"/>
      <c r="I186" s="4373"/>
      <c r="J186" s="4373"/>
      <c r="K186" s="4373"/>
      <c r="L186" s="4373"/>
      <c r="M186" s="4373"/>
      <c r="N186" s="4373"/>
      <c r="O186" s="4373"/>
      <c r="P186" s="4374"/>
      <c r="Q186" s="4375"/>
    </row>
    <row r="187" spans="1:19" s="3440" customFormat="1" ht="15.05" hidden="1" thickBot="1" x14ac:dyDescent="0.35">
      <c r="A187" s="4364"/>
      <c r="B187" s="4384" t="s">
        <v>429</v>
      </c>
      <c r="C187" s="4385">
        <f>IF(B179=0,0,VLOOKUP(B179,Precios!$B$194:$F$205,Precios!$F$206,FALSE))</f>
        <v>0</v>
      </c>
      <c r="D187" s="4385" t="s">
        <v>431</v>
      </c>
      <c r="E187" s="4386"/>
      <c r="F187" s="4386"/>
      <c r="G187" s="4386"/>
      <c r="H187" s="4386"/>
      <c r="I187" s="4386"/>
      <c r="J187" s="4386"/>
      <c r="K187" s="4386"/>
      <c r="L187" s="4386"/>
      <c r="M187" s="4386"/>
      <c r="N187" s="4386"/>
      <c r="O187" s="4386"/>
      <c r="P187" s="4387"/>
      <c r="Q187" s="4375"/>
    </row>
    <row r="188" spans="1:19" s="3440" customFormat="1" ht="15.05" thickBot="1" x14ac:dyDescent="0.35">
      <c r="B188" s="4388" t="s">
        <v>430</v>
      </c>
      <c r="C188" s="4104"/>
      <c r="D188" s="4104"/>
      <c r="E188" s="4389">
        <f>IF($C$187=E7,$C$183*$C$186,0)</f>
        <v>0</v>
      </c>
      <c r="F188" s="4389">
        <f t="shared" ref="F188:P188" si="79">IF($C$187=F7,$C$183*$C$186,0)</f>
        <v>0</v>
      </c>
      <c r="G188" s="4389">
        <f t="shared" si="79"/>
        <v>0</v>
      </c>
      <c r="H188" s="4389">
        <f t="shared" si="79"/>
        <v>0</v>
      </c>
      <c r="I188" s="4389">
        <f t="shared" si="79"/>
        <v>0</v>
      </c>
      <c r="J188" s="4389">
        <f t="shared" si="79"/>
        <v>0</v>
      </c>
      <c r="K188" s="4389">
        <f t="shared" si="79"/>
        <v>0</v>
      </c>
      <c r="L188" s="4389">
        <f t="shared" si="79"/>
        <v>0</v>
      </c>
      <c r="M188" s="4389">
        <f t="shared" si="79"/>
        <v>0</v>
      </c>
      <c r="N188" s="4389">
        <f t="shared" si="79"/>
        <v>0</v>
      </c>
      <c r="O188" s="4389">
        <f t="shared" si="79"/>
        <v>0</v>
      </c>
      <c r="P188" s="4390">
        <f t="shared" si="79"/>
        <v>0</v>
      </c>
      <c r="Q188" s="3851"/>
    </row>
    <row r="189" spans="1:19" s="3452" customFormat="1" x14ac:dyDescent="0.3">
      <c r="B189" s="4391">
        <f>UsoSuelo!D355</f>
        <v>0</v>
      </c>
      <c r="C189" s="4392"/>
      <c r="D189" s="4392"/>
      <c r="E189" s="4393"/>
      <c r="F189" s="4393"/>
      <c r="G189" s="4393"/>
      <c r="H189" s="4393"/>
      <c r="I189" s="4393"/>
      <c r="J189" s="4393"/>
      <c r="K189" s="4393"/>
      <c r="L189" s="4393"/>
      <c r="M189" s="4393"/>
      <c r="N189" s="4393"/>
      <c r="O189" s="4393"/>
      <c r="P189" s="4394"/>
      <c r="Q189" s="3522"/>
      <c r="R189" s="3453"/>
      <c r="S189" s="3453"/>
    </row>
    <row r="190" spans="1:19" s="3440" customFormat="1" ht="15.05" hidden="1" thickBot="1" x14ac:dyDescent="0.35">
      <c r="A190" s="4364"/>
      <c r="B190" s="4365" t="s">
        <v>704</v>
      </c>
      <c r="C190" s="4366">
        <f>+UsoSuelo!U355</f>
        <v>0</v>
      </c>
      <c r="D190" s="4366" t="s">
        <v>247</v>
      </c>
      <c r="E190" s="4367"/>
      <c r="F190" s="4367"/>
      <c r="G190" s="4367"/>
      <c r="H190" s="4367"/>
      <c r="I190" s="4367"/>
      <c r="J190" s="4367"/>
      <c r="K190" s="4367"/>
      <c r="L190" s="4367"/>
      <c r="M190" s="4367"/>
      <c r="N190" s="4367"/>
      <c r="O190" s="4367"/>
      <c r="P190" s="4368"/>
      <c r="Q190" s="4369"/>
      <c r="R190" s="3453"/>
      <c r="S190" s="3453"/>
    </row>
    <row r="191" spans="1:19" s="3452" customFormat="1" hidden="1" x14ac:dyDescent="0.3">
      <c r="A191" s="4370"/>
      <c r="B191" s="4371" t="s">
        <v>435</v>
      </c>
      <c r="C191" s="4372">
        <f>UsoSuelo!T355</f>
        <v>0</v>
      </c>
      <c r="D191" s="4372" t="s">
        <v>247</v>
      </c>
      <c r="E191" s="4373"/>
      <c r="F191" s="4373"/>
      <c r="G191" s="4373"/>
      <c r="H191" s="4373"/>
      <c r="I191" s="4373"/>
      <c r="J191" s="4373"/>
      <c r="K191" s="4373"/>
      <c r="L191" s="4373"/>
      <c r="M191" s="4373"/>
      <c r="N191" s="4373"/>
      <c r="O191" s="4373"/>
      <c r="P191" s="4374"/>
      <c r="Q191" s="4375"/>
    </row>
    <row r="192" spans="1:19" s="3452" customFormat="1" hidden="1" x14ac:dyDescent="0.3">
      <c r="A192" s="4370"/>
      <c r="B192" s="4371" t="s">
        <v>433</v>
      </c>
      <c r="C192" s="4376">
        <f>Precios!C202</f>
        <v>0</v>
      </c>
      <c r="D192" s="4372" t="s">
        <v>434</v>
      </c>
      <c r="E192" s="4373"/>
      <c r="F192" s="4373"/>
      <c r="G192" s="4373"/>
      <c r="H192" s="4373"/>
      <c r="I192" s="4373"/>
      <c r="J192" s="4373"/>
      <c r="K192" s="4373"/>
      <c r="L192" s="4373"/>
      <c r="M192" s="4373"/>
      <c r="N192" s="4373"/>
      <c r="O192" s="4373"/>
      <c r="P192" s="4374"/>
      <c r="Q192" s="4375"/>
    </row>
    <row r="193" spans="1:19" s="3452" customFormat="1" hidden="1" x14ac:dyDescent="0.3">
      <c r="A193" s="4370"/>
      <c r="B193" s="4371" t="s">
        <v>425</v>
      </c>
      <c r="C193" s="4372">
        <f>C192*C191</f>
        <v>0</v>
      </c>
      <c r="D193" s="4372" t="s">
        <v>338</v>
      </c>
      <c r="E193" s="4373"/>
      <c r="F193" s="4373"/>
      <c r="G193" s="4373"/>
      <c r="H193" s="4373"/>
      <c r="I193" s="4373"/>
      <c r="J193" s="4373"/>
      <c r="K193" s="4373"/>
      <c r="L193" s="4373"/>
      <c r="M193" s="4373"/>
      <c r="N193" s="4373"/>
      <c r="O193" s="4373"/>
      <c r="P193" s="4374"/>
      <c r="Q193" s="4375"/>
    </row>
    <row r="194" spans="1:19" s="3452" customFormat="1" hidden="1" x14ac:dyDescent="0.3">
      <c r="A194" s="4370"/>
      <c r="B194" s="4371" t="s">
        <v>426</v>
      </c>
      <c r="C194" s="4372">
        <f>Alimentos!S447</f>
        <v>0</v>
      </c>
      <c r="D194" s="4372" t="s">
        <v>338</v>
      </c>
      <c r="E194" s="4373"/>
      <c r="F194" s="4373"/>
      <c r="G194" s="4373"/>
      <c r="H194" s="4373"/>
      <c r="I194" s="4373"/>
      <c r="J194" s="4373"/>
      <c r="K194" s="4373"/>
      <c r="L194" s="4373"/>
      <c r="M194" s="4373"/>
      <c r="N194" s="4373"/>
      <c r="O194" s="4373"/>
      <c r="P194" s="4374"/>
      <c r="Q194" s="4375"/>
    </row>
    <row r="195" spans="1:19" s="3452" customFormat="1" hidden="1" x14ac:dyDescent="0.3">
      <c r="A195" s="4370"/>
      <c r="B195" s="4377" t="s">
        <v>427</v>
      </c>
      <c r="C195" s="4378">
        <f>C193-C194</f>
        <v>0</v>
      </c>
      <c r="D195" s="4379" t="s">
        <v>338</v>
      </c>
      <c r="E195" s="4380">
        <f t="shared" ref="E195:P195" si="80">IF($C197=E$7,$C195,0)</f>
        <v>0</v>
      </c>
      <c r="F195" s="4380">
        <f t="shared" si="80"/>
        <v>0</v>
      </c>
      <c r="G195" s="4380">
        <f t="shared" si="80"/>
        <v>0</v>
      </c>
      <c r="H195" s="4380">
        <f t="shared" si="80"/>
        <v>0</v>
      </c>
      <c r="I195" s="4380">
        <f t="shared" si="80"/>
        <v>0</v>
      </c>
      <c r="J195" s="4380">
        <f t="shared" si="80"/>
        <v>0</v>
      </c>
      <c r="K195" s="4380">
        <f t="shared" si="80"/>
        <v>0</v>
      </c>
      <c r="L195" s="4380">
        <f t="shared" si="80"/>
        <v>0</v>
      </c>
      <c r="M195" s="4380">
        <f t="shared" si="80"/>
        <v>0</v>
      </c>
      <c r="N195" s="4380">
        <f t="shared" si="80"/>
        <v>0</v>
      </c>
      <c r="O195" s="4380">
        <f t="shared" si="80"/>
        <v>0</v>
      </c>
      <c r="P195" s="4381">
        <f t="shared" si="80"/>
        <v>0</v>
      </c>
      <c r="Q195" s="4382" t="str">
        <f>B195&amp;B189</f>
        <v>Saldo Vendible 0</v>
      </c>
    </row>
    <row r="196" spans="1:19" s="3452" customFormat="1" hidden="1" x14ac:dyDescent="0.3">
      <c r="A196" s="4370"/>
      <c r="B196" s="4371" t="s">
        <v>428</v>
      </c>
      <c r="C196" s="4372">
        <f>VLOOKUP(B189,Precios!$B$194:$G$205,6,FALSE)</f>
        <v>0</v>
      </c>
      <c r="D196" s="4383" t="s">
        <v>432</v>
      </c>
      <c r="E196" s="4373"/>
      <c r="F196" s="4373"/>
      <c r="G196" s="4373"/>
      <c r="H196" s="4373"/>
      <c r="I196" s="4373"/>
      <c r="J196" s="4373"/>
      <c r="K196" s="4373"/>
      <c r="L196" s="4373"/>
      <c r="M196" s="4373"/>
      <c r="N196" s="4373"/>
      <c r="O196" s="4373"/>
      <c r="P196" s="4374"/>
      <c r="Q196" s="4375"/>
    </row>
    <row r="197" spans="1:19" s="3440" customFormat="1" ht="15.05" hidden="1" thickBot="1" x14ac:dyDescent="0.35">
      <c r="A197" s="4364"/>
      <c r="B197" s="4384" t="s">
        <v>429</v>
      </c>
      <c r="C197" s="4385">
        <f>IF(B189=0,0,VLOOKUP(B189,Precios!$B$194:$F$205,Precios!$F$206,FALSE))</f>
        <v>0</v>
      </c>
      <c r="D197" s="4385" t="s">
        <v>431</v>
      </c>
      <c r="E197" s="4386"/>
      <c r="F197" s="4386"/>
      <c r="G197" s="4386"/>
      <c r="H197" s="4386"/>
      <c r="I197" s="4386"/>
      <c r="J197" s="4386"/>
      <c r="K197" s="4386"/>
      <c r="L197" s="4386"/>
      <c r="M197" s="4386"/>
      <c r="N197" s="4386"/>
      <c r="O197" s="4386"/>
      <c r="P197" s="4387"/>
      <c r="Q197" s="4375"/>
    </row>
    <row r="198" spans="1:19" s="3440" customFormat="1" ht="15.05" thickBot="1" x14ac:dyDescent="0.35">
      <c r="B198" s="4388" t="s">
        <v>430</v>
      </c>
      <c r="C198" s="4104"/>
      <c r="D198" s="4104"/>
      <c r="E198" s="4389">
        <f>IF($C$197=E7,$C$193*$C$196,0)</f>
        <v>0</v>
      </c>
      <c r="F198" s="4389">
        <f t="shared" ref="F198:P198" si="81">IF($C$197=F7,$C$193*$C$196,0)</f>
        <v>0</v>
      </c>
      <c r="G198" s="4389">
        <f t="shared" si="81"/>
        <v>0</v>
      </c>
      <c r="H198" s="4389">
        <f t="shared" si="81"/>
        <v>0</v>
      </c>
      <c r="I198" s="4389">
        <f t="shared" si="81"/>
        <v>0</v>
      </c>
      <c r="J198" s="4389">
        <f t="shared" si="81"/>
        <v>0</v>
      </c>
      <c r="K198" s="4389">
        <f t="shared" si="81"/>
        <v>0</v>
      </c>
      <c r="L198" s="4389">
        <f t="shared" si="81"/>
        <v>0</v>
      </c>
      <c r="M198" s="4389">
        <f t="shared" si="81"/>
        <v>0</v>
      </c>
      <c r="N198" s="4389">
        <f t="shared" si="81"/>
        <v>0</v>
      </c>
      <c r="O198" s="4389">
        <f t="shared" si="81"/>
        <v>0</v>
      </c>
      <c r="P198" s="4390">
        <f t="shared" si="81"/>
        <v>0</v>
      </c>
      <c r="Q198" s="3851"/>
    </row>
    <row r="199" spans="1:19" s="3452" customFormat="1" x14ac:dyDescent="0.3">
      <c r="B199" s="4391">
        <f>UsoSuelo!D356</f>
        <v>0</v>
      </c>
      <c r="C199" s="4392"/>
      <c r="D199" s="4392"/>
      <c r="E199" s="4393"/>
      <c r="F199" s="4393"/>
      <c r="G199" s="4393"/>
      <c r="H199" s="4393"/>
      <c r="I199" s="4393"/>
      <c r="J199" s="4393"/>
      <c r="K199" s="4393"/>
      <c r="L199" s="4393"/>
      <c r="M199" s="4393"/>
      <c r="N199" s="4393"/>
      <c r="O199" s="4393"/>
      <c r="P199" s="4394"/>
      <c r="Q199" s="3522"/>
      <c r="R199" s="3453"/>
      <c r="S199" s="3453"/>
    </row>
    <row r="200" spans="1:19" s="3440" customFormat="1" ht="15.05" hidden="1" thickBot="1" x14ac:dyDescent="0.35">
      <c r="A200" s="4364"/>
      <c r="B200" s="4365" t="s">
        <v>704</v>
      </c>
      <c r="C200" s="4366">
        <f>+UsoSuelo!U356</f>
        <v>0</v>
      </c>
      <c r="D200" s="4366" t="s">
        <v>247</v>
      </c>
      <c r="E200" s="4367"/>
      <c r="F200" s="4367"/>
      <c r="G200" s="4367"/>
      <c r="H200" s="4367"/>
      <c r="I200" s="4367"/>
      <c r="J200" s="4367"/>
      <c r="K200" s="4367"/>
      <c r="L200" s="4367"/>
      <c r="M200" s="4367"/>
      <c r="N200" s="4367"/>
      <c r="O200" s="4367"/>
      <c r="P200" s="4368"/>
      <c r="Q200" s="4369"/>
      <c r="R200" s="3453"/>
      <c r="S200" s="3453"/>
    </row>
    <row r="201" spans="1:19" s="3452" customFormat="1" hidden="1" x14ac:dyDescent="0.3">
      <c r="A201" s="4370"/>
      <c r="B201" s="4371" t="s">
        <v>435</v>
      </c>
      <c r="C201" s="4372">
        <f>UsoSuelo!T356</f>
        <v>0</v>
      </c>
      <c r="D201" s="4372" t="s">
        <v>247</v>
      </c>
      <c r="E201" s="4373"/>
      <c r="F201" s="4373"/>
      <c r="G201" s="4373"/>
      <c r="H201" s="4373"/>
      <c r="I201" s="4373"/>
      <c r="J201" s="4373"/>
      <c r="K201" s="4373"/>
      <c r="L201" s="4373"/>
      <c r="M201" s="4373"/>
      <c r="N201" s="4373"/>
      <c r="O201" s="4373"/>
      <c r="P201" s="4374"/>
      <c r="Q201" s="4375"/>
    </row>
    <row r="202" spans="1:19" s="3452" customFormat="1" hidden="1" x14ac:dyDescent="0.3">
      <c r="A202" s="4370"/>
      <c r="B202" s="4371" t="s">
        <v>433</v>
      </c>
      <c r="C202" s="4376">
        <f>Precios!C203</f>
        <v>0</v>
      </c>
      <c r="D202" s="4372" t="s">
        <v>434</v>
      </c>
      <c r="E202" s="4373"/>
      <c r="F202" s="4373"/>
      <c r="G202" s="4373"/>
      <c r="H202" s="4373"/>
      <c r="I202" s="4373"/>
      <c r="J202" s="4373"/>
      <c r="K202" s="4373"/>
      <c r="L202" s="4373"/>
      <c r="M202" s="4373"/>
      <c r="N202" s="4373"/>
      <c r="O202" s="4373"/>
      <c r="P202" s="4374"/>
      <c r="Q202" s="4375"/>
    </row>
    <row r="203" spans="1:19" s="3452" customFormat="1" hidden="1" x14ac:dyDescent="0.3">
      <c r="A203" s="4370"/>
      <c r="B203" s="4371" t="s">
        <v>425</v>
      </c>
      <c r="C203" s="4372">
        <f>C202*C201</f>
        <v>0</v>
      </c>
      <c r="D203" s="4372" t="s">
        <v>338</v>
      </c>
      <c r="E203" s="4373"/>
      <c r="F203" s="4373"/>
      <c r="G203" s="4373"/>
      <c r="H203" s="4373"/>
      <c r="I203" s="4373"/>
      <c r="J203" s="4373"/>
      <c r="K203" s="4373"/>
      <c r="L203" s="4373"/>
      <c r="M203" s="4373"/>
      <c r="N203" s="4373"/>
      <c r="O203" s="4373"/>
      <c r="P203" s="4374"/>
      <c r="Q203" s="4375"/>
    </row>
    <row r="204" spans="1:19" s="3452" customFormat="1" hidden="1" x14ac:dyDescent="0.3">
      <c r="A204" s="4370"/>
      <c r="B204" s="4371" t="s">
        <v>426</v>
      </c>
      <c r="C204" s="4372">
        <f>Alimentos!S448</f>
        <v>0</v>
      </c>
      <c r="D204" s="4372" t="s">
        <v>338</v>
      </c>
      <c r="E204" s="4373"/>
      <c r="F204" s="4373"/>
      <c r="G204" s="4373"/>
      <c r="H204" s="4373"/>
      <c r="I204" s="4373"/>
      <c r="J204" s="4373"/>
      <c r="K204" s="4373"/>
      <c r="L204" s="4373"/>
      <c r="M204" s="4373"/>
      <c r="N204" s="4373"/>
      <c r="O204" s="4373"/>
      <c r="P204" s="4374"/>
      <c r="Q204" s="4375"/>
    </row>
    <row r="205" spans="1:19" s="3452" customFormat="1" hidden="1" x14ac:dyDescent="0.3">
      <c r="A205" s="4370"/>
      <c r="B205" s="4377" t="s">
        <v>427</v>
      </c>
      <c r="C205" s="4378">
        <f>C203-C204</f>
        <v>0</v>
      </c>
      <c r="D205" s="4379" t="s">
        <v>338</v>
      </c>
      <c r="E205" s="4380">
        <f t="shared" ref="E205:P205" si="82">IF($C207=E$7,$C205,0)</f>
        <v>0</v>
      </c>
      <c r="F205" s="4380">
        <f t="shared" si="82"/>
        <v>0</v>
      </c>
      <c r="G205" s="4380">
        <f t="shared" si="82"/>
        <v>0</v>
      </c>
      <c r="H205" s="4380">
        <f t="shared" si="82"/>
        <v>0</v>
      </c>
      <c r="I205" s="4380">
        <f t="shared" si="82"/>
        <v>0</v>
      </c>
      <c r="J205" s="4380">
        <f t="shared" si="82"/>
        <v>0</v>
      </c>
      <c r="K205" s="4380">
        <f t="shared" si="82"/>
        <v>0</v>
      </c>
      <c r="L205" s="4380">
        <f t="shared" si="82"/>
        <v>0</v>
      </c>
      <c r="M205" s="4380">
        <f t="shared" si="82"/>
        <v>0</v>
      </c>
      <c r="N205" s="4380">
        <f t="shared" si="82"/>
        <v>0</v>
      </c>
      <c r="O205" s="4380">
        <f t="shared" si="82"/>
        <v>0</v>
      </c>
      <c r="P205" s="4381">
        <f t="shared" si="82"/>
        <v>0</v>
      </c>
      <c r="Q205" s="4382" t="str">
        <f>B205&amp;B199</f>
        <v>Saldo Vendible 0</v>
      </c>
    </row>
    <row r="206" spans="1:19" s="3452" customFormat="1" hidden="1" x14ac:dyDescent="0.3">
      <c r="A206" s="4370"/>
      <c r="B206" s="4371" t="s">
        <v>428</v>
      </c>
      <c r="C206" s="4372">
        <f>VLOOKUP(B199,Precios!$B$194:$G$205,6,FALSE)</f>
        <v>0</v>
      </c>
      <c r="D206" s="4383" t="s">
        <v>432</v>
      </c>
      <c r="E206" s="4373"/>
      <c r="F206" s="4373"/>
      <c r="G206" s="4373"/>
      <c r="H206" s="4373"/>
      <c r="I206" s="4373"/>
      <c r="J206" s="4373"/>
      <c r="K206" s="4373"/>
      <c r="L206" s="4373"/>
      <c r="M206" s="4373"/>
      <c r="N206" s="4373"/>
      <c r="O206" s="4373"/>
      <c r="P206" s="4374"/>
      <c r="Q206" s="4375"/>
    </row>
    <row r="207" spans="1:19" s="3440" customFormat="1" ht="15.05" hidden="1" thickBot="1" x14ac:dyDescent="0.35">
      <c r="A207" s="4364"/>
      <c r="B207" s="4384" t="s">
        <v>429</v>
      </c>
      <c r="C207" s="4385">
        <f>IF(B199=0,0,VLOOKUP(B199,Precios!$B$194:$F$205,Precios!$F$206,FALSE))</f>
        <v>0</v>
      </c>
      <c r="D207" s="4385" t="s">
        <v>431</v>
      </c>
      <c r="E207" s="4386"/>
      <c r="F207" s="4386"/>
      <c r="G207" s="4386"/>
      <c r="H207" s="4386"/>
      <c r="I207" s="4386"/>
      <c r="J207" s="4386"/>
      <c r="K207" s="4386"/>
      <c r="L207" s="4386"/>
      <c r="M207" s="4386"/>
      <c r="N207" s="4386"/>
      <c r="O207" s="4386"/>
      <c r="P207" s="4387"/>
      <c r="Q207" s="4375"/>
    </row>
    <row r="208" spans="1:19" s="3440" customFormat="1" ht="15.05" thickBot="1" x14ac:dyDescent="0.35">
      <c r="B208" s="4388" t="s">
        <v>430</v>
      </c>
      <c r="C208" s="4104"/>
      <c r="D208" s="4104"/>
      <c r="E208" s="4389">
        <f>IF($C$207=E7,$C$203*$C$206,0)</f>
        <v>0</v>
      </c>
      <c r="F208" s="4389">
        <f t="shared" ref="F208:P208" si="83">IF($C$207=F7,$C$203*$C$206,0)</f>
        <v>0</v>
      </c>
      <c r="G208" s="4389">
        <f t="shared" si="83"/>
        <v>0</v>
      </c>
      <c r="H208" s="4389">
        <f t="shared" si="83"/>
        <v>0</v>
      </c>
      <c r="I208" s="4389">
        <f t="shared" si="83"/>
        <v>0</v>
      </c>
      <c r="J208" s="4389">
        <f t="shared" si="83"/>
        <v>0</v>
      </c>
      <c r="K208" s="4389">
        <f t="shared" si="83"/>
        <v>0</v>
      </c>
      <c r="L208" s="4389">
        <f t="shared" si="83"/>
        <v>0</v>
      </c>
      <c r="M208" s="4389">
        <f t="shared" si="83"/>
        <v>0</v>
      </c>
      <c r="N208" s="4389">
        <f t="shared" si="83"/>
        <v>0</v>
      </c>
      <c r="O208" s="4389">
        <f t="shared" si="83"/>
        <v>0</v>
      </c>
      <c r="P208" s="4390">
        <f t="shared" si="83"/>
        <v>0</v>
      </c>
      <c r="Q208" s="3851"/>
    </row>
    <row r="209" spans="1:19" s="3452" customFormat="1" x14ac:dyDescent="0.3">
      <c r="B209" s="4391">
        <f>UsoSuelo!D357</f>
        <v>0</v>
      </c>
      <c r="C209" s="4392"/>
      <c r="D209" s="4392"/>
      <c r="E209" s="4393"/>
      <c r="F209" s="4393"/>
      <c r="G209" s="4393"/>
      <c r="H209" s="4393"/>
      <c r="I209" s="4393"/>
      <c r="J209" s="4393"/>
      <c r="K209" s="4393"/>
      <c r="L209" s="4393"/>
      <c r="M209" s="4393"/>
      <c r="N209" s="4393"/>
      <c r="O209" s="4393"/>
      <c r="P209" s="4394"/>
      <c r="Q209" s="3522"/>
      <c r="R209" s="3453"/>
      <c r="S209" s="3453"/>
    </row>
    <row r="210" spans="1:19" s="3440" customFormat="1" ht="15.05" hidden="1" thickBot="1" x14ac:dyDescent="0.35">
      <c r="A210" s="4364"/>
      <c r="B210" s="4365" t="s">
        <v>704</v>
      </c>
      <c r="C210" s="4366">
        <f>+UsoSuelo!U357</f>
        <v>0</v>
      </c>
      <c r="D210" s="4366" t="s">
        <v>247</v>
      </c>
      <c r="E210" s="4367"/>
      <c r="F210" s="4367"/>
      <c r="G210" s="4367"/>
      <c r="H210" s="4367"/>
      <c r="I210" s="4367"/>
      <c r="J210" s="4367"/>
      <c r="K210" s="4367"/>
      <c r="L210" s="4367"/>
      <c r="M210" s="4367"/>
      <c r="N210" s="4367"/>
      <c r="O210" s="4367"/>
      <c r="P210" s="4368"/>
      <c r="Q210" s="4369"/>
      <c r="R210" s="3453"/>
      <c r="S210" s="3453"/>
    </row>
    <row r="211" spans="1:19" s="3452" customFormat="1" hidden="1" x14ac:dyDescent="0.3">
      <c r="A211" s="4370"/>
      <c r="B211" s="4371" t="s">
        <v>435</v>
      </c>
      <c r="C211" s="4372">
        <f>UsoSuelo!T357</f>
        <v>0</v>
      </c>
      <c r="D211" s="4372" t="s">
        <v>247</v>
      </c>
      <c r="E211" s="4373"/>
      <c r="F211" s="4373"/>
      <c r="G211" s="4373"/>
      <c r="H211" s="4373"/>
      <c r="I211" s="4373"/>
      <c r="J211" s="4373"/>
      <c r="K211" s="4373"/>
      <c r="L211" s="4373"/>
      <c r="M211" s="4373"/>
      <c r="N211" s="4373"/>
      <c r="O211" s="4373"/>
      <c r="P211" s="4374"/>
      <c r="Q211" s="4375"/>
    </row>
    <row r="212" spans="1:19" s="3452" customFormat="1" hidden="1" x14ac:dyDescent="0.3">
      <c r="A212" s="4370"/>
      <c r="B212" s="4371" t="s">
        <v>433</v>
      </c>
      <c r="C212" s="4376">
        <f>Precios!C204</f>
        <v>0</v>
      </c>
      <c r="D212" s="4372" t="s">
        <v>434</v>
      </c>
      <c r="E212" s="4373"/>
      <c r="F212" s="4373"/>
      <c r="G212" s="4373"/>
      <c r="H212" s="4373"/>
      <c r="I212" s="4373"/>
      <c r="J212" s="4373"/>
      <c r="K212" s="4373"/>
      <c r="L212" s="4373"/>
      <c r="M212" s="4373"/>
      <c r="N212" s="4373"/>
      <c r="O212" s="4373"/>
      <c r="P212" s="4374"/>
      <c r="Q212" s="4375"/>
    </row>
    <row r="213" spans="1:19" s="3452" customFormat="1" hidden="1" x14ac:dyDescent="0.3">
      <c r="A213" s="4370"/>
      <c r="B213" s="4371" t="s">
        <v>425</v>
      </c>
      <c r="C213" s="4372">
        <f>C212*C211</f>
        <v>0</v>
      </c>
      <c r="D213" s="4372" t="s">
        <v>338</v>
      </c>
      <c r="E213" s="4373"/>
      <c r="F213" s="4373"/>
      <c r="G213" s="4373"/>
      <c r="H213" s="4373"/>
      <c r="I213" s="4373"/>
      <c r="J213" s="4373"/>
      <c r="K213" s="4373"/>
      <c r="L213" s="4373"/>
      <c r="M213" s="4373"/>
      <c r="N213" s="4373"/>
      <c r="O213" s="4373"/>
      <c r="P213" s="4374"/>
      <c r="Q213" s="4375"/>
    </row>
    <row r="214" spans="1:19" s="3452" customFormat="1" hidden="1" x14ac:dyDescent="0.3">
      <c r="A214" s="4370"/>
      <c r="B214" s="4371" t="s">
        <v>426</v>
      </c>
      <c r="C214" s="4372">
        <f>Alimentos!S449</f>
        <v>0</v>
      </c>
      <c r="D214" s="4372" t="s">
        <v>338</v>
      </c>
      <c r="E214" s="4373"/>
      <c r="F214" s="4373"/>
      <c r="G214" s="4373"/>
      <c r="H214" s="4373"/>
      <c r="I214" s="4373"/>
      <c r="J214" s="4373"/>
      <c r="K214" s="4373"/>
      <c r="L214" s="4373"/>
      <c r="M214" s="4373"/>
      <c r="N214" s="4373"/>
      <c r="O214" s="4373"/>
      <c r="P214" s="4374"/>
      <c r="Q214" s="4375"/>
    </row>
    <row r="215" spans="1:19" s="3452" customFormat="1" hidden="1" x14ac:dyDescent="0.3">
      <c r="A215" s="4370"/>
      <c r="B215" s="4377" t="s">
        <v>427</v>
      </c>
      <c r="C215" s="4378">
        <f>C213-C214</f>
        <v>0</v>
      </c>
      <c r="D215" s="4379" t="s">
        <v>338</v>
      </c>
      <c r="E215" s="4380">
        <f t="shared" ref="E215:P215" si="84">IF($C217=E$7,$C215,0)</f>
        <v>0</v>
      </c>
      <c r="F215" s="4380">
        <f t="shared" si="84"/>
        <v>0</v>
      </c>
      <c r="G215" s="4380">
        <f t="shared" si="84"/>
        <v>0</v>
      </c>
      <c r="H215" s="4380">
        <f t="shared" si="84"/>
        <v>0</v>
      </c>
      <c r="I215" s="4380">
        <f t="shared" si="84"/>
        <v>0</v>
      </c>
      <c r="J215" s="4380">
        <f t="shared" si="84"/>
        <v>0</v>
      </c>
      <c r="K215" s="4380">
        <f t="shared" si="84"/>
        <v>0</v>
      </c>
      <c r="L215" s="4380">
        <f t="shared" si="84"/>
        <v>0</v>
      </c>
      <c r="M215" s="4380">
        <f t="shared" si="84"/>
        <v>0</v>
      </c>
      <c r="N215" s="4380">
        <f t="shared" si="84"/>
        <v>0</v>
      </c>
      <c r="O215" s="4380">
        <f t="shared" si="84"/>
        <v>0</v>
      </c>
      <c r="P215" s="4381">
        <f t="shared" si="84"/>
        <v>0</v>
      </c>
      <c r="Q215" s="4382" t="str">
        <f>B215&amp;B209</f>
        <v>Saldo Vendible 0</v>
      </c>
    </row>
    <row r="216" spans="1:19" s="3452" customFormat="1" hidden="1" x14ac:dyDescent="0.3">
      <c r="A216" s="4370"/>
      <c r="B216" s="4371" t="s">
        <v>428</v>
      </c>
      <c r="C216" s="4372">
        <f>VLOOKUP(B209,Precios!$B$194:$G$205,6,FALSE)</f>
        <v>0</v>
      </c>
      <c r="D216" s="4383" t="s">
        <v>432</v>
      </c>
      <c r="E216" s="4373"/>
      <c r="F216" s="4373"/>
      <c r="G216" s="4373"/>
      <c r="H216" s="4373"/>
      <c r="I216" s="4373"/>
      <c r="J216" s="4373"/>
      <c r="K216" s="4373"/>
      <c r="L216" s="4373"/>
      <c r="M216" s="4373"/>
      <c r="N216" s="4373"/>
      <c r="O216" s="4373"/>
      <c r="P216" s="4374"/>
      <c r="Q216" s="4375"/>
    </row>
    <row r="217" spans="1:19" s="3440" customFormat="1" ht="15.05" hidden="1" thickBot="1" x14ac:dyDescent="0.35">
      <c r="A217" s="4364"/>
      <c r="B217" s="4384" t="s">
        <v>429</v>
      </c>
      <c r="C217" s="4385">
        <f>IF(B209=0,0,VLOOKUP(B209,Precios!$B$194:$F$205,Precios!$F$206,FALSE))</f>
        <v>0</v>
      </c>
      <c r="D217" s="4385" t="s">
        <v>431</v>
      </c>
      <c r="E217" s="4386"/>
      <c r="F217" s="4386"/>
      <c r="G217" s="4386"/>
      <c r="H217" s="4386"/>
      <c r="I217" s="4386"/>
      <c r="J217" s="4386"/>
      <c r="K217" s="4386"/>
      <c r="L217" s="4386"/>
      <c r="M217" s="4386"/>
      <c r="N217" s="4386"/>
      <c r="O217" s="4386"/>
      <c r="P217" s="4387"/>
      <c r="Q217" s="4375"/>
    </row>
    <row r="218" spans="1:19" s="3440" customFormat="1" ht="15.05" thickBot="1" x14ac:dyDescent="0.35">
      <c r="B218" s="4388" t="s">
        <v>430</v>
      </c>
      <c r="C218" s="4104"/>
      <c r="D218" s="4104"/>
      <c r="E218" s="4389">
        <f>IF($C$217=E7,$C$213*$C$216,0)</f>
        <v>0</v>
      </c>
      <c r="F218" s="4389">
        <f t="shared" ref="F218:P218" si="85">IF($C$217=F7,$C$213*$C$216,0)</f>
        <v>0</v>
      </c>
      <c r="G218" s="4389">
        <f t="shared" si="85"/>
        <v>0</v>
      </c>
      <c r="H218" s="4389">
        <f t="shared" si="85"/>
        <v>0</v>
      </c>
      <c r="I218" s="4389">
        <f t="shared" si="85"/>
        <v>0</v>
      </c>
      <c r="J218" s="4389">
        <f t="shared" si="85"/>
        <v>0</v>
      </c>
      <c r="K218" s="4389">
        <f t="shared" si="85"/>
        <v>0</v>
      </c>
      <c r="L218" s="4389">
        <f t="shared" si="85"/>
        <v>0</v>
      </c>
      <c r="M218" s="4389">
        <f t="shared" si="85"/>
        <v>0</v>
      </c>
      <c r="N218" s="4389">
        <f t="shared" si="85"/>
        <v>0</v>
      </c>
      <c r="O218" s="4389">
        <f t="shared" si="85"/>
        <v>0</v>
      </c>
      <c r="P218" s="4390">
        <f t="shared" si="85"/>
        <v>0</v>
      </c>
      <c r="Q218" s="3851"/>
    </row>
    <row r="219" spans="1:19" s="3452" customFormat="1" x14ac:dyDescent="0.3">
      <c r="B219" s="4391">
        <f>UsoSuelo!D358</f>
        <v>0</v>
      </c>
      <c r="C219" s="4392"/>
      <c r="D219" s="4392"/>
      <c r="E219" s="4393"/>
      <c r="F219" s="4393"/>
      <c r="G219" s="4393"/>
      <c r="H219" s="4393"/>
      <c r="I219" s="4393"/>
      <c r="J219" s="4393"/>
      <c r="K219" s="4393"/>
      <c r="L219" s="4393"/>
      <c r="M219" s="4393"/>
      <c r="N219" s="4393"/>
      <c r="O219" s="4393"/>
      <c r="P219" s="4394"/>
      <c r="Q219" s="3522"/>
      <c r="R219" s="3453"/>
      <c r="S219" s="3453"/>
    </row>
    <row r="220" spans="1:19" s="3440" customFormat="1" ht="15.05" hidden="1" thickBot="1" x14ac:dyDescent="0.35">
      <c r="A220" s="4364"/>
      <c r="B220" s="4365" t="s">
        <v>704</v>
      </c>
      <c r="C220" s="4366">
        <f>+UsoSuelo!U358</f>
        <v>0</v>
      </c>
      <c r="D220" s="4366" t="s">
        <v>247</v>
      </c>
      <c r="E220" s="4367"/>
      <c r="F220" s="4367"/>
      <c r="G220" s="4367"/>
      <c r="H220" s="4367"/>
      <c r="I220" s="4367"/>
      <c r="J220" s="4367"/>
      <c r="K220" s="4367"/>
      <c r="L220" s="4367"/>
      <c r="M220" s="4367"/>
      <c r="N220" s="4367"/>
      <c r="O220" s="4367"/>
      <c r="P220" s="4368"/>
      <c r="Q220" s="4369"/>
      <c r="R220" s="3453"/>
      <c r="S220" s="3453"/>
    </row>
    <row r="221" spans="1:19" s="3452" customFormat="1" hidden="1" x14ac:dyDescent="0.3">
      <c r="A221" s="4370"/>
      <c r="B221" s="4371" t="s">
        <v>435</v>
      </c>
      <c r="C221" s="4372">
        <f>UsoSuelo!T358</f>
        <v>0</v>
      </c>
      <c r="D221" s="4372" t="s">
        <v>247</v>
      </c>
      <c r="E221" s="4373"/>
      <c r="F221" s="4373"/>
      <c r="G221" s="4373"/>
      <c r="H221" s="4373"/>
      <c r="I221" s="4373"/>
      <c r="J221" s="4373"/>
      <c r="K221" s="4373"/>
      <c r="L221" s="4373"/>
      <c r="M221" s="4373"/>
      <c r="N221" s="4373"/>
      <c r="O221" s="4373"/>
      <c r="P221" s="4374"/>
      <c r="Q221" s="4375"/>
    </row>
    <row r="222" spans="1:19" s="3452" customFormat="1" hidden="1" x14ac:dyDescent="0.3">
      <c r="A222" s="4370"/>
      <c r="B222" s="4371" t="s">
        <v>433</v>
      </c>
      <c r="C222" s="4376">
        <f>Precios!C205</f>
        <v>0</v>
      </c>
      <c r="D222" s="4372" t="s">
        <v>434</v>
      </c>
      <c r="E222" s="4373"/>
      <c r="F222" s="4373"/>
      <c r="G222" s="4373"/>
      <c r="H222" s="4373"/>
      <c r="I222" s="4373"/>
      <c r="J222" s="4373"/>
      <c r="K222" s="4373"/>
      <c r="L222" s="4373"/>
      <c r="M222" s="4373"/>
      <c r="N222" s="4373"/>
      <c r="O222" s="4373"/>
      <c r="P222" s="4374"/>
      <c r="Q222" s="4375"/>
    </row>
    <row r="223" spans="1:19" s="3452" customFormat="1" hidden="1" x14ac:dyDescent="0.3">
      <c r="A223" s="4370"/>
      <c r="B223" s="4371" t="s">
        <v>425</v>
      </c>
      <c r="C223" s="4372">
        <f>C222*C221</f>
        <v>0</v>
      </c>
      <c r="D223" s="4372" t="s">
        <v>338</v>
      </c>
      <c r="E223" s="4373"/>
      <c r="F223" s="4373"/>
      <c r="G223" s="4373"/>
      <c r="H223" s="4373"/>
      <c r="I223" s="4373"/>
      <c r="J223" s="4373"/>
      <c r="K223" s="4373"/>
      <c r="L223" s="4373"/>
      <c r="M223" s="4373"/>
      <c r="N223" s="4373"/>
      <c r="O223" s="4373"/>
      <c r="P223" s="4374"/>
      <c r="Q223" s="4375"/>
    </row>
    <row r="224" spans="1:19" s="3452" customFormat="1" hidden="1" x14ac:dyDescent="0.3">
      <c r="A224" s="4370"/>
      <c r="B224" s="4371" t="s">
        <v>426</v>
      </c>
      <c r="C224" s="4372">
        <f>Alimentos!S450</f>
        <v>0</v>
      </c>
      <c r="D224" s="4372" t="s">
        <v>338</v>
      </c>
      <c r="E224" s="4373"/>
      <c r="F224" s="4373"/>
      <c r="G224" s="4373"/>
      <c r="H224" s="4373"/>
      <c r="I224" s="4373"/>
      <c r="J224" s="4373"/>
      <c r="K224" s="4373"/>
      <c r="L224" s="4373"/>
      <c r="M224" s="4373"/>
      <c r="N224" s="4373"/>
      <c r="O224" s="4373"/>
      <c r="P224" s="4374"/>
      <c r="Q224" s="4375"/>
    </row>
    <row r="225" spans="1:17" s="3452" customFormat="1" hidden="1" x14ac:dyDescent="0.3">
      <c r="A225" s="4370"/>
      <c r="B225" s="4377" t="s">
        <v>427</v>
      </c>
      <c r="C225" s="4378">
        <f>C223-C224</f>
        <v>0</v>
      </c>
      <c r="D225" s="4379" t="s">
        <v>338</v>
      </c>
      <c r="E225" s="4380">
        <f t="shared" ref="E225:P225" si="86">IF($C227=E$7,$C225,0)</f>
        <v>0</v>
      </c>
      <c r="F225" s="4380">
        <f t="shared" si="86"/>
        <v>0</v>
      </c>
      <c r="G225" s="4380">
        <f t="shared" si="86"/>
        <v>0</v>
      </c>
      <c r="H225" s="4380">
        <f t="shared" si="86"/>
        <v>0</v>
      </c>
      <c r="I225" s="4380">
        <f t="shared" si="86"/>
        <v>0</v>
      </c>
      <c r="J225" s="4380">
        <f t="shared" si="86"/>
        <v>0</v>
      </c>
      <c r="K225" s="4380">
        <f t="shared" si="86"/>
        <v>0</v>
      </c>
      <c r="L225" s="4380">
        <f t="shared" si="86"/>
        <v>0</v>
      </c>
      <c r="M225" s="4380">
        <f t="shared" si="86"/>
        <v>0</v>
      </c>
      <c r="N225" s="4380">
        <f t="shared" si="86"/>
        <v>0</v>
      </c>
      <c r="O225" s="4380">
        <f t="shared" si="86"/>
        <v>0</v>
      </c>
      <c r="P225" s="4381">
        <f t="shared" si="86"/>
        <v>0</v>
      </c>
      <c r="Q225" s="4382" t="str">
        <f>B225&amp;B219</f>
        <v>Saldo Vendible 0</v>
      </c>
    </row>
    <row r="226" spans="1:17" s="3452" customFormat="1" hidden="1" x14ac:dyDescent="0.3">
      <c r="A226" s="4370"/>
      <c r="B226" s="4371" t="s">
        <v>428</v>
      </c>
      <c r="C226" s="4372">
        <f>VLOOKUP(B219,Precios!$B$194:$G$205,6,FALSE)</f>
        <v>0</v>
      </c>
      <c r="D226" s="4383" t="s">
        <v>432</v>
      </c>
      <c r="E226" s="4373"/>
      <c r="F226" s="4373"/>
      <c r="G226" s="4373"/>
      <c r="H226" s="4373"/>
      <c r="I226" s="4373"/>
      <c r="J226" s="4373"/>
      <c r="K226" s="4373"/>
      <c r="L226" s="4373"/>
      <c r="M226" s="4373"/>
      <c r="N226" s="4373"/>
      <c r="O226" s="4373"/>
      <c r="P226" s="4374"/>
      <c r="Q226" s="4375"/>
    </row>
    <row r="227" spans="1:17" s="3440" customFormat="1" ht="15.05" hidden="1" thickBot="1" x14ac:dyDescent="0.35">
      <c r="A227" s="4364"/>
      <c r="B227" s="4384" t="s">
        <v>429</v>
      </c>
      <c r="C227" s="4385">
        <f>IF(B219=0,0,VLOOKUP(B219,Precios!$B$194:$F$205,Precios!$F$206,FALSE))</f>
        <v>0</v>
      </c>
      <c r="D227" s="4385" t="s">
        <v>431</v>
      </c>
      <c r="E227" s="4386"/>
      <c r="F227" s="4386"/>
      <c r="G227" s="4386"/>
      <c r="H227" s="4386"/>
      <c r="I227" s="4386"/>
      <c r="J227" s="4386"/>
      <c r="K227" s="4386"/>
      <c r="L227" s="4386"/>
      <c r="M227" s="4386"/>
      <c r="N227" s="4386"/>
      <c r="O227" s="4386"/>
      <c r="P227" s="4387"/>
      <c r="Q227" s="4375"/>
    </row>
    <row r="228" spans="1:17" s="3440" customFormat="1" ht="15.05" thickBot="1" x14ac:dyDescent="0.35">
      <c r="B228" s="4395" t="s">
        <v>430</v>
      </c>
      <c r="C228" s="3453"/>
      <c r="D228" s="3453"/>
      <c r="E228" s="4396">
        <f>IF($C$227=E7,$C$223*$C$226,0)</f>
        <v>0</v>
      </c>
      <c r="F228" s="4396">
        <f t="shared" ref="F228:P228" si="87">IF($C$227=F7,$C$223*$C$226,0)</f>
        <v>0</v>
      </c>
      <c r="G228" s="4396">
        <f t="shared" si="87"/>
        <v>0</v>
      </c>
      <c r="H228" s="4396">
        <f t="shared" si="87"/>
        <v>0</v>
      </c>
      <c r="I228" s="4396">
        <f t="shared" si="87"/>
        <v>0</v>
      </c>
      <c r="J228" s="4396">
        <f t="shared" si="87"/>
        <v>0</v>
      </c>
      <c r="K228" s="4396">
        <f t="shared" si="87"/>
        <v>0</v>
      </c>
      <c r="L228" s="4396">
        <f t="shared" si="87"/>
        <v>0</v>
      </c>
      <c r="M228" s="4396">
        <f t="shared" si="87"/>
        <v>0</v>
      </c>
      <c r="N228" s="4396">
        <f t="shared" si="87"/>
        <v>0</v>
      </c>
      <c r="O228" s="4396">
        <f t="shared" si="87"/>
        <v>0</v>
      </c>
      <c r="P228" s="4397">
        <f t="shared" si="87"/>
        <v>0</v>
      </c>
      <c r="Q228" s="3851"/>
    </row>
    <row r="229" spans="1:17" ht="15.05" thickBot="1" x14ac:dyDescent="0.35">
      <c r="A229" s="3440"/>
      <c r="B229" s="4398" t="s">
        <v>436</v>
      </c>
      <c r="C229" s="4399"/>
      <c r="D229" s="4400"/>
      <c r="E229" s="4401">
        <f>E218+E208+E198+E188+E178+E168+E158+E148+E138+E128+E118+E228</f>
        <v>0</v>
      </c>
      <c r="F229" s="4402">
        <f t="shared" ref="F229:P229" si="88">F218+F208+F198+F188+F178+F168+F158+F148+F138+F128+F118+F228</f>
        <v>0</v>
      </c>
      <c r="G229" s="4402">
        <f t="shared" si="88"/>
        <v>0</v>
      </c>
      <c r="H229" s="4402">
        <f t="shared" si="88"/>
        <v>0</v>
      </c>
      <c r="I229" s="4402">
        <f t="shared" si="88"/>
        <v>0</v>
      </c>
      <c r="J229" s="4402">
        <f t="shared" si="88"/>
        <v>0</v>
      </c>
      <c r="K229" s="4402">
        <f t="shared" si="88"/>
        <v>0</v>
      </c>
      <c r="L229" s="4402">
        <f t="shared" si="88"/>
        <v>0</v>
      </c>
      <c r="M229" s="4402">
        <f t="shared" si="88"/>
        <v>0</v>
      </c>
      <c r="N229" s="4402">
        <f t="shared" si="88"/>
        <v>0</v>
      </c>
      <c r="O229" s="4402">
        <f t="shared" si="88"/>
        <v>0</v>
      </c>
      <c r="P229" s="4403">
        <f t="shared" si="88"/>
        <v>0</v>
      </c>
      <c r="Q229" s="4404">
        <f>+SUM(E229:P229)</f>
        <v>0</v>
      </c>
    </row>
    <row r="230" spans="1:17" s="3452" customFormat="1" ht="15.05" thickBot="1" x14ac:dyDescent="0.35">
      <c r="B230" s="4405"/>
      <c r="C230" s="4104"/>
      <c r="D230" s="4104"/>
      <c r="E230" s="4406"/>
      <c r="F230" s="4406"/>
      <c r="G230" s="4406"/>
      <c r="H230" s="4406"/>
      <c r="I230" s="4406"/>
      <c r="J230" s="4406"/>
      <c r="K230" s="4406"/>
      <c r="L230" s="4406"/>
      <c r="M230" s="4406"/>
      <c r="N230" s="4406"/>
      <c r="O230" s="4406"/>
      <c r="P230" s="4406"/>
    </row>
    <row r="231" spans="1:17" ht="15.05" thickBot="1" x14ac:dyDescent="0.35">
      <c r="A231" s="2487">
        <f>+A108+1</f>
        <v>118</v>
      </c>
      <c r="B231" s="2488" t="s">
        <v>2369</v>
      </c>
      <c r="C231" s="2489"/>
      <c r="D231" s="2490"/>
      <c r="E231" s="2489"/>
      <c r="F231" s="2489"/>
      <c r="G231" s="2489"/>
      <c r="H231" s="2489"/>
      <c r="I231" s="2489"/>
      <c r="J231" s="2489"/>
      <c r="K231" s="2489"/>
      <c r="L231" s="2489"/>
      <c r="M231" s="2489"/>
      <c r="N231" s="2489"/>
      <c r="O231" s="2489"/>
      <c r="P231" s="2489"/>
      <c r="Q231" s="2491"/>
    </row>
    <row r="232" spans="1:17" x14ac:dyDescent="0.3">
      <c r="A232" s="2487" t="s">
        <v>1758</v>
      </c>
      <c r="B232" s="4274" t="s">
        <v>1768</v>
      </c>
      <c r="C232" s="4275"/>
      <c r="D232" s="4407" t="s">
        <v>622</v>
      </c>
      <c r="E232" s="4273" t="str">
        <f t="shared" ref="E232:Q232" si="89">E7</f>
        <v>Ene</v>
      </c>
      <c r="F232" s="4273" t="str">
        <f t="shared" si="89"/>
        <v>Feb</v>
      </c>
      <c r="G232" s="4273" t="str">
        <f t="shared" si="89"/>
        <v>Mar</v>
      </c>
      <c r="H232" s="4273" t="str">
        <f t="shared" si="89"/>
        <v>Abr</v>
      </c>
      <c r="I232" s="4273" t="str">
        <f t="shared" si="89"/>
        <v>May</v>
      </c>
      <c r="J232" s="4273" t="str">
        <f t="shared" si="89"/>
        <v>Jun</v>
      </c>
      <c r="K232" s="4273" t="str">
        <f t="shared" si="89"/>
        <v>Jul</v>
      </c>
      <c r="L232" s="4273" t="str">
        <f t="shared" si="89"/>
        <v>Ago</v>
      </c>
      <c r="M232" s="4273" t="str">
        <f t="shared" si="89"/>
        <v>Set</v>
      </c>
      <c r="N232" s="4273" t="str">
        <f t="shared" si="89"/>
        <v>Oct</v>
      </c>
      <c r="O232" s="4273" t="str">
        <f t="shared" si="89"/>
        <v>Nov</v>
      </c>
      <c r="P232" s="4277" t="str">
        <f t="shared" si="89"/>
        <v>Dic</v>
      </c>
      <c r="Q232" s="4408" t="str">
        <f t="shared" si="89"/>
        <v>Total</v>
      </c>
    </row>
    <row r="233" spans="1:17" x14ac:dyDescent="0.3">
      <c r="B233" s="4409" t="str">
        <f>Alimentos!B439</f>
        <v>Soja</v>
      </c>
      <c r="C233" s="4410"/>
      <c r="D233" s="4411">
        <f>Precios!D194</f>
        <v>0</v>
      </c>
      <c r="E233" s="4317">
        <f t="shared" ref="E233:E244" si="90">D233+SUMIF($Q$108:$Q$228,$B$115&amp;$B233,E$108:E$228)</f>
        <v>0</v>
      </c>
      <c r="F233" s="4317">
        <f t="shared" ref="F233:P233" si="91">E233+SUMIF($Q$108:$Q$228,$B$115&amp;$B233,F$108:F$228)-E248</f>
        <v>0</v>
      </c>
      <c r="G233" s="4317">
        <f t="shared" si="91"/>
        <v>0</v>
      </c>
      <c r="H233" s="4317">
        <f t="shared" si="91"/>
        <v>0</v>
      </c>
      <c r="I233" s="4317">
        <f t="shared" si="91"/>
        <v>0</v>
      </c>
      <c r="J233" s="4317">
        <f t="shared" si="91"/>
        <v>0</v>
      </c>
      <c r="K233" s="4317">
        <f t="shared" si="91"/>
        <v>0</v>
      </c>
      <c r="L233" s="4317">
        <f t="shared" si="91"/>
        <v>0</v>
      </c>
      <c r="M233" s="4317">
        <f t="shared" si="91"/>
        <v>0</v>
      </c>
      <c r="N233" s="4317">
        <f t="shared" si="91"/>
        <v>0</v>
      </c>
      <c r="O233" s="4317">
        <f t="shared" si="91"/>
        <v>0</v>
      </c>
      <c r="P233" s="4412">
        <f t="shared" si="91"/>
        <v>0</v>
      </c>
      <c r="Q233" s="4315"/>
    </row>
    <row r="234" spans="1:17" x14ac:dyDescent="0.3">
      <c r="B234" s="4413" t="str">
        <f>Alimentos!B440</f>
        <v>Soja 2ª</v>
      </c>
      <c r="C234" s="4414"/>
      <c r="D234" s="4317">
        <f>Precios!D195</f>
        <v>0</v>
      </c>
      <c r="E234" s="4317">
        <f t="shared" si="90"/>
        <v>0</v>
      </c>
      <c r="F234" s="4317">
        <f t="shared" ref="F234:P234" si="92">E234+SUMIF($Q$108:$Q$228,$B$115&amp;$B234,F$108:F$228)-E249</f>
        <v>0</v>
      </c>
      <c r="G234" s="4317">
        <f t="shared" si="92"/>
        <v>0</v>
      </c>
      <c r="H234" s="4317">
        <f t="shared" si="92"/>
        <v>0</v>
      </c>
      <c r="I234" s="4317">
        <f t="shared" si="92"/>
        <v>0</v>
      </c>
      <c r="J234" s="4317">
        <f t="shared" si="92"/>
        <v>0</v>
      </c>
      <c r="K234" s="4317">
        <f t="shared" si="92"/>
        <v>0</v>
      </c>
      <c r="L234" s="4317">
        <f t="shared" si="92"/>
        <v>0</v>
      </c>
      <c r="M234" s="4317">
        <f t="shared" si="92"/>
        <v>0</v>
      </c>
      <c r="N234" s="4317">
        <f t="shared" si="92"/>
        <v>0</v>
      </c>
      <c r="O234" s="4317">
        <f t="shared" si="92"/>
        <v>0</v>
      </c>
      <c r="P234" s="4412">
        <f t="shared" si="92"/>
        <v>0</v>
      </c>
      <c r="Q234" s="4315"/>
    </row>
    <row r="235" spans="1:17" x14ac:dyDescent="0.3">
      <c r="B235" s="4413" t="str">
        <f>Alimentos!B441</f>
        <v>Maíz Grano</v>
      </c>
      <c r="C235" s="4414"/>
      <c r="D235" s="4317">
        <f>Precios!D196</f>
        <v>0</v>
      </c>
      <c r="E235" s="4317">
        <f t="shared" si="90"/>
        <v>0</v>
      </c>
      <c r="F235" s="4317">
        <f t="shared" ref="F235:P235" si="93">E235+SUMIF($Q$108:$Q$228,$B$115&amp;$B235,F$108:F$228)-E250</f>
        <v>0</v>
      </c>
      <c r="G235" s="4317">
        <f t="shared" si="93"/>
        <v>0</v>
      </c>
      <c r="H235" s="4317">
        <f t="shared" si="93"/>
        <v>0</v>
      </c>
      <c r="I235" s="4317">
        <f t="shared" si="93"/>
        <v>0</v>
      </c>
      <c r="J235" s="4317">
        <f t="shared" si="93"/>
        <v>0</v>
      </c>
      <c r="K235" s="4317">
        <f t="shared" si="93"/>
        <v>0</v>
      </c>
      <c r="L235" s="4317">
        <f t="shared" si="93"/>
        <v>0</v>
      </c>
      <c r="M235" s="4317">
        <f t="shared" si="93"/>
        <v>0</v>
      </c>
      <c r="N235" s="4317">
        <f t="shared" si="93"/>
        <v>0</v>
      </c>
      <c r="O235" s="4317">
        <f t="shared" si="93"/>
        <v>0</v>
      </c>
      <c r="P235" s="4412">
        <f t="shared" si="93"/>
        <v>0</v>
      </c>
      <c r="Q235" s="4315"/>
    </row>
    <row r="236" spans="1:17" x14ac:dyDescent="0.3">
      <c r="B236" s="4413" t="str">
        <f>Alimentos!B442</f>
        <v>Sorgo grano</v>
      </c>
      <c r="C236" s="4414"/>
      <c r="D236" s="4317">
        <f>Precios!D197</f>
        <v>0</v>
      </c>
      <c r="E236" s="4317">
        <f t="shared" si="90"/>
        <v>0</v>
      </c>
      <c r="F236" s="4317">
        <f t="shared" ref="F236:P236" si="94">E236+SUMIF($Q$108:$Q$228,$B$115&amp;$B236,F$108:F$228)-E251</f>
        <v>0</v>
      </c>
      <c r="G236" s="4317">
        <f t="shared" si="94"/>
        <v>0</v>
      </c>
      <c r="H236" s="4317">
        <f t="shared" si="94"/>
        <v>0</v>
      </c>
      <c r="I236" s="4317">
        <f t="shared" si="94"/>
        <v>0</v>
      </c>
      <c r="J236" s="4317">
        <f t="shared" si="94"/>
        <v>0</v>
      </c>
      <c r="K236" s="4317">
        <f t="shared" si="94"/>
        <v>0</v>
      </c>
      <c r="L236" s="4317">
        <f t="shared" si="94"/>
        <v>0</v>
      </c>
      <c r="M236" s="4317">
        <f t="shared" si="94"/>
        <v>0</v>
      </c>
      <c r="N236" s="4317">
        <f t="shared" si="94"/>
        <v>0</v>
      </c>
      <c r="O236" s="4317">
        <f t="shared" si="94"/>
        <v>0</v>
      </c>
      <c r="P236" s="4412">
        <f t="shared" si="94"/>
        <v>0</v>
      </c>
      <c r="Q236" s="4315"/>
    </row>
    <row r="237" spans="1:17" x14ac:dyDescent="0.3">
      <c r="B237" s="4413" t="str">
        <f>Alimentos!B443</f>
        <v>Trigo grano</v>
      </c>
      <c r="C237" s="4414"/>
      <c r="D237" s="4317">
        <f>Precios!D198</f>
        <v>0</v>
      </c>
      <c r="E237" s="4317">
        <f t="shared" si="90"/>
        <v>0</v>
      </c>
      <c r="F237" s="4317">
        <f t="shared" ref="F237:P237" si="95">E237+SUMIF($Q$108:$Q$228,$B$115&amp;$B237,F$108:F$228)-E252</f>
        <v>0</v>
      </c>
      <c r="G237" s="4317">
        <f t="shared" si="95"/>
        <v>0</v>
      </c>
      <c r="H237" s="4317">
        <f t="shared" si="95"/>
        <v>0</v>
      </c>
      <c r="I237" s="4317">
        <f t="shared" si="95"/>
        <v>0</v>
      </c>
      <c r="J237" s="4317">
        <f t="shared" si="95"/>
        <v>0</v>
      </c>
      <c r="K237" s="4317">
        <f t="shared" si="95"/>
        <v>0</v>
      </c>
      <c r="L237" s="4317">
        <f t="shared" si="95"/>
        <v>0</v>
      </c>
      <c r="M237" s="4317">
        <f t="shared" si="95"/>
        <v>0</v>
      </c>
      <c r="N237" s="4317">
        <f t="shared" si="95"/>
        <v>0</v>
      </c>
      <c r="O237" s="4317">
        <f t="shared" si="95"/>
        <v>0</v>
      </c>
      <c r="P237" s="4412">
        <f t="shared" si="95"/>
        <v>0</v>
      </c>
      <c r="Q237" s="4315"/>
    </row>
    <row r="238" spans="1:17" x14ac:dyDescent="0.3">
      <c r="B238" s="4413" t="str">
        <f>Alimentos!B444</f>
        <v>Cebada grano</v>
      </c>
      <c r="C238" s="4414"/>
      <c r="D238" s="4317">
        <f>Precios!D199</f>
        <v>0</v>
      </c>
      <c r="E238" s="4317">
        <f t="shared" si="90"/>
        <v>0</v>
      </c>
      <c r="F238" s="4317">
        <f t="shared" ref="F238:P238" si="96">E238+SUMIF($Q$108:$Q$228,$B$115&amp;$B238,F$108:F$228)-E253</f>
        <v>0</v>
      </c>
      <c r="G238" s="4317">
        <f t="shared" si="96"/>
        <v>0</v>
      </c>
      <c r="H238" s="4317">
        <f t="shared" si="96"/>
        <v>0</v>
      </c>
      <c r="I238" s="4317">
        <f t="shared" si="96"/>
        <v>0</v>
      </c>
      <c r="J238" s="4317">
        <f t="shared" si="96"/>
        <v>0</v>
      </c>
      <c r="K238" s="4317">
        <f t="shared" si="96"/>
        <v>0</v>
      </c>
      <c r="L238" s="4317">
        <f t="shared" si="96"/>
        <v>0</v>
      </c>
      <c r="M238" s="4317">
        <f t="shared" si="96"/>
        <v>0</v>
      </c>
      <c r="N238" s="4317">
        <f t="shared" si="96"/>
        <v>0</v>
      </c>
      <c r="O238" s="4317">
        <f t="shared" si="96"/>
        <v>0</v>
      </c>
      <c r="P238" s="4412">
        <f t="shared" si="96"/>
        <v>0</v>
      </c>
      <c r="Q238" s="4315"/>
    </row>
    <row r="239" spans="1:17" x14ac:dyDescent="0.3">
      <c r="B239" s="4413" t="str">
        <f>Alimentos!B445</f>
        <v>Avena grano</v>
      </c>
      <c r="C239" s="4414"/>
      <c r="D239" s="4317">
        <f>Precios!D200</f>
        <v>0</v>
      </c>
      <c r="E239" s="4317">
        <f t="shared" si="90"/>
        <v>0</v>
      </c>
      <c r="F239" s="4317">
        <f t="shared" ref="F239:P239" si="97">E239+SUMIF($Q$108:$Q$228,$B$115&amp;$B239,F$108:F$228)-E254</f>
        <v>0</v>
      </c>
      <c r="G239" s="4317">
        <f t="shared" si="97"/>
        <v>0</v>
      </c>
      <c r="H239" s="4317">
        <f t="shared" si="97"/>
        <v>0</v>
      </c>
      <c r="I239" s="4317">
        <f t="shared" si="97"/>
        <v>0</v>
      </c>
      <c r="J239" s="4317">
        <f t="shared" si="97"/>
        <v>0</v>
      </c>
      <c r="K239" s="4317">
        <f t="shared" si="97"/>
        <v>0</v>
      </c>
      <c r="L239" s="4317">
        <f t="shared" si="97"/>
        <v>0</v>
      </c>
      <c r="M239" s="4317">
        <f t="shared" si="97"/>
        <v>0</v>
      </c>
      <c r="N239" s="4317">
        <f t="shared" si="97"/>
        <v>0</v>
      </c>
      <c r="O239" s="4317">
        <f t="shared" si="97"/>
        <v>0</v>
      </c>
      <c r="P239" s="4412">
        <f t="shared" si="97"/>
        <v>0</v>
      </c>
      <c r="Q239" s="4315"/>
    </row>
    <row r="240" spans="1:17" x14ac:dyDescent="0.3">
      <c r="B240" s="4413" t="str">
        <f>Alimentos!B446</f>
        <v>Colza grano</v>
      </c>
      <c r="C240" s="4414"/>
      <c r="D240" s="4317">
        <f>Precios!D201</f>
        <v>0</v>
      </c>
      <c r="E240" s="4317">
        <f t="shared" si="90"/>
        <v>0</v>
      </c>
      <c r="F240" s="4317">
        <f t="shared" ref="F240:P240" si="98">E240+SUMIF($Q$108:$Q$228,$B$115&amp;$B240,F$108:F$228)-E255</f>
        <v>0</v>
      </c>
      <c r="G240" s="4317">
        <f t="shared" si="98"/>
        <v>0</v>
      </c>
      <c r="H240" s="4317">
        <f t="shared" si="98"/>
        <v>0</v>
      </c>
      <c r="I240" s="4317">
        <f t="shared" si="98"/>
        <v>0</v>
      </c>
      <c r="J240" s="4317">
        <f t="shared" si="98"/>
        <v>0</v>
      </c>
      <c r="K240" s="4317">
        <f t="shared" si="98"/>
        <v>0</v>
      </c>
      <c r="L240" s="4317">
        <f t="shared" si="98"/>
        <v>0</v>
      </c>
      <c r="M240" s="4317">
        <f t="shared" si="98"/>
        <v>0</v>
      </c>
      <c r="N240" s="4317">
        <f t="shared" si="98"/>
        <v>0</v>
      </c>
      <c r="O240" s="4317">
        <f t="shared" si="98"/>
        <v>0</v>
      </c>
      <c r="P240" s="4412">
        <f t="shared" si="98"/>
        <v>0</v>
      </c>
      <c r="Q240" s="4315"/>
    </row>
    <row r="241" spans="1:17" x14ac:dyDescent="0.3">
      <c r="B241" s="4413">
        <f>Alimentos!B447</f>
        <v>0</v>
      </c>
      <c r="C241" s="4414"/>
      <c r="D241" s="4317">
        <f>Precios!D202</f>
        <v>0</v>
      </c>
      <c r="E241" s="4317">
        <f t="shared" si="90"/>
        <v>0</v>
      </c>
      <c r="F241" s="4317">
        <f t="shared" ref="F241:P241" si="99">E241+SUMIF($Q$108:$Q$228,$B$115&amp;$B241,F$108:F$228)-E256</f>
        <v>0</v>
      </c>
      <c r="G241" s="4317">
        <f t="shared" si="99"/>
        <v>0</v>
      </c>
      <c r="H241" s="4317">
        <f t="shared" si="99"/>
        <v>0</v>
      </c>
      <c r="I241" s="4317">
        <f t="shared" si="99"/>
        <v>0</v>
      </c>
      <c r="J241" s="4317">
        <f t="shared" si="99"/>
        <v>0</v>
      </c>
      <c r="K241" s="4317">
        <f t="shared" si="99"/>
        <v>0</v>
      </c>
      <c r="L241" s="4317">
        <f t="shared" si="99"/>
        <v>0</v>
      </c>
      <c r="M241" s="4317">
        <f t="shared" si="99"/>
        <v>0</v>
      </c>
      <c r="N241" s="4317">
        <f t="shared" si="99"/>
        <v>0</v>
      </c>
      <c r="O241" s="4317">
        <f t="shared" si="99"/>
        <v>0</v>
      </c>
      <c r="P241" s="4412">
        <f t="shared" si="99"/>
        <v>0</v>
      </c>
      <c r="Q241" s="4315"/>
    </row>
    <row r="242" spans="1:17" x14ac:dyDescent="0.3">
      <c r="B242" s="4413">
        <f>Alimentos!B448</f>
        <v>0</v>
      </c>
      <c r="C242" s="4414"/>
      <c r="D242" s="4317">
        <f>Precios!D203</f>
        <v>0</v>
      </c>
      <c r="E242" s="4317">
        <f t="shared" si="90"/>
        <v>0</v>
      </c>
      <c r="F242" s="4317">
        <f t="shared" ref="F242:P242" si="100">E242+SUMIF($Q$108:$Q$228,$B$115&amp;$B242,F$108:F$228)-E257</f>
        <v>0</v>
      </c>
      <c r="G242" s="4317">
        <f t="shared" si="100"/>
        <v>0</v>
      </c>
      <c r="H242" s="4317">
        <f t="shared" si="100"/>
        <v>0</v>
      </c>
      <c r="I242" s="4317">
        <f t="shared" si="100"/>
        <v>0</v>
      </c>
      <c r="J242" s="4317">
        <f t="shared" si="100"/>
        <v>0</v>
      </c>
      <c r="K242" s="4317">
        <f t="shared" si="100"/>
        <v>0</v>
      </c>
      <c r="L242" s="4317">
        <f t="shared" si="100"/>
        <v>0</v>
      </c>
      <c r="M242" s="4317">
        <f t="shared" si="100"/>
        <v>0</v>
      </c>
      <c r="N242" s="4317">
        <f t="shared" si="100"/>
        <v>0</v>
      </c>
      <c r="O242" s="4317">
        <f t="shared" si="100"/>
        <v>0</v>
      </c>
      <c r="P242" s="4412">
        <f t="shared" si="100"/>
        <v>0</v>
      </c>
      <c r="Q242" s="4315"/>
    </row>
    <row r="243" spans="1:17" x14ac:dyDescent="0.3">
      <c r="B243" s="4413">
        <f>Alimentos!B449</f>
        <v>0</v>
      </c>
      <c r="C243" s="4414"/>
      <c r="D243" s="4317">
        <f>Precios!D204</f>
        <v>0</v>
      </c>
      <c r="E243" s="4317">
        <f t="shared" si="90"/>
        <v>0</v>
      </c>
      <c r="F243" s="4317">
        <f t="shared" ref="F243:P243" si="101">E243+SUMIF($Q$108:$Q$228,$B$115&amp;$B243,F$108:F$228)-E258</f>
        <v>0</v>
      </c>
      <c r="G243" s="4317">
        <f t="shared" si="101"/>
        <v>0</v>
      </c>
      <c r="H243" s="4317">
        <f t="shared" si="101"/>
        <v>0</v>
      </c>
      <c r="I243" s="4317">
        <f t="shared" si="101"/>
        <v>0</v>
      </c>
      <c r="J243" s="4317">
        <f t="shared" si="101"/>
        <v>0</v>
      </c>
      <c r="K243" s="4317">
        <f t="shared" si="101"/>
        <v>0</v>
      </c>
      <c r="L243" s="4317">
        <f t="shared" si="101"/>
        <v>0</v>
      </c>
      <c r="M243" s="4317">
        <f t="shared" si="101"/>
        <v>0</v>
      </c>
      <c r="N243" s="4317">
        <f t="shared" si="101"/>
        <v>0</v>
      </c>
      <c r="O243" s="4317">
        <f t="shared" si="101"/>
        <v>0</v>
      </c>
      <c r="P243" s="4412">
        <f t="shared" si="101"/>
        <v>0</v>
      </c>
      <c r="Q243" s="4315"/>
    </row>
    <row r="244" spans="1:17" x14ac:dyDescent="0.3">
      <c r="B244" s="4415">
        <f>Alimentos!B450</f>
        <v>0</v>
      </c>
      <c r="C244" s="4416"/>
      <c r="D244" s="4417">
        <f>Precios!D205</f>
        <v>0</v>
      </c>
      <c r="E244" s="4417">
        <f t="shared" si="90"/>
        <v>0</v>
      </c>
      <c r="F244" s="4417">
        <f t="shared" ref="F244:P244" si="102">E244+SUMIF($Q$108:$Q$228,$B$115&amp;$B244,F$108:F$228)-E259</f>
        <v>0</v>
      </c>
      <c r="G244" s="4417">
        <f t="shared" si="102"/>
        <v>0</v>
      </c>
      <c r="H244" s="4417">
        <f t="shared" si="102"/>
        <v>0</v>
      </c>
      <c r="I244" s="4417">
        <f t="shared" si="102"/>
        <v>0</v>
      </c>
      <c r="J244" s="4417">
        <f t="shared" si="102"/>
        <v>0</v>
      </c>
      <c r="K244" s="4417">
        <f t="shared" si="102"/>
        <v>0</v>
      </c>
      <c r="L244" s="4417">
        <f t="shared" si="102"/>
        <v>0</v>
      </c>
      <c r="M244" s="4417">
        <f t="shared" si="102"/>
        <v>0</v>
      </c>
      <c r="N244" s="4417">
        <f t="shared" si="102"/>
        <v>0</v>
      </c>
      <c r="O244" s="4417">
        <f t="shared" si="102"/>
        <v>0</v>
      </c>
      <c r="P244" s="4418">
        <f t="shared" si="102"/>
        <v>0</v>
      </c>
      <c r="Q244" s="4315"/>
    </row>
    <row r="245" spans="1:17" ht="15.05" thickBot="1" x14ac:dyDescent="0.35">
      <c r="B245" s="4419" t="s">
        <v>11</v>
      </c>
      <c r="C245" s="3653"/>
      <c r="D245" s="4420">
        <f>SUM(Precios!D194:D205)</f>
        <v>0</v>
      </c>
      <c r="E245" s="4421">
        <f t="shared" ref="E245:P245" si="103">SUM(E233:E244)</f>
        <v>0</v>
      </c>
      <c r="F245" s="4421">
        <f t="shared" si="103"/>
        <v>0</v>
      </c>
      <c r="G245" s="4421">
        <f t="shared" si="103"/>
        <v>0</v>
      </c>
      <c r="H245" s="4421">
        <f t="shared" si="103"/>
        <v>0</v>
      </c>
      <c r="I245" s="4421">
        <f t="shared" si="103"/>
        <v>0</v>
      </c>
      <c r="J245" s="4421">
        <f t="shared" si="103"/>
        <v>0</v>
      </c>
      <c r="K245" s="4421">
        <f t="shared" si="103"/>
        <v>0</v>
      </c>
      <c r="L245" s="4421">
        <f t="shared" si="103"/>
        <v>0</v>
      </c>
      <c r="M245" s="4421">
        <f t="shared" si="103"/>
        <v>0</v>
      </c>
      <c r="N245" s="4421">
        <f t="shared" si="103"/>
        <v>0</v>
      </c>
      <c r="O245" s="4421">
        <f t="shared" si="103"/>
        <v>0</v>
      </c>
      <c r="P245" s="4422">
        <f t="shared" si="103"/>
        <v>0</v>
      </c>
      <c r="Q245" s="4315"/>
    </row>
    <row r="246" spans="1:17" ht="3.45" customHeight="1" thickBot="1" x14ac:dyDescent="0.35">
      <c r="B246" s="4423"/>
      <c r="C246" s="4424"/>
      <c r="D246" s="3523"/>
      <c r="E246" s="3724"/>
      <c r="F246" s="3724"/>
      <c r="G246" s="3724"/>
      <c r="H246" s="3724"/>
      <c r="I246" s="3724"/>
      <c r="J246" s="3724"/>
      <c r="K246" s="3724"/>
      <c r="L246" s="3724"/>
      <c r="M246" s="3724"/>
      <c r="N246" s="4425"/>
      <c r="Q246" s="4315"/>
    </row>
    <row r="247" spans="1:17" ht="15.05" thickBot="1" x14ac:dyDescent="0.35">
      <c r="A247" s="2487">
        <v>118</v>
      </c>
      <c r="B247" s="4426" t="s">
        <v>2282</v>
      </c>
      <c r="C247" s="4427"/>
      <c r="D247" s="4427"/>
      <c r="E247" s="4428" t="str">
        <f t="shared" ref="E247:P247" si="104">E232</f>
        <v>Ene</v>
      </c>
      <c r="F247" s="4428" t="str">
        <f t="shared" si="104"/>
        <v>Feb</v>
      </c>
      <c r="G247" s="4428" t="str">
        <f t="shared" si="104"/>
        <v>Mar</v>
      </c>
      <c r="H247" s="4428" t="str">
        <f t="shared" si="104"/>
        <v>Abr</v>
      </c>
      <c r="I247" s="4428" t="str">
        <f t="shared" si="104"/>
        <v>May</v>
      </c>
      <c r="J247" s="4428" t="str">
        <f t="shared" si="104"/>
        <v>Jun</v>
      </c>
      <c r="K247" s="4428" t="str">
        <f t="shared" si="104"/>
        <v>Jul</v>
      </c>
      <c r="L247" s="4428" t="str">
        <f t="shared" si="104"/>
        <v>Ago</v>
      </c>
      <c r="M247" s="4428" t="str">
        <f t="shared" si="104"/>
        <v>Set</v>
      </c>
      <c r="N247" s="4428" t="str">
        <f t="shared" si="104"/>
        <v>Oct</v>
      </c>
      <c r="O247" s="4428" t="str">
        <f t="shared" si="104"/>
        <v>Nov</v>
      </c>
      <c r="P247" s="4428" t="str">
        <f t="shared" si="104"/>
        <v>Dic</v>
      </c>
      <c r="Q247" s="4315"/>
    </row>
    <row r="248" spans="1:17" x14ac:dyDescent="0.3">
      <c r="A248" s="2487" t="s">
        <v>1695</v>
      </c>
      <c r="B248" s="4429" t="str">
        <f t="shared" ref="B248:B260" si="105">B233</f>
        <v>Soja</v>
      </c>
      <c r="C248" s="4430"/>
      <c r="D248" s="4430"/>
      <c r="E248" s="5340"/>
      <c r="F248" s="5340"/>
      <c r="G248" s="5340"/>
      <c r="H248" s="5340"/>
      <c r="I248" s="5340"/>
      <c r="J248" s="5340"/>
      <c r="K248" s="5340"/>
      <c r="L248" s="5340"/>
      <c r="M248" s="5340"/>
      <c r="N248" s="5340"/>
      <c r="O248" s="5340"/>
      <c r="P248" s="5341"/>
      <c r="Q248" s="4315"/>
    </row>
    <row r="249" spans="1:17" x14ac:dyDescent="0.3">
      <c r="B249" s="4431" t="str">
        <f t="shared" si="105"/>
        <v>Soja 2ª</v>
      </c>
      <c r="C249" s="4432"/>
      <c r="D249" s="4432"/>
      <c r="E249" s="5342"/>
      <c r="F249" s="5342"/>
      <c r="G249" s="5342"/>
      <c r="H249" s="5342"/>
      <c r="I249" s="5342"/>
      <c r="J249" s="5342"/>
      <c r="K249" s="5342"/>
      <c r="L249" s="5342"/>
      <c r="M249" s="5342"/>
      <c r="N249" s="5342"/>
      <c r="O249" s="5342"/>
      <c r="P249" s="5343"/>
      <c r="Q249" s="4315"/>
    </row>
    <row r="250" spans="1:17" x14ac:dyDescent="0.3">
      <c r="B250" s="4431" t="str">
        <f t="shared" si="105"/>
        <v>Maíz Grano</v>
      </c>
      <c r="C250" s="4432"/>
      <c r="D250" s="4432"/>
      <c r="E250" s="5342"/>
      <c r="F250" s="5342"/>
      <c r="G250" s="5342"/>
      <c r="H250" s="5342"/>
      <c r="I250" s="5342"/>
      <c r="J250" s="5342"/>
      <c r="K250" s="5342"/>
      <c r="L250" s="5342"/>
      <c r="M250" s="5342"/>
      <c r="N250" s="5342"/>
      <c r="O250" s="5342"/>
      <c r="P250" s="5343"/>
      <c r="Q250" s="4315"/>
    </row>
    <row r="251" spans="1:17" x14ac:dyDescent="0.3">
      <c r="B251" s="4431" t="str">
        <f t="shared" si="105"/>
        <v>Sorgo grano</v>
      </c>
      <c r="C251" s="4432"/>
      <c r="D251" s="4432"/>
      <c r="E251" s="5342"/>
      <c r="F251" s="5342"/>
      <c r="G251" s="5342"/>
      <c r="H251" s="5342"/>
      <c r="I251" s="5342"/>
      <c r="J251" s="5342"/>
      <c r="K251" s="5342"/>
      <c r="L251" s="5342"/>
      <c r="M251" s="5342"/>
      <c r="N251" s="5342"/>
      <c r="O251" s="5342"/>
      <c r="P251" s="5343"/>
      <c r="Q251" s="4315"/>
    </row>
    <row r="252" spans="1:17" x14ac:dyDescent="0.3">
      <c r="B252" s="4431" t="str">
        <f t="shared" si="105"/>
        <v>Trigo grano</v>
      </c>
      <c r="C252" s="4432"/>
      <c r="D252" s="4432"/>
      <c r="E252" s="5342"/>
      <c r="F252" s="5342"/>
      <c r="G252" s="5342"/>
      <c r="H252" s="5342"/>
      <c r="I252" s="5342"/>
      <c r="J252" s="5342"/>
      <c r="K252" s="5342"/>
      <c r="L252" s="5342"/>
      <c r="M252" s="5342"/>
      <c r="N252" s="5342"/>
      <c r="O252" s="5342"/>
      <c r="P252" s="5343"/>
      <c r="Q252" s="4315"/>
    </row>
    <row r="253" spans="1:17" x14ac:dyDescent="0.3">
      <c r="B253" s="4431" t="str">
        <f t="shared" si="105"/>
        <v>Cebada grano</v>
      </c>
      <c r="C253" s="4432"/>
      <c r="D253" s="4432"/>
      <c r="E253" s="5342"/>
      <c r="F253" s="5342"/>
      <c r="G253" s="5342"/>
      <c r="H253" s="5342"/>
      <c r="I253" s="5342"/>
      <c r="J253" s="5342"/>
      <c r="K253" s="5342"/>
      <c r="L253" s="5342"/>
      <c r="M253" s="5342"/>
      <c r="N253" s="5342"/>
      <c r="O253" s="5342"/>
      <c r="P253" s="5343"/>
      <c r="Q253" s="4315"/>
    </row>
    <row r="254" spans="1:17" x14ac:dyDescent="0.3">
      <c r="B254" s="4431" t="str">
        <f t="shared" si="105"/>
        <v>Avena grano</v>
      </c>
      <c r="C254" s="4432"/>
      <c r="D254" s="4432"/>
      <c r="E254" s="5342"/>
      <c r="F254" s="5342"/>
      <c r="G254" s="5342"/>
      <c r="H254" s="5342"/>
      <c r="I254" s="5342"/>
      <c r="J254" s="5342"/>
      <c r="K254" s="5342"/>
      <c r="L254" s="5342"/>
      <c r="M254" s="5342"/>
      <c r="N254" s="5342"/>
      <c r="O254" s="5342"/>
      <c r="P254" s="5343"/>
      <c r="Q254" s="4315"/>
    </row>
    <row r="255" spans="1:17" x14ac:dyDescent="0.3">
      <c r="B255" s="4431" t="str">
        <f t="shared" si="105"/>
        <v>Colza grano</v>
      </c>
      <c r="C255" s="4432"/>
      <c r="D255" s="4432"/>
      <c r="E255" s="5342"/>
      <c r="F255" s="5342"/>
      <c r="G255" s="5342"/>
      <c r="H255" s="5342"/>
      <c r="I255" s="5342"/>
      <c r="J255" s="5342"/>
      <c r="K255" s="5342"/>
      <c r="L255" s="5342"/>
      <c r="M255" s="5342"/>
      <c r="N255" s="5342"/>
      <c r="O255" s="5342"/>
      <c r="P255" s="5343"/>
      <c r="Q255" s="4315"/>
    </row>
    <row r="256" spans="1:17" x14ac:dyDescent="0.3">
      <c r="B256" s="4431">
        <f t="shared" si="105"/>
        <v>0</v>
      </c>
      <c r="C256" s="4432"/>
      <c r="D256" s="4432"/>
      <c r="E256" s="5342"/>
      <c r="F256" s="5342"/>
      <c r="G256" s="5342"/>
      <c r="H256" s="5342"/>
      <c r="I256" s="5342"/>
      <c r="J256" s="5342"/>
      <c r="K256" s="5342"/>
      <c r="L256" s="5342"/>
      <c r="M256" s="5342"/>
      <c r="N256" s="5342"/>
      <c r="O256" s="5342"/>
      <c r="P256" s="5343"/>
      <c r="Q256" s="4315"/>
    </row>
    <row r="257" spans="1:17" x14ac:dyDescent="0.3">
      <c r="B257" s="4431">
        <f t="shared" si="105"/>
        <v>0</v>
      </c>
      <c r="C257" s="4432"/>
      <c r="D257" s="4432"/>
      <c r="E257" s="5342"/>
      <c r="F257" s="5342"/>
      <c r="G257" s="5342"/>
      <c r="H257" s="5342"/>
      <c r="I257" s="5342"/>
      <c r="J257" s="5342"/>
      <c r="K257" s="5342"/>
      <c r="L257" s="5342"/>
      <c r="M257" s="5342"/>
      <c r="N257" s="5342"/>
      <c r="O257" s="5342"/>
      <c r="P257" s="5343"/>
      <c r="Q257" s="4315"/>
    </row>
    <row r="258" spans="1:17" x14ac:dyDescent="0.3">
      <c r="B258" s="4431">
        <f t="shared" si="105"/>
        <v>0</v>
      </c>
      <c r="C258" s="4432"/>
      <c r="D258" s="4432"/>
      <c r="E258" s="5342"/>
      <c r="F258" s="5342"/>
      <c r="G258" s="5342"/>
      <c r="H258" s="5342"/>
      <c r="I258" s="5342"/>
      <c r="J258" s="5342"/>
      <c r="K258" s="5342"/>
      <c r="L258" s="5342"/>
      <c r="M258" s="5342"/>
      <c r="N258" s="5342"/>
      <c r="O258" s="5342"/>
      <c r="P258" s="5343"/>
      <c r="Q258" s="4315"/>
    </row>
    <row r="259" spans="1:17" x14ac:dyDescent="0.3">
      <c r="B259" s="4433">
        <f t="shared" si="105"/>
        <v>0</v>
      </c>
      <c r="C259" s="4434"/>
      <c r="D259" s="4434"/>
      <c r="E259" s="5344"/>
      <c r="F259" s="5344"/>
      <c r="G259" s="5344"/>
      <c r="H259" s="5344"/>
      <c r="I259" s="5344"/>
      <c r="J259" s="5344"/>
      <c r="K259" s="5344"/>
      <c r="L259" s="5344"/>
      <c r="M259" s="5344"/>
      <c r="N259" s="5344"/>
      <c r="O259" s="5344"/>
      <c r="P259" s="5345"/>
      <c r="Q259" s="4315"/>
    </row>
    <row r="260" spans="1:17" ht="15.05" thickBot="1" x14ac:dyDescent="0.35">
      <c r="B260" s="4343" t="str">
        <f t="shared" si="105"/>
        <v>Total</v>
      </c>
      <c r="C260" s="4435"/>
      <c r="D260" s="4435"/>
      <c r="E260" s="4421">
        <f>SUM(E248:E259)</f>
        <v>0</v>
      </c>
      <c r="F260" s="4421">
        <f t="shared" ref="F260:P260" si="106">SUM(F248:F259)</f>
        <v>0</v>
      </c>
      <c r="G260" s="4421">
        <f t="shared" si="106"/>
        <v>0</v>
      </c>
      <c r="H260" s="4421">
        <f t="shared" si="106"/>
        <v>0</v>
      </c>
      <c r="I260" s="4421">
        <f t="shared" si="106"/>
        <v>0</v>
      </c>
      <c r="J260" s="4421">
        <f t="shared" si="106"/>
        <v>0</v>
      </c>
      <c r="K260" s="4421">
        <f t="shared" si="106"/>
        <v>0</v>
      </c>
      <c r="L260" s="4421">
        <f t="shared" si="106"/>
        <v>0</v>
      </c>
      <c r="M260" s="4421">
        <f t="shared" si="106"/>
        <v>0</v>
      </c>
      <c r="N260" s="4421">
        <f t="shared" si="106"/>
        <v>0</v>
      </c>
      <c r="O260" s="4421">
        <f t="shared" si="106"/>
        <v>0</v>
      </c>
      <c r="P260" s="4422">
        <f t="shared" si="106"/>
        <v>0</v>
      </c>
      <c r="Q260" s="4315"/>
    </row>
    <row r="261" spans="1:17" ht="15.05" thickBot="1" x14ac:dyDescent="0.35">
      <c r="B261" s="4423" t="s">
        <v>2382</v>
      </c>
      <c r="C261" s="3523"/>
      <c r="D261" s="3523"/>
      <c r="E261" s="3724"/>
      <c r="F261" s="3724"/>
      <c r="G261" s="3724"/>
      <c r="H261" s="3724"/>
      <c r="I261" s="3724"/>
      <c r="J261" s="3724"/>
      <c r="K261" s="3724"/>
      <c r="L261" s="3724"/>
      <c r="M261" s="3724"/>
      <c r="N261" s="4425"/>
      <c r="Q261" s="4315"/>
    </row>
    <row r="262" spans="1:17" ht="15.05" thickBot="1" x14ac:dyDescent="0.35">
      <c r="A262" s="2487">
        <v>118</v>
      </c>
      <c r="B262" s="4426" t="s">
        <v>2283</v>
      </c>
      <c r="C262" s="4436"/>
      <c r="D262" s="4436"/>
      <c r="E262" s="4437" t="str">
        <f t="shared" ref="E262:P262" si="107">E247</f>
        <v>Ene</v>
      </c>
      <c r="F262" s="4437" t="str">
        <f t="shared" si="107"/>
        <v>Feb</v>
      </c>
      <c r="G262" s="4437" t="str">
        <f t="shared" si="107"/>
        <v>Mar</v>
      </c>
      <c r="H262" s="4437" t="str">
        <f t="shared" si="107"/>
        <v>Abr</v>
      </c>
      <c r="I262" s="4437" t="str">
        <f t="shared" si="107"/>
        <v>May</v>
      </c>
      <c r="J262" s="4437" t="str">
        <f t="shared" si="107"/>
        <v>Jun</v>
      </c>
      <c r="K262" s="4437" t="str">
        <f t="shared" si="107"/>
        <v>Jul</v>
      </c>
      <c r="L262" s="4437" t="str">
        <f t="shared" si="107"/>
        <v>Ago</v>
      </c>
      <c r="M262" s="4437" t="str">
        <f t="shared" si="107"/>
        <v>Set</v>
      </c>
      <c r="N262" s="4437" t="str">
        <f t="shared" si="107"/>
        <v>Oct</v>
      </c>
      <c r="O262" s="4437" t="str">
        <f t="shared" si="107"/>
        <v>Nov</v>
      </c>
      <c r="P262" s="4437" t="str">
        <f t="shared" si="107"/>
        <v>Dic</v>
      </c>
      <c r="Q262" s="4315"/>
    </row>
    <row r="263" spans="1:17" x14ac:dyDescent="0.3">
      <c r="A263" s="2487" t="s">
        <v>1759</v>
      </c>
      <c r="B263" s="4429" t="str">
        <f t="shared" ref="B263:B275" si="108">B248</f>
        <v>Soja</v>
      </c>
      <c r="C263" s="4430"/>
      <c r="D263" s="4430"/>
      <c r="E263" s="5340"/>
      <c r="F263" s="5340"/>
      <c r="G263" s="5340"/>
      <c r="H263" s="5340"/>
      <c r="I263" s="5340"/>
      <c r="J263" s="5340"/>
      <c r="K263" s="5340"/>
      <c r="L263" s="5340"/>
      <c r="M263" s="5340"/>
      <c r="N263" s="5340"/>
      <c r="O263" s="5340"/>
      <c r="P263" s="5341"/>
      <c r="Q263" s="4315"/>
    </row>
    <row r="264" spans="1:17" x14ac:dyDescent="0.3">
      <c r="B264" s="4431" t="str">
        <f t="shared" si="108"/>
        <v>Soja 2ª</v>
      </c>
      <c r="C264" s="4432"/>
      <c r="D264" s="4432"/>
      <c r="E264" s="5342"/>
      <c r="F264" s="5342"/>
      <c r="G264" s="5342"/>
      <c r="H264" s="5342"/>
      <c r="I264" s="5342"/>
      <c r="J264" s="5342"/>
      <c r="K264" s="5342"/>
      <c r="L264" s="5342"/>
      <c r="M264" s="5342"/>
      <c r="N264" s="5342"/>
      <c r="O264" s="5342"/>
      <c r="P264" s="5343"/>
      <c r="Q264" s="4315"/>
    </row>
    <row r="265" spans="1:17" x14ac:dyDescent="0.3">
      <c r="B265" s="4431" t="str">
        <f t="shared" si="108"/>
        <v>Maíz Grano</v>
      </c>
      <c r="C265" s="4432"/>
      <c r="D265" s="4432"/>
      <c r="E265" s="5342"/>
      <c r="F265" s="5342"/>
      <c r="G265" s="5342"/>
      <c r="H265" s="5342"/>
      <c r="I265" s="5342"/>
      <c r="J265" s="5342"/>
      <c r="K265" s="5342"/>
      <c r="L265" s="5342"/>
      <c r="M265" s="5342"/>
      <c r="N265" s="5342"/>
      <c r="O265" s="5342"/>
      <c r="P265" s="5343"/>
      <c r="Q265" s="4315"/>
    </row>
    <row r="266" spans="1:17" x14ac:dyDescent="0.3">
      <c r="B266" s="4431" t="str">
        <f t="shared" si="108"/>
        <v>Sorgo grano</v>
      </c>
      <c r="C266" s="4432"/>
      <c r="D266" s="4432"/>
      <c r="E266" s="5342"/>
      <c r="F266" s="5342"/>
      <c r="G266" s="5342"/>
      <c r="H266" s="5342"/>
      <c r="I266" s="5342"/>
      <c r="J266" s="5342"/>
      <c r="K266" s="5342"/>
      <c r="L266" s="5342"/>
      <c r="M266" s="5342"/>
      <c r="N266" s="5342"/>
      <c r="O266" s="5342"/>
      <c r="P266" s="5343"/>
      <c r="Q266" s="4315"/>
    </row>
    <row r="267" spans="1:17" x14ac:dyDescent="0.3">
      <c r="B267" s="4431" t="str">
        <f t="shared" si="108"/>
        <v>Trigo grano</v>
      </c>
      <c r="C267" s="4432"/>
      <c r="D267" s="4432"/>
      <c r="E267" s="5342"/>
      <c r="F267" s="5342"/>
      <c r="G267" s="5342"/>
      <c r="H267" s="5342"/>
      <c r="I267" s="5342"/>
      <c r="J267" s="5342"/>
      <c r="K267" s="5342"/>
      <c r="L267" s="5342"/>
      <c r="M267" s="5342"/>
      <c r="N267" s="5342"/>
      <c r="O267" s="5342"/>
      <c r="P267" s="5343"/>
      <c r="Q267" s="4315"/>
    </row>
    <row r="268" spans="1:17" x14ac:dyDescent="0.3">
      <c r="B268" s="4431" t="str">
        <f t="shared" si="108"/>
        <v>Cebada grano</v>
      </c>
      <c r="C268" s="4432"/>
      <c r="D268" s="4432"/>
      <c r="E268" s="5342"/>
      <c r="F268" s="5342"/>
      <c r="G268" s="5342"/>
      <c r="H268" s="5342"/>
      <c r="I268" s="5342"/>
      <c r="J268" s="5342"/>
      <c r="K268" s="5342"/>
      <c r="L268" s="5342"/>
      <c r="M268" s="5342"/>
      <c r="N268" s="5342"/>
      <c r="O268" s="5342"/>
      <c r="P268" s="5343"/>
      <c r="Q268" s="4315"/>
    </row>
    <row r="269" spans="1:17" x14ac:dyDescent="0.3">
      <c r="B269" s="4431" t="str">
        <f t="shared" si="108"/>
        <v>Avena grano</v>
      </c>
      <c r="C269" s="4432"/>
      <c r="D269" s="4432"/>
      <c r="E269" s="5342"/>
      <c r="F269" s="5342"/>
      <c r="G269" s="5342"/>
      <c r="H269" s="5342"/>
      <c r="I269" s="5342"/>
      <c r="J269" s="5342"/>
      <c r="K269" s="5342"/>
      <c r="L269" s="5342"/>
      <c r="M269" s="5342"/>
      <c r="N269" s="5342"/>
      <c r="O269" s="5342"/>
      <c r="P269" s="5343"/>
      <c r="Q269" s="4315"/>
    </row>
    <row r="270" spans="1:17" x14ac:dyDescent="0.3">
      <c r="B270" s="4431" t="str">
        <f t="shared" si="108"/>
        <v>Colza grano</v>
      </c>
      <c r="C270" s="4432"/>
      <c r="D270" s="4432"/>
      <c r="E270" s="5342"/>
      <c r="F270" s="5342"/>
      <c r="G270" s="5342"/>
      <c r="H270" s="5342"/>
      <c r="I270" s="5342"/>
      <c r="J270" s="5342"/>
      <c r="K270" s="5342"/>
      <c r="L270" s="5342"/>
      <c r="M270" s="5342"/>
      <c r="N270" s="5342"/>
      <c r="O270" s="5342"/>
      <c r="P270" s="5343"/>
      <c r="Q270" s="4315"/>
    </row>
    <row r="271" spans="1:17" x14ac:dyDescent="0.3">
      <c r="B271" s="4431">
        <f t="shared" si="108"/>
        <v>0</v>
      </c>
      <c r="C271" s="4432"/>
      <c r="D271" s="4432"/>
      <c r="E271" s="5342"/>
      <c r="F271" s="5342"/>
      <c r="G271" s="5342"/>
      <c r="H271" s="5342"/>
      <c r="I271" s="5342"/>
      <c r="J271" s="5342"/>
      <c r="K271" s="5342"/>
      <c r="L271" s="5342"/>
      <c r="M271" s="5342"/>
      <c r="N271" s="5342"/>
      <c r="O271" s="5342"/>
      <c r="P271" s="5343"/>
      <c r="Q271" s="4315"/>
    </row>
    <row r="272" spans="1:17" x14ac:dyDescent="0.3">
      <c r="B272" s="4431">
        <f t="shared" si="108"/>
        <v>0</v>
      </c>
      <c r="C272" s="4432"/>
      <c r="D272" s="4432"/>
      <c r="E272" s="5342"/>
      <c r="F272" s="5342"/>
      <c r="G272" s="5342"/>
      <c r="H272" s="5342"/>
      <c r="I272" s="5342"/>
      <c r="J272" s="5342"/>
      <c r="K272" s="5342"/>
      <c r="L272" s="5342"/>
      <c r="M272" s="5342"/>
      <c r="N272" s="5342"/>
      <c r="O272" s="5342"/>
      <c r="P272" s="5343"/>
      <c r="Q272" s="4315"/>
    </row>
    <row r="273" spans="1:20" x14ac:dyDescent="0.3">
      <c r="B273" s="4431">
        <f t="shared" si="108"/>
        <v>0</v>
      </c>
      <c r="C273" s="4432"/>
      <c r="D273" s="4432"/>
      <c r="E273" s="5342"/>
      <c r="F273" s="5342"/>
      <c r="G273" s="5342"/>
      <c r="H273" s="5342"/>
      <c r="I273" s="5342"/>
      <c r="J273" s="5342"/>
      <c r="K273" s="5342"/>
      <c r="L273" s="5342"/>
      <c r="M273" s="5342"/>
      <c r="N273" s="5342"/>
      <c r="O273" s="5342"/>
      <c r="P273" s="5343"/>
      <c r="Q273" s="4315"/>
    </row>
    <row r="274" spans="1:20" x14ac:dyDescent="0.3">
      <c r="B274" s="4433">
        <f t="shared" si="108"/>
        <v>0</v>
      </c>
      <c r="C274" s="4434"/>
      <c r="D274" s="4434"/>
      <c r="E274" s="5344"/>
      <c r="F274" s="5344"/>
      <c r="G274" s="5344"/>
      <c r="H274" s="5344"/>
      <c r="I274" s="5344"/>
      <c r="J274" s="5344"/>
      <c r="K274" s="5344"/>
      <c r="L274" s="5344"/>
      <c r="M274" s="5344"/>
      <c r="N274" s="5344"/>
      <c r="O274" s="5344"/>
      <c r="P274" s="5345"/>
      <c r="Q274" s="4315"/>
    </row>
    <row r="275" spans="1:20" ht="15.05" thickBot="1" x14ac:dyDescent="0.35">
      <c r="B275" s="4419" t="str">
        <f t="shared" si="108"/>
        <v>Total</v>
      </c>
      <c r="C275" s="3653"/>
      <c r="D275" s="3653"/>
      <c r="E275" s="4421">
        <f t="shared" ref="E275:P275" si="109">SUM(E263:E274)</f>
        <v>0</v>
      </c>
      <c r="F275" s="4421">
        <f t="shared" si="109"/>
        <v>0</v>
      </c>
      <c r="G275" s="4421">
        <f t="shared" si="109"/>
        <v>0</v>
      </c>
      <c r="H275" s="4421">
        <f t="shared" si="109"/>
        <v>0</v>
      </c>
      <c r="I275" s="4421">
        <f t="shared" si="109"/>
        <v>0</v>
      </c>
      <c r="J275" s="4421">
        <f t="shared" si="109"/>
        <v>0</v>
      </c>
      <c r="K275" s="4421">
        <f t="shared" si="109"/>
        <v>0</v>
      </c>
      <c r="L275" s="4421">
        <f t="shared" si="109"/>
        <v>0</v>
      </c>
      <c r="M275" s="4421">
        <f t="shared" si="109"/>
        <v>0</v>
      </c>
      <c r="N275" s="4421">
        <f t="shared" si="109"/>
        <v>0</v>
      </c>
      <c r="O275" s="4421">
        <f t="shared" si="109"/>
        <v>0</v>
      </c>
      <c r="P275" s="4422">
        <f t="shared" si="109"/>
        <v>0</v>
      </c>
      <c r="Q275" s="4315"/>
    </row>
    <row r="276" spans="1:20" ht="15.05" thickBot="1" x14ac:dyDescent="0.35">
      <c r="B276" s="4423" t="s">
        <v>2284</v>
      </c>
      <c r="C276" s="3523"/>
      <c r="D276" s="3523"/>
      <c r="E276" s="3724"/>
      <c r="F276" s="3724"/>
      <c r="G276" s="3724"/>
      <c r="H276" s="3724"/>
      <c r="I276" s="3724"/>
      <c r="J276" s="3724"/>
      <c r="K276" s="3724"/>
      <c r="L276" s="3724"/>
      <c r="M276" s="3724"/>
      <c r="N276" s="4425"/>
      <c r="Q276" s="4315"/>
    </row>
    <row r="277" spans="1:20" ht="15.05" thickBot="1" x14ac:dyDescent="0.35">
      <c r="A277" s="2487">
        <v>118</v>
      </c>
      <c r="B277" s="4426" t="s">
        <v>1769</v>
      </c>
      <c r="C277" s="4436"/>
      <c r="D277" s="4437" t="s">
        <v>594</v>
      </c>
      <c r="E277" s="4437" t="str">
        <f t="shared" ref="E277:P277" si="110">E262</f>
        <v>Ene</v>
      </c>
      <c r="F277" s="4437" t="str">
        <f t="shared" si="110"/>
        <v>Feb</v>
      </c>
      <c r="G277" s="4437" t="str">
        <f t="shared" si="110"/>
        <v>Mar</v>
      </c>
      <c r="H277" s="4437" t="str">
        <f t="shared" si="110"/>
        <v>Abr</v>
      </c>
      <c r="I277" s="4437" t="str">
        <f t="shared" si="110"/>
        <v>May</v>
      </c>
      <c r="J277" s="4437" t="str">
        <f t="shared" si="110"/>
        <v>Jun</v>
      </c>
      <c r="K277" s="4437" t="str">
        <f t="shared" si="110"/>
        <v>Jul</v>
      </c>
      <c r="L277" s="4437" t="str">
        <f t="shared" si="110"/>
        <v>Ago</v>
      </c>
      <c r="M277" s="4437" t="str">
        <f t="shared" si="110"/>
        <v>Set</v>
      </c>
      <c r="N277" s="4437" t="str">
        <f t="shared" si="110"/>
        <v>Oct</v>
      </c>
      <c r="O277" s="4437" t="str">
        <f t="shared" si="110"/>
        <v>Nov</v>
      </c>
      <c r="P277" s="4437" t="str">
        <f t="shared" si="110"/>
        <v>Dic</v>
      </c>
      <c r="Q277" s="4315"/>
    </row>
    <row r="278" spans="1:20" x14ac:dyDescent="0.3">
      <c r="A278" s="2487" t="s">
        <v>1760</v>
      </c>
      <c r="B278" s="4409" t="str">
        <f t="shared" ref="B278:B290" si="111">B263</f>
        <v>Soja</v>
      </c>
      <c r="C278" s="4410"/>
      <c r="D278" s="5346" t="s">
        <v>254</v>
      </c>
      <c r="E278" s="4317">
        <f t="shared" ref="E278:P278" si="112">E248*E263</f>
        <v>0</v>
      </c>
      <c r="F278" s="4317">
        <f t="shared" si="112"/>
        <v>0</v>
      </c>
      <c r="G278" s="4317">
        <f t="shared" si="112"/>
        <v>0</v>
      </c>
      <c r="H278" s="4317">
        <f t="shared" si="112"/>
        <v>0</v>
      </c>
      <c r="I278" s="4317">
        <f t="shared" si="112"/>
        <v>0</v>
      </c>
      <c r="J278" s="4317">
        <f t="shared" si="112"/>
        <v>0</v>
      </c>
      <c r="K278" s="4317">
        <f t="shared" si="112"/>
        <v>0</v>
      </c>
      <c r="L278" s="4317">
        <f t="shared" si="112"/>
        <v>0</v>
      </c>
      <c r="M278" s="4317">
        <f t="shared" si="112"/>
        <v>0</v>
      </c>
      <c r="N278" s="4317">
        <f t="shared" si="112"/>
        <v>0</v>
      </c>
      <c r="O278" s="4317">
        <f t="shared" si="112"/>
        <v>0</v>
      </c>
      <c r="P278" s="4412">
        <f t="shared" si="112"/>
        <v>0</v>
      </c>
      <c r="Q278" s="4315"/>
      <c r="R278" s="3438">
        <f>+IF(D278=General!B431,Ingresos!P278,0)</f>
        <v>0</v>
      </c>
      <c r="S278" s="3438">
        <f>+IF(Ingresos!D278=General!B432,P278+O278,0)</f>
        <v>0</v>
      </c>
      <c r="T278" s="3438">
        <f>+SUM(R278:S278)</f>
        <v>0</v>
      </c>
    </row>
    <row r="279" spans="1:20" x14ac:dyDescent="0.3">
      <c r="B279" s="4413" t="str">
        <f t="shared" si="111"/>
        <v>Soja 2ª</v>
      </c>
      <c r="C279" s="4414"/>
      <c r="D279" s="5347" t="s">
        <v>252</v>
      </c>
      <c r="E279" s="4317">
        <f t="shared" ref="E279:P279" si="113">E249*E264</f>
        <v>0</v>
      </c>
      <c r="F279" s="4317">
        <f t="shared" si="113"/>
        <v>0</v>
      </c>
      <c r="G279" s="4317">
        <f t="shared" si="113"/>
        <v>0</v>
      </c>
      <c r="H279" s="4317">
        <f t="shared" si="113"/>
        <v>0</v>
      </c>
      <c r="I279" s="4317">
        <f t="shared" si="113"/>
        <v>0</v>
      </c>
      <c r="J279" s="4317">
        <f t="shared" si="113"/>
        <v>0</v>
      </c>
      <c r="K279" s="4317">
        <f t="shared" si="113"/>
        <v>0</v>
      </c>
      <c r="L279" s="4317">
        <f t="shared" si="113"/>
        <v>0</v>
      </c>
      <c r="M279" s="4317">
        <f t="shared" si="113"/>
        <v>0</v>
      </c>
      <c r="N279" s="4317">
        <f t="shared" si="113"/>
        <v>0</v>
      </c>
      <c r="O279" s="4317">
        <f t="shared" si="113"/>
        <v>0</v>
      </c>
      <c r="P279" s="4412">
        <f t="shared" si="113"/>
        <v>0</v>
      </c>
      <c r="Q279" s="4315"/>
      <c r="R279" s="3438">
        <f>+IF(D279=General!B432,Ingresos!P279,0)</f>
        <v>0</v>
      </c>
      <c r="S279" s="3438">
        <f>+IF(Ingresos!D279=General!B433,P279+O279,0)</f>
        <v>0</v>
      </c>
      <c r="T279" s="3438">
        <f t="shared" ref="T279:T290" si="114">+SUM(R279:S279)</f>
        <v>0</v>
      </c>
    </row>
    <row r="280" spans="1:20" x14ac:dyDescent="0.3">
      <c r="B280" s="4413" t="str">
        <f t="shared" si="111"/>
        <v>Maíz Grano</v>
      </c>
      <c r="C280" s="4414"/>
      <c r="D280" s="5347" t="s">
        <v>252</v>
      </c>
      <c r="E280" s="4317">
        <f t="shared" ref="E280:P280" si="115">E250*E265</f>
        <v>0</v>
      </c>
      <c r="F280" s="4317">
        <f t="shared" si="115"/>
        <v>0</v>
      </c>
      <c r="G280" s="4317">
        <f t="shared" si="115"/>
        <v>0</v>
      </c>
      <c r="H280" s="4317">
        <f t="shared" si="115"/>
        <v>0</v>
      </c>
      <c r="I280" s="4317">
        <f t="shared" si="115"/>
        <v>0</v>
      </c>
      <c r="J280" s="4317">
        <f t="shared" si="115"/>
        <v>0</v>
      </c>
      <c r="K280" s="4317">
        <f t="shared" si="115"/>
        <v>0</v>
      </c>
      <c r="L280" s="4317">
        <f t="shared" si="115"/>
        <v>0</v>
      </c>
      <c r="M280" s="4317">
        <f t="shared" si="115"/>
        <v>0</v>
      </c>
      <c r="N280" s="4317">
        <f t="shared" si="115"/>
        <v>0</v>
      </c>
      <c r="O280" s="4317">
        <f t="shared" si="115"/>
        <v>0</v>
      </c>
      <c r="P280" s="4412">
        <f t="shared" si="115"/>
        <v>0</v>
      </c>
      <c r="Q280" s="4315"/>
      <c r="R280" s="3438">
        <f>+IF(D280=General!B433,Ingresos!P280,0)</f>
        <v>0</v>
      </c>
      <c r="S280" s="3438">
        <f>+IF(Ingresos!D280=General!B434,P280+O280,0)</f>
        <v>0</v>
      </c>
      <c r="T280" s="3438">
        <f t="shared" si="114"/>
        <v>0</v>
      </c>
    </row>
    <row r="281" spans="1:20" x14ac:dyDescent="0.3">
      <c r="B281" s="4413" t="str">
        <f t="shared" si="111"/>
        <v>Sorgo grano</v>
      </c>
      <c r="C281" s="4414"/>
      <c r="D281" s="5347" t="s">
        <v>252</v>
      </c>
      <c r="E281" s="4317">
        <f t="shared" ref="E281:P281" si="116">E251*E266</f>
        <v>0</v>
      </c>
      <c r="F281" s="4317">
        <f t="shared" si="116"/>
        <v>0</v>
      </c>
      <c r="G281" s="4317">
        <f t="shared" si="116"/>
        <v>0</v>
      </c>
      <c r="H281" s="4317">
        <f t="shared" si="116"/>
        <v>0</v>
      </c>
      <c r="I281" s="4317">
        <f t="shared" si="116"/>
        <v>0</v>
      </c>
      <c r="J281" s="4317">
        <f t="shared" si="116"/>
        <v>0</v>
      </c>
      <c r="K281" s="4317">
        <f t="shared" si="116"/>
        <v>0</v>
      </c>
      <c r="L281" s="4317">
        <f t="shared" si="116"/>
        <v>0</v>
      </c>
      <c r="M281" s="4317">
        <f t="shared" si="116"/>
        <v>0</v>
      </c>
      <c r="N281" s="4317">
        <f t="shared" si="116"/>
        <v>0</v>
      </c>
      <c r="O281" s="4317">
        <f t="shared" si="116"/>
        <v>0</v>
      </c>
      <c r="P281" s="4412">
        <f t="shared" si="116"/>
        <v>0</v>
      </c>
      <c r="Q281" s="4315"/>
      <c r="R281" s="3438">
        <f>+IF(D281=General!B434,Ingresos!P281,0)</f>
        <v>0</v>
      </c>
      <c r="S281" s="3438">
        <f>+IF(Ingresos!D281=General!B435,P281+O281,0)</f>
        <v>0</v>
      </c>
      <c r="T281" s="3438">
        <f t="shared" si="114"/>
        <v>0</v>
      </c>
    </row>
    <row r="282" spans="1:20" x14ac:dyDescent="0.3">
      <c r="B282" s="4413" t="str">
        <f t="shared" si="111"/>
        <v>Trigo grano</v>
      </c>
      <c r="C282" s="4414"/>
      <c r="D282" s="5347" t="s">
        <v>252</v>
      </c>
      <c r="E282" s="4317">
        <f t="shared" ref="E282:P282" si="117">E252*E267</f>
        <v>0</v>
      </c>
      <c r="F282" s="4317">
        <f t="shared" si="117"/>
        <v>0</v>
      </c>
      <c r="G282" s="4317">
        <f t="shared" si="117"/>
        <v>0</v>
      </c>
      <c r="H282" s="4317">
        <f t="shared" si="117"/>
        <v>0</v>
      </c>
      <c r="I282" s="4317">
        <f t="shared" si="117"/>
        <v>0</v>
      </c>
      <c r="J282" s="4317">
        <f t="shared" si="117"/>
        <v>0</v>
      </c>
      <c r="K282" s="4317">
        <f t="shared" si="117"/>
        <v>0</v>
      </c>
      <c r="L282" s="4317">
        <f t="shared" si="117"/>
        <v>0</v>
      </c>
      <c r="M282" s="4317">
        <f t="shared" si="117"/>
        <v>0</v>
      </c>
      <c r="N282" s="4317">
        <f t="shared" si="117"/>
        <v>0</v>
      </c>
      <c r="O282" s="4317">
        <f t="shared" si="117"/>
        <v>0</v>
      </c>
      <c r="P282" s="4412">
        <f t="shared" si="117"/>
        <v>0</v>
      </c>
      <c r="Q282" s="4315"/>
      <c r="R282" s="3438">
        <f>+IF(D282=General!B435,Ingresos!P282,0)</f>
        <v>0</v>
      </c>
      <c r="S282" s="3438">
        <f>+IF(Ingresos!D282=General!B436,P282+O282,0)</f>
        <v>0</v>
      </c>
      <c r="T282" s="3438">
        <f t="shared" si="114"/>
        <v>0</v>
      </c>
    </row>
    <row r="283" spans="1:20" x14ac:dyDescent="0.3">
      <c r="B283" s="4413" t="str">
        <f t="shared" si="111"/>
        <v>Cebada grano</v>
      </c>
      <c r="C283" s="4414"/>
      <c r="D283" s="5347" t="s">
        <v>252</v>
      </c>
      <c r="E283" s="4317">
        <f t="shared" ref="E283:P283" si="118">E253*E268</f>
        <v>0</v>
      </c>
      <c r="F283" s="4317">
        <f t="shared" si="118"/>
        <v>0</v>
      </c>
      <c r="G283" s="4317">
        <f t="shared" si="118"/>
        <v>0</v>
      </c>
      <c r="H283" s="4317">
        <f t="shared" si="118"/>
        <v>0</v>
      </c>
      <c r="I283" s="4317">
        <f t="shared" si="118"/>
        <v>0</v>
      </c>
      <c r="J283" s="4317">
        <f t="shared" si="118"/>
        <v>0</v>
      </c>
      <c r="K283" s="4317">
        <f t="shared" si="118"/>
        <v>0</v>
      </c>
      <c r="L283" s="4317">
        <f t="shared" si="118"/>
        <v>0</v>
      </c>
      <c r="M283" s="4317">
        <f t="shared" si="118"/>
        <v>0</v>
      </c>
      <c r="N283" s="4317">
        <f t="shared" si="118"/>
        <v>0</v>
      </c>
      <c r="O283" s="4317">
        <f t="shared" si="118"/>
        <v>0</v>
      </c>
      <c r="P283" s="4412">
        <f t="shared" si="118"/>
        <v>0</v>
      </c>
      <c r="Q283" s="4315"/>
      <c r="R283" s="3438">
        <f>+IF(D283=General!B436,Ingresos!P283,0)</f>
        <v>0</v>
      </c>
      <c r="S283" s="3438">
        <f>+IF(Ingresos!D283=General!B437,P283+O283,0)</f>
        <v>0</v>
      </c>
      <c r="T283" s="3438">
        <f t="shared" si="114"/>
        <v>0</v>
      </c>
    </row>
    <row r="284" spans="1:20" x14ac:dyDescent="0.3">
      <c r="B284" s="4413" t="str">
        <f t="shared" si="111"/>
        <v>Avena grano</v>
      </c>
      <c r="C284" s="4414"/>
      <c r="D284" s="5347" t="s">
        <v>252</v>
      </c>
      <c r="E284" s="4317">
        <f t="shared" ref="E284:P284" si="119">E254*E269</f>
        <v>0</v>
      </c>
      <c r="F284" s="4317">
        <f t="shared" si="119"/>
        <v>0</v>
      </c>
      <c r="G284" s="4317">
        <f t="shared" si="119"/>
        <v>0</v>
      </c>
      <c r="H284" s="4317">
        <f t="shared" si="119"/>
        <v>0</v>
      </c>
      <c r="I284" s="4317">
        <f t="shared" si="119"/>
        <v>0</v>
      </c>
      <c r="J284" s="4317">
        <f t="shared" si="119"/>
        <v>0</v>
      </c>
      <c r="K284" s="4317">
        <f t="shared" si="119"/>
        <v>0</v>
      </c>
      <c r="L284" s="4317">
        <f t="shared" si="119"/>
        <v>0</v>
      </c>
      <c r="M284" s="4317">
        <f t="shared" si="119"/>
        <v>0</v>
      </c>
      <c r="N284" s="4317">
        <f t="shared" si="119"/>
        <v>0</v>
      </c>
      <c r="O284" s="4317">
        <f t="shared" si="119"/>
        <v>0</v>
      </c>
      <c r="P284" s="4412">
        <f t="shared" si="119"/>
        <v>0</v>
      </c>
      <c r="Q284" s="4315"/>
      <c r="R284" s="3438">
        <f>+IF(D284=General!B437,Ingresos!P284,0)</f>
        <v>0</v>
      </c>
      <c r="S284" s="3438">
        <f>+IF(Ingresos!D284=General!B438,P284+O284,0)</f>
        <v>0</v>
      </c>
      <c r="T284" s="3438">
        <f t="shared" si="114"/>
        <v>0</v>
      </c>
    </row>
    <row r="285" spans="1:20" x14ac:dyDescent="0.3">
      <c r="B285" s="4413" t="str">
        <f t="shared" si="111"/>
        <v>Colza grano</v>
      </c>
      <c r="C285" s="4414"/>
      <c r="D285" s="5347" t="s">
        <v>254</v>
      </c>
      <c r="E285" s="4317">
        <f t="shared" ref="E285:P285" si="120">E255*E270</f>
        <v>0</v>
      </c>
      <c r="F285" s="4317">
        <f t="shared" si="120"/>
        <v>0</v>
      </c>
      <c r="G285" s="4317">
        <f t="shared" si="120"/>
        <v>0</v>
      </c>
      <c r="H285" s="4317">
        <f t="shared" si="120"/>
        <v>0</v>
      </c>
      <c r="I285" s="4317">
        <f t="shared" si="120"/>
        <v>0</v>
      </c>
      <c r="J285" s="4317">
        <f t="shared" si="120"/>
        <v>0</v>
      </c>
      <c r="K285" s="4317">
        <f t="shared" si="120"/>
        <v>0</v>
      </c>
      <c r="L285" s="4317">
        <f t="shared" si="120"/>
        <v>0</v>
      </c>
      <c r="M285" s="4317">
        <f t="shared" si="120"/>
        <v>0</v>
      </c>
      <c r="N285" s="4317">
        <f t="shared" si="120"/>
        <v>0</v>
      </c>
      <c r="O285" s="4317">
        <f t="shared" si="120"/>
        <v>0</v>
      </c>
      <c r="P285" s="4412">
        <f t="shared" si="120"/>
        <v>0</v>
      </c>
      <c r="Q285" s="4315"/>
      <c r="R285" s="3438">
        <f>+IF(D285=General!B438,Ingresos!P285,0)</f>
        <v>0</v>
      </c>
      <c r="S285" s="3438">
        <f>+IF(Ingresos!D285=General!B439,P285+O285,0)</f>
        <v>0</v>
      </c>
      <c r="T285" s="3438">
        <f t="shared" si="114"/>
        <v>0</v>
      </c>
    </row>
    <row r="286" spans="1:20" x14ac:dyDescent="0.3">
      <c r="B286" s="4413">
        <f t="shared" si="111"/>
        <v>0</v>
      </c>
      <c r="C286" s="4414"/>
      <c r="D286" s="5347" t="s">
        <v>252</v>
      </c>
      <c r="E286" s="4317">
        <f t="shared" ref="E286:P286" si="121">E256*E271</f>
        <v>0</v>
      </c>
      <c r="F286" s="4317">
        <f t="shared" si="121"/>
        <v>0</v>
      </c>
      <c r="G286" s="4317">
        <f t="shared" si="121"/>
        <v>0</v>
      </c>
      <c r="H286" s="4317">
        <f t="shared" si="121"/>
        <v>0</v>
      </c>
      <c r="I286" s="4317">
        <f t="shared" si="121"/>
        <v>0</v>
      </c>
      <c r="J286" s="4317">
        <f t="shared" si="121"/>
        <v>0</v>
      </c>
      <c r="K286" s="4317">
        <f t="shared" si="121"/>
        <v>0</v>
      </c>
      <c r="L286" s="4317">
        <f t="shared" si="121"/>
        <v>0</v>
      </c>
      <c r="M286" s="4317">
        <f t="shared" si="121"/>
        <v>0</v>
      </c>
      <c r="N286" s="4317">
        <f t="shared" si="121"/>
        <v>0</v>
      </c>
      <c r="O286" s="4317">
        <f t="shared" si="121"/>
        <v>0</v>
      </c>
      <c r="P286" s="4412">
        <f t="shared" si="121"/>
        <v>0</v>
      </c>
      <c r="Q286" s="4315"/>
      <c r="R286" s="3438">
        <f>+IF(D286=General!B439,Ingresos!P286,0)</f>
        <v>0</v>
      </c>
      <c r="S286" s="3438">
        <f>+IF(Ingresos!D286=General!B440,P286+O286,0)</f>
        <v>0</v>
      </c>
      <c r="T286" s="3438">
        <f t="shared" si="114"/>
        <v>0</v>
      </c>
    </row>
    <row r="287" spans="1:20" x14ac:dyDescent="0.3">
      <c r="B287" s="4413">
        <f>B272</f>
        <v>0</v>
      </c>
      <c r="C287" s="4414"/>
      <c r="D287" s="5347" t="s">
        <v>252</v>
      </c>
      <c r="E287" s="4317">
        <f t="shared" ref="E287:P287" si="122">E257*E272</f>
        <v>0</v>
      </c>
      <c r="F287" s="4317">
        <f t="shared" si="122"/>
        <v>0</v>
      </c>
      <c r="G287" s="4317">
        <f t="shared" si="122"/>
        <v>0</v>
      </c>
      <c r="H287" s="4317">
        <f t="shared" si="122"/>
        <v>0</v>
      </c>
      <c r="I287" s="4317">
        <f t="shared" si="122"/>
        <v>0</v>
      </c>
      <c r="J287" s="4317">
        <f t="shared" si="122"/>
        <v>0</v>
      </c>
      <c r="K287" s="4317">
        <f t="shared" si="122"/>
        <v>0</v>
      </c>
      <c r="L287" s="4317">
        <f t="shared" si="122"/>
        <v>0</v>
      </c>
      <c r="M287" s="4317">
        <f t="shared" si="122"/>
        <v>0</v>
      </c>
      <c r="N287" s="4317">
        <f t="shared" si="122"/>
        <v>0</v>
      </c>
      <c r="O287" s="4317">
        <f t="shared" si="122"/>
        <v>0</v>
      </c>
      <c r="P287" s="4412">
        <f t="shared" si="122"/>
        <v>0</v>
      </c>
      <c r="Q287" s="4315"/>
      <c r="R287" s="3438">
        <f>+IF(D287=General!B440,Ingresos!P287,0)</f>
        <v>0</v>
      </c>
      <c r="S287" s="3438">
        <f>+IF(Ingresos!D287=General!B441,P287+O287,0)</f>
        <v>0</v>
      </c>
      <c r="T287" s="3438">
        <f t="shared" si="114"/>
        <v>0</v>
      </c>
    </row>
    <row r="288" spans="1:20" x14ac:dyDescent="0.3">
      <c r="B288" s="4413">
        <f t="shared" si="111"/>
        <v>0</v>
      </c>
      <c r="C288" s="4414"/>
      <c r="D288" s="5347" t="s">
        <v>252</v>
      </c>
      <c r="E288" s="4317">
        <f t="shared" ref="E288:P288" si="123">E258*E273</f>
        <v>0</v>
      </c>
      <c r="F288" s="4317">
        <f t="shared" si="123"/>
        <v>0</v>
      </c>
      <c r="G288" s="4317">
        <f t="shared" si="123"/>
        <v>0</v>
      </c>
      <c r="H288" s="4317">
        <f t="shared" si="123"/>
        <v>0</v>
      </c>
      <c r="I288" s="4317">
        <f t="shared" si="123"/>
        <v>0</v>
      </c>
      <c r="J288" s="4317">
        <f t="shared" si="123"/>
        <v>0</v>
      </c>
      <c r="K288" s="4317">
        <f t="shared" si="123"/>
        <v>0</v>
      </c>
      <c r="L288" s="4317">
        <f t="shared" si="123"/>
        <v>0</v>
      </c>
      <c r="M288" s="4317">
        <f t="shared" si="123"/>
        <v>0</v>
      </c>
      <c r="N288" s="4317">
        <f t="shared" si="123"/>
        <v>0</v>
      </c>
      <c r="O288" s="4317">
        <f t="shared" si="123"/>
        <v>0</v>
      </c>
      <c r="P288" s="4412">
        <f t="shared" si="123"/>
        <v>0</v>
      </c>
      <c r="Q288" s="4315"/>
      <c r="R288" s="3438">
        <f>+IF(D288=General!B441,Ingresos!P288,0)</f>
        <v>0</v>
      </c>
      <c r="S288" s="3438">
        <f>+IF(Ingresos!D288=General!B442,P288+O288,0)</f>
        <v>0</v>
      </c>
      <c r="T288" s="3438">
        <f t="shared" si="114"/>
        <v>0</v>
      </c>
    </row>
    <row r="289" spans="2:20" x14ac:dyDescent="0.3">
      <c r="B289" s="4415">
        <f t="shared" si="111"/>
        <v>0</v>
      </c>
      <c r="C289" s="4416"/>
      <c r="D289" s="5348" t="s">
        <v>252</v>
      </c>
      <c r="E289" s="4417">
        <f t="shared" ref="E289:P289" si="124">E259*E274</f>
        <v>0</v>
      </c>
      <c r="F289" s="4417">
        <f t="shared" si="124"/>
        <v>0</v>
      </c>
      <c r="G289" s="4417">
        <f t="shared" si="124"/>
        <v>0</v>
      </c>
      <c r="H289" s="4417">
        <f t="shared" si="124"/>
        <v>0</v>
      </c>
      <c r="I289" s="4417">
        <f t="shared" si="124"/>
        <v>0</v>
      </c>
      <c r="J289" s="4417">
        <f t="shared" si="124"/>
        <v>0</v>
      </c>
      <c r="K289" s="4417">
        <f t="shared" si="124"/>
        <v>0</v>
      </c>
      <c r="L289" s="4417">
        <f t="shared" si="124"/>
        <v>0</v>
      </c>
      <c r="M289" s="4417">
        <f t="shared" si="124"/>
        <v>0</v>
      </c>
      <c r="N289" s="4417">
        <f t="shared" si="124"/>
        <v>0</v>
      </c>
      <c r="O289" s="4417">
        <f t="shared" si="124"/>
        <v>0</v>
      </c>
      <c r="P289" s="4418">
        <f t="shared" si="124"/>
        <v>0</v>
      </c>
      <c r="Q289" s="4315"/>
      <c r="R289" s="3438">
        <f>+IF(D289=General!B442,Ingresos!P289,0)</f>
        <v>0</v>
      </c>
      <c r="S289" s="3438">
        <f>+IF(Ingresos!D289=General!B443,P289+O289,0)</f>
        <v>0</v>
      </c>
      <c r="T289" s="3438">
        <f t="shared" si="114"/>
        <v>0</v>
      </c>
    </row>
    <row r="290" spans="2:20" ht="15.05" thickBot="1" x14ac:dyDescent="0.35">
      <c r="B290" s="4343" t="str">
        <f t="shared" si="111"/>
        <v>Total</v>
      </c>
      <c r="C290" s="4435"/>
      <c r="D290" s="4438"/>
      <c r="E290" s="4421">
        <f>SUM(E278:E289)</f>
        <v>0</v>
      </c>
      <c r="F290" s="4421">
        <f t="shared" ref="F290:P290" si="125">SUM(F278:F289)</f>
        <v>0</v>
      </c>
      <c r="G290" s="4421">
        <f t="shared" si="125"/>
        <v>0</v>
      </c>
      <c r="H290" s="4421">
        <f t="shared" si="125"/>
        <v>0</v>
      </c>
      <c r="I290" s="4421">
        <f t="shared" si="125"/>
        <v>0</v>
      </c>
      <c r="J290" s="4421">
        <f t="shared" si="125"/>
        <v>0</v>
      </c>
      <c r="K290" s="4421">
        <f t="shared" si="125"/>
        <v>0</v>
      </c>
      <c r="L290" s="4421">
        <f t="shared" si="125"/>
        <v>0</v>
      </c>
      <c r="M290" s="4421">
        <f t="shared" si="125"/>
        <v>0</v>
      </c>
      <c r="N290" s="4421">
        <f t="shared" si="125"/>
        <v>0</v>
      </c>
      <c r="O290" s="4421">
        <f t="shared" si="125"/>
        <v>0</v>
      </c>
      <c r="P290" s="4422">
        <f t="shared" si="125"/>
        <v>0</v>
      </c>
      <c r="Q290" s="4315"/>
      <c r="R290" s="3438">
        <f>+IF(D290=General!B443,Ingresos!P290,0)</f>
        <v>0</v>
      </c>
      <c r="S290" s="3438">
        <f>+IF(Ingresos!D290=General!B444,P290+O290,0)</f>
        <v>0</v>
      </c>
      <c r="T290" s="3438">
        <f t="shared" si="114"/>
        <v>0</v>
      </c>
    </row>
    <row r="291" spans="2:20" ht="3.6" customHeight="1" thickBot="1" x14ac:dyDescent="0.35">
      <c r="B291" s="3616"/>
      <c r="C291" s="3523"/>
      <c r="D291" s="3523"/>
      <c r="E291" s="3724"/>
      <c r="F291" s="3724"/>
      <c r="G291" s="3724"/>
      <c r="H291" s="3724"/>
      <c r="I291" s="3724"/>
      <c r="J291" s="3724"/>
      <c r="K291" s="3724"/>
      <c r="L291" s="3724"/>
      <c r="M291" s="3724"/>
      <c r="N291" s="4425"/>
      <c r="Q291" s="4315"/>
    </row>
    <row r="292" spans="2:20" ht="15.05" thickBot="1" x14ac:dyDescent="0.35">
      <c r="B292" s="4426" t="s">
        <v>2383</v>
      </c>
      <c r="C292" s="4399"/>
      <c r="D292" s="4400"/>
      <c r="E292" s="4401">
        <f>SUM(E294:E333)</f>
        <v>0</v>
      </c>
      <c r="F292" s="4401">
        <f t="shared" ref="F292:P292" si="126">SUM(F294:F333)</f>
        <v>0</v>
      </c>
      <c r="G292" s="4401">
        <f t="shared" si="126"/>
        <v>0</v>
      </c>
      <c r="H292" s="4401">
        <f t="shared" si="126"/>
        <v>0</v>
      </c>
      <c r="I292" s="4401">
        <f t="shared" si="126"/>
        <v>0</v>
      </c>
      <c r="J292" s="4401">
        <f t="shared" si="126"/>
        <v>0</v>
      </c>
      <c r="K292" s="4401">
        <f t="shared" si="126"/>
        <v>0</v>
      </c>
      <c r="L292" s="4401">
        <f t="shared" si="126"/>
        <v>0</v>
      </c>
      <c r="M292" s="4401">
        <f t="shared" si="126"/>
        <v>0</v>
      </c>
      <c r="N292" s="4401">
        <f t="shared" si="126"/>
        <v>0</v>
      </c>
      <c r="O292" s="4401">
        <f t="shared" si="126"/>
        <v>0</v>
      </c>
      <c r="P292" s="4439">
        <f t="shared" si="126"/>
        <v>0</v>
      </c>
      <c r="Q292" s="4440">
        <f>+SUM(E292:P292)</f>
        <v>0</v>
      </c>
      <c r="T292" s="4310">
        <f>SUM(T278:T291)</f>
        <v>0</v>
      </c>
    </row>
    <row r="293" spans="2:20" s="3440" customFormat="1" hidden="1" x14ac:dyDescent="0.3">
      <c r="B293" s="4441" t="s">
        <v>1845</v>
      </c>
      <c r="C293" s="4442"/>
      <c r="D293" s="4442"/>
      <c r="E293" s="4443"/>
      <c r="F293" s="4443"/>
      <c r="G293" s="4443"/>
      <c r="H293" s="4443"/>
      <c r="I293" s="4443"/>
      <c r="J293" s="4443"/>
      <c r="K293" s="4443"/>
      <c r="L293" s="4443"/>
      <c r="M293" s="4443"/>
      <c r="N293" s="4443"/>
      <c r="O293" s="4443"/>
      <c r="P293" s="4443"/>
    </row>
    <row r="294" spans="2:20" s="3440" customFormat="1" hidden="1" x14ac:dyDescent="0.3">
      <c r="B294" s="4444" t="str">
        <f t="shared" ref="B294:B305" si="127">+B278</f>
        <v>Soja</v>
      </c>
      <c r="C294" s="4445"/>
      <c r="D294" s="4446"/>
      <c r="E294" s="4447">
        <f t="shared" ref="E294:P294" si="128">IF($D278="Contado",E278,0)</f>
        <v>0</v>
      </c>
      <c r="F294" s="4447">
        <f t="shared" si="128"/>
        <v>0</v>
      </c>
      <c r="G294" s="4447">
        <f t="shared" si="128"/>
        <v>0</v>
      </c>
      <c r="H294" s="4447">
        <f t="shared" si="128"/>
        <v>0</v>
      </c>
      <c r="I294" s="4447">
        <f t="shared" si="128"/>
        <v>0</v>
      </c>
      <c r="J294" s="4447">
        <f t="shared" si="128"/>
        <v>0</v>
      </c>
      <c r="K294" s="4447">
        <f t="shared" si="128"/>
        <v>0</v>
      </c>
      <c r="L294" s="4447">
        <f t="shared" si="128"/>
        <v>0</v>
      </c>
      <c r="M294" s="4447">
        <f t="shared" si="128"/>
        <v>0</v>
      </c>
      <c r="N294" s="4447">
        <f t="shared" si="128"/>
        <v>0</v>
      </c>
      <c r="O294" s="4447">
        <f t="shared" si="128"/>
        <v>0</v>
      </c>
      <c r="P294" s="4447">
        <f t="shared" si="128"/>
        <v>0</v>
      </c>
    </row>
    <row r="295" spans="2:20" s="3440" customFormat="1" hidden="1" x14ac:dyDescent="0.3">
      <c r="B295" s="4444" t="str">
        <f t="shared" si="127"/>
        <v>Soja 2ª</v>
      </c>
      <c r="C295" s="4445"/>
      <c r="D295" s="4446"/>
      <c r="E295" s="4447">
        <f t="shared" ref="E295:P295" si="129">IF($D279="Contado",E279,0)</f>
        <v>0</v>
      </c>
      <c r="F295" s="4447">
        <f t="shared" si="129"/>
        <v>0</v>
      </c>
      <c r="G295" s="4447">
        <f t="shared" si="129"/>
        <v>0</v>
      </c>
      <c r="H295" s="4447">
        <f t="shared" si="129"/>
        <v>0</v>
      </c>
      <c r="I295" s="4447">
        <f t="shared" si="129"/>
        <v>0</v>
      </c>
      <c r="J295" s="4447">
        <f t="shared" si="129"/>
        <v>0</v>
      </c>
      <c r="K295" s="4447">
        <f t="shared" si="129"/>
        <v>0</v>
      </c>
      <c r="L295" s="4447">
        <f t="shared" si="129"/>
        <v>0</v>
      </c>
      <c r="M295" s="4447">
        <f t="shared" si="129"/>
        <v>0</v>
      </c>
      <c r="N295" s="4447">
        <f t="shared" si="129"/>
        <v>0</v>
      </c>
      <c r="O295" s="4447">
        <f t="shared" si="129"/>
        <v>0</v>
      </c>
      <c r="P295" s="4447">
        <f t="shared" si="129"/>
        <v>0</v>
      </c>
    </row>
    <row r="296" spans="2:20" s="3440" customFormat="1" hidden="1" x14ac:dyDescent="0.3">
      <c r="B296" s="4444" t="str">
        <f t="shared" si="127"/>
        <v>Maíz Grano</v>
      </c>
      <c r="C296" s="4445"/>
      <c r="D296" s="4446"/>
      <c r="E296" s="4447">
        <f t="shared" ref="E296:P296" si="130">IF($D280="Contado",E280,0)</f>
        <v>0</v>
      </c>
      <c r="F296" s="4447">
        <f t="shared" si="130"/>
        <v>0</v>
      </c>
      <c r="G296" s="4447">
        <f t="shared" si="130"/>
        <v>0</v>
      </c>
      <c r="H296" s="4447">
        <f t="shared" si="130"/>
        <v>0</v>
      </c>
      <c r="I296" s="4447">
        <f t="shared" si="130"/>
        <v>0</v>
      </c>
      <c r="J296" s="4447">
        <f t="shared" si="130"/>
        <v>0</v>
      </c>
      <c r="K296" s="4447">
        <f t="shared" si="130"/>
        <v>0</v>
      </c>
      <c r="L296" s="4447">
        <f t="shared" si="130"/>
        <v>0</v>
      </c>
      <c r="M296" s="4447">
        <f t="shared" si="130"/>
        <v>0</v>
      </c>
      <c r="N296" s="4447">
        <f t="shared" si="130"/>
        <v>0</v>
      </c>
      <c r="O296" s="4447">
        <f t="shared" si="130"/>
        <v>0</v>
      </c>
      <c r="P296" s="4447">
        <f t="shared" si="130"/>
        <v>0</v>
      </c>
    </row>
    <row r="297" spans="2:20" s="3440" customFormat="1" hidden="1" x14ac:dyDescent="0.3">
      <c r="B297" s="4444" t="str">
        <f t="shared" si="127"/>
        <v>Sorgo grano</v>
      </c>
      <c r="C297" s="4445"/>
      <c r="D297" s="4446"/>
      <c r="E297" s="4447">
        <f t="shared" ref="E297:P297" si="131">IF($D281="Contado",E281,0)</f>
        <v>0</v>
      </c>
      <c r="F297" s="4447">
        <f t="shared" si="131"/>
        <v>0</v>
      </c>
      <c r="G297" s="4447">
        <f t="shared" si="131"/>
        <v>0</v>
      </c>
      <c r="H297" s="4447">
        <f t="shared" si="131"/>
        <v>0</v>
      </c>
      <c r="I297" s="4447">
        <f t="shared" si="131"/>
        <v>0</v>
      </c>
      <c r="J297" s="4447">
        <f t="shared" si="131"/>
        <v>0</v>
      </c>
      <c r="K297" s="4447">
        <f t="shared" si="131"/>
        <v>0</v>
      </c>
      <c r="L297" s="4447">
        <f t="shared" si="131"/>
        <v>0</v>
      </c>
      <c r="M297" s="4447">
        <f t="shared" si="131"/>
        <v>0</v>
      </c>
      <c r="N297" s="4447">
        <f t="shared" si="131"/>
        <v>0</v>
      </c>
      <c r="O297" s="4447">
        <f t="shared" si="131"/>
        <v>0</v>
      </c>
      <c r="P297" s="4447">
        <f t="shared" si="131"/>
        <v>0</v>
      </c>
    </row>
    <row r="298" spans="2:20" s="3440" customFormat="1" hidden="1" x14ac:dyDescent="0.3">
      <c r="B298" s="4444" t="str">
        <f t="shared" si="127"/>
        <v>Trigo grano</v>
      </c>
      <c r="C298" s="4445"/>
      <c r="D298" s="4446"/>
      <c r="E298" s="4447">
        <f t="shared" ref="E298:P298" si="132">IF($D282="Contado",E282,0)</f>
        <v>0</v>
      </c>
      <c r="F298" s="4447">
        <f t="shared" si="132"/>
        <v>0</v>
      </c>
      <c r="G298" s="4447">
        <f t="shared" si="132"/>
        <v>0</v>
      </c>
      <c r="H298" s="4447">
        <f t="shared" si="132"/>
        <v>0</v>
      </c>
      <c r="I298" s="4447">
        <f t="shared" si="132"/>
        <v>0</v>
      </c>
      <c r="J298" s="4447">
        <f t="shared" si="132"/>
        <v>0</v>
      </c>
      <c r="K298" s="4447">
        <f t="shared" si="132"/>
        <v>0</v>
      </c>
      <c r="L298" s="4447">
        <f t="shared" si="132"/>
        <v>0</v>
      </c>
      <c r="M298" s="4447">
        <f t="shared" si="132"/>
        <v>0</v>
      </c>
      <c r="N298" s="4447">
        <f t="shared" si="132"/>
        <v>0</v>
      </c>
      <c r="O298" s="4447">
        <f t="shared" si="132"/>
        <v>0</v>
      </c>
      <c r="P298" s="4447">
        <f t="shared" si="132"/>
        <v>0</v>
      </c>
    </row>
    <row r="299" spans="2:20" s="3440" customFormat="1" hidden="1" x14ac:dyDescent="0.3">
      <c r="B299" s="4444" t="str">
        <f t="shared" si="127"/>
        <v>Cebada grano</v>
      </c>
      <c r="C299" s="4445"/>
      <c r="D299" s="4446"/>
      <c r="E299" s="4447">
        <f t="shared" ref="E299:P299" si="133">IF($D283="Contado",E283,0)</f>
        <v>0</v>
      </c>
      <c r="F299" s="4447">
        <f t="shared" si="133"/>
        <v>0</v>
      </c>
      <c r="G299" s="4447">
        <f t="shared" si="133"/>
        <v>0</v>
      </c>
      <c r="H299" s="4447">
        <f t="shared" si="133"/>
        <v>0</v>
      </c>
      <c r="I299" s="4447">
        <f t="shared" si="133"/>
        <v>0</v>
      </c>
      <c r="J299" s="4447">
        <f t="shared" si="133"/>
        <v>0</v>
      </c>
      <c r="K299" s="4447">
        <f t="shared" si="133"/>
        <v>0</v>
      </c>
      <c r="L299" s="4447">
        <f t="shared" si="133"/>
        <v>0</v>
      </c>
      <c r="M299" s="4447">
        <f t="shared" si="133"/>
        <v>0</v>
      </c>
      <c r="N299" s="4447">
        <f t="shared" si="133"/>
        <v>0</v>
      </c>
      <c r="O299" s="4447">
        <f t="shared" si="133"/>
        <v>0</v>
      </c>
      <c r="P299" s="4447">
        <f t="shared" si="133"/>
        <v>0</v>
      </c>
    </row>
    <row r="300" spans="2:20" s="3440" customFormat="1" hidden="1" x14ac:dyDescent="0.3">
      <c r="B300" s="4444" t="str">
        <f t="shared" si="127"/>
        <v>Avena grano</v>
      </c>
      <c r="C300" s="4445"/>
      <c r="D300" s="4446"/>
      <c r="E300" s="4447">
        <f t="shared" ref="E300:P300" si="134">IF($D284="Contado",E284,0)</f>
        <v>0</v>
      </c>
      <c r="F300" s="4447">
        <f t="shared" si="134"/>
        <v>0</v>
      </c>
      <c r="G300" s="4447">
        <f t="shared" si="134"/>
        <v>0</v>
      </c>
      <c r="H300" s="4447">
        <f t="shared" si="134"/>
        <v>0</v>
      </c>
      <c r="I300" s="4447">
        <f t="shared" si="134"/>
        <v>0</v>
      </c>
      <c r="J300" s="4447">
        <f t="shared" si="134"/>
        <v>0</v>
      </c>
      <c r="K300" s="4447">
        <f t="shared" si="134"/>
        <v>0</v>
      </c>
      <c r="L300" s="4447">
        <f t="shared" si="134"/>
        <v>0</v>
      </c>
      <c r="M300" s="4447">
        <f t="shared" si="134"/>
        <v>0</v>
      </c>
      <c r="N300" s="4447">
        <f t="shared" si="134"/>
        <v>0</v>
      </c>
      <c r="O300" s="4447">
        <f t="shared" si="134"/>
        <v>0</v>
      </c>
      <c r="P300" s="4447">
        <f t="shared" si="134"/>
        <v>0</v>
      </c>
    </row>
    <row r="301" spans="2:20" s="3440" customFormat="1" hidden="1" x14ac:dyDescent="0.3">
      <c r="B301" s="4444" t="str">
        <f t="shared" si="127"/>
        <v>Colza grano</v>
      </c>
      <c r="C301" s="4445"/>
      <c r="D301" s="4446"/>
      <c r="E301" s="4447">
        <f t="shared" ref="E301:P301" si="135">IF($D285="Contado",E285,0)</f>
        <v>0</v>
      </c>
      <c r="F301" s="4447">
        <f t="shared" si="135"/>
        <v>0</v>
      </c>
      <c r="G301" s="4447">
        <f t="shared" si="135"/>
        <v>0</v>
      </c>
      <c r="H301" s="4447">
        <f t="shared" si="135"/>
        <v>0</v>
      </c>
      <c r="I301" s="4447">
        <f t="shared" si="135"/>
        <v>0</v>
      </c>
      <c r="J301" s="4447">
        <f t="shared" si="135"/>
        <v>0</v>
      </c>
      <c r="K301" s="4447">
        <f t="shared" si="135"/>
        <v>0</v>
      </c>
      <c r="L301" s="4447">
        <f t="shared" si="135"/>
        <v>0</v>
      </c>
      <c r="M301" s="4447">
        <f t="shared" si="135"/>
        <v>0</v>
      </c>
      <c r="N301" s="4447">
        <f t="shared" si="135"/>
        <v>0</v>
      </c>
      <c r="O301" s="4447">
        <f t="shared" si="135"/>
        <v>0</v>
      </c>
      <c r="P301" s="4447">
        <f t="shared" si="135"/>
        <v>0</v>
      </c>
    </row>
    <row r="302" spans="2:20" s="3440" customFormat="1" hidden="1" x14ac:dyDescent="0.3">
      <c r="B302" s="4444">
        <f t="shared" si="127"/>
        <v>0</v>
      </c>
      <c r="C302" s="4445"/>
      <c r="D302" s="4446"/>
      <c r="E302" s="4447">
        <f t="shared" ref="E302:P302" si="136">IF($D286="Contado",E286,0)</f>
        <v>0</v>
      </c>
      <c r="F302" s="4447">
        <f t="shared" si="136"/>
        <v>0</v>
      </c>
      <c r="G302" s="4447">
        <f t="shared" si="136"/>
        <v>0</v>
      </c>
      <c r="H302" s="4447">
        <f t="shared" si="136"/>
        <v>0</v>
      </c>
      <c r="I302" s="4447">
        <f t="shared" si="136"/>
        <v>0</v>
      </c>
      <c r="J302" s="4447">
        <f t="shared" si="136"/>
        <v>0</v>
      </c>
      <c r="K302" s="4447">
        <f t="shared" si="136"/>
        <v>0</v>
      </c>
      <c r="L302" s="4447">
        <f t="shared" si="136"/>
        <v>0</v>
      </c>
      <c r="M302" s="4447">
        <f t="shared" si="136"/>
        <v>0</v>
      </c>
      <c r="N302" s="4447">
        <f t="shared" si="136"/>
        <v>0</v>
      </c>
      <c r="O302" s="4447">
        <f t="shared" si="136"/>
        <v>0</v>
      </c>
      <c r="P302" s="4447">
        <f t="shared" si="136"/>
        <v>0</v>
      </c>
    </row>
    <row r="303" spans="2:20" s="3440" customFormat="1" hidden="1" x14ac:dyDescent="0.3">
      <c r="B303" s="4444">
        <f t="shared" si="127"/>
        <v>0</v>
      </c>
      <c r="C303" s="4445"/>
      <c r="D303" s="4446"/>
      <c r="E303" s="4447">
        <f t="shared" ref="E303:P303" si="137">IF($D287="Contado",E287,0)</f>
        <v>0</v>
      </c>
      <c r="F303" s="4447">
        <f t="shared" si="137"/>
        <v>0</v>
      </c>
      <c r="G303" s="4447">
        <f t="shared" si="137"/>
        <v>0</v>
      </c>
      <c r="H303" s="4447">
        <f t="shared" si="137"/>
        <v>0</v>
      </c>
      <c r="I303" s="4447">
        <f t="shared" si="137"/>
        <v>0</v>
      </c>
      <c r="J303" s="4447">
        <f t="shared" si="137"/>
        <v>0</v>
      </c>
      <c r="K303" s="4447">
        <f t="shared" si="137"/>
        <v>0</v>
      </c>
      <c r="L303" s="4447">
        <f t="shared" si="137"/>
        <v>0</v>
      </c>
      <c r="M303" s="4447">
        <f t="shared" si="137"/>
        <v>0</v>
      </c>
      <c r="N303" s="4447">
        <f t="shared" si="137"/>
        <v>0</v>
      </c>
      <c r="O303" s="4447">
        <f t="shared" si="137"/>
        <v>0</v>
      </c>
      <c r="P303" s="4447">
        <f t="shared" si="137"/>
        <v>0</v>
      </c>
    </row>
    <row r="304" spans="2:20" s="3440" customFormat="1" hidden="1" x14ac:dyDescent="0.3">
      <c r="B304" s="4444">
        <f t="shared" si="127"/>
        <v>0</v>
      </c>
      <c r="C304" s="4445"/>
      <c r="D304" s="4446"/>
      <c r="E304" s="4447">
        <f t="shared" ref="E304:P304" si="138">IF($D288="Contado",E288,0)</f>
        <v>0</v>
      </c>
      <c r="F304" s="4447">
        <f t="shared" si="138"/>
        <v>0</v>
      </c>
      <c r="G304" s="4447">
        <f t="shared" si="138"/>
        <v>0</v>
      </c>
      <c r="H304" s="4447">
        <f t="shared" si="138"/>
        <v>0</v>
      </c>
      <c r="I304" s="4447">
        <f t="shared" si="138"/>
        <v>0</v>
      </c>
      <c r="J304" s="4447">
        <f t="shared" si="138"/>
        <v>0</v>
      </c>
      <c r="K304" s="4447">
        <f t="shared" si="138"/>
        <v>0</v>
      </c>
      <c r="L304" s="4447">
        <f t="shared" si="138"/>
        <v>0</v>
      </c>
      <c r="M304" s="4447">
        <f t="shared" si="138"/>
        <v>0</v>
      </c>
      <c r="N304" s="4447">
        <f t="shared" si="138"/>
        <v>0</v>
      </c>
      <c r="O304" s="4447">
        <f t="shared" si="138"/>
        <v>0</v>
      </c>
      <c r="P304" s="4447">
        <f t="shared" si="138"/>
        <v>0</v>
      </c>
    </row>
    <row r="305" spans="2:16" s="3440" customFormat="1" hidden="1" x14ac:dyDescent="0.3">
      <c r="B305" s="4444">
        <f t="shared" si="127"/>
        <v>0</v>
      </c>
      <c r="C305" s="4445"/>
      <c r="D305" s="4446"/>
      <c r="E305" s="4447">
        <f t="shared" ref="E305:P305" si="139">IF($D289="Contado",E289,0)</f>
        <v>0</v>
      </c>
      <c r="F305" s="4447">
        <f t="shared" si="139"/>
        <v>0</v>
      </c>
      <c r="G305" s="4447">
        <f t="shared" si="139"/>
        <v>0</v>
      </c>
      <c r="H305" s="4447">
        <f t="shared" si="139"/>
        <v>0</v>
      </c>
      <c r="I305" s="4447">
        <f t="shared" si="139"/>
        <v>0</v>
      </c>
      <c r="J305" s="4447">
        <f t="shared" si="139"/>
        <v>0</v>
      </c>
      <c r="K305" s="4447">
        <f t="shared" si="139"/>
        <v>0</v>
      </c>
      <c r="L305" s="4447">
        <f t="shared" si="139"/>
        <v>0</v>
      </c>
      <c r="M305" s="4447">
        <f t="shared" si="139"/>
        <v>0</v>
      </c>
      <c r="N305" s="4447">
        <f t="shared" si="139"/>
        <v>0</v>
      </c>
      <c r="O305" s="4447">
        <f t="shared" si="139"/>
        <v>0</v>
      </c>
      <c r="P305" s="4447">
        <f t="shared" si="139"/>
        <v>0</v>
      </c>
    </row>
    <row r="306" spans="2:16" s="3440" customFormat="1" hidden="1" x14ac:dyDescent="0.3">
      <c r="B306" s="3604"/>
      <c r="C306" s="3485"/>
      <c r="D306" s="3485"/>
      <c r="E306" s="4448"/>
      <c r="F306" s="4448"/>
      <c r="G306" s="4448"/>
      <c r="H306" s="4448"/>
      <c r="I306" s="4448"/>
      <c r="J306" s="4448"/>
      <c r="K306" s="4448"/>
      <c r="L306" s="4448"/>
      <c r="M306" s="4448"/>
      <c r="N306" s="4448"/>
      <c r="O306" s="4448"/>
      <c r="P306" s="4448"/>
    </row>
    <row r="307" spans="2:16" s="3440" customFormat="1" hidden="1" x14ac:dyDescent="0.3">
      <c r="B307" s="4441" t="s">
        <v>1846</v>
      </c>
      <c r="C307" s="4442"/>
      <c r="D307" s="4442"/>
      <c r="E307" s="4443"/>
      <c r="F307" s="4443"/>
      <c r="G307" s="4443"/>
      <c r="H307" s="4443"/>
      <c r="I307" s="4443"/>
      <c r="J307" s="4443"/>
      <c r="K307" s="4443"/>
      <c r="L307" s="4443"/>
      <c r="M307" s="4443"/>
      <c r="N307" s="4443"/>
      <c r="O307" s="4443"/>
      <c r="P307" s="4443"/>
    </row>
    <row r="308" spans="2:16" s="3440" customFormat="1" hidden="1" x14ac:dyDescent="0.3">
      <c r="B308" s="4444" t="str">
        <f>+B294</f>
        <v>Soja</v>
      </c>
      <c r="C308" s="4445"/>
      <c r="D308" s="4445"/>
      <c r="E308" s="4445"/>
      <c r="F308" s="4447">
        <f t="shared" ref="F308:P308" si="140">IF($D278="30 días",E278,0)</f>
        <v>0</v>
      </c>
      <c r="G308" s="4447">
        <f t="shared" si="140"/>
        <v>0</v>
      </c>
      <c r="H308" s="4447">
        <f t="shared" si="140"/>
        <v>0</v>
      </c>
      <c r="I308" s="4447">
        <f t="shared" si="140"/>
        <v>0</v>
      </c>
      <c r="J308" s="4447">
        <f t="shared" si="140"/>
        <v>0</v>
      </c>
      <c r="K308" s="4447">
        <f t="shared" si="140"/>
        <v>0</v>
      </c>
      <c r="L308" s="4447">
        <f t="shared" si="140"/>
        <v>0</v>
      </c>
      <c r="M308" s="4447">
        <f t="shared" si="140"/>
        <v>0</v>
      </c>
      <c r="N308" s="4447">
        <f t="shared" si="140"/>
        <v>0</v>
      </c>
      <c r="O308" s="4447">
        <f t="shared" si="140"/>
        <v>0</v>
      </c>
      <c r="P308" s="4447">
        <f t="shared" si="140"/>
        <v>0</v>
      </c>
    </row>
    <row r="309" spans="2:16" s="3440" customFormat="1" hidden="1" x14ac:dyDescent="0.3">
      <c r="B309" s="4444" t="str">
        <f t="shared" ref="B309:B319" si="141">+B295</f>
        <v>Soja 2ª</v>
      </c>
      <c r="C309" s="4445"/>
      <c r="D309" s="4445"/>
      <c r="E309" s="4445"/>
      <c r="F309" s="4447">
        <f t="shared" ref="F309:P309" si="142">IF($D279="30 días",E279,0)</f>
        <v>0</v>
      </c>
      <c r="G309" s="4447">
        <f t="shared" si="142"/>
        <v>0</v>
      </c>
      <c r="H309" s="4447">
        <f t="shared" si="142"/>
        <v>0</v>
      </c>
      <c r="I309" s="4447">
        <f t="shared" si="142"/>
        <v>0</v>
      </c>
      <c r="J309" s="4447">
        <f t="shared" si="142"/>
        <v>0</v>
      </c>
      <c r="K309" s="4447">
        <f t="shared" si="142"/>
        <v>0</v>
      </c>
      <c r="L309" s="4447">
        <f t="shared" si="142"/>
        <v>0</v>
      </c>
      <c r="M309" s="4447">
        <f t="shared" si="142"/>
        <v>0</v>
      </c>
      <c r="N309" s="4447">
        <f t="shared" si="142"/>
        <v>0</v>
      </c>
      <c r="O309" s="4447">
        <f t="shared" si="142"/>
        <v>0</v>
      </c>
      <c r="P309" s="4447">
        <f t="shared" si="142"/>
        <v>0</v>
      </c>
    </row>
    <row r="310" spans="2:16" s="3440" customFormat="1" hidden="1" x14ac:dyDescent="0.3">
      <c r="B310" s="4444" t="str">
        <f t="shared" si="141"/>
        <v>Maíz Grano</v>
      </c>
      <c r="C310" s="4445"/>
      <c r="D310" s="4445"/>
      <c r="E310" s="4445"/>
      <c r="F310" s="4447">
        <f t="shared" ref="F310:P310" si="143">IF($D280="30 días",E280,0)</f>
        <v>0</v>
      </c>
      <c r="G310" s="4447">
        <f t="shared" si="143"/>
        <v>0</v>
      </c>
      <c r="H310" s="4447">
        <f t="shared" si="143"/>
        <v>0</v>
      </c>
      <c r="I310" s="4447">
        <f t="shared" si="143"/>
        <v>0</v>
      </c>
      <c r="J310" s="4447">
        <f t="shared" si="143"/>
        <v>0</v>
      </c>
      <c r="K310" s="4447">
        <f t="shared" si="143"/>
        <v>0</v>
      </c>
      <c r="L310" s="4447">
        <f t="shared" si="143"/>
        <v>0</v>
      </c>
      <c r="M310" s="4447">
        <f t="shared" si="143"/>
        <v>0</v>
      </c>
      <c r="N310" s="4447">
        <f t="shared" si="143"/>
        <v>0</v>
      </c>
      <c r="O310" s="4447">
        <f t="shared" si="143"/>
        <v>0</v>
      </c>
      <c r="P310" s="4447">
        <f t="shared" si="143"/>
        <v>0</v>
      </c>
    </row>
    <row r="311" spans="2:16" s="3440" customFormat="1" hidden="1" x14ac:dyDescent="0.3">
      <c r="B311" s="4444" t="str">
        <f t="shared" si="141"/>
        <v>Sorgo grano</v>
      </c>
      <c r="C311" s="4445"/>
      <c r="D311" s="4445"/>
      <c r="E311" s="4445"/>
      <c r="F311" s="4447">
        <f t="shared" ref="F311:P311" si="144">IF($D281="30 días",E281,0)</f>
        <v>0</v>
      </c>
      <c r="G311" s="4447">
        <f t="shared" si="144"/>
        <v>0</v>
      </c>
      <c r="H311" s="4447">
        <f t="shared" si="144"/>
        <v>0</v>
      </c>
      <c r="I311" s="4447">
        <f t="shared" si="144"/>
        <v>0</v>
      </c>
      <c r="J311" s="4447">
        <f t="shared" si="144"/>
        <v>0</v>
      </c>
      <c r="K311" s="4447">
        <f t="shared" si="144"/>
        <v>0</v>
      </c>
      <c r="L311" s="4447">
        <f t="shared" si="144"/>
        <v>0</v>
      </c>
      <c r="M311" s="4447">
        <f t="shared" si="144"/>
        <v>0</v>
      </c>
      <c r="N311" s="4447">
        <f t="shared" si="144"/>
        <v>0</v>
      </c>
      <c r="O311" s="4447">
        <f t="shared" si="144"/>
        <v>0</v>
      </c>
      <c r="P311" s="4447">
        <f t="shared" si="144"/>
        <v>0</v>
      </c>
    </row>
    <row r="312" spans="2:16" s="3440" customFormat="1" hidden="1" x14ac:dyDescent="0.3">
      <c r="B312" s="4444" t="str">
        <f t="shared" si="141"/>
        <v>Trigo grano</v>
      </c>
      <c r="C312" s="4445"/>
      <c r="D312" s="4445"/>
      <c r="E312" s="4445"/>
      <c r="F312" s="4447">
        <f t="shared" ref="F312:P312" si="145">IF($D282="30 días",E282,0)</f>
        <v>0</v>
      </c>
      <c r="G312" s="4447">
        <f t="shared" si="145"/>
        <v>0</v>
      </c>
      <c r="H312" s="4447">
        <f t="shared" si="145"/>
        <v>0</v>
      </c>
      <c r="I312" s="4447">
        <f t="shared" si="145"/>
        <v>0</v>
      </c>
      <c r="J312" s="4447">
        <f t="shared" si="145"/>
        <v>0</v>
      </c>
      <c r="K312" s="4447">
        <f t="shared" si="145"/>
        <v>0</v>
      </c>
      <c r="L312" s="4447">
        <f t="shared" si="145"/>
        <v>0</v>
      </c>
      <c r="M312" s="4447">
        <f t="shared" si="145"/>
        <v>0</v>
      </c>
      <c r="N312" s="4447">
        <f t="shared" si="145"/>
        <v>0</v>
      </c>
      <c r="O312" s="4447">
        <f t="shared" si="145"/>
        <v>0</v>
      </c>
      <c r="P312" s="4447">
        <f t="shared" si="145"/>
        <v>0</v>
      </c>
    </row>
    <row r="313" spans="2:16" s="3440" customFormat="1" hidden="1" x14ac:dyDescent="0.3">
      <c r="B313" s="4444" t="str">
        <f t="shared" si="141"/>
        <v>Cebada grano</v>
      </c>
      <c r="C313" s="4445"/>
      <c r="D313" s="4445"/>
      <c r="E313" s="4445"/>
      <c r="F313" s="4447">
        <f t="shared" ref="F313:P313" si="146">IF($D283="30 días",E283,0)</f>
        <v>0</v>
      </c>
      <c r="G313" s="4447">
        <f t="shared" si="146"/>
        <v>0</v>
      </c>
      <c r="H313" s="4447">
        <f t="shared" si="146"/>
        <v>0</v>
      </c>
      <c r="I313" s="4447">
        <f t="shared" si="146"/>
        <v>0</v>
      </c>
      <c r="J313" s="4447">
        <f t="shared" si="146"/>
        <v>0</v>
      </c>
      <c r="K313" s="4447">
        <f t="shared" si="146"/>
        <v>0</v>
      </c>
      <c r="L313" s="4447">
        <f t="shared" si="146"/>
        <v>0</v>
      </c>
      <c r="M313" s="4447">
        <f t="shared" si="146"/>
        <v>0</v>
      </c>
      <c r="N313" s="4447">
        <f t="shared" si="146"/>
        <v>0</v>
      </c>
      <c r="O313" s="4447">
        <f t="shared" si="146"/>
        <v>0</v>
      </c>
      <c r="P313" s="4447">
        <f t="shared" si="146"/>
        <v>0</v>
      </c>
    </row>
    <row r="314" spans="2:16" s="3440" customFormat="1" hidden="1" x14ac:dyDescent="0.3">
      <c r="B314" s="4444" t="str">
        <f t="shared" si="141"/>
        <v>Avena grano</v>
      </c>
      <c r="C314" s="4445"/>
      <c r="D314" s="4445"/>
      <c r="E314" s="4445"/>
      <c r="F314" s="4447">
        <f t="shared" ref="F314:P314" si="147">IF($D284="30 días",E284,0)</f>
        <v>0</v>
      </c>
      <c r="G314" s="4447">
        <f t="shared" si="147"/>
        <v>0</v>
      </c>
      <c r="H314" s="4447">
        <f t="shared" si="147"/>
        <v>0</v>
      </c>
      <c r="I314" s="4447">
        <f t="shared" si="147"/>
        <v>0</v>
      </c>
      <c r="J314" s="4447">
        <f t="shared" si="147"/>
        <v>0</v>
      </c>
      <c r="K314" s="4447">
        <f t="shared" si="147"/>
        <v>0</v>
      </c>
      <c r="L314" s="4447">
        <f t="shared" si="147"/>
        <v>0</v>
      </c>
      <c r="M314" s="4447">
        <f t="shared" si="147"/>
        <v>0</v>
      </c>
      <c r="N314" s="4447">
        <f t="shared" si="147"/>
        <v>0</v>
      </c>
      <c r="O314" s="4447">
        <f t="shared" si="147"/>
        <v>0</v>
      </c>
      <c r="P314" s="4447">
        <f t="shared" si="147"/>
        <v>0</v>
      </c>
    </row>
    <row r="315" spans="2:16" s="3440" customFormat="1" hidden="1" x14ac:dyDescent="0.3">
      <c r="B315" s="4444" t="str">
        <f t="shared" si="141"/>
        <v>Colza grano</v>
      </c>
      <c r="C315" s="4445"/>
      <c r="D315" s="4445"/>
      <c r="E315" s="4445"/>
      <c r="F315" s="4447">
        <f t="shared" ref="F315:P315" si="148">IF($D285="30 días",E285,0)</f>
        <v>0</v>
      </c>
      <c r="G315" s="4447">
        <f t="shared" si="148"/>
        <v>0</v>
      </c>
      <c r="H315" s="4447">
        <f t="shared" si="148"/>
        <v>0</v>
      </c>
      <c r="I315" s="4447">
        <f t="shared" si="148"/>
        <v>0</v>
      </c>
      <c r="J315" s="4447">
        <f t="shared" si="148"/>
        <v>0</v>
      </c>
      <c r="K315" s="4447">
        <f t="shared" si="148"/>
        <v>0</v>
      </c>
      <c r="L315" s="4447">
        <f t="shared" si="148"/>
        <v>0</v>
      </c>
      <c r="M315" s="4447">
        <f t="shared" si="148"/>
        <v>0</v>
      </c>
      <c r="N315" s="4447">
        <f t="shared" si="148"/>
        <v>0</v>
      </c>
      <c r="O315" s="4447">
        <f t="shared" si="148"/>
        <v>0</v>
      </c>
      <c r="P315" s="4447">
        <f t="shared" si="148"/>
        <v>0</v>
      </c>
    </row>
    <row r="316" spans="2:16" s="3440" customFormat="1" hidden="1" x14ac:dyDescent="0.3">
      <c r="B316" s="4444">
        <f t="shared" si="141"/>
        <v>0</v>
      </c>
      <c r="C316" s="4445"/>
      <c r="D316" s="4445"/>
      <c r="E316" s="4445"/>
      <c r="F316" s="4447">
        <f t="shared" ref="F316:P316" si="149">IF($D286="30 días",E286,0)</f>
        <v>0</v>
      </c>
      <c r="G316" s="4447">
        <f t="shared" si="149"/>
        <v>0</v>
      </c>
      <c r="H316" s="4447">
        <f t="shared" si="149"/>
        <v>0</v>
      </c>
      <c r="I316" s="4447">
        <f t="shared" si="149"/>
        <v>0</v>
      </c>
      <c r="J316" s="4447">
        <f t="shared" si="149"/>
        <v>0</v>
      </c>
      <c r="K316" s="4447">
        <f t="shared" si="149"/>
        <v>0</v>
      </c>
      <c r="L316" s="4447">
        <f t="shared" si="149"/>
        <v>0</v>
      </c>
      <c r="M316" s="4447">
        <f t="shared" si="149"/>
        <v>0</v>
      </c>
      <c r="N316" s="4447">
        <f t="shared" si="149"/>
        <v>0</v>
      </c>
      <c r="O316" s="4447">
        <f t="shared" si="149"/>
        <v>0</v>
      </c>
      <c r="P316" s="4447">
        <f t="shared" si="149"/>
        <v>0</v>
      </c>
    </row>
    <row r="317" spans="2:16" s="3440" customFormat="1" hidden="1" x14ac:dyDescent="0.3">
      <c r="B317" s="4444">
        <f t="shared" si="141"/>
        <v>0</v>
      </c>
      <c r="C317" s="4445"/>
      <c r="D317" s="4445"/>
      <c r="E317" s="4445"/>
      <c r="F317" s="4447">
        <f t="shared" ref="F317:P317" si="150">IF($D287="30 días",E287,0)</f>
        <v>0</v>
      </c>
      <c r="G317" s="4447">
        <f t="shared" si="150"/>
        <v>0</v>
      </c>
      <c r="H317" s="4447">
        <f t="shared" si="150"/>
        <v>0</v>
      </c>
      <c r="I317" s="4447">
        <f t="shared" si="150"/>
        <v>0</v>
      </c>
      <c r="J317" s="4447">
        <f t="shared" si="150"/>
        <v>0</v>
      </c>
      <c r="K317" s="4447">
        <f t="shared" si="150"/>
        <v>0</v>
      </c>
      <c r="L317" s="4447">
        <f t="shared" si="150"/>
        <v>0</v>
      </c>
      <c r="M317" s="4447">
        <f t="shared" si="150"/>
        <v>0</v>
      </c>
      <c r="N317" s="4447">
        <f t="shared" si="150"/>
        <v>0</v>
      </c>
      <c r="O317" s="4447">
        <f t="shared" si="150"/>
        <v>0</v>
      </c>
      <c r="P317" s="4447">
        <f t="shared" si="150"/>
        <v>0</v>
      </c>
    </row>
    <row r="318" spans="2:16" s="3440" customFormat="1" hidden="1" x14ac:dyDescent="0.3">
      <c r="B318" s="4444">
        <f t="shared" si="141"/>
        <v>0</v>
      </c>
      <c r="C318" s="4445"/>
      <c r="D318" s="4445"/>
      <c r="E318" s="4445"/>
      <c r="F318" s="4447">
        <f t="shared" ref="F318:P318" si="151">IF($D288="30 días",E288,0)</f>
        <v>0</v>
      </c>
      <c r="G318" s="4447">
        <f t="shared" si="151"/>
        <v>0</v>
      </c>
      <c r="H318" s="4447">
        <f t="shared" si="151"/>
        <v>0</v>
      </c>
      <c r="I318" s="4447">
        <f t="shared" si="151"/>
        <v>0</v>
      </c>
      <c r="J318" s="4447">
        <f t="shared" si="151"/>
        <v>0</v>
      </c>
      <c r="K318" s="4447">
        <f t="shared" si="151"/>
        <v>0</v>
      </c>
      <c r="L318" s="4447">
        <f t="shared" si="151"/>
        <v>0</v>
      </c>
      <c r="M318" s="4447">
        <f t="shared" si="151"/>
        <v>0</v>
      </c>
      <c r="N318" s="4447">
        <f t="shared" si="151"/>
        <v>0</v>
      </c>
      <c r="O318" s="4447">
        <f t="shared" si="151"/>
        <v>0</v>
      </c>
      <c r="P318" s="4447">
        <f t="shared" si="151"/>
        <v>0</v>
      </c>
    </row>
    <row r="319" spans="2:16" s="3440" customFormat="1" hidden="1" x14ac:dyDescent="0.3">
      <c r="B319" s="4444">
        <f t="shared" si="141"/>
        <v>0</v>
      </c>
      <c r="C319" s="4445"/>
      <c r="D319" s="4445"/>
      <c r="E319" s="4445"/>
      <c r="F319" s="4447">
        <f t="shared" ref="F319:P319" si="152">IF($D289="30 días",E289,0)</f>
        <v>0</v>
      </c>
      <c r="G319" s="4447">
        <f t="shared" si="152"/>
        <v>0</v>
      </c>
      <c r="H319" s="4447">
        <f t="shared" si="152"/>
        <v>0</v>
      </c>
      <c r="I319" s="4447">
        <f t="shared" si="152"/>
        <v>0</v>
      </c>
      <c r="J319" s="4447">
        <f t="shared" si="152"/>
        <v>0</v>
      </c>
      <c r="K319" s="4447">
        <f t="shared" si="152"/>
        <v>0</v>
      </c>
      <c r="L319" s="4447">
        <f t="shared" si="152"/>
        <v>0</v>
      </c>
      <c r="M319" s="4447">
        <f t="shared" si="152"/>
        <v>0</v>
      </c>
      <c r="N319" s="4447">
        <f t="shared" si="152"/>
        <v>0</v>
      </c>
      <c r="O319" s="4447">
        <f t="shared" si="152"/>
        <v>0</v>
      </c>
      <c r="P319" s="4447">
        <f t="shared" si="152"/>
        <v>0</v>
      </c>
    </row>
    <row r="320" spans="2:16" s="3440" customFormat="1" hidden="1" x14ac:dyDescent="0.3">
      <c r="B320" s="3604"/>
      <c r="C320" s="3485"/>
      <c r="D320" s="3485"/>
      <c r="E320" s="4448"/>
      <c r="F320" s="4448"/>
      <c r="G320" s="4448"/>
      <c r="H320" s="4448"/>
      <c r="I320" s="4448"/>
      <c r="J320" s="4448"/>
      <c r="K320" s="4448"/>
      <c r="L320" s="4448"/>
      <c r="M320" s="4448"/>
      <c r="N320" s="4448"/>
      <c r="O320" s="4448"/>
      <c r="P320" s="4448"/>
    </row>
    <row r="321" spans="1:17" s="3440" customFormat="1" hidden="1" x14ac:dyDescent="0.3">
      <c r="B321" s="4441" t="s">
        <v>254</v>
      </c>
      <c r="C321" s="4442"/>
      <c r="D321" s="4442"/>
      <c r="E321" s="4443"/>
      <c r="F321" s="4443"/>
      <c r="G321" s="4443"/>
      <c r="H321" s="4443"/>
      <c r="I321" s="4443"/>
      <c r="J321" s="4443"/>
      <c r="K321" s="4443"/>
      <c r="L321" s="4443"/>
      <c r="M321" s="4443"/>
      <c r="N321" s="4443"/>
      <c r="O321" s="4443"/>
      <c r="P321" s="4443"/>
    </row>
    <row r="322" spans="1:17" s="3440" customFormat="1" hidden="1" x14ac:dyDescent="0.3">
      <c r="B322" s="4444" t="str">
        <f>+B308</f>
        <v>Soja</v>
      </c>
      <c r="C322" s="4445"/>
      <c r="D322" s="4445"/>
      <c r="E322" s="4445"/>
      <c r="F322" s="4445"/>
      <c r="G322" s="4447">
        <f t="shared" ref="G322:G333" si="153">IF($D278="60 días",E278,0)</f>
        <v>0</v>
      </c>
      <c r="H322" s="4447">
        <f t="shared" ref="H322:H333" si="154">IF($D278="60 días",F278,0)</f>
        <v>0</v>
      </c>
      <c r="I322" s="4447">
        <f t="shared" ref="I322:I333" si="155">IF($D278="60 días",G278,0)</f>
        <v>0</v>
      </c>
      <c r="J322" s="4447">
        <f t="shared" ref="J322:J333" si="156">IF($D278="60 días",H278,0)</f>
        <v>0</v>
      </c>
      <c r="K322" s="4447">
        <f t="shared" ref="K322:K333" si="157">IF($D278="60 días",I278,0)</f>
        <v>0</v>
      </c>
      <c r="L322" s="4447">
        <f t="shared" ref="L322:L333" si="158">IF($D278="60 días",J278,0)</f>
        <v>0</v>
      </c>
      <c r="M322" s="4447">
        <f t="shared" ref="M322:M333" si="159">IF($D278="60 días",K278,0)</f>
        <v>0</v>
      </c>
      <c r="N322" s="4447">
        <f t="shared" ref="N322:N333" si="160">IF($D278="60 días",L278,0)</f>
        <v>0</v>
      </c>
      <c r="O322" s="4447">
        <f t="shared" ref="O322:O333" si="161">IF($D278="60 días",M278,0)</f>
        <v>0</v>
      </c>
      <c r="P322" s="4447">
        <f t="shared" ref="P322:P333" si="162">IF($D278="60 días",N278,0)</f>
        <v>0</v>
      </c>
    </row>
    <row r="323" spans="1:17" s="3440" customFormat="1" hidden="1" x14ac:dyDescent="0.3">
      <c r="B323" s="4444" t="str">
        <f t="shared" ref="B323:B333" si="163">+B309</f>
        <v>Soja 2ª</v>
      </c>
      <c r="C323" s="4445"/>
      <c r="D323" s="4445"/>
      <c r="E323" s="4445"/>
      <c r="F323" s="4445"/>
      <c r="G323" s="4447">
        <f t="shared" si="153"/>
        <v>0</v>
      </c>
      <c r="H323" s="4447">
        <f t="shared" si="154"/>
        <v>0</v>
      </c>
      <c r="I323" s="4447">
        <f t="shared" si="155"/>
        <v>0</v>
      </c>
      <c r="J323" s="4447">
        <f t="shared" si="156"/>
        <v>0</v>
      </c>
      <c r="K323" s="4447">
        <f t="shared" si="157"/>
        <v>0</v>
      </c>
      <c r="L323" s="4447">
        <f t="shared" si="158"/>
        <v>0</v>
      </c>
      <c r="M323" s="4447">
        <f t="shared" si="159"/>
        <v>0</v>
      </c>
      <c r="N323" s="4447">
        <f t="shared" si="160"/>
        <v>0</v>
      </c>
      <c r="O323" s="4447">
        <f t="shared" si="161"/>
        <v>0</v>
      </c>
      <c r="P323" s="4447">
        <f t="shared" si="162"/>
        <v>0</v>
      </c>
    </row>
    <row r="324" spans="1:17" s="3440" customFormat="1" hidden="1" x14ac:dyDescent="0.3">
      <c r="B324" s="4444" t="str">
        <f t="shared" si="163"/>
        <v>Maíz Grano</v>
      </c>
      <c r="C324" s="4445"/>
      <c r="D324" s="4445"/>
      <c r="E324" s="4445"/>
      <c r="F324" s="4445"/>
      <c r="G324" s="4447">
        <f t="shared" si="153"/>
        <v>0</v>
      </c>
      <c r="H324" s="4447">
        <f t="shared" si="154"/>
        <v>0</v>
      </c>
      <c r="I324" s="4447">
        <f t="shared" si="155"/>
        <v>0</v>
      </c>
      <c r="J324" s="4447">
        <f t="shared" si="156"/>
        <v>0</v>
      </c>
      <c r="K324" s="4447">
        <f t="shared" si="157"/>
        <v>0</v>
      </c>
      <c r="L324" s="4447">
        <f t="shared" si="158"/>
        <v>0</v>
      </c>
      <c r="M324" s="4447">
        <f t="shared" si="159"/>
        <v>0</v>
      </c>
      <c r="N324" s="4447">
        <f t="shared" si="160"/>
        <v>0</v>
      </c>
      <c r="O324" s="4447">
        <f t="shared" si="161"/>
        <v>0</v>
      </c>
      <c r="P324" s="4447">
        <f t="shared" si="162"/>
        <v>0</v>
      </c>
    </row>
    <row r="325" spans="1:17" s="3440" customFormat="1" hidden="1" x14ac:dyDescent="0.3">
      <c r="B325" s="4444" t="str">
        <f t="shared" si="163"/>
        <v>Sorgo grano</v>
      </c>
      <c r="C325" s="4445"/>
      <c r="D325" s="4445"/>
      <c r="E325" s="4445"/>
      <c r="F325" s="4445"/>
      <c r="G325" s="4447">
        <f t="shared" si="153"/>
        <v>0</v>
      </c>
      <c r="H325" s="4447">
        <f t="shared" si="154"/>
        <v>0</v>
      </c>
      <c r="I325" s="4447">
        <f t="shared" si="155"/>
        <v>0</v>
      </c>
      <c r="J325" s="4447">
        <f t="shared" si="156"/>
        <v>0</v>
      </c>
      <c r="K325" s="4447">
        <f t="shared" si="157"/>
        <v>0</v>
      </c>
      <c r="L325" s="4447">
        <f t="shared" si="158"/>
        <v>0</v>
      </c>
      <c r="M325" s="4447">
        <f t="shared" si="159"/>
        <v>0</v>
      </c>
      <c r="N325" s="4447">
        <f t="shared" si="160"/>
        <v>0</v>
      </c>
      <c r="O325" s="4447">
        <f t="shared" si="161"/>
        <v>0</v>
      </c>
      <c r="P325" s="4447">
        <f t="shared" si="162"/>
        <v>0</v>
      </c>
    </row>
    <row r="326" spans="1:17" s="3440" customFormat="1" hidden="1" x14ac:dyDescent="0.3">
      <c r="B326" s="4444" t="str">
        <f t="shared" si="163"/>
        <v>Trigo grano</v>
      </c>
      <c r="C326" s="4445"/>
      <c r="D326" s="4445"/>
      <c r="E326" s="4445"/>
      <c r="F326" s="4445"/>
      <c r="G326" s="4447">
        <f t="shared" si="153"/>
        <v>0</v>
      </c>
      <c r="H326" s="4447">
        <f t="shared" si="154"/>
        <v>0</v>
      </c>
      <c r="I326" s="4447">
        <f t="shared" si="155"/>
        <v>0</v>
      </c>
      <c r="J326" s="4447">
        <f t="shared" si="156"/>
        <v>0</v>
      </c>
      <c r="K326" s="4447">
        <f t="shared" si="157"/>
        <v>0</v>
      </c>
      <c r="L326" s="4447">
        <f t="shared" si="158"/>
        <v>0</v>
      </c>
      <c r="M326" s="4447">
        <f t="shared" si="159"/>
        <v>0</v>
      </c>
      <c r="N326" s="4447">
        <f t="shared" si="160"/>
        <v>0</v>
      </c>
      <c r="O326" s="4447">
        <f t="shared" si="161"/>
        <v>0</v>
      </c>
      <c r="P326" s="4447">
        <f t="shared" si="162"/>
        <v>0</v>
      </c>
    </row>
    <row r="327" spans="1:17" s="3440" customFormat="1" hidden="1" x14ac:dyDescent="0.3">
      <c r="B327" s="4444" t="str">
        <f t="shared" si="163"/>
        <v>Cebada grano</v>
      </c>
      <c r="C327" s="4445"/>
      <c r="D327" s="4445"/>
      <c r="E327" s="4445"/>
      <c r="F327" s="4445"/>
      <c r="G327" s="4447">
        <f t="shared" si="153"/>
        <v>0</v>
      </c>
      <c r="H327" s="4447">
        <f t="shared" si="154"/>
        <v>0</v>
      </c>
      <c r="I327" s="4447">
        <f t="shared" si="155"/>
        <v>0</v>
      </c>
      <c r="J327" s="4447">
        <f t="shared" si="156"/>
        <v>0</v>
      </c>
      <c r="K327" s="4447">
        <f t="shared" si="157"/>
        <v>0</v>
      </c>
      <c r="L327" s="4447">
        <f t="shared" si="158"/>
        <v>0</v>
      </c>
      <c r="M327" s="4447">
        <f t="shared" si="159"/>
        <v>0</v>
      </c>
      <c r="N327" s="4447">
        <f t="shared" si="160"/>
        <v>0</v>
      </c>
      <c r="O327" s="4447">
        <f t="shared" si="161"/>
        <v>0</v>
      </c>
      <c r="P327" s="4447">
        <f t="shared" si="162"/>
        <v>0</v>
      </c>
    </row>
    <row r="328" spans="1:17" s="3440" customFormat="1" hidden="1" x14ac:dyDescent="0.3">
      <c r="B328" s="4444" t="str">
        <f t="shared" si="163"/>
        <v>Avena grano</v>
      </c>
      <c r="C328" s="4445"/>
      <c r="D328" s="4445"/>
      <c r="E328" s="4445"/>
      <c r="F328" s="4445"/>
      <c r="G328" s="4447">
        <f t="shared" si="153"/>
        <v>0</v>
      </c>
      <c r="H328" s="4447">
        <f t="shared" si="154"/>
        <v>0</v>
      </c>
      <c r="I328" s="4447">
        <f t="shared" si="155"/>
        <v>0</v>
      </c>
      <c r="J328" s="4447">
        <f t="shared" si="156"/>
        <v>0</v>
      </c>
      <c r="K328" s="4447">
        <f t="shared" si="157"/>
        <v>0</v>
      </c>
      <c r="L328" s="4447">
        <f t="shared" si="158"/>
        <v>0</v>
      </c>
      <c r="M328" s="4447">
        <f t="shared" si="159"/>
        <v>0</v>
      </c>
      <c r="N328" s="4447">
        <f t="shared" si="160"/>
        <v>0</v>
      </c>
      <c r="O328" s="4447">
        <f t="shared" si="161"/>
        <v>0</v>
      </c>
      <c r="P328" s="4447">
        <f t="shared" si="162"/>
        <v>0</v>
      </c>
    </row>
    <row r="329" spans="1:17" s="3440" customFormat="1" hidden="1" x14ac:dyDescent="0.3">
      <c r="B329" s="4444" t="str">
        <f t="shared" si="163"/>
        <v>Colza grano</v>
      </c>
      <c r="C329" s="4445"/>
      <c r="D329" s="4445"/>
      <c r="E329" s="4445"/>
      <c r="F329" s="4445"/>
      <c r="G329" s="4447">
        <f t="shared" si="153"/>
        <v>0</v>
      </c>
      <c r="H329" s="4447">
        <f t="shared" si="154"/>
        <v>0</v>
      </c>
      <c r="I329" s="4447">
        <f t="shared" si="155"/>
        <v>0</v>
      </c>
      <c r="J329" s="4447">
        <f t="shared" si="156"/>
        <v>0</v>
      </c>
      <c r="K329" s="4447">
        <f t="shared" si="157"/>
        <v>0</v>
      </c>
      <c r="L329" s="4447">
        <f t="shared" si="158"/>
        <v>0</v>
      </c>
      <c r="M329" s="4447">
        <f t="shared" si="159"/>
        <v>0</v>
      </c>
      <c r="N329" s="4447">
        <f t="shared" si="160"/>
        <v>0</v>
      </c>
      <c r="O329" s="4447">
        <f t="shared" si="161"/>
        <v>0</v>
      </c>
      <c r="P329" s="4447">
        <f t="shared" si="162"/>
        <v>0</v>
      </c>
    </row>
    <row r="330" spans="1:17" s="3440" customFormat="1" hidden="1" x14ac:dyDescent="0.3">
      <c r="B330" s="4444">
        <f t="shared" si="163"/>
        <v>0</v>
      </c>
      <c r="C330" s="4445"/>
      <c r="D330" s="4445"/>
      <c r="E330" s="4445"/>
      <c r="F330" s="4445"/>
      <c r="G330" s="4447">
        <f t="shared" si="153"/>
        <v>0</v>
      </c>
      <c r="H330" s="4447">
        <f t="shared" si="154"/>
        <v>0</v>
      </c>
      <c r="I330" s="4447">
        <f t="shared" si="155"/>
        <v>0</v>
      </c>
      <c r="J330" s="4447">
        <f t="shared" si="156"/>
        <v>0</v>
      </c>
      <c r="K330" s="4447">
        <f t="shared" si="157"/>
        <v>0</v>
      </c>
      <c r="L330" s="4447">
        <f t="shared" si="158"/>
        <v>0</v>
      </c>
      <c r="M330" s="4447">
        <f t="shared" si="159"/>
        <v>0</v>
      </c>
      <c r="N330" s="4447">
        <f t="shared" si="160"/>
        <v>0</v>
      </c>
      <c r="O330" s="4447">
        <f t="shared" si="161"/>
        <v>0</v>
      </c>
      <c r="P330" s="4447">
        <f t="shared" si="162"/>
        <v>0</v>
      </c>
    </row>
    <row r="331" spans="1:17" s="3440" customFormat="1" hidden="1" x14ac:dyDescent="0.3">
      <c r="B331" s="4444">
        <f t="shared" si="163"/>
        <v>0</v>
      </c>
      <c r="C331" s="4445"/>
      <c r="D331" s="4445"/>
      <c r="E331" s="4445"/>
      <c r="F331" s="4445"/>
      <c r="G331" s="4447">
        <f t="shared" si="153"/>
        <v>0</v>
      </c>
      <c r="H331" s="4447">
        <f t="shared" si="154"/>
        <v>0</v>
      </c>
      <c r="I331" s="4447">
        <f t="shared" si="155"/>
        <v>0</v>
      </c>
      <c r="J331" s="4447">
        <f t="shared" si="156"/>
        <v>0</v>
      </c>
      <c r="K331" s="4447">
        <f t="shared" si="157"/>
        <v>0</v>
      </c>
      <c r="L331" s="4447">
        <f t="shared" si="158"/>
        <v>0</v>
      </c>
      <c r="M331" s="4447">
        <f t="shared" si="159"/>
        <v>0</v>
      </c>
      <c r="N331" s="4447">
        <f t="shared" si="160"/>
        <v>0</v>
      </c>
      <c r="O331" s="4447">
        <f t="shared" si="161"/>
        <v>0</v>
      </c>
      <c r="P331" s="4447">
        <f t="shared" si="162"/>
        <v>0</v>
      </c>
    </row>
    <row r="332" spans="1:17" s="3440" customFormat="1" hidden="1" x14ac:dyDescent="0.3">
      <c r="B332" s="4444">
        <f t="shared" si="163"/>
        <v>0</v>
      </c>
      <c r="C332" s="4445"/>
      <c r="D332" s="4445"/>
      <c r="E332" s="4445"/>
      <c r="F332" s="4445"/>
      <c r="G332" s="4447">
        <f t="shared" si="153"/>
        <v>0</v>
      </c>
      <c r="H332" s="4447">
        <f t="shared" si="154"/>
        <v>0</v>
      </c>
      <c r="I332" s="4447">
        <f t="shared" si="155"/>
        <v>0</v>
      </c>
      <c r="J332" s="4447">
        <f t="shared" si="156"/>
        <v>0</v>
      </c>
      <c r="K332" s="4447">
        <f t="shared" si="157"/>
        <v>0</v>
      </c>
      <c r="L332" s="4447">
        <f t="shared" si="158"/>
        <v>0</v>
      </c>
      <c r="M332" s="4447">
        <f t="shared" si="159"/>
        <v>0</v>
      </c>
      <c r="N332" s="4447">
        <f t="shared" si="160"/>
        <v>0</v>
      </c>
      <c r="O332" s="4447">
        <f t="shared" si="161"/>
        <v>0</v>
      </c>
      <c r="P332" s="4447">
        <f t="shared" si="162"/>
        <v>0</v>
      </c>
    </row>
    <row r="333" spans="1:17" s="3440" customFormat="1" hidden="1" x14ac:dyDescent="0.3">
      <c r="B333" s="4444">
        <f t="shared" si="163"/>
        <v>0</v>
      </c>
      <c r="C333" s="4445"/>
      <c r="D333" s="4445"/>
      <c r="E333" s="4445"/>
      <c r="F333" s="4445"/>
      <c r="G333" s="4447">
        <f t="shared" si="153"/>
        <v>0</v>
      </c>
      <c r="H333" s="4447">
        <f t="shared" si="154"/>
        <v>0</v>
      </c>
      <c r="I333" s="4447">
        <f t="shared" si="155"/>
        <v>0</v>
      </c>
      <c r="J333" s="4447">
        <f t="shared" si="156"/>
        <v>0</v>
      </c>
      <c r="K333" s="4447">
        <f t="shared" si="157"/>
        <v>0</v>
      </c>
      <c r="L333" s="4447">
        <f t="shared" si="158"/>
        <v>0</v>
      </c>
      <c r="M333" s="4447">
        <f t="shared" si="159"/>
        <v>0</v>
      </c>
      <c r="N333" s="4447">
        <f t="shared" si="160"/>
        <v>0</v>
      </c>
      <c r="O333" s="4447">
        <f t="shared" si="161"/>
        <v>0</v>
      </c>
      <c r="P333" s="4447">
        <f t="shared" si="162"/>
        <v>0</v>
      </c>
    </row>
    <row r="334" spans="1:17" s="3440" customFormat="1" x14ac:dyDescent="0.3">
      <c r="B334" s="3703"/>
      <c r="C334" s="3485"/>
      <c r="D334" s="3485"/>
      <c r="E334" s="4448"/>
      <c r="F334" s="4448"/>
      <c r="G334" s="4448"/>
      <c r="H334" s="4448"/>
      <c r="I334" s="4448"/>
      <c r="J334" s="4448"/>
      <c r="K334" s="4448"/>
      <c r="L334" s="4448"/>
      <c r="M334" s="4448"/>
      <c r="N334" s="4448"/>
      <c r="O334" s="4448"/>
      <c r="P334" s="4448"/>
    </row>
    <row r="335" spans="1:17" ht="15.05" thickBot="1" x14ac:dyDescent="0.35">
      <c r="B335" s="3616"/>
      <c r="C335" s="3523"/>
      <c r="D335" s="3523"/>
      <c r="E335" s="3724"/>
      <c r="F335" s="3724"/>
      <c r="G335" s="3724"/>
      <c r="H335" s="3724"/>
      <c r="I335" s="3724"/>
      <c r="J335" s="3724"/>
      <c r="K335" s="3724"/>
      <c r="L335" s="3724"/>
      <c r="M335" s="3724"/>
      <c r="N335" s="4425"/>
    </row>
    <row r="336" spans="1:17" ht="15.05" thickBot="1" x14ac:dyDescent="0.35">
      <c r="A336" s="2487">
        <f>A358</f>
        <v>119</v>
      </c>
      <c r="B336" s="2488" t="s">
        <v>2374</v>
      </c>
      <c r="C336" s="2489"/>
      <c r="D336" s="2490"/>
      <c r="E336" s="2489"/>
      <c r="F336" s="2489"/>
      <c r="G336" s="2489"/>
      <c r="H336" s="2489"/>
      <c r="I336" s="2489"/>
      <c r="J336" s="2489"/>
      <c r="K336" s="2489"/>
      <c r="L336" s="2489"/>
      <c r="M336" s="2489"/>
      <c r="N336" s="2489"/>
      <c r="O336" s="2489"/>
      <c r="P336" s="2489"/>
      <c r="Q336" s="2491"/>
    </row>
    <row r="337" spans="2:14" x14ac:dyDescent="0.3">
      <c r="B337" s="3616"/>
      <c r="C337" s="3523"/>
      <c r="D337" s="3523"/>
      <c r="E337" s="3724"/>
      <c r="F337" s="3724"/>
      <c r="G337" s="3724"/>
      <c r="H337" s="3724"/>
      <c r="I337" s="3724"/>
      <c r="J337" s="3724"/>
      <c r="K337" s="3724"/>
      <c r="L337" s="3724"/>
      <c r="M337" s="3724"/>
      <c r="N337" s="4425"/>
    </row>
    <row r="338" spans="2:14" x14ac:dyDescent="0.3">
      <c r="B338" s="3616"/>
      <c r="C338" s="4449" t="s">
        <v>2345</v>
      </c>
      <c r="D338" s="4450"/>
      <c r="E338" s="4450"/>
      <c r="F338" s="4450"/>
      <c r="G338" s="4451" t="s">
        <v>247</v>
      </c>
      <c r="H338" s="4450"/>
      <c r="I338" s="4449" t="s">
        <v>2346</v>
      </c>
      <c r="J338" s="4449"/>
      <c r="K338" s="4452"/>
      <c r="L338" s="4452"/>
      <c r="M338" s="4452" t="s">
        <v>247</v>
      </c>
      <c r="N338" s="4425"/>
    </row>
    <row r="339" spans="2:14" ht="17.7" x14ac:dyDescent="0.3">
      <c r="B339" s="3616"/>
      <c r="C339" s="5549" t="str">
        <f>InsumosCultivos!K637</f>
        <v xml:space="preserve">Alfalfa semillero </v>
      </c>
      <c r="D339" s="5550"/>
      <c r="E339" s="5550"/>
      <c r="F339" s="5551"/>
      <c r="G339" s="4453">
        <f>C360</f>
        <v>0</v>
      </c>
      <c r="H339" s="4450"/>
      <c r="I339" s="5549" t="str">
        <f>InsumosCultivos!Q637</f>
        <v xml:space="preserve">Dactylis Semillero </v>
      </c>
      <c r="J339" s="5550"/>
      <c r="K339" s="5550"/>
      <c r="L339" s="5551"/>
      <c r="M339" s="4453">
        <f>C459</f>
        <v>0</v>
      </c>
      <c r="N339" s="4425"/>
    </row>
    <row r="340" spans="2:14" ht="4.75" customHeight="1" x14ac:dyDescent="0.3">
      <c r="B340" s="3616"/>
      <c r="C340" s="4450"/>
      <c r="D340" s="4450"/>
      <c r="E340" s="4450"/>
      <c r="F340" s="4450"/>
      <c r="G340" s="4454"/>
      <c r="H340" s="4450"/>
      <c r="I340" s="4455"/>
      <c r="J340" s="4455"/>
      <c r="K340" s="4455"/>
      <c r="L340" s="4455"/>
      <c r="M340" s="4454"/>
      <c r="N340" s="4425"/>
    </row>
    <row r="341" spans="2:14" ht="17.7" x14ac:dyDescent="0.3">
      <c r="B341" s="3616"/>
      <c r="C341" s="5549" t="str">
        <f>InsumosCultivos!K639</f>
        <v xml:space="preserve">TR semillero </v>
      </c>
      <c r="D341" s="5550"/>
      <c r="E341" s="5550"/>
      <c r="F341" s="5551"/>
      <c r="G341" s="4453">
        <f>C371</f>
        <v>0</v>
      </c>
      <c r="H341" s="4450"/>
      <c r="I341" s="5549" t="str">
        <f>InsumosCultivos!Q639</f>
        <v xml:space="preserve">Festuca Semillero </v>
      </c>
      <c r="J341" s="5550"/>
      <c r="K341" s="5550"/>
      <c r="L341" s="5551"/>
      <c r="M341" s="4453">
        <f>C470</f>
        <v>0</v>
      </c>
      <c r="N341" s="4425"/>
    </row>
    <row r="342" spans="2:14" ht="3.95" customHeight="1" x14ac:dyDescent="0.3">
      <c r="B342" s="3616"/>
      <c r="C342" s="4450"/>
      <c r="D342" s="4450"/>
      <c r="E342" s="4450"/>
      <c r="F342" s="4450"/>
      <c r="G342" s="4454"/>
      <c r="H342" s="4450"/>
      <c r="I342" s="4455"/>
      <c r="J342" s="4455"/>
      <c r="K342" s="4455"/>
      <c r="L342" s="4455"/>
      <c r="M342" s="4454"/>
      <c r="N342" s="4425"/>
    </row>
    <row r="343" spans="2:14" ht="17.7" x14ac:dyDescent="0.3">
      <c r="B343" s="3616"/>
      <c r="C343" s="5549" t="str">
        <f>InsumosCultivos!K641</f>
        <v xml:space="preserve">TB semillero </v>
      </c>
      <c r="D343" s="5550"/>
      <c r="E343" s="5550"/>
      <c r="F343" s="5551"/>
      <c r="G343" s="4453">
        <f>C382</f>
        <v>0</v>
      </c>
      <c r="H343" s="4450"/>
      <c r="I343" s="5549" t="str">
        <f>InsumosCultivos!Q641</f>
        <v xml:space="preserve">Rg semillero </v>
      </c>
      <c r="J343" s="5550"/>
      <c r="K343" s="5550"/>
      <c r="L343" s="5551"/>
      <c r="M343" s="4453">
        <f>C481</f>
        <v>0</v>
      </c>
      <c r="N343" s="4425"/>
    </row>
    <row r="344" spans="2:14" ht="3.45" customHeight="1" x14ac:dyDescent="0.3">
      <c r="B344" s="3616"/>
      <c r="C344" s="4450"/>
      <c r="D344" s="4450"/>
      <c r="E344" s="4450"/>
      <c r="F344" s="4450"/>
      <c r="G344" s="4454"/>
      <c r="H344" s="4450"/>
      <c r="I344" s="4455"/>
      <c r="J344" s="4455"/>
      <c r="K344" s="4455"/>
      <c r="L344" s="4455"/>
      <c r="M344" s="4454"/>
      <c r="N344" s="4425"/>
    </row>
    <row r="345" spans="2:14" ht="17.7" x14ac:dyDescent="0.3">
      <c r="B345" s="4423"/>
      <c r="C345" s="5549" t="str">
        <f>InsumosCultivos!K643</f>
        <v xml:space="preserve">Achicoria Semillero </v>
      </c>
      <c r="D345" s="5550"/>
      <c r="E345" s="5550"/>
      <c r="F345" s="5551"/>
      <c r="G345" s="4453">
        <f>C393</f>
        <v>0</v>
      </c>
      <c r="H345" s="4450"/>
      <c r="I345" s="5549">
        <f>InsumosCultivos!Q643</f>
        <v>0</v>
      </c>
      <c r="J345" s="5550"/>
      <c r="K345" s="5550"/>
      <c r="L345" s="5551"/>
      <c r="M345" s="4453">
        <f>C492</f>
        <v>0</v>
      </c>
      <c r="N345" s="4425"/>
    </row>
    <row r="346" spans="2:14" ht="3.45" customHeight="1" x14ac:dyDescent="0.3">
      <c r="B346" s="3616"/>
      <c r="C346" s="4450"/>
      <c r="D346" s="4450"/>
      <c r="E346" s="4450"/>
      <c r="F346" s="4450"/>
      <c r="G346" s="4454"/>
      <c r="H346" s="4450"/>
      <c r="I346" s="4455"/>
      <c r="J346" s="4455"/>
      <c r="K346" s="4455"/>
      <c r="L346" s="4455"/>
      <c r="M346" s="4454"/>
      <c r="N346" s="4425"/>
    </row>
    <row r="347" spans="2:14" ht="17.7" x14ac:dyDescent="0.3">
      <c r="B347" s="3616"/>
      <c r="C347" s="5549">
        <f>InsumosCultivos!K645</f>
        <v>0</v>
      </c>
      <c r="D347" s="5550"/>
      <c r="E347" s="5550"/>
      <c r="F347" s="5551"/>
      <c r="G347" s="4453">
        <f>C404</f>
        <v>0</v>
      </c>
      <c r="H347" s="4450"/>
      <c r="I347" s="5549">
        <f>InsumosCultivos!Q645</f>
        <v>0</v>
      </c>
      <c r="J347" s="5550"/>
      <c r="K347" s="5550"/>
      <c r="L347" s="5551"/>
      <c r="M347" s="4453">
        <f>C503</f>
        <v>0</v>
      </c>
      <c r="N347" s="4425"/>
    </row>
    <row r="348" spans="2:14" ht="3.45" customHeight="1" x14ac:dyDescent="0.3">
      <c r="B348" s="3616"/>
      <c r="C348" s="4450"/>
      <c r="D348" s="4450"/>
      <c r="E348" s="4450"/>
      <c r="F348" s="4450"/>
      <c r="G348" s="4454"/>
      <c r="H348" s="4450"/>
      <c r="I348" s="4455"/>
      <c r="J348" s="4455"/>
      <c r="K348" s="4455"/>
      <c r="L348" s="4455"/>
      <c r="M348" s="4454"/>
      <c r="N348" s="4425"/>
    </row>
    <row r="349" spans="2:14" ht="17.7" x14ac:dyDescent="0.3">
      <c r="B349" s="3616"/>
      <c r="C349" s="5549">
        <f>InsumosCultivos!K647</f>
        <v>0</v>
      </c>
      <c r="D349" s="5550"/>
      <c r="E349" s="5550"/>
      <c r="F349" s="5551"/>
      <c r="G349" s="4453">
        <f>C415</f>
        <v>0</v>
      </c>
      <c r="H349" s="4450"/>
      <c r="I349" s="5549">
        <f>InsumosCultivos!Q647</f>
        <v>0</v>
      </c>
      <c r="J349" s="5550"/>
      <c r="K349" s="5550"/>
      <c r="L349" s="5551"/>
      <c r="M349" s="4453">
        <f>C514</f>
        <v>0</v>
      </c>
      <c r="N349" s="4425"/>
    </row>
    <row r="350" spans="2:14" ht="4.75" customHeight="1" x14ac:dyDescent="0.3">
      <c r="B350" s="3616"/>
      <c r="C350" s="4450"/>
      <c r="D350" s="4450"/>
      <c r="E350" s="4450"/>
      <c r="F350" s="4450"/>
      <c r="G350" s="4454"/>
      <c r="H350" s="4450"/>
      <c r="I350" s="4455"/>
      <c r="J350" s="4455"/>
      <c r="K350" s="4455"/>
      <c r="L350" s="4455"/>
      <c r="M350" s="4454"/>
      <c r="N350" s="4425"/>
    </row>
    <row r="351" spans="2:14" ht="17.7" x14ac:dyDescent="0.3">
      <c r="B351" s="3616"/>
      <c r="C351" s="5549">
        <f>InsumosCultivos!K649</f>
        <v>0</v>
      </c>
      <c r="D351" s="5550"/>
      <c r="E351" s="5550"/>
      <c r="F351" s="5551"/>
      <c r="G351" s="4453">
        <f>C426</f>
        <v>0</v>
      </c>
      <c r="H351" s="4450"/>
      <c r="I351" s="5549">
        <f>InsumosCultivos!Q649</f>
        <v>0</v>
      </c>
      <c r="J351" s="5550"/>
      <c r="K351" s="5550"/>
      <c r="L351" s="5551"/>
      <c r="M351" s="4453">
        <f>C525</f>
        <v>0</v>
      </c>
      <c r="N351" s="4425"/>
    </row>
    <row r="352" spans="2:14" ht="4.75" customHeight="1" x14ac:dyDescent="0.3">
      <c r="B352" s="3616"/>
      <c r="C352" s="4450"/>
      <c r="D352" s="4450"/>
      <c r="E352" s="4450"/>
      <c r="F352" s="4450"/>
      <c r="G352" s="4454"/>
      <c r="H352" s="4450"/>
      <c r="I352" s="4455"/>
      <c r="J352" s="4455"/>
      <c r="K352" s="4455"/>
      <c r="L352" s="4455"/>
      <c r="M352" s="4454"/>
      <c r="N352" s="4425"/>
    </row>
    <row r="353" spans="1:17" ht="17.7" x14ac:dyDescent="0.3">
      <c r="B353" s="3616"/>
      <c r="C353" s="5549">
        <f>InsumosCultivos!K651</f>
        <v>0</v>
      </c>
      <c r="D353" s="5550"/>
      <c r="E353" s="5550"/>
      <c r="F353" s="5551"/>
      <c r="G353" s="4453">
        <f>C437</f>
        <v>0</v>
      </c>
      <c r="H353" s="4450"/>
      <c r="I353" s="5549">
        <f>InsumosCultivos!Q651</f>
        <v>0</v>
      </c>
      <c r="J353" s="5550"/>
      <c r="K353" s="5550"/>
      <c r="L353" s="5551"/>
      <c r="M353" s="4453">
        <f>C536</f>
        <v>0</v>
      </c>
      <c r="N353" s="4425"/>
    </row>
    <row r="354" spans="1:17" ht="4.75" customHeight="1" x14ac:dyDescent="0.3">
      <c r="B354" s="3616"/>
      <c r="C354" s="4450"/>
      <c r="D354" s="4450"/>
      <c r="E354" s="4450"/>
      <c r="F354" s="4450"/>
      <c r="G354" s="4454"/>
      <c r="H354" s="4450"/>
      <c r="I354" s="4455"/>
      <c r="J354" s="4455"/>
      <c r="K354" s="4455"/>
      <c r="L354" s="4455"/>
      <c r="M354" s="4454"/>
      <c r="N354" s="4425"/>
    </row>
    <row r="355" spans="1:17" ht="17.7" x14ac:dyDescent="0.3">
      <c r="B355" s="3616"/>
      <c r="C355" s="5549">
        <f>InsumosCultivos!K653</f>
        <v>0</v>
      </c>
      <c r="D355" s="5550"/>
      <c r="E355" s="5550"/>
      <c r="F355" s="5551"/>
      <c r="G355" s="4453">
        <f>C448</f>
        <v>0</v>
      </c>
      <c r="H355" s="4450"/>
      <c r="I355" s="5549">
        <f>InsumosCultivos!Q653</f>
        <v>0</v>
      </c>
      <c r="J355" s="5550"/>
      <c r="K355" s="5550"/>
      <c r="L355" s="5551"/>
      <c r="M355" s="4453">
        <f>C537</f>
        <v>0</v>
      </c>
      <c r="N355" s="4425"/>
    </row>
    <row r="356" spans="1:17" x14ac:dyDescent="0.3">
      <c r="B356" s="3616"/>
      <c r="C356" s="4450"/>
      <c r="D356" s="4450"/>
      <c r="E356" s="4450"/>
      <c r="F356" s="4450"/>
      <c r="G356" s="4450"/>
      <c r="H356" s="4450"/>
      <c r="I356" s="4450"/>
      <c r="J356" s="4450"/>
      <c r="K356" s="4450"/>
      <c r="L356" s="4450"/>
      <c r="M356" s="4449"/>
      <c r="N356" s="4425"/>
    </row>
    <row r="357" spans="1:17" ht="15.05" thickBot="1" x14ac:dyDescent="0.35">
      <c r="B357" s="3616"/>
      <c r="C357" s="3523"/>
      <c r="D357" s="3523"/>
      <c r="E357" s="3724"/>
      <c r="F357" s="3724"/>
      <c r="G357" s="3724"/>
      <c r="H357" s="3724"/>
      <c r="I357" s="3724"/>
      <c r="J357" s="3724"/>
      <c r="K357" s="3724"/>
      <c r="L357" s="3724"/>
      <c r="M357" s="3724"/>
      <c r="N357" s="4425"/>
    </row>
    <row r="358" spans="1:17" ht="15.05" thickBot="1" x14ac:dyDescent="0.35">
      <c r="A358" s="2487">
        <f>+A231+1</f>
        <v>119</v>
      </c>
      <c r="B358" s="2488" t="s">
        <v>2374</v>
      </c>
      <c r="C358" s="2489"/>
      <c r="D358" s="2490"/>
      <c r="E358" s="2489"/>
      <c r="F358" s="2489"/>
      <c r="G358" s="2489"/>
      <c r="H358" s="2489"/>
      <c r="I358" s="2489"/>
      <c r="J358" s="2489"/>
      <c r="K358" s="2489"/>
      <c r="L358" s="2489"/>
      <c r="M358" s="2489"/>
      <c r="N358" s="2489"/>
      <c r="O358" s="2489"/>
      <c r="P358" s="2489"/>
      <c r="Q358" s="2491"/>
    </row>
    <row r="359" spans="1:17" x14ac:dyDescent="0.3">
      <c r="B359" s="4391" t="str">
        <f>+UsoSuelo!D360</f>
        <v xml:space="preserve">Alfalfa semillero </v>
      </c>
      <c r="C359" s="4456"/>
      <c r="D359" s="4457"/>
      <c r="E359" s="4273" t="str">
        <f t="shared" ref="E359:P359" si="164">+E277</f>
        <v>Ene</v>
      </c>
      <c r="F359" s="4273" t="str">
        <f t="shared" si="164"/>
        <v>Feb</v>
      </c>
      <c r="G359" s="4273" t="str">
        <f t="shared" si="164"/>
        <v>Mar</v>
      </c>
      <c r="H359" s="4273" t="str">
        <f t="shared" si="164"/>
        <v>Abr</v>
      </c>
      <c r="I359" s="4273" t="str">
        <f t="shared" si="164"/>
        <v>May</v>
      </c>
      <c r="J359" s="4273" t="str">
        <f t="shared" si="164"/>
        <v>Jun</v>
      </c>
      <c r="K359" s="4273" t="str">
        <f t="shared" si="164"/>
        <v>Jul</v>
      </c>
      <c r="L359" s="4273" t="str">
        <f t="shared" si="164"/>
        <v>Ago</v>
      </c>
      <c r="M359" s="4273" t="str">
        <f t="shared" si="164"/>
        <v>Set</v>
      </c>
      <c r="N359" s="4273" t="str">
        <f t="shared" si="164"/>
        <v>Oct</v>
      </c>
      <c r="O359" s="4273" t="str">
        <f t="shared" si="164"/>
        <v>Nov</v>
      </c>
      <c r="P359" s="4277" t="str">
        <f t="shared" si="164"/>
        <v>Dic</v>
      </c>
      <c r="Q359" s="4408" t="str">
        <f>+Q5</f>
        <v>Total</v>
      </c>
    </row>
    <row r="360" spans="1:17" x14ac:dyDescent="0.3">
      <c r="B360" s="4458" t="s">
        <v>435</v>
      </c>
      <c r="C360" s="4459">
        <f>+UsoSuelo!T360</f>
        <v>0</v>
      </c>
      <c r="D360" s="3678" t="s">
        <v>247</v>
      </c>
      <c r="E360" s="4357"/>
      <c r="F360" s="4357"/>
      <c r="G360" s="4357"/>
      <c r="H360" s="4357"/>
      <c r="I360" s="4357"/>
      <c r="J360" s="4357"/>
      <c r="K360" s="4357"/>
      <c r="L360" s="4357"/>
      <c r="M360" s="4357"/>
      <c r="N360" s="4357"/>
      <c r="O360" s="4357"/>
      <c r="P360" s="4460"/>
      <c r="Q360" s="3709"/>
    </row>
    <row r="361" spans="1:17" x14ac:dyDescent="0.3">
      <c r="B361" s="3723" t="s">
        <v>433</v>
      </c>
      <c r="C361" s="5349"/>
      <c r="D361" s="3523" t="s">
        <v>2385</v>
      </c>
      <c r="E361" s="4313"/>
      <c r="F361" s="4313"/>
      <c r="G361" s="4313"/>
      <c r="H361" s="4313"/>
      <c r="I361" s="4313"/>
      <c r="J361" s="4313"/>
      <c r="K361" s="4313"/>
      <c r="L361" s="4313"/>
      <c r="M361" s="4313"/>
      <c r="N361" s="4313"/>
      <c r="O361" s="4313"/>
      <c r="P361" s="4461"/>
      <c r="Q361" s="3709"/>
    </row>
    <row r="362" spans="1:17" x14ac:dyDescent="0.3">
      <c r="B362" s="4462" t="s">
        <v>2386</v>
      </c>
      <c r="C362" s="4463">
        <f>C361*C360</f>
        <v>0</v>
      </c>
      <c r="D362" s="4464" t="s">
        <v>145</v>
      </c>
      <c r="E362" s="4411"/>
      <c r="F362" s="4411"/>
      <c r="G362" s="4411"/>
      <c r="H362" s="4411"/>
      <c r="I362" s="4411"/>
      <c r="J362" s="4411"/>
      <c r="K362" s="4411"/>
      <c r="L362" s="4411"/>
      <c r="M362" s="4411"/>
      <c r="N362" s="4411"/>
      <c r="O362" s="4411"/>
      <c r="P362" s="4465"/>
      <c r="Q362" s="3709"/>
    </row>
    <row r="363" spans="1:17" x14ac:dyDescent="0.3">
      <c r="B363" s="4413" t="s">
        <v>2387</v>
      </c>
      <c r="C363" s="5350"/>
      <c r="D363" s="4414" t="s">
        <v>145</v>
      </c>
      <c r="E363" s="4317">
        <f t="shared" ref="E363:P363" si="165">IF($C$367=E$7,$C363,0)</f>
        <v>0</v>
      </c>
      <c r="F363" s="4317">
        <f t="shared" si="165"/>
        <v>0</v>
      </c>
      <c r="G363" s="4317">
        <f t="shared" si="165"/>
        <v>0</v>
      </c>
      <c r="H363" s="4317">
        <f t="shared" si="165"/>
        <v>0</v>
      </c>
      <c r="I363" s="4317">
        <f t="shared" si="165"/>
        <v>0</v>
      </c>
      <c r="J363" s="4317">
        <f t="shared" si="165"/>
        <v>0</v>
      </c>
      <c r="K363" s="4317">
        <f t="shared" si="165"/>
        <v>0</v>
      </c>
      <c r="L363" s="4317">
        <f t="shared" si="165"/>
        <v>0</v>
      </c>
      <c r="M363" s="4317">
        <f t="shared" si="165"/>
        <v>0</v>
      </c>
      <c r="N363" s="4317">
        <f t="shared" si="165"/>
        <v>0</v>
      </c>
      <c r="O363" s="4317">
        <f t="shared" si="165"/>
        <v>0</v>
      </c>
      <c r="P363" s="4466">
        <f t="shared" si="165"/>
        <v>0</v>
      </c>
      <c r="Q363" s="3709"/>
    </row>
    <row r="364" spans="1:17" x14ac:dyDescent="0.3">
      <c r="B364" s="4413" t="s">
        <v>554</v>
      </c>
      <c r="C364" s="5351"/>
      <c r="D364" s="4414"/>
      <c r="E364" s="4317"/>
      <c r="F364" s="4317"/>
      <c r="G364" s="4317"/>
      <c r="H364" s="4317"/>
      <c r="I364" s="4317"/>
      <c r="J364" s="4317"/>
      <c r="K364" s="4317"/>
      <c r="L364" s="4317"/>
      <c r="M364" s="4317"/>
      <c r="N364" s="4317"/>
      <c r="O364" s="4317"/>
      <c r="P364" s="4466"/>
      <c r="Q364" s="3709"/>
    </row>
    <row r="365" spans="1:17" x14ac:dyDescent="0.3">
      <c r="B365" s="4413" t="s">
        <v>427</v>
      </c>
      <c r="C365" s="4414">
        <f>C362-C363</f>
        <v>0</v>
      </c>
      <c r="D365" s="4414" t="s">
        <v>145</v>
      </c>
      <c r="E365" s="4317">
        <f t="shared" ref="E365:P365" si="166">IF($C367=E$7,$C365,0)</f>
        <v>0</v>
      </c>
      <c r="F365" s="4317">
        <f t="shared" si="166"/>
        <v>0</v>
      </c>
      <c r="G365" s="4317">
        <f t="shared" si="166"/>
        <v>0</v>
      </c>
      <c r="H365" s="4317">
        <f t="shared" si="166"/>
        <v>0</v>
      </c>
      <c r="I365" s="4317">
        <f t="shared" si="166"/>
        <v>0</v>
      </c>
      <c r="J365" s="4317">
        <f t="shared" si="166"/>
        <v>0</v>
      </c>
      <c r="K365" s="4317">
        <f t="shared" si="166"/>
        <v>0</v>
      </c>
      <c r="L365" s="4317">
        <f t="shared" si="166"/>
        <v>0</v>
      </c>
      <c r="M365" s="4317">
        <f t="shared" si="166"/>
        <v>0</v>
      </c>
      <c r="N365" s="4317">
        <f t="shared" si="166"/>
        <v>0</v>
      </c>
      <c r="O365" s="4317">
        <f t="shared" si="166"/>
        <v>0</v>
      </c>
      <c r="P365" s="4466">
        <f t="shared" si="166"/>
        <v>0</v>
      </c>
      <c r="Q365" s="4467" t="str">
        <f>B365&amp;B359</f>
        <v xml:space="preserve">Saldo Vendible Alfalfa semillero </v>
      </c>
    </row>
    <row r="366" spans="1:17" x14ac:dyDescent="0.3">
      <c r="B366" s="3723" t="s">
        <v>2415</v>
      </c>
      <c r="C366" s="5352"/>
      <c r="D366" s="3523" t="s">
        <v>362</v>
      </c>
      <c r="E366" s="4468"/>
      <c r="F366" s="4313"/>
      <c r="G366" s="4313"/>
      <c r="H366" s="4313"/>
      <c r="I366" s="4313"/>
      <c r="J366" s="4313"/>
      <c r="K366" s="4313"/>
      <c r="L366" s="4313"/>
      <c r="M366" s="4313"/>
      <c r="N366" s="4313"/>
      <c r="O366" s="4313"/>
      <c r="P366" s="4461"/>
      <c r="Q366" s="3709"/>
    </row>
    <row r="367" spans="1:17" ht="15.05" thickBot="1" x14ac:dyDescent="0.35">
      <c r="B367" s="4469" t="s">
        <v>429</v>
      </c>
      <c r="C367" s="4470">
        <f>UsoSuelo!S360</f>
        <v>0</v>
      </c>
      <c r="D367" s="4471" t="s">
        <v>431</v>
      </c>
      <c r="E367" s="4313"/>
      <c r="F367" s="4313"/>
      <c r="G367" s="4313"/>
      <c r="H367" s="4313"/>
      <c r="I367" s="4313"/>
      <c r="J367" s="4313"/>
      <c r="K367" s="4313"/>
      <c r="L367" s="4313"/>
      <c r="M367" s="4313"/>
      <c r="N367" s="4313"/>
      <c r="O367" s="4313"/>
      <c r="P367" s="4461"/>
      <c r="Q367" s="3709"/>
    </row>
    <row r="368" spans="1:17" ht="15.05" thickBot="1" x14ac:dyDescent="0.35">
      <c r="B368" s="4337" t="s">
        <v>444</v>
      </c>
      <c r="C368" s="4472"/>
      <c r="D368" s="4472"/>
      <c r="E368" s="4340">
        <f t="shared" ref="E368:P368" si="167">IF($C$367=E$7,$C$362*$C$366,0)</f>
        <v>0</v>
      </c>
      <c r="F368" s="4340">
        <f t="shared" si="167"/>
        <v>0</v>
      </c>
      <c r="G368" s="4340">
        <f t="shared" si="167"/>
        <v>0</v>
      </c>
      <c r="H368" s="4340">
        <f t="shared" si="167"/>
        <v>0</v>
      </c>
      <c r="I368" s="4340">
        <f t="shared" si="167"/>
        <v>0</v>
      </c>
      <c r="J368" s="4340">
        <f t="shared" si="167"/>
        <v>0</v>
      </c>
      <c r="K368" s="4340">
        <f t="shared" si="167"/>
        <v>0</v>
      </c>
      <c r="L368" s="4340">
        <f t="shared" si="167"/>
        <v>0</v>
      </c>
      <c r="M368" s="4340">
        <f t="shared" si="167"/>
        <v>0</v>
      </c>
      <c r="N368" s="4340">
        <f t="shared" si="167"/>
        <v>0</v>
      </c>
      <c r="O368" s="4340">
        <f t="shared" si="167"/>
        <v>0</v>
      </c>
      <c r="P368" s="4473">
        <f t="shared" si="167"/>
        <v>0</v>
      </c>
      <c r="Q368" s="3709"/>
    </row>
    <row r="369" spans="2:17" ht="15.05" hidden="1" thickBot="1" x14ac:dyDescent="0.35">
      <c r="B369" s="4474" t="s">
        <v>445</v>
      </c>
      <c r="C369" s="4475"/>
      <c r="D369" s="4475">
        <f>C365*C366</f>
        <v>0</v>
      </c>
      <c r="E369" s="4476">
        <f>+E624</f>
        <v>0</v>
      </c>
      <c r="F369" s="4476">
        <f t="shared" ref="F369:P369" si="168">+F624</f>
        <v>0</v>
      </c>
      <c r="G369" s="4476">
        <f t="shared" si="168"/>
        <v>0</v>
      </c>
      <c r="H369" s="4476">
        <f t="shared" si="168"/>
        <v>0</v>
      </c>
      <c r="I369" s="4476">
        <f t="shared" si="168"/>
        <v>0</v>
      </c>
      <c r="J369" s="4476">
        <f t="shared" si="168"/>
        <v>0</v>
      </c>
      <c r="K369" s="4476">
        <f t="shared" si="168"/>
        <v>0</v>
      </c>
      <c r="L369" s="4476">
        <f t="shared" si="168"/>
        <v>0</v>
      </c>
      <c r="M369" s="4476">
        <f t="shared" si="168"/>
        <v>0</v>
      </c>
      <c r="N369" s="4476">
        <f t="shared" si="168"/>
        <v>0</v>
      </c>
      <c r="O369" s="4476">
        <f t="shared" si="168"/>
        <v>0</v>
      </c>
      <c r="P369" s="4477">
        <f t="shared" si="168"/>
        <v>0</v>
      </c>
      <c r="Q369" s="3709"/>
    </row>
    <row r="370" spans="2:17" x14ac:dyDescent="0.3">
      <c r="B370" s="4391" t="str">
        <f>+UsoSuelo!D361</f>
        <v xml:space="preserve">TR semillero </v>
      </c>
      <c r="C370" s="4392"/>
      <c r="D370" s="4392"/>
      <c r="E370" s="4393"/>
      <c r="F370" s="4393"/>
      <c r="G370" s="4393"/>
      <c r="H370" s="4393"/>
      <c r="I370" s="4393"/>
      <c r="J370" s="4393"/>
      <c r="K370" s="4393"/>
      <c r="L370" s="4393"/>
      <c r="M370" s="4393"/>
      <c r="N370" s="4393"/>
      <c r="O370" s="4393"/>
      <c r="P370" s="4478"/>
      <c r="Q370" s="3709"/>
    </row>
    <row r="371" spans="2:17" x14ac:dyDescent="0.3">
      <c r="B371" s="4458" t="s">
        <v>435</v>
      </c>
      <c r="C371" s="4459">
        <f>+UsoSuelo!T361</f>
        <v>0</v>
      </c>
      <c r="D371" s="3678" t="s">
        <v>247</v>
      </c>
      <c r="E371" s="4357"/>
      <c r="F371" s="4357"/>
      <c r="G371" s="4357"/>
      <c r="H371" s="4357"/>
      <c r="I371" s="4357"/>
      <c r="J371" s="4357"/>
      <c r="K371" s="4357"/>
      <c r="L371" s="4357"/>
      <c r="M371" s="4357"/>
      <c r="N371" s="4357"/>
      <c r="O371" s="4357"/>
      <c r="P371" s="4460"/>
      <c r="Q371" s="3709"/>
    </row>
    <row r="372" spans="2:17" x14ac:dyDescent="0.3">
      <c r="B372" s="3723" t="s">
        <v>433</v>
      </c>
      <c r="C372" s="5349"/>
      <c r="D372" s="3523" t="s">
        <v>2385</v>
      </c>
      <c r="E372" s="4313"/>
      <c r="F372" s="4313"/>
      <c r="G372" s="4313"/>
      <c r="H372" s="4313"/>
      <c r="I372" s="4313"/>
      <c r="J372" s="4313"/>
      <c r="K372" s="4313"/>
      <c r="L372" s="4313"/>
      <c r="M372" s="4313"/>
      <c r="N372" s="4313"/>
      <c r="O372" s="4313"/>
      <c r="P372" s="4461"/>
      <c r="Q372" s="3709"/>
    </row>
    <row r="373" spans="2:17" x14ac:dyDescent="0.3">
      <c r="B373" s="4462" t="s">
        <v>2386</v>
      </c>
      <c r="C373" s="4463">
        <f>C372*C371</f>
        <v>0</v>
      </c>
      <c r="D373" s="4464" t="s">
        <v>145</v>
      </c>
      <c r="E373" s="4411"/>
      <c r="F373" s="4411"/>
      <c r="G373" s="4411"/>
      <c r="H373" s="4411"/>
      <c r="I373" s="4411"/>
      <c r="J373" s="4411"/>
      <c r="K373" s="4411"/>
      <c r="L373" s="4411"/>
      <c r="M373" s="4411"/>
      <c r="N373" s="4411"/>
      <c r="O373" s="4411"/>
      <c r="P373" s="4465"/>
      <c r="Q373" s="3709"/>
    </row>
    <row r="374" spans="2:17" x14ac:dyDescent="0.3">
      <c r="B374" s="4413" t="s">
        <v>2387</v>
      </c>
      <c r="C374" s="5350"/>
      <c r="D374" s="4414" t="s">
        <v>145</v>
      </c>
      <c r="E374" s="4317">
        <f t="shared" ref="E374:P374" si="169">IF($C$378=E$7,$C374,0)</f>
        <v>0</v>
      </c>
      <c r="F374" s="4317">
        <f t="shared" si="169"/>
        <v>0</v>
      </c>
      <c r="G374" s="4317">
        <f t="shared" si="169"/>
        <v>0</v>
      </c>
      <c r="H374" s="4317">
        <f t="shared" si="169"/>
        <v>0</v>
      </c>
      <c r="I374" s="4317">
        <f t="shared" si="169"/>
        <v>0</v>
      </c>
      <c r="J374" s="4317">
        <f t="shared" si="169"/>
        <v>0</v>
      </c>
      <c r="K374" s="4317">
        <f t="shared" si="169"/>
        <v>0</v>
      </c>
      <c r="L374" s="4317">
        <f t="shared" si="169"/>
        <v>0</v>
      </c>
      <c r="M374" s="4317">
        <f t="shared" si="169"/>
        <v>0</v>
      </c>
      <c r="N374" s="4317">
        <f t="shared" si="169"/>
        <v>0</v>
      </c>
      <c r="O374" s="4317">
        <f t="shared" si="169"/>
        <v>0</v>
      </c>
      <c r="P374" s="4466">
        <f t="shared" si="169"/>
        <v>0</v>
      </c>
      <c r="Q374" s="3709"/>
    </row>
    <row r="375" spans="2:17" x14ac:dyDescent="0.3">
      <c r="B375" s="4413" t="s">
        <v>554</v>
      </c>
      <c r="C375" s="5351"/>
      <c r="D375" s="4414"/>
      <c r="E375" s="4317"/>
      <c r="F375" s="4317"/>
      <c r="G375" s="4317"/>
      <c r="H375" s="4317"/>
      <c r="I375" s="4317"/>
      <c r="J375" s="4317"/>
      <c r="K375" s="4317"/>
      <c r="L375" s="4317"/>
      <c r="M375" s="4317"/>
      <c r="N375" s="4317"/>
      <c r="O375" s="4317"/>
      <c r="P375" s="4466"/>
      <c r="Q375" s="3709"/>
    </row>
    <row r="376" spans="2:17" x14ac:dyDescent="0.3">
      <c r="B376" s="4413" t="s">
        <v>427</v>
      </c>
      <c r="C376" s="4414">
        <f>C373-C374</f>
        <v>0</v>
      </c>
      <c r="D376" s="4414" t="s">
        <v>145</v>
      </c>
      <c r="E376" s="4317">
        <f t="shared" ref="E376:P376" si="170">IF($C378=E$7,$C376,0)</f>
        <v>0</v>
      </c>
      <c r="F376" s="4317">
        <f t="shared" si="170"/>
        <v>0</v>
      </c>
      <c r="G376" s="4317">
        <f t="shared" si="170"/>
        <v>0</v>
      </c>
      <c r="H376" s="4317">
        <f t="shared" si="170"/>
        <v>0</v>
      </c>
      <c r="I376" s="4317">
        <f t="shared" si="170"/>
        <v>0</v>
      </c>
      <c r="J376" s="4317">
        <f t="shared" si="170"/>
        <v>0</v>
      </c>
      <c r="K376" s="4317">
        <f t="shared" si="170"/>
        <v>0</v>
      </c>
      <c r="L376" s="4317">
        <f t="shared" si="170"/>
        <v>0</v>
      </c>
      <c r="M376" s="4317">
        <f t="shared" si="170"/>
        <v>0</v>
      </c>
      <c r="N376" s="4317">
        <f t="shared" si="170"/>
        <v>0</v>
      </c>
      <c r="O376" s="4317">
        <f t="shared" si="170"/>
        <v>0</v>
      </c>
      <c r="P376" s="4466">
        <f t="shared" si="170"/>
        <v>0</v>
      </c>
      <c r="Q376" s="4467" t="str">
        <f>B376&amp;B370</f>
        <v xml:space="preserve">Saldo Vendible TR semillero </v>
      </c>
    </row>
    <row r="377" spans="2:17" x14ac:dyDescent="0.3">
      <c r="B377" s="3723" t="s">
        <v>2415</v>
      </c>
      <c r="C377" s="5352"/>
      <c r="D377" s="3523" t="s">
        <v>362</v>
      </c>
      <c r="E377" s="4468"/>
      <c r="F377" s="4313"/>
      <c r="G377" s="4313"/>
      <c r="H377" s="4313"/>
      <c r="I377" s="4313"/>
      <c r="J377" s="4313"/>
      <c r="K377" s="4313"/>
      <c r="L377" s="4313"/>
      <c r="M377" s="4313"/>
      <c r="N377" s="4313"/>
      <c r="O377" s="4313"/>
      <c r="P377" s="4461"/>
      <c r="Q377" s="3709"/>
    </row>
    <row r="378" spans="2:17" ht="15.05" thickBot="1" x14ac:dyDescent="0.35">
      <c r="B378" s="4469" t="s">
        <v>429</v>
      </c>
      <c r="C378" s="4470"/>
      <c r="D378" s="4471" t="s">
        <v>431</v>
      </c>
      <c r="E378" s="4313"/>
      <c r="F378" s="4313"/>
      <c r="G378" s="4313"/>
      <c r="H378" s="4313"/>
      <c r="I378" s="4313"/>
      <c r="J378" s="4313"/>
      <c r="K378" s="4313"/>
      <c r="L378" s="4313"/>
      <c r="M378" s="4313"/>
      <c r="N378" s="4313"/>
      <c r="O378" s="4313"/>
      <c r="P378" s="4461"/>
      <c r="Q378" s="3709"/>
    </row>
    <row r="379" spans="2:17" ht="15.05" thickBot="1" x14ac:dyDescent="0.35">
      <c r="B379" s="4337" t="s">
        <v>444</v>
      </c>
      <c r="C379" s="4472"/>
      <c r="D379" s="4472"/>
      <c r="E379" s="4340">
        <f t="shared" ref="E379:P379" si="171">IF($C$378=E7,$C$373*$C$377,0)</f>
        <v>0</v>
      </c>
      <c r="F379" s="4340">
        <f t="shared" si="171"/>
        <v>0</v>
      </c>
      <c r="G379" s="4340">
        <f t="shared" si="171"/>
        <v>0</v>
      </c>
      <c r="H379" s="4340">
        <f t="shared" si="171"/>
        <v>0</v>
      </c>
      <c r="I379" s="4340">
        <f t="shared" si="171"/>
        <v>0</v>
      </c>
      <c r="J379" s="4340">
        <f t="shared" si="171"/>
        <v>0</v>
      </c>
      <c r="K379" s="4340">
        <f t="shared" si="171"/>
        <v>0</v>
      </c>
      <c r="L379" s="4340">
        <f t="shared" si="171"/>
        <v>0</v>
      </c>
      <c r="M379" s="4340">
        <f t="shared" si="171"/>
        <v>0</v>
      </c>
      <c r="N379" s="4340">
        <f t="shared" si="171"/>
        <v>0</v>
      </c>
      <c r="O379" s="4340">
        <f t="shared" si="171"/>
        <v>0</v>
      </c>
      <c r="P379" s="4473">
        <f t="shared" si="171"/>
        <v>0</v>
      </c>
      <c r="Q379" s="3709"/>
    </row>
    <row r="380" spans="2:17" ht="15.05" hidden="1" thickBot="1" x14ac:dyDescent="0.35">
      <c r="B380" s="4474" t="s">
        <v>445</v>
      </c>
      <c r="C380" s="4475"/>
      <c r="D380" s="4475">
        <f>C376*C377</f>
        <v>0</v>
      </c>
      <c r="E380" s="4476">
        <f>+E625</f>
        <v>0</v>
      </c>
      <c r="F380" s="4476">
        <f t="shared" ref="F380:P380" si="172">+F625</f>
        <v>0</v>
      </c>
      <c r="G380" s="4476">
        <f t="shared" si="172"/>
        <v>0</v>
      </c>
      <c r="H380" s="4476">
        <f t="shared" si="172"/>
        <v>0</v>
      </c>
      <c r="I380" s="4476">
        <f t="shared" si="172"/>
        <v>0</v>
      </c>
      <c r="J380" s="4476">
        <f t="shared" si="172"/>
        <v>0</v>
      </c>
      <c r="K380" s="4476">
        <f t="shared" si="172"/>
        <v>0</v>
      </c>
      <c r="L380" s="4476">
        <f t="shared" si="172"/>
        <v>0</v>
      </c>
      <c r="M380" s="4476">
        <f t="shared" si="172"/>
        <v>0</v>
      </c>
      <c r="N380" s="4476">
        <f t="shared" si="172"/>
        <v>0</v>
      </c>
      <c r="O380" s="4476">
        <f t="shared" si="172"/>
        <v>0</v>
      </c>
      <c r="P380" s="4477">
        <f t="shared" si="172"/>
        <v>0</v>
      </c>
      <c r="Q380" s="3709"/>
    </row>
    <row r="381" spans="2:17" x14ac:dyDescent="0.3">
      <c r="B381" s="4391" t="str">
        <f>+UsoSuelo!D362</f>
        <v xml:space="preserve">TB semillero </v>
      </c>
      <c r="C381" s="4392"/>
      <c r="D381" s="4392"/>
      <c r="E381" s="4393"/>
      <c r="F381" s="4393"/>
      <c r="G381" s="4393"/>
      <c r="H381" s="4393"/>
      <c r="I381" s="4393"/>
      <c r="J381" s="4393"/>
      <c r="K381" s="4393"/>
      <c r="L381" s="4393"/>
      <c r="M381" s="4393"/>
      <c r="N381" s="4393"/>
      <c r="O381" s="4393"/>
      <c r="P381" s="4478"/>
      <c r="Q381" s="3709"/>
    </row>
    <row r="382" spans="2:17" x14ac:dyDescent="0.3">
      <c r="B382" s="4458" t="s">
        <v>435</v>
      </c>
      <c r="C382" s="4459">
        <f>+UsoSuelo!T362</f>
        <v>0</v>
      </c>
      <c r="D382" s="3678" t="s">
        <v>247</v>
      </c>
      <c r="E382" s="4357"/>
      <c r="F382" s="4357"/>
      <c r="G382" s="4357"/>
      <c r="H382" s="4357"/>
      <c r="I382" s="4357"/>
      <c r="J382" s="4357"/>
      <c r="K382" s="4357"/>
      <c r="L382" s="4357"/>
      <c r="M382" s="4357"/>
      <c r="N382" s="4357"/>
      <c r="O382" s="4357"/>
      <c r="P382" s="4460"/>
      <c r="Q382" s="3709"/>
    </row>
    <row r="383" spans="2:17" x14ac:dyDescent="0.3">
      <c r="B383" s="3723" t="s">
        <v>433</v>
      </c>
      <c r="C383" s="5349"/>
      <c r="D383" s="3523" t="s">
        <v>2385</v>
      </c>
      <c r="E383" s="4313"/>
      <c r="F383" s="4313"/>
      <c r="G383" s="4313"/>
      <c r="H383" s="4313"/>
      <c r="I383" s="4313"/>
      <c r="J383" s="4313"/>
      <c r="K383" s="4313"/>
      <c r="L383" s="4313"/>
      <c r="M383" s="4313"/>
      <c r="N383" s="4313"/>
      <c r="O383" s="4313"/>
      <c r="P383" s="4461"/>
      <c r="Q383" s="3709"/>
    </row>
    <row r="384" spans="2:17" x14ac:dyDescent="0.3">
      <c r="B384" s="4462" t="s">
        <v>2386</v>
      </c>
      <c r="C384" s="4463">
        <f>C383*C382</f>
        <v>0</v>
      </c>
      <c r="D384" s="4464" t="s">
        <v>145</v>
      </c>
      <c r="E384" s="4411"/>
      <c r="F384" s="4411"/>
      <c r="G384" s="4411"/>
      <c r="H384" s="4411"/>
      <c r="I384" s="4411"/>
      <c r="J384" s="4411"/>
      <c r="K384" s="4411"/>
      <c r="L384" s="4411"/>
      <c r="M384" s="4411"/>
      <c r="N384" s="4411"/>
      <c r="O384" s="4411"/>
      <c r="P384" s="4465"/>
      <c r="Q384" s="3709"/>
    </row>
    <row r="385" spans="2:17" x14ac:dyDescent="0.3">
      <c r="B385" s="4413" t="s">
        <v>2387</v>
      </c>
      <c r="C385" s="5350"/>
      <c r="D385" s="4414" t="s">
        <v>145</v>
      </c>
      <c r="E385" s="4317">
        <f t="shared" ref="E385:P385" si="173">IF($C$389=E$7,$C385,0)</f>
        <v>0</v>
      </c>
      <c r="F385" s="4317">
        <f t="shared" si="173"/>
        <v>0</v>
      </c>
      <c r="G385" s="4317">
        <f t="shared" si="173"/>
        <v>0</v>
      </c>
      <c r="H385" s="4317">
        <f t="shared" si="173"/>
        <v>0</v>
      </c>
      <c r="I385" s="4317">
        <f t="shared" si="173"/>
        <v>0</v>
      </c>
      <c r="J385" s="4317">
        <f t="shared" si="173"/>
        <v>0</v>
      </c>
      <c r="K385" s="4317">
        <f t="shared" si="173"/>
        <v>0</v>
      </c>
      <c r="L385" s="4317">
        <f t="shared" si="173"/>
        <v>0</v>
      </c>
      <c r="M385" s="4317">
        <f t="shared" si="173"/>
        <v>0</v>
      </c>
      <c r="N385" s="4317">
        <f t="shared" si="173"/>
        <v>0</v>
      </c>
      <c r="O385" s="4317">
        <f t="shared" si="173"/>
        <v>0</v>
      </c>
      <c r="P385" s="4466">
        <f t="shared" si="173"/>
        <v>0</v>
      </c>
      <c r="Q385" s="3709"/>
    </row>
    <row r="386" spans="2:17" x14ac:dyDescent="0.3">
      <c r="B386" s="4413" t="s">
        <v>554</v>
      </c>
      <c r="C386" s="5351"/>
      <c r="D386" s="4414"/>
      <c r="E386" s="4317"/>
      <c r="F386" s="4317"/>
      <c r="G386" s="4317"/>
      <c r="H386" s="4317"/>
      <c r="I386" s="4317"/>
      <c r="J386" s="4317"/>
      <c r="K386" s="4317"/>
      <c r="L386" s="4317"/>
      <c r="M386" s="4317"/>
      <c r="N386" s="4317"/>
      <c r="O386" s="4317"/>
      <c r="P386" s="4466"/>
      <c r="Q386" s="3709"/>
    </row>
    <row r="387" spans="2:17" x14ac:dyDescent="0.3">
      <c r="B387" s="4413" t="s">
        <v>427</v>
      </c>
      <c r="C387" s="4414">
        <f>C384-C385</f>
        <v>0</v>
      </c>
      <c r="D387" s="4414" t="s">
        <v>145</v>
      </c>
      <c r="E387" s="4317">
        <f t="shared" ref="E387:P387" si="174">IF($C389=E$7,$C387,0)</f>
        <v>0</v>
      </c>
      <c r="F387" s="4317">
        <f t="shared" si="174"/>
        <v>0</v>
      </c>
      <c r="G387" s="4317">
        <f t="shared" si="174"/>
        <v>0</v>
      </c>
      <c r="H387" s="4317">
        <f t="shared" si="174"/>
        <v>0</v>
      </c>
      <c r="I387" s="4317">
        <f t="shared" si="174"/>
        <v>0</v>
      </c>
      <c r="J387" s="4317">
        <f t="shared" si="174"/>
        <v>0</v>
      </c>
      <c r="K387" s="4317">
        <f t="shared" si="174"/>
        <v>0</v>
      </c>
      <c r="L387" s="4317">
        <f t="shared" si="174"/>
        <v>0</v>
      </c>
      <c r="M387" s="4317">
        <f t="shared" si="174"/>
        <v>0</v>
      </c>
      <c r="N387" s="4317">
        <f t="shared" si="174"/>
        <v>0</v>
      </c>
      <c r="O387" s="4317">
        <f t="shared" si="174"/>
        <v>0</v>
      </c>
      <c r="P387" s="4466">
        <f t="shared" si="174"/>
        <v>0</v>
      </c>
      <c r="Q387" s="4467" t="str">
        <f>B387&amp;B381</f>
        <v xml:space="preserve">Saldo Vendible TB semillero </v>
      </c>
    </row>
    <row r="388" spans="2:17" x14ac:dyDescent="0.3">
      <c r="B388" s="3723" t="s">
        <v>2415</v>
      </c>
      <c r="C388" s="5352"/>
      <c r="D388" s="3523" t="s">
        <v>362</v>
      </c>
      <c r="E388" s="4468"/>
      <c r="F388" s="4313"/>
      <c r="G388" s="4313"/>
      <c r="H388" s="4313"/>
      <c r="I388" s="4313"/>
      <c r="J388" s="4313"/>
      <c r="K388" s="4313"/>
      <c r="L388" s="4313"/>
      <c r="M388" s="4313"/>
      <c r="N388" s="4313"/>
      <c r="O388" s="4313"/>
      <c r="P388" s="4461"/>
      <c r="Q388" s="3709"/>
    </row>
    <row r="389" spans="2:17" ht="15.05" thickBot="1" x14ac:dyDescent="0.35">
      <c r="B389" s="4469" t="s">
        <v>429</v>
      </c>
      <c r="C389" s="4470"/>
      <c r="D389" s="4471" t="s">
        <v>431</v>
      </c>
      <c r="E389" s="4313"/>
      <c r="F389" s="4313"/>
      <c r="G389" s="4313"/>
      <c r="H389" s="4313"/>
      <c r="I389" s="4313"/>
      <c r="J389" s="4313"/>
      <c r="K389" s="4313"/>
      <c r="L389" s="4313"/>
      <c r="M389" s="4313"/>
      <c r="N389" s="4313"/>
      <c r="O389" s="4313"/>
      <c r="P389" s="4461"/>
      <c r="Q389" s="3709"/>
    </row>
    <row r="390" spans="2:17" ht="15.05" thickBot="1" x14ac:dyDescent="0.35">
      <c r="B390" s="4337" t="s">
        <v>444</v>
      </c>
      <c r="C390" s="4472"/>
      <c r="D390" s="4472"/>
      <c r="E390" s="4340">
        <f t="shared" ref="E390:P390" si="175">IF($C$389=E7,$C$384*$C$388,0)</f>
        <v>0</v>
      </c>
      <c r="F390" s="4340">
        <f t="shared" si="175"/>
        <v>0</v>
      </c>
      <c r="G390" s="4340">
        <f t="shared" si="175"/>
        <v>0</v>
      </c>
      <c r="H390" s="4340">
        <f t="shared" si="175"/>
        <v>0</v>
      </c>
      <c r="I390" s="4340">
        <f t="shared" si="175"/>
        <v>0</v>
      </c>
      <c r="J390" s="4340">
        <f t="shared" si="175"/>
        <v>0</v>
      </c>
      <c r="K390" s="4340">
        <f t="shared" si="175"/>
        <v>0</v>
      </c>
      <c r="L390" s="4340">
        <f t="shared" si="175"/>
        <v>0</v>
      </c>
      <c r="M390" s="4340">
        <f t="shared" si="175"/>
        <v>0</v>
      </c>
      <c r="N390" s="4340">
        <f t="shared" si="175"/>
        <v>0</v>
      </c>
      <c r="O390" s="4340">
        <f t="shared" si="175"/>
        <v>0</v>
      </c>
      <c r="P390" s="4473">
        <f t="shared" si="175"/>
        <v>0</v>
      </c>
      <c r="Q390" s="3709"/>
    </row>
    <row r="391" spans="2:17" ht="15.05" hidden="1" thickBot="1" x14ac:dyDescent="0.35">
      <c r="B391" s="4474" t="s">
        <v>445</v>
      </c>
      <c r="C391" s="4475"/>
      <c r="D391" s="4475">
        <f>C387*C388</f>
        <v>0</v>
      </c>
      <c r="E391" s="4476">
        <f>+E626</f>
        <v>0</v>
      </c>
      <c r="F391" s="4476">
        <f t="shared" ref="F391:P391" si="176">+F626</f>
        <v>0</v>
      </c>
      <c r="G391" s="4476">
        <f t="shared" si="176"/>
        <v>0</v>
      </c>
      <c r="H391" s="4476">
        <f t="shared" si="176"/>
        <v>0</v>
      </c>
      <c r="I391" s="4476">
        <f t="shared" si="176"/>
        <v>0</v>
      </c>
      <c r="J391" s="4476">
        <f t="shared" si="176"/>
        <v>0</v>
      </c>
      <c r="K391" s="4476">
        <f t="shared" si="176"/>
        <v>0</v>
      </c>
      <c r="L391" s="4476">
        <f t="shared" si="176"/>
        <v>0</v>
      </c>
      <c r="M391" s="4476">
        <f t="shared" si="176"/>
        <v>0</v>
      </c>
      <c r="N391" s="4476">
        <f t="shared" si="176"/>
        <v>0</v>
      </c>
      <c r="O391" s="4476">
        <f t="shared" si="176"/>
        <v>0</v>
      </c>
      <c r="P391" s="4477">
        <f t="shared" si="176"/>
        <v>0</v>
      </c>
      <c r="Q391" s="3709"/>
    </row>
    <row r="392" spans="2:17" x14ac:dyDescent="0.3">
      <c r="B392" s="4391" t="str">
        <f>+UsoSuelo!D363</f>
        <v xml:space="preserve">Achicoria Semillero </v>
      </c>
      <c r="C392" s="4392"/>
      <c r="D392" s="4392"/>
      <c r="E392" s="4393"/>
      <c r="F392" s="4393"/>
      <c r="G392" s="4393"/>
      <c r="H392" s="4393"/>
      <c r="I392" s="4393"/>
      <c r="J392" s="4393"/>
      <c r="K392" s="4393"/>
      <c r="L392" s="4393"/>
      <c r="M392" s="4393"/>
      <c r="N392" s="4393"/>
      <c r="O392" s="4393"/>
      <c r="P392" s="4478"/>
      <c r="Q392" s="3709"/>
    </row>
    <row r="393" spans="2:17" x14ac:dyDescent="0.3">
      <c r="B393" s="4458" t="s">
        <v>435</v>
      </c>
      <c r="C393" s="4459">
        <f>+UsoSuelo!T363</f>
        <v>0</v>
      </c>
      <c r="D393" s="3678" t="s">
        <v>247</v>
      </c>
      <c r="E393" s="4357"/>
      <c r="F393" s="4357"/>
      <c r="G393" s="4357"/>
      <c r="H393" s="4357"/>
      <c r="I393" s="4357"/>
      <c r="J393" s="4357"/>
      <c r="K393" s="4357"/>
      <c r="L393" s="4357"/>
      <c r="M393" s="4357"/>
      <c r="N393" s="4357"/>
      <c r="O393" s="4357"/>
      <c r="P393" s="4460"/>
      <c r="Q393" s="3709"/>
    </row>
    <row r="394" spans="2:17" x14ac:dyDescent="0.3">
      <c r="B394" s="3723" t="s">
        <v>433</v>
      </c>
      <c r="C394" s="5349"/>
      <c r="D394" s="3523" t="s">
        <v>2385</v>
      </c>
      <c r="E394" s="4313"/>
      <c r="F394" s="4313"/>
      <c r="G394" s="4313"/>
      <c r="H394" s="4313"/>
      <c r="I394" s="4313"/>
      <c r="J394" s="4313"/>
      <c r="K394" s="4313"/>
      <c r="L394" s="4313"/>
      <c r="M394" s="4313"/>
      <c r="N394" s="4313"/>
      <c r="O394" s="4313"/>
      <c r="P394" s="4461"/>
      <c r="Q394" s="3709"/>
    </row>
    <row r="395" spans="2:17" x14ac:dyDescent="0.3">
      <c r="B395" s="4462" t="s">
        <v>2386</v>
      </c>
      <c r="C395" s="4463">
        <f>C394*C393</f>
        <v>0</v>
      </c>
      <c r="D395" s="4464" t="s">
        <v>145</v>
      </c>
      <c r="E395" s="4411"/>
      <c r="F395" s="4411"/>
      <c r="G395" s="4411"/>
      <c r="H395" s="4411"/>
      <c r="I395" s="4411"/>
      <c r="J395" s="4411"/>
      <c r="K395" s="4411"/>
      <c r="L395" s="4411"/>
      <c r="M395" s="4411"/>
      <c r="N395" s="4411"/>
      <c r="O395" s="4411"/>
      <c r="P395" s="4465"/>
      <c r="Q395" s="3709"/>
    </row>
    <row r="396" spans="2:17" x14ac:dyDescent="0.3">
      <c r="B396" s="4413" t="s">
        <v>2387</v>
      </c>
      <c r="C396" s="5350"/>
      <c r="D396" s="4414" t="s">
        <v>145</v>
      </c>
      <c r="E396" s="4317">
        <f t="shared" ref="E396:P396" si="177">IF($C$400=E$7,$C396,0)</f>
        <v>0</v>
      </c>
      <c r="F396" s="4317">
        <f t="shared" si="177"/>
        <v>0</v>
      </c>
      <c r="G396" s="4317">
        <f t="shared" si="177"/>
        <v>0</v>
      </c>
      <c r="H396" s="4317">
        <f t="shared" si="177"/>
        <v>0</v>
      </c>
      <c r="I396" s="4317">
        <f t="shared" si="177"/>
        <v>0</v>
      </c>
      <c r="J396" s="4317">
        <f t="shared" si="177"/>
        <v>0</v>
      </c>
      <c r="K396" s="4317">
        <f t="shared" si="177"/>
        <v>0</v>
      </c>
      <c r="L396" s="4317">
        <f t="shared" si="177"/>
        <v>0</v>
      </c>
      <c r="M396" s="4317">
        <f t="shared" si="177"/>
        <v>0</v>
      </c>
      <c r="N396" s="4317">
        <f t="shared" si="177"/>
        <v>0</v>
      </c>
      <c r="O396" s="4317">
        <f t="shared" si="177"/>
        <v>0</v>
      </c>
      <c r="P396" s="4466">
        <f t="shared" si="177"/>
        <v>0</v>
      </c>
      <c r="Q396" s="3709"/>
    </row>
    <row r="397" spans="2:17" x14ac:dyDescent="0.3">
      <c r="B397" s="4413" t="s">
        <v>554</v>
      </c>
      <c r="C397" s="5351"/>
      <c r="D397" s="4414"/>
      <c r="E397" s="4317"/>
      <c r="F397" s="4317"/>
      <c r="G397" s="4317"/>
      <c r="H397" s="4317"/>
      <c r="I397" s="4317"/>
      <c r="J397" s="4317"/>
      <c r="K397" s="4317"/>
      <c r="L397" s="4317"/>
      <c r="M397" s="4317"/>
      <c r="N397" s="4317"/>
      <c r="O397" s="4317"/>
      <c r="P397" s="4466"/>
      <c r="Q397" s="3709"/>
    </row>
    <row r="398" spans="2:17" x14ac:dyDescent="0.3">
      <c r="B398" s="4413" t="s">
        <v>427</v>
      </c>
      <c r="C398" s="4414">
        <f>C395-C396-C397</f>
        <v>0</v>
      </c>
      <c r="D398" s="4414" t="s">
        <v>145</v>
      </c>
      <c r="E398" s="4317">
        <f t="shared" ref="E398:P398" si="178">IF($C400=E$7,$C398,0)</f>
        <v>0</v>
      </c>
      <c r="F398" s="4317">
        <f t="shared" si="178"/>
        <v>0</v>
      </c>
      <c r="G398" s="4317">
        <f t="shared" si="178"/>
        <v>0</v>
      </c>
      <c r="H398" s="4317">
        <f t="shared" si="178"/>
        <v>0</v>
      </c>
      <c r="I398" s="4317">
        <f t="shared" si="178"/>
        <v>0</v>
      </c>
      <c r="J398" s="4317">
        <f t="shared" si="178"/>
        <v>0</v>
      </c>
      <c r="K398" s="4317">
        <f t="shared" si="178"/>
        <v>0</v>
      </c>
      <c r="L398" s="4317">
        <f t="shared" si="178"/>
        <v>0</v>
      </c>
      <c r="M398" s="4317">
        <f t="shared" si="178"/>
        <v>0</v>
      </c>
      <c r="N398" s="4317">
        <f t="shared" si="178"/>
        <v>0</v>
      </c>
      <c r="O398" s="4317">
        <f t="shared" si="178"/>
        <v>0</v>
      </c>
      <c r="P398" s="4466">
        <f t="shared" si="178"/>
        <v>0</v>
      </c>
      <c r="Q398" s="4467" t="str">
        <f>B398&amp;B392</f>
        <v xml:space="preserve">Saldo Vendible Achicoria Semillero </v>
      </c>
    </row>
    <row r="399" spans="2:17" x14ac:dyDescent="0.3">
      <c r="B399" s="3723" t="s">
        <v>2415</v>
      </c>
      <c r="C399" s="5352"/>
      <c r="D399" s="3523" t="s">
        <v>362</v>
      </c>
      <c r="E399" s="4468"/>
      <c r="F399" s="4313"/>
      <c r="G399" s="4313"/>
      <c r="H399" s="4313"/>
      <c r="I399" s="4313"/>
      <c r="J399" s="4313"/>
      <c r="K399" s="4313"/>
      <c r="L399" s="4313"/>
      <c r="M399" s="4313"/>
      <c r="N399" s="4313"/>
      <c r="O399" s="4313"/>
      <c r="P399" s="4461"/>
      <c r="Q399" s="3709"/>
    </row>
    <row r="400" spans="2:17" ht="15.05" thickBot="1" x14ac:dyDescent="0.35">
      <c r="B400" s="4469" t="s">
        <v>429</v>
      </c>
      <c r="C400" s="4470"/>
      <c r="D400" s="4471" t="s">
        <v>431</v>
      </c>
      <c r="E400" s="4313"/>
      <c r="F400" s="4313"/>
      <c r="G400" s="4313"/>
      <c r="H400" s="4313"/>
      <c r="I400" s="4313"/>
      <c r="J400" s="4313"/>
      <c r="K400" s="4313"/>
      <c r="L400" s="4313"/>
      <c r="M400" s="4313"/>
      <c r="N400" s="4313"/>
      <c r="O400" s="4313"/>
      <c r="P400" s="4461"/>
      <c r="Q400" s="3709"/>
    </row>
    <row r="401" spans="2:17" ht="15.05" thickBot="1" x14ac:dyDescent="0.35">
      <c r="B401" s="4337" t="s">
        <v>444</v>
      </c>
      <c r="C401" s="4472"/>
      <c r="D401" s="4472"/>
      <c r="E401" s="4340">
        <f t="shared" ref="E401:P401" si="179">IF($C$400=E$7,$C$395*$C$399,0)</f>
        <v>0</v>
      </c>
      <c r="F401" s="4340">
        <f t="shared" si="179"/>
        <v>0</v>
      </c>
      <c r="G401" s="4340">
        <f t="shared" si="179"/>
        <v>0</v>
      </c>
      <c r="H401" s="4340">
        <f t="shared" si="179"/>
        <v>0</v>
      </c>
      <c r="I401" s="4340">
        <f t="shared" si="179"/>
        <v>0</v>
      </c>
      <c r="J401" s="4340">
        <f t="shared" si="179"/>
        <v>0</v>
      </c>
      <c r="K401" s="4340">
        <f t="shared" si="179"/>
        <v>0</v>
      </c>
      <c r="L401" s="4340">
        <f t="shared" si="179"/>
        <v>0</v>
      </c>
      <c r="M401" s="4340">
        <f t="shared" si="179"/>
        <v>0</v>
      </c>
      <c r="N401" s="4340">
        <f t="shared" si="179"/>
        <v>0</v>
      </c>
      <c r="O401" s="4340">
        <f t="shared" si="179"/>
        <v>0</v>
      </c>
      <c r="P401" s="4473">
        <f t="shared" si="179"/>
        <v>0</v>
      </c>
      <c r="Q401" s="3709"/>
    </row>
    <row r="402" spans="2:17" ht="15.05" hidden="1" thickBot="1" x14ac:dyDescent="0.35">
      <c r="B402" s="4474" t="s">
        <v>445</v>
      </c>
      <c r="C402" s="4475"/>
      <c r="D402" s="4475">
        <f>C398*C399</f>
        <v>0</v>
      </c>
      <c r="E402" s="4476">
        <f>+E627</f>
        <v>0</v>
      </c>
      <c r="F402" s="4476">
        <f t="shared" ref="F402:P402" si="180">+F627</f>
        <v>0</v>
      </c>
      <c r="G402" s="4476">
        <f t="shared" si="180"/>
        <v>0</v>
      </c>
      <c r="H402" s="4476">
        <f t="shared" si="180"/>
        <v>0</v>
      </c>
      <c r="I402" s="4476">
        <f t="shared" si="180"/>
        <v>0</v>
      </c>
      <c r="J402" s="4476">
        <f t="shared" si="180"/>
        <v>0</v>
      </c>
      <c r="K402" s="4476">
        <f t="shared" si="180"/>
        <v>0</v>
      </c>
      <c r="L402" s="4476">
        <f t="shared" si="180"/>
        <v>0</v>
      </c>
      <c r="M402" s="4476">
        <f t="shared" si="180"/>
        <v>0</v>
      </c>
      <c r="N402" s="4476">
        <f t="shared" si="180"/>
        <v>0</v>
      </c>
      <c r="O402" s="4476">
        <f t="shared" si="180"/>
        <v>0</v>
      </c>
      <c r="P402" s="4477">
        <f t="shared" si="180"/>
        <v>0</v>
      </c>
      <c r="Q402" s="3709"/>
    </row>
    <row r="403" spans="2:17" x14ac:dyDescent="0.3">
      <c r="B403" s="4391">
        <f>+UsoSuelo!D364</f>
        <v>0</v>
      </c>
      <c r="C403" s="4392"/>
      <c r="D403" s="4392"/>
      <c r="E403" s="4393"/>
      <c r="F403" s="4393"/>
      <c r="G403" s="4393"/>
      <c r="H403" s="4393"/>
      <c r="I403" s="4393"/>
      <c r="J403" s="4393"/>
      <c r="K403" s="4393"/>
      <c r="L403" s="4393"/>
      <c r="M403" s="4393"/>
      <c r="N403" s="4393"/>
      <c r="O403" s="4393"/>
      <c r="P403" s="4478"/>
      <c r="Q403" s="3709"/>
    </row>
    <row r="404" spans="2:17" x14ac:dyDescent="0.3">
      <c r="B404" s="4458" t="s">
        <v>435</v>
      </c>
      <c r="C404" s="4459">
        <f>+UsoSuelo!T364</f>
        <v>0</v>
      </c>
      <c r="D404" s="3678" t="s">
        <v>247</v>
      </c>
      <c r="E404" s="4357"/>
      <c r="F404" s="4357"/>
      <c r="G404" s="4357"/>
      <c r="H404" s="4357"/>
      <c r="I404" s="4357"/>
      <c r="J404" s="4357"/>
      <c r="K404" s="4357"/>
      <c r="L404" s="4357"/>
      <c r="M404" s="4357"/>
      <c r="N404" s="4357"/>
      <c r="O404" s="4357"/>
      <c r="P404" s="4460"/>
      <c r="Q404" s="3709"/>
    </row>
    <row r="405" spans="2:17" x14ac:dyDescent="0.3">
      <c r="B405" s="3723" t="s">
        <v>433</v>
      </c>
      <c r="C405" s="5349"/>
      <c r="D405" s="3523" t="s">
        <v>2385</v>
      </c>
      <c r="E405" s="4313"/>
      <c r="F405" s="4313"/>
      <c r="G405" s="4313"/>
      <c r="H405" s="4313"/>
      <c r="I405" s="4313"/>
      <c r="J405" s="4313"/>
      <c r="K405" s="4313"/>
      <c r="L405" s="4313"/>
      <c r="M405" s="4313"/>
      <c r="N405" s="4313"/>
      <c r="O405" s="4313"/>
      <c r="P405" s="4461"/>
      <c r="Q405" s="3709"/>
    </row>
    <row r="406" spans="2:17" x14ac:dyDescent="0.3">
      <c r="B406" s="4462" t="s">
        <v>2386</v>
      </c>
      <c r="C406" s="4463">
        <f>C405*C404</f>
        <v>0</v>
      </c>
      <c r="D406" s="4464" t="s">
        <v>145</v>
      </c>
      <c r="E406" s="4411"/>
      <c r="F406" s="4411"/>
      <c r="G406" s="4411"/>
      <c r="H406" s="4411"/>
      <c r="I406" s="4411"/>
      <c r="J406" s="4411"/>
      <c r="K406" s="4411"/>
      <c r="L406" s="4411"/>
      <c r="M406" s="4411"/>
      <c r="N406" s="4411"/>
      <c r="O406" s="4411"/>
      <c r="P406" s="4465"/>
      <c r="Q406" s="3709"/>
    </row>
    <row r="407" spans="2:17" x14ac:dyDescent="0.3">
      <c r="B407" s="4413" t="s">
        <v>2387</v>
      </c>
      <c r="C407" s="5350"/>
      <c r="D407" s="4414" t="s">
        <v>145</v>
      </c>
      <c r="E407" s="4317">
        <f t="shared" ref="E407:P407" si="181">IF($C$411=E$7,$C407,0)</f>
        <v>0</v>
      </c>
      <c r="F407" s="4317">
        <f t="shared" si="181"/>
        <v>0</v>
      </c>
      <c r="G407" s="4317">
        <f t="shared" si="181"/>
        <v>0</v>
      </c>
      <c r="H407" s="4317">
        <f t="shared" si="181"/>
        <v>0</v>
      </c>
      <c r="I407" s="4317">
        <f t="shared" si="181"/>
        <v>0</v>
      </c>
      <c r="J407" s="4317">
        <f t="shared" si="181"/>
        <v>0</v>
      </c>
      <c r="K407" s="4317">
        <f t="shared" si="181"/>
        <v>0</v>
      </c>
      <c r="L407" s="4317">
        <f t="shared" si="181"/>
        <v>0</v>
      </c>
      <c r="M407" s="4317">
        <f t="shared" si="181"/>
        <v>0</v>
      </c>
      <c r="N407" s="4317">
        <f t="shared" si="181"/>
        <v>0</v>
      </c>
      <c r="O407" s="4317">
        <f t="shared" si="181"/>
        <v>0</v>
      </c>
      <c r="P407" s="4466">
        <f t="shared" si="181"/>
        <v>0</v>
      </c>
      <c r="Q407" s="3709"/>
    </row>
    <row r="408" spans="2:17" x14ac:dyDescent="0.3">
      <c r="B408" s="4413" t="s">
        <v>554</v>
      </c>
      <c r="C408" s="5351"/>
      <c r="D408" s="4414"/>
      <c r="E408" s="4317"/>
      <c r="F408" s="4317"/>
      <c r="G408" s="4317"/>
      <c r="H408" s="4317"/>
      <c r="I408" s="4317"/>
      <c r="J408" s="4317"/>
      <c r="K408" s="4317"/>
      <c r="L408" s="4317"/>
      <c r="M408" s="4317"/>
      <c r="N408" s="4317"/>
      <c r="O408" s="4317"/>
      <c r="P408" s="4466"/>
      <c r="Q408" s="3709"/>
    </row>
    <row r="409" spans="2:17" x14ac:dyDescent="0.3">
      <c r="B409" s="4413" t="s">
        <v>427</v>
      </c>
      <c r="C409" s="4414">
        <f>C406-C407-C408</f>
        <v>0</v>
      </c>
      <c r="D409" s="4414" t="s">
        <v>145</v>
      </c>
      <c r="E409" s="4317">
        <f t="shared" ref="E409:P409" si="182">IF($C411=E$7,$C409,0)</f>
        <v>0</v>
      </c>
      <c r="F409" s="4317">
        <f t="shared" si="182"/>
        <v>0</v>
      </c>
      <c r="G409" s="4317">
        <f t="shared" si="182"/>
        <v>0</v>
      </c>
      <c r="H409" s="4317">
        <f t="shared" si="182"/>
        <v>0</v>
      </c>
      <c r="I409" s="4317">
        <f t="shared" si="182"/>
        <v>0</v>
      </c>
      <c r="J409" s="4317">
        <f t="shared" si="182"/>
        <v>0</v>
      </c>
      <c r="K409" s="4317">
        <f t="shared" si="182"/>
        <v>0</v>
      </c>
      <c r="L409" s="4317">
        <f t="shared" si="182"/>
        <v>0</v>
      </c>
      <c r="M409" s="4317">
        <f t="shared" si="182"/>
        <v>0</v>
      </c>
      <c r="N409" s="4317">
        <f t="shared" si="182"/>
        <v>0</v>
      </c>
      <c r="O409" s="4317">
        <f t="shared" si="182"/>
        <v>0</v>
      </c>
      <c r="P409" s="4466">
        <f t="shared" si="182"/>
        <v>0</v>
      </c>
      <c r="Q409" s="4467" t="str">
        <f>B409&amp;B403</f>
        <v>Saldo Vendible 0</v>
      </c>
    </row>
    <row r="410" spans="2:17" x14ac:dyDescent="0.3">
      <c r="B410" s="3723" t="s">
        <v>2415</v>
      </c>
      <c r="C410" s="5352"/>
      <c r="D410" s="3523" t="s">
        <v>362</v>
      </c>
      <c r="E410" s="4468"/>
      <c r="F410" s="4313"/>
      <c r="G410" s="4313"/>
      <c r="H410" s="4313"/>
      <c r="I410" s="4313"/>
      <c r="J410" s="4313"/>
      <c r="K410" s="4313"/>
      <c r="L410" s="4313"/>
      <c r="M410" s="4313"/>
      <c r="N410" s="4313"/>
      <c r="O410" s="4313"/>
      <c r="P410" s="4461"/>
      <c r="Q410" s="3709"/>
    </row>
    <row r="411" spans="2:17" ht="15.05" thickBot="1" x14ac:dyDescent="0.35">
      <c r="B411" s="4469" t="s">
        <v>429</v>
      </c>
      <c r="C411" s="4470"/>
      <c r="D411" s="4471" t="s">
        <v>431</v>
      </c>
      <c r="E411" s="4313"/>
      <c r="F411" s="4313"/>
      <c r="G411" s="4313"/>
      <c r="H411" s="4313"/>
      <c r="I411" s="4313"/>
      <c r="J411" s="4313"/>
      <c r="K411" s="4313"/>
      <c r="L411" s="4313"/>
      <c r="M411" s="4313"/>
      <c r="N411" s="4313"/>
      <c r="O411" s="4313"/>
      <c r="P411" s="4461"/>
      <c r="Q411" s="3709"/>
    </row>
    <row r="412" spans="2:17" ht="15.05" thickBot="1" x14ac:dyDescent="0.35">
      <c r="B412" s="4337" t="s">
        <v>444</v>
      </c>
      <c r="C412" s="4472"/>
      <c r="D412" s="4472"/>
      <c r="E412" s="4340">
        <f t="shared" ref="E412:P412" si="183">IF($C$411=E$7,$C$406*$C$410,0)</f>
        <v>0</v>
      </c>
      <c r="F412" s="4340">
        <f t="shared" si="183"/>
        <v>0</v>
      </c>
      <c r="G412" s="4340">
        <f t="shared" si="183"/>
        <v>0</v>
      </c>
      <c r="H412" s="4340">
        <f t="shared" si="183"/>
        <v>0</v>
      </c>
      <c r="I412" s="4340">
        <f t="shared" si="183"/>
        <v>0</v>
      </c>
      <c r="J412" s="4340">
        <f t="shared" si="183"/>
        <v>0</v>
      </c>
      <c r="K412" s="4340">
        <f t="shared" si="183"/>
        <v>0</v>
      </c>
      <c r="L412" s="4340">
        <f t="shared" si="183"/>
        <v>0</v>
      </c>
      <c r="M412" s="4340">
        <f t="shared" si="183"/>
        <v>0</v>
      </c>
      <c r="N412" s="4340">
        <f t="shared" si="183"/>
        <v>0</v>
      </c>
      <c r="O412" s="4340">
        <f t="shared" si="183"/>
        <v>0</v>
      </c>
      <c r="P412" s="4473">
        <f t="shared" si="183"/>
        <v>0</v>
      </c>
      <c r="Q412" s="3709"/>
    </row>
    <row r="413" spans="2:17" ht="15.05" hidden="1" thickBot="1" x14ac:dyDescent="0.35">
      <c r="B413" s="4474" t="s">
        <v>445</v>
      </c>
      <c r="C413" s="4475"/>
      <c r="D413" s="4475">
        <f>C409*C410</f>
        <v>0</v>
      </c>
      <c r="E413" s="4476">
        <f>+E628</f>
        <v>0</v>
      </c>
      <c r="F413" s="4476">
        <f t="shared" ref="F413:P413" si="184">+F628</f>
        <v>0</v>
      </c>
      <c r="G413" s="4476">
        <f t="shared" si="184"/>
        <v>0</v>
      </c>
      <c r="H413" s="4476">
        <f t="shared" si="184"/>
        <v>0</v>
      </c>
      <c r="I413" s="4476">
        <f t="shared" si="184"/>
        <v>0</v>
      </c>
      <c r="J413" s="4476">
        <f t="shared" si="184"/>
        <v>0</v>
      </c>
      <c r="K413" s="4476">
        <f t="shared" si="184"/>
        <v>0</v>
      </c>
      <c r="L413" s="4476">
        <f t="shared" si="184"/>
        <v>0</v>
      </c>
      <c r="M413" s="4476">
        <f t="shared" si="184"/>
        <v>0</v>
      </c>
      <c r="N413" s="4476">
        <f t="shared" si="184"/>
        <v>0</v>
      </c>
      <c r="O413" s="4476">
        <f t="shared" si="184"/>
        <v>0</v>
      </c>
      <c r="P413" s="4477">
        <f t="shared" si="184"/>
        <v>0</v>
      </c>
      <c r="Q413" s="3709"/>
    </row>
    <row r="414" spans="2:17" x14ac:dyDescent="0.3">
      <c r="B414" s="4391">
        <f>+UsoSuelo!D365</f>
        <v>0</v>
      </c>
      <c r="C414" s="4392"/>
      <c r="D414" s="4392"/>
      <c r="E414" s="4393"/>
      <c r="F414" s="4393"/>
      <c r="G414" s="4393"/>
      <c r="H414" s="4393"/>
      <c r="I414" s="4393"/>
      <c r="J414" s="4393"/>
      <c r="K414" s="4393"/>
      <c r="L414" s="4393"/>
      <c r="M414" s="4393"/>
      <c r="N414" s="4393"/>
      <c r="O414" s="4393"/>
      <c r="P414" s="4478"/>
      <c r="Q414" s="3709"/>
    </row>
    <row r="415" spans="2:17" x14ac:dyDescent="0.3">
      <c r="B415" s="4458" t="s">
        <v>435</v>
      </c>
      <c r="C415" s="4459">
        <f>+UsoSuelo!T365</f>
        <v>0</v>
      </c>
      <c r="D415" s="3678" t="s">
        <v>247</v>
      </c>
      <c r="E415" s="4357"/>
      <c r="F415" s="4357"/>
      <c r="G415" s="4357"/>
      <c r="H415" s="4357"/>
      <c r="I415" s="4357"/>
      <c r="J415" s="4357"/>
      <c r="K415" s="4357"/>
      <c r="L415" s="4357"/>
      <c r="M415" s="4357"/>
      <c r="N415" s="4357"/>
      <c r="O415" s="4357"/>
      <c r="P415" s="4460"/>
      <c r="Q415" s="3709"/>
    </row>
    <row r="416" spans="2:17" x14ac:dyDescent="0.3">
      <c r="B416" s="3723" t="s">
        <v>433</v>
      </c>
      <c r="C416" s="5349"/>
      <c r="D416" s="3523" t="s">
        <v>2385</v>
      </c>
      <c r="E416" s="4313"/>
      <c r="F416" s="4313"/>
      <c r="G416" s="4313"/>
      <c r="H416" s="4313"/>
      <c r="I416" s="4313"/>
      <c r="J416" s="4313"/>
      <c r="K416" s="4313"/>
      <c r="L416" s="4313"/>
      <c r="M416" s="4313"/>
      <c r="N416" s="4313"/>
      <c r="O416" s="4313"/>
      <c r="P416" s="4461"/>
      <c r="Q416" s="3709"/>
    </row>
    <row r="417" spans="2:17" x14ac:dyDescent="0.3">
      <c r="B417" s="4462" t="s">
        <v>2386</v>
      </c>
      <c r="C417" s="4463">
        <f>C416*C415</f>
        <v>0</v>
      </c>
      <c r="D417" s="4464" t="s">
        <v>145</v>
      </c>
      <c r="E417" s="4411"/>
      <c r="F417" s="4411"/>
      <c r="G417" s="4411"/>
      <c r="H417" s="4411"/>
      <c r="I417" s="4411"/>
      <c r="J417" s="4411"/>
      <c r="K417" s="4411"/>
      <c r="L417" s="4411"/>
      <c r="M417" s="4411"/>
      <c r="N417" s="4411"/>
      <c r="O417" s="4411"/>
      <c r="P417" s="4465"/>
      <c r="Q417" s="3709"/>
    </row>
    <row r="418" spans="2:17" x14ac:dyDescent="0.3">
      <c r="B418" s="4413" t="s">
        <v>2387</v>
      </c>
      <c r="C418" s="5350"/>
      <c r="D418" s="4414" t="s">
        <v>145</v>
      </c>
      <c r="E418" s="4317">
        <f t="shared" ref="E418:P418" si="185">IF($C$422=E$7,$C418,0)</f>
        <v>0</v>
      </c>
      <c r="F418" s="4317">
        <f t="shared" si="185"/>
        <v>0</v>
      </c>
      <c r="G418" s="4317">
        <f t="shared" si="185"/>
        <v>0</v>
      </c>
      <c r="H418" s="4317">
        <f t="shared" si="185"/>
        <v>0</v>
      </c>
      <c r="I418" s="4317">
        <f t="shared" si="185"/>
        <v>0</v>
      </c>
      <c r="J418" s="4317">
        <f t="shared" si="185"/>
        <v>0</v>
      </c>
      <c r="K418" s="4317">
        <f t="shared" si="185"/>
        <v>0</v>
      </c>
      <c r="L418" s="4317">
        <f t="shared" si="185"/>
        <v>0</v>
      </c>
      <c r="M418" s="4317">
        <f t="shared" si="185"/>
        <v>0</v>
      </c>
      <c r="N418" s="4317">
        <f t="shared" si="185"/>
        <v>0</v>
      </c>
      <c r="O418" s="4317">
        <f t="shared" si="185"/>
        <v>0</v>
      </c>
      <c r="P418" s="4466">
        <f t="shared" si="185"/>
        <v>0</v>
      </c>
      <c r="Q418" s="3709"/>
    </row>
    <row r="419" spans="2:17" x14ac:dyDescent="0.3">
      <c r="B419" s="4413" t="s">
        <v>554</v>
      </c>
      <c r="C419" s="5351"/>
      <c r="D419" s="4414"/>
      <c r="E419" s="4317"/>
      <c r="F419" s="4317"/>
      <c r="G419" s="4317"/>
      <c r="H419" s="4317"/>
      <c r="I419" s="4317"/>
      <c r="J419" s="4317"/>
      <c r="K419" s="4317"/>
      <c r="L419" s="4317"/>
      <c r="M419" s="4317"/>
      <c r="N419" s="4317"/>
      <c r="O419" s="4317"/>
      <c r="P419" s="4466"/>
      <c r="Q419" s="3709"/>
    </row>
    <row r="420" spans="2:17" x14ac:dyDescent="0.3">
      <c r="B420" s="4413" t="s">
        <v>427</v>
      </c>
      <c r="C420" s="4414">
        <f>C417-C418-C419</f>
        <v>0</v>
      </c>
      <c r="D420" s="4414" t="s">
        <v>145</v>
      </c>
      <c r="E420" s="4317">
        <f t="shared" ref="E420:P420" si="186">IF($C422=E$7,$C420,0)</f>
        <v>0</v>
      </c>
      <c r="F420" s="4317">
        <f t="shared" si="186"/>
        <v>0</v>
      </c>
      <c r="G420" s="4317">
        <f t="shared" si="186"/>
        <v>0</v>
      </c>
      <c r="H420" s="4317">
        <f t="shared" si="186"/>
        <v>0</v>
      </c>
      <c r="I420" s="4317">
        <f t="shared" si="186"/>
        <v>0</v>
      </c>
      <c r="J420" s="4317">
        <f t="shared" si="186"/>
        <v>0</v>
      </c>
      <c r="K420" s="4317">
        <f t="shared" si="186"/>
        <v>0</v>
      </c>
      <c r="L420" s="4317">
        <f t="shared" si="186"/>
        <v>0</v>
      </c>
      <c r="M420" s="4317">
        <f t="shared" si="186"/>
        <v>0</v>
      </c>
      <c r="N420" s="4317">
        <f t="shared" si="186"/>
        <v>0</v>
      </c>
      <c r="O420" s="4317">
        <f t="shared" si="186"/>
        <v>0</v>
      </c>
      <c r="P420" s="4466">
        <f t="shared" si="186"/>
        <v>0</v>
      </c>
      <c r="Q420" s="4467" t="str">
        <f>B420&amp;B414</f>
        <v>Saldo Vendible 0</v>
      </c>
    </row>
    <row r="421" spans="2:17" x14ac:dyDescent="0.3">
      <c r="B421" s="3723" t="s">
        <v>2415</v>
      </c>
      <c r="C421" s="5352"/>
      <c r="D421" s="3523" t="s">
        <v>362</v>
      </c>
      <c r="E421" s="4468"/>
      <c r="F421" s="4313"/>
      <c r="G421" s="4313"/>
      <c r="H421" s="4313"/>
      <c r="I421" s="4313"/>
      <c r="J421" s="4313"/>
      <c r="K421" s="4313"/>
      <c r="L421" s="4313"/>
      <c r="M421" s="4313"/>
      <c r="N421" s="4313"/>
      <c r="O421" s="4313"/>
      <c r="P421" s="4461"/>
      <c r="Q421" s="3709"/>
    </row>
    <row r="422" spans="2:17" ht="15.05" thickBot="1" x14ac:dyDescent="0.35">
      <c r="B422" s="4469" t="s">
        <v>429</v>
      </c>
      <c r="C422" s="4470"/>
      <c r="D422" s="4471" t="s">
        <v>431</v>
      </c>
      <c r="E422" s="4313"/>
      <c r="F422" s="4313"/>
      <c r="G422" s="4313"/>
      <c r="H422" s="4313"/>
      <c r="I422" s="4313"/>
      <c r="J422" s="4313"/>
      <c r="K422" s="4313"/>
      <c r="L422" s="4313"/>
      <c r="M422" s="4313"/>
      <c r="N422" s="4313"/>
      <c r="O422" s="4313"/>
      <c r="P422" s="4461"/>
      <c r="Q422" s="3709"/>
    </row>
    <row r="423" spans="2:17" ht="15.05" thickBot="1" x14ac:dyDescent="0.35">
      <c r="B423" s="4337" t="s">
        <v>444</v>
      </c>
      <c r="C423" s="4472"/>
      <c r="D423" s="4472"/>
      <c r="E423" s="4340">
        <f t="shared" ref="E423:P423" si="187">IF($C$422=E$7,$C$417*$C$421,0)</f>
        <v>0</v>
      </c>
      <c r="F423" s="4340">
        <f t="shared" si="187"/>
        <v>0</v>
      </c>
      <c r="G423" s="4340">
        <f t="shared" si="187"/>
        <v>0</v>
      </c>
      <c r="H423" s="4340">
        <f t="shared" si="187"/>
        <v>0</v>
      </c>
      <c r="I423" s="4340">
        <f t="shared" si="187"/>
        <v>0</v>
      </c>
      <c r="J423" s="4340">
        <f t="shared" si="187"/>
        <v>0</v>
      </c>
      <c r="K423" s="4340">
        <f t="shared" si="187"/>
        <v>0</v>
      </c>
      <c r="L423" s="4340">
        <f t="shared" si="187"/>
        <v>0</v>
      </c>
      <c r="M423" s="4340">
        <f t="shared" si="187"/>
        <v>0</v>
      </c>
      <c r="N423" s="4340">
        <f t="shared" si="187"/>
        <v>0</v>
      </c>
      <c r="O423" s="4340">
        <f t="shared" si="187"/>
        <v>0</v>
      </c>
      <c r="P423" s="4473">
        <f t="shared" si="187"/>
        <v>0</v>
      </c>
      <c r="Q423" s="3709"/>
    </row>
    <row r="424" spans="2:17" ht="15.05" hidden="1" thickBot="1" x14ac:dyDescent="0.35">
      <c r="B424" s="4474" t="s">
        <v>445</v>
      </c>
      <c r="C424" s="4475"/>
      <c r="D424" s="4475">
        <f>C420*C421</f>
        <v>0</v>
      </c>
      <c r="E424" s="4476">
        <f>+E629</f>
        <v>0</v>
      </c>
      <c r="F424" s="4476">
        <f t="shared" ref="F424:P424" si="188">+F629</f>
        <v>0</v>
      </c>
      <c r="G424" s="4476">
        <f t="shared" si="188"/>
        <v>0</v>
      </c>
      <c r="H424" s="4476">
        <f t="shared" si="188"/>
        <v>0</v>
      </c>
      <c r="I424" s="4476">
        <f t="shared" si="188"/>
        <v>0</v>
      </c>
      <c r="J424" s="4476">
        <f t="shared" si="188"/>
        <v>0</v>
      </c>
      <c r="K424" s="4476">
        <f t="shared" si="188"/>
        <v>0</v>
      </c>
      <c r="L424" s="4476">
        <f t="shared" si="188"/>
        <v>0</v>
      </c>
      <c r="M424" s="4476">
        <f t="shared" si="188"/>
        <v>0</v>
      </c>
      <c r="N424" s="4476">
        <f t="shared" si="188"/>
        <v>0</v>
      </c>
      <c r="O424" s="4476">
        <f t="shared" si="188"/>
        <v>0</v>
      </c>
      <c r="P424" s="4477">
        <f t="shared" si="188"/>
        <v>0</v>
      </c>
      <c r="Q424" s="3709"/>
    </row>
    <row r="425" spans="2:17" x14ac:dyDescent="0.3">
      <c r="B425" s="4391">
        <f>+UsoSuelo!D366</f>
        <v>0</v>
      </c>
      <c r="C425" s="4392"/>
      <c r="D425" s="4392"/>
      <c r="E425" s="4393"/>
      <c r="F425" s="4393"/>
      <c r="G425" s="4393"/>
      <c r="H425" s="4393"/>
      <c r="I425" s="4393"/>
      <c r="J425" s="4393"/>
      <c r="K425" s="4393"/>
      <c r="L425" s="4393"/>
      <c r="M425" s="4393"/>
      <c r="N425" s="4393"/>
      <c r="O425" s="4393"/>
      <c r="P425" s="4478"/>
      <c r="Q425" s="3709"/>
    </row>
    <row r="426" spans="2:17" x14ac:dyDescent="0.3">
      <c r="B426" s="4458" t="s">
        <v>435</v>
      </c>
      <c r="C426" s="4459">
        <f>+UsoSuelo!T366</f>
        <v>0</v>
      </c>
      <c r="D426" s="3678" t="s">
        <v>247</v>
      </c>
      <c r="E426" s="4357"/>
      <c r="F426" s="4357"/>
      <c r="G426" s="4357"/>
      <c r="H426" s="4357"/>
      <c r="I426" s="4357"/>
      <c r="J426" s="4357"/>
      <c r="K426" s="4357"/>
      <c r="L426" s="4357"/>
      <c r="M426" s="4357"/>
      <c r="N426" s="4357"/>
      <c r="O426" s="4357"/>
      <c r="P426" s="4460"/>
      <c r="Q426" s="3709"/>
    </row>
    <row r="427" spans="2:17" x14ac:dyDescent="0.3">
      <c r="B427" s="3723" t="s">
        <v>433</v>
      </c>
      <c r="C427" s="5349"/>
      <c r="D427" s="3523" t="s">
        <v>2385</v>
      </c>
      <c r="E427" s="4313"/>
      <c r="F427" s="4313"/>
      <c r="G427" s="4313"/>
      <c r="H427" s="4313"/>
      <c r="I427" s="4313"/>
      <c r="J427" s="4313"/>
      <c r="K427" s="4313"/>
      <c r="L427" s="4313"/>
      <c r="M427" s="4313"/>
      <c r="N427" s="4313"/>
      <c r="O427" s="4313"/>
      <c r="P427" s="4461"/>
      <c r="Q427" s="3709"/>
    </row>
    <row r="428" spans="2:17" x14ac:dyDescent="0.3">
      <c r="B428" s="4462" t="s">
        <v>2386</v>
      </c>
      <c r="C428" s="4463">
        <f>C427*C426</f>
        <v>0</v>
      </c>
      <c r="D428" s="4464" t="s">
        <v>145</v>
      </c>
      <c r="E428" s="4411"/>
      <c r="F428" s="4411"/>
      <c r="G428" s="4411"/>
      <c r="H428" s="4411"/>
      <c r="I428" s="4411"/>
      <c r="J428" s="4411"/>
      <c r="K428" s="4411"/>
      <c r="L428" s="4411"/>
      <c r="M428" s="4411"/>
      <c r="N428" s="4411"/>
      <c r="O428" s="4411"/>
      <c r="P428" s="4465"/>
      <c r="Q428" s="3709"/>
    </row>
    <row r="429" spans="2:17" x14ac:dyDescent="0.3">
      <c r="B429" s="4413" t="s">
        <v>2387</v>
      </c>
      <c r="C429" s="5350"/>
      <c r="D429" s="4414" t="s">
        <v>145</v>
      </c>
      <c r="E429" s="4317">
        <f t="shared" ref="E429:P429" si="189">IF($C$433=E$7,$C429,0)</f>
        <v>0</v>
      </c>
      <c r="F429" s="4317">
        <f t="shared" si="189"/>
        <v>0</v>
      </c>
      <c r="G429" s="4317">
        <f t="shared" si="189"/>
        <v>0</v>
      </c>
      <c r="H429" s="4317">
        <f t="shared" si="189"/>
        <v>0</v>
      </c>
      <c r="I429" s="4317">
        <f t="shared" si="189"/>
        <v>0</v>
      </c>
      <c r="J429" s="4317">
        <f t="shared" si="189"/>
        <v>0</v>
      </c>
      <c r="K429" s="4317">
        <f t="shared" si="189"/>
        <v>0</v>
      </c>
      <c r="L429" s="4317">
        <f t="shared" si="189"/>
        <v>0</v>
      </c>
      <c r="M429" s="4317">
        <f t="shared" si="189"/>
        <v>0</v>
      </c>
      <c r="N429" s="4317">
        <f t="shared" si="189"/>
        <v>0</v>
      </c>
      <c r="O429" s="4317">
        <f t="shared" si="189"/>
        <v>0</v>
      </c>
      <c r="P429" s="4466">
        <f t="shared" si="189"/>
        <v>0</v>
      </c>
      <c r="Q429" s="3709"/>
    </row>
    <row r="430" spans="2:17" x14ac:dyDescent="0.3">
      <c r="B430" s="4413" t="s">
        <v>554</v>
      </c>
      <c r="C430" s="5351"/>
      <c r="D430" s="4414"/>
      <c r="E430" s="4317"/>
      <c r="F430" s="4317"/>
      <c r="G430" s="4317"/>
      <c r="H430" s="4317"/>
      <c r="I430" s="4317"/>
      <c r="J430" s="4317"/>
      <c r="K430" s="4317"/>
      <c r="L430" s="4317"/>
      <c r="M430" s="4317"/>
      <c r="N430" s="4317"/>
      <c r="O430" s="4317"/>
      <c r="P430" s="4466"/>
      <c r="Q430" s="3709"/>
    </row>
    <row r="431" spans="2:17" x14ac:dyDescent="0.3">
      <c r="B431" s="4413" t="s">
        <v>427</v>
      </c>
      <c r="C431" s="4414">
        <f>C428-C429-C430</f>
        <v>0</v>
      </c>
      <c r="D431" s="4414" t="s">
        <v>145</v>
      </c>
      <c r="E431" s="4317">
        <f t="shared" ref="E431:P431" si="190">IF($C433=E$7,$C431,0)</f>
        <v>0</v>
      </c>
      <c r="F431" s="4317">
        <f t="shared" si="190"/>
        <v>0</v>
      </c>
      <c r="G431" s="4317">
        <f t="shared" si="190"/>
        <v>0</v>
      </c>
      <c r="H431" s="4317">
        <f t="shared" si="190"/>
        <v>0</v>
      </c>
      <c r="I431" s="4317">
        <f t="shared" si="190"/>
        <v>0</v>
      </c>
      <c r="J431" s="4317">
        <f t="shared" si="190"/>
        <v>0</v>
      </c>
      <c r="K431" s="4317">
        <f t="shared" si="190"/>
        <v>0</v>
      </c>
      <c r="L431" s="4317">
        <f t="shared" si="190"/>
        <v>0</v>
      </c>
      <c r="M431" s="4317">
        <f t="shared" si="190"/>
        <v>0</v>
      </c>
      <c r="N431" s="4317">
        <f t="shared" si="190"/>
        <v>0</v>
      </c>
      <c r="O431" s="4317">
        <f t="shared" si="190"/>
        <v>0</v>
      </c>
      <c r="P431" s="4466">
        <f t="shared" si="190"/>
        <v>0</v>
      </c>
      <c r="Q431" s="4467" t="str">
        <f>B431&amp;B425</f>
        <v>Saldo Vendible 0</v>
      </c>
    </row>
    <row r="432" spans="2:17" x14ac:dyDescent="0.3">
      <c r="B432" s="3723" t="s">
        <v>2415</v>
      </c>
      <c r="C432" s="5352"/>
      <c r="D432" s="3523" t="s">
        <v>362</v>
      </c>
      <c r="E432" s="4468"/>
      <c r="F432" s="4313"/>
      <c r="G432" s="4313"/>
      <c r="H432" s="4313"/>
      <c r="I432" s="4313"/>
      <c r="J432" s="4313"/>
      <c r="K432" s="4313"/>
      <c r="L432" s="4313"/>
      <c r="M432" s="4313"/>
      <c r="N432" s="4313"/>
      <c r="O432" s="4313"/>
      <c r="P432" s="4461"/>
      <c r="Q432" s="3709"/>
    </row>
    <row r="433" spans="2:17" ht="15.05" thickBot="1" x14ac:dyDescent="0.35">
      <c r="B433" s="4469" t="s">
        <v>429</v>
      </c>
      <c r="C433" s="4470"/>
      <c r="D433" s="4471" t="s">
        <v>431</v>
      </c>
      <c r="E433" s="4313"/>
      <c r="F433" s="4313"/>
      <c r="G433" s="4313"/>
      <c r="H433" s="4313"/>
      <c r="I433" s="4313"/>
      <c r="J433" s="4313"/>
      <c r="K433" s="4313"/>
      <c r="L433" s="4313"/>
      <c r="M433" s="4313"/>
      <c r="N433" s="4313"/>
      <c r="O433" s="4313"/>
      <c r="P433" s="4461"/>
      <c r="Q433" s="3709"/>
    </row>
    <row r="434" spans="2:17" ht="15.05" thickBot="1" x14ac:dyDescent="0.35">
      <c r="B434" s="4337" t="s">
        <v>444</v>
      </c>
      <c r="C434" s="4472"/>
      <c r="D434" s="4472"/>
      <c r="E434" s="4340">
        <f t="shared" ref="E434:P434" si="191">IF($C$433=E$7,$C$428*$C$432,0)</f>
        <v>0</v>
      </c>
      <c r="F434" s="4340">
        <f t="shared" si="191"/>
        <v>0</v>
      </c>
      <c r="G434" s="4340">
        <f t="shared" si="191"/>
        <v>0</v>
      </c>
      <c r="H434" s="4340">
        <f t="shared" si="191"/>
        <v>0</v>
      </c>
      <c r="I434" s="4340">
        <f t="shared" si="191"/>
        <v>0</v>
      </c>
      <c r="J434" s="4340">
        <f t="shared" si="191"/>
        <v>0</v>
      </c>
      <c r="K434" s="4340">
        <f t="shared" si="191"/>
        <v>0</v>
      </c>
      <c r="L434" s="4340">
        <f t="shared" si="191"/>
        <v>0</v>
      </c>
      <c r="M434" s="4340">
        <f t="shared" si="191"/>
        <v>0</v>
      </c>
      <c r="N434" s="4340">
        <f t="shared" si="191"/>
        <v>0</v>
      </c>
      <c r="O434" s="4340">
        <f t="shared" si="191"/>
        <v>0</v>
      </c>
      <c r="P434" s="4473">
        <f t="shared" si="191"/>
        <v>0</v>
      </c>
      <c r="Q434" s="3709"/>
    </row>
    <row r="435" spans="2:17" ht="15.05" hidden="1" thickBot="1" x14ac:dyDescent="0.35">
      <c r="B435" s="4474" t="s">
        <v>445</v>
      </c>
      <c r="C435" s="4475"/>
      <c r="D435" s="4475">
        <f>C431*C432</f>
        <v>0</v>
      </c>
      <c r="E435" s="4476">
        <f>+E630</f>
        <v>0</v>
      </c>
      <c r="F435" s="4476">
        <f t="shared" ref="F435:P435" si="192">+F630</f>
        <v>0</v>
      </c>
      <c r="G435" s="4476">
        <f t="shared" si="192"/>
        <v>0</v>
      </c>
      <c r="H435" s="4476">
        <f t="shared" si="192"/>
        <v>0</v>
      </c>
      <c r="I435" s="4476">
        <f t="shared" si="192"/>
        <v>0</v>
      </c>
      <c r="J435" s="4476">
        <f t="shared" si="192"/>
        <v>0</v>
      </c>
      <c r="K435" s="4476">
        <f t="shared" si="192"/>
        <v>0</v>
      </c>
      <c r="L435" s="4476">
        <f t="shared" si="192"/>
        <v>0</v>
      </c>
      <c r="M435" s="4476">
        <f t="shared" si="192"/>
        <v>0</v>
      </c>
      <c r="N435" s="4476">
        <f t="shared" si="192"/>
        <v>0</v>
      </c>
      <c r="O435" s="4476">
        <f t="shared" si="192"/>
        <v>0</v>
      </c>
      <c r="P435" s="4477">
        <f t="shared" si="192"/>
        <v>0</v>
      </c>
      <c r="Q435" s="3709"/>
    </row>
    <row r="436" spans="2:17" x14ac:dyDescent="0.3">
      <c r="B436" s="4391">
        <f>+UsoSuelo!D367</f>
        <v>0</v>
      </c>
      <c r="C436" s="4392"/>
      <c r="D436" s="4392"/>
      <c r="E436" s="4393"/>
      <c r="F436" s="4393"/>
      <c r="G436" s="4393"/>
      <c r="H436" s="4393"/>
      <c r="I436" s="4393"/>
      <c r="J436" s="4393"/>
      <c r="K436" s="4393"/>
      <c r="L436" s="4393"/>
      <c r="M436" s="4393"/>
      <c r="N436" s="4393"/>
      <c r="O436" s="4393"/>
      <c r="P436" s="4478"/>
      <c r="Q436" s="3709"/>
    </row>
    <row r="437" spans="2:17" x14ac:dyDescent="0.3">
      <c r="B437" s="4458" t="s">
        <v>435</v>
      </c>
      <c r="C437" s="4459">
        <f>+UsoSuelo!T367</f>
        <v>0</v>
      </c>
      <c r="D437" s="3678" t="s">
        <v>247</v>
      </c>
      <c r="E437" s="4357"/>
      <c r="F437" s="4357"/>
      <c r="G437" s="4357"/>
      <c r="H437" s="4357"/>
      <c r="I437" s="4357"/>
      <c r="J437" s="4357"/>
      <c r="K437" s="4357"/>
      <c r="L437" s="4357"/>
      <c r="M437" s="4357"/>
      <c r="N437" s="4357"/>
      <c r="O437" s="4357"/>
      <c r="P437" s="4460"/>
      <c r="Q437" s="3709"/>
    </row>
    <row r="438" spans="2:17" x14ac:dyDescent="0.3">
      <c r="B438" s="3723" t="s">
        <v>433</v>
      </c>
      <c r="C438" s="5349"/>
      <c r="D438" s="3523" t="s">
        <v>2385</v>
      </c>
      <c r="E438" s="4313"/>
      <c r="F438" s="4313"/>
      <c r="G438" s="4313"/>
      <c r="H438" s="4313"/>
      <c r="I438" s="4313"/>
      <c r="J438" s="4313"/>
      <c r="K438" s="4313"/>
      <c r="L438" s="4313"/>
      <c r="M438" s="4313"/>
      <c r="N438" s="4313"/>
      <c r="O438" s="4313"/>
      <c r="P438" s="4461"/>
      <c r="Q438" s="3709"/>
    </row>
    <row r="439" spans="2:17" x14ac:dyDescent="0.3">
      <c r="B439" s="4462" t="s">
        <v>2386</v>
      </c>
      <c r="C439" s="4463">
        <f>C438*C437</f>
        <v>0</v>
      </c>
      <c r="D439" s="4464" t="s">
        <v>145</v>
      </c>
      <c r="E439" s="4411"/>
      <c r="F439" s="4411"/>
      <c r="G439" s="4411"/>
      <c r="H439" s="4411"/>
      <c r="I439" s="4411"/>
      <c r="J439" s="4411"/>
      <c r="K439" s="4411"/>
      <c r="L439" s="4411"/>
      <c r="M439" s="4411"/>
      <c r="N439" s="4411"/>
      <c r="O439" s="4411"/>
      <c r="P439" s="4465"/>
      <c r="Q439" s="3709"/>
    </row>
    <row r="440" spans="2:17" x14ac:dyDescent="0.3">
      <c r="B440" s="4413" t="s">
        <v>2387</v>
      </c>
      <c r="C440" s="5350"/>
      <c r="D440" s="4414" t="s">
        <v>145</v>
      </c>
      <c r="E440" s="4317">
        <f t="shared" ref="E440:P440" si="193">IF($C$443=E$7,$C440,0)</f>
        <v>0</v>
      </c>
      <c r="F440" s="4317">
        <f t="shared" si="193"/>
        <v>0</v>
      </c>
      <c r="G440" s="4317">
        <f t="shared" si="193"/>
        <v>0</v>
      </c>
      <c r="H440" s="4317">
        <f t="shared" si="193"/>
        <v>0</v>
      </c>
      <c r="I440" s="4317">
        <f t="shared" si="193"/>
        <v>0</v>
      </c>
      <c r="J440" s="4317">
        <f t="shared" si="193"/>
        <v>0</v>
      </c>
      <c r="K440" s="4317">
        <f t="shared" si="193"/>
        <v>0</v>
      </c>
      <c r="L440" s="4317">
        <f t="shared" si="193"/>
        <v>0</v>
      </c>
      <c r="M440" s="4317">
        <f t="shared" si="193"/>
        <v>0</v>
      </c>
      <c r="N440" s="4317">
        <f t="shared" si="193"/>
        <v>0</v>
      </c>
      <c r="O440" s="4317">
        <f t="shared" si="193"/>
        <v>0</v>
      </c>
      <c r="P440" s="4466">
        <f t="shared" si="193"/>
        <v>0</v>
      </c>
      <c r="Q440" s="3709"/>
    </row>
    <row r="441" spans="2:17" x14ac:dyDescent="0.3">
      <c r="B441" s="4413" t="s">
        <v>554</v>
      </c>
      <c r="C441" s="5351"/>
      <c r="D441" s="4414"/>
      <c r="E441" s="4317"/>
      <c r="F441" s="4317"/>
      <c r="G441" s="4317"/>
      <c r="H441" s="4317"/>
      <c r="I441" s="4317"/>
      <c r="J441" s="4317"/>
      <c r="K441" s="4317"/>
      <c r="L441" s="4317"/>
      <c r="M441" s="4317"/>
      <c r="N441" s="4317"/>
      <c r="O441" s="4317"/>
      <c r="P441" s="4466"/>
      <c r="Q441" s="3709"/>
    </row>
    <row r="442" spans="2:17" x14ac:dyDescent="0.3">
      <c r="B442" s="4413" t="s">
        <v>427</v>
      </c>
      <c r="C442" s="4414">
        <f>C439-C440-C441</f>
        <v>0</v>
      </c>
      <c r="D442" s="4414" t="s">
        <v>145</v>
      </c>
      <c r="E442" s="4317">
        <f t="shared" ref="E442:P442" si="194">IF($C444=E$7,$C442,0)</f>
        <v>0</v>
      </c>
      <c r="F442" s="4317">
        <f t="shared" si="194"/>
        <v>0</v>
      </c>
      <c r="G442" s="4317">
        <f t="shared" si="194"/>
        <v>0</v>
      </c>
      <c r="H442" s="4317">
        <f t="shared" si="194"/>
        <v>0</v>
      </c>
      <c r="I442" s="4317">
        <f t="shared" si="194"/>
        <v>0</v>
      </c>
      <c r="J442" s="4317">
        <f t="shared" si="194"/>
        <v>0</v>
      </c>
      <c r="K442" s="4317">
        <f t="shared" si="194"/>
        <v>0</v>
      </c>
      <c r="L442" s="4317">
        <f t="shared" si="194"/>
        <v>0</v>
      </c>
      <c r="M442" s="4317">
        <f t="shared" si="194"/>
        <v>0</v>
      </c>
      <c r="N442" s="4317">
        <f t="shared" si="194"/>
        <v>0</v>
      </c>
      <c r="O442" s="4317">
        <f t="shared" si="194"/>
        <v>0</v>
      </c>
      <c r="P442" s="4466">
        <f t="shared" si="194"/>
        <v>0</v>
      </c>
      <c r="Q442" s="4467" t="str">
        <f>B442&amp;B436</f>
        <v>Saldo Vendible 0</v>
      </c>
    </row>
    <row r="443" spans="2:17" x14ac:dyDescent="0.3">
      <c r="B443" s="3723" t="s">
        <v>2415</v>
      </c>
      <c r="C443" s="5352"/>
      <c r="D443" s="3523" t="s">
        <v>362</v>
      </c>
      <c r="E443" s="4468"/>
      <c r="F443" s="4313"/>
      <c r="G443" s="4313"/>
      <c r="H443" s="4313"/>
      <c r="I443" s="4313"/>
      <c r="J443" s="4313"/>
      <c r="K443" s="4313"/>
      <c r="L443" s="4313"/>
      <c r="M443" s="4313"/>
      <c r="N443" s="4313"/>
      <c r="O443" s="4313"/>
      <c r="P443" s="4461"/>
      <c r="Q443" s="3709"/>
    </row>
    <row r="444" spans="2:17" ht="15.05" thickBot="1" x14ac:dyDescent="0.35">
      <c r="B444" s="4469" t="s">
        <v>429</v>
      </c>
      <c r="C444" s="4470"/>
      <c r="D444" s="4471" t="s">
        <v>431</v>
      </c>
      <c r="E444" s="4313"/>
      <c r="F444" s="4313"/>
      <c r="G444" s="4313"/>
      <c r="H444" s="4313"/>
      <c r="I444" s="4313"/>
      <c r="J444" s="4313"/>
      <c r="K444" s="4313"/>
      <c r="L444" s="4313"/>
      <c r="M444" s="4313"/>
      <c r="N444" s="4313"/>
      <c r="O444" s="4313"/>
      <c r="P444" s="4461"/>
      <c r="Q444" s="3709"/>
    </row>
    <row r="445" spans="2:17" ht="15.05" thickBot="1" x14ac:dyDescent="0.35">
      <c r="B445" s="4337" t="s">
        <v>444</v>
      </c>
      <c r="C445" s="4472"/>
      <c r="D445" s="4472"/>
      <c r="E445" s="4340">
        <f t="shared" ref="E445:P445" si="195">IF($C$444=E$7,$C$439*$C$443,0)</f>
        <v>0</v>
      </c>
      <c r="F445" s="4340">
        <f t="shared" si="195"/>
        <v>0</v>
      </c>
      <c r="G445" s="4340">
        <f t="shared" si="195"/>
        <v>0</v>
      </c>
      <c r="H445" s="4340">
        <f t="shared" si="195"/>
        <v>0</v>
      </c>
      <c r="I445" s="4340">
        <f t="shared" si="195"/>
        <v>0</v>
      </c>
      <c r="J445" s="4340">
        <f t="shared" si="195"/>
        <v>0</v>
      </c>
      <c r="K445" s="4340">
        <f t="shared" si="195"/>
        <v>0</v>
      </c>
      <c r="L445" s="4340">
        <f t="shared" si="195"/>
        <v>0</v>
      </c>
      <c r="M445" s="4340">
        <f t="shared" si="195"/>
        <v>0</v>
      </c>
      <c r="N445" s="4340">
        <f t="shared" si="195"/>
        <v>0</v>
      </c>
      <c r="O445" s="4340">
        <f t="shared" si="195"/>
        <v>0</v>
      </c>
      <c r="P445" s="4473">
        <f t="shared" si="195"/>
        <v>0</v>
      </c>
      <c r="Q445" s="3709"/>
    </row>
    <row r="446" spans="2:17" ht="15.05" hidden="1" thickBot="1" x14ac:dyDescent="0.35">
      <c r="B446" s="4474" t="s">
        <v>445</v>
      </c>
      <c r="C446" s="4475"/>
      <c r="D446" s="4475">
        <f>C442*C443</f>
        <v>0</v>
      </c>
      <c r="E446" s="4476">
        <f>+E631</f>
        <v>0</v>
      </c>
      <c r="F446" s="4476">
        <f t="shared" ref="F446:P446" si="196">+F631</f>
        <v>0</v>
      </c>
      <c r="G446" s="4476">
        <f t="shared" si="196"/>
        <v>0</v>
      </c>
      <c r="H446" s="4476">
        <f t="shared" si="196"/>
        <v>0</v>
      </c>
      <c r="I446" s="4476">
        <f t="shared" si="196"/>
        <v>0</v>
      </c>
      <c r="J446" s="4476">
        <f t="shared" si="196"/>
        <v>0</v>
      </c>
      <c r="K446" s="4476">
        <f t="shared" si="196"/>
        <v>0</v>
      </c>
      <c r="L446" s="4476">
        <f t="shared" si="196"/>
        <v>0</v>
      </c>
      <c r="M446" s="4476">
        <f t="shared" si="196"/>
        <v>0</v>
      </c>
      <c r="N446" s="4476">
        <f t="shared" si="196"/>
        <v>0</v>
      </c>
      <c r="O446" s="4476">
        <f t="shared" si="196"/>
        <v>0</v>
      </c>
      <c r="P446" s="4477">
        <f t="shared" si="196"/>
        <v>0</v>
      </c>
      <c r="Q446" s="3709"/>
    </row>
    <row r="447" spans="2:17" x14ac:dyDescent="0.3">
      <c r="B447" s="4391">
        <f>+UsoSuelo!D368</f>
        <v>0</v>
      </c>
      <c r="C447" s="4392"/>
      <c r="D447" s="4392"/>
      <c r="E447" s="4393"/>
      <c r="F447" s="4393"/>
      <c r="G447" s="4393"/>
      <c r="H447" s="4393"/>
      <c r="I447" s="4393"/>
      <c r="J447" s="4393"/>
      <c r="K447" s="4393"/>
      <c r="L447" s="4393"/>
      <c r="M447" s="4393"/>
      <c r="N447" s="4393"/>
      <c r="O447" s="4393"/>
      <c r="P447" s="4478"/>
      <c r="Q447" s="3709"/>
    </row>
    <row r="448" spans="2:17" x14ac:dyDescent="0.3">
      <c r="B448" s="4458" t="s">
        <v>435</v>
      </c>
      <c r="C448" s="4459">
        <f>+UsoSuelo!T368</f>
        <v>0</v>
      </c>
      <c r="D448" s="3678" t="s">
        <v>247</v>
      </c>
      <c r="E448" s="4357"/>
      <c r="F448" s="4357"/>
      <c r="G448" s="4357"/>
      <c r="H448" s="4357"/>
      <c r="I448" s="4357"/>
      <c r="J448" s="4357"/>
      <c r="K448" s="4357"/>
      <c r="L448" s="4357"/>
      <c r="M448" s="4357"/>
      <c r="N448" s="4357"/>
      <c r="O448" s="4357"/>
      <c r="P448" s="4460"/>
      <c r="Q448" s="3709"/>
    </row>
    <row r="449" spans="2:17" x14ac:dyDescent="0.3">
      <c r="B449" s="3723" t="s">
        <v>433</v>
      </c>
      <c r="C449" s="5349"/>
      <c r="D449" s="3523" t="s">
        <v>2385</v>
      </c>
      <c r="E449" s="4313"/>
      <c r="F449" s="4313"/>
      <c r="G449" s="4313"/>
      <c r="H449" s="4313"/>
      <c r="I449" s="4313"/>
      <c r="J449" s="4313"/>
      <c r="K449" s="4313"/>
      <c r="L449" s="4313"/>
      <c r="M449" s="4313"/>
      <c r="N449" s="4313"/>
      <c r="O449" s="4313"/>
      <c r="P449" s="4461"/>
      <c r="Q449" s="3709"/>
    </row>
    <row r="450" spans="2:17" x14ac:dyDescent="0.3">
      <c r="B450" s="4462" t="s">
        <v>2386</v>
      </c>
      <c r="C450" s="4463">
        <f>C449*C448</f>
        <v>0</v>
      </c>
      <c r="D450" s="4464" t="s">
        <v>145</v>
      </c>
      <c r="E450" s="4411"/>
      <c r="F450" s="4411"/>
      <c r="G450" s="4411"/>
      <c r="H450" s="4411"/>
      <c r="I450" s="4411"/>
      <c r="J450" s="4411"/>
      <c r="K450" s="4411"/>
      <c r="L450" s="4411"/>
      <c r="M450" s="4411"/>
      <c r="N450" s="4411"/>
      <c r="O450" s="4411"/>
      <c r="P450" s="4465"/>
      <c r="Q450" s="3709"/>
    </row>
    <row r="451" spans="2:17" x14ac:dyDescent="0.3">
      <c r="B451" s="4413" t="s">
        <v>2387</v>
      </c>
      <c r="C451" s="5350"/>
      <c r="D451" s="4414" t="s">
        <v>145</v>
      </c>
      <c r="E451" s="4317">
        <f t="shared" ref="E451:P451" si="197">IF($C$455=E$7,$C451,0)</f>
        <v>0</v>
      </c>
      <c r="F451" s="4317">
        <f t="shared" si="197"/>
        <v>0</v>
      </c>
      <c r="G451" s="4317">
        <f t="shared" si="197"/>
        <v>0</v>
      </c>
      <c r="H451" s="4317">
        <f t="shared" si="197"/>
        <v>0</v>
      </c>
      <c r="I451" s="4317">
        <f t="shared" si="197"/>
        <v>0</v>
      </c>
      <c r="J451" s="4317">
        <f t="shared" si="197"/>
        <v>0</v>
      </c>
      <c r="K451" s="4317">
        <f t="shared" si="197"/>
        <v>0</v>
      </c>
      <c r="L451" s="4317">
        <f t="shared" si="197"/>
        <v>0</v>
      </c>
      <c r="M451" s="4317">
        <f t="shared" si="197"/>
        <v>0</v>
      </c>
      <c r="N451" s="4317">
        <f t="shared" si="197"/>
        <v>0</v>
      </c>
      <c r="O451" s="4317">
        <f t="shared" si="197"/>
        <v>0</v>
      </c>
      <c r="P451" s="4466">
        <f t="shared" si="197"/>
        <v>0</v>
      </c>
      <c r="Q451" s="3709"/>
    </row>
    <row r="452" spans="2:17" x14ac:dyDescent="0.3">
      <c r="B452" s="4413" t="s">
        <v>554</v>
      </c>
      <c r="C452" s="5351"/>
      <c r="D452" s="4414"/>
      <c r="E452" s="4317"/>
      <c r="F452" s="4317"/>
      <c r="G452" s="4317"/>
      <c r="H452" s="4317"/>
      <c r="I452" s="4317"/>
      <c r="J452" s="4317"/>
      <c r="K452" s="4317"/>
      <c r="L452" s="4317"/>
      <c r="M452" s="4317"/>
      <c r="N452" s="4317"/>
      <c r="O452" s="4317"/>
      <c r="P452" s="4466"/>
      <c r="Q452" s="3709"/>
    </row>
    <row r="453" spans="2:17" x14ac:dyDescent="0.3">
      <c r="B453" s="4413" t="s">
        <v>427</v>
      </c>
      <c r="C453" s="4414">
        <f>C450-C451-C452</f>
        <v>0</v>
      </c>
      <c r="D453" s="4414" t="s">
        <v>145</v>
      </c>
      <c r="E453" s="4317">
        <f t="shared" ref="E453:P453" si="198">IF($C455=E$7,$C453,0)</f>
        <v>0</v>
      </c>
      <c r="F453" s="4317">
        <f t="shared" si="198"/>
        <v>0</v>
      </c>
      <c r="G453" s="4317">
        <f t="shared" si="198"/>
        <v>0</v>
      </c>
      <c r="H453" s="4317">
        <f t="shared" si="198"/>
        <v>0</v>
      </c>
      <c r="I453" s="4317">
        <f t="shared" si="198"/>
        <v>0</v>
      </c>
      <c r="J453" s="4317">
        <f t="shared" si="198"/>
        <v>0</v>
      </c>
      <c r="K453" s="4317">
        <f t="shared" si="198"/>
        <v>0</v>
      </c>
      <c r="L453" s="4317">
        <f t="shared" si="198"/>
        <v>0</v>
      </c>
      <c r="M453" s="4317">
        <f t="shared" si="198"/>
        <v>0</v>
      </c>
      <c r="N453" s="4317">
        <f t="shared" si="198"/>
        <v>0</v>
      </c>
      <c r="O453" s="4317">
        <f t="shared" si="198"/>
        <v>0</v>
      </c>
      <c r="P453" s="4466">
        <f t="shared" si="198"/>
        <v>0</v>
      </c>
      <c r="Q453" s="4467" t="str">
        <f>B453&amp;B447</f>
        <v>Saldo Vendible 0</v>
      </c>
    </row>
    <row r="454" spans="2:17" x14ac:dyDescent="0.3">
      <c r="B454" s="3723" t="s">
        <v>2415</v>
      </c>
      <c r="C454" s="5352"/>
      <c r="D454" s="3523" t="s">
        <v>362</v>
      </c>
      <c r="E454" s="4468"/>
      <c r="F454" s="4313"/>
      <c r="G454" s="4313"/>
      <c r="H454" s="4313"/>
      <c r="I454" s="4313"/>
      <c r="J454" s="4313"/>
      <c r="K454" s="4313"/>
      <c r="L454" s="4313"/>
      <c r="M454" s="4313"/>
      <c r="N454" s="4313"/>
      <c r="O454" s="4313"/>
      <c r="P454" s="4461"/>
      <c r="Q454" s="3709"/>
    </row>
    <row r="455" spans="2:17" ht="15.05" thickBot="1" x14ac:dyDescent="0.35">
      <c r="B455" s="4469" t="s">
        <v>429</v>
      </c>
      <c r="C455" s="4470"/>
      <c r="D455" s="4471" t="s">
        <v>431</v>
      </c>
      <c r="E455" s="4313"/>
      <c r="F455" s="4313"/>
      <c r="G455" s="4313"/>
      <c r="H455" s="4313"/>
      <c r="I455" s="4313"/>
      <c r="J455" s="4313"/>
      <c r="K455" s="4313"/>
      <c r="L455" s="4313"/>
      <c r="M455" s="4313"/>
      <c r="N455" s="4313"/>
      <c r="O455" s="4313"/>
      <c r="P455" s="4461"/>
      <c r="Q455" s="3709"/>
    </row>
    <row r="456" spans="2:17" ht="15.05" thickBot="1" x14ac:dyDescent="0.35">
      <c r="B456" s="4337" t="s">
        <v>444</v>
      </c>
      <c r="C456" s="4472"/>
      <c r="D456" s="4472"/>
      <c r="E456" s="4340">
        <f t="shared" ref="E456:P456" si="199">IF($C$455=E$7,$C$450*$C$454,0)</f>
        <v>0</v>
      </c>
      <c r="F456" s="4340">
        <f t="shared" si="199"/>
        <v>0</v>
      </c>
      <c r="G456" s="4340">
        <f t="shared" si="199"/>
        <v>0</v>
      </c>
      <c r="H456" s="4340">
        <f t="shared" si="199"/>
        <v>0</v>
      </c>
      <c r="I456" s="4340">
        <f t="shared" si="199"/>
        <v>0</v>
      </c>
      <c r="J456" s="4340">
        <f t="shared" si="199"/>
        <v>0</v>
      </c>
      <c r="K456" s="4340">
        <f t="shared" si="199"/>
        <v>0</v>
      </c>
      <c r="L456" s="4340">
        <f t="shared" si="199"/>
        <v>0</v>
      </c>
      <c r="M456" s="4340">
        <f t="shared" si="199"/>
        <v>0</v>
      </c>
      <c r="N456" s="4340">
        <f t="shared" si="199"/>
        <v>0</v>
      </c>
      <c r="O456" s="4340">
        <f t="shared" si="199"/>
        <v>0</v>
      </c>
      <c r="P456" s="4473">
        <f t="shared" si="199"/>
        <v>0</v>
      </c>
      <c r="Q456" s="3709"/>
    </row>
    <row r="457" spans="2:17" ht="15.05" hidden="1" thickBot="1" x14ac:dyDescent="0.35">
      <c r="B457" s="4474" t="s">
        <v>445</v>
      </c>
      <c r="C457" s="4475"/>
      <c r="D457" s="4475">
        <f>C453*C454</f>
        <v>0</v>
      </c>
      <c r="E457" s="4476">
        <f>+E632</f>
        <v>0</v>
      </c>
      <c r="F457" s="4476">
        <f t="shared" ref="F457:P457" si="200">+F632</f>
        <v>0</v>
      </c>
      <c r="G457" s="4476">
        <f t="shared" si="200"/>
        <v>0</v>
      </c>
      <c r="H457" s="4476">
        <f t="shared" si="200"/>
        <v>0</v>
      </c>
      <c r="I457" s="4476">
        <f t="shared" si="200"/>
        <v>0</v>
      </c>
      <c r="J457" s="4476">
        <f t="shared" si="200"/>
        <v>0</v>
      </c>
      <c r="K457" s="4476">
        <f t="shared" si="200"/>
        <v>0</v>
      </c>
      <c r="L457" s="4476">
        <f t="shared" si="200"/>
        <v>0</v>
      </c>
      <c r="M457" s="4476">
        <f t="shared" si="200"/>
        <v>0</v>
      </c>
      <c r="N457" s="4476">
        <f t="shared" si="200"/>
        <v>0</v>
      </c>
      <c r="O457" s="4476">
        <f t="shared" si="200"/>
        <v>0</v>
      </c>
      <c r="P457" s="4477">
        <f t="shared" si="200"/>
        <v>0</v>
      </c>
      <c r="Q457" s="3709"/>
    </row>
    <row r="458" spans="2:17" x14ac:dyDescent="0.3">
      <c r="B458" s="4391" t="str">
        <f>+UsoSuelo!D370</f>
        <v xml:space="preserve">Dactylis Semillero </v>
      </c>
      <c r="C458" s="4392"/>
      <c r="D458" s="4392"/>
      <c r="E458" s="4393"/>
      <c r="F458" s="4393"/>
      <c r="G458" s="4393"/>
      <c r="H458" s="4393"/>
      <c r="I458" s="4393"/>
      <c r="J458" s="4393"/>
      <c r="K458" s="4393"/>
      <c r="L458" s="4393"/>
      <c r="M458" s="4393"/>
      <c r="N458" s="4393"/>
      <c r="O458" s="4393"/>
      <c r="P458" s="4478"/>
      <c r="Q458" s="3709"/>
    </row>
    <row r="459" spans="2:17" x14ac:dyDescent="0.3">
      <c r="B459" s="4458" t="s">
        <v>435</v>
      </c>
      <c r="C459" s="4459">
        <f>+UsoSuelo!T370</f>
        <v>0</v>
      </c>
      <c r="D459" s="3678" t="s">
        <v>247</v>
      </c>
      <c r="E459" s="4357"/>
      <c r="F459" s="4357"/>
      <c r="G459" s="4357"/>
      <c r="H459" s="4357"/>
      <c r="I459" s="4357"/>
      <c r="J459" s="4357"/>
      <c r="K459" s="4357"/>
      <c r="L459" s="4357"/>
      <c r="M459" s="4357"/>
      <c r="N459" s="4357"/>
      <c r="O459" s="4357"/>
      <c r="P459" s="4460"/>
      <c r="Q459" s="3709"/>
    </row>
    <row r="460" spans="2:17" x14ac:dyDescent="0.3">
      <c r="B460" s="3723" t="s">
        <v>433</v>
      </c>
      <c r="C460" s="5349"/>
      <c r="D460" s="3523" t="s">
        <v>2385</v>
      </c>
      <c r="E460" s="4313"/>
      <c r="F460" s="4313"/>
      <c r="G460" s="4313"/>
      <c r="H460" s="4313"/>
      <c r="I460" s="4313"/>
      <c r="J460" s="4313"/>
      <c r="K460" s="4313"/>
      <c r="L460" s="4313"/>
      <c r="M460" s="4313"/>
      <c r="N460" s="4313"/>
      <c r="O460" s="4313"/>
      <c r="P460" s="4461"/>
      <c r="Q460" s="3709"/>
    </row>
    <row r="461" spans="2:17" x14ac:dyDescent="0.3">
      <c r="B461" s="4462" t="s">
        <v>2386</v>
      </c>
      <c r="C461" s="4463">
        <f>C460*C459</f>
        <v>0</v>
      </c>
      <c r="D461" s="4464" t="s">
        <v>145</v>
      </c>
      <c r="E461" s="4411"/>
      <c r="F461" s="4411"/>
      <c r="G461" s="4411"/>
      <c r="H461" s="4411"/>
      <c r="I461" s="4411"/>
      <c r="J461" s="4411"/>
      <c r="K461" s="4411"/>
      <c r="L461" s="4411"/>
      <c r="M461" s="4411"/>
      <c r="N461" s="4411"/>
      <c r="O461" s="4411"/>
      <c r="P461" s="4465"/>
      <c r="Q461" s="3709"/>
    </row>
    <row r="462" spans="2:17" x14ac:dyDescent="0.3">
      <c r="B462" s="4413" t="s">
        <v>2387</v>
      </c>
      <c r="C462" s="5350"/>
      <c r="D462" s="4414" t="s">
        <v>338</v>
      </c>
      <c r="E462" s="4317">
        <f t="shared" ref="E462:P462" si="201">IF($C$466=E$7,$C462,0)</f>
        <v>0</v>
      </c>
      <c r="F462" s="4317">
        <f t="shared" si="201"/>
        <v>0</v>
      </c>
      <c r="G462" s="4317">
        <f t="shared" si="201"/>
        <v>0</v>
      </c>
      <c r="H462" s="4317">
        <f t="shared" si="201"/>
        <v>0</v>
      </c>
      <c r="I462" s="4317">
        <f t="shared" si="201"/>
        <v>0</v>
      </c>
      <c r="J462" s="4317">
        <f t="shared" si="201"/>
        <v>0</v>
      </c>
      <c r="K462" s="4317">
        <f t="shared" si="201"/>
        <v>0</v>
      </c>
      <c r="L462" s="4317">
        <f t="shared" si="201"/>
        <v>0</v>
      </c>
      <c r="M462" s="4317">
        <f t="shared" si="201"/>
        <v>0</v>
      </c>
      <c r="N462" s="4317">
        <f t="shared" si="201"/>
        <v>0</v>
      </c>
      <c r="O462" s="4317">
        <f t="shared" si="201"/>
        <v>0</v>
      </c>
      <c r="P462" s="4466">
        <f t="shared" si="201"/>
        <v>0</v>
      </c>
      <c r="Q462" s="3709"/>
    </row>
    <row r="463" spans="2:17" x14ac:dyDescent="0.3">
      <c r="B463" s="4413" t="s">
        <v>554</v>
      </c>
      <c r="C463" s="5351"/>
      <c r="D463" s="4414"/>
      <c r="E463" s="4317"/>
      <c r="F463" s="4317"/>
      <c r="G463" s="4317"/>
      <c r="H463" s="4317"/>
      <c r="I463" s="4317"/>
      <c r="J463" s="4317"/>
      <c r="K463" s="4317"/>
      <c r="L463" s="4317"/>
      <c r="M463" s="4317"/>
      <c r="N463" s="4317"/>
      <c r="O463" s="4317"/>
      <c r="P463" s="4466"/>
      <c r="Q463" s="3709"/>
    </row>
    <row r="464" spans="2:17" x14ac:dyDescent="0.3">
      <c r="B464" s="4413" t="s">
        <v>427</v>
      </c>
      <c r="C464" s="4414">
        <f>C461-C462-C463</f>
        <v>0</v>
      </c>
      <c r="D464" s="4414" t="s">
        <v>145</v>
      </c>
      <c r="E464" s="4317">
        <f t="shared" ref="E464:P464" si="202">IF($C466=E$7,$C464,0)</f>
        <v>0</v>
      </c>
      <c r="F464" s="4317">
        <f t="shared" si="202"/>
        <v>0</v>
      </c>
      <c r="G464" s="4317">
        <f t="shared" si="202"/>
        <v>0</v>
      </c>
      <c r="H464" s="4317">
        <f t="shared" si="202"/>
        <v>0</v>
      </c>
      <c r="I464" s="4317">
        <f t="shared" si="202"/>
        <v>0</v>
      </c>
      <c r="J464" s="4317">
        <f t="shared" si="202"/>
        <v>0</v>
      </c>
      <c r="K464" s="4317">
        <f t="shared" si="202"/>
        <v>0</v>
      </c>
      <c r="L464" s="4317">
        <f t="shared" si="202"/>
        <v>0</v>
      </c>
      <c r="M464" s="4317">
        <f t="shared" si="202"/>
        <v>0</v>
      </c>
      <c r="N464" s="4317">
        <f t="shared" si="202"/>
        <v>0</v>
      </c>
      <c r="O464" s="4317">
        <f t="shared" si="202"/>
        <v>0</v>
      </c>
      <c r="P464" s="4466">
        <f t="shared" si="202"/>
        <v>0</v>
      </c>
      <c r="Q464" s="4467" t="str">
        <f>B464&amp;B458</f>
        <v xml:space="preserve">Saldo Vendible Dactylis Semillero </v>
      </c>
    </row>
    <row r="465" spans="2:17" x14ac:dyDescent="0.3">
      <c r="B465" s="3723" t="s">
        <v>2415</v>
      </c>
      <c r="C465" s="5352"/>
      <c r="D465" s="3523" t="s">
        <v>362</v>
      </c>
      <c r="E465" s="4468"/>
      <c r="F465" s="4313"/>
      <c r="G465" s="4313"/>
      <c r="H465" s="4313"/>
      <c r="I465" s="4313"/>
      <c r="J465" s="4313"/>
      <c r="K465" s="4313"/>
      <c r="L465" s="4313"/>
      <c r="M465" s="4313"/>
      <c r="N465" s="4313"/>
      <c r="O465" s="4313"/>
      <c r="P465" s="4461"/>
      <c r="Q465" s="3709"/>
    </row>
    <row r="466" spans="2:17" ht="15.05" thickBot="1" x14ac:dyDescent="0.35">
      <c r="B466" s="4469" t="s">
        <v>429</v>
      </c>
      <c r="C466" s="4470"/>
      <c r="D466" s="4471" t="s">
        <v>431</v>
      </c>
      <c r="E466" s="4313"/>
      <c r="F466" s="4313"/>
      <c r="G466" s="4313"/>
      <c r="H466" s="4313"/>
      <c r="I466" s="4313"/>
      <c r="J466" s="4313"/>
      <c r="K466" s="4313"/>
      <c r="L466" s="4313"/>
      <c r="M466" s="4313"/>
      <c r="N466" s="4313"/>
      <c r="O466" s="4313"/>
      <c r="P466" s="4461"/>
      <c r="Q466" s="3709"/>
    </row>
    <row r="467" spans="2:17" ht="15.05" thickBot="1" x14ac:dyDescent="0.35">
      <c r="B467" s="4337" t="s">
        <v>444</v>
      </c>
      <c r="C467" s="4472"/>
      <c r="D467" s="4472"/>
      <c r="E467" s="4340">
        <f t="shared" ref="E467:P467" si="203">IF($C$466=E$7,$C$461*$C$465,0)</f>
        <v>0</v>
      </c>
      <c r="F467" s="4340">
        <f t="shared" si="203"/>
        <v>0</v>
      </c>
      <c r="G467" s="4340">
        <f t="shared" si="203"/>
        <v>0</v>
      </c>
      <c r="H467" s="4340">
        <f t="shared" si="203"/>
        <v>0</v>
      </c>
      <c r="I467" s="4340">
        <f t="shared" si="203"/>
        <v>0</v>
      </c>
      <c r="J467" s="4340">
        <f t="shared" si="203"/>
        <v>0</v>
      </c>
      <c r="K467" s="4340">
        <f t="shared" si="203"/>
        <v>0</v>
      </c>
      <c r="L467" s="4340">
        <f t="shared" si="203"/>
        <v>0</v>
      </c>
      <c r="M467" s="4340">
        <f t="shared" si="203"/>
        <v>0</v>
      </c>
      <c r="N467" s="4340">
        <f t="shared" si="203"/>
        <v>0</v>
      </c>
      <c r="O467" s="4340">
        <f t="shared" si="203"/>
        <v>0</v>
      </c>
      <c r="P467" s="4473">
        <f t="shared" si="203"/>
        <v>0</v>
      </c>
      <c r="Q467" s="3709"/>
    </row>
    <row r="468" spans="2:17" ht="15.05" hidden="1" thickBot="1" x14ac:dyDescent="0.35">
      <c r="B468" s="4474" t="s">
        <v>445</v>
      </c>
      <c r="C468" s="4475"/>
      <c r="D468" s="4475">
        <f>C464*C465</f>
        <v>0</v>
      </c>
      <c r="E468" s="4476">
        <f>+E633</f>
        <v>0</v>
      </c>
      <c r="F468" s="4476">
        <f t="shared" ref="F468:P468" si="204">+F633</f>
        <v>0</v>
      </c>
      <c r="G468" s="4476">
        <f t="shared" si="204"/>
        <v>0</v>
      </c>
      <c r="H468" s="4476">
        <f t="shared" si="204"/>
        <v>0</v>
      </c>
      <c r="I468" s="4476">
        <f t="shared" si="204"/>
        <v>0</v>
      </c>
      <c r="J468" s="4476">
        <f t="shared" si="204"/>
        <v>0</v>
      </c>
      <c r="K468" s="4476">
        <f t="shared" si="204"/>
        <v>0</v>
      </c>
      <c r="L468" s="4476">
        <f t="shared" si="204"/>
        <v>0</v>
      </c>
      <c r="M468" s="4476">
        <f t="shared" si="204"/>
        <v>0</v>
      </c>
      <c r="N468" s="4476">
        <f t="shared" si="204"/>
        <v>0</v>
      </c>
      <c r="O468" s="4476">
        <f t="shared" si="204"/>
        <v>0</v>
      </c>
      <c r="P468" s="4477">
        <f t="shared" si="204"/>
        <v>0</v>
      </c>
      <c r="Q468" s="3709"/>
    </row>
    <row r="469" spans="2:17" x14ac:dyDescent="0.3">
      <c r="B469" s="4391" t="str">
        <f>+UsoSuelo!D371</f>
        <v xml:space="preserve">Festuca Semillero </v>
      </c>
      <c r="C469" s="4392"/>
      <c r="D469" s="4392"/>
      <c r="E469" s="4393"/>
      <c r="F469" s="4393"/>
      <c r="G469" s="4393"/>
      <c r="H469" s="4393"/>
      <c r="I469" s="4393"/>
      <c r="J469" s="4393"/>
      <c r="K469" s="4393"/>
      <c r="L469" s="4393"/>
      <c r="M469" s="4393"/>
      <c r="N469" s="4393"/>
      <c r="O469" s="4393"/>
      <c r="P469" s="4478"/>
      <c r="Q469" s="3709"/>
    </row>
    <row r="470" spans="2:17" x14ac:dyDescent="0.3">
      <c r="B470" s="4458" t="s">
        <v>435</v>
      </c>
      <c r="C470" s="4459">
        <f>+UsoSuelo!T371</f>
        <v>0</v>
      </c>
      <c r="D470" s="3678" t="s">
        <v>247</v>
      </c>
      <c r="E470" s="4357"/>
      <c r="F470" s="4357"/>
      <c r="G470" s="4357"/>
      <c r="H470" s="4357"/>
      <c r="I470" s="4357"/>
      <c r="J470" s="4357"/>
      <c r="K470" s="4357"/>
      <c r="L470" s="4357"/>
      <c r="M470" s="4357"/>
      <c r="N470" s="4357"/>
      <c r="O470" s="4357"/>
      <c r="P470" s="4460"/>
      <c r="Q470" s="3709"/>
    </row>
    <row r="471" spans="2:17" x14ac:dyDescent="0.3">
      <c r="B471" s="3723" t="s">
        <v>433</v>
      </c>
      <c r="C471" s="5349"/>
      <c r="D471" s="3523" t="s">
        <v>2385</v>
      </c>
      <c r="E471" s="4313"/>
      <c r="F471" s="4313"/>
      <c r="G471" s="4313"/>
      <c r="H471" s="4313"/>
      <c r="I471" s="4313"/>
      <c r="J471" s="4313"/>
      <c r="K471" s="4313"/>
      <c r="L471" s="4313"/>
      <c r="M471" s="4313"/>
      <c r="N471" s="4313"/>
      <c r="O471" s="4313"/>
      <c r="P471" s="4461"/>
      <c r="Q471" s="3709"/>
    </row>
    <row r="472" spans="2:17" x14ac:dyDescent="0.3">
      <c r="B472" s="4462" t="s">
        <v>2386</v>
      </c>
      <c r="C472" s="4463">
        <f>C471*C470</f>
        <v>0</v>
      </c>
      <c r="D472" s="4464" t="s">
        <v>145</v>
      </c>
      <c r="E472" s="4411"/>
      <c r="F472" s="4411"/>
      <c r="G472" s="4411"/>
      <c r="H472" s="4411"/>
      <c r="I472" s="4411"/>
      <c r="J472" s="4411"/>
      <c r="K472" s="4411"/>
      <c r="L472" s="4411"/>
      <c r="M472" s="4411"/>
      <c r="N472" s="4411"/>
      <c r="O472" s="4411"/>
      <c r="P472" s="4465"/>
      <c r="Q472" s="3709"/>
    </row>
    <row r="473" spans="2:17" x14ac:dyDescent="0.3">
      <c r="B473" s="4413" t="s">
        <v>2387</v>
      </c>
      <c r="C473" s="5350"/>
      <c r="D473" s="4414" t="s">
        <v>145</v>
      </c>
      <c r="E473" s="4317">
        <f t="shared" ref="E473:P473" si="205">IF($C$477=E$7,$C473,0)</f>
        <v>0</v>
      </c>
      <c r="F473" s="4317">
        <f t="shared" si="205"/>
        <v>0</v>
      </c>
      <c r="G473" s="4317">
        <f t="shared" si="205"/>
        <v>0</v>
      </c>
      <c r="H473" s="4317">
        <f t="shared" si="205"/>
        <v>0</v>
      </c>
      <c r="I473" s="4317">
        <f t="shared" si="205"/>
        <v>0</v>
      </c>
      <c r="J473" s="4317">
        <f t="shared" si="205"/>
        <v>0</v>
      </c>
      <c r="K473" s="4317">
        <f t="shared" si="205"/>
        <v>0</v>
      </c>
      <c r="L473" s="4317">
        <f t="shared" si="205"/>
        <v>0</v>
      </c>
      <c r="M473" s="4317">
        <f t="shared" si="205"/>
        <v>0</v>
      </c>
      <c r="N473" s="4317">
        <f t="shared" si="205"/>
        <v>0</v>
      </c>
      <c r="O473" s="4317">
        <f t="shared" si="205"/>
        <v>0</v>
      </c>
      <c r="P473" s="4466">
        <f t="shared" si="205"/>
        <v>0</v>
      </c>
      <c r="Q473" s="3709"/>
    </row>
    <row r="474" spans="2:17" x14ac:dyDescent="0.3">
      <c r="B474" s="4413" t="s">
        <v>554</v>
      </c>
      <c r="C474" s="5351"/>
      <c r="D474" s="4414"/>
      <c r="E474" s="4317"/>
      <c r="F474" s="4317"/>
      <c r="G474" s="4317"/>
      <c r="H474" s="4317"/>
      <c r="I474" s="4317"/>
      <c r="J474" s="4317"/>
      <c r="K474" s="4317"/>
      <c r="L474" s="4317"/>
      <c r="M474" s="4317"/>
      <c r="N474" s="4317"/>
      <c r="O474" s="4317"/>
      <c r="P474" s="4466"/>
      <c r="Q474" s="3709"/>
    </row>
    <row r="475" spans="2:17" x14ac:dyDescent="0.3">
      <c r="B475" s="4413" t="s">
        <v>427</v>
      </c>
      <c r="C475" s="4414">
        <f>C472-C473-C474</f>
        <v>0</v>
      </c>
      <c r="D475" s="4414" t="s">
        <v>145</v>
      </c>
      <c r="E475" s="4317">
        <f t="shared" ref="E475:P475" si="206">IF($C477=E$7,$C475,0)</f>
        <v>0</v>
      </c>
      <c r="F475" s="4317">
        <f t="shared" si="206"/>
        <v>0</v>
      </c>
      <c r="G475" s="4317">
        <f t="shared" si="206"/>
        <v>0</v>
      </c>
      <c r="H475" s="4317">
        <f t="shared" si="206"/>
        <v>0</v>
      </c>
      <c r="I475" s="4317">
        <f t="shared" si="206"/>
        <v>0</v>
      </c>
      <c r="J475" s="4317">
        <f t="shared" si="206"/>
        <v>0</v>
      </c>
      <c r="K475" s="4317">
        <f t="shared" si="206"/>
        <v>0</v>
      </c>
      <c r="L475" s="4317">
        <f t="shared" si="206"/>
        <v>0</v>
      </c>
      <c r="M475" s="4317">
        <f t="shared" si="206"/>
        <v>0</v>
      </c>
      <c r="N475" s="4317">
        <f t="shared" si="206"/>
        <v>0</v>
      </c>
      <c r="O475" s="4317">
        <f t="shared" si="206"/>
        <v>0</v>
      </c>
      <c r="P475" s="4466">
        <f t="shared" si="206"/>
        <v>0</v>
      </c>
      <c r="Q475" s="4467" t="str">
        <f>B475&amp;B469</f>
        <v xml:space="preserve">Saldo Vendible Festuca Semillero </v>
      </c>
    </row>
    <row r="476" spans="2:17" x14ac:dyDescent="0.3">
      <c r="B476" s="3723" t="s">
        <v>2415</v>
      </c>
      <c r="C476" s="5352"/>
      <c r="D476" s="3523" t="s">
        <v>362</v>
      </c>
      <c r="E476" s="4479"/>
      <c r="F476" s="4313"/>
      <c r="G476" s="4313"/>
      <c r="H476" s="4313"/>
      <c r="I476" s="4313"/>
      <c r="J476" s="4313"/>
      <c r="K476" s="4313"/>
      <c r="L476" s="4313"/>
      <c r="M476" s="4313"/>
      <c r="N476" s="4313"/>
      <c r="O476" s="4313"/>
      <c r="P476" s="4461"/>
      <c r="Q476" s="3709"/>
    </row>
    <row r="477" spans="2:17" ht="15.05" thickBot="1" x14ac:dyDescent="0.35">
      <c r="B477" s="4469" t="s">
        <v>429</v>
      </c>
      <c r="C477" s="4470"/>
      <c r="D477" s="4471" t="s">
        <v>431</v>
      </c>
      <c r="E477" s="4313"/>
      <c r="F477" s="4313"/>
      <c r="G477" s="4313"/>
      <c r="H477" s="4313"/>
      <c r="I477" s="4313"/>
      <c r="J477" s="4313"/>
      <c r="K477" s="4313"/>
      <c r="L477" s="4313"/>
      <c r="M477" s="4313"/>
      <c r="N477" s="4313"/>
      <c r="O477" s="4313"/>
      <c r="P477" s="4461"/>
      <c r="Q477" s="3709"/>
    </row>
    <row r="478" spans="2:17" ht="15.05" thickBot="1" x14ac:dyDescent="0.35">
      <c r="B478" s="4337" t="s">
        <v>444</v>
      </c>
      <c r="C478" s="4472"/>
      <c r="D478" s="4472"/>
      <c r="E478" s="4340">
        <f t="shared" ref="E478:P478" si="207">IF($C477=E$7,$C472*$C476,0)</f>
        <v>0</v>
      </c>
      <c r="F478" s="4340">
        <f t="shared" si="207"/>
        <v>0</v>
      </c>
      <c r="G478" s="4340">
        <f t="shared" si="207"/>
        <v>0</v>
      </c>
      <c r="H478" s="4340">
        <f t="shared" si="207"/>
        <v>0</v>
      </c>
      <c r="I478" s="4340">
        <f t="shared" si="207"/>
        <v>0</v>
      </c>
      <c r="J478" s="4340">
        <f t="shared" si="207"/>
        <v>0</v>
      </c>
      <c r="K478" s="4340">
        <f t="shared" si="207"/>
        <v>0</v>
      </c>
      <c r="L478" s="4340">
        <f t="shared" si="207"/>
        <v>0</v>
      </c>
      <c r="M478" s="4340">
        <f t="shared" si="207"/>
        <v>0</v>
      </c>
      <c r="N478" s="4340">
        <f t="shared" si="207"/>
        <v>0</v>
      </c>
      <c r="O478" s="4340">
        <f t="shared" si="207"/>
        <v>0</v>
      </c>
      <c r="P478" s="4473">
        <f t="shared" si="207"/>
        <v>0</v>
      </c>
      <c r="Q478" s="3709"/>
    </row>
    <row r="479" spans="2:17" ht="15.05" hidden="1" thickBot="1" x14ac:dyDescent="0.35">
      <c r="B479" s="4474" t="s">
        <v>445</v>
      </c>
      <c r="C479" s="4475"/>
      <c r="D479" s="4475">
        <f>C475*C476</f>
        <v>0</v>
      </c>
      <c r="E479" s="4476">
        <f>+E634</f>
        <v>0</v>
      </c>
      <c r="F479" s="4476">
        <f t="shared" ref="F479:P479" si="208">+F634</f>
        <v>0</v>
      </c>
      <c r="G479" s="4476">
        <f t="shared" si="208"/>
        <v>0</v>
      </c>
      <c r="H479" s="4476">
        <f t="shared" si="208"/>
        <v>0</v>
      </c>
      <c r="I479" s="4476">
        <f t="shared" si="208"/>
        <v>0</v>
      </c>
      <c r="J479" s="4476">
        <f t="shared" si="208"/>
        <v>0</v>
      </c>
      <c r="K479" s="4476">
        <f t="shared" si="208"/>
        <v>0</v>
      </c>
      <c r="L479" s="4476">
        <f t="shared" si="208"/>
        <v>0</v>
      </c>
      <c r="M479" s="4476">
        <f t="shared" si="208"/>
        <v>0</v>
      </c>
      <c r="N479" s="4476">
        <f t="shared" si="208"/>
        <v>0</v>
      </c>
      <c r="O479" s="4476">
        <f t="shared" si="208"/>
        <v>0</v>
      </c>
      <c r="P479" s="4477">
        <f t="shared" si="208"/>
        <v>0</v>
      </c>
      <c r="Q479" s="3709"/>
    </row>
    <row r="480" spans="2:17" x14ac:dyDescent="0.3">
      <c r="B480" s="4391" t="str">
        <f>+UsoSuelo!D372</f>
        <v xml:space="preserve">Rg semillero </v>
      </c>
      <c r="C480" s="4392"/>
      <c r="D480" s="4392"/>
      <c r="E480" s="4393"/>
      <c r="F480" s="4393"/>
      <c r="G480" s="4393"/>
      <c r="H480" s="4393"/>
      <c r="I480" s="4393"/>
      <c r="J480" s="4393"/>
      <c r="K480" s="4393"/>
      <c r="L480" s="4393"/>
      <c r="M480" s="4393"/>
      <c r="N480" s="4393"/>
      <c r="O480" s="4393"/>
      <c r="P480" s="4478"/>
      <c r="Q480" s="3709"/>
    </row>
    <row r="481" spans="2:17" x14ac:dyDescent="0.3">
      <c r="B481" s="4458" t="s">
        <v>435</v>
      </c>
      <c r="C481" s="4459">
        <f>+UsoSuelo!T372</f>
        <v>0</v>
      </c>
      <c r="D481" s="3678" t="s">
        <v>247</v>
      </c>
      <c r="E481" s="4357"/>
      <c r="F481" s="4357"/>
      <c r="G481" s="4357"/>
      <c r="H481" s="4357"/>
      <c r="I481" s="4357"/>
      <c r="J481" s="4357"/>
      <c r="K481" s="4357"/>
      <c r="L481" s="4357"/>
      <c r="M481" s="4357"/>
      <c r="N481" s="4357"/>
      <c r="O481" s="4357"/>
      <c r="P481" s="4460"/>
      <c r="Q481" s="3709"/>
    </row>
    <row r="482" spans="2:17" x14ac:dyDescent="0.3">
      <c r="B482" s="3723" t="s">
        <v>433</v>
      </c>
      <c r="C482" s="5349"/>
      <c r="D482" s="3523" t="s">
        <v>2385</v>
      </c>
      <c r="E482" s="4313"/>
      <c r="F482" s="4313"/>
      <c r="G482" s="4313"/>
      <c r="H482" s="4313"/>
      <c r="I482" s="4313"/>
      <c r="J482" s="4313"/>
      <c r="K482" s="4313"/>
      <c r="L482" s="4313"/>
      <c r="M482" s="4313"/>
      <c r="N482" s="4313"/>
      <c r="O482" s="4313"/>
      <c r="P482" s="4461"/>
      <c r="Q482" s="3709"/>
    </row>
    <row r="483" spans="2:17" x14ac:dyDescent="0.3">
      <c r="B483" s="4462" t="s">
        <v>2386</v>
      </c>
      <c r="C483" s="4463">
        <f>C482*C481</f>
        <v>0</v>
      </c>
      <c r="D483" s="4464" t="s">
        <v>145</v>
      </c>
      <c r="E483" s="4411"/>
      <c r="F483" s="4411"/>
      <c r="G483" s="4411"/>
      <c r="H483" s="4411"/>
      <c r="I483" s="4411"/>
      <c r="J483" s="4411"/>
      <c r="K483" s="4411"/>
      <c r="L483" s="4411"/>
      <c r="M483" s="4411"/>
      <c r="N483" s="4411"/>
      <c r="O483" s="4411"/>
      <c r="P483" s="4465"/>
      <c r="Q483" s="3709"/>
    </row>
    <row r="484" spans="2:17" x14ac:dyDescent="0.3">
      <c r="B484" s="4413" t="s">
        <v>2387</v>
      </c>
      <c r="C484" s="5350"/>
      <c r="D484" s="4414" t="s">
        <v>145</v>
      </c>
      <c r="E484" s="4317">
        <f t="shared" ref="E484:P484" si="209">IF($C$488=E$7,$C484,0)</f>
        <v>0</v>
      </c>
      <c r="F484" s="4317">
        <f t="shared" si="209"/>
        <v>0</v>
      </c>
      <c r="G484" s="4317">
        <f t="shared" si="209"/>
        <v>0</v>
      </c>
      <c r="H484" s="4317">
        <f t="shared" si="209"/>
        <v>0</v>
      </c>
      <c r="I484" s="4317">
        <f t="shared" si="209"/>
        <v>0</v>
      </c>
      <c r="J484" s="4317">
        <f t="shared" si="209"/>
        <v>0</v>
      </c>
      <c r="K484" s="4317">
        <f t="shared" si="209"/>
        <v>0</v>
      </c>
      <c r="L484" s="4317">
        <f t="shared" si="209"/>
        <v>0</v>
      </c>
      <c r="M484" s="4317">
        <f t="shared" si="209"/>
        <v>0</v>
      </c>
      <c r="N484" s="4317">
        <f t="shared" si="209"/>
        <v>0</v>
      </c>
      <c r="O484" s="4317">
        <f t="shared" si="209"/>
        <v>0</v>
      </c>
      <c r="P484" s="4466">
        <f t="shared" si="209"/>
        <v>0</v>
      </c>
      <c r="Q484" s="3709"/>
    </row>
    <row r="485" spans="2:17" x14ac:dyDescent="0.3">
      <c r="B485" s="4413" t="s">
        <v>554</v>
      </c>
      <c r="C485" s="5351"/>
      <c r="D485" s="4414"/>
      <c r="E485" s="4317"/>
      <c r="F485" s="4317"/>
      <c r="G485" s="4317"/>
      <c r="H485" s="4317"/>
      <c r="I485" s="4317"/>
      <c r="J485" s="4317"/>
      <c r="K485" s="4317"/>
      <c r="L485" s="4317"/>
      <c r="M485" s="4317"/>
      <c r="N485" s="4317"/>
      <c r="O485" s="4317"/>
      <c r="P485" s="4466"/>
      <c r="Q485" s="3709"/>
    </row>
    <row r="486" spans="2:17" x14ac:dyDescent="0.3">
      <c r="B486" s="4413" t="s">
        <v>427</v>
      </c>
      <c r="C486" s="4414">
        <f>C483-C484-C485</f>
        <v>0</v>
      </c>
      <c r="D486" s="4414" t="s">
        <v>145</v>
      </c>
      <c r="E486" s="4317">
        <f t="shared" ref="E486:P486" si="210">IF($C488=E$7,$C486,0)</f>
        <v>0</v>
      </c>
      <c r="F486" s="4317">
        <f t="shared" si="210"/>
        <v>0</v>
      </c>
      <c r="G486" s="4317">
        <f t="shared" si="210"/>
        <v>0</v>
      </c>
      <c r="H486" s="4317">
        <f t="shared" si="210"/>
        <v>0</v>
      </c>
      <c r="I486" s="4317">
        <f t="shared" si="210"/>
        <v>0</v>
      </c>
      <c r="J486" s="4317">
        <f t="shared" si="210"/>
        <v>0</v>
      </c>
      <c r="K486" s="4317">
        <f t="shared" si="210"/>
        <v>0</v>
      </c>
      <c r="L486" s="4317">
        <f t="shared" si="210"/>
        <v>0</v>
      </c>
      <c r="M486" s="4317">
        <f t="shared" si="210"/>
        <v>0</v>
      </c>
      <c r="N486" s="4317">
        <f t="shared" si="210"/>
        <v>0</v>
      </c>
      <c r="O486" s="4317">
        <f t="shared" si="210"/>
        <v>0</v>
      </c>
      <c r="P486" s="4466">
        <f t="shared" si="210"/>
        <v>0</v>
      </c>
      <c r="Q486" s="4467" t="str">
        <f>B486&amp;B480</f>
        <v xml:space="preserve">Saldo Vendible Rg semillero </v>
      </c>
    </row>
    <row r="487" spans="2:17" x14ac:dyDescent="0.3">
      <c r="B487" s="3723" t="s">
        <v>2415</v>
      </c>
      <c r="C487" s="5352"/>
      <c r="D487" s="3523" t="s">
        <v>362</v>
      </c>
      <c r="E487" s="4468"/>
      <c r="F487" s="4313"/>
      <c r="G487" s="4313"/>
      <c r="H487" s="4313"/>
      <c r="I487" s="4313"/>
      <c r="J487" s="4313"/>
      <c r="K487" s="4313"/>
      <c r="L487" s="4313"/>
      <c r="M487" s="4313"/>
      <c r="N487" s="4313"/>
      <c r="O487" s="4313"/>
      <c r="P487" s="4461"/>
      <c r="Q487" s="3709"/>
    </row>
    <row r="488" spans="2:17" ht="15.05" thickBot="1" x14ac:dyDescent="0.35">
      <c r="B488" s="4469" t="s">
        <v>429</v>
      </c>
      <c r="C488" s="4470"/>
      <c r="D488" s="4471" t="s">
        <v>431</v>
      </c>
      <c r="E488" s="4313"/>
      <c r="F488" s="4313"/>
      <c r="G488" s="4313"/>
      <c r="H488" s="4313"/>
      <c r="I488" s="4313"/>
      <c r="J488" s="4313"/>
      <c r="K488" s="4313"/>
      <c r="L488" s="4313"/>
      <c r="M488" s="4313"/>
      <c r="N488" s="4313"/>
      <c r="O488" s="4313"/>
      <c r="P488" s="4461"/>
      <c r="Q488" s="3709"/>
    </row>
    <row r="489" spans="2:17" ht="15.05" thickBot="1" x14ac:dyDescent="0.35">
      <c r="B489" s="4337" t="s">
        <v>444</v>
      </c>
      <c r="C489" s="4472"/>
      <c r="D489" s="4472"/>
      <c r="E489" s="4340">
        <f t="shared" ref="E489:P489" si="211">IF($C488=E$7,$C483*$C487,0)</f>
        <v>0</v>
      </c>
      <c r="F489" s="4340">
        <f t="shared" si="211"/>
        <v>0</v>
      </c>
      <c r="G489" s="4340">
        <f t="shared" si="211"/>
        <v>0</v>
      </c>
      <c r="H489" s="4340">
        <f t="shared" si="211"/>
        <v>0</v>
      </c>
      <c r="I489" s="4340">
        <f t="shared" si="211"/>
        <v>0</v>
      </c>
      <c r="J489" s="4340">
        <f t="shared" si="211"/>
        <v>0</v>
      </c>
      <c r="K489" s="4340">
        <f t="shared" si="211"/>
        <v>0</v>
      </c>
      <c r="L489" s="4340">
        <f t="shared" si="211"/>
        <v>0</v>
      </c>
      <c r="M489" s="4340">
        <f t="shared" si="211"/>
        <v>0</v>
      </c>
      <c r="N489" s="4340">
        <f t="shared" si="211"/>
        <v>0</v>
      </c>
      <c r="O489" s="4340">
        <f t="shared" si="211"/>
        <v>0</v>
      </c>
      <c r="P489" s="4473">
        <f t="shared" si="211"/>
        <v>0</v>
      </c>
      <c r="Q489" s="3709"/>
    </row>
    <row r="490" spans="2:17" ht="15.05" hidden="1" thickBot="1" x14ac:dyDescent="0.35">
      <c r="B490" s="4474" t="s">
        <v>445</v>
      </c>
      <c r="C490" s="4475"/>
      <c r="D490" s="4475">
        <f>C486*C487</f>
        <v>0</v>
      </c>
      <c r="E490" s="4476">
        <f>+E635</f>
        <v>0</v>
      </c>
      <c r="F490" s="4476">
        <f t="shared" ref="F490:P490" si="212">+F635</f>
        <v>0</v>
      </c>
      <c r="G490" s="4476">
        <f t="shared" si="212"/>
        <v>0</v>
      </c>
      <c r="H490" s="4476">
        <f t="shared" si="212"/>
        <v>0</v>
      </c>
      <c r="I490" s="4476">
        <f t="shared" si="212"/>
        <v>0</v>
      </c>
      <c r="J490" s="4476">
        <f t="shared" si="212"/>
        <v>0</v>
      </c>
      <c r="K490" s="4476">
        <f t="shared" si="212"/>
        <v>0</v>
      </c>
      <c r="L490" s="4476">
        <f t="shared" si="212"/>
        <v>0</v>
      </c>
      <c r="M490" s="4476">
        <f t="shared" si="212"/>
        <v>0</v>
      </c>
      <c r="N490" s="4476">
        <f t="shared" si="212"/>
        <v>0</v>
      </c>
      <c r="O490" s="4476">
        <f t="shared" si="212"/>
        <v>0</v>
      </c>
      <c r="P490" s="4477">
        <f t="shared" si="212"/>
        <v>0</v>
      </c>
      <c r="Q490" s="3709"/>
    </row>
    <row r="491" spans="2:17" x14ac:dyDescent="0.3">
      <c r="B491" s="4391">
        <f>+UsoSuelo!D373</f>
        <v>0</v>
      </c>
      <c r="C491" s="4392"/>
      <c r="D491" s="4392"/>
      <c r="E491" s="4393"/>
      <c r="F491" s="4393"/>
      <c r="G491" s="4393"/>
      <c r="H491" s="4393"/>
      <c r="I491" s="4393"/>
      <c r="J491" s="4393"/>
      <c r="K491" s="4393"/>
      <c r="L491" s="4393"/>
      <c r="M491" s="4393"/>
      <c r="N491" s="4393"/>
      <c r="O491" s="4393"/>
      <c r="P491" s="4478"/>
      <c r="Q491" s="3709"/>
    </row>
    <row r="492" spans="2:17" x14ac:dyDescent="0.3">
      <c r="B492" s="4458" t="s">
        <v>435</v>
      </c>
      <c r="C492" s="4459">
        <f>+UsoSuelo!T373</f>
        <v>0</v>
      </c>
      <c r="D492" s="3678" t="s">
        <v>247</v>
      </c>
      <c r="E492" s="4357"/>
      <c r="F492" s="4357"/>
      <c r="G492" s="4357"/>
      <c r="H492" s="4357"/>
      <c r="I492" s="4357"/>
      <c r="J492" s="4357"/>
      <c r="K492" s="4357"/>
      <c r="L492" s="4357"/>
      <c r="M492" s="4357"/>
      <c r="N492" s="4357"/>
      <c r="O492" s="4357"/>
      <c r="P492" s="4460"/>
      <c r="Q492" s="3709"/>
    </row>
    <row r="493" spans="2:17" x14ac:dyDescent="0.3">
      <c r="B493" s="3723" t="s">
        <v>433</v>
      </c>
      <c r="C493" s="5349"/>
      <c r="D493" s="3523" t="s">
        <v>2385</v>
      </c>
      <c r="E493" s="4313"/>
      <c r="F493" s="4313"/>
      <c r="G493" s="4313"/>
      <c r="H493" s="4313"/>
      <c r="I493" s="4313"/>
      <c r="J493" s="4313"/>
      <c r="K493" s="4313"/>
      <c r="L493" s="4313"/>
      <c r="M493" s="4313"/>
      <c r="N493" s="4313"/>
      <c r="O493" s="4313"/>
      <c r="P493" s="4461"/>
      <c r="Q493" s="3709"/>
    </row>
    <row r="494" spans="2:17" x14ac:dyDescent="0.3">
      <c r="B494" s="4462" t="s">
        <v>2386</v>
      </c>
      <c r="C494" s="4463">
        <f>C493*C492</f>
        <v>0</v>
      </c>
      <c r="D494" s="4464" t="s">
        <v>145</v>
      </c>
      <c r="E494" s="4411"/>
      <c r="F494" s="4411"/>
      <c r="G494" s="4411"/>
      <c r="H494" s="4411"/>
      <c r="I494" s="4411"/>
      <c r="J494" s="4411"/>
      <c r="K494" s="4411"/>
      <c r="L494" s="4411"/>
      <c r="M494" s="4411"/>
      <c r="N494" s="4411"/>
      <c r="O494" s="4411"/>
      <c r="P494" s="4465"/>
      <c r="Q494" s="3709"/>
    </row>
    <row r="495" spans="2:17" x14ac:dyDescent="0.3">
      <c r="B495" s="4413" t="s">
        <v>2387</v>
      </c>
      <c r="C495" s="5350"/>
      <c r="D495" s="4414" t="s">
        <v>145</v>
      </c>
      <c r="E495" s="4317">
        <f t="shared" ref="E495:P495" si="213">IF($C$499=E$7,$C495,0)</f>
        <v>0</v>
      </c>
      <c r="F495" s="4317">
        <f t="shared" si="213"/>
        <v>0</v>
      </c>
      <c r="G495" s="4317">
        <f t="shared" si="213"/>
        <v>0</v>
      </c>
      <c r="H495" s="4317">
        <f t="shared" si="213"/>
        <v>0</v>
      </c>
      <c r="I495" s="4317">
        <f t="shared" si="213"/>
        <v>0</v>
      </c>
      <c r="J495" s="4317">
        <f t="shared" si="213"/>
        <v>0</v>
      </c>
      <c r="K495" s="4317">
        <f t="shared" si="213"/>
        <v>0</v>
      </c>
      <c r="L495" s="4317">
        <f t="shared" si="213"/>
        <v>0</v>
      </c>
      <c r="M495" s="4317">
        <f t="shared" si="213"/>
        <v>0</v>
      </c>
      <c r="N495" s="4317">
        <f t="shared" si="213"/>
        <v>0</v>
      </c>
      <c r="O495" s="4317">
        <f t="shared" si="213"/>
        <v>0</v>
      </c>
      <c r="P495" s="4466">
        <f t="shared" si="213"/>
        <v>0</v>
      </c>
      <c r="Q495" s="3709"/>
    </row>
    <row r="496" spans="2:17" x14ac:dyDescent="0.3">
      <c r="B496" s="4413" t="s">
        <v>554</v>
      </c>
      <c r="C496" s="5351"/>
      <c r="D496" s="4414"/>
      <c r="E496" s="4317"/>
      <c r="F496" s="4317"/>
      <c r="G496" s="4317"/>
      <c r="H496" s="4317"/>
      <c r="I496" s="4317"/>
      <c r="J496" s="4317"/>
      <c r="K496" s="4317"/>
      <c r="L496" s="4317"/>
      <c r="M496" s="4317"/>
      <c r="N496" s="4317"/>
      <c r="O496" s="4317"/>
      <c r="P496" s="4466"/>
      <c r="Q496" s="3709"/>
    </row>
    <row r="497" spans="2:17" x14ac:dyDescent="0.3">
      <c r="B497" s="4413" t="s">
        <v>427</v>
      </c>
      <c r="C497" s="4414">
        <f>C494-C495-C496</f>
        <v>0</v>
      </c>
      <c r="D497" s="4414" t="s">
        <v>145</v>
      </c>
      <c r="E497" s="4317">
        <f t="shared" ref="E497:P497" si="214">IF($C499=E$7,$C497,0)</f>
        <v>0</v>
      </c>
      <c r="F497" s="4317">
        <f t="shared" si="214"/>
        <v>0</v>
      </c>
      <c r="G497" s="4317">
        <f t="shared" si="214"/>
        <v>0</v>
      </c>
      <c r="H497" s="4317">
        <f t="shared" si="214"/>
        <v>0</v>
      </c>
      <c r="I497" s="4317">
        <f t="shared" si="214"/>
        <v>0</v>
      </c>
      <c r="J497" s="4317">
        <f t="shared" si="214"/>
        <v>0</v>
      </c>
      <c r="K497" s="4317">
        <f t="shared" si="214"/>
        <v>0</v>
      </c>
      <c r="L497" s="4317">
        <f t="shared" si="214"/>
        <v>0</v>
      </c>
      <c r="M497" s="4317">
        <f t="shared" si="214"/>
        <v>0</v>
      </c>
      <c r="N497" s="4317">
        <f t="shared" si="214"/>
        <v>0</v>
      </c>
      <c r="O497" s="4317">
        <f t="shared" si="214"/>
        <v>0</v>
      </c>
      <c r="P497" s="4466">
        <f t="shared" si="214"/>
        <v>0</v>
      </c>
      <c r="Q497" s="4467" t="str">
        <f>B497&amp;B491</f>
        <v>Saldo Vendible 0</v>
      </c>
    </row>
    <row r="498" spans="2:17" x14ac:dyDescent="0.3">
      <c r="B498" s="3723" t="s">
        <v>2415</v>
      </c>
      <c r="C498" s="5352"/>
      <c r="D498" s="3523" t="s">
        <v>362</v>
      </c>
      <c r="E498" s="4468"/>
      <c r="F498" s="4313"/>
      <c r="G498" s="4313"/>
      <c r="H498" s="4313"/>
      <c r="I498" s="4313"/>
      <c r="J498" s="4313"/>
      <c r="K498" s="4313"/>
      <c r="L498" s="4313"/>
      <c r="M498" s="4313"/>
      <c r="N498" s="4313"/>
      <c r="O498" s="4313"/>
      <c r="P498" s="4461"/>
      <c r="Q498" s="3709"/>
    </row>
    <row r="499" spans="2:17" ht="15.05" thickBot="1" x14ac:dyDescent="0.35">
      <c r="B499" s="4469" t="s">
        <v>429</v>
      </c>
      <c r="C499" s="4470"/>
      <c r="D499" s="4471" t="s">
        <v>431</v>
      </c>
      <c r="E499" s="4313"/>
      <c r="F499" s="4313"/>
      <c r="G499" s="4313"/>
      <c r="H499" s="4313"/>
      <c r="I499" s="4313"/>
      <c r="J499" s="4313"/>
      <c r="K499" s="4313"/>
      <c r="L499" s="4313"/>
      <c r="M499" s="4313"/>
      <c r="N499" s="4313"/>
      <c r="O499" s="4313"/>
      <c r="P499" s="4461"/>
      <c r="Q499" s="3709"/>
    </row>
    <row r="500" spans="2:17" ht="15.05" thickBot="1" x14ac:dyDescent="0.35">
      <c r="B500" s="4337" t="s">
        <v>444</v>
      </c>
      <c r="C500" s="4472"/>
      <c r="D500" s="4472"/>
      <c r="E500" s="4340">
        <f t="shared" ref="E500:P500" si="215">IF($C499=E$7,$C494*$C498,0)</f>
        <v>0</v>
      </c>
      <c r="F500" s="4340">
        <f t="shared" si="215"/>
        <v>0</v>
      </c>
      <c r="G500" s="4340">
        <f t="shared" si="215"/>
        <v>0</v>
      </c>
      <c r="H500" s="4340">
        <f t="shared" si="215"/>
        <v>0</v>
      </c>
      <c r="I500" s="4340">
        <f t="shared" si="215"/>
        <v>0</v>
      </c>
      <c r="J500" s="4340">
        <f t="shared" si="215"/>
        <v>0</v>
      </c>
      <c r="K500" s="4340">
        <f t="shared" si="215"/>
        <v>0</v>
      </c>
      <c r="L500" s="4340">
        <f t="shared" si="215"/>
        <v>0</v>
      </c>
      <c r="M500" s="4340">
        <f t="shared" si="215"/>
        <v>0</v>
      </c>
      <c r="N500" s="4340">
        <f t="shared" si="215"/>
        <v>0</v>
      </c>
      <c r="O500" s="4340">
        <f t="shared" si="215"/>
        <v>0</v>
      </c>
      <c r="P500" s="4473">
        <f t="shared" si="215"/>
        <v>0</v>
      </c>
      <c r="Q500" s="3709"/>
    </row>
    <row r="501" spans="2:17" ht="15.05" hidden="1" thickBot="1" x14ac:dyDescent="0.35">
      <c r="B501" s="4474" t="s">
        <v>445</v>
      </c>
      <c r="C501" s="4475"/>
      <c r="D501" s="4475">
        <f>C497*C498</f>
        <v>0</v>
      </c>
      <c r="E501" s="4476">
        <f>+E636</f>
        <v>0</v>
      </c>
      <c r="F501" s="4476">
        <f t="shared" ref="F501:P501" si="216">+F636</f>
        <v>0</v>
      </c>
      <c r="G501" s="4476">
        <f t="shared" si="216"/>
        <v>0</v>
      </c>
      <c r="H501" s="4476">
        <f t="shared" si="216"/>
        <v>0</v>
      </c>
      <c r="I501" s="4476">
        <f t="shared" si="216"/>
        <v>0</v>
      </c>
      <c r="J501" s="4476">
        <f t="shared" si="216"/>
        <v>0</v>
      </c>
      <c r="K501" s="4476">
        <f t="shared" si="216"/>
        <v>0</v>
      </c>
      <c r="L501" s="4476">
        <f t="shared" si="216"/>
        <v>0</v>
      </c>
      <c r="M501" s="4476">
        <f t="shared" si="216"/>
        <v>0</v>
      </c>
      <c r="N501" s="4476">
        <f t="shared" si="216"/>
        <v>0</v>
      </c>
      <c r="O501" s="4476">
        <f t="shared" si="216"/>
        <v>0</v>
      </c>
      <c r="P501" s="4477">
        <f t="shared" si="216"/>
        <v>0</v>
      </c>
      <c r="Q501" s="3709"/>
    </row>
    <row r="502" spans="2:17" x14ac:dyDescent="0.3">
      <c r="B502" s="4391">
        <f>+UsoSuelo!D374</f>
        <v>0</v>
      </c>
      <c r="C502" s="4392"/>
      <c r="D502" s="4392"/>
      <c r="E502" s="4393"/>
      <c r="F502" s="4393"/>
      <c r="G502" s="4393"/>
      <c r="H502" s="4393"/>
      <c r="I502" s="4393"/>
      <c r="J502" s="4393"/>
      <c r="K502" s="4393"/>
      <c r="L502" s="4393"/>
      <c r="M502" s="4393"/>
      <c r="N502" s="4393"/>
      <c r="O502" s="4393"/>
      <c r="P502" s="4478"/>
      <c r="Q502" s="3709"/>
    </row>
    <row r="503" spans="2:17" x14ac:dyDescent="0.3">
      <c r="B503" s="4458" t="s">
        <v>435</v>
      </c>
      <c r="C503" s="4459">
        <f>+UsoSuelo!T374</f>
        <v>0</v>
      </c>
      <c r="D503" s="3678" t="s">
        <v>247</v>
      </c>
      <c r="E503" s="4357"/>
      <c r="F503" s="4357"/>
      <c r="G503" s="4357"/>
      <c r="H503" s="4357"/>
      <c r="I503" s="4357"/>
      <c r="J503" s="4357"/>
      <c r="K503" s="4357"/>
      <c r="L503" s="4357"/>
      <c r="M503" s="4357"/>
      <c r="N503" s="4357"/>
      <c r="O503" s="4357"/>
      <c r="P503" s="4460"/>
      <c r="Q503" s="3709"/>
    </row>
    <row r="504" spans="2:17" x14ac:dyDescent="0.3">
      <c r="B504" s="3723" t="s">
        <v>433</v>
      </c>
      <c r="C504" s="5349"/>
      <c r="D504" s="3523" t="s">
        <v>2385</v>
      </c>
      <c r="E504" s="4313"/>
      <c r="F504" s="4313"/>
      <c r="G504" s="4313"/>
      <c r="H504" s="4313"/>
      <c r="I504" s="4313"/>
      <c r="J504" s="4313"/>
      <c r="K504" s="4313"/>
      <c r="L504" s="4313"/>
      <c r="M504" s="4313"/>
      <c r="N504" s="4313"/>
      <c r="O504" s="4313"/>
      <c r="P504" s="4461"/>
      <c r="Q504" s="3709"/>
    </row>
    <row r="505" spans="2:17" x14ac:dyDescent="0.3">
      <c r="B505" s="4462" t="s">
        <v>2386</v>
      </c>
      <c r="C505" s="4463">
        <f>C504*C503</f>
        <v>0</v>
      </c>
      <c r="D505" s="4464" t="s">
        <v>145</v>
      </c>
      <c r="E505" s="4411"/>
      <c r="F505" s="4411"/>
      <c r="G505" s="4411"/>
      <c r="H505" s="4411"/>
      <c r="I505" s="4411"/>
      <c r="J505" s="4411"/>
      <c r="K505" s="4411"/>
      <c r="L505" s="4411"/>
      <c r="M505" s="4411"/>
      <c r="N505" s="4411"/>
      <c r="O505" s="4411"/>
      <c r="P505" s="4465"/>
      <c r="Q505" s="3709"/>
    </row>
    <row r="506" spans="2:17" x14ac:dyDescent="0.3">
      <c r="B506" s="4413" t="s">
        <v>2387</v>
      </c>
      <c r="C506" s="5350"/>
      <c r="D506" s="4414" t="s">
        <v>145</v>
      </c>
      <c r="E506" s="4317">
        <f t="shared" ref="E506:P506" si="217">IF($C$510=E$7,$C506,0)</f>
        <v>0</v>
      </c>
      <c r="F506" s="4317">
        <f t="shared" si="217"/>
        <v>0</v>
      </c>
      <c r="G506" s="4317">
        <f t="shared" si="217"/>
        <v>0</v>
      </c>
      <c r="H506" s="4317">
        <f t="shared" si="217"/>
        <v>0</v>
      </c>
      <c r="I506" s="4317">
        <f t="shared" si="217"/>
        <v>0</v>
      </c>
      <c r="J506" s="4317">
        <f t="shared" si="217"/>
        <v>0</v>
      </c>
      <c r="K506" s="4317">
        <f t="shared" si="217"/>
        <v>0</v>
      </c>
      <c r="L506" s="4317">
        <f t="shared" si="217"/>
        <v>0</v>
      </c>
      <c r="M506" s="4317">
        <f t="shared" si="217"/>
        <v>0</v>
      </c>
      <c r="N506" s="4317">
        <f t="shared" si="217"/>
        <v>0</v>
      </c>
      <c r="O506" s="4317">
        <f t="shared" si="217"/>
        <v>0</v>
      </c>
      <c r="P506" s="4466">
        <f t="shared" si="217"/>
        <v>0</v>
      </c>
      <c r="Q506" s="3709"/>
    </row>
    <row r="507" spans="2:17" x14ac:dyDescent="0.3">
      <c r="B507" s="4413" t="s">
        <v>554</v>
      </c>
      <c r="C507" s="5351"/>
      <c r="D507" s="4414"/>
      <c r="E507" s="4317"/>
      <c r="F507" s="4317"/>
      <c r="G507" s="4317"/>
      <c r="H507" s="4317"/>
      <c r="I507" s="4317"/>
      <c r="J507" s="4317"/>
      <c r="K507" s="4317"/>
      <c r="L507" s="4317"/>
      <c r="M507" s="4317"/>
      <c r="N507" s="4317"/>
      <c r="O507" s="4317"/>
      <c r="P507" s="4466"/>
      <c r="Q507" s="3709"/>
    </row>
    <row r="508" spans="2:17" x14ac:dyDescent="0.3">
      <c r="B508" s="4413" t="s">
        <v>427</v>
      </c>
      <c r="C508" s="4414">
        <f>C505-C506-C507</f>
        <v>0</v>
      </c>
      <c r="D508" s="4414" t="s">
        <v>145</v>
      </c>
      <c r="E508" s="4317">
        <f t="shared" ref="E508:P508" si="218">IF($C510=E$7,$C508,0)</f>
        <v>0</v>
      </c>
      <c r="F508" s="4317">
        <f t="shared" si="218"/>
        <v>0</v>
      </c>
      <c r="G508" s="4317">
        <f t="shared" si="218"/>
        <v>0</v>
      </c>
      <c r="H508" s="4317">
        <f t="shared" si="218"/>
        <v>0</v>
      </c>
      <c r="I508" s="4317">
        <f t="shared" si="218"/>
        <v>0</v>
      </c>
      <c r="J508" s="4317">
        <f t="shared" si="218"/>
        <v>0</v>
      </c>
      <c r="K508" s="4317">
        <f t="shared" si="218"/>
        <v>0</v>
      </c>
      <c r="L508" s="4317">
        <f t="shared" si="218"/>
        <v>0</v>
      </c>
      <c r="M508" s="4317">
        <f t="shared" si="218"/>
        <v>0</v>
      </c>
      <c r="N508" s="4317">
        <f t="shared" si="218"/>
        <v>0</v>
      </c>
      <c r="O508" s="4317">
        <f t="shared" si="218"/>
        <v>0</v>
      </c>
      <c r="P508" s="4466">
        <f t="shared" si="218"/>
        <v>0</v>
      </c>
      <c r="Q508" s="4467" t="str">
        <f>B508&amp;B502</f>
        <v>Saldo Vendible 0</v>
      </c>
    </row>
    <row r="509" spans="2:17" x14ac:dyDescent="0.3">
      <c r="B509" s="3723" t="s">
        <v>2415</v>
      </c>
      <c r="C509" s="5352"/>
      <c r="D509" s="3523" t="s">
        <v>362</v>
      </c>
      <c r="E509" s="4468"/>
      <c r="F509" s="4313"/>
      <c r="G509" s="4313"/>
      <c r="H509" s="4313"/>
      <c r="I509" s="4313"/>
      <c r="J509" s="4313"/>
      <c r="K509" s="4313"/>
      <c r="L509" s="4313"/>
      <c r="M509" s="4313"/>
      <c r="N509" s="4313"/>
      <c r="O509" s="4313"/>
      <c r="P509" s="4461"/>
      <c r="Q509" s="3709"/>
    </row>
    <row r="510" spans="2:17" ht="15.05" thickBot="1" x14ac:dyDescent="0.35">
      <c r="B510" s="4469" t="s">
        <v>429</v>
      </c>
      <c r="C510" s="4470"/>
      <c r="D510" s="4471" t="s">
        <v>431</v>
      </c>
      <c r="E510" s="4313"/>
      <c r="F510" s="4313"/>
      <c r="G510" s="4313"/>
      <c r="H510" s="4313"/>
      <c r="I510" s="4313"/>
      <c r="J510" s="4313"/>
      <c r="K510" s="4313"/>
      <c r="L510" s="4313"/>
      <c r="M510" s="4313"/>
      <c r="N510" s="4313"/>
      <c r="O510" s="4313"/>
      <c r="P510" s="4461"/>
      <c r="Q510" s="3709"/>
    </row>
    <row r="511" spans="2:17" ht="15.05" thickBot="1" x14ac:dyDescent="0.35">
      <c r="B511" s="4337" t="s">
        <v>444</v>
      </c>
      <c r="C511" s="4472"/>
      <c r="D511" s="4472"/>
      <c r="E511" s="4340">
        <f t="shared" ref="E511:P511" si="219">IF($C510=E$7,$C505*$C509,0)</f>
        <v>0</v>
      </c>
      <c r="F511" s="4340">
        <f t="shared" si="219"/>
        <v>0</v>
      </c>
      <c r="G511" s="4340">
        <f t="shared" si="219"/>
        <v>0</v>
      </c>
      <c r="H511" s="4340">
        <f t="shared" si="219"/>
        <v>0</v>
      </c>
      <c r="I511" s="4340">
        <f t="shared" si="219"/>
        <v>0</v>
      </c>
      <c r="J511" s="4340">
        <f t="shared" si="219"/>
        <v>0</v>
      </c>
      <c r="K511" s="4340">
        <f t="shared" si="219"/>
        <v>0</v>
      </c>
      <c r="L511" s="4340">
        <f t="shared" si="219"/>
        <v>0</v>
      </c>
      <c r="M511" s="4340">
        <f t="shared" si="219"/>
        <v>0</v>
      </c>
      <c r="N511" s="4340">
        <f t="shared" si="219"/>
        <v>0</v>
      </c>
      <c r="O511" s="4340">
        <f t="shared" si="219"/>
        <v>0</v>
      </c>
      <c r="P511" s="4473">
        <f t="shared" si="219"/>
        <v>0</v>
      </c>
      <c r="Q511" s="3709"/>
    </row>
    <row r="512" spans="2:17" ht="15.05" hidden="1" thickBot="1" x14ac:dyDescent="0.35">
      <c r="B512" s="4474" t="s">
        <v>445</v>
      </c>
      <c r="C512" s="4475"/>
      <c r="D512" s="4475">
        <f>C508*C509</f>
        <v>0</v>
      </c>
      <c r="E512" s="4476">
        <f>+E637</f>
        <v>0</v>
      </c>
      <c r="F512" s="4476">
        <f t="shared" ref="F512:P512" si="220">+F637</f>
        <v>0</v>
      </c>
      <c r="G512" s="4476">
        <f t="shared" si="220"/>
        <v>0</v>
      </c>
      <c r="H512" s="4476">
        <f t="shared" si="220"/>
        <v>0</v>
      </c>
      <c r="I512" s="4476">
        <f t="shared" si="220"/>
        <v>0</v>
      </c>
      <c r="J512" s="4476">
        <f t="shared" si="220"/>
        <v>0</v>
      </c>
      <c r="K512" s="4476">
        <f t="shared" si="220"/>
        <v>0</v>
      </c>
      <c r="L512" s="4476">
        <f t="shared" si="220"/>
        <v>0</v>
      </c>
      <c r="M512" s="4476">
        <f t="shared" si="220"/>
        <v>0</v>
      </c>
      <c r="N512" s="4476">
        <f t="shared" si="220"/>
        <v>0</v>
      </c>
      <c r="O512" s="4476">
        <f t="shared" si="220"/>
        <v>0</v>
      </c>
      <c r="P512" s="4477">
        <f t="shared" si="220"/>
        <v>0</v>
      </c>
      <c r="Q512" s="3709"/>
    </row>
    <row r="513" spans="2:17" x14ac:dyDescent="0.3">
      <c r="B513" s="4391">
        <f>+UsoSuelo!D375</f>
        <v>0</v>
      </c>
      <c r="C513" s="4392"/>
      <c r="D513" s="4392"/>
      <c r="E513" s="4393"/>
      <c r="F513" s="4393"/>
      <c r="G513" s="4393"/>
      <c r="H513" s="4393"/>
      <c r="I513" s="4393"/>
      <c r="J513" s="4393"/>
      <c r="K513" s="4393"/>
      <c r="L513" s="4393"/>
      <c r="M513" s="4393"/>
      <c r="N513" s="4393"/>
      <c r="O513" s="4393"/>
      <c r="P513" s="4478"/>
      <c r="Q513" s="3709"/>
    </row>
    <row r="514" spans="2:17" x14ac:dyDescent="0.3">
      <c r="B514" s="4458" t="s">
        <v>435</v>
      </c>
      <c r="C514" s="4459">
        <f>+UsoSuelo!T375</f>
        <v>0</v>
      </c>
      <c r="D514" s="3678" t="s">
        <v>247</v>
      </c>
      <c r="E514" s="4357"/>
      <c r="F514" s="4357"/>
      <c r="G514" s="4357"/>
      <c r="H514" s="4357"/>
      <c r="I514" s="4357"/>
      <c r="J514" s="4357"/>
      <c r="K514" s="4357"/>
      <c r="L514" s="4357"/>
      <c r="M514" s="4357"/>
      <c r="N514" s="4357"/>
      <c r="O514" s="4357"/>
      <c r="P514" s="4460"/>
      <c r="Q514" s="3709"/>
    </row>
    <row r="515" spans="2:17" x14ac:dyDescent="0.3">
      <c r="B515" s="3723" t="s">
        <v>433</v>
      </c>
      <c r="C515" s="5349"/>
      <c r="D515" s="3523" t="s">
        <v>2385</v>
      </c>
      <c r="E515" s="4313"/>
      <c r="F515" s="4313"/>
      <c r="G515" s="4313"/>
      <c r="H515" s="4313"/>
      <c r="I515" s="4313"/>
      <c r="J515" s="4313"/>
      <c r="K515" s="4313"/>
      <c r="L515" s="4313"/>
      <c r="M515" s="4313"/>
      <c r="N515" s="4313"/>
      <c r="O515" s="4313"/>
      <c r="P515" s="4461"/>
      <c r="Q515" s="3709"/>
    </row>
    <row r="516" spans="2:17" x14ac:dyDescent="0.3">
      <c r="B516" s="4462" t="s">
        <v>2386</v>
      </c>
      <c r="C516" s="4463">
        <f>C515*C514</f>
        <v>0</v>
      </c>
      <c r="D516" s="4464" t="s">
        <v>145</v>
      </c>
      <c r="E516" s="4411"/>
      <c r="F516" s="4411"/>
      <c r="G516" s="4411"/>
      <c r="H516" s="4411"/>
      <c r="I516" s="4411"/>
      <c r="J516" s="4411"/>
      <c r="K516" s="4411"/>
      <c r="L516" s="4411"/>
      <c r="M516" s="4411"/>
      <c r="N516" s="4411"/>
      <c r="O516" s="4411"/>
      <c r="P516" s="4465"/>
      <c r="Q516" s="3709"/>
    </row>
    <row r="517" spans="2:17" x14ac:dyDescent="0.3">
      <c r="B517" s="4413" t="s">
        <v>2387</v>
      </c>
      <c r="C517" s="5350"/>
      <c r="D517" s="4414" t="s">
        <v>338</v>
      </c>
      <c r="E517" s="4317">
        <f t="shared" ref="E517:P517" si="221">IF($C$521=E$7,$C517,0)</f>
        <v>0</v>
      </c>
      <c r="F517" s="4317">
        <f t="shared" si="221"/>
        <v>0</v>
      </c>
      <c r="G517" s="4317">
        <f t="shared" si="221"/>
        <v>0</v>
      </c>
      <c r="H517" s="4317">
        <f t="shared" si="221"/>
        <v>0</v>
      </c>
      <c r="I517" s="4317">
        <f t="shared" si="221"/>
        <v>0</v>
      </c>
      <c r="J517" s="4317">
        <f t="shared" si="221"/>
        <v>0</v>
      </c>
      <c r="K517" s="4317">
        <f t="shared" si="221"/>
        <v>0</v>
      </c>
      <c r="L517" s="4317">
        <f t="shared" si="221"/>
        <v>0</v>
      </c>
      <c r="M517" s="4317">
        <f t="shared" si="221"/>
        <v>0</v>
      </c>
      <c r="N517" s="4317">
        <f t="shared" si="221"/>
        <v>0</v>
      </c>
      <c r="O517" s="4317">
        <f t="shared" si="221"/>
        <v>0</v>
      </c>
      <c r="P517" s="4466">
        <f t="shared" si="221"/>
        <v>0</v>
      </c>
      <c r="Q517" s="3709"/>
    </row>
    <row r="518" spans="2:17" x14ac:dyDescent="0.3">
      <c r="B518" s="4413" t="s">
        <v>554</v>
      </c>
      <c r="C518" s="5351"/>
      <c r="D518" s="4414"/>
      <c r="E518" s="4317"/>
      <c r="F518" s="4317"/>
      <c r="G518" s="4317"/>
      <c r="H518" s="4317"/>
      <c r="I518" s="4317"/>
      <c r="J518" s="4317"/>
      <c r="K518" s="4317"/>
      <c r="L518" s="4317"/>
      <c r="M518" s="4317"/>
      <c r="N518" s="4317"/>
      <c r="O518" s="4317"/>
      <c r="P518" s="4466"/>
      <c r="Q518" s="3709"/>
    </row>
    <row r="519" spans="2:17" x14ac:dyDescent="0.3">
      <c r="B519" s="4413" t="s">
        <v>427</v>
      </c>
      <c r="C519" s="4414">
        <f>C516-C517-C518</f>
        <v>0</v>
      </c>
      <c r="D519" s="4414" t="s">
        <v>145</v>
      </c>
      <c r="E519" s="4317">
        <f t="shared" ref="E519:P519" si="222">IF($C521=E$7,$C519,0)</f>
        <v>0</v>
      </c>
      <c r="F519" s="4317">
        <f t="shared" si="222"/>
        <v>0</v>
      </c>
      <c r="G519" s="4317">
        <f t="shared" si="222"/>
        <v>0</v>
      </c>
      <c r="H519" s="4317">
        <f t="shared" si="222"/>
        <v>0</v>
      </c>
      <c r="I519" s="4317">
        <f t="shared" si="222"/>
        <v>0</v>
      </c>
      <c r="J519" s="4317">
        <f t="shared" si="222"/>
        <v>0</v>
      </c>
      <c r="K519" s="4317">
        <f t="shared" si="222"/>
        <v>0</v>
      </c>
      <c r="L519" s="4317">
        <f t="shared" si="222"/>
        <v>0</v>
      </c>
      <c r="M519" s="4317">
        <f t="shared" si="222"/>
        <v>0</v>
      </c>
      <c r="N519" s="4317">
        <f t="shared" si="222"/>
        <v>0</v>
      </c>
      <c r="O519" s="4317">
        <f t="shared" si="222"/>
        <v>0</v>
      </c>
      <c r="P519" s="4466">
        <f t="shared" si="222"/>
        <v>0</v>
      </c>
      <c r="Q519" s="4467" t="str">
        <f>B519&amp;B513</f>
        <v>Saldo Vendible 0</v>
      </c>
    </row>
    <row r="520" spans="2:17" x14ac:dyDescent="0.3">
      <c r="B520" s="3723" t="s">
        <v>2415</v>
      </c>
      <c r="C520" s="5352"/>
      <c r="D520" s="3523" t="s">
        <v>362</v>
      </c>
      <c r="E520" s="4468"/>
      <c r="F520" s="4313"/>
      <c r="G520" s="4313"/>
      <c r="H520" s="4313"/>
      <c r="I520" s="4313"/>
      <c r="J520" s="4313"/>
      <c r="K520" s="4313"/>
      <c r="L520" s="4313"/>
      <c r="M520" s="4313"/>
      <c r="N520" s="4313"/>
      <c r="O520" s="4313"/>
      <c r="P520" s="4461"/>
      <c r="Q520" s="3709"/>
    </row>
    <row r="521" spans="2:17" ht="15.05" thickBot="1" x14ac:dyDescent="0.35">
      <c r="B521" s="4469" t="s">
        <v>429</v>
      </c>
      <c r="C521" s="4470"/>
      <c r="D521" s="4471" t="s">
        <v>431</v>
      </c>
      <c r="E521" s="4313"/>
      <c r="F521" s="4313"/>
      <c r="G521" s="4313"/>
      <c r="H521" s="4313"/>
      <c r="I521" s="4313"/>
      <c r="J521" s="4313"/>
      <c r="K521" s="4313"/>
      <c r="L521" s="4313"/>
      <c r="M521" s="4313"/>
      <c r="N521" s="4313"/>
      <c r="O521" s="4313"/>
      <c r="P521" s="4461"/>
      <c r="Q521" s="3709"/>
    </row>
    <row r="522" spans="2:17" ht="15.05" thickBot="1" x14ac:dyDescent="0.35">
      <c r="B522" s="4337" t="s">
        <v>444</v>
      </c>
      <c r="C522" s="4472"/>
      <c r="D522" s="4472"/>
      <c r="E522" s="4340">
        <f t="shared" ref="E522:P522" si="223">IF($C521=E$7,$C516*$C520,0)</f>
        <v>0</v>
      </c>
      <c r="F522" s="4340">
        <f t="shared" si="223"/>
        <v>0</v>
      </c>
      <c r="G522" s="4340">
        <f t="shared" si="223"/>
        <v>0</v>
      </c>
      <c r="H522" s="4340">
        <f t="shared" si="223"/>
        <v>0</v>
      </c>
      <c r="I522" s="4340">
        <f t="shared" si="223"/>
        <v>0</v>
      </c>
      <c r="J522" s="4340">
        <f t="shared" si="223"/>
        <v>0</v>
      </c>
      <c r="K522" s="4340">
        <f t="shared" si="223"/>
        <v>0</v>
      </c>
      <c r="L522" s="4340">
        <f t="shared" si="223"/>
        <v>0</v>
      </c>
      <c r="M522" s="4340">
        <f t="shared" si="223"/>
        <v>0</v>
      </c>
      <c r="N522" s="4340">
        <f t="shared" si="223"/>
        <v>0</v>
      </c>
      <c r="O522" s="4340">
        <f t="shared" si="223"/>
        <v>0</v>
      </c>
      <c r="P522" s="4473">
        <f t="shared" si="223"/>
        <v>0</v>
      </c>
      <c r="Q522" s="3709"/>
    </row>
    <row r="523" spans="2:17" ht="15.05" hidden="1" thickBot="1" x14ac:dyDescent="0.35">
      <c r="B523" s="4474" t="s">
        <v>445</v>
      </c>
      <c r="C523" s="4475"/>
      <c r="D523" s="4475">
        <f>C519*C520</f>
        <v>0</v>
      </c>
      <c r="E523" s="4476">
        <f>+E638</f>
        <v>0</v>
      </c>
      <c r="F523" s="4476">
        <f t="shared" ref="F523:P523" si="224">+F638</f>
        <v>0</v>
      </c>
      <c r="G523" s="4476">
        <f t="shared" si="224"/>
        <v>0</v>
      </c>
      <c r="H523" s="4476">
        <f t="shared" si="224"/>
        <v>0</v>
      </c>
      <c r="I523" s="4476">
        <f t="shared" si="224"/>
        <v>0</v>
      </c>
      <c r="J523" s="4476">
        <f t="shared" si="224"/>
        <v>0</v>
      </c>
      <c r="K523" s="4476">
        <f t="shared" si="224"/>
        <v>0</v>
      </c>
      <c r="L523" s="4476">
        <f t="shared" si="224"/>
        <v>0</v>
      </c>
      <c r="M523" s="4476">
        <f t="shared" si="224"/>
        <v>0</v>
      </c>
      <c r="N523" s="4476">
        <f t="shared" si="224"/>
        <v>0</v>
      </c>
      <c r="O523" s="4476">
        <f t="shared" si="224"/>
        <v>0</v>
      </c>
      <c r="P523" s="4477">
        <f t="shared" si="224"/>
        <v>0</v>
      </c>
      <c r="Q523" s="3709"/>
    </row>
    <row r="524" spans="2:17" x14ac:dyDescent="0.3">
      <c r="B524" s="4391">
        <f>+UsoSuelo!D376</f>
        <v>0</v>
      </c>
      <c r="C524" s="4392"/>
      <c r="D524" s="4392"/>
      <c r="E524" s="4393"/>
      <c r="F524" s="4393"/>
      <c r="G524" s="4393"/>
      <c r="H524" s="4393"/>
      <c r="I524" s="4393"/>
      <c r="J524" s="4393"/>
      <c r="K524" s="4393"/>
      <c r="L524" s="4393"/>
      <c r="M524" s="4393"/>
      <c r="N524" s="4393"/>
      <c r="O524" s="4393"/>
      <c r="P524" s="4478"/>
      <c r="Q524" s="3709"/>
    </row>
    <row r="525" spans="2:17" x14ac:dyDescent="0.3">
      <c r="B525" s="4458" t="s">
        <v>435</v>
      </c>
      <c r="C525" s="4459">
        <f>+UsoSuelo!T376</f>
        <v>0</v>
      </c>
      <c r="D525" s="3678" t="s">
        <v>247</v>
      </c>
      <c r="E525" s="4357"/>
      <c r="F525" s="4357"/>
      <c r="G525" s="4357"/>
      <c r="H525" s="4357"/>
      <c r="I525" s="4357"/>
      <c r="J525" s="4357"/>
      <c r="K525" s="4357"/>
      <c r="L525" s="4357"/>
      <c r="M525" s="4357"/>
      <c r="N525" s="4357"/>
      <c r="O525" s="4357"/>
      <c r="P525" s="4460"/>
      <c r="Q525" s="3709"/>
    </row>
    <row r="526" spans="2:17" x14ac:dyDescent="0.3">
      <c r="B526" s="3723" t="s">
        <v>433</v>
      </c>
      <c r="C526" s="5349"/>
      <c r="D526" s="3523" t="s">
        <v>2385</v>
      </c>
      <c r="E526" s="4313"/>
      <c r="F526" s="4313"/>
      <c r="G526" s="4313"/>
      <c r="H526" s="4313"/>
      <c r="I526" s="4313"/>
      <c r="J526" s="4313"/>
      <c r="K526" s="4313"/>
      <c r="L526" s="4313"/>
      <c r="M526" s="4313"/>
      <c r="N526" s="4313"/>
      <c r="O526" s="4313"/>
      <c r="P526" s="4461"/>
      <c r="Q526" s="3709"/>
    </row>
    <row r="527" spans="2:17" x14ac:dyDescent="0.3">
      <c r="B527" s="4462" t="s">
        <v>2386</v>
      </c>
      <c r="C527" s="4463">
        <f>C526*C525</f>
        <v>0</v>
      </c>
      <c r="D527" s="4464" t="s">
        <v>145</v>
      </c>
      <c r="E527" s="4411"/>
      <c r="F527" s="4411"/>
      <c r="G527" s="4411"/>
      <c r="H527" s="4411"/>
      <c r="I527" s="4411"/>
      <c r="J527" s="4411"/>
      <c r="K527" s="4411"/>
      <c r="L527" s="4411"/>
      <c r="M527" s="4411"/>
      <c r="N527" s="4411"/>
      <c r="O527" s="4411"/>
      <c r="P527" s="4465"/>
      <c r="Q527" s="3709"/>
    </row>
    <row r="528" spans="2:17" x14ac:dyDescent="0.3">
      <c r="B528" s="4413" t="s">
        <v>2387</v>
      </c>
      <c r="C528" s="5350"/>
      <c r="D528" s="4414" t="s">
        <v>145</v>
      </c>
      <c r="E528" s="4317">
        <f t="shared" ref="E528:P528" si="225">IF($C$531=E$7,$C528,0)</f>
        <v>0</v>
      </c>
      <c r="F528" s="4317">
        <f t="shared" si="225"/>
        <v>0</v>
      </c>
      <c r="G528" s="4317">
        <f t="shared" si="225"/>
        <v>0</v>
      </c>
      <c r="H528" s="4317">
        <f t="shared" si="225"/>
        <v>0</v>
      </c>
      <c r="I528" s="4317">
        <f t="shared" si="225"/>
        <v>0</v>
      </c>
      <c r="J528" s="4317">
        <f t="shared" si="225"/>
        <v>0</v>
      </c>
      <c r="K528" s="4317">
        <f t="shared" si="225"/>
        <v>0</v>
      </c>
      <c r="L528" s="4317">
        <f t="shared" si="225"/>
        <v>0</v>
      </c>
      <c r="M528" s="4317">
        <f t="shared" si="225"/>
        <v>0</v>
      </c>
      <c r="N528" s="4317">
        <f t="shared" si="225"/>
        <v>0</v>
      </c>
      <c r="O528" s="4317">
        <f t="shared" si="225"/>
        <v>0</v>
      </c>
      <c r="P528" s="4466">
        <f t="shared" si="225"/>
        <v>0</v>
      </c>
      <c r="Q528" s="3709"/>
    </row>
    <row r="529" spans="2:17" x14ac:dyDescent="0.3">
      <c r="B529" s="4413" t="s">
        <v>554</v>
      </c>
      <c r="C529" s="5351"/>
      <c r="D529" s="4414"/>
      <c r="E529" s="4317"/>
      <c r="F529" s="4317"/>
      <c r="G529" s="4317"/>
      <c r="H529" s="4317"/>
      <c r="I529" s="4317"/>
      <c r="J529" s="4317"/>
      <c r="K529" s="4317"/>
      <c r="L529" s="4317"/>
      <c r="M529" s="4317"/>
      <c r="N529" s="4317"/>
      <c r="O529" s="4317"/>
      <c r="P529" s="4466"/>
      <c r="Q529" s="3709"/>
    </row>
    <row r="530" spans="2:17" x14ac:dyDescent="0.3">
      <c r="B530" s="4413" t="s">
        <v>427</v>
      </c>
      <c r="C530" s="4414">
        <f>C527-C528-C529</f>
        <v>0</v>
      </c>
      <c r="D530" s="4414" t="s">
        <v>145</v>
      </c>
      <c r="E530" s="4317">
        <f t="shared" ref="E530:P530" si="226">IF($C532=E$7,$C530,0)</f>
        <v>0</v>
      </c>
      <c r="F530" s="4317">
        <f t="shared" si="226"/>
        <v>0</v>
      </c>
      <c r="G530" s="4317">
        <f t="shared" si="226"/>
        <v>0</v>
      </c>
      <c r="H530" s="4317">
        <f t="shared" si="226"/>
        <v>0</v>
      </c>
      <c r="I530" s="4317">
        <f t="shared" si="226"/>
        <v>0</v>
      </c>
      <c r="J530" s="4317">
        <f t="shared" si="226"/>
        <v>0</v>
      </c>
      <c r="K530" s="4317">
        <f t="shared" si="226"/>
        <v>0</v>
      </c>
      <c r="L530" s="4317">
        <f t="shared" si="226"/>
        <v>0</v>
      </c>
      <c r="M530" s="4317">
        <f t="shared" si="226"/>
        <v>0</v>
      </c>
      <c r="N530" s="4317">
        <f t="shared" si="226"/>
        <v>0</v>
      </c>
      <c r="O530" s="4317">
        <f t="shared" si="226"/>
        <v>0</v>
      </c>
      <c r="P530" s="4466">
        <f t="shared" si="226"/>
        <v>0</v>
      </c>
      <c r="Q530" s="4467" t="str">
        <f>B530&amp;B524</f>
        <v>Saldo Vendible 0</v>
      </c>
    </row>
    <row r="531" spans="2:17" x14ac:dyDescent="0.3">
      <c r="B531" s="3723" t="s">
        <v>2415</v>
      </c>
      <c r="C531" s="5352"/>
      <c r="D531" s="3523" t="s">
        <v>362</v>
      </c>
      <c r="E531" s="4468"/>
      <c r="F531" s="4313"/>
      <c r="G531" s="4313"/>
      <c r="H531" s="4313"/>
      <c r="I531" s="4313"/>
      <c r="J531" s="4313"/>
      <c r="K531" s="4313"/>
      <c r="L531" s="4313"/>
      <c r="M531" s="4313"/>
      <c r="N531" s="4313"/>
      <c r="O531" s="4313"/>
      <c r="P531" s="4461"/>
      <c r="Q531" s="3709"/>
    </row>
    <row r="532" spans="2:17" ht="15.05" thickBot="1" x14ac:dyDescent="0.35">
      <c r="B532" s="4469" t="s">
        <v>429</v>
      </c>
      <c r="C532" s="4470"/>
      <c r="D532" s="4471" t="s">
        <v>431</v>
      </c>
      <c r="E532" s="4313"/>
      <c r="F532" s="4313"/>
      <c r="G532" s="4313"/>
      <c r="H532" s="4313"/>
      <c r="I532" s="4313"/>
      <c r="J532" s="4313"/>
      <c r="K532" s="4313"/>
      <c r="L532" s="4313"/>
      <c r="M532" s="4313"/>
      <c r="N532" s="4313"/>
      <c r="O532" s="4313"/>
      <c r="P532" s="4461"/>
      <c r="Q532" s="3709"/>
    </row>
    <row r="533" spans="2:17" ht="15.05" thickBot="1" x14ac:dyDescent="0.35">
      <c r="B533" s="4337" t="s">
        <v>444</v>
      </c>
      <c r="C533" s="4472"/>
      <c r="D533" s="4472"/>
      <c r="E533" s="4340">
        <f t="shared" ref="E533:P533" si="227">IF($C532=E$7,$C527*$C531,0)</f>
        <v>0</v>
      </c>
      <c r="F533" s="4340">
        <f t="shared" si="227"/>
        <v>0</v>
      </c>
      <c r="G533" s="4340">
        <f t="shared" si="227"/>
        <v>0</v>
      </c>
      <c r="H533" s="4340">
        <f t="shared" si="227"/>
        <v>0</v>
      </c>
      <c r="I533" s="4340">
        <f t="shared" si="227"/>
        <v>0</v>
      </c>
      <c r="J533" s="4340">
        <f t="shared" si="227"/>
        <v>0</v>
      </c>
      <c r="K533" s="4340">
        <f t="shared" si="227"/>
        <v>0</v>
      </c>
      <c r="L533" s="4340">
        <f t="shared" si="227"/>
        <v>0</v>
      </c>
      <c r="M533" s="4340">
        <f t="shared" si="227"/>
        <v>0</v>
      </c>
      <c r="N533" s="4340">
        <f t="shared" si="227"/>
        <v>0</v>
      </c>
      <c r="O533" s="4340">
        <f t="shared" si="227"/>
        <v>0</v>
      </c>
      <c r="P533" s="4473">
        <f t="shared" si="227"/>
        <v>0</v>
      </c>
      <c r="Q533" s="3709"/>
    </row>
    <row r="534" spans="2:17" ht="15.05" hidden="1" thickBot="1" x14ac:dyDescent="0.35">
      <c r="B534" s="4474" t="s">
        <v>445</v>
      </c>
      <c r="C534" s="4475"/>
      <c r="D534" s="4475">
        <f>C530*C531</f>
        <v>0</v>
      </c>
      <c r="E534" s="4476">
        <f>+E639</f>
        <v>0</v>
      </c>
      <c r="F534" s="4476">
        <f t="shared" ref="F534:P534" si="228">+F639</f>
        <v>0</v>
      </c>
      <c r="G534" s="4476">
        <f t="shared" si="228"/>
        <v>0</v>
      </c>
      <c r="H534" s="4476">
        <f t="shared" si="228"/>
        <v>0</v>
      </c>
      <c r="I534" s="4476">
        <f t="shared" si="228"/>
        <v>0</v>
      </c>
      <c r="J534" s="4476">
        <f t="shared" si="228"/>
        <v>0</v>
      </c>
      <c r="K534" s="4476">
        <f t="shared" si="228"/>
        <v>0</v>
      </c>
      <c r="L534" s="4476">
        <f t="shared" si="228"/>
        <v>0</v>
      </c>
      <c r="M534" s="4476">
        <f t="shared" si="228"/>
        <v>0</v>
      </c>
      <c r="N534" s="4476">
        <f t="shared" si="228"/>
        <v>0</v>
      </c>
      <c r="O534" s="4476">
        <f t="shared" si="228"/>
        <v>0</v>
      </c>
      <c r="P534" s="4477">
        <f t="shared" si="228"/>
        <v>0</v>
      </c>
      <c r="Q534" s="3709"/>
    </row>
    <row r="535" spans="2:17" x14ac:dyDescent="0.3">
      <c r="B535" s="4391">
        <f>+UsoSuelo!D377</f>
        <v>0</v>
      </c>
      <c r="C535" s="4392"/>
      <c r="D535" s="4392"/>
      <c r="E535" s="4393"/>
      <c r="F535" s="4393"/>
      <c r="G535" s="4393"/>
      <c r="H535" s="4393"/>
      <c r="I535" s="4393"/>
      <c r="J535" s="4393"/>
      <c r="K535" s="4393"/>
      <c r="L535" s="4393"/>
      <c r="M535" s="4393"/>
      <c r="N535" s="4393"/>
      <c r="O535" s="4393"/>
      <c r="P535" s="4478"/>
      <c r="Q535" s="3709"/>
    </row>
    <row r="536" spans="2:17" x14ac:dyDescent="0.3">
      <c r="B536" s="4458" t="s">
        <v>435</v>
      </c>
      <c r="C536" s="4459">
        <f>+UsoSuelo!T377</f>
        <v>0</v>
      </c>
      <c r="D536" s="3678" t="s">
        <v>247</v>
      </c>
      <c r="E536" s="4357"/>
      <c r="F536" s="4357"/>
      <c r="G536" s="4357"/>
      <c r="H536" s="4357"/>
      <c r="I536" s="4357"/>
      <c r="J536" s="4357"/>
      <c r="K536" s="4357"/>
      <c r="L536" s="4357"/>
      <c r="M536" s="4357"/>
      <c r="N536" s="4357"/>
      <c r="O536" s="4357"/>
      <c r="P536" s="4460"/>
      <c r="Q536" s="3709"/>
    </row>
    <row r="537" spans="2:17" x14ac:dyDescent="0.3">
      <c r="B537" s="3723" t="s">
        <v>433</v>
      </c>
      <c r="C537" s="5349"/>
      <c r="D537" s="3523" t="s">
        <v>2385</v>
      </c>
      <c r="E537" s="4313"/>
      <c r="F537" s="4313"/>
      <c r="G537" s="4313"/>
      <c r="H537" s="4313"/>
      <c r="I537" s="4313"/>
      <c r="J537" s="4313"/>
      <c r="K537" s="4313"/>
      <c r="L537" s="4313"/>
      <c r="M537" s="4313"/>
      <c r="N537" s="4313"/>
      <c r="O537" s="4313"/>
      <c r="P537" s="4461"/>
      <c r="Q537" s="3709"/>
    </row>
    <row r="538" spans="2:17" x14ac:dyDescent="0.3">
      <c r="B538" s="4462" t="s">
        <v>2386</v>
      </c>
      <c r="C538" s="4463">
        <f>C537*C536</f>
        <v>0</v>
      </c>
      <c r="D538" s="4464" t="s">
        <v>145</v>
      </c>
      <c r="E538" s="4411"/>
      <c r="F538" s="4411"/>
      <c r="G538" s="4411"/>
      <c r="H538" s="4411"/>
      <c r="I538" s="4411"/>
      <c r="J538" s="4411"/>
      <c r="K538" s="4411"/>
      <c r="L538" s="4411"/>
      <c r="M538" s="4411"/>
      <c r="N538" s="4411"/>
      <c r="O538" s="4411"/>
      <c r="P538" s="4465"/>
      <c r="Q538" s="3709"/>
    </row>
    <row r="539" spans="2:17" x14ac:dyDescent="0.3">
      <c r="B539" s="4413" t="s">
        <v>2387</v>
      </c>
      <c r="C539" s="5350"/>
      <c r="D539" s="4414" t="s">
        <v>145</v>
      </c>
      <c r="E539" s="4317">
        <f t="shared" ref="E539:P539" si="229">IF($C$543=E$7,$C539,0)</f>
        <v>0</v>
      </c>
      <c r="F539" s="4317">
        <f t="shared" si="229"/>
        <v>0</v>
      </c>
      <c r="G539" s="4317">
        <f t="shared" si="229"/>
        <v>0</v>
      </c>
      <c r="H539" s="4317">
        <f t="shared" si="229"/>
        <v>0</v>
      </c>
      <c r="I539" s="4317">
        <f t="shared" si="229"/>
        <v>0</v>
      </c>
      <c r="J539" s="4317">
        <f t="shared" si="229"/>
        <v>0</v>
      </c>
      <c r="K539" s="4317">
        <f t="shared" si="229"/>
        <v>0</v>
      </c>
      <c r="L539" s="4317">
        <f t="shared" si="229"/>
        <v>0</v>
      </c>
      <c r="M539" s="4317">
        <f t="shared" si="229"/>
        <v>0</v>
      </c>
      <c r="N539" s="4317">
        <f t="shared" si="229"/>
        <v>0</v>
      </c>
      <c r="O539" s="4317">
        <f t="shared" si="229"/>
        <v>0</v>
      </c>
      <c r="P539" s="4466">
        <f t="shared" si="229"/>
        <v>0</v>
      </c>
      <c r="Q539" s="3709"/>
    </row>
    <row r="540" spans="2:17" x14ac:dyDescent="0.3">
      <c r="B540" s="4413" t="s">
        <v>554</v>
      </c>
      <c r="C540" s="5351"/>
      <c r="D540" s="4414"/>
      <c r="E540" s="4317"/>
      <c r="F540" s="4317"/>
      <c r="G540" s="4317"/>
      <c r="H540" s="4317"/>
      <c r="I540" s="4317"/>
      <c r="J540" s="4317"/>
      <c r="K540" s="4317"/>
      <c r="L540" s="4317"/>
      <c r="M540" s="4317"/>
      <c r="N540" s="4317"/>
      <c r="O540" s="4317"/>
      <c r="P540" s="4466"/>
      <c r="Q540" s="3709"/>
    </row>
    <row r="541" spans="2:17" x14ac:dyDescent="0.3">
      <c r="B541" s="4413" t="s">
        <v>427</v>
      </c>
      <c r="C541" s="4414">
        <f>C538-C539-C540</f>
        <v>0</v>
      </c>
      <c r="D541" s="4414" t="s">
        <v>145</v>
      </c>
      <c r="E541" s="4317">
        <f t="shared" ref="E541:P541" si="230">IF($C543=E$7,$C541,0)</f>
        <v>0</v>
      </c>
      <c r="F541" s="4317">
        <f t="shared" si="230"/>
        <v>0</v>
      </c>
      <c r="G541" s="4317">
        <f t="shared" si="230"/>
        <v>0</v>
      </c>
      <c r="H541" s="4317">
        <f t="shared" si="230"/>
        <v>0</v>
      </c>
      <c r="I541" s="4317">
        <f t="shared" si="230"/>
        <v>0</v>
      </c>
      <c r="J541" s="4317">
        <f t="shared" si="230"/>
        <v>0</v>
      </c>
      <c r="K541" s="4317">
        <f t="shared" si="230"/>
        <v>0</v>
      </c>
      <c r="L541" s="4317">
        <f t="shared" si="230"/>
        <v>0</v>
      </c>
      <c r="M541" s="4317">
        <f t="shared" si="230"/>
        <v>0</v>
      </c>
      <c r="N541" s="4317">
        <f t="shared" si="230"/>
        <v>0</v>
      </c>
      <c r="O541" s="4317">
        <f t="shared" si="230"/>
        <v>0</v>
      </c>
      <c r="P541" s="4466">
        <f t="shared" si="230"/>
        <v>0</v>
      </c>
      <c r="Q541" s="4467" t="str">
        <f>B541&amp;B535</f>
        <v>Saldo Vendible 0</v>
      </c>
    </row>
    <row r="542" spans="2:17" x14ac:dyDescent="0.3">
      <c r="B542" s="3723" t="s">
        <v>2415</v>
      </c>
      <c r="C542" s="5352"/>
      <c r="D542" s="3523" t="s">
        <v>362</v>
      </c>
      <c r="E542" s="4468"/>
      <c r="F542" s="4313"/>
      <c r="G542" s="4313"/>
      <c r="H542" s="4313"/>
      <c r="I542" s="4313"/>
      <c r="J542" s="4313"/>
      <c r="K542" s="4313"/>
      <c r="L542" s="4313"/>
      <c r="M542" s="4313"/>
      <c r="N542" s="4313"/>
      <c r="O542" s="4313"/>
      <c r="P542" s="4461"/>
      <c r="Q542" s="3709"/>
    </row>
    <row r="543" spans="2:17" ht="15.05" thickBot="1" x14ac:dyDescent="0.35">
      <c r="B543" s="4469" t="s">
        <v>429</v>
      </c>
      <c r="C543" s="4470"/>
      <c r="D543" s="4471" t="s">
        <v>431</v>
      </c>
      <c r="E543" s="4313"/>
      <c r="F543" s="4313"/>
      <c r="G543" s="4313"/>
      <c r="H543" s="4313"/>
      <c r="I543" s="4313"/>
      <c r="J543" s="4313"/>
      <c r="K543" s="4313"/>
      <c r="L543" s="4313"/>
      <c r="M543" s="4313"/>
      <c r="N543" s="4313"/>
      <c r="O543" s="4313"/>
      <c r="P543" s="4461"/>
      <c r="Q543" s="3709"/>
    </row>
    <row r="544" spans="2:17" ht="15.05" thickBot="1" x14ac:dyDescent="0.35">
      <c r="B544" s="4337" t="s">
        <v>444</v>
      </c>
      <c r="C544" s="4472"/>
      <c r="D544" s="4472"/>
      <c r="E544" s="4340">
        <f t="shared" ref="E544:P544" si="231">IF($C543=E$7,$C538*$C542,0)</f>
        <v>0</v>
      </c>
      <c r="F544" s="4340">
        <f t="shared" si="231"/>
        <v>0</v>
      </c>
      <c r="G544" s="4340">
        <f t="shared" si="231"/>
        <v>0</v>
      </c>
      <c r="H544" s="4340">
        <f t="shared" si="231"/>
        <v>0</v>
      </c>
      <c r="I544" s="4340">
        <f t="shared" si="231"/>
        <v>0</v>
      </c>
      <c r="J544" s="4340">
        <f t="shared" si="231"/>
        <v>0</v>
      </c>
      <c r="K544" s="4340">
        <f t="shared" si="231"/>
        <v>0</v>
      </c>
      <c r="L544" s="4340">
        <f t="shared" si="231"/>
        <v>0</v>
      </c>
      <c r="M544" s="4340">
        <f t="shared" si="231"/>
        <v>0</v>
      </c>
      <c r="N544" s="4340">
        <f t="shared" si="231"/>
        <v>0</v>
      </c>
      <c r="O544" s="4340">
        <f t="shared" si="231"/>
        <v>0</v>
      </c>
      <c r="P544" s="4473">
        <f t="shared" si="231"/>
        <v>0</v>
      </c>
      <c r="Q544" s="3709"/>
    </row>
    <row r="545" spans="1:17" ht="15.05" hidden="1" thickBot="1" x14ac:dyDescent="0.35">
      <c r="B545" s="4474" t="s">
        <v>445</v>
      </c>
      <c r="C545" s="4475"/>
      <c r="D545" s="4475">
        <f>C541*C542</f>
        <v>0</v>
      </c>
      <c r="E545" s="4476">
        <f>+E640</f>
        <v>0</v>
      </c>
      <c r="F545" s="4476">
        <f t="shared" ref="F545:P545" si="232">+F640</f>
        <v>0</v>
      </c>
      <c r="G545" s="4476">
        <f t="shared" si="232"/>
        <v>0</v>
      </c>
      <c r="H545" s="4476">
        <f t="shared" si="232"/>
        <v>0</v>
      </c>
      <c r="I545" s="4476">
        <f t="shared" si="232"/>
        <v>0</v>
      </c>
      <c r="J545" s="4476">
        <f t="shared" si="232"/>
        <v>0</v>
      </c>
      <c r="K545" s="4476">
        <f t="shared" si="232"/>
        <v>0</v>
      </c>
      <c r="L545" s="4476">
        <f t="shared" si="232"/>
        <v>0</v>
      </c>
      <c r="M545" s="4476">
        <f t="shared" si="232"/>
        <v>0</v>
      </c>
      <c r="N545" s="4476">
        <f t="shared" si="232"/>
        <v>0</v>
      </c>
      <c r="O545" s="4476">
        <f t="shared" si="232"/>
        <v>0</v>
      </c>
      <c r="P545" s="4477">
        <f t="shared" si="232"/>
        <v>0</v>
      </c>
      <c r="Q545" s="3709"/>
    </row>
    <row r="546" spans="1:17" x14ac:dyDescent="0.3">
      <c r="B546" s="4391">
        <f>+UsoSuelo!D378</f>
        <v>0</v>
      </c>
      <c r="C546" s="4392"/>
      <c r="D546" s="4392"/>
      <c r="E546" s="4393"/>
      <c r="F546" s="4393"/>
      <c r="G546" s="4393"/>
      <c r="H546" s="4393"/>
      <c r="I546" s="4393"/>
      <c r="J546" s="4393"/>
      <c r="K546" s="4393"/>
      <c r="L546" s="4393"/>
      <c r="M546" s="4393"/>
      <c r="N546" s="4393"/>
      <c r="O546" s="4393"/>
      <c r="P546" s="4478"/>
      <c r="Q546" s="3709"/>
    </row>
    <row r="547" spans="1:17" x14ac:dyDescent="0.3">
      <c r="B547" s="4458" t="s">
        <v>435</v>
      </c>
      <c r="C547" s="4459">
        <f>+UsoSuelo!T378</f>
        <v>0</v>
      </c>
      <c r="D547" s="3678" t="s">
        <v>247</v>
      </c>
      <c r="E547" s="4357"/>
      <c r="F547" s="4357"/>
      <c r="G547" s="4357"/>
      <c r="H547" s="4357"/>
      <c r="I547" s="4357"/>
      <c r="J547" s="4357"/>
      <c r="K547" s="4357"/>
      <c r="L547" s="4357"/>
      <c r="M547" s="4357"/>
      <c r="N547" s="4357"/>
      <c r="O547" s="4357"/>
      <c r="P547" s="4460"/>
      <c r="Q547" s="3709"/>
    </row>
    <row r="548" spans="1:17" x14ac:dyDescent="0.3">
      <c r="B548" s="3723" t="s">
        <v>433</v>
      </c>
      <c r="C548" s="5349"/>
      <c r="D548" s="3523" t="s">
        <v>2385</v>
      </c>
      <c r="E548" s="4313"/>
      <c r="F548" s="4313"/>
      <c r="G548" s="4313"/>
      <c r="H548" s="4313"/>
      <c r="I548" s="4313"/>
      <c r="J548" s="4313"/>
      <c r="K548" s="4313"/>
      <c r="L548" s="4313"/>
      <c r="M548" s="4313"/>
      <c r="N548" s="4313"/>
      <c r="O548" s="4313"/>
      <c r="P548" s="4461"/>
      <c r="Q548" s="3709"/>
    </row>
    <row r="549" spans="1:17" x14ac:dyDescent="0.3">
      <c r="B549" s="4462" t="s">
        <v>2386</v>
      </c>
      <c r="C549" s="4463">
        <f>C548*C547</f>
        <v>0</v>
      </c>
      <c r="D549" s="4464" t="s">
        <v>145</v>
      </c>
      <c r="E549" s="4411"/>
      <c r="F549" s="4411"/>
      <c r="G549" s="4411"/>
      <c r="H549" s="4411"/>
      <c r="I549" s="4411"/>
      <c r="J549" s="4411"/>
      <c r="K549" s="4411"/>
      <c r="L549" s="4411"/>
      <c r="M549" s="4411"/>
      <c r="N549" s="4411"/>
      <c r="O549" s="4411"/>
      <c r="P549" s="4465"/>
      <c r="Q549" s="3709"/>
    </row>
    <row r="550" spans="1:17" x14ac:dyDescent="0.3">
      <c r="B550" s="4413" t="s">
        <v>2387</v>
      </c>
      <c r="C550" s="5350"/>
      <c r="D550" s="4414" t="s">
        <v>145</v>
      </c>
      <c r="E550" s="4317">
        <f t="shared" ref="E550:P550" si="233">IF($C$554=E$7,$C550,0)</f>
        <v>0</v>
      </c>
      <c r="F550" s="4317">
        <f t="shared" si="233"/>
        <v>0</v>
      </c>
      <c r="G550" s="4317">
        <f t="shared" si="233"/>
        <v>0</v>
      </c>
      <c r="H550" s="4317">
        <f t="shared" si="233"/>
        <v>0</v>
      </c>
      <c r="I550" s="4317">
        <f t="shared" si="233"/>
        <v>0</v>
      </c>
      <c r="J550" s="4317">
        <f t="shared" si="233"/>
        <v>0</v>
      </c>
      <c r="K550" s="4317">
        <f t="shared" si="233"/>
        <v>0</v>
      </c>
      <c r="L550" s="4317">
        <f t="shared" si="233"/>
        <v>0</v>
      </c>
      <c r="M550" s="4317">
        <f t="shared" si="233"/>
        <v>0</v>
      </c>
      <c r="N550" s="4317">
        <f t="shared" si="233"/>
        <v>0</v>
      </c>
      <c r="O550" s="4317">
        <f t="shared" si="233"/>
        <v>0</v>
      </c>
      <c r="P550" s="4466">
        <f t="shared" si="233"/>
        <v>0</v>
      </c>
      <c r="Q550" s="3709"/>
    </row>
    <row r="551" spans="1:17" x14ac:dyDescent="0.3">
      <c r="B551" s="4413" t="s">
        <v>554</v>
      </c>
      <c r="C551" s="5351"/>
      <c r="D551" s="4414"/>
      <c r="E551" s="4317"/>
      <c r="F551" s="4317"/>
      <c r="G551" s="4317"/>
      <c r="H551" s="4317"/>
      <c r="I551" s="4317"/>
      <c r="J551" s="4317"/>
      <c r="K551" s="4317"/>
      <c r="L551" s="4317"/>
      <c r="M551" s="4317"/>
      <c r="N551" s="4317"/>
      <c r="O551" s="4317"/>
      <c r="P551" s="4466"/>
      <c r="Q551" s="3709"/>
    </row>
    <row r="552" spans="1:17" x14ac:dyDescent="0.3">
      <c r="B552" s="4413" t="s">
        <v>427</v>
      </c>
      <c r="C552" s="4414">
        <f>C549-C550-C551</f>
        <v>0</v>
      </c>
      <c r="D552" s="4414" t="s">
        <v>145</v>
      </c>
      <c r="E552" s="4317">
        <f t="shared" ref="E552:P552" si="234">IF($C554=E$7,$C552,0)</f>
        <v>0</v>
      </c>
      <c r="F552" s="4317">
        <f t="shared" si="234"/>
        <v>0</v>
      </c>
      <c r="G552" s="4317">
        <f t="shared" si="234"/>
        <v>0</v>
      </c>
      <c r="H552" s="4317">
        <f t="shared" si="234"/>
        <v>0</v>
      </c>
      <c r="I552" s="4317">
        <f t="shared" si="234"/>
        <v>0</v>
      </c>
      <c r="J552" s="4317">
        <f t="shared" si="234"/>
        <v>0</v>
      </c>
      <c r="K552" s="4317">
        <f t="shared" si="234"/>
        <v>0</v>
      </c>
      <c r="L552" s="4317">
        <f t="shared" si="234"/>
        <v>0</v>
      </c>
      <c r="M552" s="4317">
        <f t="shared" si="234"/>
        <v>0</v>
      </c>
      <c r="N552" s="4317">
        <f t="shared" si="234"/>
        <v>0</v>
      </c>
      <c r="O552" s="4317">
        <f t="shared" si="234"/>
        <v>0</v>
      </c>
      <c r="P552" s="4466">
        <f t="shared" si="234"/>
        <v>0</v>
      </c>
      <c r="Q552" s="4467" t="str">
        <f>B552&amp;B546</f>
        <v>Saldo Vendible 0</v>
      </c>
    </row>
    <row r="553" spans="1:17" x14ac:dyDescent="0.3">
      <c r="B553" s="3723" t="s">
        <v>2415</v>
      </c>
      <c r="C553" s="5352"/>
      <c r="D553" s="3523" t="s">
        <v>362</v>
      </c>
      <c r="E553" s="4468"/>
      <c r="F553" s="4313"/>
      <c r="G553" s="4313"/>
      <c r="H553" s="4313"/>
      <c r="I553" s="4313"/>
      <c r="J553" s="4313"/>
      <c r="K553" s="4313"/>
      <c r="L553" s="4313"/>
      <c r="M553" s="4313"/>
      <c r="N553" s="4313"/>
      <c r="O553" s="4313"/>
      <c r="P553" s="4461"/>
      <c r="Q553" s="3709"/>
    </row>
    <row r="554" spans="1:17" ht="15.05" thickBot="1" x14ac:dyDescent="0.35">
      <c r="B554" s="4469" t="s">
        <v>429</v>
      </c>
      <c r="C554" s="4470"/>
      <c r="D554" s="4471" t="s">
        <v>431</v>
      </c>
      <c r="E554" s="4313"/>
      <c r="F554" s="4313"/>
      <c r="G554" s="4313"/>
      <c r="H554" s="4313"/>
      <c r="I554" s="4313"/>
      <c r="J554" s="4313"/>
      <c r="K554" s="4313"/>
      <c r="L554" s="4313"/>
      <c r="M554" s="4313"/>
      <c r="N554" s="4313"/>
      <c r="O554" s="4313"/>
      <c r="P554" s="4461"/>
      <c r="Q554" s="3709"/>
    </row>
    <row r="555" spans="1:17" ht="15.05" thickBot="1" x14ac:dyDescent="0.35">
      <c r="B555" s="4337" t="s">
        <v>444</v>
      </c>
      <c r="C555" s="4472"/>
      <c r="D555" s="4472"/>
      <c r="E555" s="4340">
        <f t="shared" ref="E555:P555" si="235">IF($C554=E$7,$C549*$C553,0)</f>
        <v>0</v>
      </c>
      <c r="F555" s="4340">
        <f t="shared" si="235"/>
        <v>0</v>
      </c>
      <c r="G555" s="4340">
        <f t="shared" si="235"/>
        <v>0</v>
      </c>
      <c r="H555" s="4340">
        <f t="shared" si="235"/>
        <v>0</v>
      </c>
      <c r="I555" s="4340">
        <f t="shared" si="235"/>
        <v>0</v>
      </c>
      <c r="J555" s="4340">
        <f t="shared" si="235"/>
        <v>0</v>
      </c>
      <c r="K555" s="4340">
        <f t="shared" si="235"/>
        <v>0</v>
      </c>
      <c r="L555" s="4340">
        <f t="shared" si="235"/>
        <v>0</v>
      </c>
      <c r="M555" s="4340">
        <f t="shared" si="235"/>
        <v>0</v>
      </c>
      <c r="N555" s="4340">
        <f t="shared" si="235"/>
        <v>0</v>
      </c>
      <c r="O555" s="4340">
        <f t="shared" si="235"/>
        <v>0</v>
      </c>
      <c r="P555" s="4473">
        <f t="shared" si="235"/>
        <v>0</v>
      </c>
      <c r="Q555" s="3709"/>
    </row>
    <row r="556" spans="1:17" ht="15.05" hidden="1" thickBot="1" x14ac:dyDescent="0.35">
      <c r="B556" s="4474" t="s">
        <v>445</v>
      </c>
      <c r="C556" s="4475"/>
      <c r="D556" s="4475">
        <f>C552*C553</f>
        <v>0</v>
      </c>
      <c r="E556" s="4476">
        <f>+E641</f>
        <v>0</v>
      </c>
      <c r="F556" s="4476">
        <f t="shared" ref="F556:P556" si="236">+F641</f>
        <v>0</v>
      </c>
      <c r="G556" s="4476">
        <f t="shared" si="236"/>
        <v>0</v>
      </c>
      <c r="H556" s="4476">
        <f t="shared" si="236"/>
        <v>0</v>
      </c>
      <c r="I556" s="4476">
        <f t="shared" si="236"/>
        <v>0</v>
      </c>
      <c r="J556" s="4476">
        <f t="shared" si="236"/>
        <v>0</v>
      </c>
      <c r="K556" s="4476">
        <f t="shared" si="236"/>
        <v>0</v>
      </c>
      <c r="L556" s="4476">
        <f t="shared" si="236"/>
        <v>0</v>
      </c>
      <c r="M556" s="4476">
        <f t="shared" si="236"/>
        <v>0</v>
      </c>
      <c r="N556" s="4476">
        <f t="shared" si="236"/>
        <v>0</v>
      </c>
      <c r="O556" s="4476">
        <f t="shared" si="236"/>
        <v>0</v>
      </c>
      <c r="P556" s="4477">
        <f t="shared" si="236"/>
        <v>0</v>
      </c>
      <c r="Q556" s="3709"/>
    </row>
    <row r="557" spans="1:17" ht="15.05" thickBot="1" x14ac:dyDescent="0.35">
      <c r="B557" s="4426" t="s">
        <v>442</v>
      </c>
      <c r="C557" s="4399"/>
      <c r="D557" s="4400"/>
      <c r="E557" s="4401">
        <f>E478+E467+E456+E445+E434+E423+E412+E401+E390+E379+E368+E489+E555+E544+E533+E522+E511+E500</f>
        <v>0</v>
      </c>
      <c r="F557" s="4402">
        <f t="shared" ref="F557:P557" si="237">F478+F467+F456+F445+F434+F423+F412+F401+F390+F379+F368+F489+F555+F544+F533+F522+F511+F500</f>
        <v>0</v>
      </c>
      <c r="G557" s="4402">
        <f t="shared" si="237"/>
        <v>0</v>
      </c>
      <c r="H557" s="4402">
        <f t="shared" si="237"/>
        <v>0</v>
      </c>
      <c r="I557" s="4402">
        <f t="shared" si="237"/>
        <v>0</v>
      </c>
      <c r="J557" s="4402">
        <f t="shared" si="237"/>
        <v>0</v>
      </c>
      <c r="K557" s="4402">
        <f t="shared" si="237"/>
        <v>0</v>
      </c>
      <c r="L557" s="4402">
        <f t="shared" si="237"/>
        <v>0</v>
      </c>
      <c r="M557" s="4402">
        <f t="shared" si="237"/>
        <v>0</v>
      </c>
      <c r="N557" s="4402">
        <f t="shared" si="237"/>
        <v>0</v>
      </c>
      <c r="O557" s="4402">
        <f t="shared" si="237"/>
        <v>0</v>
      </c>
      <c r="P557" s="4403">
        <f t="shared" si="237"/>
        <v>0</v>
      </c>
      <c r="Q557" s="4404">
        <f>+SUM(E557:P557)</f>
        <v>0</v>
      </c>
    </row>
    <row r="558" spans="1:17" ht="15.05" thickBot="1" x14ac:dyDescent="0.35"/>
    <row r="559" spans="1:17" ht="15.05" thickBot="1" x14ac:dyDescent="0.35">
      <c r="A559" s="2487">
        <f>+A358+1</f>
        <v>120</v>
      </c>
      <c r="B559" s="2488" t="s">
        <v>2375</v>
      </c>
      <c r="C559" s="2489"/>
      <c r="D559" s="2490"/>
      <c r="E559" s="2489"/>
      <c r="F559" s="2489"/>
      <c r="G559" s="2489"/>
      <c r="H559" s="2489"/>
      <c r="I559" s="2489"/>
      <c r="J559" s="2489"/>
      <c r="K559" s="2489"/>
      <c r="L559" s="2489"/>
      <c r="M559" s="2489"/>
      <c r="N559" s="2489"/>
      <c r="O559" s="2489"/>
      <c r="P559" s="2489"/>
      <c r="Q559" s="2491"/>
    </row>
    <row r="560" spans="1:17" x14ac:dyDescent="0.3">
      <c r="A560" s="2487" t="s">
        <v>1758</v>
      </c>
      <c r="B560" s="4391" t="s">
        <v>2392</v>
      </c>
      <c r="C560" s="4456"/>
      <c r="D560" s="4457" t="s">
        <v>2395</v>
      </c>
      <c r="E560" s="4273" t="str">
        <f t="shared" ref="E560:P560" si="238">E277</f>
        <v>Ene</v>
      </c>
      <c r="F560" s="4273" t="str">
        <f t="shared" si="238"/>
        <v>Feb</v>
      </c>
      <c r="G560" s="4273" t="str">
        <f t="shared" si="238"/>
        <v>Mar</v>
      </c>
      <c r="H560" s="4273" t="str">
        <f t="shared" si="238"/>
        <v>Abr</v>
      </c>
      <c r="I560" s="4273" t="str">
        <f t="shared" si="238"/>
        <v>May</v>
      </c>
      <c r="J560" s="4273" t="str">
        <f t="shared" si="238"/>
        <v>Jun</v>
      </c>
      <c r="K560" s="4273" t="str">
        <f t="shared" si="238"/>
        <v>Jul</v>
      </c>
      <c r="L560" s="4273" t="str">
        <f t="shared" si="238"/>
        <v>Ago</v>
      </c>
      <c r="M560" s="4273" t="str">
        <f t="shared" si="238"/>
        <v>Set</v>
      </c>
      <c r="N560" s="4273" t="str">
        <f t="shared" si="238"/>
        <v>Oct</v>
      </c>
      <c r="O560" s="4273" t="str">
        <f t="shared" si="238"/>
        <v>Nov</v>
      </c>
      <c r="P560" s="4277" t="str">
        <f t="shared" si="238"/>
        <v>Dic</v>
      </c>
      <c r="Q560" s="4408" t="str">
        <f>Q5</f>
        <v>Total</v>
      </c>
    </row>
    <row r="561" spans="2:17" x14ac:dyDescent="0.3">
      <c r="B561" s="4409" t="str">
        <f>UsoSuelo!D360</f>
        <v xml:space="preserve">Alfalfa semillero </v>
      </c>
      <c r="C561" s="4410"/>
      <c r="D561" s="5340"/>
      <c r="E561" s="4480">
        <f t="shared" ref="E561:E578" si="239">D561+SUMIF($Q$359:$Q$556,$B$115&amp;$B561,E$359:E$556)</f>
        <v>0</v>
      </c>
      <c r="F561" s="4480">
        <f t="shared" ref="F561:P561" si="240">E561+SUMIF($Q$359:$Q$556,$B$115&amp;$B561,F$359:F$556)-E582</f>
        <v>0</v>
      </c>
      <c r="G561" s="4480">
        <f t="shared" si="240"/>
        <v>0</v>
      </c>
      <c r="H561" s="4480">
        <f t="shared" si="240"/>
        <v>0</v>
      </c>
      <c r="I561" s="4480">
        <f t="shared" si="240"/>
        <v>0</v>
      </c>
      <c r="J561" s="4480">
        <f t="shared" si="240"/>
        <v>0</v>
      </c>
      <c r="K561" s="4480">
        <f t="shared" si="240"/>
        <v>0</v>
      </c>
      <c r="L561" s="4480">
        <f t="shared" si="240"/>
        <v>0</v>
      </c>
      <c r="M561" s="4480">
        <f t="shared" si="240"/>
        <v>0</v>
      </c>
      <c r="N561" s="4480">
        <f t="shared" si="240"/>
        <v>0</v>
      </c>
      <c r="O561" s="4480">
        <f t="shared" si="240"/>
        <v>0</v>
      </c>
      <c r="P561" s="4481">
        <f t="shared" si="240"/>
        <v>0</v>
      </c>
      <c r="Q561" s="3709"/>
    </row>
    <row r="562" spans="2:17" x14ac:dyDescent="0.3">
      <c r="B562" s="4413" t="str">
        <f>UsoSuelo!D361</f>
        <v xml:space="preserve">TR semillero </v>
      </c>
      <c r="C562" s="4414"/>
      <c r="D562" s="5342"/>
      <c r="E562" s="4325">
        <f t="shared" si="239"/>
        <v>0</v>
      </c>
      <c r="F562" s="4325">
        <f t="shared" ref="F562:P562" si="241">E562+SUMIF($Q$359:$Q$556,$B$115&amp;$B562,F$359:F$556)-E583</f>
        <v>0</v>
      </c>
      <c r="G562" s="4325">
        <f t="shared" si="241"/>
        <v>0</v>
      </c>
      <c r="H562" s="4325">
        <f t="shared" si="241"/>
        <v>0</v>
      </c>
      <c r="I562" s="4325">
        <f t="shared" si="241"/>
        <v>0</v>
      </c>
      <c r="J562" s="4325">
        <f t="shared" si="241"/>
        <v>0</v>
      </c>
      <c r="K562" s="4325">
        <f t="shared" si="241"/>
        <v>0</v>
      </c>
      <c r="L562" s="4325">
        <f t="shared" si="241"/>
        <v>0</v>
      </c>
      <c r="M562" s="4325">
        <f t="shared" si="241"/>
        <v>0</v>
      </c>
      <c r="N562" s="4325">
        <f t="shared" si="241"/>
        <v>0</v>
      </c>
      <c r="O562" s="4325">
        <f t="shared" si="241"/>
        <v>0</v>
      </c>
      <c r="P562" s="4482">
        <f t="shared" si="241"/>
        <v>0</v>
      </c>
      <c r="Q562" s="3709"/>
    </row>
    <row r="563" spans="2:17" x14ac:dyDescent="0.3">
      <c r="B563" s="4413" t="str">
        <f>UsoSuelo!D362</f>
        <v xml:space="preserve">TB semillero </v>
      </c>
      <c r="C563" s="4414"/>
      <c r="D563" s="5342"/>
      <c r="E563" s="4325">
        <f t="shared" si="239"/>
        <v>0</v>
      </c>
      <c r="F563" s="4325">
        <f t="shared" ref="F563:P563" si="242">E563+SUMIF($Q$359:$Q$556,$B$115&amp;$B563,F$359:F$556)-E584</f>
        <v>0</v>
      </c>
      <c r="G563" s="4325">
        <f t="shared" si="242"/>
        <v>0</v>
      </c>
      <c r="H563" s="4325">
        <f t="shared" si="242"/>
        <v>0</v>
      </c>
      <c r="I563" s="4325">
        <f t="shared" si="242"/>
        <v>0</v>
      </c>
      <c r="J563" s="4325">
        <f t="shared" si="242"/>
        <v>0</v>
      </c>
      <c r="K563" s="4325">
        <f t="shared" si="242"/>
        <v>0</v>
      </c>
      <c r="L563" s="4325">
        <f t="shared" si="242"/>
        <v>0</v>
      </c>
      <c r="M563" s="4325">
        <f t="shared" si="242"/>
        <v>0</v>
      </c>
      <c r="N563" s="4325">
        <f t="shared" si="242"/>
        <v>0</v>
      </c>
      <c r="O563" s="4325">
        <f t="shared" si="242"/>
        <v>0</v>
      </c>
      <c r="P563" s="4482">
        <f t="shared" si="242"/>
        <v>0</v>
      </c>
      <c r="Q563" s="3709"/>
    </row>
    <row r="564" spans="2:17" x14ac:dyDescent="0.3">
      <c r="B564" s="4413" t="str">
        <f>UsoSuelo!D363</f>
        <v xml:space="preserve">Achicoria Semillero </v>
      </c>
      <c r="C564" s="4414"/>
      <c r="D564" s="5342"/>
      <c r="E564" s="4325">
        <f t="shared" si="239"/>
        <v>0</v>
      </c>
      <c r="F564" s="4325">
        <f t="shared" ref="F564:P564" si="243">E564+SUMIF($Q$359:$Q$556,$B$115&amp;$B564,F$359:F$556)-E585</f>
        <v>0</v>
      </c>
      <c r="G564" s="4325">
        <f t="shared" si="243"/>
        <v>0</v>
      </c>
      <c r="H564" s="4325">
        <f t="shared" si="243"/>
        <v>0</v>
      </c>
      <c r="I564" s="4325">
        <f t="shared" si="243"/>
        <v>0</v>
      </c>
      <c r="J564" s="4325">
        <f t="shared" si="243"/>
        <v>0</v>
      </c>
      <c r="K564" s="4325">
        <f t="shared" si="243"/>
        <v>0</v>
      </c>
      <c r="L564" s="4325">
        <f t="shared" si="243"/>
        <v>0</v>
      </c>
      <c r="M564" s="4325">
        <f t="shared" si="243"/>
        <v>0</v>
      </c>
      <c r="N564" s="4325">
        <f t="shared" si="243"/>
        <v>0</v>
      </c>
      <c r="O564" s="4325">
        <f t="shared" si="243"/>
        <v>0</v>
      </c>
      <c r="P564" s="4482">
        <f t="shared" si="243"/>
        <v>0</v>
      </c>
      <c r="Q564" s="3709"/>
    </row>
    <row r="565" spans="2:17" x14ac:dyDescent="0.3">
      <c r="B565" s="4413">
        <f>UsoSuelo!D364</f>
        <v>0</v>
      </c>
      <c r="C565" s="4414"/>
      <c r="D565" s="5342"/>
      <c r="E565" s="4325">
        <f t="shared" si="239"/>
        <v>0</v>
      </c>
      <c r="F565" s="4325">
        <f t="shared" ref="F565:P565" si="244">E565+SUMIF($Q$359:$Q$556,$B$115&amp;$B565,F$359:F$556)-E586</f>
        <v>0</v>
      </c>
      <c r="G565" s="4325">
        <f t="shared" si="244"/>
        <v>0</v>
      </c>
      <c r="H565" s="4325">
        <f t="shared" si="244"/>
        <v>0</v>
      </c>
      <c r="I565" s="4325">
        <f t="shared" si="244"/>
        <v>0</v>
      </c>
      <c r="J565" s="4325">
        <f t="shared" si="244"/>
        <v>0</v>
      </c>
      <c r="K565" s="4325">
        <f t="shared" si="244"/>
        <v>0</v>
      </c>
      <c r="L565" s="4325">
        <f t="shared" si="244"/>
        <v>0</v>
      </c>
      <c r="M565" s="4325">
        <f t="shared" si="244"/>
        <v>0</v>
      </c>
      <c r="N565" s="4325">
        <f t="shared" si="244"/>
        <v>0</v>
      </c>
      <c r="O565" s="4325">
        <f t="shared" si="244"/>
        <v>0</v>
      </c>
      <c r="P565" s="4482">
        <f t="shared" si="244"/>
        <v>0</v>
      </c>
      <c r="Q565" s="3709"/>
    </row>
    <row r="566" spans="2:17" x14ac:dyDescent="0.3">
      <c r="B566" s="4413">
        <f>UsoSuelo!D365</f>
        <v>0</v>
      </c>
      <c r="C566" s="4414"/>
      <c r="D566" s="5342"/>
      <c r="E566" s="4325">
        <f t="shared" si="239"/>
        <v>0</v>
      </c>
      <c r="F566" s="4325">
        <f t="shared" ref="F566:P566" si="245">E566+SUMIF($Q$359:$Q$556,$B$115&amp;$B566,F$359:F$556)-E587</f>
        <v>0</v>
      </c>
      <c r="G566" s="4325">
        <f t="shared" si="245"/>
        <v>0</v>
      </c>
      <c r="H566" s="4325">
        <f t="shared" si="245"/>
        <v>0</v>
      </c>
      <c r="I566" s="4325">
        <f t="shared" si="245"/>
        <v>0</v>
      </c>
      <c r="J566" s="4325">
        <f t="shared" si="245"/>
        <v>0</v>
      </c>
      <c r="K566" s="4325">
        <f t="shared" si="245"/>
        <v>0</v>
      </c>
      <c r="L566" s="4325">
        <f t="shared" si="245"/>
        <v>0</v>
      </c>
      <c r="M566" s="4325">
        <f t="shared" si="245"/>
        <v>0</v>
      </c>
      <c r="N566" s="4325">
        <f t="shared" si="245"/>
        <v>0</v>
      </c>
      <c r="O566" s="4325">
        <f t="shared" si="245"/>
        <v>0</v>
      </c>
      <c r="P566" s="4482">
        <f t="shared" si="245"/>
        <v>0</v>
      </c>
      <c r="Q566" s="3709"/>
    </row>
    <row r="567" spans="2:17" x14ac:dyDescent="0.3">
      <c r="B567" s="4413">
        <f>UsoSuelo!D366</f>
        <v>0</v>
      </c>
      <c r="C567" s="4414"/>
      <c r="D567" s="5342"/>
      <c r="E567" s="4325">
        <f t="shared" si="239"/>
        <v>0</v>
      </c>
      <c r="F567" s="4325">
        <f t="shared" ref="F567:P567" si="246">E567+SUMIF($Q$359:$Q$556,$B$115&amp;$B567,F$359:F$556)-E588</f>
        <v>0</v>
      </c>
      <c r="G567" s="4325">
        <f t="shared" si="246"/>
        <v>0</v>
      </c>
      <c r="H567" s="4325">
        <f t="shared" si="246"/>
        <v>0</v>
      </c>
      <c r="I567" s="4325">
        <f t="shared" si="246"/>
        <v>0</v>
      </c>
      <c r="J567" s="4325">
        <f t="shared" si="246"/>
        <v>0</v>
      </c>
      <c r="K567" s="4325">
        <f t="shared" si="246"/>
        <v>0</v>
      </c>
      <c r="L567" s="4325">
        <f t="shared" si="246"/>
        <v>0</v>
      </c>
      <c r="M567" s="4325">
        <f t="shared" si="246"/>
        <v>0</v>
      </c>
      <c r="N567" s="4325">
        <f t="shared" si="246"/>
        <v>0</v>
      </c>
      <c r="O567" s="4325">
        <f t="shared" si="246"/>
        <v>0</v>
      </c>
      <c r="P567" s="4482">
        <f t="shared" si="246"/>
        <v>0</v>
      </c>
      <c r="Q567" s="3709"/>
    </row>
    <row r="568" spans="2:17" x14ac:dyDescent="0.3">
      <c r="B568" s="4413">
        <f>UsoSuelo!D367</f>
        <v>0</v>
      </c>
      <c r="C568" s="4414"/>
      <c r="D568" s="5342"/>
      <c r="E568" s="4325">
        <f t="shared" si="239"/>
        <v>0</v>
      </c>
      <c r="F568" s="4325">
        <f t="shared" ref="F568:P568" si="247">E568+SUMIF($Q$359:$Q$556,$B$115&amp;$B568,F$359:F$556)-E589</f>
        <v>0</v>
      </c>
      <c r="G568" s="4325">
        <f t="shared" si="247"/>
        <v>0</v>
      </c>
      <c r="H568" s="4325">
        <f t="shared" si="247"/>
        <v>0</v>
      </c>
      <c r="I568" s="4325">
        <f t="shared" si="247"/>
        <v>0</v>
      </c>
      <c r="J568" s="4325">
        <f t="shared" si="247"/>
        <v>0</v>
      </c>
      <c r="K568" s="4325">
        <f t="shared" si="247"/>
        <v>0</v>
      </c>
      <c r="L568" s="4325">
        <f t="shared" si="247"/>
        <v>0</v>
      </c>
      <c r="M568" s="4325">
        <f t="shared" si="247"/>
        <v>0</v>
      </c>
      <c r="N568" s="4325">
        <f t="shared" si="247"/>
        <v>0</v>
      </c>
      <c r="O568" s="4325">
        <f t="shared" si="247"/>
        <v>0</v>
      </c>
      <c r="P568" s="4482">
        <f t="shared" si="247"/>
        <v>0</v>
      </c>
      <c r="Q568" s="3709"/>
    </row>
    <row r="569" spans="2:17" x14ac:dyDescent="0.3">
      <c r="B569" s="4413">
        <f>UsoSuelo!D368</f>
        <v>0</v>
      </c>
      <c r="C569" s="4414"/>
      <c r="D569" s="5342"/>
      <c r="E569" s="4325">
        <f t="shared" si="239"/>
        <v>0</v>
      </c>
      <c r="F569" s="4325">
        <f t="shared" ref="F569:P569" si="248">E569+SUMIF($Q$359:$Q$556,$B$115&amp;$B569,F$359:F$556)-E590</f>
        <v>0</v>
      </c>
      <c r="G569" s="4325">
        <f t="shared" si="248"/>
        <v>0</v>
      </c>
      <c r="H569" s="4325">
        <f t="shared" si="248"/>
        <v>0</v>
      </c>
      <c r="I569" s="4325">
        <f t="shared" si="248"/>
        <v>0</v>
      </c>
      <c r="J569" s="4325">
        <f t="shared" si="248"/>
        <v>0</v>
      </c>
      <c r="K569" s="4325">
        <f t="shared" si="248"/>
        <v>0</v>
      </c>
      <c r="L569" s="4325">
        <f t="shared" si="248"/>
        <v>0</v>
      </c>
      <c r="M569" s="4325">
        <f t="shared" si="248"/>
        <v>0</v>
      </c>
      <c r="N569" s="4325">
        <f t="shared" si="248"/>
        <v>0</v>
      </c>
      <c r="O569" s="4325">
        <f t="shared" si="248"/>
        <v>0</v>
      </c>
      <c r="P569" s="4482">
        <f t="shared" si="248"/>
        <v>0</v>
      </c>
      <c r="Q569" s="3709"/>
    </row>
    <row r="570" spans="2:17" x14ac:dyDescent="0.3">
      <c r="B570" s="4413" t="str">
        <f>UsoSuelo!D370</f>
        <v xml:space="preserve">Dactylis Semillero </v>
      </c>
      <c r="C570" s="4414"/>
      <c r="D570" s="5342"/>
      <c r="E570" s="4325">
        <f t="shared" si="239"/>
        <v>0</v>
      </c>
      <c r="F570" s="4325">
        <f t="shared" ref="F570:P570" si="249">E570+SUMIF($Q$359:$Q$556,$B$115&amp;$B570,F$359:F$556)-E591</f>
        <v>0</v>
      </c>
      <c r="G570" s="4325">
        <f t="shared" si="249"/>
        <v>0</v>
      </c>
      <c r="H570" s="4325">
        <f t="shared" si="249"/>
        <v>0</v>
      </c>
      <c r="I570" s="4325">
        <f t="shared" si="249"/>
        <v>0</v>
      </c>
      <c r="J570" s="4325">
        <f t="shared" si="249"/>
        <v>0</v>
      </c>
      <c r="K570" s="4325">
        <f t="shared" si="249"/>
        <v>0</v>
      </c>
      <c r="L570" s="4325">
        <f t="shared" si="249"/>
        <v>0</v>
      </c>
      <c r="M570" s="4325">
        <f t="shared" si="249"/>
        <v>0</v>
      </c>
      <c r="N570" s="4325">
        <f t="shared" si="249"/>
        <v>0</v>
      </c>
      <c r="O570" s="4325">
        <f t="shared" si="249"/>
        <v>0</v>
      </c>
      <c r="P570" s="4482">
        <f t="shared" si="249"/>
        <v>0</v>
      </c>
      <c r="Q570" s="3709"/>
    </row>
    <row r="571" spans="2:17" x14ac:dyDescent="0.3">
      <c r="B571" s="4413" t="str">
        <f>UsoSuelo!D371</f>
        <v xml:space="preserve">Festuca Semillero </v>
      </c>
      <c r="C571" s="4414"/>
      <c r="D571" s="5342"/>
      <c r="E571" s="4325">
        <f t="shared" si="239"/>
        <v>0</v>
      </c>
      <c r="F571" s="4325">
        <f t="shared" ref="F571:P571" si="250">E571+SUMIF($Q$359:$Q$556,$B$115&amp;$B571,F$359:F$556)-E592</f>
        <v>0</v>
      </c>
      <c r="G571" s="4325">
        <f t="shared" si="250"/>
        <v>0</v>
      </c>
      <c r="H571" s="4325">
        <f t="shared" si="250"/>
        <v>0</v>
      </c>
      <c r="I571" s="4325">
        <f t="shared" si="250"/>
        <v>0</v>
      </c>
      <c r="J571" s="4325">
        <f t="shared" si="250"/>
        <v>0</v>
      </c>
      <c r="K571" s="4325">
        <f t="shared" si="250"/>
        <v>0</v>
      </c>
      <c r="L571" s="4325">
        <f t="shared" si="250"/>
        <v>0</v>
      </c>
      <c r="M571" s="4325">
        <f t="shared" si="250"/>
        <v>0</v>
      </c>
      <c r="N571" s="4325">
        <f t="shared" si="250"/>
        <v>0</v>
      </c>
      <c r="O571" s="4325">
        <f t="shared" si="250"/>
        <v>0</v>
      </c>
      <c r="P571" s="4482">
        <f t="shared" si="250"/>
        <v>0</v>
      </c>
      <c r="Q571" s="3709"/>
    </row>
    <row r="572" spans="2:17" x14ac:dyDescent="0.3">
      <c r="B572" s="4413" t="str">
        <f>UsoSuelo!D372</f>
        <v xml:space="preserve">Rg semillero </v>
      </c>
      <c r="C572" s="4414"/>
      <c r="D572" s="5342"/>
      <c r="E572" s="4325">
        <f t="shared" si="239"/>
        <v>0</v>
      </c>
      <c r="F572" s="4325">
        <f t="shared" ref="F572:P572" si="251">E572+SUMIF($Q$359:$Q$556,$B$115&amp;$B572,F$359:F$556)-E593</f>
        <v>0</v>
      </c>
      <c r="G572" s="4325">
        <f t="shared" si="251"/>
        <v>0</v>
      </c>
      <c r="H572" s="4325">
        <f t="shared" si="251"/>
        <v>0</v>
      </c>
      <c r="I572" s="4325">
        <f t="shared" si="251"/>
        <v>0</v>
      </c>
      <c r="J572" s="4325">
        <f t="shared" si="251"/>
        <v>0</v>
      </c>
      <c r="K572" s="4325">
        <f t="shared" si="251"/>
        <v>0</v>
      </c>
      <c r="L572" s="4325">
        <f t="shared" si="251"/>
        <v>0</v>
      </c>
      <c r="M572" s="4325">
        <f t="shared" si="251"/>
        <v>0</v>
      </c>
      <c r="N572" s="4325">
        <f t="shared" si="251"/>
        <v>0</v>
      </c>
      <c r="O572" s="4325">
        <f t="shared" si="251"/>
        <v>0</v>
      </c>
      <c r="P572" s="4482">
        <f t="shared" si="251"/>
        <v>0</v>
      </c>
      <c r="Q572" s="3709"/>
    </row>
    <row r="573" spans="2:17" x14ac:dyDescent="0.3">
      <c r="B573" s="4413">
        <f>UsoSuelo!D373</f>
        <v>0</v>
      </c>
      <c r="C573" s="4414"/>
      <c r="D573" s="5342"/>
      <c r="E573" s="4325">
        <f t="shared" si="239"/>
        <v>0</v>
      </c>
      <c r="F573" s="4325">
        <f t="shared" ref="F573:P573" si="252">E573+SUMIF($Q$359:$Q$556,$B$115&amp;$B573,F$359:F$556)-E594</f>
        <v>0</v>
      </c>
      <c r="G573" s="4325">
        <f t="shared" si="252"/>
        <v>0</v>
      </c>
      <c r="H573" s="4325">
        <f t="shared" si="252"/>
        <v>0</v>
      </c>
      <c r="I573" s="4325">
        <f t="shared" si="252"/>
        <v>0</v>
      </c>
      <c r="J573" s="4325">
        <f t="shared" si="252"/>
        <v>0</v>
      </c>
      <c r="K573" s="4325">
        <f t="shared" si="252"/>
        <v>0</v>
      </c>
      <c r="L573" s="4325">
        <f t="shared" si="252"/>
        <v>0</v>
      </c>
      <c r="M573" s="4325">
        <f t="shared" si="252"/>
        <v>0</v>
      </c>
      <c r="N573" s="4325">
        <f t="shared" si="252"/>
        <v>0</v>
      </c>
      <c r="O573" s="4325">
        <f t="shared" si="252"/>
        <v>0</v>
      </c>
      <c r="P573" s="4482">
        <f t="shared" si="252"/>
        <v>0</v>
      </c>
      <c r="Q573" s="3709"/>
    </row>
    <row r="574" spans="2:17" x14ac:dyDescent="0.3">
      <c r="B574" s="4413">
        <f>UsoSuelo!D374</f>
        <v>0</v>
      </c>
      <c r="C574" s="4414"/>
      <c r="D574" s="5342"/>
      <c r="E574" s="4325">
        <f t="shared" si="239"/>
        <v>0</v>
      </c>
      <c r="F574" s="4325">
        <f t="shared" ref="F574:P574" si="253">E574+SUMIF($Q$359:$Q$556,$B$115&amp;$B574,F$359:F$556)-E595</f>
        <v>0</v>
      </c>
      <c r="G574" s="4325">
        <f t="shared" si="253"/>
        <v>0</v>
      </c>
      <c r="H574" s="4325">
        <f t="shared" si="253"/>
        <v>0</v>
      </c>
      <c r="I574" s="4325">
        <f t="shared" si="253"/>
        <v>0</v>
      </c>
      <c r="J574" s="4325">
        <f t="shared" si="253"/>
        <v>0</v>
      </c>
      <c r="K574" s="4325">
        <f t="shared" si="253"/>
        <v>0</v>
      </c>
      <c r="L574" s="4325">
        <f t="shared" si="253"/>
        <v>0</v>
      </c>
      <c r="M574" s="4325">
        <f t="shared" si="253"/>
        <v>0</v>
      </c>
      <c r="N574" s="4325">
        <f t="shared" si="253"/>
        <v>0</v>
      </c>
      <c r="O574" s="4325">
        <f t="shared" si="253"/>
        <v>0</v>
      </c>
      <c r="P574" s="4482">
        <f t="shared" si="253"/>
        <v>0</v>
      </c>
      <c r="Q574" s="3709"/>
    </row>
    <row r="575" spans="2:17" x14ac:dyDescent="0.3">
      <c r="B575" s="4413">
        <f>UsoSuelo!D375</f>
        <v>0</v>
      </c>
      <c r="C575" s="4414"/>
      <c r="D575" s="5342"/>
      <c r="E575" s="4325">
        <f t="shared" si="239"/>
        <v>0</v>
      </c>
      <c r="F575" s="4325">
        <f t="shared" ref="F575:P575" si="254">E575+SUMIF($Q$359:$Q$556,$B$115&amp;$B575,F$359:F$556)-E596</f>
        <v>0</v>
      </c>
      <c r="G575" s="4325">
        <f t="shared" si="254"/>
        <v>0</v>
      </c>
      <c r="H575" s="4325">
        <f t="shared" si="254"/>
        <v>0</v>
      </c>
      <c r="I575" s="4325">
        <f t="shared" si="254"/>
        <v>0</v>
      </c>
      <c r="J575" s="4325">
        <f t="shared" si="254"/>
        <v>0</v>
      </c>
      <c r="K575" s="4325">
        <f t="shared" si="254"/>
        <v>0</v>
      </c>
      <c r="L575" s="4325">
        <f t="shared" si="254"/>
        <v>0</v>
      </c>
      <c r="M575" s="4325">
        <f t="shared" si="254"/>
        <v>0</v>
      </c>
      <c r="N575" s="4325">
        <f t="shared" si="254"/>
        <v>0</v>
      </c>
      <c r="O575" s="4325">
        <f t="shared" si="254"/>
        <v>0</v>
      </c>
      <c r="P575" s="4482">
        <f t="shared" si="254"/>
        <v>0</v>
      </c>
      <c r="Q575" s="3709"/>
    </row>
    <row r="576" spans="2:17" x14ac:dyDescent="0.3">
      <c r="B576" s="4413">
        <f>UsoSuelo!D376</f>
        <v>0</v>
      </c>
      <c r="C576" s="4414"/>
      <c r="D576" s="5342"/>
      <c r="E576" s="4325">
        <f t="shared" si="239"/>
        <v>0</v>
      </c>
      <c r="F576" s="4325">
        <f t="shared" ref="F576:P576" si="255">E576+SUMIF($Q$359:$Q$556,$B$115&amp;$B576,F$359:F$556)-E597</f>
        <v>0</v>
      </c>
      <c r="G576" s="4325">
        <f t="shared" si="255"/>
        <v>0</v>
      </c>
      <c r="H576" s="4325">
        <f t="shared" si="255"/>
        <v>0</v>
      </c>
      <c r="I576" s="4325">
        <f t="shared" si="255"/>
        <v>0</v>
      </c>
      <c r="J576" s="4325">
        <f t="shared" si="255"/>
        <v>0</v>
      </c>
      <c r="K576" s="4325">
        <f t="shared" si="255"/>
        <v>0</v>
      </c>
      <c r="L576" s="4325">
        <f t="shared" si="255"/>
        <v>0</v>
      </c>
      <c r="M576" s="4325">
        <f t="shared" si="255"/>
        <v>0</v>
      </c>
      <c r="N576" s="4325">
        <f t="shared" si="255"/>
        <v>0</v>
      </c>
      <c r="O576" s="4325">
        <f t="shared" si="255"/>
        <v>0</v>
      </c>
      <c r="P576" s="4482">
        <f t="shared" si="255"/>
        <v>0</v>
      </c>
      <c r="Q576" s="3709"/>
    </row>
    <row r="577" spans="1:17" x14ac:dyDescent="0.3">
      <c r="B577" s="4413">
        <f>UsoSuelo!D377</f>
        <v>0</v>
      </c>
      <c r="C577" s="4414"/>
      <c r="D577" s="5342"/>
      <c r="E577" s="4325">
        <f t="shared" si="239"/>
        <v>0</v>
      </c>
      <c r="F577" s="4325">
        <f t="shared" ref="F577:P577" si="256">E577+SUMIF($Q$359:$Q$556,$B$115&amp;$B577,F$359:F$556)-E598</f>
        <v>0</v>
      </c>
      <c r="G577" s="4325">
        <f t="shared" si="256"/>
        <v>0</v>
      </c>
      <c r="H577" s="4325">
        <f t="shared" si="256"/>
        <v>0</v>
      </c>
      <c r="I577" s="4325">
        <f t="shared" si="256"/>
        <v>0</v>
      </c>
      <c r="J577" s="4325">
        <f t="shared" si="256"/>
        <v>0</v>
      </c>
      <c r="K577" s="4325">
        <f t="shared" si="256"/>
        <v>0</v>
      </c>
      <c r="L577" s="4325">
        <f t="shared" si="256"/>
        <v>0</v>
      </c>
      <c r="M577" s="4325">
        <f t="shared" si="256"/>
        <v>0</v>
      </c>
      <c r="N577" s="4325">
        <f t="shared" si="256"/>
        <v>0</v>
      </c>
      <c r="O577" s="4325">
        <f t="shared" si="256"/>
        <v>0</v>
      </c>
      <c r="P577" s="4482">
        <f t="shared" si="256"/>
        <v>0</v>
      </c>
      <c r="Q577" s="3709"/>
    </row>
    <row r="578" spans="1:17" x14ac:dyDescent="0.3">
      <c r="B578" s="4415">
        <f>UsoSuelo!D378</f>
        <v>0</v>
      </c>
      <c r="C578" s="4416"/>
      <c r="D578" s="5344"/>
      <c r="E578" s="4483">
        <f t="shared" si="239"/>
        <v>0</v>
      </c>
      <c r="F578" s="4483">
        <f t="shared" ref="F578:P578" si="257">E578+SUMIF($Q$359:$Q$556,$B$115&amp;$B578,F$359:F$556)-E599</f>
        <v>0</v>
      </c>
      <c r="G578" s="4483">
        <f t="shared" si="257"/>
        <v>0</v>
      </c>
      <c r="H578" s="4483">
        <f t="shared" si="257"/>
        <v>0</v>
      </c>
      <c r="I578" s="4483">
        <f t="shared" si="257"/>
        <v>0</v>
      </c>
      <c r="J578" s="4483">
        <f t="shared" si="257"/>
        <v>0</v>
      </c>
      <c r="K578" s="4483">
        <f t="shared" si="257"/>
        <v>0</v>
      </c>
      <c r="L578" s="4483">
        <f t="shared" si="257"/>
        <v>0</v>
      </c>
      <c r="M578" s="4483">
        <f t="shared" si="257"/>
        <v>0</v>
      </c>
      <c r="N578" s="4483">
        <f t="shared" si="257"/>
        <v>0</v>
      </c>
      <c r="O578" s="4483">
        <f t="shared" si="257"/>
        <v>0</v>
      </c>
      <c r="P578" s="4484">
        <f t="shared" si="257"/>
        <v>0</v>
      </c>
      <c r="Q578" s="3709"/>
    </row>
    <row r="579" spans="1:17" ht="15.05" thickBot="1" x14ac:dyDescent="0.35">
      <c r="B579" s="4343" t="s">
        <v>11</v>
      </c>
      <c r="C579" s="4435"/>
      <c r="D579" s="4435"/>
      <c r="E579" s="4421">
        <f t="shared" ref="E579:P579" si="258">SUM(E561:E578)</f>
        <v>0</v>
      </c>
      <c r="F579" s="4421">
        <f t="shared" si="258"/>
        <v>0</v>
      </c>
      <c r="G579" s="4421">
        <f t="shared" si="258"/>
        <v>0</v>
      </c>
      <c r="H579" s="4421">
        <f t="shared" si="258"/>
        <v>0</v>
      </c>
      <c r="I579" s="4421">
        <f t="shared" si="258"/>
        <v>0</v>
      </c>
      <c r="J579" s="4421">
        <f t="shared" si="258"/>
        <v>0</v>
      </c>
      <c r="K579" s="4421">
        <f t="shared" si="258"/>
        <v>0</v>
      </c>
      <c r="L579" s="4421">
        <f t="shared" si="258"/>
        <v>0</v>
      </c>
      <c r="M579" s="4421">
        <f t="shared" si="258"/>
        <v>0</v>
      </c>
      <c r="N579" s="4421">
        <f t="shared" si="258"/>
        <v>0</v>
      </c>
      <c r="O579" s="4421">
        <f t="shared" si="258"/>
        <v>0</v>
      </c>
      <c r="P579" s="4485">
        <f t="shared" si="258"/>
        <v>0</v>
      </c>
      <c r="Q579" s="3709"/>
    </row>
    <row r="580" spans="1:17" ht="2.4500000000000002" customHeight="1" thickBot="1" x14ac:dyDescent="0.35">
      <c r="B580" s="3723"/>
      <c r="C580" s="3523"/>
      <c r="D580" s="3523"/>
      <c r="E580" s="3724"/>
      <c r="F580" s="3724"/>
      <c r="G580" s="3724"/>
      <c r="H580" s="3724"/>
      <c r="I580" s="3724"/>
      <c r="J580" s="3724"/>
      <c r="K580" s="3724"/>
      <c r="L580" s="3724"/>
      <c r="M580" s="3724"/>
      <c r="N580" s="4425"/>
      <c r="O580" s="3724"/>
      <c r="P580" s="3724"/>
      <c r="Q580" s="3709"/>
    </row>
    <row r="581" spans="1:17" x14ac:dyDescent="0.3">
      <c r="A581" s="2487" t="s">
        <v>1695</v>
      </c>
      <c r="B581" s="4486" t="s">
        <v>2393</v>
      </c>
      <c r="C581" s="4487"/>
      <c r="D581" s="4487"/>
      <c r="E581" s="4487" t="str">
        <f t="shared" ref="E581:P581" si="259">E560</f>
        <v>Ene</v>
      </c>
      <c r="F581" s="4487" t="str">
        <f t="shared" si="259"/>
        <v>Feb</v>
      </c>
      <c r="G581" s="4487" t="str">
        <f t="shared" si="259"/>
        <v>Mar</v>
      </c>
      <c r="H581" s="4487" t="str">
        <f t="shared" si="259"/>
        <v>Abr</v>
      </c>
      <c r="I581" s="4487" t="str">
        <f t="shared" si="259"/>
        <v>May</v>
      </c>
      <c r="J581" s="4487" t="str">
        <f t="shared" si="259"/>
        <v>Jun</v>
      </c>
      <c r="K581" s="4487" t="str">
        <f t="shared" si="259"/>
        <v>Jul</v>
      </c>
      <c r="L581" s="4487" t="str">
        <f t="shared" si="259"/>
        <v>Ago</v>
      </c>
      <c r="M581" s="4487" t="str">
        <f t="shared" si="259"/>
        <v>Set</v>
      </c>
      <c r="N581" s="4487" t="str">
        <f t="shared" si="259"/>
        <v>Oct</v>
      </c>
      <c r="O581" s="4487" t="str">
        <f t="shared" si="259"/>
        <v>Nov</v>
      </c>
      <c r="P581" s="4488" t="str">
        <f t="shared" si="259"/>
        <v>Dic</v>
      </c>
      <c r="Q581" s="3709"/>
    </row>
    <row r="582" spans="1:17" x14ac:dyDescent="0.3">
      <c r="B582" s="4409" t="str">
        <f t="shared" ref="B582:B600" si="260">B561</f>
        <v xml:space="preserve">Alfalfa semillero </v>
      </c>
      <c r="C582" s="4410"/>
      <c r="D582" s="4410"/>
      <c r="E582" s="5340"/>
      <c r="F582" s="5340"/>
      <c r="G582" s="5340"/>
      <c r="H582" s="5340"/>
      <c r="I582" s="5340"/>
      <c r="J582" s="5340"/>
      <c r="K582" s="5340"/>
      <c r="L582" s="5340"/>
      <c r="M582" s="5340"/>
      <c r="N582" s="5340"/>
      <c r="O582" s="5340"/>
      <c r="P582" s="5353"/>
      <c r="Q582" s="3709"/>
    </row>
    <row r="583" spans="1:17" x14ac:dyDescent="0.3">
      <c r="B583" s="4413" t="str">
        <f t="shared" si="260"/>
        <v xml:space="preserve">TR semillero </v>
      </c>
      <c r="C583" s="4414"/>
      <c r="D583" s="4414"/>
      <c r="E583" s="5342"/>
      <c r="F583" s="5342"/>
      <c r="G583" s="5342"/>
      <c r="H583" s="5342"/>
      <c r="I583" s="5342"/>
      <c r="J583" s="5342"/>
      <c r="K583" s="5342"/>
      <c r="L583" s="5342"/>
      <c r="M583" s="5342"/>
      <c r="N583" s="5342"/>
      <c r="O583" s="5342"/>
      <c r="P583" s="5354"/>
      <c r="Q583" s="3709"/>
    </row>
    <row r="584" spans="1:17" x14ac:dyDescent="0.3">
      <c r="B584" s="4413" t="str">
        <f>B563</f>
        <v xml:space="preserve">TB semillero </v>
      </c>
      <c r="C584" s="4414"/>
      <c r="D584" s="4414"/>
      <c r="E584" s="5342"/>
      <c r="F584" s="5342"/>
      <c r="G584" s="5342"/>
      <c r="H584" s="5342"/>
      <c r="I584" s="5342"/>
      <c r="J584" s="5342"/>
      <c r="K584" s="5342"/>
      <c r="L584" s="5342"/>
      <c r="M584" s="5342"/>
      <c r="N584" s="5342"/>
      <c r="O584" s="5342"/>
      <c r="P584" s="5354"/>
      <c r="Q584" s="3709"/>
    </row>
    <row r="585" spans="1:17" x14ac:dyDescent="0.3">
      <c r="B585" s="4413" t="str">
        <f t="shared" si="260"/>
        <v xml:space="preserve">Achicoria Semillero </v>
      </c>
      <c r="C585" s="4414"/>
      <c r="D585" s="4414"/>
      <c r="E585" s="5342"/>
      <c r="F585" s="5342"/>
      <c r="G585" s="5342"/>
      <c r="H585" s="5342"/>
      <c r="I585" s="5342"/>
      <c r="J585" s="5342"/>
      <c r="K585" s="5342"/>
      <c r="L585" s="5342"/>
      <c r="M585" s="5342"/>
      <c r="N585" s="5342"/>
      <c r="O585" s="5342"/>
      <c r="P585" s="5354"/>
      <c r="Q585" s="3709"/>
    </row>
    <row r="586" spans="1:17" x14ac:dyDescent="0.3">
      <c r="B586" s="4413">
        <f t="shared" si="260"/>
        <v>0</v>
      </c>
      <c r="C586" s="4414"/>
      <c r="D586" s="4414"/>
      <c r="E586" s="5342"/>
      <c r="F586" s="5342"/>
      <c r="G586" s="5342"/>
      <c r="H586" s="5342"/>
      <c r="I586" s="5342"/>
      <c r="J586" s="5342"/>
      <c r="K586" s="5342"/>
      <c r="L586" s="5342"/>
      <c r="M586" s="5342"/>
      <c r="N586" s="5342"/>
      <c r="O586" s="5342"/>
      <c r="P586" s="5354"/>
      <c r="Q586" s="3709"/>
    </row>
    <row r="587" spans="1:17" x14ac:dyDescent="0.3">
      <c r="B587" s="4413">
        <f t="shared" si="260"/>
        <v>0</v>
      </c>
      <c r="C587" s="4414"/>
      <c r="D587" s="4414"/>
      <c r="E587" s="5342"/>
      <c r="F587" s="5342"/>
      <c r="G587" s="5342"/>
      <c r="H587" s="5342"/>
      <c r="I587" s="5342"/>
      <c r="J587" s="5342"/>
      <c r="K587" s="5342"/>
      <c r="L587" s="5342"/>
      <c r="M587" s="5342"/>
      <c r="N587" s="5342"/>
      <c r="O587" s="5342"/>
      <c r="P587" s="5354"/>
      <c r="Q587" s="3709"/>
    </row>
    <row r="588" spans="1:17" x14ac:dyDescent="0.3">
      <c r="B588" s="4413">
        <f t="shared" si="260"/>
        <v>0</v>
      </c>
      <c r="C588" s="4414"/>
      <c r="D588" s="4414"/>
      <c r="E588" s="5342"/>
      <c r="F588" s="5342"/>
      <c r="G588" s="5342"/>
      <c r="H588" s="5342"/>
      <c r="I588" s="5342"/>
      <c r="J588" s="5342"/>
      <c r="K588" s="5342"/>
      <c r="L588" s="5342"/>
      <c r="M588" s="5342"/>
      <c r="N588" s="5342"/>
      <c r="O588" s="5342"/>
      <c r="P588" s="5354"/>
      <c r="Q588" s="3709"/>
    </row>
    <row r="589" spans="1:17" x14ac:dyDescent="0.3">
      <c r="B589" s="4413">
        <f t="shared" si="260"/>
        <v>0</v>
      </c>
      <c r="C589" s="4414"/>
      <c r="D589" s="4414"/>
      <c r="E589" s="5342"/>
      <c r="F589" s="5342"/>
      <c r="G589" s="5342"/>
      <c r="H589" s="5342"/>
      <c r="I589" s="5342"/>
      <c r="J589" s="5342"/>
      <c r="K589" s="5342"/>
      <c r="L589" s="5342"/>
      <c r="M589" s="5342"/>
      <c r="N589" s="5342"/>
      <c r="O589" s="5342"/>
      <c r="P589" s="5354"/>
      <c r="Q589" s="3709"/>
    </row>
    <row r="590" spans="1:17" x14ac:dyDescent="0.3">
      <c r="B590" s="4413">
        <f t="shared" si="260"/>
        <v>0</v>
      </c>
      <c r="C590" s="4414"/>
      <c r="D590" s="4414"/>
      <c r="E590" s="5342"/>
      <c r="F590" s="5342"/>
      <c r="G590" s="5342"/>
      <c r="H590" s="5342"/>
      <c r="I590" s="5342"/>
      <c r="J590" s="5342"/>
      <c r="K590" s="5342"/>
      <c r="L590" s="5342"/>
      <c r="M590" s="5342"/>
      <c r="N590" s="5342"/>
      <c r="O590" s="5342"/>
      <c r="P590" s="5354"/>
      <c r="Q590" s="3709"/>
    </row>
    <row r="591" spans="1:17" x14ac:dyDescent="0.3">
      <c r="B591" s="4413" t="str">
        <f t="shared" si="260"/>
        <v xml:space="preserve">Dactylis Semillero </v>
      </c>
      <c r="C591" s="4414"/>
      <c r="D591" s="4414"/>
      <c r="E591" s="5342"/>
      <c r="F591" s="5342"/>
      <c r="G591" s="5342"/>
      <c r="H591" s="5342"/>
      <c r="I591" s="5342"/>
      <c r="J591" s="5342"/>
      <c r="K591" s="5342"/>
      <c r="L591" s="5342"/>
      <c r="M591" s="5342"/>
      <c r="N591" s="5342"/>
      <c r="O591" s="5342"/>
      <c r="P591" s="5354"/>
      <c r="Q591" s="3709"/>
    </row>
    <row r="592" spans="1:17" x14ac:dyDescent="0.3">
      <c r="B592" s="4413" t="str">
        <f t="shared" si="260"/>
        <v xml:space="preserve">Festuca Semillero </v>
      </c>
      <c r="C592" s="4414"/>
      <c r="D592" s="4414"/>
      <c r="E592" s="5342"/>
      <c r="F592" s="5342"/>
      <c r="G592" s="5342"/>
      <c r="H592" s="5342"/>
      <c r="I592" s="5342"/>
      <c r="J592" s="5342"/>
      <c r="K592" s="5342"/>
      <c r="L592" s="5342"/>
      <c r="M592" s="5342"/>
      <c r="N592" s="5342"/>
      <c r="O592" s="5342"/>
      <c r="P592" s="5354"/>
      <c r="Q592" s="3709"/>
    </row>
    <row r="593" spans="1:17" x14ac:dyDescent="0.3">
      <c r="B593" s="4413" t="str">
        <f t="shared" si="260"/>
        <v xml:space="preserve">Rg semillero </v>
      </c>
      <c r="C593" s="4414"/>
      <c r="D593" s="4414"/>
      <c r="E593" s="5342"/>
      <c r="F593" s="5342"/>
      <c r="G593" s="5342"/>
      <c r="H593" s="5342"/>
      <c r="I593" s="5342"/>
      <c r="J593" s="5342"/>
      <c r="K593" s="5342"/>
      <c r="L593" s="5342"/>
      <c r="M593" s="5342"/>
      <c r="N593" s="5342"/>
      <c r="O593" s="5342"/>
      <c r="P593" s="5354"/>
      <c r="Q593" s="3709"/>
    </row>
    <row r="594" spans="1:17" x14ac:dyDescent="0.3">
      <c r="B594" s="4413">
        <f t="shared" si="260"/>
        <v>0</v>
      </c>
      <c r="C594" s="4414"/>
      <c r="D594" s="4414"/>
      <c r="E594" s="5342"/>
      <c r="F594" s="5342"/>
      <c r="G594" s="5342"/>
      <c r="H594" s="5342"/>
      <c r="I594" s="5342"/>
      <c r="J594" s="5342"/>
      <c r="K594" s="5342"/>
      <c r="L594" s="5342"/>
      <c r="M594" s="5342"/>
      <c r="N594" s="5342"/>
      <c r="O594" s="5342"/>
      <c r="P594" s="5354"/>
      <c r="Q594" s="3709"/>
    </row>
    <row r="595" spans="1:17" x14ac:dyDescent="0.3">
      <c r="B595" s="4413">
        <f t="shared" si="260"/>
        <v>0</v>
      </c>
      <c r="C595" s="4414"/>
      <c r="D595" s="4414"/>
      <c r="E595" s="5342"/>
      <c r="F595" s="5342"/>
      <c r="G595" s="5342"/>
      <c r="H595" s="5342"/>
      <c r="I595" s="5342"/>
      <c r="J595" s="5342"/>
      <c r="K595" s="5342"/>
      <c r="L595" s="5342"/>
      <c r="M595" s="5342"/>
      <c r="N595" s="5342"/>
      <c r="O595" s="5342"/>
      <c r="P595" s="5354"/>
      <c r="Q595" s="3709"/>
    </row>
    <row r="596" spans="1:17" x14ac:dyDescent="0.3">
      <c r="B596" s="4413">
        <f t="shared" si="260"/>
        <v>0</v>
      </c>
      <c r="C596" s="4414"/>
      <c r="D596" s="4414"/>
      <c r="E596" s="5342"/>
      <c r="F596" s="5342"/>
      <c r="G596" s="5342"/>
      <c r="H596" s="5342"/>
      <c r="I596" s="5342"/>
      <c r="J596" s="5342"/>
      <c r="K596" s="5342"/>
      <c r="L596" s="5342"/>
      <c r="M596" s="5342"/>
      <c r="N596" s="5342"/>
      <c r="O596" s="5342"/>
      <c r="P596" s="5354"/>
      <c r="Q596" s="3709"/>
    </row>
    <row r="597" spans="1:17" x14ac:dyDescent="0.3">
      <c r="B597" s="4413">
        <f t="shared" si="260"/>
        <v>0</v>
      </c>
      <c r="C597" s="4414"/>
      <c r="D597" s="4414"/>
      <c r="E597" s="5342"/>
      <c r="F597" s="5342"/>
      <c r="G597" s="5342"/>
      <c r="H597" s="5342"/>
      <c r="I597" s="5342"/>
      <c r="J597" s="5342"/>
      <c r="K597" s="5342"/>
      <c r="L597" s="5342"/>
      <c r="M597" s="5342"/>
      <c r="N597" s="5342"/>
      <c r="O597" s="5342"/>
      <c r="P597" s="5354"/>
      <c r="Q597" s="3709"/>
    </row>
    <row r="598" spans="1:17" x14ac:dyDescent="0.3">
      <c r="B598" s="4413">
        <f t="shared" si="260"/>
        <v>0</v>
      </c>
      <c r="C598" s="4414"/>
      <c r="D598" s="4414"/>
      <c r="E598" s="5342"/>
      <c r="F598" s="5342"/>
      <c r="G598" s="5342"/>
      <c r="H598" s="5342"/>
      <c r="I598" s="5342"/>
      <c r="J598" s="5342"/>
      <c r="K598" s="5342"/>
      <c r="L598" s="5342"/>
      <c r="M598" s="5342"/>
      <c r="N598" s="5342"/>
      <c r="O598" s="5342"/>
      <c r="P598" s="5354"/>
      <c r="Q598" s="3709"/>
    </row>
    <row r="599" spans="1:17" x14ac:dyDescent="0.3">
      <c r="B599" s="4415">
        <f t="shared" si="260"/>
        <v>0</v>
      </c>
      <c r="C599" s="4416"/>
      <c r="D599" s="4416"/>
      <c r="E599" s="5344"/>
      <c r="F599" s="5344"/>
      <c r="G599" s="5344"/>
      <c r="H599" s="5344"/>
      <c r="I599" s="5344"/>
      <c r="J599" s="5344"/>
      <c r="K599" s="5344"/>
      <c r="L599" s="5344"/>
      <c r="M599" s="5344"/>
      <c r="N599" s="5344"/>
      <c r="O599" s="5344"/>
      <c r="P599" s="5355"/>
      <c r="Q599" s="3709"/>
    </row>
    <row r="600" spans="1:17" ht="15.05" thickBot="1" x14ac:dyDescent="0.35">
      <c r="B600" s="4343" t="str">
        <f t="shared" si="260"/>
        <v>Total</v>
      </c>
      <c r="C600" s="4435"/>
      <c r="D600" s="4435"/>
      <c r="E600" s="4421">
        <f>SUM(E582:E599)</f>
        <v>0</v>
      </c>
      <c r="F600" s="4421">
        <f t="shared" ref="F600:P600" si="261">SUM(F582:F599)</f>
        <v>0</v>
      </c>
      <c r="G600" s="4421">
        <f t="shared" si="261"/>
        <v>0</v>
      </c>
      <c r="H600" s="4421">
        <f t="shared" si="261"/>
        <v>0</v>
      </c>
      <c r="I600" s="4421">
        <f t="shared" si="261"/>
        <v>0</v>
      </c>
      <c r="J600" s="4421">
        <f t="shared" si="261"/>
        <v>0</v>
      </c>
      <c r="K600" s="4421">
        <f t="shared" si="261"/>
        <v>0</v>
      </c>
      <c r="L600" s="4421">
        <f t="shared" si="261"/>
        <v>0</v>
      </c>
      <c r="M600" s="4421">
        <f t="shared" si="261"/>
        <v>0</v>
      </c>
      <c r="N600" s="4421">
        <f t="shared" si="261"/>
        <v>0</v>
      </c>
      <c r="O600" s="4421">
        <f t="shared" si="261"/>
        <v>0</v>
      </c>
      <c r="P600" s="4485">
        <f t="shared" si="261"/>
        <v>0</v>
      </c>
      <c r="Q600" s="3709"/>
    </row>
    <row r="601" spans="1:17" ht="2.4500000000000002" customHeight="1" thickBot="1" x14ac:dyDescent="0.35">
      <c r="B601" s="3723"/>
      <c r="C601" s="3523"/>
      <c r="D601" s="3523"/>
      <c r="E601" s="3724"/>
      <c r="F601" s="3724"/>
      <c r="G601" s="3724"/>
      <c r="H601" s="3724"/>
      <c r="I601" s="3724"/>
      <c r="J601" s="3724"/>
      <c r="K601" s="3724"/>
      <c r="L601" s="3724"/>
      <c r="M601" s="3724"/>
      <c r="N601" s="4425"/>
      <c r="O601" s="3724"/>
      <c r="P601" s="3724"/>
      <c r="Q601" s="3709"/>
    </row>
    <row r="602" spans="1:17" x14ac:dyDescent="0.3">
      <c r="A602" s="2487" t="s">
        <v>1759</v>
      </c>
      <c r="B602" s="4486" t="s">
        <v>2394</v>
      </c>
      <c r="C602" s="4487"/>
      <c r="D602" s="4487"/>
      <c r="E602" s="4487" t="str">
        <f t="shared" ref="E602:P602" si="262">E581</f>
        <v>Ene</v>
      </c>
      <c r="F602" s="4487" t="str">
        <f t="shared" si="262"/>
        <v>Feb</v>
      </c>
      <c r="G602" s="4487" t="str">
        <f t="shared" si="262"/>
        <v>Mar</v>
      </c>
      <c r="H602" s="4487" t="str">
        <f t="shared" si="262"/>
        <v>Abr</v>
      </c>
      <c r="I602" s="4487" t="str">
        <f t="shared" si="262"/>
        <v>May</v>
      </c>
      <c r="J602" s="4487" t="str">
        <f t="shared" si="262"/>
        <v>Jun</v>
      </c>
      <c r="K602" s="4487" t="str">
        <f t="shared" si="262"/>
        <v>Jul</v>
      </c>
      <c r="L602" s="4487" t="str">
        <f t="shared" si="262"/>
        <v>Ago</v>
      </c>
      <c r="M602" s="4487" t="str">
        <f t="shared" si="262"/>
        <v>Set</v>
      </c>
      <c r="N602" s="4487" t="str">
        <f t="shared" si="262"/>
        <v>Oct</v>
      </c>
      <c r="O602" s="4487" t="str">
        <f t="shared" si="262"/>
        <v>Nov</v>
      </c>
      <c r="P602" s="4488" t="str">
        <f t="shared" si="262"/>
        <v>Dic</v>
      </c>
      <c r="Q602" s="3709"/>
    </row>
    <row r="603" spans="1:17" x14ac:dyDescent="0.3">
      <c r="B603" s="4409" t="str">
        <f t="shared" ref="B603:B621" si="263">B582</f>
        <v xml:space="preserve">Alfalfa semillero </v>
      </c>
      <c r="C603" s="4410"/>
      <c r="D603" s="4410"/>
      <c r="E603" s="5340"/>
      <c r="F603" s="5340"/>
      <c r="G603" s="5340"/>
      <c r="H603" s="5340"/>
      <c r="I603" s="5340"/>
      <c r="J603" s="5340"/>
      <c r="K603" s="5340"/>
      <c r="L603" s="5340"/>
      <c r="M603" s="5340"/>
      <c r="N603" s="5340"/>
      <c r="O603" s="5340"/>
      <c r="P603" s="5353"/>
      <c r="Q603" s="3709"/>
    </row>
    <row r="604" spans="1:17" x14ac:dyDescent="0.3">
      <c r="B604" s="4413" t="str">
        <f t="shared" si="263"/>
        <v xml:space="preserve">TR semillero </v>
      </c>
      <c r="C604" s="4414"/>
      <c r="D604" s="4414"/>
      <c r="E604" s="5342"/>
      <c r="F604" s="5342"/>
      <c r="G604" s="5342"/>
      <c r="H604" s="5342"/>
      <c r="I604" s="5342"/>
      <c r="J604" s="5342"/>
      <c r="K604" s="5342"/>
      <c r="L604" s="5342"/>
      <c r="M604" s="5342"/>
      <c r="N604" s="5342"/>
      <c r="O604" s="5342"/>
      <c r="P604" s="5354"/>
      <c r="Q604" s="3709"/>
    </row>
    <row r="605" spans="1:17" x14ac:dyDescent="0.3">
      <c r="B605" s="4413" t="str">
        <f t="shared" si="263"/>
        <v xml:space="preserve">TB semillero </v>
      </c>
      <c r="C605" s="4414"/>
      <c r="D605" s="4414"/>
      <c r="E605" s="5342"/>
      <c r="F605" s="5342"/>
      <c r="G605" s="5342"/>
      <c r="H605" s="5342"/>
      <c r="I605" s="5342"/>
      <c r="J605" s="5342"/>
      <c r="K605" s="5342"/>
      <c r="L605" s="5342"/>
      <c r="M605" s="5342"/>
      <c r="N605" s="5342"/>
      <c r="O605" s="5342"/>
      <c r="P605" s="5354"/>
      <c r="Q605" s="3709"/>
    </row>
    <row r="606" spans="1:17" x14ac:dyDescent="0.3">
      <c r="B606" s="4413" t="str">
        <f t="shared" si="263"/>
        <v xml:space="preserve">Achicoria Semillero </v>
      </c>
      <c r="C606" s="4414"/>
      <c r="D606" s="4414"/>
      <c r="E606" s="5342"/>
      <c r="F606" s="5342"/>
      <c r="G606" s="5342"/>
      <c r="H606" s="5342"/>
      <c r="I606" s="5342"/>
      <c r="J606" s="5342"/>
      <c r="K606" s="5342"/>
      <c r="L606" s="5342"/>
      <c r="M606" s="5342"/>
      <c r="N606" s="5342"/>
      <c r="O606" s="5342"/>
      <c r="P606" s="5354"/>
      <c r="Q606" s="3709"/>
    </row>
    <row r="607" spans="1:17" x14ac:dyDescent="0.3">
      <c r="B607" s="4413">
        <f t="shared" si="263"/>
        <v>0</v>
      </c>
      <c r="C607" s="4414"/>
      <c r="D607" s="4414"/>
      <c r="E607" s="5342"/>
      <c r="F607" s="5342"/>
      <c r="G607" s="5342"/>
      <c r="H607" s="5342"/>
      <c r="I607" s="5342"/>
      <c r="J607" s="5342"/>
      <c r="K607" s="5342"/>
      <c r="L607" s="5342"/>
      <c r="M607" s="5342"/>
      <c r="N607" s="5342"/>
      <c r="O607" s="5342"/>
      <c r="P607" s="5354"/>
      <c r="Q607" s="3709"/>
    </row>
    <row r="608" spans="1:17" x14ac:dyDescent="0.3">
      <c r="B608" s="4413">
        <f t="shared" si="263"/>
        <v>0</v>
      </c>
      <c r="C608" s="4414"/>
      <c r="D608" s="4414"/>
      <c r="E608" s="5342"/>
      <c r="F608" s="5342"/>
      <c r="G608" s="5342"/>
      <c r="H608" s="5342"/>
      <c r="I608" s="5342"/>
      <c r="J608" s="5342"/>
      <c r="K608" s="5342"/>
      <c r="L608" s="5342"/>
      <c r="M608" s="5342"/>
      <c r="N608" s="5342"/>
      <c r="O608" s="5342"/>
      <c r="P608" s="5354"/>
      <c r="Q608" s="3709"/>
    </row>
    <row r="609" spans="1:17" x14ac:dyDescent="0.3">
      <c r="B609" s="4413">
        <f t="shared" si="263"/>
        <v>0</v>
      </c>
      <c r="C609" s="4414"/>
      <c r="D609" s="4414"/>
      <c r="E609" s="5342"/>
      <c r="F609" s="5342"/>
      <c r="G609" s="5342"/>
      <c r="H609" s="5342"/>
      <c r="I609" s="5342"/>
      <c r="J609" s="5342"/>
      <c r="K609" s="5342"/>
      <c r="L609" s="5342"/>
      <c r="M609" s="5342"/>
      <c r="N609" s="5342"/>
      <c r="O609" s="5342"/>
      <c r="P609" s="5354"/>
      <c r="Q609" s="3709"/>
    </row>
    <row r="610" spans="1:17" x14ac:dyDescent="0.3">
      <c r="B610" s="4413">
        <f t="shared" si="263"/>
        <v>0</v>
      </c>
      <c r="C610" s="4414"/>
      <c r="D610" s="4414"/>
      <c r="E610" s="5342"/>
      <c r="F610" s="5342"/>
      <c r="G610" s="5342"/>
      <c r="H610" s="5342"/>
      <c r="I610" s="5342"/>
      <c r="J610" s="5342"/>
      <c r="K610" s="5342"/>
      <c r="L610" s="5342"/>
      <c r="M610" s="5342"/>
      <c r="N610" s="5342"/>
      <c r="O610" s="5342"/>
      <c r="P610" s="5354"/>
      <c r="Q610" s="3709"/>
    </row>
    <row r="611" spans="1:17" x14ac:dyDescent="0.3">
      <c r="B611" s="4413">
        <f t="shared" si="263"/>
        <v>0</v>
      </c>
      <c r="C611" s="4414"/>
      <c r="D611" s="4414"/>
      <c r="E611" s="5342"/>
      <c r="F611" s="5342"/>
      <c r="G611" s="5342"/>
      <c r="H611" s="5342"/>
      <c r="I611" s="5342"/>
      <c r="J611" s="5342"/>
      <c r="K611" s="5342"/>
      <c r="L611" s="5342"/>
      <c r="M611" s="5342"/>
      <c r="N611" s="5342"/>
      <c r="O611" s="5342"/>
      <c r="P611" s="5354"/>
      <c r="Q611" s="3709"/>
    </row>
    <row r="612" spans="1:17" x14ac:dyDescent="0.3">
      <c r="B612" s="4413" t="str">
        <f t="shared" si="263"/>
        <v xml:space="preserve">Dactylis Semillero </v>
      </c>
      <c r="C612" s="4414"/>
      <c r="D612" s="4414"/>
      <c r="E612" s="5342"/>
      <c r="F612" s="5342"/>
      <c r="G612" s="5342"/>
      <c r="H612" s="5342"/>
      <c r="I612" s="5342"/>
      <c r="J612" s="5342"/>
      <c r="K612" s="5342"/>
      <c r="L612" s="5342"/>
      <c r="M612" s="5342"/>
      <c r="N612" s="5342"/>
      <c r="O612" s="5342"/>
      <c r="P612" s="5354"/>
      <c r="Q612" s="3709"/>
    </row>
    <row r="613" spans="1:17" x14ac:dyDescent="0.3">
      <c r="B613" s="4413" t="str">
        <f t="shared" si="263"/>
        <v xml:space="preserve">Festuca Semillero </v>
      </c>
      <c r="C613" s="4414"/>
      <c r="D613" s="4414"/>
      <c r="E613" s="5342"/>
      <c r="F613" s="5342"/>
      <c r="G613" s="5342"/>
      <c r="H613" s="5342"/>
      <c r="I613" s="5342"/>
      <c r="J613" s="5342"/>
      <c r="K613" s="5342"/>
      <c r="L613" s="5342"/>
      <c r="M613" s="5342"/>
      <c r="N613" s="5342"/>
      <c r="O613" s="5342"/>
      <c r="P613" s="5354"/>
      <c r="Q613" s="3709"/>
    </row>
    <row r="614" spans="1:17" x14ac:dyDescent="0.3">
      <c r="B614" s="4413" t="str">
        <f t="shared" si="263"/>
        <v xml:space="preserve">Rg semillero </v>
      </c>
      <c r="C614" s="4414"/>
      <c r="D614" s="4414"/>
      <c r="E614" s="5342"/>
      <c r="F614" s="5342"/>
      <c r="G614" s="5342"/>
      <c r="H614" s="5342"/>
      <c r="I614" s="5342"/>
      <c r="J614" s="5342"/>
      <c r="K614" s="5342"/>
      <c r="L614" s="5342"/>
      <c r="M614" s="5342"/>
      <c r="N614" s="5342"/>
      <c r="O614" s="5342"/>
      <c r="P614" s="5354"/>
      <c r="Q614" s="3709"/>
    </row>
    <row r="615" spans="1:17" x14ac:dyDescent="0.3">
      <c r="B615" s="4413">
        <f t="shared" si="263"/>
        <v>0</v>
      </c>
      <c r="C615" s="4414"/>
      <c r="D615" s="4414"/>
      <c r="E615" s="5342"/>
      <c r="F615" s="5342"/>
      <c r="G615" s="5342"/>
      <c r="H615" s="5342"/>
      <c r="I615" s="5342"/>
      <c r="J615" s="5342"/>
      <c r="K615" s="5342"/>
      <c r="L615" s="5342"/>
      <c r="M615" s="5342"/>
      <c r="N615" s="5342"/>
      <c r="O615" s="5342"/>
      <c r="P615" s="5354"/>
      <c r="Q615" s="3709"/>
    </row>
    <row r="616" spans="1:17" x14ac:dyDescent="0.3">
      <c r="B616" s="4413">
        <f t="shared" si="263"/>
        <v>0</v>
      </c>
      <c r="C616" s="4414"/>
      <c r="D616" s="4414"/>
      <c r="E616" s="5342"/>
      <c r="F616" s="5342"/>
      <c r="G616" s="5342"/>
      <c r="H616" s="5342"/>
      <c r="I616" s="5342"/>
      <c r="J616" s="5342"/>
      <c r="K616" s="5342"/>
      <c r="L616" s="5342"/>
      <c r="M616" s="5342"/>
      <c r="N616" s="5342"/>
      <c r="O616" s="5342"/>
      <c r="P616" s="5354"/>
      <c r="Q616" s="3709"/>
    </row>
    <row r="617" spans="1:17" x14ac:dyDescent="0.3">
      <c r="B617" s="4413">
        <f t="shared" si="263"/>
        <v>0</v>
      </c>
      <c r="C617" s="4414"/>
      <c r="D617" s="4414"/>
      <c r="E617" s="5342"/>
      <c r="F617" s="5342"/>
      <c r="G617" s="5342"/>
      <c r="H617" s="5342"/>
      <c r="I617" s="5342"/>
      <c r="J617" s="5342"/>
      <c r="K617" s="5342"/>
      <c r="L617" s="5342"/>
      <c r="M617" s="5342"/>
      <c r="N617" s="5342"/>
      <c r="O617" s="5342"/>
      <c r="P617" s="5354"/>
      <c r="Q617" s="3709"/>
    </row>
    <row r="618" spans="1:17" x14ac:dyDescent="0.3">
      <c r="B618" s="4413">
        <f t="shared" si="263"/>
        <v>0</v>
      </c>
      <c r="C618" s="4414"/>
      <c r="D618" s="4414"/>
      <c r="E618" s="5342"/>
      <c r="F618" s="5342"/>
      <c r="G618" s="5342"/>
      <c r="H618" s="5342"/>
      <c r="I618" s="5342"/>
      <c r="J618" s="5342"/>
      <c r="K618" s="5342"/>
      <c r="L618" s="5342"/>
      <c r="M618" s="5342"/>
      <c r="N618" s="5342"/>
      <c r="O618" s="5342"/>
      <c r="P618" s="5354"/>
      <c r="Q618" s="3709"/>
    </row>
    <row r="619" spans="1:17" x14ac:dyDescent="0.3">
      <c r="B619" s="4413">
        <f t="shared" si="263"/>
        <v>0</v>
      </c>
      <c r="C619" s="4414"/>
      <c r="D619" s="4414"/>
      <c r="E619" s="5342"/>
      <c r="F619" s="5342"/>
      <c r="G619" s="5342"/>
      <c r="H619" s="5342"/>
      <c r="I619" s="5342"/>
      <c r="J619" s="5342"/>
      <c r="K619" s="5342"/>
      <c r="L619" s="5342"/>
      <c r="M619" s="5342"/>
      <c r="N619" s="5342"/>
      <c r="O619" s="5342"/>
      <c r="P619" s="5354"/>
      <c r="Q619" s="3709"/>
    </row>
    <row r="620" spans="1:17" x14ac:dyDescent="0.3">
      <c r="B620" s="4415">
        <f t="shared" si="263"/>
        <v>0</v>
      </c>
      <c r="C620" s="4416"/>
      <c r="D620" s="4416"/>
      <c r="E620" s="5344"/>
      <c r="F620" s="5344"/>
      <c r="G620" s="5344"/>
      <c r="H620" s="5344"/>
      <c r="I620" s="5344"/>
      <c r="J620" s="5344"/>
      <c r="K620" s="5344"/>
      <c r="L620" s="5344"/>
      <c r="M620" s="5344"/>
      <c r="N620" s="5344"/>
      <c r="O620" s="5344"/>
      <c r="P620" s="5355"/>
      <c r="Q620" s="3709"/>
    </row>
    <row r="621" spans="1:17" ht="15.05" thickBot="1" x14ac:dyDescent="0.35">
      <c r="B621" s="4343" t="str">
        <f t="shared" si="263"/>
        <v>Total</v>
      </c>
      <c r="C621" s="4435"/>
      <c r="D621" s="4435"/>
      <c r="E621" s="4421">
        <f>SUM(E603:E620)</f>
        <v>0</v>
      </c>
      <c r="F621" s="4421">
        <f t="shared" ref="F621:P621" si="264">SUM(F603:F620)</f>
        <v>0</v>
      </c>
      <c r="G621" s="4421">
        <f t="shared" si="264"/>
        <v>0</v>
      </c>
      <c r="H621" s="4421">
        <f t="shared" si="264"/>
        <v>0</v>
      </c>
      <c r="I621" s="4421">
        <f t="shared" si="264"/>
        <v>0</v>
      </c>
      <c r="J621" s="4421">
        <f t="shared" si="264"/>
        <v>0</v>
      </c>
      <c r="K621" s="4421">
        <f t="shared" si="264"/>
        <v>0</v>
      </c>
      <c r="L621" s="4421">
        <f t="shared" si="264"/>
        <v>0</v>
      </c>
      <c r="M621" s="4421">
        <f t="shared" si="264"/>
        <v>0</v>
      </c>
      <c r="N621" s="4421">
        <f t="shared" si="264"/>
        <v>0</v>
      </c>
      <c r="O621" s="4421">
        <f t="shared" si="264"/>
        <v>0</v>
      </c>
      <c r="P621" s="4485">
        <f t="shared" si="264"/>
        <v>0</v>
      </c>
      <c r="Q621" s="3709"/>
    </row>
    <row r="622" spans="1:17" ht="2.4500000000000002" customHeight="1" thickBot="1" x14ac:dyDescent="0.35">
      <c r="B622" s="3723"/>
      <c r="C622" s="3523"/>
      <c r="D622" s="3523"/>
      <c r="E622" s="3724"/>
      <c r="F622" s="3724"/>
      <c r="G622" s="3724"/>
      <c r="H622" s="3724"/>
      <c r="I622" s="3724"/>
      <c r="J622" s="3724"/>
      <c r="K622" s="3724"/>
      <c r="L622" s="3724"/>
      <c r="M622" s="3724"/>
      <c r="N622" s="4425"/>
      <c r="O622" s="3724"/>
      <c r="P622" s="3724"/>
      <c r="Q622" s="3709"/>
    </row>
    <row r="623" spans="1:17" x14ac:dyDescent="0.3">
      <c r="A623" s="2487" t="s">
        <v>1760</v>
      </c>
      <c r="B623" s="4486" t="s">
        <v>1770</v>
      </c>
      <c r="C623" s="4487"/>
      <c r="D623" s="4487"/>
      <c r="E623" s="4487" t="str">
        <f t="shared" ref="E623:P623" si="265">E602</f>
        <v>Ene</v>
      </c>
      <c r="F623" s="4487" t="str">
        <f t="shared" si="265"/>
        <v>Feb</v>
      </c>
      <c r="G623" s="4487" t="str">
        <f t="shared" si="265"/>
        <v>Mar</v>
      </c>
      <c r="H623" s="4487" t="str">
        <f t="shared" si="265"/>
        <v>Abr</v>
      </c>
      <c r="I623" s="4487" t="str">
        <f t="shared" si="265"/>
        <v>May</v>
      </c>
      <c r="J623" s="4487" t="str">
        <f t="shared" si="265"/>
        <v>Jun</v>
      </c>
      <c r="K623" s="4487" t="str">
        <f t="shared" si="265"/>
        <v>Jul</v>
      </c>
      <c r="L623" s="4487" t="str">
        <f t="shared" si="265"/>
        <v>Ago</v>
      </c>
      <c r="M623" s="4487" t="str">
        <f t="shared" si="265"/>
        <v>Set</v>
      </c>
      <c r="N623" s="4487" t="str">
        <f t="shared" si="265"/>
        <v>Oct</v>
      </c>
      <c r="O623" s="4487" t="str">
        <f t="shared" si="265"/>
        <v>Nov</v>
      </c>
      <c r="P623" s="4488" t="str">
        <f t="shared" si="265"/>
        <v>Dic</v>
      </c>
      <c r="Q623" s="3709"/>
    </row>
    <row r="624" spans="1:17" x14ac:dyDescent="0.3">
      <c r="B624" s="4409" t="str">
        <f t="shared" ref="B624:B642" si="266">B603</f>
        <v xml:space="preserve">Alfalfa semillero </v>
      </c>
      <c r="C624" s="4410"/>
      <c r="D624" s="4410"/>
      <c r="E624" s="4480">
        <f t="shared" ref="E624:P624" si="267">E582*E603</f>
        <v>0</v>
      </c>
      <c r="F624" s="4480">
        <f t="shared" si="267"/>
        <v>0</v>
      </c>
      <c r="G624" s="4480">
        <f t="shared" si="267"/>
        <v>0</v>
      </c>
      <c r="H624" s="4480">
        <f t="shared" si="267"/>
        <v>0</v>
      </c>
      <c r="I624" s="4480">
        <f t="shared" si="267"/>
        <v>0</v>
      </c>
      <c r="J624" s="4480">
        <f t="shared" si="267"/>
        <v>0</v>
      </c>
      <c r="K624" s="4480">
        <f t="shared" si="267"/>
        <v>0</v>
      </c>
      <c r="L624" s="4480">
        <f t="shared" si="267"/>
        <v>0</v>
      </c>
      <c r="M624" s="4480">
        <f t="shared" si="267"/>
        <v>0</v>
      </c>
      <c r="N624" s="4480">
        <f t="shared" si="267"/>
        <v>0</v>
      </c>
      <c r="O624" s="4480">
        <f t="shared" si="267"/>
        <v>0</v>
      </c>
      <c r="P624" s="4481">
        <f t="shared" si="267"/>
        <v>0</v>
      </c>
      <c r="Q624" s="3709"/>
    </row>
    <row r="625" spans="2:17" x14ac:dyDescent="0.3">
      <c r="B625" s="4413" t="str">
        <f t="shared" si="266"/>
        <v xml:space="preserve">TR semillero </v>
      </c>
      <c r="C625" s="4414"/>
      <c r="D625" s="4414"/>
      <c r="E625" s="4325">
        <f t="shared" ref="E625:P625" si="268">E583*E604</f>
        <v>0</v>
      </c>
      <c r="F625" s="4325">
        <f t="shared" si="268"/>
        <v>0</v>
      </c>
      <c r="G625" s="4325">
        <f t="shared" si="268"/>
        <v>0</v>
      </c>
      <c r="H625" s="4325">
        <f t="shared" si="268"/>
        <v>0</v>
      </c>
      <c r="I625" s="4325">
        <f t="shared" si="268"/>
        <v>0</v>
      </c>
      <c r="J625" s="4325">
        <f t="shared" si="268"/>
        <v>0</v>
      </c>
      <c r="K625" s="4325">
        <f t="shared" si="268"/>
        <v>0</v>
      </c>
      <c r="L625" s="4325">
        <f t="shared" si="268"/>
        <v>0</v>
      </c>
      <c r="M625" s="4325">
        <f t="shared" si="268"/>
        <v>0</v>
      </c>
      <c r="N625" s="4325">
        <f t="shared" si="268"/>
        <v>0</v>
      </c>
      <c r="O625" s="4325">
        <f t="shared" si="268"/>
        <v>0</v>
      </c>
      <c r="P625" s="4482">
        <f t="shared" si="268"/>
        <v>0</v>
      </c>
      <c r="Q625" s="3709"/>
    </row>
    <row r="626" spans="2:17" x14ac:dyDescent="0.3">
      <c r="B626" s="4413" t="str">
        <f t="shared" si="266"/>
        <v xml:space="preserve">TB semillero </v>
      </c>
      <c r="C626" s="4414"/>
      <c r="D626" s="4414"/>
      <c r="E626" s="4325">
        <f t="shared" ref="E626:P626" si="269">E584*E605</f>
        <v>0</v>
      </c>
      <c r="F626" s="4325">
        <f t="shared" si="269"/>
        <v>0</v>
      </c>
      <c r="G626" s="4325">
        <f t="shared" si="269"/>
        <v>0</v>
      </c>
      <c r="H626" s="4325">
        <f t="shared" si="269"/>
        <v>0</v>
      </c>
      <c r="I626" s="4325">
        <f t="shared" si="269"/>
        <v>0</v>
      </c>
      <c r="J626" s="4325">
        <f t="shared" si="269"/>
        <v>0</v>
      </c>
      <c r="K626" s="4325">
        <f t="shared" si="269"/>
        <v>0</v>
      </c>
      <c r="L626" s="4325">
        <f t="shared" si="269"/>
        <v>0</v>
      </c>
      <c r="M626" s="4325">
        <f t="shared" si="269"/>
        <v>0</v>
      </c>
      <c r="N626" s="4325">
        <f t="shared" si="269"/>
        <v>0</v>
      </c>
      <c r="O626" s="4325">
        <f t="shared" si="269"/>
        <v>0</v>
      </c>
      <c r="P626" s="4482">
        <f t="shared" si="269"/>
        <v>0</v>
      </c>
      <c r="Q626" s="3709"/>
    </row>
    <row r="627" spans="2:17" x14ac:dyDescent="0.3">
      <c r="B627" s="4413" t="str">
        <f t="shared" si="266"/>
        <v xml:space="preserve">Achicoria Semillero </v>
      </c>
      <c r="C627" s="4414"/>
      <c r="D627" s="4414"/>
      <c r="E627" s="4325">
        <f t="shared" ref="E627:P627" si="270">E585*E606</f>
        <v>0</v>
      </c>
      <c r="F627" s="4325">
        <f t="shared" si="270"/>
        <v>0</v>
      </c>
      <c r="G627" s="4325">
        <f t="shared" si="270"/>
        <v>0</v>
      </c>
      <c r="H627" s="4325">
        <f t="shared" si="270"/>
        <v>0</v>
      </c>
      <c r="I627" s="4325">
        <f t="shared" si="270"/>
        <v>0</v>
      </c>
      <c r="J627" s="4325">
        <f t="shared" si="270"/>
        <v>0</v>
      </c>
      <c r="K627" s="4325">
        <f t="shared" si="270"/>
        <v>0</v>
      </c>
      <c r="L627" s="4325">
        <f t="shared" si="270"/>
        <v>0</v>
      </c>
      <c r="M627" s="4325">
        <f t="shared" si="270"/>
        <v>0</v>
      </c>
      <c r="N627" s="4325">
        <f t="shared" si="270"/>
        <v>0</v>
      </c>
      <c r="O627" s="4325">
        <f t="shared" si="270"/>
        <v>0</v>
      </c>
      <c r="P627" s="4482">
        <f t="shared" si="270"/>
        <v>0</v>
      </c>
      <c r="Q627" s="3709"/>
    </row>
    <row r="628" spans="2:17" x14ac:dyDescent="0.3">
      <c r="B628" s="4413">
        <f t="shared" si="266"/>
        <v>0</v>
      </c>
      <c r="C628" s="4414"/>
      <c r="D628" s="4414"/>
      <c r="E628" s="4325">
        <f t="shared" ref="E628:P628" si="271">E586*E607</f>
        <v>0</v>
      </c>
      <c r="F628" s="4325">
        <f t="shared" si="271"/>
        <v>0</v>
      </c>
      <c r="G628" s="4325">
        <f t="shared" si="271"/>
        <v>0</v>
      </c>
      <c r="H628" s="4325">
        <f t="shared" si="271"/>
        <v>0</v>
      </c>
      <c r="I628" s="4325">
        <f t="shared" si="271"/>
        <v>0</v>
      </c>
      <c r="J628" s="4325">
        <f t="shared" si="271"/>
        <v>0</v>
      </c>
      <c r="K628" s="4325">
        <f t="shared" si="271"/>
        <v>0</v>
      </c>
      <c r="L628" s="4325">
        <f t="shared" si="271"/>
        <v>0</v>
      </c>
      <c r="M628" s="4325">
        <f t="shared" si="271"/>
        <v>0</v>
      </c>
      <c r="N628" s="4325">
        <f t="shared" si="271"/>
        <v>0</v>
      </c>
      <c r="O628" s="4325">
        <f t="shared" si="271"/>
        <v>0</v>
      </c>
      <c r="P628" s="4482">
        <f t="shared" si="271"/>
        <v>0</v>
      </c>
      <c r="Q628" s="3709"/>
    </row>
    <row r="629" spans="2:17" x14ac:dyDescent="0.3">
      <c r="B629" s="4413">
        <f t="shared" si="266"/>
        <v>0</v>
      </c>
      <c r="C629" s="4414"/>
      <c r="D629" s="4414"/>
      <c r="E629" s="4325">
        <f t="shared" ref="E629:P629" si="272">E587*E608</f>
        <v>0</v>
      </c>
      <c r="F629" s="4325">
        <f t="shared" si="272"/>
        <v>0</v>
      </c>
      <c r="G629" s="4325">
        <f t="shared" si="272"/>
        <v>0</v>
      </c>
      <c r="H629" s="4325">
        <f t="shared" si="272"/>
        <v>0</v>
      </c>
      <c r="I629" s="4325">
        <f t="shared" si="272"/>
        <v>0</v>
      </c>
      <c r="J629" s="4325">
        <f t="shared" si="272"/>
        <v>0</v>
      </c>
      <c r="K629" s="4325">
        <f t="shared" si="272"/>
        <v>0</v>
      </c>
      <c r="L629" s="4325">
        <f t="shared" si="272"/>
        <v>0</v>
      </c>
      <c r="M629" s="4325">
        <f t="shared" si="272"/>
        <v>0</v>
      </c>
      <c r="N629" s="4325">
        <f t="shared" si="272"/>
        <v>0</v>
      </c>
      <c r="O629" s="4325">
        <f t="shared" si="272"/>
        <v>0</v>
      </c>
      <c r="P629" s="4482">
        <f t="shared" si="272"/>
        <v>0</v>
      </c>
      <c r="Q629" s="3709"/>
    </row>
    <row r="630" spans="2:17" x14ac:dyDescent="0.3">
      <c r="B630" s="4413">
        <f t="shared" si="266"/>
        <v>0</v>
      </c>
      <c r="C630" s="4414"/>
      <c r="D630" s="4414"/>
      <c r="E630" s="4325">
        <f t="shared" ref="E630:P630" si="273">E588*E609</f>
        <v>0</v>
      </c>
      <c r="F630" s="4325">
        <f t="shared" si="273"/>
        <v>0</v>
      </c>
      <c r="G630" s="4325">
        <f t="shared" si="273"/>
        <v>0</v>
      </c>
      <c r="H630" s="4325">
        <f t="shared" si="273"/>
        <v>0</v>
      </c>
      <c r="I630" s="4325">
        <f t="shared" si="273"/>
        <v>0</v>
      </c>
      <c r="J630" s="4325">
        <f t="shared" si="273"/>
        <v>0</v>
      </c>
      <c r="K630" s="4325">
        <f t="shared" si="273"/>
        <v>0</v>
      </c>
      <c r="L630" s="4325">
        <f t="shared" si="273"/>
        <v>0</v>
      </c>
      <c r="M630" s="4325">
        <f t="shared" si="273"/>
        <v>0</v>
      </c>
      <c r="N630" s="4325">
        <f t="shared" si="273"/>
        <v>0</v>
      </c>
      <c r="O630" s="4325">
        <f t="shared" si="273"/>
        <v>0</v>
      </c>
      <c r="P630" s="4482">
        <f t="shared" si="273"/>
        <v>0</v>
      </c>
      <c r="Q630" s="3709"/>
    </row>
    <row r="631" spans="2:17" x14ac:dyDescent="0.3">
      <c r="B631" s="4413">
        <f t="shared" si="266"/>
        <v>0</v>
      </c>
      <c r="C631" s="4414"/>
      <c r="D631" s="4414"/>
      <c r="E631" s="4325">
        <f t="shared" ref="E631:P631" si="274">E589*E610</f>
        <v>0</v>
      </c>
      <c r="F631" s="4325">
        <f t="shared" si="274"/>
        <v>0</v>
      </c>
      <c r="G631" s="4325">
        <f t="shared" si="274"/>
        <v>0</v>
      </c>
      <c r="H631" s="4325">
        <f t="shared" si="274"/>
        <v>0</v>
      </c>
      <c r="I631" s="4325">
        <f t="shared" si="274"/>
        <v>0</v>
      </c>
      <c r="J631" s="4325">
        <f t="shared" si="274"/>
        <v>0</v>
      </c>
      <c r="K631" s="4325">
        <f t="shared" si="274"/>
        <v>0</v>
      </c>
      <c r="L631" s="4325">
        <f t="shared" si="274"/>
        <v>0</v>
      </c>
      <c r="M631" s="4325">
        <f t="shared" si="274"/>
        <v>0</v>
      </c>
      <c r="N631" s="4325">
        <f t="shared" si="274"/>
        <v>0</v>
      </c>
      <c r="O631" s="4325">
        <f t="shared" si="274"/>
        <v>0</v>
      </c>
      <c r="P631" s="4482">
        <f t="shared" si="274"/>
        <v>0</v>
      </c>
      <c r="Q631" s="3709"/>
    </row>
    <row r="632" spans="2:17" x14ac:dyDescent="0.3">
      <c r="B632" s="4413">
        <f t="shared" si="266"/>
        <v>0</v>
      </c>
      <c r="C632" s="4414"/>
      <c r="D632" s="4414"/>
      <c r="E632" s="4325">
        <f t="shared" ref="E632:P632" si="275">E590*E611</f>
        <v>0</v>
      </c>
      <c r="F632" s="4325">
        <f t="shared" si="275"/>
        <v>0</v>
      </c>
      <c r="G632" s="4325">
        <f t="shared" si="275"/>
        <v>0</v>
      </c>
      <c r="H632" s="4325">
        <f t="shared" si="275"/>
        <v>0</v>
      </c>
      <c r="I632" s="4325">
        <f t="shared" si="275"/>
        <v>0</v>
      </c>
      <c r="J632" s="4325">
        <f t="shared" si="275"/>
        <v>0</v>
      </c>
      <c r="K632" s="4325">
        <f t="shared" si="275"/>
        <v>0</v>
      </c>
      <c r="L632" s="4325">
        <f t="shared" si="275"/>
        <v>0</v>
      </c>
      <c r="M632" s="4325">
        <f t="shared" si="275"/>
        <v>0</v>
      </c>
      <c r="N632" s="4325">
        <f t="shared" si="275"/>
        <v>0</v>
      </c>
      <c r="O632" s="4325">
        <f t="shared" si="275"/>
        <v>0</v>
      </c>
      <c r="P632" s="4482">
        <f t="shared" si="275"/>
        <v>0</v>
      </c>
      <c r="Q632" s="3709"/>
    </row>
    <row r="633" spans="2:17" x14ac:dyDescent="0.3">
      <c r="B633" s="4413" t="str">
        <f t="shared" si="266"/>
        <v xml:space="preserve">Dactylis Semillero </v>
      </c>
      <c r="C633" s="4414"/>
      <c r="D633" s="4414"/>
      <c r="E633" s="4325">
        <f t="shared" ref="E633:P633" si="276">E591*E612</f>
        <v>0</v>
      </c>
      <c r="F633" s="4325">
        <f t="shared" si="276"/>
        <v>0</v>
      </c>
      <c r="G633" s="4325">
        <f t="shared" si="276"/>
        <v>0</v>
      </c>
      <c r="H633" s="4325">
        <f t="shared" si="276"/>
        <v>0</v>
      </c>
      <c r="I633" s="4325">
        <f t="shared" si="276"/>
        <v>0</v>
      </c>
      <c r="J633" s="4325">
        <f t="shared" si="276"/>
        <v>0</v>
      </c>
      <c r="K633" s="4325">
        <f t="shared" si="276"/>
        <v>0</v>
      </c>
      <c r="L633" s="4325">
        <f t="shared" si="276"/>
        <v>0</v>
      </c>
      <c r="M633" s="4325">
        <f t="shared" si="276"/>
        <v>0</v>
      </c>
      <c r="N633" s="4325">
        <f t="shared" si="276"/>
        <v>0</v>
      </c>
      <c r="O633" s="4325">
        <f t="shared" si="276"/>
        <v>0</v>
      </c>
      <c r="P633" s="4482">
        <f t="shared" si="276"/>
        <v>0</v>
      </c>
      <c r="Q633" s="3709"/>
    </row>
    <row r="634" spans="2:17" x14ac:dyDescent="0.3">
      <c r="B634" s="4413" t="str">
        <f t="shared" si="266"/>
        <v xml:space="preserve">Festuca Semillero </v>
      </c>
      <c r="C634" s="4414"/>
      <c r="D634" s="4414"/>
      <c r="E634" s="4325">
        <f t="shared" ref="E634:P634" si="277">E592*E613</f>
        <v>0</v>
      </c>
      <c r="F634" s="4325">
        <f t="shared" si="277"/>
        <v>0</v>
      </c>
      <c r="G634" s="4325">
        <f t="shared" si="277"/>
        <v>0</v>
      </c>
      <c r="H634" s="4325">
        <f t="shared" si="277"/>
        <v>0</v>
      </c>
      <c r="I634" s="4325">
        <f t="shared" si="277"/>
        <v>0</v>
      </c>
      <c r="J634" s="4325">
        <f t="shared" si="277"/>
        <v>0</v>
      </c>
      <c r="K634" s="4325">
        <f t="shared" si="277"/>
        <v>0</v>
      </c>
      <c r="L634" s="4325">
        <f t="shared" si="277"/>
        <v>0</v>
      </c>
      <c r="M634" s="4325">
        <f t="shared" si="277"/>
        <v>0</v>
      </c>
      <c r="N634" s="4325">
        <f t="shared" si="277"/>
        <v>0</v>
      </c>
      <c r="O634" s="4325">
        <f t="shared" si="277"/>
        <v>0</v>
      </c>
      <c r="P634" s="4482">
        <f t="shared" si="277"/>
        <v>0</v>
      </c>
      <c r="Q634" s="3709"/>
    </row>
    <row r="635" spans="2:17" x14ac:dyDescent="0.3">
      <c r="B635" s="4413" t="str">
        <f t="shared" si="266"/>
        <v xml:space="preserve">Rg semillero </v>
      </c>
      <c r="C635" s="4414"/>
      <c r="D635" s="4414"/>
      <c r="E635" s="4325">
        <f t="shared" ref="E635:P635" si="278">E593*E614</f>
        <v>0</v>
      </c>
      <c r="F635" s="4325">
        <f t="shared" si="278"/>
        <v>0</v>
      </c>
      <c r="G635" s="4325">
        <f t="shared" si="278"/>
        <v>0</v>
      </c>
      <c r="H635" s="4325">
        <f t="shared" si="278"/>
        <v>0</v>
      </c>
      <c r="I635" s="4325">
        <f t="shared" si="278"/>
        <v>0</v>
      </c>
      <c r="J635" s="4325">
        <f t="shared" si="278"/>
        <v>0</v>
      </c>
      <c r="K635" s="4325">
        <f t="shared" si="278"/>
        <v>0</v>
      </c>
      <c r="L635" s="4325">
        <f t="shared" si="278"/>
        <v>0</v>
      </c>
      <c r="M635" s="4325">
        <f t="shared" si="278"/>
        <v>0</v>
      </c>
      <c r="N635" s="4325">
        <f t="shared" si="278"/>
        <v>0</v>
      </c>
      <c r="O635" s="4325">
        <f t="shared" si="278"/>
        <v>0</v>
      </c>
      <c r="P635" s="4482">
        <f t="shared" si="278"/>
        <v>0</v>
      </c>
      <c r="Q635" s="3709"/>
    </row>
    <row r="636" spans="2:17" x14ac:dyDescent="0.3">
      <c r="B636" s="4413">
        <f t="shared" si="266"/>
        <v>0</v>
      </c>
      <c r="C636" s="4414"/>
      <c r="D636" s="4414"/>
      <c r="E636" s="4325">
        <f t="shared" ref="E636:P636" si="279">E594*E615</f>
        <v>0</v>
      </c>
      <c r="F636" s="4325">
        <f t="shared" si="279"/>
        <v>0</v>
      </c>
      <c r="G636" s="4325">
        <f t="shared" si="279"/>
        <v>0</v>
      </c>
      <c r="H636" s="4325">
        <f t="shared" si="279"/>
        <v>0</v>
      </c>
      <c r="I636" s="4325">
        <f t="shared" si="279"/>
        <v>0</v>
      </c>
      <c r="J636" s="4325">
        <f t="shared" si="279"/>
        <v>0</v>
      </c>
      <c r="K636" s="4325">
        <f t="shared" si="279"/>
        <v>0</v>
      </c>
      <c r="L636" s="4325">
        <f t="shared" si="279"/>
        <v>0</v>
      </c>
      <c r="M636" s="4325">
        <f t="shared" si="279"/>
        <v>0</v>
      </c>
      <c r="N636" s="4325">
        <f t="shared" si="279"/>
        <v>0</v>
      </c>
      <c r="O636" s="4325">
        <f t="shared" si="279"/>
        <v>0</v>
      </c>
      <c r="P636" s="4482">
        <f t="shared" si="279"/>
        <v>0</v>
      </c>
      <c r="Q636" s="3709"/>
    </row>
    <row r="637" spans="2:17" x14ac:dyDescent="0.3">
      <c r="B637" s="4413">
        <f t="shared" si="266"/>
        <v>0</v>
      </c>
      <c r="C637" s="4414"/>
      <c r="D637" s="4414"/>
      <c r="E637" s="4325">
        <f t="shared" ref="E637:P637" si="280">E595*E616</f>
        <v>0</v>
      </c>
      <c r="F637" s="4325">
        <f t="shared" si="280"/>
        <v>0</v>
      </c>
      <c r="G637" s="4325">
        <f t="shared" si="280"/>
        <v>0</v>
      </c>
      <c r="H637" s="4325">
        <f t="shared" si="280"/>
        <v>0</v>
      </c>
      <c r="I637" s="4325">
        <f t="shared" si="280"/>
        <v>0</v>
      </c>
      <c r="J637" s="4325">
        <f t="shared" si="280"/>
        <v>0</v>
      </c>
      <c r="K637" s="4325">
        <f t="shared" si="280"/>
        <v>0</v>
      </c>
      <c r="L637" s="4325">
        <f t="shared" si="280"/>
        <v>0</v>
      </c>
      <c r="M637" s="4325">
        <f t="shared" si="280"/>
        <v>0</v>
      </c>
      <c r="N637" s="4325">
        <f t="shared" si="280"/>
        <v>0</v>
      </c>
      <c r="O637" s="4325">
        <f t="shared" si="280"/>
        <v>0</v>
      </c>
      <c r="P637" s="4482">
        <f t="shared" si="280"/>
        <v>0</v>
      </c>
      <c r="Q637" s="3709"/>
    </row>
    <row r="638" spans="2:17" x14ac:dyDescent="0.3">
      <c r="B638" s="4413">
        <f t="shared" si="266"/>
        <v>0</v>
      </c>
      <c r="C638" s="4414"/>
      <c r="D638" s="4414"/>
      <c r="E638" s="4325">
        <f t="shared" ref="E638:P638" si="281">E596*E617</f>
        <v>0</v>
      </c>
      <c r="F638" s="4325">
        <f t="shared" si="281"/>
        <v>0</v>
      </c>
      <c r="G638" s="4325">
        <f t="shared" si="281"/>
        <v>0</v>
      </c>
      <c r="H638" s="4325">
        <f t="shared" si="281"/>
        <v>0</v>
      </c>
      <c r="I638" s="4325">
        <f t="shared" si="281"/>
        <v>0</v>
      </c>
      <c r="J638" s="4325">
        <f t="shared" si="281"/>
        <v>0</v>
      </c>
      <c r="K638" s="4325">
        <f t="shared" si="281"/>
        <v>0</v>
      </c>
      <c r="L638" s="4325">
        <f t="shared" si="281"/>
        <v>0</v>
      </c>
      <c r="M638" s="4325">
        <f t="shared" si="281"/>
        <v>0</v>
      </c>
      <c r="N638" s="4325">
        <f t="shared" si="281"/>
        <v>0</v>
      </c>
      <c r="O638" s="4325">
        <f t="shared" si="281"/>
        <v>0</v>
      </c>
      <c r="P638" s="4482">
        <f t="shared" si="281"/>
        <v>0</v>
      </c>
      <c r="Q638" s="3709"/>
    </row>
    <row r="639" spans="2:17" x14ac:dyDescent="0.3">
      <c r="B639" s="4413">
        <f t="shared" si="266"/>
        <v>0</v>
      </c>
      <c r="C639" s="4414"/>
      <c r="D639" s="4414"/>
      <c r="E639" s="4325">
        <f t="shared" ref="E639:P639" si="282">E597*E618</f>
        <v>0</v>
      </c>
      <c r="F639" s="4325">
        <f t="shared" si="282"/>
        <v>0</v>
      </c>
      <c r="G639" s="4325">
        <f t="shared" si="282"/>
        <v>0</v>
      </c>
      <c r="H639" s="4325">
        <f t="shared" si="282"/>
        <v>0</v>
      </c>
      <c r="I639" s="4325">
        <f t="shared" si="282"/>
        <v>0</v>
      </c>
      <c r="J639" s="4325">
        <f t="shared" si="282"/>
        <v>0</v>
      </c>
      <c r="K639" s="4325">
        <f t="shared" si="282"/>
        <v>0</v>
      </c>
      <c r="L639" s="4325">
        <f t="shared" si="282"/>
        <v>0</v>
      </c>
      <c r="M639" s="4325">
        <f t="shared" si="282"/>
        <v>0</v>
      </c>
      <c r="N639" s="4325">
        <f t="shared" si="282"/>
        <v>0</v>
      </c>
      <c r="O639" s="4325">
        <f t="shared" si="282"/>
        <v>0</v>
      </c>
      <c r="P639" s="4482">
        <f t="shared" si="282"/>
        <v>0</v>
      </c>
      <c r="Q639" s="3709"/>
    </row>
    <row r="640" spans="2:17" x14ac:dyDescent="0.3">
      <c r="B640" s="4413">
        <f t="shared" si="266"/>
        <v>0</v>
      </c>
      <c r="C640" s="4414"/>
      <c r="D640" s="4414"/>
      <c r="E640" s="4325">
        <f t="shared" ref="E640:P640" si="283">E598*E619</f>
        <v>0</v>
      </c>
      <c r="F640" s="4325">
        <f t="shared" si="283"/>
        <v>0</v>
      </c>
      <c r="G640" s="4325">
        <f t="shared" si="283"/>
        <v>0</v>
      </c>
      <c r="H640" s="4325">
        <f t="shared" si="283"/>
        <v>0</v>
      </c>
      <c r="I640" s="4325">
        <f t="shared" si="283"/>
        <v>0</v>
      </c>
      <c r="J640" s="4325">
        <f t="shared" si="283"/>
        <v>0</v>
      </c>
      <c r="K640" s="4325">
        <f t="shared" si="283"/>
        <v>0</v>
      </c>
      <c r="L640" s="4325">
        <f t="shared" si="283"/>
        <v>0</v>
      </c>
      <c r="M640" s="4325">
        <f t="shared" si="283"/>
        <v>0</v>
      </c>
      <c r="N640" s="4325">
        <f t="shared" si="283"/>
        <v>0</v>
      </c>
      <c r="O640" s="4325">
        <f t="shared" si="283"/>
        <v>0</v>
      </c>
      <c r="P640" s="4482">
        <f t="shared" si="283"/>
        <v>0</v>
      </c>
      <c r="Q640" s="3709"/>
    </row>
    <row r="641" spans="1:17" x14ac:dyDescent="0.3">
      <c r="B641" s="4415">
        <f t="shared" si="266"/>
        <v>0</v>
      </c>
      <c r="C641" s="4416"/>
      <c r="D641" s="4416"/>
      <c r="E641" s="4483">
        <f t="shared" ref="E641:P641" si="284">E599*E620</f>
        <v>0</v>
      </c>
      <c r="F641" s="4483">
        <f t="shared" si="284"/>
        <v>0</v>
      </c>
      <c r="G641" s="4483">
        <f t="shared" si="284"/>
        <v>0</v>
      </c>
      <c r="H641" s="4483">
        <f t="shared" si="284"/>
        <v>0</v>
      </c>
      <c r="I641" s="4483">
        <f t="shared" si="284"/>
        <v>0</v>
      </c>
      <c r="J641" s="4483">
        <f t="shared" si="284"/>
        <v>0</v>
      </c>
      <c r="K641" s="4483">
        <f t="shared" si="284"/>
        <v>0</v>
      </c>
      <c r="L641" s="4483">
        <f t="shared" si="284"/>
        <v>0</v>
      </c>
      <c r="M641" s="4483">
        <f t="shared" si="284"/>
        <v>0</v>
      </c>
      <c r="N641" s="4483">
        <f t="shared" si="284"/>
        <v>0</v>
      </c>
      <c r="O641" s="4483">
        <f t="shared" si="284"/>
        <v>0</v>
      </c>
      <c r="P641" s="4484">
        <f t="shared" si="284"/>
        <v>0</v>
      </c>
      <c r="Q641" s="3709"/>
    </row>
    <row r="642" spans="1:17" ht="15.05" thickBot="1" x14ac:dyDescent="0.35">
      <c r="B642" s="4343" t="str">
        <f t="shared" si="266"/>
        <v>Total</v>
      </c>
      <c r="C642" s="4435"/>
      <c r="D642" s="4435"/>
      <c r="E642" s="4421">
        <f>SUM(E624:E641)</f>
        <v>0</v>
      </c>
      <c r="F642" s="4421">
        <f t="shared" ref="F642:P642" si="285">SUM(F624:F641)</f>
        <v>0</v>
      </c>
      <c r="G642" s="4421">
        <f t="shared" si="285"/>
        <v>0</v>
      </c>
      <c r="H642" s="4421">
        <f t="shared" si="285"/>
        <v>0</v>
      </c>
      <c r="I642" s="4421">
        <f t="shared" si="285"/>
        <v>0</v>
      </c>
      <c r="J642" s="4421">
        <f t="shared" si="285"/>
        <v>0</v>
      </c>
      <c r="K642" s="4421">
        <f t="shared" si="285"/>
        <v>0</v>
      </c>
      <c r="L642" s="4421">
        <f t="shared" si="285"/>
        <v>0</v>
      </c>
      <c r="M642" s="4421">
        <f t="shared" si="285"/>
        <v>0</v>
      </c>
      <c r="N642" s="4421">
        <f t="shared" si="285"/>
        <v>0</v>
      </c>
      <c r="O642" s="4421">
        <f t="shared" si="285"/>
        <v>0</v>
      </c>
      <c r="P642" s="4485">
        <f t="shared" si="285"/>
        <v>0</v>
      </c>
      <c r="Q642" s="3709"/>
    </row>
    <row r="643" spans="1:17" s="3437" customFormat="1" ht="2.95" customHeight="1" thickBot="1" x14ac:dyDescent="0.35">
      <c r="B643" s="3873"/>
      <c r="C643" s="3572"/>
      <c r="D643" s="3572"/>
      <c r="E643" s="4425"/>
      <c r="F643" s="4425"/>
      <c r="G643" s="4425"/>
      <c r="H643" s="4425"/>
      <c r="I643" s="4425"/>
      <c r="J643" s="4425"/>
      <c r="K643" s="4425"/>
      <c r="L643" s="4425"/>
      <c r="M643" s="4425"/>
      <c r="N643" s="4425"/>
      <c r="O643" s="4425"/>
      <c r="P643" s="4425"/>
      <c r="Q643" s="3709"/>
    </row>
    <row r="644" spans="1:17" ht="15.05" thickBot="1" x14ac:dyDescent="0.35">
      <c r="B644" s="4426" t="s">
        <v>443</v>
      </c>
      <c r="C644" s="4399"/>
      <c r="D644" s="4400"/>
      <c r="E644" s="4401">
        <f t="shared" ref="E644:P644" si="286">E642</f>
        <v>0</v>
      </c>
      <c r="F644" s="4402">
        <f t="shared" si="286"/>
        <v>0</v>
      </c>
      <c r="G644" s="4402">
        <f t="shared" si="286"/>
        <v>0</v>
      </c>
      <c r="H644" s="4402">
        <f t="shared" si="286"/>
        <v>0</v>
      </c>
      <c r="I644" s="4402">
        <f t="shared" si="286"/>
        <v>0</v>
      </c>
      <c r="J644" s="4402">
        <f t="shared" si="286"/>
        <v>0</v>
      </c>
      <c r="K644" s="4402">
        <f t="shared" si="286"/>
        <v>0</v>
      </c>
      <c r="L644" s="4402">
        <f t="shared" si="286"/>
        <v>0</v>
      </c>
      <c r="M644" s="4402">
        <f t="shared" si="286"/>
        <v>0</v>
      </c>
      <c r="N644" s="4402">
        <f t="shared" si="286"/>
        <v>0</v>
      </c>
      <c r="O644" s="4402">
        <f t="shared" si="286"/>
        <v>0</v>
      </c>
      <c r="P644" s="4403">
        <f t="shared" si="286"/>
        <v>0</v>
      </c>
      <c r="Q644" s="4404">
        <f>+SUM(E644:P644)</f>
        <v>0</v>
      </c>
    </row>
    <row r="645" spans="1:17" s="3437" customFormat="1" x14ac:dyDescent="0.3">
      <c r="B645" s="3616"/>
      <c r="C645" s="3523"/>
      <c r="D645" s="3523"/>
      <c r="E645" s="3724"/>
      <c r="F645" s="3724"/>
      <c r="G645" s="3724"/>
      <c r="H645" s="3724"/>
      <c r="I645" s="3724"/>
      <c r="J645" s="3724"/>
      <c r="K645" s="3724"/>
      <c r="L645" s="3724"/>
      <c r="M645" s="3724"/>
      <c r="N645" s="3724"/>
      <c r="O645" s="3724"/>
      <c r="P645" s="3724"/>
    </row>
    <row r="646" spans="1:17" s="3437" customFormat="1" ht="15.05" thickBot="1" x14ac:dyDescent="0.35">
      <c r="B646" s="3616"/>
      <c r="C646" s="3523"/>
      <c r="D646" s="3523"/>
      <c r="E646" s="3724"/>
      <c r="F646" s="3724"/>
      <c r="G646" s="3724"/>
      <c r="H646" s="3724"/>
      <c r="I646" s="3724"/>
      <c r="J646" s="3724"/>
      <c r="K646" s="3724"/>
      <c r="L646" s="3724"/>
      <c r="M646" s="3724"/>
      <c r="N646" s="3724"/>
      <c r="O646" s="3724"/>
      <c r="P646" s="3724"/>
    </row>
    <row r="647" spans="1:17" ht="15.05" thickBot="1" x14ac:dyDescent="0.35">
      <c r="A647" s="2487">
        <f>+A559+1</f>
        <v>121</v>
      </c>
      <c r="B647" s="2488" t="s">
        <v>2377</v>
      </c>
      <c r="C647" s="2489"/>
      <c r="D647" s="2490"/>
      <c r="E647" s="2489"/>
      <c r="F647" s="2489"/>
      <c r="G647" s="2489"/>
      <c r="H647" s="2489"/>
      <c r="I647" s="2489"/>
      <c r="J647" s="2489"/>
      <c r="K647" s="2489"/>
      <c r="L647" s="2489"/>
      <c r="M647" s="2489"/>
      <c r="N647" s="2489"/>
      <c r="O647" s="2489"/>
      <c r="P647" s="2489"/>
      <c r="Q647" s="2491"/>
    </row>
    <row r="648" spans="1:17" x14ac:dyDescent="0.3">
      <c r="B648" s="4391" t="s">
        <v>1771</v>
      </c>
      <c r="C648" s="4456"/>
      <c r="D648" s="4457"/>
      <c r="E648" s="4273" t="str">
        <f>+E623</f>
        <v>Ene</v>
      </c>
      <c r="F648" s="4273" t="str">
        <f t="shared" ref="F648:P648" si="287">+F623</f>
        <v>Feb</v>
      </c>
      <c r="G648" s="4273" t="str">
        <f t="shared" si="287"/>
        <v>Mar</v>
      </c>
      <c r="H648" s="4273" t="str">
        <f t="shared" si="287"/>
        <v>Abr</v>
      </c>
      <c r="I648" s="4273" t="str">
        <f t="shared" si="287"/>
        <v>May</v>
      </c>
      <c r="J648" s="4273" t="str">
        <f t="shared" si="287"/>
        <v>Jun</v>
      </c>
      <c r="K648" s="4273" t="str">
        <f t="shared" si="287"/>
        <v>Jul</v>
      </c>
      <c r="L648" s="4273" t="str">
        <f t="shared" si="287"/>
        <v>Ago</v>
      </c>
      <c r="M648" s="4273" t="str">
        <f t="shared" si="287"/>
        <v>Set</v>
      </c>
      <c r="N648" s="4273" t="str">
        <f t="shared" si="287"/>
        <v>Oct</v>
      </c>
      <c r="O648" s="4273" t="str">
        <f t="shared" si="287"/>
        <v>Nov</v>
      </c>
      <c r="P648" s="4277" t="str">
        <f t="shared" si="287"/>
        <v>Dic</v>
      </c>
      <c r="Q648" s="4408" t="str">
        <f>+Q5</f>
        <v>Total</v>
      </c>
    </row>
    <row r="649" spans="1:17" ht="15.05" thickBot="1" x14ac:dyDescent="0.35">
      <c r="B649" s="4489" t="s">
        <v>823</v>
      </c>
      <c r="C649" s="4490"/>
      <c r="D649" s="4490"/>
      <c r="E649" s="4491">
        <f>+Alimentos!G400</f>
        <v>0</v>
      </c>
      <c r="F649" s="4491">
        <f>+Alimentos!H400</f>
        <v>0</v>
      </c>
      <c r="G649" s="4491">
        <f>+Alimentos!I400</f>
        <v>0</v>
      </c>
      <c r="H649" s="4491">
        <f>+Alimentos!J400</f>
        <v>0</v>
      </c>
      <c r="I649" s="4491">
        <f>+Alimentos!K400</f>
        <v>0</v>
      </c>
      <c r="J649" s="4491">
        <f>+Alimentos!L400</f>
        <v>0</v>
      </c>
      <c r="K649" s="4491">
        <f>+Alimentos!M400</f>
        <v>0</v>
      </c>
      <c r="L649" s="4491">
        <f>+Alimentos!N400</f>
        <v>0</v>
      </c>
      <c r="M649" s="4491">
        <f>+Alimentos!O400</f>
        <v>0</v>
      </c>
      <c r="N649" s="4491">
        <f>+Alimentos!P400</f>
        <v>0</v>
      </c>
      <c r="O649" s="4491">
        <f>+Alimentos!Q400</f>
        <v>0</v>
      </c>
      <c r="P649" s="4492">
        <f>+Alimentos!R400</f>
        <v>0</v>
      </c>
      <c r="Q649" s="4315"/>
    </row>
    <row r="650" spans="1:17" x14ac:dyDescent="0.3">
      <c r="B650" s="5356"/>
      <c r="C650" s="5357"/>
      <c r="D650" s="5357"/>
      <c r="E650" s="5358"/>
      <c r="F650" s="5358"/>
      <c r="G650" s="5358"/>
      <c r="H650" s="5358"/>
      <c r="I650" s="5358"/>
      <c r="J650" s="5358"/>
      <c r="K650" s="5358"/>
      <c r="L650" s="5358"/>
      <c r="M650" s="5358"/>
      <c r="N650" s="5358"/>
      <c r="O650" s="5358"/>
      <c r="P650" s="5359"/>
      <c r="Q650" s="4315"/>
    </row>
    <row r="651" spans="1:17" ht="15.05" thickBot="1" x14ac:dyDescent="0.35">
      <c r="B651" s="5360"/>
      <c r="C651" s="5361"/>
      <c r="D651" s="5361"/>
      <c r="E651" s="5362"/>
      <c r="F651" s="5362"/>
      <c r="G651" s="5362"/>
      <c r="H651" s="5362"/>
      <c r="I651" s="5362"/>
      <c r="J651" s="5362"/>
      <c r="K651" s="5362"/>
      <c r="L651" s="5362"/>
      <c r="M651" s="5362"/>
      <c r="N651" s="5362"/>
      <c r="O651" s="5362"/>
      <c r="P651" s="5363"/>
      <c r="Q651" s="4493"/>
    </row>
    <row r="652" spans="1:17" s="3437" customFormat="1" ht="2.95" customHeight="1" thickBot="1" x14ac:dyDescent="0.35">
      <c r="B652" s="3642"/>
      <c r="C652" s="3572"/>
      <c r="D652" s="3572"/>
      <c r="E652" s="4425"/>
      <c r="F652" s="4425"/>
      <c r="G652" s="4425"/>
      <c r="H652" s="4425"/>
      <c r="I652" s="4425"/>
      <c r="J652" s="4425"/>
      <c r="K652" s="4425"/>
      <c r="L652" s="4425"/>
      <c r="M652" s="4425"/>
      <c r="N652" s="4425"/>
      <c r="O652" s="4425"/>
      <c r="P652" s="4425"/>
    </row>
    <row r="653" spans="1:17" ht="15.05" thickBot="1" x14ac:dyDescent="0.35">
      <c r="B653" s="4494" t="s">
        <v>2396</v>
      </c>
      <c r="C653" s="4495"/>
      <c r="D653" s="4495"/>
      <c r="E653" s="4496">
        <f>SUM(E649:E651)</f>
        <v>0</v>
      </c>
      <c r="F653" s="4496">
        <f t="shared" ref="F653:P653" si="288">SUM(F649:F651)</f>
        <v>0</v>
      </c>
      <c r="G653" s="4496">
        <f t="shared" si="288"/>
        <v>0</v>
      </c>
      <c r="H653" s="4496">
        <f t="shared" si="288"/>
        <v>0</v>
      </c>
      <c r="I653" s="4496">
        <f t="shared" si="288"/>
        <v>0</v>
      </c>
      <c r="J653" s="4496">
        <f t="shared" si="288"/>
        <v>0</v>
      </c>
      <c r="K653" s="4496">
        <f t="shared" si="288"/>
        <v>0</v>
      </c>
      <c r="L653" s="4496">
        <f t="shared" si="288"/>
        <v>0</v>
      </c>
      <c r="M653" s="4496">
        <f t="shared" si="288"/>
        <v>0</v>
      </c>
      <c r="N653" s="4496">
        <f t="shared" si="288"/>
        <v>0</v>
      </c>
      <c r="O653" s="4496">
        <f t="shared" si="288"/>
        <v>0</v>
      </c>
      <c r="P653" s="4497">
        <f t="shared" si="288"/>
        <v>0</v>
      </c>
      <c r="Q653" s="4404">
        <f>+SUM(E653:P653)</f>
        <v>0</v>
      </c>
    </row>
    <row r="654" spans="1:17" ht="15.05" thickBot="1" x14ac:dyDescent="0.35">
      <c r="B654" s="3616"/>
      <c r="C654" s="3523"/>
      <c r="D654" s="3523"/>
      <c r="E654" s="3724"/>
      <c r="F654" s="3724"/>
      <c r="G654" s="3724"/>
      <c r="H654" s="3724"/>
      <c r="I654" s="3724"/>
      <c r="J654" s="3724"/>
      <c r="K654" s="3724"/>
      <c r="L654" s="3724"/>
      <c r="M654" s="3724"/>
      <c r="N654" s="3724"/>
      <c r="O654" s="3724"/>
      <c r="P654" s="3724"/>
    </row>
    <row r="655" spans="1:17" s="3452" customFormat="1" ht="15.05" thickBot="1" x14ac:dyDescent="0.35">
      <c r="A655" s="2487">
        <f>+A647+1</f>
        <v>122</v>
      </c>
      <c r="B655" s="2488" t="s">
        <v>2376</v>
      </c>
      <c r="C655" s="2489"/>
      <c r="D655" s="2490"/>
      <c r="E655" s="5364"/>
      <c r="F655" s="5365"/>
      <c r="G655" s="5365"/>
      <c r="H655" s="5365"/>
      <c r="I655" s="5365"/>
      <c r="J655" s="5365"/>
      <c r="K655" s="5365"/>
      <c r="L655" s="5365"/>
      <c r="M655" s="5365"/>
      <c r="N655" s="5365"/>
      <c r="O655" s="5365"/>
      <c r="P655" s="5366"/>
      <c r="Q655" s="4498">
        <f>+SUM(E655:P655)</f>
        <v>0</v>
      </c>
    </row>
    <row r="656" spans="1:17" ht="15.05" thickBot="1" x14ac:dyDescent="0.35">
      <c r="B656" s="3616"/>
      <c r="C656" s="3523"/>
      <c r="D656" s="3523"/>
      <c r="E656" s="3724"/>
      <c r="F656" s="3724"/>
      <c r="G656" s="3724"/>
      <c r="H656" s="3724"/>
      <c r="I656" s="3724"/>
      <c r="J656" s="3724"/>
      <c r="K656" s="3724"/>
      <c r="L656" s="3724"/>
      <c r="M656" s="3724"/>
      <c r="N656" s="4425"/>
    </row>
    <row r="657" spans="1:17" ht="15.05" thickBot="1" x14ac:dyDescent="0.35">
      <c r="A657" s="2487">
        <f>+A655+1</f>
        <v>123</v>
      </c>
      <c r="B657" s="2488" t="s">
        <v>2378</v>
      </c>
      <c r="C657" s="2489"/>
      <c r="D657" s="2490"/>
      <c r="E657" s="2489"/>
      <c r="F657" s="2489"/>
      <c r="G657" s="2489"/>
      <c r="H657" s="2489"/>
      <c r="I657" s="2489"/>
      <c r="J657" s="2489"/>
      <c r="K657" s="2489"/>
      <c r="L657" s="2489"/>
      <c r="M657" s="2489"/>
      <c r="N657" s="2489"/>
      <c r="O657" s="2489"/>
      <c r="P657" s="2489"/>
      <c r="Q657" s="2491"/>
    </row>
    <row r="658" spans="1:17" x14ac:dyDescent="0.3">
      <c r="B658" s="4391" t="s">
        <v>1771</v>
      </c>
      <c r="C658" s="4456"/>
      <c r="D658" s="4457"/>
      <c r="E658" s="4273" t="str">
        <f>+E648</f>
        <v>Ene</v>
      </c>
      <c r="F658" s="4273" t="str">
        <f t="shared" ref="F658:P658" si="289">+F648</f>
        <v>Feb</v>
      </c>
      <c r="G658" s="4273" t="str">
        <f t="shared" si="289"/>
        <v>Mar</v>
      </c>
      <c r="H658" s="4273" t="str">
        <f t="shared" si="289"/>
        <v>Abr</v>
      </c>
      <c r="I658" s="4273" t="str">
        <f t="shared" si="289"/>
        <v>May</v>
      </c>
      <c r="J658" s="4273" t="str">
        <f t="shared" si="289"/>
        <v>Jun</v>
      </c>
      <c r="K658" s="4273" t="str">
        <f t="shared" si="289"/>
        <v>Jul</v>
      </c>
      <c r="L658" s="4273" t="str">
        <f t="shared" si="289"/>
        <v>Ago</v>
      </c>
      <c r="M658" s="4273" t="str">
        <f t="shared" si="289"/>
        <v>Set</v>
      </c>
      <c r="N658" s="4273" t="str">
        <f t="shared" si="289"/>
        <v>Oct</v>
      </c>
      <c r="O658" s="4273" t="str">
        <f t="shared" si="289"/>
        <v>Nov</v>
      </c>
      <c r="P658" s="4277" t="str">
        <f t="shared" si="289"/>
        <v>Dic</v>
      </c>
      <c r="Q658" s="4408" t="str">
        <f>+Q5</f>
        <v>Total</v>
      </c>
    </row>
    <row r="659" spans="1:17" ht="15.05" thickBot="1" x14ac:dyDescent="0.35">
      <c r="B659" s="5367"/>
      <c r="C659" s="3523"/>
      <c r="D659" s="3523"/>
      <c r="E659" s="5340"/>
      <c r="F659" s="5340"/>
      <c r="G659" s="5340"/>
      <c r="H659" s="5340"/>
      <c r="I659" s="5340"/>
      <c r="J659" s="5340"/>
      <c r="K659" s="5340"/>
      <c r="L659" s="5340"/>
      <c r="M659" s="5340"/>
      <c r="N659" s="5340"/>
      <c r="O659" s="5340"/>
      <c r="P659" s="5353"/>
      <c r="Q659" s="4315"/>
    </row>
    <row r="660" spans="1:17" ht="15.05" thickBot="1" x14ac:dyDescent="0.35">
      <c r="B660" s="5368"/>
      <c r="C660" s="3523"/>
      <c r="D660" s="3523"/>
      <c r="E660" s="5342"/>
      <c r="F660" s="5342"/>
      <c r="G660" s="5342"/>
      <c r="H660" s="5342"/>
      <c r="I660" s="5342"/>
      <c r="J660" s="5342"/>
      <c r="K660" s="5342"/>
      <c r="L660" s="5342"/>
      <c r="M660" s="5342"/>
      <c r="N660" s="5342"/>
      <c r="O660" s="5342"/>
      <c r="P660" s="5354"/>
      <c r="Q660" s="4315"/>
    </row>
    <row r="661" spans="1:17" ht="15.05" thickBot="1" x14ac:dyDescent="0.35">
      <c r="B661" s="5368"/>
      <c r="C661" s="3523"/>
      <c r="D661" s="3523"/>
      <c r="E661" s="5342"/>
      <c r="F661" s="5342"/>
      <c r="G661" s="5342"/>
      <c r="H661" s="5342"/>
      <c r="I661" s="5342"/>
      <c r="J661" s="5342"/>
      <c r="K661" s="5342"/>
      <c r="L661" s="5342"/>
      <c r="M661" s="5342"/>
      <c r="N661" s="5342"/>
      <c r="O661" s="5342"/>
      <c r="P661" s="5354"/>
      <c r="Q661" s="4315"/>
    </row>
    <row r="662" spans="1:17" ht="15.05" thickBot="1" x14ac:dyDescent="0.35">
      <c r="B662" s="5368"/>
      <c r="C662" s="3523"/>
      <c r="D662" s="3523"/>
      <c r="E662" s="5342"/>
      <c r="F662" s="5342"/>
      <c r="G662" s="5342"/>
      <c r="H662" s="5342"/>
      <c r="I662" s="5342"/>
      <c r="J662" s="5342"/>
      <c r="K662" s="5342"/>
      <c r="L662" s="5342"/>
      <c r="M662" s="5342"/>
      <c r="N662" s="5342"/>
      <c r="O662" s="5342"/>
      <c r="P662" s="5354"/>
      <c r="Q662" s="4315"/>
    </row>
    <row r="663" spans="1:17" ht="15.05" thickBot="1" x14ac:dyDescent="0.35">
      <c r="B663" s="5368"/>
      <c r="C663" s="3523"/>
      <c r="D663" s="3523"/>
      <c r="E663" s="5342"/>
      <c r="F663" s="5342"/>
      <c r="G663" s="5342"/>
      <c r="H663" s="5342"/>
      <c r="I663" s="5342"/>
      <c r="J663" s="5342"/>
      <c r="K663" s="5342"/>
      <c r="L663" s="5342"/>
      <c r="M663" s="5342"/>
      <c r="N663" s="5342"/>
      <c r="O663" s="5342"/>
      <c r="P663" s="5354"/>
      <c r="Q663" s="4315"/>
    </row>
    <row r="664" spans="1:17" ht="15.05" thickBot="1" x14ac:dyDescent="0.35">
      <c r="B664" s="5369"/>
      <c r="C664" s="3653"/>
      <c r="D664" s="3653"/>
      <c r="E664" s="5362"/>
      <c r="F664" s="5362"/>
      <c r="G664" s="5362"/>
      <c r="H664" s="5362"/>
      <c r="I664" s="5362"/>
      <c r="J664" s="5362"/>
      <c r="K664" s="5362"/>
      <c r="L664" s="5362"/>
      <c r="M664" s="5362"/>
      <c r="N664" s="5362"/>
      <c r="O664" s="5362"/>
      <c r="P664" s="5363"/>
      <c r="Q664" s="4493"/>
    </row>
    <row r="665" spans="1:17" s="3437" customFormat="1" ht="2.95" customHeight="1" thickBot="1" x14ac:dyDescent="0.35">
      <c r="B665" s="3642"/>
      <c r="C665" s="3572"/>
      <c r="D665" s="3572"/>
      <c r="E665" s="4425"/>
      <c r="F665" s="4425"/>
      <c r="G665" s="4425"/>
      <c r="H665" s="4425"/>
      <c r="I665" s="4425"/>
      <c r="J665" s="4425"/>
      <c r="K665" s="4425"/>
      <c r="L665" s="4425"/>
      <c r="M665" s="4425"/>
      <c r="N665" s="4425"/>
      <c r="O665" s="4425"/>
      <c r="P665" s="4425"/>
    </row>
    <row r="666" spans="1:17" ht="15.05" thickBot="1" x14ac:dyDescent="0.35">
      <c r="B666" s="4426" t="s">
        <v>670</v>
      </c>
      <c r="C666" s="4399"/>
      <c r="D666" s="4400"/>
      <c r="E666" s="4401">
        <f>SUM(E659:E664)</f>
        <v>0</v>
      </c>
      <c r="F666" s="4402">
        <f t="shared" ref="F666:P666" si="290">SUM(F659:F664)</f>
        <v>0</v>
      </c>
      <c r="G666" s="4402">
        <f t="shared" si="290"/>
        <v>0</v>
      </c>
      <c r="H666" s="4402">
        <f t="shared" si="290"/>
        <v>0</v>
      </c>
      <c r="I666" s="4402">
        <f t="shared" si="290"/>
        <v>0</v>
      </c>
      <c r="J666" s="4402">
        <f t="shared" si="290"/>
        <v>0</v>
      </c>
      <c r="K666" s="4402">
        <f t="shared" si="290"/>
        <v>0</v>
      </c>
      <c r="L666" s="4402">
        <f t="shared" si="290"/>
        <v>0</v>
      </c>
      <c r="M666" s="4402">
        <f t="shared" si="290"/>
        <v>0</v>
      </c>
      <c r="N666" s="4402">
        <f t="shared" si="290"/>
        <v>0</v>
      </c>
      <c r="O666" s="4402">
        <f t="shared" si="290"/>
        <v>0</v>
      </c>
      <c r="P666" s="4403">
        <f t="shared" si="290"/>
        <v>0</v>
      </c>
      <c r="Q666" s="4404">
        <f>+SUM(E666:P666)</f>
        <v>0</v>
      </c>
    </row>
    <row r="667" spans="1:17" x14ac:dyDescent="0.3">
      <c r="B667" s="3616"/>
      <c r="C667" s="3523"/>
      <c r="D667" s="3523"/>
      <c r="E667" s="3724"/>
      <c r="F667" s="3724"/>
      <c r="G667" s="3724"/>
      <c r="H667" s="3724"/>
      <c r="I667" s="3724"/>
      <c r="J667" s="3724"/>
      <c r="K667" s="3724"/>
      <c r="L667" s="3724"/>
      <c r="M667" s="3724"/>
      <c r="N667" s="4425"/>
    </row>
    <row r="668" spans="1:17" x14ac:dyDescent="0.3">
      <c r="B668" s="3616"/>
      <c r="C668" s="3523"/>
      <c r="D668" s="3523"/>
      <c r="E668" s="3724"/>
      <c r="F668" s="3724"/>
      <c r="G668" s="3724"/>
      <c r="H668" s="3724"/>
      <c r="I668" s="3724"/>
      <c r="J668" s="3724"/>
      <c r="K668" s="3724"/>
      <c r="L668" s="3724"/>
      <c r="M668" s="3724"/>
      <c r="N668" s="4425"/>
    </row>
    <row r="669" spans="1:17" x14ac:dyDescent="0.3">
      <c r="B669" s="3616"/>
      <c r="C669" s="3523"/>
      <c r="D669" s="3523"/>
      <c r="E669" s="3724"/>
      <c r="F669" s="3724"/>
      <c r="G669" s="3724"/>
      <c r="H669" s="3724"/>
      <c r="I669" s="3724"/>
      <c r="J669" s="3724"/>
      <c r="K669" s="3724"/>
      <c r="L669" s="3724"/>
      <c r="M669" s="3724"/>
      <c r="N669" s="4425"/>
    </row>
    <row r="670" spans="1:17" x14ac:dyDescent="0.3">
      <c r="B670" s="3616"/>
      <c r="C670" s="3523"/>
      <c r="D670" s="3523"/>
      <c r="E670" s="3724"/>
      <c r="F670" s="3724"/>
      <c r="G670" s="3724"/>
      <c r="H670" s="3724"/>
      <c r="I670" s="3724"/>
      <c r="J670" s="3724"/>
      <c r="K670" s="3724"/>
      <c r="L670" s="3724"/>
      <c r="M670" s="3724"/>
      <c r="N670" s="4425"/>
    </row>
    <row r="671" spans="1:17" x14ac:dyDescent="0.3">
      <c r="B671" s="3616"/>
      <c r="C671" s="3523"/>
      <c r="D671" s="3523"/>
      <c r="E671" s="3724"/>
      <c r="F671" s="3724"/>
      <c r="G671" s="3724"/>
      <c r="H671" s="3724"/>
      <c r="I671" s="3724"/>
      <c r="J671" s="3724"/>
      <c r="K671" s="3724"/>
      <c r="L671" s="3724"/>
      <c r="M671" s="3724"/>
      <c r="N671" s="4425"/>
    </row>
    <row r="672" spans="1:17" x14ac:dyDescent="0.3">
      <c r="B672" s="3616"/>
      <c r="C672" s="3523"/>
      <c r="D672" s="3523"/>
      <c r="E672" s="3724"/>
      <c r="F672" s="3724"/>
      <c r="G672" s="3724"/>
      <c r="H672" s="3724"/>
      <c r="I672" s="3724"/>
      <c r="J672" s="3724"/>
      <c r="K672" s="3724"/>
      <c r="L672" s="3724"/>
      <c r="M672" s="3724"/>
      <c r="N672" s="4425"/>
    </row>
    <row r="673" spans="1:23" x14ac:dyDescent="0.3">
      <c r="B673" s="3616"/>
      <c r="C673" s="3523"/>
      <c r="D673" s="3523"/>
      <c r="E673" s="3724"/>
      <c r="F673" s="3724"/>
      <c r="G673" s="3724"/>
      <c r="H673" s="3724"/>
      <c r="I673" s="3724"/>
      <c r="J673" s="3724"/>
      <c r="K673" s="3724"/>
      <c r="L673" s="3724"/>
      <c r="M673" s="3724"/>
      <c r="N673" s="4425"/>
    </row>
    <row r="674" spans="1:23" x14ac:dyDescent="0.3">
      <c r="B674" s="3616"/>
      <c r="C674" s="3523"/>
      <c r="D674" s="3523"/>
      <c r="E674" s="3724"/>
      <c r="F674" s="3724"/>
      <c r="G674" s="3724"/>
      <c r="H674" s="3724"/>
      <c r="I674" s="3724"/>
      <c r="J674" s="3724"/>
      <c r="K674" s="3724"/>
      <c r="L674" s="3724"/>
      <c r="M674" s="3724"/>
      <c r="N674" s="4425"/>
    </row>
    <row r="675" spans="1:23" s="2476" customFormat="1" ht="15.9" hidden="1" customHeight="1" x14ac:dyDescent="0.2">
      <c r="A675" s="3067"/>
      <c r="B675" s="2149" t="s">
        <v>1126</v>
      </c>
      <c r="C675" s="2147"/>
      <c r="D675" s="3068"/>
      <c r="E675" s="3068"/>
      <c r="F675" s="3069"/>
      <c r="G675" s="2148"/>
      <c r="H675" s="2148"/>
      <c r="I675" s="2148"/>
      <c r="J675" s="2148"/>
      <c r="K675" s="2148"/>
      <c r="L675" s="2148"/>
      <c r="M675" s="2148"/>
      <c r="N675" s="2148"/>
      <c r="O675" s="2148"/>
      <c r="P675" s="2148"/>
      <c r="Q675" s="2148"/>
      <c r="R675" s="2148"/>
      <c r="S675" s="3068"/>
      <c r="T675" s="4499"/>
      <c r="U675" s="4500"/>
      <c r="W675" s="3066"/>
    </row>
    <row r="676" spans="1:23" ht="15.05" hidden="1" thickBot="1" x14ac:dyDescent="0.35">
      <c r="A676" s="3071">
        <v>1158</v>
      </c>
      <c r="B676" s="3618" t="s">
        <v>2086</v>
      </c>
      <c r="C676" s="3499"/>
      <c r="D676" s="3499"/>
      <c r="E676" s="4501"/>
      <c r="F676" s="4501"/>
      <c r="G676" s="4501"/>
      <c r="H676" s="4501"/>
      <c r="I676" s="4501"/>
      <c r="J676" s="4501"/>
      <c r="K676" s="4501"/>
      <c r="L676" s="4501"/>
      <c r="M676" s="4501"/>
      <c r="N676" s="4501"/>
      <c r="O676" s="4502"/>
      <c r="P676" s="4502"/>
    </row>
    <row r="677" spans="1:23" ht="15.05" hidden="1" thickTop="1" x14ac:dyDescent="0.3">
      <c r="B677" s="4503" t="s">
        <v>440</v>
      </c>
      <c r="C677" s="4504"/>
      <c r="D677" s="4504"/>
      <c r="E677" s="4505">
        <f t="shared" ref="E677:P677" si="291">+E557+E229+E85+E34+E11</f>
        <v>0</v>
      </c>
      <c r="F677" s="4505">
        <f t="shared" si="291"/>
        <v>0</v>
      </c>
      <c r="G677" s="4505">
        <f t="shared" si="291"/>
        <v>0</v>
      </c>
      <c r="H677" s="4505">
        <f t="shared" si="291"/>
        <v>0</v>
      </c>
      <c r="I677" s="4505">
        <f t="shared" si="291"/>
        <v>0</v>
      </c>
      <c r="J677" s="4505">
        <f t="shared" si="291"/>
        <v>0</v>
      </c>
      <c r="K677" s="4505">
        <f t="shared" si="291"/>
        <v>0</v>
      </c>
      <c r="L677" s="4505">
        <f t="shared" si="291"/>
        <v>0</v>
      </c>
      <c r="M677" s="4505">
        <f t="shared" si="291"/>
        <v>0</v>
      </c>
      <c r="N677" s="4505">
        <f t="shared" si="291"/>
        <v>0</v>
      </c>
      <c r="O677" s="4505">
        <f t="shared" si="291"/>
        <v>0</v>
      </c>
      <c r="P677" s="4506">
        <f t="shared" si="291"/>
        <v>0</v>
      </c>
    </row>
    <row r="678" spans="1:23" ht="15.05" hidden="1" thickBot="1" x14ac:dyDescent="0.35">
      <c r="B678" s="4507" t="s">
        <v>441</v>
      </c>
      <c r="C678" s="4508"/>
      <c r="D678" s="4508"/>
      <c r="E678" s="4509">
        <f t="shared" ref="E678:P678" si="292">+E644+E292+E86+E35+E12</f>
        <v>0</v>
      </c>
      <c r="F678" s="4509">
        <f t="shared" si="292"/>
        <v>0</v>
      </c>
      <c r="G678" s="4509">
        <f t="shared" si="292"/>
        <v>0</v>
      </c>
      <c r="H678" s="4509">
        <f t="shared" si="292"/>
        <v>0</v>
      </c>
      <c r="I678" s="4509">
        <f t="shared" si="292"/>
        <v>0</v>
      </c>
      <c r="J678" s="4509">
        <f t="shared" si="292"/>
        <v>0</v>
      </c>
      <c r="K678" s="4509">
        <f t="shared" si="292"/>
        <v>0</v>
      </c>
      <c r="L678" s="4509">
        <f t="shared" si="292"/>
        <v>0</v>
      </c>
      <c r="M678" s="4509">
        <f t="shared" si="292"/>
        <v>0</v>
      </c>
      <c r="N678" s="4509">
        <f t="shared" si="292"/>
        <v>0</v>
      </c>
      <c r="O678" s="4509">
        <f t="shared" si="292"/>
        <v>0</v>
      </c>
      <c r="P678" s="4510">
        <f t="shared" si="292"/>
        <v>0</v>
      </c>
    </row>
    <row r="679" spans="1:23" ht="15.75" hidden="1" thickTop="1" thickBot="1" x14ac:dyDescent="0.35"/>
    <row r="680" spans="1:23" ht="15.75" hidden="1" thickTop="1" thickBot="1" x14ac:dyDescent="0.35">
      <c r="A680" s="3071">
        <v>1159</v>
      </c>
      <c r="B680" s="4511" t="s">
        <v>462</v>
      </c>
      <c r="C680" s="4512" t="e">
        <f>SUMPRODUCT(E8:P8,E9:P9)/SUM(E9:P9)</f>
        <v>#DIV/0!</v>
      </c>
    </row>
    <row r="681" spans="1:23" ht="15.05" hidden="1" thickTop="1" x14ac:dyDescent="0.3"/>
    <row r="682" spans="1:23" ht="15.05" hidden="1" thickBot="1" x14ac:dyDescent="0.35">
      <c r="A682" s="3071">
        <v>1160</v>
      </c>
      <c r="B682" s="3618" t="s">
        <v>2087</v>
      </c>
      <c r="C682" s="3499"/>
      <c r="D682" s="3499"/>
      <c r="E682" s="4501"/>
      <c r="F682" s="4501"/>
      <c r="G682" s="4501"/>
      <c r="H682" s="4501"/>
      <c r="I682" s="4501"/>
      <c r="J682" s="4501"/>
      <c r="K682" s="4501"/>
      <c r="L682" s="4501"/>
      <c r="M682" s="4501"/>
      <c r="N682" s="4501"/>
      <c r="O682" s="4502"/>
      <c r="P682" s="4502"/>
    </row>
    <row r="683" spans="1:23" ht="15.05" hidden="1" thickTop="1" x14ac:dyDescent="0.3">
      <c r="B683" s="4513" t="s">
        <v>2088</v>
      </c>
      <c r="C683" s="4514" t="s">
        <v>556</v>
      </c>
      <c r="D683" s="4019"/>
      <c r="E683" s="4515" t="str">
        <f t="shared" ref="E683:P683" si="293">E7</f>
        <v>Ene</v>
      </c>
      <c r="F683" s="4515" t="str">
        <f t="shared" si="293"/>
        <v>Feb</v>
      </c>
      <c r="G683" s="4515" t="str">
        <f t="shared" si="293"/>
        <v>Mar</v>
      </c>
      <c r="H683" s="4515" t="str">
        <f t="shared" si="293"/>
        <v>Abr</v>
      </c>
      <c r="I683" s="4515" t="str">
        <f t="shared" si="293"/>
        <v>May</v>
      </c>
      <c r="J683" s="4515" t="str">
        <f t="shared" si="293"/>
        <v>Jun</v>
      </c>
      <c r="K683" s="4515" t="str">
        <f t="shared" si="293"/>
        <v>Jul</v>
      </c>
      <c r="L683" s="4515" t="str">
        <f t="shared" si="293"/>
        <v>Ago</v>
      </c>
      <c r="M683" s="4515" t="str">
        <f t="shared" si="293"/>
        <v>Set</v>
      </c>
      <c r="N683" s="4515" t="str">
        <f t="shared" si="293"/>
        <v>Oct</v>
      </c>
      <c r="O683" s="4515" t="str">
        <f t="shared" si="293"/>
        <v>Nov</v>
      </c>
      <c r="P683" s="4516" t="str">
        <f t="shared" si="293"/>
        <v>Dic</v>
      </c>
    </row>
    <row r="684" spans="1:23" hidden="1" x14ac:dyDescent="0.3">
      <c r="B684" s="4517" t="str">
        <f>B359</f>
        <v xml:space="preserve">Alfalfa semillero </v>
      </c>
      <c r="C684" s="3680">
        <f>C364</f>
        <v>0</v>
      </c>
      <c r="D684" s="3795"/>
      <c r="E684" s="4518">
        <f t="shared" ref="E684:P684" si="294">E363*1000</f>
        <v>0</v>
      </c>
      <c r="F684" s="4518">
        <f t="shared" si="294"/>
        <v>0</v>
      </c>
      <c r="G684" s="4518">
        <f t="shared" si="294"/>
        <v>0</v>
      </c>
      <c r="H684" s="4518">
        <f t="shared" si="294"/>
        <v>0</v>
      </c>
      <c r="I684" s="4518">
        <f t="shared" si="294"/>
        <v>0</v>
      </c>
      <c r="J684" s="4518">
        <f t="shared" si="294"/>
        <v>0</v>
      </c>
      <c r="K684" s="4518">
        <f t="shared" si="294"/>
        <v>0</v>
      </c>
      <c r="L684" s="4518">
        <f t="shared" si="294"/>
        <v>0</v>
      </c>
      <c r="M684" s="4518">
        <f t="shared" si="294"/>
        <v>0</v>
      </c>
      <c r="N684" s="4518">
        <f t="shared" si="294"/>
        <v>0</v>
      </c>
      <c r="O684" s="4518">
        <f t="shared" si="294"/>
        <v>0</v>
      </c>
      <c r="P684" s="4519">
        <f t="shared" si="294"/>
        <v>0</v>
      </c>
    </row>
    <row r="685" spans="1:23" hidden="1" x14ac:dyDescent="0.3">
      <c r="B685" s="4520" t="str">
        <f>B370</f>
        <v xml:space="preserve">TR semillero </v>
      </c>
      <c r="C685" s="3453">
        <f>C375</f>
        <v>0</v>
      </c>
      <c r="D685" s="3452"/>
      <c r="E685" s="3490">
        <f t="shared" ref="E685:P685" si="295">E374</f>
        <v>0</v>
      </c>
      <c r="F685" s="3490">
        <f t="shared" si="295"/>
        <v>0</v>
      </c>
      <c r="G685" s="3490">
        <f t="shared" si="295"/>
        <v>0</v>
      </c>
      <c r="H685" s="3490">
        <f t="shared" si="295"/>
        <v>0</v>
      </c>
      <c r="I685" s="3490">
        <f t="shared" si="295"/>
        <v>0</v>
      </c>
      <c r="J685" s="3490">
        <f t="shared" si="295"/>
        <v>0</v>
      </c>
      <c r="K685" s="3490">
        <f t="shared" si="295"/>
        <v>0</v>
      </c>
      <c r="L685" s="3490">
        <f t="shared" si="295"/>
        <v>0</v>
      </c>
      <c r="M685" s="3490">
        <f t="shared" si="295"/>
        <v>0</v>
      </c>
      <c r="N685" s="3490">
        <f t="shared" si="295"/>
        <v>0</v>
      </c>
      <c r="O685" s="3490">
        <f t="shared" si="295"/>
        <v>0</v>
      </c>
      <c r="P685" s="4521">
        <f t="shared" si="295"/>
        <v>0</v>
      </c>
    </row>
    <row r="686" spans="1:23" hidden="1" x14ac:dyDescent="0.3">
      <c r="B686" s="4520" t="str">
        <f>B381</f>
        <v xml:space="preserve">TB semillero </v>
      </c>
      <c r="C686" s="3453">
        <f>C386</f>
        <v>0</v>
      </c>
      <c r="D686" s="3452"/>
      <c r="E686" s="3490">
        <f t="shared" ref="E686:P686" si="296">E385</f>
        <v>0</v>
      </c>
      <c r="F686" s="3490">
        <f t="shared" si="296"/>
        <v>0</v>
      </c>
      <c r="G686" s="3490">
        <f t="shared" si="296"/>
        <v>0</v>
      </c>
      <c r="H686" s="3490">
        <f t="shared" si="296"/>
        <v>0</v>
      </c>
      <c r="I686" s="3490">
        <f t="shared" si="296"/>
        <v>0</v>
      </c>
      <c r="J686" s="3490">
        <f t="shared" si="296"/>
        <v>0</v>
      </c>
      <c r="K686" s="3490">
        <f t="shared" si="296"/>
        <v>0</v>
      </c>
      <c r="L686" s="3490">
        <f t="shared" si="296"/>
        <v>0</v>
      </c>
      <c r="M686" s="3490">
        <f t="shared" si="296"/>
        <v>0</v>
      </c>
      <c r="N686" s="3490">
        <f t="shared" si="296"/>
        <v>0</v>
      </c>
      <c r="O686" s="3490">
        <f t="shared" si="296"/>
        <v>0</v>
      </c>
      <c r="P686" s="4521">
        <f t="shared" si="296"/>
        <v>0</v>
      </c>
    </row>
    <row r="687" spans="1:23" hidden="1" x14ac:dyDescent="0.3">
      <c r="B687" s="4520" t="str">
        <f>B392</f>
        <v xml:space="preserve">Achicoria Semillero </v>
      </c>
      <c r="C687" s="3453">
        <f>C397</f>
        <v>0</v>
      </c>
      <c r="D687" s="3452"/>
      <c r="E687" s="3452">
        <f t="shared" ref="E687:P687" si="297">E396</f>
        <v>0</v>
      </c>
      <c r="F687" s="3452">
        <f t="shared" si="297"/>
        <v>0</v>
      </c>
      <c r="G687" s="3452">
        <f t="shared" si="297"/>
        <v>0</v>
      </c>
      <c r="H687" s="3452">
        <f t="shared" si="297"/>
        <v>0</v>
      </c>
      <c r="I687" s="3452">
        <f t="shared" si="297"/>
        <v>0</v>
      </c>
      <c r="J687" s="3452">
        <f t="shared" si="297"/>
        <v>0</v>
      </c>
      <c r="K687" s="3452">
        <f t="shared" si="297"/>
        <v>0</v>
      </c>
      <c r="L687" s="3452">
        <f t="shared" si="297"/>
        <v>0</v>
      </c>
      <c r="M687" s="3452">
        <f t="shared" si="297"/>
        <v>0</v>
      </c>
      <c r="N687" s="3452">
        <f t="shared" si="297"/>
        <v>0</v>
      </c>
      <c r="O687" s="3452">
        <f t="shared" si="297"/>
        <v>0</v>
      </c>
      <c r="P687" s="4022">
        <f t="shared" si="297"/>
        <v>0</v>
      </c>
    </row>
    <row r="688" spans="1:23" hidden="1" x14ac:dyDescent="0.3">
      <c r="B688" s="4520">
        <f>B403</f>
        <v>0</v>
      </c>
      <c r="C688" s="3453">
        <f>C408</f>
        <v>0</v>
      </c>
      <c r="D688" s="3452"/>
      <c r="E688" s="3490">
        <f t="shared" ref="E688:P688" si="298">E407</f>
        <v>0</v>
      </c>
      <c r="F688" s="3490">
        <f t="shared" si="298"/>
        <v>0</v>
      </c>
      <c r="G688" s="3490">
        <f t="shared" si="298"/>
        <v>0</v>
      </c>
      <c r="H688" s="3490">
        <f t="shared" si="298"/>
        <v>0</v>
      </c>
      <c r="I688" s="3490">
        <f t="shared" si="298"/>
        <v>0</v>
      </c>
      <c r="J688" s="3490">
        <f t="shared" si="298"/>
        <v>0</v>
      </c>
      <c r="K688" s="3490">
        <f t="shared" si="298"/>
        <v>0</v>
      </c>
      <c r="L688" s="3490">
        <f t="shared" si="298"/>
        <v>0</v>
      </c>
      <c r="M688" s="3490">
        <f t="shared" si="298"/>
        <v>0</v>
      </c>
      <c r="N688" s="3490">
        <f t="shared" si="298"/>
        <v>0</v>
      </c>
      <c r="O688" s="3490">
        <f t="shared" si="298"/>
        <v>0</v>
      </c>
      <c r="P688" s="4521">
        <f t="shared" si="298"/>
        <v>0</v>
      </c>
    </row>
    <row r="689" spans="1:16" hidden="1" x14ac:dyDescent="0.3">
      <c r="B689" s="4520">
        <f>B414</f>
        <v>0</v>
      </c>
      <c r="C689" s="3453">
        <f>C419</f>
        <v>0</v>
      </c>
      <c r="D689" s="3452"/>
      <c r="E689" s="3490">
        <f t="shared" ref="E689:P689" si="299">E418</f>
        <v>0</v>
      </c>
      <c r="F689" s="3490">
        <f t="shared" si="299"/>
        <v>0</v>
      </c>
      <c r="G689" s="3490">
        <f t="shared" si="299"/>
        <v>0</v>
      </c>
      <c r="H689" s="3490">
        <f t="shared" si="299"/>
        <v>0</v>
      </c>
      <c r="I689" s="3490">
        <f t="shared" si="299"/>
        <v>0</v>
      </c>
      <c r="J689" s="3490">
        <f t="shared" si="299"/>
        <v>0</v>
      </c>
      <c r="K689" s="3490">
        <f t="shared" si="299"/>
        <v>0</v>
      </c>
      <c r="L689" s="3490">
        <f t="shared" si="299"/>
        <v>0</v>
      </c>
      <c r="M689" s="3490">
        <f t="shared" si="299"/>
        <v>0</v>
      </c>
      <c r="N689" s="3490">
        <f t="shared" si="299"/>
        <v>0</v>
      </c>
      <c r="O689" s="3490">
        <f t="shared" si="299"/>
        <v>0</v>
      </c>
      <c r="P689" s="4521">
        <f t="shared" si="299"/>
        <v>0</v>
      </c>
    </row>
    <row r="690" spans="1:16" hidden="1" x14ac:dyDescent="0.3">
      <c r="B690" s="4520">
        <f>B425</f>
        <v>0</v>
      </c>
      <c r="C690" s="3453">
        <f>C430</f>
        <v>0</v>
      </c>
      <c r="D690" s="3452"/>
      <c r="E690" s="3490">
        <f t="shared" ref="E690:P690" si="300">E429</f>
        <v>0</v>
      </c>
      <c r="F690" s="3490">
        <f t="shared" si="300"/>
        <v>0</v>
      </c>
      <c r="G690" s="3490">
        <f t="shared" si="300"/>
        <v>0</v>
      </c>
      <c r="H690" s="3490">
        <f t="shared" si="300"/>
        <v>0</v>
      </c>
      <c r="I690" s="3490">
        <f t="shared" si="300"/>
        <v>0</v>
      </c>
      <c r="J690" s="3490">
        <f t="shared" si="300"/>
        <v>0</v>
      </c>
      <c r="K690" s="3490">
        <f t="shared" si="300"/>
        <v>0</v>
      </c>
      <c r="L690" s="3490">
        <f t="shared" si="300"/>
        <v>0</v>
      </c>
      <c r="M690" s="3490">
        <f t="shared" si="300"/>
        <v>0</v>
      </c>
      <c r="N690" s="3490">
        <f t="shared" si="300"/>
        <v>0</v>
      </c>
      <c r="O690" s="3490">
        <f t="shared" si="300"/>
        <v>0</v>
      </c>
      <c r="P690" s="4521">
        <f t="shared" si="300"/>
        <v>0</v>
      </c>
    </row>
    <row r="691" spans="1:16" hidden="1" x14ac:dyDescent="0.3">
      <c r="B691" s="4520">
        <f>B436</f>
        <v>0</v>
      </c>
      <c r="C691" s="3453">
        <f>C441</f>
        <v>0</v>
      </c>
      <c r="D691" s="3452"/>
      <c r="E691" s="3490">
        <f t="shared" ref="E691:P691" si="301">E440</f>
        <v>0</v>
      </c>
      <c r="F691" s="3490">
        <f t="shared" si="301"/>
        <v>0</v>
      </c>
      <c r="G691" s="3490">
        <f t="shared" si="301"/>
        <v>0</v>
      </c>
      <c r="H691" s="3490">
        <f t="shared" si="301"/>
        <v>0</v>
      </c>
      <c r="I691" s="3490">
        <f t="shared" si="301"/>
        <v>0</v>
      </c>
      <c r="J691" s="3490">
        <f t="shared" si="301"/>
        <v>0</v>
      </c>
      <c r="K691" s="3490">
        <f t="shared" si="301"/>
        <v>0</v>
      </c>
      <c r="L691" s="3490">
        <f t="shared" si="301"/>
        <v>0</v>
      </c>
      <c r="M691" s="3490">
        <f t="shared" si="301"/>
        <v>0</v>
      </c>
      <c r="N691" s="3490">
        <f t="shared" si="301"/>
        <v>0</v>
      </c>
      <c r="O691" s="3490">
        <f t="shared" si="301"/>
        <v>0</v>
      </c>
      <c r="P691" s="4521">
        <f t="shared" si="301"/>
        <v>0</v>
      </c>
    </row>
    <row r="692" spans="1:16" hidden="1" x14ac:dyDescent="0.3">
      <c r="B692" s="4520">
        <f>B447</f>
        <v>0</v>
      </c>
      <c r="C692" s="3453">
        <f>C452</f>
        <v>0</v>
      </c>
      <c r="D692" s="3452"/>
      <c r="E692" s="3490">
        <f t="shared" ref="E692:P692" si="302">E451</f>
        <v>0</v>
      </c>
      <c r="F692" s="3490">
        <f t="shared" si="302"/>
        <v>0</v>
      </c>
      <c r="G692" s="3490">
        <f t="shared" si="302"/>
        <v>0</v>
      </c>
      <c r="H692" s="3490">
        <f t="shared" si="302"/>
        <v>0</v>
      </c>
      <c r="I692" s="3490">
        <f t="shared" si="302"/>
        <v>0</v>
      </c>
      <c r="J692" s="3490">
        <f t="shared" si="302"/>
        <v>0</v>
      </c>
      <c r="K692" s="3490">
        <f t="shared" si="302"/>
        <v>0</v>
      </c>
      <c r="L692" s="3490">
        <f t="shared" si="302"/>
        <v>0</v>
      </c>
      <c r="M692" s="3490">
        <f t="shared" si="302"/>
        <v>0</v>
      </c>
      <c r="N692" s="3490">
        <f t="shared" si="302"/>
        <v>0</v>
      </c>
      <c r="O692" s="3490">
        <f t="shared" si="302"/>
        <v>0</v>
      </c>
      <c r="P692" s="4521">
        <f t="shared" si="302"/>
        <v>0</v>
      </c>
    </row>
    <row r="693" spans="1:16" hidden="1" x14ac:dyDescent="0.3">
      <c r="B693" s="4520" t="str">
        <f>B458</f>
        <v xml:space="preserve">Dactylis Semillero </v>
      </c>
      <c r="C693" s="3453">
        <f>C463</f>
        <v>0</v>
      </c>
      <c r="D693" s="3452"/>
      <c r="E693" s="3490">
        <f t="shared" ref="E693:P693" si="303">E462</f>
        <v>0</v>
      </c>
      <c r="F693" s="3490">
        <f t="shared" si="303"/>
        <v>0</v>
      </c>
      <c r="G693" s="3490">
        <f t="shared" si="303"/>
        <v>0</v>
      </c>
      <c r="H693" s="3490">
        <f t="shared" si="303"/>
        <v>0</v>
      </c>
      <c r="I693" s="3490">
        <f t="shared" si="303"/>
        <v>0</v>
      </c>
      <c r="J693" s="3490">
        <f t="shared" si="303"/>
        <v>0</v>
      </c>
      <c r="K693" s="3490">
        <f t="shared" si="303"/>
        <v>0</v>
      </c>
      <c r="L693" s="3490">
        <f t="shared" si="303"/>
        <v>0</v>
      </c>
      <c r="M693" s="3490">
        <f t="shared" si="303"/>
        <v>0</v>
      </c>
      <c r="N693" s="3490">
        <f t="shared" si="303"/>
        <v>0</v>
      </c>
      <c r="O693" s="3490">
        <f t="shared" si="303"/>
        <v>0</v>
      </c>
      <c r="P693" s="4521">
        <f t="shared" si="303"/>
        <v>0</v>
      </c>
    </row>
    <row r="694" spans="1:16" hidden="1" x14ac:dyDescent="0.3">
      <c r="B694" s="4520" t="str">
        <f>B469</f>
        <v xml:space="preserve">Festuca Semillero </v>
      </c>
      <c r="C694" s="3453">
        <f>C474</f>
        <v>0</v>
      </c>
      <c r="D694" s="3452"/>
      <c r="E694" s="3490">
        <f t="shared" ref="E694:P694" si="304">E473</f>
        <v>0</v>
      </c>
      <c r="F694" s="3490">
        <f t="shared" si="304"/>
        <v>0</v>
      </c>
      <c r="G694" s="3490">
        <f t="shared" si="304"/>
        <v>0</v>
      </c>
      <c r="H694" s="3490">
        <f t="shared" si="304"/>
        <v>0</v>
      </c>
      <c r="I694" s="3490">
        <f t="shared" si="304"/>
        <v>0</v>
      </c>
      <c r="J694" s="3490">
        <f t="shared" si="304"/>
        <v>0</v>
      </c>
      <c r="K694" s="3490">
        <f t="shared" si="304"/>
        <v>0</v>
      </c>
      <c r="L694" s="3490">
        <f t="shared" si="304"/>
        <v>0</v>
      </c>
      <c r="M694" s="3490">
        <f t="shared" si="304"/>
        <v>0</v>
      </c>
      <c r="N694" s="3490">
        <f t="shared" si="304"/>
        <v>0</v>
      </c>
      <c r="O694" s="3490">
        <f t="shared" si="304"/>
        <v>0</v>
      </c>
      <c r="P694" s="4521">
        <f t="shared" si="304"/>
        <v>0</v>
      </c>
    </row>
    <row r="695" spans="1:16" hidden="1" x14ac:dyDescent="0.3">
      <c r="B695" s="4520" t="str">
        <f>B480</f>
        <v xml:space="preserve">Rg semillero </v>
      </c>
      <c r="C695" s="3453">
        <f>C485</f>
        <v>0</v>
      </c>
      <c r="D695" s="3452"/>
      <c r="E695" s="3490">
        <f t="shared" ref="E695:P695" si="305">E484</f>
        <v>0</v>
      </c>
      <c r="F695" s="3490">
        <f t="shared" si="305"/>
        <v>0</v>
      </c>
      <c r="G695" s="3490">
        <f t="shared" si="305"/>
        <v>0</v>
      </c>
      <c r="H695" s="3490">
        <f t="shared" si="305"/>
        <v>0</v>
      </c>
      <c r="I695" s="3490">
        <f t="shared" si="305"/>
        <v>0</v>
      </c>
      <c r="J695" s="3490">
        <f t="shared" si="305"/>
        <v>0</v>
      </c>
      <c r="K695" s="3490">
        <f t="shared" si="305"/>
        <v>0</v>
      </c>
      <c r="L695" s="3490">
        <f t="shared" si="305"/>
        <v>0</v>
      </c>
      <c r="M695" s="3490">
        <f t="shared" si="305"/>
        <v>0</v>
      </c>
      <c r="N695" s="3490">
        <f t="shared" si="305"/>
        <v>0</v>
      </c>
      <c r="O695" s="3490">
        <f t="shared" si="305"/>
        <v>0</v>
      </c>
      <c r="P695" s="4521">
        <f t="shared" si="305"/>
        <v>0</v>
      </c>
    </row>
    <row r="696" spans="1:16" hidden="1" x14ac:dyDescent="0.3">
      <c r="B696" s="4520">
        <f>B491</f>
        <v>0</v>
      </c>
      <c r="C696" s="3453">
        <f>C496</f>
        <v>0</v>
      </c>
      <c r="D696" s="3452"/>
      <c r="E696" s="3490">
        <f t="shared" ref="E696:P696" si="306">E495</f>
        <v>0</v>
      </c>
      <c r="F696" s="3490">
        <f t="shared" si="306"/>
        <v>0</v>
      </c>
      <c r="G696" s="3490">
        <f t="shared" si="306"/>
        <v>0</v>
      </c>
      <c r="H696" s="3490">
        <f t="shared" si="306"/>
        <v>0</v>
      </c>
      <c r="I696" s="3490">
        <f t="shared" si="306"/>
        <v>0</v>
      </c>
      <c r="J696" s="3490">
        <f t="shared" si="306"/>
        <v>0</v>
      </c>
      <c r="K696" s="3490">
        <f t="shared" si="306"/>
        <v>0</v>
      </c>
      <c r="L696" s="3490">
        <f t="shared" si="306"/>
        <v>0</v>
      </c>
      <c r="M696" s="3490">
        <f t="shared" si="306"/>
        <v>0</v>
      </c>
      <c r="N696" s="3490">
        <f t="shared" si="306"/>
        <v>0</v>
      </c>
      <c r="O696" s="3490">
        <f t="shared" si="306"/>
        <v>0</v>
      </c>
      <c r="P696" s="4521">
        <f t="shared" si="306"/>
        <v>0</v>
      </c>
    </row>
    <row r="697" spans="1:16" hidden="1" x14ac:dyDescent="0.3">
      <c r="B697" s="4520">
        <f>B502</f>
        <v>0</v>
      </c>
      <c r="C697" s="3453">
        <f>C507</f>
        <v>0</v>
      </c>
      <c r="D697" s="3452"/>
      <c r="E697" s="3490">
        <f t="shared" ref="E697:P697" si="307">E506</f>
        <v>0</v>
      </c>
      <c r="F697" s="3490">
        <f t="shared" si="307"/>
        <v>0</v>
      </c>
      <c r="G697" s="3490">
        <f t="shared" si="307"/>
        <v>0</v>
      </c>
      <c r="H697" s="3490">
        <f t="shared" si="307"/>
        <v>0</v>
      </c>
      <c r="I697" s="3490">
        <f t="shared" si="307"/>
        <v>0</v>
      </c>
      <c r="J697" s="3490">
        <f t="shared" si="307"/>
        <v>0</v>
      </c>
      <c r="K697" s="3490">
        <f t="shared" si="307"/>
        <v>0</v>
      </c>
      <c r="L697" s="3490">
        <f t="shared" si="307"/>
        <v>0</v>
      </c>
      <c r="M697" s="3490">
        <f t="shared" si="307"/>
        <v>0</v>
      </c>
      <c r="N697" s="3490">
        <f t="shared" si="307"/>
        <v>0</v>
      </c>
      <c r="O697" s="3490">
        <f t="shared" si="307"/>
        <v>0</v>
      </c>
      <c r="P697" s="4521">
        <f t="shared" si="307"/>
        <v>0</v>
      </c>
    </row>
    <row r="698" spans="1:16" hidden="1" x14ac:dyDescent="0.3">
      <c r="B698" s="4520">
        <f>B513</f>
        <v>0</v>
      </c>
      <c r="C698" s="3453">
        <f>C518</f>
        <v>0</v>
      </c>
      <c r="D698" s="3452"/>
      <c r="E698" s="3490">
        <f t="shared" ref="E698:P698" si="308">E517</f>
        <v>0</v>
      </c>
      <c r="F698" s="3490">
        <f t="shared" si="308"/>
        <v>0</v>
      </c>
      <c r="G698" s="3490">
        <f t="shared" si="308"/>
        <v>0</v>
      </c>
      <c r="H698" s="3490">
        <f t="shared" si="308"/>
        <v>0</v>
      </c>
      <c r="I698" s="3490">
        <f t="shared" si="308"/>
        <v>0</v>
      </c>
      <c r="J698" s="3490">
        <f t="shared" si="308"/>
        <v>0</v>
      </c>
      <c r="K698" s="3490">
        <f t="shared" si="308"/>
        <v>0</v>
      </c>
      <c r="L698" s="3490">
        <f t="shared" si="308"/>
        <v>0</v>
      </c>
      <c r="M698" s="3490">
        <f t="shared" si="308"/>
        <v>0</v>
      </c>
      <c r="N698" s="3490">
        <f t="shared" si="308"/>
        <v>0</v>
      </c>
      <c r="O698" s="3490">
        <f t="shared" si="308"/>
        <v>0</v>
      </c>
      <c r="P698" s="4521">
        <f t="shared" si="308"/>
        <v>0</v>
      </c>
    </row>
    <row r="699" spans="1:16" hidden="1" x14ac:dyDescent="0.3">
      <c r="B699" s="4520">
        <f>B524</f>
        <v>0</v>
      </c>
      <c r="C699" s="3453">
        <f>C529</f>
        <v>0</v>
      </c>
      <c r="D699" s="3452"/>
      <c r="E699" s="3490">
        <f t="shared" ref="E699:P699" si="309">E528</f>
        <v>0</v>
      </c>
      <c r="F699" s="3490">
        <f t="shared" si="309"/>
        <v>0</v>
      </c>
      <c r="G699" s="3490">
        <f t="shared" si="309"/>
        <v>0</v>
      </c>
      <c r="H699" s="3490">
        <f t="shared" si="309"/>
        <v>0</v>
      </c>
      <c r="I699" s="3490">
        <f t="shared" si="309"/>
        <v>0</v>
      </c>
      <c r="J699" s="3490">
        <f t="shared" si="309"/>
        <v>0</v>
      </c>
      <c r="K699" s="3490">
        <f t="shared" si="309"/>
        <v>0</v>
      </c>
      <c r="L699" s="3490">
        <f t="shared" si="309"/>
        <v>0</v>
      </c>
      <c r="M699" s="3490">
        <f t="shared" si="309"/>
        <v>0</v>
      </c>
      <c r="N699" s="3490">
        <f t="shared" si="309"/>
        <v>0</v>
      </c>
      <c r="O699" s="3490">
        <f t="shared" si="309"/>
        <v>0</v>
      </c>
      <c r="P699" s="4521">
        <f t="shared" si="309"/>
        <v>0</v>
      </c>
    </row>
    <row r="700" spans="1:16" hidden="1" x14ac:dyDescent="0.3">
      <c r="B700" s="4520">
        <f>B535</f>
        <v>0</v>
      </c>
      <c r="C700" s="3453">
        <f>C540</f>
        <v>0</v>
      </c>
      <c r="D700" s="3452"/>
      <c r="E700" s="3490">
        <f t="shared" ref="E700:P700" si="310">E539</f>
        <v>0</v>
      </c>
      <c r="F700" s="3490">
        <f t="shared" si="310"/>
        <v>0</v>
      </c>
      <c r="G700" s="3490">
        <f t="shared" si="310"/>
        <v>0</v>
      </c>
      <c r="H700" s="3490">
        <f t="shared" si="310"/>
        <v>0</v>
      </c>
      <c r="I700" s="3490">
        <f t="shared" si="310"/>
        <v>0</v>
      </c>
      <c r="J700" s="3490">
        <f t="shared" si="310"/>
        <v>0</v>
      </c>
      <c r="K700" s="3490">
        <f t="shared" si="310"/>
        <v>0</v>
      </c>
      <c r="L700" s="3490">
        <f t="shared" si="310"/>
        <v>0</v>
      </c>
      <c r="M700" s="3490">
        <f t="shared" si="310"/>
        <v>0</v>
      </c>
      <c r="N700" s="3490">
        <f t="shared" si="310"/>
        <v>0</v>
      </c>
      <c r="O700" s="3490">
        <f t="shared" si="310"/>
        <v>0</v>
      </c>
      <c r="P700" s="4521">
        <f t="shared" si="310"/>
        <v>0</v>
      </c>
    </row>
    <row r="701" spans="1:16" ht="15.05" hidden="1" thickBot="1" x14ac:dyDescent="0.35">
      <c r="B701" s="4507">
        <f>B546</f>
        <v>0</v>
      </c>
      <c r="C701" s="4522">
        <f>C551</f>
        <v>0</v>
      </c>
      <c r="D701" s="4508"/>
      <c r="E701" s="4509">
        <f t="shared" ref="E701:P701" si="311">E550</f>
        <v>0</v>
      </c>
      <c r="F701" s="4509">
        <f t="shared" si="311"/>
        <v>0</v>
      </c>
      <c r="G701" s="4509">
        <f t="shared" si="311"/>
        <v>0</v>
      </c>
      <c r="H701" s="4509">
        <f t="shared" si="311"/>
        <v>0</v>
      </c>
      <c r="I701" s="4509">
        <f t="shared" si="311"/>
        <v>0</v>
      </c>
      <c r="J701" s="4509">
        <f t="shared" si="311"/>
        <v>0</v>
      </c>
      <c r="K701" s="4509">
        <f t="shared" si="311"/>
        <v>0</v>
      </c>
      <c r="L701" s="4509">
        <f t="shared" si="311"/>
        <v>0</v>
      </c>
      <c r="M701" s="4509">
        <f t="shared" si="311"/>
        <v>0</v>
      </c>
      <c r="N701" s="4509">
        <f t="shared" si="311"/>
        <v>0</v>
      </c>
      <c r="O701" s="4509">
        <f t="shared" si="311"/>
        <v>0</v>
      </c>
      <c r="P701" s="4510">
        <f t="shared" si="311"/>
        <v>0</v>
      </c>
    </row>
    <row r="702" spans="1:16" ht="15.05" hidden="1" thickTop="1" x14ac:dyDescent="0.3"/>
    <row r="703" spans="1:16" ht="15.05" hidden="1" thickBot="1" x14ac:dyDescent="0.35">
      <c r="A703" s="3071">
        <v>1161</v>
      </c>
      <c r="B703" s="4523" t="s">
        <v>2090</v>
      </c>
      <c r="C703" s="3610" t="s">
        <v>357</v>
      </c>
      <c r="D703" s="3610" t="s">
        <v>639</v>
      </c>
    </row>
    <row r="704" spans="1:16" ht="15.05" hidden="1" thickTop="1" x14ac:dyDescent="0.3">
      <c r="B704" s="4524" t="str">
        <f t="shared" ref="B704:B713" si="312">+B20</f>
        <v>Vacas en Ordeñe</v>
      </c>
      <c r="C704" s="4525">
        <f>+A.Lecheros!F422</f>
        <v>0</v>
      </c>
      <c r="D704" s="4526">
        <f t="shared" ref="D704:D714" si="313">+SUM(E20:P20)</f>
        <v>0</v>
      </c>
    </row>
    <row r="705" spans="1:16" hidden="1" x14ac:dyDescent="0.3">
      <c r="B705" s="4527" t="str">
        <f t="shared" si="312"/>
        <v>Vacas Secas</v>
      </c>
      <c r="C705" s="3915">
        <f>+A.Lecheros!F423</f>
        <v>0</v>
      </c>
      <c r="D705" s="4528">
        <f t="shared" si="313"/>
        <v>0</v>
      </c>
    </row>
    <row r="706" spans="1:16" hidden="1" x14ac:dyDescent="0.3">
      <c r="B706" s="4527" t="str">
        <f t="shared" si="312"/>
        <v>Vaquillonas preñadas a parir en el 1er trimestre</v>
      </c>
      <c r="C706" s="3915">
        <f>+A.Lecheros!F424</f>
        <v>0</v>
      </c>
      <c r="D706" s="4528">
        <f t="shared" si="313"/>
        <v>0</v>
      </c>
    </row>
    <row r="707" spans="1:16" hidden="1" x14ac:dyDescent="0.3">
      <c r="B707" s="4527" t="str">
        <f t="shared" si="312"/>
        <v>Vaquillonas preñadas a parir en el 2do trimestre</v>
      </c>
      <c r="C707" s="3915">
        <f>+A.Lecheros!F425</f>
        <v>0</v>
      </c>
      <c r="D707" s="4528">
        <f t="shared" si="313"/>
        <v>0</v>
      </c>
    </row>
    <row r="708" spans="1:16" hidden="1" x14ac:dyDescent="0.3">
      <c r="B708" s="4527" t="str">
        <f t="shared" si="312"/>
        <v>Vaquillonas preñadas a parir en el 3er trimestre</v>
      </c>
      <c r="C708" s="3915">
        <f>+A.Lecheros!F426</f>
        <v>0</v>
      </c>
      <c r="D708" s="4528">
        <f t="shared" si="313"/>
        <v>0</v>
      </c>
    </row>
    <row r="709" spans="1:16" hidden="1" x14ac:dyDescent="0.3">
      <c r="B709" s="4527" t="str">
        <f t="shared" si="312"/>
        <v>Vaquillonas preñadas a parir en el 4to trimestre</v>
      </c>
      <c r="C709" s="3915">
        <f>+A.Lecheros!F427</f>
        <v>0</v>
      </c>
      <c r="D709" s="4528">
        <f t="shared" si="313"/>
        <v>0</v>
      </c>
    </row>
    <row r="710" spans="1:16" hidden="1" x14ac:dyDescent="0.3">
      <c r="B710" s="4527" t="str">
        <f t="shared" si="312"/>
        <v>Vaquillonas</v>
      </c>
      <c r="C710" s="3915">
        <f>+A.Lecheros!F428</f>
        <v>0</v>
      </c>
      <c r="D710" s="4528">
        <f t="shared" si="313"/>
        <v>0</v>
      </c>
    </row>
    <row r="711" spans="1:16" hidden="1" x14ac:dyDescent="0.3">
      <c r="B711" s="4527" t="str">
        <f t="shared" si="312"/>
        <v xml:space="preserve">Terneras &gt; 6 meses </v>
      </c>
      <c r="C711" s="3915">
        <f>+A.Lecheros!F429</f>
        <v>0</v>
      </c>
      <c r="D711" s="4528">
        <f t="shared" si="313"/>
        <v>0</v>
      </c>
      <c r="E711" s="3436"/>
      <c r="F711" s="3436"/>
      <c r="G711" s="3436"/>
      <c r="H711" s="3436"/>
      <c r="I711" s="3436"/>
      <c r="J711" s="3436"/>
      <c r="K711" s="3436"/>
      <c r="L711" s="3436"/>
      <c r="M711" s="3436"/>
      <c r="N711" s="3436"/>
      <c r="O711" s="3436"/>
      <c r="P711" s="3436"/>
    </row>
    <row r="712" spans="1:16" hidden="1" x14ac:dyDescent="0.3">
      <c r="B712" s="4527" t="str">
        <f t="shared" si="312"/>
        <v>Terneras &gt; 2 meses &lt; 6 meses</v>
      </c>
      <c r="C712" s="3915">
        <f>+A.Lecheros!F430</f>
        <v>0</v>
      </c>
      <c r="D712" s="4528">
        <f t="shared" si="313"/>
        <v>0</v>
      </c>
      <c r="E712" s="3436"/>
      <c r="F712" s="3436"/>
      <c r="G712" s="3436"/>
      <c r="H712" s="3436"/>
      <c r="I712" s="3436"/>
      <c r="J712" s="3436"/>
      <c r="K712" s="3436"/>
      <c r="L712" s="3436"/>
      <c r="M712" s="3436"/>
      <c r="N712" s="3436"/>
      <c r="O712" s="3436"/>
      <c r="P712" s="3436"/>
    </row>
    <row r="713" spans="1:16" hidden="1" x14ac:dyDescent="0.3">
      <c r="B713" s="4527" t="str">
        <f t="shared" si="312"/>
        <v>Terneras Lactantes (&lt;2 m)</v>
      </c>
      <c r="C713" s="3915">
        <f>+A.Lecheros!F431</f>
        <v>0</v>
      </c>
      <c r="D713" s="4528">
        <f t="shared" si="313"/>
        <v>0</v>
      </c>
      <c r="E713" s="3436"/>
      <c r="F713" s="3436"/>
      <c r="G713" s="3436"/>
      <c r="H713" s="3436"/>
      <c r="I713" s="3436"/>
      <c r="J713" s="3436"/>
      <c r="K713" s="3436"/>
      <c r="L713" s="3436"/>
      <c r="M713" s="3436"/>
      <c r="N713" s="3436"/>
      <c r="O713" s="3436"/>
      <c r="P713" s="3436"/>
    </row>
    <row r="714" spans="1:16" hidden="1" x14ac:dyDescent="0.3">
      <c r="B714" s="4527" t="s">
        <v>1128</v>
      </c>
      <c r="C714" s="3915">
        <f>+A.Lecheros!F432</f>
        <v>0</v>
      </c>
      <c r="D714" s="4528">
        <f t="shared" si="313"/>
        <v>0</v>
      </c>
      <c r="E714" s="3436"/>
      <c r="F714" s="3436"/>
      <c r="G714" s="3436"/>
      <c r="H714" s="3436"/>
      <c r="I714" s="3436"/>
      <c r="J714" s="3436"/>
      <c r="K714" s="3436"/>
      <c r="L714" s="3436"/>
      <c r="M714" s="3436"/>
      <c r="N714" s="3436"/>
      <c r="O714" s="3436"/>
      <c r="P714" s="3436"/>
    </row>
    <row r="715" spans="1:16" ht="15.05" hidden="1" thickBot="1" x14ac:dyDescent="0.35">
      <c r="B715" s="4529" t="str">
        <f>+B33</f>
        <v>Toros</v>
      </c>
      <c r="C715" s="4530">
        <f>+A.Lecheros!F433</f>
        <v>0</v>
      </c>
      <c r="D715" s="4531">
        <f>+SUM(E33:P33)</f>
        <v>0</v>
      </c>
      <c r="E715" s="3436"/>
      <c r="F715" s="3436"/>
      <c r="G715" s="3436"/>
      <c r="H715" s="3436"/>
      <c r="I715" s="3436"/>
      <c r="J715" s="3436"/>
      <c r="K715" s="3436"/>
      <c r="L715" s="3436"/>
      <c r="M715" s="3436"/>
      <c r="N715" s="3436"/>
      <c r="O715" s="3436"/>
      <c r="P715" s="3436"/>
    </row>
    <row r="716" spans="1:16" ht="15.05" hidden="1" thickTop="1" x14ac:dyDescent="0.3">
      <c r="A716" s="3071">
        <v>1162</v>
      </c>
      <c r="B716" s="4532" t="s">
        <v>2091</v>
      </c>
      <c r="C716" s="3577" t="s">
        <v>357</v>
      </c>
      <c r="D716" s="4533" t="s">
        <v>639</v>
      </c>
      <c r="E716" s="3436"/>
      <c r="F716" s="3436"/>
      <c r="G716" s="3436"/>
      <c r="H716" s="3436"/>
      <c r="I716" s="3436"/>
      <c r="J716" s="3436"/>
      <c r="K716" s="3436"/>
      <c r="L716" s="3436"/>
      <c r="M716" s="3436"/>
      <c r="N716" s="3436"/>
      <c r="O716" s="3436"/>
      <c r="P716" s="3436"/>
    </row>
    <row r="717" spans="1:16" hidden="1" x14ac:dyDescent="0.3">
      <c r="B717" s="4534" t="str">
        <f>+B80</f>
        <v>Vacas descarte - Ganadería</v>
      </c>
      <c r="C717" s="3935">
        <f>+A.Lecheros!F436</f>
        <v>0</v>
      </c>
      <c r="D717" s="4535">
        <f>+SUM(E80:P80)</f>
        <v>0</v>
      </c>
      <c r="E717" s="3436"/>
      <c r="F717" s="3436"/>
      <c r="G717" s="3436"/>
      <c r="H717" s="3436"/>
      <c r="I717" s="3436"/>
      <c r="J717" s="3436"/>
      <c r="K717" s="3436"/>
      <c r="L717" s="3436"/>
      <c r="M717" s="3436"/>
      <c r="N717" s="3436"/>
      <c r="O717" s="3436"/>
      <c r="P717" s="3436"/>
    </row>
    <row r="718" spans="1:16" hidden="1" x14ac:dyDescent="0.3">
      <c r="B718" s="4534" t="str">
        <f>+B81</f>
        <v>Novillos - 2 a 3 años</v>
      </c>
      <c r="C718" s="3935">
        <f>+A.Lecheros!F437</f>
        <v>0</v>
      </c>
      <c r="D718" s="4535">
        <f>+SUM(E81:P81)</f>
        <v>0</v>
      </c>
      <c r="E718" s="3436"/>
      <c r="F718" s="3436"/>
      <c r="G718" s="3436"/>
      <c r="H718" s="3436"/>
      <c r="I718" s="3436"/>
      <c r="J718" s="3436"/>
      <c r="K718" s="3436"/>
      <c r="L718" s="3436"/>
      <c r="M718" s="3436"/>
      <c r="N718" s="3436"/>
      <c r="O718" s="3436"/>
      <c r="P718" s="3436"/>
    </row>
    <row r="719" spans="1:16" hidden="1" x14ac:dyDescent="0.3">
      <c r="B719" s="4534" t="str">
        <f>+B82</f>
        <v>Novillos - 1 a 2 años</v>
      </c>
      <c r="C719" s="3935">
        <f>+A.Lecheros!F438</f>
        <v>0</v>
      </c>
      <c r="D719" s="4535">
        <f>+SUM(E82:P82)</f>
        <v>0</v>
      </c>
      <c r="E719" s="3436"/>
      <c r="F719" s="3436"/>
      <c r="G719" s="3436"/>
      <c r="H719" s="3436"/>
      <c r="I719" s="3436"/>
      <c r="J719" s="3436"/>
      <c r="K719" s="3436"/>
      <c r="L719" s="3436"/>
      <c r="M719" s="3436"/>
      <c r="N719" s="3436"/>
      <c r="O719" s="3436"/>
      <c r="P719" s="3436"/>
    </row>
    <row r="720" spans="1:16" hidden="1" x14ac:dyDescent="0.3">
      <c r="B720" s="4534" t="str">
        <f>+B83</f>
        <v>Terneros &gt; 6 meses &lt; 1 año</v>
      </c>
      <c r="C720" s="3935">
        <f>+A.Lecheros!F439</f>
        <v>0</v>
      </c>
      <c r="D720" s="4535">
        <f>+SUM(E83:P83)</f>
        <v>0</v>
      </c>
      <c r="E720" s="3436"/>
      <c r="F720" s="3436"/>
      <c r="G720" s="3436"/>
      <c r="H720" s="3436"/>
      <c r="I720" s="3436"/>
      <c r="J720" s="3436"/>
      <c r="K720" s="3436"/>
      <c r="L720" s="3436"/>
      <c r="M720" s="3436"/>
      <c r="N720" s="3436"/>
      <c r="O720" s="3436"/>
      <c r="P720" s="3436"/>
    </row>
    <row r="721" spans="1:16" ht="15.05" hidden="1" thickBot="1" x14ac:dyDescent="0.35">
      <c r="B721" s="4536" t="str">
        <f>+B84</f>
        <v>Terneros &lt;  6 meses</v>
      </c>
      <c r="C721" s="4537">
        <f>+A.Lecheros!F440</f>
        <v>0</v>
      </c>
      <c r="D721" s="4538">
        <f>+SUM(E84:P84)</f>
        <v>0</v>
      </c>
      <c r="E721" s="3436"/>
      <c r="F721" s="3436"/>
      <c r="G721" s="3436"/>
      <c r="H721" s="3436"/>
      <c r="I721" s="3436"/>
      <c r="J721" s="3436"/>
      <c r="K721" s="3436"/>
      <c r="L721" s="3436"/>
      <c r="M721" s="3436"/>
      <c r="N721" s="3436"/>
      <c r="O721" s="3436"/>
      <c r="P721" s="3436"/>
    </row>
    <row r="722" spans="1:16" ht="15.75" hidden="1" thickTop="1" thickBot="1" x14ac:dyDescent="0.35">
      <c r="B722" s="3616"/>
      <c r="C722" s="3437"/>
      <c r="D722" s="3437"/>
      <c r="E722" s="3436"/>
      <c r="F722" s="3436"/>
      <c r="G722" s="3436"/>
      <c r="H722" s="3436"/>
      <c r="I722" s="3436"/>
      <c r="J722" s="3436"/>
      <c r="K722" s="3436"/>
      <c r="L722" s="3436"/>
      <c r="M722" s="3436"/>
      <c r="N722" s="3436"/>
      <c r="O722" s="3436"/>
      <c r="P722" s="3436"/>
    </row>
    <row r="723" spans="1:16" ht="15.05" hidden="1" thickTop="1" x14ac:dyDescent="0.3">
      <c r="A723" s="3071">
        <v>1163</v>
      </c>
      <c r="B723" s="4532" t="s">
        <v>2089</v>
      </c>
      <c r="C723" s="3577" t="s">
        <v>338</v>
      </c>
      <c r="D723" s="4533" t="s">
        <v>30</v>
      </c>
      <c r="E723" s="3436"/>
      <c r="F723" s="3436"/>
      <c r="G723" s="3436"/>
      <c r="H723" s="3436"/>
      <c r="I723" s="3436"/>
      <c r="J723" s="3436"/>
      <c r="K723" s="3436"/>
      <c r="L723" s="3436"/>
      <c r="M723" s="3436"/>
      <c r="N723" s="3436"/>
      <c r="O723" s="3436"/>
      <c r="P723" s="3436"/>
    </row>
    <row r="724" spans="1:16" hidden="1" x14ac:dyDescent="0.3">
      <c r="B724" s="4534" t="str">
        <f t="shared" ref="B724:B735" si="314">+B233</f>
        <v>Soja</v>
      </c>
      <c r="C724" s="3935">
        <f t="shared" ref="C724:C735" si="315">+SUM(E248:P248)</f>
        <v>0</v>
      </c>
      <c r="D724" s="4535">
        <f t="shared" ref="D724:D735" si="316">+SUM(E278:P278)</f>
        <v>0</v>
      </c>
      <c r="E724" s="3436"/>
      <c r="F724" s="3436"/>
      <c r="G724" s="3436"/>
      <c r="H724" s="3436"/>
      <c r="I724" s="3436"/>
      <c r="J724" s="3436"/>
      <c r="K724" s="3436"/>
      <c r="L724" s="3436"/>
      <c r="M724" s="3436"/>
      <c r="N724" s="3436"/>
      <c r="O724" s="3436"/>
      <c r="P724" s="3436"/>
    </row>
    <row r="725" spans="1:16" hidden="1" x14ac:dyDescent="0.3">
      <c r="B725" s="4534" t="str">
        <f t="shared" si="314"/>
        <v>Soja 2ª</v>
      </c>
      <c r="C725" s="3935">
        <f t="shared" si="315"/>
        <v>0</v>
      </c>
      <c r="D725" s="4535">
        <f t="shared" si="316"/>
        <v>0</v>
      </c>
      <c r="E725" s="3436"/>
      <c r="F725" s="3436"/>
      <c r="G725" s="3436"/>
      <c r="H725" s="3436"/>
      <c r="I725" s="3436"/>
      <c r="J725" s="3436"/>
      <c r="K725" s="3436"/>
      <c r="L725" s="3436"/>
      <c r="M725" s="3436"/>
      <c r="N725" s="3436"/>
      <c r="O725" s="3436"/>
      <c r="P725" s="3436"/>
    </row>
    <row r="726" spans="1:16" hidden="1" x14ac:dyDescent="0.3">
      <c r="B726" s="4534" t="str">
        <f t="shared" si="314"/>
        <v>Maíz Grano</v>
      </c>
      <c r="C726" s="3935">
        <f t="shared" si="315"/>
        <v>0</v>
      </c>
      <c r="D726" s="4535">
        <f t="shared" si="316"/>
        <v>0</v>
      </c>
      <c r="E726" s="3436"/>
      <c r="F726" s="3436"/>
      <c r="G726" s="3436"/>
      <c r="H726" s="3436"/>
      <c r="I726" s="3436"/>
      <c r="J726" s="3436"/>
      <c r="K726" s="3436"/>
      <c r="L726" s="3436"/>
      <c r="M726" s="3436"/>
      <c r="N726" s="3436"/>
      <c r="O726" s="3436"/>
      <c r="P726" s="3436"/>
    </row>
    <row r="727" spans="1:16" hidden="1" x14ac:dyDescent="0.3">
      <c r="B727" s="4534" t="str">
        <f t="shared" si="314"/>
        <v>Sorgo grano</v>
      </c>
      <c r="C727" s="3935">
        <f t="shared" si="315"/>
        <v>0</v>
      </c>
      <c r="D727" s="4535">
        <f t="shared" si="316"/>
        <v>0</v>
      </c>
      <c r="E727" s="3436"/>
      <c r="F727" s="3436"/>
      <c r="G727" s="3436"/>
      <c r="H727" s="3436"/>
      <c r="I727" s="3436"/>
      <c r="J727" s="3436"/>
      <c r="K727" s="3436"/>
      <c r="L727" s="3436"/>
      <c r="M727" s="3436"/>
      <c r="N727" s="3436"/>
      <c r="O727" s="3436"/>
      <c r="P727" s="3436"/>
    </row>
    <row r="728" spans="1:16" hidden="1" x14ac:dyDescent="0.3">
      <c r="B728" s="4534" t="str">
        <f t="shared" si="314"/>
        <v>Trigo grano</v>
      </c>
      <c r="C728" s="3935">
        <f t="shared" si="315"/>
        <v>0</v>
      </c>
      <c r="D728" s="4535">
        <f t="shared" si="316"/>
        <v>0</v>
      </c>
      <c r="E728" s="3436"/>
      <c r="F728" s="3436"/>
      <c r="G728" s="3436"/>
      <c r="H728" s="3436"/>
      <c r="I728" s="3436"/>
      <c r="J728" s="3436"/>
      <c r="K728" s="3436"/>
      <c r="L728" s="3436"/>
      <c r="M728" s="3436"/>
      <c r="N728" s="3436"/>
      <c r="O728" s="3436"/>
      <c r="P728" s="3436"/>
    </row>
    <row r="729" spans="1:16" hidden="1" x14ac:dyDescent="0.3">
      <c r="B729" s="4534" t="str">
        <f t="shared" si="314"/>
        <v>Cebada grano</v>
      </c>
      <c r="C729" s="3935">
        <f t="shared" si="315"/>
        <v>0</v>
      </c>
      <c r="D729" s="4535">
        <f t="shared" si="316"/>
        <v>0</v>
      </c>
      <c r="E729" s="3436"/>
      <c r="F729" s="3436"/>
      <c r="G729" s="3436"/>
      <c r="H729" s="3436"/>
      <c r="I729" s="3436"/>
      <c r="J729" s="3436"/>
      <c r="K729" s="3436"/>
      <c r="L729" s="3436"/>
      <c r="M729" s="3436"/>
      <c r="N729" s="3436"/>
      <c r="O729" s="3436"/>
      <c r="P729" s="3436"/>
    </row>
    <row r="730" spans="1:16" hidden="1" x14ac:dyDescent="0.3">
      <c r="B730" s="4534" t="str">
        <f t="shared" si="314"/>
        <v>Avena grano</v>
      </c>
      <c r="C730" s="3935">
        <f t="shared" si="315"/>
        <v>0</v>
      </c>
      <c r="D730" s="4535">
        <f t="shared" si="316"/>
        <v>0</v>
      </c>
      <c r="E730" s="3436"/>
      <c r="F730" s="3436"/>
      <c r="G730" s="3436"/>
      <c r="H730" s="3436"/>
      <c r="I730" s="3436"/>
      <c r="J730" s="3436"/>
      <c r="K730" s="3436"/>
      <c r="L730" s="3436"/>
      <c r="M730" s="3436"/>
      <c r="N730" s="3436"/>
      <c r="O730" s="3436"/>
      <c r="P730" s="3436"/>
    </row>
    <row r="731" spans="1:16" hidden="1" x14ac:dyDescent="0.3">
      <c r="B731" s="4534" t="str">
        <f t="shared" si="314"/>
        <v>Colza grano</v>
      </c>
      <c r="C731" s="3935">
        <f t="shared" si="315"/>
        <v>0</v>
      </c>
      <c r="D731" s="4535">
        <f t="shared" si="316"/>
        <v>0</v>
      </c>
      <c r="E731" s="3436"/>
      <c r="F731" s="3436"/>
      <c r="G731" s="3436"/>
      <c r="H731" s="3436"/>
      <c r="I731" s="3436"/>
      <c r="J731" s="3436"/>
      <c r="K731" s="3436"/>
      <c r="L731" s="3436"/>
      <c r="M731" s="3436"/>
      <c r="N731" s="3436"/>
      <c r="O731" s="3436"/>
      <c r="P731" s="3436"/>
    </row>
    <row r="732" spans="1:16" hidden="1" x14ac:dyDescent="0.3">
      <c r="B732" s="4534">
        <f t="shared" si="314"/>
        <v>0</v>
      </c>
      <c r="C732" s="3935">
        <f t="shared" si="315"/>
        <v>0</v>
      </c>
      <c r="D732" s="4535">
        <f t="shared" si="316"/>
        <v>0</v>
      </c>
      <c r="E732" s="3436"/>
      <c r="F732" s="3436"/>
      <c r="G732" s="3436"/>
      <c r="H732" s="3436"/>
      <c r="I732" s="3436"/>
      <c r="J732" s="3436"/>
      <c r="K732" s="3436"/>
      <c r="L732" s="3436"/>
      <c r="M732" s="3436"/>
      <c r="N732" s="3436"/>
      <c r="O732" s="3436"/>
      <c r="P732" s="3436"/>
    </row>
    <row r="733" spans="1:16" hidden="1" x14ac:dyDescent="0.3">
      <c r="B733" s="4534">
        <f t="shared" si="314"/>
        <v>0</v>
      </c>
      <c r="C733" s="3935">
        <f t="shared" si="315"/>
        <v>0</v>
      </c>
      <c r="D733" s="4535">
        <f t="shared" si="316"/>
        <v>0</v>
      </c>
      <c r="E733" s="3436"/>
      <c r="F733" s="3436"/>
      <c r="G733" s="3436"/>
      <c r="H733" s="3436"/>
      <c r="I733" s="3436"/>
      <c r="J733" s="3436"/>
      <c r="K733" s="3436"/>
      <c r="L733" s="3436"/>
      <c r="M733" s="3436"/>
      <c r="N733" s="3436"/>
      <c r="O733" s="3436"/>
      <c r="P733" s="3436"/>
    </row>
    <row r="734" spans="1:16" hidden="1" x14ac:dyDescent="0.3">
      <c r="B734" s="4534">
        <f t="shared" si="314"/>
        <v>0</v>
      </c>
      <c r="C734" s="3935">
        <f t="shared" si="315"/>
        <v>0</v>
      </c>
      <c r="D734" s="4535">
        <f t="shared" si="316"/>
        <v>0</v>
      </c>
      <c r="E734" s="3436"/>
      <c r="F734" s="3436"/>
      <c r="G734" s="3436"/>
      <c r="H734" s="3436"/>
      <c r="I734" s="3436"/>
      <c r="J734" s="3436"/>
      <c r="K734" s="3436"/>
      <c r="L734" s="3436"/>
      <c r="M734" s="3436"/>
      <c r="N734" s="3436"/>
      <c r="O734" s="3436"/>
      <c r="P734" s="3436"/>
    </row>
    <row r="735" spans="1:16" hidden="1" x14ac:dyDescent="0.3">
      <c r="B735" s="4534">
        <f t="shared" si="314"/>
        <v>0</v>
      </c>
      <c r="C735" s="3935">
        <f t="shared" si="315"/>
        <v>0</v>
      </c>
      <c r="D735" s="4535">
        <f t="shared" si="316"/>
        <v>0</v>
      </c>
      <c r="E735" s="3436"/>
      <c r="F735" s="3436"/>
      <c r="G735" s="3436"/>
      <c r="H735" s="3436"/>
      <c r="I735" s="3436"/>
      <c r="J735" s="3436"/>
      <c r="K735" s="3436"/>
      <c r="L735" s="3436"/>
      <c r="M735" s="3436"/>
      <c r="N735" s="3436"/>
      <c r="O735" s="3436"/>
      <c r="P735" s="3436"/>
    </row>
    <row r="736" spans="1:16" hidden="1" x14ac:dyDescent="0.3">
      <c r="B736" s="4534" t="str">
        <f t="shared" ref="B736:B753" si="317">+B582</f>
        <v xml:space="preserve">Alfalfa semillero </v>
      </c>
      <c r="C736" s="3935">
        <f t="shared" ref="C736:C753" si="318">+SUM(E582:P582)</f>
        <v>0</v>
      </c>
      <c r="D736" s="4535">
        <f>+SUM(E624:P624)</f>
        <v>0</v>
      </c>
      <c r="E736" s="3436"/>
      <c r="F736" s="3436"/>
      <c r="G736" s="3436"/>
      <c r="H736" s="3436"/>
      <c r="I736" s="3436"/>
      <c r="J736" s="3436"/>
      <c r="K736" s="3436"/>
      <c r="L736" s="3436"/>
      <c r="M736" s="3436"/>
      <c r="N736" s="3436"/>
      <c r="O736" s="3436"/>
      <c r="P736" s="3436"/>
    </row>
    <row r="737" spans="2:16" hidden="1" x14ac:dyDescent="0.3">
      <c r="B737" s="4534" t="str">
        <f t="shared" si="317"/>
        <v xml:space="preserve">TR semillero </v>
      </c>
      <c r="C737" s="3935">
        <f t="shared" si="318"/>
        <v>0</v>
      </c>
      <c r="D737" s="4535">
        <f t="shared" ref="D737:D753" si="319">+SUM(E625:P625)</f>
        <v>0</v>
      </c>
      <c r="E737" s="3436"/>
      <c r="F737" s="3436"/>
      <c r="G737" s="3436"/>
      <c r="H737" s="3436"/>
      <c r="I737" s="3436"/>
      <c r="J737" s="3436"/>
      <c r="K737" s="3436"/>
      <c r="L737" s="3436"/>
      <c r="M737" s="3436"/>
      <c r="N737" s="3436"/>
      <c r="O737" s="3436"/>
      <c r="P737" s="3436"/>
    </row>
    <row r="738" spans="2:16" hidden="1" x14ac:dyDescent="0.3">
      <c r="B738" s="4534" t="str">
        <f t="shared" si="317"/>
        <v xml:space="preserve">TB semillero </v>
      </c>
      <c r="C738" s="3935">
        <f t="shared" si="318"/>
        <v>0</v>
      </c>
      <c r="D738" s="4535">
        <f t="shared" si="319"/>
        <v>0</v>
      </c>
      <c r="E738" s="3436"/>
      <c r="F738" s="3436"/>
      <c r="G738" s="3436"/>
      <c r="H738" s="3436"/>
      <c r="I738" s="3436"/>
      <c r="J738" s="3436"/>
      <c r="K738" s="3436"/>
      <c r="L738" s="3436"/>
      <c r="M738" s="3436"/>
      <c r="N738" s="3436"/>
      <c r="O738" s="3436"/>
      <c r="P738" s="3436"/>
    </row>
    <row r="739" spans="2:16" hidden="1" x14ac:dyDescent="0.3">
      <c r="B739" s="4534" t="str">
        <f t="shared" si="317"/>
        <v xml:space="preserve">Achicoria Semillero </v>
      </c>
      <c r="C739" s="3935">
        <f t="shared" si="318"/>
        <v>0</v>
      </c>
      <c r="D739" s="4535">
        <f t="shared" si="319"/>
        <v>0</v>
      </c>
      <c r="E739" s="3436"/>
      <c r="F739" s="3436"/>
      <c r="G739" s="3436"/>
      <c r="H739" s="3436"/>
      <c r="I739" s="3436"/>
      <c r="J739" s="3436"/>
      <c r="K739" s="3436"/>
      <c r="L739" s="3436"/>
      <c r="M739" s="3436"/>
      <c r="N739" s="3436"/>
      <c r="O739" s="3436"/>
      <c r="P739" s="3436"/>
    </row>
    <row r="740" spans="2:16" hidden="1" x14ac:dyDescent="0.3">
      <c r="B740" s="4534">
        <f t="shared" si="317"/>
        <v>0</v>
      </c>
      <c r="C740" s="3935">
        <f t="shared" si="318"/>
        <v>0</v>
      </c>
      <c r="D740" s="4535">
        <f t="shared" si="319"/>
        <v>0</v>
      </c>
      <c r="E740" s="3436"/>
      <c r="F740" s="3436"/>
      <c r="G740" s="3436"/>
      <c r="H740" s="3436"/>
      <c r="I740" s="3436"/>
      <c r="J740" s="3436"/>
      <c r="K740" s="3436"/>
      <c r="L740" s="3436"/>
      <c r="M740" s="3436"/>
      <c r="N740" s="3436"/>
      <c r="O740" s="3436"/>
      <c r="P740" s="3436"/>
    </row>
    <row r="741" spans="2:16" hidden="1" x14ac:dyDescent="0.3">
      <c r="B741" s="4534">
        <f t="shared" si="317"/>
        <v>0</v>
      </c>
      <c r="C741" s="3935">
        <f t="shared" si="318"/>
        <v>0</v>
      </c>
      <c r="D741" s="4535">
        <f t="shared" si="319"/>
        <v>0</v>
      </c>
      <c r="E741" s="3436"/>
      <c r="F741" s="3436"/>
      <c r="G741" s="3436"/>
      <c r="H741" s="3436"/>
      <c r="I741" s="3436"/>
      <c r="J741" s="3436"/>
      <c r="K741" s="3436"/>
      <c r="L741" s="3436"/>
      <c r="M741" s="3436"/>
      <c r="N741" s="3436"/>
      <c r="O741" s="3436"/>
      <c r="P741" s="3436"/>
    </row>
    <row r="742" spans="2:16" hidden="1" x14ac:dyDescent="0.3">
      <c r="B742" s="4534">
        <f t="shared" si="317"/>
        <v>0</v>
      </c>
      <c r="C742" s="3935">
        <f t="shared" si="318"/>
        <v>0</v>
      </c>
      <c r="D742" s="4535">
        <f t="shared" si="319"/>
        <v>0</v>
      </c>
      <c r="E742" s="3436"/>
      <c r="F742" s="3436"/>
      <c r="G742" s="3436"/>
      <c r="H742" s="3436"/>
      <c r="I742" s="3436"/>
      <c r="J742" s="3436"/>
      <c r="K742" s="3436"/>
      <c r="L742" s="3436"/>
      <c r="M742" s="3436"/>
      <c r="N742" s="3436"/>
      <c r="O742" s="3436"/>
      <c r="P742" s="3436"/>
    </row>
    <row r="743" spans="2:16" hidden="1" x14ac:dyDescent="0.3">
      <c r="B743" s="4534">
        <f t="shared" si="317"/>
        <v>0</v>
      </c>
      <c r="C743" s="3935">
        <f t="shared" si="318"/>
        <v>0</v>
      </c>
      <c r="D743" s="4535">
        <f t="shared" si="319"/>
        <v>0</v>
      </c>
      <c r="E743" s="3436"/>
      <c r="F743" s="3436"/>
      <c r="G743" s="3436"/>
      <c r="H743" s="3436"/>
      <c r="I743" s="3436"/>
      <c r="J743" s="3436"/>
      <c r="K743" s="3436"/>
      <c r="L743" s="3436"/>
      <c r="M743" s="3436"/>
      <c r="N743" s="3436"/>
      <c r="O743" s="3436"/>
      <c r="P743" s="3436"/>
    </row>
    <row r="744" spans="2:16" hidden="1" x14ac:dyDescent="0.3">
      <c r="B744" s="4534">
        <f t="shared" si="317"/>
        <v>0</v>
      </c>
      <c r="C744" s="3935">
        <f t="shared" si="318"/>
        <v>0</v>
      </c>
      <c r="D744" s="4535">
        <f t="shared" si="319"/>
        <v>0</v>
      </c>
      <c r="E744" s="3436"/>
      <c r="F744" s="3436"/>
      <c r="G744" s="3436"/>
      <c r="H744" s="3436"/>
      <c r="I744" s="3436"/>
      <c r="J744" s="3436"/>
      <c r="K744" s="3436"/>
      <c r="L744" s="3436"/>
      <c r="M744" s="3436"/>
      <c r="N744" s="3436"/>
      <c r="O744" s="3436"/>
      <c r="P744" s="3436"/>
    </row>
    <row r="745" spans="2:16" hidden="1" x14ac:dyDescent="0.3">
      <c r="B745" s="4534" t="str">
        <f t="shared" si="317"/>
        <v xml:space="preserve">Dactylis Semillero </v>
      </c>
      <c r="C745" s="3935">
        <f t="shared" si="318"/>
        <v>0</v>
      </c>
      <c r="D745" s="4535">
        <f t="shared" si="319"/>
        <v>0</v>
      </c>
      <c r="E745" s="3436"/>
      <c r="F745" s="3436"/>
      <c r="G745" s="3436"/>
      <c r="H745" s="3436"/>
      <c r="I745" s="3436"/>
      <c r="J745" s="3436"/>
      <c r="K745" s="3436"/>
      <c r="L745" s="3436"/>
      <c r="M745" s="3436"/>
      <c r="N745" s="3436"/>
      <c r="O745" s="3436"/>
      <c r="P745" s="3436"/>
    </row>
    <row r="746" spans="2:16" hidden="1" x14ac:dyDescent="0.3">
      <c r="B746" s="4534" t="str">
        <f t="shared" si="317"/>
        <v xml:space="preserve">Festuca Semillero </v>
      </c>
      <c r="C746" s="3935">
        <f t="shared" si="318"/>
        <v>0</v>
      </c>
      <c r="D746" s="4535">
        <f t="shared" si="319"/>
        <v>0</v>
      </c>
      <c r="E746" s="3436"/>
      <c r="F746" s="3436"/>
      <c r="G746" s="3436"/>
      <c r="H746" s="3436"/>
      <c r="I746" s="3436"/>
      <c r="J746" s="3436"/>
      <c r="K746" s="3436"/>
      <c r="L746" s="3436"/>
      <c r="M746" s="3436"/>
      <c r="N746" s="3436"/>
      <c r="O746" s="3436"/>
      <c r="P746" s="3436"/>
    </row>
    <row r="747" spans="2:16" hidden="1" x14ac:dyDescent="0.3">
      <c r="B747" s="4534" t="str">
        <f t="shared" si="317"/>
        <v xml:space="preserve">Rg semillero </v>
      </c>
      <c r="C747" s="3935">
        <f t="shared" si="318"/>
        <v>0</v>
      </c>
      <c r="D747" s="4535">
        <f t="shared" si="319"/>
        <v>0</v>
      </c>
      <c r="E747" s="3436"/>
      <c r="F747" s="3436"/>
      <c r="G747" s="3436"/>
      <c r="H747" s="3436"/>
      <c r="I747" s="3436"/>
      <c r="J747" s="3436"/>
      <c r="K747" s="3436"/>
      <c r="L747" s="3436"/>
      <c r="M747" s="3436"/>
      <c r="N747" s="3436"/>
      <c r="O747" s="3436"/>
      <c r="P747" s="3436"/>
    </row>
    <row r="748" spans="2:16" hidden="1" x14ac:dyDescent="0.3">
      <c r="B748" s="4534">
        <f t="shared" si="317"/>
        <v>0</v>
      </c>
      <c r="C748" s="3935">
        <f t="shared" si="318"/>
        <v>0</v>
      </c>
      <c r="D748" s="4535">
        <f t="shared" si="319"/>
        <v>0</v>
      </c>
      <c r="E748" s="3436"/>
      <c r="F748" s="3436"/>
      <c r="G748" s="3436"/>
      <c r="H748" s="3436"/>
      <c r="I748" s="3436"/>
      <c r="J748" s="3436"/>
      <c r="K748" s="3436"/>
      <c r="L748" s="3436"/>
      <c r="M748" s="3436"/>
      <c r="N748" s="3436"/>
      <c r="O748" s="3436"/>
      <c r="P748" s="3436"/>
    </row>
    <row r="749" spans="2:16" hidden="1" x14ac:dyDescent="0.3">
      <c r="B749" s="4534">
        <f t="shared" si="317"/>
        <v>0</v>
      </c>
      <c r="C749" s="3935">
        <f t="shared" si="318"/>
        <v>0</v>
      </c>
      <c r="D749" s="4535">
        <f t="shared" si="319"/>
        <v>0</v>
      </c>
      <c r="E749" s="3436"/>
      <c r="F749" s="3436"/>
      <c r="G749" s="3436"/>
      <c r="H749" s="3436"/>
      <c r="I749" s="3436"/>
      <c r="J749" s="3436"/>
      <c r="K749" s="3436"/>
      <c r="L749" s="3436"/>
      <c r="M749" s="3436"/>
      <c r="N749" s="3436"/>
      <c r="O749" s="3436"/>
      <c r="P749" s="3436"/>
    </row>
    <row r="750" spans="2:16" hidden="1" x14ac:dyDescent="0.3">
      <c r="B750" s="4534">
        <f t="shared" si="317"/>
        <v>0</v>
      </c>
      <c r="C750" s="3935">
        <f t="shared" si="318"/>
        <v>0</v>
      </c>
      <c r="D750" s="4535">
        <f t="shared" si="319"/>
        <v>0</v>
      </c>
      <c r="E750" s="3436"/>
      <c r="F750" s="3436"/>
      <c r="G750" s="3436"/>
      <c r="H750" s="3436"/>
      <c r="I750" s="3436"/>
      <c r="J750" s="3436"/>
      <c r="K750" s="3436"/>
      <c r="L750" s="3436"/>
      <c r="M750" s="3436"/>
      <c r="N750" s="3436"/>
      <c r="O750" s="3436"/>
      <c r="P750" s="3436"/>
    </row>
    <row r="751" spans="2:16" hidden="1" x14ac:dyDescent="0.3">
      <c r="B751" s="4534">
        <f t="shared" si="317"/>
        <v>0</v>
      </c>
      <c r="C751" s="3935">
        <f t="shared" si="318"/>
        <v>0</v>
      </c>
      <c r="D751" s="4535">
        <f t="shared" si="319"/>
        <v>0</v>
      </c>
      <c r="E751" s="3436"/>
      <c r="F751" s="3436"/>
      <c r="G751" s="3436"/>
      <c r="H751" s="3436"/>
      <c r="I751" s="3436"/>
      <c r="J751" s="3436"/>
      <c r="K751" s="3436"/>
      <c r="L751" s="3436"/>
      <c r="M751" s="3436"/>
      <c r="N751" s="3436"/>
      <c r="O751" s="3436"/>
      <c r="P751" s="3436"/>
    </row>
    <row r="752" spans="2:16" hidden="1" x14ac:dyDescent="0.3">
      <c r="B752" s="4534">
        <f t="shared" si="317"/>
        <v>0</v>
      </c>
      <c r="C752" s="3935">
        <f t="shared" si="318"/>
        <v>0</v>
      </c>
      <c r="D752" s="4535">
        <f t="shared" si="319"/>
        <v>0</v>
      </c>
      <c r="E752" s="3436"/>
      <c r="F752" s="3436"/>
      <c r="G752" s="3436"/>
      <c r="H752" s="3436"/>
      <c r="I752" s="3436"/>
      <c r="J752" s="3436"/>
      <c r="K752" s="3436"/>
      <c r="L752" s="3436"/>
      <c r="M752" s="3436"/>
      <c r="N752" s="3436"/>
      <c r="O752" s="3436"/>
      <c r="P752" s="3436"/>
    </row>
    <row r="753" spans="1:16" ht="15.05" hidden="1" thickBot="1" x14ac:dyDescent="0.35">
      <c r="B753" s="4536">
        <f t="shared" si="317"/>
        <v>0</v>
      </c>
      <c r="C753" s="4537">
        <f t="shared" si="318"/>
        <v>0</v>
      </c>
      <c r="D753" s="4538">
        <f t="shared" si="319"/>
        <v>0</v>
      </c>
      <c r="E753" s="3436"/>
      <c r="F753" s="3436"/>
      <c r="G753" s="3436"/>
      <c r="H753" s="3436"/>
      <c r="I753" s="3436"/>
      <c r="J753" s="3436"/>
      <c r="K753" s="3436"/>
      <c r="L753" s="3436"/>
      <c r="M753" s="3436"/>
      <c r="N753" s="3436"/>
      <c r="O753" s="3436"/>
      <c r="P753" s="3436"/>
    </row>
    <row r="754" spans="1:16" ht="15.75" hidden="1" thickTop="1" thickBot="1" x14ac:dyDescent="0.35">
      <c r="E754" s="3436"/>
      <c r="F754" s="3436"/>
      <c r="G754" s="3436"/>
      <c r="H754" s="3436"/>
      <c r="I754" s="3436"/>
      <c r="J754" s="3436"/>
      <c r="K754" s="3436"/>
      <c r="L754" s="3436"/>
      <c r="M754" s="3436"/>
      <c r="N754" s="3436"/>
      <c r="O754" s="3436"/>
      <c r="P754" s="3436"/>
    </row>
    <row r="755" spans="1:16" ht="15.05" hidden="1" thickTop="1" x14ac:dyDescent="0.3">
      <c r="A755" s="3071"/>
      <c r="B755" s="4532" t="s">
        <v>2285</v>
      </c>
      <c r="C755" s="4533"/>
      <c r="D755" s="3610"/>
      <c r="E755" s="3436"/>
      <c r="F755" s="3436"/>
      <c r="G755" s="3436"/>
      <c r="H755" s="3436"/>
      <c r="I755" s="3436"/>
      <c r="J755" s="3436"/>
      <c r="K755" s="3436"/>
      <c r="L755" s="3436"/>
      <c r="M755" s="3436"/>
      <c r="N755" s="3436"/>
      <c r="O755" s="3436"/>
      <c r="P755" s="3436"/>
    </row>
    <row r="756" spans="1:16" hidden="1" x14ac:dyDescent="0.3">
      <c r="B756" s="4539" t="s">
        <v>1921</v>
      </c>
      <c r="C756" s="4540">
        <f>+T34</f>
        <v>0</v>
      </c>
      <c r="E756" s="3436"/>
      <c r="F756" s="3436"/>
      <c r="G756" s="3436"/>
      <c r="H756" s="3436"/>
      <c r="I756" s="3436"/>
      <c r="J756" s="3436"/>
      <c r="K756" s="3436"/>
      <c r="L756" s="3436"/>
      <c r="M756" s="3436"/>
      <c r="N756" s="3436"/>
      <c r="O756" s="3436"/>
      <c r="P756" s="3436"/>
    </row>
    <row r="757" spans="1:16" hidden="1" x14ac:dyDescent="0.3">
      <c r="B757" s="4541" t="s">
        <v>2268</v>
      </c>
      <c r="C757" s="4542">
        <f>+T85</f>
        <v>0</v>
      </c>
      <c r="E757" s="3436"/>
      <c r="F757" s="3436"/>
      <c r="G757" s="3436"/>
      <c r="H757" s="3436"/>
      <c r="I757" s="3436"/>
      <c r="J757" s="3436"/>
      <c r="K757" s="3436"/>
      <c r="L757" s="3436"/>
      <c r="M757" s="3436"/>
      <c r="N757" s="3436"/>
      <c r="O757" s="3436"/>
      <c r="P757" s="3436"/>
    </row>
    <row r="758" spans="1:16" hidden="1" x14ac:dyDescent="0.3">
      <c r="B758" s="4541" t="s">
        <v>1887</v>
      </c>
      <c r="C758" s="4542">
        <f>+T292</f>
        <v>0</v>
      </c>
      <c r="E758" s="3436"/>
      <c r="F758" s="3436"/>
      <c r="G758" s="3436"/>
      <c r="H758" s="3436"/>
      <c r="I758" s="3436"/>
      <c r="J758" s="3436"/>
      <c r="K758" s="3436"/>
      <c r="L758" s="3436"/>
      <c r="M758" s="3436"/>
      <c r="N758" s="3436"/>
      <c r="O758" s="3436"/>
      <c r="P758" s="3436"/>
    </row>
    <row r="759" spans="1:16" hidden="1" x14ac:dyDescent="0.3">
      <c r="B759" s="4541" t="s">
        <v>296</v>
      </c>
      <c r="C759" s="4542" t="s">
        <v>2287</v>
      </c>
      <c r="E759" s="3436"/>
      <c r="F759" s="3436"/>
      <c r="G759" s="3436"/>
      <c r="H759" s="3436"/>
      <c r="I759" s="3436"/>
      <c r="J759" s="3436"/>
      <c r="K759" s="3436"/>
      <c r="L759" s="3436"/>
      <c r="M759" s="3436"/>
      <c r="N759" s="3436"/>
      <c r="O759" s="3436"/>
      <c r="P759" s="3436"/>
    </row>
    <row r="760" spans="1:16" hidden="1" x14ac:dyDescent="0.3">
      <c r="B760" s="4541" t="s">
        <v>2286</v>
      </c>
      <c r="C760" s="4542" t="s">
        <v>2287</v>
      </c>
      <c r="E760" s="3436"/>
      <c r="F760" s="3436"/>
      <c r="G760" s="3436"/>
      <c r="H760" s="3436"/>
      <c r="I760" s="3436"/>
      <c r="J760" s="3436"/>
      <c r="K760" s="3436"/>
      <c r="L760" s="3436"/>
      <c r="M760" s="3436"/>
      <c r="N760" s="3436"/>
      <c r="O760" s="3436"/>
      <c r="P760" s="3436"/>
    </row>
    <row r="761" spans="1:16" hidden="1" x14ac:dyDescent="0.3">
      <c r="B761" s="4541" t="s">
        <v>2288</v>
      </c>
      <c r="C761" s="4542" t="s">
        <v>410</v>
      </c>
      <c r="E761" s="3436"/>
      <c r="F761" s="3436"/>
      <c r="G761" s="3436"/>
      <c r="H761" s="3436"/>
      <c r="I761" s="3436"/>
      <c r="J761" s="3436"/>
      <c r="K761" s="3436"/>
      <c r="L761" s="3436"/>
      <c r="M761" s="3436"/>
      <c r="N761" s="3436"/>
      <c r="O761" s="3436"/>
      <c r="P761" s="3436"/>
    </row>
    <row r="762" spans="1:16" ht="15.05" hidden="1" thickBot="1" x14ac:dyDescent="0.35">
      <c r="B762" s="4543" t="s">
        <v>230</v>
      </c>
      <c r="C762" s="4544">
        <f>+SUM(C756:C758)</f>
        <v>0</v>
      </c>
      <c r="E762" s="3436"/>
      <c r="F762" s="3436"/>
      <c r="G762" s="3436"/>
      <c r="H762" s="3436"/>
      <c r="I762" s="3436"/>
      <c r="J762" s="3436"/>
      <c r="K762" s="3436"/>
      <c r="L762" s="3436"/>
      <c r="M762" s="3436"/>
      <c r="N762" s="3436"/>
      <c r="O762" s="3436"/>
      <c r="P762" s="3436"/>
    </row>
    <row r="763" spans="1:16" ht="15.05" hidden="1" thickTop="1" x14ac:dyDescent="0.3">
      <c r="E763" s="3436"/>
      <c r="F763" s="3436"/>
      <c r="G763" s="3436"/>
      <c r="H763" s="3436"/>
      <c r="I763" s="3436"/>
      <c r="J763" s="3436"/>
      <c r="K763" s="3436"/>
      <c r="L763" s="3436"/>
      <c r="M763" s="3436"/>
      <c r="N763" s="3436"/>
      <c r="O763" s="3436"/>
      <c r="P763" s="3436"/>
    </row>
    <row r="764" spans="1:16" hidden="1" x14ac:dyDescent="0.3"/>
    <row r="765" spans="1:16" hidden="1" x14ac:dyDescent="0.3"/>
    <row r="766" spans="1:16" hidden="1" x14ac:dyDescent="0.3"/>
    <row r="767" spans="1:16" hidden="1" x14ac:dyDescent="0.3"/>
    <row r="768" spans="1:16" hidden="1" x14ac:dyDescent="0.3"/>
    <row r="769" hidden="1" x14ac:dyDescent="0.3"/>
    <row r="770" hidden="1" x14ac:dyDescent="0.3"/>
    <row r="771" hidden="1" x14ac:dyDescent="0.3"/>
    <row r="772" hidden="1" x14ac:dyDescent="0.3"/>
    <row r="773" hidden="1" x14ac:dyDescent="0.3"/>
    <row r="774" hidden="1" x14ac:dyDescent="0.3"/>
  </sheetData>
  <sheetProtection algorithmName="SHA-512" hashValue="ns5OwImctrlVvrzDKfsGjCSadAdcvTxIfJPbkUSA3CUF3fvEIW3PRjUonM+uZkzTUzOeB/UTR7w6OrHrxcjYsQ==" saltValue="v4WbfzFZ4PK2Vf9hrmkOTA==" spinCount="100000" sheet="1" objects="1" scenarios="1"/>
  <mergeCells count="18">
    <mergeCell ref="C339:F339"/>
    <mergeCell ref="I339:L339"/>
    <mergeCell ref="C341:F341"/>
    <mergeCell ref="I341:L341"/>
    <mergeCell ref="C343:F343"/>
    <mergeCell ref="I343:L343"/>
    <mergeCell ref="C345:F345"/>
    <mergeCell ref="I345:L345"/>
    <mergeCell ref="C347:F347"/>
    <mergeCell ref="I347:L347"/>
    <mergeCell ref="C349:F349"/>
    <mergeCell ref="I349:L349"/>
    <mergeCell ref="C351:F351"/>
    <mergeCell ref="I351:L351"/>
    <mergeCell ref="C353:F353"/>
    <mergeCell ref="I353:L353"/>
    <mergeCell ref="C355:F355"/>
    <mergeCell ref="I355:L355"/>
  </mergeCells>
  <conditionalFormatting sqref="E248:P259">
    <cfRule type="expression" dxfId="641" priority="453">
      <formula>E248&gt;E233</formula>
    </cfRule>
  </conditionalFormatting>
  <conditionalFormatting sqref="E263:P274">
    <cfRule type="expression" dxfId="640" priority="452">
      <formula>AND(E263="",E248&gt;0)</formula>
    </cfRule>
  </conditionalFormatting>
  <conditionalFormatting sqref="E582:P599">
    <cfRule type="expression" dxfId="639" priority="832">
      <formula>E582&gt;E561</formula>
    </cfRule>
  </conditionalFormatting>
  <conditionalFormatting sqref="E603:P620">
    <cfRule type="expression" dxfId="638" priority="834">
      <formula>AND(E603="",E582&gt;0)</formula>
    </cfRule>
  </conditionalFormatting>
  <conditionalFormatting sqref="E592:P598">
    <cfRule type="expression" dxfId="637" priority="837">
      <formula>E592&gt;E565</formula>
    </cfRule>
  </conditionalFormatting>
  <conditionalFormatting sqref="B1:XFD1 C107:XFD107 Q247:XFD247 A107 Q262:XFD262 A249:XFD261 Q277:XFD277 A264:XFD276 B229:XFD229 A360:XFD369 A230:XFD230 R109:XFD147 B263:XFD263 A370:A556 R370:XFD556 A656:XFD656 A557:XFD558 A561:XFD580 A649:XFD654 A2:XFD2 A659:XFD674 A219:A227 A209 A199 R149:XFD157 R159:XFD167 R169:XFD177 R179:XFD187 R189:XFD197 R199:XFD217 R219:XFD227 A756:XFD1048576 A279:XFD335 B755:XFD755 A7:XFD17 A20:XFD77 A80:XFD106 A243:XFD246 A242:T242 V242:XFD242 B248:XFD248 A233:XFD241 B278:XFD278 A357:XFD357 A338:B349 N338:XFD349 N351:XFD351 A351:B351 A353:B353 N353:XFD353 N355:XFD356 A355:B356 A337:XFD337 A5:XFD5 A3:F3 H3:I3 K3:XFD4 A4:I4 A582:XFD601 B581:XFD581 A603:XFD622 B602:XFD602 A624:XFD646 B623:XFD623">
    <cfRule type="cellIs" dxfId="636" priority="449" operator="equal">
      <formula>0</formula>
    </cfRule>
  </conditionalFormatting>
  <conditionalFormatting sqref="Q491:Q501">
    <cfRule type="cellIs" dxfId="635" priority="338" operator="equal">
      <formula>0</formula>
    </cfRule>
  </conditionalFormatting>
  <conditionalFormatting sqref="Q414:Q424">
    <cfRule type="cellIs" dxfId="634" priority="352" operator="equal">
      <formula>0</formula>
    </cfRule>
  </conditionalFormatting>
  <conditionalFormatting sqref="E263:P274">
    <cfRule type="expression" dxfId="633" priority="440">
      <formula>E263&gt;E248</formula>
    </cfRule>
  </conditionalFormatting>
  <conditionalFormatting sqref="B247:P247">
    <cfRule type="cellIs" dxfId="632" priority="430" operator="equal">
      <formula>0</formula>
    </cfRule>
  </conditionalFormatting>
  <conditionalFormatting sqref="B262:D262">
    <cfRule type="cellIs" dxfId="631" priority="429" operator="equal">
      <formula>0</formula>
    </cfRule>
  </conditionalFormatting>
  <conditionalFormatting sqref="B480:P480">
    <cfRule type="cellIs" dxfId="630" priority="339" operator="equal">
      <formula>0</formula>
    </cfRule>
  </conditionalFormatting>
  <conditionalFormatting sqref="E262:P262">
    <cfRule type="cellIs" dxfId="629" priority="423" operator="equal">
      <formula>0</formula>
    </cfRule>
  </conditionalFormatting>
  <conditionalFormatting sqref="B414:P414">
    <cfRule type="cellIs" dxfId="628" priority="351" operator="equal">
      <formula>0</formula>
    </cfRule>
  </conditionalFormatting>
  <conditionalFormatting sqref="B277:P277">
    <cfRule type="cellIs" dxfId="627" priority="421" operator="equal">
      <formula>0</formula>
    </cfRule>
  </conditionalFormatting>
  <conditionalFormatting sqref="B199:P199">
    <cfRule type="cellIs" dxfId="626" priority="377" operator="equal">
      <formula>0</formula>
    </cfRule>
  </conditionalFormatting>
  <conditionalFormatting sqref="B6:P6">
    <cfRule type="cellIs" dxfId="625" priority="297" operator="equal">
      <formula>0</formula>
    </cfRule>
  </conditionalFormatting>
  <conditionalFormatting sqref="Q199">
    <cfRule type="cellIs" dxfId="624" priority="391" operator="equal">
      <formula>0</formula>
    </cfRule>
  </conditionalFormatting>
  <conditionalFormatting sqref="Q209">
    <cfRule type="cellIs" dxfId="623" priority="389" operator="equal">
      <formula>0</formula>
    </cfRule>
  </conditionalFormatting>
  <conditionalFormatting sqref="Q6">
    <cfRule type="cellIs" dxfId="622" priority="296" operator="equal">
      <formula>0</formula>
    </cfRule>
  </conditionalFormatting>
  <conditionalFormatting sqref="B524:P524">
    <cfRule type="cellIs" dxfId="621" priority="331" operator="equal">
      <formula>0</formula>
    </cfRule>
  </conditionalFormatting>
  <conditionalFormatting sqref="B370:P370">
    <cfRule type="cellIs" dxfId="620" priority="359" operator="equal">
      <formula>0</formula>
    </cfRule>
  </conditionalFormatting>
  <conditionalFormatting sqref="B447:P447">
    <cfRule type="cellIs" dxfId="619" priority="345" operator="equal">
      <formula>0</formula>
    </cfRule>
  </conditionalFormatting>
  <conditionalFormatting sqref="Q219 B220:Q227">
    <cfRule type="cellIs" dxfId="618" priority="387" operator="equal">
      <formula>0</formula>
    </cfRule>
  </conditionalFormatting>
  <conditionalFormatting sqref="B513:P513">
    <cfRule type="cellIs" dxfId="617" priority="333" operator="equal">
      <formula>0</formula>
    </cfRule>
  </conditionalFormatting>
  <conditionalFormatting sqref="B546:P546">
    <cfRule type="cellIs" dxfId="616" priority="327" operator="equal">
      <formula>0</formula>
    </cfRule>
  </conditionalFormatting>
  <conditionalFormatting sqref="B209:P209">
    <cfRule type="cellIs" dxfId="615" priority="376" operator="equal">
      <formula>0</formula>
    </cfRule>
  </conditionalFormatting>
  <conditionalFormatting sqref="B219:P219">
    <cfRule type="cellIs" dxfId="614" priority="375" operator="equal">
      <formula>0</formula>
    </cfRule>
  </conditionalFormatting>
  <conditionalFormatting sqref="A229">
    <cfRule type="cellIs" dxfId="613" priority="374" operator="equal">
      <formula>0</formula>
    </cfRule>
  </conditionalFormatting>
  <conditionalFormatting sqref="B469:P469">
    <cfRule type="cellIs" dxfId="612" priority="341" operator="equal">
      <formula>0</formula>
    </cfRule>
  </conditionalFormatting>
  <conditionalFormatting sqref="R18:XFD18">
    <cfRule type="cellIs" dxfId="611" priority="294" operator="equal">
      <formula>0</formula>
    </cfRule>
  </conditionalFormatting>
  <conditionalFormatting sqref="Q535:Q545">
    <cfRule type="cellIs" dxfId="610" priority="330" operator="equal">
      <formula>0</formula>
    </cfRule>
  </conditionalFormatting>
  <conditionalFormatting sqref="B535:P535">
    <cfRule type="cellIs" dxfId="609" priority="329" operator="equal">
      <formula>0</formula>
    </cfRule>
  </conditionalFormatting>
  <conditionalFormatting sqref="Q370:Q380">
    <cfRule type="cellIs" dxfId="608" priority="360" operator="equal">
      <formula>0</formula>
    </cfRule>
  </conditionalFormatting>
  <conditionalFormatting sqref="Q381:Q391">
    <cfRule type="cellIs" dxfId="607" priority="358" operator="equal">
      <formula>0</formula>
    </cfRule>
  </conditionalFormatting>
  <conditionalFormatting sqref="B381:P381">
    <cfRule type="cellIs" dxfId="606" priority="357" operator="equal">
      <formula>0</formula>
    </cfRule>
  </conditionalFormatting>
  <conditionalFormatting sqref="Q392:Q402">
    <cfRule type="cellIs" dxfId="605" priority="356" operator="equal">
      <formula>0</formula>
    </cfRule>
  </conditionalFormatting>
  <conditionalFormatting sqref="B392:P392">
    <cfRule type="cellIs" dxfId="604" priority="355" operator="equal">
      <formula>0</formula>
    </cfRule>
  </conditionalFormatting>
  <conditionalFormatting sqref="Q403:Q413">
    <cfRule type="cellIs" dxfId="603" priority="354" operator="equal">
      <formula>0</formula>
    </cfRule>
  </conditionalFormatting>
  <conditionalFormatting sqref="B403:P403">
    <cfRule type="cellIs" dxfId="602" priority="353" operator="equal">
      <formula>0</formula>
    </cfRule>
  </conditionalFormatting>
  <conditionalFormatting sqref="Q425:Q435">
    <cfRule type="cellIs" dxfId="601" priority="350" operator="equal">
      <formula>0</formula>
    </cfRule>
  </conditionalFormatting>
  <conditionalFormatting sqref="B425:P425">
    <cfRule type="cellIs" dxfId="600" priority="349" operator="equal">
      <formula>0</formula>
    </cfRule>
  </conditionalFormatting>
  <conditionalFormatting sqref="Q436:Q446">
    <cfRule type="cellIs" dxfId="599" priority="348" operator="equal">
      <formula>0</formula>
    </cfRule>
  </conditionalFormatting>
  <conditionalFormatting sqref="B436:P436">
    <cfRule type="cellIs" dxfId="598" priority="347" operator="equal">
      <formula>0</formula>
    </cfRule>
  </conditionalFormatting>
  <conditionalFormatting sqref="Q447:Q457">
    <cfRule type="cellIs" dxfId="597" priority="346" operator="equal">
      <formula>0</formula>
    </cfRule>
  </conditionalFormatting>
  <conditionalFormatting sqref="Q458:Q468">
    <cfRule type="cellIs" dxfId="596" priority="344" operator="equal">
      <formula>0</formula>
    </cfRule>
  </conditionalFormatting>
  <conditionalFormatting sqref="B458:P458">
    <cfRule type="cellIs" dxfId="595" priority="343" operator="equal">
      <formula>0</formula>
    </cfRule>
  </conditionalFormatting>
  <conditionalFormatting sqref="Q469:Q479">
    <cfRule type="cellIs" dxfId="594" priority="342" operator="equal">
      <formula>0</formula>
    </cfRule>
  </conditionalFormatting>
  <conditionalFormatting sqref="Q480:Q490">
    <cfRule type="cellIs" dxfId="593" priority="340" operator="equal">
      <formula>0</formula>
    </cfRule>
  </conditionalFormatting>
  <conditionalFormatting sqref="B491:P491">
    <cfRule type="cellIs" dxfId="592" priority="337" operator="equal">
      <formula>0</formula>
    </cfRule>
  </conditionalFormatting>
  <conditionalFormatting sqref="Q502:Q512">
    <cfRule type="cellIs" dxfId="591" priority="336" operator="equal">
      <formula>0</formula>
    </cfRule>
  </conditionalFormatting>
  <conditionalFormatting sqref="B502:P502">
    <cfRule type="cellIs" dxfId="590" priority="335" operator="equal">
      <formula>0</formula>
    </cfRule>
  </conditionalFormatting>
  <conditionalFormatting sqref="Q513:Q523">
    <cfRule type="cellIs" dxfId="589" priority="334" operator="equal">
      <formula>0</formula>
    </cfRule>
  </conditionalFormatting>
  <conditionalFormatting sqref="Q524:Q534">
    <cfRule type="cellIs" dxfId="588" priority="332" operator="equal">
      <formula>0</formula>
    </cfRule>
  </conditionalFormatting>
  <conditionalFormatting sqref="Q546:Q556">
    <cfRule type="cellIs" dxfId="587" priority="328" operator="equal">
      <formula>0</formula>
    </cfRule>
  </conditionalFormatting>
  <conditionalFormatting sqref="E603:P620">
    <cfRule type="expression" dxfId="586" priority="319">
      <formula>E603&gt;E583</formula>
    </cfRule>
  </conditionalFormatting>
  <conditionalFormatting sqref="E613:P619">
    <cfRule type="expression" dxfId="585" priority="320">
      <formula>E613&gt;E587</formula>
    </cfRule>
  </conditionalFormatting>
  <conditionalFormatting sqref="Q655:XFD655">
    <cfRule type="cellIs" dxfId="584" priority="314" operator="equal">
      <formula>0</formula>
    </cfRule>
  </conditionalFormatting>
  <conditionalFormatting sqref="B655:P655">
    <cfRule type="cellIs" dxfId="583" priority="311" operator="equal">
      <formula>0</formula>
    </cfRule>
  </conditionalFormatting>
  <conditionalFormatting sqref="B18:P18">
    <cfRule type="cellIs" dxfId="582" priority="291" operator="equal">
      <formula>0</formula>
    </cfRule>
  </conditionalFormatting>
  <conditionalFormatting sqref="B149:P149">
    <cfRule type="cellIs" dxfId="581" priority="218" operator="equal">
      <formula>0</formula>
    </cfRule>
  </conditionalFormatting>
  <conditionalFormatting sqref="A658:XFD658">
    <cfRule type="cellIs" dxfId="580" priority="254" operator="equal">
      <formula>0</formula>
    </cfRule>
  </conditionalFormatting>
  <conditionalFormatting sqref="R6:XFD6">
    <cfRule type="cellIs" dxfId="579" priority="300" operator="equal">
      <formula>0</formula>
    </cfRule>
  </conditionalFormatting>
  <conditionalFormatting sqref="Q149">
    <cfRule type="cellIs" dxfId="578" priority="219" operator="equal">
      <formula>0</formula>
    </cfRule>
  </conditionalFormatting>
  <conditionalFormatting sqref="A19:XFD19">
    <cfRule type="cellIs" dxfId="577" priority="295" operator="equal">
      <formula>0</formula>
    </cfRule>
  </conditionalFormatting>
  <conditionalFormatting sqref="B150:Q157">
    <cfRule type="cellIs" dxfId="576" priority="216" operator="equal">
      <formula>0</formula>
    </cfRule>
  </conditionalFormatting>
  <conditionalFormatting sqref="Q18">
    <cfRule type="cellIs" dxfId="575" priority="290" operator="equal">
      <formula>0</formula>
    </cfRule>
  </conditionalFormatting>
  <conditionalFormatting sqref="A79:XFD79">
    <cfRule type="cellIs" dxfId="574" priority="289" operator="equal">
      <formula>0</formula>
    </cfRule>
  </conditionalFormatting>
  <conditionalFormatting sqref="R78:XFD78">
    <cfRule type="cellIs" dxfId="573" priority="288" operator="equal">
      <formula>0</formula>
    </cfRule>
  </conditionalFormatting>
  <conditionalFormatting sqref="B78:P78">
    <cfRule type="cellIs" dxfId="572" priority="285" operator="equal">
      <formula>0</formula>
    </cfRule>
  </conditionalFormatting>
  <conditionalFormatting sqref="Q78">
    <cfRule type="cellIs" dxfId="571" priority="284" operator="equal">
      <formula>0</formula>
    </cfRule>
  </conditionalFormatting>
  <conditionalFormatting sqref="Q657">
    <cfRule type="cellIs" dxfId="570" priority="249" operator="equal">
      <formula>0</formula>
    </cfRule>
  </conditionalFormatting>
  <conditionalFormatting sqref="R108:XFD108">
    <cfRule type="cellIs" dxfId="569" priority="283" operator="equal">
      <formula>0</formula>
    </cfRule>
  </conditionalFormatting>
  <conditionalFormatting sqref="B108:P108">
    <cfRule type="cellIs" dxfId="568" priority="280" operator="equal">
      <formula>0</formula>
    </cfRule>
  </conditionalFormatting>
  <conditionalFormatting sqref="Q108">
    <cfRule type="cellIs" dxfId="567" priority="279" operator="equal">
      <formula>0</formula>
    </cfRule>
  </conditionalFormatting>
  <conditionalFormatting sqref="B232:XFD232">
    <cfRule type="cellIs" dxfId="566" priority="278" operator="equal">
      <formula>0</formula>
    </cfRule>
  </conditionalFormatting>
  <conditionalFormatting sqref="R231:XFD231">
    <cfRule type="cellIs" dxfId="565" priority="277" operator="equal">
      <formula>0</formula>
    </cfRule>
  </conditionalFormatting>
  <conditionalFormatting sqref="B231:P231">
    <cfRule type="cellIs" dxfId="564" priority="274" operator="equal">
      <formula>0</formula>
    </cfRule>
  </conditionalFormatting>
  <conditionalFormatting sqref="Q231">
    <cfRule type="cellIs" dxfId="563" priority="273" operator="equal">
      <formula>0</formula>
    </cfRule>
  </conditionalFormatting>
  <conditionalFormatting sqref="A359:XFD359">
    <cfRule type="cellIs" dxfId="562" priority="272" operator="equal">
      <formula>0</formula>
    </cfRule>
  </conditionalFormatting>
  <conditionalFormatting sqref="R358:XFD358">
    <cfRule type="cellIs" dxfId="561" priority="271" operator="equal">
      <formula>0</formula>
    </cfRule>
  </conditionalFormatting>
  <conditionalFormatting sqref="B358:P358">
    <cfRule type="cellIs" dxfId="560" priority="268" operator="equal">
      <formula>0</formula>
    </cfRule>
  </conditionalFormatting>
  <conditionalFormatting sqref="Q358">
    <cfRule type="cellIs" dxfId="559" priority="267" operator="equal">
      <formula>0</formula>
    </cfRule>
  </conditionalFormatting>
  <conditionalFormatting sqref="B560:XFD560">
    <cfRule type="cellIs" dxfId="558" priority="266" operator="equal">
      <formula>0</formula>
    </cfRule>
  </conditionalFormatting>
  <conditionalFormatting sqref="R559:XFD559">
    <cfRule type="cellIs" dxfId="557" priority="265" operator="equal">
      <formula>0</formula>
    </cfRule>
  </conditionalFormatting>
  <conditionalFormatting sqref="B559:P559">
    <cfRule type="cellIs" dxfId="556" priority="262" operator="equal">
      <formula>0</formula>
    </cfRule>
  </conditionalFormatting>
  <conditionalFormatting sqref="Q559">
    <cfRule type="cellIs" dxfId="555" priority="261" operator="equal">
      <formula>0</formula>
    </cfRule>
  </conditionalFormatting>
  <conditionalFormatting sqref="A648:XFD648">
    <cfRule type="cellIs" dxfId="554" priority="260" operator="equal">
      <formula>0</formula>
    </cfRule>
  </conditionalFormatting>
  <conditionalFormatting sqref="R647:XFD647">
    <cfRule type="cellIs" dxfId="553" priority="259" operator="equal">
      <formula>0</formula>
    </cfRule>
  </conditionalFormatting>
  <conditionalFormatting sqref="B647:P647">
    <cfRule type="cellIs" dxfId="552" priority="256" operator="equal">
      <formula>0</formula>
    </cfRule>
  </conditionalFormatting>
  <conditionalFormatting sqref="Q647">
    <cfRule type="cellIs" dxfId="551" priority="255" operator="equal">
      <formula>0</formula>
    </cfRule>
  </conditionalFormatting>
  <conditionalFormatting sqref="R657:XFD657">
    <cfRule type="cellIs" dxfId="550" priority="253" operator="equal">
      <formula>0</formula>
    </cfRule>
  </conditionalFormatting>
  <conditionalFormatting sqref="B657:P657">
    <cfRule type="cellIs" dxfId="549" priority="250" operator="equal">
      <formula>0</formula>
    </cfRule>
  </conditionalFormatting>
  <conditionalFormatting sqref="A210:A217">
    <cfRule type="cellIs" dxfId="548" priority="248" operator="equal">
      <formula>0</formula>
    </cfRule>
  </conditionalFormatting>
  <conditionalFormatting sqref="B210:Q217">
    <cfRule type="cellIs" dxfId="547" priority="247" operator="equal">
      <formula>0</formula>
    </cfRule>
  </conditionalFormatting>
  <conditionalFormatting sqref="A200:A208">
    <cfRule type="cellIs" dxfId="546" priority="246" operator="equal">
      <formula>0</formula>
    </cfRule>
  </conditionalFormatting>
  <conditionalFormatting sqref="B200:Q208">
    <cfRule type="cellIs" dxfId="545" priority="245" operator="equal">
      <formula>0</formula>
    </cfRule>
  </conditionalFormatting>
  <conditionalFormatting sqref="B218:Q218">
    <cfRule type="cellIs" dxfId="544" priority="175" operator="equal">
      <formula>0</formula>
    </cfRule>
  </conditionalFormatting>
  <conditionalFormatting sqref="R228:XFD228">
    <cfRule type="cellIs" dxfId="543" priority="174" operator="equal">
      <formula>0</formula>
    </cfRule>
  </conditionalFormatting>
  <conditionalFormatting sqref="B198:Q198">
    <cfRule type="cellIs" dxfId="542" priority="178" operator="equal">
      <formula>0</formula>
    </cfRule>
  </conditionalFormatting>
  <conditionalFormatting sqref="R218:XFD218">
    <cfRule type="cellIs" dxfId="541" priority="177" operator="equal">
      <formula>0</formula>
    </cfRule>
  </conditionalFormatting>
  <conditionalFormatting sqref="A189">
    <cfRule type="cellIs" dxfId="540" priority="240" operator="equal">
      <formula>0</formula>
    </cfRule>
  </conditionalFormatting>
  <conditionalFormatting sqref="B189:P189">
    <cfRule type="cellIs" dxfId="539" priority="238" operator="equal">
      <formula>0</formula>
    </cfRule>
  </conditionalFormatting>
  <conditionalFormatting sqref="Q189">
    <cfRule type="cellIs" dxfId="538" priority="239" operator="equal">
      <formula>0</formula>
    </cfRule>
  </conditionalFormatting>
  <conditionalFormatting sqref="A190:A197">
    <cfRule type="cellIs" dxfId="537" priority="237" operator="equal">
      <formula>0</formula>
    </cfRule>
  </conditionalFormatting>
  <conditionalFormatting sqref="B190:Q197">
    <cfRule type="cellIs" dxfId="536" priority="236" operator="equal">
      <formula>0</formula>
    </cfRule>
  </conditionalFormatting>
  <conditionalFormatting sqref="A179">
    <cfRule type="cellIs" dxfId="535" priority="235" operator="equal">
      <formula>0</formula>
    </cfRule>
  </conditionalFormatting>
  <conditionalFormatting sqref="B179:P179">
    <cfRule type="cellIs" dxfId="534" priority="233" operator="equal">
      <formula>0</formula>
    </cfRule>
  </conditionalFormatting>
  <conditionalFormatting sqref="Q179">
    <cfRule type="cellIs" dxfId="533" priority="234" operator="equal">
      <formula>0</formula>
    </cfRule>
  </conditionalFormatting>
  <conditionalFormatting sqref="A180:A187">
    <cfRule type="cellIs" dxfId="532" priority="232" operator="equal">
      <formula>0</formula>
    </cfRule>
  </conditionalFormatting>
  <conditionalFormatting sqref="B180:Q187">
    <cfRule type="cellIs" dxfId="531" priority="231" operator="equal">
      <formula>0</formula>
    </cfRule>
  </conditionalFormatting>
  <conditionalFormatting sqref="A169">
    <cfRule type="cellIs" dxfId="530" priority="230" operator="equal">
      <formula>0</formula>
    </cfRule>
  </conditionalFormatting>
  <conditionalFormatting sqref="B169:P169">
    <cfRule type="cellIs" dxfId="529" priority="228" operator="equal">
      <formula>0</formula>
    </cfRule>
  </conditionalFormatting>
  <conditionalFormatting sqref="Q169">
    <cfRule type="cellIs" dxfId="528" priority="229" operator="equal">
      <formula>0</formula>
    </cfRule>
  </conditionalFormatting>
  <conditionalFormatting sqref="A170:A177">
    <cfRule type="cellIs" dxfId="527" priority="227" operator="equal">
      <formula>0</formula>
    </cfRule>
  </conditionalFormatting>
  <conditionalFormatting sqref="B170:Q177">
    <cfRule type="cellIs" dxfId="526" priority="226" operator="equal">
      <formula>0</formula>
    </cfRule>
  </conditionalFormatting>
  <conditionalFormatting sqref="A159">
    <cfRule type="cellIs" dxfId="525" priority="225" operator="equal">
      <formula>0</formula>
    </cfRule>
  </conditionalFormatting>
  <conditionalFormatting sqref="B159:P159">
    <cfRule type="cellIs" dxfId="524" priority="223" operator="equal">
      <formula>0</formula>
    </cfRule>
  </conditionalFormatting>
  <conditionalFormatting sqref="Q159">
    <cfRule type="cellIs" dxfId="523" priority="224" operator="equal">
      <formula>0</formula>
    </cfRule>
  </conditionalFormatting>
  <conditionalFormatting sqref="A160:A167">
    <cfRule type="cellIs" dxfId="522" priority="222" operator="equal">
      <formula>0</formula>
    </cfRule>
  </conditionalFormatting>
  <conditionalFormatting sqref="B160:Q167">
    <cfRule type="cellIs" dxfId="521" priority="221" operator="equal">
      <formula>0</formula>
    </cfRule>
  </conditionalFormatting>
  <conditionalFormatting sqref="A149">
    <cfRule type="cellIs" dxfId="520" priority="220" operator="equal">
      <formula>0</formula>
    </cfRule>
  </conditionalFormatting>
  <conditionalFormatting sqref="A150:A157">
    <cfRule type="cellIs" dxfId="519" priority="217" operator="equal">
      <formula>0</formula>
    </cfRule>
  </conditionalFormatting>
  <conditionalFormatting sqref="A139">
    <cfRule type="cellIs" dxfId="518" priority="215" operator="equal">
      <formula>0</formula>
    </cfRule>
  </conditionalFormatting>
  <conditionalFormatting sqref="B139:P139">
    <cfRule type="cellIs" dxfId="517" priority="213" operator="equal">
      <formula>0</formula>
    </cfRule>
  </conditionalFormatting>
  <conditionalFormatting sqref="Q139">
    <cfRule type="cellIs" dxfId="516" priority="214" operator="equal">
      <formula>0</formula>
    </cfRule>
  </conditionalFormatting>
  <conditionalFormatting sqref="A140:A147">
    <cfRule type="cellIs" dxfId="515" priority="212" operator="equal">
      <formula>0</formula>
    </cfRule>
  </conditionalFormatting>
  <conditionalFormatting sqref="B140:Q147">
    <cfRule type="cellIs" dxfId="514" priority="211" operator="equal">
      <formula>0</formula>
    </cfRule>
  </conditionalFormatting>
  <conditionalFormatting sqref="A129">
    <cfRule type="cellIs" dxfId="513" priority="210" operator="equal">
      <formula>0</formula>
    </cfRule>
  </conditionalFormatting>
  <conditionalFormatting sqref="B129:P129">
    <cfRule type="cellIs" dxfId="512" priority="208" operator="equal">
      <formula>0</formula>
    </cfRule>
  </conditionalFormatting>
  <conditionalFormatting sqref="Q129">
    <cfRule type="cellIs" dxfId="511" priority="209" operator="equal">
      <formula>0</formula>
    </cfRule>
  </conditionalFormatting>
  <conditionalFormatting sqref="A130:A138">
    <cfRule type="cellIs" dxfId="510" priority="207" operator="equal">
      <formula>0</formula>
    </cfRule>
  </conditionalFormatting>
  <conditionalFormatting sqref="B130:Q138">
    <cfRule type="cellIs" dxfId="509" priority="206" operator="equal">
      <formula>0</formula>
    </cfRule>
  </conditionalFormatting>
  <conditionalFormatting sqref="A119">
    <cfRule type="cellIs" dxfId="508" priority="205" operator="equal">
      <formula>0</formula>
    </cfRule>
  </conditionalFormatting>
  <conditionalFormatting sqref="B119:P119">
    <cfRule type="cellIs" dxfId="507" priority="203" operator="equal">
      <formula>0</formula>
    </cfRule>
  </conditionalFormatting>
  <conditionalFormatting sqref="Q119">
    <cfRule type="cellIs" dxfId="506" priority="204" operator="equal">
      <formula>0</formula>
    </cfRule>
  </conditionalFormatting>
  <conditionalFormatting sqref="A120:A128">
    <cfRule type="cellIs" dxfId="505" priority="202" operator="equal">
      <formula>0</formula>
    </cfRule>
  </conditionalFormatting>
  <conditionalFormatting sqref="B120:Q128">
    <cfRule type="cellIs" dxfId="504" priority="201" operator="equal">
      <formula>0</formula>
    </cfRule>
  </conditionalFormatting>
  <conditionalFormatting sqref="A109">
    <cfRule type="cellIs" dxfId="503" priority="200" operator="equal">
      <formula>0</formula>
    </cfRule>
  </conditionalFormatting>
  <conditionalFormatting sqref="B109:P109">
    <cfRule type="cellIs" dxfId="502" priority="198" operator="equal">
      <formula>0</formula>
    </cfRule>
  </conditionalFormatting>
  <conditionalFormatting sqref="Q109">
    <cfRule type="cellIs" dxfId="501" priority="199" operator="equal">
      <formula>0</formula>
    </cfRule>
  </conditionalFormatting>
  <conditionalFormatting sqref="A110:A118">
    <cfRule type="cellIs" dxfId="500" priority="197" operator="equal">
      <formula>0</formula>
    </cfRule>
  </conditionalFormatting>
  <conditionalFormatting sqref="B110:Q118">
    <cfRule type="cellIs" dxfId="499" priority="196" operator="equal">
      <formula>0</formula>
    </cfRule>
  </conditionalFormatting>
  <conditionalFormatting sqref="R148:XFD148">
    <cfRule type="cellIs" dxfId="498" priority="195" operator="equal">
      <formula>0</formula>
    </cfRule>
  </conditionalFormatting>
  <conditionalFormatting sqref="A148">
    <cfRule type="cellIs" dxfId="497" priority="194" operator="equal">
      <formula>0</formula>
    </cfRule>
  </conditionalFormatting>
  <conditionalFormatting sqref="B148:Q148">
    <cfRule type="cellIs" dxfId="496" priority="193" operator="equal">
      <formula>0</formula>
    </cfRule>
  </conditionalFormatting>
  <conditionalFormatting sqref="R158:XFD158">
    <cfRule type="cellIs" dxfId="495" priority="192" operator="equal">
      <formula>0</formula>
    </cfRule>
  </conditionalFormatting>
  <conditionalFormatting sqref="A158">
    <cfRule type="cellIs" dxfId="494" priority="191" operator="equal">
      <formula>0</formula>
    </cfRule>
  </conditionalFormatting>
  <conditionalFormatting sqref="B158:Q158">
    <cfRule type="cellIs" dxfId="493" priority="190" operator="equal">
      <formula>0</formula>
    </cfRule>
  </conditionalFormatting>
  <conditionalFormatting sqref="R168:XFD168">
    <cfRule type="cellIs" dxfId="492" priority="189" operator="equal">
      <formula>0</formula>
    </cfRule>
  </conditionalFormatting>
  <conditionalFormatting sqref="A168">
    <cfRule type="cellIs" dxfId="491" priority="188" operator="equal">
      <formula>0</formula>
    </cfRule>
  </conditionalFormatting>
  <conditionalFormatting sqref="B168:Q168">
    <cfRule type="cellIs" dxfId="490" priority="187" operator="equal">
      <formula>0</formula>
    </cfRule>
  </conditionalFormatting>
  <conditionalFormatting sqref="R178:XFD178">
    <cfRule type="cellIs" dxfId="489" priority="186" operator="equal">
      <formula>0</formula>
    </cfRule>
  </conditionalFormatting>
  <conditionalFormatting sqref="A178">
    <cfRule type="cellIs" dxfId="488" priority="185" operator="equal">
      <formula>0</formula>
    </cfRule>
  </conditionalFormatting>
  <conditionalFormatting sqref="B178:Q178">
    <cfRule type="cellIs" dxfId="487" priority="184" operator="equal">
      <formula>0</formula>
    </cfRule>
  </conditionalFormatting>
  <conditionalFormatting sqref="R188:XFD188">
    <cfRule type="cellIs" dxfId="486" priority="183" operator="equal">
      <formula>0</formula>
    </cfRule>
  </conditionalFormatting>
  <conditionalFormatting sqref="A188">
    <cfRule type="cellIs" dxfId="485" priority="182" operator="equal">
      <formula>0</formula>
    </cfRule>
  </conditionalFormatting>
  <conditionalFormatting sqref="B188:Q188">
    <cfRule type="cellIs" dxfId="484" priority="181" operator="equal">
      <formula>0</formula>
    </cfRule>
  </conditionalFormatting>
  <conditionalFormatting sqref="R198:XFD198">
    <cfRule type="cellIs" dxfId="483" priority="180" operator="equal">
      <formula>0</formula>
    </cfRule>
  </conditionalFormatting>
  <conditionalFormatting sqref="A198">
    <cfRule type="cellIs" dxfId="482" priority="179" operator="equal">
      <formula>0</formula>
    </cfRule>
  </conditionalFormatting>
  <conditionalFormatting sqref="A218">
    <cfRule type="cellIs" dxfId="481" priority="176" operator="equal">
      <formula>0</formula>
    </cfRule>
  </conditionalFormatting>
  <conditionalFormatting sqref="A228">
    <cfRule type="cellIs" dxfId="480" priority="173" operator="equal">
      <formula>0</formula>
    </cfRule>
  </conditionalFormatting>
  <conditionalFormatting sqref="B228:Q228">
    <cfRule type="cellIs" dxfId="479" priority="172" operator="equal">
      <formula>0</formula>
    </cfRule>
  </conditionalFormatting>
  <conditionalFormatting sqref="A1">
    <cfRule type="cellIs" dxfId="478" priority="171" operator="equal">
      <formula>0</formula>
    </cfRule>
  </conditionalFormatting>
  <conditionalFormatting sqref="U242">
    <cfRule type="cellIs" dxfId="477" priority="170" operator="equal">
      <formula>0</formula>
    </cfRule>
  </conditionalFormatting>
  <conditionalFormatting sqref="B547:B552 B554">
    <cfRule type="cellIs" dxfId="476" priority="114" operator="equal">
      <formula>0</formula>
    </cfRule>
  </conditionalFormatting>
  <conditionalFormatting sqref="C371:P378">
    <cfRule type="cellIs" dxfId="475" priority="113" operator="equal">
      <formula>0</formula>
    </cfRule>
  </conditionalFormatting>
  <conditionalFormatting sqref="C404:P411">
    <cfRule type="cellIs" dxfId="474" priority="110" operator="equal">
      <formula>0</formula>
    </cfRule>
  </conditionalFormatting>
  <conditionalFormatting sqref="I343">
    <cfRule type="cellIs" dxfId="473" priority="35" operator="equal">
      <formula>0</formula>
    </cfRule>
  </conditionalFormatting>
  <conditionalFormatting sqref="B514:B519 B521">
    <cfRule type="cellIs" dxfId="472" priority="117" operator="equal">
      <formula>0</formula>
    </cfRule>
  </conditionalFormatting>
  <conditionalFormatting sqref="C353">
    <cfRule type="cellIs" dxfId="471" priority="39" operator="equal">
      <formula>0</formula>
    </cfRule>
  </conditionalFormatting>
  <conditionalFormatting sqref="C514:P521">
    <cfRule type="cellIs" dxfId="470" priority="100" operator="equal">
      <formula>0</formula>
    </cfRule>
  </conditionalFormatting>
  <conditionalFormatting sqref="C547:P554">
    <cfRule type="cellIs" dxfId="469" priority="97" operator="equal">
      <formula>0</formula>
    </cfRule>
  </conditionalFormatting>
  <conditionalFormatting sqref="M352">
    <cfRule type="cellIs" dxfId="468" priority="22" operator="equal">
      <formula>0</formula>
    </cfRule>
  </conditionalFormatting>
  <conditionalFormatting sqref="B379:P380">
    <cfRule type="cellIs" dxfId="467" priority="147" operator="equal">
      <formula>0</formula>
    </cfRule>
  </conditionalFormatting>
  <conditionalFormatting sqref="B390:P391">
    <cfRule type="cellIs" dxfId="466" priority="146" operator="equal">
      <formula>0</formula>
    </cfRule>
  </conditionalFormatting>
  <conditionalFormatting sqref="B401:P402">
    <cfRule type="cellIs" dxfId="465" priority="145" operator="equal">
      <formula>0</formula>
    </cfRule>
  </conditionalFormatting>
  <conditionalFormatting sqref="B412:P413">
    <cfRule type="cellIs" dxfId="464" priority="144" operator="equal">
      <formula>0</formula>
    </cfRule>
  </conditionalFormatting>
  <conditionalFormatting sqref="B423:P424">
    <cfRule type="cellIs" dxfId="463" priority="143" operator="equal">
      <formula>0</formula>
    </cfRule>
  </conditionalFormatting>
  <conditionalFormatting sqref="B434:P435">
    <cfRule type="cellIs" dxfId="462" priority="142" operator="equal">
      <formula>0</formula>
    </cfRule>
  </conditionalFormatting>
  <conditionalFormatting sqref="B445:P446">
    <cfRule type="cellIs" dxfId="461" priority="141" operator="equal">
      <formula>0</formula>
    </cfRule>
  </conditionalFormatting>
  <conditionalFormatting sqref="B456:P457">
    <cfRule type="cellIs" dxfId="460" priority="140" operator="equal">
      <formula>0</formula>
    </cfRule>
  </conditionalFormatting>
  <conditionalFormatting sqref="B467:P468">
    <cfRule type="cellIs" dxfId="459" priority="139" operator="equal">
      <formula>0</formula>
    </cfRule>
  </conditionalFormatting>
  <conditionalFormatting sqref="B478:P479">
    <cfRule type="cellIs" dxfId="458" priority="138" operator="equal">
      <formula>0</formula>
    </cfRule>
  </conditionalFormatting>
  <conditionalFormatting sqref="B489:P490">
    <cfRule type="cellIs" dxfId="457" priority="137" operator="equal">
      <formula>0</formula>
    </cfRule>
  </conditionalFormatting>
  <conditionalFormatting sqref="B500:P501">
    <cfRule type="cellIs" dxfId="456" priority="136" operator="equal">
      <formula>0</formula>
    </cfRule>
  </conditionalFormatting>
  <conditionalFormatting sqref="B511:P512">
    <cfRule type="cellIs" dxfId="455" priority="135" operator="equal">
      <formula>0</formula>
    </cfRule>
  </conditionalFormatting>
  <conditionalFormatting sqref="B522:P523">
    <cfRule type="cellIs" dxfId="454" priority="134" operator="equal">
      <formula>0</formula>
    </cfRule>
  </conditionalFormatting>
  <conditionalFormatting sqref="B533:P534">
    <cfRule type="cellIs" dxfId="453" priority="133" operator="equal">
      <formula>0</formula>
    </cfRule>
  </conditionalFormatting>
  <conditionalFormatting sqref="B544:P545">
    <cfRule type="cellIs" dxfId="452" priority="132" operator="equal">
      <formula>0</formula>
    </cfRule>
  </conditionalFormatting>
  <conditionalFormatting sqref="B555:P556">
    <cfRule type="cellIs" dxfId="451" priority="131" operator="equal">
      <formula>0</formula>
    </cfRule>
  </conditionalFormatting>
  <conditionalFormatting sqref="B371:B376 B378">
    <cfRule type="cellIs" dxfId="450" priority="130" operator="equal">
      <formula>0</formula>
    </cfRule>
  </conditionalFormatting>
  <conditionalFormatting sqref="B382:B387 B389">
    <cfRule type="cellIs" dxfId="449" priority="129" operator="equal">
      <formula>0</formula>
    </cfRule>
  </conditionalFormatting>
  <conditionalFormatting sqref="B393:B398 B400">
    <cfRule type="cellIs" dxfId="448" priority="128" operator="equal">
      <formula>0</formula>
    </cfRule>
  </conditionalFormatting>
  <conditionalFormatting sqref="B404:B409 B411">
    <cfRule type="cellIs" dxfId="447" priority="127" operator="equal">
      <formula>0</formula>
    </cfRule>
  </conditionalFormatting>
  <conditionalFormatting sqref="B415:B420 B422">
    <cfRule type="cellIs" dxfId="446" priority="126" operator="equal">
      <formula>0</formula>
    </cfRule>
  </conditionalFormatting>
  <conditionalFormatting sqref="B426:B431 B433">
    <cfRule type="cellIs" dxfId="445" priority="125" operator="equal">
      <formula>0</formula>
    </cfRule>
  </conditionalFormatting>
  <conditionalFormatting sqref="B437:B442 B444">
    <cfRule type="cellIs" dxfId="444" priority="124" operator="equal">
      <formula>0</formula>
    </cfRule>
  </conditionalFormatting>
  <conditionalFormatting sqref="B448:B453 B455">
    <cfRule type="cellIs" dxfId="443" priority="123" operator="equal">
      <formula>0</formula>
    </cfRule>
  </conditionalFormatting>
  <conditionalFormatting sqref="B459:B464 B466">
    <cfRule type="cellIs" dxfId="442" priority="122" operator="equal">
      <formula>0</formula>
    </cfRule>
  </conditionalFormatting>
  <conditionalFormatting sqref="B470:B475 B477">
    <cfRule type="cellIs" dxfId="441" priority="121" operator="equal">
      <formula>0</formula>
    </cfRule>
  </conditionalFormatting>
  <conditionalFormatting sqref="B481:B486 B488">
    <cfRule type="cellIs" dxfId="440" priority="120" operator="equal">
      <formula>0</formula>
    </cfRule>
  </conditionalFormatting>
  <conditionalFormatting sqref="B492:B497 B499">
    <cfRule type="cellIs" dxfId="439" priority="119" operator="equal">
      <formula>0</formula>
    </cfRule>
  </conditionalFormatting>
  <conditionalFormatting sqref="B503:B508 B510">
    <cfRule type="cellIs" dxfId="438" priority="118" operator="equal">
      <formula>0</formula>
    </cfRule>
  </conditionalFormatting>
  <conditionalFormatting sqref="B525:B530 B532">
    <cfRule type="cellIs" dxfId="437" priority="116" operator="equal">
      <formula>0</formula>
    </cfRule>
  </conditionalFormatting>
  <conditionalFormatting sqref="B536:B541 B543">
    <cfRule type="cellIs" dxfId="436" priority="115" operator="equal">
      <formula>0</formula>
    </cfRule>
  </conditionalFormatting>
  <conditionalFormatting sqref="C393:P400">
    <cfRule type="cellIs" dxfId="435" priority="111" operator="equal">
      <formula>0</formula>
    </cfRule>
  </conditionalFormatting>
  <conditionalFormatting sqref="C382:P389">
    <cfRule type="cellIs" dxfId="434" priority="112" operator="equal">
      <formula>0</formula>
    </cfRule>
  </conditionalFormatting>
  <conditionalFormatting sqref="I341">
    <cfRule type="cellIs" dxfId="433" priority="36" operator="equal">
      <formula>0</formula>
    </cfRule>
  </conditionalFormatting>
  <conditionalFormatting sqref="C415:P422">
    <cfRule type="cellIs" dxfId="432" priority="109" operator="equal">
      <formula>0</formula>
    </cfRule>
  </conditionalFormatting>
  <conditionalFormatting sqref="C426:P433">
    <cfRule type="cellIs" dxfId="431" priority="108" operator="equal">
      <formula>0</formula>
    </cfRule>
  </conditionalFormatting>
  <conditionalFormatting sqref="C437:P444">
    <cfRule type="cellIs" dxfId="430" priority="107" operator="equal">
      <formula>0</formula>
    </cfRule>
  </conditionalFormatting>
  <conditionalFormatting sqref="C448:P455">
    <cfRule type="cellIs" dxfId="429" priority="106" operator="equal">
      <formula>0</formula>
    </cfRule>
  </conditionalFormatting>
  <conditionalFormatting sqref="C459:P466">
    <cfRule type="cellIs" dxfId="428" priority="105" operator="equal">
      <formula>0</formula>
    </cfRule>
  </conditionalFormatting>
  <conditionalFormatting sqref="C470:P477">
    <cfRule type="cellIs" dxfId="427" priority="104" operator="equal">
      <formula>0</formula>
    </cfRule>
  </conditionalFormatting>
  <conditionalFormatting sqref="C481:P488">
    <cfRule type="cellIs" dxfId="426" priority="103" operator="equal">
      <formula>0</formula>
    </cfRule>
  </conditionalFormatting>
  <conditionalFormatting sqref="C492:P499">
    <cfRule type="cellIs" dxfId="425" priority="102" operator="equal">
      <formula>0</formula>
    </cfRule>
  </conditionalFormatting>
  <conditionalFormatting sqref="C503:P510">
    <cfRule type="cellIs" dxfId="424" priority="101" operator="equal">
      <formula>0</formula>
    </cfRule>
  </conditionalFormatting>
  <conditionalFormatting sqref="C525:P532">
    <cfRule type="cellIs" dxfId="423" priority="99" operator="equal">
      <formula>0</formula>
    </cfRule>
  </conditionalFormatting>
  <conditionalFormatting sqref="C536:P543">
    <cfRule type="cellIs" dxfId="422" priority="98" operator="equal">
      <formula>0</formula>
    </cfRule>
  </conditionalFormatting>
  <conditionalFormatting sqref="R336:XFD336">
    <cfRule type="cellIs" dxfId="421" priority="96" operator="equal">
      <formula>0</formula>
    </cfRule>
  </conditionalFormatting>
  <conditionalFormatting sqref="B336:P336">
    <cfRule type="cellIs" dxfId="420" priority="95" operator="equal">
      <formula>0</formula>
    </cfRule>
  </conditionalFormatting>
  <conditionalFormatting sqref="Q336">
    <cfRule type="cellIs" dxfId="419" priority="94" operator="equal">
      <formula>0</formula>
    </cfRule>
  </conditionalFormatting>
  <conditionalFormatting sqref="M354">
    <cfRule type="cellIs" dxfId="418" priority="19" operator="equal">
      <formula>0</formula>
    </cfRule>
  </conditionalFormatting>
  <conditionalFormatting sqref="C338:F338 H338">
    <cfRule type="cellIs" dxfId="417" priority="93" operator="equal">
      <formula>0</formula>
    </cfRule>
  </conditionalFormatting>
  <conditionalFormatting sqref="C339">
    <cfRule type="cellIs" dxfId="416" priority="88" operator="equal">
      <formula>0</formula>
    </cfRule>
  </conditionalFormatting>
  <conditionalFormatting sqref="G341">
    <cfRule type="cellIs" dxfId="415" priority="85" operator="equal">
      <formula>0</formula>
    </cfRule>
  </conditionalFormatting>
  <conditionalFormatting sqref="G343">
    <cfRule type="cellIs" dxfId="414" priority="83" operator="equal">
      <formula>0</formula>
    </cfRule>
  </conditionalFormatting>
  <conditionalFormatting sqref="M339">
    <cfRule type="cellIs" dxfId="413" priority="56" operator="equal">
      <formula>0</formula>
    </cfRule>
  </conditionalFormatting>
  <conditionalFormatting sqref="M341">
    <cfRule type="cellIs" dxfId="412" priority="55" operator="equal">
      <formula>0</formula>
    </cfRule>
  </conditionalFormatting>
  <conditionalFormatting sqref="M343">
    <cfRule type="cellIs" dxfId="411" priority="54" operator="equal">
      <formula>0</formula>
    </cfRule>
  </conditionalFormatting>
  <conditionalFormatting sqref="M345">
    <cfRule type="cellIs" dxfId="410" priority="53" operator="equal">
      <formula>0</formula>
    </cfRule>
  </conditionalFormatting>
  <conditionalFormatting sqref="H339">
    <cfRule type="cellIs" dxfId="409" priority="92" operator="equal">
      <formula>0</formula>
    </cfRule>
  </conditionalFormatting>
  <conditionalFormatting sqref="C340:L340">
    <cfRule type="cellIs" dxfId="408" priority="91" operator="equal">
      <formula>0</formula>
    </cfRule>
  </conditionalFormatting>
  <conditionalFormatting sqref="H341 H343 H345 H347 H349 H351 H353 H355">
    <cfRule type="cellIs" dxfId="407" priority="90" operator="equal">
      <formula>0</formula>
    </cfRule>
  </conditionalFormatting>
  <conditionalFormatting sqref="C342:L342 C344:L344 C346:L346 C348:L348 C356:M356">
    <cfRule type="cellIs" dxfId="406" priority="89" operator="equal">
      <formula>0</formula>
    </cfRule>
  </conditionalFormatting>
  <conditionalFormatting sqref="G339">
    <cfRule type="cellIs" dxfId="405" priority="87" operator="equal">
      <formula>0</formula>
    </cfRule>
  </conditionalFormatting>
  <conditionalFormatting sqref="M338">
    <cfRule type="cellIs" dxfId="404" priority="59" operator="equal">
      <formula>0</formula>
    </cfRule>
  </conditionalFormatting>
  <conditionalFormatting sqref="M340">
    <cfRule type="cellIs" dxfId="403" priority="58" operator="equal">
      <formula>0</formula>
    </cfRule>
  </conditionalFormatting>
  <conditionalFormatting sqref="M342 M344 M346 M348">
    <cfRule type="cellIs" dxfId="402" priority="57" operator="equal">
      <formula>0</formula>
    </cfRule>
  </conditionalFormatting>
  <conditionalFormatting sqref="G345">
    <cfRule type="cellIs" dxfId="401" priority="81" operator="equal">
      <formula>0</formula>
    </cfRule>
  </conditionalFormatting>
  <conditionalFormatting sqref="G347">
    <cfRule type="cellIs" dxfId="400" priority="79" operator="equal">
      <formula>0</formula>
    </cfRule>
  </conditionalFormatting>
  <conditionalFormatting sqref="G349">
    <cfRule type="cellIs" dxfId="399" priority="77" operator="equal">
      <formula>0</formula>
    </cfRule>
  </conditionalFormatting>
  <conditionalFormatting sqref="G351">
    <cfRule type="cellIs" dxfId="398" priority="75" operator="equal">
      <formula>0</formula>
    </cfRule>
  </conditionalFormatting>
  <conditionalFormatting sqref="G353">
    <cfRule type="cellIs" dxfId="397" priority="73" operator="equal">
      <formula>0</formula>
    </cfRule>
  </conditionalFormatting>
  <conditionalFormatting sqref="M347">
    <cfRule type="cellIs" dxfId="396" priority="52" operator="equal">
      <formula>0</formula>
    </cfRule>
  </conditionalFormatting>
  <conditionalFormatting sqref="G355">
    <cfRule type="cellIs" dxfId="395" priority="71" operator="equal">
      <formula>0</formula>
    </cfRule>
  </conditionalFormatting>
  <conditionalFormatting sqref="M349">
    <cfRule type="cellIs" dxfId="394" priority="51" operator="equal">
      <formula>0</formula>
    </cfRule>
  </conditionalFormatting>
  <conditionalFormatting sqref="G338">
    <cfRule type="cellIs" dxfId="393" priority="61" operator="equal">
      <formula>0</formula>
    </cfRule>
  </conditionalFormatting>
  <conditionalFormatting sqref="K338:L338">
    <cfRule type="cellIs" dxfId="392" priority="60" operator="equal">
      <formula>0</formula>
    </cfRule>
  </conditionalFormatting>
  <conditionalFormatting sqref="M353">
    <cfRule type="cellIs" dxfId="391" priority="49" operator="equal">
      <formula>0</formula>
    </cfRule>
  </conditionalFormatting>
  <conditionalFormatting sqref="M355">
    <cfRule type="cellIs" dxfId="390" priority="48" operator="equal">
      <formula>0</formula>
    </cfRule>
  </conditionalFormatting>
  <conditionalFormatting sqref="J338">
    <cfRule type="cellIs" dxfId="389" priority="47" operator="equal">
      <formula>0</formula>
    </cfRule>
  </conditionalFormatting>
  <conditionalFormatting sqref="I338">
    <cfRule type="cellIs" dxfId="388" priority="46" operator="equal">
      <formula>0</formula>
    </cfRule>
  </conditionalFormatting>
  <conditionalFormatting sqref="C341">
    <cfRule type="cellIs" dxfId="387" priority="45" operator="equal">
      <formula>0</formula>
    </cfRule>
  </conditionalFormatting>
  <conditionalFormatting sqref="C343">
    <cfRule type="cellIs" dxfId="386" priority="44" operator="equal">
      <formula>0</formula>
    </cfRule>
  </conditionalFormatting>
  <conditionalFormatting sqref="C345">
    <cfRule type="cellIs" dxfId="385" priority="43" operator="equal">
      <formula>0</formula>
    </cfRule>
  </conditionalFormatting>
  <conditionalFormatting sqref="C347">
    <cfRule type="cellIs" dxfId="384" priority="42" operator="equal">
      <formula>0</formula>
    </cfRule>
  </conditionalFormatting>
  <conditionalFormatting sqref="C349">
    <cfRule type="cellIs" dxfId="383" priority="41" operator="equal">
      <formula>0</formula>
    </cfRule>
  </conditionalFormatting>
  <conditionalFormatting sqref="C351">
    <cfRule type="cellIs" dxfId="382" priority="40" operator="equal">
      <formula>0</formula>
    </cfRule>
  </conditionalFormatting>
  <conditionalFormatting sqref="C355">
    <cfRule type="cellIs" dxfId="381" priority="38" operator="equal">
      <formula>0</formula>
    </cfRule>
  </conditionalFormatting>
  <conditionalFormatting sqref="I339">
    <cfRule type="cellIs" dxfId="380" priority="37" operator="equal">
      <formula>0</formula>
    </cfRule>
  </conditionalFormatting>
  <conditionalFormatting sqref="I345">
    <cfRule type="cellIs" dxfId="379" priority="34" operator="equal">
      <formula>0</formula>
    </cfRule>
  </conditionalFormatting>
  <conditionalFormatting sqref="I347">
    <cfRule type="cellIs" dxfId="378" priority="33" operator="equal">
      <formula>0</formula>
    </cfRule>
  </conditionalFormatting>
  <conditionalFormatting sqref="I349">
    <cfRule type="cellIs" dxfId="377" priority="32" operator="equal">
      <formula>0</formula>
    </cfRule>
  </conditionalFormatting>
  <conditionalFormatting sqref="I351">
    <cfRule type="cellIs" dxfId="376" priority="31" operator="equal">
      <formula>0</formula>
    </cfRule>
  </conditionalFormatting>
  <conditionalFormatting sqref="I353">
    <cfRule type="cellIs" dxfId="375" priority="29" operator="equal">
      <formula>0</formula>
    </cfRule>
  </conditionalFormatting>
  <conditionalFormatting sqref="I355">
    <cfRule type="cellIs" dxfId="374" priority="28" operator="equal">
      <formula>0</formula>
    </cfRule>
  </conditionalFormatting>
  <conditionalFormatting sqref="A350:B350 N350:XFD350">
    <cfRule type="cellIs" dxfId="373" priority="27" operator="equal">
      <formula>0</formula>
    </cfRule>
  </conditionalFormatting>
  <conditionalFormatting sqref="C350:L350">
    <cfRule type="cellIs" dxfId="372" priority="26" operator="equal">
      <formula>0</formula>
    </cfRule>
  </conditionalFormatting>
  <conditionalFormatting sqref="M350">
    <cfRule type="cellIs" dxfId="371" priority="25" operator="equal">
      <formula>0</formula>
    </cfRule>
  </conditionalFormatting>
  <conditionalFormatting sqref="A352:B352 N352:XFD352">
    <cfRule type="cellIs" dxfId="370" priority="24" operator="equal">
      <formula>0</formula>
    </cfRule>
  </conditionalFormatting>
  <conditionalFormatting sqref="C352:L352">
    <cfRule type="cellIs" dxfId="369" priority="23" operator="equal">
      <formula>0</formula>
    </cfRule>
  </conditionalFormatting>
  <conditionalFormatting sqref="A354:B354 N354:XFD354">
    <cfRule type="cellIs" dxfId="368" priority="21" operator="equal">
      <formula>0</formula>
    </cfRule>
  </conditionalFormatting>
  <conditionalFormatting sqref="C354:L354">
    <cfRule type="cellIs" dxfId="367" priority="20" operator="equal">
      <formula>0</formula>
    </cfRule>
  </conditionalFormatting>
  <conditionalFormatting sqref="M351">
    <cfRule type="cellIs" dxfId="366" priority="18" operator="equal">
      <formula>0</formula>
    </cfRule>
  </conditionalFormatting>
  <conditionalFormatting sqref="B377">
    <cfRule type="cellIs" dxfId="365" priority="17" operator="equal">
      <formula>0</formula>
    </cfRule>
  </conditionalFormatting>
  <conditionalFormatting sqref="B388">
    <cfRule type="cellIs" dxfId="364" priority="16" operator="equal">
      <formula>0</formula>
    </cfRule>
  </conditionalFormatting>
  <conditionalFormatting sqref="B399">
    <cfRule type="cellIs" dxfId="363" priority="15" operator="equal">
      <formula>0</formula>
    </cfRule>
  </conditionalFormatting>
  <conditionalFormatting sqref="B410">
    <cfRule type="cellIs" dxfId="362" priority="14" operator="equal">
      <formula>0</formula>
    </cfRule>
  </conditionalFormatting>
  <conditionalFormatting sqref="B421">
    <cfRule type="cellIs" dxfId="361" priority="13" operator="equal">
      <formula>0</formula>
    </cfRule>
  </conditionalFormatting>
  <conditionalFormatting sqref="B432">
    <cfRule type="cellIs" dxfId="360" priority="12" operator="equal">
      <formula>0</formula>
    </cfRule>
  </conditionalFormatting>
  <conditionalFormatting sqref="B443">
    <cfRule type="cellIs" dxfId="359" priority="11" operator="equal">
      <formula>0</formula>
    </cfRule>
  </conditionalFormatting>
  <conditionalFormatting sqref="B454">
    <cfRule type="cellIs" dxfId="358" priority="10" operator="equal">
      <formula>0</formula>
    </cfRule>
  </conditionalFormatting>
  <conditionalFormatting sqref="B465">
    <cfRule type="cellIs" dxfId="357" priority="9" operator="equal">
      <formula>0</formula>
    </cfRule>
  </conditionalFormatting>
  <conditionalFormatting sqref="B476">
    <cfRule type="cellIs" dxfId="356" priority="8" operator="equal">
      <formula>0</formula>
    </cfRule>
  </conditionalFormatting>
  <conditionalFormatting sqref="B487">
    <cfRule type="cellIs" dxfId="355" priority="7" operator="equal">
      <formula>0</formula>
    </cfRule>
  </conditionalFormatting>
  <conditionalFormatting sqref="B498">
    <cfRule type="cellIs" dxfId="354" priority="6" operator="equal">
      <formula>0</formula>
    </cfRule>
  </conditionalFormatting>
  <conditionalFormatting sqref="B509">
    <cfRule type="cellIs" dxfId="353" priority="5" operator="equal">
      <formula>0</formula>
    </cfRule>
  </conditionalFormatting>
  <conditionalFormatting sqref="B520">
    <cfRule type="cellIs" dxfId="352" priority="4" operator="equal">
      <formula>0</formula>
    </cfRule>
  </conditionalFormatting>
  <conditionalFormatting sqref="B531">
    <cfRule type="cellIs" dxfId="351" priority="3" operator="equal">
      <formula>0</formula>
    </cfRule>
  </conditionalFormatting>
  <conditionalFormatting sqref="B542">
    <cfRule type="cellIs" dxfId="350" priority="2" operator="equal">
      <formula>0</formula>
    </cfRule>
  </conditionalFormatting>
  <conditionalFormatting sqref="B553">
    <cfRule type="cellIs" dxfId="349" priority="1" operator="equal">
      <formula>0</formula>
    </cfRule>
  </conditionalFormatting>
  <dataValidations xWindow="1154" yWindow="688" count="7">
    <dataValidation type="list" allowBlank="1" showInputMessage="1" showErrorMessage="1" sqref="D12 D80:D84 D33 D20:D30 D278:D289">
      <formula1>cobroleche</formula1>
    </dataValidation>
    <dataValidation allowBlank="1" showInputMessage="1" showErrorMessage="1" promptTitle="Precio de venta " prompt="Neto, sin gastos de comercialización" sqref="B116 B126 B136 B146 B156 B166 B176 B186 B196 B206 B216 B226 B366 B542 B377 B388 B399 B410 B421 B432 B443 B454 B465 B476 B531 B487 B498 B509 B520 B553"/>
    <dataValidation type="list" allowBlank="1" showInputMessage="1" showErrorMessage="1" sqref="C543 C532 C521 C510 C499 C488 C554 C477 C466 C455 C444 C433 C378 C389 C400 C411 C422">
      <formula1>Mes</formula1>
    </dataValidation>
    <dataValidation allowBlank="1" showInputMessage="1" showErrorMessage="1" promptTitle="Ingreso por venta de Cultivos " prompt="Colocar monto (U$S) total en el mes de cobro" sqref="B545 B380 B391 B402 B413 B424 B435 B446 B457 B468 B369 B479 B490 B501 B512 B523 B534 B556"/>
    <dataValidation type="list" allowBlank="1" showInputMessage="1" showErrorMessage="1" prompt="En caso de guardarse semilla para uso propio. seleccionar de la lista desplegable el nombre que tiene la semilla en la hoja precios. " sqref="C364 C375 C386 C397 C408 C419 C430 C441 C452 C463 C474 C485 C496 C507 C518 C529 C540 C551">
      <formula1>ListaSemillas</formula1>
    </dataValidation>
    <dataValidation allowBlank="1" showInputMessage="1" showErrorMessage="1" prompt="Ingresar las ton a vender cada mes." sqref="E248:P259 E582:P599 E603:F620"/>
    <dataValidation allowBlank="1" showInputMessage="1" showErrorMessage="1" prompt="Ingresar el precio neto cada mes." sqref="E263:P274 G603:P620"/>
  </dataValidations>
  <hyperlinks>
    <hyperlink ref="B3" location="Ingresos!B7:P12" display="Leche"/>
    <hyperlink ref="B4" location="Ingresos!B18:P35" display="Carne Lechería"/>
    <hyperlink ref="C3:D3" location="Ingresos!B71:P79" display="Carne gandería"/>
    <hyperlink ref="E3:F3" location="Ingresos!B108:P229" display="Cultivos  Agrícolas Econímico"/>
    <hyperlink ref="H3:I3" location="Ingresos!B336:Q355" display="Semilleros Económico"/>
    <hyperlink ref="K3:L3" location="Ingresos!B647:P653" display="Otos ingresos PB"/>
    <hyperlink ref="M3:O3" location="Ingresos!B655" display="Otros ingresos no Producto bruto "/>
    <hyperlink ref="M4" location="Ingresos!B604:B611" display="Venta de activos "/>
    <hyperlink ref="A1" location="ManualGlobal!B27:D43" display="◄"/>
    <hyperlink ref="C339:F339" location="Ingresos!B358:Q368" display="Ingresos!B358:Q368"/>
    <hyperlink ref="C341:F341" location="Ingresos!B370:Q379" display="Ingresos!B370:Q379"/>
    <hyperlink ref="C343:F343" location="Ingresos!B381:Q390" display="Ingresos!B381:Q390"/>
    <hyperlink ref="C345:F345" location="Ingresos!B392:Q401" display="Ingresos!B392:Q401"/>
    <hyperlink ref="C347:F347" location="Ingresos!B403:Q412" display="Ingresos!B403:Q412"/>
    <hyperlink ref="C349:F349" location="Ingresos!B414:Q423" display="Ingresos!B414:Q423"/>
    <hyperlink ref="C351:F351" location="Ingresos!B425:Q434" display="Ingresos!B425:Q434"/>
    <hyperlink ref="C353:F353" location="Ingresos!B436:Q445" display="Ingresos!B436:Q445"/>
    <hyperlink ref="C355:F355" location="Ingresos!B447:Q456" display="Ingresos!B447:Q456"/>
    <hyperlink ref="I339:L339" location="Ingresos!B458:Q467" display="Ingresos!B458:Q467"/>
    <hyperlink ref="I341:L341" location="Ingresos!B469:Q478" display="Ingresos!B469:Q478"/>
    <hyperlink ref="I343:L343" location="Ingresos!B480:Q489" display="Ingresos!B480:Q489"/>
    <hyperlink ref="I345:L345" location="Ingresos!B491:Q500" display="Ingresos!B491:Q500"/>
    <hyperlink ref="I347:L347" location="Ingresos!B502:Q511" display="Ingresos!B502:Q511"/>
    <hyperlink ref="I349:L349" location="Ingresos!B513:Q522" display="Ingresos!B513:Q522"/>
    <hyperlink ref="I351:L351" location="Ingresos!B524:Q533" display="Ingresos!B524:Q533"/>
    <hyperlink ref="I353:L353" location="Ingresos!B535:Q544" display="Ingresos!B535:Q544"/>
    <hyperlink ref="I355:L355" location="Ingresos!B546:Q557" display="Ingresos!B546:Q557"/>
    <hyperlink ref="C3" location="Ingresos!B78:P86" display="Carne gandería"/>
    <hyperlink ref="E4:F4" location="Ingresos!B231:Q292" display="Cultivos Agrícolas Financiero"/>
    <hyperlink ref="H4:I4" location="Ingresos!B559:Q644" display="Semilleros Financiero"/>
    <hyperlink ref="M4:N4" location="Ingresos!B657:B666" display="Venta de activos "/>
  </hyperlinks>
  <pageMargins left="0.7" right="0.7" top="0.75" bottom="0.75" header="0.3" footer="0.3"/>
  <pageSetup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1:Z221"/>
  <sheetViews>
    <sheetView showGridLines="0" zoomScaleNormal="100" workbookViewId="0">
      <pane ySplit="6" topLeftCell="A148" activePane="bottomLeft" state="frozen"/>
      <selection pane="bottomLeft" activeCell="D105" sqref="D105"/>
    </sheetView>
  </sheetViews>
  <sheetFormatPr baseColWidth="10" defaultColWidth="11.375" defaultRowHeight="14.4" x14ac:dyDescent="0.3"/>
  <cols>
    <col min="1" max="1" width="5" style="419" customWidth="1"/>
    <col min="2" max="2" width="52.875" style="420" bestFit="1" customWidth="1"/>
    <col min="3" max="3" width="13.375" style="420" bestFit="1" customWidth="1"/>
    <col min="4" max="14" width="8.625" style="450" customWidth="1"/>
    <col min="15" max="15" width="8.375" style="450" customWidth="1"/>
    <col min="16" max="16" width="10" style="450" customWidth="1"/>
    <col min="17" max="17" width="8.875" style="450" customWidth="1"/>
    <col min="18" max="18" width="2.375" style="467" customWidth="1"/>
    <col min="19" max="19" width="12.375" style="450" customWidth="1"/>
    <col min="20" max="20" width="27.375" style="420" bestFit="1" customWidth="1"/>
    <col min="21" max="21" width="17.375" style="420" bestFit="1" customWidth="1"/>
    <col min="22" max="25" width="17.375" style="420" customWidth="1"/>
    <col min="26" max="16384" width="11.375" style="419"/>
  </cols>
  <sheetData>
    <row r="1" spans="1:26" x14ac:dyDescent="0.3">
      <c r="A1" s="2443" t="s">
        <v>633</v>
      </c>
      <c r="B1" s="317" t="s">
        <v>2397</v>
      </c>
      <c r="E1" s="442"/>
    </row>
    <row r="2" spans="1:26" s="126" customFormat="1" x14ac:dyDescent="0.3">
      <c r="A2" s="419"/>
      <c r="B2" s="317"/>
      <c r="C2" s="419"/>
      <c r="D2" s="450"/>
      <c r="E2" s="450"/>
      <c r="F2" s="419"/>
      <c r="G2" s="419"/>
      <c r="H2" s="450"/>
      <c r="I2" s="450"/>
      <c r="J2" s="419"/>
      <c r="K2" s="419"/>
      <c r="L2" s="450"/>
      <c r="M2" s="471" t="s">
        <v>509</v>
      </c>
      <c r="N2" s="471"/>
      <c r="O2" s="471"/>
      <c r="P2" s="450"/>
      <c r="Q2" s="450"/>
      <c r="R2" s="467"/>
      <c r="S2" s="450"/>
      <c r="T2" s="420"/>
      <c r="U2" s="420"/>
      <c r="V2" s="420"/>
      <c r="W2" s="420"/>
      <c r="X2" s="435"/>
      <c r="Y2" s="435"/>
    </row>
    <row r="3" spans="1:26" s="126" customFormat="1" x14ac:dyDescent="0.3">
      <c r="A3" s="419"/>
      <c r="B3" s="472" t="s">
        <v>708</v>
      </c>
      <c r="C3" s="421" t="s">
        <v>835</v>
      </c>
      <c r="D3" s="421"/>
      <c r="E3" s="421"/>
      <c r="F3" s="419"/>
      <c r="G3" s="419"/>
      <c r="H3" s="471" t="s">
        <v>710</v>
      </c>
      <c r="I3" s="471"/>
      <c r="J3" s="471"/>
      <c r="K3" s="450"/>
      <c r="L3" s="450"/>
      <c r="M3" s="471" t="s">
        <v>837</v>
      </c>
      <c r="N3" s="471"/>
      <c r="O3" s="471"/>
      <c r="P3" s="450"/>
      <c r="Q3" s="450"/>
      <c r="R3" s="467"/>
      <c r="S3" s="450"/>
      <c r="T3" s="420"/>
      <c r="U3" s="420"/>
      <c r="V3" s="420"/>
      <c r="W3" s="420"/>
      <c r="X3" s="435"/>
      <c r="Y3" s="435"/>
    </row>
    <row r="4" spans="1:26" x14ac:dyDescent="0.3">
      <c r="B4" s="472" t="s">
        <v>709</v>
      </c>
      <c r="H4" s="471" t="s">
        <v>711</v>
      </c>
      <c r="I4" s="471"/>
      <c r="J4" s="471"/>
      <c r="M4" s="5552" t="s">
        <v>141</v>
      </c>
      <c r="N4" s="5552"/>
      <c r="O4" s="5552"/>
      <c r="S4" s="2428" t="s">
        <v>1818</v>
      </c>
    </row>
    <row r="5" spans="1:26" x14ac:dyDescent="0.3">
      <c r="Q5" s="2" t="s">
        <v>839</v>
      </c>
      <c r="R5" s="439"/>
      <c r="S5" s="2429" t="s">
        <v>1819</v>
      </c>
    </row>
    <row r="6" spans="1:26" s="473" customFormat="1" ht="15.05" thickBot="1" x14ac:dyDescent="0.35">
      <c r="B6" s="2418" t="s">
        <v>683</v>
      </c>
      <c r="C6" s="2419"/>
      <c r="D6" s="2420" t="str">
        <f>General!C5</f>
        <v>Ene</v>
      </c>
      <c r="E6" s="2420" t="str">
        <f>IF(AND(D6="Ene"),"Feb",IF(AND(D6="Feb"),"Mar",IF(AND(D6="Mar"),"Abr",IF(AND(D6="Abr"),"May",IF(AND(D6="May"),"Jun",IF(AND(D6="Jun"),"Jul",IF(AND(D6="Jul"),"Ago",IF(AND(D6="Ago"),"Set",IF(AND(D6="Set"),"Oct",IF(AND(D6="Oct"),"Nov",IF(AND(D6="Nov"),"Dic",IF(AND(D6="Dic"),"Ene"))))))))))))</f>
        <v>Feb</v>
      </c>
      <c r="F6" s="2420" t="str">
        <f t="shared" ref="F6:O6" si="0">IF(AND(E6="Ene"),"Feb",IF(AND(E6="Feb"),"Mar",IF(AND(E6="Mar"),"Abr",IF(AND(E6="Abr"),"May",IF(AND(E6="May"),"Jun",IF(AND(E6="Jun"),"Jul",IF(AND(E6="Jul"),"Ago",IF(AND(E6="Ago"),"Set",IF(AND(E6="Set"),"Oct",IF(AND(E6="Oct"),"Nov",IF(AND(E6="Nov"),"Dic",IF(AND(E6="Dic"),"Ene"))))))))))))</f>
        <v>Mar</v>
      </c>
      <c r="G6" s="2420" t="str">
        <f t="shared" si="0"/>
        <v>Abr</v>
      </c>
      <c r="H6" s="2420" t="str">
        <f>IF(AND(G6="Ene"),"Feb",IF(AND(G6="Feb"),"Mar",IF(AND(G6="Mar"),"Abr",IF(AND(G6="Abr"),"May",IF(AND(G6="May"),"Jun",IF(AND(G6="Jun"),"Jul",IF(AND(G6="Jul"),"Ago",IF(AND(G6="Ago"),"Set",IF(AND(G6="Set"),"Oct",IF(AND(G6="Oct"),"Nov",IF(AND(G6="Nov"),"Dic",IF(AND(G6="Dic"),"Ene"))))))))))))</f>
        <v>May</v>
      </c>
      <c r="I6" s="2420" t="str">
        <f t="shared" si="0"/>
        <v>Jun</v>
      </c>
      <c r="J6" s="2420" t="str">
        <f t="shared" si="0"/>
        <v>Jul</v>
      </c>
      <c r="K6" s="2420" t="str">
        <f t="shared" si="0"/>
        <v>Ago</v>
      </c>
      <c r="L6" s="2420" t="str">
        <f t="shared" si="0"/>
        <v>Set</v>
      </c>
      <c r="M6" s="2420" t="str">
        <f t="shared" si="0"/>
        <v>Oct</v>
      </c>
      <c r="N6" s="2420" t="str">
        <f t="shared" si="0"/>
        <v>Nov</v>
      </c>
      <c r="O6" s="2420" t="str">
        <f t="shared" si="0"/>
        <v>Dic</v>
      </c>
      <c r="P6" s="2420" t="s">
        <v>224</v>
      </c>
      <c r="Q6" s="2427" t="s">
        <v>1820</v>
      </c>
      <c r="R6" s="439"/>
      <c r="S6" s="2430" t="s">
        <v>1816</v>
      </c>
      <c r="T6" s="335"/>
      <c r="U6" s="475"/>
      <c r="V6" s="475"/>
      <c r="W6" s="475"/>
      <c r="X6" s="475"/>
      <c r="Y6" s="475"/>
      <c r="Z6" s="441"/>
    </row>
    <row r="7" spans="1:26" s="435" customFormat="1" ht="15.05" thickBot="1" x14ac:dyDescent="0.35">
      <c r="A7" s="1344">
        <f>+Ingresos!A657+1</f>
        <v>124</v>
      </c>
      <c r="B7" s="880" t="s">
        <v>309</v>
      </c>
      <c r="C7" s="881" t="e">
        <f>+UsoSuelo!C99</f>
        <v>#DIV/0!</v>
      </c>
      <c r="D7" s="1096"/>
      <c r="E7" s="1096" t="e">
        <f>IF(S7&lt;&gt;C7,"Atención: la superficie indicada para este este ejercicio es diferente a la del ejercicio anterior (celda S7)","")</f>
        <v>#DIV/0!</v>
      </c>
      <c r="F7" s="881"/>
      <c r="G7" s="881"/>
      <c r="H7" s="881"/>
      <c r="I7" s="881"/>
      <c r="J7" s="881"/>
      <c r="K7" s="881"/>
      <c r="L7" s="881"/>
      <c r="M7" s="881"/>
      <c r="N7" s="881"/>
      <c r="O7" s="881"/>
      <c r="P7" s="1097"/>
      <c r="S7" s="5370"/>
      <c r="T7" s="467" t="s">
        <v>91</v>
      </c>
    </row>
    <row r="8" spans="1:26" s="418" customFormat="1" ht="15.05" thickBot="1" x14ac:dyDescent="0.35">
      <c r="B8" s="432"/>
      <c r="C8" s="432"/>
      <c r="D8" s="463"/>
      <c r="E8" s="463"/>
      <c r="F8" s="463"/>
      <c r="G8" s="463"/>
      <c r="H8" s="463"/>
      <c r="I8" s="463"/>
      <c r="J8" s="463"/>
      <c r="K8" s="463"/>
      <c r="L8" s="463"/>
      <c r="M8" s="463"/>
      <c r="N8" s="463"/>
      <c r="O8" s="463"/>
      <c r="P8" s="463"/>
      <c r="Q8" s="463"/>
      <c r="R8" s="527"/>
      <c r="S8" s="463"/>
      <c r="T8" s="432"/>
      <c r="U8" s="432"/>
      <c r="V8" s="432"/>
      <c r="W8" s="432"/>
      <c r="X8" s="432"/>
      <c r="Y8" s="432"/>
    </row>
    <row r="9" spans="1:26" s="435" customFormat="1" ht="15.05" thickBot="1" x14ac:dyDescent="0.35">
      <c r="A9" s="1344">
        <f>+A7+1</f>
        <v>125</v>
      </c>
      <c r="B9" s="880" t="s">
        <v>2403</v>
      </c>
      <c r="C9" s="881"/>
      <c r="D9" s="1096"/>
      <c r="E9" s="1096"/>
      <c r="F9" s="881"/>
      <c r="G9" s="881"/>
      <c r="H9" s="881"/>
      <c r="I9" s="881"/>
      <c r="J9" s="881"/>
      <c r="K9" s="881"/>
      <c r="L9" s="881"/>
      <c r="M9" s="881"/>
      <c r="N9" s="881"/>
      <c r="O9" s="2448"/>
      <c r="P9" s="416"/>
    </row>
    <row r="10" spans="1:26" s="18" customFormat="1" ht="15.05" thickBot="1" x14ac:dyDescent="0.35">
      <c r="A10" s="386"/>
      <c r="B10" s="455" t="s">
        <v>2401</v>
      </c>
      <c r="C10" s="2436" t="s">
        <v>847</v>
      </c>
      <c r="D10" s="2420" t="str">
        <f>D6</f>
        <v>Ene</v>
      </c>
      <c r="E10" s="2420" t="str">
        <f t="shared" ref="E10:O10" si="1">E6</f>
        <v>Feb</v>
      </c>
      <c r="F10" s="2420" t="str">
        <f t="shared" si="1"/>
        <v>Mar</v>
      </c>
      <c r="G10" s="2420" t="str">
        <f t="shared" si="1"/>
        <v>Abr</v>
      </c>
      <c r="H10" s="2420" t="str">
        <f t="shared" si="1"/>
        <v>May</v>
      </c>
      <c r="I10" s="2420" t="str">
        <f t="shared" si="1"/>
        <v>Jun</v>
      </c>
      <c r="J10" s="2420" t="str">
        <f t="shared" si="1"/>
        <v>Jul</v>
      </c>
      <c r="K10" s="2420" t="str">
        <f t="shared" si="1"/>
        <v>Ago</v>
      </c>
      <c r="L10" s="2420" t="str">
        <f t="shared" si="1"/>
        <v>Set</v>
      </c>
      <c r="M10" s="2420" t="str">
        <f t="shared" si="1"/>
        <v>Oct</v>
      </c>
      <c r="N10" s="2420" t="str">
        <f t="shared" si="1"/>
        <v>Nov</v>
      </c>
      <c r="O10" s="2420" t="str">
        <f t="shared" si="1"/>
        <v>Dic</v>
      </c>
      <c r="P10" s="300"/>
      <c r="Q10" s="420"/>
      <c r="R10" s="435"/>
      <c r="S10" s="420"/>
      <c r="T10" s="222"/>
    </row>
    <row r="11" spans="1:26" x14ac:dyDescent="0.3">
      <c r="B11" s="1128" t="str">
        <f>+A.Lecheros!C380</f>
        <v xml:space="preserve">Vacas secas </v>
      </c>
      <c r="C11" s="4937" t="s">
        <v>253</v>
      </c>
      <c r="D11" s="2421">
        <f>+A.Lecheros!F380</f>
        <v>0</v>
      </c>
      <c r="E11" s="2421">
        <f>+A.Lecheros!G380</f>
        <v>0</v>
      </c>
      <c r="F11" s="2421">
        <f>+A.Lecheros!H380</f>
        <v>0</v>
      </c>
      <c r="G11" s="2421">
        <f>+A.Lecheros!I380</f>
        <v>0</v>
      </c>
      <c r="H11" s="2421">
        <f>+A.Lecheros!J380</f>
        <v>0</v>
      </c>
      <c r="I11" s="2421">
        <f>+A.Lecheros!K380</f>
        <v>0</v>
      </c>
      <c r="J11" s="2421">
        <f>+A.Lecheros!L380</f>
        <v>0</v>
      </c>
      <c r="K11" s="2421">
        <f>+A.Lecheros!M380</f>
        <v>0</v>
      </c>
      <c r="L11" s="2421">
        <f>+A.Lecheros!N380</f>
        <v>0</v>
      </c>
      <c r="M11" s="2421">
        <f>+A.Lecheros!O380</f>
        <v>0</v>
      </c>
      <c r="N11" s="2421">
        <f>+A.Lecheros!P380</f>
        <v>0</v>
      </c>
      <c r="O11" s="2422">
        <f>+A.Lecheros!Q380</f>
        <v>0</v>
      </c>
      <c r="P11" s="419"/>
      <c r="Q11" s="419"/>
      <c r="R11" s="435"/>
      <c r="S11" s="419"/>
      <c r="T11" s="419"/>
      <c r="U11" s="419"/>
      <c r="V11" s="419"/>
      <c r="W11" s="419"/>
      <c r="X11" s="419"/>
      <c r="Y11" s="419"/>
    </row>
    <row r="12" spans="1:26" x14ac:dyDescent="0.3">
      <c r="B12" s="476" t="str">
        <f>+A.Lecheros!C381</f>
        <v>Vaquillonas preñadas a parir en el 1er trimestre</v>
      </c>
      <c r="C12" s="4939" t="s">
        <v>253</v>
      </c>
      <c r="D12" s="457">
        <f>+A.Lecheros!F381</f>
        <v>0</v>
      </c>
      <c r="E12" s="457">
        <f>+A.Lecheros!G381</f>
        <v>0</v>
      </c>
      <c r="F12" s="457">
        <f>+A.Lecheros!H381</f>
        <v>0</v>
      </c>
      <c r="G12" s="457">
        <f>+A.Lecheros!I381</f>
        <v>0</v>
      </c>
      <c r="H12" s="457">
        <f>+A.Lecheros!J381</f>
        <v>0</v>
      </c>
      <c r="I12" s="457">
        <f>+A.Lecheros!K381</f>
        <v>0</v>
      </c>
      <c r="J12" s="457">
        <f>+A.Lecheros!L381</f>
        <v>0</v>
      </c>
      <c r="K12" s="457">
        <f>+A.Lecheros!M381</f>
        <v>0</v>
      </c>
      <c r="L12" s="457">
        <f>+A.Lecheros!N381</f>
        <v>0</v>
      </c>
      <c r="M12" s="457">
        <f>+A.Lecheros!O381</f>
        <v>0</v>
      </c>
      <c r="N12" s="457">
        <f>+A.Lecheros!P381</f>
        <v>0</v>
      </c>
      <c r="O12" s="1091">
        <f>+A.Lecheros!Q381</f>
        <v>0</v>
      </c>
      <c r="P12" s="419"/>
      <c r="Q12" s="419"/>
      <c r="R12" s="435"/>
      <c r="S12" s="419"/>
      <c r="T12" s="419"/>
      <c r="U12" s="419"/>
      <c r="V12" s="419"/>
      <c r="W12" s="419"/>
      <c r="X12" s="419"/>
      <c r="Y12" s="419"/>
    </row>
    <row r="13" spans="1:26" s="420" customFormat="1" x14ac:dyDescent="0.3">
      <c r="B13" s="476" t="str">
        <f>+A.Lecheros!C382</f>
        <v>Vaquillonas preñadas a parir en el 2do trimestre</v>
      </c>
      <c r="C13" s="4939" t="s">
        <v>253</v>
      </c>
      <c r="D13" s="457">
        <f>+A.Lecheros!F382</f>
        <v>0</v>
      </c>
      <c r="E13" s="457">
        <f>+A.Lecheros!G382</f>
        <v>0</v>
      </c>
      <c r="F13" s="457">
        <f>+A.Lecheros!H382</f>
        <v>0</v>
      </c>
      <c r="G13" s="457">
        <f>+A.Lecheros!I382</f>
        <v>0</v>
      </c>
      <c r="H13" s="457">
        <f>+A.Lecheros!J382</f>
        <v>0</v>
      </c>
      <c r="I13" s="457">
        <f>+A.Lecheros!K382</f>
        <v>0</v>
      </c>
      <c r="J13" s="457">
        <f>+A.Lecheros!L382</f>
        <v>0</v>
      </c>
      <c r="K13" s="457">
        <f>+A.Lecheros!M382</f>
        <v>0</v>
      </c>
      <c r="L13" s="457">
        <f>+A.Lecheros!N382</f>
        <v>0</v>
      </c>
      <c r="M13" s="457">
        <f>+A.Lecheros!O382</f>
        <v>0</v>
      </c>
      <c r="N13" s="457">
        <f>+A.Lecheros!P382</f>
        <v>0</v>
      </c>
      <c r="O13" s="1091">
        <f>+A.Lecheros!Q382</f>
        <v>0</v>
      </c>
      <c r="P13" s="300"/>
      <c r="R13" s="435"/>
    </row>
    <row r="14" spans="1:26" s="420" customFormat="1" x14ac:dyDescent="0.3">
      <c r="B14" s="476" t="str">
        <f>+A.Lecheros!C383</f>
        <v>Vaquillonas preñadas a parir en el 3er trimestre</v>
      </c>
      <c r="C14" s="4939" t="s">
        <v>253</v>
      </c>
      <c r="D14" s="457">
        <f>+A.Lecheros!F383</f>
        <v>0</v>
      </c>
      <c r="E14" s="457">
        <f>+A.Lecheros!G383</f>
        <v>0</v>
      </c>
      <c r="F14" s="457">
        <f>+A.Lecheros!H383</f>
        <v>0</v>
      </c>
      <c r="G14" s="457">
        <f>+A.Lecheros!I383</f>
        <v>0</v>
      </c>
      <c r="H14" s="457">
        <f>+A.Lecheros!J383</f>
        <v>0</v>
      </c>
      <c r="I14" s="457">
        <f>+A.Lecheros!K383</f>
        <v>0</v>
      </c>
      <c r="J14" s="457">
        <f>+A.Lecheros!L383</f>
        <v>0</v>
      </c>
      <c r="K14" s="457">
        <f>+A.Lecheros!M383</f>
        <v>0</v>
      </c>
      <c r="L14" s="457">
        <f>+A.Lecheros!N383</f>
        <v>0</v>
      </c>
      <c r="M14" s="457">
        <f>+A.Lecheros!O383</f>
        <v>0</v>
      </c>
      <c r="N14" s="457">
        <f>+A.Lecheros!P383</f>
        <v>0</v>
      </c>
      <c r="O14" s="1091">
        <f>+A.Lecheros!Q383</f>
        <v>0</v>
      </c>
      <c r="P14" s="450"/>
      <c r="R14" s="435"/>
    </row>
    <row r="15" spans="1:26" s="420" customFormat="1" x14ac:dyDescent="0.3">
      <c r="B15" s="476" t="str">
        <f>+A.Lecheros!C384</f>
        <v>Vaquillonas a parir en el 4to trimestre</v>
      </c>
      <c r="C15" s="4939" t="s">
        <v>253</v>
      </c>
      <c r="D15" s="457">
        <f>+A.Lecheros!F384</f>
        <v>0</v>
      </c>
      <c r="E15" s="457">
        <f>+A.Lecheros!G384</f>
        <v>0</v>
      </c>
      <c r="F15" s="457">
        <f>+A.Lecheros!H384</f>
        <v>0</v>
      </c>
      <c r="G15" s="457">
        <f>+A.Lecheros!I384</f>
        <v>0</v>
      </c>
      <c r="H15" s="457">
        <f>+A.Lecheros!J384</f>
        <v>0</v>
      </c>
      <c r="I15" s="457">
        <f>+A.Lecheros!K384</f>
        <v>0</v>
      </c>
      <c r="J15" s="457">
        <f>+A.Lecheros!L384</f>
        <v>0</v>
      </c>
      <c r="K15" s="457">
        <f>+A.Lecheros!M384</f>
        <v>0</v>
      </c>
      <c r="L15" s="457">
        <f>+A.Lecheros!N384</f>
        <v>0</v>
      </c>
      <c r="M15" s="457">
        <f>+A.Lecheros!O384</f>
        <v>0</v>
      </c>
      <c r="N15" s="457">
        <f>+A.Lecheros!P384</f>
        <v>0</v>
      </c>
      <c r="O15" s="1091">
        <f>+A.Lecheros!Q384</f>
        <v>0</v>
      </c>
      <c r="P15" s="450"/>
      <c r="R15" s="435"/>
    </row>
    <row r="16" spans="1:26" s="420" customFormat="1" x14ac:dyDescent="0.3">
      <c r="B16" s="476" t="str">
        <f>+A.Lecheros!C385</f>
        <v>Vaquillonas</v>
      </c>
      <c r="C16" s="4939" t="s">
        <v>253</v>
      </c>
      <c r="D16" s="457">
        <f>+A.Lecheros!F385</f>
        <v>0</v>
      </c>
      <c r="E16" s="457">
        <f>+A.Lecheros!G385</f>
        <v>0</v>
      </c>
      <c r="F16" s="457">
        <f>+A.Lecheros!H385</f>
        <v>0</v>
      </c>
      <c r="G16" s="457">
        <f>+A.Lecheros!I385</f>
        <v>0</v>
      </c>
      <c r="H16" s="457">
        <f>+A.Lecheros!J385</f>
        <v>0</v>
      </c>
      <c r="I16" s="457">
        <f>+A.Lecheros!K385</f>
        <v>0</v>
      </c>
      <c r="J16" s="457">
        <f>+A.Lecheros!L385</f>
        <v>0</v>
      </c>
      <c r="K16" s="457">
        <f>+A.Lecheros!M385</f>
        <v>0</v>
      </c>
      <c r="L16" s="457">
        <f>+A.Lecheros!N385</f>
        <v>0</v>
      </c>
      <c r="M16" s="457">
        <f>+A.Lecheros!O385</f>
        <v>0</v>
      </c>
      <c r="N16" s="457">
        <f>+A.Lecheros!P385</f>
        <v>0</v>
      </c>
      <c r="O16" s="1091">
        <f>+A.Lecheros!Q385</f>
        <v>0</v>
      </c>
      <c r="P16" s="450"/>
      <c r="R16" s="435"/>
    </row>
    <row r="17" spans="2:25" s="420" customFormat="1" x14ac:dyDescent="0.3">
      <c r="B17" s="476" t="str">
        <f>+A.Lecheros!C386</f>
        <v xml:space="preserve">Terneras &gt; 6 meses </v>
      </c>
      <c r="C17" s="4939" t="s">
        <v>253</v>
      </c>
      <c r="D17" s="457">
        <f>+A.Lecheros!F386</f>
        <v>0</v>
      </c>
      <c r="E17" s="457">
        <f>+A.Lecheros!G386</f>
        <v>0</v>
      </c>
      <c r="F17" s="457">
        <f>+A.Lecheros!H386</f>
        <v>0</v>
      </c>
      <c r="G17" s="457">
        <f>+A.Lecheros!I386</f>
        <v>0</v>
      </c>
      <c r="H17" s="457">
        <f>+A.Lecheros!J386</f>
        <v>0</v>
      </c>
      <c r="I17" s="457">
        <f>+A.Lecheros!K386</f>
        <v>0</v>
      </c>
      <c r="J17" s="457">
        <f>+A.Lecheros!L386</f>
        <v>0</v>
      </c>
      <c r="K17" s="457">
        <f>+A.Lecheros!M386</f>
        <v>0</v>
      </c>
      <c r="L17" s="457">
        <f>+A.Lecheros!N386</f>
        <v>0</v>
      </c>
      <c r="M17" s="457">
        <f>+A.Lecheros!O386</f>
        <v>0</v>
      </c>
      <c r="N17" s="457">
        <f>+A.Lecheros!P386</f>
        <v>0</v>
      </c>
      <c r="O17" s="1091">
        <f>+A.Lecheros!Q386</f>
        <v>0</v>
      </c>
      <c r="P17" s="450"/>
      <c r="R17" s="435"/>
    </row>
    <row r="18" spans="2:25" s="420" customFormat="1" x14ac:dyDescent="0.3">
      <c r="B18" s="476" t="str">
        <f>+A.Lecheros!C387</f>
        <v>Terneras &gt; 2 meses &lt; 6 meses</v>
      </c>
      <c r="C18" s="4939" t="s">
        <v>253</v>
      </c>
      <c r="D18" s="457">
        <f>+A.Lecheros!F387</f>
        <v>0</v>
      </c>
      <c r="E18" s="457">
        <f>+A.Lecheros!G387</f>
        <v>0</v>
      </c>
      <c r="F18" s="457">
        <f>+A.Lecheros!H387</f>
        <v>0</v>
      </c>
      <c r="G18" s="457">
        <f>+A.Lecheros!I387</f>
        <v>0</v>
      </c>
      <c r="H18" s="457">
        <f>+A.Lecheros!J387</f>
        <v>0</v>
      </c>
      <c r="I18" s="457">
        <f>+A.Lecheros!K387</f>
        <v>0</v>
      </c>
      <c r="J18" s="457">
        <f>+A.Lecheros!L387</f>
        <v>0</v>
      </c>
      <c r="K18" s="457">
        <f>+A.Lecheros!M387</f>
        <v>0</v>
      </c>
      <c r="L18" s="457">
        <f>+A.Lecheros!N387</f>
        <v>0</v>
      </c>
      <c r="M18" s="457">
        <f>+A.Lecheros!O387</f>
        <v>0</v>
      </c>
      <c r="N18" s="457">
        <f>+A.Lecheros!P387</f>
        <v>0</v>
      </c>
      <c r="O18" s="1091">
        <f>+A.Lecheros!Q387</f>
        <v>0</v>
      </c>
      <c r="P18" s="450"/>
      <c r="R18" s="435"/>
    </row>
    <row r="19" spans="2:25" s="420" customFormat="1" x14ac:dyDescent="0.3">
      <c r="B19" s="476" t="str">
        <f>+A.Lecheros!C388</f>
        <v>Terneras Lactantes (&lt;2 m)</v>
      </c>
      <c r="C19" s="4939" t="s">
        <v>253</v>
      </c>
      <c r="D19" s="457">
        <f>+A.Lecheros!F388</f>
        <v>0</v>
      </c>
      <c r="E19" s="457">
        <f>+A.Lecheros!G388</f>
        <v>0</v>
      </c>
      <c r="F19" s="457">
        <f>+A.Lecheros!H388</f>
        <v>0</v>
      </c>
      <c r="G19" s="457">
        <f>+A.Lecheros!I388</f>
        <v>0</v>
      </c>
      <c r="H19" s="457">
        <f>+A.Lecheros!J388</f>
        <v>0</v>
      </c>
      <c r="I19" s="457">
        <f>+A.Lecheros!K388</f>
        <v>0</v>
      </c>
      <c r="J19" s="457">
        <f>+A.Lecheros!L388</f>
        <v>0</v>
      </c>
      <c r="K19" s="457">
        <f>+A.Lecheros!M388</f>
        <v>0</v>
      </c>
      <c r="L19" s="457">
        <f>+A.Lecheros!N388</f>
        <v>0</v>
      </c>
      <c r="M19" s="457">
        <f>+A.Lecheros!O388</f>
        <v>0</v>
      </c>
      <c r="N19" s="457">
        <f>+A.Lecheros!P388</f>
        <v>0</v>
      </c>
      <c r="O19" s="1091">
        <f>+A.Lecheros!Q388</f>
        <v>0</v>
      </c>
      <c r="P19" s="450"/>
      <c r="R19" s="435"/>
    </row>
    <row r="20" spans="2:25" s="420" customFormat="1" ht="15.05" thickBot="1" x14ac:dyDescent="0.35">
      <c r="B20" s="476" t="str">
        <f>+A.Lecheros!C389</f>
        <v>Toros</v>
      </c>
      <c r="C20" s="4941" t="s">
        <v>253</v>
      </c>
      <c r="D20" s="457">
        <f>+A.Lecheros!F389</f>
        <v>0</v>
      </c>
      <c r="E20" s="457">
        <f>+A.Lecheros!G389</f>
        <v>0</v>
      </c>
      <c r="F20" s="457">
        <f>+A.Lecheros!H389</f>
        <v>0</v>
      </c>
      <c r="G20" s="457">
        <f>+A.Lecheros!I389</f>
        <v>0</v>
      </c>
      <c r="H20" s="457">
        <f>+A.Lecheros!J389</f>
        <v>0</v>
      </c>
      <c r="I20" s="457">
        <f>+A.Lecheros!K389</f>
        <v>0</v>
      </c>
      <c r="J20" s="457">
        <f>+A.Lecheros!L389</f>
        <v>0</v>
      </c>
      <c r="K20" s="457">
        <f>+A.Lecheros!M389</f>
        <v>0</v>
      </c>
      <c r="L20" s="457">
        <f>+A.Lecheros!N389</f>
        <v>0</v>
      </c>
      <c r="M20" s="457">
        <f>+A.Lecheros!O389</f>
        <v>0</v>
      </c>
      <c r="N20" s="457">
        <f>+A.Lecheros!P389</f>
        <v>0</v>
      </c>
      <c r="O20" s="1091">
        <f>+A.Lecheros!Q389</f>
        <v>0</v>
      </c>
      <c r="P20" s="450"/>
      <c r="R20" s="435"/>
    </row>
    <row r="21" spans="2:25" x14ac:dyDescent="0.3">
      <c r="B21" s="2406" t="s">
        <v>498</v>
      </c>
      <c r="C21" s="2407"/>
      <c r="D21" s="2423">
        <f>+SUM(D11:D20)</f>
        <v>0</v>
      </c>
      <c r="E21" s="2423">
        <f t="shared" ref="E21:O21" si="2">+SUM(E11:E20)</f>
        <v>0</v>
      </c>
      <c r="F21" s="2423">
        <f t="shared" si="2"/>
        <v>0</v>
      </c>
      <c r="G21" s="2423">
        <f t="shared" si="2"/>
        <v>0</v>
      </c>
      <c r="H21" s="2423">
        <f t="shared" si="2"/>
        <v>0</v>
      </c>
      <c r="I21" s="2423">
        <f t="shared" si="2"/>
        <v>0</v>
      </c>
      <c r="J21" s="2423">
        <f t="shared" si="2"/>
        <v>0</v>
      </c>
      <c r="K21" s="2423">
        <f t="shared" si="2"/>
        <v>0</v>
      </c>
      <c r="L21" s="2423">
        <f t="shared" si="2"/>
        <v>0</v>
      </c>
      <c r="M21" s="2423">
        <f t="shared" si="2"/>
        <v>0</v>
      </c>
      <c r="N21" s="2423">
        <f t="shared" si="2"/>
        <v>0</v>
      </c>
      <c r="O21" s="2424">
        <f t="shared" si="2"/>
        <v>0</v>
      </c>
      <c r="P21" s="419"/>
      <c r="Q21" s="419"/>
      <c r="R21" s="435"/>
      <c r="S21" s="419"/>
      <c r="T21" s="419"/>
      <c r="U21" s="419"/>
      <c r="V21" s="419"/>
      <c r="W21" s="419"/>
      <c r="X21" s="419"/>
      <c r="Y21" s="419"/>
    </row>
    <row r="22" spans="2:25" ht="15.05" thickBot="1" x14ac:dyDescent="0.35">
      <c r="B22" s="1161" t="s">
        <v>1145</v>
      </c>
      <c r="C22" s="2408"/>
      <c r="D22" s="1085">
        <f>+SUM(D24:D55)</f>
        <v>0</v>
      </c>
      <c r="E22" s="1085">
        <f t="shared" ref="E22:O22" si="3">+SUM(E24:E55)</f>
        <v>0</v>
      </c>
      <c r="F22" s="1085">
        <f t="shared" si="3"/>
        <v>0</v>
      </c>
      <c r="G22" s="1085">
        <f t="shared" si="3"/>
        <v>0</v>
      </c>
      <c r="H22" s="1085">
        <f t="shared" si="3"/>
        <v>0</v>
      </c>
      <c r="I22" s="1085">
        <f t="shared" si="3"/>
        <v>0</v>
      </c>
      <c r="J22" s="1085">
        <f t="shared" si="3"/>
        <v>0</v>
      </c>
      <c r="K22" s="1085">
        <f t="shared" si="3"/>
        <v>0</v>
      </c>
      <c r="L22" s="1085">
        <f t="shared" si="3"/>
        <v>0</v>
      </c>
      <c r="M22" s="1085">
        <f t="shared" si="3"/>
        <v>0</v>
      </c>
      <c r="N22" s="1085">
        <f t="shared" si="3"/>
        <v>0</v>
      </c>
      <c r="O22" s="1086">
        <f t="shared" si="3"/>
        <v>0</v>
      </c>
      <c r="P22" s="419"/>
      <c r="Q22" s="419"/>
      <c r="R22" s="435"/>
      <c r="S22" s="419"/>
      <c r="T22" s="419"/>
      <c r="U22" s="419"/>
      <c r="V22" s="419"/>
      <c r="W22" s="419"/>
      <c r="X22" s="419"/>
      <c r="Y22" s="419"/>
    </row>
    <row r="23" spans="2:25" hidden="1" x14ac:dyDescent="0.3">
      <c r="B23" s="460" t="s">
        <v>407</v>
      </c>
      <c r="C23" s="460"/>
      <c r="D23" s="477"/>
      <c r="E23" s="477"/>
      <c r="F23" s="477"/>
      <c r="G23" s="477"/>
      <c r="H23" s="477"/>
      <c r="I23" s="477"/>
      <c r="J23" s="477"/>
      <c r="K23" s="477"/>
      <c r="L23" s="477"/>
      <c r="M23" s="477"/>
      <c r="N23" s="477"/>
      <c r="O23" s="477"/>
      <c r="P23" s="419"/>
      <c r="Q23" s="419"/>
      <c r="R23" s="435"/>
      <c r="S23" s="419"/>
      <c r="T23" s="419"/>
      <c r="U23" s="419"/>
      <c r="V23" s="419"/>
      <c r="W23" s="419"/>
      <c r="X23" s="419"/>
      <c r="Y23" s="419"/>
    </row>
    <row r="24" spans="2:25" hidden="1" x14ac:dyDescent="0.3">
      <c r="B24" s="456" t="str">
        <f t="shared" ref="B24:B33" si="4">+B11</f>
        <v xml:space="preserve">Vacas secas </v>
      </c>
      <c r="C24" s="456"/>
      <c r="D24" s="430">
        <f t="shared" ref="D24:O24" si="5">IF($C$11="Contado",D11,0)</f>
        <v>0</v>
      </c>
      <c r="E24" s="430">
        <f t="shared" si="5"/>
        <v>0</v>
      </c>
      <c r="F24" s="430">
        <f t="shared" si="5"/>
        <v>0</v>
      </c>
      <c r="G24" s="430">
        <f t="shared" si="5"/>
        <v>0</v>
      </c>
      <c r="H24" s="430">
        <f t="shared" si="5"/>
        <v>0</v>
      </c>
      <c r="I24" s="430">
        <f t="shared" si="5"/>
        <v>0</v>
      </c>
      <c r="J24" s="430">
        <f t="shared" si="5"/>
        <v>0</v>
      </c>
      <c r="K24" s="430">
        <f t="shared" si="5"/>
        <v>0</v>
      </c>
      <c r="L24" s="430">
        <f t="shared" si="5"/>
        <v>0</v>
      </c>
      <c r="M24" s="430">
        <f t="shared" si="5"/>
        <v>0</v>
      </c>
      <c r="N24" s="430">
        <f t="shared" si="5"/>
        <v>0</v>
      </c>
      <c r="O24" s="430">
        <f t="shared" si="5"/>
        <v>0</v>
      </c>
      <c r="P24" s="419"/>
      <c r="Q24" s="419"/>
      <c r="R24" s="435"/>
      <c r="S24" s="419"/>
      <c r="T24" s="419"/>
      <c r="U24" s="419"/>
      <c r="V24" s="419"/>
      <c r="W24" s="419"/>
      <c r="X24" s="419"/>
      <c r="Y24" s="419"/>
    </row>
    <row r="25" spans="2:25" hidden="1" x14ac:dyDescent="0.3">
      <c r="B25" s="456" t="str">
        <f t="shared" si="4"/>
        <v>Vaquillonas preñadas a parir en el 1er trimestre</v>
      </c>
      <c r="C25" s="456"/>
      <c r="D25" s="430">
        <f t="shared" ref="D25:O25" si="6">IF($C$12="Contado",D12,0)</f>
        <v>0</v>
      </c>
      <c r="E25" s="430">
        <f t="shared" si="6"/>
        <v>0</v>
      </c>
      <c r="F25" s="430">
        <f t="shared" si="6"/>
        <v>0</v>
      </c>
      <c r="G25" s="430">
        <f t="shared" si="6"/>
        <v>0</v>
      </c>
      <c r="H25" s="430">
        <f t="shared" si="6"/>
        <v>0</v>
      </c>
      <c r="I25" s="430">
        <f t="shared" si="6"/>
        <v>0</v>
      </c>
      <c r="J25" s="430">
        <f t="shared" si="6"/>
        <v>0</v>
      </c>
      <c r="K25" s="430">
        <f t="shared" si="6"/>
        <v>0</v>
      </c>
      <c r="L25" s="430">
        <f t="shared" si="6"/>
        <v>0</v>
      </c>
      <c r="M25" s="430">
        <f t="shared" si="6"/>
        <v>0</v>
      </c>
      <c r="N25" s="430">
        <f t="shared" si="6"/>
        <v>0</v>
      </c>
      <c r="O25" s="430">
        <f t="shared" si="6"/>
        <v>0</v>
      </c>
      <c r="P25" s="419"/>
      <c r="Q25" s="419"/>
      <c r="R25" s="435"/>
      <c r="S25" s="419"/>
      <c r="T25" s="419"/>
      <c r="U25" s="419"/>
      <c r="V25" s="419"/>
      <c r="W25" s="419"/>
      <c r="X25" s="419"/>
      <c r="Y25" s="419"/>
    </row>
    <row r="26" spans="2:25" hidden="1" x14ac:dyDescent="0.3">
      <c r="B26" s="456" t="str">
        <f t="shared" si="4"/>
        <v>Vaquillonas preñadas a parir en el 2do trimestre</v>
      </c>
      <c r="C26" s="456"/>
      <c r="D26" s="430">
        <f t="shared" ref="D26:O26" si="7">IF($C$13="Contado",D13,0)</f>
        <v>0</v>
      </c>
      <c r="E26" s="430">
        <f t="shared" si="7"/>
        <v>0</v>
      </c>
      <c r="F26" s="430">
        <f t="shared" si="7"/>
        <v>0</v>
      </c>
      <c r="G26" s="430">
        <f t="shared" si="7"/>
        <v>0</v>
      </c>
      <c r="H26" s="430">
        <f t="shared" si="7"/>
        <v>0</v>
      </c>
      <c r="I26" s="430">
        <f t="shared" si="7"/>
        <v>0</v>
      </c>
      <c r="J26" s="430">
        <f t="shared" si="7"/>
        <v>0</v>
      </c>
      <c r="K26" s="430">
        <f t="shared" si="7"/>
        <v>0</v>
      </c>
      <c r="L26" s="430">
        <f t="shared" si="7"/>
        <v>0</v>
      </c>
      <c r="M26" s="430">
        <f t="shared" si="7"/>
        <v>0</v>
      </c>
      <c r="N26" s="430">
        <f t="shared" si="7"/>
        <v>0</v>
      </c>
      <c r="O26" s="430">
        <f t="shared" si="7"/>
        <v>0</v>
      </c>
      <c r="P26" s="419"/>
      <c r="Q26" s="419"/>
      <c r="R26" s="435"/>
      <c r="S26" s="419"/>
      <c r="T26" s="419"/>
      <c r="U26" s="419"/>
      <c r="V26" s="419"/>
      <c r="W26" s="419"/>
      <c r="X26" s="419"/>
      <c r="Y26" s="419"/>
    </row>
    <row r="27" spans="2:25" hidden="1" x14ac:dyDescent="0.3">
      <c r="B27" s="456" t="str">
        <f t="shared" si="4"/>
        <v>Vaquillonas preñadas a parir en el 3er trimestre</v>
      </c>
      <c r="C27" s="456"/>
      <c r="D27" s="430">
        <f t="shared" ref="D27:O27" si="8">IF($C$14="Contado",D14,0)</f>
        <v>0</v>
      </c>
      <c r="E27" s="430">
        <f t="shared" si="8"/>
        <v>0</v>
      </c>
      <c r="F27" s="430">
        <f t="shared" si="8"/>
        <v>0</v>
      </c>
      <c r="G27" s="430">
        <f t="shared" si="8"/>
        <v>0</v>
      </c>
      <c r="H27" s="430">
        <f t="shared" si="8"/>
        <v>0</v>
      </c>
      <c r="I27" s="430">
        <f t="shared" si="8"/>
        <v>0</v>
      </c>
      <c r="J27" s="430">
        <f t="shared" si="8"/>
        <v>0</v>
      </c>
      <c r="K27" s="430">
        <f t="shared" si="8"/>
        <v>0</v>
      </c>
      <c r="L27" s="430">
        <f t="shared" si="8"/>
        <v>0</v>
      </c>
      <c r="M27" s="430">
        <f t="shared" si="8"/>
        <v>0</v>
      </c>
      <c r="N27" s="430">
        <f t="shared" si="8"/>
        <v>0</v>
      </c>
      <c r="O27" s="430">
        <f t="shared" si="8"/>
        <v>0</v>
      </c>
      <c r="P27" s="419"/>
      <c r="Q27" s="419"/>
      <c r="R27" s="435"/>
      <c r="S27" s="419"/>
      <c r="T27" s="419"/>
      <c r="U27" s="419"/>
      <c r="V27" s="419"/>
      <c r="W27" s="419"/>
      <c r="X27" s="419"/>
      <c r="Y27" s="419"/>
    </row>
    <row r="28" spans="2:25" hidden="1" x14ac:dyDescent="0.3">
      <c r="B28" s="456" t="str">
        <f t="shared" si="4"/>
        <v>Vaquillonas a parir en el 4to trimestre</v>
      </c>
      <c r="C28" s="456"/>
      <c r="D28" s="430">
        <f t="shared" ref="D28:O28" si="9">IF($C$15="Contado",D15,0)</f>
        <v>0</v>
      </c>
      <c r="E28" s="430">
        <f t="shared" si="9"/>
        <v>0</v>
      </c>
      <c r="F28" s="430">
        <f t="shared" si="9"/>
        <v>0</v>
      </c>
      <c r="G28" s="430">
        <f t="shared" si="9"/>
        <v>0</v>
      </c>
      <c r="H28" s="430">
        <f t="shared" si="9"/>
        <v>0</v>
      </c>
      <c r="I28" s="430">
        <f t="shared" si="9"/>
        <v>0</v>
      </c>
      <c r="J28" s="430">
        <f t="shared" si="9"/>
        <v>0</v>
      </c>
      <c r="K28" s="430">
        <f t="shared" si="9"/>
        <v>0</v>
      </c>
      <c r="L28" s="430">
        <f t="shared" si="9"/>
        <v>0</v>
      </c>
      <c r="M28" s="430">
        <f t="shared" si="9"/>
        <v>0</v>
      </c>
      <c r="N28" s="430">
        <f t="shared" si="9"/>
        <v>0</v>
      </c>
      <c r="O28" s="430">
        <f t="shared" si="9"/>
        <v>0</v>
      </c>
      <c r="P28" s="419"/>
      <c r="Q28" s="419"/>
      <c r="R28" s="435"/>
      <c r="S28" s="419"/>
      <c r="T28" s="419"/>
      <c r="U28" s="419"/>
      <c r="V28" s="419"/>
      <c r="W28" s="419"/>
      <c r="X28" s="419"/>
      <c r="Y28" s="419"/>
    </row>
    <row r="29" spans="2:25" hidden="1" x14ac:dyDescent="0.3">
      <c r="B29" s="456" t="str">
        <f t="shared" si="4"/>
        <v>Vaquillonas</v>
      </c>
      <c r="C29" s="456"/>
      <c r="D29" s="430">
        <f t="shared" ref="D29:O29" si="10">IF($C$16="Contado",D16,0)</f>
        <v>0</v>
      </c>
      <c r="E29" s="430">
        <f t="shared" si="10"/>
        <v>0</v>
      </c>
      <c r="F29" s="430">
        <f t="shared" si="10"/>
        <v>0</v>
      </c>
      <c r="G29" s="430">
        <f t="shared" si="10"/>
        <v>0</v>
      </c>
      <c r="H29" s="430">
        <f t="shared" si="10"/>
        <v>0</v>
      </c>
      <c r="I29" s="430">
        <f t="shared" si="10"/>
        <v>0</v>
      </c>
      <c r="J29" s="430">
        <f t="shared" si="10"/>
        <v>0</v>
      </c>
      <c r="K29" s="430">
        <f t="shared" si="10"/>
        <v>0</v>
      </c>
      <c r="L29" s="430">
        <f t="shared" si="10"/>
        <v>0</v>
      </c>
      <c r="M29" s="430">
        <f t="shared" si="10"/>
        <v>0</v>
      </c>
      <c r="N29" s="430">
        <f t="shared" si="10"/>
        <v>0</v>
      </c>
      <c r="O29" s="430">
        <f t="shared" si="10"/>
        <v>0</v>
      </c>
      <c r="P29" s="419"/>
      <c r="Q29" s="419"/>
      <c r="R29" s="435"/>
      <c r="S29" s="419"/>
      <c r="T29" s="419"/>
      <c r="U29" s="419"/>
      <c r="V29" s="419"/>
      <c r="W29" s="419"/>
      <c r="X29" s="419"/>
      <c r="Y29" s="419"/>
    </row>
    <row r="30" spans="2:25" hidden="1" x14ac:dyDescent="0.3">
      <c r="B30" s="456" t="str">
        <f t="shared" si="4"/>
        <v xml:space="preserve">Terneras &gt; 6 meses </v>
      </c>
      <c r="C30" s="456"/>
      <c r="D30" s="430">
        <f t="shared" ref="D30:O30" si="11">IF($C$17="Contado",D17,0)</f>
        <v>0</v>
      </c>
      <c r="E30" s="430">
        <f t="shared" si="11"/>
        <v>0</v>
      </c>
      <c r="F30" s="430">
        <f t="shared" si="11"/>
        <v>0</v>
      </c>
      <c r="G30" s="430">
        <f t="shared" si="11"/>
        <v>0</v>
      </c>
      <c r="H30" s="430">
        <f t="shared" si="11"/>
        <v>0</v>
      </c>
      <c r="I30" s="430">
        <f t="shared" si="11"/>
        <v>0</v>
      </c>
      <c r="J30" s="430">
        <f t="shared" si="11"/>
        <v>0</v>
      </c>
      <c r="K30" s="430">
        <f t="shared" si="11"/>
        <v>0</v>
      </c>
      <c r="L30" s="430">
        <f t="shared" si="11"/>
        <v>0</v>
      </c>
      <c r="M30" s="430">
        <f t="shared" si="11"/>
        <v>0</v>
      </c>
      <c r="N30" s="430">
        <f t="shared" si="11"/>
        <v>0</v>
      </c>
      <c r="O30" s="430">
        <f t="shared" si="11"/>
        <v>0</v>
      </c>
      <c r="P30" s="419"/>
      <c r="Q30" s="419"/>
      <c r="R30" s="435"/>
      <c r="S30" s="419"/>
      <c r="T30" s="419"/>
      <c r="U30" s="419"/>
      <c r="V30" s="419"/>
      <c r="W30" s="419"/>
      <c r="X30" s="419"/>
      <c r="Y30" s="419"/>
    </row>
    <row r="31" spans="2:25" hidden="1" x14ac:dyDescent="0.3">
      <c r="B31" s="456" t="str">
        <f t="shared" si="4"/>
        <v>Terneras &gt; 2 meses &lt; 6 meses</v>
      </c>
      <c r="C31" s="456"/>
      <c r="D31" s="430">
        <f t="shared" ref="D31:O31" si="12">IF($C$18="Contado",D18,0)</f>
        <v>0</v>
      </c>
      <c r="E31" s="430">
        <f t="shared" si="12"/>
        <v>0</v>
      </c>
      <c r="F31" s="430">
        <f t="shared" si="12"/>
        <v>0</v>
      </c>
      <c r="G31" s="430">
        <f t="shared" si="12"/>
        <v>0</v>
      </c>
      <c r="H31" s="430">
        <f t="shared" si="12"/>
        <v>0</v>
      </c>
      <c r="I31" s="430">
        <f t="shared" si="12"/>
        <v>0</v>
      </c>
      <c r="J31" s="430">
        <f t="shared" si="12"/>
        <v>0</v>
      </c>
      <c r="K31" s="430">
        <f t="shared" si="12"/>
        <v>0</v>
      </c>
      <c r="L31" s="430">
        <f t="shared" si="12"/>
        <v>0</v>
      </c>
      <c r="M31" s="430">
        <f t="shared" si="12"/>
        <v>0</v>
      </c>
      <c r="N31" s="430">
        <f t="shared" si="12"/>
        <v>0</v>
      </c>
      <c r="O31" s="430">
        <f t="shared" si="12"/>
        <v>0</v>
      </c>
      <c r="P31" s="419"/>
      <c r="Q31" s="419"/>
      <c r="R31" s="435"/>
      <c r="S31" s="419"/>
      <c r="T31" s="419"/>
      <c r="U31" s="419"/>
      <c r="V31" s="419"/>
      <c r="W31" s="419"/>
      <c r="X31" s="419"/>
      <c r="Y31" s="419"/>
    </row>
    <row r="32" spans="2:25" hidden="1" x14ac:dyDescent="0.3">
      <c r="B32" s="456" t="str">
        <f t="shared" si="4"/>
        <v>Terneras Lactantes (&lt;2 m)</v>
      </c>
      <c r="C32" s="456"/>
      <c r="D32" s="430">
        <f t="shared" ref="D32:O32" si="13">IF($C$19="Contado",D19,0)</f>
        <v>0</v>
      </c>
      <c r="E32" s="430">
        <f t="shared" si="13"/>
        <v>0</v>
      </c>
      <c r="F32" s="430">
        <f t="shared" si="13"/>
        <v>0</v>
      </c>
      <c r="G32" s="430">
        <f t="shared" si="13"/>
        <v>0</v>
      </c>
      <c r="H32" s="430">
        <f t="shared" si="13"/>
        <v>0</v>
      </c>
      <c r="I32" s="430">
        <f t="shared" si="13"/>
        <v>0</v>
      </c>
      <c r="J32" s="430">
        <f t="shared" si="13"/>
        <v>0</v>
      </c>
      <c r="K32" s="430">
        <f t="shared" si="13"/>
        <v>0</v>
      </c>
      <c r="L32" s="430">
        <f t="shared" si="13"/>
        <v>0</v>
      </c>
      <c r="M32" s="430">
        <f t="shared" si="13"/>
        <v>0</v>
      </c>
      <c r="N32" s="430">
        <f t="shared" si="13"/>
        <v>0</v>
      </c>
      <c r="O32" s="430">
        <f t="shared" si="13"/>
        <v>0</v>
      </c>
      <c r="P32" s="419"/>
      <c r="Q32" s="419"/>
      <c r="R32" s="435"/>
      <c r="S32" s="419"/>
      <c r="T32" s="419"/>
      <c r="U32" s="419"/>
      <c r="V32" s="419"/>
      <c r="W32" s="419"/>
      <c r="X32" s="419"/>
      <c r="Y32" s="419"/>
    </row>
    <row r="33" spans="2:25" hidden="1" x14ac:dyDescent="0.3">
      <c r="B33" s="456" t="str">
        <f t="shared" si="4"/>
        <v>Toros</v>
      </c>
      <c r="C33" s="456"/>
      <c r="D33" s="430">
        <f t="shared" ref="D33:O33" si="14">IF($C$20="Contado",D20,0)</f>
        <v>0</v>
      </c>
      <c r="E33" s="430">
        <f t="shared" si="14"/>
        <v>0</v>
      </c>
      <c r="F33" s="430">
        <f t="shared" si="14"/>
        <v>0</v>
      </c>
      <c r="G33" s="430">
        <f t="shared" si="14"/>
        <v>0</v>
      </c>
      <c r="H33" s="430">
        <f t="shared" si="14"/>
        <v>0</v>
      </c>
      <c r="I33" s="430">
        <f t="shared" si="14"/>
        <v>0</v>
      </c>
      <c r="J33" s="430">
        <f t="shared" si="14"/>
        <v>0</v>
      </c>
      <c r="K33" s="430">
        <f t="shared" si="14"/>
        <v>0</v>
      </c>
      <c r="L33" s="430">
        <f t="shared" si="14"/>
        <v>0</v>
      </c>
      <c r="M33" s="430">
        <f t="shared" si="14"/>
        <v>0</v>
      </c>
      <c r="N33" s="430">
        <f t="shared" si="14"/>
        <v>0</v>
      </c>
      <c r="O33" s="430">
        <f t="shared" si="14"/>
        <v>0</v>
      </c>
      <c r="P33" s="419"/>
      <c r="Q33" s="419"/>
      <c r="R33" s="435"/>
      <c r="S33" s="419"/>
      <c r="T33" s="419"/>
      <c r="U33" s="419"/>
      <c r="V33" s="419"/>
      <c r="W33" s="419"/>
      <c r="X33" s="419"/>
      <c r="Y33" s="419"/>
    </row>
    <row r="34" spans="2:25" hidden="1" x14ac:dyDescent="0.3">
      <c r="B34" s="460" t="s">
        <v>408</v>
      </c>
      <c r="C34" s="460"/>
      <c r="D34" s="477"/>
      <c r="E34" s="477"/>
      <c r="F34" s="477"/>
      <c r="G34" s="477"/>
      <c r="H34" s="477"/>
      <c r="I34" s="477"/>
      <c r="J34" s="477"/>
      <c r="K34" s="477"/>
      <c r="L34" s="477"/>
      <c r="M34" s="477"/>
      <c r="N34" s="477"/>
      <c r="O34" s="477"/>
      <c r="P34" s="419"/>
      <c r="Q34" s="419"/>
      <c r="R34" s="435"/>
      <c r="S34" s="419"/>
      <c r="T34" s="419"/>
      <c r="U34" s="419"/>
      <c r="V34" s="419"/>
      <c r="W34" s="419"/>
      <c r="X34" s="419"/>
      <c r="Y34" s="419"/>
    </row>
    <row r="35" spans="2:25" hidden="1" x14ac:dyDescent="0.3">
      <c r="B35" s="456" t="str">
        <f t="shared" ref="B35:B44" si="15">B24</f>
        <v xml:space="preserve">Vacas secas </v>
      </c>
      <c r="C35" s="456"/>
      <c r="D35" s="430"/>
      <c r="E35" s="430">
        <f t="shared" ref="E35:O35" si="16">IF($C11="30 días",D11,0)</f>
        <v>0</v>
      </c>
      <c r="F35" s="430">
        <f t="shared" si="16"/>
        <v>0</v>
      </c>
      <c r="G35" s="430">
        <f t="shared" si="16"/>
        <v>0</v>
      </c>
      <c r="H35" s="430">
        <f t="shared" si="16"/>
        <v>0</v>
      </c>
      <c r="I35" s="430">
        <f t="shared" si="16"/>
        <v>0</v>
      </c>
      <c r="J35" s="430">
        <f t="shared" si="16"/>
        <v>0</v>
      </c>
      <c r="K35" s="430">
        <f t="shared" si="16"/>
        <v>0</v>
      </c>
      <c r="L35" s="430">
        <f t="shared" si="16"/>
        <v>0</v>
      </c>
      <c r="M35" s="430">
        <f t="shared" si="16"/>
        <v>0</v>
      </c>
      <c r="N35" s="430">
        <f t="shared" si="16"/>
        <v>0</v>
      </c>
      <c r="O35" s="430">
        <f t="shared" si="16"/>
        <v>0</v>
      </c>
      <c r="P35" s="419"/>
      <c r="Q35" s="419"/>
      <c r="R35" s="435"/>
      <c r="S35" s="419"/>
      <c r="T35" s="419"/>
      <c r="U35" s="419"/>
      <c r="V35" s="419"/>
      <c r="W35" s="419"/>
      <c r="X35" s="419"/>
      <c r="Y35" s="419"/>
    </row>
    <row r="36" spans="2:25" hidden="1" x14ac:dyDescent="0.3">
      <c r="B36" s="456" t="str">
        <f t="shared" si="15"/>
        <v>Vaquillonas preñadas a parir en el 1er trimestre</v>
      </c>
      <c r="C36" s="456"/>
      <c r="D36" s="430"/>
      <c r="E36" s="430">
        <f t="shared" ref="E36:O36" si="17">IF($C12="30 días",D12,0)</f>
        <v>0</v>
      </c>
      <c r="F36" s="430">
        <f t="shared" si="17"/>
        <v>0</v>
      </c>
      <c r="G36" s="430">
        <f t="shared" si="17"/>
        <v>0</v>
      </c>
      <c r="H36" s="430">
        <f t="shared" si="17"/>
        <v>0</v>
      </c>
      <c r="I36" s="430">
        <f t="shared" si="17"/>
        <v>0</v>
      </c>
      <c r="J36" s="430">
        <f t="shared" si="17"/>
        <v>0</v>
      </c>
      <c r="K36" s="430">
        <f t="shared" si="17"/>
        <v>0</v>
      </c>
      <c r="L36" s="430">
        <f t="shared" si="17"/>
        <v>0</v>
      </c>
      <c r="M36" s="430">
        <f t="shared" si="17"/>
        <v>0</v>
      </c>
      <c r="N36" s="430">
        <f t="shared" si="17"/>
        <v>0</v>
      </c>
      <c r="O36" s="430">
        <f t="shared" si="17"/>
        <v>0</v>
      </c>
      <c r="P36" s="419"/>
      <c r="Q36" s="419"/>
      <c r="R36" s="435"/>
      <c r="S36" s="419"/>
      <c r="T36" s="419"/>
      <c r="U36" s="419"/>
      <c r="V36" s="419"/>
      <c r="W36" s="419"/>
      <c r="X36" s="419"/>
      <c r="Y36" s="419"/>
    </row>
    <row r="37" spans="2:25" hidden="1" x14ac:dyDescent="0.3">
      <c r="B37" s="456" t="str">
        <f t="shared" si="15"/>
        <v>Vaquillonas preñadas a parir en el 2do trimestre</v>
      </c>
      <c r="C37" s="456"/>
      <c r="D37" s="430"/>
      <c r="E37" s="430">
        <f t="shared" ref="E37:O37" si="18">IF($C13="30 días",D13,0)</f>
        <v>0</v>
      </c>
      <c r="F37" s="430">
        <f t="shared" si="18"/>
        <v>0</v>
      </c>
      <c r="G37" s="430">
        <f t="shared" si="18"/>
        <v>0</v>
      </c>
      <c r="H37" s="430">
        <f t="shared" si="18"/>
        <v>0</v>
      </c>
      <c r="I37" s="430">
        <f t="shared" si="18"/>
        <v>0</v>
      </c>
      <c r="J37" s="430">
        <f t="shared" si="18"/>
        <v>0</v>
      </c>
      <c r="K37" s="430">
        <f t="shared" si="18"/>
        <v>0</v>
      </c>
      <c r="L37" s="430">
        <f t="shared" si="18"/>
        <v>0</v>
      </c>
      <c r="M37" s="430">
        <f t="shared" si="18"/>
        <v>0</v>
      </c>
      <c r="N37" s="430">
        <f t="shared" si="18"/>
        <v>0</v>
      </c>
      <c r="O37" s="430">
        <f t="shared" si="18"/>
        <v>0</v>
      </c>
      <c r="P37" s="419"/>
      <c r="Q37" s="419"/>
      <c r="R37" s="435"/>
      <c r="S37" s="419"/>
      <c r="T37" s="419"/>
      <c r="U37" s="419"/>
      <c r="V37" s="419"/>
      <c r="W37" s="419"/>
      <c r="X37" s="419"/>
      <c r="Y37" s="419"/>
    </row>
    <row r="38" spans="2:25" hidden="1" x14ac:dyDescent="0.3">
      <c r="B38" s="456" t="str">
        <f t="shared" si="15"/>
        <v>Vaquillonas preñadas a parir en el 3er trimestre</v>
      </c>
      <c r="C38" s="456"/>
      <c r="D38" s="430"/>
      <c r="E38" s="430">
        <f t="shared" ref="E38:O38" si="19">IF($C14="30 días",D14,0)</f>
        <v>0</v>
      </c>
      <c r="F38" s="430">
        <f t="shared" si="19"/>
        <v>0</v>
      </c>
      <c r="G38" s="430">
        <f t="shared" si="19"/>
        <v>0</v>
      </c>
      <c r="H38" s="430">
        <f t="shared" si="19"/>
        <v>0</v>
      </c>
      <c r="I38" s="430">
        <f t="shared" si="19"/>
        <v>0</v>
      </c>
      <c r="J38" s="430">
        <f t="shared" si="19"/>
        <v>0</v>
      </c>
      <c r="K38" s="430">
        <f t="shared" si="19"/>
        <v>0</v>
      </c>
      <c r="L38" s="430">
        <f t="shared" si="19"/>
        <v>0</v>
      </c>
      <c r="M38" s="430">
        <f t="shared" si="19"/>
        <v>0</v>
      </c>
      <c r="N38" s="430">
        <f t="shared" si="19"/>
        <v>0</v>
      </c>
      <c r="O38" s="430">
        <f t="shared" si="19"/>
        <v>0</v>
      </c>
      <c r="P38" s="419"/>
      <c r="Q38" s="419"/>
      <c r="R38" s="435"/>
      <c r="S38" s="419"/>
      <c r="T38" s="419"/>
      <c r="U38" s="419"/>
      <c r="V38" s="419"/>
      <c r="W38" s="419"/>
      <c r="X38" s="419"/>
      <c r="Y38" s="419"/>
    </row>
    <row r="39" spans="2:25" hidden="1" x14ac:dyDescent="0.3">
      <c r="B39" s="456" t="str">
        <f t="shared" si="15"/>
        <v>Vaquillonas a parir en el 4to trimestre</v>
      </c>
      <c r="C39" s="456"/>
      <c r="D39" s="430"/>
      <c r="E39" s="430">
        <f t="shared" ref="E39:O39" si="20">IF($C15="30 días",D15,0)</f>
        <v>0</v>
      </c>
      <c r="F39" s="430">
        <f t="shared" si="20"/>
        <v>0</v>
      </c>
      <c r="G39" s="430">
        <f t="shared" si="20"/>
        <v>0</v>
      </c>
      <c r="H39" s="430">
        <f t="shared" si="20"/>
        <v>0</v>
      </c>
      <c r="I39" s="430">
        <f t="shared" si="20"/>
        <v>0</v>
      </c>
      <c r="J39" s="430">
        <f t="shared" si="20"/>
        <v>0</v>
      </c>
      <c r="K39" s="430">
        <f t="shared" si="20"/>
        <v>0</v>
      </c>
      <c r="L39" s="430">
        <f t="shared" si="20"/>
        <v>0</v>
      </c>
      <c r="M39" s="430">
        <f t="shared" si="20"/>
        <v>0</v>
      </c>
      <c r="N39" s="430">
        <f t="shared" si="20"/>
        <v>0</v>
      </c>
      <c r="O39" s="430">
        <f t="shared" si="20"/>
        <v>0</v>
      </c>
      <c r="P39" s="419"/>
      <c r="Q39" s="419"/>
      <c r="R39" s="435"/>
      <c r="S39" s="419"/>
      <c r="T39" s="419"/>
      <c r="U39" s="419"/>
      <c r="V39" s="419"/>
      <c r="W39" s="419"/>
      <c r="X39" s="419"/>
      <c r="Y39" s="419"/>
    </row>
    <row r="40" spans="2:25" hidden="1" x14ac:dyDescent="0.3">
      <c r="B40" s="456" t="str">
        <f t="shared" si="15"/>
        <v>Vaquillonas</v>
      </c>
      <c r="C40" s="456"/>
      <c r="D40" s="430"/>
      <c r="E40" s="430">
        <f t="shared" ref="E40:O40" si="21">IF($C16="30 días",D16,0)</f>
        <v>0</v>
      </c>
      <c r="F40" s="430">
        <f t="shared" si="21"/>
        <v>0</v>
      </c>
      <c r="G40" s="430">
        <f t="shared" si="21"/>
        <v>0</v>
      </c>
      <c r="H40" s="430">
        <f t="shared" si="21"/>
        <v>0</v>
      </c>
      <c r="I40" s="430">
        <f t="shared" si="21"/>
        <v>0</v>
      </c>
      <c r="J40" s="430">
        <f t="shared" si="21"/>
        <v>0</v>
      </c>
      <c r="K40" s="430">
        <f t="shared" si="21"/>
        <v>0</v>
      </c>
      <c r="L40" s="430">
        <f t="shared" si="21"/>
        <v>0</v>
      </c>
      <c r="M40" s="430">
        <f t="shared" si="21"/>
        <v>0</v>
      </c>
      <c r="N40" s="430">
        <f t="shared" si="21"/>
        <v>0</v>
      </c>
      <c r="O40" s="430">
        <f t="shared" si="21"/>
        <v>0</v>
      </c>
      <c r="P40" s="419"/>
      <c r="Q40" s="419"/>
      <c r="R40" s="435"/>
      <c r="S40" s="419"/>
      <c r="T40" s="419"/>
      <c r="U40" s="419"/>
      <c r="V40" s="419"/>
      <c r="W40" s="419"/>
      <c r="X40" s="419"/>
      <c r="Y40" s="419"/>
    </row>
    <row r="41" spans="2:25" hidden="1" x14ac:dyDescent="0.3">
      <c r="B41" s="456" t="str">
        <f t="shared" si="15"/>
        <v xml:space="preserve">Terneras &gt; 6 meses </v>
      </c>
      <c r="C41" s="456"/>
      <c r="D41" s="430"/>
      <c r="E41" s="430">
        <f t="shared" ref="E41:O41" si="22">IF($C17="30 días",D17,0)</f>
        <v>0</v>
      </c>
      <c r="F41" s="430">
        <f t="shared" si="22"/>
        <v>0</v>
      </c>
      <c r="G41" s="430">
        <f t="shared" si="22"/>
        <v>0</v>
      </c>
      <c r="H41" s="430">
        <f t="shared" si="22"/>
        <v>0</v>
      </c>
      <c r="I41" s="430">
        <f t="shared" si="22"/>
        <v>0</v>
      </c>
      <c r="J41" s="430">
        <f t="shared" si="22"/>
        <v>0</v>
      </c>
      <c r="K41" s="430">
        <f t="shared" si="22"/>
        <v>0</v>
      </c>
      <c r="L41" s="430">
        <f t="shared" si="22"/>
        <v>0</v>
      </c>
      <c r="M41" s="430">
        <f t="shared" si="22"/>
        <v>0</v>
      </c>
      <c r="N41" s="430">
        <f t="shared" si="22"/>
        <v>0</v>
      </c>
      <c r="O41" s="430">
        <f t="shared" si="22"/>
        <v>0</v>
      </c>
      <c r="P41" s="419"/>
      <c r="Q41" s="419"/>
      <c r="R41" s="435"/>
      <c r="S41" s="419"/>
      <c r="T41" s="419"/>
      <c r="U41" s="419"/>
      <c r="V41" s="419"/>
      <c r="W41" s="419"/>
      <c r="X41" s="419"/>
      <c r="Y41" s="419"/>
    </row>
    <row r="42" spans="2:25" hidden="1" x14ac:dyDescent="0.3">
      <c r="B42" s="456" t="str">
        <f t="shared" si="15"/>
        <v>Terneras &gt; 2 meses &lt; 6 meses</v>
      </c>
      <c r="C42" s="456"/>
      <c r="D42" s="430"/>
      <c r="E42" s="430">
        <f t="shared" ref="E42:O42" si="23">IF($C18="30 días",D18,0)</f>
        <v>0</v>
      </c>
      <c r="F42" s="430">
        <f t="shared" si="23"/>
        <v>0</v>
      </c>
      <c r="G42" s="430">
        <f t="shared" si="23"/>
        <v>0</v>
      </c>
      <c r="H42" s="430">
        <f t="shared" si="23"/>
        <v>0</v>
      </c>
      <c r="I42" s="430">
        <f t="shared" si="23"/>
        <v>0</v>
      </c>
      <c r="J42" s="430">
        <f t="shared" si="23"/>
        <v>0</v>
      </c>
      <c r="K42" s="430">
        <f t="shared" si="23"/>
        <v>0</v>
      </c>
      <c r="L42" s="430">
        <f t="shared" si="23"/>
        <v>0</v>
      </c>
      <c r="M42" s="430">
        <f t="shared" si="23"/>
        <v>0</v>
      </c>
      <c r="N42" s="430">
        <f t="shared" si="23"/>
        <v>0</v>
      </c>
      <c r="O42" s="430">
        <f t="shared" si="23"/>
        <v>0</v>
      </c>
      <c r="P42" s="419"/>
      <c r="Q42" s="419"/>
      <c r="R42" s="435"/>
      <c r="S42" s="419"/>
      <c r="T42" s="419"/>
      <c r="U42" s="419"/>
      <c r="V42" s="419"/>
      <c r="W42" s="419"/>
      <c r="X42" s="419"/>
      <c r="Y42" s="419"/>
    </row>
    <row r="43" spans="2:25" hidden="1" x14ac:dyDescent="0.3">
      <c r="B43" s="456" t="str">
        <f t="shared" si="15"/>
        <v>Terneras Lactantes (&lt;2 m)</v>
      </c>
      <c r="C43" s="456"/>
      <c r="D43" s="430"/>
      <c r="E43" s="430">
        <f t="shared" ref="E43:O43" si="24">IF($C19="30 días",D19,0)</f>
        <v>0</v>
      </c>
      <c r="F43" s="430">
        <f t="shared" si="24"/>
        <v>0</v>
      </c>
      <c r="G43" s="430">
        <f t="shared" si="24"/>
        <v>0</v>
      </c>
      <c r="H43" s="430">
        <f t="shared" si="24"/>
        <v>0</v>
      </c>
      <c r="I43" s="430">
        <f t="shared" si="24"/>
        <v>0</v>
      </c>
      <c r="J43" s="430">
        <f t="shared" si="24"/>
        <v>0</v>
      </c>
      <c r="K43" s="430">
        <f t="shared" si="24"/>
        <v>0</v>
      </c>
      <c r="L43" s="430">
        <f t="shared" si="24"/>
        <v>0</v>
      </c>
      <c r="M43" s="430">
        <f t="shared" si="24"/>
        <v>0</v>
      </c>
      <c r="N43" s="430">
        <f t="shared" si="24"/>
        <v>0</v>
      </c>
      <c r="O43" s="430">
        <f t="shared" si="24"/>
        <v>0</v>
      </c>
      <c r="P43" s="419"/>
      <c r="Q43" s="419"/>
      <c r="R43" s="435"/>
      <c r="S43" s="419"/>
      <c r="T43" s="419"/>
      <c r="U43" s="419"/>
      <c r="V43" s="419"/>
      <c r="W43" s="419"/>
      <c r="X43" s="419"/>
      <c r="Y43" s="419"/>
    </row>
    <row r="44" spans="2:25" hidden="1" x14ac:dyDescent="0.3">
      <c r="B44" s="456" t="str">
        <f t="shared" si="15"/>
        <v>Toros</v>
      </c>
      <c r="C44" s="456"/>
      <c r="D44" s="430"/>
      <c r="E44" s="430">
        <f t="shared" ref="E44:O44" si="25">IF($C20="30 días",D20,0)</f>
        <v>0</v>
      </c>
      <c r="F44" s="430">
        <f t="shared" si="25"/>
        <v>0</v>
      </c>
      <c r="G44" s="430">
        <f t="shared" si="25"/>
        <v>0</v>
      </c>
      <c r="H44" s="430">
        <f t="shared" si="25"/>
        <v>0</v>
      </c>
      <c r="I44" s="430">
        <f t="shared" si="25"/>
        <v>0</v>
      </c>
      <c r="J44" s="430">
        <f t="shared" si="25"/>
        <v>0</v>
      </c>
      <c r="K44" s="430">
        <f t="shared" si="25"/>
        <v>0</v>
      </c>
      <c r="L44" s="430">
        <f t="shared" si="25"/>
        <v>0</v>
      </c>
      <c r="M44" s="430">
        <f t="shared" si="25"/>
        <v>0</v>
      </c>
      <c r="N44" s="430">
        <f t="shared" si="25"/>
        <v>0</v>
      </c>
      <c r="O44" s="430">
        <f t="shared" si="25"/>
        <v>0</v>
      </c>
      <c r="P44" s="419"/>
      <c r="Q44" s="419"/>
      <c r="R44" s="435"/>
      <c r="S44" s="419"/>
      <c r="T44" s="419"/>
      <c r="U44" s="419"/>
      <c r="V44" s="419"/>
      <c r="W44" s="419"/>
      <c r="X44" s="419"/>
      <c r="Y44" s="419"/>
    </row>
    <row r="45" spans="2:25" hidden="1" x14ac:dyDescent="0.3">
      <c r="B45" s="460" t="s">
        <v>409</v>
      </c>
      <c r="C45" s="460"/>
      <c r="D45" s="477"/>
      <c r="E45" s="477"/>
      <c r="F45" s="477"/>
      <c r="G45" s="477"/>
      <c r="H45" s="477"/>
      <c r="I45" s="477"/>
      <c r="J45" s="477"/>
      <c r="K45" s="477"/>
      <c r="L45" s="477"/>
      <c r="M45" s="477"/>
      <c r="N45" s="477"/>
      <c r="O45" s="477"/>
      <c r="P45" s="419"/>
      <c r="Q45" s="419"/>
      <c r="R45" s="435"/>
      <c r="S45" s="419"/>
      <c r="T45" s="419"/>
      <c r="U45" s="419"/>
      <c r="V45" s="419"/>
      <c r="W45" s="419"/>
      <c r="X45" s="419"/>
      <c r="Y45" s="419"/>
    </row>
    <row r="46" spans="2:25" hidden="1" x14ac:dyDescent="0.3">
      <c r="B46" s="456" t="str">
        <f t="shared" ref="B46:B55" si="26">B35</f>
        <v xml:space="preserve">Vacas secas </v>
      </c>
      <c r="C46" s="456"/>
      <c r="D46" s="478"/>
      <c r="E46" s="478"/>
      <c r="F46" s="478">
        <f t="shared" ref="F46:F55" si="27">IF($C11="60 días",D11,0)</f>
        <v>0</v>
      </c>
      <c r="G46" s="478">
        <f t="shared" ref="G46:G55" si="28">IF($C11="60 días",E11,0)</f>
        <v>0</v>
      </c>
      <c r="H46" s="478">
        <f t="shared" ref="H46:H55" si="29">IF($C11="60 días",F11,0)</f>
        <v>0</v>
      </c>
      <c r="I46" s="478">
        <f t="shared" ref="I46:I55" si="30">IF($C11="60 días",G11,0)</f>
        <v>0</v>
      </c>
      <c r="J46" s="478">
        <f t="shared" ref="J46:J55" si="31">IF($C11="60 días",H11,0)</f>
        <v>0</v>
      </c>
      <c r="K46" s="478">
        <f t="shared" ref="K46:K55" si="32">IF($C11="60 días",I11,0)</f>
        <v>0</v>
      </c>
      <c r="L46" s="478">
        <f t="shared" ref="L46:L55" si="33">IF($C11="60 días",J11,0)</f>
        <v>0</v>
      </c>
      <c r="M46" s="478">
        <f t="shared" ref="M46:M55" si="34">IF($C11="60 días",K11,0)</f>
        <v>0</v>
      </c>
      <c r="N46" s="478">
        <f t="shared" ref="N46:N55" si="35">IF($C11="60 días",L11,0)</f>
        <v>0</v>
      </c>
      <c r="O46" s="478">
        <f t="shared" ref="O46:O55" si="36">IF($C11="60 días",M11,0)</f>
        <v>0</v>
      </c>
      <c r="P46" s="419"/>
      <c r="Q46" s="419"/>
      <c r="R46" s="435"/>
      <c r="S46" s="419"/>
      <c r="T46" s="419"/>
      <c r="U46" s="419"/>
      <c r="V46" s="419"/>
      <c r="W46" s="419"/>
      <c r="X46" s="419"/>
      <c r="Y46" s="419"/>
    </row>
    <row r="47" spans="2:25" hidden="1" x14ac:dyDescent="0.3">
      <c r="B47" s="456" t="str">
        <f t="shared" si="26"/>
        <v>Vaquillonas preñadas a parir en el 1er trimestre</v>
      </c>
      <c r="C47" s="456"/>
      <c r="D47" s="478"/>
      <c r="E47" s="478"/>
      <c r="F47" s="478">
        <f t="shared" si="27"/>
        <v>0</v>
      </c>
      <c r="G47" s="478">
        <f t="shared" si="28"/>
        <v>0</v>
      </c>
      <c r="H47" s="478">
        <f t="shared" si="29"/>
        <v>0</v>
      </c>
      <c r="I47" s="478">
        <f t="shared" si="30"/>
        <v>0</v>
      </c>
      <c r="J47" s="478">
        <f t="shared" si="31"/>
        <v>0</v>
      </c>
      <c r="K47" s="478">
        <f t="shared" si="32"/>
        <v>0</v>
      </c>
      <c r="L47" s="478">
        <f t="shared" si="33"/>
        <v>0</v>
      </c>
      <c r="M47" s="478">
        <f t="shared" si="34"/>
        <v>0</v>
      </c>
      <c r="N47" s="478">
        <f t="shared" si="35"/>
        <v>0</v>
      </c>
      <c r="O47" s="478">
        <f t="shared" si="36"/>
        <v>0</v>
      </c>
      <c r="P47" s="419"/>
      <c r="Q47" s="419"/>
      <c r="R47" s="435"/>
      <c r="S47" s="419"/>
      <c r="T47" s="419"/>
      <c r="U47" s="419"/>
      <c r="V47" s="419"/>
      <c r="W47" s="419"/>
      <c r="X47" s="419"/>
      <c r="Y47" s="419"/>
    </row>
    <row r="48" spans="2:25" hidden="1" x14ac:dyDescent="0.3">
      <c r="B48" s="456" t="str">
        <f t="shared" si="26"/>
        <v>Vaquillonas preñadas a parir en el 2do trimestre</v>
      </c>
      <c r="C48" s="456"/>
      <c r="D48" s="478"/>
      <c r="E48" s="478"/>
      <c r="F48" s="478">
        <f t="shared" si="27"/>
        <v>0</v>
      </c>
      <c r="G48" s="478">
        <f t="shared" si="28"/>
        <v>0</v>
      </c>
      <c r="H48" s="478">
        <f t="shared" si="29"/>
        <v>0</v>
      </c>
      <c r="I48" s="478">
        <f t="shared" si="30"/>
        <v>0</v>
      </c>
      <c r="J48" s="478">
        <f t="shared" si="31"/>
        <v>0</v>
      </c>
      <c r="K48" s="478">
        <f t="shared" si="32"/>
        <v>0</v>
      </c>
      <c r="L48" s="478">
        <f t="shared" si="33"/>
        <v>0</v>
      </c>
      <c r="M48" s="478">
        <f t="shared" si="34"/>
        <v>0</v>
      </c>
      <c r="N48" s="478">
        <f t="shared" si="35"/>
        <v>0</v>
      </c>
      <c r="O48" s="478">
        <f t="shared" si="36"/>
        <v>0</v>
      </c>
      <c r="P48" s="419"/>
      <c r="Q48" s="419"/>
      <c r="R48" s="435"/>
      <c r="S48" s="419"/>
      <c r="T48" s="419"/>
      <c r="U48" s="419"/>
      <c r="V48" s="419"/>
      <c r="W48" s="419"/>
      <c r="X48" s="419"/>
      <c r="Y48" s="419"/>
    </row>
    <row r="49" spans="1:25" hidden="1" x14ac:dyDescent="0.3">
      <c r="B49" s="456" t="str">
        <f t="shared" si="26"/>
        <v>Vaquillonas preñadas a parir en el 3er trimestre</v>
      </c>
      <c r="C49" s="456"/>
      <c r="D49" s="478"/>
      <c r="E49" s="478"/>
      <c r="F49" s="478">
        <f t="shared" si="27"/>
        <v>0</v>
      </c>
      <c r="G49" s="478">
        <f t="shared" si="28"/>
        <v>0</v>
      </c>
      <c r="H49" s="478">
        <f t="shared" si="29"/>
        <v>0</v>
      </c>
      <c r="I49" s="478">
        <f t="shared" si="30"/>
        <v>0</v>
      </c>
      <c r="J49" s="478">
        <f t="shared" si="31"/>
        <v>0</v>
      </c>
      <c r="K49" s="478">
        <f t="shared" si="32"/>
        <v>0</v>
      </c>
      <c r="L49" s="478">
        <f t="shared" si="33"/>
        <v>0</v>
      </c>
      <c r="M49" s="478">
        <f t="shared" si="34"/>
        <v>0</v>
      </c>
      <c r="N49" s="478">
        <f t="shared" si="35"/>
        <v>0</v>
      </c>
      <c r="O49" s="478">
        <f t="shared" si="36"/>
        <v>0</v>
      </c>
      <c r="P49" s="419"/>
      <c r="Q49" s="419"/>
      <c r="R49" s="435"/>
      <c r="S49" s="419"/>
      <c r="T49" s="419"/>
      <c r="U49" s="419"/>
      <c r="V49" s="419"/>
      <c r="W49" s="419"/>
      <c r="X49" s="419"/>
      <c r="Y49" s="419"/>
    </row>
    <row r="50" spans="1:25" hidden="1" x14ac:dyDescent="0.3">
      <c r="B50" s="456" t="str">
        <f t="shared" si="26"/>
        <v>Vaquillonas a parir en el 4to trimestre</v>
      </c>
      <c r="C50" s="456"/>
      <c r="D50" s="478"/>
      <c r="E50" s="478"/>
      <c r="F50" s="478">
        <f t="shared" si="27"/>
        <v>0</v>
      </c>
      <c r="G50" s="478">
        <f t="shared" si="28"/>
        <v>0</v>
      </c>
      <c r="H50" s="478">
        <f t="shared" si="29"/>
        <v>0</v>
      </c>
      <c r="I50" s="478">
        <f t="shared" si="30"/>
        <v>0</v>
      </c>
      <c r="J50" s="478">
        <f t="shared" si="31"/>
        <v>0</v>
      </c>
      <c r="K50" s="478">
        <f t="shared" si="32"/>
        <v>0</v>
      </c>
      <c r="L50" s="478">
        <f t="shared" si="33"/>
        <v>0</v>
      </c>
      <c r="M50" s="478">
        <f t="shared" si="34"/>
        <v>0</v>
      </c>
      <c r="N50" s="478">
        <f t="shared" si="35"/>
        <v>0</v>
      </c>
      <c r="O50" s="478">
        <f t="shared" si="36"/>
        <v>0</v>
      </c>
      <c r="P50" s="419"/>
      <c r="Q50" s="419"/>
      <c r="R50" s="435"/>
      <c r="S50" s="419"/>
      <c r="T50" s="419"/>
      <c r="U50" s="419"/>
      <c r="V50" s="419"/>
      <c r="W50" s="419"/>
      <c r="X50" s="419"/>
      <c r="Y50" s="419"/>
    </row>
    <row r="51" spans="1:25" hidden="1" x14ac:dyDescent="0.3">
      <c r="B51" s="456" t="str">
        <f t="shared" si="26"/>
        <v>Vaquillonas</v>
      </c>
      <c r="C51" s="456"/>
      <c r="D51" s="478"/>
      <c r="E51" s="478"/>
      <c r="F51" s="478">
        <f t="shared" si="27"/>
        <v>0</v>
      </c>
      <c r="G51" s="478">
        <f t="shared" si="28"/>
        <v>0</v>
      </c>
      <c r="H51" s="478">
        <f t="shared" si="29"/>
        <v>0</v>
      </c>
      <c r="I51" s="478">
        <f t="shared" si="30"/>
        <v>0</v>
      </c>
      <c r="J51" s="478">
        <f t="shared" si="31"/>
        <v>0</v>
      </c>
      <c r="K51" s="478">
        <f t="shared" si="32"/>
        <v>0</v>
      </c>
      <c r="L51" s="478">
        <f t="shared" si="33"/>
        <v>0</v>
      </c>
      <c r="M51" s="478">
        <f t="shared" si="34"/>
        <v>0</v>
      </c>
      <c r="N51" s="478">
        <f t="shared" si="35"/>
        <v>0</v>
      </c>
      <c r="O51" s="478">
        <f t="shared" si="36"/>
        <v>0</v>
      </c>
      <c r="P51" s="419"/>
      <c r="Q51" s="419"/>
      <c r="R51" s="435"/>
      <c r="S51" s="419"/>
      <c r="T51" s="419"/>
      <c r="U51" s="419"/>
      <c r="V51" s="419"/>
      <c r="W51" s="419"/>
      <c r="X51" s="419"/>
      <c r="Y51" s="419"/>
    </row>
    <row r="52" spans="1:25" hidden="1" x14ac:dyDescent="0.3">
      <c r="B52" s="456" t="str">
        <f t="shared" si="26"/>
        <v xml:space="preserve">Terneras &gt; 6 meses </v>
      </c>
      <c r="C52" s="456"/>
      <c r="D52" s="478"/>
      <c r="E52" s="478"/>
      <c r="F52" s="478">
        <f t="shared" si="27"/>
        <v>0</v>
      </c>
      <c r="G52" s="478">
        <f t="shared" si="28"/>
        <v>0</v>
      </c>
      <c r="H52" s="478">
        <f t="shared" si="29"/>
        <v>0</v>
      </c>
      <c r="I52" s="478">
        <f t="shared" si="30"/>
        <v>0</v>
      </c>
      <c r="J52" s="478">
        <f t="shared" si="31"/>
        <v>0</v>
      </c>
      <c r="K52" s="478">
        <f t="shared" si="32"/>
        <v>0</v>
      </c>
      <c r="L52" s="478">
        <f t="shared" si="33"/>
        <v>0</v>
      </c>
      <c r="M52" s="478">
        <f t="shared" si="34"/>
        <v>0</v>
      </c>
      <c r="N52" s="478">
        <f t="shared" si="35"/>
        <v>0</v>
      </c>
      <c r="O52" s="478">
        <f t="shared" si="36"/>
        <v>0</v>
      </c>
      <c r="P52" s="419"/>
      <c r="Q52" s="419"/>
      <c r="R52" s="435"/>
      <c r="S52" s="419"/>
      <c r="T52" s="419"/>
      <c r="U52" s="419"/>
      <c r="V52" s="419"/>
      <c r="W52" s="419"/>
      <c r="X52" s="419"/>
      <c r="Y52" s="419"/>
    </row>
    <row r="53" spans="1:25" hidden="1" x14ac:dyDescent="0.3">
      <c r="B53" s="456" t="str">
        <f t="shared" si="26"/>
        <v>Terneras &gt; 2 meses &lt; 6 meses</v>
      </c>
      <c r="C53" s="456"/>
      <c r="D53" s="478"/>
      <c r="E53" s="478"/>
      <c r="F53" s="478">
        <f t="shared" si="27"/>
        <v>0</v>
      </c>
      <c r="G53" s="478">
        <f t="shared" si="28"/>
        <v>0</v>
      </c>
      <c r="H53" s="478">
        <f t="shared" si="29"/>
        <v>0</v>
      </c>
      <c r="I53" s="478">
        <f t="shared" si="30"/>
        <v>0</v>
      </c>
      <c r="J53" s="478">
        <f t="shared" si="31"/>
        <v>0</v>
      </c>
      <c r="K53" s="478">
        <f t="shared" si="32"/>
        <v>0</v>
      </c>
      <c r="L53" s="478">
        <f t="shared" si="33"/>
        <v>0</v>
      </c>
      <c r="M53" s="478">
        <f t="shared" si="34"/>
        <v>0</v>
      </c>
      <c r="N53" s="478">
        <f t="shared" si="35"/>
        <v>0</v>
      </c>
      <c r="O53" s="478">
        <f t="shared" si="36"/>
        <v>0</v>
      </c>
      <c r="P53" s="419"/>
      <c r="Q53" s="419"/>
      <c r="R53" s="435"/>
      <c r="S53" s="419"/>
      <c r="T53" s="419"/>
      <c r="U53" s="419"/>
      <c r="V53" s="419"/>
      <c r="W53" s="419"/>
      <c r="X53" s="419"/>
      <c r="Y53" s="419"/>
    </row>
    <row r="54" spans="1:25" hidden="1" x14ac:dyDescent="0.3">
      <c r="B54" s="456" t="str">
        <f t="shared" si="26"/>
        <v>Terneras Lactantes (&lt;2 m)</v>
      </c>
      <c r="C54" s="456"/>
      <c r="D54" s="478"/>
      <c r="E54" s="478"/>
      <c r="F54" s="478">
        <f t="shared" si="27"/>
        <v>0</v>
      </c>
      <c r="G54" s="478">
        <f t="shared" si="28"/>
        <v>0</v>
      </c>
      <c r="H54" s="478">
        <f t="shared" si="29"/>
        <v>0</v>
      </c>
      <c r="I54" s="478">
        <f t="shared" si="30"/>
        <v>0</v>
      </c>
      <c r="J54" s="478">
        <f t="shared" si="31"/>
        <v>0</v>
      </c>
      <c r="K54" s="478">
        <f t="shared" si="32"/>
        <v>0</v>
      </c>
      <c r="L54" s="478">
        <f t="shared" si="33"/>
        <v>0</v>
      </c>
      <c r="M54" s="478">
        <f t="shared" si="34"/>
        <v>0</v>
      </c>
      <c r="N54" s="478">
        <f t="shared" si="35"/>
        <v>0</v>
      </c>
      <c r="O54" s="478">
        <f t="shared" si="36"/>
        <v>0</v>
      </c>
      <c r="P54" s="419"/>
      <c r="Q54" s="419"/>
      <c r="R54" s="435"/>
      <c r="S54" s="419"/>
      <c r="T54" s="419"/>
      <c r="U54" s="419"/>
      <c r="V54" s="419"/>
      <c r="W54" s="419"/>
      <c r="X54" s="419"/>
      <c r="Y54" s="419"/>
    </row>
    <row r="55" spans="1:25" hidden="1" x14ac:dyDescent="0.3">
      <c r="B55" s="456" t="str">
        <f t="shared" si="26"/>
        <v>Toros</v>
      </c>
      <c r="C55" s="456"/>
      <c r="D55" s="478"/>
      <c r="E55" s="478"/>
      <c r="F55" s="478">
        <f t="shared" si="27"/>
        <v>0</v>
      </c>
      <c r="G55" s="478">
        <f t="shared" si="28"/>
        <v>0</v>
      </c>
      <c r="H55" s="478">
        <f t="shared" si="29"/>
        <v>0</v>
      </c>
      <c r="I55" s="478">
        <f t="shared" si="30"/>
        <v>0</v>
      </c>
      <c r="J55" s="478">
        <f t="shared" si="31"/>
        <v>0</v>
      </c>
      <c r="K55" s="478">
        <f t="shared" si="32"/>
        <v>0</v>
      </c>
      <c r="L55" s="478">
        <f t="shared" si="33"/>
        <v>0</v>
      </c>
      <c r="M55" s="478">
        <f t="shared" si="34"/>
        <v>0</v>
      </c>
      <c r="N55" s="478">
        <f t="shared" si="35"/>
        <v>0</v>
      </c>
      <c r="O55" s="478">
        <f t="shared" si="36"/>
        <v>0</v>
      </c>
      <c r="P55" s="419"/>
      <c r="Q55" s="419"/>
      <c r="R55" s="435"/>
      <c r="S55" s="419"/>
      <c r="T55" s="419"/>
      <c r="U55" s="419"/>
      <c r="V55" s="419"/>
      <c r="W55" s="419"/>
      <c r="X55" s="419"/>
      <c r="Y55" s="419"/>
    </row>
    <row r="56" spans="1:25" ht="15.05" thickBot="1" x14ac:dyDescent="0.35">
      <c r="B56" s="437"/>
      <c r="C56" s="437"/>
      <c r="D56" s="300"/>
      <c r="E56" s="300"/>
      <c r="F56" s="300"/>
      <c r="G56" s="300"/>
      <c r="H56" s="300"/>
      <c r="I56" s="300"/>
      <c r="J56" s="300"/>
      <c r="K56" s="300"/>
      <c r="L56" s="300"/>
      <c r="M56" s="300"/>
      <c r="N56" s="300"/>
      <c r="O56" s="300"/>
      <c r="P56" s="419"/>
      <c r="Q56" s="419"/>
      <c r="R56" s="435"/>
      <c r="S56" s="419"/>
      <c r="T56" s="419"/>
      <c r="U56" s="419"/>
      <c r="V56" s="419"/>
      <c r="W56" s="419"/>
      <c r="X56" s="419"/>
      <c r="Y56" s="419"/>
    </row>
    <row r="57" spans="1:25" s="435" customFormat="1" ht="15.05" thickBot="1" x14ac:dyDescent="0.35">
      <c r="A57" s="1344">
        <f>+A9+1</f>
        <v>126</v>
      </c>
      <c r="B57" s="880" t="s">
        <v>2404</v>
      </c>
      <c r="C57" s="881"/>
      <c r="D57" s="1096"/>
      <c r="E57" s="1096"/>
      <c r="F57" s="881"/>
      <c r="G57" s="881"/>
      <c r="H57" s="881"/>
      <c r="I57" s="881"/>
      <c r="J57" s="881"/>
      <c r="K57" s="881"/>
      <c r="L57" s="881"/>
      <c r="M57" s="881"/>
      <c r="N57" s="881"/>
      <c r="O57" s="2448"/>
      <c r="P57" s="416"/>
    </row>
    <row r="58" spans="1:25" s="18" customFormat="1" ht="15.05" thickBot="1" x14ac:dyDescent="0.35">
      <c r="A58" s="386"/>
      <c r="B58" s="2437" t="s">
        <v>2401</v>
      </c>
      <c r="C58" s="2436" t="s">
        <v>2398</v>
      </c>
      <c r="D58" s="2449" t="str">
        <f>D10</f>
        <v>Ene</v>
      </c>
      <c r="E58" s="2449" t="str">
        <f t="shared" ref="E58:O58" si="37">E10</f>
        <v>Feb</v>
      </c>
      <c r="F58" s="2449" t="str">
        <f t="shared" si="37"/>
        <v>Mar</v>
      </c>
      <c r="G58" s="2449" t="str">
        <f t="shared" si="37"/>
        <v>Abr</v>
      </c>
      <c r="H58" s="2449" t="str">
        <f t="shared" si="37"/>
        <v>May</v>
      </c>
      <c r="I58" s="2449" t="str">
        <f t="shared" si="37"/>
        <v>Jun</v>
      </c>
      <c r="J58" s="2449" t="str">
        <f t="shared" si="37"/>
        <v>Jul</v>
      </c>
      <c r="K58" s="2449" t="str">
        <f t="shared" si="37"/>
        <v>Ago</v>
      </c>
      <c r="L58" s="2449" t="str">
        <f t="shared" si="37"/>
        <v>Set</v>
      </c>
      <c r="M58" s="2449" t="str">
        <f t="shared" si="37"/>
        <v>Oct</v>
      </c>
      <c r="N58" s="2449" t="str">
        <f t="shared" si="37"/>
        <v>Nov</v>
      </c>
      <c r="O58" s="2450" t="str">
        <f t="shared" si="37"/>
        <v>Dic</v>
      </c>
      <c r="P58" s="300"/>
      <c r="Q58" s="420"/>
      <c r="R58" s="435"/>
      <c r="S58" s="420"/>
      <c r="T58" s="222"/>
    </row>
    <row r="59" spans="1:25" x14ac:dyDescent="0.3">
      <c r="B59" s="476" t="str">
        <f>+B69 &amp; " (cesiones)"</f>
        <v>Vacas descarte - Ganadería (cesiones)</v>
      </c>
      <c r="C59" s="2438"/>
      <c r="D59" s="457">
        <f>A.Ganaderos!F156</f>
        <v>0</v>
      </c>
      <c r="E59" s="457">
        <f>A.Ganaderos!G156</f>
        <v>0</v>
      </c>
      <c r="F59" s="457">
        <f>A.Ganaderos!H156</f>
        <v>0</v>
      </c>
      <c r="G59" s="457">
        <f>A.Ganaderos!I156</f>
        <v>0</v>
      </c>
      <c r="H59" s="457">
        <f>A.Ganaderos!J156</f>
        <v>0</v>
      </c>
      <c r="I59" s="457">
        <f>A.Ganaderos!K156</f>
        <v>0</v>
      </c>
      <c r="J59" s="457">
        <f>A.Ganaderos!L156</f>
        <v>0</v>
      </c>
      <c r="K59" s="457">
        <f>A.Ganaderos!M156</f>
        <v>0</v>
      </c>
      <c r="L59" s="457">
        <f>A.Ganaderos!N156</f>
        <v>0</v>
      </c>
      <c r="M59" s="457">
        <f>A.Ganaderos!O156</f>
        <v>0</v>
      </c>
      <c r="N59" s="457">
        <f>A.Ganaderos!P156</f>
        <v>0</v>
      </c>
      <c r="O59" s="1091">
        <f>A.Ganaderos!Q156</f>
        <v>0</v>
      </c>
      <c r="P59" s="419"/>
      <c r="Q59" s="419"/>
      <c r="R59" s="435"/>
      <c r="S59" s="419"/>
      <c r="T59" s="419"/>
      <c r="U59" s="419"/>
      <c r="V59" s="419"/>
      <c r="W59" s="419"/>
      <c r="X59" s="419"/>
      <c r="Y59" s="419"/>
    </row>
    <row r="60" spans="1:25" x14ac:dyDescent="0.3">
      <c r="B60" s="476" t="str">
        <f>+B69 &amp; " (compras)"</f>
        <v>Vacas descarte - Ganadería (compras)</v>
      </c>
      <c r="C60" s="4939" t="s">
        <v>252</v>
      </c>
      <c r="D60" s="457">
        <f>A.Ganaderos!F156-D59</f>
        <v>0</v>
      </c>
      <c r="E60" s="457">
        <f>A.Ganaderos!G156-E59</f>
        <v>0</v>
      </c>
      <c r="F60" s="457">
        <f>A.Ganaderos!H156-F59</f>
        <v>0</v>
      </c>
      <c r="G60" s="457">
        <f>A.Ganaderos!I156-G59</f>
        <v>0</v>
      </c>
      <c r="H60" s="457">
        <f>A.Ganaderos!J156-H59</f>
        <v>0</v>
      </c>
      <c r="I60" s="457">
        <f>A.Ganaderos!K156-I59</f>
        <v>0</v>
      </c>
      <c r="J60" s="457">
        <f>A.Ganaderos!L156-J59</f>
        <v>0</v>
      </c>
      <c r="K60" s="457">
        <f>A.Ganaderos!M156-K59</f>
        <v>0</v>
      </c>
      <c r="L60" s="457">
        <f>A.Ganaderos!N156-L59</f>
        <v>0</v>
      </c>
      <c r="M60" s="457">
        <f>A.Ganaderos!O156-M59</f>
        <v>0</v>
      </c>
      <c r="N60" s="457">
        <f>A.Ganaderos!P156-N59</f>
        <v>0</v>
      </c>
      <c r="O60" s="1091">
        <f>A.Ganaderos!Q156-O59</f>
        <v>0</v>
      </c>
      <c r="P60" s="419"/>
      <c r="Q60" s="419"/>
      <c r="R60" s="435"/>
      <c r="S60" s="419"/>
      <c r="T60" s="419"/>
      <c r="U60" s="419"/>
      <c r="V60" s="419"/>
      <c r="W60" s="419"/>
      <c r="X60" s="419"/>
      <c r="Y60" s="419"/>
    </row>
    <row r="61" spans="1:25" x14ac:dyDescent="0.3">
      <c r="B61" s="476" t="str">
        <f>+B70</f>
        <v>Novillos - 2 a 3 años</v>
      </c>
      <c r="C61" s="4939" t="s">
        <v>252</v>
      </c>
      <c r="D61" s="457">
        <f>A.Ganaderos!F157</f>
        <v>0</v>
      </c>
      <c r="E61" s="457">
        <f>A.Ganaderos!G157</f>
        <v>0</v>
      </c>
      <c r="F61" s="457">
        <f>A.Ganaderos!H157</f>
        <v>0</v>
      </c>
      <c r="G61" s="457">
        <f>A.Ganaderos!I157</f>
        <v>0</v>
      </c>
      <c r="H61" s="457">
        <f>A.Ganaderos!J157</f>
        <v>0</v>
      </c>
      <c r="I61" s="457">
        <f>A.Ganaderos!K157</f>
        <v>0</v>
      </c>
      <c r="J61" s="457">
        <f>A.Ganaderos!L157</f>
        <v>0</v>
      </c>
      <c r="K61" s="457">
        <f>A.Ganaderos!M157</f>
        <v>0</v>
      </c>
      <c r="L61" s="457">
        <f>A.Ganaderos!N157</f>
        <v>0</v>
      </c>
      <c r="M61" s="457">
        <f>A.Ganaderos!O157</f>
        <v>0</v>
      </c>
      <c r="N61" s="457">
        <f>A.Ganaderos!P157</f>
        <v>0</v>
      </c>
      <c r="O61" s="1091">
        <f>A.Ganaderos!Q157</f>
        <v>0</v>
      </c>
      <c r="P61" s="419"/>
      <c r="Q61" s="419"/>
      <c r="R61" s="435"/>
      <c r="S61" s="419"/>
      <c r="T61" s="419"/>
      <c r="U61" s="419"/>
      <c r="V61" s="419"/>
      <c r="W61" s="419"/>
      <c r="X61" s="419"/>
      <c r="Y61" s="419"/>
    </row>
    <row r="62" spans="1:25" x14ac:dyDescent="0.3">
      <c r="B62" s="476" t="str">
        <f>+B71</f>
        <v>Novillos - 1 a 2 años</v>
      </c>
      <c r="C62" s="4939" t="s">
        <v>252</v>
      </c>
      <c r="D62" s="457">
        <f>A.Ganaderos!F158</f>
        <v>0</v>
      </c>
      <c r="E62" s="457">
        <f>A.Ganaderos!G158</f>
        <v>0</v>
      </c>
      <c r="F62" s="457">
        <f>A.Ganaderos!H158</f>
        <v>0</v>
      </c>
      <c r="G62" s="457">
        <f>A.Ganaderos!I158</f>
        <v>0</v>
      </c>
      <c r="H62" s="457">
        <f>A.Ganaderos!J158</f>
        <v>0</v>
      </c>
      <c r="I62" s="457">
        <f>A.Ganaderos!K158</f>
        <v>0</v>
      </c>
      <c r="J62" s="457">
        <f>A.Ganaderos!L158</f>
        <v>0</v>
      </c>
      <c r="K62" s="457">
        <f>A.Ganaderos!M158</f>
        <v>0</v>
      </c>
      <c r="L62" s="457">
        <f>A.Ganaderos!N158</f>
        <v>0</v>
      </c>
      <c r="M62" s="457">
        <f>A.Ganaderos!O158</f>
        <v>0</v>
      </c>
      <c r="N62" s="457">
        <f>A.Ganaderos!P158</f>
        <v>0</v>
      </c>
      <c r="O62" s="1091">
        <f>A.Ganaderos!Q158</f>
        <v>0</v>
      </c>
      <c r="P62" s="419"/>
      <c r="Q62" s="419"/>
      <c r="R62" s="435"/>
      <c r="S62" s="419"/>
      <c r="T62" s="419"/>
      <c r="U62" s="419"/>
      <c r="V62" s="419"/>
      <c r="W62" s="419"/>
      <c r="X62" s="419"/>
      <c r="Y62" s="419"/>
    </row>
    <row r="63" spans="1:25" x14ac:dyDescent="0.3">
      <c r="B63" s="476" t="str">
        <f>+B72</f>
        <v>Terneros &gt; 6 meses &lt; 1 año</v>
      </c>
      <c r="C63" s="4939" t="s">
        <v>252</v>
      </c>
      <c r="D63" s="457">
        <f>A.Ganaderos!F159</f>
        <v>0</v>
      </c>
      <c r="E63" s="457">
        <f>A.Ganaderos!G159</f>
        <v>0</v>
      </c>
      <c r="F63" s="457">
        <f>A.Ganaderos!H159</f>
        <v>0</v>
      </c>
      <c r="G63" s="457">
        <f>A.Ganaderos!I159</f>
        <v>0</v>
      </c>
      <c r="H63" s="457">
        <f>A.Ganaderos!J159</f>
        <v>0</v>
      </c>
      <c r="I63" s="457">
        <f>A.Ganaderos!K159</f>
        <v>0</v>
      </c>
      <c r="J63" s="457">
        <f>A.Ganaderos!L159</f>
        <v>0</v>
      </c>
      <c r="K63" s="457">
        <f>A.Ganaderos!M159</f>
        <v>0</v>
      </c>
      <c r="L63" s="457">
        <f>A.Ganaderos!N159</f>
        <v>0</v>
      </c>
      <c r="M63" s="457">
        <f>A.Ganaderos!O159</f>
        <v>0</v>
      </c>
      <c r="N63" s="457">
        <f>A.Ganaderos!P159</f>
        <v>0</v>
      </c>
      <c r="O63" s="1091">
        <f>A.Ganaderos!Q159</f>
        <v>0</v>
      </c>
      <c r="P63" s="419"/>
      <c r="Q63" s="419"/>
      <c r="R63" s="435"/>
      <c r="S63" s="419"/>
      <c r="T63" s="419"/>
      <c r="U63" s="419"/>
      <c r="V63" s="419"/>
      <c r="W63" s="419"/>
      <c r="X63" s="419"/>
      <c r="Y63" s="419"/>
    </row>
    <row r="64" spans="1:25" x14ac:dyDescent="0.3">
      <c r="B64" s="476" t="str">
        <f>+B73</f>
        <v>Terneros &lt;  6 meses  (compras)</v>
      </c>
      <c r="C64" s="4939" t="s">
        <v>252</v>
      </c>
      <c r="D64" s="457">
        <f>A.Ganaderos!F160</f>
        <v>0</v>
      </c>
      <c r="E64" s="457">
        <f>A.Ganaderos!G160</f>
        <v>0</v>
      </c>
      <c r="F64" s="457">
        <f>A.Ganaderos!H160</f>
        <v>0</v>
      </c>
      <c r="G64" s="457">
        <f>A.Ganaderos!I160</f>
        <v>0</v>
      </c>
      <c r="H64" s="457">
        <f>A.Ganaderos!J160</f>
        <v>0</v>
      </c>
      <c r="I64" s="457">
        <f>A.Ganaderos!K160</f>
        <v>0</v>
      </c>
      <c r="J64" s="457">
        <f>A.Ganaderos!L160</f>
        <v>0</v>
      </c>
      <c r="K64" s="457">
        <f>A.Ganaderos!M160</f>
        <v>0</v>
      </c>
      <c r="L64" s="457">
        <f>A.Ganaderos!N160</f>
        <v>0</v>
      </c>
      <c r="M64" s="457">
        <f>A.Ganaderos!O160</f>
        <v>0</v>
      </c>
      <c r="N64" s="457">
        <f>A.Ganaderos!P160</f>
        <v>0</v>
      </c>
      <c r="O64" s="1091">
        <f>A.Ganaderos!Q160</f>
        <v>0</v>
      </c>
      <c r="P64" s="419"/>
      <c r="Q64" s="419"/>
      <c r="R64" s="435"/>
      <c r="S64" s="419"/>
      <c r="T64" s="419"/>
      <c r="U64" s="419"/>
      <c r="V64" s="419"/>
      <c r="W64" s="419"/>
      <c r="X64" s="419"/>
      <c r="Y64" s="419"/>
    </row>
    <row r="65" spans="2:25" ht="15.05" thickBot="1" x14ac:dyDescent="0.35">
      <c r="B65" s="476" t="s">
        <v>1844</v>
      </c>
      <c r="C65" s="2439"/>
      <c r="D65" s="1092">
        <f>A.Ganaderos!F161</f>
        <v>0</v>
      </c>
      <c r="E65" s="2425">
        <f>A.Ganaderos!G161</f>
        <v>0</v>
      </c>
      <c r="F65" s="2425">
        <f>A.Ganaderos!H161</f>
        <v>0</v>
      </c>
      <c r="G65" s="2425">
        <f>A.Ganaderos!I161</f>
        <v>0</v>
      </c>
      <c r="H65" s="2425">
        <f>A.Ganaderos!J161</f>
        <v>0</v>
      </c>
      <c r="I65" s="2425">
        <f>A.Ganaderos!K161</f>
        <v>0</v>
      </c>
      <c r="J65" s="2425">
        <f>A.Ganaderos!L161</f>
        <v>0</v>
      </c>
      <c r="K65" s="2425">
        <f>A.Ganaderos!M161</f>
        <v>0</v>
      </c>
      <c r="L65" s="2425">
        <f>A.Ganaderos!N161</f>
        <v>0</v>
      </c>
      <c r="M65" s="2425">
        <f>A.Ganaderos!O161</f>
        <v>0</v>
      </c>
      <c r="N65" s="2425">
        <f>A.Ganaderos!P161</f>
        <v>0</v>
      </c>
      <c r="O65" s="2426">
        <f>A.Ganaderos!Q161</f>
        <v>0</v>
      </c>
      <c r="P65" s="419"/>
      <c r="Q65" s="419"/>
      <c r="R65" s="435"/>
      <c r="S65" s="419"/>
      <c r="T65" s="419"/>
      <c r="U65" s="419"/>
      <c r="V65" s="419"/>
      <c r="W65" s="419"/>
      <c r="X65" s="419"/>
      <c r="Y65" s="419"/>
    </row>
    <row r="66" spans="2:25" x14ac:dyDescent="0.3">
      <c r="B66" s="2406" t="s">
        <v>2399</v>
      </c>
      <c r="C66" s="2407"/>
      <c r="D66" s="2423">
        <f>SUM(D59:D65)</f>
        <v>0</v>
      </c>
      <c r="E66" s="2423">
        <f>SUM(E59:E65)</f>
        <v>0</v>
      </c>
      <c r="F66" s="2423">
        <f t="shared" ref="F66:O66" si="38">SUM(F59:F65)</f>
        <v>0</v>
      </c>
      <c r="G66" s="2423">
        <f t="shared" si="38"/>
        <v>0</v>
      </c>
      <c r="H66" s="2423">
        <f t="shared" si="38"/>
        <v>0</v>
      </c>
      <c r="I66" s="2423">
        <f t="shared" si="38"/>
        <v>0</v>
      </c>
      <c r="J66" s="2423">
        <f t="shared" si="38"/>
        <v>0</v>
      </c>
      <c r="K66" s="2423">
        <f t="shared" si="38"/>
        <v>0</v>
      </c>
      <c r="L66" s="2423">
        <f t="shared" si="38"/>
        <v>0</v>
      </c>
      <c r="M66" s="2423">
        <f t="shared" si="38"/>
        <v>0</v>
      </c>
      <c r="N66" s="2423">
        <f t="shared" si="38"/>
        <v>0</v>
      </c>
      <c r="O66" s="2424">
        <f t="shared" si="38"/>
        <v>0</v>
      </c>
      <c r="P66" s="419"/>
      <c r="Q66" s="419"/>
      <c r="R66" s="435"/>
      <c r="S66" s="419"/>
      <c r="T66" s="419"/>
      <c r="U66" s="419"/>
      <c r="V66" s="419"/>
      <c r="W66" s="419"/>
      <c r="X66" s="419"/>
      <c r="Y66" s="419"/>
    </row>
    <row r="67" spans="2:25" ht="15.05" thickBot="1" x14ac:dyDescent="0.35">
      <c r="B67" s="1161" t="s">
        <v>2400</v>
      </c>
      <c r="C67" s="2408"/>
      <c r="D67" s="1085">
        <f>SUM(D69:D88)</f>
        <v>0</v>
      </c>
      <c r="E67" s="1085">
        <f>SUM(E69:E88)</f>
        <v>0</v>
      </c>
      <c r="F67" s="1085">
        <f t="shared" ref="F67:O67" si="39">SUM(F69:F88)</f>
        <v>0</v>
      </c>
      <c r="G67" s="1085">
        <f t="shared" si="39"/>
        <v>0</v>
      </c>
      <c r="H67" s="1085">
        <f t="shared" si="39"/>
        <v>0</v>
      </c>
      <c r="I67" s="1085">
        <f>SUM(I69:I88)</f>
        <v>0</v>
      </c>
      <c r="J67" s="1085">
        <f>SUM(J69:J88)</f>
        <v>0</v>
      </c>
      <c r="K67" s="1085">
        <f t="shared" si="39"/>
        <v>0</v>
      </c>
      <c r="L67" s="1085">
        <f t="shared" si="39"/>
        <v>0</v>
      </c>
      <c r="M67" s="1085">
        <f t="shared" si="39"/>
        <v>0</v>
      </c>
      <c r="N67" s="1085">
        <f t="shared" si="39"/>
        <v>0</v>
      </c>
      <c r="O67" s="1086">
        <f t="shared" si="39"/>
        <v>0</v>
      </c>
      <c r="P67" s="419"/>
      <c r="Q67" s="419"/>
      <c r="R67" s="435"/>
      <c r="S67" s="419"/>
      <c r="T67" s="419"/>
      <c r="U67" s="419"/>
      <c r="V67" s="419"/>
      <c r="W67" s="419"/>
      <c r="X67" s="419"/>
      <c r="Y67" s="419"/>
    </row>
    <row r="68" spans="2:25" hidden="1" x14ac:dyDescent="0.3">
      <c r="B68" s="460" t="s">
        <v>407</v>
      </c>
      <c r="C68" s="460"/>
      <c r="D68" s="477"/>
      <c r="E68" s="477"/>
      <c r="F68" s="477"/>
      <c r="G68" s="477"/>
      <c r="H68" s="477"/>
      <c r="I68" s="477"/>
      <c r="J68" s="477"/>
      <c r="K68" s="477"/>
      <c r="L68" s="477"/>
      <c r="M68" s="477"/>
      <c r="N68" s="477"/>
      <c r="O68" s="477"/>
      <c r="P68" s="419"/>
      <c r="Q68" s="419"/>
      <c r="R68" s="435"/>
      <c r="S68" s="419"/>
      <c r="T68" s="419"/>
      <c r="U68" s="419"/>
      <c r="V68" s="419"/>
      <c r="W68" s="419"/>
      <c r="X68" s="419"/>
      <c r="Y68" s="419"/>
    </row>
    <row r="69" spans="2:25" hidden="1" x14ac:dyDescent="0.3">
      <c r="B69" s="456" t="str">
        <f>+A.Ganaderos!C156</f>
        <v>Vacas descarte - Ganadería</v>
      </c>
      <c r="C69" s="456"/>
      <c r="D69" s="430">
        <f>IF($C60="Contado",D60,0)</f>
        <v>0</v>
      </c>
      <c r="E69" s="430">
        <f t="shared" ref="D69:O70" si="40">IF($C60="Contado",E60,0)</f>
        <v>0</v>
      </c>
      <c r="F69" s="430">
        <f t="shared" si="40"/>
        <v>0</v>
      </c>
      <c r="G69" s="430">
        <f t="shared" si="40"/>
        <v>0</v>
      </c>
      <c r="H69" s="430">
        <f t="shared" si="40"/>
        <v>0</v>
      </c>
      <c r="I69" s="430">
        <f t="shared" si="40"/>
        <v>0</v>
      </c>
      <c r="J69" s="430">
        <f t="shared" si="40"/>
        <v>0</v>
      </c>
      <c r="K69" s="430">
        <f t="shared" si="40"/>
        <v>0</v>
      </c>
      <c r="L69" s="430">
        <f t="shared" si="40"/>
        <v>0</v>
      </c>
      <c r="M69" s="430">
        <f t="shared" si="40"/>
        <v>0</v>
      </c>
      <c r="N69" s="430">
        <f t="shared" si="40"/>
        <v>0</v>
      </c>
      <c r="O69" s="430">
        <f t="shared" si="40"/>
        <v>0</v>
      </c>
      <c r="P69" s="419"/>
      <c r="Q69" s="419"/>
      <c r="R69" s="435"/>
      <c r="S69" s="419"/>
      <c r="T69" s="419"/>
      <c r="U69" s="419"/>
      <c r="V69" s="419"/>
      <c r="W69" s="419"/>
      <c r="X69" s="419"/>
      <c r="Y69" s="419"/>
    </row>
    <row r="70" spans="2:25" hidden="1" x14ac:dyDescent="0.3">
      <c r="B70" s="456" t="str">
        <f>+A.Ganaderos!C157</f>
        <v>Novillos - 2 a 3 años</v>
      </c>
      <c r="C70" s="456"/>
      <c r="D70" s="430">
        <f t="shared" si="40"/>
        <v>0</v>
      </c>
      <c r="E70" s="430">
        <f t="shared" si="40"/>
        <v>0</v>
      </c>
      <c r="F70" s="430">
        <f t="shared" si="40"/>
        <v>0</v>
      </c>
      <c r="G70" s="430">
        <f t="shared" si="40"/>
        <v>0</v>
      </c>
      <c r="H70" s="430">
        <f t="shared" si="40"/>
        <v>0</v>
      </c>
      <c r="I70" s="430">
        <f t="shared" si="40"/>
        <v>0</v>
      </c>
      <c r="J70" s="430">
        <f t="shared" si="40"/>
        <v>0</v>
      </c>
      <c r="K70" s="430">
        <f t="shared" si="40"/>
        <v>0</v>
      </c>
      <c r="L70" s="430">
        <f t="shared" si="40"/>
        <v>0</v>
      </c>
      <c r="M70" s="430">
        <f t="shared" si="40"/>
        <v>0</v>
      </c>
      <c r="N70" s="430">
        <f t="shared" si="40"/>
        <v>0</v>
      </c>
      <c r="O70" s="430">
        <f t="shared" si="40"/>
        <v>0</v>
      </c>
      <c r="P70" s="419"/>
      <c r="Q70" s="419"/>
      <c r="R70" s="435"/>
      <c r="S70" s="419"/>
      <c r="T70" s="419"/>
      <c r="U70" s="419"/>
      <c r="V70" s="419"/>
      <c r="W70" s="419"/>
      <c r="X70" s="419"/>
      <c r="Y70" s="419"/>
    </row>
    <row r="71" spans="2:25" hidden="1" x14ac:dyDescent="0.3">
      <c r="B71" s="456" t="str">
        <f>+A.Ganaderos!C158</f>
        <v>Novillos - 1 a 2 años</v>
      </c>
      <c r="C71" s="456"/>
      <c r="D71" s="430">
        <f t="shared" ref="D71:O71" si="41">IF($C62="Contado",D62,0)</f>
        <v>0</v>
      </c>
      <c r="E71" s="430">
        <f t="shared" si="41"/>
        <v>0</v>
      </c>
      <c r="F71" s="430">
        <f t="shared" si="41"/>
        <v>0</v>
      </c>
      <c r="G71" s="430">
        <f t="shared" si="41"/>
        <v>0</v>
      </c>
      <c r="H71" s="430">
        <f t="shared" si="41"/>
        <v>0</v>
      </c>
      <c r="I71" s="430">
        <f t="shared" si="41"/>
        <v>0</v>
      </c>
      <c r="J71" s="430">
        <f t="shared" si="41"/>
        <v>0</v>
      </c>
      <c r="K71" s="430">
        <f t="shared" si="41"/>
        <v>0</v>
      </c>
      <c r="L71" s="430">
        <f t="shared" si="41"/>
        <v>0</v>
      </c>
      <c r="M71" s="430">
        <f t="shared" si="41"/>
        <v>0</v>
      </c>
      <c r="N71" s="430">
        <f t="shared" si="41"/>
        <v>0</v>
      </c>
      <c r="O71" s="430">
        <f t="shared" si="41"/>
        <v>0</v>
      </c>
      <c r="P71" s="419"/>
      <c r="Q71" s="419"/>
      <c r="R71" s="435"/>
      <c r="S71" s="419"/>
      <c r="T71" s="419"/>
      <c r="U71" s="419"/>
      <c r="V71" s="419"/>
      <c r="W71" s="419"/>
      <c r="X71" s="419"/>
      <c r="Y71" s="419"/>
    </row>
    <row r="72" spans="2:25" hidden="1" x14ac:dyDescent="0.3">
      <c r="B72" s="456" t="str">
        <f>+A.Ganaderos!C159</f>
        <v>Terneros &gt; 6 meses &lt; 1 año</v>
      </c>
      <c r="C72" s="456"/>
      <c r="D72" s="430">
        <f t="shared" ref="D72:O72" si="42">IF($C63="Contado",D63,0)</f>
        <v>0</v>
      </c>
      <c r="E72" s="430">
        <f t="shared" si="42"/>
        <v>0</v>
      </c>
      <c r="F72" s="430">
        <f t="shared" si="42"/>
        <v>0</v>
      </c>
      <c r="G72" s="430">
        <f t="shared" si="42"/>
        <v>0</v>
      </c>
      <c r="H72" s="430">
        <f t="shared" si="42"/>
        <v>0</v>
      </c>
      <c r="I72" s="430">
        <f t="shared" si="42"/>
        <v>0</v>
      </c>
      <c r="J72" s="430">
        <f t="shared" si="42"/>
        <v>0</v>
      </c>
      <c r="K72" s="430">
        <f t="shared" si="42"/>
        <v>0</v>
      </c>
      <c r="L72" s="430">
        <f t="shared" si="42"/>
        <v>0</v>
      </c>
      <c r="M72" s="430">
        <f t="shared" si="42"/>
        <v>0</v>
      </c>
      <c r="N72" s="430">
        <f t="shared" si="42"/>
        <v>0</v>
      </c>
      <c r="O72" s="430">
        <f t="shared" si="42"/>
        <v>0</v>
      </c>
      <c r="P72" s="419"/>
      <c r="Q72" s="419"/>
      <c r="R72" s="435"/>
      <c r="S72" s="419"/>
      <c r="T72" s="419"/>
      <c r="U72" s="419"/>
      <c r="V72" s="419"/>
      <c r="W72" s="419"/>
      <c r="X72" s="419"/>
      <c r="Y72" s="419"/>
    </row>
    <row r="73" spans="2:25" hidden="1" x14ac:dyDescent="0.3">
      <c r="B73" s="456" t="s">
        <v>1843</v>
      </c>
      <c r="C73" s="456"/>
      <c r="D73" s="430">
        <f t="shared" ref="D73:O73" si="43">IF($C64="Contado",D64,0)</f>
        <v>0</v>
      </c>
      <c r="E73" s="430">
        <f t="shared" si="43"/>
        <v>0</v>
      </c>
      <c r="F73" s="430">
        <f t="shared" si="43"/>
        <v>0</v>
      </c>
      <c r="G73" s="430">
        <f t="shared" si="43"/>
        <v>0</v>
      </c>
      <c r="H73" s="430">
        <f t="shared" si="43"/>
        <v>0</v>
      </c>
      <c r="I73" s="430">
        <f t="shared" si="43"/>
        <v>0</v>
      </c>
      <c r="J73" s="430">
        <f t="shared" si="43"/>
        <v>0</v>
      </c>
      <c r="K73" s="430">
        <f t="shared" si="43"/>
        <v>0</v>
      </c>
      <c r="L73" s="430">
        <f t="shared" si="43"/>
        <v>0</v>
      </c>
      <c r="M73" s="430">
        <f t="shared" si="43"/>
        <v>0</v>
      </c>
      <c r="N73" s="430">
        <f t="shared" si="43"/>
        <v>0</v>
      </c>
      <c r="O73" s="430">
        <f t="shared" si="43"/>
        <v>0</v>
      </c>
      <c r="P73" s="419"/>
      <c r="Q73" s="419"/>
      <c r="R73" s="435"/>
      <c r="S73" s="419"/>
      <c r="T73" s="419"/>
      <c r="U73" s="419"/>
      <c r="V73" s="419"/>
      <c r="W73" s="419"/>
      <c r="X73" s="419"/>
      <c r="Y73" s="419"/>
    </row>
    <row r="74" spans="2:25" hidden="1" x14ac:dyDescent="0.3">
      <c r="B74" s="456"/>
      <c r="C74" s="456"/>
      <c r="D74" s="430"/>
      <c r="E74" s="430"/>
      <c r="F74" s="430"/>
      <c r="G74" s="430"/>
      <c r="H74" s="430"/>
      <c r="I74" s="430"/>
      <c r="J74" s="430"/>
      <c r="K74" s="430"/>
      <c r="L74" s="430"/>
      <c r="M74" s="430"/>
      <c r="N74" s="430"/>
      <c r="O74" s="430"/>
      <c r="P74" s="419"/>
      <c r="Q74" s="419"/>
      <c r="R74" s="435"/>
      <c r="S74" s="419"/>
      <c r="T74" s="419"/>
      <c r="U74" s="419"/>
      <c r="V74" s="419"/>
      <c r="W74" s="419"/>
      <c r="X74" s="419"/>
      <c r="Y74" s="419"/>
    </row>
    <row r="75" spans="2:25" hidden="1" x14ac:dyDescent="0.3">
      <c r="B75" s="460" t="s">
        <v>408</v>
      </c>
      <c r="C75" s="460"/>
      <c r="D75" s="477"/>
      <c r="E75" s="477"/>
      <c r="F75" s="477"/>
      <c r="G75" s="477"/>
      <c r="H75" s="477"/>
      <c r="I75" s="477"/>
      <c r="J75" s="477"/>
      <c r="K75" s="477"/>
      <c r="L75" s="477"/>
      <c r="M75" s="477"/>
      <c r="N75" s="477"/>
      <c r="O75" s="477"/>
      <c r="P75" s="419"/>
      <c r="Q75" s="419"/>
      <c r="R75" s="435"/>
      <c r="S75" s="419"/>
      <c r="T75" s="419"/>
      <c r="U75" s="419"/>
      <c r="V75" s="419"/>
      <c r="W75" s="419"/>
      <c r="X75" s="419"/>
      <c r="Y75" s="419"/>
    </row>
    <row r="76" spans="2:25" hidden="1" x14ac:dyDescent="0.3">
      <c r="B76" s="456" t="str">
        <f>B69</f>
        <v>Vacas descarte - Ganadería</v>
      </c>
      <c r="C76" s="456"/>
      <c r="D76" s="430"/>
      <c r="E76" s="430">
        <f t="shared" ref="E76:O76" si="44">IF($C60="30 días",D60,0)</f>
        <v>0</v>
      </c>
      <c r="F76" s="430">
        <f t="shared" si="44"/>
        <v>0</v>
      </c>
      <c r="G76" s="430">
        <f t="shared" si="44"/>
        <v>0</v>
      </c>
      <c r="H76" s="430">
        <f t="shared" si="44"/>
        <v>0</v>
      </c>
      <c r="I76" s="430">
        <f t="shared" si="44"/>
        <v>0</v>
      </c>
      <c r="J76" s="430">
        <f t="shared" si="44"/>
        <v>0</v>
      </c>
      <c r="K76" s="430">
        <f t="shared" si="44"/>
        <v>0</v>
      </c>
      <c r="L76" s="430">
        <f t="shared" si="44"/>
        <v>0</v>
      </c>
      <c r="M76" s="430">
        <f t="shared" si="44"/>
        <v>0</v>
      </c>
      <c r="N76" s="430">
        <f t="shared" si="44"/>
        <v>0</v>
      </c>
      <c r="O76" s="430">
        <f t="shared" si="44"/>
        <v>0</v>
      </c>
      <c r="P76" s="419"/>
      <c r="Q76" s="419"/>
      <c r="R76" s="435"/>
      <c r="S76" s="419"/>
      <c r="T76" s="419"/>
      <c r="U76" s="419"/>
      <c r="V76" s="419"/>
      <c r="W76" s="419"/>
      <c r="X76" s="419"/>
      <c r="Y76" s="419"/>
    </row>
    <row r="77" spans="2:25" hidden="1" x14ac:dyDescent="0.3">
      <c r="B77" s="456" t="str">
        <f>B70</f>
        <v>Novillos - 2 a 3 años</v>
      </c>
      <c r="C77" s="456"/>
      <c r="D77" s="430"/>
      <c r="E77" s="430">
        <f t="shared" ref="E77:O77" si="45">IF($C61="30 días",D61,0)</f>
        <v>0</v>
      </c>
      <c r="F77" s="430">
        <f t="shared" si="45"/>
        <v>0</v>
      </c>
      <c r="G77" s="430">
        <f t="shared" si="45"/>
        <v>0</v>
      </c>
      <c r="H77" s="430">
        <f t="shared" si="45"/>
        <v>0</v>
      </c>
      <c r="I77" s="430">
        <f t="shared" si="45"/>
        <v>0</v>
      </c>
      <c r="J77" s="430">
        <f t="shared" si="45"/>
        <v>0</v>
      </c>
      <c r="K77" s="430">
        <f t="shared" si="45"/>
        <v>0</v>
      </c>
      <c r="L77" s="430">
        <f t="shared" si="45"/>
        <v>0</v>
      </c>
      <c r="M77" s="430">
        <f t="shared" si="45"/>
        <v>0</v>
      </c>
      <c r="N77" s="430">
        <f t="shared" si="45"/>
        <v>0</v>
      </c>
      <c r="O77" s="430">
        <f t="shared" si="45"/>
        <v>0</v>
      </c>
      <c r="P77" s="419"/>
      <c r="Q77" s="419"/>
      <c r="R77" s="435"/>
      <c r="S77" s="419"/>
      <c r="T77" s="419"/>
      <c r="U77" s="419"/>
      <c r="V77" s="419"/>
      <c r="W77" s="419"/>
      <c r="X77" s="419"/>
      <c r="Y77" s="419"/>
    </row>
    <row r="78" spans="2:25" hidden="1" x14ac:dyDescent="0.3">
      <c r="B78" s="456" t="str">
        <f>B71</f>
        <v>Novillos - 1 a 2 años</v>
      </c>
      <c r="C78" s="456"/>
      <c r="D78" s="430"/>
      <c r="E78" s="430">
        <f t="shared" ref="E78:O78" si="46">IF($C62="30 días",D62,0)</f>
        <v>0</v>
      </c>
      <c r="F78" s="430">
        <f t="shared" si="46"/>
        <v>0</v>
      </c>
      <c r="G78" s="430">
        <f t="shared" si="46"/>
        <v>0</v>
      </c>
      <c r="H78" s="430">
        <f t="shared" si="46"/>
        <v>0</v>
      </c>
      <c r="I78" s="430">
        <f t="shared" si="46"/>
        <v>0</v>
      </c>
      <c r="J78" s="430">
        <f t="shared" si="46"/>
        <v>0</v>
      </c>
      <c r="K78" s="430">
        <f t="shared" si="46"/>
        <v>0</v>
      </c>
      <c r="L78" s="430">
        <f t="shared" si="46"/>
        <v>0</v>
      </c>
      <c r="M78" s="430">
        <f t="shared" si="46"/>
        <v>0</v>
      </c>
      <c r="N78" s="430">
        <f t="shared" si="46"/>
        <v>0</v>
      </c>
      <c r="O78" s="430">
        <f t="shared" si="46"/>
        <v>0</v>
      </c>
      <c r="P78" s="419"/>
      <c r="Q78" s="419"/>
      <c r="R78" s="435"/>
      <c r="S78" s="419"/>
      <c r="T78" s="419"/>
      <c r="U78" s="419"/>
      <c r="V78" s="419"/>
      <c r="W78" s="419"/>
      <c r="X78" s="419"/>
      <c r="Y78" s="419"/>
    </row>
    <row r="79" spans="2:25" hidden="1" x14ac:dyDescent="0.3">
      <c r="B79" s="456" t="str">
        <f>B72</f>
        <v>Terneros &gt; 6 meses &lt; 1 año</v>
      </c>
      <c r="C79" s="456"/>
      <c r="D79" s="430"/>
      <c r="E79" s="430">
        <f t="shared" ref="E79:O79" si="47">IF($C63="30 días",D63,0)</f>
        <v>0</v>
      </c>
      <c r="F79" s="430">
        <f t="shared" si="47"/>
        <v>0</v>
      </c>
      <c r="G79" s="430">
        <f t="shared" si="47"/>
        <v>0</v>
      </c>
      <c r="H79" s="430">
        <f t="shared" si="47"/>
        <v>0</v>
      </c>
      <c r="I79" s="430">
        <f t="shared" si="47"/>
        <v>0</v>
      </c>
      <c r="J79" s="430">
        <f t="shared" si="47"/>
        <v>0</v>
      </c>
      <c r="K79" s="430">
        <f t="shared" si="47"/>
        <v>0</v>
      </c>
      <c r="L79" s="430">
        <f t="shared" si="47"/>
        <v>0</v>
      </c>
      <c r="M79" s="430">
        <f t="shared" si="47"/>
        <v>0</v>
      </c>
      <c r="N79" s="430">
        <f t="shared" si="47"/>
        <v>0</v>
      </c>
      <c r="O79" s="430">
        <f t="shared" si="47"/>
        <v>0</v>
      </c>
      <c r="P79" s="419"/>
      <c r="Q79" s="419"/>
      <c r="R79" s="435"/>
      <c r="S79" s="419"/>
      <c r="T79" s="419"/>
      <c r="U79" s="419"/>
      <c r="V79" s="419"/>
      <c r="W79" s="419"/>
      <c r="X79" s="419"/>
      <c r="Y79" s="419"/>
    </row>
    <row r="80" spans="2:25" hidden="1" x14ac:dyDescent="0.3">
      <c r="B80" s="456" t="str">
        <f>B73</f>
        <v>Terneros &lt;  6 meses  (compras)</v>
      </c>
      <c r="C80" s="456"/>
      <c r="D80" s="430"/>
      <c r="E80" s="430">
        <f t="shared" ref="E80:O80" si="48">IF($C64="30 días",D64,0)</f>
        <v>0</v>
      </c>
      <c r="F80" s="430">
        <f t="shared" si="48"/>
        <v>0</v>
      </c>
      <c r="G80" s="430">
        <f t="shared" si="48"/>
        <v>0</v>
      </c>
      <c r="H80" s="430">
        <f t="shared" si="48"/>
        <v>0</v>
      </c>
      <c r="I80" s="430">
        <f t="shared" si="48"/>
        <v>0</v>
      </c>
      <c r="J80" s="430">
        <f t="shared" si="48"/>
        <v>0</v>
      </c>
      <c r="K80" s="430">
        <f t="shared" si="48"/>
        <v>0</v>
      </c>
      <c r="L80" s="430">
        <f t="shared" si="48"/>
        <v>0</v>
      </c>
      <c r="M80" s="430">
        <f t="shared" si="48"/>
        <v>0</v>
      </c>
      <c r="N80" s="430">
        <f t="shared" si="48"/>
        <v>0</v>
      </c>
      <c r="O80" s="430">
        <f t="shared" si="48"/>
        <v>0</v>
      </c>
      <c r="P80" s="419"/>
      <c r="Q80" s="419"/>
      <c r="R80" s="435"/>
      <c r="S80" s="419"/>
      <c r="T80" s="419"/>
      <c r="U80" s="419"/>
      <c r="V80" s="419"/>
      <c r="W80" s="419"/>
      <c r="X80" s="419"/>
      <c r="Y80" s="419"/>
    </row>
    <row r="81" spans="1:25" hidden="1" x14ac:dyDescent="0.3">
      <c r="B81" s="456"/>
      <c r="C81" s="456"/>
      <c r="D81" s="430"/>
      <c r="E81" s="430"/>
      <c r="F81" s="430"/>
      <c r="G81" s="430"/>
      <c r="H81" s="430"/>
      <c r="I81" s="430"/>
      <c r="J81" s="430"/>
      <c r="K81" s="430"/>
      <c r="L81" s="430"/>
      <c r="M81" s="430"/>
      <c r="N81" s="430"/>
      <c r="O81" s="430"/>
      <c r="P81" s="419"/>
      <c r="Q81" s="419"/>
      <c r="R81" s="435"/>
      <c r="S81" s="419"/>
      <c r="T81" s="419"/>
      <c r="U81" s="419"/>
      <c r="V81" s="419"/>
      <c r="W81" s="419"/>
      <c r="X81" s="419"/>
      <c r="Y81" s="419"/>
    </row>
    <row r="82" spans="1:25" hidden="1" x14ac:dyDescent="0.3">
      <c r="B82" s="460" t="s">
        <v>409</v>
      </c>
      <c r="C82" s="460"/>
      <c r="D82" s="477"/>
      <c r="E82" s="477"/>
      <c r="F82" s="477"/>
      <c r="G82" s="477"/>
      <c r="H82" s="477"/>
      <c r="I82" s="477"/>
      <c r="J82" s="477"/>
      <c r="K82" s="477"/>
      <c r="L82" s="477"/>
      <c r="M82" s="477"/>
      <c r="N82" s="477"/>
      <c r="O82" s="477"/>
      <c r="P82" s="419"/>
      <c r="Q82" s="419"/>
      <c r="R82" s="435"/>
      <c r="S82" s="419"/>
      <c r="T82" s="419"/>
      <c r="U82" s="419"/>
      <c r="V82" s="419"/>
      <c r="W82" s="419"/>
      <c r="X82" s="419"/>
      <c r="Y82" s="419"/>
    </row>
    <row r="83" spans="1:25" hidden="1" x14ac:dyDescent="0.3">
      <c r="B83" s="429" t="str">
        <f>B76</f>
        <v>Vacas descarte - Ganadería</v>
      </c>
      <c r="C83" s="456"/>
      <c r="D83" s="430"/>
      <c r="E83" s="430"/>
      <c r="F83" s="430">
        <f t="shared" ref="F83:O83" si="49">IF($C60="60 días",D60,0)</f>
        <v>0</v>
      </c>
      <c r="G83" s="430">
        <f t="shared" si="49"/>
        <v>0</v>
      </c>
      <c r="H83" s="430">
        <f t="shared" si="49"/>
        <v>0</v>
      </c>
      <c r="I83" s="430">
        <f t="shared" si="49"/>
        <v>0</v>
      </c>
      <c r="J83" s="430">
        <f t="shared" si="49"/>
        <v>0</v>
      </c>
      <c r="K83" s="430">
        <f t="shared" si="49"/>
        <v>0</v>
      </c>
      <c r="L83" s="430">
        <f t="shared" si="49"/>
        <v>0</v>
      </c>
      <c r="M83" s="430">
        <f t="shared" si="49"/>
        <v>0</v>
      </c>
      <c r="N83" s="430">
        <f t="shared" si="49"/>
        <v>0</v>
      </c>
      <c r="O83" s="430">
        <f t="shared" si="49"/>
        <v>0</v>
      </c>
      <c r="P83" s="419"/>
      <c r="Q83" s="419"/>
      <c r="R83" s="435"/>
      <c r="S83" s="419"/>
      <c r="T83" s="419"/>
      <c r="U83" s="419"/>
      <c r="V83" s="419"/>
      <c r="W83" s="419"/>
      <c r="X83" s="419"/>
      <c r="Y83" s="419"/>
    </row>
    <row r="84" spans="1:25" hidden="1" x14ac:dyDescent="0.3">
      <c r="B84" s="429" t="str">
        <f>B77</f>
        <v>Novillos - 2 a 3 años</v>
      </c>
      <c r="C84" s="456"/>
      <c r="D84" s="430"/>
      <c r="E84" s="430"/>
      <c r="F84" s="430">
        <f t="shared" ref="F84:O87" si="50">IF($C61="60 días",D61,0)</f>
        <v>0</v>
      </c>
      <c r="G84" s="430">
        <f t="shared" si="50"/>
        <v>0</v>
      </c>
      <c r="H84" s="430">
        <f t="shared" si="50"/>
        <v>0</v>
      </c>
      <c r="I84" s="430">
        <f t="shared" si="50"/>
        <v>0</v>
      </c>
      <c r="J84" s="430">
        <f t="shared" si="50"/>
        <v>0</v>
      </c>
      <c r="K84" s="430">
        <f t="shared" si="50"/>
        <v>0</v>
      </c>
      <c r="L84" s="430">
        <f t="shared" si="50"/>
        <v>0</v>
      </c>
      <c r="M84" s="430">
        <f t="shared" si="50"/>
        <v>0</v>
      </c>
      <c r="N84" s="430">
        <f t="shared" si="50"/>
        <v>0</v>
      </c>
      <c r="O84" s="430">
        <f t="shared" si="50"/>
        <v>0</v>
      </c>
      <c r="P84" s="419"/>
      <c r="Q84" s="419"/>
      <c r="R84" s="435"/>
      <c r="S84" s="419"/>
      <c r="T84" s="419"/>
      <c r="U84" s="419"/>
      <c r="V84" s="419"/>
      <c r="W84" s="419"/>
      <c r="X84" s="419"/>
      <c r="Y84" s="419"/>
    </row>
    <row r="85" spans="1:25" hidden="1" x14ac:dyDescent="0.3">
      <c r="B85" s="429" t="str">
        <f>B78</f>
        <v>Novillos - 1 a 2 años</v>
      </c>
      <c r="C85" s="456"/>
      <c r="D85" s="430"/>
      <c r="E85" s="430"/>
      <c r="F85" s="430">
        <f t="shared" si="50"/>
        <v>0</v>
      </c>
      <c r="G85" s="430">
        <f t="shared" si="50"/>
        <v>0</v>
      </c>
      <c r="H85" s="430">
        <f t="shared" si="50"/>
        <v>0</v>
      </c>
      <c r="I85" s="430">
        <f t="shared" si="50"/>
        <v>0</v>
      </c>
      <c r="J85" s="430">
        <f t="shared" si="50"/>
        <v>0</v>
      </c>
      <c r="K85" s="430">
        <f t="shared" si="50"/>
        <v>0</v>
      </c>
      <c r="L85" s="430">
        <f t="shared" si="50"/>
        <v>0</v>
      </c>
      <c r="M85" s="430">
        <f t="shared" si="50"/>
        <v>0</v>
      </c>
      <c r="N85" s="430">
        <f t="shared" si="50"/>
        <v>0</v>
      </c>
      <c r="O85" s="430">
        <f t="shared" si="50"/>
        <v>0</v>
      </c>
      <c r="P85" s="419"/>
      <c r="Q85" s="419"/>
      <c r="R85" s="435"/>
      <c r="S85" s="419"/>
      <c r="T85" s="419"/>
      <c r="U85" s="419"/>
      <c r="V85" s="419"/>
      <c r="W85" s="419"/>
      <c r="X85" s="419"/>
      <c r="Y85" s="419"/>
    </row>
    <row r="86" spans="1:25" hidden="1" x14ac:dyDescent="0.3">
      <c r="B86" s="429" t="str">
        <f>B79</f>
        <v>Terneros &gt; 6 meses &lt; 1 año</v>
      </c>
      <c r="C86" s="456"/>
      <c r="D86" s="430"/>
      <c r="E86" s="430"/>
      <c r="F86" s="430">
        <f t="shared" si="50"/>
        <v>0</v>
      </c>
      <c r="G86" s="430">
        <f t="shared" si="50"/>
        <v>0</v>
      </c>
      <c r="H86" s="430">
        <f t="shared" si="50"/>
        <v>0</v>
      </c>
      <c r="I86" s="430">
        <f t="shared" si="50"/>
        <v>0</v>
      </c>
      <c r="J86" s="430">
        <f t="shared" si="50"/>
        <v>0</v>
      </c>
      <c r="K86" s="430">
        <f t="shared" si="50"/>
        <v>0</v>
      </c>
      <c r="L86" s="430">
        <f t="shared" si="50"/>
        <v>0</v>
      </c>
      <c r="M86" s="430">
        <f t="shared" si="50"/>
        <v>0</v>
      </c>
      <c r="N86" s="430">
        <f t="shared" si="50"/>
        <v>0</v>
      </c>
      <c r="O86" s="430">
        <f t="shared" si="50"/>
        <v>0</v>
      </c>
      <c r="P86" s="419"/>
      <c r="Q86" s="419"/>
      <c r="R86" s="435"/>
      <c r="S86" s="419"/>
      <c r="T86" s="419"/>
      <c r="U86" s="419"/>
      <c r="V86" s="419"/>
      <c r="W86" s="419"/>
      <c r="X86" s="419"/>
      <c r="Y86" s="419"/>
    </row>
    <row r="87" spans="1:25" hidden="1" x14ac:dyDescent="0.3">
      <c r="B87" s="429" t="str">
        <f>B80</f>
        <v>Terneros &lt;  6 meses  (compras)</v>
      </c>
      <c r="C87" s="456"/>
      <c r="D87" s="430"/>
      <c r="E87" s="430"/>
      <c r="F87" s="430">
        <f t="shared" si="50"/>
        <v>0</v>
      </c>
      <c r="G87" s="430">
        <f t="shared" si="50"/>
        <v>0</v>
      </c>
      <c r="H87" s="430">
        <f t="shared" si="50"/>
        <v>0</v>
      </c>
      <c r="I87" s="430">
        <f t="shared" si="50"/>
        <v>0</v>
      </c>
      <c r="J87" s="430">
        <f t="shared" si="50"/>
        <v>0</v>
      </c>
      <c r="K87" s="430">
        <f t="shared" si="50"/>
        <v>0</v>
      </c>
      <c r="L87" s="430">
        <f t="shared" si="50"/>
        <v>0</v>
      </c>
      <c r="M87" s="430">
        <f t="shared" si="50"/>
        <v>0</v>
      </c>
      <c r="N87" s="430">
        <f t="shared" si="50"/>
        <v>0</v>
      </c>
      <c r="O87" s="430">
        <f t="shared" si="50"/>
        <v>0</v>
      </c>
      <c r="P87" s="419"/>
      <c r="Q87" s="419"/>
      <c r="R87" s="435"/>
      <c r="S87" s="419"/>
      <c r="T87" s="419"/>
      <c r="U87" s="419"/>
      <c r="V87" s="419"/>
      <c r="W87" s="419"/>
      <c r="X87" s="419"/>
      <c r="Y87" s="419"/>
    </row>
    <row r="88" spans="1:25" hidden="1" x14ac:dyDescent="0.3">
      <c r="B88" s="429"/>
      <c r="C88" s="456"/>
      <c r="D88" s="430"/>
      <c r="E88" s="430"/>
      <c r="F88" s="430"/>
      <c r="G88" s="430"/>
      <c r="H88" s="430"/>
      <c r="I88" s="430"/>
      <c r="J88" s="430"/>
      <c r="K88" s="430"/>
      <c r="L88" s="430"/>
      <c r="M88" s="430"/>
      <c r="N88" s="430"/>
      <c r="O88" s="430"/>
      <c r="P88" s="419"/>
      <c r="Q88" s="419"/>
      <c r="R88" s="435"/>
      <c r="S88" s="419"/>
      <c r="T88" s="419"/>
      <c r="U88" s="419"/>
      <c r="V88" s="419"/>
      <c r="W88" s="419"/>
      <c r="X88" s="419"/>
      <c r="Y88" s="419"/>
    </row>
    <row r="89" spans="1:25" ht="15.05" thickBot="1" x14ac:dyDescent="0.35">
      <c r="C89" s="437"/>
      <c r="D89" s="336"/>
      <c r="E89" s="336"/>
      <c r="F89" s="336"/>
      <c r="G89" s="336"/>
      <c r="H89" s="336"/>
      <c r="I89" s="336"/>
      <c r="J89" s="336"/>
      <c r="K89" s="336"/>
      <c r="L89" s="336"/>
      <c r="M89" s="336"/>
      <c r="N89" s="336"/>
      <c r="O89" s="336"/>
      <c r="P89" s="419"/>
      <c r="Q89" s="419"/>
      <c r="R89" s="435"/>
      <c r="S89" s="419"/>
      <c r="T89" s="419"/>
      <c r="U89" s="419"/>
      <c r="V89" s="419"/>
      <c r="W89" s="419"/>
      <c r="X89" s="419"/>
      <c r="Y89" s="419"/>
    </row>
    <row r="90" spans="1:25" s="435" customFormat="1" ht="15.05" thickBot="1" x14ac:dyDescent="0.35">
      <c r="A90" s="1344">
        <f>+A57+1</f>
        <v>127</v>
      </c>
      <c r="B90" s="880" t="s">
        <v>2402</v>
      </c>
      <c r="C90" s="881"/>
      <c r="D90" s="1096"/>
      <c r="E90" s="1096"/>
      <c r="F90" s="881"/>
      <c r="G90" s="881"/>
      <c r="H90" s="881"/>
      <c r="I90" s="881"/>
      <c r="J90" s="881"/>
      <c r="K90" s="881"/>
      <c r="L90" s="881"/>
      <c r="M90" s="881"/>
      <c r="N90" s="881"/>
      <c r="O90" s="881"/>
      <c r="P90" s="881"/>
      <c r="Q90" s="2448"/>
      <c r="R90" s="416"/>
      <c r="S90" s="2433" t="s">
        <v>1818</v>
      </c>
      <c r="T90" s="441" t="str">
        <f>+B90</f>
        <v>GASTOS VARIABLES - Económicos (U$S/mes)</v>
      </c>
    </row>
    <row r="91" spans="1:25" s="18" customFormat="1" ht="15.05" thickBot="1" x14ac:dyDescent="0.35">
      <c r="A91" s="386"/>
      <c r="B91" s="2418" t="s">
        <v>683</v>
      </c>
      <c r="C91" s="2419"/>
      <c r="D91" s="2420" t="str">
        <f>D58</f>
        <v>Ene</v>
      </c>
      <c r="E91" s="2420" t="str">
        <f t="shared" ref="E91:O91" si="51">E58</f>
        <v>Feb</v>
      </c>
      <c r="F91" s="2420" t="str">
        <f t="shared" si="51"/>
        <v>Mar</v>
      </c>
      <c r="G91" s="2420" t="str">
        <f t="shared" si="51"/>
        <v>Abr</v>
      </c>
      <c r="H91" s="2420" t="str">
        <f t="shared" si="51"/>
        <v>May</v>
      </c>
      <c r="I91" s="2420" t="str">
        <f t="shared" si="51"/>
        <v>Jun</v>
      </c>
      <c r="J91" s="2420" t="str">
        <f t="shared" si="51"/>
        <v>Jul</v>
      </c>
      <c r="K91" s="2420" t="str">
        <f t="shared" si="51"/>
        <v>Ago</v>
      </c>
      <c r="L91" s="2420" t="str">
        <f t="shared" si="51"/>
        <v>Set</v>
      </c>
      <c r="M91" s="2420" t="str">
        <f t="shared" si="51"/>
        <v>Oct</v>
      </c>
      <c r="N91" s="2420" t="str">
        <f t="shared" si="51"/>
        <v>Nov</v>
      </c>
      <c r="O91" s="2420" t="str">
        <f t="shared" si="51"/>
        <v>Dic</v>
      </c>
      <c r="P91" s="2420" t="s">
        <v>224</v>
      </c>
      <c r="Q91" s="2431" t="s">
        <v>313</v>
      </c>
      <c r="R91" s="435"/>
      <c r="S91" s="2434" t="s">
        <v>1819</v>
      </c>
      <c r="T91" s="419"/>
      <c r="U91" s="419"/>
    </row>
    <row r="92" spans="1:25" s="18" customFormat="1" ht="15.05" thickBot="1" x14ac:dyDescent="0.35">
      <c r="A92" s="1344" t="s">
        <v>1758</v>
      </c>
      <c r="B92" s="454" t="s">
        <v>2168</v>
      </c>
      <c r="C92" s="424"/>
      <c r="D92" s="2410"/>
      <c r="E92" s="2410"/>
      <c r="F92" s="2410"/>
      <c r="G92" s="2410"/>
      <c r="H92" s="2410"/>
      <c r="I92" s="2410"/>
      <c r="J92" s="2410"/>
      <c r="K92" s="2410"/>
      <c r="L92" s="2410"/>
      <c r="M92" s="2410"/>
      <c r="N92" s="2410"/>
      <c r="O92" s="2410"/>
      <c r="P92" s="2410"/>
      <c r="Q92" s="2432" t="s">
        <v>1820</v>
      </c>
      <c r="R92" s="435"/>
      <c r="S92" s="2435" t="s">
        <v>1816</v>
      </c>
      <c r="T92" s="222"/>
    </row>
    <row r="93" spans="1:25" s="126" customFormat="1" x14ac:dyDescent="0.3">
      <c r="B93" s="1149"/>
      <c r="C93" s="1150" t="s">
        <v>319</v>
      </c>
      <c r="D93" s="5371">
        <f>S95*$S$7/12</f>
        <v>0</v>
      </c>
      <c r="E93" s="5371">
        <f t="shared" ref="E93:N93" si="52">+D93</f>
        <v>0</v>
      </c>
      <c r="F93" s="5371">
        <f t="shared" si="52"/>
        <v>0</v>
      </c>
      <c r="G93" s="5371">
        <f t="shared" si="52"/>
        <v>0</v>
      </c>
      <c r="H93" s="5371">
        <f>+G93</f>
        <v>0</v>
      </c>
      <c r="I93" s="5371">
        <f t="shared" si="52"/>
        <v>0</v>
      </c>
      <c r="J93" s="5371">
        <f t="shared" si="52"/>
        <v>0</v>
      </c>
      <c r="K93" s="5371">
        <f t="shared" si="52"/>
        <v>0</v>
      </c>
      <c r="L93" s="5371">
        <f t="shared" si="52"/>
        <v>0</v>
      </c>
      <c r="M93" s="5371">
        <f t="shared" si="52"/>
        <v>0</v>
      </c>
      <c r="N93" s="5371">
        <f t="shared" si="52"/>
        <v>0</v>
      </c>
      <c r="O93" s="5372">
        <f>+N93</f>
        <v>0</v>
      </c>
      <c r="P93" s="1153">
        <f t="shared" ref="P93:P106" si="53">SUM(D93:O93)</f>
        <v>0</v>
      </c>
      <c r="Q93" s="1153" t="e">
        <f>P93/$C$7</f>
        <v>#DIV/0!</v>
      </c>
      <c r="R93" s="468"/>
      <c r="S93" s="519"/>
      <c r="T93" s="1164"/>
      <c r="U93" s="420"/>
      <c r="V93" s="420"/>
      <c r="W93" s="420"/>
      <c r="X93" s="420"/>
      <c r="Y93" s="419"/>
    </row>
    <row r="94" spans="1:25" s="126" customFormat="1" x14ac:dyDescent="0.3">
      <c r="B94" s="440"/>
      <c r="C94" s="1147" t="s">
        <v>320</v>
      </c>
      <c r="D94" s="5373"/>
      <c r="E94" s="5373"/>
      <c r="F94" s="5373"/>
      <c r="G94" s="5373"/>
      <c r="H94" s="5373"/>
      <c r="I94" s="5373"/>
      <c r="J94" s="5373"/>
      <c r="K94" s="5373"/>
      <c r="L94" s="5373"/>
      <c r="M94" s="5373"/>
      <c r="N94" s="5373"/>
      <c r="O94" s="5374"/>
      <c r="P94" s="1148">
        <f t="shared" si="53"/>
        <v>0</v>
      </c>
      <c r="Q94" s="1148" t="e">
        <f>P94/$C$7</f>
        <v>#DIV/0!</v>
      </c>
      <c r="R94" s="468"/>
      <c r="S94" s="449"/>
      <c r="T94" s="607"/>
      <c r="U94" s="420"/>
      <c r="V94" s="420"/>
      <c r="W94" s="420"/>
      <c r="X94" s="420"/>
      <c r="Y94" s="420"/>
    </row>
    <row r="95" spans="1:25" s="126" customFormat="1" x14ac:dyDescent="0.3">
      <c r="B95" s="534" t="s">
        <v>2169</v>
      </c>
      <c r="C95" s="485"/>
      <c r="D95" s="2409">
        <f>+D94+D93</f>
        <v>0</v>
      </c>
      <c r="E95" s="1154">
        <f t="shared" ref="E95:O95" si="54">+E94+E93</f>
        <v>0</v>
      </c>
      <c r="F95" s="1154">
        <f t="shared" si="54"/>
        <v>0</v>
      </c>
      <c r="G95" s="1154">
        <f t="shared" si="54"/>
        <v>0</v>
      </c>
      <c r="H95" s="1154">
        <f t="shared" si="54"/>
        <v>0</v>
      </c>
      <c r="I95" s="1154">
        <f t="shared" si="54"/>
        <v>0</v>
      </c>
      <c r="J95" s="1154">
        <f t="shared" si="54"/>
        <v>0</v>
      </c>
      <c r="K95" s="1154">
        <f t="shared" si="54"/>
        <v>0</v>
      </c>
      <c r="L95" s="1154">
        <f t="shared" si="54"/>
        <v>0</v>
      </c>
      <c r="M95" s="1154">
        <f t="shared" si="54"/>
        <v>0</v>
      </c>
      <c r="N95" s="1154">
        <f t="shared" si="54"/>
        <v>0</v>
      </c>
      <c r="O95" s="1154">
        <f t="shared" si="54"/>
        <v>0</v>
      </c>
      <c r="P95" s="1155">
        <f>SUM(D95:O95)</f>
        <v>0</v>
      </c>
      <c r="Q95" s="1155" t="e">
        <f>+Q94+Q93</f>
        <v>#DIV/0!</v>
      </c>
      <c r="R95" s="536"/>
      <c r="S95" s="5375"/>
      <c r="T95" s="607" t="s">
        <v>92</v>
      </c>
      <c r="U95" s="420" t="s">
        <v>516</v>
      </c>
      <c r="V95" s="420"/>
      <c r="W95" s="420"/>
      <c r="X95" s="420"/>
      <c r="Y95" s="420"/>
    </row>
    <row r="96" spans="1:25" s="126" customFormat="1" x14ac:dyDescent="0.3">
      <c r="B96" s="1149"/>
      <c r="C96" s="1150" t="s">
        <v>712</v>
      </c>
      <c r="D96" s="1151">
        <f ca="1">+InsumosCultivos!I1308+InsumosCultivos!AF1308</f>
        <v>0</v>
      </c>
      <c r="E96" s="1151">
        <f ca="1">+InsumosCultivos!J1308+InsumosCultivos!AG1308</f>
        <v>0</v>
      </c>
      <c r="F96" s="1151">
        <f ca="1">+InsumosCultivos!K1308+InsumosCultivos!AH1308</f>
        <v>0</v>
      </c>
      <c r="G96" s="1151">
        <f ca="1">+InsumosCultivos!L1308+InsumosCultivos!AI1308</f>
        <v>0</v>
      </c>
      <c r="H96" s="1151">
        <f ca="1">+InsumosCultivos!M1308+InsumosCultivos!AJ1308</f>
        <v>0</v>
      </c>
      <c r="I96" s="1151">
        <f ca="1">+InsumosCultivos!N1308+InsumosCultivos!AK1308</f>
        <v>0</v>
      </c>
      <c r="J96" s="1151">
        <f ca="1">+InsumosCultivos!O1308+InsumosCultivos!AL1308</f>
        <v>0</v>
      </c>
      <c r="K96" s="1151">
        <f ca="1">+InsumosCultivos!P1308+InsumosCultivos!AM1308</f>
        <v>0</v>
      </c>
      <c r="L96" s="1151">
        <f ca="1">+InsumosCultivos!Q1308+InsumosCultivos!AN1308</f>
        <v>0</v>
      </c>
      <c r="M96" s="1151">
        <f ca="1">+InsumosCultivos!R1308+InsumosCultivos!AO1308</f>
        <v>0</v>
      </c>
      <c r="N96" s="1151">
        <f ca="1">+InsumosCultivos!S1308+InsumosCultivos!AP1308</f>
        <v>0</v>
      </c>
      <c r="O96" s="1152">
        <f ca="1">+InsumosCultivos!T1308+InsumosCultivos!AQ1308</f>
        <v>0</v>
      </c>
      <c r="P96" s="1153">
        <f t="shared" ca="1" si="53"/>
        <v>0</v>
      </c>
      <c r="Q96" s="1153" t="e">
        <f ca="1">P96/$C$7</f>
        <v>#DIV/0!</v>
      </c>
      <c r="R96" s="468"/>
      <c r="S96" s="440"/>
      <c r="T96" s="1165"/>
      <c r="U96" s="420"/>
      <c r="V96" s="420"/>
      <c r="W96" s="420"/>
      <c r="X96" s="420"/>
      <c r="Y96" s="419"/>
    </row>
    <row r="97" spans="1:25" s="126" customFormat="1" x14ac:dyDescent="0.3">
      <c r="B97" s="1105"/>
      <c r="C97" s="1156" t="s">
        <v>553</v>
      </c>
      <c r="D97" s="5373"/>
      <c r="E97" s="5376"/>
      <c r="F97" s="5376"/>
      <c r="G97" s="5376"/>
      <c r="H97" s="5376"/>
      <c r="I97" s="5376"/>
      <c r="J97" s="5376"/>
      <c r="K97" s="5376"/>
      <c r="L97" s="5376"/>
      <c r="M97" s="5376"/>
      <c r="N97" s="5376"/>
      <c r="O97" s="5376"/>
      <c r="P97" s="1148">
        <f t="shared" si="53"/>
        <v>0</v>
      </c>
      <c r="Q97" s="1148" t="e">
        <f>P97/$C$7</f>
        <v>#DIV/0!</v>
      </c>
      <c r="R97" s="468"/>
      <c r="S97" s="5375"/>
      <c r="T97" s="607"/>
      <c r="U97" s="420"/>
      <c r="V97" s="420"/>
      <c r="W97" s="420"/>
      <c r="X97" s="420"/>
      <c r="Y97" s="419"/>
    </row>
    <row r="98" spans="1:25" s="443" customFormat="1" x14ac:dyDescent="0.3">
      <c r="B98" s="1157" t="s">
        <v>2170</v>
      </c>
      <c r="C98" s="486"/>
      <c r="D98" s="2409">
        <f ca="1">+D96+D97</f>
        <v>0</v>
      </c>
      <c r="E98" s="1154">
        <f t="shared" ref="E98:O98" ca="1" si="55">+E96+E97</f>
        <v>0</v>
      </c>
      <c r="F98" s="1154">
        <f t="shared" ca="1" si="55"/>
        <v>0</v>
      </c>
      <c r="G98" s="1154">
        <f t="shared" ca="1" si="55"/>
        <v>0</v>
      </c>
      <c r="H98" s="1154">
        <f t="shared" ca="1" si="55"/>
        <v>0</v>
      </c>
      <c r="I98" s="1154">
        <f t="shared" ca="1" si="55"/>
        <v>0</v>
      </c>
      <c r="J98" s="1154">
        <f t="shared" ca="1" si="55"/>
        <v>0</v>
      </c>
      <c r="K98" s="1154">
        <f t="shared" ca="1" si="55"/>
        <v>0</v>
      </c>
      <c r="L98" s="1154">
        <f t="shared" ca="1" si="55"/>
        <v>0</v>
      </c>
      <c r="M98" s="1154">
        <f t="shared" ca="1" si="55"/>
        <v>0</v>
      </c>
      <c r="N98" s="1154">
        <f t="shared" ca="1" si="55"/>
        <v>0</v>
      </c>
      <c r="O98" s="1154">
        <f t="shared" ca="1" si="55"/>
        <v>0</v>
      </c>
      <c r="P98" s="1158">
        <f ca="1">SUM(D98:O98)</f>
        <v>0</v>
      </c>
      <c r="Q98" s="1158" t="e">
        <f t="shared" ref="Q98:Q106" ca="1" si="56">P98/$C$7</f>
        <v>#DIV/0!</v>
      </c>
      <c r="R98" s="536"/>
      <c r="S98" s="5375"/>
      <c r="T98" s="607" t="s">
        <v>93</v>
      </c>
      <c r="U98" s="420" t="s">
        <v>516</v>
      </c>
      <c r="V98" s="432"/>
      <c r="W98" s="432"/>
      <c r="X98" s="432"/>
      <c r="Y98" s="418"/>
    </row>
    <row r="99" spans="1:25" s="126" customFormat="1" x14ac:dyDescent="0.3">
      <c r="B99" s="2380"/>
      <c r="C99" s="2381" t="s">
        <v>609</v>
      </c>
      <c r="D99" s="2382">
        <f>+InsumosCultivos!I1378+InsumosCultivos!I1388+InsumosCultivos!AF1378+InsumosCultivos!I1390+InsumosCultivos!I1392+InsumosCultivos!I1394+InsumosCultivos!I1396+InsumosCultivos!I1373+InsumosCultivos!AF1373</f>
        <v>0</v>
      </c>
      <c r="E99" s="2382">
        <f>+InsumosCultivos!J1378+InsumosCultivos!J1388+InsumosCultivos!AG1378+InsumosCultivos!J1390+InsumosCultivos!J1392+InsumosCultivos!J1394+InsumosCultivos!J1396+InsumosCultivos!J1373+InsumosCultivos!AG1373</f>
        <v>0</v>
      </c>
      <c r="F99" s="2382">
        <f>+InsumosCultivos!K1378+InsumosCultivos!K1388+InsumosCultivos!AH1378+InsumosCultivos!K1390+InsumosCultivos!K1392+InsumosCultivos!K1394+InsumosCultivos!K1396+InsumosCultivos!K1373+InsumosCultivos!AH1373</f>
        <v>0</v>
      </c>
      <c r="G99" s="2382">
        <f>+InsumosCultivos!L1378+InsumosCultivos!L1388+InsumosCultivos!AI1378+InsumosCultivos!L1390+InsumosCultivos!L1392+InsumosCultivos!L1394+InsumosCultivos!L1396+InsumosCultivos!L1373+InsumosCultivos!AI1373</f>
        <v>0</v>
      </c>
      <c r="H99" s="2382">
        <f>+InsumosCultivos!M1378+InsumosCultivos!M1388+InsumosCultivos!AJ1378+InsumosCultivos!M1390+InsumosCultivos!M1392+InsumosCultivos!M1394+InsumosCultivos!M1396+InsumosCultivos!M1373+InsumosCultivos!AJ1373</f>
        <v>0</v>
      </c>
      <c r="I99" s="2382">
        <f>+InsumosCultivos!N1378+InsumosCultivos!N1388+InsumosCultivos!AK1378+InsumosCultivos!N1390+InsumosCultivos!N1392+InsumosCultivos!N1394+InsumosCultivos!N1396+InsumosCultivos!N1373+InsumosCultivos!AK1373</f>
        <v>0</v>
      </c>
      <c r="J99" s="2382">
        <f>+InsumosCultivos!O1378+InsumosCultivos!O1388+InsumosCultivos!AL1378+InsumosCultivos!O1390+InsumosCultivos!O1392+InsumosCultivos!O1394+InsumosCultivos!O1396+InsumosCultivos!O1373+InsumosCultivos!AL1373</f>
        <v>0</v>
      </c>
      <c r="K99" s="2382">
        <f>+InsumosCultivos!P1378+InsumosCultivos!P1388+InsumosCultivos!AM1378+InsumosCultivos!P1390+InsumosCultivos!P1392+InsumosCultivos!P1394+InsumosCultivos!P1396+InsumosCultivos!P1373+InsumosCultivos!AM1373</f>
        <v>0</v>
      </c>
      <c r="L99" s="2382">
        <f>+InsumosCultivos!Q1378+InsumosCultivos!Q1388+InsumosCultivos!AN1378+InsumosCultivos!Q1390+InsumosCultivos!Q1392+InsumosCultivos!Q1394+InsumosCultivos!Q1396+InsumosCultivos!Q1373+InsumosCultivos!AN1373</f>
        <v>0</v>
      </c>
      <c r="M99" s="2382">
        <f>+InsumosCultivos!R1378+InsumosCultivos!R1388+InsumosCultivos!AO1378+InsumosCultivos!R1390+InsumosCultivos!R1392+InsumosCultivos!R1394+InsumosCultivos!R1396+InsumosCultivos!R1373+InsumosCultivos!AO1373</f>
        <v>0</v>
      </c>
      <c r="N99" s="2382">
        <f>+InsumosCultivos!S1378+InsumosCultivos!S1388+InsumosCultivos!AP1378+InsumosCultivos!S1390+InsumosCultivos!S1392+InsumosCultivos!S1394+InsumosCultivos!S1396+InsumosCultivos!S1373+InsumosCultivos!AP1373</f>
        <v>0</v>
      </c>
      <c r="O99" s="2383">
        <f>+InsumosCultivos!T1378+InsumosCultivos!T1388+InsumosCultivos!AQ1378+InsumosCultivos!T1390+InsumosCultivos!T1392+InsumosCultivos!T1394+InsumosCultivos!T1396+InsumosCultivos!T1373+InsumosCultivos!AQ1373</f>
        <v>0</v>
      </c>
      <c r="P99" s="2384">
        <f t="shared" si="53"/>
        <v>0</v>
      </c>
      <c r="Q99" s="2384" t="e">
        <f t="shared" si="56"/>
        <v>#DIV/0!</v>
      </c>
      <c r="R99" s="468"/>
      <c r="S99" s="440"/>
      <c r="T99" s="1165"/>
      <c r="U99" s="420"/>
      <c r="V99" s="420"/>
      <c r="W99" s="420"/>
      <c r="X99" s="420"/>
      <c r="Y99" s="419"/>
    </row>
    <row r="100" spans="1:25" s="126" customFormat="1" x14ac:dyDescent="0.3">
      <c r="B100" s="1104"/>
      <c r="C100" s="1141" t="s">
        <v>608</v>
      </c>
      <c r="D100" s="1145">
        <f>InsumosCultivos!I1400+InsumosCultivos!I1368+InsumosCultivos!AF1368+InsumosCultivos!I1406</f>
        <v>0</v>
      </c>
      <c r="E100" s="1145">
        <f>InsumosCultivos!J1400+InsumosCultivos!J1368+InsumosCultivos!AG1368</f>
        <v>0</v>
      </c>
      <c r="F100" s="1145">
        <f>InsumosCultivos!K1400+InsumosCultivos!K1368+InsumosCultivos!AH1368</f>
        <v>0</v>
      </c>
      <c r="G100" s="1145">
        <f>InsumosCultivos!L1400+InsumosCultivos!L1368+InsumosCultivos!AI1368</f>
        <v>0</v>
      </c>
      <c r="H100" s="1145">
        <f>InsumosCultivos!M1400+InsumosCultivos!M1368+InsumosCultivos!AJ1368</f>
        <v>0</v>
      </c>
      <c r="I100" s="1145">
        <f>InsumosCultivos!N1400+InsumosCultivos!N1368+InsumosCultivos!AK1368</f>
        <v>0</v>
      </c>
      <c r="J100" s="1145">
        <f>InsumosCultivos!O1400+InsumosCultivos!O1368+InsumosCultivos!AL1368</f>
        <v>0</v>
      </c>
      <c r="K100" s="1145">
        <f>InsumosCultivos!P1400+InsumosCultivos!P1368+InsumosCultivos!AM1368</f>
        <v>0</v>
      </c>
      <c r="L100" s="1145">
        <f>InsumosCultivos!Q1400+InsumosCultivos!Q1368+InsumosCultivos!AN1368</f>
        <v>0</v>
      </c>
      <c r="M100" s="1145">
        <f>InsumosCultivos!R1400+InsumosCultivos!R1368+InsumosCultivos!AO1368</f>
        <v>0</v>
      </c>
      <c r="N100" s="1145">
        <f>InsumosCultivos!S1400+InsumosCultivos!S1368+InsumosCultivos!AP1368</f>
        <v>0</v>
      </c>
      <c r="O100" s="1146">
        <f>InsumosCultivos!T1400+InsumosCultivos!T1368+InsumosCultivos!AQ1368</f>
        <v>0</v>
      </c>
      <c r="P100" s="1144">
        <f t="shared" si="53"/>
        <v>0</v>
      </c>
      <c r="Q100" s="1144" t="e">
        <f t="shared" si="56"/>
        <v>#DIV/0!</v>
      </c>
      <c r="R100" s="468"/>
      <c r="S100" s="449"/>
      <c r="T100" s="607"/>
      <c r="U100" s="420"/>
      <c r="V100" s="420"/>
      <c r="W100" s="420"/>
      <c r="X100" s="420"/>
      <c r="Y100" s="419"/>
    </row>
    <row r="101" spans="1:25" s="126" customFormat="1" x14ac:dyDescent="0.3">
      <c r="B101" s="1104"/>
      <c r="C101" s="1222" t="s">
        <v>2013</v>
      </c>
      <c r="D101" s="1145"/>
      <c r="E101" s="1286"/>
      <c r="F101" s="1287"/>
      <c r="G101" s="1287"/>
      <c r="H101" s="1287"/>
      <c r="I101" s="1287"/>
      <c r="J101" s="1287"/>
      <c r="K101" s="1287"/>
      <c r="L101" s="1287"/>
      <c r="M101" s="1287"/>
      <c r="N101" s="1288"/>
      <c r="O101" s="1146">
        <f>-InsumosCultivos!S1452</f>
        <v>0</v>
      </c>
      <c r="P101" s="1144">
        <f>SUM(D101:O101)</f>
        <v>0</v>
      </c>
      <c r="Q101" s="1144" t="e">
        <f t="shared" si="56"/>
        <v>#DIV/0!</v>
      </c>
      <c r="R101" s="468"/>
      <c r="S101" s="449"/>
      <c r="T101" s="607"/>
      <c r="U101" s="420"/>
      <c r="V101" s="420"/>
      <c r="W101" s="420"/>
      <c r="X101" s="420"/>
      <c r="Y101" s="419"/>
    </row>
    <row r="102" spans="1:25" s="126" customFormat="1" x14ac:dyDescent="0.3">
      <c r="B102" s="1105"/>
      <c r="C102" s="1156" t="s">
        <v>1821</v>
      </c>
      <c r="D102" s="1159">
        <f>InsumosCultivos!I1401</f>
        <v>0</v>
      </c>
      <c r="E102" s="1159">
        <f>InsumosCultivos!J1401</f>
        <v>0</v>
      </c>
      <c r="F102" s="1159">
        <f>InsumosCultivos!K1401</f>
        <v>0</v>
      </c>
      <c r="G102" s="1159">
        <f>InsumosCultivos!L1401</f>
        <v>0</v>
      </c>
      <c r="H102" s="1159">
        <f>InsumosCultivos!M1401</f>
        <v>0</v>
      </c>
      <c r="I102" s="1159">
        <f>InsumosCultivos!N1401</f>
        <v>0</v>
      </c>
      <c r="J102" s="1159">
        <f>InsumosCultivos!O1401</f>
        <v>0</v>
      </c>
      <c r="K102" s="1159">
        <f>InsumosCultivos!P1401</f>
        <v>0</v>
      </c>
      <c r="L102" s="1159">
        <f>InsumosCultivos!Q1401</f>
        <v>0</v>
      </c>
      <c r="M102" s="1159">
        <f>InsumosCultivos!R1401</f>
        <v>0</v>
      </c>
      <c r="N102" s="1159">
        <f>InsumosCultivos!S1401</f>
        <v>0</v>
      </c>
      <c r="O102" s="1160">
        <f>InsumosCultivos!T1401</f>
        <v>0</v>
      </c>
      <c r="P102" s="1148">
        <f t="shared" si="53"/>
        <v>0</v>
      </c>
      <c r="Q102" s="1148" t="e">
        <f t="shared" si="56"/>
        <v>#DIV/0!</v>
      </c>
      <c r="R102" s="468"/>
      <c r="S102" s="449"/>
      <c r="T102" s="607"/>
      <c r="U102" s="420"/>
      <c r="V102" s="420"/>
      <c r="W102" s="420"/>
      <c r="X102" s="420"/>
      <c r="Y102" s="419"/>
    </row>
    <row r="103" spans="1:25" s="443" customFormat="1" x14ac:dyDescent="0.3">
      <c r="B103" s="1157" t="s">
        <v>2171</v>
      </c>
      <c r="C103" s="486"/>
      <c r="D103" s="2409">
        <f>+SUM(D99:D102)</f>
        <v>0</v>
      </c>
      <c r="E103" s="1154">
        <f t="shared" ref="E103:N103" si="57">+SUM(E99:E102)</f>
        <v>0</v>
      </c>
      <c r="F103" s="1154">
        <f t="shared" si="57"/>
        <v>0</v>
      </c>
      <c r="G103" s="1154">
        <f t="shared" si="57"/>
        <v>0</v>
      </c>
      <c r="H103" s="1154">
        <f t="shared" si="57"/>
        <v>0</v>
      </c>
      <c r="I103" s="1154">
        <f t="shared" si="57"/>
        <v>0</v>
      </c>
      <c r="J103" s="1154">
        <f t="shared" si="57"/>
        <v>0</v>
      </c>
      <c r="K103" s="1154">
        <f t="shared" si="57"/>
        <v>0</v>
      </c>
      <c r="L103" s="1154">
        <f t="shared" si="57"/>
        <v>0</v>
      </c>
      <c r="M103" s="1154">
        <f t="shared" si="57"/>
        <v>0</v>
      </c>
      <c r="N103" s="1154">
        <f t="shared" si="57"/>
        <v>0</v>
      </c>
      <c r="O103" s="1154">
        <f>+SUM(O99:O102)</f>
        <v>0</v>
      </c>
      <c r="P103" s="1158">
        <f>SUM(D103:O103)</f>
        <v>0</v>
      </c>
      <c r="Q103" s="1158" t="e">
        <f t="shared" si="56"/>
        <v>#DIV/0!</v>
      </c>
      <c r="R103" s="536"/>
      <c r="S103" s="5375"/>
      <c r="T103" s="607" t="s">
        <v>94</v>
      </c>
      <c r="U103" s="420" t="s">
        <v>516</v>
      </c>
      <c r="V103" s="432"/>
      <c r="W103" s="432"/>
      <c r="X103" s="432"/>
      <c r="Y103" s="418"/>
    </row>
    <row r="104" spans="1:25" s="126" customFormat="1" x14ac:dyDescent="0.3">
      <c r="B104" s="2380"/>
      <c r="C104" s="2381" t="s">
        <v>479</v>
      </c>
      <c r="D104" s="2382">
        <f>InsumosCultivos!I1399</f>
        <v>0</v>
      </c>
      <c r="E104" s="2382">
        <f>InsumosCultivos!J1399</f>
        <v>0</v>
      </c>
      <c r="F104" s="2382">
        <f>InsumosCultivos!K1399</f>
        <v>0</v>
      </c>
      <c r="G104" s="2382">
        <f>InsumosCultivos!L1399</f>
        <v>0</v>
      </c>
      <c r="H104" s="2382">
        <f>InsumosCultivos!M1399</f>
        <v>0</v>
      </c>
      <c r="I104" s="2382">
        <f>InsumosCultivos!N1399</f>
        <v>0</v>
      </c>
      <c r="J104" s="2382">
        <f>InsumosCultivos!O1399</f>
        <v>0</v>
      </c>
      <c r="K104" s="2382">
        <f>InsumosCultivos!P1399</f>
        <v>0</v>
      </c>
      <c r="L104" s="2382">
        <f>InsumosCultivos!Q1399</f>
        <v>0</v>
      </c>
      <c r="M104" s="2382">
        <f>InsumosCultivos!R1399</f>
        <v>0</v>
      </c>
      <c r="N104" s="2382">
        <f>InsumosCultivos!S1399</f>
        <v>0</v>
      </c>
      <c r="O104" s="2383">
        <f>InsumosCultivos!T1399</f>
        <v>0</v>
      </c>
      <c r="P104" s="2384">
        <f t="shared" si="53"/>
        <v>0</v>
      </c>
      <c r="Q104" s="2384" t="e">
        <f t="shared" si="56"/>
        <v>#DIV/0!</v>
      </c>
      <c r="R104" s="468"/>
      <c r="S104" s="440"/>
      <c r="T104" s="1165"/>
      <c r="U104" s="420"/>
      <c r="V104" s="420"/>
      <c r="W104" s="420"/>
      <c r="X104" s="420"/>
      <c r="Y104" s="419"/>
    </row>
    <row r="105" spans="1:25" s="126" customFormat="1" x14ac:dyDescent="0.3">
      <c r="B105" s="1105"/>
      <c r="C105" s="1156" t="s">
        <v>586</v>
      </c>
      <c r="D105" s="1159">
        <f>+Alimentos!G669</f>
        <v>0</v>
      </c>
      <c r="E105" s="1159">
        <f>+Alimentos!H669</f>
        <v>0</v>
      </c>
      <c r="F105" s="1159">
        <f>+Alimentos!I669</f>
        <v>0</v>
      </c>
      <c r="G105" s="1159">
        <f>+Alimentos!J669</f>
        <v>0</v>
      </c>
      <c r="H105" s="1159">
        <f>+Alimentos!K669</f>
        <v>0</v>
      </c>
      <c r="I105" s="1159">
        <f>+Alimentos!L669</f>
        <v>0</v>
      </c>
      <c r="J105" s="1159">
        <f>+Alimentos!M669</f>
        <v>0</v>
      </c>
      <c r="K105" s="1159">
        <f>+Alimentos!N669</f>
        <v>0</v>
      </c>
      <c r="L105" s="1159">
        <f>+Alimentos!O669</f>
        <v>0</v>
      </c>
      <c r="M105" s="1159">
        <f>+Alimentos!P669</f>
        <v>0</v>
      </c>
      <c r="N105" s="1159">
        <f>+Alimentos!Q669</f>
        <v>0</v>
      </c>
      <c r="O105" s="1160">
        <f>+Alimentos!R669</f>
        <v>0</v>
      </c>
      <c r="P105" s="1148">
        <f t="shared" si="53"/>
        <v>0</v>
      </c>
      <c r="Q105" s="1148" t="e">
        <f t="shared" si="56"/>
        <v>#DIV/0!</v>
      </c>
      <c r="R105" s="468"/>
      <c r="S105" s="449"/>
      <c r="T105" s="607"/>
      <c r="U105" s="420"/>
      <c r="V105" s="420"/>
      <c r="W105" s="420"/>
      <c r="X105" s="420"/>
      <c r="Y105" s="419"/>
    </row>
    <row r="106" spans="1:25" s="443" customFormat="1" ht="15.05" thickBot="1" x14ac:dyDescent="0.35">
      <c r="B106" s="1161" t="s">
        <v>2405</v>
      </c>
      <c r="C106" s="1162"/>
      <c r="D106" s="2404">
        <f>+SUM(D104:D105)</f>
        <v>0</v>
      </c>
      <c r="E106" s="1163">
        <f t="shared" ref="E106:O106" si="58">+SUM(E104:E105)</f>
        <v>0</v>
      </c>
      <c r="F106" s="1163">
        <f t="shared" si="58"/>
        <v>0</v>
      </c>
      <c r="G106" s="1163">
        <f t="shared" si="58"/>
        <v>0</v>
      </c>
      <c r="H106" s="1163">
        <f t="shared" si="58"/>
        <v>0</v>
      </c>
      <c r="I106" s="1163">
        <f t="shared" si="58"/>
        <v>0</v>
      </c>
      <c r="J106" s="1163">
        <f t="shared" si="58"/>
        <v>0</v>
      </c>
      <c r="K106" s="1163">
        <f t="shared" si="58"/>
        <v>0</v>
      </c>
      <c r="L106" s="1163">
        <f t="shared" si="58"/>
        <v>0</v>
      </c>
      <c r="M106" s="1163">
        <f t="shared" si="58"/>
        <v>0</v>
      </c>
      <c r="N106" s="1163">
        <f t="shared" si="58"/>
        <v>0</v>
      </c>
      <c r="O106" s="1163">
        <f t="shared" si="58"/>
        <v>0</v>
      </c>
      <c r="P106" s="612">
        <f t="shared" si="53"/>
        <v>0</v>
      </c>
      <c r="Q106" s="612" t="e">
        <f t="shared" si="56"/>
        <v>#DIV/0!</v>
      </c>
      <c r="R106" s="536"/>
      <c r="S106" s="5375"/>
      <c r="T106" s="1166" t="s">
        <v>1092</v>
      </c>
      <c r="U106" s="432"/>
      <c r="V106" s="432"/>
      <c r="W106" s="432"/>
      <c r="X106" s="432"/>
      <c r="Y106" s="418"/>
    </row>
    <row r="107" spans="1:25" s="126" customFormat="1" ht="15.05" thickBot="1" x14ac:dyDescent="0.35">
      <c r="B107" s="513" t="s">
        <v>2172</v>
      </c>
      <c r="C107" s="2227"/>
      <c r="D107" s="1135">
        <f t="shared" ref="D107:O107" ca="1" si="59">+D106+D103+D98+D95</f>
        <v>0</v>
      </c>
      <c r="E107" s="1138">
        <f t="shared" ca="1" si="59"/>
        <v>0</v>
      </c>
      <c r="F107" s="1138">
        <f t="shared" ca="1" si="59"/>
        <v>0</v>
      </c>
      <c r="G107" s="1138">
        <f t="shared" ca="1" si="59"/>
        <v>0</v>
      </c>
      <c r="H107" s="1138">
        <f t="shared" ca="1" si="59"/>
        <v>0</v>
      </c>
      <c r="I107" s="1138">
        <f t="shared" ca="1" si="59"/>
        <v>0</v>
      </c>
      <c r="J107" s="1138">
        <f t="shared" ca="1" si="59"/>
        <v>0</v>
      </c>
      <c r="K107" s="1138">
        <f t="shared" ca="1" si="59"/>
        <v>0</v>
      </c>
      <c r="L107" s="1138">
        <f t="shared" ca="1" si="59"/>
        <v>0</v>
      </c>
      <c r="M107" s="1138">
        <f t="shared" ca="1" si="59"/>
        <v>0</v>
      </c>
      <c r="N107" s="1138">
        <f t="shared" ca="1" si="59"/>
        <v>0</v>
      </c>
      <c r="O107" s="1138">
        <f t="shared" ca="1" si="59"/>
        <v>0</v>
      </c>
      <c r="P107" s="1111">
        <f ca="1">SUM(D107:O107)</f>
        <v>0</v>
      </c>
      <c r="Q107" s="1111" t="e">
        <f ca="1">P107/$C$7</f>
        <v>#DIV/0!</v>
      </c>
      <c r="R107" s="536"/>
      <c r="S107" s="1115">
        <f>+SUM(S94:S105)</f>
        <v>0</v>
      </c>
      <c r="T107" s="1142" t="s">
        <v>95</v>
      </c>
      <c r="U107" s="420" t="s">
        <v>516</v>
      </c>
      <c r="V107" s="420"/>
      <c r="W107" s="420"/>
      <c r="X107" s="420"/>
      <c r="Y107" s="419"/>
    </row>
    <row r="108" spans="1:25" hidden="1" x14ac:dyDescent="0.3">
      <c r="A108" s="419" t="s">
        <v>1125</v>
      </c>
      <c r="B108" s="429" t="s">
        <v>1891</v>
      </c>
      <c r="C108" s="429"/>
      <c r="D108" s="451">
        <f t="shared" ref="D108:P108" ca="1" si="60">+D95+D98+D103+D106-D101</f>
        <v>0</v>
      </c>
      <c r="E108" s="451">
        <f t="shared" ca="1" si="60"/>
        <v>0</v>
      </c>
      <c r="F108" s="451">
        <f t="shared" ca="1" si="60"/>
        <v>0</v>
      </c>
      <c r="G108" s="451">
        <f t="shared" ca="1" si="60"/>
        <v>0</v>
      </c>
      <c r="H108" s="451">
        <f t="shared" ca="1" si="60"/>
        <v>0</v>
      </c>
      <c r="I108" s="451">
        <f t="shared" ca="1" si="60"/>
        <v>0</v>
      </c>
      <c r="J108" s="451">
        <f t="shared" ca="1" si="60"/>
        <v>0</v>
      </c>
      <c r="K108" s="451">
        <f t="shared" ca="1" si="60"/>
        <v>0</v>
      </c>
      <c r="L108" s="451">
        <f t="shared" ca="1" si="60"/>
        <v>0</v>
      </c>
      <c r="M108" s="451">
        <f t="shared" ca="1" si="60"/>
        <v>0</v>
      </c>
      <c r="N108" s="451">
        <f t="shared" ca="1" si="60"/>
        <v>0</v>
      </c>
      <c r="O108" s="451">
        <f t="shared" ca="1" si="60"/>
        <v>0</v>
      </c>
      <c r="P108" s="451">
        <f t="shared" ca="1" si="60"/>
        <v>0</v>
      </c>
      <c r="Q108" s="451"/>
    </row>
    <row r="109" spans="1:25" ht="3.6" customHeight="1" thickBot="1" x14ac:dyDescent="0.35"/>
    <row r="110" spans="1:25" s="126" customFormat="1" ht="15.05" thickBot="1" x14ac:dyDescent="0.35">
      <c r="A110" s="1344" t="s">
        <v>1695</v>
      </c>
      <c r="B110" s="1120" t="s">
        <v>2191</v>
      </c>
      <c r="C110" s="2411"/>
      <c r="D110" s="5377">
        <f>S110*$S$7/12</f>
        <v>0</v>
      </c>
      <c r="E110" s="5377">
        <f t="shared" ref="E110:O110" si="61">+D110</f>
        <v>0</v>
      </c>
      <c r="F110" s="5377">
        <f t="shared" si="61"/>
        <v>0</v>
      </c>
      <c r="G110" s="5377">
        <f t="shared" si="61"/>
        <v>0</v>
      </c>
      <c r="H110" s="5377">
        <f>+G110</f>
        <v>0</v>
      </c>
      <c r="I110" s="5377">
        <f t="shared" si="61"/>
        <v>0</v>
      </c>
      <c r="J110" s="5377">
        <f t="shared" si="61"/>
        <v>0</v>
      </c>
      <c r="K110" s="5377">
        <f t="shared" si="61"/>
        <v>0</v>
      </c>
      <c r="L110" s="5377">
        <f t="shared" si="61"/>
        <v>0</v>
      </c>
      <c r="M110" s="5377">
        <f t="shared" si="61"/>
        <v>0</v>
      </c>
      <c r="N110" s="5377">
        <f t="shared" si="61"/>
        <v>0</v>
      </c>
      <c r="O110" s="5378">
        <f t="shared" si="61"/>
        <v>0</v>
      </c>
      <c r="P110" s="1101">
        <f>SUM(D110:O110)</f>
        <v>0</v>
      </c>
      <c r="Q110" s="1101" t="e">
        <f>P110/$C$7</f>
        <v>#DIV/0!</v>
      </c>
      <c r="R110" s="468"/>
      <c r="S110" s="5379"/>
      <c r="T110" s="606" t="s">
        <v>96</v>
      </c>
      <c r="U110" s="420" t="s">
        <v>516</v>
      </c>
      <c r="V110" s="5380"/>
      <c r="W110" s="420" t="s">
        <v>323</v>
      </c>
      <c r="X110" s="420"/>
      <c r="Y110" s="419"/>
    </row>
    <row r="111" spans="1:25" s="126" customFormat="1" ht="15.05" thickBot="1" x14ac:dyDescent="0.35">
      <c r="B111" s="1121" t="s">
        <v>2192</v>
      </c>
      <c r="C111" s="2412"/>
      <c r="D111" s="5342">
        <f>S111*$S$7/12</f>
        <v>0</v>
      </c>
      <c r="E111" s="5342">
        <f>+D111</f>
        <v>0</v>
      </c>
      <c r="F111" s="5342">
        <f t="shared" ref="F111:O111" si="62">+E111</f>
        <v>0</v>
      </c>
      <c r="G111" s="5342">
        <f t="shared" si="62"/>
        <v>0</v>
      </c>
      <c r="H111" s="5342">
        <f>+G111</f>
        <v>0</v>
      </c>
      <c r="I111" s="5342">
        <f t="shared" si="62"/>
        <v>0</v>
      </c>
      <c r="J111" s="5342">
        <f t="shared" si="62"/>
        <v>0</v>
      </c>
      <c r="K111" s="5342">
        <f t="shared" si="62"/>
        <v>0</v>
      </c>
      <c r="L111" s="5342">
        <f t="shared" si="62"/>
        <v>0</v>
      </c>
      <c r="M111" s="5342">
        <f t="shared" si="62"/>
        <v>0</v>
      </c>
      <c r="N111" s="5342">
        <f t="shared" si="62"/>
        <v>0</v>
      </c>
      <c r="O111" s="5354">
        <f t="shared" si="62"/>
        <v>0</v>
      </c>
      <c r="P111" s="1103">
        <f>SUM(D111:O111)</f>
        <v>0</v>
      </c>
      <c r="Q111" s="1103" t="e">
        <f>P111/$C$7</f>
        <v>#DIV/0!</v>
      </c>
      <c r="R111" s="468"/>
      <c r="S111" s="5381"/>
      <c r="T111" s="607" t="s">
        <v>97</v>
      </c>
      <c r="U111" s="420" t="s">
        <v>516</v>
      </c>
      <c r="V111" s="5382"/>
      <c r="W111" s="420" t="s">
        <v>322</v>
      </c>
      <c r="X111" s="420"/>
      <c r="Y111" s="419"/>
    </row>
    <row r="112" spans="1:25" s="126" customFormat="1" ht="15.05" thickBot="1" x14ac:dyDescent="0.35">
      <c r="B112" s="1121" t="s">
        <v>2193</v>
      </c>
      <c r="C112" s="2412"/>
      <c r="D112" s="5342">
        <f>S112*$S$7/12</f>
        <v>0</v>
      </c>
      <c r="E112" s="5342">
        <f t="shared" ref="E112:N112" si="63">+D112</f>
        <v>0</v>
      </c>
      <c r="F112" s="5342">
        <f t="shared" si="63"/>
        <v>0</v>
      </c>
      <c r="G112" s="5342">
        <f t="shared" si="63"/>
        <v>0</v>
      </c>
      <c r="H112" s="5342">
        <f>+G112</f>
        <v>0</v>
      </c>
      <c r="I112" s="5342">
        <f t="shared" si="63"/>
        <v>0</v>
      </c>
      <c r="J112" s="5342">
        <f t="shared" si="63"/>
        <v>0</v>
      </c>
      <c r="K112" s="5342">
        <f t="shared" si="63"/>
        <v>0</v>
      </c>
      <c r="L112" s="5342">
        <f t="shared" si="63"/>
        <v>0</v>
      </c>
      <c r="M112" s="5342">
        <f t="shared" si="63"/>
        <v>0</v>
      </c>
      <c r="N112" s="5342">
        <f t="shared" si="63"/>
        <v>0</v>
      </c>
      <c r="O112" s="5354">
        <f>+N112</f>
        <v>0</v>
      </c>
      <c r="P112" s="1103">
        <f>SUM(D112:O112)</f>
        <v>0</v>
      </c>
      <c r="Q112" s="1103" t="e">
        <f>P112/$C$7</f>
        <v>#DIV/0!</v>
      </c>
      <c r="R112" s="468"/>
      <c r="S112" s="5381"/>
      <c r="T112" s="607" t="s">
        <v>98</v>
      </c>
      <c r="U112" s="420" t="s">
        <v>516</v>
      </c>
      <c r="V112" s="5382"/>
      <c r="W112" s="420" t="s">
        <v>322</v>
      </c>
      <c r="X112" s="420"/>
      <c r="Y112" s="419"/>
    </row>
    <row r="113" spans="1:25" s="126" customFormat="1" ht="15.05" thickBot="1" x14ac:dyDescent="0.35">
      <c r="B113" s="1122" t="s">
        <v>2194</v>
      </c>
      <c r="C113" s="2413"/>
      <c r="D113" s="5362"/>
      <c r="E113" s="5362"/>
      <c r="F113" s="5362"/>
      <c r="G113" s="5362"/>
      <c r="H113" s="5362"/>
      <c r="I113" s="5362"/>
      <c r="J113" s="5362"/>
      <c r="K113" s="5362"/>
      <c r="L113" s="5362"/>
      <c r="M113" s="5362"/>
      <c r="N113" s="5362"/>
      <c r="O113" s="5363"/>
      <c r="P113" s="1108">
        <f>SUM(D113:O113)</f>
        <v>0</v>
      </c>
      <c r="Q113" s="1108" t="e">
        <f>P113/$C$7</f>
        <v>#DIV/0!</v>
      </c>
      <c r="R113" s="468"/>
      <c r="S113" s="5383"/>
      <c r="T113" s="1166" t="s">
        <v>99</v>
      </c>
      <c r="U113" s="420" t="s">
        <v>516</v>
      </c>
      <c r="V113" s="5384"/>
      <c r="W113" s="420" t="s">
        <v>322</v>
      </c>
      <c r="X113" s="420"/>
      <c r="Y113" s="419"/>
    </row>
    <row r="114" spans="1:25" ht="4.45" customHeight="1" thickBot="1" x14ac:dyDescent="0.35">
      <c r="Y114" s="419"/>
    </row>
    <row r="115" spans="1:25" ht="15.05" thickBot="1" x14ac:dyDescent="0.35">
      <c r="A115" s="1344" t="s">
        <v>1759</v>
      </c>
      <c r="B115" s="454" t="s">
        <v>2196</v>
      </c>
      <c r="C115" s="424"/>
      <c r="D115" s="2449" t="str">
        <f t="shared" ref="D115:O115" si="64">D91</f>
        <v>Ene</v>
      </c>
      <c r="E115" s="2449" t="str">
        <f t="shared" si="64"/>
        <v>Feb</v>
      </c>
      <c r="F115" s="2449" t="str">
        <f t="shared" si="64"/>
        <v>Mar</v>
      </c>
      <c r="G115" s="2449" t="str">
        <f t="shared" si="64"/>
        <v>Abr</v>
      </c>
      <c r="H115" s="2449" t="str">
        <f t="shared" si="64"/>
        <v>May</v>
      </c>
      <c r="I115" s="2449" t="str">
        <f t="shared" si="64"/>
        <v>Jun</v>
      </c>
      <c r="J115" s="2449" t="str">
        <f t="shared" si="64"/>
        <v>Jul</v>
      </c>
      <c r="K115" s="2449" t="str">
        <f t="shared" si="64"/>
        <v>Ago</v>
      </c>
      <c r="L115" s="2449" t="str">
        <f t="shared" si="64"/>
        <v>Set</v>
      </c>
      <c r="M115" s="2449" t="str">
        <f t="shared" si="64"/>
        <v>Oct</v>
      </c>
      <c r="N115" s="2449" t="str">
        <f t="shared" si="64"/>
        <v>Nov</v>
      </c>
      <c r="O115" s="2449" t="str">
        <f t="shared" si="64"/>
        <v>Dic</v>
      </c>
      <c r="P115" s="2449" t="s">
        <v>224</v>
      </c>
      <c r="Q115" s="2450" t="s">
        <v>2406</v>
      </c>
      <c r="R115" s="425"/>
      <c r="S115" s="2442" t="s">
        <v>2407</v>
      </c>
      <c r="T115" s="419"/>
      <c r="U115" s="419"/>
      <c r="V115" s="419"/>
      <c r="W115" s="419"/>
      <c r="X115" s="419"/>
      <c r="Y115" s="419"/>
    </row>
    <row r="116" spans="1:25" s="126" customFormat="1" x14ac:dyDescent="0.3">
      <c r="B116" s="1149" t="s">
        <v>1206</v>
      </c>
      <c r="C116" s="2440"/>
      <c r="D116" s="2403">
        <f>+Alimentos!G657</f>
        <v>0</v>
      </c>
      <c r="E116" s="2403">
        <f>+Alimentos!H657</f>
        <v>0</v>
      </c>
      <c r="F116" s="2403">
        <f>+Alimentos!I657</f>
        <v>0</v>
      </c>
      <c r="G116" s="2403">
        <f>+Alimentos!J657</f>
        <v>0</v>
      </c>
      <c r="H116" s="2403">
        <f>+Alimentos!K657</f>
        <v>0</v>
      </c>
      <c r="I116" s="2403">
        <f>+Alimentos!L657</f>
        <v>0</v>
      </c>
      <c r="J116" s="2403">
        <f>+Alimentos!M657</f>
        <v>0</v>
      </c>
      <c r="K116" s="2403">
        <f>+Alimentos!N657</f>
        <v>0</v>
      </c>
      <c r="L116" s="2403">
        <f>+Alimentos!O657</f>
        <v>0</v>
      </c>
      <c r="M116" s="2403">
        <f>+Alimentos!P657</f>
        <v>0</v>
      </c>
      <c r="N116" s="2403">
        <f>+Alimentos!Q657</f>
        <v>0</v>
      </c>
      <c r="O116" s="2405">
        <f>+Alimentos!R657</f>
        <v>0</v>
      </c>
      <c r="P116" s="2441">
        <f>SUM(D116:O116)</f>
        <v>0</v>
      </c>
      <c r="Q116" s="2441" t="e">
        <f>P116/$C$7</f>
        <v>#DIV/0!</v>
      </c>
      <c r="R116" s="1139"/>
      <c r="S116" s="5379"/>
      <c r="T116" s="606" t="s">
        <v>100</v>
      </c>
      <c r="U116" s="420" t="s">
        <v>516</v>
      </c>
      <c r="V116" s="420"/>
      <c r="W116" s="420"/>
      <c r="X116" s="420"/>
      <c r="Y116" s="419"/>
    </row>
    <row r="117" spans="1:25" s="126" customFormat="1" x14ac:dyDescent="0.3">
      <c r="B117" s="1104" t="s">
        <v>2408</v>
      </c>
      <c r="C117" s="1102"/>
      <c r="D117" s="1082">
        <f>+Alimentos!G673</f>
        <v>0</v>
      </c>
      <c r="E117" s="1082">
        <f>+Alimentos!H673</f>
        <v>0</v>
      </c>
      <c r="F117" s="1082">
        <f>+Alimentos!I673</f>
        <v>0</v>
      </c>
      <c r="G117" s="1082">
        <f>+Alimentos!J673</f>
        <v>0</v>
      </c>
      <c r="H117" s="1082">
        <f>+Alimentos!K673</f>
        <v>0</v>
      </c>
      <c r="I117" s="1082">
        <f>+Alimentos!L673</f>
        <v>0</v>
      </c>
      <c r="J117" s="1082">
        <f>+Alimentos!M673</f>
        <v>0</v>
      </c>
      <c r="K117" s="1082">
        <f>+Alimentos!N673</f>
        <v>0</v>
      </c>
      <c r="L117" s="1082">
        <f>+Alimentos!O673</f>
        <v>0</v>
      </c>
      <c r="M117" s="1082">
        <f>+Alimentos!P673</f>
        <v>0</v>
      </c>
      <c r="N117" s="1082">
        <f>+Alimentos!Q673</f>
        <v>0</v>
      </c>
      <c r="O117" s="1083">
        <f>+Alimentos!R673</f>
        <v>0</v>
      </c>
      <c r="P117" s="1103">
        <f>SUM(D117:O117)</f>
        <v>0</v>
      </c>
      <c r="Q117" s="1103" t="e">
        <f>P117/$C$7</f>
        <v>#DIV/0!</v>
      </c>
      <c r="R117" s="1139"/>
      <c r="S117" s="5381"/>
      <c r="T117" s="607"/>
      <c r="U117" s="420"/>
      <c r="V117" s="420"/>
      <c r="W117" s="420"/>
      <c r="X117" s="420"/>
      <c r="Y117" s="419"/>
    </row>
    <row r="118" spans="1:25" s="126" customFormat="1" x14ac:dyDescent="0.3">
      <c r="B118" s="1104" t="s">
        <v>50</v>
      </c>
      <c r="C118" s="1102"/>
      <c r="D118" s="1082">
        <f>+Alimentos!G396</f>
        <v>0</v>
      </c>
      <c r="E118" s="1082">
        <f>+Alimentos!H396</f>
        <v>0</v>
      </c>
      <c r="F118" s="1082">
        <f>+Alimentos!I396</f>
        <v>0</v>
      </c>
      <c r="G118" s="1082">
        <f>+Alimentos!J396</f>
        <v>0</v>
      </c>
      <c r="H118" s="1082">
        <f>+Alimentos!K396</f>
        <v>0</v>
      </c>
      <c r="I118" s="1082">
        <f>+Alimentos!L396</f>
        <v>0</v>
      </c>
      <c r="J118" s="1082">
        <f>+Alimentos!M396</f>
        <v>0</v>
      </c>
      <c r="K118" s="1082">
        <f>+Alimentos!N396</f>
        <v>0</v>
      </c>
      <c r="L118" s="1082">
        <f>+Alimentos!O396</f>
        <v>0</v>
      </c>
      <c r="M118" s="1082">
        <f>+Alimentos!P396</f>
        <v>0</v>
      </c>
      <c r="N118" s="1082">
        <f>+Alimentos!Q396</f>
        <v>0</v>
      </c>
      <c r="O118" s="1083">
        <f>+Alimentos!R396</f>
        <v>0</v>
      </c>
      <c r="P118" s="1103">
        <f>SUM(D118:O118)</f>
        <v>0</v>
      </c>
      <c r="Q118" s="1103" t="e">
        <f>P118/$C$7</f>
        <v>#DIV/0!</v>
      </c>
      <c r="R118" s="1139"/>
      <c r="S118" s="5381"/>
      <c r="T118" s="607" t="s">
        <v>22</v>
      </c>
      <c r="U118" s="420" t="s">
        <v>516</v>
      </c>
      <c r="V118" s="420"/>
      <c r="W118" s="420"/>
      <c r="X118" s="420"/>
      <c r="Y118" s="419"/>
    </row>
    <row r="119" spans="1:25" s="126" customFormat="1" ht="15.05" thickBot="1" x14ac:dyDescent="0.35">
      <c r="B119" s="1105" t="s">
        <v>1138</v>
      </c>
      <c r="C119" s="1106"/>
      <c r="D119" s="1109">
        <f>+A.Lecheros!F48*Ingresos!E8</f>
        <v>0</v>
      </c>
      <c r="E119" s="1109">
        <f>+A.Lecheros!G48*Ingresos!F8</f>
        <v>0</v>
      </c>
      <c r="F119" s="1109">
        <f>+A.Lecheros!H48*Ingresos!G8</f>
        <v>0</v>
      </c>
      <c r="G119" s="1109">
        <f>+A.Lecheros!I48*Ingresos!H8</f>
        <v>0</v>
      </c>
      <c r="H119" s="1109">
        <f>+A.Lecheros!J48*Ingresos!I8</f>
        <v>0</v>
      </c>
      <c r="I119" s="1109">
        <f>+A.Lecheros!K48*Ingresos!J8</f>
        <v>0</v>
      </c>
      <c r="J119" s="1109">
        <f>+A.Lecheros!L48*Ingresos!K8</f>
        <v>0</v>
      </c>
      <c r="K119" s="1109">
        <f>+A.Lecheros!M48*Ingresos!L8</f>
        <v>0</v>
      </c>
      <c r="L119" s="1109">
        <f>+A.Lecheros!N48*Ingresos!M8</f>
        <v>0</v>
      </c>
      <c r="M119" s="1109">
        <f>+A.Lecheros!O48*Ingresos!N8</f>
        <v>0</v>
      </c>
      <c r="N119" s="1109">
        <f>+A.Lecheros!P48*Ingresos!O8</f>
        <v>0</v>
      </c>
      <c r="O119" s="1110">
        <f>+A.Lecheros!Q48*Ingresos!P8</f>
        <v>0</v>
      </c>
      <c r="P119" s="1107">
        <f>SUM(D119:O119)</f>
        <v>0</v>
      </c>
      <c r="Q119" s="1107" t="e">
        <f>P119/$C$7</f>
        <v>#DIV/0!</v>
      </c>
      <c r="R119" s="1139"/>
      <c r="S119" s="5381"/>
      <c r="T119" s="607" t="s">
        <v>1139</v>
      </c>
      <c r="U119" s="420" t="s">
        <v>516</v>
      </c>
      <c r="V119" s="420"/>
      <c r="W119" s="420"/>
      <c r="X119" s="420"/>
      <c r="Y119" s="419"/>
    </row>
    <row r="120" spans="1:25" s="126" customFormat="1" ht="15.05" thickBot="1" x14ac:dyDescent="0.35">
      <c r="B120" s="1112" t="s">
        <v>2195</v>
      </c>
      <c r="C120" s="1113"/>
      <c r="D120" s="1088">
        <f>SUM(D116:D119)</f>
        <v>0</v>
      </c>
      <c r="E120" s="1088">
        <f t="shared" ref="E120:O120" si="65">SUM(E116:E119)</f>
        <v>0</v>
      </c>
      <c r="F120" s="1088">
        <f t="shared" si="65"/>
        <v>0</v>
      </c>
      <c r="G120" s="1088">
        <f t="shared" si="65"/>
        <v>0</v>
      </c>
      <c r="H120" s="1088">
        <f t="shared" si="65"/>
        <v>0</v>
      </c>
      <c r="I120" s="1088">
        <f t="shared" si="65"/>
        <v>0</v>
      </c>
      <c r="J120" s="1088">
        <f t="shared" si="65"/>
        <v>0</v>
      </c>
      <c r="K120" s="1088">
        <f t="shared" si="65"/>
        <v>0</v>
      </c>
      <c r="L120" s="1088">
        <f t="shared" si="65"/>
        <v>0</v>
      </c>
      <c r="M120" s="1088">
        <f t="shared" si="65"/>
        <v>0</v>
      </c>
      <c r="N120" s="1088">
        <f t="shared" si="65"/>
        <v>0</v>
      </c>
      <c r="O120" s="1094">
        <f t="shared" si="65"/>
        <v>0</v>
      </c>
      <c r="P120" s="1115">
        <f>SUM(P116:P118)</f>
        <v>0</v>
      </c>
      <c r="Q120" s="1111" t="e">
        <f>P120/$C$7</f>
        <v>#DIV/0!</v>
      </c>
      <c r="R120" s="1143"/>
      <c r="S120" s="1115">
        <f>SUM(S116:S119)</f>
        <v>0</v>
      </c>
      <c r="T120" s="1142" t="s">
        <v>102</v>
      </c>
      <c r="U120" s="420" t="s">
        <v>516</v>
      </c>
      <c r="V120" s="420"/>
      <c r="W120" s="420"/>
      <c r="X120" s="420"/>
      <c r="Y120" s="419"/>
    </row>
    <row r="121" spans="1:25" ht="3.6" customHeight="1" thickBot="1" x14ac:dyDescent="0.35"/>
    <row r="122" spans="1:25" ht="15.05" thickBot="1" x14ac:dyDescent="0.35">
      <c r="A122" s="1344" t="s">
        <v>1760</v>
      </c>
      <c r="B122" s="1087" t="s">
        <v>2197</v>
      </c>
      <c r="C122" s="1100"/>
      <c r="D122" s="2449" t="str">
        <f>D115</f>
        <v>Ene</v>
      </c>
      <c r="E122" s="2449" t="str">
        <f t="shared" ref="E122:O122" si="66">E115</f>
        <v>Feb</v>
      </c>
      <c r="F122" s="2449" t="str">
        <f t="shared" si="66"/>
        <v>Mar</v>
      </c>
      <c r="G122" s="2449" t="str">
        <f t="shared" si="66"/>
        <v>Abr</v>
      </c>
      <c r="H122" s="2449" t="str">
        <f t="shared" si="66"/>
        <v>May</v>
      </c>
      <c r="I122" s="2449" t="str">
        <f t="shared" si="66"/>
        <v>Jun</v>
      </c>
      <c r="J122" s="2449" t="str">
        <f t="shared" si="66"/>
        <v>Jul</v>
      </c>
      <c r="K122" s="2449" t="str">
        <f t="shared" si="66"/>
        <v>Ago</v>
      </c>
      <c r="L122" s="2449" t="str">
        <f t="shared" si="66"/>
        <v>Set</v>
      </c>
      <c r="M122" s="2449" t="str">
        <f t="shared" si="66"/>
        <v>Oct</v>
      </c>
      <c r="N122" s="2449" t="str">
        <f t="shared" si="66"/>
        <v>Nov</v>
      </c>
      <c r="O122" s="2449" t="str">
        <f t="shared" si="66"/>
        <v>Dic</v>
      </c>
      <c r="P122" s="2449" t="s">
        <v>224</v>
      </c>
      <c r="Q122" s="2450" t="s">
        <v>2406</v>
      </c>
      <c r="R122" s="425"/>
      <c r="S122" s="2442" t="s">
        <v>2407</v>
      </c>
      <c r="T122" s="419"/>
      <c r="U122" s="419"/>
      <c r="V122" s="419"/>
      <c r="W122" s="419"/>
      <c r="X122" s="419"/>
      <c r="Y122" s="419"/>
    </row>
    <row r="123" spans="1:25" s="126" customFormat="1" ht="14.25" customHeight="1" x14ac:dyDescent="0.3">
      <c r="B123" s="1104" t="s">
        <v>39</v>
      </c>
      <c r="C123" s="1102"/>
      <c r="D123" s="1082">
        <f>+InsumosCultivos!I1379+InsumosCultivos!AF1379+InsumosCultivos!I1374+InsumosCultivos!AF1374</f>
        <v>0</v>
      </c>
      <c r="E123" s="1082">
        <f>+InsumosCultivos!J1379+InsumosCultivos!AG1379+InsumosCultivos!J1374+InsumosCultivos!AG1374</f>
        <v>0</v>
      </c>
      <c r="F123" s="1082">
        <f>+InsumosCultivos!K1379+InsumosCultivos!AH1379+InsumosCultivos!K1374+InsumosCultivos!AH1374</f>
        <v>0</v>
      </c>
      <c r="G123" s="1082">
        <f>+InsumosCultivos!L1379+InsumosCultivos!AI1379+InsumosCultivos!L1374+InsumosCultivos!AI1374</f>
        <v>0</v>
      </c>
      <c r="H123" s="1082">
        <f>+InsumosCultivos!M1379+InsumosCultivos!AJ1379+InsumosCultivos!M1374+InsumosCultivos!AJ1374</f>
        <v>0</v>
      </c>
      <c r="I123" s="1082">
        <f>+InsumosCultivos!N1379+InsumosCultivos!AK1379+InsumosCultivos!N1374+InsumosCultivos!AK1374</f>
        <v>0</v>
      </c>
      <c r="J123" s="1082">
        <f>+InsumosCultivos!O1379+InsumosCultivos!AL1379+InsumosCultivos!O1374+InsumosCultivos!AL1374</f>
        <v>0</v>
      </c>
      <c r="K123" s="1082">
        <f>+InsumosCultivos!P1379+InsumosCultivos!AM1379+InsumosCultivos!P1374+InsumosCultivos!AM1374</f>
        <v>0</v>
      </c>
      <c r="L123" s="1082">
        <f>+InsumosCultivos!Q1379+InsumosCultivos!AN1379+InsumosCultivos!Q1374+InsumosCultivos!AN1374</f>
        <v>0</v>
      </c>
      <c r="M123" s="1082">
        <f>+InsumosCultivos!R1379+InsumosCultivos!AO1379+InsumosCultivos!R1374+InsumosCultivos!AO1374</f>
        <v>0</v>
      </c>
      <c r="N123" s="1082">
        <f>+InsumosCultivos!S1379+InsumosCultivos!AP1379+InsumosCultivos!S1374+InsumosCultivos!AP1374</f>
        <v>0</v>
      </c>
      <c r="O123" s="1083">
        <f>+InsumosCultivos!T1379+InsumosCultivos!AQ1379+InsumosCultivos!T1374+InsumosCultivos!AQ1374</f>
        <v>0</v>
      </c>
      <c r="P123" s="1103">
        <f>SUM(D123:O123)</f>
        <v>0</v>
      </c>
      <c r="Q123" s="1103" t="e">
        <f>P123/$C$7</f>
        <v>#DIV/0!</v>
      </c>
      <c r="R123" s="1139"/>
      <c r="S123" s="5379"/>
      <c r="T123" s="606" t="s">
        <v>84</v>
      </c>
      <c r="U123" s="420" t="s">
        <v>516</v>
      </c>
      <c r="V123" s="420"/>
      <c r="W123" s="420"/>
      <c r="X123" s="420"/>
      <c r="Y123" s="419"/>
    </row>
    <row r="124" spans="1:25" s="126" customFormat="1" x14ac:dyDescent="0.3">
      <c r="B124" s="1104" t="s">
        <v>40</v>
      </c>
      <c r="C124" s="1102"/>
      <c r="D124" s="1082">
        <f>+InsumosCultivos!I1380+InsumosCultivos!AF1380+InsumosCultivos!I1387+InsumosCultivos!I1389+InsumosCultivos!I1391+InsumosCultivos!I1393+InsumosCultivos!I1395+InsumosCultivos!I1375+InsumosCultivos!AF1375</f>
        <v>0</v>
      </c>
      <c r="E124" s="1082">
        <f>+InsumosCultivos!J1380+InsumosCultivos!AG1380+InsumosCultivos!J1387+InsumosCultivos!J1389+InsumosCultivos!J1391+InsumosCultivos!J1393+InsumosCultivos!J1395+InsumosCultivos!J1375+InsumosCultivos!AG1375</f>
        <v>0</v>
      </c>
      <c r="F124" s="1082">
        <f>+InsumosCultivos!K1380+InsumosCultivos!AH1380+InsumosCultivos!K1387+InsumosCultivos!K1389+InsumosCultivos!K1391+InsumosCultivos!K1393+InsumosCultivos!K1395+InsumosCultivos!K1375+InsumosCultivos!AH1375</f>
        <v>0</v>
      </c>
      <c r="G124" s="1082">
        <f>+InsumosCultivos!L1380+InsumosCultivos!AI1380+InsumosCultivos!L1387+InsumosCultivos!L1389+InsumosCultivos!L1391+InsumosCultivos!L1393+InsumosCultivos!L1395+InsumosCultivos!L1375+InsumosCultivos!AI1375</f>
        <v>0</v>
      </c>
      <c r="H124" s="1082">
        <f>+InsumosCultivos!M1380+InsumosCultivos!AJ1380+InsumosCultivos!M1387+InsumosCultivos!M1389+InsumosCultivos!M1391+InsumosCultivos!M1393+InsumosCultivos!M1395+InsumosCultivos!M1375+InsumosCultivos!AJ1375</f>
        <v>0</v>
      </c>
      <c r="I124" s="1082">
        <f>+InsumosCultivos!N1380+InsumosCultivos!AK1380+InsumosCultivos!N1387+InsumosCultivos!N1389+InsumosCultivos!N1391+InsumosCultivos!N1393+InsumosCultivos!N1395+InsumosCultivos!N1375+InsumosCultivos!AK1375</f>
        <v>0</v>
      </c>
      <c r="J124" s="1082">
        <f>+InsumosCultivos!O1380+InsumosCultivos!AL1380+InsumosCultivos!O1387+InsumosCultivos!O1389+InsumosCultivos!O1391+InsumosCultivos!O1393+InsumosCultivos!O1395+InsumosCultivos!O1375+InsumosCultivos!AL1375</f>
        <v>0</v>
      </c>
      <c r="K124" s="1082">
        <f>+InsumosCultivos!P1380+InsumosCultivos!AM1380+InsumosCultivos!P1387+InsumosCultivos!P1389+InsumosCultivos!P1391+InsumosCultivos!P1393+InsumosCultivos!P1395+InsumosCultivos!P1375+InsumosCultivos!AM1375</f>
        <v>0</v>
      </c>
      <c r="L124" s="1082">
        <f>+InsumosCultivos!Q1380+InsumosCultivos!AN1380+InsumosCultivos!Q1387+InsumosCultivos!Q1389+InsumosCultivos!Q1391+InsumosCultivos!Q1393+InsumosCultivos!Q1395+InsumosCultivos!Q1375+InsumosCultivos!AN1375</f>
        <v>0</v>
      </c>
      <c r="M124" s="1082">
        <f>+InsumosCultivos!R1380+InsumosCultivos!AO1380+InsumosCultivos!R1387+InsumosCultivos!R1389+InsumosCultivos!R1391+InsumosCultivos!R1393+InsumosCultivos!R1395+InsumosCultivos!R1375+InsumosCultivos!AO1375</f>
        <v>0</v>
      </c>
      <c r="N124" s="1082">
        <f>+InsumosCultivos!S1380+InsumosCultivos!AP1380+InsumosCultivos!S1387+InsumosCultivos!S1389+InsumosCultivos!S1391+InsumosCultivos!S1393+InsumosCultivos!S1395+InsumosCultivos!S1375+InsumosCultivos!AP1375</f>
        <v>0</v>
      </c>
      <c r="O124" s="1083">
        <f>+InsumosCultivos!T1380+InsumosCultivos!AQ1380+InsumosCultivos!T1387+InsumosCultivos!T1389+InsumosCultivos!T1391+InsumosCultivos!T1393+InsumosCultivos!T1395+InsumosCultivos!T1375+InsumosCultivos!AQ1375</f>
        <v>0</v>
      </c>
      <c r="P124" s="1103">
        <f>SUM(D124:O124)</f>
        <v>0</v>
      </c>
      <c r="Q124" s="1103" t="e">
        <f>P124/$C$7</f>
        <v>#DIV/0!</v>
      </c>
      <c r="R124" s="1139"/>
      <c r="S124" s="5381"/>
      <c r="T124" s="607" t="s">
        <v>40</v>
      </c>
      <c r="U124" s="420" t="s">
        <v>516</v>
      </c>
      <c r="V124" s="420"/>
      <c r="W124" s="420"/>
      <c r="X124" s="420"/>
      <c r="Y124" s="419"/>
    </row>
    <row r="125" spans="1:25" s="126" customFormat="1" ht="15.05" thickBot="1" x14ac:dyDescent="0.35">
      <c r="B125" s="1104" t="s">
        <v>41</v>
      </c>
      <c r="C125" s="1102"/>
      <c r="D125" s="1082">
        <f>+InsumosCultivos!I1381+InsumosCultivos!AF1381+InsumosCultivos!I1376+InsumosCultivos!AF1376</f>
        <v>0</v>
      </c>
      <c r="E125" s="1082">
        <f>+InsumosCultivos!J1381+InsumosCultivos!AG1381+InsumosCultivos!J1376+InsumosCultivos!AG1376</f>
        <v>0</v>
      </c>
      <c r="F125" s="1082">
        <f>+InsumosCultivos!K1381+InsumosCultivos!AH1381+InsumosCultivos!K1376+InsumosCultivos!AH1376</f>
        <v>0</v>
      </c>
      <c r="G125" s="1082">
        <f>+InsumosCultivos!L1381+InsumosCultivos!AI1381+InsumosCultivos!L1376+InsumosCultivos!AI1376</f>
        <v>0</v>
      </c>
      <c r="H125" s="1082">
        <f>+InsumosCultivos!M1381+InsumosCultivos!AJ1381+InsumosCultivos!M1376+InsumosCultivos!AJ1376</f>
        <v>0</v>
      </c>
      <c r="I125" s="1082">
        <f>+InsumosCultivos!N1381+InsumosCultivos!AK1381+InsumosCultivos!N1376+InsumosCultivos!AK1376</f>
        <v>0</v>
      </c>
      <c r="J125" s="1082">
        <f>+InsumosCultivos!O1381+InsumosCultivos!AL1381+InsumosCultivos!O1376+InsumosCultivos!AL1376</f>
        <v>0</v>
      </c>
      <c r="K125" s="1082">
        <f>+InsumosCultivos!P1381+InsumosCultivos!AM1381+InsumosCultivos!P1376+InsumosCultivos!AM1376</f>
        <v>0</v>
      </c>
      <c r="L125" s="1082">
        <f>+InsumosCultivos!Q1381+InsumosCultivos!AN1381+InsumosCultivos!Q1376+InsumosCultivos!AN1376</f>
        <v>0</v>
      </c>
      <c r="M125" s="1082">
        <f>+InsumosCultivos!R1381+InsumosCultivos!AO1381+InsumosCultivos!R1376+InsumosCultivos!AO1376</f>
        <v>0</v>
      </c>
      <c r="N125" s="1082">
        <f>+InsumosCultivos!S1381+InsumosCultivos!AP1381+InsumosCultivos!S1376+InsumosCultivos!AP1376</f>
        <v>0</v>
      </c>
      <c r="O125" s="1083">
        <f>+InsumosCultivos!T1381+InsumosCultivos!AQ1381+InsumosCultivos!T1376+InsumosCultivos!AQ1376</f>
        <v>0</v>
      </c>
      <c r="P125" s="1103">
        <f>SUM(D125:O125)</f>
        <v>0</v>
      </c>
      <c r="Q125" s="1103" t="e">
        <f>P125/$C$7</f>
        <v>#DIV/0!</v>
      </c>
      <c r="R125" s="1139"/>
      <c r="S125" s="5381"/>
      <c r="T125" s="607" t="s">
        <v>103</v>
      </c>
      <c r="U125" s="420" t="s">
        <v>516</v>
      </c>
      <c r="V125" s="420"/>
      <c r="W125" s="420"/>
      <c r="X125" s="420"/>
      <c r="Y125" s="419"/>
    </row>
    <row r="126" spans="1:25" s="126" customFormat="1" ht="15.05" thickBot="1" x14ac:dyDescent="0.35">
      <c r="B126" s="1112" t="s">
        <v>2198</v>
      </c>
      <c r="C126" s="1113"/>
      <c r="D126" s="1088">
        <f>SUM(D123:D125)</f>
        <v>0</v>
      </c>
      <c r="E126" s="1088">
        <f t="shared" ref="E126:O126" si="67">SUM(E123:E125)</f>
        <v>0</v>
      </c>
      <c r="F126" s="1088">
        <f t="shared" si="67"/>
        <v>0</v>
      </c>
      <c r="G126" s="1088">
        <f t="shared" si="67"/>
        <v>0</v>
      </c>
      <c r="H126" s="1088">
        <f t="shared" si="67"/>
        <v>0</v>
      </c>
      <c r="I126" s="1088">
        <f t="shared" si="67"/>
        <v>0</v>
      </c>
      <c r="J126" s="1088">
        <f t="shared" si="67"/>
        <v>0</v>
      </c>
      <c r="K126" s="1088">
        <f t="shared" si="67"/>
        <v>0</v>
      </c>
      <c r="L126" s="1088">
        <f t="shared" si="67"/>
        <v>0</v>
      </c>
      <c r="M126" s="1088">
        <f t="shared" si="67"/>
        <v>0</v>
      </c>
      <c r="N126" s="1088">
        <f t="shared" si="67"/>
        <v>0</v>
      </c>
      <c r="O126" s="1094">
        <f t="shared" si="67"/>
        <v>0</v>
      </c>
      <c r="P126" s="1115">
        <f>SUM(D126:O126)</f>
        <v>0</v>
      </c>
      <c r="Q126" s="1111" t="e">
        <f>P126/$C$7</f>
        <v>#DIV/0!</v>
      </c>
      <c r="R126" s="1143"/>
      <c r="S126" s="1115">
        <f>++SUM(S123:S125)</f>
        <v>0</v>
      </c>
      <c r="T126" s="1142" t="s">
        <v>1093</v>
      </c>
      <c r="U126" s="420" t="s">
        <v>516</v>
      </c>
      <c r="V126" s="420"/>
      <c r="W126" s="420"/>
      <c r="X126" s="420"/>
      <c r="Y126" s="419"/>
    </row>
    <row r="127" spans="1:25" s="126" customFormat="1" ht="2.95" customHeight="1" thickBot="1" x14ac:dyDescent="0.35">
      <c r="B127" s="420"/>
      <c r="C127" s="420"/>
      <c r="D127" s="450"/>
      <c r="E127" s="450"/>
      <c r="F127" s="450"/>
      <c r="G127" s="450"/>
      <c r="H127" s="450"/>
      <c r="I127" s="450"/>
      <c r="J127" s="450"/>
      <c r="K127" s="450"/>
      <c r="L127" s="450"/>
      <c r="M127" s="450"/>
      <c r="N127" s="450"/>
      <c r="O127" s="450"/>
      <c r="P127" s="450"/>
      <c r="Q127" s="450"/>
      <c r="R127" s="467"/>
      <c r="S127" s="450"/>
      <c r="T127" s="432"/>
      <c r="U127" s="432"/>
      <c r="V127" s="432"/>
      <c r="W127" s="432"/>
      <c r="X127" s="432"/>
      <c r="Y127" s="432"/>
    </row>
    <row r="128" spans="1:25" ht="15.05" thickBot="1" x14ac:dyDescent="0.35">
      <c r="A128" s="1344" t="s">
        <v>1761</v>
      </c>
      <c r="B128" s="1087" t="s">
        <v>2199</v>
      </c>
      <c r="C128" s="1100"/>
      <c r="D128" s="2449" t="str">
        <f>D115</f>
        <v>Ene</v>
      </c>
      <c r="E128" s="2449" t="str">
        <f t="shared" ref="E128:O128" si="68">E115</f>
        <v>Feb</v>
      </c>
      <c r="F128" s="2449" t="str">
        <f t="shared" si="68"/>
        <v>Mar</v>
      </c>
      <c r="G128" s="2449" t="str">
        <f t="shared" si="68"/>
        <v>Abr</v>
      </c>
      <c r="H128" s="2449" t="str">
        <f t="shared" si="68"/>
        <v>May</v>
      </c>
      <c r="I128" s="2449" t="str">
        <f t="shared" si="68"/>
        <v>Jun</v>
      </c>
      <c r="J128" s="2449" t="str">
        <f t="shared" si="68"/>
        <v>Jul</v>
      </c>
      <c r="K128" s="2449" t="str">
        <f t="shared" si="68"/>
        <v>Ago</v>
      </c>
      <c r="L128" s="2449" t="str">
        <f t="shared" si="68"/>
        <v>Set</v>
      </c>
      <c r="M128" s="2449" t="str">
        <f t="shared" si="68"/>
        <v>Oct</v>
      </c>
      <c r="N128" s="2449" t="str">
        <f t="shared" si="68"/>
        <v>Nov</v>
      </c>
      <c r="O128" s="2449" t="str">
        <f t="shared" si="68"/>
        <v>Dic</v>
      </c>
      <c r="P128" s="2449" t="s">
        <v>224</v>
      </c>
      <c r="Q128" s="2450" t="s">
        <v>2406</v>
      </c>
      <c r="R128" s="425"/>
      <c r="S128" s="2442" t="s">
        <v>2407</v>
      </c>
      <c r="T128" s="419"/>
      <c r="U128" s="419"/>
      <c r="V128" s="419"/>
      <c r="W128" s="419"/>
      <c r="X128" s="419"/>
      <c r="Y128" s="419"/>
    </row>
    <row r="129" spans="1:25" s="126" customFormat="1" ht="14.25" customHeight="1" x14ac:dyDescent="0.3">
      <c r="B129" s="1104" t="s">
        <v>39</v>
      </c>
      <c r="C129" s="1102"/>
      <c r="D129" s="1082">
        <f>+InsumosCultivos!I1369+InsumosCultivos!AF1369</f>
        <v>0</v>
      </c>
      <c r="E129" s="1082">
        <f>+InsumosCultivos!J1369+InsumosCultivos!AG1369</f>
        <v>0</v>
      </c>
      <c r="F129" s="1082">
        <f>+InsumosCultivos!K1369+InsumosCultivos!AH1369</f>
        <v>0</v>
      </c>
      <c r="G129" s="1082">
        <f>+InsumosCultivos!L1369+InsumosCultivos!AI1369</f>
        <v>0</v>
      </c>
      <c r="H129" s="1082">
        <f>+InsumosCultivos!M1369+InsumosCultivos!AJ1369</f>
        <v>0</v>
      </c>
      <c r="I129" s="1082">
        <f>+InsumosCultivos!N1369+InsumosCultivos!AK1369</f>
        <v>0</v>
      </c>
      <c r="J129" s="1082">
        <f>+InsumosCultivos!O1369+InsumosCultivos!AL1369</f>
        <v>0</v>
      </c>
      <c r="K129" s="1082">
        <f>+InsumosCultivos!P1369+InsumosCultivos!AM1369</f>
        <v>0</v>
      </c>
      <c r="L129" s="1082">
        <f>+InsumosCultivos!Q1369+InsumosCultivos!AN1369</f>
        <v>0</v>
      </c>
      <c r="M129" s="1082">
        <f>+InsumosCultivos!R1369+InsumosCultivos!AO1369</f>
        <v>0</v>
      </c>
      <c r="N129" s="1082">
        <f>+InsumosCultivos!S1369+InsumosCultivos!AP1369</f>
        <v>0</v>
      </c>
      <c r="O129" s="1223">
        <f>+InsumosCultivos!T1369+InsumosCultivos!AQ1369</f>
        <v>0</v>
      </c>
      <c r="P129" s="1101">
        <f>SUM(D129:O129)</f>
        <v>0</v>
      </c>
      <c r="Q129" s="1101" t="e">
        <f>P129/$C$7</f>
        <v>#DIV/0!</v>
      </c>
      <c r="R129" s="467"/>
      <c r="S129" s="5379"/>
      <c r="T129" s="606" t="s">
        <v>84</v>
      </c>
      <c r="U129" s="420" t="s">
        <v>516</v>
      </c>
      <c r="V129" s="420"/>
      <c r="W129" s="420"/>
      <c r="X129" s="420"/>
      <c r="Y129" s="419"/>
    </row>
    <row r="130" spans="1:25" s="126" customFormat="1" x14ac:dyDescent="0.3">
      <c r="B130" s="1104" t="s">
        <v>40</v>
      </c>
      <c r="C130" s="1102"/>
      <c r="D130" s="1082">
        <f>+InsumosCultivos!I1370+InsumosCultivos!AF1370+InsumosCultivos!I1408</f>
        <v>0</v>
      </c>
      <c r="E130" s="1082">
        <f>+InsumosCultivos!J1370+InsumosCultivos!AG1370</f>
        <v>0</v>
      </c>
      <c r="F130" s="1082">
        <f>+InsumosCultivos!K1370+InsumosCultivos!AH1370</f>
        <v>0</v>
      </c>
      <c r="G130" s="1082">
        <f>+InsumosCultivos!L1370+InsumosCultivos!AI1370</f>
        <v>0</v>
      </c>
      <c r="H130" s="1082">
        <f>+InsumosCultivos!M1370+InsumosCultivos!AJ1370</f>
        <v>0</v>
      </c>
      <c r="I130" s="1082">
        <f>+InsumosCultivos!N1370+InsumosCultivos!AK1370</f>
        <v>0</v>
      </c>
      <c r="J130" s="1082">
        <f>+InsumosCultivos!O1370+InsumosCultivos!AL1370</f>
        <v>0</v>
      </c>
      <c r="K130" s="1082">
        <f>+InsumosCultivos!P1370+InsumosCultivos!AM1370</f>
        <v>0</v>
      </c>
      <c r="L130" s="1082">
        <f>+InsumosCultivos!Q1370+InsumosCultivos!AN1370</f>
        <v>0</v>
      </c>
      <c r="M130" s="1082">
        <f>+InsumosCultivos!R1370+InsumosCultivos!AO1370</f>
        <v>0</v>
      </c>
      <c r="N130" s="1082">
        <f>+InsumosCultivos!S1370+InsumosCultivos!AP1370</f>
        <v>0</v>
      </c>
      <c r="O130" s="1223">
        <f>+InsumosCultivos!T1370+InsumosCultivos!AQ1370</f>
        <v>0</v>
      </c>
      <c r="P130" s="1103">
        <f>SUM(D130:O130)</f>
        <v>0</v>
      </c>
      <c r="Q130" s="1103" t="e">
        <f>P130/$C$7</f>
        <v>#DIV/0!</v>
      </c>
      <c r="R130" s="467"/>
      <c r="S130" s="5381"/>
      <c r="T130" s="607" t="s">
        <v>40</v>
      </c>
      <c r="U130" s="420" t="s">
        <v>516</v>
      </c>
      <c r="V130" s="420"/>
      <c r="W130" s="420"/>
      <c r="X130" s="420"/>
      <c r="Y130" s="419"/>
    </row>
    <row r="131" spans="1:25" s="126" customFormat="1" x14ac:dyDescent="0.3">
      <c r="B131" s="1104" t="s">
        <v>41</v>
      </c>
      <c r="C131" s="1102"/>
      <c r="D131" s="1082">
        <f>+InsumosCultivos!I1371+InsumosCultivos!AF1371+InsumosCultivos!I1409</f>
        <v>0</v>
      </c>
      <c r="E131" s="1082">
        <f>+InsumosCultivos!J1371+InsumosCultivos!AG1371</f>
        <v>0</v>
      </c>
      <c r="F131" s="1082">
        <f>+InsumosCultivos!K1371+InsumosCultivos!AH1371</f>
        <v>0</v>
      </c>
      <c r="G131" s="1082">
        <f>+InsumosCultivos!L1371+InsumosCultivos!AI1371</f>
        <v>0</v>
      </c>
      <c r="H131" s="1082">
        <f>+InsumosCultivos!M1371+InsumosCultivos!AJ1371</f>
        <v>0</v>
      </c>
      <c r="I131" s="1082">
        <f>+InsumosCultivos!N1371+InsumosCultivos!AK1371</f>
        <v>0</v>
      </c>
      <c r="J131" s="1082">
        <f>+InsumosCultivos!O1371+InsumosCultivos!AL1371</f>
        <v>0</v>
      </c>
      <c r="K131" s="1082">
        <f>+InsumosCultivos!P1371+InsumosCultivos!AM1371</f>
        <v>0</v>
      </c>
      <c r="L131" s="1082">
        <f>+InsumosCultivos!Q1371+InsumosCultivos!AN1371</f>
        <v>0</v>
      </c>
      <c r="M131" s="1082">
        <f>+InsumosCultivos!R1371+InsumosCultivos!AO1371</f>
        <v>0</v>
      </c>
      <c r="N131" s="1082">
        <f>+InsumosCultivos!S1371+InsumosCultivos!AP1371</f>
        <v>0</v>
      </c>
      <c r="O131" s="1223">
        <f>+InsumosCultivos!T1371+InsumosCultivos!AQ1371</f>
        <v>0</v>
      </c>
      <c r="P131" s="1103">
        <f>SUM(D131:O131)</f>
        <v>0</v>
      </c>
      <c r="Q131" s="1103" t="e">
        <f>P131/$C$7</f>
        <v>#DIV/0!</v>
      </c>
      <c r="R131" s="467"/>
      <c r="S131" s="5381"/>
      <c r="T131" s="607" t="s">
        <v>103</v>
      </c>
      <c r="U131" s="420" t="s">
        <v>516</v>
      </c>
      <c r="V131" s="420"/>
      <c r="W131" s="420"/>
      <c r="X131" s="420"/>
      <c r="Y131" s="419"/>
    </row>
    <row r="132" spans="1:25" s="126" customFormat="1" ht="15.05" thickBot="1" x14ac:dyDescent="0.35">
      <c r="B132" s="1104" t="s">
        <v>1890</v>
      </c>
      <c r="C132" s="1102"/>
      <c r="D132" s="1082">
        <f>UsoSuelo!Y359</f>
        <v>0</v>
      </c>
      <c r="E132" s="1082"/>
      <c r="F132" s="1082"/>
      <c r="G132" s="1082"/>
      <c r="H132" s="1082"/>
      <c r="I132" s="1082"/>
      <c r="J132" s="1082"/>
      <c r="K132" s="1082"/>
      <c r="L132" s="1082"/>
      <c r="M132" s="1082"/>
      <c r="N132" s="1082"/>
      <c r="O132" s="1083">
        <f>-InsumosCultivos!J1452</f>
        <v>0</v>
      </c>
      <c r="P132" s="1103">
        <f>SUM(D132:O132)</f>
        <v>0</v>
      </c>
      <c r="Q132" s="1103" t="e">
        <f>P132/$C$7</f>
        <v>#DIV/0!</v>
      </c>
      <c r="R132" s="527"/>
      <c r="S132" s="2255"/>
      <c r="T132" s="2256"/>
      <c r="U132" s="432"/>
      <c r="V132" s="432"/>
      <c r="W132" s="432"/>
      <c r="X132" s="432"/>
      <c r="Y132" s="432"/>
    </row>
    <row r="133" spans="1:25" s="126" customFormat="1" ht="15.05" thickBot="1" x14ac:dyDescent="0.35">
      <c r="B133" s="1112" t="s">
        <v>2200</v>
      </c>
      <c r="C133" s="1113"/>
      <c r="D133" s="1088">
        <f>SUM(D129:D132)</f>
        <v>0</v>
      </c>
      <c r="E133" s="1088">
        <f t="shared" ref="E133:N133" si="69">SUM(E129:E131)</f>
        <v>0</v>
      </c>
      <c r="F133" s="1088">
        <f t="shared" si="69"/>
        <v>0</v>
      </c>
      <c r="G133" s="1088">
        <f t="shared" si="69"/>
        <v>0</v>
      </c>
      <c r="H133" s="1088">
        <f t="shared" si="69"/>
        <v>0</v>
      </c>
      <c r="I133" s="1088">
        <f t="shared" si="69"/>
        <v>0</v>
      </c>
      <c r="J133" s="1088">
        <f t="shared" si="69"/>
        <v>0</v>
      </c>
      <c r="K133" s="1088">
        <f t="shared" si="69"/>
        <v>0</v>
      </c>
      <c r="L133" s="1088">
        <f t="shared" si="69"/>
        <v>0</v>
      </c>
      <c r="M133" s="1088">
        <f t="shared" si="69"/>
        <v>0</v>
      </c>
      <c r="N133" s="1088">
        <f t="shared" si="69"/>
        <v>0</v>
      </c>
      <c r="O133" s="1224">
        <f>SUM(O129:O132)</f>
        <v>0</v>
      </c>
      <c r="P133" s="1115">
        <f>SUM(D133:O133)</f>
        <v>0</v>
      </c>
      <c r="Q133" s="1111" t="e">
        <f>P133/$C$7</f>
        <v>#DIV/0!</v>
      </c>
      <c r="R133" s="527"/>
      <c r="S133" s="1115">
        <f>+SUM(S129:S131)</f>
        <v>0</v>
      </c>
      <c r="T133" s="1142" t="s">
        <v>63</v>
      </c>
      <c r="U133" s="420" t="s">
        <v>516</v>
      </c>
      <c r="V133" s="420"/>
      <c r="W133" s="420"/>
      <c r="X133" s="420"/>
      <c r="Y133" s="419"/>
    </row>
    <row r="134" spans="1:25" s="126" customFormat="1" ht="15.05" thickBot="1" x14ac:dyDescent="0.35">
      <c r="B134" s="432"/>
      <c r="C134" s="432"/>
      <c r="D134" s="463"/>
      <c r="E134" s="463"/>
      <c r="F134" s="463"/>
      <c r="G134" s="463"/>
      <c r="H134" s="463"/>
      <c r="I134" s="463"/>
      <c r="J134" s="463"/>
      <c r="K134" s="463"/>
      <c r="L134" s="463"/>
      <c r="M134" s="463"/>
      <c r="N134" s="463"/>
      <c r="O134" s="463"/>
      <c r="P134" s="463"/>
      <c r="Q134" s="463"/>
      <c r="R134" s="527"/>
      <c r="S134" s="463"/>
      <c r="T134" s="432"/>
      <c r="U134" s="432"/>
      <c r="V134" s="432"/>
      <c r="W134" s="432"/>
      <c r="X134" s="432"/>
      <c r="Y134" s="432"/>
    </row>
    <row r="135" spans="1:25" s="126" customFormat="1" ht="15.05" thickBot="1" x14ac:dyDescent="0.35">
      <c r="A135" s="1344" t="s">
        <v>1866</v>
      </c>
      <c r="B135" s="1112" t="s">
        <v>2201</v>
      </c>
      <c r="C135" s="1113"/>
      <c r="D135" s="1088">
        <f>S135*$S$7/12</f>
        <v>0</v>
      </c>
      <c r="E135" s="1088">
        <f t="shared" ref="E135:O135" si="70">+D135</f>
        <v>0</v>
      </c>
      <c r="F135" s="1088">
        <f t="shared" si="70"/>
        <v>0</v>
      </c>
      <c r="G135" s="1088">
        <f t="shared" si="70"/>
        <v>0</v>
      </c>
      <c r="H135" s="1088">
        <f>+G135</f>
        <v>0</v>
      </c>
      <c r="I135" s="1088">
        <f t="shared" si="70"/>
        <v>0</v>
      </c>
      <c r="J135" s="1088">
        <f t="shared" si="70"/>
        <v>0</v>
      </c>
      <c r="K135" s="1088">
        <f t="shared" si="70"/>
        <v>0</v>
      </c>
      <c r="L135" s="1088">
        <f t="shared" si="70"/>
        <v>0</v>
      </c>
      <c r="M135" s="1088">
        <f t="shared" si="70"/>
        <v>0</v>
      </c>
      <c r="N135" s="1088">
        <f t="shared" si="70"/>
        <v>0</v>
      </c>
      <c r="O135" s="1094">
        <f t="shared" si="70"/>
        <v>0</v>
      </c>
      <c r="P135" s="1115">
        <f>SUM(D135:O135)</f>
        <v>0</v>
      </c>
      <c r="Q135" s="1111" t="e">
        <f>P135/$C$7</f>
        <v>#DIV/0!</v>
      </c>
      <c r="R135" s="1143"/>
      <c r="S135" s="5385"/>
      <c r="T135" s="1142" t="s">
        <v>104</v>
      </c>
      <c r="U135" s="420" t="s">
        <v>516</v>
      </c>
      <c r="V135" s="420"/>
      <c r="W135" s="420"/>
      <c r="X135" s="420"/>
      <c r="Y135" s="419"/>
    </row>
    <row r="136" spans="1:25" s="126" customFormat="1" ht="2.4500000000000002" customHeight="1" thickBot="1" x14ac:dyDescent="0.35">
      <c r="B136" s="432"/>
      <c r="C136" s="432"/>
      <c r="D136" s="450"/>
      <c r="E136" s="450"/>
      <c r="F136" s="450"/>
      <c r="G136" s="450"/>
      <c r="H136" s="450"/>
      <c r="I136" s="450"/>
      <c r="J136" s="450"/>
      <c r="K136" s="450"/>
      <c r="L136" s="450"/>
      <c r="M136" s="450"/>
      <c r="N136" s="450"/>
      <c r="O136" s="450"/>
      <c r="P136" s="463"/>
      <c r="Q136" s="463"/>
      <c r="R136" s="527"/>
      <c r="S136" s="450"/>
      <c r="T136" s="420"/>
      <c r="U136" s="420"/>
      <c r="V136" s="420"/>
      <c r="W136" s="420"/>
      <c r="X136" s="420"/>
      <c r="Y136" s="420"/>
    </row>
    <row r="137" spans="1:25" s="126" customFormat="1" ht="15.05" thickBot="1" x14ac:dyDescent="0.35">
      <c r="A137" s="1344" t="s">
        <v>1867</v>
      </c>
      <c r="B137" s="1112" t="s">
        <v>2202</v>
      </c>
      <c r="C137" s="1113"/>
      <c r="D137" s="1088">
        <f>S137*$S$7/12</f>
        <v>0</v>
      </c>
      <c r="E137" s="1088">
        <f t="shared" ref="E137:N137" si="71">+D137</f>
        <v>0</v>
      </c>
      <c r="F137" s="1088">
        <f t="shared" si="71"/>
        <v>0</v>
      </c>
      <c r="G137" s="1088">
        <f t="shared" si="71"/>
        <v>0</v>
      </c>
      <c r="H137" s="1088">
        <f>+G137</f>
        <v>0</v>
      </c>
      <c r="I137" s="1088">
        <f t="shared" si="71"/>
        <v>0</v>
      </c>
      <c r="J137" s="1088">
        <f t="shared" si="71"/>
        <v>0</v>
      </c>
      <c r="K137" s="1088">
        <f t="shared" si="71"/>
        <v>0</v>
      </c>
      <c r="L137" s="1088">
        <f t="shared" si="71"/>
        <v>0</v>
      </c>
      <c r="M137" s="1088">
        <f t="shared" si="71"/>
        <v>0</v>
      </c>
      <c r="N137" s="1088">
        <f t="shared" si="71"/>
        <v>0</v>
      </c>
      <c r="O137" s="1094">
        <f>+N137</f>
        <v>0</v>
      </c>
      <c r="P137" s="1115">
        <f>SUM(D137:O137)</f>
        <v>0</v>
      </c>
      <c r="Q137" s="1111" t="e">
        <f>P137/$C$7</f>
        <v>#DIV/0!</v>
      </c>
      <c r="R137" s="1143"/>
      <c r="S137" s="5385"/>
      <c r="T137" s="1142" t="s">
        <v>437</v>
      </c>
      <c r="U137" s="420" t="s">
        <v>516</v>
      </c>
      <c r="V137" s="420"/>
      <c r="W137" s="420"/>
      <c r="X137" s="420"/>
      <c r="Y137" s="419"/>
    </row>
    <row r="138" spans="1:25" ht="2.95" customHeight="1" thickBot="1" x14ac:dyDescent="0.35">
      <c r="B138" s="432"/>
      <c r="C138" s="432"/>
      <c r="D138" s="463"/>
      <c r="E138" s="463"/>
      <c r="F138" s="463"/>
      <c r="G138" s="463"/>
      <c r="H138" s="463"/>
      <c r="I138" s="463"/>
      <c r="J138" s="463"/>
      <c r="K138" s="463"/>
      <c r="L138" s="463"/>
      <c r="M138" s="463"/>
      <c r="N138" s="463"/>
      <c r="O138" s="463"/>
    </row>
    <row r="139" spans="1:25" ht="15.05" thickBot="1" x14ac:dyDescent="0.35">
      <c r="A139" s="1344" t="s">
        <v>1868</v>
      </c>
      <c r="B139" s="1087" t="s">
        <v>2203</v>
      </c>
      <c r="C139" s="1100"/>
      <c r="D139" s="2449" t="str">
        <f>D128</f>
        <v>Ene</v>
      </c>
      <c r="E139" s="2449" t="str">
        <f t="shared" ref="E139:O139" si="72">E128</f>
        <v>Feb</v>
      </c>
      <c r="F139" s="2449" t="str">
        <f t="shared" si="72"/>
        <v>Mar</v>
      </c>
      <c r="G139" s="2449" t="str">
        <f t="shared" si="72"/>
        <v>Abr</v>
      </c>
      <c r="H139" s="2449" t="str">
        <f t="shared" si="72"/>
        <v>May</v>
      </c>
      <c r="I139" s="2449" t="str">
        <f t="shared" si="72"/>
        <v>Jun</v>
      </c>
      <c r="J139" s="2449" t="str">
        <f t="shared" si="72"/>
        <v>Jul</v>
      </c>
      <c r="K139" s="2449" t="str">
        <f t="shared" si="72"/>
        <v>Ago</v>
      </c>
      <c r="L139" s="2449" t="str">
        <f t="shared" si="72"/>
        <v>Set</v>
      </c>
      <c r="M139" s="2449" t="str">
        <f t="shared" si="72"/>
        <v>Oct</v>
      </c>
      <c r="N139" s="2449" t="str">
        <f t="shared" si="72"/>
        <v>Nov</v>
      </c>
      <c r="O139" s="2449" t="str">
        <f t="shared" si="72"/>
        <v>Dic</v>
      </c>
      <c r="P139" s="2449" t="s">
        <v>224</v>
      </c>
      <c r="Q139" s="2450" t="s">
        <v>2406</v>
      </c>
      <c r="R139" s="425"/>
      <c r="S139" s="2442" t="s">
        <v>2407</v>
      </c>
      <c r="T139" s="419"/>
      <c r="U139" s="419"/>
      <c r="V139" s="419"/>
      <c r="W139" s="419"/>
      <c r="X139" s="419"/>
      <c r="Y139" s="419"/>
    </row>
    <row r="140" spans="1:25" s="126" customFormat="1" ht="15.05" thickBot="1" x14ac:dyDescent="0.35">
      <c r="B140" s="1127" t="s">
        <v>105</v>
      </c>
      <c r="C140" s="1126"/>
      <c r="D140" s="5340">
        <f>+S140*50.0833333333333</f>
        <v>0</v>
      </c>
      <c r="E140" s="5342">
        <f>+D140</f>
        <v>0</v>
      </c>
      <c r="F140" s="5342">
        <f>+E140</f>
        <v>0</v>
      </c>
      <c r="G140" s="5342">
        <f>+F140</f>
        <v>0</v>
      </c>
      <c r="H140" s="5342">
        <f t="shared" ref="H140:O140" si="73">+G140</f>
        <v>0</v>
      </c>
      <c r="I140" s="5342">
        <f t="shared" si="73"/>
        <v>0</v>
      </c>
      <c r="J140" s="5342">
        <f t="shared" si="73"/>
        <v>0</v>
      </c>
      <c r="K140" s="5342">
        <f t="shared" si="73"/>
        <v>0</v>
      </c>
      <c r="L140" s="5342">
        <f t="shared" si="73"/>
        <v>0</v>
      </c>
      <c r="M140" s="5342">
        <f t="shared" si="73"/>
        <v>0</v>
      </c>
      <c r="N140" s="5342">
        <f t="shared" si="73"/>
        <v>0</v>
      </c>
      <c r="O140" s="5354">
        <f t="shared" si="73"/>
        <v>0</v>
      </c>
      <c r="P140" s="1103">
        <f>SUM(D140:O140)</f>
        <v>0</v>
      </c>
      <c r="Q140" s="1103" t="e">
        <f t="shared" ref="Q140:Q145" si="74">P140/$C$7</f>
        <v>#DIV/0!</v>
      </c>
      <c r="R140" s="1139"/>
      <c r="S140" s="5379"/>
      <c r="T140" s="606" t="s">
        <v>105</v>
      </c>
      <c r="U140" s="420" t="s">
        <v>516</v>
      </c>
      <c r="V140" s="420"/>
      <c r="W140" s="420"/>
      <c r="X140" s="420"/>
      <c r="Y140" s="419"/>
    </row>
    <row r="141" spans="1:25" s="126" customFormat="1" ht="15.05" thickBot="1" x14ac:dyDescent="0.35">
      <c r="B141" s="1123" t="s">
        <v>49</v>
      </c>
      <c r="C141" s="2414"/>
      <c r="D141" s="5342">
        <f>+S141*50.0833333333333</f>
        <v>0</v>
      </c>
      <c r="E141" s="5342">
        <f t="shared" ref="E141:O141" si="75">+D141</f>
        <v>0</v>
      </c>
      <c r="F141" s="5342">
        <f t="shared" si="75"/>
        <v>0</v>
      </c>
      <c r="G141" s="5342">
        <f t="shared" si="75"/>
        <v>0</v>
      </c>
      <c r="H141" s="5342">
        <f t="shared" si="75"/>
        <v>0</v>
      </c>
      <c r="I141" s="5342">
        <f t="shared" si="75"/>
        <v>0</v>
      </c>
      <c r="J141" s="5342">
        <f t="shared" si="75"/>
        <v>0</v>
      </c>
      <c r="K141" s="5342">
        <f t="shared" si="75"/>
        <v>0</v>
      </c>
      <c r="L141" s="5342">
        <f t="shared" si="75"/>
        <v>0</v>
      </c>
      <c r="M141" s="5342">
        <f t="shared" si="75"/>
        <v>0</v>
      </c>
      <c r="N141" s="5342">
        <f t="shared" si="75"/>
        <v>0</v>
      </c>
      <c r="O141" s="5354">
        <f t="shared" si="75"/>
        <v>0</v>
      </c>
      <c r="P141" s="1103">
        <f>SUM(D141:O141)</f>
        <v>0</v>
      </c>
      <c r="Q141" s="1103" t="e">
        <f t="shared" si="74"/>
        <v>#DIV/0!</v>
      </c>
      <c r="R141" s="1139"/>
      <c r="S141" s="5381"/>
      <c r="T141" s="607" t="s">
        <v>49</v>
      </c>
      <c r="U141" s="420" t="s">
        <v>516</v>
      </c>
      <c r="V141" s="420"/>
      <c r="W141" s="420"/>
      <c r="X141" s="420"/>
      <c r="Y141" s="419"/>
    </row>
    <row r="142" spans="1:25" s="126" customFormat="1" ht="15.05" thickBot="1" x14ac:dyDescent="0.35">
      <c r="B142" s="1123" t="s">
        <v>148</v>
      </c>
      <c r="C142" s="2414"/>
      <c r="D142" s="5342">
        <f>+S142*50.0833333333333</f>
        <v>0</v>
      </c>
      <c r="E142" s="5342">
        <f t="shared" ref="E142:O142" si="76">+D142</f>
        <v>0</v>
      </c>
      <c r="F142" s="5342">
        <f t="shared" si="76"/>
        <v>0</v>
      </c>
      <c r="G142" s="5342">
        <f t="shared" si="76"/>
        <v>0</v>
      </c>
      <c r="H142" s="5342">
        <f t="shared" si="76"/>
        <v>0</v>
      </c>
      <c r="I142" s="5342">
        <f t="shared" si="76"/>
        <v>0</v>
      </c>
      <c r="J142" s="5342">
        <f t="shared" si="76"/>
        <v>0</v>
      </c>
      <c r="K142" s="5342">
        <f t="shared" si="76"/>
        <v>0</v>
      </c>
      <c r="L142" s="5342">
        <f t="shared" si="76"/>
        <v>0</v>
      </c>
      <c r="M142" s="5342">
        <f t="shared" si="76"/>
        <v>0</v>
      </c>
      <c r="N142" s="5342">
        <f t="shared" si="76"/>
        <v>0</v>
      </c>
      <c r="O142" s="5354">
        <f t="shared" si="76"/>
        <v>0</v>
      </c>
      <c r="P142" s="1103">
        <f>SUM(D142:O142)</f>
        <v>0</v>
      </c>
      <c r="Q142" s="1103" t="e">
        <f t="shared" si="74"/>
        <v>#DIV/0!</v>
      </c>
      <c r="R142" s="1139"/>
      <c r="S142" s="5381"/>
      <c r="T142" s="607" t="s">
        <v>148</v>
      </c>
      <c r="U142" s="420" t="s">
        <v>516</v>
      </c>
      <c r="V142" s="420"/>
      <c r="W142" s="420"/>
      <c r="X142" s="420"/>
      <c r="Y142" s="419"/>
    </row>
    <row r="143" spans="1:25" s="126" customFormat="1" ht="15.05" thickBot="1" x14ac:dyDescent="0.35">
      <c r="B143" s="1125"/>
      <c r="C143" s="2415"/>
      <c r="D143" s="5342"/>
      <c r="E143" s="5342"/>
      <c r="F143" s="5342"/>
      <c r="G143" s="5342"/>
      <c r="H143" s="5342"/>
      <c r="I143" s="5342"/>
      <c r="J143" s="5342"/>
      <c r="K143" s="5342"/>
      <c r="L143" s="5342"/>
      <c r="M143" s="5342"/>
      <c r="N143" s="5342"/>
      <c r="O143" s="5354"/>
      <c r="P143" s="1103">
        <f>SUM(D143:O143)</f>
        <v>0</v>
      </c>
      <c r="Q143" s="1103" t="e">
        <f t="shared" si="74"/>
        <v>#DIV/0!</v>
      </c>
      <c r="R143" s="1139"/>
      <c r="S143" s="603"/>
      <c r="T143" s="607"/>
      <c r="U143" s="420"/>
      <c r="V143" s="420"/>
      <c r="W143" s="420"/>
      <c r="X143" s="420"/>
      <c r="Y143" s="420"/>
    </row>
    <row r="144" spans="1:25" s="126" customFormat="1" ht="15.05" thickBot="1" x14ac:dyDescent="0.35">
      <c r="B144" s="1124"/>
      <c r="C144" s="2416"/>
      <c r="D144" s="5362"/>
      <c r="E144" s="5342"/>
      <c r="F144" s="5342"/>
      <c r="G144" s="5342"/>
      <c r="H144" s="5342"/>
      <c r="I144" s="5342"/>
      <c r="J144" s="5342"/>
      <c r="K144" s="5342"/>
      <c r="L144" s="5342"/>
      <c r="M144" s="5342"/>
      <c r="N144" s="5342"/>
      <c r="O144" s="5354"/>
      <c r="P144" s="1103">
        <f>SUM(D144:O144)</f>
        <v>0</v>
      </c>
      <c r="Q144" s="1103" t="e">
        <f t="shared" si="74"/>
        <v>#DIV/0!</v>
      </c>
      <c r="R144" s="1139"/>
      <c r="S144" s="604"/>
      <c r="T144" s="1166"/>
      <c r="U144" s="420"/>
      <c r="V144" s="420"/>
      <c r="W144" s="420"/>
      <c r="X144" s="420"/>
      <c r="Y144" s="419"/>
    </row>
    <row r="145" spans="1:25" s="126" customFormat="1" ht="15.05" thickBot="1" x14ac:dyDescent="0.35">
      <c r="B145" s="1112" t="s">
        <v>2204</v>
      </c>
      <c r="C145" s="1113"/>
      <c r="D145" s="1088">
        <f>SUM(D140:D144)</f>
        <v>0</v>
      </c>
      <c r="E145" s="1088">
        <f t="shared" ref="E145:O145" si="77">SUM(E140:E144)</f>
        <v>0</v>
      </c>
      <c r="F145" s="1088">
        <f t="shared" si="77"/>
        <v>0</v>
      </c>
      <c r="G145" s="1088">
        <f t="shared" si="77"/>
        <v>0</v>
      </c>
      <c r="H145" s="1088">
        <f t="shared" si="77"/>
        <v>0</v>
      </c>
      <c r="I145" s="1088">
        <f t="shared" si="77"/>
        <v>0</v>
      </c>
      <c r="J145" s="1088">
        <f t="shared" si="77"/>
        <v>0</v>
      </c>
      <c r="K145" s="1088">
        <f t="shared" si="77"/>
        <v>0</v>
      </c>
      <c r="L145" s="1088">
        <f t="shared" si="77"/>
        <v>0</v>
      </c>
      <c r="M145" s="1088">
        <f t="shared" si="77"/>
        <v>0</v>
      </c>
      <c r="N145" s="1088">
        <f t="shared" si="77"/>
        <v>0</v>
      </c>
      <c r="O145" s="1094">
        <f t="shared" si="77"/>
        <v>0</v>
      </c>
      <c r="P145" s="1115">
        <f>SUM(P140:P144)</f>
        <v>0</v>
      </c>
      <c r="Q145" s="1111" t="e">
        <f t="shared" si="74"/>
        <v>#DIV/0!</v>
      </c>
      <c r="R145" s="1143"/>
      <c r="S145" s="1140">
        <f>SUM(S140:S142)</f>
        <v>0</v>
      </c>
      <c r="T145" s="1167" t="s">
        <v>106</v>
      </c>
      <c r="U145" s="420" t="s">
        <v>516</v>
      </c>
      <c r="V145" s="432"/>
      <c r="W145" s="432"/>
      <c r="X145" s="432"/>
      <c r="Y145" s="432"/>
    </row>
    <row r="146" spans="1:25" ht="3.6" customHeight="1" thickBot="1" x14ac:dyDescent="0.35">
      <c r="P146" s="463"/>
      <c r="Q146" s="463"/>
      <c r="R146" s="527"/>
      <c r="T146" s="432"/>
    </row>
    <row r="147" spans="1:25" ht="15.05" thickBot="1" x14ac:dyDescent="0.35">
      <c r="A147" s="1344" t="s">
        <v>58</v>
      </c>
      <c r="B147" s="1087" t="s">
        <v>438</v>
      </c>
      <c r="C147" s="1100"/>
      <c r="D147" s="2449" t="str">
        <f>D139</f>
        <v>Ene</v>
      </c>
      <c r="E147" s="2449" t="str">
        <f t="shared" ref="E147:O147" si="78">E139</f>
        <v>Feb</v>
      </c>
      <c r="F147" s="2449" t="str">
        <f t="shared" si="78"/>
        <v>Mar</v>
      </c>
      <c r="G147" s="2449" t="str">
        <f t="shared" si="78"/>
        <v>Abr</v>
      </c>
      <c r="H147" s="2449" t="str">
        <f t="shared" si="78"/>
        <v>May</v>
      </c>
      <c r="I147" s="2449" t="str">
        <f t="shared" si="78"/>
        <v>Jun</v>
      </c>
      <c r="J147" s="2449" t="str">
        <f t="shared" si="78"/>
        <v>Jul</v>
      </c>
      <c r="K147" s="2449" t="str">
        <f t="shared" si="78"/>
        <v>Ago</v>
      </c>
      <c r="L147" s="2449" t="str">
        <f t="shared" si="78"/>
        <v>Set</v>
      </c>
      <c r="M147" s="2449" t="str">
        <f t="shared" si="78"/>
        <v>Oct</v>
      </c>
      <c r="N147" s="2449" t="str">
        <f t="shared" si="78"/>
        <v>Nov</v>
      </c>
      <c r="O147" s="2449" t="str">
        <f t="shared" si="78"/>
        <v>Dic</v>
      </c>
      <c r="P147" s="2449" t="s">
        <v>224</v>
      </c>
      <c r="Q147" s="2450" t="s">
        <v>2406</v>
      </c>
      <c r="R147" s="425"/>
      <c r="S147" s="419"/>
      <c r="T147" s="419"/>
      <c r="U147" s="419"/>
      <c r="V147" s="419"/>
      <c r="W147" s="419"/>
      <c r="X147" s="419"/>
      <c r="Y147" s="419"/>
    </row>
    <row r="148" spans="1:25" s="126" customFormat="1" x14ac:dyDescent="0.3">
      <c r="B148" s="5386"/>
      <c r="C148" s="480"/>
      <c r="D148" s="5340"/>
      <c r="E148" s="5340"/>
      <c r="F148" s="5340"/>
      <c r="G148" s="5340"/>
      <c r="H148" s="5340"/>
      <c r="I148" s="5340"/>
      <c r="J148" s="5340"/>
      <c r="K148" s="5340"/>
      <c r="L148" s="5340"/>
      <c r="M148" s="5340"/>
      <c r="N148" s="5340"/>
      <c r="O148" s="5340"/>
      <c r="P148" s="1103">
        <f>+SUM(D148:O148)</f>
        <v>0</v>
      </c>
      <c r="Q148" s="1103" t="e">
        <f>P148/$C$7</f>
        <v>#DIV/0!</v>
      </c>
      <c r="R148" s="467"/>
      <c r="S148" s="450"/>
      <c r="T148" s="420"/>
      <c r="U148" s="420"/>
      <c r="V148" s="420"/>
      <c r="W148" s="420"/>
      <c r="X148" s="420"/>
      <c r="Y148" s="419"/>
    </row>
    <row r="149" spans="1:25" s="126" customFormat="1" x14ac:dyDescent="0.3">
      <c r="B149" s="5387"/>
      <c r="C149" s="420"/>
      <c r="D149" s="5342"/>
      <c r="E149" s="5342"/>
      <c r="F149" s="5342"/>
      <c r="G149" s="5342"/>
      <c r="H149" s="5342"/>
      <c r="I149" s="5342"/>
      <c r="J149" s="5342"/>
      <c r="K149" s="5342"/>
      <c r="L149" s="5342"/>
      <c r="M149" s="5342"/>
      <c r="N149" s="5342"/>
      <c r="O149" s="5342"/>
      <c r="P149" s="1103">
        <f>+SUM(D149:O149)</f>
        <v>0</v>
      </c>
      <c r="Q149" s="1103" t="e">
        <f>P149/$C$7</f>
        <v>#DIV/0!</v>
      </c>
      <c r="R149" s="467"/>
      <c r="S149" s="450"/>
      <c r="T149" s="420"/>
      <c r="U149" s="420"/>
      <c r="V149" s="420"/>
      <c r="W149" s="420"/>
      <c r="X149" s="420"/>
      <c r="Y149" s="419"/>
    </row>
    <row r="150" spans="1:25" s="126" customFormat="1" ht="15.05" thickBot="1" x14ac:dyDescent="0.35">
      <c r="B150" s="5388"/>
      <c r="C150" s="433"/>
      <c r="D150" s="5362"/>
      <c r="E150" s="5362"/>
      <c r="F150" s="5362"/>
      <c r="G150" s="5362"/>
      <c r="H150" s="5362"/>
      <c r="I150" s="5362"/>
      <c r="J150" s="5362"/>
      <c r="K150" s="5362"/>
      <c r="L150" s="5362"/>
      <c r="M150" s="5362"/>
      <c r="N150" s="5362"/>
      <c r="O150" s="5362"/>
      <c r="P150" s="1108">
        <f>+SUM(D150:O150)</f>
        <v>0</v>
      </c>
      <c r="Q150" s="1108" t="e">
        <f>P150/$C$7</f>
        <v>#DIV/0!</v>
      </c>
      <c r="R150" s="467"/>
      <c r="S150" s="450"/>
      <c r="T150" s="420"/>
      <c r="U150" s="420"/>
      <c r="V150" s="420"/>
      <c r="W150" s="420"/>
      <c r="X150" s="420"/>
      <c r="Y150" s="419"/>
    </row>
    <row r="151" spans="1:25" ht="10.15" customHeight="1" thickBot="1" x14ac:dyDescent="0.35">
      <c r="P151" s="463"/>
      <c r="Q151" s="463"/>
      <c r="R151" s="527"/>
      <c r="T151" s="432"/>
    </row>
    <row r="152" spans="1:25" s="126" customFormat="1" ht="15.05" thickBot="1" x14ac:dyDescent="0.35">
      <c r="A152" s="1344" t="s">
        <v>1869</v>
      </c>
      <c r="B152" s="605" t="s">
        <v>42</v>
      </c>
      <c r="C152" s="1116"/>
      <c r="D152" s="1089">
        <f ca="1">D148+D149+D150+D137+D135+D113+D126+D133+D120+D112+D111+D110+D107+D145</f>
        <v>0</v>
      </c>
      <c r="E152" s="1089">
        <f t="shared" ref="E152:O152" ca="1" si="79">E148+E149+E150+E137+E135+E113+E126+E120+E112+E111+E110+E107+E145</f>
        <v>0</v>
      </c>
      <c r="F152" s="1089">
        <f t="shared" ca="1" si="79"/>
        <v>0</v>
      </c>
      <c r="G152" s="1089">
        <f t="shared" ca="1" si="79"/>
        <v>0</v>
      </c>
      <c r="H152" s="1089">
        <f t="shared" ca="1" si="79"/>
        <v>0</v>
      </c>
      <c r="I152" s="1089">
        <f t="shared" ca="1" si="79"/>
        <v>0</v>
      </c>
      <c r="J152" s="1089">
        <f t="shared" ca="1" si="79"/>
        <v>0</v>
      </c>
      <c r="K152" s="1089">
        <f t="shared" ca="1" si="79"/>
        <v>0</v>
      </c>
      <c r="L152" s="1089">
        <f t="shared" ca="1" si="79"/>
        <v>0</v>
      </c>
      <c r="M152" s="1089">
        <f t="shared" ca="1" si="79"/>
        <v>0</v>
      </c>
      <c r="N152" s="1089">
        <f t="shared" ca="1" si="79"/>
        <v>0</v>
      </c>
      <c r="O152" s="1118">
        <f t="shared" ca="1" si="79"/>
        <v>0</v>
      </c>
      <c r="P152" s="1119">
        <f ca="1">+P145+P110+P107+P111+P112+P113+P120+P126+P114+P135+P137</f>
        <v>0</v>
      </c>
      <c r="Q152" s="1119" t="e">
        <f ca="1">P152/$C$7</f>
        <v>#DIV/0!</v>
      </c>
      <c r="R152" s="1143"/>
      <c r="S152" s="1111">
        <f>+S145+S111+S112+S113+S120+S126+S114+S135+S137+S133+S110+S107</f>
        <v>0</v>
      </c>
      <c r="T152" s="1112" t="s">
        <v>42</v>
      </c>
      <c r="U152" s="420" t="s">
        <v>516</v>
      </c>
      <c r="V152" s="432"/>
      <c r="W152" s="432"/>
      <c r="X152" s="432"/>
      <c r="Y152" s="432"/>
    </row>
    <row r="153" spans="1:25" ht="15.05" thickBot="1" x14ac:dyDescent="0.35">
      <c r="T153" s="432"/>
    </row>
    <row r="154" spans="1:25" s="435" customFormat="1" ht="15.05" thickBot="1" x14ac:dyDescent="0.35">
      <c r="A154" s="1344">
        <f>+A90+1</f>
        <v>128</v>
      </c>
      <c r="B154" s="880" t="s">
        <v>713</v>
      </c>
      <c r="C154" s="881"/>
      <c r="D154" s="1096"/>
      <c r="E154" s="1096"/>
      <c r="F154" s="881"/>
      <c r="G154" s="881"/>
      <c r="H154" s="881"/>
      <c r="I154" s="881"/>
      <c r="J154" s="881"/>
      <c r="K154" s="881"/>
      <c r="L154" s="881"/>
      <c r="M154" s="881"/>
      <c r="N154" s="881"/>
      <c r="O154" s="881"/>
      <c r="P154" s="881"/>
      <c r="Q154" s="2448"/>
      <c r="R154" s="416"/>
      <c r="T154" s="441" t="s">
        <v>83</v>
      </c>
    </row>
    <row r="155" spans="1:25" ht="15.05" thickBot="1" x14ac:dyDescent="0.35">
      <c r="B155" s="1087" t="s">
        <v>2205</v>
      </c>
      <c r="C155" s="1100"/>
      <c r="D155" s="2449" t="str">
        <f>D147</f>
        <v>Ene</v>
      </c>
      <c r="E155" s="2449" t="str">
        <f t="shared" ref="E155:O155" si="80">E147</f>
        <v>Feb</v>
      </c>
      <c r="F155" s="2449" t="str">
        <f t="shared" si="80"/>
        <v>Mar</v>
      </c>
      <c r="G155" s="2449" t="str">
        <f t="shared" si="80"/>
        <v>Abr</v>
      </c>
      <c r="H155" s="2449" t="str">
        <f t="shared" si="80"/>
        <v>May</v>
      </c>
      <c r="I155" s="2449" t="str">
        <f t="shared" si="80"/>
        <v>Jun</v>
      </c>
      <c r="J155" s="2449" t="str">
        <f t="shared" si="80"/>
        <v>Jul</v>
      </c>
      <c r="K155" s="2449" t="str">
        <f t="shared" si="80"/>
        <v>Ago</v>
      </c>
      <c r="L155" s="2449" t="str">
        <f t="shared" si="80"/>
        <v>Set</v>
      </c>
      <c r="M155" s="2449" t="str">
        <f t="shared" si="80"/>
        <v>Oct</v>
      </c>
      <c r="N155" s="2449" t="str">
        <f t="shared" si="80"/>
        <v>Nov</v>
      </c>
      <c r="O155" s="2449" t="str">
        <f t="shared" si="80"/>
        <v>Dic</v>
      </c>
      <c r="P155" s="2449" t="s">
        <v>224</v>
      </c>
      <c r="Q155" s="2450" t="s">
        <v>2406</v>
      </c>
      <c r="R155" s="425"/>
      <c r="S155" s="2442" t="s">
        <v>2407</v>
      </c>
      <c r="T155" s="419"/>
      <c r="U155" s="419"/>
      <c r="V155" s="419"/>
      <c r="W155" s="419"/>
      <c r="X155" s="419"/>
      <c r="Y155" s="419"/>
    </row>
    <row r="156" spans="1:25" s="126" customFormat="1" x14ac:dyDescent="0.3">
      <c r="B156" s="1104" t="s">
        <v>43</v>
      </c>
      <c r="C156" s="1102"/>
      <c r="D156" s="1082">
        <f>S156*$S$7/12</f>
        <v>0</v>
      </c>
      <c r="E156" s="1082">
        <f t="shared" ref="E156:O156" si="81">+D156</f>
        <v>0</v>
      </c>
      <c r="F156" s="1082">
        <f t="shared" si="81"/>
        <v>0</v>
      </c>
      <c r="G156" s="1082">
        <f t="shared" si="81"/>
        <v>0</v>
      </c>
      <c r="H156" s="1082">
        <f>+G156</f>
        <v>0</v>
      </c>
      <c r="I156" s="1082">
        <f t="shared" si="81"/>
        <v>0</v>
      </c>
      <c r="J156" s="1082">
        <f t="shared" si="81"/>
        <v>0</v>
      </c>
      <c r="K156" s="1082">
        <f t="shared" si="81"/>
        <v>0</v>
      </c>
      <c r="L156" s="1082">
        <f t="shared" si="81"/>
        <v>0</v>
      </c>
      <c r="M156" s="1082">
        <f t="shared" si="81"/>
        <v>0</v>
      </c>
      <c r="N156" s="1082">
        <f t="shared" si="81"/>
        <v>0</v>
      </c>
      <c r="O156" s="1083">
        <f t="shared" si="81"/>
        <v>0</v>
      </c>
      <c r="P156" s="1103">
        <f>SUM(D156:O156)</f>
        <v>0</v>
      </c>
      <c r="Q156" s="1103" t="e">
        <f>P156/$C$7</f>
        <v>#DIV/0!</v>
      </c>
      <c r="R156" s="1139"/>
      <c r="S156" s="5379"/>
      <c r="T156" s="606" t="s">
        <v>107</v>
      </c>
      <c r="U156" s="420" t="s">
        <v>516</v>
      </c>
      <c r="V156" s="420"/>
      <c r="W156" s="420"/>
      <c r="X156" s="420"/>
      <c r="Y156" s="419"/>
    </row>
    <row r="157" spans="1:25" s="126" customFormat="1" x14ac:dyDescent="0.3">
      <c r="B157" s="1104" t="s">
        <v>222</v>
      </c>
      <c r="C157" s="1102"/>
      <c r="D157" s="5389"/>
      <c r="E157" s="5389"/>
      <c r="F157" s="5389"/>
      <c r="G157" s="5389"/>
      <c r="H157" s="5389"/>
      <c r="I157" s="5389"/>
      <c r="J157" s="5389"/>
      <c r="K157" s="5389"/>
      <c r="L157" s="5389"/>
      <c r="M157" s="5389"/>
      <c r="N157" s="5389"/>
      <c r="O157" s="5390"/>
      <c r="P157" s="1103">
        <f>SUM(D157:O157)</f>
        <v>0</v>
      </c>
      <c r="Q157" s="1103" t="e">
        <f>P157/$C$7</f>
        <v>#DIV/0!</v>
      </c>
      <c r="R157" s="1139"/>
      <c r="S157" s="5381"/>
      <c r="T157" s="607" t="s">
        <v>108</v>
      </c>
      <c r="U157" s="420" t="s">
        <v>516</v>
      </c>
      <c r="V157" s="420"/>
      <c r="W157" s="420"/>
      <c r="X157" s="420"/>
      <c r="Y157" s="419"/>
    </row>
    <row r="158" spans="1:25" s="126" customFormat="1" ht="15.05" thickBot="1" x14ac:dyDescent="0.35">
      <c r="B158" s="1104" t="s">
        <v>51</v>
      </c>
      <c r="C158" s="1102"/>
      <c r="D158" s="1082">
        <f>S158*$S$7/12</f>
        <v>0</v>
      </c>
      <c r="E158" s="1082">
        <f t="shared" ref="E158:O158" si="82">+D158</f>
        <v>0</v>
      </c>
      <c r="F158" s="1082">
        <f t="shared" si="82"/>
        <v>0</v>
      </c>
      <c r="G158" s="1082">
        <f t="shared" si="82"/>
        <v>0</v>
      </c>
      <c r="H158" s="1082">
        <f>+G158</f>
        <v>0</v>
      </c>
      <c r="I158" s="1082">
        <f t="shared" si="82"/>
        <v>0</v>
      </c>
      <c r="J158" s="1082">
        <f t="shared" si="82"/>
        <v>0</v>
      </c>
      <c r="K158" s="1082">
        <f t="shared" si="82"/>
        <v>0</v>
      </c>
      <c r="L158" s="1082">
        <f t="shared" si="82"/>
        <v>0</v>
      </c>
      <c r="M158" s="1082">
        <f t="shared" si="82"/>
        <v>0</v>
      </c>
      <c r="N158" s="1082">
        <f t="shared" si="82"/>
        <v>0</v>
      </c>
      <c r="O158" s="1083">
        <f t="shared" si="82"/>
        <v>0</v>
      </c>
      <c r="P158" s="1103">
        <f>SUM(D158:O158)</f>
        <v>0</v>
      </c>
      <c r="Q158" s="1103" t="e">
        <f>P158/$C$7</f>
        <v>#DIV/0!</v>
      </c>
      <c r="R158" s="1139"/>
      <c r="S158" s="5381"/>
      <c r="T158" s="607" t="s">
        <v>109</v>
      </c>
      <c r="U158" s="420" t="s">
        <v>516</v>
      </c>
      <c r="V158" s="420"/>
      <c r="W158" s="420"/>
      <c r="X158" s="420"/>
      <c r="Y158" s="419"/>
    </row>
    <row r="159" spans="1:25" s="126" customFormat="1" ht="15.05" thickBot="1" x14ac:dyDescent="0.35">
      <c r="B159" s="1112" t="s">
        <v>2206</v>
      </c>
      <c r="C159" s="1113"/>
      <c r="D159" s="1088">
        <f>SUM(D156:D158)</f>
        <v>0</v>
      </c>
      <c r="E159" s="1088">
        <f>SUM(E156:E158)</f>
        <v>0</v>
      </c>
      <c r="F159" s="1088">
        <f t="shared" ref="F159:O159" si="83">SUM(F156:F158)</f>
        <v>0</v>
      </c>
      <c r="G159" s="1088">
        <f t="shared" si="83"/>
        <v>0</v>
      </c>
      <c r="H159" s="1088">
        <f t="shared" si="83"/>
        <v>0</v>
      </c>
      <c r="I159" s="1088">
        <f t="shared" si="83"/>
        <v>0</v>
      </c>
      <c r="J159" s="1088">
        <f t="shared" si="83"/>
        <v>0</v>
      </c>
      <c r="K159" s="1088">
        <f t="shared" si="83"/>
        <v>0</v>
      </c>
      <c r="L159" s="1088">
        <f t="shared" si="83"/>
        <v>0</v>
      </c>
      <c r="M159" s="1088">
        <f t="shared" si="83"/>
        <v>0</v>
      </c>
      <c r="N159" s="1088">
        <f t="shared" si="83"/>
        <v>0</v>
      </c>
      <c r="O159" s="1094">
        <f t="shared" si="83"/>
        <v>0</v>
      </c>
      <c r="P159" s="1115">
        <f>SUM(D159:O159)</f>
        <v>0</v>
      </c>
      <c r="Q159" s="1111" t="e">
        <f>P159/$C$7</f>
        <v>#DIV/0!</v>
      </c>
      <c r="R159" s="1143"/>
      <c r="S159" s="1115">
        <f>SUM(S156:S158)</f>
        <v>0</v>
      </c>
      <c r="T159" s="1142" t="s">
        <v>16</v>
      </c>
      <c r="U159" s="420" t="s">
        <v>516</v>
      </c>
      <c r="V159" s="432"/>
      <c r="W159" s="432"/>
      <c r="X159" s="432"/>
      <c r="Y159" s="432"/>
    </row>
    <row r="160" spans="1:25" ht="3.6" customHeight="1" thickBot="1" x14ac:dyDescent="0.35">
      <c r="B160" s="432"/>
      <c r="C160" s="432"/>
      <c r="D160" s="463"/>
      <c r="E160" s="463"/>
      <c r="F160" s="463"/>
      <c r="G160" s="463"/>
      <c r="H160" s="463"/>
      <c r="I160" s="463"/>
      <c r="J160" s="463"/>
      <c r="K160" s="463"/>
      <c r="L160" s="463"/>
      <c r="M160" s="463"/>
      <c r="N160" s="463"/>
      <c r="O160" s="463"/>
      <c r="P160" s="463"/>
      <c r="Q160" s="463"/>
      <c r="R160" s="527"/>
    </row>
    <row r="161" spans="2:25" s="126" customFormat="1" ht="15.05" thickBot="1" x14ac:dyDescent="0.35">
      <c r="B161" s="1120" t="s">
        <v>54</v>
      </c>
      <c r="C161" s="2411"/>
      <c r="D161" s="5377">
        <f>S161*$S$7/12</f>
        <v>0</v>
      </c>
      <c r="E161" s="5377">
        <f>+D161</f>
        <v>0</v>
      </c>
      <c r="F161" s="5377">
        <f t="shared" ref="F161:N163" si="84">+E161</f>
        <v>0</v>
      </c>
      <c r="G161" s="5377">
        <f t="shared" si="84"/>
        <v>0</v>
      </c>
      <c r="H161" s="5377">
        <f>+G161</f>
        <v>0</v>
      </c>
      <c r="I161" s="5377">
        <f t="shared" si="84"/>
        <v>0</v>
      </c>
      <c r="J161" s="5377">
        <f t="shared" si="84"/>
        <v>0</v>
      </c>
      <c r="K161" s="5377">
        <f t="shared" si="84"/>
        <v>0</v>
      </c>
      <c r="L161" s="5377">
        <f t="shared" si="84"/>
        <v>0</v>
      </c>
      <c r="M161" s="5377">
        <f t="shared" si="84"/>
        <v>0</v>
      </c>
      <c r="N161" s="5377">
        <f t="shared" si="84"/>
        <v>0</v>
      </c>
      <c r="O161" s="5378">
        <f>+N161</f>
        <v>0</v>
      </c>
      <c r="P161" s="1101">
        <f>SUM(D161:O161)</f>
        <v>0</v>
      </c>
      <c r="Q161" s="1101" t="e">
        <f>P161/$C$7</f>
        <v>#DIV/0!</v>
      </c>
      <c r="R161" s="1139"/>
      <c r="S161" s="5379"/>
      <c r="T161" s="606" t="s">
        <v>110</v>
      </c>
      <c r="U161" s="420" t="s">
        <v>516</v>
      </c>
      <c r="V161" s="435"/>
      <c r="W161" s="420"/>
      <c r="X161" s="420"/>
      <c r="Y161" s="419"/>
    </row>
    <row r="162" spans="2:25" s="126" customFormat="1" ht="15.05" thickBot="1" x14ac:dyDescent="0.35">
      <c r="B162" s="1121" t="s">
        <v>223</v>
      </c>
      <c r="C162" s="2412"/>
      <c r="D162" s="5342">
        <f>S162*$S$7/12</f>
        <v>0</v>
      </c>
      <c r="E162" s="5342">
        <f>+D162</f>
        <v>0</v>
      </c>
      <c r="F162" s="5342">
        <f>+E162</f>
        <v>0</v>
      </c>
      <c r="G162" s="5342">
        <f t="shared" si="84"/>
        <v>0</v>
      </c>
      <c r="H162" s="5342">
        <f>+G162</f>
        <v>0</v>
      </c>
      <c r="I162" s="5342">
        <f t="shared" si="84"/>
        <v>0</v>
      </c>
      <c r="J162" s="5342">
        <f t="shared" si="84"/>
        <v>0</v>
      </c>
      <c r="K162" s="5342">
        <f t="shared" si="84"/>
        <v>0</v>
      </c>
      <c r="L162" s="5342">
        <f t="shared" si="84"/>
        <v>0</v>
      </c>
      <c r="M162" s="5342">
        <f t="shared" si="84"/>
        <v>0</v>
      </c>
      <c r="N162" s="5342">
        <f t="shared" si="84"/>
        <v>0</v>
      </c>
      <c r="O162" s="5354">
        <f>+N162</f>
        <v>0</v>
      </c>
      <c r="P162" s="1103">
        <f>SUM(D162:O162)</f>
        <v>0</v>
      </c>
      <c r="Q162" s="1103" t="e">
        <f>P162/$C$7</f>
        <v>#DIV/0!</v>
      </c>
      <c r="R162" s="1139"/>
      <c r="S162" s="5381"/>
      <c r="T162" s="607" t="s">
        <v>111</v>
      </c>
      <c r="U162" s="420" t="s">
        <v>516</v>
      </c>
      <c r="V162" s="435"/>
      <c r="W162" s="420"/>
      <c r="X162" s="420"/>
      <c r="Y162" s="419"/>
    </row>
    <row r="163" spans="2:25" s="126" customFormat="1" ht="15.05" thickBot="1" x14ac:dyDescent="0.35">
      <c r="B163" s="1121" t="s">
        <v>44</v>
      </c>
      <c r="C163" s="2412"/>
      <c r="D163" s="5342">
        <f>+S163*$S$7/12</f>
        <v>0</v>
      </c>
      <c r="E163" s="5342">
        <f>+D163</f>
        <v>0</v>
      </c>
      <c r="F163" s="5342">
        <f>+E163</f>
        <v>0</v>
      </c>
      <c r="G163" s="5342">
        <f t="shared" si="84"/>
        <v>0</v>
      </c>
      <c r="H163" s="5342">
        <f>+G163</f>
        <v>0</v>
      </c>
      <c r="I163" s="5342">
        <f t="shared" si="84"/>
        <v>0</v>
      </c>
      <c r="J163" s="5342">
        <f t="shared" si="84"/>
        <v>0</v>
      </c>
      <c r="K163" s="5342">
        <f t="shared" si="84"/>
        <v>0</v>
      </c>
      <c r="L163" s="5342">
        <f t="shared" si="84"/>
        <v>0</v>
      </c>
      <c r="M163" s="5342">
        <f t="shared" si="84"/>
        <v>0</v>
      </c>
      <c r="N163" s="5342">
        <f t="shared" si="84"/>
        <v>0</v>
      </c>
      <c r="O163" s="5354">
        <f>+N163</f>
        <v>0</v>
      </c>
      <c r="P163" s="1103">
        <f>SUM(D163:O163)</f>
        <v>0</v>
      </c>
      <c r="Q163" s="1103" t="e">
        <f>P163/$C$7</f>
        <v>#DIV/0!</v>
      </c>
      <c r="R163" s="1139"/>
      <c r="S163" s="5381"/>
      <c r="T163" s="607" t="s">
        <v>44</v>
      </c>
      <c r="U163" s="420" t="s">
        <v>516</v>
      </c>
      <c r="V163" s="435"/>
      <c r="W163" s="420"/>
      <c r="X163" s="420"/>
      <c r="Y163" s="419"/>
    </row>
    <row r="164" spans="2:25" s="126" customFormat="1" ht="15.05" thickBot="1" x14ac:dyDescent="0.35">
      <c r="B164" s="1122" t="s">
        <v>82</v>
      </c>
      <c r="C164" s="2413"/>
      <c r="D164" s="5362">
        <f>+S164*$S$7/12</f>
        <v>0</v>
      </c>
      <c r="E164" s="5362">
        <f>+D164</f>
        <v>0</v>
      </c>
      <c r="F164" s="5362">
        <f>+E164</f>
        <v>0</v>
      </c>
      <c r="G164" s="5362">
        <f>+F164</f>
        <v>0</v>
      </c>
      <c r="H164" s="5362">
        <f>+G164</f>
        <v>0</v>
      </c>
      <c r="I164" s="5362">
        <f t="shared" ref="I164:N164" si="85">+H164</f>
        <v>0</v>
      </c>
      <c r="J164" s="5362">
        <f t="shared" si="85"/>
        <v>0</v>
      </c>
      <c r="K164" s="5362">
        <f t="shared" si="85"/>
        <v>0</v>
      </c>
      <c r="L164" s="5362">
        <f t="shared" si="85"/>
        <v>0</v>
      </c>
      <c r="M164" s="5362">
        <f t="shared" si="85"/>
        <v>0</v>
      </c>
      <c r="N164" s="5362">
        <f t="shared" si="85"/>
        <v>0</v>
      </c>
      <c r="O164" s="5363">
        <f>+N164</f>
        <v>0</v>
      </c>
      <c r="P164" s="1108">
        <f>SUM(D164:O164)</f>
        <v>0</v>
      </c>
      <c r="Q164" s="1108" t="e">
        <f>P164/$C$7</f>
        <v>#DIV/0!</v>
      </c>
      <c r="R164" s="1139"/>
      <c r="S164" s="5383"/>
      <c r="T164" s="1166" t="s">
        <v>112</v>
      </c>
      <c r="U164" s="420" t="s">
        <v>516</v>
      </c>
      <c r="V164" s="435"/>
      <c r="W164" s="420"/>
      <c r="X164" s="420"/>
      <c r="Y164" s="419"/>
    </row>
    <row r="165" spans="2:25" ht="2.95" customHeight="1" thickBot="1" x14ac:dyDescent="0.35">
      <c r="D165" s="499"/>
      <c r="S165" s="463"/>
      <c r="T165" s="432"/>
      <c r="U165" s="432"/>
      <c r="V165" s="432"/>
      <c r="W165" s="432"/>
      <c r="X165" s="432"/>
      <c r="Y165" s="432"/>
    </row>
    <row r="166" spans="2:25" ht="15.05" thickBot="1" x14ac:dyDescent="0.35">
      <c r="B166" s="1087" t="s">
        <v>2207</v>
      </c>
      <c r="C166" s="1100"/>
      <c r="D166" s="2449" t="str">
        <f>D155</f>
        <v>Ene</v>
      </c>
      <c r="E166" s="2449" t="str">
        <f t="shared" ref="E166:O166" si="86">E155</f>
        <v>Feb</v>
      </c>
      <c r="F166" s="2449" t="str">
        <f t="shared" si="86"/>
        <v>Mar</v>
      </c>
      <c r="G166" s="2449" t="str">
        <f t="shared" si="86"/>
        <v>Abr</v>
      </c>
      <c r="H166" s="2449" t="str">
        <f t="shared" si="86"/>
        <v>May</v>
      </c>
      <c r="I166" s="2449" t="str">
        <f t="shared" si="86"/>
        <v>Jun</v>
      </c>
      <c r="J166" s="2449" t="str">
        <f t="shared" si="86"/>
        <v>Jul</v>
      </c>
      <c r="K166" s="2449" t="str">
        <f t="shared" si="86"/>
        <v>Ago</v>
      </c>
      <c r="L166" s="2449" t="str">
        <f t="shared" si="86"/>
        <v>Set</v>
      </c>
      <c r="M166" s="2449" t="str">
        <f t="shared" si="86"/>
        <v>Oct</v>
      </c>
      <c r="N166" s="2449" t="str">
        <f t="shared" si="86"/>
        <v>Nov</v>
      </c>
      <c r="O166" s="2449" t="str">
        <f t="shared" si="86"/>
        <v>Dic</v>
      </c>
      <c r="P166" s="2449" t="s">
        <v>224</v>
      </c>
      <c r="Q166" s="2450" t="s">
        <v>2406</v>
      </c>
      <c r="R166" s="425"/>
      <c r="S166" s="2442" t="s">
        <v>2407</v>
      </c>
      <c r="T166" s="419"/>
      <c r="U166" s="419"/>
      <c r="V166" s="419"/>
      <c r="W166" s="419"/>
      <c r="X166" s="419"/>
      <c r="Y166" s="419"/>
    </row>
    <row r="167" spans="2:25" s="126" customFormat="1" x14ac:dyDescent="0.3">
      <c r="B167" s="1104" t="s">
        <v>92</v>
      </c>
      <c r="C167" s="1102"/>
      <c r="D167" s="1082">
        <f>S167*$S$7/12</f>
        <v>0</v>
      </c>
      <c r="E167" s="1082">
        <f t="shared" ref="E167:O167" si="87">+D167</f>
        <v>0</v>
      </c>
      <c r="F167" s="1082">
        <f t="shared" si="87"/>
        <v>0</v>
      </c>
      <c r="G167" s="1082">
        <f t="shared" si="87"/>
        <v>0</v>
      </c>
      <c r="H167" s="1082">
        <f>+G167</f>
        <v>0</v>
      </c>
      <c r="I167" s="1082">
        <f t="shared" si="87"/>
        <v>0</v>
      </c>
      <c r="J167" s="1082">
        <f t="shared" si="87"/>
        <v>0</v>
      </c>
      <c r="K167" s="1082">
        <f t="shared" si="87"/>
        <v>0</v>
      </c>
      <c r="L167" s="1082">
        <f t="shared" si="87"/>
        <v>0</v>
      </c>
      <c r="M167" s="1082">
        <f t="shared" si="87"/>
        <v>0</v>
      </c>
      <c r="N167" s="1082">
        <f t="shared" si="87"/>
        <v>0</v>
      </c>
      <c r="O167" s="1083">
        <f t="shared" si="87"/>
        <v>0</v>
      </c>
      <c r="P167" s="1103">
        <f>SUM(D167:O167)</f>
        <v>0</v>
      </c>
      <c r="Q167" s="1103" t="e">
        <f>P167/$C$7</f>
        <v>#DIV/0!</v>
      </c>
      <c r="R167" s="1139"/>
      <c r="S167" s="5379"/>
      <c r="T167" s="606" t="str">
        <f>B167</f>
        <v>Reparación y mantenimiento</v>
      </c>
      <c r="U167" s="420" t="s">
        <v>516</v>
      </c>
      <c r="V167" s="420"/>
      <c r="W167" s="420"/>
      <c r="X167" s="420"/>
      <c r="Y167" s="419"/>
    </row>
    <row r="168" spans="2:25" s="126" customFormat="1" x14ac:dyDescent="0.3">
      <c r="B168" s="1104" t="s">
        <v>45</v>
      </c>
      <c r="C168" s="1102"/>
      <c r="D168" s="1082">
        <f>S168*$S$7/12</f>
        <v>0</v>
      </c>
      <c r="E168" s="1082">
        <f t="shared" ref="E168:O170" si="88">+D168</f>
        <v>0</v>
      </c>
      <c r="F168" s="1082">
        <f t="shared" si="88"/>
        <v>0</v>
      </c>
      <c r="G168" s="1082">
        <f t="shared" si="88"/>
        <v>0</v>
      </c>
      <c r="H168" s="1082">
        <f>+G168</f>
        <v>0</v>
      </c>
      <c r="I168" s="1082">
        <f t="shared" si="88"/>
        <v>0</v>
      </c>
      <c r="J168" s="1082">
        <f t="shared" si="88"/>
        <v>0</v>
      </c>
      <c r="K168" s="1082">
        <f t="shared" si="88"/>
        <v>0</v>
      </c>
      <c r="L168" s="1082">
        <f t="shared" si="88"/>
        <v>0</v>
      </c>
      <c r="M168" s="1082">
        <f t="shared" si="88"/>
        <v>0</v>
      </c>
      <c r="N168" s="1082">
        <f t="shared" si="88"/>
        <v>0</v>
      </c>
      <c r="O168" s="1083">
        <f t="shared" si="88"/>
        <v>0</v>
      </c>
      <c r="P168" s="1103">
        <f>SUM(D168:O168)</f>
        <v>0</v>
      </c>
      <c r="Q168" s="1103" t="e">
        <f>P168/$C$7</f>
        <v>#DIV/0!</v>
      </c>
      <c r="R168" s="1139"/>
      <c r="S168" s="5381"/>
      <c r="T168" s="607" t="str">
        <f>B168</f>
        <v>Combustible vehículos</v>
      </c>
      <c r="U168" s="420" t="s">
        <v>516</v>
      </c>
      <c r="V168" s="420"/>
      <c r="W168" s="420"/>
      <c r="X168" s="420"/>
      <c r="Y168" s="419"/>
    </row>
    <row r="169" spans="2:25" s="126" customFormat="1" ht="15.05" thickBot="1" x14ac:dyDescent="0.35">
      <c r="B169" s="1104" t="s">
        <v>46</v>
      </c>
      <c r="C169" s="1102"/>
      <c r="D169" s="1082">
        <f>S169*$S$7/12</f>
        <v>0</v>
      </c>
      <c r="E169" s="1082">
        <f>+D169</f>
        <v>0</v>
      </c>
      <c r="F169" s="1082">
        <f>+E169</f>
        <v>0</v>
      </c>
      <c r="G169" s="1082">
        <f t="shared" si="88"/>
        <v>0</v>
      </c>
      <c r="H169" s="1082">
        <f>+G169</f>
        <v>0</v>
      </c>
      <c r="I169" s="1082">
        <f t="shared" si="88"/>
        <v>0</v>
      </c>
      <c r="J169" s="1082">
        <f t="shared" si="88"/>
        <v>0</v>
      </c>
      <c r="K169" s="1082">
        <f t="shared" si="88"/>
        <v>0</v>
      </c>
      <c r="L169" s="1082">
        <f t="shared" si="88"/>
        <v>0</v>
      </c>
      <c r="M169" s="1082">
        <f t="shared" si="88"/>
        <v>0</v>
      </c>
      <c r="N169" s="1082">
        <f t="shared" si="88"/>
        <v>0</v>
      </c>
      <c r="O169" s="1083">
        <f t="shared" si="88"/>
        <v>0</v>
      </c>
      <c r="P169" s="1103">
        <f>SUM(D169:O169)</f>
        <v>0</v>
      </c>
      <c r="Q169" s="1103" t="e">
        <f>P169/$C$7</f>
        <v>#DIV/0!</v>
      </c>
      <c r="R169" s="1139"/>
      <c r="S169" s="5383"/>
      <c r="T169" s="1166" t="str">
        <f>B169</f>
        <v>Patentes y seguros</v>
      </c>
      <c r="U169" s="420" t="s">
        <v>516</v>
      </c>
      <c r="V169" s="420"/>
      <c r="W169" s="420"/>
      <c r="X169" s="420"/>
      <c r="Y169" s="419"/>
    </row>
    <row r="170" spans="2:25" s="126" customFormat="1" ht="15.05" thickBot="1" x14ac:dyDescent="0.35">
      <c r="B170" s="1112" t="s">
        <v>2208</v>
      </c>
      <c r="C170" s="1113"/>
      <c r="D170" s="1088">
        <f>SUM(D167:D169)</f>
        <v>0</v>
      </c>
      <c r="E170" s="1088">
        <f>+D170</f>
        <v>0</v>
      </c>
      <c r="F170" s="1088">
        <f>+E170</f>
        <v>0</v>
      </c>
      <c r="G170" s="1088">
        <f>+F170</f>
        <v>0</v>
      </c>
      <c r="H170" s="1088">
        <f>+G170</f>
        <v>0</v>
      </c>
      <c r="I170" s="1088">
        <f t="shared" si="88"/>
        <v>0</v>
      </c>
      <c r="J170" s="1088">
        <f t="shared" si="88"/>
        <v>0</v>
      </c>
      <c r="K170" s="1088">
        <f t="shared" si="88"/>
        <v>0</v>
      </c>
      <c r="L170" s="1088">
        <f>+K170</f>
        <v>0</v>
      </c>
      <c r="M170" s="1088">
        <f>+L170</f>
        <v>0</v>
      </c>
      <c r="N170" s="1088">
        <f t="shared" si="88"/>
        <v>0</v>
      </c>
      <c r="O170" s="1094">
        <f t="shared" si="88"/>
        <v>0</v>
      </c>
      <c r="P170" s="1115">
        <f>SUM(D170:O170)</f>
        <v>0</v>
      </c>
      <c r="Q170" s="1111" t="e">
        <f>P170/$C$7</f>
        <v>#DIV/0!</v>
      </c>
      <c r="R170" s="1143"/>
      <c r="S170" s="1115">
        <f>+SUM(S167:S169)</f>
        <v>0</v>
      </c>
      <c r="T170" s="1142" t="str">
        <f>B170</f>
        <v>TOTAL Gastos en Vehículo</v>
      </c>
      <c r="U170" s="420" t="s">
        <v>516</v>
      </c>
      <c r="V170" s="432"/>
      <c r="W170" s="432"/>
      <c r="X170" s="432"/>
      <c r="Y170" s="432"/>
    </row>
    <row r="171" spans="2:25" ht="6.55" customHeight="1" thickBot="1" x14ac:dyDescent="0.35">
      <c r="B171" s="432"/>
      <c r="C171" s="432"/>
      <c r="D171" s="543"/>
      <c r="E171" s="463"/>
      <c r="F171" s="463"/>
      <c r="G171" s="463"/>
      <c r="H171" s="463"/>
      <c r="I171" s="463"/>
      <c r="J171" s="463"/>
      <c r="K171" s="463"/>
      <c r="L171" s="463"/>
      <c r="M171" s="463"/>
      <c r="N171" s="463"/>
      <c r="O171" s="463"/>
      <c r="P171" s="463"/>
      <c r="Q171" s="463"/>
      <c r="R171" s="527"/>
      <c r="T171" s="432"/>
      <c r="U171" s="432"/>
      <c r="V171" s="432"/>
      <c r="W171" s="432"/>
      <c r="X171" s="432"/>
      <c r="Y171" s="432"/>
    </row>
    <row r="172" spans="2:25" ht="15.05" thickBot="1" x14ac:dyDescent="0.35">
      <c r="B172" s="1087" t="s">
        <v>439</v>
      </c>
      <c r="C172" s="1100"/>
      <c r="D172" s="2449" t="str">
        <f>D166</f>
        <v>Ene</v>
      </c>
      <c r="E172" s="2449" t="str">
        <f t="shared" ref="E172:O172" si="89">E166</f>
        <v>Feb</v>
      </c>
      <c r="F172" s="2449" t="str">
        <f t="shared" si="89"/>
        <v>Mar</v>
      </c>
      <c r="G172" s="2449" t="str">
        <f t="shared" si="89"/>
        <v>Abr</v>
      </c>
      <c r="H172" s="2449" t="str">
        <f t="shared" si="89"/>
        <v>May</v>
      </c>
      <c r="I172" s="2449" t="str">
        <f t="shared" si="89"/>
        <v>Jun</v>
      </c>
      <c r="J172" s="2449" t="str">
        <f t="shared" si="89"/>
        <v>Jul</v>
      </c>
      <c r="K172" s="2449" t="str">
        <f t="shared" si="89"/>
        <v>Ago</v>
      </c>
      <c r="L172" s="2449" t="str">
        <f t="shared" si="89"/>
        <v>Set</v>
      </c>
      <c r="M172" s="2449" t="str">
        <f t="shared" si="89"/>
        <v>Oct</v>
      </c>
      <c r="N172" s="2449" t="str">
        <f t="shared" si="89"/>
        <v>Nov</v>
      </c>
      <c r="O172" s="2449" t="str">
        <f t="shared" si="89"/>
        <v>Dic</v>
      </c>
      <c r="P172" s="2449" t="s">
        <v>224</v>
      </c>
      <c r="Q172" s="2450" t="s">
        <v>2406</v>
      </c>
      <c r="R172" s="425"/>
      <c r="S172" s="419"/>
      <c r="T172" s="419"/>
      <c r="U172" s="419"/>
      <c r="V172" s="419"/>
      <c r="W172" s="419"/>
      <c r="X172" s="419"/>
      <c r="Y172" s="419"/>
    </row>
    <row r="173" spans="2:25" s="126" customFormat="1" x14ac:dyDescent="0.3">
      <c r="B173" s="5386"/>
      <c r="C173" s="480"/>
      <c r="D173" s="5340"/>
      <c r="E173" s="5340"/>
      <c r="F173" s="5340"/>
      <c r="G173" s="5340"/>
      <c r="H173" s="5340"/>
      <c r="I173" s="5340"/>
      <c r="J173" s="5340"/>
      <c r="K173" s="5340"/>
      <c r="L173" s="5340"/>
      <c r="M173" s="5340"/>
      <c r="N173" s="5340"/>
      <c r="O173" s="5340"/>
      <c r="P173" s="1103">
        <f>SUM(D173:O173)</f>
        <v>0</v>
      </c>
      <c r="Q173" s="1103" t="e">
        <f>P173/$C$7</f>
        <v>#DIV/0!</v>
      </c>
      <c r="R173" s="467"/>
      <c r="S173" s="450"/>
      <c r="T173" s="420"/>
      <c r="U173" s="420"/>
      <c r="V173" s="420"/>
      <c r="W173" s="420"/>
      <c r="X173" s="420"/>
      <c r="Y173" s="419"/>
    </row>
    <row r="174" spans="2:25" s="126" customFormat="1" x14ac:dyDescent="0.3">
      <c r="B174" s="5387"/>
      <c r="C174" s="420"/>
      <c r="D174" s="5342"/>
      <c r="E174" s="5342"/>
      <c r="F174" s="5342"/>
      <c r="G174" s="5342"/>
      <c r="H174" s="5342"/>
      <c r="I174" s="5342"/>
      <c r="J174" s="5342"/>
      <c r="K174" s="5342"/>
      <c r="L174" s="5342"/>
      <c r="M174" s="5342"/>
      <c r="N174" s="5342"/>
      <c r="O174" s="5342"/>
      <c r="P174" s="1103">
        <f>SUM(D174:O174)</f>
        <v>0</v>
      </c>
      <c r="Q174" s="1103" t="e">
        <f>P174/$C$7</f>
        <v>#DIV/0!</v>
      </c>
      <c r="R174" s="467"/>
      <c r="S174" s="450"/>
      <c r="T174" s="420"/>
      <c r="U174" s="420"/>
      <c r="V174" s="420"/>
      <c r="W174" s="420"/>
      <c r="X174" s="420"/>
      <c r="Y174" s="419"/>
    </row>
    <row r="175" spans="2:25" s="126" customFormat="1" ht="15.05" thickBot="1" x14ac:dyDescent="0.35">
      <c r="B175" s="5388"/>
      <c r="C175" s="433"/>
      <c r="D175" s="5362"/>
      <c r="E175" s="5362"/>
      <c r="F175" s="5362"/>
      <c r="G175" s="5362"/>
      <c r="H175" s="5362"/>
      <c r="I175" s="5362"/>
      <c r="J175" s="5362"/>
      <c r="K175" s="5362"/>
      <c r="L175" s="5362"/>
      <c r="M175" s="5362"/>
      <c r="N175" s="5362"/>
      <c r="O175" s="5362"/>
      <c r="P175" s="1108">
        <f>SUM(D175:O175)</f>
        <v>0</v>
      </c>
      <c r="Q175" s="1108" t="e">
        <f>P175/$C$7</f>
        <v>#DIV/0!</v>
      </c>
      <c r="R175" s="467"/>
      <c r="S175" s="450"/>
      <c r="T175" s="420"/>
      <c r="U175" s="420"/>
      <c r="V175" s="420"/>
      <c r="W175" s="420"/>
      <c r="X175" s="420"/>
      <c r="Y175" s="419"/>
    </row>
    <row r="176" spans="2:25" ht="3.45" customHeight="1" thickBot="1" x14ac:dyDescent="0.35">
      <c r="D176" s="1130"/>
      <c r="P176" s="463"/>
      <c r="Q176" s="463"/>
      <c r="R176" s="527"/>
      <c r="T176" s="432"/>
    </row>
    <row r="177" spans="1:25" s="126" customFormat="1" ht="15.05" thickBot="1" x14ac:dyDescent="0.35">
      <c r="B177" s="605" t="s">
        <v>47</v>
      </c>
      <c r="C177" s="1116"/>
      <c r="D177" s="1117">
        <f>D173+D174+D175++D170+D164+D163+D161+D162+D159</f>
        <v>0</v>
      </c>
      <c r="E177" s="1089">
        <f t="shared" ref="E177:O177" si="90">E173+E174+E175++E170+E164+E163+E161+E159</f>
        <v>0</v>
      </c>
      <c r="F177" s="1089">
        <f t="shared" si="90"/>
        <v>0</v>
      </c>
      <c r="G177" s="1089">
        <f t="shared" si="90"/>
        <v>0</v>
      </c>
      <c r="H177" s="1089">
        <f t="shared" si="90"/>
        <v>0</v>
      </c>
      <c r="I177" s="1089">
        <f t="shared" si="90"/>
        <v>0</v>
      </c>
      <c r="J177" s="1089">
        <f t="shared" si="90"/>
        <v>0</v>
      </c>
      <c r="K177" s="1089">
        <f t="shared" si="90"/>
        <v>0</v>
      </c>
      <c r="L177" s="1089">
        <f t="shared" si="90"/>
        <v>0</v>
      </c>
      <c r="M177" s="1089">
        <f t="shared" si="90"/>
        <v>0</v>
      </c>
      <c r="N177" s="1089">
        <f t="shared" si="90"/>
        <v>0</v>
      </c>
      <c r="O177" s="1118">
        <f t="shared" si="90"/>
        <v>0</v>
      </c>
      <c r="P177" s="1119">
        <f>SUM(D177:O177)</f>
        <v>0</v>
      </c>
      <c r="Q177" s="1119" t="e">
        <f>P177/$C$7</f>
        <v>#DIV/0!</v>
      </c>
      <c r="R177" s="1143"/>
      <c r="S177" s="1111">
        <f>+S170+S164+S163+S162+S161+S159</f>
        <v>0</v>
      </c>
      <c r="T177" s="1112" t="s">
        <v>114</v>
      </c>
      <c r="U177" s="420" t="s">
        <v>516</v>
      </c>
      <c r="V177" s="432"/>
      <c r="W177" s="432"/>
      <c r="X177" s="432"/>
      <c r="Y177" s="432"/>
    </row>
    <row r="178" spans="1:25" ht="15.05" thickBot="1" x14ac:dyDescent="0.35">
      <c r="B178" s="432"/>
      <c r="C178" s="432"/>
    </row>
    <row r="179" spans="1:25" s="435" customFormat="1" ht="15.05" thickBot="1" x14ac:dyDescent="0.35">
      <c r="A179" s="1344">
        <f>+A154+1</f>
        <v>129</v>
      </c>
      <c r="B179" s="880" t="s">
        <v>52</v>
      </c>
      <c r="C179" s="881"/>
      <c r="D179" s="1096"/>
      <c r="E179" s="1096"/>
      <c r="F179" s="881"/>
      <c r="G179" s="881"/>
      <c r="H179" s="881"/>
      <c r="I179" s="881"/>
      <c r="J179" s="881"/>
      <c r="K179" s="881"/>
      <c r="L179" s="881"/>
      <c r="M179" s="881"/>
      <c r="N179" s="881"/>
      <c r="O179" s="881"/>
      <c r="P179" s="881"/>
      <c r="Q179" s="2448"/>
      <c r="R179" s="416"/>
    </row>
    <row r="180" spans="1:25" s="126" customFormat="1" x14ac:dyDescent="0.3">
      <c r="B180" s="2258" t="s">
        <v>149</v>
      </c>
      <c r="C180" s="1095"/>
      <c r="D180" s="5391"/>
      <c r="E180" s="5391"/>
      <c r="F180" s="5391"/>
      <c r="G180" s="5391"/>
      <c r="H180" s="5391"/>
      <c r="I180" s="5391"/>
      <c r="J180" s="5391"/>
      <c r="K180" s="5391"/>
      <c r="L180" s="5391"/>
      <c r="M180" s="5391"/>
      <c r="N180" s="5391"/>
      <c r="O180" s="5392"/>
      <c r="P180" s="461">
        <f t="shared" ref="P180:P187" si="91">SUM(D180:O180)</f>
        <v>0</v>
      </c>
      <c r="Q180" s="602" t="e">
        <f t="shared" ref="Q180:Q187" si="92">P180/$C$7</f>
        <v>#DIV/0!</v>
      </c>
      <c r="R180" s="467"/>
      <c r="S180" s="487"/>
      <c r="T180" s="420"/>
      <c r="U180" s="432"/>
      <c r="V180" s="432"/>
      <c r="W180" s="432"/>
      <c r="X180" s="432"/>
      <c r="Y180" s="432"/>
    </row>
    <row r="181" spans="1:25" s="126" customFormat="1" x14ac:dyDescent="0.3">
      <c r="B181" s="2259" t="s">
        <v>617</v>
      </c>
      <c r="C181" s="5393">
        <v>1.4999999999999999E-2</v>
      </c>
      <c r="D181" s="1082">
        <f>Ingresos!E12*$C181</f>
        <v>0</v>
      </c>
      <c r="E181" s="1082">
        <f>Ingresos!F12*$C181</f>
        <v>0</v>
      </c>
      <c r="F181" s="1082">
        <f>Ingresos!G12*$C181</f>
        <v>0</v>
      </c>
      <c r="G181" s="1082">
        <f>Ingresos!H12*$C181</f>
        <v>0</v>
      </c>
      <c r="H181" s="1082">
        <f>Ingresos!I12*$C181</f>
        <v>0</v>
      </c>
      <c r="I181" s="1082">
        <f>Ingresos!J12*$C181</f>
        <v>0</v>
      </c>
      <c r="J181" s="1082">
        <f>Ingresos!K12*$C181</f>
        <v>0</v>
      </c>
      <c r="K181" s="1082">
        <f>Ingresos!L12*$C181</f>
        <v>0</v>
      </c>
      <c r="L181" s="1082">
        <f>Ingresos!M12*$C181</f>
        <v>0</v>
      </c>
      <c r="M181" s="1082">
        <f>Ingresos!N12*$C181</f>
        <v>0</v>
      </c>
      <c r="N181" s="1082">
        <f>Ingresos!O12*$C181</f>
        <v>0</v>
      </c>
      <c r="O181" s="1131">
        <f>Ingresos!P12*$C181</f>
        <v>0</v>
      </c>
      <c r="P181" s="459">
        <f t="shared" si="91"/>
        <v>0</v>
      </c>
      <c r="Q181" s="603" t="e">
        <f t="shared" si="92"/>
        <v>#DIV/0!</v>
      </c>
      <c r="R181" s="467"/>
      <c r="S181" s="487"/>
      <c r="T181" s="420"/>
      <c r="U181" s="432"/>
      <c r="V181" s="432"/>
      <c r="W181" s="432"/>
      <c r="X181" s="432"/>
      <c r="Y181" s="432"/>
    </row>
    <row r="182" spans="1:25" s="126" customFormat="1" x14ac:dyDescent="0.3">
      <c r="B182" s="2259" t="s">
        <v>618</v>
      </c>
      <c r="C182" s="5393">
        <v>1.4999999999999999E-2</v>
      </c>
      <c r="D182" s="1082">
        <f>(Ingresos!E35+Ingresos!E86)*$C182</f>
        <v>0</v>
      </c>
      <c r="E182" s="1082">
        <f>(Ingresos!F35+Ingresos!F86)*$C182</f>
        <v>0</v>
      </c>
      <c r="F182" s="1082">
        <f>(Ingresos!G35+Ingresos!G86)*$C182</f>
        <v>0</v>
      </c>
      <c r="G182" s="1082">
        <f>(Ingresos!H35+Ingresos!H86)*$C182</f>
        <v>0</v>
      </c>
      <c r="H182" s="1082">
        <f>(Ingresos!I35+Ingresos!I86)*$C182</f>
        <v>0</v>
      </c>
      <c r="I182" s="1082">
        <f>(Ingresos!J35+Ingresos!J86)*$C182</f>
        <v>0</v>
      </c>
      <c r="J182" s="1082">
        <f>(Ingresos!K35+Ingresos!K86)*$C182</f>
        <v>0</v>
      </c>
      <c r="K182" s="1082">
        <f>(Ingresos!L35+Ingresos!L86)*$C182</f>
        <v>0</v>
      </c>
      <c r="L182" s="1082">
        <f>(Ingresos!M35+Ingresos!M86)*$C182</f>
        <v>0</v>
      </c>
      <c r="M182" s="1082">
        <f>(Ingresos!N35+Ingresos!N86)*$C182</f>
        <v>0</v>
      </c>
      <c r="N182" s="1082">
        <f>(Ingresos!O35+Ingresos!O86)*$C182</f>
        <v>0</v>
      </c>
      <c r="O182" s="1131">
        <f>(Ingresos!P35+Ingresos!P86)*$C182</f>
        <v>0</v>
      </c>
      <c r="P182" s="459">
        <f t="shared" si="91"/>
        <v>0</v>
      </c>
      <c r="Q182" s="603" t="e">
        <f t="shared" si="92"/>
        <v>#DIV/0!</v>
      </c>
      <c r="R182" s="467"/>
      <c r="S182" s="487"/>
      <c r="T182" s="420"/>
      <c r="U182" s="432"/>
      <c r="V182" s="432"/>
      <c r="W182" s="432"/>
      <c r="X182" s="432"/>
      <c r="Y182" s="432"/>
    </row>
    <row r="183" spans="1:25" s="126" customFormat="1" x14ac:dyDescent="0.3">
      <c r="B183" s="2259" t="s">
        <v>619</v>
      </c>
      <c r="C183" s="5393">
        <v>1.4999999999999999E-2</v>
      </c>
      <c r="D183" s="1082">
        <f>Ingresos!E292*$C183</f>
        <v>0</v>
      </c>
      <c r="E183" s="1082">
        <f>Ingresos!F292*$C183</f>
        <v>0</v>
      </c>
      <c r="F183" s="1082">
        <f>Ingresos!G292*$C183</f>
        <v>0</v>
      </c>
      <c r="G183" s="1082">
        <f>Ingresos!H292*$C183</f>
        <v>0</v>
      </c>
      <c r="H183" s="1082">
        <f>Ingresos!I292*$C183</f>
        <v>0</v>
      </c>
      <c r="I183" s="1082">
        <f>Ingresos!J292*$C183</f>
        <v>0</v>
      </c>
      <c r="J183" s="1082">
        <f>Ingresos!K292*$C183</f>
        <v>0</v>
      </c>
      <c r="K183" s="1082">
        <f>Ingresos!L292*$C183</f>
        <v>0</v>
      </c>
      <c r="L183" s="1082">
        <f>Ingresos!M292*$C183</f>
        <v>0</v>
      </c>
      <c r="M183" s="1082">
        <f>Ingresos!N292*$C183</f>
        <v>0</v>
      </c>
      <c r="N183" s="1082">
        <f>Ingresos!O292*$C183</f>
        <v>0</v>
      </c>
      <c r="O183" s="1131">
        <f>Ingresos!P292*$C183</f>
        <v>0</v>
      </c>
      <c r="P183" s="459">
        <f t="shared" si="91"/>
        <v>0</v>
      </c>
      <c r="Q183" s="603" t="e">
        <f t="shared" si="92"/>
        <v>#DIV/0!</v>
      </c>
      <c r="R183" s="467"/>
      <c r="S183" s="487"/>
      <c r="T183" s="420"/>
      <c r="U183" s="432"/>
      <c r="V183" s="432"/>
      <c r="W183" s="432"/>
      <c r="X183" s="432"/>
      <c r="Y183" s="432"/>
    </row>
    <row r="184" spans="1:25" s="126" customFormat="1" x14ac:dyDescent="0.3">
      <c r="B184" s="2259" t="s">
        <v>620</v>
      </c>
      <c r="C184" s="5393">
        <v>1.4999999999999999E-2</v>
      </c>
      <c r="D184" s="1082">
        <f>Ingresos!E644*$C184</f>
        <v>0</v>
      </c>
      <c r="E184" s="1082">
        <f>Ingresos!F644*$C184</f>
        <v>0</v>
      </c>
      <c r="F184" s="1082">
        <f>Ingresos!G644*$C184</f>
        <v>0</v>
      </c>
      <c r="G184" s="1082">
        <f>Ingresos!H644*$C184</f>
        <v>0</v>
      </c>
      <c r="H184" s="1082">
        <f>Ingresos!I644*$C184</f>
        <v>0</v>
      </c>
      <c r="I184" s="1082">
        <f>Ingresos!J644*$C184</f>
        <v>0</v>
      </c>
      <c r="J184" s="1082">
        <f>Ingresos!K644*$C184</f>
        <v>0</v>
      </c>
      <c r="K184" s="1082">
        <f>Ingresos!L644*$C184</f>
        <v>0</v>
      </c>
      <c r="L184" s="1082">
        <f>Ingresos!M644*$C184</f>
        <v>0</v>
      </c>
      <c r="M184" s="1082">
        <f>Ingresos!N644*$C184</f>
        <v>0</v>
      </c>
      <c r="N184" s="1082">
        <f>Ingresos!O644*$C184</f>
        <v>0</v>
      </c>
      <c r="O184" s="1131">
        <f>Ingresos!P644*$C184</f>
        <v>0</v>
      </c>
      <c r="P184" s="459">
        <f t="shared" si="91"/>
        <v>0</v>
      </c>
      <c r="Q184" s="603" t="e">
        <f t="shared" si="92"/>
        <v>#DIV/0!</v>
      </c>
      <c r="R184" s="467"/>
      <c r="S184" s="487"/>
      <c r="T184" s="420"/>
      <c r="U184" s="432"/>
      <c r="V184" s="432"/>
      <c r="W184" s="432"/>
      <c r="X184" s="432"/>
      <c r="Y184" s="432"/>
    </row>
    <row r="185" spans="1:25" s="126" customFormat="1" x14ac:dyDescent="0.3">
      <c r="B185" s="1105" t="s">
        <v>621</v>
      </c>
      <c r="C185" s="5394">
        <v>1.4999999999999999E-2</v>
      </c>
      <c r="D185" s="1109">
        <f>Ingresos!E647*$C185</f>
        <v>0</v>
      </c>
      <c r="E185" s="1109">
        <f>Ingresos!F647*$C185</f>
        <v>0</v>
      </c>
      <c r="F185" s="1109">
        <f>Ingresos!G647*$C185</f>
        <v>0</v>
      </c>
      <c r="G185" s="1109">
        <f>Ingresos!H647*$C185</f>
        <v>0</v>
      </c>
      <c r="H185" s="1109">
        <f>Ingresos!I647*$C185</f>
        <v>0</v>
      </c>
      <c r="I185" s="1109">
        <f>Ingresos!J647*$C185</f>
        <v>0</v>
      </c>
      <c r="J185" s="1109">
        <f>Ingresos!K647*$C185</f>
        <v>0</v>
      </c>
      <c r="K185" s="1109">
        <f>Ingresos!L647*$C185</f>
        <v>0</v>
      </c>
      <c r="L185" s="1109">
        <f>Ingresos!M647*$C185</f>
        <v>0</v>
      </c>
      <c r="M185" s="1109">
        <f>Ingresos!N647*$C185</f>
        <v>0</v>
      </c>
      <c r="N185" s="1109">
        <f>Ingresos!O647*$C185</f>
        <v>0</v>
      </c>
      <c r="O185" s="1132">
        <f>Ingresos!P647*$C185</f>
        <v>0</v>
      </c>
      <c r="P185" s="459">
        <f t="shared" si="91"/>
        <v>0</v>
      </c>
      <c r="Q185" s="603" t="e">
        <f t="shared" si="92"/>
        <v>#DIV/0!</v>
      </c>
      <c r="R185" s="467"/>
      <c r="S185" s="487"/>
      <c r="T185" s="420"/>
      <c r="U185" s="420"/>
      <c r="V185" s="420"/>
      <c r="W185" s="420"/>
      <c r="X185" s="420"/>
      <c r="Y185" s="420"/>
    </row>
    <row r="186" spans="1:25" s="435" customFormat="1" ht="15.05" thickBot="1" x14ac:dyDescent="0.35">
      <c r="B186" s="2260" t="s">
        <v>672</v>
      </c>
      <c r="C186" s="2257"/>
      <c r="D186" s="5395"/>
      <c r="E186" s="5395"/>
      <c r="F186" s="5395"/>
      <c r="G186" s="5395"/>
      <c r="H186" s="5395"/>
      <c r="I186" s="5395"/>
      <c r="J186" s="5395"/>
      <c r="K186" s="5395"/>
      <c r="L186" s="5395"/>
      <c r="M186" s="5395"/>
      <c r="N186" s="5395"/>
      <c r="O186" s="5396"/>
      <c r="P186" s="459"/>
      <c r="Q186" s="603"/>
      <c r="R186" s="467"/>
      <c r="S186" s="487"/>
      <c r="T186" s="420"/>
      <c r="U186" s="432"/>
      <c r="V186" s="432"/>
      <c r="W186" s="432"/>
      <c r="X186" s="432"/>
      <c r="Y186" s="432"/>
    </row>
    <row r="187" spans="1:25" s="126" customFormat="1" ht="15.05" thickBot="1" x14ac:dyDescent="0.35">
      <c r="B187" s="1112" t="s">
        <v>52</v>
      </c>
      <c r="C187" s="1113"/>
      <c r="D187" s="1088">
        <f>SUM(D180:D186)</f>
        <v>0</v>
      </c>
      <c r="E187" s="1114">
        <f>SUM(E180:E186)</f>
        <v>0</v>
      </c>
      <c r="F187" s="1114">
        <f t="shared" ref="F187:O187" si="93">SUM(F180:F186)</f>
        <v>0</v>
      </c>
      <c r="G187" s="1114">
        <f t="shared" si="93"/>
        <v>0</v>
      </c>
      <c r="H187" s="1114">
        <f t="shared" si="93"/>
        <v>0</v>
      </c>
      <c r="I187" s="1114">
        <f t="shared" si="93"/>
        <v>0</v>
      </c>
      <c r="J187" s="1114">
        <f t="shared" si="93"/>
        <v>0</v>
      </c>
      <c r="K187" s="1114">
        <f t="shared" si="93"/>
        <v>0</v>
      </c>
      <c r="L187" s="1114">
        <f t="shared" si="93"/>
        <v>0</v>
      </c>
      <c r="M187" s="1114">
        <f t="shared" si="93"/>
        <v>0</v>
      </c>
      <c r="N187" s="1114">
        <f t="shared" si="93"/>
        <v>0</v>
      </c>
      <c r="O187" s="1114">
        <f t="shared" si="93"/>
        <v>0</v>
      </c>
      <c r="P187" s="1115">
        <f t="shared" si="91"/>
        <v>0</v>
      </c>
      <c r="Q187" s="1111" t="e">
        <f t="shared" si="92"/>
        <v>#DIV/0!</v>
      </c>
      <c r="R187" s="1143"/>
      <c r="S187" s="5385"/>
      <c r="T187" s="1112" t="s">
        <v>509</v>
      </c>
      <c r="U187" s="420" t="s">
        <v>516</v>
      </c>
      <c r="V187" s="432"/>
      <c r="W187" s="432"/>
      <c r="X187" s="432"/>
      <c r="Y187" s="432"/>
    </row>
    <row r="188" spans="1:25" ht="15.05" thickBot="1" x14ac:dyDescent="0.35">
      <c r="S188" s="487"/>
    </row>
    <row r="189" spans="1:25" s="126" customFormat="1" ht="15.05" thickBot="1" x14ac:dyDescent="0.35">
      <c r="B189" s="605" t="s">
        <v>2209</v>
      </c>
      <c r="C189" s="1116"/>
      <c r="D189" s="1089">
        <f t="shared" ref="D189:P189" ca="1" si="94">+D187+D177+D152</f>
        <v>0</v>
      </c>
      <c r="E189" s="1089">
        <f t="shared" ca="1" si="94"/>
        <v>0</v>
      </c>
      <c r="F189" s="1089">
        <f t="shared" ca="1" si="94"/>
        <v>0</v>
      </c>
      <c r="G189" s="1089">
        <f t="shared" ca="1" si="94"/>
        <v>0</v>
      </c>
      <c r="H189" s="1089">
        <f t="shared" ca="1" si="94"/>
        <v>0</v>
      </c>
      <c r="I189" s="1089">
        <f t="shared" ca="1" si="94"/>
        <v>0</v>
      </c>
      <c r="J189" s="1089">
        <f t="shared" ca="1" si="94"/>
        <v>0</v>
      </c>
      <c r="K189" s="1089">
        <f t="shared" ca="1" si="94"/>
        <v>0</v>
      </c>
      <c r="L189" s="1089">
        <f t="shared" ca="1" si="94"/>
        <v>0</v>
      </c>
      <c r="M189" s="1089">
        <f t="shared" ca="1" si="94"/>
        <v>0</v>
      </c>
      <c r="N189" s="1089">
        <f t="shared" ca="1" si="94"/>
        <v>0</v>
      </c>
      <c r="O189" s="1089">
        <f ca="1">+O187+O177+O152</f>
        <v>0</v>
      </c>
      <c r="P189" s="1089">
        <f t="shared" ca="1" si="94"/>
        <v>0</v>
      </c>
      <c r="Q189" s="1090" t="e">
        <f ca="1">P189/$C$7</f>
        <v>#DIV/0!</v>
      </c>
      <c r="R189" s="468"/>
      <c r="S189" s="1115">
        <f>+S187+S177+S152</f>
        <v>0</v>
      </c>
      <c r="T189" s="1112" t="str">
        <f>+B189</f>
        <v>TOTAL GASTOS sin renta</v>
      </c>
      <c r="U189" s="432" t="s">
        <v>516</v>
      </c>
      <c r="V189" s="432"/>
      <c r="W189" s="432"/>
      <c r="X189" s="432"/>
      <c r="Y189" s="432"/>
    </row>
    <row r="190" spans="1:25" ht="15.05" thickBot="1" x14ac:dyDescent="0.35">
      <c r="P190" s="463"/>
      <c r="Q190" s="463"/>
      <c r="R190" s="527"/>
      <c r="S190" s="487"/>
    </row>
    <row r="191" spans="1:25" s="435" customFormat="1" ht="15.05" thickBot="1" x14ac:dyDescent="0.35">
      <c r="A191" s="1344">
        <f>+A193+1</f>
        <v>131</v>
      </c>
      <c r="B191" s="880" t="s">
        <v>1847</v>
      </c>
      <c r="C191" s="5397"/>
      <c r="D191" s="2417">
        <f ca="1">+(D189)*$C191</f>
        <v>0</v>
      </c>
      <c r="E191" s="1221">
        <f t="shared" ref="E191:O191" ca="1" si="95">+(E189)*$C191</f>
        <v>0</v>
      </c>
      <c r="F191" s="881">
        <f t="shared" ca="1" si="95"/>
        <v>0</v>
      </c>
      <c r="G191" s="881">
        <f t="shared" ca="1" si="95"/>
        <v>0</v>
      </c>
      <c r="H191" s="881">
        <f t="shared" ca="1" si="95"/>
        <v>0</v>
      </c>
      <c r="I191" s="881">
        <f t="shared" ca="1" si="95"/>
        <v>0</v>
      </c>
      <c r="J191" s="881">
        <f t="shared" ca="1" si="95"/>
        <v>0</v>
      </c>
      <c r="K191" s="881">
        <f t="shared" ca="1" si="95"/>
        <v>0</v>
      </c>
      <c r="L191" s="881">
        <f t="shared" ca="1" si="95"/>
        <v>0</v>
      </c>
      <c r="M191" s="881">
        <f t="shared" ca="1" si="95"/>
        <v>0</v>
      </c>
      <c r="N191" s="881">
        <f t="shared" ca="1" si="95"/>
        <v>0</v>
      </c>
      <c r="O191" s="881">
        <f t="shared" ca="1" si="95"/>
        <v>0</v>
      </c>
      <c r="P191" s="1136">
        <f ca="1">SUM(D191:O191)</f>
        <v>0</v>
      </c>
      <c r="Q191" s="1137" t="e">
        <f ca="1">P191/$C$7</f>
        <v>#DIV/0!</v>
      </c>
      <c r="R191" s="441"/>
    </row>
    <row r="192" spans="1:25" ht="15.05" thickBot="1" x14ac:dyDescent="0.35">
      <c r="S192" s="487"/>
      <c r="U192" s="432"/>
      <c r="V192" s="432"/>
      <c r="W192" s="432"/>
      <c r="X192" s="432"/>
      <c r="Y192" s="432"/>
    </row>
    <row r="193" spans="1:25" ht="15.05" thickBot="1" x14ac:dyDescent="0.35">
      <c r="A193" s="1344">
        <f>+A179+1</f>
        <v>130</v>
      </c>
      <c r="B193" s="880" t="s">
        <v>1817</v>
      </c>
      <c r="C193" s="1098" t="s">
        <v>510</v>
      </c>
      <c r="D193" s="1099"/>
      <c r="E193" s="1099"/>
      <c r="F193" s="881"/>
      <c r="G193" s="881"/>
      <c r="H193" s="881"/>
      <c r="I193" s="881"/>
      <c r="J193" s="881"/>
      <c r="K193" s="881"/>
      <c r="L193" s="881"/>
      <c r="M193" s="881"/>
      <c r="N193" s="881"/>
      <c r="O193" s="881"/>
      <c r="P193" s="881"/>
      <c r="Q193" s="2448"/>
      <c r="R193" s="416"/>
      <c r="S193" s="487"/>
    </row>
    <row r="194" spans="1:25" s="126" customFormat="1" x14ac:dyDescent="0.3">
      <c r="B194" s="5398"/>
      <c r="C194" s="5399"/>
      <c r="D194" s="5400"/>
      <c r="E194" s="5400"/>
      <c r="F194" s="5400"/>
      <c r="G194" s="5400"/>
      <c r="H194" s="5400"/>
      <c r="I194" s="5400"/>
      <c r="J194" s="5400"/>
      <c r="K194" s="5400"/>
      <c r="L194" s="5400"/>
      <c r="M194" s="5400"/>
      <c r="N194" s="5400"/>
      <c r="O194" s="5401"/>
      <c r="P194" s="1103">
        <f>SUM(D194:O194)</f>
        <v>0</v>
      </c>
      <c r="Q194" s="450"/>
      <c r="R194" s="467"/>
      <c r="S194" s="450"/>
      <c r="T194" s="420"/>
      <c r="U194" s="420"/>
      <c r="V194" s="420"/>
      <c r="W194" s="420"/>
      <c r="X194" s="420"/>
      <c r="Y194" s="420"/>
    </row>
    <row r="195" spans="1:25" s="126" customFormat="1" x14ac:dyDescent="0.3">
      <c r="B195" s="5402"/>
      <c r="C195" s="5403"/>
      <c r="D195" s="5342"/>
      <c r="E195" s="5342"/>
      <c r="F195" s="5342"/>
      <c r="G195" s="5342"/>
      <c r="H195" s="5342"/>
      <c r="I195" s="5342"/>
      <c r="J195" s="5342"/>
      <c r="K195" s="5342"/>
      <c r="L195" s="5342"/>
      <c r="M195" s="5342"/>
      <c r="N195" s="5342"/>
      <c r="O195" s="5343"/>
      <c r="P195" s="1103">
        <f>SUM(D195:O195)</f>
        <v>0</v>
      </c>
      <c r="Q195" s="450"/>
      <c r="R195" s="467"/>
      <c r="S195" s="450"/>
      <c r="T195" s="420"/>
      <c r="U195" s="420"/>
      <c r="V195" s="420"/>
      <c r="W195" s="420"/>
      <c r="X195" s="420"/>
      <c r="Y195" s="420"/>
    </row>
    <row r="196" spans="1:25" s="126" customFormat="1" x14ac:dyDescent="0.3">
      <c r="B196" s="5402"/>
      <c r="C196" s="5403"/>
      <c r="D196" s="5342"/>
      <c r="E196" s="5342"/>
      <c r="F196" s="5342"/>
      <c r="G196" s="5342"/>
      <c r="H196" s="5342"/>
      <c r="I196" s="5342"/>
      <c r="J196" s="5342"/>
      <c r="K196" s="5342"/>
      <c r="L196" s="5342"/>
      <c r="M196" s="5342"/>
      <c r="N196" s="5342"/>
      <c r="O196" s="5343"/>
      <c r="P196" s="1103">
        <f t="shared" ref="P196:P202" si="96">SUM(D196:O196)</f>
        <v>0</v>
      </c>
      <c r="Q196" s="450"/>
      <c r="R196" s="467"/>
      <c r="S196" s="450"/>
      <c r="T196" s="420"/>
      <c r="U196" s="420"/>
      <c r="V196" s="420"/>
      <c r="W196" s="420"/>
      <c r="X196" s="420"/>
      <c r="Y196" s="420"/>
    </row>
    <row r="197" spans="1:25" s="126" customFormat="1" x14ac:dyDescent="0.3">
      <c r="B197" s="5402"/>
      <c r="C197" s="5403"/>
      <c r="D197" s="5342"/>
      <c r="E197" s="5342"/>
      <c r="F197" s="5342"/>
      <c r="G197" s="5342"/>
      <c r="H197" s="5342"/>
      <c r="I197" s="5342"/>
      <c r="J197" s="5342"/>
      <c r="K197" s="5342"/>
      <c r="L197" s="5342"/>
      <c r="M197" s="5342"/>
      <c r="N197" s="5342"/>
      <c r="O197" s="5343"/>
      <c r="P197" s="1103">
        <f t="shared" si="96"/>
        <v>0</v>
      </c>
      <c r="Q197" s="450"/>
      <c r="R197" s="467"/>
      <c r="S197" s="450"/>
      <c r="T197" s="420"/>
      <c r="U197" s="420"/>
      <c r="V197" s="420"/>
      <c r="W197" s="420"/>
      <c r="X197" s="420"/>
      <c r="Y197" s="420"/>
    </row>
    <row r="198" spans="1:25" s="126" customFormat="1" x14ac:dyDescent="0.3">
      <c r="B198" s="5402"/>
      <c r="C198" s="5403"/>
      <c r="D198" s="5342"/>
      <c r="E198" s="5342"/>
      <c r="F198" s="5342"/>
      <c r="G198" s="5342"/>
      <c r="H198" s="5342"/>
      <c r="I198" s="5342"/>
      <c r="J198" s="5342"/>
      <c r="K198" s="5342"/>
      <c r="L198" s="5342"/>
      <c r="M198" s="5342"/>
      <c r="N198" s="5342"/>
      <c r="O198" s="5343"/>
      <c r="P198" s="1103">
        <f>SUM(D198:O198)</f>
        <v>0</v>
      </c>
      <c r="Q198" s="450"/>
      <c r="R198" s="467"/>
      <c r="S198" s="450"/>
      <c r="T198" s="420"/>
      <c r="U198" s="420"/>
      <c r="V198" s="420"/>
      <c r="W198" s="420"/>
      <c r="X198" s="420"/>
      <c r="Y198" s="420"/>
    </row>
    <row r="199" spans="1:25" s="126" customFormat="1" x14ac:dyDescent="0.3">
      <c r="B199" s="5402"/>
      <c r="C199" s="5403"/>
      <c r="D199" s="5342"/>
      <c r="E199" s="5342"/>
      <c r="F199" s="5342"/>
      <c r="G199" s="5342"/>
      <c r="H199" s="5342"/>
      <c r="I199" s="5342"/>
      <c r="J199" s="5342"/>
      <c r="K199" s="5342"/>
      <c r="L199" s="5342"/>
      <c r="M199" s="5342"/>
      <c r="N199" s="5342"/>
      <c r="O199" s="5343"/>
      <c r="P199" s="1103">
        <f t="shared" si="96"/>
        <v>0</v>
      </c>
      <c r="Q199" s="450"/>
      <c r="R199" s="467"/>
      <c r="S199" s="450"/>
      <c r="T199" s="420"/>
      <c r="U199" s="420"/>
      <c r="V199" s="420"/>
      <c r="W199" s="420"/>
      <c r="X199" s="420"/>
      <c r="Y199" s="420"/>
    </row>
    <row r="200" spans="1:25" s="126" customFormat="1" x14ac:dyDescent="0.3">
      <c r="B200" s="5402"/>
      <c r="C200" s="5403"/>
      <c r="D200" s="5342"/>
      <c r="E200" s="5342"/>
      <c r="F200" s="5342"/>
      <c r="G200" s="5342"/>
      <c r="H200" s="5342"/>
      <c r="I200" s="5342"/>
      <c r="J200" s="5342"/>
      <c r="K200" s="5342"/>
      <c r="L200" s="5342"/>
      <c r="M200" s="5342"/>
      <c r="N200" s="5342"/>
      <c r="O200" s="5343"/>
      <c r="P200" s="1103">
        <f t="shared" si="96"/>
        <v>0</v>
      </c>
      <c r="Q200" s="450"/>
      <c r="R200" s="467"/>
      <c r="S200" s="450"/>
      <c r="T200" s="420"/>
      <c r="U200" s="420"/>
      <c r="V200" s="420"/>
      <c r="W200" s="420"/>
      <c r="X200" s="420"/>
      <c r="Y200" s="420"/>
    </row>
    <row r="201" spans="1:25" s="126" customFormat="1" x14ac:dyDescent="0.3">
      <c r="B201" s="5402"/>
      <c r="C201" s="5403"/>
      <c r="D201" s="5342"/>
      <c r="E201" s="5342"/>
      <c r="F201" s="5342"/>
      <c r="G201" s="5342"/>
      <c r="H201" s="5342"/>
      <c r="I201" s="5342"/>
      <c r="J201" s="5342"/>
      <c r="K201" s="5342"/>
      <c r="L201" s="5342"/>
      <c r="M201" s="5342"/>
      <c r="N201" s="5342"/>
      <c r="O201" s="5343"/>
      <c r="P201" s="1103">
        <f t="shared" si="96"/>
        <v>0</v>
      </c>
      <c r="Q201" s="450"/>
      <c r="R201" s="467"/>
      <c r="S201" s="450"/>
      <c r="T201" s="420"/>
      <c r="U201" s="420"/>
      <c r="V201" s="420"/>
      <c r="W201" s="420"/>
      <c r="X201" s="420"/>
      <c r="Y201" s="420"/>
    </row>
    <row r="202" spans="1:25" s="126" customFormat="1" x14ac:dyDescent="0.3">
      <c r="B202" s="5402"/>
      <c r="C202" s="5403"/>
      <c r="D202" s="5342"/>
      <c r="E202" s="5342"/>
      <c r="F202" s="5342"/>
      <c r="G202" s="5342"/>
      <c r="H202" s="5342"/>
      <c r="I202" s="5342"/>
      <c r="J202" s="5342"/>
      <c r="K202" s="5342"/>
      <c r="L202" s="5342"/>
      <c r="M202" s="5342"/>
      <c r="N202" s="5342"/>
      <c r="O202" s="5343"/>
      <c r="P202" s="1103">
        <f t="shared" si="96"/>
        <v>0</v>
      </c>
      <c r="Q202" s="450"/>
      <c r="R202" s="467"/>
      <c r="S202" s="450"/>
      <c r="T202" s="420"/>
      <c r="U202" s="420"/>
      <c r="V202" s="420"/>
      <c r="W202" s="420"/>
      <c r="X202" s="420"/>
      <c r="Y202" s="420"/>
    </row>
    <row r="203" spans="1:25" s="126" customFormat="1" ht="15.05" thickBot="1" x14ac:dyDescent="0.35">
      <c r="B203" s="5404"/>
      <c r="C203" s="5405"/>
      <c r="D203" s="5362"/>
      <c r="E203" s="5362"/>
      <c r="F203" s="5362"/>
      <c r="G203" s="5362"/>
      <c r="H203" s="5362"/>
      <c r="I203" s="5362"/>
      <c r="J203" s="5362"/>
      <c r="K203" s="5362"/>
      <c r="L203" s="5362"/>
      <c r="M203" s="5362"/>
      <c r="N203" s="5362"/>
      <c r="O203" s="5406"/>
      <c r="P203" s="1103">
        <f>SUM(D203:O203)</f>
        <v>0</v>
      </c>
      <c r="Q203" s="450"/>
      <c r="R203" s="467"/>
      <c r="S203" s="450"/>
      <c r="T203" s="420"/>
      <c r="U203" s="420"/>
      <c r="V203" s="420"/>
      <c r="W203" s="420"/>
      <c r="X203" s="420"/>
      <c r="Y203" s="420"/>
    </row>
    <row r="204" spans="1:25" s="126" customFormat="1" ht="15.05" thickBot="1" x14ac:dyDescent="0.35">
      <c r="B204" s="513" t="s">
        <v>715</v>
      </c>
      <c r="C204" s="1134">
        <f>+SUM(C194:C203)</f>
        <v>0</v>
      </c>
      <c r="D204" s="1135">
        <f t="shared" ref="D204:O204" si="97">SUM(D194:D203)</f>
        <v>0</v>
      </c>
      <c r="E204" s="1135">
        <f t="shared" si="97"/>
        <v>0</v>
      </c>
      <c r="F204" s="1135">
        <f t="shared" si="97"/>
        <v>0</v>
      </c>
      <c r="G204" s="1135">
        <f t="shared" si="97"/>
        <v>0</v>
      </c>
      <c r="H204" s="1135">
        <f t="shared" si="97"/>
        <v>0</v>
      </c>
      <c r="I204" s="1135">
        <f t="shared" si="97"/>
        <v>0</v>
      </c>
      <c r="J204" s="1135">
        <f t="shared" si="97"/>
        <v>0</v>
      </c>
      <c r="K204" s="1135">
        <f t="shared" si="97"/>
        <v>0</v>
      </c>
      <c r="L204" s="1135">
        <f t="shared" si="97"/>
        <v>0</v>
      </c>
      <c r="M204" s="1135">
        <f t="shared" si="97"/>
        <v>0</v>
      </c>
      <c r="N204" s="1135">
        <f t="shared" si="97"/>
        <v>0</v>
      </c>
      <c r="O204" s="1135">
        <f t="shared" si="97"/>
        <v>0</v>
      </c>
      <c r="P204" s="1111">
        <f>SUM(D204:O204)</f>
        <v>0</v>
      </c>
      <c r="Q204" s="1115" t="e">
        <f>P204/$C$7</f>
        <v>#DIV/0!</v>
      </c>
      <c r="R204" s="1143"/>
      <c r="S204" s="5385"/>
      <c r="T204" s="1112" t="str">
        <f>+B204</f>
        <v>Total Rentas</v>
      </c>
      <c r="U204" s="432" t="s">
        <v>516</v>
      </c>
      <c r="V204" s="432"/>
      <c r="W204" s="432"/>
      <c r="X204" s="432"/>
      <c r="Y204" s="432"/>
    </row>
    <row r="205" spans="1:25" ht="15.05" thickBot="1" x14ac:dyDescent="0.35">
      <c r="D205" s="463"/>
      <c r="E205" s="463"/>
      <c r="F205" s="463"/>
      <c r="G205" s="463"/>
      <c r="H205" s="463"/>
      <c r="I205" s="463"/>
      <c r="J205" s="463"/>
      <c r="K205" s="463"/>
      <c r="L205" s="463"/>
      <c r="M205" s="463"/>
      <c r="N205" s="463"/>
      <c r="O205" s="463"/>
      <c r="P205" s="463"/>
      <c r="Q205" s="463"/>
      <c r="R205" s="527"/>
      <c r="S205" s="487"/>
    </row>
    <row r="206" spans="1:25" s="126" customFormat="1" ht="15.05" thickBot="1" x14ac:dyDescent="0.35">
      <c r="A206" s="1344">
        <f>+A191+1</f>
        <v>132</v>
      </c>
      <c r="B206" s="1112" t="s">
        <v>2210</v>
      </c>
      <c r="C206" s="1113"/>
      <c r="D206" s="1224">
        <f ca="1">+D189+D204+D191</f>
        <v>0</v>
      </c>
      <c r="E206" s="543">
        <f t="shared" ref="E206:O206" ca="1" si="98">+E189+E204+E191</f>
        <v>0</v>
      </c>
      <c r="F206" s="543">
        <f t="shared" ca="1" si="98"/>
        <v>0</v>
      </c>
      <c r="G206" s="543">
        <f t="shared" ca="1" si="98"/>
        <v>0</v>
      </c>
      <c r="H206" s="543">
        <f t="shared" ca="1" si="98"/>
        <v>0</v>
      </c>
      <c r="I206" s="543">
        <f t="shared" ca="1" si="98"/>
        <v>0</v>
      </c>
      <c r="J206" s="543">
        <f t="shared" ca="1" si="98"/>
        <v>0</v>
      </c>
      <c r="K206" s="543">
        <f t="shared" ca="1" si="98"/>
        <v>0</v>
      </c>
      <c r="L206" s="543">
        <f t="shared" ca="1" si="98"/>
        <v>0</v>
      </c>
      <c r="M206" s="543">
        <f t="shared" ca="1" si="98"/>
        <v>0</v>
      </c>
      <c r="N206" s="543">
        <f t="shared" ca="1" si="98"/>
        <v>0</v>
      </c>
      <c r="O206" s="1133">
        <f t="shared" ca="1" si="98"/>
        <v>0</v>
      </c>
      <c r="P206" s="1088">
        <f ca="1">+P189+P204+P191</f>
        <v>0</v>
      </c>
      <c r="Q206" s="1094" t="e">
        <f ca="1">P206/$C$7</f>
        <v>#DIV/0!</v>
      </c>
      <c r="R206" s="536"/>
      <c r="S206" s="1111">
        <f>+S204+S189</f>
        <v>0</v>
      </c>
      <c r="T206" s="1112" t="str">
        <f>+B206</f>
        <v>TOTAL GASTOS con renta</v>
      </c>
      <c r="U206" s="432" t="s">
        <v>516</v>
      </c>
      <c r="V206" s="420"/>
      <c r="W206" s="420"/>
      <c r="X206" s="420"/>
      <c r="Y206" s="420"/>
    </row>
    <row r="207" spans="1:25" ht="15.05" thickBot="1" x14ac:dyDescent="0.35">
      <c r="S207" s="487"/>
    </row>
    <row r="208" spans="1:25" s="435" customFormat="1" ht="15.05" thickBot="1" x14ac:dyDescent="0.35">
      <c r="A208" s="1344">
        <f>+A206+1</f>
        <v>133</v>
      </c>
      <c r="B208" s="880" t="s">
        <v>678</v>
      </c>
      <c r="C208" s="881"/>
      <c r="D208" s="1096"/>
      <c r="E208" s="1096"/>
      <c r="F208" s="881"/>
      <c r="G208" s="881"/>
      <c r="H208" s="881"/>
      <c r="I208" s="881"/>
      <c r="J208" s="881"/>
      <c r="K208" s="881"/>
      <c r="L208" s="881"/>
      <c r="M208" s="881"/>
      <c r="N208" s="881"/>
      <c r="O208" s="881"/>
      <c r="P208" s="881"/>
      <c r="Q208" s="2448"/>
      <c r="R208" s="416"/>
    </row>
    <row r="209" spans="2:25" s="126" customFormat="1" x14ac:dyDescent="0.3">
      <c r="B209" s="5386"/>
      <c r="C209" s="480"/>
      <c r="D209" s="5377"/>
      <c r="E209" s="5340"/>
      <c r="F209" s="5340"/>
      <c r="G209" s="5340"/>
      <c r="H209" s="5340"/>
      <c r="I209" s="5340"/>
      <c r="J209" s="5340"/>
      <c r="K209" s="5340"/>
      <c r="L209" s="5340"/>
      <c r="M209" s="5340"/>
      <c r="N209" s="5340"/>
      <c r="O209" s="5340"/>
      <c r="P209" s="1103">
        <f>+SUM(D209:O209)</f>
        <v>0</v>
      </c>
      <c r="Q209" s="1103" t="e">
        <f>+P209/$C$7</f>
        <v>#DIV/0!</v>
      </c>
      <c r="R209" s="467"/>
      <c r="S209" s="450"/>
      <c r="T209" s="420"/>
      <c r="U209" s="420"/>
      <c r="V209" s="420"/>
      <c r="W209" s="420"/>
      <c r="X209" s="420"/>
      <c r="Y209" s="419"/>
    </row>
    <row r="210" spans="2:25" s="126" customFormat="1" ht="15.05" thickBot="1" x14ac:dyDescent="0.35">
      <c r="B210" s="5407"/>
      <c r="C210" s="420"/>
      <c r="D210" s="5408"/>
      <c r="E210" s="5408"/>
      <c r="F210" s="5408"/>
      <c r="G210" s="5408"/>
      <c r="H210" s="5408"/>
      <c r="I210" s="5408"/>
      <c r="J210" s="5408"/>
      <c r="K210" s="5408"/>
      <c r="L210" s="5408"/>
      <c r="M210" s="5408"/>
      <c r="N210" s="5408"/>
      <c r="O210" s="5408"/>
      <c r="P210" s="1103">
        <f>+SUM(D210:O210)</f>
        <v>0</v>
      </c>
      <c r="Q210" s="1103" t="e">
        <f>+P210/$C$7</f>
        <v>#DIV/0!</v>
      </c>
      <c r="R210" s="467"/>
      <c r="S210" s="450"/>
      <c r="T210" s="420"/>
      <c r="U210" s="420"/>
      <c r="V210" s="420"/>
      <c r="W210" s="420"/>
      <c r="X210" s="420"/>
      <c r="Y210" s="419"/>
    </row>
    <row r="211" spans="2:25" s="126" customFormat="1" ht="15.05" thickBot="1" x14ac:dyDescent="0.35">
      <c r="B211" s="513" t="s">
        <v>714</v>
      </c>
      <c r="C211" s="529"/>
      <c r="D211" s="1135">
        <f t="shared" ref="D211:O211" si="99">D209+D210</f>
        <v>0</v>
      </c>
      <c r="E211" s="1135">
        <f t="shared" si="99"/>
        <v>0</v>
      </c>
      <c r="F211" s="1135">
        <f t="shared" si="99"/>
        <v>0</v>
      </c>
      <c r="G211" s="1135">
        <f t="shared" si="99"/>
        <v>0</v>
      </c>
      <c r="H211" s="1135">
        <f t="shared" si="99"/>
        <v>0</v>
      </c>
      <c r="I211" s="1135">
        <f t="shared" si="99"/>
        <v>0</v>
      </c>
      <c r="J211" s="1135">
        <f t="shared" si="99"/>
        <v>0</v>
      </c>
      <c r="K211" s="1135">
        <f t="shared" si="99"/>
        <v>0</v>
      </c>
      <c r="L211" s="1135">
        <f t="shared" si="99"/>
        <v>0</v>
      </c>
      <c r="M211" s="1135">
        <f t="shared" si="99"/>
        <v>0</v>
      </c>
      <c r="N211" s="1135">
        <f t="shared" si="99"/>
        <v>0</v>
      </c>
      <c r="O211" s="1135">
        <f t="shared" si="99"/>
        <v>0</v>
      </c>
      <c r="P211" s="1111">
        <f>+SUM(D211:O211)</f>
        <v>0</v>
      </c>
      <c r="Q211" s="1115" t="e">
        <f>+Q210+Q209</f>
        <v>#DIV/0!</v>
      </c>
      <c r="R211" s="527"/>
      <c r="S211" s="487"/>
      <c r="T211" s="420"/>
      <c r="U211" s="432"/>
      <c r="V211" s="432"/>
      <c r="W211" s="432"/>
      <c r="X211" s="432"/>
      <c r="Y211" s="432"/>
    </row>
    <row r="212" spans="2:25" s="420" customFormat="1" x14ac:dyDescent="0.3">
      <c r="D212" s="450"/>
      <c r="E212" s="450"/>
      <c r="F212" s="450"/>
      <c r="G212" s="450"/>
      <c r="H212" s="450"/>
      <c r="I212" s="450"/>
      <c r="J212" s="450"/>
      <c r="K212" s="450"/>
      <c r="L212" s="450"/>
      <c r="M212" s="450"/>
      <c r="N212" s="450"/>
      <c r="O212" s="450"/>
      <c r="P212" s="450"/>
      <c r="Q212" s="450"/>
      <c r="R212" s="467"/>
      <c r="S212" s="450"/>
    </row>
    <row r="213" spans="2:25" s="420" customFormat="1" x14ac:dyDescent="0.3">
      <c r="D213" s="450"/>
      <c r="E213" s="450"/>
      <c r="F213" s="450"/>
      <c r="G213" s="450"/>
      <c r="H213" s="450"/>
      <c r="I213" s="450"/>
      <c r="J213" s="450"/>
      <c r="K213" s="450"/>
      <c r="L213" s="450"/>
      <c r="M213" s="450"/>
      <c r="N213" s="450"/>
      <c r="O213" s="450"/>
      <c r="P213" s="450"/>
      <c r="Q213" s="450"/>
      <c r="R213" s="467"/>
      <c r="S213" s="450"/>
    </row>
    <row r="214" spans="2:25" s="420" customFormat="1" x14ac:dyDescent="0.3">
      <c r="D214" s="450"/>
      <c r="E214" s="450"/>
      <c r="F214" s="450"/>
      <c r="G214" s="450"/>
      <c r="H214" s="450"/>
      <c r="I214" s="450"/>
      <c r="J214" s="450"/>
      <c r="K214" s="450"/>
      <c r="L214" s="450"/>
      <c r="M214" s="450"/>
      <c r="N214" s="450"/>
      <c r="O214" s="450"/>
      <c r="P214" s="450"/>
      <c r="Q214" s="450"/>
      <c r="R214" s="467"/>
      <c r="S214" s="450"/>
    </row>
    <row r="221" spans="2:25" x14ac:dyDescent="0.3">
      <c r="P221" s="450">
        <f>35+27</f>
        <v>62</v>
      </c>
    </row>
  </sheetData>
  <sheetProtection algorithmName="SHA-512" hashValue="7+cBdy6eNiaYSK+eC+pi7jB9h8MWzzGUgu+IACO/ezKETyWqGzB1Fr8IP0LFfImUrGPKvtVW12fwIIZhqPrlzw==" saltValue="eD0+PDMD6qk9vWSbpFHq5g==" spinCount="100000" sheet="1" objects="1" scenarios="1"/>
  <mergeCells count="1">
    <mergeCell ref="M4:O4"/>
  </mergeCells>
  <phoneticPr fontId="0" type="noConversion"/>
  <conditionalFormatting sqref="E7:P7 C7 D11:O22 D59:O65 S7:XFD7 S9:XFD9 S57:XFD57 S179:XFD179 S191:XFD191 U115:XFD115 T122:XFD122 T128:XFD128 T139:XFD139 S147:XFD147 S154:XFD154 T166:XFD166 S172:XFD172 S208:XFD208 B92:P92 V90:XFD90 T90:U91 T155:XFD155">
    <cfRule type="cellIs" dxfId="348" priority="190" operator="equal">
      <formula>0</formula>
    </cfRule>
  </conditionalFormatting>
  <conditionalFormatting sqref="D110:O113 D148:O150 D102:R102 P101:Q101 D93:R100">
    <cfRule type="cellIs" dxfId="347" priority="189" operator="equal">
      <formula>0</formula>
    </cfRule>
  </conditionalFormatting>
  <conditionalFormatting sqref="D180:R185">
    <cfRule type="cellIs" dxfId="346" priority="188" operator="equal">
      <formula>0</formula>
    </cfRule>
  </conditionalFormatting>
  <conditionalFormatting sqref="Q7:R7">
    <cfRule type="cellIs" dxfId="345" priority="186" operator="equal">
      <formula>0</formula>
    </cfRule>
  </conditionalFormatting>
  <conditionalFormatting sqref="B7">
    <cfRule type="cellIs" dxfId="344" priority="183" operator="equal">
      <formula>0</formula>
    </cfRule>
  </conditionalFormatting>
  <conditionalFormatting sqref="D7">
    <cfRule type="cellIs" dxfId="343" priority="182" operator="equal">
      <formula>0</formula>
    </cfRule>
  </conditionalFormatting>
  <conditionalFormatting sqref="E9:P9 C9">
    <cfRule type="cellIs" dxfId="342" priority="181" operator="equal">
      <formula>0</formula>
    </cfRule>
  </conditionalFormatting>
  <conditionalFormatting sqref="Q9:R9">
    <cfRule type="cellIs" dxfId="341" priority="180" operator="equal">
      <formula>0</formula>
    </cfRule>
  </conditionalFormatting>
  <conditionalFormatting sqref="B9">
    <cfRule type="cellIs" dxfId="340" priority="177" operator="equal">
      <formula>0</formula>
    </cfRule>
  </conditionalFormatting>
  <conditionalFormatting sqref="D9">
    <cfRule type="cellIs" dxfId="339" priority="176" operator="equal">
      <formula>0</formula>
    </cfRule>
  </conditionalFormatting>
  <conditionalFormatting sqref="E57:P57 C57">
    <cfRule type="cellIs" dxfId="338" priority="175" operator="equal">
      <formula>0</formula>
    </cfRule>
  </conditionalFormatting>
  <conditionalFormatting sqref="Q57:R57">
    <cfRule type="cellIs" dxfId="337" priority="174" operator="equal">
      <formula>0</formula>
    </cfRule>
  </conditionalFormatting>
  <conditionalFormatting sqref="B57">
    <cfRule type="cellIs" dxfId="336" priority="171" operator="equal">
      <formula>0</formula>
    </cfRule>
  </conditionalFormatting>
  <conditionalFormatting sqref="D57">
    <cfRule type="cellIs" dxfId="335" priority="170" operator="equal">
      <formula>0</formula>
    </cfRule>
  </conditionalFormatting>
  <conditionalFormatting sqref="E90:O90 C90">
    <cfRule type="cellIs" dxfId="334" priority="169" operator="equal">
      <formula>0</formula>
    </cfRule>
  </conditionalFormatting>
  <conditionalFormatting sqref="B90">
    <cfRule type="cellIs" dxfId="333" priority="165" operator="equal">
      <formula>0</formula>
    </cfRule>
  </conditionalFormatting>
  <conditionalFormatting sqref="D90">
    <cfRule type="cellIs" dxfId="332" priority="164" operator="equal">
      <formula>0</formula>
    </cfRule>
  </conditionalFormatting>
  <conditionalFormatting sqref="E154:O154 C154">
    <cfRule type="cellIs" dxfId="331" priority="163" operator="equal">
      <formula>0</formula>
    </cfRule>
  </conditionalFormatting>
  <conditionalFormatting sqref="B154">
    <cfRule type="cellIs" dxfId="330" priority="159" operator="equal">
      <formula>0</formula>
    </cfRule>
  </conditionalFormatting>
  <conditionalFormatting sqref="D154">
    <cfRule type="cellIs" dxfId="329" priority="158" operator="equal">
      <formula>0</formula>
    </cfRule>
  </conditionalFormatting>
  <conditionalFormatting sqref="E179:O179 C179">
    <cfRule type="cellIs" dxfId="328" priority="157" operator="equal">
      <formula>0</formula>
    </cfRule>
  </conditionalFormatting>
  <conditionalFormatting sqref="B179">
    <cfRule type="cellIs" dxfId="327" priority="153" operator="equal">
      <formula>0</formula>
    </cfRule>
  </conditionalFormatting>
  <conditionalFormatting sqref="D179">
    <cfRule type="cellIs" dxfId="326" priority="152" operator="equal">
      <formula>0</formula>
    </cfRule>
  </conditionalFormatting>
  <conditionalFormatting sqref="E191:P191 C191">
    <cfRule type="cellIs" dxfId="325" priority="145" operator="equal">
      <formula>0</formula>
    </cfRule>
  </conditionalFormatting>
  <conditionalFormatting sqref="Q191:R191">
    <cfRule type="cellIs" dxfId="324" priority="144" operator="equal">
      <formula>0</formula>
    </cfRule>
  </conditionalFormatting>
  <conditionalFormatting sqref="B191">
    <cfRule type="cellIs" dxfId="323" priority="141" operator="equal">
      <formula>0</formula>
    </cfRule>
  </conditionalFormatting>
  <conditionalFormatting sqref="D191">
    <cfRule type="cellIs" dxfId="322" priority="140" operator="equal">
      <formula>0</formula>
    </cfRule>
  </conditionalFormatting>
  <conditionalFormatting sqref="B128:C128">
    <cfRule type="cellIs" dxfId="321" priority="136" operator="equal">
      <formula>0</formula>
    </cfRule>
  </conditionalFormatting>
  <conditionalFormatting sqref="B115:C115">
    <cfRule type="cellIs" dxfId="320" priority="138" operator="equal">
      <formula>0</formula>
    </cfRule>
  </conditionalFormatting>
  <conditionalFormatting sqref="B122:C122">
    <cfRule type="cellIs" dxfId="319" priority="137" operator="equal">
      <formula>0</formula>
    </cfRule>
  </conditionalFormatting>
  <conditionalFormatting sqref="B147:C147">
    <cfRule type="cellIs" dxfId="318" priority="134" operator="equal">
      <formula>0</formula>
    </cfRule>
  </conditionalFormatting>
  <conditionalFormatting sqref="D167:P169">
    <cfRule type="cellIs" dxfId="317" priority="87" operator="equal">
      <formula>0</formula>
    </cfRule>
  </conditionalFormatting>
  <conditionalFormatting sqref="R155">
    <cfRule type="cellIs" dxfId="316" priority="100" operator="equal">
      <formula>0</formula>
    </cfRule>
  </conditionalFormatting>
  <conditionalFormatting sqref="D120:P120">
    <cfRule type="cellIs" dxfId="315" priority="131" operator="equal">
      <formula>0</formula>
    </cfRule>
  </conditionalFormatting>
  <conditionalFormatting sqref="R115">
    <cfRule type="cellIs" dxfId="314" priority="133" operator="equal">
      <formula>0</formula>
    </cfRule>
  </conditionalFormatting>
  <conditionalFormatting sqref="D116:P119">
    <cfRule type="cellIs" dxfId="313" priority="132" operator="equal">
      <formula>0</formula>
    </cfRule>
  </conditionalFormatting>
  <conditionalFormatting sqref="R122">
    <cfRule type="cellIs" dxfId="312" priority="130" operator="equal">
      <formula>0</formula>
    </cfRule>
  </conditionalFormatting>
  <conditionalFormatting sqref="R128">
    <cfRule type="cellIs" dxfId="311" priority="129" operator="equal">
      <formula>0</formula>
    </cfRule>
  </conditionalFormatting>
  <conditionalFormatting sqref="D135:P135">
    <cfRule type="cellIs" dxfId="310" priority="117" operator="equal">
      <formula>0</formula>
    </cfRule>
  </conditionalFormatting>
  <conditionalFormatting sqref="R147">
    <cfRule type="cellIs" dxfId="309" priority="127" operator="equal">
      <formula>0</formula>
    </cfRule>
  </conditionalFormatting>
  <conditionalFormatting sqref="Q116:R119">
    <cfRule type="cellIs" dxfId="308" priority="126" operator="equal">
      <formula>0</formula>
    </cfRule>
  </conditionalFormatting>
  <conditionalFormatting sqref="Q110:R113">
    <cfRule type="cellIs" dxfId="307" priority="125" operator="equal">
      <formula>0</formula>
    </cfRule>
  </conditionalFormatting>
  <conditionalFormatting sqref="P110:P113">
    <cfRule type="cellIs" dxfId="306" priority="124" operator="equal">
      <formula>0</formula>
    </cfRule>
  </conditionalFormatting>
  <conditionalFormatting sqref="D123:P125">
    <cfRule type="cellIs" dxfId="305" priority="123" operator="equal">
      <formula>0</formula>
    </cfRule>
  </conditionalFormatting>
  <conditionalFormatting sqref="Q123:R125">
    <cfRule type="cellIs" dxfId="304" priority="122" operator="equal">
      <formula>0</formula>
    </cfRule>
  </conditionalFormatting>
  <conditionalFormatting sqref="D126:P126">
    <cfRule type="cellIs" dxfId="303" priority="121" operator="equal">
      <formula>0</formula>
    </cfRule>
  </conditionalFormatting>
  <conditionalFormatting sqref="D129:P131">
    <cfRule type="cellIs" dxfId="302" priority="120" operator="equal">
      <formula>0</formula>
    </cfRule>
  </conditionalFormatting>
  <conditionalFormatting sqref="Q129:R131">
    <cfRule type="cellIs" dxfId="301" priority="119" operator="equal">
      <formula>0</formula>
    </cfRule>
  </conditionalFormatting>
  <conditionalFormatting sqref="D137:P137">
    <cfRule type="cellIs" dxfId="300" priority="116" operator="equal">
      <formula>0</formula>
    </cfRule>
  </conditionalFormatting>
  <conditionalFormatting sqref="D152:P152">
    <cfRule type="cellIs" dxfId="299" priority="114" operator="equal">
      <formula>0</formula>
    </cfRule>
  </conditionalFormatting>
  <conditionalFormatting sqref="D173:O175">
    <cfRule type="cellIs" dxfId="298" priority="85" operator="equal">
      <formula>0</formula>
    </cfRule>
  </conditionalFormatting>
  <conditionalFormatting sqref="D145:P145">
    <cfRule type="cellIs" dxfId="297" priority="115" operator="equal">
      <formula>0</formula>
    </cfRule>
  </conditionalFormatting>
  <conditionalFormatting sqref="D140:O144">
    <cfRule type="cellIs" dxfId="296" priority="113" operator="equal">
      <formula>0</formula>
    </cfRule>
  </conditionalFormatting>
  <conditionalFormatting sqref="P140:P144">
    <cfRule type="cellIs" dxfId="295" priority="112" operator="equal">
      <formula>0</formula>
    </cfRule>
  </conditionalFormatting>
  <conditionalFormatting sqref="B139:C139">
    <cfRule type="cellIs" dxfId="294" priority="111" operator="equal">
      <formula>0</formula>
    </cfRule>
  </conditionalFormatting>
  <conditionalFormatting sqref="R139">
    <cfRule type="cellIs" dxfId="293" priority="110" operator="equal">
      <formula>0</formula>
    </cfRule>
  </conditionalFormatting>
  <conditionalFormatting sqref="Q140:R144">
    <cfRule type="cellIs" dxfId="292" priority="109" operator="equal">
      <formula>0</formula>
    </cfRule>
  </conditionalFormatting>
  <conditionalFormatting sqref="B140:C140">
    <cfRule type="cellIs" dxfId="291" priority="108" operator="equal">
      <formula>0</formula>
    </cfRule>
  </conditionalFormatting>
  <conditionalFormatting sqref="Q148:R150">
    <cfRule type="cellIs" dxfId="290" priority="104" operator="equal">
      <formula>0</formula>
    </cfRule>
  </conditionalFormatting>
  <conditionalFormatting sqref="D159:P159">
    <cfRule type="cellIs" dxfId="289" priority="91" operator="equal">
      <formula>0</formula>
    </cfRule>
  </conditionalFormatting>
  <conditionalFormatting sqref="P148:P150">
    <cfRule type="cellIs" dxfId="288" priority="105" operator="equal">
      <formula>0</formula>
    </cfRule>
  </conditionalFormatting>
  <conditionalFormatting sqref="R166">
    <cfRule type="cellIs" dxfId="287" priority="98" operator="equal">
      <formula>0</formula>
    </cfRule>
  </conditionalFormatting>
  <conditionalFormatting sqref="D170:P170">
    <cfRule type="cellIs" dxfId="286" priority="88" operator="equal">
      <formula>0</formula>
    </cfRule>
  </conditionalFormatting>
  <conditionalFormatting sqref="P179:R179">
    <cfRule type="cellIs" dxfId="285" priority="76" operator="equal">
      <formula>0</formula>
    </cfRule>
  </conditionalFormatting>
  <conditionalFormatting sqref="A155:C155">
    <cfRule type="cellIs" dxfId="284" priority="101" operator="equal">
      <formula>0</formula>
    </cfRule>
  </conditionalFormatting>
  <conditionalFormatting sqref="A166:C166">
    <cfRule type="cellIs" dxfId="283" priority="99" operator="equal">
      <formula>0</formula>
    </cfRule>
  </conditionalFormatting>
  <conditionalFormatting sqref="D161:O164">
    <cfRule type="cellIs" dxfId="282" priority="97" operator="equal">
      <formula>0</formula>
    </cfRule>
  </conditionalFormatting>
  <conditionalFormatting sqref="Q161:R164">
    <cfRule type="cellIs" dxfId="281" priority="96" operator="equal">
      <formula>0</formula>
    </cfRule>
  </conditionalFormatting>
  <conditionalFormatting sqref="P161:P164">
    <cfRule type="cellIs" dxfId="280" priority="95" operator="equal">
      <formula>0</formula>
    </cfRule>
  </conditionalFormatting>
  <conditionalFormatting sqref="P154:R154">
    <cfRule type="cellIs" dxfId="279" priority="79" operator="equal">
      <formula>0</formula>
    </cfRule>
  </conditionalFormatting>
  <conditionalFormatting sqref="Q173:R175">
    <cfRule type="cellIs" dxfId="278" priority="81" operator="equal">
      <formula>0</formula>
    </cfRule>
  </conditionalFormatting>
  <conditionalFormatting sqref="D177:P177">
    <cfRule type="cellIs" dxfId="277" priority="80" operator="equal">
      <formula>0</formula>
    </cfRule>
  </conditionalFormatting>
  <conditionalFormatting sqref="A172:C172">
    <cfRule type="cellIs" dxfId="276" priority="84" operator="equal">
      <formula>0</formula>
    </cfRule>
  </conditionalFormatting>
  <conditionalFormatting sqref="D156:P158">
    <cfRule type="cellIs" dxfId="275" priority="90" operator="equal">
      <formula>0</formula>
    </cfRule>
  </conditionalFormatting>
  <conditionalFormatting sqref="Q156:R158">
    <cfRule type="cellIs" dxfId="274" priority="89" operator="equal">
      <formula>0</formula>
    </cfRule>
  </conditionalFormatting>
  <conditionalFormatting sqref="Q167:R169">
    <cfRule type="cellIs" dxfId="273" priority="86" operator="equal">
      <formula>0</formula>
    </cfRule>
  </conditionalFormatting>
  <conditionalFormatting sqref="R172">
    <cfRule type="cellIs" dxfId="272" priority="83" operator="equal">
      <formula>0</formula>
    </cfRule>
  </conditionalFormatting>
  <conditionalFormatting sqref="P173:P175">
    <cfRule type="cellIs" dxfId="271" priority="82" operator="equal">
      <formula>0</formula>
    </cfRule>
  </conditionalFormatting>
  <conditionalFormatting sqref="B193">
    <cfRule type="cellIs" dxfId="270" priority="74" operator="equal">
      <formula>0</formula>
    </cfRule>
  </conditionalFormatting>
  <conditionalFormatting sqref="D193">
    <cfRule type="cellIs" dxfId="269" priority="73" operator="equal">
      <formula>0</formula>
    </cfRule>
  </conditionalFormatting>
  <conditionalFormatting sqref="D204:R204">
    <cfRule type="cellIs" dxfId="268" priority="72" operator="equal">
      <formula>0</formula>
    </cfRule>
  </conditionalFormatting>
  <conditionalFormatting sqref="P90:R90">
    <cfRule type="cellIs" dxfId="267" priority="78" operator="equal">
      <formula>0</formula>
    </cfRule>
  </conditionalFormatting>
  <conditionalFormatting sqref="D187:P187">
    <cfRule type="cellIs" dxfId="266" priority="77" operator="equal">
      <formula>0</formula>
    </cfRule>
  </conditionalFormatting>
  <conditionalFormatting sqref="E193:O193">
    <cfRule type="cellIs" dxfId="265" priority="75" operator="equal">
      <formula>0</formula>
    </cfRule>
  </conditionalFormatting>
  <conditionalFormatting sqref="P193:R193">
    <cfRule type="cellIs" dxfId="264" priority="71" operator="equal">
      <formula>0</formula>
    </cfRule>
  </conditionalFormatting>
  <conditionalFormatting sqref="C193">
    <cfRule type="cellIs" dxfId="263" priority="68" operator="equal">
      <formula>0</formula>
    </cfRule>
  </conditionalFormatting>
  <conditionalFormatting sqref="Q209:R210">
    <cfRule type="cellIs" dxfId="262" priority="56" operator="equal">
      <formula>0</formula>
    </cfRule>
  </conditionalFormatting>
  <conditionalFormatting sqref="E208:O208 C208">
    <cfRule type="cellIs" dxfId="261" priority="65" operator="equal">
      <formula>0</formula>
    </cfRule>
  </conditionalFormatting>
  <conditionalFormatting sqref="B208">
    <cfRule type="cellIs" dxfId="260" priority="61" operator="equal">
      <formula>0</formula>
    </cfRule>
  </conditionalFormatting>
  <conditionalFormatting sqref="D208">
    <cfRule type="cellIs" dxfId="259" priority="60" operator="equal">
      <formula>0</formula>
    </cfRule>
  </conditionalFormatting>
  <conditionalFormatting sqref="P208:R208">
    <cfRule type="cellIs" dxfId="258" priority="59" operator="equal">
      <formula>0</formula>
    </cfRule>
  </conditionalFormatting>
  <conditionalFormatting sqref="D209:O210">
    <cfRule type="cellIs" dxfId="257" priority="58" operator="equal">
      <formula>0</formula>
    </cfRule>
  </conditionalFormatting>
  <conditionalFormatting sqref="P209:P210">
    <cfRule type="cellIs" dxfId="256" priority="57" operator="equal">
      <formula>0</formula>
    </cfRule>
  </conditionalFormatting>
  <conditionalFormatting sqref="D211:R211">
    <cfRule type="cellIs" dxfId="255" priority="55" operator="equal">
      <formula>0</formula>
    </cfRule>
  </conditionalFormatting>
  <conditionalFormatting sqref="D186:R186">
    <cfRule type="cellIs" dxfId="254" priority="44" operator="equal">
      <formula>0</formula>
    </cfRule>
  </conditionalFormatting>
  <conditionalFormatting sqref="D103:R106">
    <cfRule type="cellIs" dxfId="253" priority="50" operator="equal">
      <formula>0</formula>
    </cfRule>
  </conditionalFormatting>
  <conditionalFormatting sqref="D133:P133">
    <cfRule type="cellIs" dxfId="252" priority="49" operator="equal">
      <formula>0</formula>
    </cfRule>
  </conditionalFormatting>
  <conditionalFormatting sqref="D101:O101 R101">
    <cfRule type="cellIs" dxfId="251" priority="48" operator="equal">
      <formula>0</formula>
    </cfRule>
  </conditionalFormatting>
  <conditionalFormatting sqref="D132:P132">
    <cfRule type="cellIs" dxfId="250" priority="47" operator="equal">
      <formula>0</formula>
    </cfRule>
  </conditionalFormatting>
  <conditionalFormatting sqref="Q132">
    <cfRule type="cellIs" dxfId="249" priority="46" operator="equal">
      <formula>0</formula>
    </cfRule>
  </conditionalFormatting>
  <conditionalFormatting sqref="A1">
    <cfRule type="cellIs" dxfId="248" priority="43" operator="equal">
      <formula>0</formula>
    </cfRule>
  </conditionalFormatting>
  <conditionalFormatting sqref="D66:O67">
    <cfRule type="cellIs" dxfId="247" priority="42" operator="equal">
      <formula>0</formula>
    </cfRule>
  </conditionalFormatting>
  <conditionalFormatting sqref="A10 D10:O10 D115:O115">
    <cfRule type="cellIs" dxfId="246" priority="41" operator="equal">
      <formula>0</formula>
    </cfRule>
  </conditionalFormatting>
  <conditionalFormatting sqref="B6:O6">
    <cfRule type="cellIs" dxfId="245" priority="40" operator="equal">
      <formula>0</formula>
    </cfRule>
  </conditionalFormatting>
  <conditionalFormatting sqref="A58">
    <cfRule type="cellIs" dxfId="244" priority="39" operator="equal">
      <formula>0</formula>
    </cfRule>
  </conditionalFormatting>
  <conditionalFormatting sqref="Q91:Q92">
    <cfRule type="cellIs" dxfId="243" priority="34" operator="equal">
      <formula>0</formula>
    </cfRule>
  </conditionalFormatting>
  <conditionalFormatting sqref="A91:O91">
    <cfRule type="cellIs" dxfId="242" priority="38" operator="equal">
      <formula>0</formula>
    </cfRule>
  </conditionalFormatting>
  <conditionalFormatting sqref="P91">
    <cfRule type="cellIs" dxfId="241" priority="37" operator="equal">
      <formula>0</formula>
    </cfRule>
  </conditionalFormatting>
  <conditionalFormatting sqref="P6">
    <cfRule type="cellIs" dxfId="240" priority="36" operator="equal">
      <formula>0</formula>
    </cfRule>
  </conditionalFormatting>
  <conditionalFormatting sqref="Q5:Q6">
    <cfRule type="cellIs" dxfId="239" priority="35" operator="equal">
      <formula>0</formula>
    </cfRule>
  </conditionalFormatting>
  <conditionalFormatting sqref="B10">
    <cfRule type="cellIs" dxfId="238" priority="33" operator="equal">
      <formula>0</formula>
    </cfRule>
  </conditionalFormatting>
  <conditionalFormatting sqref="C10">
    <cfRule type="cellIs" dxfId="237" priority="32" operator="equal">
      <formula>0</formula>
    </cfRule>
  </conditionalFormatting>
  <conditionalFormatting sqref="C58">
    <cfRule type="cellIs" dxfId="236" priority="26" operator="equal">
      <formula>0</formula>
    </cfRule>
  </conditionalFormatting>
  <conditionalFormatting sqref="Q172">
    <cfRule type="cellIs" dxfId="235" priority="1" operator="equal">
      <formula>0</formula>
    </cfRule>
  </conditionalFormatting>
  <conditionalFormatting sqref="D58:O58">
    <cfRule type="cellIs" dxfId="234" priority="28" operator="equal">
      <formula>0</formula>
    </cfRule>
  </conditionalFormatting>
  <conditionalFormatting sqref="B58">
    <cfRule type="cellIs" dxfId="233" priority="27" operator="equal">
      <formula>0</formula>
    </cfRule>
  </conditionalFormatting>
  <conditionalFormatting sqref="Q115">
    <cfRule type="cellIs" dxfId="232" priority="23" operator="equal">
      <formula>0</formula>
    </cfRule>
  </conditionalFormatting>
  <conditionalFormatting sqref="P115">
    <cfRule type="cellIs" dxfId="231" priority="24" operator="equal">
      <formula>0</formula>
    </cfRule>
  </conditionalFormatting>
  <conditionalFormatting sqref="D122:O122">
    <cfRule type="cellIs" dxfId="230" priority="21" operator="equal">
      <formula>0</formula>
    </cfRule>
  </conditionalFormatting>
  <conditionalFormatting sqref="Q122">
    <cfRule type="cellIs" dxfId="229" priority="19" operator="equal">
      <formula>0</formula>
    </cfRule>
  </conditionalFormatting>
  <conditionalFormatting sqref="P122">
    <cfRule type="cellIs" dxfId="228" priority="20" operator="equal">
      <formula>0</formula>
    </cfRule>
  </conditionalFormatting>
  <conditionalFormatting sqref="D128:O128">
    <cfRule type="cellIs" dxfId="227" priority="18" operator="equal">
      <formula>0</formula>
    </cfRule>
  </conditionalFormatting>
  <conditionalFormatting sqref="Q128">
    <cfRule type="cellIs" dxfId="226" priority="16" operator="equal">
      <formula>0</formula>
    </cfRule>
  </conditionalFormatting>
  <conditionalFormatting sqref="P128">
    <cfRule type="cellIs" dxfId="225" priority="17" operator="equal">
      <formula>0</formula>
    </cfRule>
  </conditionalFormatting>
  <conditionalFormatting sqref="D139:O139">
    <cfRule type="cellIs" dxfId="224" priority="15" operator="equal">
      <formula>0</formula>
    </cfRule>
  </conditionalFormatting>
  <conditionalFormatting sqref="Q139">
    <cfRule type="cellIs" dxfId="223" priority="13" operator="equal">
      <formula>0</formula>
    </cfRule>
  </conditionalFormatting>
  <conditionalFormatting sqref="P139">
    <cfRule type="cellIs" dxfId="222" priority="14" operator="equal">
      <formula>0</formula>
    </cfRule>
  </conditionalFormatting>
  <conditionalFormatting sqref="D147:O147">
    <cfRule type="cellIs" dxfId="221" priority="12" operator="equal">
      <formula>0</formula>
    </cfRule>
  </conditionalFormatting>
  <conditionalFormatting sqref="Q147">
    <cfRule type="cellIs" dxfId="220" priority="10" operator="equal">
      <formula>0</formula>
    </cfRule>
  </conditionalFormatting>
  <conditionalFormatting sqref="P147">
    <cfRule type="cellIs" dxfId="219" priority="11" operator="equal">
      <formula>0</formula>
    </cfRule>
  </conditionalFormatting>
  <conditionalFormatting sqref="D155:O155">
    <cfRule type="cellIs" dxfId="218" priority="9" operator="equal">
      <formula>0</formula>
    </cfRule>
  </conditionalFormatting>
  <conditionalFormatting sqref="Q155">
    <cfRule type="cellIs" dxfId="217" priority="7" operator="equal">
      <formula>0</formula>
    </cfRule>
  </conditionalFormatting>
  <conditionalFormatting sqref="P155">
    <cfRule type="cellIs" dxfId="216" priority="8" operator="equal">
      <formula>0</formula>
    </cfRule>
  </conditionalFormatting>
  <conditionalFormatting sqref="D166:O166">
    <cfRule type="cellIs" dxfId="215" priority="6" operator="equal">
      <formula>0</formula>
    </cfRule>
  </conditionalFormatting>
  <conditionalFormatting sqref="Q166">
    <cfRule type="cellIs" dxfId="214" priority="4" operator="equal">
      <formula>0</formula>
    </cfRule>
  </conditionalFormatting>
  <conditionalFormatting sqref="P166">
    <cfRule type="cellIs" dxfId="213" priority="5" operator="equal">
      <formula>0</formula>
    </cfRule>
  </conditionalFormatting>
  <conditionalFormatting sqref="D172:O172">
    <cfRule type="cellIs" dxfId="212" priority="3" operator="equal">
      <formula>0</formula>
    </cfRule>
  </conditionalFormatting>
  <conditionalFormatting sqref="P172">
    <cfRule type="cellIs" dxfId="211" priority="2" operator="equal">
      <formula>0</formula>
    </cfRule>
  </conditionalFormatting>
  <dataValidations count="8">
    <dataValidation type="list" allowBlank="1" showInputMessage="1" showErrorMessage="1" sqref="C11:C20 C60:C64">
      <formula1>cobroleche</formula1>
    </dataValidation>
    <dataValidation allowBlank="1" showInputMessage="1" showErrorMessage="1" prompt="El calculo se puede realizar a partir de los datos por animal si es que se los tiene o por el dato del ejercicio anterior " sqref="B110"/>
    <dataValidation allowBlank="1" showInputMessage="1" showErrorMessage="1" prompt="Gasto formulado comparar con el ejercicio anterior" sqref="B116:B117"/>
    <dataValidation allowBlank="1" showInputMessage="1" showErrorMessage="1" prompt="Gastos de pasturas y cultivos son gastos formulados, comparar con el ejercicio anterior " sqref="B123"/>
    <dataValidation allowBlank="1" showInputMessage="1" showErrorMessage="1" prompt="_x000a_" sqref="C6"/>
    <dataValidation allowBlank="1" showErrorMessage="1" prompt="_x000a_" sqref="C96"/>
    <dataValidation allowBlank="1" showErrorMessage="1" sqref="C99:C102"/>
    <dataValidation allowBlank="1" showErrorMessage="1" prompt=" " sqref="C104:C105"/>
  </dataValidations>
  <hyperlinks>
    <hyperlink ref="B3" location="Egresos!B9:O21" display="Compra de Ganado Lechería"/>
    <hyperlink ref="B4" location="Egresos!B56:O65" display="Compra de Ganado Invernada"/>
    <hyperlink ref="C3:E3" location="Egresos!S89:S159" display="Gastos del Ejercico Anterior"/>
    <hyperlink ref="H3:J3" location="Egresos!B88:S136" display="Gastos Variables"/>
    <hyperlink ref="H4:J4" location="Egresos!B138:S139" display="Gastos de Estructura"/>
    <hyperlink ref="M3:O3" location="Egresos!B180:P191" display="Rentas"/>
    <hyperlink ref="M2:O2" location="Egresos!B161:Q167" display="Impuestos "/>
    <hyperlink ref="A1" location="ManualGlobal!B27:D43" display="◄"/>
  </hyperlinks>
  <printOptions horizontalCentered="1" verticalCentered="1"/>
  <pageMargins left="0.39370078740157483" right="0.78740157480314965" top="0.98425196850393704" bottom="0.98425196850393704" header="0" footer="0"/>
  <pageSetup paperSize="9" scale="86" fitToHeight="2" orientation="landscape" horizontalDpi="300" verticalDpi="300" r:id="rId1"/>
  <headerFooter alignWithMargins="0">
    <oddHeader>&amp;F</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Z159"/>
  <sheetViews>
    <sheetView showGridLines="0" zoomScaleNormal="100" workbookViewId="0">
      <pane ySplit="5" topLeftCell="A6" activePane="bottomLeft" state="frozen"/>
      <selection pane="bottomLeft" activeCell="O141" sqref="O141"/>
    </sheetView>
  </sheetViews>
  <sheetFormatPr baseColWidth="10" defaultColWidth="11.375" defaultRowHeight="14.4" x14ac:dyDescent="0.3"/>
  <cols>
    <col min="1" max="1" width="4.375" style="3437" customWidth="1"/>
    <col min="2" max="2" width="25.375" style="3437" customWidth="1"/>
    <col min="3" max="15" width="11.625" style="3437" customWidth="1"/>
    <col min="16" max="16" width="11.375" style="3437"/>
    <col min="17" max="17" width="3.25" style="3437" customWidth="1"/>
    <col min="18" max="19" width="12.375" style="3437" customWidth="1"/>
    <col min="20" max="16384" width="11.375" style="3437"/>
  </cols>
  <sheetData>
    <row r="1" spans="1:26" x14ac:dyDescent="0.3">
      <c r="A1" s="2463" t="s">
        <v>633</v>
      </c>
      <c r="B1" s="3643" t="s">
        <v>632</v>
      </c>
      <c r="E1" s="4545"/>
    </row>
    <row r="2" spans="1:26" x14ac:dyDescent="0.3">
      <c r="B2" s="4546" t="s">
        <v>2293</v>
      </c>
      <c r="C2" s="5555" t="s">
        <v>2294</v>
      </c>
      <c r="D2" s="5555"/>
      <c r="E2" s="5555"/>
      <c r="G2" s="5556" t="s">
        <v>2297</v>
      </c>
      <c r="H2" s="5556"/>
      <c r="I2" s="5556"/>
      <c r="J2" s="5556" t="str">
        <f>B80</f>
        <v>Inversiones, U$S totales/mes</v>
      </c>
      <c r="K2" s="5556"/>
      <c r="L2" s="5556" t="s">
        <v>2298</v>
      </c>
      <c r="M2" s="5556"/>
      <c r="N2" s="5556"/>
      <c r="O2" s="5556" t="s">
        <v>2300</v>
      </c>
      <c r="P2" s="5556"/>
      <c r="Q2" s="5556"/>
      <c r="R2" s="5556"/>
    </row>
    <row r="3" spans="1:26" x14ac:dyDescent="0.3">
      <c r="C3" s="5555" t="s">
        <v>2295</v>
      </c>
      <c r="D3" s="5555"/>
      <c r="E3" s="5555"/>
      <c r="L3" s="5556" t="s">
        <v>2299</v>
      </c>
      <c r="M3" s="5556"/>
      <c r="N3" s="5556"/>
      <c r="O3" s="5556" t="s">
        <v>2301</v>
      </c>
      <c r="P3" s="5556"/>
      <c r="Q3" s="5556"/>
      <c r="R3" s="5556"/>
    </row>
    <row r="4" spans="1:26" x14ac:dyDescent="0.3">
      <c r="C4" s="5556" t="s">
        <v>2296</v>
      </c>
      <c r="D4" s="5556"/>
    </row>
    <row r="5" spans="1:26" s="4547" customFormat="1" ht="15.05" thickBot="1" x14ac:dyDescent="0.25">
      <c r="B5" s="4548"/>
      <c r="C5" s="4548" t="s">
        <v>1395</v>
      </c>
      <c r="D5" s="4548" t="str">
        <f>General!C5</f>
        <v>Ene</v>
      </c>
      <c r="E5" s="4548" t="str">
        <f>IF(AND(D5="Ene"),"Feb",IF(AND(D5="Feb"),"Mar",IF(AND(D5="Mar"),"Abr",IF(AND(D5="Abr"),"May",IF(AND(D5="May"),"Jun",IF(AND(D5="Jun"),"Jul",IF(AND(D5="Jul"),"Ago",IF(AND(D5="Ago"),"Set",IF(AND(D5="Set"),"Oct",IF(AND(D5="Oct"),"Nov",IF(AND(D5="Nov"),"Dic",IF(AND(D5="Dic"),"Ene"))))))))))))</f>
        <v>Feb</v>
      </c>
      <c r="F5" s="4548" t="str">
        <f t="shared" ref="F5:O5" si="0">IF(AND(E5="Ene"),"Feb",IF(AND(E5="Feb"),"Mar",IF(AND(E5="Mar"),"Abr",IF(AND(E5="Abr"),"May",IF(AND(E5="May"),"Jun",IF(AND(E5="Jun"),"Jul",IF(AND(E5="Jul"),"Ago",IF(AND(E5="Ago"),"Set",IF(AND(E5="Set"),"Oct",IF(AND(E5="Oct"),"Nov",IF(AND(E5="Nov"),"Dic",IF(AND(E5="Dic"),"Ene"))))))))))))</f>
        <v>Mar</v>
      </c>
      <c r="G5" s="4548" t="str">
        <f>IF(AND(F5="Ene"),"Feb",IF(AND(F5="Feb"),"Mar",IF(AND(F5="Mar"),"Abr",IF(AND(F5="Abr"),"May",IF(AND(F5="May"),"Jun",IF(AND(F5="Jun"),"Jul",IF(AND(F5="Jul"),"Ago",IF(AND(F5="Ago"),"Set",IF(AND(F5="Set"),"Oct",IF(AND(F5="Oct"),"Nov",IF(AND(F5="Nov"),"Dic",IF(AND(F5="Dic"),"Ene"))))))))))))</f>
        <v>Abr</v>
      </c>
      <c r="H5" s="4548" t="str">
        <f>IF(AND(G5="Ene"),"Feb",IF(AND(G5="Feb"),"Mar",IF(AND(G5="Mar"),"Abr",IF(AND(G5="Abr"),"May",IF(AND(G5="May"),"Jun",IF(AND(G5="Jun"),"Jul",IF(AND(G5="Jul"),"Ago",IF(AND(G5="Ago"),"Set",IF(AND(G5="Set"),"Oct",IF(AND(G5="Oct"),"Nov",IF(AND(G5="Nov"),"Dic",IF(AND(G5="Dic"),"Ene"))))))))))))</f>
        <v>May</v>
      </c>
      <c r="I5" s="4548" t="str">
        <f t="shared" si="0"/>
        <v>Jun</v>
      </c>
      <c r="J5" s="4548" t="str">
        <f t="shared" si="0"/>
        <v>Jul</v>
      </c>
      <c r="K5" s="4548" t="str">
        <f t="shared" si="0"/>
        <v>Ago</v>
      </c>
      <c r="L5" s="4548" t="str">
        <f t="shared" si="0"/>
        <v>Set</v>
      </c>
      <c r="M5" s="4548" t="str">
        <f t="shared" si="0"/>
        <v>Oct</v>
      </c>
      <c r="N5" s="4548" t="str">
        <f t="shared" si="0"/>
        <v>Nov</v>
      </c>
      <c r="O5" s="4548" t="str">
        <f t="shared" si="0"/>
        <v>Dic</v>
      </c>
      <c r="P5" s="4548" t="s">
        <v>21</v>
      </c>
      <c r="Q5" s="4549"/>
      <c r="R5" s="4549"/>
      <c r="S5" s="4549"/>
      <c r="T5" s="4549"/>
      <c r="U5" s="4549"/>
    </row>
    <row r="6" spans="1:26" s="3436" customFormat="1" ht="15.05" thickBot="1" x14ac:dyDescent="0.35">
      <c r="A6" s="2487">
        <f>+Egresos!A208+1</f>
        <v>134</v>
      </c>
      <c r="B6" s="2488" t="s">
        <v>2211</v>
      </c>
      <c r="C6" s="4550"/>
      <c r="D6" s="4550"/>
      <c r="E6" s="4551"/>
      <c r="F6" s="4551"/>
      <c r="G6" s="2489"/>
      <c r="H6" s="2489"/>
      <c r="I6" s="2489"/>
      <c r="J6" s="2489"/>
      <c r="K6" s="2489"/>
      <c r="L6" s="2489"/>
      <c r="M6" s="2489"/>
      <c r="N6" s="2489"/>
      <c r="O6" s="2489"/>
      <c r="P6" s="2491"/>
      <c r="Q6" s="2677"/>
      <c r="R6" s="2677"/>
      <c r="S6" s="2686"/>
      <c r="T6" s="4552"/>
      <c r="U6" s="3437"/>
      <c r="V6" s="3437"/>
      <c r="W6" s="3437"/>
      <c r="X6" s="3437"/>
      <c r="Y6" s="3437"/>
      <c r="Z6" s="3437"/>
    </row>
    <row r="7" spans="1:26" s="3436" customFormat="1" ht="15.05" thickBot="1" x14ac:dyDescent="0.35">
      <c r="A7" s="3902"/>
      <c r="B7" s="4553" t="s">
        <v>912</v>
      </c>
      <c r="C7" s="4554" t="s">
        <v>2227</v>
      </c>
      <c r="D7" s="4555" t="str">
        <f>+D5</f>
        <v>Ene</v>
      </c>
      <c r="E7" s="4555" t="str">
        <f t="shared" ref="E7:O7" si="1">+E5</f>
        <v>Feb</v>
      </c>
      <c r="F7" s="4555" t="str">
        <f t="shared" si="1"/>
        <v>Mar</v>
      </c>
      <c r="G7" s="4555" t="str">
        <f t="shared" si="1"/>
        <v>Abr</v>
      </c>
      <c r="H7" s="4555" t="str">
        <f t="shared" si="1"/>
        <v>May</v>
      </c>
      <c r="I7" s="4555" t="str">
        <f t="shared" si="1"/>
        <v>Jun</v>
      </c>
      <c r="J7" s="4555" t="str">
        <f t="shared" si="1"/>
        <v>Jul</v>
      </c>
      <c r="K7" s="4555" t="str">
        <f t="shared" si="1"/>
        <v>Ago</v>
      </c>
      <c r="L7" s="4555" t="str">
        <f t="shared" si="1"/>
        <v>Set</v>
      </c>
      <c r="M7" s="4555" t="str">
        <f t="shared" si="1"/>
        <v>Oct</v>
      </c>
      <c r="N7" s="4555" t="str">
        <f t="shared" si="1"/>
        <v>Nov</v>
      </c>
      <c r="O7" s="4555" t="str">
        <f t="shared" si="1"/>
        <v>Dic</v>
      </c>
      <c r="P7" s="4554" t="s">
        <v>230</v>
      </c>
      <c r="Q7" s="2677"/>
      <c r="R7" s="2677"/>
      <c r="S7" s="2686"/>
      <c r="T7" s="4552"/>
      <c r="U7" s="3437"/>
      <c r="V7" s="3437"/>
      <c r="W7" s="3437"/>
      <c r="X7" s="3437"/>
      <c r="Y7" s="3437"/>
      <c r="Z7" s="3437"/>
    </row>
    <row r="8" spans="1:26" ht="15.05" thickBot="1" x14ac:dyDescent="0.35">
      <c r="B8" s="5409"/>
      <c r="C8" s="5410"/>
      <c r="D8" s="5411"/>
      <c r="E8" s="5412"/>
      <c r="F8" s="5412"/>
      <c r="G8" s="5412"/>
      <c r="H8" s="5412"/>
      <c r="I8" s="5412"/>
      <c r="J8" s="5412"/>
      <c r="K8" s="5412"/>
      <c r="L8" s="5412"/>
      <c r="M8" s="5412"/>
      <c r="N8" s="5412"/>
      <c r="O8" s="5410"/>
      <c r="P8" s="4556">
        <f t="shared" ref="P8:P18" si="2">+SUM(D8:O8)</f>
        <v>0</v>
      </c>
    </row>
    <row r="9" spans="1:26" ht="15.05" thickBot="1" x14ac:dyDescent="0.35">
      <c r="B9" s="5368"/>
      <c r="C9" s="5413"/>
      <c r="D9" s="5414"/>
      <c r="E9" s="5415"/>
      <c r="F9" s="5415"/>
      <c r="G9" s="5415"/>
      <c r="H9" s="5415"/>
      <c r="I9" s="5415"/>
      <c r="J9" s="5415"/>
      <c r="K9" s="5415"/>
      <c r="L9" s="5415"/>
      <c r="M9" s="5415"/>
      <c r="N9" s="5415"/>
      <c r="O9" s="5413"/>
      <c r="P9" s="4557">
        <f t="shared" si="2"/>
        <v>0</v>
      </c>
    </row>
    <row r="10" spans="1:26" ht="15.05" thickBot="1" x14ac:dyDescent="0.35">
      <c r="B10" s="5416"/>
      <c r="C10" s="5417"/>
      <c r="D10" s="5418"/>
      <c r="E10" s="5419"/>
      <c r="F10" s="5419"/>
      <c r="G10" s="5419"/>
      <c r="H10" s="5419"/>
      <c r="I10" s="5419"/>
      <c r="J10" s="5419"/>
      <c r="K10" s="5419"/>
      <c r="L10" s="5419"/>
      <c r="M10" s="5419"/>
      <c r="N10" s="5419"/>
      <c r="O10" s="5417"/>
      <c r="P10" s="4557">
        <f t="shared" si="2"/>
        <v>0</v>
      </c>
      <c r="Q10" s="4558"/>
      <c r="R10" s="4558"/>
      <c r="S10" s="4558"/>
      <c r="T10" s="4558"/>
    </row>
    <row r="11" spans="1:26" ht="15.05" thickBot="1" x14ac:dyDescent="0.35">
      <c r="B11" s="5416"/>
      <c r="C11" s="5417"/>
      <c r="D11" s="5418"/>
      <c r="E11" s="5419"/>
      <c r="F11" s="5419"/>
      <c r="G11" s="5419"/>
      <c r="H11" s="5419"/>
      <c r="I11" s="5419"/>
      <c r="J11" s="5419"/>
      <c r="K11" s="5419"/>
      <c r="L11" s="5419"/>
      <c r="M11" s="5419"/>
      <c r="N11" s="5419"/>
      <c r="O11" s="5417"/>
      <c r="P11" s="4557">
        <f t="shared" si="2"/>
        <v>0</v>
      </c>
      <c r="Q11" s="4558"/>
      <c r="R11" s="4558"/>
      <c r="S11" s="4558"/>
      <c r="T11" s="4558"/>
    </row>
    <row r="12" spans="1:26" ht="15.05" thickBot="1" x14ac:dyDescent="0.35">
      <c r="B12" s="5416"/>
      <c r="C12" s="5417"/>
      <c r="D12" s="5418"/>
      <c r="E12" s="5419"/>
      <c r="F12" s="5419"/>
      <c r="G12" s="5419"/>
      <c r="H12" s="5419"/>
      <c r="I12" s="5419"/>
      <c r="J12" s="5419"/>
      <c r="K12" s="5419"/>
      <c r="L12" s="5419"/>
      <c r="M12" s="5419"/>
      <c r="N12" s="5419"/>
      <c r="O12" s="5417"/>
      <c r="P12" s="4557">
        <f t="shared" si="2"/>
        <v>0</v>
      </c>
      <c r="Q12" s="4558"/>
      <c r="R12" s="4558"/>
      <c r="S12" s="4558"/>
      <c r="T12" s="4558"/>
    </row>
    <row r="13" spans="1:26" ht="15.05" thickBot="1" x14ac:dyDescent="0.35">
      <c r="B13" s="5416"/>
      <c r="C13" s="5417"/>
      <c r="D13" s="5418"/>
      <c r="E13" s="5419"/>
      <c r="F13" s="5419"/>
      <c r="G13" s="5419"/>
      <c r="H13" s="5419"/>
      <c r="I13" s="5419"/>
      <c r="J13" s="5419"/>
      <c r="K13" s="5419"/>
      <c r="L13" s="5419"/>
      <c r="M13" s="5419"/>
      <c r="N13" s="5419"/>
      <c r="O13" s="5417"/>
      <c r="P13" s="4557">
        <f t="shared" si="2"/>
        <v>0</v>
      </c>
      <c r="Q13" s="4558"/>
      <c r="R13" s="4558"/>
      <c r="S13" s="4558"/>
      <c r="T13" s="4558"/>
    </row>
    <row r="14" spans="1:26" ht="15.05" thickBot="1" x14ac:dyDescent="0.35">
      <c r="B14" s="5416"/>
      <c r="C14" s="5417"/>
      <c r="D14" s="5418"/>
      <c r="E14" s="5419"/>
      <c r="F14" s="5419"/>
      <c r="G14" s="5419"/>
      <c r="H14" s="5419"/>
      <c r="I14" s="5419"/>
      <c r="J14" s="5419"/>
      <c r="K14" s="5419"/>
      <c r="L14" s="5419"/>
      <c r="M14" s="5419"/>
      <c r="N14" s="5419"/>
      <c r="O14" s="5417"/>
      <c r="P14" s="4557">
        <f t="shared" si="2"/>
        <v>0</v>
      </c>
      <c r="Q14" s="4558"/>
      <c r="R14" s="4558"/>
      <c r="S14" s="4558"/>
      <c r="T14" s="4558"/>
    </row>
    <row r="15" spans="1:26" ht="15.05" thickBot="1" x14ac:dyDescent="0.35">
      <c r="B15" s="5416"/>
      <c r="C15" s="5417"/>
      <c r="D15" s="5418"/>
      <c r="E15" s="5419"/>
      <c r="F15" s="5419"/>
      <c r="G15" s="5419"/>
      <c r="H15" s="5419"/>
      <c r="I15" s="5419"/>
      <c r="J15" s="5419"/>
      <c r="K15" s="5419"/>
      <c r="L15" s="5419"/>
      <c r="M15" s="5419"/>
      <c r="N15" s="5419"/>
      <c r="O15" s="5417"/>
      <c r="P15" s="4557">
        <f t="shared" si="2"/>
        <v>0</v>
      </c>
      <c r="Q15" s="4558"/>
      <c r="R15" s="4558"/>
      <c r="S15" s="4558"/>
      <c r="T15" s="4558"/>
    </row>
    <row r="16" spans="1:26" ht="15.05" thickBot="1" x14ac:dyDescent="0.35">
      <c r="B16" s="5416"/>
      <c r="C16" s="5417"/>
      <c r="D16" s="5418"/>
      <c r="E16" s="5419"/>
      <c r="F16" s="5419"/>
      <c r="G16" s="5419"/>
      <c r="H16" s="5419"/>
      <c r="I16" s="5419"/>
      <c r="J16" s="5419"/>
      <c r="K16" s="5419"/>
      <c r="L16" s="5419"/>
      <c r="M16" s="5419"/>
      <c r="N16" s="5419"/>
      <c r="O16" s="5417"/>
      <c r="P16" s="4557">
        <f t="shared" si="2"/>
        <v>0</v>
      </c>
      <c r="Q16" s="4558"/>
      <c r="R16" s="4558"/>
      <c r="S16" s="4558"/>
      <c r="T16" s="4558"/>
    </row>
    <row r="17" spans="1:26" ht="15.05" thickBot="1" x14ac:dyDescent="0.35">
      <c r="B17" s="5420"/>
      <c r="C17" s="5421"/>
      <c r="D17" s="5422"/>
      <c r="E17" s="5423"/>
      <c r="F17" s="5423"/>
      <c r="G17" s="5423"/>
      <c r="H17" s="5423"/>
      <c r="I17" s="5423"/>
      <c r="J17" s="5423"/>
      <c r="K17" s="5423"/>
      <c r="L17" s="5423"/>
      <c r="M17" s="5423"/>
      <c r="N17" s="5423"/>
      <c r="O17" s="5424"/>
      <c r="P17" s="4559">
        <f t="shared" si="2"/>
        <v>0</v>
      </c>
      <c r="Q17" s="4558"/>
      <c r="R17" s="4558"/>
      <c r="S17" s="4558"/>
      <c r="T17" s="4558"/>
    </row>
    <row r="18" spans="1:26" ht="15.05" thickBot="1" x14ac:dyDescent="0.35">
      <c r="B18" s="4494" t="s">
        <v>11</v>
      </c>
      <c r="C18" s="4497">
        <f t="shared" ref="C18:O18" si="3">SUM(C8:C17)</f>
        <v>0</v>
      </c>
      <c r="D18" s="4560">
        <f t="shared" si="3"/>
        <v>0</v>
      </c>
      <c r="E18" s="4496">
        <f t="shared" si="3"/>
        <v>0</v>
      </c>
      <c r="F18" s="4496">
        <f t="shared" si="3"/>
        <v>0</v>
      </c>
      <c r="G18" s="4496">
        <f t="shared" si="3"/>
        <v>0</v>
      </c>
      <c r="H18" s="4496">
        <f t="shared" si="3"/>
        <v>0</v>
      </c>
      <c r="I18" s="4496">
        <f t="shared" si="3"/>
        <v>0</v>
      </c>
      <c r="J18" s="4496">
        <f t="shared" si="3"/>
        <v>0</v>
      </c>
      <c r="K18" s="4496">
        <f t="shared" si="3"/>
        <v>0</v>
      </c>
      <c r="L18" s="4496">
        <f t="shared" si="3"/>
        <v>0</v>
      </c>
      <c r="M18" s="4496">
        <f t="shared" si="3"/>
        <v>0</v>
      </c>
      <c r="N18" s="4496">
        <f t="shared" si="3"/>
        <v>0</v>
      </c>
      <c r="O18" s="4497">
        <f t="shared" si="3"/>
        <v>0</v>
      </c>
      <c r="P18" s="4561">
        <f t="shared" si="2"/>
        <v>0</v>
      </c>
      <c r="Q18" s="4558"/>
      <c r="R18" s="4558"/>
      <c r="S18" s="4558"/>
      <c r="T18" s="4558"/>
    </row>
    <row r="19" spans="1:26" x14ac:dyDescent="0.3">
      <c r="B19" s="3887"/>
      <c r="C19" s="3887"/>
      <c r="D19" s="3887"/>
      <c r="E19" s="3887"/>
      <c r="F19" s="3888"/>
      <c r="G19" s="3888"/>
      <c r="H19" s="3888"/>
      <c r="I19" s="3888"/>
      <c r="J19" s="3888"/>
      <c r="K19" s="3888"/>
      <c r="L19" s="3888"/>
      <c r="M19" s="3888"/>
      <c r="N19" s="3572"/>
      <c r="O19" s="3572"/>
    </row>
    <row r="20" spans="1:26" ht="15.05" thickBot="1" x14ac:dyDescent="0.35">
      <c r="B20" s="4562"/>
      <c r="C20" s="4562"/>
      <c r="D20" s="4562"/>
      <c r="E20" s="4562"/>
      <c r="F20" s="4435"/>
      <c r="G20" s="4435"/>
      <c r="H20" s="4435"/>
      <c r="I20" s="4435"/>
      <c r="J20" s="4435"/>
      <c r="K20" s="4435"/>
      <c r="L20" s="4435"/>
      <c r="M20" s="4435"/>
      <c r="N20" s="3572"/>
      <c r="O20" s="3572"/>
    </row>
    <row r="21" spans="1:26" s="3436" customFormat="1" ht="15.05" thickBot="1" x14ac:dyDescent="0.35">
      <c r="A21" s="2487">
        <f>+A6+1</f>
        <v>135</v>
      </c>
      <c r="B21" s="2488" t="s">
        <v>2225</v>
      </c>
      <c r="C21" s="4550"/>
      <c r="D21" s="4550"/>
      <c r="E21" s="4551"/>
      <c r="F21" s="4551"/>
      <c r="G21" s="2489"/>
      <c r="H21" s="2489"/>
      <c r="I21" s="2489"/>
      <c r="J21" s="2489"/>
      <c r="K21" s="2489"/>
      <c r="L21" s="2489"/>
      <c r="M21" s="2489"/>
      <c r="N21" s="2489"/>
      <c r="O21" s="2489"/>
      <c r="P21" s="2491"/>
      <c r="Q21" s="2677"/>
      <c r="R21" s="5553" t="s">
        <v>2219</v>
      </c>
      <c r="S21" s="5554"/>
      <c r="T21" s="4552"/>
      <c r="U21" s="3437"/>
      <c r="V21" s="3437"/>
      <c r="W21" s="3437"/>
      <c r="X21" s="3437"/>
      <c r="Y21" s="3437"/>
      <c r="Z21" s="3437"/>
    </row>
    <row r="22" spans="1:26" s="3436" customFormat="1" ht="15.05" thickBot="1" x14ac:dyDescent="0.35">
      <c r="A22" s="3902"/>
      <c r="B22" s="4553" t="s">
        <v>912</v>
      </c>
      <c r="C22" s="4554" t="s">
        <v>2227</v>
      </c>
      <c r="D22" s="4555" t="str">
        <f>+D7</f>
        <v>Ene</v>
      </c>
      <c r="E22" s="4555" t="str">
        <f t="shared" ref="E22:O22" si="4">+E7</f>
        <v>Feb</v>
      </c>
      <c r="F22" s="4555" t="str">
        <f t="shared" si="4"/>
        <v>Mar</v>
      </c>
      <c r="G22" s="4555" t="str">
        <f t="shared" si="4"/>
        <v>Abr</v>
      </c>
      <c r="H22" s="4555" t="str">
        <f t="shared" si="4"/>
        <v>May</v>
      </c>
      <c r="I22" s="4555" t="str">
        <f t="shared" si="4"/>
        <v>Jun</v>
      </c>
      <c r="J22" s="4555" t="str">
        <f t="shared" si="4"/>
        <v>Jul</v>
      </c>
      <c r="K22" s="4555" t="str">
        <f t="shared" si="4"/>
        <v>Ago</v>
      </c>
      <c r="L22" s="4555" t="str">
        <f t="shared" si="4"/>
        <v>Set</v>
      </c>
      <c r="M22" s="4555" t="str">
        <f t="shared" si="4"/>
        <v>Oct</v>
      </c>
      <c r="N22" s="4555" t="str">
        <f t="shared" si="4"/>
        <v>Nov</v>
      </c>
      <c r="O22" s="4555" t="str">
        <f t="shared" si="4"/>
        <v>Dic</v>
      </c>
      <c r="P22" s="4554" t="s">
        <v>230</v>
      </c>
      <c r="Q22" s="2677"/>
      <c r="R22" s="4563" t="s">
        <v>2220</v>
      </c>
      <c r="S22" s="4554" t="s">
        <v>2221</v>
      </c>
      <c r="T22" s="4552"/>
      <c r="U22" s="3437"/>
      <c r="V22" s="3437"/>
      <c r="W22" s="3437"/>
      <c r="X22" s="3437"/>
      <c r="Y22" s="3437"/>
      <c r="Z22" s="3437"/>
    </row>
    <row r="23" spans="1:26" ht="15.05" thickBot="1" x14ac:dyDescent="0.35">
      <c r="B23" s="5409"/>
      <c r="C23" s="5410"/>
      <c r="D23" s="5425"/>
      <c r="E23" s="5412"/>
      <c r="F23" s="5412"/>
      <c r="G23" s="5412"/>
      <c r="H23" s="5412"/>
      <c r="I23" s="5412"/>
      <c r="J23" s="5412"/>
      <c r="K23" s="5412"/>
      <c r="L23" s="5412"/>
      <c r="M23" s="5412"/>
      <c r="N23" s="5412"/>
      <c r="O23" s="5410"/>
      <c r="P23" s="4556">
        <f t="shared" ref="P23:P33" si="5">+SUM(D23:O23)</f>
        <v>0</v>
      </c>
      <c r="R23" s="5426"/>
      <c r="S23" s="4564">
        <f t="shared" ref="S23:S32" si="6">+C23-P23-R23</f>
        <v>0</v>
      </c>
    </row>
    <row r="24" spans="1:26" ht="15.05" thickBot="1" x14ac:dyDescent="0.35">
      <c r="B24" s="5368"/>
      <c r="C24" s="5417"/>
      <c r="D24" s="5427"/>
      <c r="E24" s="5419"/>
      <c r="F24" s="5419"/>
      <c r="G24" s="5419"/>
      <c r="H24" s="5419"/>
      <c r="I24" s="5419"/>
      <c r="J24" s="5419"/>
      <c r="K24" s="5419"/>
      <c r="L24" s="5419"/>
      <c r="M24" s="5419"/>
      <c r="N24" s="5419"/>
      <c r="O24" s="5417"/>
      <c r="P24" s="4557">
        <f t="shared" si="5"/>
        <v>0</v>
      </c>
      <c r="R24" s="5428"/>
      <c r="S24" s="4565">
        <f t="shared" si="6"/>
        <v>0</v>
      </c>
    </row>
    <row r="25" spans="1:26" ht="15.05" thickBot="1" x14ac:dyDescent="0.35">
      <c r="B25" s="5416"/>
      <c r="C25" s="5417"/>
      <c r="D25" s="5427"/>
      <c r="E25" s="5419"/>
      <c r="F25" s="5419"/>
      <c r="G25" s="5419"/>
      <c r="H25" s="5419"/>
      <c r="I25" s="5419"/>
      <c r="J25" s="5419"/>
      <c r="K25" s="5419"/>
      <c r="L25" s="5419"/>
      <c r="M25" s="5419"/>
      <c r="N25" s="5419"/>
      <c r="O25" s="5417"/>
      <c r="P25" s="4557">
        <f t="shared" si="5"/>
        <v>0</v>
      </c>
      <c r="R25" s="5428"/>
      <c r="S25" s="4565">
        <f t="shared" si="6"/>
        <v>0</v>
      </c>
    </row>
    <row r="26" spans="1:26" ht="15.05" thickBot="1" x14ac:dyDescent="0.35">
      <c r="B26" s="5416"/>
      <c r="C26" s="5417"/>
      <c r="D26" s="5427"/>
      <c r="E26" s="5419"/>
      <c r="F26" s="5419"/>
      <c r="G26" s="5419"/>
      <c r="H26" s="5419"/>
      <c r="I26" s="5419"/>
      <c r="J26" s="5419"/>
      <c r="K26" s="5419"/>
      <c r="L26" s="5419"/>
      <c r="M26" s="5419"/>
      <c r="N26" s="5419"/>
      <c r="O26" s="5417"/>
      <c r="P26" s="4557">
        <f t="shared" si="5"/>
        <v>0</v>
      </c>
      <c r="Q26" s="4558"/>
      <c r="R26" s="5428"/>
      <c r="S26" s="4566">
        <f t="shared" si="6"/>
        <v>0</v>
      </c>
      <c r="T26" s="4558"/>
    </row>
    <row r="27" spans="1:26" ht="15.05" thickBot="1" x14ac:dyDescent="0.35">
      <c r="B27" s="5416"/>
      <c r="C27" s="5417"/>
      <c r="D27" s="5427"/>
      <c r="E27" s="5419"/>
      <c r="F27" s="5419"/>
      <c r="G27" s="5419"/>
      <c r="H27" s="5419"/>
      <c r="I27" s="5419"/>
      <c r="J27" s="5419"/>
      <c r="K27" s="5419"/>
      <c r="L27" s="5419"/>
      <c r="M27" s="5419"/>
      <c r="N27" s="5419"/>
      <c r="O27" s="5417"/>
      <c r="P27" s="4557">
        <f t="shared" si="5"/>
        <v>0</v>
      </c>
      <c r="Q27" s="4558"/>
      <c r="R27" s="5428"/>
      <c r="S27" s="4567">
        <f t="shared" si="6"/>
        <v>0</v>
      </c>
      <c r="T27" s="4558"/>
    </row>
    <row r="28" spans="1:26" ht="15.05" thickBot="1" x14ac:dyDescent="0.35">
      <c r="B28" s="5416"/>
      <c r="C28" s="5417"/>
      <c r="D28" s="5427"/>
      <c r="E28" s="5419"/>
      <c r="F28" s="5419"/>
      <c r="G28" s="5419"/>
      <c r="H28" s="5419"/>
      <c r="I28" s="5419"/>
      <c r="J28" s="5419"/>
      <c r="K28" s="5419"/>
      <c r="L28" s="5419"/>
      <c r="M28" s="5419"/>
      <c r="N28" s="5419"/>
      <c r="O28" s="5417"/>
      <c r="P28" s="4557">
        <f t="shared" si="5"/>
        <v>0</v>
      </c>
      <c r="Q28" s="4558"/>
      <c r="R28" s="5428"/>
      <c r="S28" s="4567">
        <f t="shared" si="6"/>
        <v>0</v>
      </c>
      <c r="T28" s="4558"/>
    </row>
    <row r="29" spans="1:26" ht="15.05" thickBot="1" x14ac:dyDescent="0.35">
      <c r="B29" s="5416"/>
      <c r="C29" s="5417"/>
      <c r="D29" s="5427"/>
      <c r="E29" s="5419"/>
      <c r="F29" s="5419"/>
      <c r="G29" s="5419"/>
      <c r="H29" s="5419"/>
      <c r="I29" s="5419"/>
      <c r="J29" s="5419"/>
      <c r="K29" s="5419"/>
      <c r="L29" s="5419"/>
      <c r="M29" s="5419"/>
      <c r="N29" s="5419"/>
      <c r="O29" s="5417"/>
      <c r="P29" s="4557">
        <f t="shared" si="5"/>
        <v>0</v>
      </c>
      <c r="Q29" s="4558"/>
      <c r="R29" s="5428"/>
      <c r="S29" s="4567">
        <f t="shared" si="6"/>
        <v>0</v>
      </c>
      <c r="T29" s="4558"/>
    </row>
    <row r="30" spans="1:26" ht="15.05" thickBot="1" x14ac:dyDescent="0.35">
      <c r="B30" s="5416"/>
      <c r="C30" s="5417"/>
      <c r="D30" s="5427"/>
      <c r="E30" s="5419"/>
      <c r="F30" s="5419"/>
      <c r="G30" s="5419"/>
      <c r="H30" s="5419"/>
      <c r="I30" s="5419"/>
      <c r="J30" s="5419"/>
      <c r="K30" s="5419"/>
      <c r="L30" s="5419"/>
      <c r="M30" s="5419"/>
      <c r="N30" s="5419"/>
      <c r="O30" s="5417"/>
      <c r="P30" s="4557">
        <f t="shared" si="5"/>
        <v>0</v>
      </c>
      <c r="Q30" s="4558"/>
      <c r="R30" s="5428"/>
      <c r="S30" s="4567">
        <f t="shared" si="6"/>
        <v>0</v>
      </c>
      <c r="T30" s="4558"/>
    </row>
    <row r="31" spans="1:26" ht="15.05" thickBot="1" x14ac:dyDescent="0.35">
      <c r="B31" s="5416"/>
      <c r="C31" s="5417"/>
      <c r="D31" s="5427"/>
      <c r="E31" s="5419"/>
      <c r="F31" s="5419"/>
      <c r="G31" s="5419"/>
      <c r="H31" s="5419"/>
      <c r="I31" s="5419"/>
      <c r="J31" s="5419"/>
      <c r="K31" s="5419"/>
      <c r="L31" s="5419"/>
      <c r="M31" s="5419"/>
      <c r="N31" s="5419"/>
      <c r="O31" s="5417"/>
      <c r="P31" s="4557">
        <f t="shared" si="5"/>
        <v>0</v>
      </c>
      <c r="Q31" s="4558"/>
      <c r="R31" s="5428"/>
      <c r="S31" s="4567">
        <f t="shared" si="6"/>
        <v>0</v>
      </c>
      <c r="T31" s="4558"/>
    </row>
    <row r="32" spans="1:26" ht="15.05" thickBot="1" x14ac:dyDescent="0.35">
      <c r="B32" s="5368"/>
      <c r="C32" s="5413"/>
      <c r="D32" s="5427"/>
      <c r="E32" s="5419"/>
      <c r="F32" s="5419"/>
      <c r="G32" s="5419"/>
      <c r="H32" s="5419"/>
      <c r="I32" s="5419"/>
      <c r="J32" s="5419"/>
      <c r="K32" s="5419"/>
      <c r="L32" s="5419"/>
      <c r="M32" s="5419"/>
      <c r="N32" s="5419"/>
      <c r="O32" s="5417"/>
      <c r="P32" s="4557">
        <f t="shared" si="5"/>
        <v>0</v>
      </c>
      <c r="R32" s="5428"/>
      <c r="S32" s="4568">
        <f t="shared" si="6"/>
        <v>0</v>
      </c>
    </row>
    <row r="33" spans="1:26" ht="15.05" thickBot="1" x14ac:dyDescent="0.35">
      <c r="B33" s="4494" t="s">
        <v>11</v>
      </c>
      <c r="C33" s="4497">
        <f>SUM(C23:C32)</f>
        <v>0</v>
      </c>
      <c r="D33" s="4560">
        <f>SUM(D23:D32)</f>
        <v>0</v>
      </c>
      <c r="E33" s="4496">
        <f t="shared" ref="E33:O33" si="7">SUM(E23:E32)</f>
        <v>0</v>
      </c>
      <c r="F33" s="4496">
        <f t="shared" si="7"/>
        <v>0</v>
      </c>
      <c r="G33" s="4496">
        <f t="shared" si="7"/>
        <v>0</v>
      </c>
      <c r="H33" s="4496">
        <f t="shared" si="7"/>
        <v>0</v>
      </c>
      <c r="I33" s="4496">
        <f t="shared" si="7"/>
        <v>0</v>
      </c>
      <c r="J33" s="4496">
        <f t="shared" si="7"/>
        <v>0</v>
      </c>
      <c r="K33" s="4496">
        <f t="shared" si="7"/>
        <v>0</v>
      </c>
      <c r="L33" s="4496">
        <f t="shared" si="7"/>
        <v>0</v>
      </c>
      <c r="M33" s="4496">
        <f t="shared" si="7"/>
        <v>0</v>
      </c>
      <c r="N33" s="4496">
        <f t="shared" si="7"/>
        <v>0</v>
      </c>
      <c r="O33" s="4497">
        <f t="shared" si="7"/>
        <v>0</v>
      </c>
      <c r="P33" s="4561">
        <f t="shared" si="5"/>
        <v>0</v>
      </c>
      <c r="Q33" s="4558"/>
      <c r="R33" s="4569">
        <f>+SUM(R23:R32)</f>
        <v>0</v>
      </c>
      <c r="S33" s="3928">
        <f>+SUM(S23:S31)</f>
        <v>0</v>
      </c>
      <c r="T33" s="4558"/>
    </row>
    <row r="34" spans="1:26" x14ac:dyDescent="0.3">
      <c r="B34" s="4545" t="s">
        <v>2412</v>
      </c>
      <c r="R34" s="4545" t="s">
        <v>2223</v>
      </c>
    </row>
    <row r="35" spans="1:26" ht="15.05" thickBot="1" x14ac:dyDescent="0.35">
      <c r="B35" s="4570"/>
      <c r="C35" s="4571"/>
      <c r="D35" s="4571"/>
      <c r="E35" s="4571"/>
      <c r="F35" s="4572"/>
      <c r="G35" s="4572"/>
      <c r="H35" s="4572"/>
      <c r="I35" s="4572"/>
      <c r="J35" s="4572"/>
      <c r="K35" s="4572"/>
      <c r="L35" s="4572"/>
      <c r="M35" s="4572"/>
      <c r="N35" s="4572"/>
      <c r="O35" s="4572"/>
    </row>
    <row r="36" spans="1:26" s="3436" customFormat="1" ht="15.05" thickBot="1" x14ac:dyDescent="0.35">
      <c r="A36" s="2487">
        <f>+A21+1</f>
        <v>136</v>
      </c>
      <c r="B36" s="2488" t="s">
        <v>2222</v>
      </c>
      <c r="C36" s="4550"/>
      <c r="D36" s="4550"/>
      <c r="E36" s="4551"/>
      <c r="F36" s="4551"/>
      <c r="G36" s="2489"/>
      <c r="H36" s="2489"/>
      <c r="I36" s="2489"/>
      <c r="J36" s="2489"/>
      <c r="K36" s="2489"/>
      <c r="L36" s="2489"/>
      <c r="M36" s="2489"/>
      <c r="N36" s="2489"/>
      <c r="O36" s="2489"/>
      <c r="P36" s="2491"/>
      <c r="Q36" s="2677"/>
      <c r="R36" s="4573" t="s">
        <v>2219</v>
      </c>
      <c r="S36" s="4574"/>
      <c r="T36" s="4552"/>
      <c r="U36" s="3437"/>
      <c r="V36" s="3437"/>
      <c r="W36" s="3437"/>
      <c r="X36" s="3437"/>
      <c r="Y36" s="3437"/>
      <c r="Z36" s="3437"/>
    </row>
    <row r="37" spans="1:26" s="3436" customFormat="1" ht="15.05" thickBot="1" x14ac:dyDescent="0.35">
      <c r="A37" s="3902"/>
      <c r="B37" s="4553" t="s">
        <v>912</v>
      </c>
      <c r="C37" s="4554" t="s">
        <v>2227</v>
      </c>
      <c r="D37" s="4555" t="str">
        <f t="shared" ref="D37:O37" si="8">+D52</f>
        <v>Ene</v>
      </c>
      <c r="E37" s="4555" t="str">
        <f t="shared" si="8"/>
        <v>Feb</v>
      </c>
      <c r="F37" s="4555" t="str">
        <f t="shared" si="8"/>
        <v>Mar</v>
      </c>
      <c r="G37" s="4555" t="str">
        <f t="shared" si="8"/>
        <v>Abr</v>
      </c>
      <c r="H37" s="4555" t="str">
        <f t="shared" si="8"/>
        <v>May</v>
      </c>
      <c r="I37" s="4555" t="str">
        <f t="shared" si="8"/>
        <v>Jun</v>
      </c>
      <c r="J37" s="4555" t="str">
        <f t="shared" si="8"/>
        <v>Jul</v>
      </c>
      <c r="K37" s="4555" t="str">
        <f t="shared" si="8"/>
        <v>Ago</v>
      </c>
      <c r="L37" s="4555" t="str">
        <f t="shared" si="8"/>
        <v>Set</v>
      </c>
      <c r="M37" s="4555" t="str">
        <f t="shared" si="8"/>
        <v>Oct</v>
      </c>
      <c r="N37" s="4555" t="str">
        <f t="shared" si="8"/>
        <v>Nov</v>
      </c>
      <c r="O37" s="4555" t="str">
        <f t="shared" si="8"/>
        <v>Dic</v>
      </c>
      <c r="P37" s="4554" t="s">
        <v>230</v>
      </c>
      <c r="Q37" s="2677"/>
      <c r="R37" s="4575" t="s">
        <v>2220</v>
      </c>
      <c r="S37" s="2686"/>
      <c r="T37" s="4552"/>
      <c r="U37" s="3437"/>
      <c r="V37" s="3437"/>
      <c r="W37" s="3437"/>
      <c r="X37" s="3437"/>
      <c r="Y37" s="3437"/>
      <c r="Z37" s="3437"/>
    </row>
    <row r="38" spans="1:26" ht="15.05" thickBot="1" x14ac:dyDescent="0.35">
      <c r="B38" s="5409"/>
      <c r="C38" s="5429"/>
      <c r="D38" s="5430"/>
      <c r="E38" s="5431"/>
      <c r="F38" s="5431"/>
      <c r="G38" s="5431"/>
      <c r="H38" s="5431"/>
      <c r="I38" s="5431"/>
      <c r="J38" s="5431"/>
      <c r="K38" s="5431"/>
      <c r="L38" s="5431"/>
      <c r="M38" s="5431"/>
      <c r="N38" s="5431"/>
      <c r="O38" s="5429"/>
      <c r="P38" s="4576">
        <f t="shared" ref="P38:P48" si="9">+SUM(D38:O38)</f>
        <v>0</v>
      </c>
      <c r="Q38" s="4577"/>
      <c r="R38" s="4578">
        <f t="shared" ref="R38:R47" si="10">+C38-P38</f>
        <v>0</v>
      </c>
      <c r="S38" s="3452"/>
    </row>
    <row r="39" spans="1:26" ht="15.05" thickBot="1" x14ac:dyDescent="0.35">
      <c r="B39" s="5368"/>
      <c r="C39" s="5432"/>
      <c r="D39" s="5433"/>
      <c r="E39" s="5434"/>
      <c r="F39" s="5434"/>
      <c r="G39" s="5434"/>
      <c r="H39" s="5434"/>
      <c r="I39" s="5434"/>
      <c r="J39" s="5434"/>
      <c r="K39" s="5434"/>
      <c r="L39" s="5434"/>
      <c r="M39" s="5434"/>
      <c r="N39" s="5434"/>
      <c r="O39" s="5432"/>
      <c r="P39" s="4579">
        <f t="shared" si="9"/>
        <v>0</v>
      </c>
      <c r="Q39" s="4577"/>
      <c r="R39" s="4580">
        <f t="shared" si="10"/>
        <v>0</v>
      </c>
      <c r="S39" s="3452"/>
    </row>
    <row r="40" spans="1:26" ht="15.05" thickBot="1" x14ac:dyDescent="0.35">
      <c r="B40" s="5368"/>
      <c r="C40" s="5432"/>
      <c r="D40" s="5433"/>
      <c r="E40" s="5434"/>
      <c r="F40" s="5434"/>
      <c r="G40" s="5434"/>
      <c r="H40" s="5434"/>
      <c r="I40" s="5434"/>
      <c r="J40" s="5434"/>
      <c r="K40" s="5434"/>
      <c r="L40" s="5434"/>
      <c r="M40" s="5434"/>
      <c r="N40" s="5434"/>
      <c r="O40" s="5432"/>
      <c r="P40" s="4579">
        <f t="shared" si="9"/>
        <v>0</v>
      </c>
      <c r="Q40" s="4577"/>
      <c r="R40" s="4580">
        <f t="shared" si="10"/>
        <v>0</v>
      </c>
      <c r="S40" s="3452"/>
    </row>
    <row r="41" spans="1:26" ht="15.05" thickBot="1" x14ac:dyDescent="0.35">
      <c r="B41" s="5368"/>
      <c r="C41" s="5432"/>
      <c r="D41" s="5433"/>
      <c r="E41" s="5434"/>
      <c r="F41" s="5434"/>
      <c r="G41" s="5434"/>
      <c r="H41" s="5434"/>
      <c r="I41" s="5434"/>
      <c r="J41" s="5434"/>
      <c r="K41" s="5434"/>
      <c r="L41" s="5434"/>
      <c r="M41" s="5434"/>
      <c r="N41" s="5434"/>
      <c r="O41" s="5432"/>
      <c r="P41" s="4579">
        <f t="shared" si="9"/>
        <v>0</v>
      </c>
      <c r="Q41" s="4577"/>
      <c r="R41" s="4580">
        <f t="shared" si="10"/>
        <v>0</v>
      </c>
      <c r="S41" s="4098"/>
    </row>
    <row r="42" spans="1:26" ht="15.05" thickBot="1" x14ac:dyDescent="0.35">
      <c r="B42" s="5368"/>
      <c r="C42" s="5432"/>
      <c r="D42" s="5433"/>
      <c r="E42" s="5434"/>
      <c r="F42" s="5434"/>
      <c r="G42" s="5434"/>
      <c r="H42" s="5434"/>
      <c r="I42" s="5434"/>
      <c r="J42" s="5434"/>
      <c r="K42" s="5434"/>
      <c r="L42" s="5434"/>
      <c r="M42" s="5434"/>
      <c r="N42" s="5434"/>
      <c r="O42" s="5432"/>
      <c r="P42" s="4579">
        <f t="shared" si="9"/>
        <v>0</v>
      </c>
      <c r="Q42" s="4577"/>
      <c r="R42" s="4580">
        <f t="shared" si="10"/>
        <v>0</v>
      </c>
      <c r="S42" s="4581"/>
    </row>
    <row r="43" spans="1:26" ht="15.05" thickBot="1" x14ac:dyDescent="0.35">
      <c r="B43" s="5368"/>
      <c r="C43" s="5432"/>
      <c r="D43" s="5433"/>
      <c r="E43" s="5434"/>
      <c r="F43" s="5434"/>
      <c r="G43" s="5434"/>
      <c r="H43" s="5434"/>
      <c r="I43" s="5434"/>
      <c r="J43" s="5434"/>
      <c r="K43" s="5434"/>
      <c r="L43" s="5434"/>
      <c r="M43" s="5434"/>
      <c r="N43" s="5434"/>
      <c r="O43" s="5432"/>
      <c r="P43" s="4579">
        <f t="shared" si="9"/>
        <v>0</v>
      </c>
      <c r="Q43" s="4577"/>
      <c r="R43" s="4580">
        <f t="shared" si="10"/>
        <v>0</v>
      </c>
      <c r="S43" s="4098"/>
    </row>
    <row r="44" spans="1:26" ht="15.05" thickBot="1" x14ac:dyDescent="0.35">
      <c r="B44" s="5368"/>
      <c r="C44" s="5432"/>
      <c r="D44" s="5433"/>
      <c r="E44" s="5434"/>
      <c r="F44" s="5434"/>
      <c r="G44" s="5434"/>
      <c r="H44" s="5434"/>
      <c r="I44" s="5434"/>
      <c r="J44" s="5434"/>
      <c r="K44" s="5434"/>
      <c r="L44" s="5434"/>
      <c r="M44" s="5434"/>
      <c r="N44" s="5434"/>
      <c r="O44" s="5432"/>
      <c r="P44" s="4579">
        <f t="shared" si="9"/>
        <v>0</v>
      </c>
      <c r="Q44" s="4577"/>
      <c r="R44" s="4580">
        <f t="shared" si="10"/>
        <v>0</v>
      </c>
      <c r="S44" s="4098"/>
    </row>
    <row r="45" spans="1:26" ht="15.05" thickBot="1" x14ac:dyDescent="0.35">
      <c r="B45" s="5368"/>
      <c r="C45" s="5432"/>
      <c r="D45" s="5433"/>
      <c r="E45" s="5434"/>
      <c r="F45" s="5434"/>
      <c r="G45" s="5434"/>
      <c r="H45" s="5434"/>
      <c r="I45" s="5434"/>
      <c r="J45" s="5434"/>
      <c r="K45" s="5434"/>
      <c r="L45" s="5434"/>
      <c r="M45" s="5434"/>
      <c r="N45" s="5434"/>
      <c r="O45" s="5432"/>
      <c r="P45" s="4579">
        <f t="shared" si="9"/>
        <v>0</v>
      </c>
      <c r="Q45" s="4577"/>
      <c r="R45" s="4580">
        <f t="shared" si="10"/>
        <v>0</v>
      </c>
      <c r="S45" s="4098"/>
    </row>
    <row r="46" spans="1:26" ht="15.05" thickBot="1" x14ac:dyDescent="0.35">
      <c r="B46" s="5368"/>
      <c r="C46" s="5432"/>
      <c r="D46" s="5433"/>
      <c r="E46" s="5434"/>
      <c r="F46" s="5434"/>
      <c r="G46" s="5434"/>
      <c r="H46" s="5434"/>
      <c r="I46" s="5434"/>
      <c r="J46" s="5434"/>
      <c r="K46" s="5434"/>
      <c r="L46" s="5434"/>
      <c r="M46" s="5434"/>
      <c r="N46" s="5434"/>
      <c r="O46" s="5432"/>
      <c r="P46" s="4579">
        <f t="shared" si="9"/>
        <v>0</v>
      </c>
      <c r="Q46" s="4577"/>
      <c r="R46" s="4580">
        <f t="shared" si="10"/>
        <v>0</v>
      </c>
      <c r="S46" s="4098"/>
    </row>
    <row r="47" spans="1:26" ht="15.05" thickBot="1" x14ac:dyDescent="0.35">
      <c r="B47" s="5368"/>
      <c r="C47" s="5432"/>
      <c r="D47" s="5433"/>
      <c r="E47" s="5434"/>
      <c r="F47" s="5434"/>
      <c r="G47" s="5434"/>
      <c r="H47" s="5434"/>
      <c r="I47" s="5434"/>
      <c r="J47" s="5434"/>
      <c r="K47" s="5434"/>
      <c r="L47" s="5434"/>
      <c r="M47" s="5434"/>
      <c r="N47" s="5434"/>
      <c r="O47" s="5432"/>
      <c r="P47" s="4579">
        <f t="shared" si="9"/>
        <v>0</v>
      </c>
      <c r="Q47" s="4577"/>
      <c r="R47" s="4580">
        <f t="shared" si="10"/>
        <v>0</v>
      </c>
      <c r="S47" s="3452"/>
    </row>
    <row r="48" spans="1:26" ht="15.05" thickBot="1" x14ac:dyDescent="0.35">
      <c r="B48" s="4494" t="s">
        <v>11</v>
      </c>
      <c r="C48" s="4582">
        <f>+SUM(C38:C47)</f>
        <v>0</v>
      </c>
      <c r="D48" s="4583">
        <f>SUM(D38:D47)</f>
        <v>0</v>
      </c>
      <c r="E48" s="4584">
        <f t="shared" ref="E48:N48" si="11">SUM(E38:E47)</f>
        <v>0</v>
      </c>
      <c r="F48" s="4584">
        <f t="shared" si="11"/>
        <v>0</v>
      </c>
      <c r="G48" s="4584">
        <f t="shared" si="11"/>
        <v>0</v>
      </c>
      <c r="H48" s="4584">
        <f t="shared" si="11"/>
        <v>0</v>
      </c>
      <c r="I48" s="4584">
        <f t="shared" si="11"/>
        <v>0</v>
      </c>
      <c r="J48" s="4584">
        <f t="shared" si="11"/>
        <v>0</v>
      </c>
      <c r="K48" s="4584">
        <f t="shared" si="11"/>
        <v>0</v>
      </c>
      <c r="L48" s="4584">
        <f t="shared" si="11"/>
        <v>0</v>
      </c>
      <c r="M48" s="4584">
        <f t="shared" si="11"/>
        <v>0</v>
      </c>
      <c r="N48" s="4584">
        <f t="shared" si="11"/>
        <v>0</v>
      </c>
      <c r="O48" s="4585">
        <f>SUM(O38:O47)</f>
        <v>0</v>
      </c>
      <c r="P48" s="4586">
        <f t="shared" si="9"/>
        <v>0</v>
      </c>
      <c r="Q48" s="4587"/>
      <c r="R48" s="4586">
        <f>+SUM(R38:R47)</f>
        <v>0</v>
      </c>
      <c r="S48" s="3452"/>
      <c r="T48" s="4558"/>
    </row>
    <row r="49" spans="1:26" x14ac:dyDescent="0.3">
      <c r="B49" s="4423" t="s">
        <v>2411</v>
      </c>
      <c r="C49" s="3572"/>
      <c r="D49" s="3572"/>
      <c r="E49" s="3572"/>
      <c r="F49" s="3572"/>
      <c r="G49" s="3572"/>
      <c r="H49" s="3572"/>
      <c r="I49" s="3572"/>
      <c r="J49" s="3572"/>
      <c r="K49" s="3572"/>
      <c r="L49" s="3572"/>
      <c r="M49" s="3572"/>
      <c r="N49" s="3572"/>
      <c r="O49" s="3572"/>
      <c r="Q49" s="4558"/>
      <c r="R49" s="4545" t="s">
        <v>2226</v>
      </c>
      <c r="S49" s="3452"/>
      <c r="T49" s="4558"/>
    </row>
    <row r="50" spans="1:26" ht="15.05" thickBot="1" x14ac:dyDescent="0.35">
      <c r="C50" s="3523"/>
      <c r="D50" s="3523"/>
      <c r="E50" s="3523"/>
      <c r="F50" s="3523"/>
      <c r="G50" s="3523"/>
      <c r="H50" s="3523"/>
      <c r="I50" s="3523"/>
      <c r="J50" s="3523"/>
      <c r="K50" s="3523"/>
      <c r="L50" s="3523"/>
      <c r="M50" s="3523"/>
      <c r="N50" s="3523"/>
      <c r="O50" s="3523"/>
      <c r="S50" s="3452"/>
    </row>
    <row r="51" spans="1:26" s="3436" customFormat="1" ht="15.05" thickBot="1" x14ac:dyDescent="0.35">
      <c r="A51" s="2487">
        <f>+A36+1</f>
        <v>137</v>
      </c>
      <c r="B51" s="2488" t="s">
        <v>2212</v>
      </c>
      <c r="C51" s="4550"/>
      <c r="D51" s="4550"/>
      <c r="E51" s="4551"/>
      <c r="F51" s="4551"/>
      <c r="G51" s="2489"/>
      <c r="H51" s="2489"/>
      <c r="I51" s="2489"/>
      <c r="J51" s="2489"/>
      <c r="K51" s="2489"/>
      <c r="L51" s="2489"/>
      <c r="M51" s="2489"/>
      <c r="N51" s="2489"/>
      <c r="O51" s="2489"/>
      <c r="P51" s="2491"/>
      <c r="Q51" s="2677"/>
      <c r="R51" s="2677"/>
      <c r="S51" s="2686"/>
      <c r="T51" s="4552"/>
      <c r="U51" s="3437"/>
      <c r="V51" s="3437"/>
      <c r="W51" s="3437"/>
      <c r="X51" s="3437"/>
      <c r="Y51" s="3437"/>
      <c r="Z51" s="3437"/>
    </row>
    <row r="52" spans="1:26" s="3436" customFormat="1" ht="15.05" thickBot="1" x14ac:dyDescent="0.35">
      <c r="A52" s="3902"/>
      <c r="B52" s="4553" t="s">
        <v>912</v>
      </c>
      <c r="C52" s="4554"/>
      <c r="D52" s="4555" t="str">
        <f t="shared" ref="D52:O52" si="12">+D22</f>
        <v>Ene</v>
      </c>
      <c r="E52" s="4555" t="str">
        <f t="shared" si="12"/>
        <v>Feb</v>
      </c>
      <c r="F52" s="4555" t="str">
        <f t="shared" si="12"/>
        <v>Mar</v>
      </c>
      <c r="G52" s="4555" t="str">
        <f t="shared" si="12"/>
        <v>Abr</v>
      </c>
      <c r="H52" s="4555" t="str">
        <f t="shared" si="12"/>
        <v>May</v>
      </c>
      <c r="I52" s="4555" t="str">
        <f t="shared" si="12"/>
        <v>Jun</v>
      </c>
      <c r="J52" s="4555" t="str">
        <f t="shared" si="12"/>
        <v>Jul</v>
      </c>
      <c r="K52" s="4555" t="str">
        <f t="shared" si="12"/>
        <v>Ago</v>
      </c>
      <c r="L52" s="4555" t="str">
        <f t="shared" si="12"/>
        <v>Set</v>
      </c>
      <c r="M52" s="4555" t="str">
        <f t="shared" si="12"/>
        <v>Oct</v>
      </c>
      <c r="N52" s="4555" t="str">
        <f t="shared" si="12"/>
        <v>Nov</v>
      </c>
      <c r="O52" s="4555" t="str">
        <f t="shared" si="12"/>
        <v>Dic</v>
      </c>
      <c r="P52" s="4554" t="s">
        <v>230</v>
      </c>
      <c r="Q52" s="2677"/>
      <c r="R52" s="2677"/>
      <c r="S52" s="2686"/>
      <c r="T52" s="4552"/>
      <c r="U52" s="3437"/>
      <c r="V52" s="3437"/>
      <c r="W52" s="3437"/>
      <c r="X52" s="3437"/>
      <c r="Y52" s="3437"/>
      <c r="Z52" s="3437"/>
    </row>
    <row r="53" spans="1:26" ht="15.05" thickBot="1" x14ac:dyDescent="0.35">
      <c r="B53" s="5409"/>
      <c r="C53" s="4588"/>
      <c r="D53" s="5425"/>
      <c r="E53" s="5412"/>
      <c r="F53" s="5412"/>
      <c r="G53" s="5412"/>
      <c r="H53" s="5412"/>
      <c r="I53" s="5412"/>
      <c r="J53" s="5412"/>
      <c r="K53" s="5412"/>
      <c r="L53" s="5412"/>
      <c r="M53" s="5412"/>
      <c r="N53" s="5412"/>
      <c r="O53" s="5410"/>
      <c r="P53" s="4556">
        <f t="shared" ref="P53:P62" si="13">+SUM(D53:O53)</f>
        <v>0</v>
      </c>
    </row>
    <row r="54" spans="1:26" ht="15.05" thickBot="1" x14ac:dyDescent="0.35">
      <c r="B54" s="5368"/>
      <c r="C54" s="4589"/>
      <c r="D54" s="5427"/>
      <c r="E54" s="5419"/>
      <c r="F54" s="5419"/>
      <c r="G54" s="5419"/>
      <c r="H54" s="5419"/>
      <c r="I54" s="5419"/>
      <c r="J54" s="5419"/>
      <c r="K54" s="5419"/>
      <c r="L54" s="5419"/>
      <c r="M54" s="5419"/>
      <c r="N54" s="5419"/>
      <c r="O54" s="5417"/>
      <c r="P54" s="4557">
        <f t="shared" si="13"/>
        <v>0</v>
      </c>
    </row>
    <row r="55" spans="1:26" ht="15.05" thickBot="1" x14ac:dyDescent="0.35">
      <c r="B55" s="5368"/>
      <c r="C55" s="4589"/>
      <c r="D55" s="5427"/>
      <c r="E55" s="5419"/>
      <c r="F55" s="5419"/>
      <c r="G55" s="5419"/>
      <c r="H55" s="5419"/>
      <c r="I55" s="5419"/>
      <c r="J55" s="5419"/>
      <c r="K55" s="5419"/>
      <c r="L55" s="5419"/>
      <c r="M55" s="5419"/>
      <c r="N55" s="5419"/>
      <c r="O55" s="5417"/>
      <c r="P55" s="4557">
        <f t="shared" si="13"/>
        <v>0</v>
      </c>
    </row>
    <row r="56" spans="1:26" ht="15.05" thickBot="1" x14ac:dyDescent="0.35">
      <c r="B56" s="5368"/>
      <c r="C56" s="4590"/>
      <c r="D56" s="5427"/>
      <c r="E56" s="5419"/>
      <c r="F56" s="5419"/>
      <c r="G56" s="5419"/>
      <c r="H56" s="5419"/>
      <c r="I56" s="5419"/>
      <c r="J56" s="5419"/>
      <c r="K56" s="5419"/>
      <c r="L56" s="5419"/>
      <c r="M56" s="5419"/>
      <c r="N56" s="5419"/>
      <c r="O56" s="5417"/>
      <c r="P56" s="4557">
        <f t="shared" si="13"/>
        <v>0</v>
      </c>
    </row>
    <row r="57" spans="1:26" ht="15.05" thickBot="1" x14ac:dyDescent="0.35">
      <c r="B57" s="5368"/>
      <c r="C57" s="4590"/>
      <c r="D57" s="5427"/>
      <c r="E57" s="5419"/>
      <c r="F57" s="5419"/>
      <c r="G57" s="5419"/>
      <c r="H57" s="5419"/>
      <c r="I57" s="5419"/>
      <c r="J57" s="5419"/>
      <c r="K57" s="5419"/>
      <c r="L57" s="5419"/>
      <c r="M57" s="5419"/>
      <c r="N57" s="5419"/>
      <c r="O57" s="5417"/>
      <c r="P57" s="4557">
        <f t="shared" si="13"/>
        <v>0</v>
      </c>
    </row>
    <row r="58" spans="1:26" ht="15.05" thickBot="1" x14ac:dyDescent="0.35">
      <c r="B58" s="5368"/>
      <c r="C58" s="4590"/>
      <c r="D58" s="5427"/>
      <c r="E58" s="5419"/>
      <c r="F58" s="5419"/>
      <c r="G58" s="5419"/>
      <c r="H58" s="5419"/>
      <c r="I58" s="5419"/>
      <c r="J58" s="5419"/>
      <c r="K58" s="5419"/>
      <c r="L58" s="5419"/>
      <c r="M58" s="5419"/>
      <c r="N58" s="5419"/>
      <c r="O58" s="5417"/>
      <c r="P58" s="4557">
        <f t="shared" si="13"/>
        <v>0</v>
      </c>
    </row>
    <row r="59" spans="1:26" ht="15.05" thickBot="1" x14ac:dyDescent="0.35">
      <c r="B59" s="5368">
        <f>+B41</f>
        <v>0</v>
      </c>
      <c r="C59" s="4590"/>
      <c r="D59" s="5427"/>
      <c r="E59" s="5419"/>
      <c r="F59" s="5419"/>
      <c r="G59" s="5419"/>
      <c r="H59" s="5419"/>
      <c r="I59" s="5419"/>
      <c r="J59" s="5419"/>
      <c r="K59" s="5419"/>
      <c r="L59" s="5419"/>
      <c r="M59" s="5419"/>
      <c r="N59" s="5419"/>
      <c r="O59" s="5417"/>
      <c r="P59" s="4557">
        <f t="shared" si="13"/>
        <v>0</v>
      </c>
    </row>
    <row r="60" spans="1:26" ht="15.05" thickBot="1" x14ac:dyDescent="0.35">
      <c r="B60" s="5368">
        <f>+B42</f>
        <v>0</v>
      </c>
      <c r="C60" s="4590"/>
      <c r="D60" s="5427"/>
      <c r="E60" s="5419"/>
      <c r="F60" s="5419"/>
      <c r="G60" s="5419"/>
      <c r="H60" s="5419"/>
      <c r="I60" s="5419"/>
      <c r="J60" s="5419"/>
      <c r="K60" s="5419"/>
      <c r="L60" s="5419"/>
      <c r="M60" s="5419"/>
      <c r="N60" s="5419"/>
      <c r="O60" s="5417"/>
      <c r="P60" s="4557">
        <f t="shared" si="13"/>
        <v>0</v>
      </c>
    </row>
    <row r="61" spans="1:26" ht="15.05" thickBot="1" x14ac:dyDescent="0.35">
      <c r="B61" s="5368"/>
      <c r="C61" s="4591"/>
      <c r="D61" s="5427"/>
      <c r="E61" s="5419"/>
      <c r="F61" s="5419"/>
      <c r="G61" s="5419"/>
      <c r="H61" s="5419"/>
      <c r="I61" s="5419"/>
      <c r="J61" s="5419"/>
      <c r="K61" s="5419"/>
      <c r="L61" s="5419"/>
      <c r="M61" s="5419"/>
      <c r="N61" s="5419"/>
      <c r="O61" s="5417"/>
      <c r="P61" s="4557">
        <f t="shared" si="13"/>
        <v>0</v>
      </c>
    </row>
    <row r="62" spans="1:26" ht="15.05" thickBot="1" x14ac:dyDescent="0.35">
      <c r="B62" s="4494" t="s">
        <v>11</v>
      </c>
      <c r="C62" s="4592"/>
      <c r="D62" s="4560">
        <f>SUM(D53:D61)</f>
        <v>0</v>
      </c>
      <c r="E62" s="4496">
        <f t="shared" ref="E62:O62" si="14">SUM(E53:E61)</f>
        <v>0</v>
      </c>
      <c r="F62" s="4496">
        <f t="shared" si="14"/>
        <v>0</v>
      </c>
      <c r="G62" s="4496">
        <f t="shared" si="14"/>
        <v>0</v>
      </c>
      <c r="H62" s="4496">
        <f t="shared" si="14"/>
        <v>0</v>
      </c>
      <c r="I62" s="4496">
        <f t="shared" si="14"/>
        <v>0</v>
      </c>
      <c r="J62" s="4496">
        <f t="shared" si="14"/>
        <v>0</v>
      </c>
      <c r="K62" s="4496">
        <f t="shared" si="14"/>
        <v>0</v>
      </c>
      <c r="L62" s="4496">
        <f t="shared" si="14"/>
        <v>0</v>
      </c>
      <c r="M62" s="4496">
        <f t="shared" si="14"/>
        <v>0</v>
      </c>
      <c r="N62" s="4496">
        <f t="shared" si="14"/>
        <v>0</v>
      </c>
      <c r="O62" s="4497">
        <f t="shared" si="14"/>
        <v>0</v>
      </c>
      <c r="P62" s="4561">
        <f t="shared" si="13"/>
        <v>0</v>
      </c>
      <c r="Q62" s="4558"/>
      <c r="R62" s="4558"/>
      <c r="S62" s="4558"/>
      <c r="T62" s="4558"/>
    </row>
    <row r="63" spans="1:26" x14ac:dyDescent="0.3">
      <c r="B63" s="3887"/>
      <c r="C63" s="3888"/>
      <c r="D63" s="3888"/>
      <c r="E63" s="3888"/>
      <c r="F63" s="3888"/>
      <c r="G63" s="3888"/>
      <c r="H63" s="3888"/>
      <c r="I63" s="3888"/>
      <c r="J63" s="3888"/>
      <c r="K63" s="3888"/>
      <c r="L63" s="3888"/>
      <c r="M63" s="3888"/>
      <c r="N63" s="3888"/>
      <c r="O63" s="3888"/>
      <c r="P63" s="4040"/>
      <c r="Q63" s="4593"/>
      <c r="R63" s="4593"/>
      <c r="S63" s="4593"/>
      <c r="T63" s="4593"/>
    </row>
    <row r="64" spans="1:26" ht="15.05" thickBot="1" x14ac:dyDescent="0.35">
      <c r="B64" s="4562"/>
      <c r="C64" s="4435"/>
      <c r="D64" s="4435"/>
      <c r="E64" s="4435"/>
      <c r="F64" s="4435"/>
      <c r="G64" s="4435"/>
      <c r="H64" s="4435"/>
      <c r="I64" s="4435"/>
      <c r="J64" s="4435"/>
      <c r="K64" s="4435"/>
      <c r="L64" s="4435"/>
      <c r="M64" s="4435"/>
      <c r="N64" s="4435"/>
      <c r="O64" s="4435"/>
      <c r="P64" s="3564"/>
      <c r="Q64" s="4558"/>
      <c r="R64" s="4558"/>
      <c r="S64" s="4558"/>
      <c r="T64" s="4558"/>
    </row>
    <row r="65" spans="1:26" s="3436" customFormat="1" ht="15.05" thickBot="1" x14ac:dyDescent="0.35">
      <c r="A65" s="2487">
        <f>+A51+1</f>
        <v>138</v>
      </c>
      <c r="B65" s="2488" t="s">
        <v>2224</v>
      </c>
      <c r="C65" s="4550"/>
      <c r="D65" s="4550"/>
      <c r="E65" s="4551"/>
      <c r="F65" s="4551"/>
      <c r="G65" s="2489"/>
      <c r="H65" s="2489"/>
      <c r="I65" s="2489"/>
      <c r="J65" s="2489"/>
      <c r="K65" s="2489"/>
      <c r="L65" s="2489"/>
      <c r="M65" s="2489"/>
      <c r="N65" s="2489"/>
      <c r="O65" s="2489"/>
      <c r="P65" s="2491"/>
      <c r="Q65" s="2677"/>
      <c r="R65" s="4573" t="s">
        <v>2219</v>
      </c>
      <c r="S65" s="4574"/>
      <c r="T65" s="4552"/>
      <c r="U65" s="3437"/>
      <c r="V65" s="3437"/>
      <c r="W65" s="3437"/>
      <c r="X65" s="3437"/>
      <c r="Y65" s="3437"/>
      <c r="Z65" s="3437"/>
    </row>
    <row r="66" spans="1:26" s="3436" customFormat="1" ht="15.05" thickBot="1" x14ac:dyDescent="0.35">
      <c r="A66" s="3902"/>
      <c r="B66" s="4553" t="s">
        <v>912</v>
      </c>
      <c r="C66" s="4554" t="s">
        <v>2227</v>
      </c>
      <c r="D66" s="4555" t="str">
        <f>+D52</f>
        <v>Ene</v>
      </c>
      <c r="E66" s="4555" t="str">
        <f t="shared" ref="E66:O66" si="15">+E52</f>
        <v>Feb</v>
      </c>
      <c r="F66" s="4555" t="str">
        <f t="shared" si="15"/>
        <v>Mar</v>
      </c>
      <c r="G66" s="4555" t="str">
        <f t="shared" si="15"/>
        <v>Abr</v>
      </c>
      <c r="H66" s="4555" t="str">
        <f t="shared" si="15"/>
        <v>May</v>
      </c>
      <c r="I66" s="4555" t="str">
        <f t="shared" si="15"/>
        <v>Jun</v>
      </c>
      <c r="J66" s="4555" t="str">
        <f t="shared" si="15"/>
        <v>Jul</v>
      </c>
      <c r="K66" s="4555" t="str">
        <f t="shared" si="15"/>
        <v>Ago</v>
      </c>
      <c r="L66" s="4555" t="str">
        <f t="shared" si="15"/>
        <v>Set</v>
      </c>
      <c r="M66" s="4555" t="str">
        <f t="shared" si="15"/>
        <v>Oct</v>
      </c>
      <c r="N66" s="4555" t="str">
        <f t="shared" si="15"/>
        <v>Nov</v>
      </c>
      <c r="O66" s="4555" t="str">
        <f t="shared" si="15"/>
        <v>Dic</v>
      </c>
      <c r="P66" s="4554" t="s">
        <v>230</v>
      </c>
      <c r="Q66" s="2677"/>
      <c r="R66" s="4575" t="s">
        <v>2220</v>
      </c>
      <c r="S66" s="2686"/>
      <c r="T66" s="4552"/>
      <c r="U66" s="3437"/>
      <c r="V66" s="3437"/>
      <c r="W66" s="3437"/>
      <c r="X66" s="3437"/>
      <c r="Y66" s="3437"/>
      <c r="Z66" s="3437"/>
    </row>
    <row r="67" spans="1:26" ht="15.05" thickBot="1" x14ac:dyDescent="0.35">
      <c r="B67" s="5409"/>
      <c r="C67" s="5429"/>
      <c r="D67" s="5430"/>
      <c r="E67" s="5431"/>
      <c r="F67" s="5431"/>
      <c r="G67" s="5431"/>
      <c r="H67" s="5431"/>
      <c r="I67" s="5431"/>
      <c r="J67" s="5431"/>
      <c r="K67" s="5431"/>
      <c r="L67" s="5431"/>
      <c r="M67" s="5431"/>
      <c r="N67" s="5431"/>
      <c r="O67" s="5429"/>
      <c r="P67" s="4576">
        <f t="shared" ref="P67:P76" si="16">+SUM(D67:O67)</f>
        <v>0</v>
      </c>
      <c r="Q67" s="4577"/>
      <c r="R67" s="4594">
        <f t="shared" ref="R67:R76" si="17">+C67-P67</f>
        <v>0</v>
      </c>
      <c r="S67" s="3452"/>
    </row>
    <row r="68" spans="1:26" ht="15.05" thickBot="1" x14ac:dyDescent="0.35">
      <c r="B68" s="5368"/>
      <c r="C68" s="5432"/>
      <c r="D68" s="5433"/>
      <c r="E68" s="5434"/>
      <c r="F68" s="5434"/>
      <c r="G68" s="5434"/>
      <c r="H68" s="5434"/>
      <c r="I68" s="5434"/>
      <c r="J68" s="5434"/>
      <c r="K68" s="5434"/>
      <c r="L68" s="5434"/>
      <c r="M68" s="5434"/>
      <c r="N68" s="5434"/>
      <c r="O68" s="5432"/>
      <c r="P68" s="4579">
        <f t="shared" si="16"/>
        <v>0</v>
      </c>
      <c r="Q68" s="4577"/>
      <c r="R68" s="4595">
        <f t="shared" si="17"/>
        <v>0</v>
      </c>
      <c r="S68" s="3452"/>
    </row>
    <row r="69" spans="1:26" ht="15.05" thickBot="1" x14ac:dyDescent="0.35">
      <c r="B69" s="5368"/>
      <c r="C69" s="5432"/>
      <c r="D69" s="5433"/>
      <c r="E69" s="5434"/>
      <c r="F69" s="5434"/>
      <c r="G69" s="5434"/>
      <c r="H69" s="5434"/>
      <c r="I69" s="5434"/>
      <c r="J69" s="5434"/>
      <c r="K69" s="5434"/>
      <c r="L69" s="5434"/>
      <c r="M69" s="5434"/>
      <c r="N69" s="5434"/>
      <c r="O69" s="5432"/>
      <c r="P69" s="4579">
        <f t="shared" si="16"/>
        <v>0</v>
      </c>
      <c r="Q69" s="4577"/>
      <c r="R69" s="4595">
        <f t="shared" si="17"/>
        <v>0</v>
      </c>
      <c r="S69" s="3452"/>
    </row>
    <row r="70" spans="1:26" ht="15.05" thickBot="1" x14ac:dyDescent="0.35">
      <c r="B70" s="5368"/>
      <c r="C70" s="5432"/>
      <c r="D70" s="5433"/>
      <c r="E70" s="5434"/>
      <c r="F70" s="5434"/>
      <c r="G70" s="5434"/>
      <c r="H70" s="5434"/>
      <c r="I70" s="5434"/>
      <c r="J70" s="5434"/>
      <c r="K70" s="5434"/>
      <c r="L70" s="5434"/>
      <c r="M70" s="5434"/>
      <c r="N70" s="5434"/>
      <c r="O70" s="5432"/>
      <c r="P70" s="4579">
        <f t="shared" si="16"/>
        <v>0</v>
      </c>
      <c r="Q70" s="4577"/>
      <c r="R70" s="4595">
        <f t="shared" si="17"/>
        <v>0</v>
      </c>
      <c r="S70" s="4098"/>
    </row>
    <row r="71" spans="1:26" ht="15.05" thickBot="1" x14ac:dyDescent="0.35">
      <c r="B71" s="5368"/>
      <c r="C71" s="5432"/>
      <c r="D71" s="5433"/>
      <c r="E71" s="5434"/>
      <c r="F71" s="5434"/>
      <c r="G71" s="5434"/>
      <c r="H71" s="5434"/>
      <c r="I71" s="5434"/>
      <c r="J71" s="5434"/>
      <c r="K71" s="5434"/>
      <c r="L71" s="5434"/>
      <c r="M71" s="5434"/>
      <c r="N71" s="5434"/>
      <c r="O71" s="5432"/>
      <c r="P71" s="4579">
        <f t="shared" si="16"/>
        <v>0</v>
      </c>
      <c r="Q71" s="4577"/>
      <c r="R71" s="4595">
        <f t="shared" si="17"/>
        <v>0</v>
      </c>
      <c r="S71" s="4581"/>
    </row>
    <row r="72" spans="1:26" ht="15.05" thickBot="1" x14ac:dyDescent="0.35">
      <c r="B72" s="5368"/>
      <c r="C72" s="5432"/>
      <c r="D72" s="5433"/>
      <c r="E72" s="5434"/>
      <c r="F72" s="5434"/>
      <c r="G72" s="5434"/>
      <c r="H72" s="5434"/>
      <c r="I72" s="5434"/>
      <c r="J72" s="5434"/>
      <c r="K72" s="5434"/>
      <c r="L72" s="5434"/>
      <c r="M72" s="5434"/>
      <c r="N72" s="5434"/>
      <c r="O72" s="5432"/>
      <c r="P72" s="4579">
        <f t="shared" si="16"/>
        <v>0</v>
      </c>
      <c r="Q72" s="4577"/>
      <c r="R72" s="4595">
        <f t="shared" si="17"/>
        <v>0</v>
      </c>
      <c r="S72" s="4098"/>
    </row>
    <row r="73" spans="1:26" ht="15.05" thickBot="1" x14ac:dyDescent="0.35">
      <c r="B73" s="5368"/>
      <c r="C73" s="5432"/>
      <c r="D73" s="5433"/>
      <c r="E73" s="5434"/>
      <c r="F73" s="5434"/>
      <c r="G73" s="5434"/>
      <c r="H73" s="5434"/>
      <c r="I73" s="5434"/>
      <c r="J73" s="5434"/>
      <c r="K73" s="5434"/>
      <c r="L73" s="5434"/>
      <c r="M73" s="5434"/>
      <c r="N73" s="5434"/>
      <c r="O73" s="5432"/>
      <c r="P73" s="4579">
        <f t="shared" si="16"/>
        <v>0</v>
      </c>
      <c r="Q73" s="4577"/>
      <c r="R73" s="4595">
        <f t="shared" si="17"/>
        <v>0</v>
      </c>
      <c r="S73" s="4098"/>
    </row>
    <row r="74" spans="1:26" ht="15.05" thickBot="1" x14ac:dyDescent="0.35">
      <c r="B74" s="5368"/>
      <c r="C74" s="5432"/>
      <c r="D74" s="5433"/>
      <c r="E74" s="5434"/>
      <c r="F74" s="5434"/>
      <c r="G74" s="5434"/>
      <c r="H74" s="5434"/>
      <c r="I74" s="5434"/>
      <c r="J74" s="5434"/>
      <c r="K74" s="5434"/>
      <c r="L74" s="5434"/>
      <c r="M74" s="5434"/>
      <c r="N74" s="5434"/>
      <c r="O74" s="5432"/>
      <c r="P74" s="4579">
        <f t="shared" si="16"/>
        <v>0</v>
      </c>
      <c r="Q74" s="4577"/>
      <c r="R74" s="4595">
        <f t="shared" si="17"/>
        <v>0</v>
      </c>
      <c r="S74" s="4098"/>
    </row>
    <row r="75" spans="1:26" ht="15.05" thickBot="1" x14ac:dyDescent="0.35">
      <c r="B75" s="5368"/>
      <c r="C75" s="5432"/>
      <c r="D75" s="5433"/>
      <c r="E75" s="5434"/>
      <c r="F75" s="5434"/>
      <c r="G75" s="5434"/>
      <c r="H75" s="5434"/>
      <c r="I75" s="5434"/>
      <c r="J75" s="5434"/>
      <c r="K75" s="5434"/>
      <c r="L75" s="5434"/>
      <c r="M75" s="5434"/>
      <c r="N75" s="5434"/>
      <c r="O75" s="5432"/>
      <c r="P75" s="4579">
        <f t="shared" si="16"/>
        <v>0</v>
      </c>
      <c r="Q75" s="4577"/>
      <c r="R75" s="4595">
        <f t="shared" si="17"/>
        <v>0</v>
      </c>
      <c r="S75" s="4098"/>
    </row>
    <row r="76" spans="1:26" ht="15.05" thickBot="1" x14ac:dyDescent="0.35">
      <c r="B76" s="5368"/>
      <c r="C76" s="5432"/>
      <c r="D76" s="5433"/>
      <c r="E76" s="5434"/>
      <c r="F76" s="5434"/>
      <c r="G76" s="5434"/>
      <c r="H76" s="5434"/>
      <c r="I76" s="5434"/>
      <c r="J76" s="5434"/>
      <c r="K76" s="5434"/>
      <c r="L76" s="5434"/>
      <c r="M76" s="5434"/>
      <c r="N76" s="5434"/>
      <c r="O76" s="5432"/>
      <c r="P76" s="4579">
        <f t="shared" si="16"/>
        <v>0</v>
      </c>
      <c r="Q76" s="4577"/>
      <c r="R76" s="4595">
        <f t="shared" si="17"/>
        <v>0</v>
      </c>
      <c r="S76" s="3452"/>
    </row>
    <row r="77" spans="1:26" ht="15.05" thickBot="1" x14ac:dyDescent="0.35">
      <c r="B77" s="3934" t="s">
        <v>230</v>
      </c>
      <c r="C77" s="4585">
        <f>+SUM(C67:C76)</f>
        <v>0</v>
      </c>
      <c r="D77" s="4583">
        <f t="shared" ref="D77:P77" si="18">+SUM(D67:D76)</f>
        <v>0</v>
      </c>
      <c r="E77" s="4584">
        <f t="shared" si="18"/>
        <v>0</v>
      </c>
      <c r="F77" s="4584">
        <f t="shared" si="18"/>
        <v>0</v>
      </c>
      <c r="G77" s="4584">
        <f t="shared" si="18"/>
        <v>0</v>
      </c>
      <c r="H77" s="4584">
        <f t="shared" si="18"/>
        <v>0</v>
      </c>
      <c r="I77" s="4584">
        <f t="shared" si="18"/>
        <v>0</v>
      </c>
      <c r="J77" s="4584">
        <f t="shared" si="18"/>
        <v>0</v>
      </c>
      <c r="K77" s="4584">
        <f t="shared" si="18"/>
        <v>0</v>
      </c>
      <c r="L77" s="4584">
        <f t="shared" si="18"/>
        <v>0</v>
      </c>
      <c r="M77" s="4584">
        <f t="shared" si="18"/>
        <v>0</v>
      </c>
      <c r="N77" s="4584">
        <f t="shared" si="18"/>
        <v>0</v>
      </c>
      <c r="O77" s="4585">
        <f t="shared" si="18"/>
        <v>0</v>
      </c>
      <c r="P77" s="4586">
        <f t="shared" si="18"/>
        <v>0</v>
      </c>
      <c r="Q77" s="4587"/>
      <c r="R77" s="4586">
        <f>+SUM(R67:R76)</f>
        <v>0</v>
      </c>
      <c r="S77" s="3452"/>
      <c r="T77" s="4558"/>
    </row>
    <row r="78" spans="1:26" x14ac:dyDescent="0.3">
      <c r="B78" s="4423" t="s">
        <v>2411</v>
      </c>
      <c r="R78" s="4545" t="s">
        <v>2226</v>
      </c>
    </row>
    <row r="79" spans="1:26" ht="15.05" thickBot="1" x14ac:dyDescent="0.35">
      <c r="B79" s="4562"/>
      <c r="C79" s="4435"/>
      <c r="D79" s="4435"/>
      <c r="E79" s="4435"/>
      <c r="F79" s="4435"/>
      <c r="G79" s="4435"/>
      <c r="H79" s="4435"/>
      <c r="I79" s="4435"/>
      <c r="J79" s="4435"/>
      <c r="K79" s="4435"/>
      <c r="L79" s="4435"/>
      <c r="M79" s="4435"/>
      <c r="N79" s="4435"/>
      <c r="O79" s="4435"/>
      <c r="P79" s="3564"/>
      <c r="Q79" s="4558"/>
      <c r="R79" s="4545"/>
      <c r="S79" s="4558"/>
      <c r="T79" s="4558"/>
    </row>
    <row r="80" spans="1:26" s="3436" customFormat="1" ht="15.05" thickBot="1" x14ac:dyDescent="0.35">
      <c r="A80" s="2487">
        <f>+A65+1</f>
        <v>139</v>
      </c>
      <c r="B80" s="2488" t="s">
        <v>2213</v>
      </c>
      <c r="C80" s="4550"/>
      <c r="D80" s="4550"/>
      <c r="E80" s="4551"/>
      <c r="F80" s="4551"/>
      <c r="G80" s="2489"/>
      <c r="H80" s="2489"/>
      <c r="I80" s="2489"/>
      <c r="J80" s="2489"/>
      <c r="K80" s="2489"/>
      <c r="L80" s="2489"/>
      <c r="M80" s="2489"/>
      <c r="N80" s="2489"/>
      <c r="O80" s="2489"/>
      <c r="P80" s="2491"/>
      <c r="Q80" s="2677"/>
      <c r="R80" s="2677"/>
      <c r="S80" s="2686"/>
      <c r="T80" s="4552"/>
      <c r="U80" s="3437"/>
      <c r="V80" s="3437"/>
      <c r="W80" s="3437"/>
      <c r="X80" s="3437"/>
      <c r="Y80" s="3437"/>
      <c r="Z80" s="3437"/>
    </row>
    <row r="81" spans="1:26" s="3436" customFormat="1" ht="15.05" thickBot="1" x14ac:dyDescent="0.35">
      <c r="A81" s="3902"/>
      <c r="B81" s="4553" t="s">
        <v>912</v>
      </c>
      <c r="C81" s="4554"/>
      <c r="D81" s="4555" t="str">
        <f>+D66</f>
        <v>Ene</v>
      </c>
      <c r="E81" s="4555" t="str">
        <f t="shared" ref="E81:O81" si="19">+E66</f>
        <v>Feb</v>
      </c>
      <c r="F81" s="4555" t="str">
        <f t="shared" si="19"/>
        <v>Mar</v>
      </c>
      <c r="G81" s="4555" t="str">
        <f t="shared" si="19"/>
        <v>Abr</v>
      </c>
      <c r="H81" s="4555" t="str">
        <f t="shared" si="19"/>
        <v>May</v>
      </c>
      <c r="I81" s="4555" t="str">
        <f t="shared" si="19"/>
        <v>Jun</v>
      </c>
      <c r="J81" s="4555" t="str">
        <f t="shared" si="19"/>
        <v>Jul</v>
      </c>
      <c r="K81" s="4555" t="str">
        <f t="shared" si="19"/>
        <v>Ago</v>
      </c>
      <c r="L81" s="4555" t="str">
        <f t="shared" si="19"/>
        <v>Set</v>
      </c>
      <c r="M81" s="4555" t="str">
        <f t="shared" si="19"/>
        <v>Oct</v>
      </c>
      <c r="N81" s="4555" t="str">
        <f t="shared" si="19"/>
        <v>Nov</v>
      </c>
      <c r="O81" s="4555" t="str">
        <f t="shared" si="19"/>
        <v>Dic</v>
      </c>
      <c r="P81" s="4554" t="s">
        <v>230</v>
      </c>
      <c r="Q81" s="2677"/>
      <c r="R81" s="2686"/>
      <c r="S81" s="2686"/>
      <c r="T81" s="4552"/>
      <c r="U81" s="3437"/>
      <c r="V81" s="3437"/>
      <c r="W81" s="3437"/>
      <c r="X81" s="3437"/>
      <c r="Y81" s="3437"/>
      <c r="Z81" s="3437"/>
    </row>
    <row r="82" spans="1:26" ht="15.05" thickBot="1" x14ac:dyDescent="0.35">
      <c r="B82" s="5409"/>
      <c r="C82" s="4588"/>
      <c r="D82" s="5425"/>
      <c r="E82" s="5412"/>
      <c r="F82" s="5412"/>
      <c r="G82" s="5412"/>
      <c r="H82" s="5412"/>
      <c r="I82" s="5412"/>
      <c r="J82" s="5412"/>
      <c r="K82" s="5412"/>
      <c r="L82" s="5412"/>
      <c r="M82" s="5412"/>
      <c r="N82" s="5412"/>
      <c r="O82" s="5410"/>
      <c r="P82" s="4556">
        <f t="shared" ref="P82:P92" si="20">+SUM(D82:O82)</f>
        <v>0</v>
      </c>
    </row>
    <row r="83" spans="1:26" ht="15.05" thickBot="1" x14ac:dyDescent="0.35">
      <c r="B83" s="5368"/>
      <c r="C83" s="4590"/>
      <c r="D83" s="5427"/>
      <c r="E83" s="5419"/>
      <c r="F83" s="5419"/>
      <c r="G83" s="5419"/>
      <c r="H83" s="5419"/>
      <c r="I83" s="5419"/>
      <c r="J83" s="5419"/>
      <c r="K83" s="5419"/>
      <c r="L83" s="5419"/>
      <c r="M83" s="5419"/>
      <c r="N83" s="5419"/>
      <c r="O83" s="5417"/>
      <c r="P83" s="4557">
        <f t="shared" si="20"/>
        <v>0</v>
      </c>
    </row>
    <row r="84" spans="1:26" ht="15.05" thickBot="1" x14ac:dyDescent="0.35">
      <c r="B84" s="5368"/>
      <c r="C84" s="4590"/>
      <c r="D84" s="5427"/>
      <c r="E84" s="5419"/>
      <c r="F84" s="5419"/>
      <c r="G84" s="5419"/>
      <c r="H84" s="5419"/>
      <c r="I84" s="5419"/>
      <c r="J84" s="5419"/>
      <c r="K84" s="5419"/>
      <c r="L84" s="5419"/>
      <c r="M84" s="5419"/>
      <c r="N84" s="5419"/>
      <c r="O84" s="5417"/>
      <c r="P84" s="4557">
        <f t="shared" si="20"/>
        <v>0</v>
      </c>
    </row>
    <row r="85" spans="1:26" ht="15.05" thickBot="1" x14ac:dyDescent="0.35">
      <c r="B85" s="5368"/>
      <c r="C85" s="4590"/>
      <c r="D85" s="5427"/>
      <c r="E85" s="5419"/>
      <c r="F85" s="5419"/>
      <c r="G85" s="5419"/>
      <c r="H85" s="5419"/>
      <c r="I85" s="5419"/>
      <c r="J85" s="5419"/>
      <c r="K85" s="5419"/>
      <c r="L85" s="5419"/>
      <c r="M85" s="5419"/>
      <c r="N85" s="5419"/>
      <c r="O85" s="5417"/>
      <c r="P85" s="4557">
        <f t="shared" si="20"/>
        <v>0</v>
      </c>
    </row>
    <row r="86" spans="1:26" ht="15.05" thickBot="1" x14ac:dyDescent="0.35">
      <c r="B86" s="5368"/>
      <c r="C86" s="4590"/>
      <c r="D86" s="5427"/>
      <c r="E86" s="5419"/>
      <c r="F86" s="5419"/>
      <c r="G86" s="5419"/>
      <c r="H86" s="5419"/>
      <c r="I86" s="5419"/>
      <c r="J86" s="5419"/>
      <c r="K86" s="5419"/>
      <c r="L86" s="5419"/>
      <c r="M86" s="5419"/>
      <c r="N86" s="5419"/>
      <c r="O86" s="5417"/>
      <c r="P86" s="4557">
        <f t="shared" si="20"/>
        <v>0</v>
      </c>
    </row>
    <row r="87" spans="1:26" ht="15.05" thickBot="1" x14ac:dyDescent="0.35">
      <c r="B87" s="5368"/>
      <c r="C87" s="4590"/>
      <c r="D87" s="5427"/>
      <c r="E87" s="5419"/>
      <c r="F87" s="5419"/>
      <c r="G87" s="5419"/>
      <c r="H87" s="5419"/>
      <c r="I87" s="5419"/>
      <c r="J87" s="5419"/>
      <c r="K87" s="5419"/>
      <c r="L87" s="5419"/>
      <c r="M87" s="5419"/>
      <c r="N87" s="5419"/>
      <c r="O87" s="5417"/>
      <c r="P87" s="4557">
        <f t="shared" si="20"/>
        <v>0</v>
      </c>
    </row>
    <row r="88" spans="1:26" ht="15.05" thickBot="1" x14ac:dyDescent="0.35">
      <c r="B88" s="5368"/>
      <c r="C88" s="4590"/>
      <c r="D88" s="5427"/>
      <c r="E88" s="5419"/>
      <c r="F88" s="5419"/>
      <c r="G88" s="5419"/>
      <c r="H88" s="5419"/>
      <c r="I88" s="5419"/>
      <c r="J88" s="5419"/>
      <c r="K88" s="5419"/>
      <c r="L88" s="5419"/>
      <c r="M88" s="5419"/>
      <c r="N88" s="5419"/>
      <c r="O88" s="5417"/>
      <c r="P88" s="4557">
        <f t="shared" si="20"/>
        <v>0</v>
      </c>
    </row>
    <row r="89" spans="1:26" ht="15.05" thickBot="1" x14ac:dyDescent="0.35">
      <c r="B89" s="5368"/>
      <c r="C89" s="4590"/>
      <c r="D89" s="5427"/>
      <c r="E89" s="5419"/>
      <c r="F89" s="5419"/>
      <c r="G89" s="5419"/>
      <c r="H89" s="5419"/>
      <c r="I89" s="5419"/>
      <c r="J89" s="5419"/>
      <c r="K89" s="5419"/>
      <c r="L89" s="5419"/>
      <c r="M89" s="5419"/>
      <c r="N89" s="5419"/>
      <c r="O89" s="5417"/>
      <c r="P89" s="4557">
        <f t="shared" si="20"/>
        <v>0</v>
      </c>
    </row>
    <row r="90" spans="1:26" ht="15.05" thickBot="1" x14ac:dyDescent="0.35">
      <c r="B90" s="5368"/>
      <c r="C90" s="4590"/>
      <c r="D90" s="5427"/>
      <c r="E90" s="5419"/>
      <c r="F90" s="5419"/>
      <c r="G90" s="5419"/>
      <c r="H90" s="5419"/>
      <c r="I90" s="5419"/>
      <c r="J90" s="5419"/>
      <c r="K90" s="5419"/>
      <c r="L90" s="5419"/>
      <c r="M90" s="5419"/>
      <c r="N90" s="5419"/>
      <c r="O90" s="5417"/>
      <c r="P90" s="4557">
        <f t="shared" si="20"/>
        <v>0</v>
      </c>
    </row>
    <row r="91" spans="1:26" ht="15.05" thickBot="1" x14ac:dyDescent="0.35">
      <c r="B91" s="5368"/>
      <c r="C91" s="4591"/>
      <c r="D91" s="5427"/>
      <c r="E91" s="5419"/>
      <c r="F91" s="5419"/>
      <c r="G91" s="5419"/>
      <c r="H91" s="5419"/>
      <c r="I91" s="5419"/>
      <c r="J91" s="5419"/>
      <c r="K91" s="5419"/>
      <c r="L91" s="5419"/>
      <c r="M91" s="5419"/>
      <c r="N91" s="5419"/>
      <c r="O91" s="5417"/>
      <c r="P91" s="4557">
        <f t="shared" si="20"/>
        <v>0</v>
      </c>
    </row>
    <row r="92" spans="1:26" ht="15.05" thickBot="1" x14ac:dyDescent="0.35">
      <c r="B92" s="4494" t="s">
        <v>11</v>
      </c>
      <c r="C92" s="4592"/>
      <c r="D92" s="4560">
        <f t="shared" ref="D92:O92" si="21">SUM(D82:D91)</f>
        <v>0</v>
      </c>
      <c r="E92" s="4496">
        <f t="shared" si="21"/>
        <v>0</v>
      </c>
      <c r="F92" s="4496">
        <f t="shared" si="21"/>
        <v>0</v>
      </c>
      <c r="G92" s="4496">
        <f t="shared" si="21"/>
        <v>0</v>
      </c>
      <c r="H92" s="4496">
        <f t="shared" si="21"/>
        <v>0</v>
      </c>
      <c r="I92" s="4496">
        <f t="shared" si="21"/>
        <v>0</v>
      </c>
      <c r="J92" s="4496">
        <f t="shared" si="21"/>
        <v>0</v>
      </c>
      <c r="K92" s="4496">
        <f t="shared" si="21"/>
        <v>0</v>
      </c>
      <c r="L92" s="4496">
        <f t="shared" si="21"/>
        <v>0</v>
      </c>
      <c r="M92" s="4496">
        <f t="shared" si="21"/>
        <v>0</v>
      </c>
      <c r="N92" s="4496">
        <f t="shared" si="21"/>
        <v>0</v>
      </c>
      <c r="O92" s="4497">
        <f t="shared" si="21"/>
        <v>0</v>
      </c>
      <c r="P92" s="4561">
        <f t="shared" si="20"/>
        <v>0</v>
      </c>
      <c r="Q92" s="4558"/>
      <c r="R92" s="4558"/>
      <c r="S92" s="4558"/>
      <c r="T92" s="4558"/>
    </row>
    <row r="93" spans="1:26" x14ac:dyDescent="0.3">
      <c r="C93" s="3523"/>
      <c r="D93" s="3523"/>
      <c r="E93" s="3523"/>
      <c r="F93" s="3523"/>
      <c r="G93" s="3523"/>
      <c r="H93" s="3523"/>
      <c r="I93" s="3523"/>
      <c r="J93" s="3523"/>
      <c r="K93" s="3523"/>
      <c r="L93" s="3523"/>
      <c r="M93" s="3523"/>
      <c r="N93" s="3523"/>
      <c r="O93" s="3523"/>
    </row>
    <row r="94" spans="1:26" ht="15.05" thickBot="1" x14ac:dyDescent="0.35">
      <c r="C94" s="3523"/>
      <c r="D94" s="3523"/>
      <c r="E94" s="3523"/>
      <c r="F94" s="3523"/>
      <c r="G94" s="3523"/>
      <c r="H94" s="3523"/>
      <c r="I94" s="3523"/>
      <c r="J94" s="3523"/>
      <c r="K94" s="3523"/>
      <c r="L94" s="3523"/>
      <c r="M94" s="3523"/>
      <c r="N94" s="3523"/>
      <c r="O94" s="3523"/>
    </row>
    <row r="95" spans="1:26" s="3436" customFormat="1" ht="15.05" thickBot="1" x14ac:dyDescent="0.35">
      <c r="A95" s="2487">
        <f>+A80+1</f>
        <v>140</v>
      </c>
      <c r="B95" s="2488" t="s">
        <v>2228</v>
      </c>
      <c r="C95" s="4550"/>
      <c r="D95" s="4550"/>
      <c r="E95" s="4551"/>
      <c r="F95" s="4551"/>
      <c r="G95" s="2489"/>
      <c r="H95" s="2489"/>
      <c r="I95" s="2489"/>
      <c r="J95" s="2489"/>
      <c r="K95" s="2489"/>
      <c r="L95" s="2489"/>
      <c r="M95" s="2489"/>
      <c r="N95" s="2489"/>
      <c r="O95" s="2489"/>
      <c r="P95" s="2491"/>
      <c r="Q95" s="2677"/>
      <c r="R95" s="2677"/>
      <c r="S95" s="2686"/>
      <c r="T95" s="4552"/>
      <c r="U95" s="3437"/>
      <c r="V95" s="3437"/>
      <c r="W95" s="3437"/>
      <c r="X95" s="3437"/>
      <c r="Y95" s="3437"/>
      <c r="Z95" s="3437"/>
    </row>
    <row r="96" spans="1:26" ht="15.05" thickBot="1" x14ac:dyDescent="0.35">
      <c r="B96" s="4553" t="s">
        <v>912</v>
      </c>
      <c r="C96" s="4554"/>
      <c r="D96" s="4555" t="str">
        <f>+D81</f>
        <v>Ene</v>
      </c>
      <c r="E96" s="4555" t="str">
        <f t="shared" ref="E96:O96" si="22">+E81</f>
        <v>Feb</v>
      </c>
      <c r="F96" s="4555" t="str">
        <f t="shared" si="22"/>
        <v>Mar</v>
      </c>
      <c r="G96" s="4555" t="str">
        <f t="shared" si="22"/>
        <v>Abr</v>
      </c>
      <c r="H96" s="4555" t="str">
        <f t="shared" si="22"/>
        <v>May</v>
      </c>
      <c r="I96" s="4555" t="str">
        <f t="shared" si="22"/>
        <v>Jun</v>
      </c>
      <c r="J96" s="4555" t="str">
        <f t="shared" si="22"/>
        <v>Jul</v>
      </c>
      <c r="K96" s="4555" t="str">
        <f t="shared" si="22"/>
        <v>Ago</v>
      </c>
      <c r="L96" s="4555" t="str">
        <f t="shared" si="22"/>
        <v>Set</v>
      </c>
      <c r="M96" s="4555" t="str">
        <f t="shared" si="22"/>
        <v>Oct</v>
      </c>
      <c r="N96" s="4555" t="str">
        <f t="shared" si="22"/>
        <v>Nov</v>
      </c>
      <c r="O96" s="4555" t="str">
        <f t="shared" si="22"/>
        <v>Dic</v>
      </c>
      <c r="P96" s="4554" t="s">
        <v>230</v>
      </c>
    </row>
    <row r="97" spans="1:26" ht="15.05" thickBot="1" x14ac:dyDescent="0.35">
      <c r="B97" s="5409"/>
      <c r="C97" s="4588"/>
      <c r="D97" s="5425"/>
      <c r="E97" s="5412"/>
      <c r="F97" s="5412"/>
      <c r="G97" s="5412"/>
      <c r="H97" s="5412"/>
      <c r="I97" s="5412"/>
      <c r="J97" s="5412"/>
      <c r="K97" s="5412"/>
      <c r="L97" s="5412"/>
      <c r="M97" s="5412"/>
      <c r="N97" s="5412"/>
      <c r="O97" s="5410"/>
      <c r="P97" s="4556">
        <f t="shared" ref="P97:P103" si="23">+SUM(D97:O97)</f>
        <v>0</v>
      </c>
    </row>
    <row r="98" spans="1:26" ht="15.05" thickBot="1" x14ac:dyDescent="0.35">
      <c r="B98" s="5435"/>
      <c r="C98" s="4590"/>
      <c r="D98" s="5436"/>
      <c r="E98" s="5437"/>
      <c r="F98" s="5437"/>
      <c r="G98" s="5437"/>
      <c r="H98" s="5437"/>
      <c r="I98" s="5437"/>
      <c r="J98" s="5437"/>
      <c r="K98" s="5437"/>
      <c r="L98" s="5437"/>
      <c r="M98" s="5437"/>
      <c r="N98" s="5437"/>
      <c r="O98" s="5438"/>
      <c r="P98" s="4596">
        <f t="shared" si="23"/>
        <v>0</v>
      </c>
    </row>
    <row r="99" spans="1:26" ht="15.05" thickBot="1" x14ac:dyDescent="0.35">
      <c r="B99" s="5435"/>
      <c r="C99" s="4590"/>
      <c r="D99" s="5436"/>
      <c r="E99" s="5437"/>
      <c r="F99" s="5437"/>
      <c r="G99" s="5437"/>
      <c r="H99" s="5437"/>
      <c r="I99" s="5437"/>
      <c r="J99" s="5437"/>
      <c r="K99" s="5437"/>
      <c r="L99" s="5437"/>
      <c r="M99" s="5437"/>
      <c r="N99" s="5437"/>
      <c r="O99" s="5438"/>
      <c r="P99" s="4596">
        <f t="shared" si="23"/>
        <v>0</v>
      </c>
    </row>
    <row r="100" spans="1:26" ht="15.05" thickBot="1" x14ac:dyDescent="0.35">
      <c r="B100" s="5435"/>
      <c r="C100" s="4590"/>
      <c r="D100" s="5436"/>
      <c r="E100" s="5437"/>
      <c r="F100" s="5437"/>
      <c r="G100" s="5437"/>
      <c r="H100" s="5437"/>
      <c r="I100" s="5437"/>
      <c r="J100" s="5437"/>
      <c r="K100" s="5437"/>
      <c r="L100" s="5437"/>
      <c r="M100" s="5437"/>
      <c r="N100" s="5437"/>
      <c r="O100" s="5438"/>
      <c r="P100" s="4596">
        <f t="shared" si="23"/>
        <v>0</v>
      </c>
    </row>
    <row r="101" spans="1:26" ht="15.05" thickBot="1" x14ac:dyDescent="0.35">
      <c r="B101" s="5368"/>
      <c r="C101" s="4590"/>
      <c r="D101" s="5439"/>
      <c r="E101" s="5415"/>
      <c r="F101" s="5415"/>
      <c r="G101" s="5415"/>
      <c r="H101" s="5415"/>
      <c r="I101" s="5415"/>
      <c r="J101" s="5415"/>
      <c r="K101" s="5415"/>
      <c r="L101" s="5415"/>
      <c r="M101" s="5415"/>
      <c r="N101" s="5415"/>
      <c r="O101" s="5413"/>
      <c r="P101" s="4557">
        <f t="shared" si="23"/>
        <v>0</v>
      </c>
    </row>
    <row r="102" spans="1:26" ht="15.05" thickBot="1" x14ac:dyDescent="0.35">
      <c r="B102" s="5369"/>
      <c r="C102" s="4590"/>
      <c r="D102" s="5440"/>
      <c r="E102" s="5441"/>
      <c r="F102" s="5441"/>
      <c r="G102" s="5441"/>
      <c r="H102" s="5441"/>
      <c r="I102" s="5441"/>
      <c r="J102" s="5441"/>
      <c r="K102" s="5441"/>
      <c r="L102" s="5441"/>
      <c r="M102" s="5441"/>
      <c r="N102" s="5441"/>
      <c r="O102" s="5442"/>
      <c r="P102" s="4597">
        <f t="shared" si="23"/>
        <v>0</v>
      </c>
    </row>
    <row r="103" spans="1:26" ht="15.05" thickBot="1" x14ac:dyDescent="0.35">
      <c r="B103" s="4494" t="s">
        <v>11</v>
      </c>
      <c r="C103" s="4592"/>
      <c r="D103" s="4560">
        <f>+SUM(D97:D102)</f>
        <v>0</v>
      </c>
      <c r="E103" s="4496">
        <f t="shared" ref="E103:O103" si="24">+SUM(E97:E102)</f>
        <v>0</v>
      </c>
      <c r="F103" s="4496">
        <f t="shared" si="24"/>
        <v>0</v>
      </c>
      <c r="G103" s="4496">
        <f t="shared" si="24"/>
        <v>0</v>
      </c>
      <c r="H103" s="4496">
        <f t="shared" si="24"/>
        <v>0</v>
      </c>
      <c r="I103" s="4496">
        <f t="shared" si="24"/>
        <v>0</v>
      </c>
      <c r="J103" s="4496">
        <f t="shared" si="24"/>
        <v>0</v>
      </c>
      <c r="K103" s="4496">
        <f t="shared" si="24"/>
        <v>0</v>
      </c>
      <c r="L103" s="4496">
        <f t="shared" si="24"/>
        <v>0</v>
      </c>
      <c r="M103" s="4496">
        <f t="shared" si="24"/>
        <v>0</v>
      </c>
      <c r="N103" s="4496">
        <f t="shared" si="24"/>
        <v>0</v>
      </c>
      <c r="O103" s="4496">
        <f t="shared" si="24"/>
        <v>0</v>
      </c>
      <c r="P103" s="4561">
        <f t="shared" si="23"/>
        <v>0</v>
      </c>
      <c r="Q103" s="4558"/>
      <c r="R103" s="4558"/>
      <c r="S103" s="4558"/>
      <c r="T103" s="4558"/>
    </row>
    <row r="104" spans="1:26" x14ac:dyDescent="0.3">
      <c r="C104" s="3523"/>
      <c r="D104" s="3523"/>
      <c r="E104" s="3523"/>
      <c r="F104" s="3523"/>
      <c r="G104" s="3523"/>
      <c r="H104" s="3523"/>
      <c r="I104" s="3523"/>
      <c r="J104" s="3523"/>
      <c r="K104" s="3523"/>
      <c r="L104" s="3523"/>
      <c r="M104" s="3523"/>
      <c r="N104" s="3523"/>
      <c r="O104" s="3523"/>
    </row>
    <row r="105" spans="1:26" ht="15.05" thickBot="1" x14ac:dyDescent="0.35">
      <c r="C105" s="3523"/>
      <c r="D105" s="3523"/>
      <c r="E105" s="3523"/>
      <c r="F105" s="3523"/>
      <c r="G105" s="3523"/>
      <c r="H105" s="3523"/>
      <c r="I105" s="3523"/>
      <c r="J105" s="3523"/>
      <c r="K105" s="3523"/>
      <c r="L105" s="3523"/>
      <c r="M105" s="3523"/>
      <c r="N105" s="3523"/>
      <c r="O105" s="3523"/>
    </row>
    <row r="106" spans="1:26" s="3436" customFormat="1" ht="15.05" thickBot="1" x14ac:dyDescent="0.35">
      <c r="A106" s="2487">
        <f>+A95+1</f>
        <v>141</v>
      </c>
      <c r="B106" s="2488" t="s">
        <v>2229</v>
      </c>
      <c r="C106" s="4550"/>
      <c r="D106" s="4550"/>
      <c r="E106" s="4551"/>
      <c r="F106" s="4551"/>
      <c r="G106" s="2489"/>
      <c r="H106" s="2489"/>
      <c r="I106" s="2489"/>
      <c r="J106" s="2489"/>
      <c r="K106" s="2489"/>
      <c r="L106" s="2489"/>
      <c r="M106" s="2489"/>
      <c r="N106" s="2489"/>
      <c r="O106" s="2489"/>
      <c r="P106" s="2491"/>
      <c r="Q106" s="2677"/>
      <c r="R106" s="5553" t="s">
        <v>2219</v>
      </c>
      <c r="S106" s="5554"/>
      <c r="T106" s="4552"/>
      <c r="U106" s="3437"/>
      <c r="V106" s="3437"/>
      <c r="W106" s="3437"/>
      <c r="X106" s="3437"/>
      <c r="Y106" s="3437"/>
      <c r="Z106" s="3437"/>
    </row>
    <row r="107" spans="1:26" ht="15.05" thickBot="1" x14ac:dyDescent="0.35">
      <c r="B107" s="4553" t="s">
        <v>912</v>
      </c>
      <c r="C107" s="4554" t="s">
        <v>15</v>
      </c>
      <c r="D107" s="4555" t="str">
        <f>+D96</f>
        <v>Ene</v>
      </c>
      <c r="E107" s="4555" t="str">
        <f t="shared" ref="E107:O107" si="25">+E96</f>
        <v>Feb</v>
      </c>
      <c r="F107" s="4555" t="str">
        <f t="shared" si="25"/>
        <v>Mar</v>
      </c>
      <c r="G107" s="4555" t="str">
        <f t="shared" si="25"/>
        <v>Abr</v>
      </c>
      <c r="H107" s="4555" t="str">
        <f t="shared" si="25"/>
        <v>May</v>
      </c>
      <c r="I107" s="4555" t="str">
        <f t="shared" si="25"/>
        <v>Jun</v>
      </c>
      <c r="J107" s="4555" t="str">
        <f t="shared" si="25"/>
        <v>Jul</v>
      </c>
      <c r="K107" s="4555" t="str">
        <f t="shared" si="25"/>
        <v>Ago</v>
      </c>
      <c r="L107" s="4555" t="str">
        <f t="shared" si="25"/>
        <v>Set</v>
      </c>
      <c r="M107" s="4555" t="str">
        <f t="shared" si="25"/>
        <v>Oct</v>
      </c>
      <c r="N107" s="4555" t="str">
        <f t="shared" si="25"/>
        <v>Nov</v>
      </c>
      <c r="O107" s="4555" t="str">
        <f t="shared" si="25"/>
        <v>Dic</v>
      </c>
      <c r="P107" s="4554" t="s">
        <v>230</v>
      </c>
      <c r="R107" s="4598" t="s">
        <v>2220</v>
      </c>
      <c r="S107" s="3495" t="s">
        <v>2221</v>
      </c>
    </row>
    <row r="108" spans="1:26" ht="15.05" thickBot="1" x14ac:dyDescent="0.35">
      <c r="B108" s="5409"/>
      <c r="C108" s="5443"/>
      <c r="D108" s="5444"/>
      <c r="E108" s="5445"/>
      <c r="F108" s="5445"/>
      <c r="G108" s="5445"/>
      <c r="H108" s="5445"/>
      <c r="I108" s="5445"/>
      <c r="J108" s="5445"/>
      <c r="K108" s="5445"/>
      <c r="L108" s="5445"/>
      <c r="M108" s="5445"/>
      <c r="N108" s="5445"/>
      <c r="O108" s="5443"/>
      <c r="P108" s="4599">
        <f t="shared" ref="P108:P114" si="26">+SUM(D108:O108)</f>
        <v>0</v>
      </c>
      <c r="R108" s="5446"/>
      <c r="S108" s="4600">
        <f t="shared" ref="S108:S113" si="27">+C108-P108-R108</f>
        <v>0</v>
      </c>
    </row>
    <row r="109" spans="1:26" ht="15.05" thickBot="1" x14ac:dyDescent="0.35">
      <c r="B109" s="5435">
        <f>B98</f>
        <v>0</v>
      </c>
      <c r="C109" s="5447"/>
      <c r="D109" s="5448"/>
      <c r="E109" s="5449"/>
      <c r="F109" s="5449"/>
      <c r="G109" s="5449"/>
      <c r="H109" s="5449"/>
      <c r="I109" s="5449"/>
      <c r="J109" s="5449"/>
      <c r="K109" s="5449"/>
      <c r="L109" s="5449"/>
      <c r="M109" s="5449"/>
      <c r="N109" s="5449"/>
      <c r="O109" s="5447"/>
      <c r="P109" s="4601">
        <f t="shared" si="26"/>
        <v>0</v>
      </c>
      <c r="R109" s="5450"/>
      <c r="S109" s="4567">
        <f t="shared" si="27"/>
        <v>0</v>
      </c>
    </row>
    <row r="110" spans="1:26" ht="15.05" thickBot="1" x14ac:dyDescent="0.35">
      <c r="B110" s="5435">
        <f>B99</f>
        <v>0</v>
      </c>
      <c r="C110" s="5447"/>
      <c r="D110" s="5448"/>
      <c r="E110" s="5449"/>
      <c r="F110" s="5449"/>
      <c r="G110" s="5449"/>
      <c r="H110" s="5449"/>
      <c r="I110" s="5449"/>
      <c r="J110" s="5449"/>
      <c r="K110" s="5449"/>
      <c r="L110" s="5449"/>
      <c r="M110" s="5449"/>
      <c r="N110" s="5449"/>
      <c r="O110" s="5447"/>
      <c r="P110" s="4601">
        <f t="shared" si="26"/>
        <v>0</v>
      </c>
      <c r="R110" s="5428"/>
      <c r="S110" s="4567">
        <f t="shared" si="27"/>
        <v>0</v>
      </c>
    </row>
    <row r="111" spans="1:26" ht="15.05" thickBot="1" x14ac:dyDescent="0.35">
      <c r="B111" s="5435">
        <f>B100</f>
        <v>0</v>
      </c>
      <c r="C111" s="5447"/>
      <c r="D111" s="5448"/>
      <c r="E111" s="5449"/>
      <c r="F111" s="5449"/>
      <c r="G111" s="5449"/>
      <c r="H111" s="5449"/>
      <c r="I111" s="5449"/>
      <c r="J111" s="5449"/>
      <c r="K111" s="5449"/>
      <c r="L111" s="5449"/>
      <c r="M111" s="5449"/>
      <c r="N111" s="5449"/>
      <c r="O111" s="5447"/>
      <c r="P111" s="4601">
        <f t="shared" si="26"/>
        <v>0</v>
      </c>
      <c r="R111" s="5428"/>
      <c r="S111" s="4567">
        <f t="shared" si="27"/>
        <v>0</v>
      </c>
    </row>
    <row r="112" spans="1:26" ht="15.05" thickBot="1" x14ac:dyDescent="0.35">
      <c r="B112" s="5435">
        <f>B101</f>
        <v>0</v>
      </c>
      <c r="C112" s="5447"/>
      <c r="D112" s="5448"/>
      <c r="E112" s="5449"/>
      <c r="F112" s="5449"/>
      <c r="G112" s="5449"/>
      <c r="H112" s="5449"/>
      <c r="I112" s="5449"/>
      <c r="J112" s="5449"/>
      <c r="K112" s="5449"/>
      <c r="L112" s="5449"/>
      <c r="M112" s="5449"/>
      <c r="N112" s="5449"/>
      <c r="O112" s="5447"/>
      <c r="P112" s="4601">
        <f t="shared" si="26"/>
        <v>0</v>
      </c>
      <c r="R112" s="5428"/>
      <c r="S112" s="4567">
        <f t="shared" si="27"/>
        <v>0</v>
      </c>
    </row>
    <row r="113" spans="1:26" ht="15.05" thickBot="1" x14ac:dyDescent="0.35">
      <c r="B113" s="5435">
        <f>B102</f>
        <v>0</v>
      </c>
      <c r="C113" s="5451"/>
      <c r="D113" s="5452"/>
      <c r="E113" s="5453"/>
      <c r="F113" s="5453"/>
      <c r="G113" s="5453"/>
      <c r="H113" s="5453"/>
      <c r="I113" s="5453"/>
      <c r="J113" s="5453"/>
      <c r="K113" s="5453"/>
      <c r="L113" s="5453"/>
      <c r="M113" s="5453"/>
      <c r="N113" s="5453"/>
      <c r="O113" s="5454"/>
      <c r="P113" s="4602">
        <f t="shared" si="26"/>
        <v>0</v>
      </c>
      <c r="R113" s="5428"/>
      <c r="S113" s="4567">
        <f t="shared" si="27"/>
        <v>0</v>
      </c>
    </row>
    <row r="114" spans="1:26" ht="15.05" thickBot="1" x14ac:dyDescent="0.35">
      <c r="B114" s="4494" t="s">
        <v>11</v>
      </c>
      <c r="C114" s="4582">
        <f t="shared" ref="C114:O114" si="28">+SUM(C108:C113)</f>
        <v>0</v>
      </c>
      <c r="D114" s="4560">
        <f t="shared" si="28"/>
        <v>0</v>
      </c>
      <c r="E114" s="4496">
        <f t="shared" si="28"/>
        <v>0</v>
      </c>
      <c r="F114" s="4496">
        <f t="shared" si="28"/>
        <v>0</v>
      </c>
      <c r="G114" s="4496">
        <f t="shared" si="28"/>
        <v>0</v>
      </c>
      <c r="H114" s="4496">
        <f t="shared" si="28"/>
        <v>0</v>
      </c>
      <c r="I114" s="4496">
        <f t="shared" si="28"/>
        <v>0</v>
      </c>
      <c r="J114" s="4496">
        <f t="shared" si="28"/>
        <v>0</v>
      </c>
      <c r="K114" s="4496">
        <f t="shared" si="28"/>
        <v>0</v>
      </c>
      <c r="L114" s="4496">
        <f t="shared" si="28"/>
        <v>0</v>
      </c>
      <c r="M114" s="4496">
        <f t="shared" si="28"/>
        <v>0</v>
      </c>
      <c r="N114" s="4496">
        <f t="shared" si="28"/>
        <v>0</v>
      </c>
      <c r="O114" s="4496">
        <f t="shared" si="28"/>
        <v>0</v>
      </c>
      <c r="P114" s="4561">
        <f t="shared" si="26"/>
        <v>0</v>
      </c>
      <c r="R114" s="4569">
        <f>+SUM(R108:R113)</f>
        <v>0</v>
      </c>
      <c r="S114" s="3928">
        <f>+SUM(S108:S113)</f>
        <v>0</v>
      </c>
    </row>
    <row r="115" spans="1:26" x14ac:dyDescent="0.3">
      <c r="B115" s="3642"/>
      <c r="C115" s="4603"/>
      <c r="D115" s="4425"/>
      <c r="E115" s="4425"/>
      <c r="F115" s="4425"/>
      <c r="G115" s="4425"/>
      <c r="H115" s="4425"/>
      <c r="I115" s="4425"/>
      <c r="J115" s="4425"/>
      <c r="K115" s="4425"/>
      <c r="L115" s="4425"/>
      <c r="M115" s="4425"/>
      <c r="N115" s="4425"/>
      <c r="O115" s="4425"/>
      <c r="P115" s="3724"/>
      <c r="R115" s="4040"/>
      <c r="S115" s="4040"/>
    </row>
    <row r="116" spans="1:26" ht="15.05" thickBot="1" x14ac:dyDescent="0.35">
      <c r="C116" s="3523"/>
      <c r="D116" s="3523"/>
      <c r="E116" s="3523"/>
      <c r="F116" s="3523"/>
      <c r="G116" s="3523"/>
      <c r="H116" s="3523"/>
      <c r="I116" s="3523"/>
      <c r="J116" s="3523"/>
      <c r="K116" s="3523"/>
      <c r="L116" s="3523"/>
      <c r="M116" s="3523"/>
      <c r="N116" s="3523"/>
      <c r="O116" s="3523"/>
      <c r="R116" s="3490"/>
      <c r="S116" s="4080"/>
    </row>
    <row r="117" spans="1:26" s="3436" customFormat="1" ht="15.05" thickBot="1" x14ac:dyDescent="0.35">
      <c r="A117" s="2487">
        <f>+A106+1</f>
        <v>142</v>
      </c>
      <c r="B117" s="2488" t="s">
        <v>2230</v>
      </c>
      <c r="C117" s="4550"/>
      <c r="D117" s="4550"/>
      <c r="E117" s="4551"/>
      <c r="F117" s="4551"/>
      <c r="G117" s="2489"/>
      <c r="H117" s="2489"/>
      <c r="I117" s="2489"/>
      <c r="J117" s="2489"/>
      <c r="K117" s="2489"/>
      <c r="L117" s="2489"/>
      <c r="M117" s="2489"/>
      <c r="N117" s="2489"/>
      <c r="O117" s="2489"/>
      <c r="P117" s="2491"/>
      <c r="Q117" s="2677"/>
      <c r="R117" s="3490"/>
      <c r="S117" s="4080"/>
      <c r="T117" s="4552"/>
      <c r="U117" s="3437"/>
      <c r="V117" s="3437"/>
      <c r="W117" s="3437"/>
      <c r="X117" s="3437"/>
      <c r="Y117" s="3437"/>
      <c r="Z117" s="3437"/>
    </row>
    <row r="118" spans="1:26" ht="15.05" thickBot="1" x14ac:dyDescent="0.35">
      <c r="B118" s="4553" t="s">
        <v>912</v>
      </c>
      <c r="C118" s="4554"/>
      <c r="D118" s="4555" t="str">
        <f>+D107</f>
        <v>Ene</v>
      </c>
      <c r="E118" s="4555" t="str">
        <f t="shared" ref="E118:O118" si="29">+E107</f>
        <v>Feb</v>
      </c>
      <c r="F118" s="4555" t="str">
        <f t="shared" si="29"/>
        <v>Mar</v>
      </c>
      <c r="G118" s="4555" t="str">
        <f t="shared" si="29"/>
        <v>Abr</v>
      </c>
      <c r="H118" s="4555" t="str">
        <f t="shared" si="29"/>
        <v>May</v>
      </c>
      <c r="I118" s="4555" t="str">
        <f t="shared" si="29"/>
        <v>Jun</v>
      </c>
      <c r="J118" s="4555" t="str">
        <f t="shared" si="29"/>
        <v>Jul</v>
      </c>
      <c r="K118" s="4555" t="str">
        <f t="shared" si="29"/>
        <v>Ago</v>
      </c>
      <c r="L118" s="4555" t="str">
        <f t="shared" si="29"/>
        <v>Set</v>
      </c>
      <c r="M118" s="4555" t="str">
        <f t="shared" si="29"/>
        <v>Oct</v>
      </c>
      <c r="N118" s="4555" t="str">
        <f t="shared" si="29"/>
        <v>Nov</v>
      </c>
      <c r="O118" s="4555" t="str">
        <f t="shared" si="29"/>
        <v>Dic</v>
      </c>
      <c r="P118" s="4554" t="s">
        <v>230</v>
      </c>
      <c r="R118" s="4448"/>
      <c r="S118" s="3490"/>
    </row>
    <row r="119" spans="1:26" ht="15.05" thickBot="1" x14ac:dyDescent="0.35">
      <c r="B119" s="5409"/>
      <c r="C119" s="4588"/>
      <c r="D119" s="5425"/>
      <c r="E119" s="5412"/>
      <c r="F119" s="5412"/>
      <c r="G119" s="5412"/>
      <c r="H119" s="5412"/>
      <c r="I119" s="5412"/>
      <c r="J119" s="5412"/>
      <c r="K119" s="5412"/>
      <c r="L119" s="5412"/>
      <c r="M119" s="5412"/>
      <c r="N119" s="5412"/>
      <c r="O119" s="5410"/>
      <c r="P119" s="4556">
        <f t="shared" ref="P119:P129" si="30">+SUM(D119:O119)</f>
        <v>0</v>
      </c>
    </row>
    <row r="120" spans="1:26" ht="15.05" thickBot="1" x14ac:dyDescent="0.35">
      <c r="B120" s="5435"/>
      <c r="C120" s="4590"/>
      <c r="D120" s="5436"/>
      <c r="E120" s="5437"/>
      <c r="F120" s="5437"/>
      <c r="G120" s="5437"/>
      <c r="H120" s="5437"/>
      <c r="I120" s="5437"/>
      <c r="J120" s="5437"/>
      <c r="K120" s="5437"/>
      <c r="L120" s="5437"/>
      <c r="M120" s="5437"/>
      <c r="N120" s="5437"/>
      <c r="O120" s="5438"/>
      <c r="P120" s="4596">
        <f t="shared" si="30"/>
        <v>0</v>
      </c>
    </row>
    <row r="121" spans="1:26" ht="15.05" thickBot="1" x14ac:dyDescent="0.35">
      <c r="B121" s="5435"/>
      <c r="C121" s="4590"/>
      <c r="D121" s="5436"/>
      <c r="E121" s="5437"/>
      <c r="F121" s="5437"/>
      <c r="G121" s="5437"/>
      <c r="H121" s="5437"/>
      <c r="I121" s="5437"/>
      <c r="J121" s="5437"/>
      <c r="K121" s="5437"/>
      <c r="L121" s="5437"/>
      <c r="M121" s="5437"/>
      <c r="N121" s="5437"/>
      <c r="O121" s="5438"/>
      <c r="P121" s="4596">
        <f t="shared" si="30"/>
        <v>0</v>
      </c>
    </row>
    <row r="122" spans="1:26" ht="15.05" thickBot="1" x14ac:dyDescent="0.35">
      <c r="B122" s="5435"/>
      <c r="C122" s="4590"/>
      <c r="D122" s="5436"/>
      <c r="E122" s="5437"/>
      <c r="F122" s="5437"/>
      <c r="G122" s="5437"/>
      <c r="H122" s="5437"/>
      <c r="I122" s="5437"/>
      <c r="J122" s="5437"/>
      <c r="K122" s="5437"/>
      <c r="L122" s="5437"/>
      <c r="M122" s="5437"/>
      <c r="N122" s="5437"/>
      <c r="O122" s="5438"/>
      <c r="P122" s="4596">
        <f t="shared" si="30"/>
        <v>0</v>
      </c>
    </row>
    <row r="123" spans="1:26" ht="15.05" thickBot="1" x14ac:dyDescent="0.35">
      <c r="B123" s="5435"/>
      <c r="C123" s="4590"/>
      <c r="D123" s="5436"/>
      <c r="E123" s="5437"/>
      <c r="F123" s="5437"/>
      <c r="G123" s="5437"/>
      <c r="H123" s="5437"/>
      <c r="I123" s="5437"/>
      <c r="J123" s="5437"/>
      <c r="K123" s="5437"/>
      <c r="L123" s="5437"/>
      <c r="M123" s="5437"/>
      <c r="N123" s="5437"/>
      <c r="O123" s="5438"/>
      <c r="P123" s="4596">
        <f t="shared" si="30"/>
        <v>0</v>
      </c>
    </row>
    <row r="124" spans="1:26" ht="15.05" thickBot="1" x14ac:dyDescent="0.35">
      <c r="B124" s="5435"/>
      <c r="C124" s="4590"/>
      <c r="D124" s="5436"/>
      <c r="E124" s="5437"/>
      <c r="F124" s="5437"/>
      <c r="G124" s="5437"/>
      <c r="H124" s="5437"/>
      <c r="I124" s="5437"/>
      <c r="J124" s="5437"/>
      <c r="K124" s="5437"/>
      <c r="L124" s="5437"/>
      <c r="M124" s="5437"/>
      <c r="N124" s="5437"/>
      <c r="O124" s="5438"/>
      <c r="P124" s="4596">
        <f t="shared" si="30"/>
        <v>0</v>
      </c>
    </row>
    <row r="125" spans="1:26" ht="15.05" thickBot="1" x14ac:dyDescent="0.35">
      <c r="B125" s="5435"/>
      <c r="C125" s="4590"/>
      <c r="D125" s="5436"/>
      <c r="E125" s="5437"/>
      <c r="F125" s="5437"/>
      <c r="G125" s="5437"/>
      <c r="H125" s="5437"/>
      <c r="I125" s="5437"/>
      <c r="J125" s="5437"/>
      <c r="K125" s="5437"/>
      <c r="L125" s="5437"/>
      <c r="M125" s="5437"/>
      <c r="N125" s="5437"/>
      <c r="O125" s="5438"/>
      <c r="P125" s="4596">
        <f t="shared" si="30"/>
        <v>0</v>
      </c>
    </row>
    <row r="126" spans="1:26" ht="15.05" thickBot="1" x14ac:dyDescent="0.35">
      <c r="B126" s="5435"/>
      <c r="C126" s="4590"/>
      <c r="D126" s="5436"/>
      <c r="E126" s="5437"/>
      <c r="F126" s="5437"/>
      <c r="G126" s="5437"/>
      <c r="H126" s="5437"/>
      <c r="I126" s="5437"/>
      <c r="J126" s="5437"/>
      <c r="K126" s="5437"/>
      <c r="L126" s="5437"/>
      <c r="M126" s="5437"/>
      <c r="N126" s="5437"/>
      <c r="O126" s="5438"/>
      <c r="P126" s="4596">
        <f t="shared" si="30"/>
        <v>0</v>
      </c>
    </row>
    <row r="127" spans="1:26" ht="15.05" thickBot="1" x14ac:dyDescent="0.35">
      <c r="B127" s="5435"/>
      <c r="C127" s="4590"/>
      <c r="D127" s="5436"/>
      <c r="E127" s="5437"/>
      <c r="F127" s="5437"/>
      <c r="G127" s="5437"/>
      <c r="H127" s="5437"/>
      <c r="I127" s="5437"/>
      <c r="J127" s="5437"/>
      <c r="K127" s="5437"/>
      <c r="L127" s="5437"/>
      <c r="M127" s="5437"/>
      <c r="N127" s="5437"/>
      <c r="O127" s="5438"/>
      <c r="P127" s="4596">
        <f t="shared" si="30"/>
        <v>0</v>
      </c>
    </row>
    <row r="128" spans="1:26" ht="15.05" thickBot="1" x14ac:dyDescent="0.35">
      <c r="B128" s="5435"/>
      <c r="C128" s="4590"/>
      <c r="D128" s="5436"/>
      <c r="E128" s="5437"/>
      <c r="F128" s="5437"/>
      <c r="G128" s="5437"/>
      <c r="H128" s="5437"/>
      <c r="I128" s="5437"/>
      <c r="J128" s="5437"/>
      <c r="K128" s="5437"/>
      <c r="L128" s="5437"/>
      <c r="M128" s="5437"/>
      <c r="N128" s="5437"/>
      <c r="O128" s="5438"/>
      <c r="P128" s="4596">
        <f t="shared" si="30"/>
        <v>0</v>
      </c>
    </row>
    <row r="129" spans="1:26" ht="15.05" thickBot="1" x14ac:dyDescent="0.35">
      <c r="B129" s="4494" t="s">
        <v>11</v>
      </c>
      <c r="C129" s="4604"/>
      <c r="D129" s="4560">
        <f>SUM(D119:D128)</f>
        <v>0</v>
      </c>
      <c r="E129" s="4560">
        <f t="shared" ref="E129:O129" si="31">SUM(E119:E128)</f>
        <v>0</v>
      </c>
      <c r="F129" s="4560">
        <f t="shared" si="31"/>
        <v>0</v>
      </c>
      <c r="G129" s="4560">
        <f t="shared" si="31"/>
        <v>0</v>
      </c>
      <c r="H129" s="4560">
        <f t="shared" si="31"/>
        <v>0</v>
      </c>
      <c r="I129" s="4560">
        <f t="shared" si="31"/>
        <v>0</v>
      </c>
      <c r="J129" s="4560">
        <f t="shared" si="31"/>
        <v>0</v>
      </c>
      <c r="K129" s="4560">
        <f t="shared" si="31"/>
        <v>0</v>
      </c>
      <c r="L129" s="4560">
        <f t="shared" si="31"/>
        <v>0</v>
      </c>
      <c r="M129" s="4560">
        <f t="shared" si="31"/>
        <v>0</v>
      </c>
      <c r="N129" s="4560">
        <f t="shared" si="31"/>
        <v>0</v>
      </c>
      <c r="O129" s="4560">
        <f t="shared" si="31"/>
        <v>0</v>
      </c>
      <c r="P129" s="4561">
        <f t="shared" si="30"/>
        <v>0</v>
      </c>
    </row>
    <row r="130" spans="1:26" x14ac:dyDescent="0.3">
      <c r="B130" s="3642"/>
      <c r="C130" s="3575"/>
      <c r="D130" s="4425"/>
      <c r="E130" s="4425"/>
      <c r="F130" s="4425"/>
      <c r="G130" s="4425"/>
      <c r="H130" s="4425"/>
      <c r="I130" s="4425"/>
      <c r="J130" s="4425"/>
      <c r="K130" s="4425"/>
      <c r="L130" s="4425"/>
      <c r="M130" s="4425"/>
      <c r="N130" s="4425"/>
      <c r="O130" s="4425"/>
      <c r="P130" s="3724"/>
    </row>
    <row r="131" spans="1:26" ht="15.05" thickBot="1" x14ac:dyDescent="0.35">
      <c r="C131" s="3523"/>
      <c r="D131" s="3523"/>
      <c r="E131" s="3523"/>
      <c r="F131" s="3523"/>
      <c r="G131" s="3523"/>
      <c r="H131" s="3523"/>
      <c r="I131" s="3523"/>
      <c r="J131" s="3523"/>
      <c r="K131" s="3523"/>
      <c r="L131" s="3523"/>
      <c r="M131" s="3523"/>
      <c r="N131" s="3523"/>
      <c r="O131" s="3523"/>
    </row>
    <row r="132" spans="1:26" s="3436" customFormat="1" ht="15.05" thickBot="1" x14ac:dyDescent="0.35">
      <c r="A132" s="2487">
        <f>+A117+1</f>
        <v>143</v>
      </c>
      <c r="B132" s="2488" t="s">
        <v>2231</v>
      </c>
      <c r="C132" s="4550"/>
      <c r="D132" s="4550"/>
      <c r="E132" s="4551"/>
      <c r="F132" s="4551"/>
      <c r="G132" s="2489"/>
      <c r="H132" s="2489"/>
      <c r="I132" s="2489"/>
      <c r="J132" s="2489"/>
      <c r="K132" s="2489"/>
      <c r="L132" s="2489"/>
      <c r="M132" s="2489"/>
      <c r="N132" s="2489"/>
      <c r="O132" s="2489"/>
      <c r="P132" s="2491"/>
      <c r="Q132" s="2677"/>
      <c r="R132" s="4573" t="s">
        <v>2219</v>
      </c>
      <c r="S132" s="2686"/>
      <c r="T132" s="4552"/>
      <c r="U132" s="3437"/>
      <c r="V132" s="3437"/>
      <c r="W132" s="3437"/>
      <c r="X132" s="3437"/>
      <c r="Y132" s="3437"/>
      <c r="Z132" s="3437"/>
    </row>
    <row r="133" spans="1:26" ht="15.05" thickBot="1" x14ac:dyDescent="0.35">
      <c r="B133" s="4553" t="s">
        <v>912</v>
      </c>
      <c r="C133" s="4554" t="s">
        <v>11</v>
      </c>
      <c r="D133" s="4555" t="str">
        <f>+D118</f>
        <v>Ene</v>
      </c>
      <c r="E133" s="4555" t="str">
        <f t="shared" ref="E133:O133" si="32">+E118</f>
        <v>Feb</v>
      </c>
      <c r="F133" s="4555" t="str">
        <f t="shared" si="32"/>
        <v>Mar</v>
      </c>
      <c r="G133" s="4555" t="str">
        <f t="shared" si="32"/>
        <v>Abr</v>
      </c>
      <c r="H133" s="4555" t="str">
        <f t="shared" si="32"/>
        <v>May</v>
      </c>
      <c r="I133" s="4555" t="str">
        <f t="shared" si="32"/>
        <v>Jun</v>
      </c>
      <c r="J133" s="4555" t="str">
        <f t="shared" si="32"/>
        <v>Jul</v>
      </c>
      <c r="K133" s="4555" t="str">
        <f t="shared" si="32"/>
        <v>Ago</v>
      </c>
      <c r="L133" s="4555" t="str">
        <f t="shared" si="32"/>
        <v>Set</v>
      </c>
      <c r="M133" s="4555" t="str">
        <f t="shared" si="32"/>
        <v>Oct</v>
      </c>
      <c r="N133" s="4555" t="str">
        <f t="shared" si="32"/>
        <v>Nov</v>
      </c>
      <c r="O133" s="4555" t="str">
        <f t="shared" si="32"/>
        <v>Dic</v>
      </c>
      <c r="P133" s="4554" t="s">
        <v>230</v>
      </c>
      <c r="R133" s="4575" t="s">
        <v>2220</v>
      </c>
    </row>
    <row r="134" spans="1:26" ht="15.05" thickBot="1" x14ac:dyDescent="0.35">
      <c r="B134" s="5409">
        <f t="shared" ref="B134:B143" si="33">B119</f>
        <v>0</v>
      </c>
      <c r="C134" s="5443"/>
      <c r="D134" s="5412"/>
      <c r="E134" s="5412"/>
      <c r="F134" s="5412"/>
      <c r="G134" s="5412"/>
      <c r="H134" s="5412"/>
      <c r="I134" s="5412"/>
      <c r="J134" s="5412"/>
      <c r="K134" s="5412"/>
      <c r="L134" s="5412"/>
      <c r="M134" s="5412"/>
      <c r="N134" s="5412"/>
      <c r="O134" s="5410"/>
      <c r="P134" s="4556">
        <f t="shared" ref="P134:P144" si="34">+SUM(D134:O134)</f>
        <v>0</v>
      </c>
      <c r="Q134" s="3724"/>
      <c r="R134" s="4594">
        <f t="shared" ref="R134:R143" si="35">+C134-P134</f>
        <v>0</v>
      </c>
    </row>
    <row r="135" spans="1:26" ht="15.05" thickBot="1" x14ac:dyDescent="0.35">
      <c r="B135" s="5435">
        <f t="shared" si="33"/>
        <v>0</v>
      </c>
      <c r="C135" s="5447"/>
      <c r="D135" s="5437"/>
      <c r="E135" s="5437"/>
      <c r="F135" s="5437"/>
      <c r="G135" s="5437"/>
      <c r="H135" s="5437"/>
      <c r="I135" s="5437"/>
      <c r="J135" s="5437"/>
      <c r="K135" s="5437"/>
      <c r="L135" s="5437"/>
      <c r="M135" s="5437"/>
      <c r="N135" s="5437"/>
      <c r="O135" s="5438"/>
      <c r="P135" s="4596">
        <f t="shared" si="34"/>
        <v>0</v>
      </c>
      <c r="Q135" s="3724"/>
      <c r="R135" s="4605">
        <f t="shared" si="35"/>
        <v>0</v>
      </c>
    </row>
    <row r="136" spans="1:26" ht="15.05" thickBot="1" x14ac:dyDescent="0.35">
      <c r="B136" s="5435">
        <f t="shared" si="33"/>
        <v>0</v>
      </c>
      <c r="C136" s="5447"/>
      <c r="D136" s="5437"/>
      <c r="E136" s="5437"/>
      <c r="F136" s="5437"/>
      <c r="G136" s="5437"/>
      <c r="H136" s="5437"/>
      <c r="I136" s="5437"/>
      <c r="J136" s="5437"/>
      <c r="K136" s="5437"/>
      <c r="L136" s="5437"/>
      <c r="M136" s="5437"/>
      <c r="N136" s="5437"/>
      <c r="O136" s="5438"/>
      <c r="P136" s="4596">
        <f t="shared" si="34"/>
        <v>0</v>
      </c>
      <c r="Q136" s="3724"/>
      <c r="R136" s="4605">
        <f t="shared" si="35"/>
        <v>0</v>
      </c>
    </row>
    <row r="137" spans="1:26" ht="15.05" thickBot="1" x14ac:dyDescent="0.35">
      <c r="B137" s="5435">
        <f t="shared" si="33"/>
        <v>0</v>
      </c>
      <c r="C137" s="5447"/>
      <c r="D137" s="5437"/>
      <c r="E137" s="5437"/>
      <c r="F137" s="5437"/>
      <c r="G137" s="5437"/>
      <c r="H137" s="5437"/>
      <c r="I137" s="5437"/>
      <c r="J137" s="5437"/>
      <c r="K137" s="5437"/>
      <c r="L137" s="5437"/>
      <c r="M137" s="5437"/>
      <c r="N137" s="5437"/>
      <c r="O137" s="5438"/>
      <c r="P137" s="4596">
        <f t="shared" si="34"/>
        <v>0</v>
      </c>
      <c r="Q137" s="3724"/>
      <c r="R137" s="4605">
        <f t="shared" si="35"/>
        <v>0</v>
      </c>
    </row>
    <row r="138" spans="1:26" ht="15.05" thickBot="1" x14ac:dyDescent="0.35">
      <c r="B138" s="5435">
        <f t="shared" si="33"/>
        <v>0</v>
      </c>
      <c r="C138" s="5447"/>
      <c r="D138" s="5437"/>
      <c r="E138" s="5437"/>
      <c r="F138" s="5437"/>
      <c r="G138" s="5437"/>
      <c r="H138" s="5437"/>
      <c r="I138" s="5437"/>
      <c r="J138" s="5437"/>
      <c r="K138" s="5437"/>
      <c r="L138" s="5437"/>
      <c r="M138" s="5437"/>
      <c r="N138" s="5437"/>
      <c r="O138" s="5438"/>
      <c r="P138" s="4596">
        <f t="shared" si="34"/>
        <v>0</v>
      </c>
      <c r="Q138" s="3724"/>
      <c r="R138" s="4605">
        <f t="shared" si="35"/>
        <v>0</v>
      </c>
    </row>
    <row r="139" spans="1:26" ht="15.05" thickBot="1" x14ac:dyDescent="0.35">
      <c r="B139" s="5435">
        <f t="shared" si="33"/>
        <v>0</v>
      </c>
      <c r="C139" s="5447"/>
      <c r="D139" s="5437"/>
      <c r="E139" s="5437"/>
      <c r="F139" s="5437"/>
      <c r="G139" s="5437"/>
      <c r="H139" s="5437"/>
      <c r="I139" s="5437"/>
      <c r="J139" s="5437"/>
      <c r="K139" s="5437"/>
      <c r="L139" s="5437"/>
      <c r="M139" s="5437"/>
      <c r="N139" s="5437"/>
      <c r="O139" s="5438"/>
      <c r="P139" s="4596">
        <f t="shared" si="34"/>
        <v>0</v>
      </c>
      <c r="Q139" s="3724"/>
      <c r="R139" s="4605">
        <f t="shared" si="35"/>
        <v>0</v>
      </c>
    </row>
    <row r="140" spans="1:26" ht="15.05" thickBot="1" x14ac:dyDescent="0.35">
      <c r="B140" s="5435">
        <f t="shared" si="33"/>
        <v>0</v>
      </c>
      <c r="C140" s="5447"/>
      <c r="D140" s="5437"/>
      <c r="E140" s="5437"/>
      <c r="F140" s="5437"/>
      <c r="G140" s="5437"/>
      <c r="H140" s="5437"/>
      <c r="I140" s="5437"/>
      <c r="J140" s="5437"/>
      <c r="K140" s="5437"/>
      <c r="L140" s="5437"/>
      <c r="M140" s="5437"/>
      <c r="N140" s="5437"/>
      <c r="O140" s="5438"/>
      <c r="P140" s="4596">
        <f t="shared" si="34"/>
        <v>0</v>
      </c>
      <c r="Q140" s="3724"/>
      <c r="R140" s="4605">
        <f t="shared" si="35"/>
        <v>0</v>
      </c>
    </row>
    <row r="141" spans="1:26" ht="15.05" thickBot="1" x14ac:dyDescent="0.35">
      <c r="B141" s="5435">
        <f t="shared" si="33"/>
        <v>0</v>
      </c>
      <c r="C141" s="5447"/>
      <c r="D141" s="5437"/>
      <c r="E141" s="5437"/>
      <c r="F141" s="5437"/>
      <c r="G141" s="5437"/>
      <c r="H141" s="5437"/>
      <c r="I141" s="5437"/>
      <c r="J141" s="5437"/>
      <c r="K141" s="5437"/>
      <c r="L141" s="5437"/>
      <c r="M141" s="5437"/>
      <c r="N141" s="5437"/>
      <c r="O141" s="5438"/>
      <c r="P141" s="4596">
        <f t="shared" si="34"/>
        <v>0</v>
      </c>
      <c r="Q141" s="3724"/>
      <c r="R141" s="4605">
        <f t="shared" si="35"/>
        <v>0</v>
      </c>
    </row>
    <row r="142" spans="1:26" ht="15.05" thickBot="1" x14ac:dyDescent="0.35">
      <c r="B142" s="5435">
        <f t="shared" si="33"/>
        <v>0</v>
      </c>
      <c r="C142" s="5447"/>
      <c r="D142" s="5437"/>
      <c r="E142" s="5437"/>
      <c r="F142" s="5437"/>
      <c r="G142" s="5437"/>
      <c r="H142" s="5437"/>
      <c r="I142" s="5437"/>
      <c r="J142" s="5437"/>
      <c r="K142" s="5437"/>
      <c r="L142" s="5437"/>
      <c r="M142" s="5437"/>
      <c r="N142" s="5437"/>
      <c r="O142" s="5438"/>
      <c r="P142" s="4596">
        <f t="shared" si="34"/>
        <v>0</v>
      </c>
      <c r="Q142" s="3724"/>
      <c r="R142" s="4605">
        <f t="shared" si="35"/>
        <v>0</v>
      </c>
    </row>
    <row r="143" spans="1:26" ht="15.05" thickBot="1" x14ac:dyDescent="0.35">
      <c r="B143" s="5435">
        <f t="shared" si="33"/>
        <v>0</v>
      </c>
      <c r="C143" s="5447"/>
      <c r="D143" s="5437"/>
      <c r="E143" s="5437"/>
      <c r="F143" s="5437"/>
      <c r="G143" s="5437"/>
      <c r="H143" s="5437"/>
      <c r="I143" s="5437"/>
      <c r="J143" s="5437"/>
      <c r="K143" s="5437"/>
      <c r="L143" s="5437"/>
      <c r="M143" s="5437"/>
      <c r="N143" s="5437"/>
      <c r="O143" s="5438"/>
      <c r="P143" s="4596">
        <f t="shared" si="34"/>
        <v>0</v>
      </c>
      <c r="Q143" s="3724"/>
      <c r="R143" s="4605">
        <f t="shared" si="35"/>
        <v>0</v>
      </c>
    </row>
    <row r="144" spans="1:26" ht="15.05" thickBot="1" x14ac:dyDescent="0.35">
      <c r="B144" s="4494" t="s">
        <v>11</v>
      </c>
      <c r="C144" s="4606">
        <f>+SUM(C134:C143)</f>
        <v>0</v>
      </c>
      <c r="D144" s="4496">
        <f>SUM(D134:D143)</f>
        <v>0</v>
      </c>
      <c r="E144" s="4496">
        <f t="shared" ref="E144:O144" si="36">SUM(E134:E143)</f>
        <v>0</v>
      </c>
      <c r="F144" s="4496">
        <f t="shared" si="36"/>
        <v>0</v>
      </c>
      <c r="G144" s="4496">
        <f t="shared" si="36"/>
        <v>0</v>
      </c>
      <c r="H144" s="4496">
        <f t="shared" si="36"/>
        <v>0</v>
      </c>
      <c r="I144" s="4496">
        <f t="shared" si="36"/>
        <v>0</v>
      </c>
      <c r="J144" s="4496">
        <f t="shared" si="36"/>
        <v>0</v>
      </c>
      <c r="K144" s="4496">
        <f t="shared" si="36"/>
        <v>0</v>
      </c>
      <c r="L144" s="4496">
        <f t="shared" si="36"/>
        <v>0</v>
      </c>
      <c r="M144" s="4496">
        <f t="shared" si="36"/>
        <v>0</v>
      </c>
      <c r="N144" s="4496">
        <f t="shared" si="36"/>
        <v>0</v>
      </c>
      <c r="O144" s="4496">
        <f t="shared" si="36"/>
        <v>0</v>
      </c>
      <c r="P144" s="4561">
        <f t="shared" si="34"/>
        <v>0</v>
      </c>
      <c r="Q144" s="3724"/>
      <c r="R144" s="4607">
        <f>+P129-P144</f>
        <v>0</v>
      </c>
    </row>
    <row r="147" spans="1:23" s="2476" customFormat="1" ht="27" hidden="1" customHeight="1" x14ac:dyDescent="0.2">
      <c r="A147" s="3067"/>
      <c r="B147" s="2149" t="s">
        <v>2238</v>
      </c>
      <c r="C147" s="2147"/>
      <c r="D147" s="3068"/>
      <c r="E147" s="3068"/>
      <c r="F147" s="3069"/>
      <c r="G147" s="2148"/>
      <c r="H147" s="2148"/>
      <c r="I147" s="2148"/>
      <c r="J147" s="2148"/>
      <c r="K147" s="2148"/>
      <c r="L147" s="2148"/>
      <c r="M147" s="2148"/>
      <c r="N147" s="2148"/>
      <c r="O147" s="2148"/>
      <c r="P147" s="2148"/>
      <c r="Q147" s="2148"/>
      <c r="R147" s="2148"/>
      <c r="S147" s="3068"/>
      <c r="T147" s="2618"/>
      <c r="U147" s="3065"/>
      <c r="W147" s="3066"/>
    </row>
    <row r="148" spans="1:23" hidden="1" x14ac:dyDescent="0.3"/>
    <row r="149" spans="1:23" s="3076" customFormat="1" ht="17.55" hidden="1" customHeight="1" thickBot="1" x14ac:dyDescent="0.25">
      <c r="A149" s="3071"/>
      <c r="B149" s="2217" t="s">
        <v>2232</v>
      </c>
      <c r="C149" s="2218"/>
      <c r="D149" s="3072"/>
      <c r="E149" s="3072"/>
      <c r="F149" s="3073"/>
      <c r="G149" s="2219"/>
      <c r="H149" s="2219"/>
      <c r="I149" s="2219"/>
      <c r="J149" s="2219"/>
      <c r="K149" s="2219"/>
      <c r="L149" s="2219"/>
      <c r="M149" s="2219"/>
      <c r="N149" s="2219"/>
      <c r="O149" s="2219"/>
      <c r="P149" s="2219"/>
      <c r="Q149" s="2219"/>
      <c r="R149" s="2219"/>
      <c r="S149" s="3072"/>
      <c r="T149" s="3074"/>
      <c r="U149" s="3075"/>
      <c r="W149" s="3077"/>
    </row>
    <row r="150" spans="1:23" ht="15.05" hidden="1" thickTop="1" x14ac:dyDescent="0.3">
      <c r="B150" s="4608"/>
      <c r="C150" s="2262" t="s">
        <v>2233</v>
      </c>
      <c r="D150" s="2263" t="s">
        <v>2234</v>
      </c>
    </row>
    <row r="151" spans="1:23" hidden="1" x14ac:dyDescent="0.3">
      <c r="B151" s="4609" t="s">
        <v>2235</v>
      </c>
      <c r="C151" s="3933">
        <f>+C33-P33</f>
        <v>0</v>
      </c>
      <c r="D151" s="4610">
        <f>+S33+S114</f>
        <v>0</v>
      </c>
    </row>
    <row r="152" spans="1:23" hidden="1" x14ac:dyDescent="0.3">
      <c r="B152" s="4609" t="s">
        <v>2236</v>
      </c>
      <c r="C152" s="3933">
        <f>+C48+P33</f>
        <v>0</v>
      </c>
      <c r="D152" s="4610">
        <f>+R33+R48+R114+R144</f>
        <v>0</v>
      </c>
    </row>
    <row r="153" spans="1:23" hidden="1" x14ac:dyDescent="0.3">
      <c r="B153" s="4609" t="s">
        <v>2237</v>
      </c>
      <c r="C153" s="3912">
        <f>+C77</f>
        <v>0</v>
      </c>
      <c r="D153" s="4611">
        <f>+R144+R77</f>
        <v>0</v>
      </c>
      <c r="E153" s="3490"/>
    </row>
    <row r="154" spans="1:23" ht="15.05" hidden="1" thickBot="1" x14ac:dyDescent="0.35">
      <c r="B154" s="4612" t="s">
        <v>230</v>
      </c>
      <c r="C154" s="4613">
        <f>+SUM(C151:C153)</f>
        <v>0</v>
      </c>
      <c r="D154" s="4614">
        <f>+SUM(D151:D153)</f>
        <v>0</v>
      </c>
      <c r="E154" s="3452"/>
    </row>
    <row r="155" spans="1:23" hidden="1" x14ac:dyDescent="0.3">
      <c r="C155" s="3452"/>
      <c r="D155" s="3490"/>
      <c r="E155" s="3490"/>
    </row>
    <row r="156" spans="1:23" x14ac:dyDescent="0.3">
      <c r="C156" s="3452"/>
      <c r="D156" s="3490"/>
      <c r="E156" s="3490"/>
    </row>
    <row r="157" spans="1:23" x14ac:dyDescent="0.3">
      <c r="C157" s="3452"/>
      <c r="D157" s="3490"/>
      <c r="E157" s="3490"/>
    </row>
    <row r="158" spans="1:23" x14ac:dyDescent="0.3">
      <c r="C158" s="3452"/>
      <c r="D158" s="3452"/>
      <c r="E158" s="3452"/>
    </row>
    <row r="159" spans="1:23" x14ac:dyDescent="0.3">
      <c r="C159" s="3452"/>
      <c r="D159" s="3452"/>
      <c r="E159" s="3452"/>
    </row>
  </sheetData>
  <sheetProtection password="CF72" sheet="1" objects="1" scenarios="1"/>
  <mergeCells count="11">
    <mergeCell ref="R21:S21"/>
    <mergeCell ref="R106:S106"/>
    <mergeCell ref="C3:E3"/>
    <mergeCell ref="C2:E2"/>
    <mergeCell ref="C4:D4"/>
    <mergeCell ref="G2:I2"/>
    <mergeCell ref="J2:K2"/>
    <mergeCell ref="L2:N2"/>
    <mergeCell ref="L3:N3"/>
    <mergeCell ref="O2:R2"/>
    <mergeCell ref="O3:R3"/>
  </mergeCells>
  <phoneticPr fontId="0" type="noConversion"/>
  <conditionalFormatting sqref="B1 A23:B34 A38:B50 A82:B94 D82:XFD94 D50:XFD50 D1:XFD1 A8:XFD20 A35:XFD35 A54:XFD61 D38:Q49 T38:XFD49 A79:Q79 S79:XFD79 Q96:XFD96 A96 A104:XFD105 A53:B53 D53:XFD53 A97:B103 D97:XFD103 A63:XFD64 A62:B62 D62:XFD62 A116:Q116 A108:A115 Q108:Q115 A145:XFD146 A119:A131 S120:XFD131 S133:XFD144 A133:A144 D23:XFD34 T119:XFD119 T108:XFD116 R114:S118 A158:XFD1048576 F153:XFD157 C151:XFD152 D155:E157 A148:XFD148 A150:B157 E150:XFD150 A3 A2:C2 C3 A5:XFD5 J2 L2 A4:C4 E4:XFD4 O2 S2:XFD3">
    <cfRule type="cellIs" dxfId="210" priority="208" operator="equal">
      <formula>0</formula>
    </cfRule>
  </conditionalFormatting>
  <conditionalFormatting sqref="B6:B7">
    <cfRule type="cellIs" dxfId="209" priority="203" operator="equal">
      <formula>0</formula>
    </cfRule>
  </conditionalFormatting>
  <conditionalFormatting sqref="E6">
    <cfRule type="cellIs" dxfId="208" priority="202" operator="equal">
      <formula>0</formula>
    </cfRule>
  </conditionalFormatting>
  <conditionalFormatting sqref="F6:P6 P7">
    <cfRule type="cellIs" dxfId="207" priority="204" operator="equal">
      <formula>0</formula>
    </cfRule>
  </conditionalFormatting>
  <conditionalFormatting sqref="Q6:S7">
    <cfRule type="cellIs" dxfId="206" priority="201" operator="equal">
      <formula>0</formula>
    </cfRule>
  </conditionalFormatting>
  <conditionalFormatting sqref="D6:D7 E7:O7">
    <cfRule type="cellIs" dxfId="205" priority="200" operator="equal">
      <formula>0</formula>
    </cfRule>
  </conditionalFormatting>
  <conditionalFormatting sqref="B21">
    <cfRule type="cellIs" dxfId="204" priority="196" operator="equal">
      <formula>0</formula>
    </cfRule>
  </conditionalFormatting>
  <conditionalFormatting sqref="E21">
    <cfRule type="cellIs" dxfId="203" priority="195" operator="equal">
      <formula>0</formula>
    </cfRule>
  </conditionalFormatting>
  <conditionalFormatting sqref="F21:P21">
    <cfRule type="cellIs" dxfId="202" priority="197" operator="equal">
      <formula>0</formula>
    </cfRule>
  </conditionalFormatting>
  <conditionalFormatting sqref="Q21">
    <cfRule type="cellIs" dxfId="201" priority="194" operator="equal">
      <formula>0</formula>
    </cfRule>
  </conditionalFormatting>
  <conditionalFormatting sqref="D21">
    <cfRule type="cellIs" dxfId="200" priority="193" operator="equal">
      <formula>0</formula>
    </cfRule>
  </conditionalFormatting>
  <conditionalFormatting sqref="B51">
    <cfRule type="cellIs" dxfId="199" priority="189" operator="equal">
      <formula>0</formula>
    </cfRule>
  </conditionalFormatting>
  <conditionalFormatting sqref="E51">
    <cfRule type="cellIs" dxfId="198" priority="188" operator="equal">
      <formula>0</formula>
    </cfRule>
  </conditionalFormatting>
  <conditionalFormatting sqref="F51:P51">
    <cfRule type="cellIs" dxfId="197" priority="190" operator="equal">
      <formula>0</formula>
    </cfRule>
  </conditionalFormatting>
  <conditionalFormatting sqref="Q51:S51">
    <cfRule type="cellIs" dxfId="196" priority="187" operator="equal">
      <formula>0</formula>
    </cfRule>
  </conditionalFormatting>
  <conditionalFormatting sqref="D51">
    <cfRule type="cellIs" dxfId="195" priority="186" operator="equal">
      <formula>0</formula>
    </cfRule>
  </conditionalFormatting>
  <conditionalFormatting sqref="B36">
    <cfRule type="cellIs" dxfId="194" priority="182" operator="equal">
      <formula>0</formula>
    </cfRule>
  </conditionalFormatting>
  <conditionalFormatting sqref="E36">
    <cfRule type="cellIs" dxfId="193" priority="181" operator="equal">
      <formula>0</formula>
    </cfRule>
  </conditionalFormatting>
  <conditionalFormatting sqref="F36:P36">
    <cfRule type="cellIs" dxfId="192" priority="183" operator="equal">
      <formula>0</formula>
    </cfRule>
  </conditionalFormatting>
  <conditionalFormatting sqref="Q36">
    <cfRule type="cellIs" dxfId="191" priority="180" operator="equal">
      <formula>0</formula>
    </cfRule>
  </conditionalFormatting>
  <conditionalFormatting sqref="D36">
    <cfRule type="cellIs" dxfId="190" priority="179" operator="equal">
      <formula>0</formula>
    </cfRule>
  </conditionalFormatting>
  <conditionalFormatting sqref="B80">
    <cfRule type="cellIs" dxfId="189" priority="175" operator="equal">
      <formula>0</formula>
    </cfRule>
  </conditionalFormatting>
  <conditionalFormatting sqref="E80">
    <cfRule type="cellIs" dxfId="188" priority="174" operator="equal">
      <formula>0</formula>
    </cfRule>
  </conditionalFormatting>
  <conditionalFormatting sqref="F80:P80">
    <cfRule type="cellIs" dxfId="187" priority="176" operator="equal">
      <formula>0</formula>
    </cfRule>
  </conditionalFormatting>
  <conditionalFormatting sqref="Q80:S80">
    <cfRule type="cellIs" dxfId="186" priority="173" operator="equal">
      <formula>0</formula>
    </cfRule>
  </conditionalFormatting>
  <conditionalFormatting sqref="D80">
    <cfRule type="cellIs" dxfId="185" priority="172" operator="equal">
      <formula>0</formula>
    </cfRule>
  </conditionalFormatting>
  <conditionalFormatting sqref="B95">
    <cfRule type="cellIs" dxfId="184" priority="168" operator="equal">
      <formula>0</formula>
    </cfRule>
  </conditionalFormatting>
  <conditionalFormatting sqref="E95">
    <cfRule type="cellIs" dxfId="183" priority="167" operator="equal">
      <formula>0</formula>
    </cfRule>
  </conditionalFormatting>
  <conditionalFormatting sqref="F95:P95">
    <cfRule type="cellIs" dxfId="182" priority="169" operator="equal">
      <formula>0</formula>
    </cfRule>
  </conditionalFormatting>
  <conditionalFormatting sqref="Q95:S95">
    <cfRule type="cellIs" dxfId="181" priority="166" operator="equal">
      <formula>0</formula>
    </cfRule>
  </conditionalFormatting>
  <conditionalFormatting sqref="D95">
    <cfRule type="cellIs" dxfId="180" priority="165" operator="equal">
      <formula>0</formula>
    </cfRule>
  </conditionalFormatting>
  <conditionalFormatting sqref="C82:C94 C38:C50 C23:C34 C1">
    <cfRule type="cellIs" dxfId="179" priority="164" operator="equal">
      <formula>0</formula>
    </cfRule>
  </conditionalFormatting>
  <conditionalFormatting sqref="C6:C7">
    <cfRule type="cellIs" dxfId="178" priority="163" operator="equal">
      <formula>0</formula>
    </cfRule>
  </conditionalFormatting>
  <conditionalFormatting sqref="C21">
    <cfRule type="cellIs" dxfId="177" priority="162" operator="equal">
      <formula>0</formula>
    </cfRule>
  </conditionalFormatting>
  <conditionalFormatting sqref="C51">
    <cfRule type="cellIs" dxfId="176" priority="161" operator="equal">
      <formula>0</formula>
    </cfRule>
  </conditionalFormatting>
  <conditionalFormatting sqref="C36">
    <cfRule type="cellIs" dxfId="175" priority="160" operator="equal">
      <formula>0</formula>
    </cfRule>
  </conditionalFormatting>
  <conditionalFormatting sqref="C80">
    <cfRule type="cellIs" dxfId="174" priority="159" operator="equal">
      <formula>0</formula>
    </cfRule>
  </conditionalFormatting>
  <conditionalFormatting sqref="C95">
    <cfRule type="cellIs" dxfId="173" priority="158" operator="equal">
      <formula>0</formula>
    </cfRule>
  </conditionalFormatting>
  <conditionalFormatting sqref="P22">
    <cfRule type="cellIs" dxfId="172" priority="152" operator="equal">
      <formula>0</formula>
    </cfRule>
  </conditionalFormatting>
  <conditionalFormatting sqref="Q52:S52">
    <cfRule type="cellIs" dxfId="171" priority="148" operator="equal">
      <formula>0</formula>
    </cfRule>
  </conditionalFormatting>
  <conditionalFormatting sqref="Q22">
    <cfRule type="cellIs" dxfId="170" priority="155" operator="equal">
      <formula>0</formula>
    </cfRule>
  </conditionalFormatting>
  <conditionalFormatting sqref="D22:O22">
    <cfRule type="cellIs" dxfId="169" priority="150" operator="equal">
      <formula>0</formula>
    </cfRule>
  </conditionalFormatting>
  <conditionalFormatting sqref="P37">
    <cfRule type="cellIs" dxfId="168" priority="142" operator="equal">
      <formula>0</formula>
    </cfRule>
  </conditionalFormatting>
  <conditionalFormatting sqref="B22">
    <cfRule type="cellIs" dxfId="167" priority="151" operator="equal">
      <formula>0</formula>
    </cfRule>
  </conditionalFormatting>
  <conditionalFormatting sqref="P52">
    <cfRule type="cellIs" dxfId="166" priority="147" operator="equal">
      <formula>0</formula>
    </cfRule>
  </conditionalFormatting>
  <conditionalFormatting sqref="D52:O52">
    <cfRule type="cellIs" dxfId="165" priority="145" operator="equal">
      <formula>0</formula>
    </cfRule>
  </conditionalFormatting>
  <conditionalFormatting sqref="C52">
    <cfRule type="cellIs" dxfId="164" priority="144" operator="equal">
      <formula>0</formula>
    </cfRule>
  </conditionalFormatting>
  <conditionalFormatting sqref="D37:O37">
    <cfRule type="cellIs" dxfId="163" priority="140" operator="equal">
      <formula>0</formula>
    </cfRule>
  </conditionalFormatting>
  <conditionalFormatting sqref="B37">
    <cfRule type="cellIs" dxfId="162" priority="141" operator="equal">
      <formula>0</formula>
    </cfRule>
  </conditionalFormatting>
  <conditionalFormatting sqref="R21">
    <cfRule type="cellIs" dxfId="161" priority="138" operator="equal">
      <formula>0</formula>
    </cfRule>
  </conditionalFormatting>
  <conditionalFormatting sqref="R22:S22">
    <cfRule type="cellIs" dxfId="160" priority="137" operator="equal">
      <formula>0</formula>
    </cfRule>
  </conditionalFormatting>
  <conditionalFormatting sqref="B52">
    <cfRule type="cellIs" dxfId="159" priority="146" operator="equal">
      <formula>0</formula>
    </cfRule>
  </conditionalFormatting>
  <conditionalFormatting sqref="Q37">
    <cfRule type="cellIs" dxfId="158" priority="143" operator="equal">
      <formula>0</formula>
    </cfRule>
  </conditionalFormatting>
  <conditionalFormatting sqref="R38:S48 S49">
    <cfRule type="cellIs" dxfId="157" priority="136" operator="equal">
      <formula>0</formula>
    </cfRule>
  </conditionalFormatting>
  <conditionalFormatting sqref="R36">
    <cfRule type="cellIs" dxfId="156" priority="135" operator="equal">
      <formula>0</formula>
    </cfRule>
  </conditionalFormatting>
  <conditionalFormatting sqref="R37:S37">
    <cfRule type="cellIs" dxfId="155" priority="134" operator="equal">
      <formula>0</formula>
    </cfRule>
  </conditionalFormatting>
  <conditionalFormatting sqref="D66:O66">
    <cfRule type="cellIs" dxfId="154" priority="92" operator="equal">
      <formula>0</formula>
    </cfRule>
  </conditionalFormatting>
  <conditionalFormatting sqref="B66">
    <cfRule type="cellIs" dxfId="153" priority="93" operator="equal">
      <formula>0</formula>
    </cfRule>
  </conditionalFormatting>
  <conditionalFormatting sqref="R65">
    <cfRule type="cellIs" dxfId="152" priority="90" operator="equal">
      <formula>0</formula>
    </cfRule>
  </conditionalFormatting>
  <conditionalFormatting sqref="R66">
    <cfRule type="cellIs" dxfId="151" priority="89" operator="equal">
      <formula>0</formula>
    </cfRule>
  </conditionalFormatting>
  <conditionalFormatting sqref="C37">
    <cfRule type="cellIs" dxfId="150" priority="76" operator="equal">
      <formula>0</formula>
    </cfRule>
  </conditionalFormatting>
  <conditionalFormatting sqref="S66">
    <cfRule type="cellIs" dxfId="149" priority="95" operator="equal">
      <formula>0</formula>
    </cfRule>
  </conditionalFormatting>
  <conditionalFormatting sqref="A67:B77 T67:XFD77 D67:Q77">
    <cfRule type="cellIs" dxfId="148" priority="110" operator="equal">
      <formula>0</formula>
    </cfRule>
  </conditionalFormatting>
  <conditionalFormatting sqref="B65">
    <cfRule type="cellIs" dxfId="147" priority="108" operator="equal">
      <formula>0</formula>
    </cfRule>
  </conditionalFormatting>
  <conditionalFormatting sqref="E65">
    <cfRule type="cellIs" dxfId="146" priority="107" operator="equal">
      <formula>0</formula>
    </cfRule>
  </conditionalFormatting>
  <conditionalFormatting sqref="F65:P65">
    <cfRule type="cellIs" dxfId="145" priority="109" operator="equal">
      <formula>0</formula>
    </cfRule>
  </conditionalFormatting>
  <conditionalFormatting sqref="Q65">
    <cfRule type="cellIs" dxfId="144" priority="106" operator="equal">
      <formula>0</formula>
    </cfRule>
  </conditionalFormatting>
  <conditionalFormatting sqref="D65">
    <cfRule type="cellIs" dxfId="143" priority="105" operator="equal">
      <formula>0</formula>
    </cfRule>
  </conditionalFormatting>
  <conditionalFormatting sqref="C67:C77">
    <cfRule type="cellIs" dxfId="142" priority="104" operator="equal">
      <formula>0</formula>
    </cfRule>
  </conditionalFormatting>
  <conditionalFormatting sqref="C65">
    <cfRule type="cellIs" dxfId="141" priority="103" operator="equal">
      <formula>0</formula>
    </cfRule>
  </conditionalFormatting>
  <conditionalFormatting sqref="C66">
    <cfRule type="cellIs" dxfId="140" priority="75" operator="equal">
      <formula>0</formula>
    </cfRule>
  </conditionalFormatting>
  <conditionalFormatting sqref="Q66">
    <cfRule type="cellIs" dxfId="139" priority="102" operator="equal">
      <formula>0</formula>
    </cfRule>
  </conditionalFormatting>
  <conditionalFormatting sqref="C22">
    <cfRule type="cellIs" dxfId="138" priority="77" operator="equal">
      <formula>0</formula>
    </cfRule>
  </conditionalFormatting>
  <conditionalFormatting sqref="P96">
    <cfRule type="cellIs" dxfId="137" priority="74" operator="equal">
      <formula>0</formula>
    </cfRule>
  </conditionalFormatting>
  <conditionalFormatting sqref="R67:S77">
    <cfRule type="cellIs" dxfId="136" priority="97" operator="equal">
      <formula>0</formula>
    </cfRule>
  </conditionalFormatting>
  <conditionalFormatting sqref="D96:O96">
    <cfRule type="cellIs" dxfId="135" priority="72" operator="equal">
      <formula>0</formula>
    </cfRule>
  </conditionalFormatting>
  <conditionalFormatting sqref="C96">
    <cfRule type="cellIs" dxfId="134" priority="71" operator="equal">
      <formula>0</formula>
    </cfRule>
  </conditionalFormatting>
  <conditionalFormatting sqref="R79">
    <cfRule type="cellIs" dxfId="133" priority="87" operator="equal">
      <formula>0</formula>
    </cfRule>
  </conditionalFormatting>
  <conditionalFormatting sqref="C78">
    <cfRule type="cellIs" dxfId="132" priority="85" operator="equal">
      <formula>0</formula>
    </cfRule>
  </conditionalFormatting>
  <conditionalFormatting sqref="A78 D78:XFD78">
    <cfRule type="cellIs" dxfId="131" priority="86" operator="equal">
      <formula>0</formula>
    </cfRule>
  </conditionalFormatting>
  <conditionalFormatting sqref="Q81">
    <cfRule type="cellIs" dxfId="130" priority="84" operator="equal">
      <formula>0</formula>
    </cfRule>
  </conditionalFormatting>
  <conditionalFormatting sqref="S81">
    <cfRule type="cellIs" dxfId="129" priority="83" operator="equal">
      <formula>0</formula>
    </cfRule>
  </conditionalFormatting>
  <conditionalFormatting sqref="P81">
    <cfRule type="cellIs" dxfId="128" priority="82" operator="equal">
      <formula>0</formula>
    </cfRule>
  </conditionalFormatting>
  <conditionalFormatting sqref="B81">
    <cfRule type="cellIs" dxfId="127" priority="81" operator="equal">
      <formula>0</formula>
    </cfRule>
  </conditionalFormatting>
  <conditionalFormatting sqref="C81">
    <cfRule type="cellIs" dxfId="126" priority="79" operator="equal">
      <formula>0</formula>
    </cfRule>
  </conditionalFormatting>
  <conditionalFormatting sqref="P66">
    <cfRule type="cellIs" dxfId="125" priority="94" operator="equal">
      <formula>0</formula>
    </cfRule>
  </conditionalFormatting>
  <conditionalFormatting sqref="R81">
    <cfRule type="cellIs" dxfId="124" priority="78" operator="equal">
      <formula>0</formula>
    </cfRule>
  </conditionalFormatting>
  <conditionalFormatting sqref="B96">
    <cfRule type="cellIs" dxfId="123" priority="73" operator="equal">
      <formula>0</formula>
    </cfRule>
  </conditionalFormatting>
  <conditionalFormatting sqref="R49">
    <cfRule type="cellIs" dxfId="122" priority="88" operator="equal">
      <formula>0</formula>
    </cfRule>
  </conditionalFormatting>
  <conditionalFormatting sqref="D81:O81">
    <cfRule type="cellIs" dxfId="121" priority="80" operator="equal">
      <formula>0</formula>
    </cfRule>
  </conditionalFormatting>
  <conditionalFormatting sqref="C98:C102">
    <cfRule type="cellIs" dxfId="120" priority="70" operator="equal">
      <formula>0</formula>
    </cfRule>
  </conditionalFormatting>
  <conditionalFormatting sqref="C97">
    <cfRule type="cellIs" dxfId="119" priority="69" operator="equal">
      <formula>0</formula>
    </cfRule>
  </conditionalFormatting>
  <conditionalFormatting sqref="C53">
    <cfRule type="cellIs" dxfId="118" priority="68" operator="equal">
      <formula>0</formula>
    </cfRule>
  </conditionalFormatting>
  <conditionalFormatting sqref="C103">
    <cfRule type="cellIs" dxfId="117" priority="67" operator="equal">
      <formula>0</formula>
    </cfRule>
  </conditionalFormatting>
  <conditionalFormatting sqref="C62">
    <cfRule type="cellIs" dxfId="116" priority="66" operator="equal">
      <formula>0</formula>
    </cfRule>
  </conditionalFormatting>
  <conditionalFormatting sqref="B108:B113 D108:P113">
    <cfRule type="cellIs" dxfId="115" priority="65" operator="equal">
      <formula>0</formula>
    </cfRule>
  </conditionalFormatting>
  <conditionalFormatting sqref="B106">
    <cfRule type="cellIs" dxfId="114" priority="63" operator="equal">
      <formula>0</formula>
    </cfRule>
  </conditionalFormatting>
  <conditionalFormatting sqref="E106">
    <cfRule type="cellIs" dxfId="113" priority="62" operator="equal">
      <formula>0</formula>
    </cfRule>
  </conditionalFormatting>
  <conditionalFormatting sqref="F106:P106">
    <cfRule type="cellIs" dxfId="112" priority="64" operator="equal">
      <formula>0</formula>
    </cfRule>
  </conditionalFormatting>
  <conditionalFormatting sqref="Q106">
    <cfRule type="cellIs" dxfId="111" priority="61" operator="equal">
      <formula>0</formula>
    </cfRule>
  </conditionalFormatting>
  <conditionalFormatting sqref="D106">
    <cfRule type="cellIs" dxfId="110" priority="60" operator="equal">
      <formula>0</formula>
    </cfRule>
  </conditionalFormatting>
  <conditionalFormatting sqref="C106">
    <cfRule type="cellIs" dxfId="109" priority="59" operator="equal">
      <formula>0</formula>
    </cfRule>
  </conditionalFormatting>
  <conditionalFormatting sqref="C117">
    <cfRule type="cellIs" dxfId="108" priority="39" operator="equal">
      <formula>0</formula>
    </cfRule>
  </conditionalFormatting>
  <conditionalFormatting sqref="C118">
    <cfRule type="cellIs" dxfId="107" priority="34" operator="equal">
      <formula>0</formula>
    </cfRule>
  </conditionalFormatting>
  <conditionalFormatting sqref="R107:S107">
    <cfRule type="cellIs" dxfId="106" priority="10" operator="equal">
      <formula>0</formula>
    </cfRule>
  </conditionalFormatting>
  <conditionalFormatting sqref="Q107 A107 T107:XFD107">
    <cfRule type="cellIs" dxfId="105" priority="58" operator="equal">
      <formula>0</formula>
    </cfRule>
  </conditionalFormatting>
  <conditionalFormatting sqref="P107">
    <cfRule type="cellIs" dxfId="104" priority="57" operator="equal">
      <formula>0</formula>
    </cfRule>
  </conditionalFormatting>
  <conditionalFormatting sqref="D107:O107">
    <cfRule type="cellIs" dxfId="103" priority="55" operator="equal">
      <formula>0</formula>
    </cfRule>
  </conditionalFormatting>
  <conditionalFormatting sqref="C107">
    <cfRule type="cellIs" dxfId="102" priority="54" operator="equal">
      <formula>0</formula>
    </cfRule>
  </conditionalFormatting>
  <conditionalFormatting sqref="B107">
    <cfRule type="cellIs" dxfId="101" priority="56" operator="equal">
      <formula>0</formula>
    </cfRule>
  </conditionalFormatting>
  <conditionalFormatting sqref="C131">
    <cfRule type="cellIs" dxfId="100" priority="47" operator="equal">
      <formula>0</formula>
    </cfRule>
  </conditionalFormatting>
  <conditionalFormatting sqref="R134:R144">
    <cfRule type="cellIs" dxfId="99" priority="46" operator="equal">
      <formula>0</formula>
    </cfRule>
  </conditionalFormatting>
  <conditionalFormatting sqref="B114:B115">
    <cfRule type="cellIs" dxfId="98" priority="50" operator="equal">
      <formula>0</formula>
    </cfRule>
  </conditionalFormatting>
  <conditionalFormatting sqref="D114:P115">
    <cfRule type="cellIs" dxfId="97" priority="49" operator="equal">
      <formula>0</formula>
    </cfRule>
  </conditionalFormatting>
  <conditionalFormatting sqref="B131 Q133:Q144 D131:R131 B119:B128 D119:Q128 B129:Q130">
    <cfRule type="cellIs" dxfId="96" priority="48" operator="equal">
      <formula>0</formula>
    </cfRule>
  </conditionalFormatting>
  <conditionalFormatting sqref="B144:P144 D134:P143">
    <cfRule type="cellIs" dxfId="95" priority="45" operator="equal">
      <formula>0</formula>
    </cfRule>
  </conditionalFormatting>
  <conditionalFormatting sqref="B117">
    <cfRule type="cellIs" dxfId="94" priority="43" operator="equal">
      <formula>0</formula>
    </cfRule>
  </conditionalFormatting>
  <conditionalFormatting sqref="E117">
    <cfRule type="cellIs" dxfId="93" priority="42" operator="equal">
      <formula>0</formula>
    </cfRule>
  </conditionalFormatting>
  <conditionalFormatting sqref="F117:P117">
    <cfRule type="cellIs" dxfId="92" priority="44" operator="equal">
      <formula>0</formula>
    </cfRule>
  </conditionalFormatting>
  <conditionalFormatting sqref="Q117">
    <cfRule type="cellIs" dxfId="91" priority="41" operator="equal">
      <formula>0</formula>
    </cfRule>
  </conditionalFormatting>
  <conditionalFormatting sqref="D117">
    <cfRule type="cellIs" dxfId="90" priority="40" operator="equal">
      <formula>0</formula>
    </cfRule>
  </conditionalFormatting>
  <conditionalFormatting sqref="Q118 A118 T118:XFD118">
    <cfRule type="cellIs" dxfId="89" priority="38" operator="equal">
      <formula>0</formula>
    </cfRule>
  </conditionalFormatting>
  <conditionalFormatting sqref="P118">
    <cfRule type="cellIs" dxfId="88" priority="37" operator="equal">
      <formula>0</formula>
    </cfRule>
  </conditionalFormatting>
  <conditionalFormatting sqref="D118:O118">
    <cfRule type="cellIs" dxfId="87" priority="35" operator="equal">
      <formula>0</formula>
    </cfRule>
  </conditionalFormatting>
  <conditionalFormatting sqref="B118">
    <cfRule type="cellIs" dxfId="86" priority="36" operator="equal">
      <formula>0</formula>
    </cfRule>
  </conditionalFormatting>
  <conditionalFormatting sqref="R106">
    <cfRule type="cellIs" dxfId="85" priority="11" operator="equal">
      <formula>0</formula>
    </cfRule>
  </conditionalFormatting>
  <conditionalFormatting sqref="R133">
    <cfRule type="cellIs" dxfId="84" priority="32" operator="equal">
      <formula>0</formula>
    </cfRule>
  </conditionalFormatting>
  <conditionalFormatting sqref="C132">
    <cfRule type="cellIs" dxfId="83" priority="26" operator="equal">
      <formula>0</formula>
    </cfRule>
  </conditionalFormatting>
  <conditionalFormatting sqref="B132">
    <cfRule type="cellIs" dxfId="82" priority="30" operator="equal">
      <formula>0</formula>
    </cfRule>
  </conditionalFormatting>
  <conditionalFormatting sqref="E132">
    <cfRule type="cellIs" dxfId="81" priority="29" operator="equal">
      <formula>0</formula>
    </cfRule>
  </conditionalFormatting>
  <conditionalFormatting sqref="F132:P132">
    <cfRule type="cellIs" dxfId="80" priority="31" operator="equal">
      <formula>0</formula>
    </cfRule>
  </conditionalFormatting>
  <conditionalFormatting sqref="Q132 S132">
    <cfRule type="cellIs" dxfId="79" priority="28" operator="equal">
      <formula>0</formula>
    </cfRule>
  </conditionalFormatting>
  <conditionalFormatting sqref="D132">
    <cfRule type="cellIs" dxfId="78" priority="27" operator="equal">
      <formula>0</formula>
    </cfRule>
  </conditionalFormatting>
  <conditionalFormatting sqref="P133">
    <cfRule type="cellIs" dxfId="77" priority="25" operator="equal">
      <formula>0</formula>
    </cfRule>
  </conditionalFormatting>
  <conditionalFormatting sqref="D133:O133">
    <cfRule type="cellIs" dxfId="76" priority="23" operator="equal">
      <formula>0</formula>
    </cfRule>
  </conditionalFormatting>
  <conditionalFormatting sqref="B133">
    <cfRule type="cellIs" dxfId="75" priority="24" operator="equal">
      <formula>0</formula>
    </cfRule>
  </conditionalFormatting>
  <conditionalFormatting sqref="C120:C121">
    <cfRule type="cellIs" dxfId="74" priority="21" operator="equal">
      <formula>0</formula>
    </cfRule>
  </conditionalFormatting>
  <conditionalFormatting sqref="C119">
    <cfRule type="cellIs" dxfId="73" priority="20" operator="equal">
      <formula>0</formula>
    </cfRule>
  </conditionalFormatting>
  <conditionalFormatting sqref="C122:C127">
    <cfRule type="cellIs" dxfId="72" priority="19" operator="equal">
      <formula>0</formula>
    </cfRule>
  </conditionalFormatting>
  <conditionalFormatting sqref="C128">
    <cfRule type="cellIs" dxfId="71" priority="18" operator="equal">
      <formula>0</formula>
    </cfRule>
  </conditionalFormatting>
  <conditionalFormatting sqref="R132">
    <cfRule type="cellIs" dxfId="70" priority="17" operator="equal">
      <formula>0</formula>
    </cfRule>
  </conditionalFormatting>
  <conditionalFormatting sqref="R108:S113">
    <cfRule type="cellIs" dxfId="69" priority="12" operator="equal">
      <formula>0</formula>
    </cfRule>
  </conditionalFormatting>
  <conditionalFormatting sqref="C108:C113">
    <cfRule type="cellIs" dxfId="68" priority="8" operator="equal">
      <formula>0</formula>
    </cfRule>
  </conditionalFormatting>
  <conditionalFormatting sqref="C133">
    <cfRule type="cellIs" dxfId="67" priority="7" operator="equal">
      <formula>0</formula>
    </cfRule>
  </conditionalFormatting>
  <conditionalFormatting sqref="C134:C143">
    <cfRule type="cellIs" dxfId="66" priority="6" operator="equal">
      <formula>0</formula>
    </cfRule>
  </conditionalFormatting>
  <conditionalFormatting sqref="B134:B143">
    <cfRule type="cellIs" dxfId="65" priority="5" operator="equal">
      <formula>0</formula>
    </cfRule>
  </conditionalFormatting>
  <conditionalFormatting sqref="C114:C115">
    <cfRule type="cellIs" dxfId="64" priority="4" operator="equal">
      <formula>0</formula>
    </cfRule>
  </conditionalFormatting>
  <conditionalFormatting sqref="A1">
    <cfRule type="cellIs" dxfId="63" priority="3" operator="equal">
      <formula>0</formula>
    </cfRule>
  </conditionalFormatting>
  <conditionalFormatting sqref="B78">
    <cfRule type="cellIs" dxfId="62" priority="1" operator="equal">
      <formula>0</formula>
    </cfRule>
  </conditionalFormatting>
  <hyperlinks>
    <hyperlink ref="B2" location="CtasCobrar" display="CtasCobrar"/>
    <hyperlink ref="C2" location="CuentasPagar" display="CuentasPagar"/>
    <hyperlink ref="J2" location="Inversiones" display="Inversiones"/>
    <hyperlink ref="A1" location="ManualGlobal!B27:D43" display="◄"/>
    <hyperlink ref="C3" location="MovFinancieros!B36" display="Pago de Deudas Financieras de Corto Plazo (CP)"/>
    <hyperlink ref="C4:D4" location="MovFinancieros!B51" display="Pago de Intereses"/>
    <hyperlink ref="G2:I2" location="MovFinancieros!B65" display="Pago de Deudas Comerciales Corto Plazo (CP)"/>
    <hyperlink ref="L2:N2" location="MovFinancieros!B95" display="Nuevos Créditos Financieros Tomados"/>
    <hyperlink ref="L3:N3" location="MovFinancieros!B106" display="Pago de Nuevos Créditos Financieros"/>
    <hyperlink ref="O2:R2" location="MovFinancieros!B117" display="Nuevos Créditos Comerciales Tomados"/>
    <hyperlink ref="O3:R3" location="MovFinancieros!B132" display="Pago de Nuevos Créditos Comerciales"/>
  </hyperlinks>
  <printOptions horizontalCentered="1"/>
  <pageMargins left="0.78740157480314965" right="0.78740157480314965" top="1.7716535433070868" bottom="0.98425196850393704" header="0.51181102362204722" footer="0.51181102362204722"/>
  <pageSetup paperSize="9" scale="37" orientation="landscape"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U65"/>
  <sheetViews>
    <sheetView showGridLines="0" zoomScale="79" zoomScaleNormal="115" workbookViewId="0">
      <pane ySplit="5" topLeftCell="A6" activePane="bottomLeft" state="frozen"/>
      <selection activeCell="Q67" sqref="Q67"/>
      <selection pane="bottomLeft" activeCell="N9" sqref="N9"/>
    </sheetView>
  </sheetViews>
  <sheetFormatPr baseColWidth="10" defaultColWidth="11.375" defaultRowHeight="14.4" x14ac:dyDescent="0.3"/>
  <cols>
    <col min="1" max="1" width="3.625" style="419" customWidth="1"/>
    <col min="2" max="2" width="40.375" style="419" bestFit="1" customWidth="1"/>
    <col min="3" max="14" width="9.375" style="453" customWidth="1"/>
    <col min="15" max="15" width="11.125" style="453" customWidth="1"/>
    <col min="16" max="16" width="19.125" style="419" customWidth="1"/>
    <col min="17" max="17" width="14.125" style="419" bestFit="1" customWidth="1"/>
    <col min="18" max="18" width="10.625" style="419" bestFit="1" customWidth="1"/>
    <col min="19" max="16384" width="11.375" style="419"/>
  </cols>
  <sheetData>
    <row r="1" spans="1:21" x14ac:dyDescent="0.3">
      <c r="A1" s="2443" t="s">
        <v>633</v>
      </c>
      <c r="B1" s="441" t="s">
        <v>840</v>
      </c>
    </row>
    <row r="2" spans="1:21" s="126" customFormat="1" x14ac:dyDescent="0.3">
      <c r="B2" s="441"/>
      <c r="C2" s="5557" t="s">
        <v>255</v>
      </c>
      <c r="D2" s="5557"/>
      <c r="E2" s="491"/>
      <c r="F2" s="5557" t="s">
        <v>717</v>
      </c>
      <c r="G2" s="5557"/>
      <c r="H2" s="491"/>
      <c r="I2" s="5557" t="s">
        <v>304</v>
      </c>
      <c r="J2" s="5557"/>
      <c r="K2" s="492"/>
      <c r="L2" s="492"/>
      <c r="M2" s="492"/>
      <c r="N2" s="492"/>
      <c r="O2" s="492"/>
    </row>
    <row r="3" spans="1:21" s="126" customFormat="1" x14ac:dyDescent="0.3">
      <c r="B3" s="441"/>
      <c r="C3" s="5557" t="s">
        <v>716</v>
      </c>
      <c r="D3" s="5557"/>
      <c r="E3" s="491"/>
      <c r="F3" s="5557" t="s">
        <v>201</v>
      </c>
      <c r="G3" s="5557"/>
      <c r="H3" s="491"/>
      <c r="I3" s="491"/>
      <c r="J3" s="491"/>
      <c r="K3" s="492"/>
      <c r="L3" s="492"/>
      <c r="M3" s="492"/>
      <c r="N3" s="492"/>
      <c r="O3" s="492"/>
    </row>
    <row r="5" spans="1:21" s="101" customFormat="1" ht="15.05" thickBot="1" x14ac:dyDescent="0.25">
      <c r="B5" s="474" t="s">
        <v>683</v>
      </c>
      <c r="C5" s="474" t="str">
        <f>General!C5</f>
        <v>Ene</v>
      </c>
      <c r="D5" s="474" t="str">
        <f>IF(AND(C5="Ene"),"Feb",IF(AND(C5="Feb"),"Mar",IF(AND(C5="Mar"),"Abr",IF(AND(C5="Abr"),"May",IF(AND(C5="May"),"Jun",IF(AND(C5="Jun"),"Jul",IF(AND(C5="Jul"),"Ago",IF(AND(C5="Ago"),"Set",IF(AND(C5="Set"),"Oct",IF(AND(C5="Oct"),"Nov",IF(AND(C5="Nov"),"Dic",IF(AND(C5="Dic"),"Ene"))))))))))))</f>
        <v>Feb</v>
      </c>
      <c r="E5" s="474" t="str">
        <f t="shared" ref="E5:N5" si="0">IF(AND(D5="Ene"),"Feb",IF(AND(D5="Feb"),"Mar",IF(AND(D5="Mar"),"Abr",IF(AND(D5="Abr"),"May",IF(AND(D5="May"),"Jun",IF(AND(D5="Jun"),"Jul",IF(AND(D5="Jul"),"Ago",IF(AND(D5="Ago"),"Set",IF(AND(D5="Set"),"Oct",IF(AND(D5="Oct"),"Nov",IF(AND(D5="Nov"),"Dic",IF(AND(D5="Dic"),"Ene"))))))))))))</f>
        <v>Mar</v>
      </c>
      <c r="F5" s="474" t="str">
        <f t="shared" si="0"/>
        <v>Abr</v>
      </c>
      <c r="G5" s="474" t="str">
        <f>IF(AND(F5="Ene"),"Feb",IF(AND(F5="Feb"),"Mar",IF(AND(F5="Mar"),"Abr",IF(AND(F5="Abr"),"May",IF(AND(F5="May"),"Jun",IF(AND(F5="Jun"),"Jul",IF(AND(F5="Jul"),"Ago",IF(AND(F5="Ago"),"Set",IF(AND(F5="Set"),"Oct",IF(AND(F5="Oct"),"Nov",IF(AND(F5="Nov"),"Dic",IF(AND(F5="Dic"),"Ene"))))))))))))</f>
        <v>May</v>
      </c>
      <c r="H5" s="474" t="str">
        <f t="shared" si="0"/>
        <v>Jun</v>
      </c>
      <c r="I5" s="474" t="str">
        <f t="shared" si="0"/>
        <v>Jul</v>
      </c>
      <c r="J5" s="474" t="str">
        <f t="shared" si="0"/>
        <v>Ago</v>
      </c>
      <c r="K5" s="474" t="str">
        <f t="shared" si="0"/>
        <v>Set</v>
      </c>
      <c r="L5" s="474" t="str">
        <f t="shared" si="0"/>
        <v>Oct</v>
      </c>
      <c r="M5" s="474" t="str">
        <f t="shared" si="0"/>
        <v>Nov</v>
      </c>
      <c r="N5" s="474" t="str">
        <f t="shared" si="0"/>
        <v>Dic</v>
      </c>
      <c r="O5" s="474" t="s">
        <v>15</v>
      </c>
      <c r="P5" s="272"/>
      <c r="Q5" s="272"/>
      <c r="R5" s="272"/>
      <c r="S5" s="272"/>
      <c r="T5" s="272"/>
    </row>
    <row r="6" spans="1:21" x14ac:dyDescent="0.3">
      <c r="A6" s="1344">
        <f>+MovFinancieros!A95+1</f>
        <v>141</v>
      </c>
      <c r="B6" s="493" t="s">
        <v>17</v>
      </c>
      <c r="C6" s="470"/>
      <c r="D6" s="470"/>
      <c r="E6" s="470"/>
      <c r="F6" s="470"/>
      <c r="G6" s="470"/>
      <c r="H6" s="470"/>
      <c r="I6" s="470"/>
      <c r="J6" s="470"/>
      <c r="K6" s="470"/>
      <c r="L6" s="470"/>
      <c r="M6" s="470"/>
      <c r="N6" s="470"/>
      <c r="O6" s="494"/>
      <c r="P6" s="435"/>
      <c r="Q6" s="435"/>
      <c r="R6" s="435"/>
      <c r="S6" s="435"/>
      <c r="T6" s="435"/>
    </row>
    <row r="7" spans="1:21" x14ac:dyDescent="0.3">
      <c r="B7" s="464" t="s">
        <v>740</v>
      </c>
      <c r="C7" s="601">
        <f>+General!C147</f>
        <v>0</v>
      </c>
      <c r="D7" s="466"/>
      <c r="E7" s="466"/>
      <c r="F7" s="466"/>
      <c r="G7" s="466"/>
      <c r="H7" s="466"/>
      <c r="I7" s="466"/>
      <c r="J7" s="466"/>
      <c r="K7" s="466"/>
      <c r="L7" s="466"/>
      <c r="M7" s="466"/>
      <c r="N7" s="1213"/>
      <c r="O7" s="1212">
        <f t="shared" ref="O7:O16" si="1">SUM(C7:N7)</f>
        <v>0</v>
      </c>
      <c r="P7" s="435"/>
      <c r="Q7" s="126"/>
      <c r="R7" s="126"/>
      <c r="S7" s="435"/>
      <c r="T7" s="126"/>
    </row>
    <row r="8" spans="1:21" x14ac:dyDescent="0.3">
      <c r="B8" s="448" t="s">
        <v>202</v>
      </c>
      <c r="C8" s="488">
        <f>+Ingresos!E655</f>
        <v>0</v>
      </c>
      <c r="D8" s="450">
        <f>+Ingresos!F655</f>
        <v>0</v>
      </c>
      <c r="E8" s="450">
        <f>+Ingresos!G655</f>
        <v>0</v>
      </c>
      <c r="F8" s="450">
        <f>+Ingresos!H655</f>
        <v>0</v>
      </c>
      <c r="G8" s="450">
        <f>+Ingresos!I655</f>
        <v>0</v>
      </c>
      <c r="H8" s="450">
        <f>+Ingresos!J655</f>
        <v>0</v>
      </c>
      <c r="I8" s="450">
        <f>+Ingresos!K655</f>
        <v>0</v>
      </c>
      <c r="J8" s="450">
        <f>+Ingresos!L655</f>
        <v>0</v>
      </c>
      <c r="K8" s="450">
        <f>+Ingresos!M655</f>
        <v>0</v>
      </c>
      <c r="L8" s="450">
        <f>+Ingresos!N655</f>
        <v>0</v>
      </c>
      <c r="M8" s="450">
        <f>+Ingresos!O655</f>
        <v>0</v>
      </c>
      <c r="N8" s="458">
        <f>+Ingresos!P655</f>
        <v>0</v>
      </c>
      <c r="O8" s="459">
        <f>+Ingresos!Q655</f>
        <v>0</v>
      </c>
      <c r="P8" s="435"/>
      <c r="Q8" s="126"/>
      <c r="R8" s="126"/>
      <c r="S8" s="126"/>
      <c r="T8" s="126"/>
    </row>
    <row r="9" spans="1:21" x14ac:dyDescent="0.3">
      <c r="B9" s="448" t="s">
        <v>446</v>
      </c>
      <c r="C9" s="488">
        <f>+Ingresos!E653</f>
        <v>0</v>
      </c>
      <c r="D9" s="450">
        <f>+Ingresos!F653</f>
        <v>0</v>
      </c>
      <c r="E9" s="450">
        <f>+Ingresos!G653</f>
        <v>0</v>
      </c>
      <c r="F9" s="450">
        <f>+Ingresos!H653</f>
        <v>0</v>
      </c>
      <c r="G9" s="450">
        <f>+Ingresos!I653</f>
        <v>0</v>
      </c>
      <c r="H9" s="450">
        <f>+Ingresos!J653</f>
        <v>0</v>
      </c>
      <c r="I9" s="450">
        <f>+Ingresos!K653</f>
        <v>0</v>
      </c>
      <c r="J9" s="450">
        <f>+Ingresos!L653</f>
        <v>0</v>
      </c>
      <c r="K9" s="450">
        <f>+Ingresos!M653</f>
        <v>0</v>
      </c>
      <c r="L9" s="450">
        <f>+Ingresos!N653</f>
        <v>0</v>
      </c>
      <c r="M9" s="450">
        <f>+Ingresos!O653</f>
        <v>0</v>
      </c>
      <c r="N9" s="458">
        <f>+Ingresos!P653</f>
        <v>0</v>
      </c>
      <c r="O9" s="459">
        <f>+Ingresos!Q647</f>
        <v>0</v>
      </c>
      <c r="P9" s="435"/>
      <c r="Q9" s="126"/>
      <c r="R9" s="126"/>
      <c r="S9" s="126"/>
      <c r="T9" s="126"/>
    </row>
    <row r="10" spans="1:21" x14ac:dyDescent="0.3">
      <c r="B10" s="448" t="s">
        <v>18</v>
      </c>
      <c r="C10" s="488">
        <f>Ingresos!E12</f>
        <v>0</v>
      </c>
      <c r="D10" s="450">
        <f>Ingresos!F12</f>
        <v>0</v>
      </c>
      <c r="E10" s="450">
        <f>Ingresos!G12</f>
        <v>0</v>
      </c>
      <c r="F10" s="450">
        <f>Ingresos!H12</f>
        <v>0</v>
      </c>
      <c r="G10" s="450">
        <f>Ingresos!I12</f>
        <v>0</v>
      </c>
      <c r="H10" s="450">
        <f>Ingresos!J12</f>
        <v>0</v>
      </c>
      <c r="I10" s="450">
        <f>Ingresos!K12</f>
        <v>0</v>
      </c>
      <c r="J10" s="450">
        <f>Ingresos!L12</f>
        <v>0</v>
      </c>
      <c r="K10" s="450">
        <f>Ingresos!M12</f>
        <v>0</v>
      </c>
      <c r="L10" s="450">
        <f>Ingresos!N12</f>
        <v>0</v>
      </c>
      <c r="M10" s="450">
        <f>Ingresos!O12</f>
        <v>0</v>
      </c>
      <c r="N10" s="458">
        <f>Ingresos!P12</f>
        <v>0</v>
      </c>
      <c r="O10" s="545">
        <f t="shared" si="1"/>
        <v>0</v>
      </c>
      <c r="P10" s="126"/>
      <c r="Q10" s="126"/>
      <c r="R10" s="425"/>
      <c r="S10" s="126"/>
      <c r="T10" s="126"/>
    </row>
    <row r="11" spans="1:21" x14ac:dyDescent="0.3">
      <c r="B11" s="448" t="s">
        <v>231</v>
      </c>
      <c r="C11" s="488">
        <f>+Ingresos!E35</f>
        <v>0</v>
      </c>
      <c r="D11" s="450">
        <f>+Ingresos!F35</f>
        <v>0</v>
      </c>
      <c r="E11" s="450">
        <f>+Ingresos!G35</f>
        <v>0</v>
      </c>
      <c r="F11" s="450">
        <f>+Ingresos!H35</f>
        <v>0</v>
      </c>
      <c r="G11" s="450">
        <f>+Ingresos!I35</f>
        <v>0</v>
      </c>
      <c r="H11" s="450">
        <f>+Ingresos!J35</f>
        <v>0</v>
      </c>
      <c r="I11" s="450">
        <f>+Ingresos!K35</f>
        <v>0</v>
      </c>
      <c r="J11" s="450">
        <f>+Ingresos!L35</f>
        <v>0</v>
      </c>
      <c r="K11" s="450">
        <f>+Ingresos!M35</f>
        <v>0</v>
      </c>
      <c r="L11" s="450">
        <f>+Ingresos!N35</f>
        <v>0</v>
      </c>
      <c r="M11" s="450">
        <f>+Ingresos!O35</f>
        <v>0</v>
      </c>
      <c r="N11" s="458">
        <f>+Ingresos!P35</f>
        <v>0</v>
      </c>
      <c r="O11" s="545">
        <f t="shared" si="1"/>
        <v>0</v>
      </c>
      <c r="P11" s="126"/>
      <c r="Q11" s="126"/>
      <c r="R11" s="425"/>
      <c r="S11" s="435"/>
      <c r="T11" s="126"/>
    </row>
    <row r="12" spans="1:21" x14ac:dyDescent="0.3">
      <c r="B12" s="448" t="s">
        <v>232</v>
      </c>
      <c r="C12" s="488">
        <f>+Ingresos!E86</f>
        <v>0</v>
      </c>
      <c r="D12" s="450">
        <f>+Ingresos!F86</f>
        <v>0</v>
      </c>
      <c r="E12" s="450">
        <f>+Ingresos!G86</f>
        <v>0</v>
      </c>
      <c r="F12" s="450">
        <f>+Ingresos!H86</f>
        <v>0</v>
      </c>
      <c r="G12" s="450">
        <f>+Ingresos!I86</f>
        <v>0</v>
      </c>
      <c r="H12" s="450">
        <f>+Ingresos!J86</f>
        <v>0</v>
      </c>
      <c r="I12" s="450">
        <f>+Ingresos!K86</f>
        <v>0</v>
      </c>
      <c r="J12" s="450">
        <f>+Ingresos!L86</f>
        <v>0</v>
      </c>
      <c r="K12" s="450">
        <f>+Ingresos!M86</f>
        <v>0</v>
      </c>
      <c r="L12" s="450">
        <f>+Ingresos!N86</f>
        <v>0</v>
      </c>
      <c r="M12" s="450">
        <f>+Ingresos!O86</f>
        <v>0</v>
      </c>
      <c r="N12" s="458">
        <f>+Ingresos!P86</f>
        <v>0</v>
      </c>
      <c r="O12" s="545">
        <f t="shared" si="1"/>
        <v>0</v>
      </c>
      <c r="P12" s="126"/>
      <c r="Q12" s="126"/>
      <c r="R12" s="126"/>
      <c r="S12" s="126"/>
      <c r="T12" s="126"/>
      <c r="U12" s="300"/>
    </row>
    <row r="13" spans="1:21" x14ac:dyDescent="0.3">
      <c r="B13" s="448" t="s">
        <v>595</v>
      </c>
      <c r="C13" s="488">
        <f>+Ingresos!E292</f>
        <v>0</v>
      </c>
      <c r="D13" s="450">
        <f>+Ingresos!F292</f>
        <v>0</v>
      </c>
      <c r="E13" s="450">
        <f>+Ingresos!G292</f>
        <v>0</v>
      </c>
      <c r="F13" s="450">
        <f>+Ingresos!H292</f>
        <v>0</v>
      </c>
      <c r="G13" s="450">
        <f>+Ingresos!I292</f>
        <v>0</v>
      </c>
      <c r="H13" s="450">
        <f>+Ingresos!J292</f>
        <v>0</v>
      </c>
      <c r="I13" s="450">
        <f>+Ingresos!K292</f>
        <v>0</v>
      </c>
      <c r="J13" s="450">
        <f>+Ingresos!L292</f>
        <v>0</v>
      </c>
      <c r="K13" s="450">
        <f>+Ingresos!M292</f>
        <v>0</v>
      </c>
      <c r="L13" s="450">
        <f>+Ingresos!N292</f>
        <v>0</v>
      </c>
      <c r="M13" s="450">
        <f>+Ingresos!O292</f>
        <v>0</v>
      </c>
      <c r="N13" s="458">
        <f>+Ingresos!P292</f>
        <v>0</v>
      </c>
      <c r="O13" s="545">
        <f t="shared" si="1"/>
        <v>0</v>
      </c>
      <c r="P13" s="126"/>
      <c r="Q13" s="126"/>
      <c r="R13" s="126"/>
      <c r="S13" s="126"/>
      <c r="T13" s="126"/>
      <c r="U13" s="300"/>
    </row>
    <row r="14" spans="1:21" x14ac:dyDescent="0.3">
      <c r="B14" s="448" t="s">
        <v>596</v>
      </c>
      <c r="C14" s="488">
        <f>+Ingresos!E644</f>
        <v>0</v>
      </c>
      <c r="D14" s="450">
        <f>+Ingresos!F644</f>
        <v>0</v>
      </c>
      <c r="E14" s="450">
        <f>+Ingresos!G644</f>
        <v>0</v>
      </c>
      <c r="F14" s="450">
        <f>+Ingresos!H644</f>
        <v>0</v>
      </c>
      <c r="G14" s="450">
        <f>+Ingresos!I644</f>
        <v>0</v>
      </c>
      <c r="H14" s="450">
        <f>+Ingresos!J644</f>
        <v>0</v>
      </c>
      <c r="I14" s="450">
        <f>+Ingresos!K644</f>
        <v>0</v>
      </c>
      <c r="J14" s="450">
        <f>+Ingresos!L644</f>
        <v>0</v>
      </c>
      <c r="K14" s="450">
        <f>+Ingresos!M644</f>
        <v>0</v>
      </c>
      <c r="L14" s="450">
        <f>+Ingresos!N644</f>
        <v>0</v>
      </c>
      <c r="M14" s="450">
        <f>+Ingresos!O644</f>
        <v>0</v>
      </c>
      <c r="N14" s="458">
        <f>+Ingresos!P644</f>
        <v>0</v>
      </c>
      <c r="O14" s="545">
        <f t="shared" si="1"/>
        <v>0</v>
      </c>
      <c r="P14" s="126"/>
      <c r="Q14" s="126"/>
      <c r="R14" s="425"/>
      <c r="S14" s="126"/>
      <c r="T14" s="126"/>
    </row>
    <row r="15" spans="1:21" x14ac:dyDescent="0.3">
      <c r="B15" s="448" t="s">
        <v>233</v>
      </c>
      <c r="C15" s="488">
        <f>MovFinancieros!D18</f>
        <v>0</v>
      </c>
      <c r="D15" s="450">
        <f>MovFinancieros!E18</f>
        <v>0</v>
      </c>
      <c r="E15" s="450">
        <f>MovFinancieros!F18</f>
        <v>0</v>
      </c>
      <c r="F15" s="450">
        <f>MovFinancieros!G18</f>
        <v>0</v>
      </c>
      <c r="G15" s="450">
        <f>MovFinancieros!H18</f>
        <v>0</v>
      </c>
      <c r="H15" s="450">
        <f>MovFinancieros!I18</f>
        <v>0</v>
      </c>
      <c r="I15" s="450">
        <f>MovFinancieros!J18</f>
        <v>0</v>
      </c>
      <c r="J15" s="450">
        <f>MovFinancieros!K18</f>
        <v>0</v>
      </c>
      <c r="K15" s="450">
        <f>MovFinancieros!L18</f>
        <v>0</v>
      </c>
      <c r="L15" s="450">
        <f>MovFinancieros!M18</f>
        <v>0</v>
      </c>
      <c r="M15" s="450">
        <f>MovFinancieros!N18</f>
        <v>0</v>
      </c>
      <c r="N15" s="458">
        <f>MovFinancieros!O18</f>
        <v>0</v>
      </c>
      <c r="O15" s="545">
        <f t="shared" si="1"/>
        <v>0</v>
      </c>
      <c r="P15" s="126"/>
      <c r="Q15" s="126"/>
      <c r="R15" s="425"/>
      <c r="S15" s="126"/>
      <c r="T15" s="126"/>
    </row>
    <row r="16" spans="1:21" x14ac:dyDescent="0.3">
      <c r="B16" s="448" t="s">
        <v>671</v>
      </c>
      <c r="C16" s="488">
        <f>Ingresos!E666</f>
        <v>0</v>
      </c>
      <c r="D16" s="450">
        <f>Ingresos!F666</f>
        <v>0</v>
      </c>
      <c r="E16" s="450">
        <f>Ingresos!G666</f>
        <v>0</v>
      </c>
      <c r="F16" s="450">
        <f>Ingresos!H666</f>
        <v>0</v>
      </c>
      <c r="G16" s="450">
        <f>Ingresos!I666</f>
        <v>0</v>
      </c>
      <c r="H16" s="450">
        <f>Ingresos!J666</f>
        <v>0</v>
      </c>
      <c r="I16" s="450">
        <f>Ingresos!K666</f>
        <v>0</v>
      </c>
      <c r="J16" s="450">
        <f>Ingresos!L666</f>
        <v>0</v>
      </c>
      <c r="K16" s="450">
        <f>Ingresos!M666</f>
        <v>0</v>
      </c>
      <c r="L16" s="450">
        <f>Ingresos!N666</f>
        <v>0</v>
      </c>
      <c r="M16" s="450">
        <f>Ingresos!O666</f>
        <v>0</v>
      </c>
      <c r="N16" s="458">
        <f>Ingresos!P666</f>
        <v>0</v>
      </c>
      <c r="O16" s="545">
        <f t="shared" si="1"/>
        <v>0</v>
      </c>
      <c r="P16" s="126"/>
      <c r="Q16" s="126"/>
      <c r="R16" s="425"/>
      <c r="S16" s="126"/>
      <c r="T16" s="126"/>
    </row>
    <row r="17" spans="1:21" ht="15.05" thickBot="1" x14ac:dyDescent="0.35">
      <c r="B17" s="495" t="s">
        <v>17</v>
      </c>
      <c r="C17" s="1211">
        <f t="shared" ref="C17:O17" si="2">SUM(C7:C16)</f>
        <v>0</v>
      </c>
      <c r="D17" s="496">
        <f t="shared" si="2"/>
        <v>0</v>
      </c>
      <c r="E17" s="496">
        <f t="shared" si="2"/>
        <v>0</v>
      </c>
      <c r="F17" s="496">
        <f t="shared" si="2"/>
        <v>0</v>
      </c>
      <c r="G17" s="496">
        <f t="shared" si="2"/>
        <v>0</v>
      </c>
      <c r="H17" s="496">
        <f t="shared" si="2"/>
        <v>0</v>
      </c>
      <c r="I17" s="496">
        <f t="shared" si="2"/>
        <v>0</v>
      </c>
      <c r="J17" s="496">
        <f t="shared" si="2"/>
        <v>0</v>
      </c>
      <c r="K17" s="496">
        <f t="shared" si="2"/>
        <v>0</v>
      </c>
      <c r="L17" s="496">
        <f t="shared" si="2"/>
        <v>0</v>
      </c>
      <c r="M17" s="496">
        <f t="shared" si="2"/>
        <v>0</v>
      </c>
      <c r="N17" s="1214">
        <f t="shared" si="2"/>
        <v>0</v>
      </c>
      <c r="O17" s="497">
        <f t="shared" si="2"/>
        <v>0</v>
      </c>
      <c r="R17" s="300"/>
    </row>
    <row r="18" spans="1:21" ht="15.05" thickBot="1" x14ac:dyDescent="0.35">
      <c r="B18" s="420"/>
      <c r="C18" s="450"/>
      <c r="D18" s="450"/>
      <c r="E18" s="450"/>
      <c r="F18" s="450"/>
      <c r="G18" s="450"/>
      <c r="H18" s="450"/>
      <c r="I18" s="450"/>
      <c r="J18" s="450"/>
      <c r="K18" s="450"/>
      <c r="L18" s="450"/>
      <c r="M18" s="450"/>
      <c r="N18" s="450"/>
      <c r="O18" s="450"/>
      <c r="R18" s="300"/>
    </row>
    <row r="19" spans="1:21" x14ac:dyDescent="0.3">
      <c r="A19" s="1344">
        <f>+A6+1</f>
        <v>142</v>
      </c>
      <c r="B19" s="493" t="s">
        <v>743</v>
      </c>
      <c r="C19" s="470"/>
      <c r="D19" s="470"/>
      <c r="E19" s="470"/>
      <c r="F19" s="470"/>
      <c r="G19" s="470"/>
      <c r="H19" s="470"/>
      <c r="I19" s="470"/>
      <c r="J19" s="470"/>
      <c r="K19" s="470"/>
      <c r="L19" s="470"/>
      <c r="M19" s="470"/>
      <c r="N19" s="470"/>
      <c r="O19" s="494"/>
      <c r="P19" s="420"/>
      <c r="Q19" s="420"/>
      <c r="R19" s="420"/>
    </row>
    <row r="20" spans="1:21" x14ac:dyDescent="0.3">
      <c r="B20" s="464" t="s">
        <v>499</v>
      </c>
      <c r="C20" s="601">
        <f>+Egresos!D22</f>
        <v>0</v>
      </c>
      <c r="D20" s="466">
        <f>+Egresos!E22</f>
        <v>0</v>
      </c>
      <c r="E20" s="466">
        <f>+Egresos!F22</f>
        <v>0</v>
      </c>
      <c r="F20" s="466">
        <f>+Egresos!G22</f>
        <v>0</v>
      </c>
      <c r="G20" s="466">
        <f>+Egresos!H22</f>
        <v>0</v>
      </c>
      <c r="H20" s="466">
        <f>+Egresos!I22</f>
        <v>0</v>
      </c>
      <c r="I20" s="466">
        <f>+Egresos!J22</f>
        <v>0</v>
      </c>
      <c r="J20" s="466">
        <f>+Egresos!K22</f>
        <v>0</v>
      </c>
      <c r="K20" s="466">
        <f>+Egresos!L22</f>
        <v>0</v>
      </c>
      <c r="L20" s="466">
        <f>+Egresos!M22</f>
        <v>0</v>
      </c>
      <c r="M20" s="466">
        <f>+Egresos!N22</f>
        <v>0</v>
      </c>
      <c r="N20" s="1213">
        <f>+Egresos!O22</f>
        <v>0</v>
      </c>
      <c r="O20" s="1212">
        <f>SUM(C20:N20)</f>
        <v>0</v>
      </c>
      <c r="P20" s="126"/>
      <c r="Q20" s="435"/>
      <c r="R20" s="126"/>
      <c r="S20" s="435"/>
      <c r="T20" s="126"/>
      <c r="U20" s="126"/>
    </row>
    <row r="21" spans="1:21" x14ac:dyDescent="0.3">
      <c r="B21" s="448" t="s">
        <v>500</v>
      </c>
      <c r="C21" s="600">
        <f>+Egresos!D67</f>
        <v>0</v>
      </c>
      <c r="D21" s="467">
        <f>+Egresos!E67</f>
        <v>0</v>
      </c>
      <c r="E21" s="467">
        <f>+Egresos!F67</f>
        <v>0</v>
      </c>
      <c r="F21" s="467">
        <f>+Egresos!G67</f>
        <v>0</v>
      </c>
      <c r="G21" s="467">
        <f>+Egresos!H67</f>
        <v>0</v>
      </c>
      <c r="H21" s="467">
        <f>+Egresos!I67</f>
        <v>0</v>
      </c>
      <c r="I21" s="467">
        <f>+Egresos!J67</f>
        <v>0</v>
      </c>
      <c r="J21" s="467">
        <f>+Egresos!K67</f>
        <v>0</v>
      </c>
      <c r="K21" s="467">
        <f>+Egresos!L67</f>
        <v>0</v>
      </c>
      <c r="L21" s="467">
        <f>+Egresos!M67</f>
        <v>0</v>
      </c>
      <c r="M21" s="467">
        <f>+Egresos!N67</f>
        <v>0</v>
      </c>
      <c r="N21" s="482">
        <f>+Egresos!O67</f>
        <v>0</v>
      </c>
      <c r="O21" s="536">
        <f>SUM(C21:N21)</f>
        <v>0</v>
      </c>
      <c r="P21" s="126"/>
      <c r="Q21" s="435"/>
      <c r="R21" s="126"/>
      <c r="S21" s="435"/>
      <c r="T21" s="126"/>
      <c r="U21" s="126"/>
    </row>
    <row r="22" spans="1:21" x14ac:dyDescent="0.3">
      <c r="B22" s="448" t="s">
        <v>447</v>
      </c>
      <c r="C22" s="488">
        <f ca="1">+Egresos!D108</f>
        <v>0</v>
      </c>
      <c r="D22" s="450">
        <f ca="1">+Egresos!E108</f>
        <v>0</v>
      </c>
      <c r="E22" s="450">
        <f ca="1">+Egresos!F108</f>
        <v>0</v>
      </c>
      <c r="F22" s="450">
        <f ca="1">+Egresos!G108</f>
        <v>0</v>
      </c>
      <c r="G22" s="450">
        <f ca="1">+Egresos!H108</f>
        <v>0</v>
      </c>
      <c r="H22" s="450">
        <f ca="1">+Egresos!I108</f>
        <v>0</v>
      </c>
      <c r="I22" s="450">
        <f ca="1">+Egresos!J108</f>
        <v>0</v>
      </c>
      <c r="J22" s="450">
        <f ca="1">+Egresos!K108</f>
        <v>0</v>
      </c>
      <c r="K22" s="450">
        <f ca="1">+Egresos!L108</f>
        <v>0</v>
      </c>
      <c r="L22" s="450">
        <f ca="1">+Egresos!M108</f>
        <v>0</v>
      </c>
      <c r="M22" s="450">
        <f ca="1">+Egresos!N108</f>
        <v>0</v>
      </c>
      <c r="N22" s="458">
        <f ca="1">+Egresos!O108</f>
        <v>0</v>
      </c>
      <c r="O22" s="545">
        <f ca="1">+Egresos!P108</f>
        <v>0</v>
      </c>
      <c r="P22" s="435"/>
      <c r="Q22" s="126"/>
      <c r="R22" s="126"/>
      <c r="S22" s="435"/>
      <c r="T22" s="126"/>
      <c r="U22" s="126"/>
    </row>
    <row r="23" spans="1:21" x14ac:dyDescent="0.3">
      <c r="B23" s="448" t="s">
        <v>138</v>
      </c>
      <c r="C23" s="488">
        <f>+Egresos!D110</f>
        <v>0</v>
      </c>
      <c r="D23" s="450">
        <f>+Egresos!E110</f>
        <v>0</v>
      </c>
      <c r="E23" s="450">
        <f>+Egresos!F110</f>
        <v>0</v>
      </c>
      <c r="F23" s="450">
        <f>+Egresos!G110</f>
        <v>0</v>
      </c>
      <c r="G23" s="450">
        <f>+Egresos!H110</f>
        <v>0</v>
      </c>
      <c r="H23" s="450">
        <f>+Egresos!I110</f>
        <v>0</v>
      </c>
      <c r="I23" s="450">
        <f>+Egresos!J110</f>
        <v>0</v>
      </c>
      <c r="J23" s="450">
        <f>+Egresos!K110</f>
        <v>0</v>
      </c>
      <c r="K23" s="450">
        <f>+Egresos!L110</f>
        <v>0</v>
      </c>
      <c r="L23" s="450">
        <f>+Egresos!M110</f>
        <v>0</v>
      </c>
      <c r="M23" s="450">
        <f>+Egresos!N110</f>
        <v>0</v>
      </c>
      <c r="N23" s="458">
        <f>+Egresos!O110</f>
        <v>0</v>
      </c>
      <c r="O23" s="545">
        <f>+Egresos!P110</f>
        <v>0</v>
      </c>
      <c r="P23" s="435"/>
      <c r="Q23" s="126"/>
      <c r="R23" s="126"/>
      <c r="S23" s="435"/>
      <c r="T23" s="126"/>
      <c r="U23" s="126"/>
    </row>
    <row r="24" spans="1:21" x14ac:dyDescent="0.3">
      <c r="B24" s="448" t="s">
        <v>37</v>
      </c>
      <c r="C24" s="488">
        <f>+Egresos!D111</f>
        <v>0</v>
      </c>
      <c r="D24" s="450">
        <f>+Egresos!E111</f>
        <v>0</v>
      </c>
      <c r="E24" s="450">
        <f>+Egresos!F111</f>
        <v>0</v>
      </c>
      <c r="F24" s="450">
        <f>+Egresos!G111</f>
        <v>0</v>
      </c>
      <c r="G24" s="450">
        <f>+Egresos!H111</f>
        <v>0</v>
      </c>
      <c r="H24" s="450">
        <f>+Egresos!I111</f>
        <v>0</v>
      </c>
      <c r="I24" s="450">
        <f>+Egresos!J111</f>
        <v>0</v>
      </c>
      <c r="J24" s="450">
        <f>+Egresos!K111</f>
        <v>0</v>
      </c>
      <c r="K24" s="450">
        <f>+Egresos!L111</f>
        <v>0</v>
      </c>
      <c r="L24" s="450">
        <f>+Egresos!M111</f>
        <v>0</v>
      </c>
      <c r="M24" s="450">
        <f>+Egresos!N111</f>
        <v>0</v>
      </c>
      <c r="N24" s="458">
        <f>+Egresos!O111</f>
        <v>0</v>
      </c>
      <c r="O24" s="545">
        <f>+Egresos!P111</f>
        <v>0</v>
      </c>
      <c r="P24" s="435"/>
      <c r="Q24" s="126"/>
      <c r="R24" s="126"/>
      <c r="S24" s="435"/>
      <c r="T24" s="126"/>
      <c r="U24" s="126"/>
    </row>
    <row r="25" spans="1:21" x14ac:dyDescent="0.3">
      <c r="B25" s="448" t="s">
        <v>38</v>
      </c>
      <c r="C25" s="488">
        <f>+Egresos!D112</f>
        <v>0</v>
      </c>
      <c r="D25" s="450">
        <f>+Egresos!E112</f>
        <v>0</v>
      </c>
      <c r="E25" s="450">
        <f>+Egresos!F112</f>
        <v>0</v>
      </c>
      <c r="F25" s="450">
        <f>+Egresos!G112</f>
        <v>0</v>
      </c>
      <c r="G25" s="450">
        <f>+Egresos!H112</f>
        <v>0</v>
      </c>
      <c r="H25" s="450">
        <f>+Egresos!I112</f>
        <v>0</v>
      </c>
      <c r="I25" s="450">
        <f>+Egresos!J112</f>
        <v>0</v>
      </c>
      <c r="J25" s="450">
        <f>+Egresos!K112</f>
        <v>0</v>
      </c>
      <c r="K25" s="450">
        <f>+Egresos!L112</f>
        <v>0</v>
      </c>
      <c r="L25" s="450">
        <f>+Egresos!M112</f>
        <v>0</v>
      </c>
      <c r="M25" s="450">
        <f>+Egresos!N112</f>
        <v>0</v>
      </c>
      <c r="N25" s="458">
        <f>+Egresos!O112</f>
        <v>0</v>
      </c>
      <c r="O25" s="545">
        <f>+Egresos!P112</f>
        <v>0</v>
      </c>
      <c r="P25" s="435"/>
      <c r="Q25" s="126"/>
      <c r="R25" s="126"/>
      <c r="S25" s="435"/>
      <c r="T25" s="126"/>
      <c r="U25" s="126"/>
    </row>
    <row r="26" spans="1:21" x14ac:dyDescent="0.3">
      <c r="B26" s="448" t="s">
        <v>99</v>
      </c>
      <c r="C26" s="488">
        <f>+Egresos!D113</f>
        <v>0</v>
      </c>
      <c r="D26" s="450">
        <f>+Egresos!E113</f>
        <v>0</v>
      </c>
      <c r="E26" s="450">
        <f>+Egresos!F113</f>
        <v>0</v>
      </c>
      <c r="F26" s="450">
        <f>+Egresos!G113</f>
        <v>0</v>
      </c>
      <c r="G26" s="450">
        <f>+Egresos!H113</f>
        <v>0</v>
      </c>
      <c r="H26" s="450">
        <f>+Egresos!I113</f>
        <v>0</v>
      </c>
      <c r="I26" s="450">
        <f>+Egresos!J113</f>
        <v>0</v>
      </c>
      <c r="J26" s="450">
        <f>+Egresos!K113</f>
        <v>0</v>
      </c>
      <c r="K26" s="450">
        <f>+Egresos!L113</f>
        <v>0</v>
      </c>
      <c r="L26" s="450">
        <f>+Egresos!M113</f>
        <v>0</v>
      </c>
      <c r="M26" s="450">
        <f>+Egresos!N113</f>
        <v>0</v>
      </c>
      <c r="N26" s="458">
        <f>+Egresos!O113</f>
        <v>0</v>
      </c>
      <c r="O26" s="545">
        <f>+Egresos!P113</f>
        <v>0</v>
      </c>
      <c r="P26" s="435"/>
      <c r="Q26" s="126"/>
      <c r="R26" s="126"/>
      <c r="S26" s="435"/>
      <c r="T26" s="126"/>
      <c r="U26" s="126"/>
    </row>
    <row r="27" spans="1:21" x14ac:dyDescent="0.3">
      <c r="B27" s="448" t="s">
        <v>69</v>
      </c>
      <c r="C27" s="488">
        <f>Alimentos!G659+Egresos!D118+Egresos!D117</f>
        <v>0</v>
      </c>
      <c r="D27" s="450">
        <f>Alimentos!H659+Egresos!E118+Egresos!E117</f>
        <v>0</v>
      </c>
      <c r="E27" s="450">
        <f>Alimentos!I659+Egresos!F118+Egresos!F117</f>
        <v>0</v>
      </c>
      <c r="F27" s="450">
        <f>Alimentos!J659+Egresos!G118+Egresos!G117</f>
        <v>0</v>
      </c>
      <c r="G27" s="450">
        <f>Alimentos!K659+Egresos!H118+Egresos!H117</f>
        <v>0</v>
      </c>
      <c r="H27" s="450">
        <f>Alimentos!L659+Egresos!I118+Egresos!I117</f>
        <v>0</v>
      </c>
      <c r="I27" s="450">
        <f>Alimentos!M659+Egresos!J118+Egresos!J117</f>
        <v>0</v>
      </c>
      <c r="J27" s="450">
        <f>Alimentos!N659+Egresos!K118+Egresos!K117</f>
        <v>0</v>
      </c>
      <c r="K27" s="450">
        <f>Alimentos!O659+Egresos!L118+Egresos!L117</f>
        <v>0</v>
      </c>
      <c r="L27" s="450">
        <f>Alimentos!P659+Egresos!M118+Egresos!M117</f>
        <v>0</v>
      </c>
      <c r="M27" s="450">
        <f>Alimentos!Q659+Egresos!N118+Egresos!N117</f>
        <v>0</v>
      </c>
      <c r="N27" s="458">
        <f>Alimentos!R659+Egresos!O118+Egresos!O117</f>
        <v>0</v>
      </c>
      <c r="O27" s="545">
        <f>+SUM(C27:N27)</f>
        <v>0</v>
      </c>
      <c r="P27" s="435"/>
      <c r="Q27" s="126"/>
      <c r="R27" s="435"/>
      <c r="S27" s="126"/>
      <c r="T27" s="126"/>
      <c r="U27" s="126"/>
    </row>
    <row r="28" spans="1:21" x14ac:dyDescent="0.3">
      <c r="B28" s="448" t="s">
        <v>476</v>
      </c>
      <c r="C28" s="488">
        <f>Precios!AC509</f>
        <v>0</v>
      </c>
      <c r="D28" s="450">
        <f>Precios!AD509</f>
        <v>0</v>
      </c>
      <c r="E28" s="450">
        <f>Precios!AE509</f>
        <v>0</v>
      </c>
      <c r="F28" s="450">
        <f>Precios!AF509</f>
        <v>0</v>
      </c>
      <c r="G28" s="450">
        <f>Precios!AG509</f>
        <v>0</v>
      </c>
      <c r="H28" s="450">
        <f>Precios!AH509</f>
        <v>0</v>
      </c>
      <c r="I28" s="450">
        <f>Precios!AI509</f>
        <v>0</v>
      </c>
      <c r="J28" s="450">
        <f>Precios!AJ509</f>
        <v>0</v>
      </c>
      <c r="K28" s="450">
        <f>Precios!AK509</f>
        <v>0</v>
      </c>
      <c r="L28" s="450">
        <f>Precios!AL509</f>
        <v>0</v>
      </c>
      <c r="M28" s="450">
        <f>Precios!AM509</f>
        <v>0</v>
      </c>
      <c r="N28" s="458">
        <f>Precios!AN509</f>
        <v>0</v>
      </c>
      <c r="O28" s="545">
        <f>+SUM(C28:N28)</f>
        <v>0</v>
      </c>
      <c r="P28" s="435"/>
      <c r="Q28" s="126"/>
      <c r="R28" s="126"/>
      <c r="S28" s="435"/>
      <c r="T28" s="126"/>
      <c r="U28" s="126"/>
    </row>
    <row r="29" spans="1:21" x14ac:dyDescent="0.3">
      <c r="B29" s="448" t="s">
        <v>448</v>
      </c>
      <c r="C29" s="488">
        <f>+Egresos!D135</f>
        <v>0</v>
      </c>
      <c r="D29" s="450">
        <f>+Egresos!E135</f>
        <v>0</v>
      </c>
      <c r="E29" s="450">
        <f>+Egresos!F135</f>
        <v>0</v>
      </c>
      <c r="F29" s="450">
        <f>+Egresos!G135</f>
        <v>0</v>
      </c>
      <c r="G29" s="450">
        <f>+Egresos!H135</f>
        <v>0</v>
      </c>
      <c r="H29" s="450">
        <f>+Egresos!I135</f>
        <v>0</v>
      </c>
      <c r="I29" s="450">
        <f>+Egresos!J135</f>
        <v>0</v>
      </c>
      <c r="J29" s="450">
        <f>+Egresos!K135</f>
        <v>0</v>
      </c>
      <c r="K29" s="450">
        <f>+Egresos!L135</f>
        <v>0</v>
      </c>
      <c r="L29" s="450">
        <f>+Egresos!M135</f>
        <v>0</v>
      </c>
      <c r="M29" s="450">
        <f>+Egresos!N135</f>
        <v>0</v>
      </c>
      <c r="N29" s="458">
        <f>+Egresos!O135</f>
        <v>0</v>
      </c>
      <c r="O29" s="545">
        <f>+Egresos!P135</f>
        <v>0</v>
      </c>
      <c r="P29" s="435"/>
      <c r="Q29" s="126"/>
      <c r="R29" s="126"/>
      <c r="S29" s="435"/>
      <c r="T29" s="126"/>
      <c r="U29" s="126"/>
    </row>
    <row r="30" spans="1:21" x14ac:dyDescent="0.3">
      <c r="B30" s="448" t="s">
        <v>437</v>
      </c>
      <c r="C30" s="488">
        <f>+Egresos!D137</f>
        <v>0</v>
      </c>
      <c r="D30" s="450">
        <f>+Egresos!E137</f>
        <v>0</v>
      </c>
      <c r="E30" s="450">
        <f>+Egresos!F137</f>
        <v>0</v>
      </c>
      <c r="F30" s="450">
        <f>+Egresos!G137</f>
        <v>0</v>
      </c>
      <c r="G30" s="450">
        <f>+Egresos!H137</f>
        <v>0</v>
      </c>
      <c r="H30" s="450">
        <f>+Egresos!I137</f>
        <v>0</v>
      </c>
      <c r="I30" s="450">
        <f>+Egresos!J137</f>
        <v>0</v>
      </c>
      <c r="J30" s="450">
        <f>+Egresos!K137</f>
        <v>0</v>
      </c>
      <c r="K30" s="450">
        <f>+Egresos!L137</f>
        <v>0</v>
      </c>
      <c r="L30" s="450">
        <f>+Egresos!M137</f>
        <v>0</v>
      </c>
      <c r="M30" s="450">
        <f>+Egresos!N137</f>
        <v>0</v>
      </c>
      <c r="N30" s="458">
        <f>+Egresos!O137</f>
        <v>0</v>
      </c>
      <c r="O30" s="545">
        <f>+Egresos!P137</f>
        <v>0</v>
      </c>
      <c r="P30" s="435"/>
      <c r="Q30" s="126"/>
      <c r="R30" s="126"/>
      <c r="S30" s="435"/>
      <c r="T30" s="126"/>
      <c r="U30" s="126"/>
    </row>
    <row r="31" spans="1:21" x14ac:dyDescent="0.3">
      <c r="B31" s="448" t="s">
        <v>449</v>
      </c>
      <c r="C31" s="488">
        <f>+Egresos!D145</f>
        <v>0</v>
      </c>
      <c r="D31" s="450">
        <f>+Egresos!E145</f>
        <v>0</v>
      </c>
      <c r="E31" s="450">
        <f>+Egresos!F145</f>
        <v>0</v>
      </c>
      <c r="F31" s="450">
        <f>+Egresos!G145</f>
        <v>0</v>
      </c>
      <c r="G31" s="450">
        <f>+Egresos!H145</f>
        <v>0</v>
      </c>
      <c r="H31" s="450">
        <f>+Egresos!I145</f>
        <v>0</v>
      </c>
      <c r="I31" s="450">
        <f>+Egresos!J145</f>
        <v>0</v>
      </c>
      <c r="J31" s="450">
        <f>+Egresos!K145</f>
        <v>0</v>
      </c>
      <c r="K31" s="450">
        <f>+Egresos!L145</f>
        <v>0</v>
      </c>
      <c r="L31" s="450">
        <f>+Egresos!M145</f>
        <v>0</v>
      </c>
      <c r="M31" s="450">
        <f>+Egresos!N145</f>
        <v>0</v>
      </c>
      <c r="N31" s="458">
        <f>+Egresos!O145</f>
        <v>0</v>
      </c>
      <c r="O31" s="545">
        <f>+Egresos!P145</f>
        <v>0</v>
      </c>
      <c r="P31" s="435"/>
      <c r="Q31" s="126"/>
      <c r="R31" s="126"/>
      <c r="S31" s="435"/>
      <c r="T31" s="126"/>
      <c r="U31" s="126"/>
    </row>
    <row r="32" spans="1:21" x14ac:dyDescent="0.3">
      <c r="B32" s="448" t="s">
        <v>450</v>
      </c>
      <c r="C32" s="488">
        <f>+Egresos!D148+Egresos!D149+Egresos!D150</f>
        <v>0</v>
      </c>
      <c r="D32" s="450">
        <f>+Egresos!E148+Egresos!E149+Egresos!E150</f>
        <v>0</v>
      </c>
      <c r="E32" s="450">
        <f>+Egresos!F148+Egresos!F149+Egresos!F150</f>
        <v>0</v>
      </c>
      <c r="F32" s="450">
        <f>+Egresos!G148+Egresos!G149+Egresos!G150</f>
        <v>0</v>
      </c>
      <c r="G32" s="450">
        <f>+Egresos!H148+Egresos!H149+Egresos!H150</f>
        <v>0</v>
      </c>
      <c r="H32" s="450">
        <f>+Egresos!I148+Egresos!I149+Egresos!I150</f>
        <v>0</v>
      </c>
      <c r="I32" s="450">
        <f>+Egresos!J148+Egresos!J149+Egresos!J150</f>
        <v>0</v>
      </c>
      <c r="J32" s="450">
        <f>+Egresos!K148+Egresos!K149+Egresos!K150</f>
        <v>0</v>
      </c>
      <c r="K32" s="450">
        <f>+Egresos!L148+Egresos!L149+Egresos!L150</f>
        <v>0</v>
      </c>
      <c r="L32" s="450">
        <f>+Egresos!M148+Egresos!M149+Egresos!M150</f>
        <v>0</v>
      </c>
      <c r="M32" s="450">
        <f>+Egresos!N148+Egresos!N149+Egresos!N150</f>
        <v>0</v>
      </c>
      <c r="N32" s="458">
        <f>+Egresos!O148+Egresos!O149+Egresos!O150</f>
        <v>0</v>
      </c>
      <c r="O32" s="545">
        <f>+Egresos!P148+Egresos!P149+Egresos!P150</f>
        <v>0</v>
      </c>
      <c r="P32" s="435"/>
      <c r="Q32" s="126"/>
      <c r="R32" s="126"/>
      <c r="S32" s="435"/>
      <c r="T32" s="126"/>
      <c r="U32" s="126"/>
    </row>
    <row r="33" spans="1:21" x14ac:dyDescent="0.3">
      <c r="B33" s="464" t="s">
        <v>16</v>
      </c>
      <c r="C33" s="601">
        <f>+Egresos!D156+Egresos!D157+Egresos!D158</f>
        <v>0</v>
      </c>
      <c r="D33" s="466">
        <f>+Egresos!E156+Egresos!E157+Egresos!E158</f>
        <v>0</v>
      </c>
      <c r="E33" s="466">
        <f>+Egresos!F156+Egresos!F157+Egresos!F158</f>
        <v>0</v>
      </c>
      <c r="F33" s="466">
        <f>+Egresos!G156+Egresos!G157+Egresos!G158</f>
        <v>0</v>
      </c>
      <c r="G33" s="466">
        <f>+Egresos!H156+Egresos!H157+Egresos!H158</f>
        <v>0</v>
      </c>
      <c r="H33" s="466">
        <f>+Egresos!I156+Egresos!I157+Egresos!I158</f>
        <v>0</v>
      </c>
      <c r="I33" s="466">
        <f>+Egresos!J156+Egresos!J157+Egresos!J158</f>
        <v>0</v>
      </c>
      <c r="J33" s="466">
        <f>+Egresos!K156+Egresos!K157+Egresos!K158</f>
        <v>0</v>
      </c>
      <c r="K33" s="466">
        <f>+Egresos!L156+Egresos!L157+Egresos!L158</f>
        <v>0</v>
      </c>
      <c r="L33" s="466">
        <f>+Egresos!M156+Egresos!M157+Egresos!M158</f>
        <v>0</v>
      </c>
      <c r="M33" s="466">
        <f>+Egresos!N156+Egresos!N157+Egresos!N158</f>
        <v>0</v>
      </c>
      <c r="N33" s="1213">
        <f>+Egresos!O156+Egresos!O157+Egresos!O158</f>
        <v>0</v>
      </c>
      <c r="O33" s="1212">
        <f>+Egresos!P159</f>
        <v>0</v>
      </c>
      <c r="P33" s="435"/>
      <c r="Q33" s="126"/>
      <c r="R33" s="126"/>
      <c r="S33" s="435"/>
      <c r="T33" s="126"/>
      <c r="U33" s="126"/>
    </row>
    <row r="34" spans="1:21" x14ac:dyDescent="0.3">
      <c r="B34" s="448" t="s">
        <v>54</v>
      </c>
      <c r="C34" s="488">
        <f>+Egresos!D161</f>
        <v>0</v>
      </c>
      <c r="D34" s="450">
        <f>+Egresos!E161</f>
        <v>0</v>
      </c>
      <c r="E34" s="450">
        <f>+Egresos!F161</f>
        <v>0</v>
      </c>
      <c r="F34" s="450">
        <f>+Egresos!G161</f>
        <v>0</v>
      </c>
      <c r="G34" s="450">
        <f>+Egresos!H161</f>
        <v>0</v>
      </c>
      <c r="H34" s="450">
        <f>+Egresos!I161</f>
        <v>0</v>
      </c>
      <c r="I34" s="450">
        <f>+Egresos!J161</f>
        <v>0</v>
      </c>
      <c r="J34" s="450">
        <f>+Egresos!K161</f>
        <v>0</v>
      </c>
      <c r="K34" s="450">
        <f>+Egresos!L161</f>
        <v>0</v>
      </c>
      <c r="L34" s="450">
        <f>+Egresos!M161</f>
        <v>0</v>
      </c>
      <c r="M34" s="450">
        <f>+Egresos!N161</f>
        <v>0</v>
      </c>
      <c r="N34" s="458">
        <f>+Egresos!O161</f>
        <v>0</v>
      </c>
      <c r="O34" s="545">
        <f>+Egresos!P161</f>
        <v>0</v>
      </c>
      <c r="P34" s="435"/>
      <c r="Q34" s="126"/>
      <c r="R34" s="126"/>
      <c r="S34" s="435"/>
      <c r="T34" s="126"/>
      <c r="U34" s="126"/>
    </row>
    <row r="35" spans="1:21" x14ac:dyDescent="0.3">
      <c r="B35" s="448" t="s">
        <v>223</v>
      </c>
      <c r="C35" s="488">
        <f>+Egresos!D162</f>
        <v>0</v>
      </c>
      <c r="D35" s="450">
        <f>+Egresos!E162</f>
        <v>0</v>
      </c>
      <c r="E35" s="450">
        <f>+Egresos!F162</f>
        <v>0</v>
      </c>
      <c r="F35" s="450">
        <f>+Egresos!G162</f>
        <v>0</v>
      </c>
      <c r="G35" s="450">
        <f>+Egresos!H162</f>
        <v>0</v>
      </c>
      <c r="H35" s="450">
        <f>+Egresos!I162</f>
        <v>0</v>
      </c>
      <c r="I35" s="450">
        <f>+Egresos!J162</f>
        <v>0</v>
      </c>
      <c r="J35" s="450">
        <f>+Egresos!K162</f>
        <v>0</v>
      </c>
      <c r="K35" s="450">
        <f>+Egresos!L162</f>
        <v>0</v>
      </c>
      <c r="L35" s="450">
        <f>+Egresos!M162</f>
        <v>0</v>
      </c>
      <c r="M35" s="450">
        <f>+Egresos!N162</f>
        <v>0</v>
      </c>
      <c r="N35" s="458">
        <f>+Egresos!O162</f>
        <v>0</v>
      </c>
      <c r="O35" s="545">
        <f>+Egresos!P162</f>
        <v>0</v>
      </c>
      <c r="P35" s="435"/>
      <c r="Q35" s="126"/>
      <c r="R35" s="126"/>
      <c r="S35" s="435"/>
      <c r="T35" s="126"/>
      <c r="U35" s="126"/>
    </row>
    <row r="36" spans="1:21" x14ac:dyDescent="0.3">
      <c r="B36" s="448" t="s">
        <v>44</v>
      </c>
      <c r="C36" s="488">
        <f>+Egresos!D163</f>
        <v>0</v>
      </c>
      <c r="D36" s="450">
        <f>+Egresos!E163</f>
        <v>0</v>
      </c>
      <c r="E36" s="450">
        <f>+Egresos!F163</f>
        <v>0</v>
      </c>
      <c r="F36" s="450">
        <f>+Egresos!G163</f>
        <v>0</v>
      </c>
      <c r="G36" s="450">
        <f>+Egresos!H163</f>
        <v>0</v>
      </c>
      <c r="H36" s="450">
        <f>+Egresos!I163</f>
        <v>0</v>
      </c>
      <c r="I36" s="450">
        <f>+Egresos!J163</f>
        <v>0</v>
      </c>
      <c r="J36" s="450">
        <f>+Egresos!K163</f>
        <v>0</v>
      </c>
      <c r="K36" s="450">
        <f>+Egresos!L163</f>
        <v>0</v>
      </c>
      <c r="L36" s="450">
        <f>+Egresos!M163</f>
        <v>0</v>
      </c>
      <c r="M36" s="450">
        <f>+Egresos!N163</f>
        <v>0</v>
      </c>
      <c r="N36" s="458">
        <f>+Egresos!O163</f>
        <v>0</v>
      </c>
      <c r="O36" s="545">
        <f>+Egresos!P163</f>
        <v>0</v>
      </c>
      <c r="P36" s="435"/>
      <c r="Q36" s="126"/>
      <c r="R36" s="126"/>
      <c r="S36" s="435"/>
      <c r="T36" s="126"/>
      <c r="U36" s="126"/>
    </row>
    <row r="37" spans="1:21" x14ac:dyDescent="0.3">
      <c r="B37" s="448" t="s">
        <v>82</v>
      </c>
      <c r="C37" s="488">
        <f>+Egresos!D164</f>
        <v>0</v>
      </c>
      <c r="D37" s="450">
        <f>+Egresos!E164</f>
        <v>0</v>
      </c>
      <c r="E37" s="450">
        <f>+Egresos!F164</f>
        <v>0</v>
      </c>
      <c r="F37" s="450">
        <f>+Egresos!G164</f>
        <v>0</v>
      </c>
      <c r="G37" s="450">
        <f>+Egresos!H164</f>
        <v>0</v>
      </c>
      <c r="H37" s="450">
        <f>+Egresos!I164</f>
        <v>0</v>
      </c>
      <c r="I37" s="450">
        <f>+Egresos!J164</f>
        <v>0</v>
      </c>
      <c r="J37" s="450">
        <f>+Egresos!K164</f>
        <v>0</v>
      </c>
      <c r="K37" s="450">
        <f>+Egresos!L164</f>
        <v>0</v>
      </c>
      <c r="L37" s="450">
        <f>+Egresos!M164</f>
        <v>0</v>
      </c>
      <c r="M37" s="450">
        <f>+Egresos!N164</f>
        <v>0</v>
      </c>
      <c r="N37" s="458">
        <f>+Egresos!O164</f>
        <v>0</v>
      </c>
      <c r="O37" s="545">
        <f>+Egresos!P164</f>
        <v>0</v>
      </c>
      <c r="P37" s="435"/>
      <c r="Q37" s="126"/>
      <c r="R37" s="126"/>
      <c r="S37" s="435"/>
      <c r="T37" s="126"/>
      <c r="U37" s="126"/>
    </row>
    <row r="38" spans="1:21" x14ac:dyDescent="0.3">
      <c r="B38" s="448" t="s">
        <v>113</v>
      </c>
      <c r="C38" s="488">
        <f>+Egresos!D170</f>
        <v>0</v>
      </c>
      <c r="D38" s="450">
        <f>+Egresos!E170</f>
        <v>0</v>
      </c>
      <c r="E38" s="450">
        <f>+Egresos!F170</f>
        <v>0</v>
      </c>
      <c r="F38" s="450">
        <f>+Egresos!G170</f>
        <v>0</v>
      </c>
      <c r="G38" s="450">
        <f>+Egresos!H170</f>
        <v>0</v>
      </c>
      <c r="H38" s="450">
        <f>+Egresos!I170</f>
        <v>0</v>
      </c>
      <c r="I38" s="450">
        <f>+Egresos!J170</f>
        <v>0</v>
      </c>
      <c r="J38" s="450">
        <f>+Egresos!K170</f>
        <v>0</v>
      </c>
      <c r="K38" s="450">
        <f>+Egresos!L170</f>
        <v>0</v>
      </c>
      <c r="L38" s="450">
        <f>+Egresos!M170</f>
        <v>0</v>
      </c>
      <c r="M38" s="450">
        <f>+Egresos!N170</f>
        <v>0</v>
      </c>
      <c r="N38" s="458">
        <f>+Egresos!O170</f>
        <v>0</v>
      </c>
      <c r="O38" s="545">
        <f>+Egresos!P170</f>
        <v>0</v>
      </c>
      <c r="P38" s="435"/>
      <c r="Q38" s="126"/>
      <c r="R38" s="126"/>
      <c r="S38" s="435"/>
      <c r="T38" s="126"/>
      <c r="U38" s="126"/>
    </row>
    <row r="39" spans="1:21" x14ac:dyDescent="0.3">
      <c r="B39" s="448" t="s">
        <v>439</v>
      </c>
      <c r="C39" s="488">
        <f>+Egresos!D173+Egresos!D174+Egresos!D175</f>
        <v>0</v>
      </c>
      <c r="D39" s="450">
        <f>+Egresos!E173+Egresos!E174+Egresos!E175</f>
        <v>0</v>
      </c>
      <c r="E39" s="450">
        <f>+Egresos!F173+Egresos!F174+Egresos!F175</f>
        <v>0</v>
      </c>
      <c r="F39" s="450">
        <f>+Egresos!G173+Egresos!G174+Egresos!G175</f>
        <v>0</v>
      </c>
      <c r="G39" s="450">
        <f>+Egresos!H173+Egresos!H174+Egresos!H175</f>
        <v>0</v>
      </c>
      <c r="H39" s="450">
        <f>+Egresos!I173+Egresos!I174+Egresos!I175</f>
        <v>0</v>
      </c>
      <c r="I39" s="450">
        <f>+Egresos!J173+Egresos!J174+Egresos!J175</f>
        <v>0</v>
      </c>
      <c r="J39" s="450">
        <f>+Egresos!K173+Egresos!K174+Egresos!K175</f>
        <v>0</v>
      </c>
      <c r="K39" s="450">
        <f>+Egresos!L173+Egresos!L174+Egresos!L175</f>
        <v>0</v>
      </c>
      <c r="L39" s="450">
        <f>+Egresos!M173+Egresos!M174+Egresos!M175</f>
        <v>0</v>
      </c>
      <c r="M39" s="450">
        <f>+Egresos!N173+Egresos!N174+Egresos!N175</f>
        <v>0</v>
      </c>
      <c r="N39" s="458">
        <f>+Egresos!O173+Egresos!O174+Egresos!O175</f>
        <v>0</v>
      </c>
      <c r="O39" s="545">
        <f>+Egresos!P173+Egresos!P174+Egresos!P175</f>
        <v>0</v>
      </c>
      <c r="P39" s="435"/>
      <c r="Q39" s="126"/>
      <c r="R39" s="126"/>
      <c r="S39" s="435"/>
      <c r="T39" s="126"/>
      <c r="U39" s="126"/>
    </row>
    <row r="40" spans="1:21" x14ac:dyDescent="0.3">
      <c r="B40" s="2368" t="s">
        <v>509</v>
      </c>
      <c r="C40" s="601">
        <f>+Egresos!D187</f>
        <v>0</v>
      </c>
      <c r="D40" s="466">
        <f>+Egresos!E187</f>
        <v>0</v>
      </c>
      <c r="E40" s="466">
        <f>+Egresos!F187</f>
        <v>0</v>
      </c>
      <c r="F40" s="466">
        <f>+Egresos!G187</f>
        <v>0</v>
      </c>
      <c r="G40" s="466">
        <f>+Egresos!H187</f>
        <v>0</v>
      </c>
      <c r="H40" s="466">
        <f>+Egresos!I187</f>
        <v>0</v>
      </c>
      <c r="I40" s="466">
        <f>+Egresos!J187</f>
        <v>0</v>
      </c>
      <c r="J40" s="466">
        <f>+Egresos!K187</f>
        <v>0</v>
      </c>
      <c r="K40" s="466">
        <f>+Egresos!L187</f>
        <v>0</v>
      </c>
      <c r="L40" s="466">
        <f>+Egresos!M187</f>
        <v>0</v>
      </c>
      <c r="M40" s="466">
        <f>+Egresos!N187</f>
        <v>0</v>
      </c>
      <c r="N40" s="1213">
        <f>+Egresos!O187</f>
        <v>0</v>
      </c>
      <c r="O40" s="1212">
        <f>SUM(C40:N40)</f>
        <v>0</v>
      </c>
      <c r="P40" s="435"/>
      <c r="Q40" s="126"/>
      <c r="R40" s="126"/>
      <c r="S40" s="435"/>
      <c r="T40" s="126"/>
      <c r="U40" s="126"/>
    </row>
    <row r="41" spans="1:21" x14ac:dyDescent="0.3">
      <c r="B41" s="2369" t="s">
        <v>830</v>
      </c>
      <c r="C41" s="2370">
        <f>+Egresos!D204</f>
        <v>0</v>
      </c>
      <c r="D41" s="2371">
        <f>+Egresos!E204</f>
        <v>0</v>
      </c>
      <c r="E41" s="2371">
        <f>+Egresos!F204</f>
        <v>0</v>
      </c>
      <c r="F41" s="2371">
        <f>+Egresos!G204</f>
        <v>0</v>
      </c>
      <c r="G41" s="2371">
        <f>+Egresos!H204</f>
        <v>0</v>
      </c>
      <c r="H41" s="2371">
        <f>+Egresos!I204</f>
        <v>0</v>
      </c>
      <c r="I41" s="2371">
        <f>+Egresos!J204</f>
        <v>0</v>
      </c>
      <c r="J41" s="2371">
        <f>+Egresos!K204</f>
        <v>0</v>
      </c>
      <c r="K41" s="2371">
        <f>+Egresos!L204</f>
        <v>0</v>
      </c>
      <c r="L41" s="2371">
        <f>+Egresos!M204</f>
        <v>0</v>
      </c>
      <c r="M41" s="2371">
        <f>+Egresos!N204</f>
        <v>0</v>
      </c>
      <c r="N41" s="2372">
        <f>+Egresos!O204</f>
        <v>0</v>
      </c>
      <c r="O41" s="2373">
        <f>SUM(C41:N41)</f>
        <v>0</v>
      </c>
      <c r="P41" s="435"/>
      <c r="Q41" s="126"/>
      <c r="R41" s="126"/>
      <c r="S41" s="435"/>
      <c r="T41" s="126"/>
      <c r="U41" s="126"/>
    </row>
    <row r="42" spans="1:21" x14ac:dyDescent="0.3">
      <c r="B42" s="469" t="s">
        <v>831</v>
      </c>
      <c r="C42" s="488">
        <f ca="1">+Egresos!D191</f>
        <v>0</v>
      </c>
      <c r="D42" s="450">
        <f ca="1">+Egresos!E191</f>
        <v>0</v>
      </c>
      <c r="E42" s="450">
        <f ca="1">+Egresos!F191</f>
        <v>0</v>
      </c>
      <c r="F42" s="450">
        <f ca="1">+Egresos!G191</f>
        <v>0</v>
      </c>
      <c r="G42" s="450">
        <f ca="1">+Egresos!H191</f>
        <v>0</v>
      </c>
      <c r="H42" s="450">
        <f ca="1">+Egresos!I191</f>
        <v>0</v>
      </c>
      <c r="I42" s="450">
        <f ca="1">+Egresos!J191</f>
        <v>0</v>
      </c>
      <c r="J42" s="450">
        <f ca="1">+Egresos!K191</f>
        <v>0</v>
      </c>
      <c r="K42" s="450">
        <f ca="1">+Egresos!L191</f>
        <v>0</v>
      </c>
      <c r="L42" s="450">
        <f ca="1">+Egresos!M191</f>
        <v>0</v>
      </c>
      <c r="M42" s="450">
        <f ca="1">+Egresos!N191</f>
        <v>0</v>
      </c>
      <c r="N42" s="458">
        <f ca="1">+Egresos!O191</f>
        <v>0</v>
      </c>
      <c r="O42" s="545">
        <f ca="1">SUM(C42:N42)</f>
        <v>0</v>
      </c>
      <c r="P42" s="435"/>
      <c r="Q42" s="126"/>
      <c r="R42" s="126"/>
      <c r="S42" s="435"/>
      <c r="T42" s="126"/>
      <c r="U42" s="126"/>
    </row>
    <row r="43" spans="1:21" ht="15.05" thickBot="1" x14ac:dyDescent="0.35">
      <c r="B43" s="495" t="s">
        <v>741</v>
      </c>
      <c r="C43" s="1211">
        <f t="shared" ref="C43:N43" ca="1" si="3">+SUM(C20:C42)</f>
        <v>0</v>
      </c>
      <c r="D43" s="496">
        <f t="shared" ca="1" si="3"/>
        <v>0</v>
      </c>
      <c r="E43" s="496">
        <f t="shared" ca="1" si="3"/>
        <v>0</v>
      </c>
      <c r="F43" s="496">
        <f t="shared" ca="1" si="3"/>
        <v>0</v>
      </c>
      <c r="G43" s="496">
        <f t="shared" ca="1" si="3"/>
        <v>0</v>
      </c>
      <c r="H43" s="496">
        <f t="shared" ca="1" si="3"/>
        <v>0</v>
      </c>
      <c r="I43" s="496">
        <f t="shared" ca="1" si="3"/>
        <v>0</v>
      </c>
      <c r="J43" s="496">
        <f t="shared" ca="1" si="3"/>
        <v>0</v>
      </c>
      <c r="K43" s="496">
        <f t="shared" ca="1" si="3"/>
        <v>0</v>
      </c>
      <c r="L43" s="496">
        <f t="shared" ca="1" si="3"/>
        <v>0</v>
      </c>
      <c r="M43" s="496">
        <f t="shared" ca="1" si="3"/>
        <v>0</v>
      </c>
      <c r="N43" s="1214">
        <f t="shared" ca="1" si="3"/>
        <v>0</v>
      </c>
      <c r="O43" s="497">
        <f ca="1">SUM(C43:N43)</f>
        <v>0</v>
      </c>
      <c r="P43" s="435"/>
      <c r="Q43" s="126"/>
      <c r="R43" s="425"/>
      <c r="S43" s="435"/>
      <c r="T43" s="126"/>
      <c r="U43" s="126"/>
    </row>
    <row r="44" spans="1:21" x14ac:dyDescent="0.3">
      <c r="B44" s="448" t="s">
        <v>141</v>
      </c>
      <c r="C44" s="488">
        <f>+Egresos!D211</f>
        <v>0</v>
      </c>
      <c r="D44" s="450">
        <f>+Egresos!E211</f>
        <v>0</v>
      </c>
      <c r="E44" s="450">
        <f>+Egresos!F211</f>
        <v>0</v>
      </c>
      <c r="F44" s="450">
        <f>+Egresos!G211</f>
        <v>0</v>
      </c>
      <c r="G44" s="450">
        <f>+Egresos!H211</f>
        <v>0</v>
      </c>
      <c r="H44" s="450">
        <f>+Egresos!I211</f>
        <v>0</v>
      </c>
      <c r="I44" s="450">
        <f>+Egresos!J211</f>
        <v>0</v>
      </c>
      <c r="J44" s="450">
        <f>+Egresos!K211</f>
        <v>0</v>
      </c>
      <c r="K44" s="450">
        <f>+Egresos!L211</f>
        <v>0</v>
      </c>
      <c r="L44" s="450">
        <f>+Egresos!M211</f>
        <v>0</v>
      </c>
      <c r="M44" s="450">
        <f>+Egresos!N211</f>
        <v>0</v>
      </c>
      <c r="N44" s="458">
        <f>+Egresos!O211</f>
        <v>0</v>
      </c>
      <c r="O44" s="545">
        <f>+Egresos!P211</f>
        <v>0</v>
      </c>
      <c r="P44" s="435"/>
      <c r="Q44" s="126"/>
      <c r="R44" s="126"/>
      <c r="S44" s="435"/>
      <c r="T44" s="126"/>
      <c r="U44" s="126"/>
    </row>
    <row r="45" spans="1:21" ht="15.05" thickBot="1" x14ac:dyDescent="0.35">
      <c r="B45" s="495" t="s">
        <v>742</v>
      </c>
      <c r="C45" s="1211">
        <f ca="1">+C43+C44</f>
        <v>0</v>
      </c>
      <c r="D45" s="496">
        <f ca="1">+D43+D44</f>
        <v>0</v>
      </c>
      <c r="E45" s="496">
        <f t="shared" ref="E45:N45" ca="1" si="4">+E43+E44</f>
        <v>0</v>
      </c>
      <c r="F45" s="496">
        <f t="shared" ca="1" si="4"/>
        <v>0</v>
      </c>
      <c r="G45" s="496">
        <f t="shared" ca="1" si="4"/>
        <v>0</v>
      </c>
      <c r="H45" s="496">
        <f t="shared" ca="1" si="4"/>
        <v>0</v>
      </c>
      <c r="I45" s="496">
        <f t="shared" ca="1" si="4"/>
        <v>0</v>
      </c>
      <c r="J45" s="496">
        <f t="shared" ca="1" si="4"/>
        <v>0</v>
      </c>
      <c r="K45" s="496">
        <f t="shared" ca="1" si="4"/>
        <v>0</v>
      </c>
      <c r="L45" s="496">
        <f t="shared" ca="1" si="4"/>
        <v>0</v>
      </c>
      <c r="M45" s="496">
        <f t="shared" ca="1" si="4"/>
        <v>0</v>
      </c>
      <c r="N45" s="1214">
        <f t="shared" ca="1" si="4"/>
        <v>0</v>
      </c>
      <c r="O45" s="497">
        <f ca="1">+O43+O44</f>
        <v>0</v>
      </c>
      <c r="P45" s="420"/>
      <c r="R45" s="300"/>
      <c r="S45" s="420"/>
    </row>
    <row r="46" spans="1:21" ht="15.05" thickBot="1" x14ac:dyDescent="0.35">
      <c r="P46" s="420"/>
      <c r="R46" s="300"/>
      <c r="S46" s="420"/>
    </row>
    <row r="47" spans="1:21" ht="15.05" thickBot="1" x14ac:dyDescent="0.35">
      <c r="A47" s="1344">
        <f>+A19+1</f>
        <v>143</v>
      </c>
      <c r="B47" s="498" t="s">
        <v>451</v>
      </c>
      <c r="C47" s="1215">
        <f ca="1">+C17-C45</f>
        <v>0</v>
      </c>
      <c r="D47" s="499">
        <f t="shared" ref="D47:N47" ca="1" si="5">+D17-D45</f>
        <v>0</v>
      </c>
      <c r="E47" s="499">
        <f t="shared" ca="1" si="5"/>
        <v>0</v>
      </c>
      <c r="F47" s="499">
        <f t="shared" ca="1" si="5"/>
        <v>0</v>
      </c>
      <c r="G47" s="499">
        <f t="shared" ca="1" si="5"/>
        <v>0</v>
      </c>
      <c r="H47" s="499">
        <f t="shared" ca="1" si="5"/>
        <v>0</v>
      </c>
      <c r="I47" s="499">
        <f t="shared" ca="1" si="5"/>
        <v>0</v>
      </c>
      <c r="J47" s="499">
        <f t="shared" ca="1" si="5"/>
        <v>0</v>
      </c>
      <c r="K47" s="499">
        <f t="shared" ca="1" si="5"/>
        <v>0</v>
      </c>
      <c r="L47" s="499">
        <f t="shared" ca="1" si="5"/>
        <v>0</v>
      </c>
      <c r="M47" s="499">
        <f t="shared" ca="1" si="5"/>
        <v>0</v>
      </c>
      <c r="N47" s="1216">
        <f t="shared" ca="1" si="5"/>
        <v>0</v>
      </c>
      <c r="O47" s="500">
        <f ca="1">SUM(C47:N47)</f>
        <v>0</v>
      </c>
      <c r="P47" s="420"/>
      <c r="Q47" s="420"/>
      <c r="S47" s="420"/>
    </row>
    <row r="48" spans="1:21" ht="15.05" thickBot="1" x14ac:dyDescent="0.35">
      <c r="B48" s="501"/>
      <c r="C48" s="502"/>
      <c r="D48" s="502"/>
      <c r="E48" s="502"/>
      <c r="F48" s="502"/>
      <c r="G48" s="502"/>
      <c r="H48" s="502"/>
      <c r="I48" s="502"/>
      <c r="J48" s="502"/>
      <c r="K48" s="502"/>
      <c r="L48" s="502"/>
      <c r="M48" s="502"/>
      <c r="N48" s="502"/>
      <c r="O48" s="502"/>
      <c r="P48" s="420"/>
      <c r="Q48" s="420"/>
      <c r="R48" s="420"/>
      <c r="S48" s="420"/>
    </row>
    <row r="49" spans="1:20" x14ac:dyDescent="0.3">
      <c r="A49" s="1344">
        <f>A47+1</f>
        <v>144</v>
      </c>
      <c r="B49" s="493" t="s">
        <v>306</v>
      </c>
      <c r="C49" s="470"/>
      <c r="D49" s="470"/>
      <c r="E49" s="470"/>
      <c r="F49" s="470"/>
      <c r="G49" s="470"/>
      <c r="H49" s="470"/>
      <c r="I49" s="470"/>
      <c r="J49" s="470"/>
      <c r="K49" s="470"/>
      <c r="L49" s="470"/>
      <c r="M49" s="470"/>
      <c r="N49" s="470"/>
      <c r="O49" s="494"/>
      <c r="R49" s="420"/>
      <c r="S49" s="420"/>
      <c r="T49" s="420"/>
    </row>
    <row r="50" spans="1:20" s="420" customFormat="1" x14ac:dyDescent="0.3">
      <c r="B50" s="503" t="s">
        <v>1097</v>
      </c>
      <c r="C50" s="1217">
        <f>MovFinancieros!D33+MovFinancieros!D48+MovFinancieros!D62+MovFinancieros!D77+MovFinancieros!D114+MovFinancieros!D144</f>
        <v>0</v>
      </c>
      <c r="D50" s="504">
        <f>MovFinancieros!E33+MovFinancieros!E48+MovFinancieros!E62+MovFinancieros!E77+MovFinancieros!E114+MovFinancieros!E144</f>
        <v>0</v>
      </c>
      <c r="E50" s="504">
        <f>MovFinancieros!F33+MovFinancieros!F48+MovFinancieros!F62+MovFinancieros!F77+MovFinancieros!F114+MovFinancieros!F144</f>
        <v>0</v>
      </c>
      <c r="F50" s="504">
        <f>MovFinancieros!G33+MovFinancieros!G48+MovFinancieros!G62+MovFinancieros!G77+MovFinancieros!G114+MovFinancieros!G144</f>
        <v>0</v>
      </c>
      <c r="G50" s="504">
        <f>MovFinancieros!H33+MovFinancieros!H48+MovFinancieros!H62+MovFinancieros!H77+MovFinancieros!H114+MovFinancieros!H144</f>
        <v>0</v>
      </c>
      <c r="H50" s="504">
        <f>MovFinancieros!I33+MovFinancieros!I48+MovFinancieros!I62+MovFinancieros!I77+MovFinancieros!I114+MovFinancieros!I144</f>
        <v>0</v>
      </c>
      <c r="I50" s="504">
        <f>MovFinancieros!J33+MovFinancieros!J48+MovFinancieros!J62+MovFinancieros!J77+MovFinancieros!J114+MovFinancieros!J144</f>
        <v>0</v>
      </c>
      <c r="J50" s="504">
        <f>MovFinancieros!K33+MovFinancieros!K48+MovFinancieros!K62+MovFinancieros!K77+MovFinancieros!K114+MovFinancieros!K144</f>
        <v>0</v>
      </c>
      <c r="K50" s="504">
        <f>MovFinancieros!L33+MovFinancieros!L48+MovFinancieros!L62+MovFinancieros!L77+MovFinancieros!L114+MovFinancieros!L144</f>
        <v>0</v>
      </c>
      <c r="L50" s="504">
        <f>MovFinancieros!M33+MovFinancieros!M48+MovFinancieros!M62+MovFinancieros!M77+MovFinancieros!M114+MovFinancieros!M144</f>
        <v>0</v>
      </c>
      <c r="M50" s="504">
        <f>MovFinancieros!N33+MovFinancieros!N48+MovFinancieros!N62+MovFinancieros!N77+MovFinancieros!N114+MovFinancieros!N144</f>
        <v>0</v>
      </c>
      <c r="N50" s="1218">
        <f>MovFinancieros!O33+MovFinancieros!O48+MovFinancieros!O62+MovFinancieros!O77+MovFinancieros!O114+MovFinancieros!O144</f>
        <v>0</v>
      </c>
      <c r="O50" s="544">
        <f>SUM(C50:N50)</f>
        <v>0</v>
      </c>
      <c r="P50" s="419"/>
      <c r="Q50" s="419"/>
    </row>
    <row r="51" spans="1:20" s="420" customFormat="1" x14ac:dyDescent="0.3">
      <c r="B51" s="448" t="s">
        <v>744</v>
      </c>
      <c r="C51" s="488">
        <f ca="1">+C47-C50</f>
        <v>0</v>
      </c>
      <c r="D51" s="450">
        <f t="shared" ref="D51:N51" ca="1" si="6">+D47-D50</f>
        <v>0</v>
      </c>
      <c r="E51" s="450">
        <f t="shared" ca="1" si="6"/>
        <v>0</v>
      </c>
      <c r="F51" s="450">
        <f t="shared" ca="1" si="6"/>
        <v>0</v>
      </c>
      <c r="G51" s="450">
        <f t="shared" ca="1" si="6"/>
        <v>0</v>
      </c>
      <c r="H51" s="450">
        <f t="shared" ca="1" si="6"/>
        <v>0</v>
      </c>
      <c r="I51" s="450">
        <f t="shared" ca="1" si="6"/>
        <v>0</v>
      </c>
      <c r="J51" s="450">
        <f t="shared" ca="1" si="6"/>
        <v>0</v>
      </c>
      <c r="K51" s="450">
        <f t="shared" ca="1" si="6"/>
        <v>0</v>
      </c>
      <c r="L51" s="450">
        <f t="shared" ca="1" si="6"/>
        <v>0</v>
      </c>
      <c r="M51" s="450">
        <f t="shared" ca="1" si="6"/>
        <v>0</v>
      </c>
      <c r="N51" s="458">
        <f t="shared" ca="1" si="6"/>
        <v>0</v>
      </c>
      <c r="O51" s="545">
        <f ca="1">SUM(C51:N51)</f>
        <v>0</v>
      </c>
    </row>
    <row r="52" spans="1:20" ht="15.05" thickBot="1" x14ac:dyDescent="0.35">
      <c r="B52" s="505" t="s">
        <v>452</v>
      </c>
      <c r="C52" s="1219">
        <f ca="1">+C51</f>
        <v>0</v>
      </c>
      <c r="D52" s="506">
        <f ca="1">+C52+D51</f>
        <v>0</v>
      </c>
      <c r="E52" s="506">
        <f t="shared" ref="E52:N52" ca="1" si="7">+D52+E51</f>
        <v>0</v>
      </c>
      <c r="F52" s="506">
        <f t="shared" ca="1" si="7"/>
        <v>0</v>
      </c>
      <c r="G52" s="506">
        <f t="shared" ca="1" si="7"/>
        <v>0</v>
      </c>
      <c r="H52" s="506">
        <f t="shared" ca="1" si="7"/>
        <v>0</v>
      </c>
      <c r="I52" s="506">
        <f t="shared" ca="1" si="7"/>
        <v>0</v>
      </c>
      <c r="J52" s="506">
        <f t="shared" ca="1" si="7"/>
        <v>0</v>
      </c>
      <c r="K52" s="506">
        <f t="shared" ca="1" si="7"/>
        <v>0</v>
      </c>
      <c r="L52" s="506">
        <f t="shared" ca="1" si="7"/>
        <v>0</v>
      </c>
      <c r="M52" s="506">
        <f t="shared" ca="1" si="7"/>
        <v>0</v>
      </c>
      <c r="N52" s="1220">
        <f t="shared" ca="1" si="7"/>
        <v>0</v>
      </c>
      <c r="O52" s="507"/>
      <c r="R52" s="420"/>
      <c r="S52" s="420"/>
    </row>
    <row r="53" spans="1:20" ht="15.05" thickBot="1" x14ac:dyDescent="0.35">
      <c r="B53" s="508"/>
      <c r="C53" s="502"/>
      <c r="D53" s="502"/>
      <c r="E53" s="502"/>
      <c r="F53" s="502"/>
      <c r="G53" s="502"/>
      <c r="H53" s="502"/>
      <c r="I53" s="502"/>
      <c r="J53" s="502"/>
      <c r="K53" s="502"/>
      <c r="L53" s="502"/>
      <c r="M53" s="502"/>
      <c r="N53" s="502"/>
      <c r="O53" s="502">
        <v>34</v>
      </c>
      <c r="R53" s="420"/>
      <c r="S53" s="420"/>
    </row>
    <row r="54" spans="1:20" x14ac:dyDescent="0.3">
      <c r="A54" s="1344">
        <f>+A49+1</f>
        <v>145</v>
      </c>
      <c r="B54" s="493" t="s">
        <v>146</v>
      </c>
      <c r="C54" s="470"/>
      <c r="D54" s="470"/>
      <c r="E54" s="470"/>
      <c r="F54" s="470"/>
      <c r="G54" s="470"/>
      <c r="H54" s="470"/>
      <c r="I54" s="470"/>
      <c r="J54" s="470"/>
      <c r="K54" s="470"/>
      <c r="L54" s="470"/>
      <c r="M54" s="470"/>
      <c r="N54" s="470"/>
      <c r="O54" s="494"/>
      <c r="R54" s="420"/>
      <c r="S54" s="420"/>
    </row>
    <row r="55" spans="1:20" x14ac:dyDescent="0.3">
      <c r="B55" s="503" t="s">
        <v>27</v>
      </c>
      <c r="C55" s="1217">
        <f>MovFinancieros!D92</f>
        <v>0</v>
      </c>
      <c r="D55" s="504">
        <f>MovFinancieros!E92</f>
        <v>0</v>
      </c>
      <c r="E55" s="504">
        <f>MovFinancieros!F92</f>
        <v>0</v>
      </c>
      <c r="F55" s="504">
        <f>MovFinancieros!G92</f>
        <v>0</v>
      </c>
      <c r="G55" s="504">
        <f>MovFinancieros!H92</f>
        <v>0</v>
      </c>
      <c r="H55" s="504">
        <f>MovFinancieros!I92</f>
        <v>0</v>
      </c>
      <c r="I55" s="504">
        <f>MovFinancieros!J92</f>
        <v>0</v>
      </c>
      <c r="J55" s="504">
        <f>MovFinancieros!K92</f>
        <v>0</v>
      </c>
      <c r="K55" s="504">
        <f>MovFinancieros!L92</f>
        <v>0</v>
      </c>
      <c r="L55" s="504">
        <f>MovFinancieros!M92</f>
        <v>0</v>
      </c>
      <c r="M55" s="504">
        <f>MovFinancieros!N92</f>
        <v>0</v>
      </c>
      <c r="N55" s="1218">
        <f>MovFinancieros!O92</f>
        <v>0</v>
      </c>
      <c r="O55" s="544">
        <f>SUM(C55:N55)</f>
        <v>0</v>
      </c>
      <c r="S55" s="420"/>
    </row>
    <row r="56" spans="1:20" x14ac:dyDescent="0.3">
      <c r="B56" s="448" t="s">
        <v>745</v>
      </c>
      <c r="C56" s="488">
        <f ca="1">+C51-C55</f>
        <v>0</v>
      </c>
      <c r="D56" s="450">
        <f ca="1">+D51-D55</f>
        <v>0</v>
      </c>
      <c r="E56" s="450">
        <f ca="1">+E51-E55</f>
        <v>0</v>
      </c>
      <c r="F56" s="450">
        <f t="shared" ref="F56:N56" ca="1" si="8">+F51-F55</f>
        <v>0</v>
      </c>
      <c r="G56" s="450">
        <f t="shared" ca="1" si="8"/>
        <v>0</v>
      </c>
      <c r="H56" s="450">
        <f t="shared" ca="1" si="8"/>
        <v>0</v>
      </c>
      <c r="I56" s="450">
        <f t="shared" ca="1" si="8"/>
        <v>0</v>
      </c>
      <c r="J56" s="450">
        <f ca="1">+J51-J55</f>
        <v>0</v>
      </c>
      <c r="K56" s="450">
        <f t="shared" ca="1" si="8"/>
        <v>0</v>
      </c>
      <c r="L56" s="450">
        <f t="shared" ca="1" si="8"/>
        <v>0</v>
      </c>
      <c r="M56" s="450">
        <f t="shared" ca="1" si="8"/>
        <v>0</v>
      </c>
      <c r="N56" s="458">
        <f t="shared" ca="1" si="8"/>
        <v>0</v>
      </c>
      <c r="O56" s="545">
        <f ca="1">SUM(C56:N56)</f>
        <v>0</v>
      </c>
      <c r="P56" s="420"/>
      <c r="Q56" s="420"/>
    </row>
    <row r="57" spans="1:20" ht="15.05" thickBot="1" x14ac:dyDescent="0.35">
      <c r="B57" s="505" t="s">
        <v>453</v>
      </c>
      <c r="C57" s="1219">
        <f ca="1">+C56</f>
        <v>0</v>
      </c>
      <c r="D57" s="506">
        <f ca="1">+D56+C57</f>
        <v>0</v>
      </c>
      <c r="E57" s="506">
        <f ca="1">+E56+D57</f>
        <v>0</v>
      </c>
      <c r="F57" s="506">
        <f t="shared" ref="F57:N57" ca="1" si="9">+F56+E57</f>
        <v>0</v>
      </c>
      <c r="G57" s="506">
        <f t="shared" ca="1" si="9"/>
        <v>0</v>
      </c>
      <c r="H57" s="506">
        <f t="shared" ca="1" si="9"/>
        <v>0</v>
      </c>
      <c r="I57" s="506">
        <f t="shared" ca="1" si="9"/>
        <v>0</v>
      </c>
      <c r="J57" s="506">
        <f t="shared" ca="1" si="9"/>
        <v>0</v>
      </c>
      <c r="K57" s="506">
        <f t="shared" ca="1" si="9"/>
        <v>0</v>
      </c>
      <c r="L57" s="506">
        <f t="shared" ca="1" si="9"/>
        <v>0</v>
      </c>
      <c r="M57" s="506">
        <f t="shared" ca="1" si="9"/>
        <v>0</v>
      </c>
      <c r="N57" s="1220">
        <f t="shared" ca="1" si="9"/>
        <v>0</v>
      </c>
      <c r="O57" s="507"/>
    </row>
    <row r="58" spans="1:20" ht="15.05" thickBot="1" x14ac:dyDescent="0.35">
      <c r="B58" s="508"/>
    </row>
    <row r="59" spans="1:20" x14ac:dyDescent="0.3">
      <c r="A59" s="1344">
        <f>+A54+1</f>
        <v>146</v>
      </c>
      <c r="B59" s="493" t="s">
        <v>305</v>
      </c>
      <c r="C59" s="470"/>
      <c r="D59" s="470"/>
      <c r="E59" s="470"/>
      <c r="F59" s="470"/>
      <c r="G59" s="470"/>
      <c r="H59" s="470"/>
      <c r="I59" s="470"/>
      <c r="J59" s="470"/>
      <c r="K59" s="470"/>
      <c r="L59" s="470"/>
      <c r="M59" s="470"/>
      <c r="N59" s="470"/>
      <c r="O59" s="494"/>
      <c r="R59" s="420"/>
      <c r="S59" s="420"/>
    </row>
    <row r="60" spans="1:20" x14ac:dyDescent="0.3">
      <c r="B60" s="503" t="s">
        <v>746</v>
      </c>
      <c r="C60" s="1217">
        <f>MovFinancieros!D129+MovFinancieros!D103</f>
        <v>0</v>
      </c>
      <c r="D60" s="504">
        <f>MovFinancieros!E129+MovFinancieros!E103</f>
        <v>0</v>
      </c>
      <c r="E60" s="504">
        <f>MovFinancieros!F129+MovFinancieros!F103</f>
        <v>0</v>
      </c>
      <c r="F60" s="504">
        <f>MovFinancieros!G129+MovFinancieros!G103</f>
        <v>0</v>
      </c>
      <c r="G60" s="504">
        <f>MovFinancieros!H129+MovFinancieros!H103</f>
        <v>0</v>
      </c>
      <c r="H60" s="504">
        <f>MovFinancieros!I129+MovFinancieros!I103</f>
        <v>0</v>
      </c>
      <c r="I60" s="504">
        <f>MovFinancieros!J129+MovFinancieros!J103</f>
        <v>0</v>
      </c>
      <c r="J60" s="504">
        <f>MovFinancieros!K129+MovFinancieros!K103</f>
        <v>0</v>
      </c>
      <c r="K60" s="504">
        <f>MovFinancieros!L129+MovFinancieros!L103</f>
        <v>0</v>
      </c>
      <c r="L60" s="504">
        <f>MovFinancieros!M129+MovFinancieros!M103</f>
        <v>0</v>
      </c>
      <c r="M60" s="504">
        <f>MovFinancieros!N129+MovFinancieros!N103</f>
        <v>0</v>
      </c>
      <c r="N60" s="1218">
        <f>MovFinancieros!O129+MovFinancieros!O103</f>
        <v>0</v>
      </c>
      <c r="O60" s="544"/>
    </row>
    <row r="61" spans="1:20" x14ac:dyDescent="0.3">
      <c r="B61" s="448" t="s">
        <v>747</v>
      </c>
      <c r="C61" s="488">
        <f t="shared" ref="C61:N61" ca="1" si="10">+C56+C60</f>
        <v>0</v>
      </c>
      <c r="D61" s="450">
        <f t="shared" ca="1" si="10"/>
        <v>0</v>
      </c>
      <c r="E61" s="450">
        <f t="shared" ca="1" si="10"/>
        <v>0</v>
      </c>
      <c r="F61" s="450">
        <f t="shared" ca="1" si="10"/>
        <v>0</v>
      </c>
      <c r="G61" s="450">
        <f t="shared" ca="1" si="10"/>
        <v>0</v>
      </c>
      <c r="H61" s="450">
        <f t="shared" ca="1" si="10"/>
        <v>0</v>
      </c>
      <c r="I61" s="450">
        <f t="shared" ca="1" si="10"/>
        <v>0</v>
      </c>
      <c r="J61" s="450">
        <f t="shared" ca="1" si="10"/>
        <v>0</v>
      </c>
      <c r="K61" s="450">
        <f t="shared" ca="1" si="10"/>
        <v>0</v>
      </c>
      <c r="L61" s="450">
        <f t="shared" ca="1" si="10"/>
        <v>0</v>
      </c>
      <c r="M61" s="450">
        <f t="shared" ca="1" si="10"/>
        <v>0</v>
      </c>
      <c r="N61" s="458">
        <f t="shared" ca="1" si="10"/>
        <v>0</v>
      </c>
      <c r="O61" s="545">
        <f ca="1">SUM(C61:N61)</f>
        <v>0</v>
      </c>
    </row>
    <row r="62" spans="1:20" ht="15.05" thickBot="1" x14ac:dyDescent="0.35">
      <c r="B62" s="505" t="s">
        <v>19</v>
      </c>
      <c r="C62" s="1219">
        <f ca="1">+C61</f>
        <v>0</v>
      </c>
      <c r="D62" s="506">
        <f t="shared" ref="D62:N62" ca="1" si="11">+D61+C62</f>
        <v>0</v>
      </c>
      <c r="E62" s="506">
        <f t="shared" ca="1" si="11"/>
        <v>0</v>
      </c>
      <c r="F62" s="506">
        <f t="shared" ca="1" si="11"/>
        <v>0</v>
      </c>
      <c r="G62" s="506">
        <f t="shared" ca="1" si="11"/>
        <v>0</v>
      </c>
      <c r="H62" s="506">
        <f t="shared" ca="1" si="11"/>
        <v>0</v>
      </c>
      <c r="I62" s="506">
        <f t="shared" ca="1" si="11"/>
        <v>0</v>
      </c>
      <c r="J62" s="506">
        <f t="shared" ca="1" si="11"/>
        <v>0</v>
      </c>
      <c r="K62" s="506">
        <f t="shared" ca="1" si="11"/>
        <v>0</v>
      </c>
      <c r="L62" s="506">
        <f t="shared" ca="1" si="11"/>
        <v>0</v>
      </c>
      <c r="M62" s="506">
        <f t="shared" ca="1" si="11"/>
        <v>0</v>
      </c>
      <c r="N62" s="1220">
        <f t="shared" ca="1" si="11"/>
        <v>0</v>
      </c>
      <c r="O62" s="507"/>
    </row>
    <row r="63" spans="1:20" x14ac:dyDescent="0.3">
      <c r="B63" s="442"/>
    </row>
    <row r="64" spans="1:20" x14ac:dyDescent="0.3">
      <c r="B64" s="508"/>
      <c r="H64" s="509"/>
    </row>
    <row r="65" spans="1:15" x14ac:dyDescent="0.3">
      <c r="A65" s="1344">
        <f>+A59+1</f>
        <v>147</v>
      </c>
      <c r="B65" s="2264" t="s">
        <v>2239</v>
      </c>
      <c r="C65" s="2269"/>
      <c r="D65" s="2269"/>
      <c r="E65" s="2269"/>
      <c r="H65" s="1344">
        <f>+A65+1</f>
        <v>148</v>
      </c>
      <c r="I65" s="2264" t="s">
        <v>2240</v>
      </c>
      <c r="J65" s="2269"/>
      <c r="K65" s="2269"/>
      <c r="L65" s="2269"/>
      <c r="M65" s="2269"/>
      <c r="N65" s="2269"/>
      <c r="O65" s="2269"/>
    </row>
  </sheetData>
  <sheetProtection password="CF72" sheet="1" objects="1" scenarios="1"/>
  <mergeCells count="5">
    <mergeCell ref="C2:D2"/>
    <mergeCell ref="C3:D3"/>
    <mergeCell ref="F2:G2"/>
    <mergeCell ref="F3:G3"/>
    <mergeCell ref="I2:J2"/>
  </mergeCells>
  <phoneticPr fontId="0" type="noConversion"/>
  <conditionalFormatting sqref="C58:O58 C63:O64">
    <cfRule type="cellIs" dxfId="61" priority="16" stopIfTrue="1" operator="lessThan">
      <formula>0</formula>
    </cfRule>
  </conditionalFormatting>
  <conditionalFormatting sqref="C7:O17 C44:O44 C50:O51 C55:O56 C60:O61 C20:O42">
    <cfRule type="cellIs" dxfId="60" priority="15" operator="equal">
      <formula>0</formula>
    </cfRule>
  </conditionalFormatting>
  <conditionalFormatting sqref="A1">
    <cfRule type="cellIs" dxfId="59" priority="1" operator="equal">
      <formula>0</formula>
    </cfRule>
  </conditionalFormatting>
  <hyperlinks>
    <hyperlink ref="C2:D2" location="FinancieroMensual!B9:O17" display="Ingresos "/>
    <hyperlink ref="C3:D3" location="FinancieroMensual!B19:O45" display="Gastos y Retiros "/>
    <hyperlink ref="F2:G2" location="FinancieroMensual!B49:O52" display="Pago Créditos"/>
    <hyperlink ref="F3:G3" location="FinancieroMensual!B54:O57" display="Inversiones "/>
    <hyperlink ref="I2:J2" location="FinancieroMensual!B59:O62" display="Nuevos Créditos "/>
    <hyperlink ref="A1" location="ManualGlobal!B27:D43" display="◄"/>
  </hyperlinks>
  <printOptions horizontalCentered="1" verticalCentered="1"/>
  <pageMargins left="0.39370078740157483" right="0.19685039370078741" top="0.39370078740157483" bottom="1" header="0" footer="0"/>
  <pageSetup scale="69" orientation="landscape" horizontalDpi="300" verticalDpi="300" r:id="rId1"/>
  <headerFooter alignWithMargins="0">
    <oddHeader>&amp;F</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K84"/>
  <sheetViews>
    <sheetView showGridLines="0" workbookViewId="0">
      <selection activeCell="B27" sqref="B27"/>
    </sheetView>
  </sheetViews>
  <sheetFormatPr baseColWidth="10" defaultColWidth="11.375" defaultRowHeight="14.4" x14ac:dyDescent="0.3"/>
  <cols>
    <col min="1" max="1" width="4.75" style="126" bestFit="1" customWidth="1"/>
    <col min="2" max="2" width="25.375" style="126" customWidth="1"/>
    <col min="3" max="3" width="11.625" style="126" customWidth="1"/>
    <col min="4" max="4" width="10.375" style="126" customWidth="1"/>
    <col min="5" max="5" width="6.875" style="126" customWidth="1"/>
    <col min="6" max="6" width="4.75" style="126" bestFit="1" customWidth="1"/>
    <col min="7" max="7" width="33.375" style="126" bestFit="1" customWidth="1"/>
    <col min="8" max="8" width="11.625" style="126" customWidth="1"/>
    <col min="9" max="9" width="2.375" style="126" customWidth="1"/>
    <col min="10" max="10" width="10.375" style="126" bestFit="1" customWidth="1"/>
    <col min="11" max="12" width="8.375" style="126" customWidth="1"/>
    <col min="13" max="16384" width="11.375" style="126"/>
  </cols>
  <sheetData>
    <row r="1" spans="1:8" x14ac:dyDescent="0.3">
      <c r="A1" s="2443" t="s">
        <v>633</v>
      </c>
      <c r="B1" s="175" t="s">
        <v>833</v>
      </c>
    </row>
    <row r="2" spans="1:8" ht="15.05" thickBot="1" x14ac:dyDescent="0.35">
      <c r="C2" s="510"/>
      <c r="D2" s="443"/>
      <c r="E2" s="443"/>
    </row>
    <row r="3" spans="1:8" ht="15.05" thickBot="1" x14ac:dyDescent="0.35">
      <c r="A3" s="1344">
        <f>FinancieroMensual!H65+1</f>
        <v>149</v>
      </c>
      <c r="B3" s="513" t="s">
        <v>2305</v>
      </c>
      <c r="C3" s="514"/>
      <c r="D3" s="441"/>
      <c r="E3" s="441"/>
      <c r="F3" s="1344">
        <f>+A40+1</f>
        <v>154</v>
      </c>
      <c r="G3" s="513" t="s">
        <v>2316</v>
      </c>
      <c r="H3" s="514"/>
    </row>
    <row r="4" spans="1:8" x14ac:dyDescent="0.3">
      <c r="B4" s="511" t="s">
        <v>740</v>
      </c>
      <c r="C4" s="608">
        <f>FinancieroMensual!C7</f>
        <v>0</v>
      </c>
      <c r="D4" s="435"/>
      <c r="E4" s="435"/>
      <c r="G4" s="440" t="str">
        <f>+FinancieroMensual!B10</f>
        <v>Leche</v>
      </c>
      <c r="H4" s="515">
        <f>+FinancieroMensual!O10</f>
        <v>0</v>
      </c>
    </row>
    <row r="5" spans="1:8" x14ac:dyDescent="0.3">
      <c r="B5" s="440" t="s">
        <v>24</v>
      </c>
      <c r="C5" s="468">
        <f>SUM(FinancieroMensual!O8:O16)</f>
        <v>0</v>
      </c>
      <c r="D5" s="435"/>
      <c r="E5" s="435"/>
      <c r="G5" s="440" t="str">
        <f>+FinancieroMensual!B11</f>
        <v>Vacunos lechería</v>
      </c>
      <c r="H5" s="515">
        <f>+FinancieroMensual!O11</f>
        <v>0</v>
      </c>
    </row>
    <row r="6" spans="1:8" x14ac:dyDescent="0.3">
      <c r="B6" s="440" t="s">
        <v>25</v>
      </c>
      <c r="C6" s="468">
        <f ca="1">+FinancieroMensual!O45</f>
        <v>0</v>
      </c>
      <c r="D6" s="435"/>
      <c r="E6" s="435"/>
      <c r="G6" s="440" t="str">
        <f>+FinancieroMensual!B12</f>
        <v>Vacunos ganadería</v>
      </c>
      <c r="H6" s="515">
        <f>+FinancieroMensual!O12</f>
        <v>0</v>
      </c>
    </row>
    <row r="7" spans="1:8" x14ac:dyDescent="0.3">
      <c r="B7" s="516" t="s">
        <v>26</v>
      </c>
      <c r="C7" s="609">
        <f ca="1">+C4+C5-C6</f>
        <v>0</v>
      </c>
      <c r="D7" s="435"/>
      <c r="E7" s="435"/>
      <c r="G7" s="440" t="s">
        <v>834</v>
      </c>
      <c r="H7" s="515">
        <f>+FinancieroMensual!O13+FinancieroMensual!O14</f>
        <v>0</v>
      </c>
    </row>
    <row r="8" spans="1:8" x14ac:dyDescent="0.3">
      <c r="B8" s="517" t="s">
        <v>2336</v>
      </c>
      <c r="C8" s="610">
        <f>FinancieroMensual!O50</f>
        <v>0</v>
      </c>
      <c r="D8" s="441"/>
      <c r="E8" s="441"/>
      <c r="G8" s="440" t="str">
        <f>+FinancieroMensual!B15</f>
        <v xml:space="preserve">Cuentas a cobrar </v>
      </c>
      <c r="H8" s="515">
        <f>+FinancieroMensual!O15</f>
        <v>0</v>
      </c>
    </row>
    <row r="9" spans="1:8" ht="15.05" thickBot="1" x14ac:dyDescent="0.35">
      <c r="B9" s="516" t="s">
        <v>28</v>
      </c>
      <c r="C9" s="609">
        <f ca="1">+C7-C8</f>
        <v>0</v>
      </c>
      <c r="D9" s="435"/>
      <c r="E9" s="435"/>
      <c r="G9" s="440" t="s">
        <v>672</v>
      </c>
      <c r="H9" s="515">
        <f>+FinancieroMensual!O16+FinancieroMensual!O8+FinancieroMensual!O9</f>
        <v>0</v>
      </c>
    </row>
    <row r="10" spans="1:8" ht="15.05" thickBot="1" x14ac:dyDescent="0.35">
      <c r="B10" s="517" t="s">
        <v>201</v>
      </c>
      <c r="C10" s="610">
        <f>FinancieroMensual!O55</f>
        <v>0</v>
      </c>
      <c r="D10" s="441"/>
      <c r="E10" s="441"/>
      <c r="G10" s="513" t="s">
        <v>230</v>
      </c>
      <c r="H10" s="1137">
        <f>+SUM(H4:H9)</f>
        <v>0</v>
      </c>
    </row>
    <row r="11" spans="1:8" ht="15.05" thickBot="1" x14ac:dyDescent="0.35">
      <c r="B11" s="518" t="s">
        <v>29</v>
      </c>
      <c r="C11" s="611">
        <f ca="1">C9-C10</f>
        <v>0</v>
      </c>
    </row>
    <row r="12" spans="1:8" ht="15.05" thickBot="1" x14ac:dyDescent="0.35">
      <c r="A12" s="435"/>
      <c r="B12" s="435"/>
      <c r="C12" s="425"/>
      <c r="D12" s="435"/>
      <c r="E12" s="435"/>
      <c r="G12" s="519" t="s">
        <v>2248</v>
      </c>
      <c r="H12" s="520">
        <f>+MovFinancieros!P103</f>
        <v>0</v>
      </c>
    </row>
    <row r="13" spans="1:8" ht="15.05" thickBot="1" x14ac:dyDescent="0.35">
      <c r="A13" s="1344">
        <f>+A3+1</f>
        <v>150</v>
      </c>
      <c r="B13" s="513" t="s">
        <v>2307</v>
      </c>
      <c r="C13" s="514"/>
      <c r="D13" s="441"/>
      <c r="E13" s="441"/>
      <c r="G13" s="440" t="s">
        <v>2249</v>
      </c>
      <c r="H13" s="515">
        <f>+MovFinancieros!P129</f>
        <v>0</v>
      </c>
    </row>
    <row r="14" spans="1:8" ht="15.05" thickBot="1" x14ac:dyDescent="0.35">
      <c r="A14" s="435"/>
      <c r="B14" s="511" t="s">
        <v>944</v>
      </c>
      <c r="C14" s="608">
        <f>+A.Lecheros!R42</f>
        <v>0</v>
      </c>
      <c r="D14" s="441"/>
      <c r="E14" s="441"/>
      <c r="G14" s="513" t="s">
        <v>11</v>
      </c>
      <c r="H14" s="1137">
        <f>+SUM(H12:H13)</f>
        <v>0</v>
      </c>
    </row>
    <row r="15" spans="1:8" ht="15.05" thickBot="1" x14ac:dyDescent="0.35">
      <c r="A15" s="435"/>
      <c r="B15" s="521" t="s">
        <v>945</v>
      </c>
      <c r="C15" s="2352" t="e">
        <f>AVERAGE(A.Lecheros!F43:Q43)</f>
        <v>#DIV/0!</v>
      </c>
      <c r="D15" s="435"/>
      <c r="E15" s="435"/>
    </row>
    <row r="16" spans="1:8" ht="15.05" thickBot="1" x14ac:dyDescent="0.35">
      <c r="A16" s="435"/>
      <c r="B16" s="446" t="s">
        <v>946</v>
      </c>
      <c r="C16" s="2353">
        <f>SUM(A.Lecheros!F46:Q46)</f>
        <v>0</v>
      </c>
      <c r="D16" s="435"/>
      <c r="E16" s="435"/>
      <c r="F16" s="1344">
        <f>+F3+1</f>
        <v>155</v>
      </c>
      <c r="G16" s="513" t="s">
        <v>2315</v>
      </c>
      <c r="H16" s="514"/>
    </row>
    <row r="17" spans="1:9" x14ac:dyDescent="0.3">
      <c r="A17" s="435"/>
      <c r="B17" s="440" t="s">
        <v>947</v>
      </c>
      <c r="C17" s="468">
        <f>SUM(A.Lecheros!F47:Q47)</f>
        <v>0</v>
      </c>
      <c r="D17" s="435"/>
      <c r="E17" s="435"/>
      <c r="F17" s="767"/>
      <c r="G17" s="519" t="s">
        <v>708</v>
      </c>
      <c r="H17" s="520">
        <f>FinancieroMensual!O20</f>
        <v>0</v>
      </c>
    </row>
    <row r="18" spans="1:9" x14ac:dyDescent="0.3">
      <c r="A18" s="435"/>
      <c r="B18" s="440" t="s">
        <v>948</v>
      </c>
      <c r="C18" s="468">
        <f>SUM(A.Lecheros!F48:Q48)</f>
        <v>0</v>
      </c>
      <c r="D18" s="441"/>
      <c r="E18" s="441"/>
      <c r="F18" s="767"/>
      <c r="G18" s="440" t="s">
        <v>2313</v>
      </c>
      <c r="H18" s="515">
        <f>FinancieroMensual!O21</f>
        <v>0</v>
      </c>
    </row>
    <row r="19" spans="1:9" x14ac:dyDescent="0.3">
      <c r="A19" s="435"/>
      <c r="B19" s="440" t="s">
        <v>949</v>
      </c>
      <c r="C19" s="468">
        <f>SUM(A.Lecheros!F49:Q49)</f>
        <v>0</v>
      </c>
      <c r="D19" s="441"/>
      <c r="E19" s="441"/>
      <c r="G19" s="2223" t="s">
        <v>65</v>
      </c>
      <c r="H19" s="2367">
        <f>+FinancieroMensual!O31</f>
        <v>0</v>
      </c>
    </row>
    <row r="20" spans="1:9" x14ac:dyDescent="0.3">
      <c r="A20" s="435"/>
      <c r="B20" s="523" t="s">
        <v>950</v>
      </c>
      <c r="C20" s="610">
        <f>SUM(A.Lecheros!F50:Q50)</f>
        <v>0</v>
      </c>
      <c r="D20" s="525"/>
      <c r="E20" s="525"/>
      <c r="G20" s="440" t="s">
        <v>66</v>
      </c>
      <c r="H20" s="468">
        <f ca="1">+FinancieroMensual!O22</f>
        <v>0</v>
      </c>
    </row>
    <row r="21" spans="1:9" x14ac:dyDescent="0.3">
      <c r="A21" s="435"/>
      <c r="B21" s="524" t="s">
        <v>951</v>
      </c>
      <c r="C21" s="2354" t="e">
        <f>Ingresos!C680</f>
        <v>#DIV/0!</v>
      </c>
      <c r="D21" s="527"/>
      <c r="E21" s="527"/>
      <c r="G21" s="440" t="s">
        <v>501</v>
      </c>
      <c r="H21" s="468">
        <f>+FinancieroMensual!O23</f>
        <v>0</v>
      </c>
    </row>
    <row r="22" spans="1:9" ht="15.05" thickBot="1" x14ac:dyDescent="0.35">
      <c r="A22" s="435"/>
      <c r="B22" s="526" t="s">
        <v>952</v>
      </c>
      <c r="C22" s="611">
        <f>+FinancieroMensual!O10</f>
        <v>0</v>
      </c>
      <c r="D22" s="435"/>
      <c r="E22" s="435"/>
      <c r="G22" s="440" t="s">
        <v>67</v>
      </c>
      <c r="H22" s="468">
        <f>+FinancieroMensual!O24</f>
        <v>0</v>
      </c>
    </row>
    <row r="23" spans="1:9" ht="15.05" thickBot="1" x14ac:dyDescent="0.35">
      <c r="E23" s="435"/>
      <c r="F23" s="435"/>
      <c r="G23" s="440" t="s">
        <v>68</v>
      </c>
      <c r="H23" s="468">
        <f>+FinancieroMensual!O25</f>
        <v>0</v>
      </c>
    </row>
    <row r="24" spans="1:9" ht="15.05" thickBot="1" x14ac:dyDescent="0.35">
      <c r="A24" s="1344">
        <f>+A13+1</f>
        <v>151</v>
      </c>
      <c r="B24" s="511" t="s">
        <v>2308</v>
      </c>
      <c r="C24" s="528"/>
      <c r="D24" s="520"/>
      <c r="E24" s="436"/>
      <c r="G24" s="440" t="s">
        <v>70</v>
      </c>
      <c r="H24" s="468">
        <f>+FinancieroMensual!O26</f>
        <v>0</v>
      </c>
    </row>
    <row r="25" spans="1:9" ht="15.05" thickBot="1" x14ac:dyDescent="0.35">
      <c r="A25" s="435"/>
      <c r="B25" s="513" t="s">
        <v>13</v>
      </c>
      <c r="C25" s="529" t="s">
        <v>14</v>
      </c>
      <c r="D25" s="530" t="s">
        <v>30</v>
      </c>
      <c r="E25" s="425"/>
      <c r="G25" s="440" t="s">
        <v>504</v>
      </c>
      <c r="H25" s="468">
        <f>+FinancieroMensual!O27</f>
        <v>0</v>
      </c>
    </row>
    <row r="26" spans="1:9" x14ac:dyDescent="0.3">
      <c r="A26" s="435"/>
      <c r="B26" s="5455"/>
      <c r="C26" s="425">
        <f>IFERROR(VLOOKUP(FinancieroAnual!$B26,Ingresos!$B$704:$D$715,2,FALSE),0)</f>
        <v>0</v>
      </c>
      <c r="D26" s="445">
        <f>IFERROR(VLOOKUP(FinancieroAnual!$B26,Ingresos!$B$704:$D$715,3,FALSE),0)</f>
        <v>0</v>
      </c>
      <c r="E26" s="425"/>
      <c r="G26" s="440" t="s">
        <v>503</v>
      </c>
      <c r="H26" s="468">
        <f>+FinancieroMensual!O28</f>
        <v>0</v>
      </c>
    </row>
    <row r="27" spans="1:9" x14ac:dyDescent="0.3">
      <c r="A27" s="435"/>
      <c r="B27" s="5455"/>
      <c r="C27" s="425">
        <f>IFERROR(VLOOKUP(FinancieroAnual!$B27,Ingresos!$B$704:$D$715,2,FALSE),0)</f>
        <v>0</v>
      </c>
      <c r="D27" s="445">
        <f>IFERROR(VLOOKUP(FinancieroAnual!$B27,Ingresos!$B$704:$D$715,3,FALSE),0)</f>
        <v>0</v>
      </c>
      <c r="E27" s="425"/>
      <c r="G27" s="440" t="s">
        <v>71</v>
      </c>
      <c r="H27" s="468">
        <f>+FinancieroMensual!O29</f>
        <v>0</v>
      </c>
    </row>
    <row r="28" spans="1:9" x14ac:dyDescent="0.3">
      <c r="A28" s="435"/>
      <c r="B28" s="5455"/>
      <c r="C28" s="425">
        <f>IFERROR(VLOOKUP(FinancieroAnual!$B28,Ingresos!$B$704:$D$715,2,FALSE),0)</f>
        <v>0</v>
      </c>
      <c r="D28" s="445">
        <f>IFERROR(VLOOKUP(FinancieroAnual!$B28,Ingresos!$B$704:$D$715,3,FALSE),0)</f>
        <v>0</v>
      </c>
      <c r="E28" s="425"/>
      <c r="G28" s="440" t="s">
        <v>502</v>
      </c>
      <c r="H28" s="468">
        <f>+FinancieroMensual!O30</f>
        <v>0</v>
      </c>
    </row>
    <row r="29" spans="1:9" x14ac:dyDescent="0.3">
      <c r="A29" s="435"/>
      <c r="B29" s="5455"/>
      <c r="C29" s="425">
        <f>IFERROR(VLOOKUP(FinancieroAnual!$B29,Ingresos!$B$704:$D$715,2,FALSE),0)</f>
        <v>0</v>
      </c>
      <c r="D29" s="445">
        <f>IFERROR(VLOOKUP(FinancieroAnual!$B29,Ingresos!$B$704:$D$715,3,FALSE),0)</f>
        <v>0</v>
      </c>
      <c r="E29" s="436"/>
      <c r="G29" s="440" t="s">
        <v>506</v>
      </c>
      <c r="H29" s="468">
        <f>+FinancieroMensual!O32</f>
        <v>0</v>
      </c>
    </row>
    <row r="30" spans="1:9" ht="15.05" thickBot="1" x14ac:dyDescent="0.35">
      <c r="A30" s="435"/>
      <c r="B30" s="531" t="s">
        <v>2306</v>
      </c>
      <c r="C30" s="532">
        <f>SUM(C26:C29)</f>
        <v>0</v>
      </c>
      <c r="D30" s="533">
        <f>SUM(D26:D29)</f>
        <v>0</v>
      </c>
      <c r="E30" s="425"/>
      <c r="G30" s="534" t="s">
        <v>77</v>
      </c>
      <c r="H30" s="535">
        <f ca="1">SUM(H19:H29)</f>
        <v>0</v>
      </c>
    </row>
    <row r="31" spans="1:9" ht="15.05" thickBot="1" x14ac:dyDescent="0.35">
      <c r="A31" s="435"/>
      <c r="B31" s="435"/>
      <c r="C31" s="425"/>
      <c r="D31" s="425"/>
      <c r="E31" s="425"/>
      <c r="G31" s="440" t="s">
        <v>72</v>
      </c>
      <c r="H31" s="468">
        <f>+FinancieroMensual!O33</f>
        <v>0</v>
      </c>
      <c r="I31" s="435"/>
    </row>
    <row r="32" spans="1:9" ht="15.05" thickBot="1" x14ac:dyDescent="0.35">
      <c r="A32" s="1344">
        <f>+A24+1</f>
        <v>152</v>
      </c>
      <c r="B32" s="511" t="s">
        <v>2309</v>
      </c>
      <c r="C32" s="542"/>
      <c r="D32" s="541"/>
      <c r="E32" s="436"/>
      <c r="G32" s="440" t="s">
        <v>73</v>
      </c>
      <c r="H32" s="468">
        <f>+FinancieroMensual!O34</f>
        <v>0</v>
      </c>
      <c r="I32" s="435"/>
    </row>
    <row r="33" spans="1:11" ht="15.05" thickBot="1" x14ac:dyDescent="0.35">
      <c r="A33" s="435"/>
      <c r="B33" s="513" t="s">
        <v>13</v>
      </c>
      <c r="C33" s="529" t="s">
        <v>14</v>
      </c>
      <c r="D33" s="530" t="s">
        <v>30</v>
      </c>
      <c r="E33" s="425"/>
      <c r="G33" s="440" t="s">
        <v>74</v>
      </c>
      <c r="H33" s="468">
        <f>+FinancieroMensual!O36</f>
        <v>0</v>
      </c>
      <c r="I33" s="435"/>
    </row>
    <row r="34" spans="1:11" x14ac:dyDescent="0.3">
      <c r="A34" s="435"/>
      <c r="B34" s="5455"/>
      <c r="C34" s="425">
        <f>IFERROR(VLOOKUP(FinancieroAnual!$B34,gna,2,FALSE),0)</f>
        <v>0</v>
      </c>
      <c r="D34" s="445">
        <f>IFERROR(VLOOKUP(FinancieroAnual!$B34,gna,3,FALSE),0)</f>
        <v>0</v>
      </c>
      <c r="E34" s="425"/>
      <c r="G34" s="440" t="s">
        <v>75</v>
      </c>
      <c r="H34" s="468">
        <f>+FinancieroMensual!O37</f>
        <v>0</v>
      </c>
      <c r="I34" s="435"/>
    </row>
    <row r="35" spans="1:11" x14ac:dyDescent="0.3">
      <c r="A35" s="435"/>
      <c r="B35" s="5455"/>
      <c r="C35" s="425">
        <f>IFERROR(VLOOKUP(FinancieroAnual!$B35,gna,2,FALSE),0)</f>
        <v>0</v>
      </c>
      <c r="D35" s="445">
        <f>IFERROR(VLOOKUP(FinancieroAnual!$B35,gna,3,FALSE),0)</f>
        <v>0</v>
      </c>
      <c r="E35" s="425"/>
      <c r="G35" s="440" t="s">
        <v>76</v>
      </c>
      <c r="H35" s="468">
        <f>+FinancieroMensual!O38</f>
        <v>0</v>
      </c>
      <c r="I35" s="435"/>
    </row>
    <row r="36" spans="1:11" x14ac:dyDescent="0.3">
      <c r="A36" s="435"/>
      <c r="B36" s="5455"/>
      <c r="C36" s="425">
        <f>IFERROR(VLOOKUP(FinancieroAnual!$B36,gna,2,FALSE),0)</f>
        <v>0</v>
      </c>
      <c r="D36" s="445">
        <f>IFERROR(VLOOKUP(FinancieroAnual!$B36,gna,3,FALSE),0)</f>
        <v>0</v>
      </c>
      <c r="E36" s="425"/>
      <c r="G36" s="440" t="s">
        <v>508</v>
      </c>
      <c r="H36" s="468">
        <f>+FinancieroMensual!O39</f>
        <v>0</v>
      </c>
      <c r="I36" s="435"/>
    </row>
    <row r="37" spans="1:11" x14ac:dyDescent="0.3">
      <c r="A37" s="435"/>
      <c r="B37" s="5455"/>
      <c r="C37" s="425">
        <f>IFERROR(VLOOKUP(FinancieroAnual!$B37,gna,2,FALSE),0)</f>
        <v>0</v>
      </c>
      <c r="D37" s="445">
        <f>IFERROR(VLOOKUP(FinancieroAnual!$B37,gna,3,FALSE),0)</f>
        <v>0</v>
      </c>
      <c r="E37" s="436"/>
      <c r="G37" s="534" t="s">
        <v>78</v>
      </c>
      <c r="H37" s="535">
        <f>SUM(H31:H36)</f>
        <v>0</v>
      </c>
      <c r="I37" s="435"/>
    </row>
    <row r="38" spans="1:11" ht="15.05" thickBot="1" x14ac:dyDescent="0.35">
      <c r="A38" s="435"/>
      <c r="B38" s="531" t="s">
        <v>2310</v>
      </c>
      <c r="C38" s="532">
        <f>SUM(C34:C37)</f>
        <v>0</v>
      </c>
      <c r="D38" s="533">
        <f>SUM(D34:D37)</f>
        <v>0</v>
      </c>
      <c r="E38" s="436"/>
      <c r="G38" s="521" t="s">
        <v>509</v>
      </c>
      <c r="H38" s="536">
        <f>+Egresos!P187</f>
        <v>0</v>
      </c>
      <c r="I38" s="435"/>
    </row>
    <row r="39" spans="1:11" ht="15.05" thickBot="1" x14ac:dyDescent="0.35">
      <c r="A39" s="435"/>
      <c r="B39" s="441"/>
      <c r="C39" s="436"/>
      <c r="D39" s="436"/>
      <c r="E39" s="425"/>
      <c r="G39" s="534" t="s">
        <v>2314</v>
      </c>
      <c r="H39" s="535">
        <f ca="1">+H30+H37+H38+H17+H18</f>
        <v>0</v>
      </c>
      <c r="I39" s="435"/>
    </row>
    <row r="40" spans="1:11" ht="15.05" thickBot="1" x14ac:dyDescent="0.35">
      <c r="A40" s="1344">
        <f>+A32+1</f>
        <v>153</v>
      </c>
      <c r="B40" s="511" t="s">
        <v>2311</v>
      </c>
      <c r="C40" s="542"/>
      <c r="D40" s="541"/>
      <c r="E40" s="436"/>
      <c r="G40" s="521" t="s">
        <v>142</v>
      </c>
      <c r="H40" s="536">
        <f>+Egresos!P204</f>
        <v>0</v>
      </c>
      <c r="I40" s="435"/>
    </row>
    <row r="41" spans="1:11" ht="15.05" thickBot="1" x14ac:dyDescent="0.35">
      <c r="A41" s="435"/>
      <c r="B41" s="513" t="s">
        <v>13</v>
      </c>
      <c r="C41" s="529" t="s">
        <v>14</v>
      </c>
      <c r="D41" s="530" t="s">
        <v>30</v>
      </c>
      <c r="E41" s="425"/>
      <c r="F41" s="435"/>
      <c r="G41" s="534" t="s">
        <v>79</v>
      </c>
      <c r="H41" s="535">
        <f ca="1">+H39+H40</f>
        <v>0</v>
      </c>
      <c r="I41" s="435"/>
    </row>
    <row r="42" spans="1:11" x14ac:dyDescent="0.3">
      <c r="A42" s="435"/>
      <c r="B42" s="5455"/>
      <c r="C42" s="425">
        <f>IFERROR(VLOOKUP(FinancieroAnual!$B42,Ingresos!$B$724:$D$753,2,FALSE),0)</f>
        <v>0</v>
      </c>
      <c r="D42" s="445">
        <f>IFERROR(VLOOKUP(FinancieroAnual!$B42,Ingresos!$B$724:$D$753,3,FALSE),0)</f>
        <v>0</v>
      </c>
      <c r="E42" s="425"/>
      <c r="F42" s="435"/>
      <c r="G42" s="521" t="str">
        <f>"Imprevistos ("&amp;Egresos!C191*100&amp;"%)"</f>
        <v>Imprevistos (0%)</v>
      </c>
      <c r="H42" s="536">
        <f ca="1">+Egresos!P191</f>
        <v>0</v>
      </c>
      <c r="I42" s="435"/>
    </row>
    <row r="43" spans="1:11" x14ac:dyDescent="0.3">
      <c r="B43" s="5455"/>
      <c r="C43" s="425">
        <f>IFERROR(VLOOKUP(FinancieroAnual!$B43,Ingresos!$B$724:$D$753,2,FALSE),0)</f>
        <v>0</v>
      </c>
      <c r="D43" s="445">
        <f>IFERROR(VLOOKUP(FinancieroAnual!$B43,Ingresos!$B$724:$D$753,3,FALSE),0)</f>
        <v>0</v>
      </c>
      <c r="E43" s="425"/>
      <c r="F43" s="435"/>
      <c r="G43" s="521" t="s">
        <v>141</v>
      </c>
      <c r="H43" s="2374">
        <f>FinancieroMensual!O44</f>
        <v>0</v>
      </c>
      <c r="I43" s="435"/>
    </row>
    <row r="44" spans="1:11" ht="15.05" thickBot="1" x14ac:dyDescent="0.35">
      <c r="B44" s="5455"/>
      <c r="C44" s="425">
        <f>IFERROR(VLOOKUP(FinancieroAnual!$B44,Ingresos!$B$724:$D$753,2,FALSE),0)</f>
        <v>0</v>
      </c>
      <c r="D44" s="445">
        <f>IFERROR(VLOOKUP(FinancieroAnual!$B44,Ingresos!$B$724:$D$753,3,FALSE),0)</f>
        <v>0</v>
      </c>
      <c r="E44" s="425"/>
      <c r="F44" s="435"/>
      <c r="G44" s="537" t="s">
        <v>2318</v>
      </c>
      <c r="H44" s="538">
        <f ca="1">+H41+H42+H43</f>
        <v>0</v>
      </c>
      <c r="I44" s="435"/>
    </row>
    <row r="45" spans="1:11" ht="15.05" thickBot="1" x14ac:dyDescent="0.35">
      <c r="B45" s="5455"/>
      <c r="C45" s="425">
        <f>IFERROR(VLOOKUP(FinancieroAnual!$B45,Ingresos!$B$724:$D$753,2,FALSE),0)</f>
        <v>0</v>
      </c>
      <c r="D45" s="445">
        <f>IFERROR(VLOOKUP(FinancieroAnual!$B45,Ingresos!$B$724:$D$753,3,FALSE),0)</f>
        <v>0</v>
      </c>
      <c r="E45" s="436"/>
      <c r="I45" s="435"/>
    </row>
    <row r="46" spans="1:11" ht="15.05" thickBot="1" x14ac:dyDescent="0.35">
      <c r="B46" s="531" t="s">
        <v>2312</v>
      </c>
      <c r="C46" s="532">
        <f>SUM(C42:C45)</f>
        <v>0</v>
      </c>
      <c r="D46" s="533">
        <f>SUM(D42:D45)</f>
        <v>0</v>
      </c>
      <c r="E46" s="435"/>
      <c r="G46" s="511" t="s">
        <v>2317</v>
      </c>
      <c r="H46" s="512">
        <f ca="1">+H10-H44</f>
        <v>0</v>
      </c>
      <c r="I46" s="435"/>
    </row>
    <row r="47" spans="1:11" ht="15.05" thickBot="1" x14ac:dyDescent="0.35">
      <c r="B47" s="435"/>
      <c r="C47" s="435"/>
      <c r="D47" s="435"/>
      <c r="E47" s="435"/>
      <c r="G47" s="518" t="s">
        <v>2250</v>
      </c>
      <c r="H47" s="522">
        <f>+C8-H14</f>
        <v>0</v>
      </c>
      <c r="I47" s="435"/>
    </row>
    <row r="48" spans="1:11" x14ac:dyDescent="0.3">
      <c r="B48" s="540"/>
      <c r="C48" s="540"/>
      <c r="D48" s="540"/>
      <c r="E48" s="540"/>
      <c r="I48" s="435"/>
      <c r="K48" s="539"/>
    </row>
    <row r="49" spans="1:9" x14ac:dyDescent="0.3">
      <c r="A49" s="1344">
        <f>+F16+1</f>
        <v>156</v>
      </c>
      <c r="B49" s="2267" t="str">
        <f>+FinancieroMensual!B65</f>
        <v xml:space="preserve">Saldo Mensual del Presupuesto Financiero </v>
      </c>
      <c r="C49" s="2268"/>
      <c r="D49" s="2268"/>
      <c r="E49" s="540"/>
      <c r="F49" s="1344">
        <f>+A49+1</f>
        <v>157</v>
      </c>
      <c r="G49" s="2267" t="str">
        <f>+FinancieroMensual!I65</f>
        <v>Saldo Acumulado del Presupuesto Financiero</v>
      </c>
      <c r="H49" s="2265"/>
      <c r="I49" s="2266"/>
    </row>
    <row r="50" spans="1:9" x14ac:dyDescent="0.3">
      <c r="B50" s="540"/>
      <c r="C50" s="540"/>
      <c r="D50" s="540"/>
      <c r="E50" s="540"/>
      <c r="F50" s="435"/>
      <c r="G50" s="435"/>
      <c r="H50" s="435"/>
      <c r="I50" s="435"/>
    </row>
    <row r="51" spans="1:9" x14ac:dyDescent="0.3">
      <c r="B51" s="540"/>
      <c r="C51" s="540"/>
      <c r="D51" s="540"/>
      <c r="E51" s="540"/>
      <c r="F51" s="435"/>
      <c r="G51" s="441"/>
      <c r="H51" s="441"/>
      <c r="I51" s="435"/>
    </row>
    <row r="52" spans="1:9" x14ac:dyDescent="0.3">
      <c r="B52" s="435"/>
      <c r="C52" s="435"/>
      <c r="D52" s="435"/>
      <c r="E52" s="435"/>
      <c r="F52" s="435"/>
      <c r="G52" s="435"/>
      <c r="H52" s="435"/>
      <c r="I52" s="435"/>
    </row>
    <row r="53" spans="1:9" x14ac:dyDescent="0.3">
      <c r="B53" s="441"/>
      <c r="C53" s="441"/>
      <c r="D53" s="441"/>
      <c r="E53" s="441"/>
      <c r="F53" s="435"/>
      <c r="G53" s="441"/>
      <c r="H53" s="441"/>
      <c r="I53" s="435"/>
    </row>
    <row r="54" spans="1:9" x14ac:dyDescent="0.3">
      <c r="F54" s="435"/>
      <c r="G54" s="435"/>
      <c r="H54" s="435"/>
      <c r="I54" s="435"/>
    </row>
    <row r="55" spans="1:9" x14ac:dyDescent="0.3">
      <c r="F55" s="435"/>
      <c r="G55" s="435"/>
      <c r="H55" s="435"/>
      <c r="I55" s="435"/>
    </row>
    <row r="56" spans="1:9" x14ac:dyDescent="0.3">
      <c r="G56" s="435"/>
      <c r="H56" s="435"/>
    </row>
    <row r="57" spans="1:9" x14ac:dyDescent="0.3">
      <c r="G57" s="435"/>
      <c r="H57" s="435"/>
    </row>
    <row r="58" spans="1:9" x14ac:dyDescent="0.3">
      <c r="G58" s="435"/>
      <c r="H58" s="435"/>
    </row>
    <row r="83" spans="2:2" x14ac:dyDescent="0.3">
      <c r="B83" s="540"/>
    </row>
    <row r="84" spans="2:2" x14ac:dyDescent="0.3">
      <c r="B84" s="540"/>
    </row>
  </sheetData>
  <sheetProtection password="CF72" sheet="1" objects="1" scenarios="1"/>
  <phoneticPr fontId="0" type="noConversion"/>
  <conditionalFormatting sqref="C7 D8:E8 C9 D10:E10 C11">
    <cfRule type="cellIs" dxfId="58" priority="24" stopIfTrue="1" operator="lessThan">
      <formula>0</formula>
    </cfRule>
  </conditionalFormatting>
  <conditionalFormatting sqref="A1">
    <cfRule type="cellIs" dxfId="57" priority="4" operator="equal">
      <formula>0</formula>
    </cfRule>
  </conditionalFormatting>
  <conditionalFormatting sqref="D30">
    <cfRule type="expression" dxfId="56" priority="3">
      <formula>$D$30&lt;&gt;$H$5</formula>
    </cfRule>
  </conditionalFormatting>
  <conditionalFormatting sqref="D38">
    <cfRule type="expression" dxfId="55" priority="2">
      <formula>$D$38&lt;&gt;$H$6</formula>
    </cfRule>
  </conditionalFormatting>
  <conditionalFormatting sqref="D46">
    <cfRule type="expression" dxfId="54" priority="1">
      <formula>$D$46&lt;&gt;$H$7</formula>
    </cfRule>
  </conditionalFormatting>
  <dataValidations count="3">
    <dataValidation type="list" allowBlank="1" showInputMessage="1" showErrorMessage="1" sqref="B26:B29">
      <formula1>ventaCarLech</formula1>
    </dataValidation>
    <dataValidation type="list" allowBlank="1" showInputMessage="1" showErrorMessage="1" sqref="B34:B37">
      <formula1>ventacargan</formula1>
    </dataValidation>
    <dataValidation type="list" allowBlank="1" showInputMessage="1" showErrorMessage="1" sqref="B42:B45">
      <formula1>ventagran</formula1>
    </dataValidation>
  </dataValidations>
  <hyperlinks>
    <hyperlink ref="A1" location="ManualGlobal!B27:D43" display="◄"/>
  </hyperlinks>
  <printOptions horizontalCentered="1" verticalCentered="1"/>
  <pageMargins left="0" right="0" top="0.59055118110236227" bottom="0" header="0.11811023622047245" footer="0"/>
  <pageSetup paperSize="9" scale="80" orientation="portrait" horizontalDpi="204" verticalDpi="196"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W85"/>
  <sheetViews>
    <sheetView showGridLines="0" zoomScale="85" zoomScaleNormal="85" workbookViewId="0">
      <pane ySplit="3" topLeftCell="A4" activePane="bottomLeft" state="frozen"/>
      <selection activeCell="E69" sqref="E69"/>
      <selection pane="bottomLeft" activeCell="L16" sqref="L16"/>
    </sheetView>
  </sheetViews>
  <sheetFormatPr baseColWidth="10" defaultColWidth="11.375" defaultRowHeight="14.4" x14ac:dyDescent="0.3"/>
  <cols>
    <col min="1" max="1" width="5" style="3436" bestFit="1" customWidth="1"/>
    <col min="2" max="2" width="40.375" style="3436" bestFit="1" customWidth="1"/>
    <col min="3" max="15" width="12.375" style="4265" customWidth="1"/>
    <col min="16" max="16" width="9.375" style="3436" customWidth="1"/>
    <col min="17" max="17" width="14.125" style="3436" customWidth="1"/>
    <col min="18" max="18" width="10.625" style="3436" customWidth="1"/>
    <col min="19" max="19" width="11.375" style="3436" customWidth="1"/>
    <col min="20" max="16384" width="11.375" style="3436"/>
  </cols>
  <sheetData>
    <row r="1" spans="1:20" x14ac:dyDescent="0.3">
      <c r="A1" s="2463" t="s">
        <v>633</v>
      </c>
      <c r="B1" s="3720" t="s">
        <v>848</v>
      </c>
    </row>
    <row r="3" spans="1:20" s="4547" customFormat="1" x14ac:dyDescent="0.3">
      <c r="B3" s="3628"/>
      <c r="C3" s="4548" t="str">
        <f>General!C5</f>
        <v>Ene</v>
      </c>
      <c r="D3" s="4548" t="str">
        <f>IF(AND(C3="Ene"),"Feb",IF(AND(C3="Feb"),"Mar",IF(AND(C3="Mar"),"Abr",IF(AND(C3="Abr"),"May",IF(AND(C3="May"),"Jun",IF(AND(C3="Jun"),"Jul",IF(AND(C3="Jul"),"Ago",IF(AND(C3="Ago"),"Set",IF(AND(C3="Set"),"Oct",IF(AND(C3="Oct"),"Nov",IF(AND(C3="Nov"),"Dic",IF(AND(C3="Dic"),"Ene"))))))))))))</f>
        <v>Feb</v>
      </c>
      <c r="E3" s="4548" t="str">
        <f t="shared" ref="E3:N3" si="0">IF(AND(D3="Ene"),"Feb",IF(AND(D3="Feb"),"Mar",IF(AND(D3="Mar"),"Abr",IF(AND(D3="Abr"),"May",IF(AND(D3="May"),"Jun",IF(AND(D3="Jun"),"Jul",IF(AND(D3="Jul"),"Ago",IF(AND(D3="Ago"),"Set",IF(AND(D3="Set"),"Oct",IF(AND(D3="Oct"),"Nov",IF(AND(D3="Nov"),"Dic",IF(AND(D3="Dic"),"Ene"))))))))))))</f>
        <v>Mar</v>
      </c>
      <c r="F3" s="4548" t="str">
        <f t="shared" si="0"/>
        <v>Abr</v>
      </c>
      <c r="G3" s="4548" t="str">
        <f>IF(AND(F3="Ene"),"Feb",IF(AND(F3="Feb"),"Mar",IF(AND(F3="Mar"),"Abr",IF(AND(F3="Abr"),"May",IF(AND(F3="May"),"Jun",IF(AND(F3="Jun"),"Jul",IF(AND(F3="Jul"),"Ago",IF(AND(F3="Ago"),"Set",IF(AND(F3="Set"),"Oct",IF(AND(F3="Oct"),"Nov",IF(AND(F3="Nov"),"Dic",IF(AND(F3="Dic"),"Ene"))))))))))))</f>
        <v>May</v>
      </c>
      <c r="H3" s="4548" t="str">
        <f t="shared" si="0"/>
        <v>Jun</v>
      </c>
      <c r="I3" s="4548" t="str">
        <f t="shared" si="0"/>
        <v>Jul</v>
      </c>
      <c r="J3" s="4548" t="str">
        <f t="shared" si="0"/>
        <v>Ago</v>
      </c>
      <c r="K3" s="4548" t="str">
        <f t="shared" si="0"/>
        <v>Set</v>
      </c>
      <c r="L3" s="4548" t="str">
        <f t="shared" si="0"/>
        <v>Oct</v>
      </c>
      <c r="M3" s="4548" t="str">
        <f t="shared" si="0"/>
        <v>Nov</v>
      </c>
      <c r="N3" s="4548" t="str">
        <f t="shared" si="0"/>
        <v>Dic</v>
      </c>
      <c r="O3" s="4615" t="s">
        <v>15</v>
      </c>
      <c r="P3" s="4549"/>
      <c r="Q3" s="4549"/>
      <c r="R3" s="4549"/>
      <c r="S3" s="4549"/>
      <c r="T3" s="4549"/>
    </row>
    <row r="4" spans="1:20" ht="15.05" thickBot="1" x14ac:dyDescent="0.35">
      <c r="P4" s="3437"/>
      <c r="R4" s="3437"/>
      <c r="S4" s="3437"/>
    </row>
    <row r="5" spans="1:20" x14ac:dyDescent="0.3">
      <c r="A5" s="2487">
        <f>+FinancieroAnual!F49+1</f>
        <v>158</v>
      </c>
      <c r="B5" s="3815" t="s">
        <v>2323</v>
      </c>
      <c r="C5" s="4616"/>
      <c r="D5" s="4616"/>
      <c r="E5" s="4616"/>
      <c r="F5" s="4616"/>
      <c r="G5" s="4616"/>
      <c r="H5" s="4616"/>
      <c r="I5" s="4616"/>
      <c r="J5" s="4616"/>
      <c r="K5" s="4616"/>
      <c r="L5" s="4616"/>
      <c r="M5" s="4616"/>
      <c r="N5" s="4616"/>
      <c r="O5" s="4617"/>
      <c r="P5" s="3437"/>
      <c r="Q5" s="3437"/>
      <c r="R5" s="3437"/>
      <c r="S5" s="3437"/>
      <c r="T5" s="3437"/>
    </row>
    <row r="6" spans="1:20" x14ac:dyDescent="0.3">
      <c r="B6" s="3723" t="s">
        <v>18</v>
      </c>
      <c r="C6" s="4618">
        <f>+Ingresos!E11</f>
        <v>0</v>
      </c>
      <c r="D6" s="3724">
        <f>+Ingresos!F11</f>
        <v>0</v>
      </c>
      <c r="E6" s="3724">
        <f>+Ingresos!G11</f>
        <v>0</v>
      </c>
      <c r="F6" s="3724">
        <f>+Ingresos!H11</f>
        <v>0</v>
      </c>
      <c r="G6" s="3724">
        <f>+Ingresos!I11</f>
        <v>0</v>
      </c>
      <c r="H6" s="3724">
        <f>+Ingresos!J11</f>
        <v>0</v>
      </c>
      <c r="I6" s="3724">
        <f>+Ingresos!K11</f>
        <v>0</v>
      </c>
      <c r="J6" s="3724">
        <f>+Ingresos!L11</f>
        <v>0</v>
      </c>
      <c r="K6" s="3724">
        <f>+Ingresos!M11</f>
        <v>0</v>
      </c>
      <c r="L6" s="3724">
        <f>+Ingresos!N11</f>
        <v>0</v>
      </c>
      <c r="M6" s="3724">
        <f>+Ingresos!O11</f>
        <v>0</v>
      </c>
      <c r="N6" s="4314">
        <f>+Ingresos!P11</f>
        <v>0</v>
      </c>
      <c r="O6" s="4619">
        <f t="shared" ref="O6:O18" si="1">SUM(C6:N6)</f>
        <v>0</v>
      </c>
      <c r="P6" s="3437"/>
      <c r="S6" s="3437"/>
    </row>
    <row r="7" spans="1:20" x14ac:dyDescent="0.3">
      <c r="B7" s="3723" t="s">
        <v>231</v>
      </c>
      <c r="C7" s="4618">
        <f>+C9-C8</f>
        <v>0</v>
      </c>
      <c r="D7" s="3436">
        <f t="shared" ref="D7:M7" si="2">+D9-D8</f>
        <v>0</v>
      </c>
      <c r="E7" s="3436">
        <f>+E9-E8</f>
        <v>0</v>
      </c>
      <c r="F7" s="3436">
        <f t="shared" si="2"/>
        <v>0</v>
      </c>
      <c r="G7" s="3436">
        <f t="shared" si="2"/>
        <v>0</v>
      </c>
      <c r="H7" s="3436">
        <f t="shared" si="2"/>
        <v>0</v>
      </c>
      <c r="I7" s="3436">
        <f t="shared" si="2"/>
        <v>0</v>
      </c>
      <c r="J7" s="3436">
        <f t="shared" si="2"/>
        <v>0</v>
      </c>
      <c r="K7" s="3436">
        <f t="shared" si="2"/>
        <v>0</v>
      </c>
      <c r="L7" s="3436">
        <f t="shared" si="2"/>
        <v>0</v>
      </c>
      <c r="M7" s="3436">
        <f t="shared" si="2"/>
        <v>0</v>
      </c>
      <c r="N7" s="4620">
        <f>+N9-N8+N10</f>
        <v>0</v>
      </c>
      <c r="O7" s="4621">
        <f t="shared" si="1"/>
        <v>0</v>
      </c>
      <c r="P7" s="3437"/>
      <c r="Q7" s="3440"/>
      <c r="R7" s="3453"/>
      <c r="S7" s="3452"/>
      <c r="T7" s="3440"/>
    </row>
    <row r="8" spans="1:20" hidden="1" x14ac:dyDescent="0.3">
      <c r="B8" s="4622" t="s">
        <v>1862</v>
      </c>
      <c r="C8" s="4623">
        <f>Egresos!D21</f>
        <v>0</v>
      </c>
      <c r="D8" s="4624">
        <f>Egresos!E21</f>
        <v>0</v>
      </c>
      <c r="E8" s="4624">
        <f>Egresos!F21</f>
        <v>0</v>
      </c>
      <c r="F8" s="4624">
        <f>Egresos!G21</f>
        <v>0</v>
      </c>
      <c r="G8" s="4624">
        <f>Egresos!H21</f>
        <v>0</v>
      </c>
      <c r="H8" s="4624">
        <f>Egresos!I21</f>
        <v>0</v>
      </c>
      <c r="I8" s="4624">
        <f>Egresos!J21</f>
        <v>0</v>
      </c>
      <c r="J8" s="4624">
        <f>Egresos!K21</f>
        <v>0</v>
      </c>
      <c r="K8" s="4624">
        <f>Egresos!L21</f>
        <v>0</v>
      </c>
      <c r="L8" s="4624">
        <f>Egresos!M21</f>
        <v>0</v>
      </c>
      <c r="M8" s="4624">
        <f>Egresos!N21</f>
        <v>0</v>
      </c>
      <c r="N8" s="4625">
        <f>Egresos!O21</f>
        <v>0</v>
      </c>
      <c r="O8" s="4626">
        <f t="shared" si="1"/>
        <v>0</v>
      </c>
      <c r="P8" s="3437"/>
      <c r="Q8" s="3440"/>
      <c r="R8" s="3453"/>
      <c r="S8" s="3452"/>
      <c r="T8" s="3440"/>
    </row>
    <row r="9" spans="1:20" hidden="1" x14ac:dyDescent="0.3">
      <c r="B9" s="4622" t="s">
        <v>1863</v>
      </c>
      <c r="C9" s="4623">
        <f>+Ingresos!E34</f>
        <v>0</v>
      </c>
      <c r="D9" s="4624">
        <f>+Ingresos!F34</f>
        <v>0</v>
      </c>
      <c r="E9" s="4624">
        <f>+Ingresos!G34</f>
        <v>0</v>
      </c>
      <c r="F9" s="4624">
        <f>+Ingresos!H34</f>
        <v>0</v>
      </c>
      <c r="G9" s="4624">
        <f>+Ingresos!I34</f>
        <v>0</v>
      </c>
      <c r="H9" s="4624">
        <f>+Ingresos!J34</f>
        <v>0</v>
      </c>
      <c r="I9" s="4624">
        <f>+Ingresos!K34</f>
        <v>0</v>
      </c>
      <c r="J9" s="4624">
        <f>+Ingresos!L34</f>
        <v>0</v>
      </c>
      <c r="K9" s="4624">
        <f>+Ingresos!M34</f>
        <v>0</v>
      </c>
      <c r="L9" s="4624">
        <f>+Ingresos!N34</f>
        <v>0</v>
      </c>
      <c r="M9" s="4624">
        <f>+Ingresos!O34</f>
        <v>0</v>
      </c>
      <c r="N9" s="4625">
        <f>+Ingresos!P34</f>
        <v>0</v>
      </c>
      <c r="O9" s="4626">
        <f t="shared" si="1"/>
        <v>0</v>
      </c>
      <c r="P9" s="3437"/>
      <c r="Q9" s="3440"/>
      <c r="R9" s="3453"/>
      <c r="S9" s="3452"/>
      <c r="T9" s="3440"/>
    </row>
    <row r="10" spans="1:20" hidden="1" x14ac:dyDescent="0.3">
      <c r="B10" s="4622" t="s">
        <v>1864</v>
      </c>
      <c r="C10" s="4627"/>
      <c r="D10" s="3491"/>
      <c r="E10" s="3491"/>
      <c r="F10" s="3491"/>
      <c r="G10" s="3491"/>
      <c r="H10" s="3491"/>
      <c r="I10" s="3491"/>
      <c r="J10" s="3491"/>
      <c r="K10" s="3491"/>
      <c r="L10" s="3491"/>
      <c r="M10" s="3491"/>
      <c r="N10" s="4625">
        <f>+A.Lecheros!S484</f>
        <v>0</v>
      </c>
      <c r="O10" s="4626">
        <f t="shared" si="1"/>
        <v>0</v>
      </c>
      <c r="P10" s="3437"/>
      <c r="Q10" s="3440"/>
      <c r="R10" s="3453"/>
      <c r="S10" s="3452"/>
      <c r="T10" s="3440"/>
    </row>
    <row r="11" spans="1:20" x14ac:dyDescent="0.3">
      <c r="B11" s="3723" t="s">
        <v>232</v>
      </c>
      <c r="C11" s="4618">
        <f>+C13-C12</f>
        <v>0</v>
      </c>
      <c r="D11" s="3724">
        <f>+D13-D12</f>
        <v>0</v>
      </c>
      <c r="E11" s="3724">
        <f t="shared" ref="E11:L11" si="3">+E13-E12</f>
        <v>0</v>
      </c>
      <c r="F11" s="3724">
        <f>+F13-F12</f>
        <v>0</v>
      </c>
      <c r="G11" s="3724">
        <f t="shared" si="3"/>
        <v>0</v>
      </c>
      <c r="H11" s="3724">
        <f t="shared" si="3"/>
        <v>0</v>
      </c>
      <c r="I11" s="3724">
        <f t="shared" si="3"/>
        <v>0</v>
      </c>
      <c r="J11" s="3724">
        <f t="shared" si="3"/>
        <v>0</v>
      </c>
      <c r="K11" s="3724">
        <f t="shared" si="3"/>
        <v>0</v>
      </c>
      <c r="L11" s="3724">
        <f t="shared" si="3"/>
        <v>0</v>
      </c>
      <c r="M11" s="3724">
        <f>+M13-M12</f>
        <v>0</v>
      </c>
      <c r="N11" s="4314">
        <f>+N13-N12+N14</f>
        <v>0</v>
      </c>
      <c r="O11" s="4621">
        <f t="shared" si="1"/>
        <v>0</v>
      </c>
      <c r="P11" s="3437"/>
    </row>
    <row r="12" spans="1:20" hidden="1" x14ac:dyDescent="0.3">
      <c r="B12" s="4622" t="s">
        <v>1862</v>
      </c>
      <c r="C12" s="4623">
        <f>Egresos!D66</f>
        <v>0</v>
      </c>
      <c r="D12" s="4624">
        <f>Egresos!E66</f>
        <v>0</v>
      </c>
      <c r="E12" s="4624">
        <f>Egresos!F66</f>
        <v>0</v>
      </c>
      <c r="F12" s="4624">
        <f>Egresos!G66</f>
        <v>0</v>
      </c>
      <c r="G12" s="4624">
        <f>Egresos!H66</f>
        <v>0</v>
      </c>
      <c r="H12" s="4624">
        <f>Egresos!I66</f>
        <v>0</v>
      </c>
      <c r="I12" s="4624">
        <f>Egresos!J66</f>
        <v>0</v>
      </c>
      <c r="J12" s="4624">
        <f>Egresos!K66</f>
        <v>0</v>
      </c>
      <c r="K12" s="4624">
        <f>Egresos!L66</f>
        <v>0</v>
      </c>
      <c r="L12" s="4624">
        <f>Egresos!M66</f>
        <v>0</v>
      </c>
      <c r="M12" s="4624">
        <f>Egresos!N66</f>
        <v>0</v>
      </c>
      <c r="N12" s="4625">
        <f>Egresos!O66</f>
        <v>0</v>
      </c>
      <c r="O12" s="4626">
        <f t="shared" si="1"/>
        <v>0</v>
      </c>
      <c r="P12" s="3437"/>
      <c r="Q12" s="3440"/>
      <c r="R12" s="3453"/>
      <c r="S12" s="3452"/>
    </row>
    <row r="13" spans="1:20" hidden="1" x14ac:dyDescent="0.3">
      <c r="B13" s="4622" t="s">
        <v>1863</v>
      </c>
      <c r="C13" s="4623">
        <f>+Ingresos!E85</f>
        <v>0</v>
      </c>
      <c r="D13" s="4624">
        <f>+Ingresos!F85</f>
        <v>0</v>
      </c>
      <c r="E13" s="4624">
        <f>+Ingresos!G85</f>
        <v>0</v>
      </c>
      <c r="F13" s="4624">
        <f>+Ingresos!H85</f>
        <v>0</v>
      </c>
      <c r="G13" s="4624">
        <f>+Ingresos!I85</f>
        <v>0</v>
      </c>
      <c r="H13" s="4624">
        <f>+Ingresos!J85</f>
        <v>0</v>
      </c>
      <c r="I13" s="4624">
        <f>+Ingresos!K85</f>
        <v>0</v>
      </c>
      <c r="J13" s="4624">
        <f>+Ingresos!L85</f>
        <v>0</v>
      </c>
      <c r="K13" s="4624">
        <f>+Ingresos!M85</f>
        <v>0</v>
      </c>
      <c r="L13" s="4624">
        <f>+Ingresos!N85</f>
        <v>0</v>
      </c>
      <c r="M13" s="4624">
        <f>+Ingresos!O85</f>
        <v>0</v>
      </c>
      <c r="N13" s="4625">
        <f>+Ingresos!P85</f>
        <v>0</v>
      </c>
      <c r="O13" s="4626">
        <f t="shared" si="1"/>
        <v>0</v>
      </c>
      <c r="P13" s="3437"/>
      <c r="Q13" s="3440"/>
      <c r="R13" s="3453"/>
      <c r="S13" s="3452"/>
    </row>
    <row r="14" spans="1:20" hidden="1" x14ac:dyDescent="0.3">
      <c r="B14" s="4622" t="s">
        <v>1864</v>
      </c>
      <c r="C14" s="4627"/>
      <c r="D14" s="3491"/>
      <c r="E14" s="3491"/>
      <c r="F14" s="3491"/>
      <c r="G14" s="3491"/>
      <c r="H14" s="3491"/>
      <c r="I14" s="3491"/>
      <c r="J14" s="3491"/>
      <c r="K14" s="3491"/>
      <c r="L14" s="3491"/>
      <c r="M14" s="3491"/>
      <c r="N14" s="4625">
        <f>+A.Ganaderos!S190</f>
        <v>0</v>
      </c>
      <c r="O14" s="4626">
        <f t="shared" si="1"/>
        <v>0</v>
      </c>
      <c r="P14" s="3437"/>
      <c r="Q14" s="3440"/>
      <c r="R14" s="3453"/>
      <c r="S14" s="3452"/>
    </row>
    <row r="15" spans="1:20" x14ac:dyDescent="0.3">
      <c r="B15" s="3723" t="s">
        <v>63</v>
      </c>
      <c r="C15" s="4618">
        <f>+Ingresos!E229</f>
        <v>0</v>
      </c>
      <c r="D15" s="3724">
        <f>+Ingresos!F229</f>
        <v>0</v>
      </c>
      <c r="E15" s="3724">
        <f>+Ingresos!G229</f>
        <v>0</v>
      </c>
      <c r="F15" s="3724">
        <f>+Ingresos!H229</f>
        <v>0</v>
      </c>
      <c r="G15" s="3724">
        <f>+Ingresos!I229</f>
        <v>0</v>
      </c>
      <c r="H15" s="3724">
        <f>+Ingresos!J229</f>
        <v>0</v>
      </c>
      <c r="I15" s="3724">
        <f>+Ingresos!K229</f>
        <v>0</v>
      </c>
      <c r="J15" s="3724">
        <f>+Ingresos!L229</f>
        <v>0</v>
      </c>
      <c r="K15" s="3724">
        <f>+Ingresos!M229</f>
        <v>0</v>
      </c>
      <c r="L15" s="3724">
        <f>+Ingresos!N229</f>
        <v>0</v>
      </c>
      <c r="M15" s="3724">
        <f>+Ingresos!O229</f>
        <v>0</v>
      </c>
      <c r="N15" s="4314">
        <f>+Ingresos!P229</f>
        <v>0</v>
      </c>
      <c r="O15" s="4619">
        <f t="shared" si="1"/>
        <v>0</v>
      </c>
      <c r="P15" s="3437"/>
    </row>
    <row r="16" spans="1:20" x14ac:dyDescent="0.3">
      <c r="B16" s="3723" t="s">
        <v>296</v>
      </c>
      <c r="C16" s="4618">
        <f>+Ingresos!E557</f>
        <v>0</v>
      </c>
      <c r="D16" s="3724">
        <f>+Ingresos!F557</f>
        <v>0</v>
      </c>
      <c r="E16" s="3724">
        <f>+Ingresos!G557</f>
        <v>0</v>
      </c>
      <c r="F16" s="3724">
        <f>+Ingresos!H557</f>
        <v>0</v>
      </c>
      <c r="G16" s="3724">
        <f>+Ingresos!I557</f>
        <v>0</v>
      </c>
      <c r="H16" s="3724">
        <f>+Ingresos!J557</f>
        <v>0</v>
      </c>
      <c r="I16" s="3724">
        <f>+Ingresos!K557</f>
        <v>0</v>
      </c>
      <c r="J16" s="3724">
        <f>+Ingresos!L557</f>
        <v>0</v>
      </c>
      <c r="K16" s="3724">
        <f>+Ingresos!M557</f>
        <v>0</v>
      </c>
      <c r="L16" s="3724">
        <f>+Ingresos!N557</f>
        <v>0</v>
      </c>
      <c r="M16" s="3724">
        <f>+Ingresos!O557</f>
        <v>0</v>
      </c>
      <c r="N16" s="4314">
        <f>+Ingresos!P557</f>
        <v>0</v>
      </c>
      <c r="O16" s="4619">
        <f t="shared" si="1"/>
        <v>0</v>
      </c>
      <c r="P16" s="3437"/>
    </row>
    <row r="17" spans="1:19" x14ac:dyDescent="0.3">
      <c r="B17" s="3880" t="s">
        <v>116</v>
      </c>
      <c r="C17" s="4628"/>
      <c r="D17" s="3490"/>
      <c r="E17" s="3490"/>
      <c r="F17" s="3490"/>
      <c r="G17" s="3490"/>
      <c r="H17" s="3490"/>
      <c r="I17" s="3490"/>
      <c r="J17" s="3490"/>
      <c r="K17" s="3490"/>
      <c r="L17" s="3490"/>
      <c r="M17" s="3490"/>
      <c r="N17" s="4629">
        <f>+IF(D81&lt;0,0,D81)</f>
        <v>0</v>
      </c>
      <c r="O17" s="4619">
        <f t="shared" si="1"/>
        <v>0</v>
      </c>
      <c r="P17" s="3437"/>
    </row>
    <row r="18" spans="1:19" x14ac:dyDescent="0.3">
      <c r="B18" s="3512" t="s">
        <v>672</v>
      </c>
      <c r="C18" s="4618">
        <f>+Ingresos!E647</f>
        <v>0</v>
      </c>
      <c r="D18" s="3724">
        <f>+Ingresos!F647</f>
        <v>0</v>
      </c>
      <c r="E18" s="3724">
        <f>+Ingresos!G647</f>
        <v>0</v>
      </c>
      <c r="F18" s="3724">
        <f>+Ingresos!H647</f>
        <v>0</v>
      </c>
      <c r="G18" s="3724">
        <f>+Ingresos!I647</f>
        <v>0</v>
      </c>
      <c r="H18" s="3724">
        <f>+Ingresos!J647</f>
        <v>0</v>
      </c>
      <c r="I18" s="3724">
        <f>+Ingresos!K647</f>
        <v>0</v>
      </c>
      <c r="J18" s="3724">
        <f>+Ingresos!L647</f>
        <v>0</v>
      </c>
      <c r="K18" s="3724">
        <f>+Ingresos!M647</f>
        <v>0</v>
      </c>
      <c r="L18" s="3724">
        <f>+Ingresos!N647</f>
        <v>0</v>
      </c>
      <c r="M18" s="3724">
        <f>+Ingresos!O647</f>
        <v>0</v>
      </c>
      <c r="N18" s="4314">
        <f>+Ingresos!P647</f>
        <v>0</v>
      </c>
      <c r="O18" s="4619">
        <f t="shared" si="1"/>
        <v>0</v>
      </c>
      <c r="P18" s="3437"/>
      <c r="R18" s="3523"/>
      <c r="S18" s="3437"/>
    </row>
    <row r="19" spans="1:19" ht="15.05" thickBot="1" x14ac:dyDescent="0.35">
      <c r="B19" s="4630" t="s">
        <v>673</v>
      </c>
      <c r="C19" s="4631">
        <f>SUM(C15:C18)+C11+C7+C6</f>
        <v>0</v>
      </c>
      <c r="D19" s="4632">
        <f t="shared" ref="D19:N19" si="4">SUM(D15:D18)+D11+D7+D6</f>
        <v>0</v>
      </c>
      <c r="E19" s="4632">
        <f t="shared" si="4"/>
        <v>0</v>
      </c>
      <c r="F19" s="4632">
        <f t="shared" si="4"/>
        <v>0</v>
      </c>
      <c r="G19" s="4632">
        <f t="shared" si="4"/>
        <v>0</v>
      </c>
      <c r="H19" s="4632">
        <f t="shared" si="4"/>
        <v>0</v>
      </c>
      <c r="I19" s="4632">
        <f t="shared" si="4"/>
        <v>0</v>
      </c>
      <c r="J19" s="4632">
        <f t="shared" si="4"/>
        <v>0</v>
      </c>
      <c r="K19" s="4632">
        <f t="shared" si="4"/>
        <v>0</v>
      </c>
      <c r="L19" s="4632">
        <f t="shared" si="4"/>
        <v>0</v>
      </c>
      <c r="M19" s="4632">
        <f t="shared" si="4"/>
        <v>0</v>
      </c>
      <c r="N19" s="4633">
        <f t="shared" si="4"/>
        <v>0</v>
      </c>
      <c r="O19" s="4634">
        <f>SUM(O15:O18)+O11+O7+O6</f>
        <v>0</v>
      </c>
      <c r="P19" s="3437"/>
      <c r="R19" s="3523"/>
      <c r="S19" s="3437"/>
    </row>
    <row r="20" spans="1:19" ht="15.05" thickBot="1" x14ac:dyDescent="0.35">
      <c r="B20" s="3437"/>
      <c r="C20" s="3724"/>
      <c r="D20" s="3724"/>
      <c r="E20" s="3724"/>
      <c r="F20" s="3724"/>
      <c r="G20" s="3724"/>
      <c r="H20" s="3724"/>
      <c r="I20" s="3724"/>
      <c r="J20" s="3724"/>
      <c r="K20" s="3724"/>
      <c r="L20" s="3724"/>
      <c r="M20" s="3724"/>
      <c r="N20" s="3724"/>
      <c r="O20" s="3724"/>
      <c r="R20" s="3523"/>
      <c r="S20" s="3437"/>
    </row>
    <row r="21" spans="1:19" x14ac:dyDescent="0.3">
      <c r="A21" s="2487">
        <f>+A5+1</f>
        <v>159</v>
      </c>
      <c r="B21" s="3815" t="s">
        <v>2322</v>
      </c>
      <c r="C21" s="4616"/>
      <c r="D21" s="4616"/>
      <c r="E21" s="4616"/>
      <c r="F21" s="4616"/>
      <c r="G21" s="4616"/>
      <c r="H21" s="4616"/>
      <c r="I21" s="4616"/>
      <c r="J21" s="4616"/>
      <c r="K21" s="4616"/>
      <c r="L21" s="4616"/>
      <c r="M21" s="4616"/>
      <c r="N21" s="4616"/>
      <c r="O21" s="4617"/>
      <c r="P21" s="3437"/>
      <c r="Q21" s="3437"/>
      <c r="R21" s="3437"/>
      <c r="S21" s="3437"/>
    </row>
    <row r="22" spans="1:19" x14ac:dyDescent="0.3">
      <c r="B22" s="3723" t="s">
        <v>447</v>
      </c>
      <c r="C22" s="4628">
        <f ca="1">+Egresos!D107</f>
        <v>0</v>
      </c>
      <c r="D22" s="3490">
        <f ca="1">+Egresos!E107</f>
        <v>0</v>
      </c>
      <c r="E22" s="3490">
        <f ca="1">+Egresos!F107</f>
        <v>0</v>
      </c>
      <c r="F22" s="3490">
        <f ca="1">+Egresos!G107</f>
        <v>0</v>
      </c>
      <c r="G22" s="3490">
        <f ca="1">+Egresos!H107</f>
        <v>0</v>
      </c>
      <c r="H22" s="3490">
        <f ca="1">+Egresos!I107</f>
        <v>0</v>
      </c>
      <c r="I22" s="3490">
        <f ca="1">+Egresos!J107</f>
        <v>0</v>
      </c>
      <c r="J22" s="3490">
        <f ca="1">+Egresos!K107</f>
        <v>0</v>
      </c>
      <c r="K22" s="3490">
        <f ca="1">+Egresos!L107</f>
        <v>0</v>
      </c>
      <c r="L22" s="3490">
        <f ca="1">+Egresos!M107</f>
        <v>0</v>
      </c>
      <c r="M22" s="3490">
        <f ca="1">+Egresos!N107</f>
        <v>0</v>
      </c>
      <c r="N22" s="4629">
        <f ca="1">+Egresos!O107</f>
        <v>0</v>
      </c>
      <c r="O22" s="4619">
        <f ca="1">+SUM(C22:N22)</f>
        <v>0</v>
      </c>
      <c r="P22" s="3437"/>
      <c r="S22" s="3437"/>
    </row>
    <row r="23" spans="1:19" x14ac:dyDescent="0.3">
      <c r="B23" s="3723" t="s">
        <v>138</v>
      </c>
      <c r="C23" s="4618">
        <f>+Egresos!D110</f>
        <v>0</v>
      </c>
      <c r="D23" s="3724">
        <f>+Egresos!E110</f>
        <v>0</v>
      </c>
      <c r="E23" s="3724">
        <f>+Egresos!F110</f>
        <v>0</v>
      </c>
      <c r="F23" s="3724">
        <f>+Egresos!G110</f>
        <v>0</v>
      </c>
      <c r="G23" s="3724">
        <f>+Egresos!H110</f>
        <v>0</v>
      </c>
      <c r="H23" s="3724">
        <f>+Egresos!I110</f>
        <v>0</v>
      </c>
      <c r="I23" s="3724">
        <f>+Egresos!J110</f>
        <v>0</v>
      </c>
      <c r="J23" s="3724">
        <f>+Egresos!K110</f>
        <v>0</v>
      </c>
      <c r="K23" s="3724">
        <f>+Egresos!L110</f>
        <v>0</v>
      </c>
      <c r="L23" s="3724">
        <f>+Egresos!M110</f>
        <v>0</v>
      </c>
      <c r="M23" s="3724">
        <f>+Egresos!N110</f>
        <v>0</v>
      </c>
      <c r="N23" s="4314">
        <f>+Egresos!O110</f>
        <v>0</v>
      </c>
      <c r="O23" s="4619">
        <f>+Egresos!P110</f>
        <v>0</v>
      </c>
      <c r="P23" s="3437"/>
      <c r="S23" s="3437"/>
    </row>
    <row r="24" spans="1:19" x14ac:dyDescent="0.3">
      <c r="B24" s="3723" t="s">
        <v>37</v>
      </c>
      <c r="C24" s="4618">
        <f>+Egresos!D111</f>
        <v>0</v>
      </c>
      <c r="D24" s="3724">
        <f>+Egresos!E111</f>
        <v>0</v>
      </c>
      <c r="E24" s="3724">
        <f>+Egresos!F111</f>
        <v>0</v>
      </c>
      <c r="F24" s="3724">
        <f>+Egresos!G111</f>
        <v>0</v>
      </c>
      <c r="G24" s="3724">
        <f>+Egresos!H111</f>
        <v>0</v>
      </c>
      <c r="H24" s="3724">
        <f>+Egresos!I111</f>
        <v>0</v>
      </c>
      <c r="I24" s="3724">
        <f>+Egresos!J111</f>
        <v>0</v>
      </c>
      <c r="J24" s="3724">
        <f>+Egresos!K111</f>
        <v>0</v>
      </c>
      <c r="K24" s="3724">
        <f>+Egresos!L111</f>
        <v>0</v>
      </c>
      <c r="L24" s="3724">
        <f>+Egresos!M111</f>
        <v>0</v>
      </c>
      <c r="M24" s="3724">
        <f>+Egresos!N111</f>
        <v>0</v>
      </c>
      <c r="N24" s="4314">
        <f>+Egresos!O111</f>
        <v>0</v>
      </c>
      <c r="O24" s="4619">
        <f>+Egresos!P111</f>
        <v>0</v>
      </c>
      <c r="P24" s="3437"/>
      <c r="S24" s="3437"/>
    </row>
    <row r="25" spans="1:19" x14ac:dyDescent="0.3">
      <c r="B25" s="3723" t="s">
        <v>38</v>
      </c>
      <c r="C25" s="4618">
        <f>+Egresos!D112</f>
        <v>0</v>
      </c>
      <c r="D25" s="3724">
        <f>+Egresos!E112</f>
        <v>0</v>
      </c>
      <c r="E25" s="3724">
        <f>+Egresos!F112</f>
        <v>0</v>
      </c>
      <c r="F25" s="3724">
        <f>+Egresos!G112</f>
        <v>0</v>
      </c>
      <c r="G25" s="3724">
        <f>+Egresos!H112</f>
        <v>0</v>
      </c>
      <c r="H25" s="3724">
        <f>+Egresos!I112</f>
        <v>0</v>
      </c>
      <c r="I25" s="3724">
        <f>+Egresos!J112</f>
        <v>0</v>
      </c>
      <c r="J25" s="3724">
        <f>+Egresos!K112</f>
        <v>0</v>
      </c>
      <c r="K25" s="3724">
        <f>+Egresos!L112</f>
        <v>0</v>
      </c>
      <c r="L25" s="3724">
        <f>+Egresos!M112</f>
        <v>0</v>
      </c>
      <c r="M25" s="3724">
        <f>+Egresos!N112</f>
        <v>0</v>
      </c>
      <c r="N25" s="4314">
        <f>+Egresos!O112</f>
        <v>0</v>
      </c>
      <c r="O25" s="4619">
        <f>+Egresos!P112</f>
        <v>0</v>
      </c>
      <c r="P25" s="3437"/>
      <c r="S25" s="3437"/>
    </row>
    <row r="26" spans="1:19" x14ac:dyDescent="0.3">
      <c r="B26" s="3723" t="s">
        <v>99</v>
      </c>
      <c r="C26" s="4618">
        <f>+Egresos!D113</f>
        <v>0</v>
      </c>
      <c r="D26" s="3724">
        <f>+Egresos!E113</f>
        <v>0</v>
      </c>
      <c r="E26" s="3724">
        <f>+Egresos!F113</f>
        <v>0</v>
      </c>
      <c r="F26" s="3724">
        <f>+Egresos!G113</f>
        <v>0</v>
      </c>
      <c r="G26" s="3724">
        <f>+Egresos!H113</f>
        <v>0</v>
      </c>
      <c r="H26" s="3724">
        <f>+Egresos!I113</f>
        <v>0</v>
      </c>
      <c r="I26" s="3724">
        <f>+Egresos!J113</f>
        <v>0</v>
      </c>
      <c r="J26" s="3724">
        <f>+Egresos!K113</f>
        <v>0</v>
      </c>
      <c r="K26" s="3724">
        <f>+Egresos!L113</f>
        <v>0</v>
      </c>
      <c r="L26" s="3724">
        <f>+Egresos!M113</f>
        <v>0</v>
      </c>
      <c r="M26" s="3724">
        <f>+Egresos!N113</f>
        <v>0</v>
      </c>
      <c r="N26" s="4314">
        <f>+Egresos!O113</f>
        <v>0</v>
      </c>
      <c r="O26" s="4619">
        <f>+Egresos!P113</f>
        <v>0</v>
      </c>
      <c r="P26" s="3437"/>
      <c r="S26" s="3437"/>
    </row>
    <row r="27" spans="1:19" x14ac:dyDescent="0.3">
      <c r="B27" s="3723" t="s">
        <v>69</v>
      </c>
      <c r="C27" s="4628">
        <f>+Egresos!D117+Egresos!D118+Egresos!D119+Egresos!D116</f>
        <v>0</v>
      </c>
      <c r="D27" s="3490">
        <f>+Egresos!E117+Egresos!E118++Egresos!E119+Egresos!E116</f>
        <v>0</v>
      </c>
      <c r="E27" s="3490">
        <f>+Egresos!F117+Egresos!F118++Egresos!F119+Egresos!F116</f>
        <v>0</v>
      </c>
      <c r="F27" s="3490">
        <f>+Egresos!G117+Egresos!G118++Egresos!G119+Egresos!G116</f>
        <v>0</v>
      </c>
      <c r="G27" s="3490">
        <f>+Egresos!H117+Egresos!H118++Egresos!H119+Egresos!H116</f>
        <v>0</v>
      </c>
      <c r="H27" s="3490">
        <f>+Egresos!I117+Egresos!I118++Egresos!I119+Egresos!I116</f>
        <v>0</v>
      </c>
      <c r="I27" s="3490">
        <f>+Egresos!J117+Egresos!J118++Egresos!J119+Egresos!J116</f>
        <v>0</v>
      </c>
      <c r="J27" s="3490">
        <f>+Egresos!K117+Egresos!K118++Egresos!K119+Egresos!K116</f>
        <v>0</v>
      </c>
      <c r="K27" s="3490">
        <f>+Egresos!L117+Egresos!L118++Egresos!L119+Egresos!L116</f>
        <v>0</v>
      </c>
      <c r="L27" s="3490">
        <f>+Egresos!M117+Egresos!M118++Egresos!M119+Egresos!M116</f>
        <v>0</v>
      </c>
      <c r="M27" s="3490">
        <f>+Egresos!N117+Egresos!N118++Egresos!N119+Egresos!N116</f>
        <v>0</v>
      </c>
      <c r="N27" s="4629">
        <f>+Egresos!O117+Egresos!O118++Egresos!O119+Egresos!O116</f>
        <v>0</v>
      </c>
      <c r="O27" s="4619">
        <f>+SUM(C27:N27)</f>
        <v>0</v>
      </c>
      <c r="P27" s="3437"/>
      <c r="S27" s="3437"/>
    </row>
    <row r="28" spans="1:19" x14ac:dyDescent="0.3">
      <c r="B28" s="3549" t="s">
        <v>829</v>
      </c>
      <c r="C28" s="4618"/>
      <c r="D28" s="3724"/>
      <c r="E28" s="3724"/>
      <c r="F28" s="3724"/>
      <c r="G28" s="3724"/>
      <c r="H28" s="3724"/>
      <c r="I28" s="3724"/>
      <c r="J28" s="3724"/>
      <c r="K28" s="3724"/>
      <c r="L28" s="3724"/>
      <c r="M28" s="3724"/>
      <c r="N28" s="4629">
        <f>+IF(D81&lt;0,-D81,0)</f>
        <v>0</v>
      </c>
      <c r="O28" s="4619">
        <f t="shared" ref="O28:O33" si="5">+SUM(C28:N28)</f>
        <v>0</v>
      </c>
      <c r="P28" s="3437"/>
      <c r="S28" s="3437"/>
    </row>
    <row r="29" spans="1:19" x14ac:dyDescent="0.3">
      <c r="B29" s="3723" t="s">
        <v>476</v>
      </c>
      <c r="C29" s="4618">
        <f>+Egresos!D126+Egresos!D133</f>
        <v>0</v>
      </c>
      <c r="D29" s="3724">
        <f>+Egresos!E126+Egresos!E133</f>
        <v>0</v>
      </c>
      <c r="E29" s="3724">
        <f>+Egresos!F126+Egresos!F133</f>
        <v>0</v>
      </c>
      <c r="F29" s="3724">
        <f>+Egresos!G126+Egresos!G133</f>
        <v>0</v>
      </c>
      <c r="G29" s="3724">
        <f>+Egresos!H126+Egresos!H133</f>
        <v>0</v>
      </c>
      <c r="H29" s="3724">
        <f>+Egresos!I126+Egresos!I133</f>
        <v>0</v>
      </c>
      <c r="I29" s="3724">
        <f>+Egresos!J126+Egresos!J133</f>
        <v>0</v>
      </c>
      <c r="J29" s="3724">
        <f>+Egresos!K126+Egresos!K133</f>
        <v>0</v>
      </c>
      <c r="K29" s="3724">
        <f>+Egresos!L126+Egresos!L133</f>
        <v>0</v>
      </c>
      <c r="L29" s="3724">
        <f>+Egresos!M126+Egresos!M133</f>
        <v>0</v>
      </c>
      <c r="M29" s="3724">
        <f>+Egresos!N126+Egresos!N133</f>
        <v>0</v>
      </c>
      <c r="N29" s="4314">
        <f>+Egresos!O126+Egresos!O133</f>
        <v>0</v>
      </c>
      <c r="O29" s="4619">
        <f t="shared" si="5"/>
        <v>0</v>
      </c>
      <c r="P29" s="3437"/>
      <c r="S29" s="3437"/>
    </row>
    <row r="30" spans="1:19" x14ac:dyDescent="0.3">
      <c r="B30" s="3723" t="s">
        <v>448</v>
      </c>
      <c r="C30" s="4618">
        <f>+Egresos!D135</f>
        <v>0</v>
      </c>
      <c r="D30" s="3724">
        <f>+Egresos!E135</f>
        <v>0</v>
      </c>
      <c r="E30" s="3724">
        <f>+Egresos!F135</f>
        <v>0</v>
      </c>
      <c r="F30" s="3724">
        <f>+Egresos!G135</f>
        <v>0</v>
      </c>
      <c r="G30" s="3724">
        <f>+Egresos!H135</f>
        <v>0</v>
      </c>
      <c r="H30" s="3724">
        <f>+Egresos!I135</f>
        <v>0</v>
      </c>
      <c r="I30" s="3724">
        <f>+Egresos!J135</f>
        <v>0</v>
      </c>
      <c r="J30" s="3724">
        <f>+Egresos!K135</f>
        <v>0</v>
      </c>
      <c r="K30" s="3724">
        <f>+Egresos!L135</f>
        <v>0</v>
      </c>
      <c r="L30" s="3724">
        <f>+Egresos!M135</f>
        <v>0</v>
      </c>
      <c r="M30" s="3724">
        <f>+Egresos!N135</f>
        <v>0</v>
      </c>
      <c r="N30" s="4314">
        <f>+Egresos!O135</f>
        <v>0</v>
      </c>
      <c r="O30" s="4619">
        <f t="shared" si="5"/>
        <v>0</v>
      </c>
      <c r="P30" s="3437"/>
      <c r="S30" s="3437"/>
    </row>
    <row r="31" spans="1:19" x14ac:dyDescent="0.3">
      <c r="B31" s="3723" t="s">
        <v>437</v>
      </c>
      <c r="C31" s="4618">
        <f>+Egresos!D137</f>
        <v>0</v>
      </c>
      <c r="D31" s="3724">
        <f>+Egresos!E137</f>
        <v>0</v>
      </c>
      <c r="E31" s="3724">
        <f>+Egresos!F137</f>
        <v>0</v>
      </c>
      <c r="F31" s="3724">
        <f>+Egresos!G137</f>
        <v>0</v>
      </c>
      <c r="G31" s="3724">
        <f>+Egresos!H137</f>
        <v>0</v>
      </c>
      <c r="H31" s="3724">
        <f>+Egresos!I137</f>
        <v>0</v>
      </c>
      <c r="I31" s="3724">
        <f>+Egresos!J137</f>
        <v>0</v>
      </c>
      <c r="J31" s="3724">
        <f>+Egresos!K137</f>
        <v>0</v>
      </c>
      <c r="K31" s="3724">
        <f>+Egresos!L137</f>
        <v>0</v>
      </c>
      <c r="L31" s="3724">
        <f>+Egresos!M137</f>
        <v>0</v>
      </c>
      <c r="M31" s="3724">
        <f>+Egresos!N137</f>
        <v>0</v>
      </c>
      <c r="N31" s="4314">
        <f>+Egresos!O137</f>
        <v>0</v>
      </c>
      <c r="O31" s="4619">
        <f t="shared" si="5"/>
        <v>0</v>
      </c>
      <c r="P31" s="3437"/>
      <c r="S31" s="3437"/>
    </row>
    <row r="32" spans="1:19" x14ac:dyDescent="0.3">
      <c r="B32" s="3723" t="s">
        <v>449</v>
      </c>
      <c r="C32" s="4618">
        <f>+Egresos!D145</f>
        <v>0</v>
      </c>
      <c r="D32" s="3724">
        <f>+Egresos!E145</f>
        <v>0</v>
      </c>
      <c r="E32" s="3724">
        <f>+Egresos!F145</f>
        <v>0</v>
      </c>
      <c r="F32" s="3724">
        <f>+Egresos!G145</f>
        <v>0</v>
      </c>
      <c r="G32" s="3724">
        <f>+Egresos!H145</f>
        <v>0</v>
      </c>
      <c r="H32" s="3724">
        <f>+Egresos!I145</f>
        <v>0</v>
      </c>
      <c r="I32" s="3724">
        <f>+Egresos!J145</f>
        <v>0</v>
      </c>
      <c r="J32" s="3724">
        <f>+Egresos!K145</f>
        <v>0</v>
      </c>
      <c r="K32" s="3724">
        <f>+Egresos!L145</f>
        <v>0</v>
      </c>
      <c r="L32" s="3724">
        <f>+Egresos!M145</f>
        <v>0</v>
      </c>
      <c r="M32" s="3724">
        <f>+Egresos!N145</f>
        <v>0</v>
      </c>
      <c r="N32" s="4314">
        <f>+Egresos!O145</f>
        <v>0</v>
      </c>
      <c r="O32" s="4619">
        <f t="shared" si="5"/>
        <v>0</v>
      </c>
      <c r="P32" s="3437"/>
      <c r="S32" s="3437"/>
    </row>
    <row r="33" spans="2:19" ht="15.05" thickBot="1" x14ac:dyDescent="0.35">
      <c r="B33" s="3723" t="s">
        <v>450</v>
      </c>
      <c r="C33" s="4618">
        <f>+Egresos!D148+Egresos!D149+Egresos!D150</f>
        <v>0</v>
      </c>
      <c r="D33" s="3724">
        <f>+Egresos!E148+Egresos!E149+Egresos!E150</f>
        <v>0</v>
      </c>
      <c r="E33" s="3724">
        <f>+Egresos!F148+Egresos!F149+Egresos!F150</f>
        <v>0</v>
      </c>
      <c r="F33" s="3724">
        <f>+Egresos!G148+Egresos!G149+Egresos!G150</f>
        <v>0</v>
      </c>
      <c r="G33" s="3724">
        <f>+Egresos!H148+Egresos!H149+Egresos!H150</f>
        <v>0</v>
      </c>
      <c r="H33" s="3724">
        <f>+Egresos!I148+Egresos!I149+Egresos!I150</f>
        <v>0</v>
      </c>
      <c r="I33" s="3724">
        <f>+Egresos!J148+Egresos!J149+Egresos!J150</f>
        <v>0</v>
      </c>
      <c r="J33" s="3724">
        <f>+Egresos!K148+Egresos!K149+Egresos!K150</f>
        <v>0</v>
      </c>
      <c r="K33" s="3724">
        <f>+Egresos!L148+Egresos!L149+Egresos!L150</f>
        <v>0</v>
      </c>
      <c r="L33" s="3724">
        <f>+Egresos!M148+Egresos!M149+Egresos!M150</f>
        <v>0</v>
      </c>
      <c r="M33" s="3724">
        <f>+Egresos!N148+Egresos!N149+Egresos!N150</f>
        <v>0</v>
      </c>
      <c r="N33" s="4314">
        <f>+Egresos!O148+Egresos!O149+Egresos!O150</f>
        <v>0</v>
      </c>
      <c r="O33" s="4619">
        <f t="shared" si="5"/>
        <v>0</v>
      </c>
      <c r="P33" s="3437"/>
      <c r="S33" s="3437"/>
    </row>
    <row r="34" spans="2:19" ht="15.05" thickBot="1" x14ac:dyDescent="0.35">
      <c r="B34" s="4494" t="s">
        <v>674</v>
      </c>
      <c r="C34" s="4635">
        <f ca="1">SUM(C22:C33)</f>
        <v>0</v>
      </c>
      <c r="D34" s="4636">
        <f t="shared" ref="D34:M34" ca="1" si="6">SUM(D22:D33)</f>
        <v>0</v>
      </c>
      <c r="E34" s="4636">
        <f t="shared" ca="1" si="6"/>
        <v>0</v>
      </c>
      <c r="F34" s="4636">
        <f t="shared" ca="1" si="6"/>
        <v>0</v>
      </c>
      <c r="G34" s="4636">
        <f t="shared" ca="1" si="6"/>
        <v>0</v>
      </c>
      <c r="H34" s="4636">
        <f t="shared" ca="1" si="6"/>
        <v>0</v>
      </c>
      <c r="I34" s="4636">
        <f t="shared" ca="1" si="6"/>
        <v>0</v>
      </c>
      <c r="J34" s="4636">
        <f t="shared" ca="1" si="6"/>
        <v>0</v>
      </c>
      <c r="K34" s="4636">
        <f t="shared" ca="1" si="6"/>
        <v>0</v>
      </c>
      <c r="L34" s="4636">
        <f t="shared" ca="1" si="6"/>
        <v>0</v>
      </c>
      <c r="M34" s="4636">
        <f t="shared" ca="1" si="6"/>
        <v>0</v>
      </c>
      <c r="N34" s="4560">
        <f ca="1">SUM(N22:N33)</f>
        <v>0</v>
      </c>
      <c r="O34" s="4560">
        <f ca="1">SUM(O22:O33)</f>
        <v>0</v>
      </c>
      <c r="P34" s="3437"/>
      <c r="S34" s="3437"/>
    </row>
    <row r="35" spans="2:19" s="3437" customFormat="1" ht="2.95" customHeight="1" thickBot="1" x14ac:dyDescent="0.35">
      <c r="B35" s="3642"/>
      <c r="C35" s="4425"/>
      <c r="D35" s="4425"/>
      <c r="E35" s="4425"/>
      <c r="F35" s="4425"/>
      <c r="G35" s="4425"/>
      <c r="H35" s="4425"/>
      <c r="I35" s="4425"/>
      <c r="J35" s="4425"/>
      <c r="K35" s="4425"/>
      <c r="L35" s="4425"/>
      <c r="M35" s="4425"/>
      <c r="N35" s="4425"/>
      <c r="O35" s="4425"/>
    </row>
    <row r="36" spans="2:19" x14ac:dyDescent="0.3">
      <c r="B36" s="4637" t="s">
        <v>16</v>
      </c>
      <c r="C36" s="4638">
        <f>+Egresos!D159</f>
        <v>0</v>
      </c>
      <c r="D36" s="4639">
        <f>+Egresos!E159</f>
        <v>0</v>
      </c>
      <c r="E36" s="4639">
        <f>+Egresos!F159</f>
        <v>0</v>
      </c>
      <c r="F36" s="4639">
        <f>+Egresos!G159</f>
        <v>0</v>
      </c>
      <c r="G36" s="4639">
        <f>+Egresos!H159</f>
        <v>0</v>
      </c>
      <c r="H36" s="4639">
        <f>+Egresos!I159</f>
        <v>0</v>
      </c>
      <c r="I36" s="4639">
        <f>+Egresos!J159</f>
        <v>0</v>
      </c>
      <c r="J36" s="4639">
        <f>+Egresos!K159</f>
        <v>0</v>
      </c>
      <c r="K36" s="4639">
        <f>+Egresos!L159</f>
        <v>0</v>
      </c>
      <c r="L36" s="4639">
        <f>+Egresos!M159</f>
        <v>0</v>
      </c>
      <c r="M36" s="4639">
        <f>+Egresos!N159</f>
        <v>0</v>
      </c>
      <c r="N36" s="4640">
        <f>+Egresos!O159</f>
        <v>0</v>
      </c>
      <c r="O36" s="4641">
        <f>+SUM(C36:N36)</f>
        <v>0</v>
      </c>
      <c r="P36" s="3437"/>
      <c r="S36" s="3437"/>
    </row>
    <row r="37" spans="2:19" x14ac:dyDescent="0.3">
      <c r="B37" s="3723" t="s">
        <v>54</v>
      </c>
      <c r="C37" s="4618">
        <f>+Egresos!D161</f>
        <v>0</v>
      </c>
      <c r="D37" s="3724">
        <f>+Egresos!E161</f>
        <v>0</v>
      </c>
      <c r="E37" s="3724">
        <f>+Egresos!F161</f>
        <v>0</v>
      </c>
      <c r="F37" s="3724">
        <f>+Egresos!G161</f>
        <v>0</v>
      </c>
      <c r="G37" s="3724">
        <f>+Egresos!H161</f>
        <v>0</v>
      </c>
      <c r="H37" s="3724">
        <f>+Egresos!I161</f>
        <v>0</v>
      </c>
      <c r="I37" s="3724">
        <f>+Egresos!J161</f>
        <v>0</v>
      </c>
      <c r="J37" s="3724">
        <f>+Egresos!K161</f>
        <v>0</v>
      </c>
      <c r="K37" s="3724">
        <f>+Egresos!L161</f>
        <v>0</v>
      </c>
      <c r="L37" s="3724">
        <f>+Egresos!M161</f>
        <v>0</v>
      </c>
      <c r="M37" s="3724">
        <f>+Egresos!N161</f>
        <v>0</v>
      </c>
      <c r="N37" s="4314">
        <f>+Egresos!O161</f>
        <v>0</v>
      </c>
      <c r="O37" s="4619">
        <f t="shared" ref="O37:O44" si="7">+SUM(C37:N37)</f>
        <v>0</v>
      </c>
      <c r="P37" s="3437"/>
      <c r="S37" s="3437"/>
    </row>
    <row r="38" spans="2:19" x14ac:dyDescent="0.3">
      <c r="B38" s="3723" t="s">
        <v>223</v>
      </c>
      <c r="C38" s="4618">
        <f>+Egresos!D162</f>
        <v>0</v>
      </c>
      <c r="D38" s="3724">
        <f>+Egresos!E162</f>
        <v>0</v>
      </c>
      <c r="E38" s="3724">
        <f>+Egresos!F162</f>
        <v>0</v>
      </c>
      <c r="F38" s="3724">
        <f>+Egresos!G162</f>
        <v>0</v>
      </c>
      <c r="G38" s="3724">
        <f>+Egresos!H162</f>
        <v>0</v>
      </c>
      <c r="H38" s="3724">
        <f>+Egresos!I162</f>
        <v>0</v>
      </c>
      <c r="I38" s="3724">
        <f>+Egresos!J162</f>
        <v>0</v>
      </c>
      <c r="J38" s="3724">
        <f>+Egresos!K162</f>
        <v>0</v>
      </c>
      <c r="K38" s="3724">
        <f>+Egresos!L162</f>
        <v>0</v>
      </c>
      <c r="L38" s="3724">
        <f>+Egresos!M162</f>
        <v>0</v>
      </c>
      <c r="M38" s="3724">
        <f>+Egresos!N162</f>
        <v>0</v>
      </c>
      <c r="N38" s="4314">
        <f>+Egresos!O162</f>
        <v>0</v>
      </c>
      <c r="O38" s="4619">
        <f t="shared" si="7"/>
        <v>0</v>
      </c>
      <c r="P38" s="3437"/>
      <c r="S38" s="3437"/>
    </row>
    <row r="39" spans="2:19" x14ac:dyDescent="0.3">
      <c r="B39" s="3723" t="s">
        <v>44</v>
      </c>
      <c r="C39" s="4618">
        <f>+Egresos!D163</f>
        <v>0</v>
      </c>
      <c r="D39" s="3724">
        <f>+Egresos!E163</f>
        <v>0</v>
      </c>
      <c r="E39" s="3724">
        <f>+Egresos!F163</f>
        <v>0</v>
      </c>
      <c r="F39" s="3724">
        <f>+Egresos!G163</f>
        <v>0</v>
      </c>
      <c r="G39" s="3724">
        <f>+Egresos!H163</f>
        <v>0</v>
      </c>
      <c r="H39" s="3724">
        <f>+Egresos!I163</f>
        <v>0</v>
      </c>
      <c r="I39" s="3724">
        <f>+Egresos!J163</f>
        <v>0</v>
      </c>
      <c r="J39" s="3724">
        <f>+Egresos!K163</f>
        <v>0</v>
      </c>
      <c r="K39" s="3724">
        <f>+Egresos!L163</f>
        <v>0</v>
      </c>
      <c r="L39" s="3724">
        <f>+Egresos!M163</f>
        <v>0</v>
      </c>
      <c r="M39" s="3724">
        <f>+Egresos!N163</f>
        <v>0</v>
      </c>
      <c r="N39" s="4314">
        <f>+Egresos!O163</f>
        <v>0</v>
      </c>
      <c r="O39" s="4619">
        <f t="shared" si="7"/>
        <v>0</v>
      </c>
      <c r="P39" s="3437"/>
      <c r="S39" s="3437"/>
    </row>
    <row r="40" spans="2:19" x14ac:dyDescent="0.3">
      <c r="B40" s="3723" t="s">
        <v>82</v>
      </c>
      <c r="C40" s="4618">
        <f>+Egresos!D164</f>
        <v>0</v>
      </c>
      <c r="D40" s="3724">
        <f>+Egresos!E164</f>
        <v>0</v>
      </c>
      <c r="E40" s="3724">
        <f>+Egresos!F164</f>
        <v>0</v>
      </c>
      <c r="F40" s="3724">
        <f>+Egresos!G164</f>
        <v>0</v>
      </c>
      <c r="G40" s="3724">
        <f>+Egresos!H164</f>
        <v>0</v>
      </c>
      <c r="H40" s="3724">
        <f>+Egresos!I164</f>
        <v>0</v>
      </c>
      <c r="I40" s="3724">
        <f>+Egresos!J164</f>
        <v>0</v>
      </c>
      <c r="J40" s="3724">
        <f>+Egresos!K164</f>
        <v>0</v>
      </c>
      <c r="K40" s="3724">
        <f>+Egresos!L164</f>
        <v>0</v>
      </c>
      <c r="L40" s="3724">
        <f>+Egresos!M164</f>
        <v>0</v>
      </c>
      <c r="M40" s="3724">
        <f>+Egresos!N164</f>
        <v>0</v>
      </c>
      <c r="N40" s="4314">
        <f>+Egresos!O164</f>
        <v>0</v>
      </c>
      <c r="O40" s="4619">
        <f t="shared" si="7"/>
        <v>0</v>
      </c>
      <c r="P40" s="3437"/>
      <c r="S40" s="3437"/>
    </row>
    <row r="41" spans="2:19" x14ac:dyDescent="0.3">
      <c r="B41" s="3723" t="s">
        <v>113</v>
      </c>
      <c r="C41" s="4618">
        <f>+Egresos!D170</f>
        <v>0</v>
      </c>
      <c r="D41" s="3724">
        <f>+Egresos!E170</f>
        <v>0</v>
      </c>
      <c r="E41" s="3724">
        <f>+Egresos!F170</f>
        <v>0</v>
      </c>
      <c r="F41" s="3724">
        <f>+Egresos!G170</f>
        <v>0</v>
      </c>
      <c r="G41" s="3724">
        <f>+Egresos!H170</f>
        <v>0</v>
      </c>
      <c r="H41" s="3724">
        <f>+Egresos!I170</f>
        <v>0</v>
      </c>
      <c r="I41" s="3724">
        <f>+Egresos!J170</f>
        <v>0</v>
      </c>
      <c r="J41" s="3724">
        <f>+Egresos!K170</f>
        <v>0</v>
      </c>
      <c r="K41" s="3724">
        <f>+Egresos!L170</f>
        <v>0</v>
      </c>
      <c r="L41" s="3724">
        <f>+Egresos!M170</f>
        <v>0</v>
      </c>
      <c r="M41" s="3724">
        <f>+Egresos!N170</f>
        <v>0</v>
      </c>
      <c r="N41" s="4314">
        <f>+Egresos!O170</f>
        <v>0</v>
      </c>
      <c r="O41" s="4619">
        <f t="shared" si="7"/>
        <v>0</v>
      </c>
      <c r="P41" s="3437"/>
      <c r="S41" s="3437"/>
    </row>
    <row r="42" spans="2:19" x14ac:dyDescent="0.3">
      <c r="B42" s="3723" t="s">
        <v>439</v>
      </c>
      <c r="C42" s="4618">
        <f>+Egresos!D173+Egresos!D174+Egresos!D175</f>
        <v>0</v>
      </c>
      <c r="D42" s="3724">
        <f>+Egresos!E173+Egresos!E174+Egresos!E175</f>
        <v>0</v>
      </c>
      <c r="E42" s="3724">
        <f>+Egresos!F173+Egresos!F174+Egresos!F175</f>
        <v>0</v>
      </c>
      <c r="F42" s="3724">
        <f>+Egresos!G173+Egresos!G174+Egresos!G175</f>
        <v>0</v>
      </c>
      <c r="G42" s="3724">
        <f>+Egresos!H173+Egresos!H174+Egresos!H175</f>
        <v>0</v>
      </c>
      <c r="H42" s="3724">
        <f>+Egresos!I173+Egresos!I174+Egresos!I175</f>
        <v>0</v>
      </c>
      <c r="I42" s="3724">
        <f>+Egresos!J173+Egresos!J174+Egresos!J175</f>
        <v>0</v>
      </c>
      <c r="J42" s="3724">
        <f>+Egresos!K173+Egresos!K174+Egresos!K175</f>
        <v>0</v>
      </c>
      <c r="K42" s="3724">
        <f>+Egresos!L173+Egresos!L174+Egresos!L175</f>
        <v>0</v>
      </c>
      <c r="L42" s="3724">
        <f>+Egresos!M173+Egresos!M174+Egresos!M175</f>
        <v>0</v>
      </c>
      <c r="M42" s="3724">
        <f>+Egresos!N173+Egresos!N174+Egresos!N175</f>
        <v>0</v>
      </c>
      <c r="N42" s="4314">
        <f>+Egresos!O173+Egresos!O174+Egresos!O175</f>
        <v>0</v>
      </c>
      <c r="O42" s="4619">
        <f t="shared" si="7"/>
        <v>0</v>
      </c>
      <c r="P42" s="3437"/>
      <c r="S42" s="3437"/>
    </row>
    <row r="43" spans="2:19" x14ac:dyDescent="0.3">
      <c r="B43" s="3723" t="s">
        <v>1724</v>
      </c>
      <c r="C43" s="4618"/>
      <c r="D43" s="3724"/>
      <c r="E43" s="3724"/>
      <c r="F43" s="3724"/>
      <c r="G43" s="3724"/>
      <c r="H43" s="3724"/>
      <c r="I43" s="3724"/>
      <c r="J43" s="3724"/>
      <c r="K43" s="3724"/>
      <c r="L43" s="3724"/>
      <c r="M43" s="3724"/>
      <c r="N43" s="4314">
        <f>+General!C134</f>
        <v>0</v>
      </c>
      <c r="O43" s="4619">
        <f t="shared" si="7"/>
        <v>0</v>
      </c>
      <c r="P43" s="3437"/>
      <c r="S43" s="3437"/>
    </row>
    <row r="44" spans="2:19" ht="15.05" thickBot="1" x14ac:dyDescent="0.35">
      <c r="B44" s="3723" t="s">
        <v>509</v>
      </c>
      <c r="C44" s="4618">
        <f>+Egresos!D187</f>
        <v>0</v>
      </c>
      <c r="D44" s="3724">
        <f>+Egresos!E187</f>
        <v>0</v>
      </c>
      <c r="E44" s="3724">
        <f>+Egresos!F187</f>
        <v>0</v>
      </c>
      <c r="F44" s="3724">
        <f>+Egresos!G187</f>
        <v>0</v>
      </c>
      <c r="G44" s="3724">
        <f>+Egresos!H187</f>
        <v>0</v>
      </c>
      <c r="H44" s="3724">
        <f>+Egresos!I187</f>
        <v>0</v>
      </c>
      <c r="I44" s="3724">
        <f>+Egresos!J187</f>
        <v>0</v>
      </c>
      <c r="J44" s="3724">
        <f>+Egresos!K187</f>
        <v>0</v>
      </c>
      <c r="K44" s="3724">
        <f>+Egresos!L187</f>
        <v>0</v>
      </c>
      <c r="L44" s="3724">
        <f>+Egresos!M187</f>
        <v>0</v>
      </c>
      <c r="M44" s="3724">
        <f>+Egresos!N187</f>
        <v>0</v>
      </c>
      <c r="N44" s="4314">
        <f>+Egresos!O187</f>
        <v>0</v>
      </c>
      <c r="O44" s="4619">
        <f t="shared" si="7"/>
        <v>0</v>
      </c>
      <c r="P44" s="3437"/>
      <c r="S44" s="3437"/>
    </row>
    <row r="45" spans="2:19" ht="15.05" thickBot="1" x14ac:dyDescent="0.35">
      <c r="B45" s="4494" t="s">
        <v>675</v>
      </c>
      <c r="C45" s="4635">
        <f>SUM(C36:C44)</f>
        <v>0</v>
      </c>
      <c r="D45" s="4636">
        <f t="shared" ref="D45:N45" si="8">SUM(D36:D44)</f>
        <v>0</v>
      </c>
      <c r="E45" s="4636">
        <f t="shared" si="8"/>
        <v>0</v>
      </c>
      <c r="F45" s="4636">
        <f t="shared" si="8"/>
        <v>0</v>
      </c>
      <c r="G45" s="4636">
        <f t="shared" si="8"/>
        <v>0</v>
      </c>
      <c r="H45" s="4636">
        <f t="shared" si="8"/>
        <v>0</v>
      </c>
      <c r="I45" s="4636">
        <f t="shared" si="8"/>
        <v>0</v>
      </c>
      <c r="J45" s="4636">
        <f t="shared" si="8"/>
        <v>0</v>
      </c>
      <c r="K45" s="4636">
        <f t="shared" si="8"/>
        <v>0</v>
      </c>
      <c r="L45" s="4636">
        <f t="shared" si="8"/>
        <v>0</v>
      </c>
      <c r="M45" s="4636">
        <f t="shared" si="8"/>
        <v>0</v>
      </c>
      <c r="N45" s="4560">
        <f t="shared" si="8"/>
        <v>0</v>
      </c>
      <c r="O45" s="4642">
        <f>SUM(O36:O44)</f>
        <v>0</v>
      </c>
      <c r="P45" s="3437"/>
      <c r="S45" s="3437"/>
    </row>
    <row r="46" spans="2:19" s="3437" customFormat="1" ht="2.95" customHeight="1" thickBot="1" x14ac:dyDescent="0.35">
      <c r="B46" s="3642"/>
      <c r="C46" s="4425"/>
      <c r="D46" s="4425"/>
      <c r="E46" s="4425"/>
      <c r="F46" s="4425"/>
      <c r="G46" s="4425"/>
      <c r="H46" s="4425"/>
      <c r="I46" s="4425"/>
      <c r="J46" s="4425"/>
      <c r="K46" s="4425"/>
      <c r="L46" s="4425"/>
      <c r="M46" s="4425"/>
      <c r="N46" s="4425"/>
      <c r="O46" s="4425"/>
    </row>
    <row r="47" spans="2:19" s="3437" customFormat="1" ht="15.05" thickBot="1" x14ac:dyDescent="0.35">
      <c r="B47" s="4637" t="s">
        <v>831</v>
      </c>
      <c r="C47" s="4638">
        <f ca="1">Egresos!D191</f>
        <v>0</v>
      </c>
      <c r="D47" s="4639">
        <f ca="1">Egresos!E191</f>
        <v>0</v>
      </c>
      <c r="E47" s="4639">
        <f ca="1">Egresos!F191</f>
        <v>0</v>
      </c>
      <c r="F47" s="4639">
        <f ca="1">Egresos!G191</f>
        <v>0</v>
      </c>
      <c r="G47" s="4639">
        <f ca="1">Egresos!H191</f>
        <v>0</v>
      </c>
      <c r="H47" s="4639">
        <f ca="1">Egresos!I191</f>
        <v>0</v>
      </c>
      <c r="I47" s="4639">
        <f ca="1">Egresos!J191</f>
        <v>0</v>
      </c>
      <c r="J47" s="4639">
        <f ca="1">Egresos!K191</f>
        <v>0</v>
      </c>
      <c r="K47" s="4639">
        <f ca="1">Egresos!L191</f>
        <v>0</v>
      </c>
      <c r="L47" s="4639">
        <f ca="1">Egresos!M191</f>
        <v>0</v>
      </c>
      <c r="M47" s="4639">
        <f ca="1">Egresos!N191</f>
        <v>0</v>
      </c>
      <c r="N47" s="4640">
        <f ca="1">Egresos!O191</f>
        <v>0</v>
      </c>
      <c r="O47" s="4641">
        <f ca="1">+SUM(C47:N47)</f>
        <v>0</v>
      </c>
    </row>
    <row r="48" spans="2:19" ht="15.05" thickBot="1" x14ac:dyDescent="0.35">
      <c r="B48" s="4643" t="s">
        <v>2321</v>
      </c>
      <c r="C48" s="4644">
        <f t="shared" ref="C48:N48" ca="1" si="9">C45+C34</f>
        <v>0</v>
      </c>
      <c r="D48" s="4645">
        <f t="shared" ca="1" si="9"/>
        <v>0</v>
      </c>
      <c r="E48" s="4645">
        <f t="shared" ca="1" si="9"/>
        <v>0</v>
      </c>
      <c r="F48" s="4645">
        <f t="shared" ca="1" si="9"/>
        <v>0</v>
      </c>
      <c r="G48" s="4645">
        <f t="shared" ca="1" si="9"/>
        <v>0</v>
      </c>
      <c r="H48" s="4645">
        <f t="shared" ca="1" si="9"/>
        <v>0</v>
      </c>
      <c r="I48" s="4645">
        <f t="shared" ca="1" si="9"/>
        <v>0</v>
      </c>
      <c r="J48" s="4645">
        <f t="shared" ca="1" si="9"/>
        <v>0</v>
      </c>
      <c r="K48" s="4645">
        <f t="shared" ca="1" si="9"/>
        <v>0</v>
      </c>
      <c r="L48" s="4645">
        <f t="shared" ca="1" si="9"/>
        <v>0</v>
      </c>
      <c r="M48" s="4645">
        <f t="shared" ca="1" si="9"/>
        <v>0</v>
      </c>
      <c r="N48" s="4646">
        <f t="shared" ca="1" si="9"/>
        <v>0</v>
      </c>
      <c r="O48" s="4647">
        <f ca="1">O45+O34+O47</f>
        <v>0</v>
      </c>
      <c r="P48" s="3437"/>
      <c r="R48" s="3523"/>
      <c r="S48" s="3437"/>
    </row>
    <row r="49" spans="1:20" ht="15.05" thickBot="1" x14ac:dyDescent="0.35">
      <c r="P49" s="3437"/>
      <c r="R49" s="3523"/>
      <c r="S49" s="3437"/>
    </row>
    <row r="50" spans="1:20" x14ac:dyDescent="0.3">
      <c r="A50" s="2487">
        <f>+A21+1</f>
        <v>160</v>
      </c>
      <c r="B50" s="3885" t="s">
        <v>2324</v>
      </c>
      <c r="C50" s="4648">
        <f t="shared" ref="C50:O50" ca="1" si="10">+C19-C48</f>
        <v>0</v>
      </c>
      <c r="D50" s="3886">
        <f t="shared" ca="1" si="10"/>
        <v>0</v>
      </c>
      <c r="E50" s="3886">
        <f t="shared" ca="1" si="10"/>
        <v>0</v>
      </c>
      <c r="F50" s="3886">
        <f t="shared" ca="1" si="10"/>
        <v>0</v>
      </c>
      <c r="G50" s="3886">
        <f t="shared" ca="1" si="10"/>
        <v>0</v>
      </c>
      <c r="H50" s="3886">
        <f t="shared" ca="1" si="10"/>
        <v>0</v>
      </c>
      <c r="I50" s="3886">
        <f t="shared" ca="1" si="10"/>
        <v>0</v>
      </c>
      <c r="J50" s="3886">
        <f t="shared" ca="1" si="10"/>
        <v>0</v>
      </c>
      <c r="K50" s="3886">
        <f t="shared" ca="1" si="10"/>
        <v>0</v>
      </c>
      <c r="L50" s="3886">
        <f t="shared" ca="1" si="10"/>
        <v>0</v>
      </c>
      <c r="M50" s="3886">
        <f t="shared" ca="1" si="10"/>
        <v>0</v>
      </c>
      <c r="N50" s="4649">
        <f t="shared" ca="1" si="10"/>
        <v>0</v>
      </c>
      <c r="O50" s="4649">
        <f t="shared" ca="1" si="10"/>
        <v>0</v>
      </c>
      <c r="P50" s="3437"/>
      <c r="S50" s="3437"/>
    </row>
    <row r="51" spans="1:20" ht="15.05" thickBot="1" x14ac:dyDescent="0.35">
      <c r="B51" s="4343" t="s">
        <v>2325</v>
      </c>
      <c r="C51" s="4650">
        <f ca="1">C50</f>
        <v>0</v>
      </c>
      <c r="D51" s="4348">
        <f ca="1">C51+D50</f>
        <v>0</v>
      </c>
      <c r="E51" s="4348">
        <f t="shared" ref="E51:M51" ca="1" si="11">D51+E50</f>
        <v>0</v>
      </c>
      <c r="F51" s="4348">
        <f t="shared" ca="1" si="11"/>
        <v>0</v>
      </c>
      <c r="G51" s="4348">
        <f t="shared" ca="1" si="11"/>
        <v>0</v>
      </c>
      <c r="H51" s="4348">
        <f t="shared" ca="1" si="11"/>
        <v>0</v>
      </c>
      <c r="I51" s="4348">
        <f t="shared" ca="1" si="11"/>
        <v>0</v>
      </c>
      <c r="J51" s="4348">
        <f t="shared" ca="1" si="11"/>
        <v>0</v>
      </c>
      <c r="K51" s="4348">
        <f t="shared" ca="1" si="11"/>
        <v>0</v>
      </c>
      <c r="L51" s="4348">
        <f t="shared" ca="1" si="11"/>
        <v>0</v>
      </c>
      <c r="M51" s="4348">
        <f t="shared" ca="1" si="11"/>
        <v>0</v>
      </c>
      <c r="N51" s="4347">
        <f ca="1">M51+N50</f>
        <v>0</v>
      </c>
      <c r="O51" s="4651"/>
      <c r="P51" s="3437"/>
      <c r="S51" s="3437"/>
    </row>
    <row r="52" spans="1:20" ht="15.05" thickBot="1" x14ac:dyDescent="0.35">
      <c r="B52" s="4652"/>
      <c r="C52" s="4653"/>
      <c r="D52" s="4653"/>
      <c r="E52" s="4653"/>
      <c r="F52" s="4653"/>
      <c r="G52" s="4653"/>
      <c r="H52" s="4653"/>
      <c r="I52" s="4653"/>
      <c r="J52" s="4653"/>
      <c r="K52" s="4653"/>
      <c r="L52" s="4653"/>
      <c r="M52" s="4653"/>
      <c r="N52" s="4653"/>
      <c r="O52" s="4653"/>
      <c r="R52" s="3437"/>
      <c r="S52" s="3437"/>
    </row>
    <row r="53" spans="1:20" x14ac:dyDescent="0.3">
      <c r="A53" s="2487">
        <f>+A50+1</f>
        <v>161</v>
      </c>
      <c r="B53" s="3815" t="s">
        <v>676</v>
      </c>
      <c r="C53" s="4616"/>
      <c r="D53" s="4616"/>
      <c r="E53" s="4616"/>
      <c r="F53" s="4616"/>
      <c r="G53" s="4616"/>
      <c r="H53" s="4616"/>
      <c r="I53" s="4616"/>
      <c r="J53" s="4616"/>
      <c r="K53" s="4616"/>
      <c r="L53" s="4616"/>
      <c r="M53" s="4616"/>
      <c r="N53" s="4616"/>
      <c r="O53" s="4617"/>
      <c r="Q53" s="3437"/>
      <c r="R53" s="3437"/>
      <c r="S53" s="3437"/>
      <c r="T53" s="3437"/>
    </row>
    <row r="54" spans="1:20" s="3437" customFormat="1" x14ac:dyDescent="0.3">
      <c r="B54" s="4654" t="s">
        <v>748</v>
      </c>
      <c r="C54" s="4655">
        <f>+Egresos!D204</f>
        <v>0</v>
      </c>
      <c r="D54" s="4656">
        <f>+Egresos!E204</f>
        <v>0</v>
      </c>
      <c r="E54" s="4656">
        <f>+Egresos!F204</f>
        <v>0</v>
      </c>
      <c r="F54" s="4656">
        <f>+Egresos!G204</f>
        <v>0</v>
      </c>
      <c r="G54" s="4656">
        <f>+Egresos!H204</f>
        <v>0</v>
      </c>
      <c r="H54" s="4656">
        <f>+Egresos!I204</f>
        <v>0</v>
      </c>
      <c r="I54" s="4656">
        <f>+Egresos!J204</f>
        <v>0</v>
      </c>
      <c r="J54" s="4656">
        <f>+Egresos!K204</f>
        <v>0</v>
      </c>
      <c r="K54" s="4656">
        <f>+Egresos!L204</f>
        <v>0</v>
      </c>
      <c r="L54" s="4656">
        <f>+Egresos!M204</f>
        <v>0</v>
      </c>
      <c r="M54" s="4656">
        <f>+Egresos!N204</f>
        <v>0</v>
      </c>
      <c r="N54" s="4657">
        <f>+Egresos!O204</f>
        <v>0</v>
      </c>
      <c r="O54" s="4658">
        <f>SUM(C54:N54)</f>
        <v>0</v>
      </c>
    </row>
    <row r="55" spans="1:20" s="3437" customFormat="1" x14ac:dyDescent="0.3">
      <c r="B55" s="3723" t="s">
        <v>2319</v>
      </c>
      <c r="C55" s="4618">
        <f ca="1">+C50-C54</f>
        <v>0</v>
      </c>
      <c r="D55" s="3724">
        <f t="shared" ref="D55:N55" ca="1" si="12">+D50-D54</f>
        <v>0</v>
      </c>
      <c r="E55" s="3724">
        <f t="shared" ca="1" si="12"/>
        <v>0</v>
      </c>
      <c r="F55" s="3724">
        <f t="shared" ca="1" si="12"/>
        <v>0</v>
      </c>
      <c r="G55" s="3724">
        <f t="shared" ca="1" si="12"/>
        <v>0</v>
      </c>
      <c r="H55" s="3724">
        <f t="shared" ca="1" si="12"/>
        <v>0</v>
      </c>
      <c r="I55" s="3724">
        <f t="shared" ca="1" si="12"/>
        <v>0</v>
      </c>
      <c r="J55" s="3724">
        <f t="shared" ca="1" si="12"/>
        <v>0</v>
      </c>
      <c r="K55" s="3724">
        <f t="shared" ca="1" si="12"/>
        <v>0</v>
      </c>
      <c r="L55" s="3724">
        <f t="shared" ca="1" si="12"/>
        <v>0</v>
      </c>
      <c r="M55" s="3724">
        <f t="shared" ca="1" si="12"/>
        <v>0</v>
      </c>
      <c r="N55" s="4314">
        <f t="shared" ca="1" si="12"/>
        <v>0</v>
      </c>
      <c r="O55" s="4619">
        <f ca="1">SUM(C55:N55)</f>
        <v>0</v>
      </c>
    </row>
    <row r="56" spans="1:20" ht="15.05" thickBot="1" x14ac:dyDescent="0.35">
      <c r="B56" s="4659" t="s">
        <v>677</v>
      </c>
      <c r="C56" s="4660">
        <f ca="1">+C55</f>
        <v>0</v>
      </c>
      <c r="D56" s="4661">
        <f ca="1">+C56+D55</f>
        <v>0</v>
      </c>
      <c r="E56" s="4661">
        <f t="shared" ref="E56:N56" ca="1" si="13">+D56+E55</f>
        <v>0</v>
      </c>
      <c r="F56" s="4661">
        <f t="shared" ca="1" si="13"/>
        <v>0</v>
      </c>
      <c r="G56" s="4661">
        <f t="shared" ca="1" si="13"/>
        <v>0</v>
      </c>
      <c r="H56" s="4661">
        <f t="shared" ca="1" si="13"/>
        <v>0</v>
      </c>
      <c r="I56" s="4661">
        <f t="shared" ca="1" si="13"/>
        <v>0</v>
      </c>
      <c r="J56" s="4661">
        <f t="shared" ca="1" si="13"/>
        <v>0</v>
      </c>
      <c r="K56" s="4661">
        <f t="shared" ca="1" si="13"/>
        <v>0</v>
      </c>
      <c r="L56" s="4661">
        <f t="shared" ca="1" si="13"/>
        <v>0</v>
      </c>
      <c r="M56" s="4661">
        <f t="shared" ca="1" si="13"/>
        <v>0</v>
      </c>
      <c r="N56" s="4662">
        <f t="shared" ca="1" si="13"/>
        <v>0</v>
      </c>
      <c r="O56" s="4663"/>
      <c r="R56" s="3437"/>
      <c r="S56" s="3437"/>
    </row>
    <row r="57" spans="1:20" ht="2.95" customHeight="1" thickBot="1" x14ac:dyDescent="0.35">
      <c r="B57" s="4664"/>
      <c r="C57" s="4653"/>
      <c r="D57" s="4653"/>
      <c r="E57" s="4653"/>
      <c r="F57" s="4653"/>
      <c r="G57" s="4653"/>
      <c r="H57" s="4653"/>
      <c r="I57" s="4653"/>
      <c r="J57" s="4653"/>
      <c r="K57" s="4653"/>
      <c r="L57" s="4653"/>
      <c r="M57" s="4653"/>
      <c r="N57" s="4653"/>
      <c r="O57" s="4653"/>
      <c r="R57" s="3437"/>
      <c r="S57" s="3437"/>
    </row>
    <row r="58" spans="1:20" x14ac:dyDescent="0.3">
      <c r="B58" s="3885" t="s">
        <v>706</v>
      </c>
      <c r="C58" s="4648">
        <f ca="1">+C55-C54</f>
        <v>0</v>
      </c>
      <c r="D58" s="3886">
        <f t="shared" ref="D58:N58" ca="1" si="14">+D55-D54</f>
        <v>0</v>
      </c>
      <c r="E58" s="3886">
        <f t="shared" ca="1" si="14"/>
        <v>0</v>
      </c>
      <c r="F58" s="3886">
        <f t="shared" ca="1" si="14"/>
        <v>0</v>
      </c>
      <c r="G58" s="3886">
        <f t="shared" ca="1" si="14"/>
        <v>0</v>
      </c>
      <c r="H58" s="3886">
        <f t="shared" ca="1" si="14"/>
        <v>0</v>
      </c>
      <c r="I58" s="3886">
        <f t="shared" ca="1" si="14"/>
        <v>0</v>
      </c>
      <c r="J58" s="3886">
        <f t="shared" ca="1" si="14"/>
        <v>0</v>
      </c>
      <c r="K58" s="3886">
        <f t="shared" ca="1" si="14"/>
        <v>0</v>
      </c>
      <c r="L58" s="3886">
        <f t="shared" ca="1" si="14"/>
        <v>0</v>
      </c>
      <c r="M58" s="3886">
        <f t="shared" ca="1" si="14"/>
        <v>0</v>
      </c>
      <c r="N58" s="4649">
        <f t="shared" ca="1" si="14"/>
        <v>0</v>
      </c>
      <c r="O58" s="4641">
        <f ca="1">SUM(C58:N58)</f>
        <v>0</v>
      </c>
      <c r="P58" s="3437"/>
      <c r="S58" s="3437"/>
    </row>
    <row r="59" spans="1:20" ht="15.05" thickBot="1" x14ac:dyDescent="0.35">
      <c r="B59" s="4343" t="s">
        <v>707</v>
      </c>
      <c r="C59" s="4650">
        <f ca="1">+C58</f>
        <v>0</v>
      </c>
      <c r="D59" s="4348">
        <f t="shared" ref="D59:N59" ca="1" si="15">C59+D58</f>
        <v>0</v>
      </c>
      <c r="E59" s="4348">
        <f t="shared" ca="1" si="15"/>
        <v>0</v>
      </c>
      <c r="F59" s="4348">
        <f t="shared" ca="1" si="15"/>
        <v>0</v>
      </c>
      <c r="G59" s="4348">
        <f t="shared" ca="1" si="15"/>
        <v>0</v>
      </c>
      <c r="H59" s="4348">
        <f t="shared" ca="1" si="15"/>
        <v>0</v>
      </c>
      <c r="I59" s="4348">
        <f t="shared" ca="1" si="15"/>
        <v>0</v>
      </c>
      <c r="J59" s="4348">
        <f t="shared" ca="1" si="15"/>
        <v>0</v>
      </c>
      <c r="K59" s="4348">
        <f t="shared" ca="1" si="15"/>
        <v>0</v>
      </c>
      <c r="L59" s="4348">
        <f t="shared" ca="1" si="15"/>
        <v>0</v>
      </c>
      <c r="M59" s="4348">
        <f t="shared" ca="1" si="15"/>
        <v>0</v>
      </c>
      <c r="N59" s="4347">
        <f t="shared" ca="1" si="15"/>
        <v>0</v>
      </c>
      <c r="O59" s="4651"/>
      <c r="P59" s="3437"/>
      <c r="S59" s="3437"/>
    </row>
    <row r="60" spans="1:20" ht="15.05" thickBot="1" x14ac:dyDescent="0.35">
      <c r="B60" s="4664"/>
      <c r="C60" s="4653"/>
      <c r="D60" s="4653"/>
      <c r="E60" s="4653"/>
      <c r="F60" s="4653"/>
      <c r="G60" s="4653"/>
      <c r="H60" s="4653"/>
      <c r="I60" s="4653"/>
      <c r="J60" s="4653"/>
      <c r="K60" s="4653"/>
      <c r="L60" s="4653"/>
      <c r="M60" s="4653"/>
      <c r="N60" s="4653"/>
      <c r="O60" s="4653"/>
      <c r="R60" s="3437"/>
      <c r="S60" s="3437"/>
    </row>
    <row r="61" spans="1:20" x14ac:dyDescent="0.3">
      <c r="A61" s="2487">
        <f>+A50+1</f>
        <v>161</v>
      </c>
      <c r="B61" s="3815" t="s">
        <v>678</v>
      </c>
      <c r="C61" s="4616"/>
      <c r="D61" s="4616"/>
      <c r="E61" s="4616"/>
      <c r="F61" s="4616"/>
      <c r="G61" s="4616"/>
      <c r="H61" s="4616"/>
      <c r="I61" s="4616"/>
      <c r="J61" s="4616"/>
      <c r="K61" s="4616"/>
      <c r="L61" s="4616"/>
      <c r="M61" s="4616"/>
      <c r="N61" s="4616"/>
      <c r="O61" s="4617"/>
      <c r="Q61" s="3437"/>
      <c r="R61" s="3437"/>
      <c r="S61" s="3437"/>
      <c r="T61" s="3437"/>
    </row>
    <row r="62" spans="1:20" s="3437" customFormat="1" x14ac:dyDescent="0.3">
      <c r="B62" s="4665" t="s">
        <v>141</v>
      </c>
      <c r="C62" s="4655">
        <f>+Egresos!D211</f>
        <v>0</v>
      </c>
      <c r="D62" s="4656">
        <f>+Egresos!E211</f>
        <v>0</v>
      </c>
      <c r="E62" s="4656">
        <f>+Egresos!F211</f>
        <v>0</v>
      </c>
      <c r="F62" s="4656">
        <f>+Egresos!G211</f>
        <v>0</v>
      </c>
      <c r="G62" s="4656">
        <f>+Egresos!H211</f>
        <v>0</v>
      </c>
      <c r="H62" s="4656">
        <f>+Egresos!I211</f>
        <v>0</v>
      </c>
      <c r="I62" s="4656">
        <f>+Egresos!J211</f>
        <v>0</v>
      </c>
      <c r="J62" s="4656">
        <f>+Egresos!K211</f>
        <v>0</v>
      </c>
      <c r="K62" s="4656">
        <f>+Egresos!L211</f>
        <v>0</v>
      </c>
      <c r="L62" s="4656">
        <f>+Egresos!M211</f>
        <v>0</v>
      </c>
      <c r="M62" s="4656">
        <f>+Egresos!N211</f>
        <v>0</v>
      </c>
      <c r="N62" s="4657">
        <f>+Egresos!O211</f>
        <v>0</v>
      </c>
      <c r="O62" s="4658">
        <f>SUM(C62:N62)</f>
        <v>0</v>
      </c>
    </row>
    <row r="63" spans="1:20" s="3437" customFormat="1" x14ac:dyDescent="0.3">
      <c r="B63" s="3723" t="s">
        <v>2319</v>
      </c>
      <c r="C63" s="4618">
        <f ca="1">+C55-C62</f>
        <v>0</v>
      </c>
      <c r="D63" s="3724">
        <f t="shared" ref="D63:N63" ca="1" si="16">+D55-D62</f>
        <v>0</v>
      </c>
      <c r="E63" s="3724">
        <f t="shared" ca="1" si="16"/>
        <v>0</v>
      </c>
      <c r="F63" s="3724">
        <f t="shared" ca="1" si="16"/>
        <v>0</v>
      </c>
      <c r="G63" s="3724">
        <f t="shared" ca="1" si="16"/>
        <v>0</v>
      </c>
      <c r="H63" s="3724">
        <f t="shared" ca="1" si="16"/>
        <v>0</v>
      </c>
      <c r="I63" s="3724">
        <f t="shared" ca="1" si="16"/>
        <v>0</v>
      </c>
      <c r="J63" s="3724">
        <f t="shared" ca="1" si="16"/>
        <v>0</v>
      </c>
      <c r="K63" s="3724">
        <f t="shared" ca="1" si="16"/>
        <v>0</v>
      </c>
      <c r="L63" s="3724">
        <f t="shared" ca="1" si="16"/>
        <v>0</v>
      </c>
      <c r="M63" s="3724">
        <f t="shared" ca="1" si="16"/>
        <v>0</v>
      </c>
      <c r="N63" s="4314">
        <f t="shared" ca="1" si="16"/>
        <v>0</v>
      </c>
      <c r="O63" s="4619">
        <f ca="1">SUM(C63:N63)</f>
        <v>0</v>
      </c>
    </row>
    <row r="64" spans="1:20" ht="15.05" thickBot="1" x14ac:dyDescent="0.35">
      <c r="B64" s="4659" t="s">
        <v>679</v>
      </c>
      <c r="C64" s="4660">
        <f ca="1">+C63</f>
        <v>0</v>
      </c>
      <c r="D64" s="4661">
        <f t="shared" ref="D64:N64" ca="1" si="17">+C64+D63</f>
        <v>0</v>
      </c>
      <c r="E64" s="4661">
        <f t="shared" ca="1" si="17"/>
        <v>0</v>
      </c>
      <c r="F64" s="4661">
        <f t="shared" ca="1" si="17"/>
        <v>0</v>
      </c>
      <c r="G64" s="4661">
        <f t="shared" ca="1" si="17"/>
        <v>0</v>
      </c>
      <c r="H64" s="4661">
        <f t="shared" ca="1" si="17"/>
        <v>0</v>
      </c>
      <c r="I64" s="4661">
        <f t="shared" ca="1" si="17"/>
        <v>0</v>
      </c>
      <c r="J64" s="4661">
        <f t="shared" ca="1" si="17"/>
        <v>0</v>
      </c>
      <c r="K64" s="4661">
        <f t="shared" ca="1" si="17"/>
        <v>0</v>
      </c>
      <c r="L64" s="4661">
        <f t="shared" ca="1" si="17"/>
        <v>0</v>
      </c>
      <c r="M64" s="4661">
        <f t="shared" ca="1" si="17"/>
        <v>0</v>
      </c>
      <c r="N64" s="4662">
        <f t="shared" ca="1" si="17"/>
        <v>0</v>
      </c>
      <c r="O64" s="4666"/>
      <c r="R64" s="3437"/>
      <c r="S64" s="3437"/>
    </row>
    <row r="65" spans="1:23" ht="15.05" thickBot="1" x14ac:dyDescent="0.35">
      <c r="B65" s="4664"/>
      <c r="C65" s="4653"/>
      <c r="D65" s="4653"/>
      <c r="E65" s="4653"/>
      <c r="F65" s="4653"/>
      <c r="G65" s="4653"/>
      <c r="H65" s="4653"/>
      <c r="I65" s="4653"/>
      <c r="J65" s="4653"/>
      <c r="K65" s="4653"/>
      <c r="L65" s="4653"/>
      <c r="M65" s="4653"/>
      <c r="N65" s="4653"/>
      <c r="O65" s="4653"/>
      <c r="R65" s="3437"/>
      <c r="S65" s="3437"/>
    </row>
    <row r="66" spans="1:23" x14ac:dyDescent="0.3">
      <c r="A66" s="2487">
        <f>+A61+1</f>
        <v>162</v>
      </c>
      <c r="B66" s="3815" t="s">
        <v>146</v>
      </c>
      <c r="C66" s="4616"/>
      <c r="D66" s="4616"/>
      <c r="E66" s="4616"/>
      <c r="F66" s="4616"/>
      <c r="G66" s="4616"/>
      <c r="H66" s="4616"/>
      <c r="I66" s="4616"/>
      <c r="J66" s="4616"/>
      <c r="K66" s="4616"/>
      <c r="L66" s="4616"/>
      <c r="M66" s="4616"/>
      <c r="N66" s="4616"/>
      <c r="O66" s="4617"/>
      <c r="P66" s="3437"/>
      <c r="Q66" s="3437"/>
      <c r="R66" s="3437"/>
      <c r="S66" s="3437"/>
    </row>
    <row r="67" spans="1:23" x14ac:dyDescent="0.3">
      <c r="B67" s="4654" t="s">
        <v>146</v>
      </c>
      <c r="C67" s="4667">
        <f>MovFinancieros!D92</f>
        <v>0</v>
      </c>
      <c r="D67" s="4668">
        <f>MovFinancieros!E92</f>
        <v>0</v>
      </c>
      <c r="E67" s="4668">
        <f>MovFinancieros!F92</f>
        <v>0</v>
      </c>
      <c r="F67" s="4668">
        <f>MovFinancieros!G92</f>
        <v>0</v>
      </c>
      <c r="G67" s="4668">
        <f>MovFinancieros!H92</f>
        <v>0</v>
      </c>
      <c r="H67" s="4668">
        <f>MovFinancieros!I92</f>
        <v>0</v>
      </c>
      <c r="I67" s="4668">
        <f>MovFinancieros!J92</f>
        <v>0</v>
      </c>
      <c r="J67" s="4668">
        <f>MovFinancieros!K92</f>
        <v>0</v>
      </c>
      <c r="K67" s="4668">
        <f>MovFinancieros!L92</f>
        <v>0</v>
      </c>
      <c r="L67" s="4668">
        <f>MovFinancieros!M92</f>
        <v>0</v>
      </c>
      <c r="M67" s="4668">
        <f>MovFinancieros!N92</f>
        <v>0</v>
      </c>
      <c r="N67" s="4669">
        <f>MovFinancieros!O92</f>
        <v>0</v>
      </c>
      <c r="O67" s="4658">
        <f>SUM(C67:N67)</f>
        <v>0</v>
      </c>
      <c r="S67" s="3437"/>
    </row>
    <row r="68" spans="1:23" x14ac:dyDescent="0.3">
      <c r="B68" s="3723" t="s">
        <v>2320</v>
      </c>
      <c r="C68" s="4618">
        <f ca="1">+C63-C67</f>
        <v>0</v>
      </c>
      <c r="D68" s="3724">
        <f t="shared" ref="D68:N68" ca="1" si="18">+D63-D67</f>
        <v>0</v>
      </c>
      <c r="E68" s="3724">
        <f t="shared" ca="1" si="18"/>
        <v>0</v>
      </c>
      <c r="F68" s="3724">
        <f t="shared" ca="1" si="18"/>
        <v>0</v>
      </c>
      <c r="G68" s="3724">
        <f t="shared" ca="1" si="18"/>
        <v>0</v>
      </c>
      <c r="H68" s="3724">
        <f t="shared" ca="1" si="18"/>
        <v>0</v>
      </c>
      <c r="I68" s="3724">
        <f t="shared" ca="1" si="18"/>
        <v>0</v>
      </c>
      <c r="J68" s="3724">
        <f t="shared" ca="1" si="18"/>
        <v>0</v>
      </c>
      <c r="K68" s="3724">
        <f t="shared" ca="1" si="18"/>
        <v>0</v>
      </c>
      <c r="L68" s="3724">
        <f t="shared" ca="1" si="18"/>
        <v>0</v>
      </c>
      <c r="M68" s="3724">
        <f t="shared" ca="1" si="18"/>
        <v>0</v>
      </c>
      <c r="N68" s="4314">
        <f t="shared" ca="1" si="18"/>
        <v>0</v>
      </c>
      <c r="O68" s="4619">
        <f ca="1">SUM(C68:N68)</f>
        <v>0</v>
      </c>
    </row>
    <row r="69" spans="1:23" ht="15.05" thickBot="1" x14ac:dyDescent="0.35">
      <c r="B69" s="4659" t="s">
        <v>453</v>
      </c>
      <c r="C69" s="4660">
        <f ca="1">+C68</f>
        <v>0</v>
      </c>
      <c r="D69" s="4661">
        <f ca="1">+D68+C69</f>
        <v>0</v>
      </c>
      <c r="E69" s="4661">
        <f ca="1">+E68+D69</f>
        <v>0</v>
      </c>
      <c r="F69" s="4661">
        <f t="shared" ref="F69:N69" ca="1" si="19">+F68+E69</f>
        <v>0</v>
      </c>
      <c r="G69" s="4661">
        <f t="shared" ca="1" si="19"/>
        <v>0</v>
      </c>
      <c r="H69" s="4661">
        <f t="shared" ca="1" si="19"/>
        <v>0</v>
      </c>
      <c r="I69" s="4661">
        <f t="shared" ca="1" si="19"/>
        <v>0</v>
      </c>
      <c r="J69" s="4661">
        <f t="shared" ca="1" si="19"/>
        <v>0</v>
      </c>
      <c r="K69" s="4661">
        <f t="shared" ca="1" si="19"/>
        <v>0</v>
      </c>
      <c r="L69" s="4661">
        <f t="shared" ca="1" si="19"/>
        <v>0</v>
      </c>
      <c r="M69" s="4661">
        <f t="shared" ca="1" si="19"/>
        <v>0</v>
      </c>
      <c r="N69" s="4662">
        <f t="shared" ca="1" si="19"/>
        <v>0</v>
      </c>
      <c r="O69" s="4666"/>
    </row>
    <row r="70" spans="1:23" x14ac:dyDescent="0.3">
      <c r="B70" s="4664"/>
    </row>
    <row r="71" spans="1:23" x14ac:dyDescent="0.3">
      <c r="B71" s="3616"/>
    </row>
    <row r="72" spans="1:23" x14ac:dyDescent="0.3">
      <c r="B72" s="4664"/>
      <c r="H72" s="4670"/>
    </row>
    <row r="76" spans="1:23" s="2476" customFormat="1" ht="27" hidden="1" customHeight="1" x14ac:dyDescent="0.2">
      <c r="A76" s="3067"/>
      <c r="B76" s="2149" t="s">
        <v>2238</v>
      </c>
      <c r="C76" s="2147"/>
      <c r="D76" s="3068"/>
      <c r="E76" s="3068"/>
      <c r="F76" s="3069"/>
      <c r="G76" s="2148"/>
      <c r="H76" s="2148"/>
      <c r="I76" s="2148"/>
      <c r="J76" s="2148"/>
      <c r="K76" s="2148"/>
      <c r="L76" s="2148"/>
      <c r="M76" s="2148"/>
      <c r="N76" s="2148"/>
      <c r="O76" s="2148"/>
      <c r="P76" s="2148"/>
      <c r="Q76" s="2148"/>
      <c r="R76" s="2148"/>
      <c r="S76" s="3068"/>
      <c r="T76" s="2618"/>
      <c r="U76" s="3065"/>
      <c r="W76" s="3066"/>
    </row>
    <row r="77" spans="1:23" ht="15.05" hidden="1" thickBot="1" x14ac:dyDescent="0.35">
      <c r="B77" s="3440"/>
      <c r="C77" s="3436"/>
      <c r="D77" s="3436"/>
      <c r="E77" s="3436"/>
    </row>
    <row r="78" spans="1:23" ht="15.05" hidden="1" thickTop="1" x14ac:dyDescent="0.3">
      <c r="B78" s="4671" t="s">
        <v>826</v>
      </c>
      <c r="C78" s="4672" t="s">
        <v>1956</v>
      </c>
      <c r="D78" s="4673" t="s">
        <v>30</v>
      </c>
      <c r="E78" s="3436"/>
    </row>
    <row r="79" spans="1:23" hidden="1" x14ac:dyDescent="0.3">
      <c r="B79" s="4609" t="s">
        <v>785</v>
      </c>
      <c r="C79" s="4674">
        <f>+Alimentos!E384</f>
        <v>0</v>
      </c>
      <c r="D79" s="4675">
        <f>+Precios!$C$208/1000*EconómicoMensual!C79</f>
        <v>0</v>
      </c>
      <c r="E79" s="3436"/>
    </row>
    <row r="80" spans="1:23" hidden="1" x14ac:dyDescent="0.3">
      <c r="B80" s="4609" t="s">
        <v>827</v>
      </c>
      <c r="C80" s="4674">
        <f>+Alimentos!R410</f>
        <v>0</v>
      </c>
      <c r="D80" s="4675">
        <f>+Precios!$C$208/1000*EconómicoMensual!C80</f>
        <v>0</v>
      </c>
      <c r="E80" s="3436"/>
    </row>
    <row r="81" spans="2:5" ht="15.05" hidden="1" thickBot="1" x14ac:dyDescent="0.35">
      <c r="B81" s="4676" t="s">
        <v>828</v>
      </c>
      <c r="C81" s="4677"/>
      <c r="D81" s="4678">
        <f>+D80-D79</f>
        <v>0</v>
      </c>
      <c r="E81" s="3436"/>
    </row>
    <row r="82" spans="2:5" x14ac:dyDescent="0.3">
      <c r="C82" s="3436"/>
      <c r="D82" s="3436"/>
      <c r="E82" s="3436"/>
    </row>
    <row r="83" spans="2:5" x14ac:dyDescent="0.3">
      <c r="C83" s="3436"/>
      <c r="D83" s="3436"/>
      <c r="E83" s="3436"/>
    </row>
    <row r="84" spans="2:5" x14ac:dyDescent="0.3">
      <c r="C84" s="3436"/>
      <c r="D84" s="3436"/>
      <c r="E84" s="3436"/>
    </row>
    <row r="85" spans="2:5" x14ac:dyDescent="0.3">
      <c r="C85" s="3436"/>
      <c r="D85" s="3436"/>
      <c r="E85" s="3436"/>
    </row>
  </sheetData>
  <sheetProtection password="CF72" sheet="1" objects="1" scenarios="1"/>
  <conditionalFormatting sqref="C70:O72">
    <cfRule type="cellIs" dxfId="53" priority="15" stopIfTrue="1" operator="lessThan">
      <formula>0</formula>
    </cfRule>
  </conditionalFormatting>
  <conditionalFormatting sqref="A1">
    <cfRule type="cellIs" dxfId="52" priority="1" operator="equal">
      <formula>0</formula>
    </cfRule>
  </conditionalFormatting>
  <hyperlinks>
    <hyperlink ref="A1" location="ManualGlobal!B27:D43" display="◄"/>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N158"/>
  <sheetViews>
    <sheetView showGridLines="0" zoomScale="130" zoomScaleNormal="130" zoomScaleSheetLayoutView="115" workbookViewId="0">
      <pane xSplit="1" ySplit="2" topLeftCell="B11" activePane="bottomRight" state="frozen"/>
      <selection pane="topRight" activeCell="B1" sqref="B1"/>
      <selection pane="bottomLeft" activeCell="A3" sqref="A3"/>
      <selection pane="bottomRight" activeCell="C22" sqref="C22"/>
    </sheetView>
  </sheetViews>
  <sheetFormatPr baseColWidth="10" defaultColWidth="10.875" defaultRowHeight="14.4" x14ac:dyDescent="0.3"/>
  <cols>
    <col min="1" max="1" width="5.375" style="420" customWidth="1"/>
    <col min="2" max="2" width="28.375" style="420" customWidth="1"/>
    <col min="3" max="3" width="9.375" style="420" customWidth="1"/>
    <col min="4" max="4" width="9.375" style="1226" customWidth="1"/>
    <col min="5" max="5" width="19" style="420" bestFit="1" customWidth="1"/>
    <col min="6" max="6" width="4.875" style="420" bestFit="1" customWidth="1"/>
    <col min="7" max="7" width="28.375" style="420" customWidth="1"/>
    <col min="8" max="8" width="9.375" style="300" customWidth="1"/>
    <col min="9" max="9" width="9.375" style="420" customWidth="1"/>
    <col min="10" max="10" width="13" style="420" customWidth="1"/>
    <col min="11" max="11" width="11.625" style="420" customWidth="1"/>
    <col min="12" max="16384" width="10.875" style="420"/>
  </cols>
  <sheetData>
    <row r="1" spans="1:9" x14ac:dyDescent="0.3">
      <c r="A1" s="2443" t="s">
        <v>633</v>
      </c>
      <c r="B1" s="462" t="s">
        <v>838</v>
      </c>
      <c r="C1" s="462"/>
      <c r="D1" s="1225"/>
      <c r="E1" s="434"/>
      <c r="F1" s="434"/>
      <c r="G1" s="434"/>
    </row>
    <row r="2" spans="1:9" x14ac:dyDescent="0.3">
      <c r="B2" s="462"/>
      <c r="C2" s="462"/>
      <c r="D2" s="1225"/>
      <c r="E2" s="434"/>
      <c r="F2" s="434"/>
      <c r="G2" s="434"/>
    </row>
    <row r="3" spans="1:9" ht="28.8" x14ac:dyDescent="0.3">
      <c r="B3" s="462"/>
      <c r="C3" s="2273" t="s">
        <v>1848</v>
      </c>
      <c r="D3" s="2272" t="s">
        <v>513</v>
      </c>
      <c r="E3" s="434"/>
      <c r="F3" s="434"/>
      <c r="G3" s="434"/>
      <c r="H3" s="2273" t="s">
        <v>1848</v>
      </c>
      <c r="I3" s="2272" t="s">
        <v>513</v>
      </c>
    </row>
    <row r="4" spans="1:9" x14ac:dyDescent="0.3">
      <c r="A4" s="1344">
        <f>+EconómicoMensual!A66+1</f>
        <v>163</v>
      </c>
      <c r="B4" s="547" t="s">
        <v>1849</v>
      </c>
      <c r="C4" s="548"/>
      <c r="E4" s="300"/>
      <c r="G4" s="549" t="s">
        <v>1861</v>
      </c>
      <c r="H4" s="551"/>
      <c r="I4" s="551"/>
    </row>
    <row r="5" spans="1:9" x14ac:dyDescent="0.3">
      <c r="B5" s="552" t="s">
        <v>598</v>
      </c>
      <c r="C5" s="309" t="e">
        <f>+UsoSuelo!C99</f>
        <v>#DIV/0!</v>
      </c>
      <c r="D5" s="2375">
        <f>+Egresos!S7</f>
        <v>0</v>
      </c>
      <c r="F5" s="1344">
        <f>+A45+1</f>
        <v>167</v>
      </c>
      <c r="G5" s="547" t="s">
        <v>1147</v>
      </c>
      <c r="H5" s="553"/>
      <c r="I5" s="554"/>
    </row>
    <row r="6" spans="1:9" x14ac:dyDescent="0.3">
      <c r="B6" s="481" t="s">
        <v>599</v>
      </c>
      <c r="C6" s="309" t="e">
        <f>C5-C7</f>
        <v>#DIV/0!</v>
      </c>
      <c r="D6" s="1227"/>
      <c r="E6" s="300"/>
      <c r="F6" s="300"/>
      <c r="G6" s="481" t="s">
        <v>92</v>
      </c>
      <c r="H6" s="300" t="e">
        <f>+Egresos!Q93+Egresos!Q94</f>
        <v>#DIV/0!</v>
      </c>
      <c r="I6" s="309">
        <f>Egresos!S95</f>
        <v>0</v>
      </c>
    </row>
    <row r="7" spans="1:9" x14ac:dyDescent="0.3">
      <c r="B7" s="483" t="s">
        <v>600</v>
      </c>
      <c r="C7" s="555">
        <f>SUM(Egresos!C194:C203)</f>
        <v>0</v>
      </c>
      <c r="D7" s="1227"/>
      <c r="E7" s="300"/>
      <c r="F7" s="300"/>
      <c r="G7" s="481" t="s">
        <v>93</v>
      </c>
      <c r="H7" s="300" t="e">
        <f ca="1">+Egresos!Q96+Egresos!Q97</f>
        <v>#DIV/0!</v>
      </c>
      <c r="I7" s="309">
        <f>Egresos!S98</f>
        <v>0</v>
      </c>
    </row>
    <row r="8" spans="1:9" x14ac:dyDescent="0.3">
      <c r="E8" s="300"/>
      <c r="F8" s="300"/>
      <c r="G8" s="481" t="s">
        <v>94</v>
      </c>
      <c r="H8" s="300" t="e">
        <f>+Egresos!Q99+Egresos!Q100+Egresos!Q102+Egresos!Q104+Egresos!Q105+Egresos!Q101-(InsumosCultivos!S1452/C5)</f>
        <v>#DIV/0!</v>
      </c>
      <c r="I8" s="614">
        <f>+Egresos!S103+Egresos!S106</f>
        <v>0</v>
      </c>
    </row>
    <row r="9" spans="1:9" x14ac:dyDescent="0.3">
      <c r="B9" s="489" t="s">
        <v>118</v>
      </c>
      <c r="C9" s="556" t="e">
        <f>C10/C5</f>
        <v>#DIV/0!</v>
      </c>
      <c r="D9" s="1228"/>
      <c r="E9" s="300"/>
      <c r="F9" s="300"/>
      <c r="G9" s="557" t="s">
        <v>136</v>
      </c>
      <c r="H9" s="558" t="e">
        <f ca="1">+EconómicoMensual!O22/EconómicoAnual!C5</f>
        <v>#DIV/0!</v>
      </c>
      <c r="I9" s="559">
        <f>SUM(I6:I8)</f>
        <v>0</v>
      </c>
    </row>
    <row r="10" spans="1:9" x14ac:dyDescent="0.3">
      <c r="B10" s="483" t="s">
        <v>597</v>
      </c>
      <c r="C10" s="560">
        <f>UsoSuelo!L132</f>
        <v>0</v>
      </c>
      <c r="D10" s="1229"/>
      <c r="E10" s="300"/>
      <c r="F10" s="300"/>
      <c r="G10" s="432"/>
      <c r="I10" s="300"/>
    </row>
    <row r="11" spans="1:9" x14ac:dyDescent="0.3">
      <c r="E11" s="300"/>
      <c r="F11" s="300"/>
      <c r="G11" s="561" t="s">
        <v>138</v>
      </c>
      <c r="H11" s="562" t="e">
        <f>+Egresos!Q110</f>
        <v>#DIV/0!</v>
      </c>
      <c r="I11" s="563">
        <f>Egresos!S110</f>
        <v>0</v>
      </c>
    </row>
    <row r="12" spans="1:9" x14ac:dyDescent="0.3">
      <c r="B12" s="489" t="s">
        <v>601</v>
      </c>
      <c r="C12" s="564" t="e">
        <f>AVERAGE(UsoSuelo!G127:R127)</f>
        <v>#DIV/0!</v>
      </c>
      <c r="D12" s="1230"/>
      <c r="E12" s="300"/>
      <c r="F12" s="300"/>
      <c r="G12" s="565" t="s">
        <v>97</v>
      </c>
      <c r="H12" s="566" t="e">
        <f>+Egresos!Q111</f>
        <v>#DIV/0!</v>
      </c>
      <c r="I12" s="567">
        <f>Egresos!S111</f>
        <v>0</v>
      </c>
    </row>
    <row r="13" spans="1:9" x14ac:dyDescent="0.3">
      <c r="B13" s="568" t="s">
        <v>602</v>
      </c>
      <c r="C13" s="569">
        <f>AVERAGE(UsoSuelo!G638:R638)</f>
        <v>0</v>
      </c>
      <c r="D13" s="1230"/>
      <c r="E13" s="300"/>
      <c r="F13" s="300"/>
      <c r="G13" s="565" t="s">
        <v>98</v>
      </c>
      <c r="H13" s="566" t="e">
        <f>+Egresos!Q112</f>
        <v>#DIV/0!</v>
      </c>
      <c r="I13" s="567">
        <f>Egresos!S112</f>
        <v>0</v>
      </c>
    </row>
    <row r="14" spans="1:9" x14ac:dyDescent="0.3">
      <c r="B14" s="568" t="s">
        <v>1159</v>
      </c>
      <c r="C14" s="569" t="e">
        <f>+UsoSuelo!S131</f>
        <v>#DIV/0!</v>
      </c>
      <c r="D14" s="1230"/>
      <c r="E14" s="300"/>
      <c r="F14" s="300"/>
      <c r="G14" s="557" t="s">
        <v>99</v>
      </c>
      <c r="H14" s="558" t="e">
        <f>+Egresos!Q113</f>
        <v>#DIV/0!</v>
      </c>
      <c r="I14" s="559">
        <f>Egresos!S113</f>
        <v>0</v>
      </c>
    </row>
    <row r="15" spans="1:9" x14ac:dyDescent="0.3">
      <c r="E15" s="300"/>
      <c r="F15" s="300"/>
      <c r="I15" s="300"/>
    </row>
    <row r="16" spans="1:9" x14ac:dyDescent="0.3">
      <c r="B16" s="479" t="s">
        <v>849</v>
      </c>
      <c r="C16" s="556" t="e">
        <f>AVERAGE(UsoSuelo!G290:R290)/EconómicoAnual!C5</f>
        <v>#DIV/0!</v>
      </c>
      <c r="D16" s="1228"/>
      <c r="E16" s="300"/>
      <c r="F16" s="300"/>
      <c r="G16" s="479" t="s">
        <v>100</v>
      </c>
      <c r="H16" s="571" t="e">
        <f>Alimentos!S657/$C$5</f>
        <v>#DIV/0!</v>
      </c>
      <c r="I16" s="613">
        <f>Egresos!S116</f>
        <v>0</v>
      </c>
    </row>
    <row r="17" spans="1:9" x14ac:dyDescent="0.3">
      <c r="B17" s="481" t="s">
        <v>850</v>
      </c>
      <c r="C17" s="570" t="e">
        <f>(AVERAGE(UsoSuelo!G294:R294)+AVERAGE(UsoSuelo!G301:R301))/EconómicoAnual!C5</f>
        <v>#DIV/0!</v>
      </c>
      <c r="D17" s="1228"/>
      <c r="E17" s="300"/>
      <c r="F17" s="300"/>
      <c r="G17" s="481" t="s">
        <v>22</v>
      </c>
      <c r="H17" s="425" t="e">
        <f>+(Egresos!P117+Egresos!P118+EconómicoMensual!N28)/$C$5</f>
        <v>#DIV/0!</v>
      </c>
      <c r="I17" s="614">
        <f>Egresos!S118</f>
        <v>0</v>
      </c>
    </row>
    <row r="18" spans="1:9" x14ac:dyDescent="0.3">
      <c r="B18" s="481" t="s">
        <v>55</v>
      </c>
      <c r="C18" s="570" t="e">
        <f>AVERAGE(UsoSuelo!G316:R316)/C5</f>
        <v>#DIV/0!</v>
      </c>
      <c r="D18" s="1228"/>
      <c r="E18" s="300"/>
      <c r="F18" s="300"/>
      <c r="G18" s="481" t="s">
        <v>101</v>
      </c>
      <c r="H18" s="425" t="e">
        <f>SUMPRODUCT(A.Lecheros!F48:Q48,Ingresos!E8:P8)/C5</f>
        <v>#DIV/0!</v>
      </c>
      <c r="I18" s="614">
        <f>+Egresos!S119</f>
        <v>0</v>
      </c>
    </row>
    <row r="19" spans="1:9" x14ac:dyDescent="0.3">
      <c r="B19" s="483" t="s">
        <v>56</v>
      </c>
      <c r="C19" s="573" t="e">
        <f>AVERAGE(UsoSuelo!G326:R326)/EconómicoAnual!C5</f>
        <v>#DIV/0!</v>
      </c>
      <c r="D19" s="1228"/>
      <c r="E19" s="574"/>
      <c r="F19" s="574"/>
      <c r="G19" s="557" t="s">
        <v>139</v>
      </c>
      <c r="H19" s="558" t="e">
        <f>SUM(H16:H18)</f>
        <v>#DIV/0!</v>
      </c>
      <c r="I19" s="559">
        <f>SUM(I16:I18)</f>
        <v>0</v>
      </c>
    </row>
    <row r="20" spans="1:9" x14ac:dyDescent="0.3">
      <c r="E20" s="300"/>
      <c r="F20" s="300"/>
      <c r="G20" s="435"/>
      <c r="I20" s="300"/>
    </row>
    <row r="21" spans="1:9" x14ac:dyDescent="0.3">
      <c r="B21" s="484" t="s">
        <v>2334</v>
      </c>
      <c r="C21" s="575" t="e">
        <f>(General!C128+General!C131+General!C129+General!C130+A.Lecheros!X484+A.Ganaderos!X190)/C5</f>
        <v>#DIV/0!</v>
      </c>
      <c r="D21" s="1231"/>
      <c r="E21" s="615"/>
      <c r="F21" s="615"/>
      <c r="G21" s="479" t="s">
        <v>39</v>
      </c>
      <c r="H21" s="465" t="e">
        <f>+Egresos!P123/$C$5</f>
        <v>#DIV/0!</v>
      </c>
      <c r="I21" s="572">
        <f>Egresos!S123</f>
        <v>0</v>
      </c>
    </row>
    <row r="22" spans="1:9" x14ac:dyDescent="0.3">
      <c r="E22" s="300"/>
      <c r="F22" s="300"/>
      <c r="G22" s="481" t="s">
        <v>40</v>
      </c>
      <c r="H22" s="300" t="e">
        <f>+Egresos!P124/$C$5</f>
        <v>#DIV/0!</v>
      </c>
      <c r="I22" s="309">
        <f>Egresos!S124</f>
        <v>0</v>
      </c>
    </row>
    <row r="23" spans="1:9" x14ac:dyDescent="0.3">
      <c r="A23" s="1344">
        <f>+A4+1</f>
        <v>164</v>
      </c>
      <c r="B23" s="547" t="s">
        <v>1850</v>
      </c>
      <c r="C23" s="1244"/>
      <c r="D23" s="1232"/>
      <c r="E23" s="300"/>
      <c r="F23" s="300"/>
      <c r="G23" s="481" t="s">
        <v>41</v>
      </c>
      <c r="H23" s="300" t="e">
        <f>+Egresos!P125/$C$5</f>
        <v>#DIV/0!</v>
      </c>
      <c r="I23" s="309">
        <f>Egresos!S125</f>
        <v>0</v>
      </c>
    </row>
    <row r="24" spans="1:9" x14ac:dyDescent="0.3">
      <c r="B24" s="481" t="s">
        <v>126</v>
      </c>
      <c r="C24" s="309" t="e">
        <f>+C43</f>
        <v>#DIV/0!</v>
      </c>
      <c r="D24" s="1233">
        <f>+D43</f>
        <v>0</v>
      </c>
      <c r="E24" s="300"/>
      <c r="F24" s="300"/>
      <c r="G24" s="557" t="s">
        <v>514</v>
      </c>
      <c r="H24" s="558" t="e">
        <f>SUM(H21:H23)</f>
        <v>#DIV/0!</v>
      </c>
      <c r="I24" s="559">
        <f>SUM(I21:I23)</f>
        <v>0</v>
      </c>
    </row>
    <row r="25" spans="1:9" x14ac:dyDescent="0.3">
      <c r="B25" s="481" t="s">
        <v>127</v>
      </c>
      <c r="C25" s="309" t="e">
        <f ca="1">+C33</f>
        <v>#DIV/0!</v>
      </c>
      <c r="D25" s="1233" t="e">
        <f>+D33</f>
        <v>#DIV/0!</v>
      </c>
      <c r="E25" s="300"/>
      <c r="F25" s="300"/>
      <c r="I25" s="300"/>
    </row>
    <row r="26" spans="1:9" x14ac:dyDescent="0.3">
      <c r="B26" s="549" t="s">
        <v>128</v>
      </c>
      <c r="C26" s="576" t="e">
        <f ca="1">+C24-C25</f>
        <v>#DIV/0!</v>
      </c>
      <c r="D26" s="1234" t="e">
        <f>+D24-D25</f>
        <v>#DIV/0!</v>
      </c>
      <c r="E26" s="300"/>
      <c r="F26" s="300"/>
      <c r="G26" s="557" t="s">
        <v>515</v>
      </c>
      <c r="H26" s="558" t="e">
        <f>+Egresos!P133/EconómicoAnual!C5</f>
        <v>#DIV/0!</v>
      </c>
      <c r="I26" s="579">
        <f>Egresos!S129+Egresos!S130+Egresos!S131</f>
        <v>0</v>
      </c>
    </row>
    <row r="27" spans="1:9" x14ac:dyDescent="0.3">
      <c r="B27" s="481" t="s">
        <v>130</v>
      </c>
      <c r="C27" s="577" t="e">
        <f ca="1">+C25/C24</f>
        <v>#DIV/0!</v>
      </c>
      <c r="D27" s="1235">
        <f>IFERROR(D25/D24,0)</f>
        <v>0</v>
      </c>
      <c r="E27" s="300"/>
      <c r="F27" s="300"/>
      <c r="I27" s="300"/>
    </row>
    <row r="28" spans="1:9" x14ac:dyDescent="0.3">
      <c r="B28" s="481" t="s">
        <v>132</v>
      </c>
      <c r="C28" s="616" t="e">
        <f>+C21</f>
        <v>#DIV/0!</v>
      </c>
      <c r="D28" s="1236" t="e">
        <f>+C21</f>
        <v>#DIV/0!</v>
      </c>
      <c r="E28" s="300"/>
      <c r="F28" s="300"/>
      <c r="G28" s="484" t="s">
        <v>104</v>
      </c>
      <c r="H28" s="580" t="e">
        <f>+Egresos!P135/$C$5</f>
        <v>#DIV/0!</v>
      </c>
      <c r="I28" s="581">
        <f>Egresos!S135</f>
        <v>0</v>
      </c>
    </row>
    <row r="29" spans="1:9" x14ac:dyDescent="0.3">
      <c r="B29" s="483" t="s">
        <v>134</v>
      </c>
      <c r="C29" s="578">
        <f ca="1">IFERROR(C26/C28,0)</f>
        <v>0</v>
      </c>
      <c r="D29" s="1237">
        <f>IFERROR(D26/D28,0)</f>
        <v>0</v>
      </c>
      <c r="E29" s="300"/>
      <c r="F29" s="300"/>
      <c r="G29" s="568" t="s">
        <v>437</v>
      </c>
      <c r="H29" s="582" t="e">
        <f>+Egresos!P137/$C$5</f>
        <v>#DIV/0!</v>
      </c>
      <c r="I29" s="555">
        <f>Egresos!S137</f>
        <v>0</v>
      </c>
    </row>
    <row r="30" spans="1:9" x14ac:dyDescent="0.3">
      <c r="C30" s="300"/>
      <c r="D30" s="1227"/>
      <c r="E30" s="300"/>
      <c r="F30" s="300"/>
      <c r="G30" s="432"/>
      <c r="I30" s="300"/>
    </row>
    <row r="31" spans="1:9" x14ac:dyDescent="0.3">
      <c r="B31" s="479" t="str">
        <f>"Insumos asignables+"&amp;Egresos!C191*100&amp;"% imprevistos"</f>
        <v>Insumos asignables+0% imprevistos</v>
      </c>
      <c r="C31" s="572" t="e">
        <f ca="1">+H38</f>
        <v>#DIV/0!</v>
      </c>
      <c r="D31" s="1238">
        <f>+I38</f>
        <v>0</v>
      </c>
      <c r="E31" s="300"/>
      <c r="F31" s="300"/>
      <c r="G31" s="479" t="s">
        <v>105</v>
      </c>
      <c r="H31" s="465" t="e">
        <f>+Egresos!Q140</f>
        <v>#DIV/0!</v>
      </c>
      <c r="I31" s="572">
        <f>Egresos!S140</f>
        <v>0</v>
      </c>
    </row>
    <row r="32" spans="1:9" x14ac:dyDescent="0.3">
      <c r="B32" s="481" t="s">
        <v>603</v>
      </c>
      <c r="C32" s="309" t="e">
        <f>+H53</f>
        <v>#DIV/0!</v>
      </c>
      <c r="D32" s="1239" t="e">
        <f>+I53</f>
        <v>#DIV/0!</v>
      </c>
      <c r="E32" s="300"/>
      <c r="F32" s="300"/>
      <c r="G32" s="481" t="s">
        <v>12</v>
      </c>
      <c r="H32" s="300" t="e">
        <f>+Egresos!Q141</f>
        <v>#DIV/0!</v>
      </c>
      <c r="I32" s="309">
        <f>Egresos!S141</f>
        <v>0</v>
      </c>
    </row>
    <row r="33" spans="1:9" x14ac:dyDescent="0.3">
      <c r="B33" s="484" t="s">
        <v>135</v>
      </c>
      <c r="C33" s="2376" t="e">
        <f ca="1">SUM(C31:C32)</f>
        <v>#DIV/0!</v>
      </c>
      <c r="D33" s="2377" t="e">
        <f>SUM(D31:D32)</f>
        <v>#DIV/0!</v>
      </c>
      <c r="G33" s="481" t="s">
        <v>33</v>
      </c>
      <c r="H33" s="300" t="e">
        <f>+Egresos!Q142</f>
        <v>#DIV/0!</v>
      </c>
      <c r="I33" s="309">
        <f>Egresos!S142</f>
        <v>0</v>
      </c>
    </row>
    <row r="34" spans="1:9" x14ac:dyDescent="0.3">
      <c r="C34" s="546"/>
      <c r="D34" s="1240"/>
      <c r="G34" s="481" t="s">
        <v>512</v>
      </c>
      <c r="H34" s="300" t="e">
        <f>+Egresos!Q143+Egresos!Q144</f>
        <v>#DIV/0!</v>
      </c>
      <c r="I34" s="309"/>
    </row>
    <row r="35" spans="1:9" x14ac:dyDescent="0.3">
      <c r="A35" s="1344">
        <f>+A23+1</f>
        <v>165</v>
      </c>
      <c r="B35" s="547" t="s">
        <v>1851</v>
      </c>
      <c r="C35" s="553"/>
      <c r="D35" s="1232"/>
      <c r="G35" s="557" t="s">
        <v>140</v>
      </c>
      <c r="H35" s="558" t="e">
        <f>SUM(H31:H33)</f>
        <v>#DIV/0!</v>
      </c>
      <c r="I35" s="579">
        <f>SUM(I31:I34)</f>
        <v>0</v>
      </c>
    </row>
    <row r="36" spans="1:9" x14ac:dyDescent="0.3">
      <c r="B36" s="481" t="s">
        <v>18</v>
      </c>
      <c r="C36" s="300" t="e">
        <f>EconómicoMensual!O6/EconómicoAnual!C5</f>
        <v>#DIV/0!</v>
      </c>
      <c r="D36" s="5456"/>
      <c r="G36" s="432"/>
      <c r="H36" s="434"/>
      <c r="I36" s="300"/>
    </row>
    <row r="37" spans="1:9" x14ac:dyDescent="0.3">
      <c r="B37" s="481" t="s">
        <v>115</v>
      </c>
      <c r="C37" s="300" t="e">
        <f>EconómicoMensual!O7/C5</f>
        <v>#DIV/0!</v>
      </c>
      <c r="D37" s="5456"/>
      <c r="G37" s="479" t="s">
        <v>505</v>
      </c>
      <c r="H37" s="465" t="e">
        <f>+Egresos!Q148+Egresos!Q149+Egresos!Q150</f>
        <v>#DIV/0!</v>
      </c>
      <c r="I37" s="572"/>
    </row>
    <row r="38" spans="1:9" x14ac:dyDescent="0.3">
      <c r="B38" s="481" t="s">
        <v>604</v>
      </c>
      <c r="C38" s="300" t="e">
        <f>EconómicoMensual!O11/C5</f>
        <v>#DIV/0!</v>
      </c>
      <c r="D38" s="5456"/>
      <c r="G38" s="583" t="s">
        <v>42</v>
      </c>
      <c r="H38" s="580" t="e">
        <f ca="1">+H35+H29+H28+H14+H26+H19+H13+H12+H11+H9+H37+H24</f>
        <v>#DIV/0!</v>
      </c>
      <c r="I38" s="581">
        <f>I35+I29+I28+I26+I24+I19+I14+I13+I12+I11+I9</f>
        <v>0</v>
      </c>
    </row>
    <row r="39" spans="1:9" x14ac:dyDescent="0.3">
      <c r="B39" s="481" t="s">
        <v>116</v>
      </c>
      <c r="C39" s="425" t="e">
        <f>+EconómicoMensual!O17/C5</f>
        <v>#DIV/0!</v>
      </c>
      <c r="D39" s="5456"/>
      <c r="G39" s="432"/>
      <c r="H39" s="434"/>
      <c r="I39" s="300"/>
    </row>
    <row r="40" spans="1:9" x14ac:dyDescent="0.3">
      <c r="B40" s="481" t="s">
        <v>63</v>
      </c>
      <c r="C40" s="300" t="e">
        <f>EconómicoMensual!O15/EconómicoAnual!C5</f>
        <v>#DIV/0!</v>
      </c>
      <c r="D40" s="5456"/>
      <c r="F40" s="1344">
        <f>+F5+1</f>
        <v>168</v>
      </c>
      <c r="G40" s="547" t="s">
        <v>83</v>
      </c>
      <c r="H40" s="553"/>
      <c r="I40" s="554"/>
    </row>
    <row r="41" spans="1:9" x14ac:dyDescent="0.3">
      <c r="B41" s="481" t="s">
        <v>296</v>
      </c>
      <c r="C41" s="300" t="e">
        <f>EconómicoMensual!O16/EconómicoAnual!C5</f>
        <v>#DIV/0!</v>
      </c>
      <c r="D41" s="5456"/>
      <c r="F41" s="300"/>
      <c r="G41" s="479" t="s">
        <v>107</v>
      </c>
      <c r="H41" s="465" t="e">
        <f>+Egresos!Q156</f>
        <v>#DIV/0!</v>
      </c>
      <c r="I41" s="572">
        <f>Egresos!S156</f>
        <v>0</v>
      </c>
    </row>
    <row r="42" spans="1:9" x14ac:dyDescent="0.3">
      <c r="B42" s="481" t="s">
        <v>511</v>
      </c>
      <c r="C42" s="300" t="e">
        <f>EconómicoMensual!O18/C5</f>
        <v>#DIV/0!</v>
      </c>
      <c r="D42" s="5457"/>
      <c r="F42" s="300"/>
      <c r="G42" s="481" t="s">
        <v>108</v>
      </c>
      <c r="H42" s="300" t="e">
        <f>+Egresos!Q157</f>
        <v>#DIV/0!</v>
      </c>
      <c r="I42" s="309">
        <f>Egresos!S157</f>
        <v>0</v>
      </c>
    </row>
    <row r="43" spans="1:9" x14ac:dyDescent="0.3">
      <c r="B43" s="557" t="s">
        <v>117</v>
      </c>
      <c r="C43" s="558" t="e">
        <f>SUM(C36:C42)</f>
        <v>#DIV/0!</v>
      </c>
      <c r="D43" s="1241">
        <f>+SUM(D36:D42)</f>
        <v>0</v>
      </c>
      <c r="F43" s="300"/>
      <c r="G43" s="481" t="s">
        <v>109</v>
      </c>
      <c r="H43" s="300" t="e">
        <f>+Egresos!Q158</f>
        <v>#DIV/0!</v>
      </c>
      <c r="I43" s="309">
        <f>Egresos!S158</f>
        <v>0</v>
      </c>
    </row>
    <row r="44" spans="1:9" x14ac:dyDescent="0.3">
      <c r="E44" s="300"/>
      <c r="F44" s="300"/>
      <c r="G44" s="557" t="s">
        <v>16</v>
      </c>
      <c r="H44" s="558" t="e">
        <f>SUM(H41:H43)</f>
        <v>#DIV/0!</v>
      </c>
      <c r="I44" s="579">
        <f>SUM(I41:I43)</f>
        <v>0</v>
      </c>
    </row>
    <row r="45" spans="1:9" x14ac:dyDescent="0.3">
      <c r="A45" s="1344">
        <f>+A35+1</f>
        <v>166</v>
      </c>
      <c r="B45" s="547" t="s">
        <v>1858</v>
      </c>
      <c r="C45" s="553"/>
      <c r="D45" s="1243"/>
      <c r="E45" s="300"/>
      <c r="F45" s="300"/>
      <c r="G45" s="432"/>
      <c r="I45" s="300"/>
    </row>
    <row r="46" spans="1:9" x14ac:dyDescent="0.3">
      <c r="B46" s="584" t="s">
        <v>897</v>
      </c>
      <c r="C46" s="572">
        <f>+ResFísico!G124</f>
        <v>0</v>
      </c>
      <c r="D46" s="5458"/>
      <c r="E46" s="300"/>
      <c r="F46" s="300"/>
      <c r="G46" s="489" t="s">
        <v>137</v>
      </c>
      <c r="H46" s="490" t="e">
        <f>+Egresos!Q161+Egresos!Q162</f>
        <v>#DIV/0!</v>
      </c>
      <c r="I46" s="572" t="e">
        <f>Egresos!S161+Egresos!Q162</f>
        <v>#DIV/0!</v>
      </c>
    </row>
    <row r="47" spans="1:9" x14ac:dyDescent="0.3">
      <c r="B47" s="481" t="s">
        <v>898</v>
      </c>
      <c r="C47" s="309" t="e">
        <f>+C46/C12</f>
        <v>#DIV/0!</v>
      </c>
      <c r="D47" s="5456"/>
      <c r="E47" s="300"/>
      <c r="F47" s="300"/>
      <c r="G47" s="552" t="s">
        <v>44</v>
      </c>
      <c r="H47" s="434" t="e">
        <f>+Egresos!Q163</f>
        <v>#DIV/0!</v>
      </c>
      <c r="I47" s="309">
        <f>Egresos!S163</f>
        <v>0</v>
      </c>
    </row>
    <row r="48" spans="1:9" x14ac:dyDescent="0.3">
      <c r="B48" s="481" t="s">
        <v>899</v>
      </c>
      <c r="C48" s="2295" t="e">
        <f>Ingresos!C680</f>
        <v>#DIV/0!</v>
      </c>
      <c r="D48" s="5459"/>
      <c r="E48" s="2378"/>
      <c r="F48" s="300"/>
      <c r="G48" s="552" t="s">
        <v>138</v>
      </c>
      <c r="H48" s="434" t="e">
        <f>+Egresos!Q164</f>
        <v>#DIV/0!</v>
      </c>
      <c r="I48" s="309">
        <f>Egresos!S164</f>
        <v>0</v>
      </c>
    </row>
    <row r="49" spans="2:9" x14ac:dyDescent="0.3">
      <c r="B49" s="481" t="s">
        <v>900</v>
      </c>
      <c r="C49" s="577" t="e">
        <f>+ResFísico!G109</f>
        <v>#DIV/0!</v>
      </c>
      <c r="D49" s="5460"/>
      <c r="E49" s="300"/>
      <c r="F49" s="300"/>
      <c r="G49" s="552" t="s">
        <v>113</v>
      </c>
      <c r="H49" s="434" t="e">
        <f>+Egresos!Q170</f>
        <v>#DIV/0!</v>
      </c>
      <c r="I49" s="309">
        <f>Egresos!S170</f>
        <v>0</v>
      </c>
    </row>
    <row r="50" spans="2:9" x14ac:dyDescent="0.3">
      <c r="B50" s="481" t="s">
        <v>122</v>
      </c>
      <c r="C50" s="309" t="e">
        <f>+ResFísico!G125</f>
        <v>#DIV/0!</v>
      </c>
      <c r="D50" s="5456"/>
      <c r="E50" s="300"/>
      <c r="F50" s="300"/>
      <c r="G50" s="552" t="s">
        <v>36</v>
      </c>
      <c r="H50" s="434" t="e">
        <f>+Egresos!Q187</f>
        <v>#DIV/0!</v>
      </c>
      <c r="I50" s="309">
        <f>Egresos!S187</f>
        <v>0</v>
      </c>
    </row>
    <row r="51" spans="2:9" x14ac:dyDescent="0.3">
      <c r="B51" s="483" t="s">
        <v>901</v>
      </c>
      <c r="C51" s="585" t="e">
        <f>+ResFísico!G126</f>
        <v>#DIV/0!</v>
      </c>
      <c r="D51" s="5461"/>
      <c r="E51" s="300"/>
      <c r="F51" s="300"/>
      <c r="G51" s="552" t="s">
        <v>1724</v>
      </c>
      <c r="H51" s="436" t="e">
        <f>General!$C$134/C5</f>
        <v>#DIV/0!</v>
      </c>
      <c r="I51" s="5347"/>
    </row>
    <row r="52" spans="2:9" x14ac:dyDescent="0.3">
      <c r="C52" s="586"/>
      <c r="D52" s="1242"/>
      <c r="E52" s="300"/>
      <c r="F52" s="300"/>
      <c r="G52" s="552" t="s">
        <v>507</v>
      </c>
      <c r="H52" s="434" t="e">
        <f>+Egresos!Q173+Egresos!Q174+Egresos!Q175</f>
        <v>#DIV/0!</v>
      </c>
      <c r="I52" s="309"/>
    </row>
    <row r="53" spans="2:9" x14ac:dyDescent="0.3">
      <c r="B53" s="479" t="s">
        <v>121</v>
      </c>
      <c r="C53" s="613" t="e">
        <f>+ResFísico!G142</f>
        <v>#DIV/0!</v>
      </c>
      <c r="D53" s="5462"/>
      <c r="E53" s="300"/>
      <c r="F53" s="300"/>
      <c r="G53" s="557" t="s">
        <v>114</v>
      </c>
      <c r="H53" s="558" t="e">
        <f>SUM(H46:H52)+H44</f>
        <v>#DIV/0!</v>
      </c>
      <c r="I53" s="579" t="e">
        <f>SUM(I46:I52)+I44</f>
        <v>#DIV/0!</v>
      </c>
    </row>
    <row r="54" spans="2:9" x14ac:dyDescent="0.3">
      <c r="B54" s="483" t="s">
        <v>120</v>
      </c>
      <c r="C54" s="617" t="e">
        <f>+(C37*C5)/(C53*C12)</f>
        <v>#DIV/0!</v>
      </c>
      <c r="D54" s="5463"/>
      <c r="E54" s="300"/>
      <c r="F54" s="300"/>
      <c r="I54" s="300"/>
    </row>
    <row r="55" spans="2:9" x14ac:dyDescent="0.3">
      <c r="C55" s="586"/>
      <c r="D55" s="1242"/>
      <c r="E55" s="300"/>
      <c r="F55" s="1344">
        <f>+F40+1</f>
        <v>169</v>
      </c>
      <c r="G55" s="561" t="s">
        <v>143</v>
      </c>
      <c r="H55" s="562" t="e">
        <f ca="1">+H53+H38</f>
        <v>#DIV/0!</v>
      </c>
      <c r="I55" s="587" t="e">
        <f>+I53+I38</f>
        <v>#DIV/0!</v>
      </c>
    </row>
    <row r="56" spans="2:9" x14ac:dyDescent="0.3">
      <c r="B56" s="547" t="s">
        <v>1859</v>
      </c>
      <c r="C56" s="553"/>
      <c r="D56" s="1243"/>
      <c r="E56" s="300"/>
      <c r="F56" s="300"/>
      <c r="G56" s="552" t="s">
        <v>144</v>
      </c>
      <c r="H56" s="434" t="e">
        <f>+Egresos!Q204</f>
        <v>#DIV/0!</v>
      </c>
      <c r="I56" s="309">
        <f>Egresos!S204</f>
        <v>0</v>
      </c>
    </row>
    <row r="57" spans="2:9" x14ac:dyDescent="0.3">
      <c r="B57" s="481" t="s">
        <v>123</v>
      </c>
      <c r="C57" s="577" t="e">
        <f>+ResFísico!G110</f>
        <v>#DIV/0!</v>
      </c>
      <c r="D57" s="5460"/>
      <c r="E57" s="300"/>
      <c r="F57" s="300"/>
      <c r="G57" s="583" t="s">
        <v>48</v>
      </c>
      <c r="H57" s="580" t="e">
        <f ca="1">+H55+H56</f>
        <v>#DIV/0!</v>
      </c>
      <c r="I57" s="581" t="e">
        <f>I55+I56</f>
        <v>#DIV/0!</v>
      </c>
    </row>
    <row r="58" spans="2:9" x14ac:dyDescent="0.3">
      <c r="B58" s="481" t="s">
        <v>124</v>
      </c>
      <c r="C58" s="577" t="e">
        <f>+ResFísico!G111</f>
        <v>#DIV/0!</v>
      </c>
      <c r="D58" s="5460"/>
      <c r="E58" s="434"/>
      <c r="F58" s="434"/>
      <c r="I58" s="300"/>
    </row>
    <row r="59" spans="2:9" x14ac:dyDescent="0.3">
      <c r="B59" s="483" t="s">
        <v>125</v>
      </c>
      <c r="C59" s="741" t="e">
        <f>+ResFísico!G112</f>
        <v>#DIV/0!</v>
      </c>
      <c r="D59" s="5464"/>
      <c r="E59" s="300"/>
      <c r="F59" s="300"/>
      <c r="I59" s="300"/>
    </row>
    <row r="60" spans="2:9" x14ac:dyDescent="0.3">
      <c r="E60" s="300"/>
    </row>
    <row r="61" spans="2:9" x14ac:dyDescent="0.3">
      <c r="B61" s="547" t="s">
        <v>1860</v>
      </c>
      <c r="C61" s="553"/>
      <c r="D61" s="1243"/>
      <c r="E61" s="300"/>
    </row>
    <row r="62" spans="2:9" x14ac:dyDescent="0.3">
      <c r="B62" s="481" t="s">
        <v>129</v>
      </c>
      <c r="C62" s="309" t="e">
        <f>+ResFísico!G160</f>
        <v>#DIV/0!</v>
      </c>
      <c r="D62" s="5456"/>
      <c r="E62" s="434"/>
    </row>
    <row r="63" spans="2:9" x14ac:dyDescent="0.3">
      <c r="B63" s="481" t="s">
        <v>131</v>
      </c>
      <c r="C63" s="309" t="e">
        <f>+ResFísico!G161</f>
        <v>#DIV/0!</v>
      </c>
      <c r="D63" s="5456"/>
      <c r="E63" s="300"/>
    </row>
    <row r="64" spans="2:9" x14ac:dyDescent="0.3">
      <c r="B64" s="483" t="s">
        <v>133</v>
      </c>
      <c r="C64" s="555" t="e">
        <f>+ResFísico!G163</f>
        <v>#DIV/0!</v>
      </c>
      <c r="D64" s="5457"/>
      <c r="E64" s="300"/>
    </row>
    <row r="65" spans="1:12" x14ac:dyDescent="0.3">
      <c r="E65" s="300"/>
    </row>
    <row r="66" spans="1:12" x14ac:dyDescent="0.3">
      <c r="B66" s="479" t="s">
        <v>1852</v>
      </c>
      <c r="C66" s="572">
        <f>+ResFísico!G98</f>
        <v>0</v>
      </c>
      <c r="D66" s="5458"/>
      <c r="E66" s="300"/>
    </row>
    <row r="67" spans="1:12" x14ac:dyDescent="0.3">
      <c r="B67" s="481" t="s">
        <v>1853</v>
      </c>
      <c r="C67" s="309">
        <f>+ResFísico!G99</f>
        <v>0</v>
      </c>
      <c r="D67" s="5456"/>
      <c r="E67" s="434"/>
    </row>
    <row r="68" spans="1:12" x14ac:dyDescent="0.3">
      <c r="B68" s="588" t="s">
        <v>1854</v>
      </c>
      <c r="C68" s="309">
        <f>+ResFísico!G101</f>
        <v>0</v>
      </c>
      <c r="D68" s="5456"/>
      <c r="E68" s="300"/>
    </row>
    <row r="69" spans="1:12" x14ac:dyDescent="0.3">
      <c r="B69" s="588" t="s">
        <v>1855</v>
      </c>
      <c r="C69" s="309">
        <f>+ResFísico!G102</f>
        <v>0</v>
      </c>
      <c r="D69" s="5456"/>
      <c r="E69" s="300"/>
    </row>
    <row r="70" spans="1:12" x14ac:dyDescent="0.3">
      <c r="B70" s="588" t="s">
        <v>1856</v>
      </c>
      <c r="C70" s="309">
        <f>+ResFísico!G103</f>
        <v>0</v>
      </c>
      <c r="D70" s="5456"/>
      <c r="E70" s="300"/>
    </row>
    <row r="71" spans="1:12" x14ac:dyDescent="0.3">
      <c r="B71" s="589" t="s">
        <v>1857</v>
      </c>
      <c r="C71" s="555">
        <f>+ResFísico!G104</f>
        <v>0</v>
      </c>
      <c r="D71" s="5457"/>
      <c r="E71" s="300"/>
    </row>
    <row r="72" spans="1:12" x14ac:dyDescent="0.3">
      <c r="E72" s="300"/>
    </row>
    <row r="73" spans="1:12" x14ac:dyDescent="0.3">
      <c r="B73" s="479" t="s">
        <v>1158</v>
      </c>
      <c r="C73" s="613">
        <f>+ResFísico!G204</f>
        <v>0</v>
      </c>
      <c r="D73" s="5462"/>
      <c r="E73" s="300"/>
    </row>
    <row r="74" spans="1:12" x14ac:dyDescent="0.3">
      <c r="B74" s="483" t="s">
        <v>120</v>
      </c>
      <c r="C74" s="617">
        <f>IFERROR((C38*C5)/(C73*C14),0)</f>
        <v>0</v>
      </c>
      <c r="D74" s="5463"/>
      <c r="E74" s="300"/>
    </row>
    <row r="75" spans="1:12" x14ac:dyDescent="0.3">
      <c r="E75" s="434"/>
      <c r="H75" s="420"/>
    </row>
    <row r="76" spans="1:12" x14ac:dyDescent="0.3">
      <c r="E76" s="434"/>
      <c r="F76" s="574"/>
      <c r="G76" s="2229"/>
      <c r="H76" s="1270"/>
      <c r="I76" s="2229"/>
      <c r="K76" s="2270"/>
    </row>
    <row r="77" spans="1:12" x14ac:dyDescent="0.3">
      <c r="E77" s="434"/>
      <c r="F77" s="574"/>
      <c r="G77" s="2229"/>
      <c r="H77" s="1270"/>
      <c r="I77" s="2229"/>
      <c r="K77" s="2270"/>
    </row>
    <row r="78" spans="1:12" x14ac:dyDescent="0.3">
      <c r="E78" s="434"/>
      <c r="F78" s="574"/>
      <c r="G78" s="2229"/>
      <c r="H78" s="1270"/>
      <c r="I78" s="2229"/>
      <c r="K78" s="2270"/>
    </row>
    <row r="79" spans="1:12" x14ac:dyDescent="0.3">
      <c r="E79" s="434"/>
      <c r="F79" s="574"/>
      <c r="G79" s="2229"/>
      <c r="H79" s="1270"/>
      <c r="I79" s="2229"/>
      <c r="K79" s="2270"/>
    </row>
    <row r="80" spans="1:12" s="2302" customFormat="1" x14ac:dyDescent="0.3">
      <c r="A80" s="2296">
        <f>+F55+1</f>
        <v>170</v>
      </c>
      <c r="B80" s="2297" t="s">
        <v>1892</v>
      </c>
      <c r="C80" s="2298"/>
      <c r="D80" s="2298"/>
      <c r="E80" s="2298"/>
      <c r="F80" s="2299"/>
      <c r="G80" s="2299"/>
      <c r="H80" s="2299"/>
      <c r="I80" s="2300"/>
      <c r="J80" s="2301"/>
      <c r="L80" s="2301"/>
    </row>
    <row r="81" spans="1:12" s="2302" customFormat="1" x14ac:dyDescent="0.3">
      <c r="A81" s="2303"/>
      <c r="B81" s="2304"/>
      <c r="C81" s="2305"/>
      <c r="D81" s="2306" t="s">
        <v>1893</v>
      </c>
      <c r="E81" s="969"/>
      <c r="G81" s="2304"/>
      <c r="H81" s="2305"/>
      <c r="I81" s="2306" t="s">
        <v>997</v>
      </c>
      <c r="L81" s="2301"/>
    </row>
    <row r="82" spans="1:12" s="2302" customFormat="1" x14ac:dyDescent="0.3">
      <c r="A82" s="2307"/>
      <c r="B82" s="2308" t="s">
        <v>2245</v>
      </c>
      <c r="C82" s="2309"/>
      <c r="D82" s="1303">
        <f>+General!C128+General!C130</f>
        <v>0</v>
      </c>
      <c r="E82" s="969"/>
      <c r="G82" s="2308" t="s">
        <v>2245</v>
      </c>
      <c r="H82" s="2309"/>
      <c r="I82" s="1303">
        <f>+D82</f>
        <v>0</v>
      </c>
      <c r="L82" s="2301"/>
    </row>
    <row r="83" spans="1:12" s="2302" customFormat="1" x14ac:dyDescent="0.3">
      <c r="A83" s="2303"/>
      <c r="B83" s="2310" t="s">
        <v>1895</v>
      </c>
      <c r="C83" s="2311"/>
      <c r="D83" s="2312">
        <f>+D84+D85+D86</f>
        <v>0</v>
      </c>
      <c r="E83" s="969"/>
      <c r="G83" s="2310" t="s">
        <v>1895</v>
      </c>
      <c r="H83" s="2311"/>
      <c r="I83" s="2312">
        <f>+D83</f>
        <v>0</v>
      </c>
      <c r="L83" s="2301"/>
    </row>
    <row r="84" spans="1:12" s="2302" customFormat="1" x14ac:dyDescent="0.3">
      <c r="A84" s="2303"/>
      <c r="B84" s="2313" t="s">
        <v>95</v>
      </c>
      <c r="D84" s="1304">
        <f>+General!C131</f>
        <v>0</v>
      </c>
      <c r="E84" s="969"/>
      <c r="G84" s="2313" t="s">
        <v>95</v>
      </c>
      <c r="I84" s="1304">
        <f>+D84</f>
        <v>0</v>
      </c>
      <c r="L84" s="2301"/>
    </row>
    <row r="85" spans="1:12" s="2302" customFormat="1" x14ac:dyDescent="0.3">
      <c r="A85" s="2303"/>
      <c r="B85" s="2313" t="s">
        <v>1921</v>
      </c>
      <c r="D85" s="1304">
        <f>+A.Lecheros!H484</f>
        <v>0</v>
      </c>
      <c r="E85" s="969"/>
      <c r="G85" s="2313" t="s">
        <v>1921</v>
      </c>
      <c r="I85" s="1304">
        <f>+A.Lecheros!Q484</f>
        <v>0</v>
      </c>
      <c r="L85" s="2301"/>
    </row>
    <row r="86" spans="1:12" s="2302" customFormat="1" x14ac:dyDescent="0.3">
      <c r="A86" s="2303"/>
      <c r="B86" s="2314" t="s">
        <v>2268</v>
      </c>
      <c r="C86" s="2315"/>
      <c r="D86" s="2316">
        <f>+A.Ganaderos!G190</f>
        <v>0</v>
      </c>
      <c r="E86" s="969"/>
      <c r="G86" s="2314" t="s">
        <v>2268</v>
      </c>
      <c r="H86" s="2315"/>
      <c r="I86" s="2316">
        <f>+A.Ganaderos!Q190</f>
        <v>0</v>
      </c>
      <c r="L86" s="2301"/>
    </row>
    <row r="87" spans="1:12" s="2302" customFormat="1" x14ac:dyDescent="0.3">
      <c r="A87" s="2307"/>
      <c r="B87" s="2317" t="s">
        <v>1894</v>
      </c>
      <c r="D87" s="1304">
        <f>+C150</f>
        <v>7050</v>
      </c>
      <c r="E87" s="969"/>
      <c r="G87" s="2317" t="s">
        <v>1894</v>
      </c>
      <c r="I87" s="1304" t="e">
        <f>+I150</f>
        <v>#DIV/0!</v>
      </c>
      <c r="L87" s="2301"/>
    </row>
    <row r="88" spans="1:12" s="2302" customFormat="1" x14ac:dyDescent="0.3">
      <c r="A88" s="2307"/>
      <c r="B88" s="2318" t="s">
        <v>1896</v>
      </c>
      <c r="C88" s="2319"/>
      <c r="D88" s="1302">
        <f>+SUM(D82:D83)+D87</f>
        <v>7050</v>
      </c>
      <c r="E88" s="2320"/>
      <c r="G88" s="2318" t="s">
        <v>1896</v>
      </c>
      <c r="H88" s="2319"/>
      <c r="I88" s="1302" t="e">
        <f>+SUM(I82:I83)+I87</f>
        <v>#DIV/0!</v>
      </c>
      <c r="L88" s="2301"/>
    </row>
    <row r="89" spans="1:12" s="2302" customFormat="1" x14ac:dyDescent="0.3">
      <c r="A89" s="2307"/>
      <c r="B89" s="2321"/>
      <c r="D89" s="2321"/>
      <c r="E89" s="2320"/>
      <c r="G89" s="2322"/>
      <c r="H89" s="2307"/>
      <c r="J89" s="2321"/>
      <c r="L89" s="2301"/>
    </row>
    <row r="90" spans="1:12" s="2302" customFormat="1" x14ac:dyDescent="0.3">
      <c r="A90" s="2307"/>
      <c r="B90" s="2308" t="s">
        <v>2244</v>
      </c>
      <c r="C90" s="2309"/>
      <c r="D90" s="1303">
        <f>+D91+D92</f>
        <v>0</v>
      </c>
      <c r="E90" s="2323"/>
      <c r="G90" s="2308" t="s">
        <v>2244</v>
      </c>
      <c r="H90" s="2309"/>
      <c r="I90" s="1303">
        <f>+I91+I92</f>
        <v>0</v>
      </c>
      <c r="L90" s="2301"/>
    </row>
    <row r="91" spans="1:12" s="2302" customFormat="1" x14ac:dyDescent="0.3">
      <c r="A91" s="2307"/>
      <c r="B91" s="2324" t="s">
        <v>2241</v>
      </c>
      <c r="D91" s="1304">
        <f>+MovFinancieros!C152</f>
        <v>0</v>
      </c>
      <c r="E91" s="2323"/>
      <c r="G91" s="2324" t="s">
        <v>2241</v>
      </c>
      <c r="I91" s="1304">
        <f>+MovFinancieros!D152</f>
        <v>0</v>
      </c>
      <c r="L91" s="2301"/>
    </row>
    <row r="92" spans="1:12" s="2302" customFormat="1" x14ac:dyDescent="0.3">
      <c r="A92" s="2307"/>
      <c r="B92" s="2324" t="s">
        <v>2242</v>
      </c>
      <c r="D92" s="1304">
        <f>+MovFinancieros!C153</f>
        <v>0</v>
      </c>
      <c r="E92" s="2323"/>
      <c r="G92" s="2324" t="s">
        <v>2242</v>
      </c>
      <c r="I92" s="1304">
        <f>+MovFinancieros!D153</f>
        <v>0</v>
      </c>
      <c r="L92" s="2301"/>
    </row>
    <row r="93" spans="1:12" s="2302" customFormat="1" x14ac:dyDescent="0.3">
      <c r="A93" s="2307"/>
      <c r="B93" s="2325" t="s">
        <v>2243</v>
      </c>
      <c r="C93" s="2326"/>
      <c r="D93" s="2327">
        <f>+MovFinancieros!C151</f>
        <v>0</v>
      </c>
      <c r="E93" s="2323"/>
      <c r="G93" s="2325" t="s">
        <v>2243</v>
      </c>
      <c r="H93" s="2326"/>
      <c r="I93" s="2327">
        <f>+MovFinancieros!D151</f>
        <v>0</v>
      </c>
      <c r="L93" s="2301"/>
    </row>
    <row r="94" spans="1:12" s="2302" customFormat="1" x14ac:dyDescent="0.3">
      <c r="A94" s="2303"/>
      <c r="B94" s="2328" t="s">
        <v>1897</v>
      </c>
      <c r="D94" s="1304">
        <f>+D88-D90-D93</f>
        <v>7050</v>
      </c>
      <c r="E94" s="2320"/>
      <c r="G94" s="2328" t="s">
        <v>1897</v>
      </c>
      <c r="I94" s="1304" t="e">
        <f>+I88-I90-I93</f>
        <v>#DIV/0!</v>
      </c>
      <c r="L94" s="2301"/>
    </row>
    <row r="95" spans="1:12" s="2302" customFormat="1" x14ac:dyDescent="0.3">
      <c r="A95" s="2329"/>
      <c r="B95" s="2318" t="s">
        <v>1898</v>
      </c>
      <c r="C95" s="2319"/>
      <c r="D95" s="1302">
        <f>+D90+D93+D94</f>
        <v>7050</v>
      </c>
      <c r="E95" s="2320"/>
      <c r="G95" s="2318" t="s">
        <v>1898</v>
      </c>
      <c r="H95" s="2319"/>
      <c r="I95" s="1302" t="e">
        <f>+I90+I93+I94</f>
        <v>#DIV/0!</v>
      </c>
      <c r="L95" s="2301"/>
    </row>
    <row r="96" spans="1:12" s="2302" customFormat="1" x14ac:dyDescent="0.3">
      <c r="A96" s="2330"/>
      <c r="B96" s="2318" t="s">
        <v>1899</v>
      </c>
      <c r="C96" s="2319"/>
      <c r="D96" s="1302">
        <f>+D90+D93</f>
        <v>0</v>
      </c>
      <c r="E96" s="2320"/>
      <c r="G96" s="2318" t="s">
        <v>1899</v>
      </c>
      <c r="H96" s="2319"/>
      <c r="I96" s="1302">
        <f>+I90+I93</f>
        <v>0</v>
      </c>
    </row>
    <row r="97" spans="1:12" x14ac:dyDescent="0.3">
      <c r="B97" s="1294" t="s">
        <v>1900</v>
      </c>
      <c r="C97" s="480"/>
      <c r="D97" s="1297">
        <f>IFERROR(D90/(D93+D90),0)</f>
        <v>0</v>
      </c>
      <c r="E97" s="1270"/>
      <c r="G97" s="1294" t="s">
        <v>1900</v>
      </c>
      <c r="H97" s="480"/>
      <c r="I97" s="1297">
        <f>IFERROR(I90/(I93+I90),0)</f>
        <v>0</v>
      </c>
    </row>
    <row r="98" spans="1:12" x14ac:dyDescent="0.3">
      <c r="B98" s="1295" t="s">
        <v>1901</v>
      </c>
      <c r="D98" s="1298">
        <f>IFERROR(D93/(D93+D90),0)</f>
        <v>0</v>
      </c>
      <c r="E98" s="1270"/>
      <c r="G98" s="1295" t="s">
        <v>1901</v>
      </c>
      <c r="H98" s="420"/>
      <c r="I98" s="1298">
        <f>IFERROR(I93/(I93+I90),0)</f>
        <v>0</v>
      </c>
    </row>
    <row r="99" spans="1:12" x14ac:dyDescent="0.3">
      <c r="B99" s="1295" t="s">
        <v>1913</v>
      </c>
      <c r="D99" s="1298">
        <f>IFERROR((D93+D90)/D88,0)</f>
        <v>0</v>
      </c>
      <c r="E99" s="742"/>
      <c r="G99" s="1295" t="s">
        <v>1913</v>
      </c>
      <c r="H99" s="420"/>
      <c r="I99" s="1298">
        <f>IFERROR((I93+I90)/I88,0)</f>
        <v>0</v>
      </c>
    </row>
    <row r="100" spans="1:12" x14ac:dyDescent="0.3">
      <c r="B100" s="1299" t="s">
        <v>1902</v>
      </c>
      <c r="C100" s="1289"/>
      <c r="D100" s="1300">
        <f>IFERROR((D90+D93)/$C$5,0)</f>
        <v>0</v>
      </c>
      <c r="E100" s="1270"/>
      <c r="G100" s="1299" t="s">
        <v>1902</v>
      </c>
      <c r="H100" s="1289"/>
      <c r="I100" s="1300">
        <f>IFERROR((I90+I93)/$C$5,0)</f>
        <v>0</v>
      </c>
    </row>
    <row r="101" spans="1:12" x14ac:dyDescent="0.3">
      <c r="B101" s="1226"/>
      <c r="C101" s="300"/>
      <c r="D101" s="300"/>
    </row>
    <row r="102" spans="1:12" x14ac:dyDescent="0.3">
      <c r="B102" s="1226"/>
      <c r="C102" s="300"/>
      <c r="D102" s="300"/>
      <c r="E102" s="116"/>
      <c r="G102" s="116"/>
      <c r="J102" s="116"/>
    </row>
    <row r="103" spans="1:12" hidden="1" x14ac:dyDescent="0.3">
      <c r="B103" s="2347" t="s">
        <v>2289</v>
      </c>
      <c r="C103" s="2348"/>
      <c r="D103" s="2349"/>
      <c r="E103" s="2349"/>
      <c r="F103" s="2349"/>
      <c r="G103" s="2349"/>
      <c r="H103" s="2348"/>
      <c r="I103" s="2349"/>
      <c r="J103" s="2349"/>
    </row>
    <row r="104" spans="1:12" hidden="1" x14ac:dyDescent="0.3">
      <c r="A104" s="1344">
        <f>+A80+1</f>
        <v>171</v>
      </c>
      <c r="B104" s="549" t="s">
        <v>1914</v>
      </c>
      <c r="C104" s="550"/>
      <c r="D104" s="550"/>
      <c r="E104" s="550"/>
      <c r="F104" s="1293"/>
      <c r="G104" s="1293"/>
      <c r="H104" s="1293"/>
      <c r="I104" s="2271"/>
      <c r="J104" s="2229"/>
      <c r="L104" s="2270"/>
    </row>
    <row r="105" spans="1:12" hidden="1" x14ac:dyDescent="0.3">
      <c r="B105" s="1290" t="s">
        <v>1903</v>
      </c>
      <c r="C105" s="1291"/>
      <c r="D105" s="1292"/>
      <c r="E105" s="1270"/>
      <c r="G105" s="1290" t="s">
        <v>1904</v>
      </c>
      <c r="H105" s="1291"/>
      <c r="I105" s="1292"/>
      <c r="J105" s="420" t="s">
        <v>1916</v>
      </c>
    </row>
    <row r="106" spans="1:12" hidden="1" x14ac:dyDescent="0.3">
      <c r="B106" s="1294" t="s">
        <v>1905</v>
      </c>
      <c r="C106" s="480"/>
      <c r="D106" s="1303">
        <f>+Ingresos!Q655</f>
        <v>0</v>
      </c>
      <c r="E106" s="1270"/>
      <c r="G106" s="1294" t="s">
        <v>1906</v>
      </c>
      <c r="H106" s="480"/>
      <c r="I106" s="1303"/>
    </row>
    <row r="107" spans="1:12" hidden="1" x14ac:dyDescent="0.3">
      <c r="B107" s="1295" t="s">
        <v>1907</v>
      </c>
      <c r="D107" s="1304">
        <f>+MovFinancieros!P103</f>
        <v>0</v>
      </c>
      <c r="E107" s="1270"/>
      <c r="G107" s="1295" t="s">
        <v>1908</v>
      </c>
      <c r="H107" s="420"/>
      <c r="I107" s="1304">
        <f>+MovFinancieros!P33+MovFinancieros!P62+MovFinancieros!P48</f>
        <v>0</v>
      </c>
    </row>
    <row r="108" spans="1:12" hidden="1" x14ac:dyDescent="0.3">
      <c r="B108" s="1295" t="s">
        <v>1909</v>
      </c>
      <c r="D108" s="1304">
        <f>+IF(C140&lt;0,C140,0)+Ingresos!Q666+Precios!C374</f>
        <v>7050</v>
      </c>
      <c r="E108" s="731"/>
      <c r="G108" s="1295" t="s">
        <v>27</v>
      </c>
      <c r="H108" s="420"/>
      <c r="I108" s="1304">
        <f>IF(C140&gt;0,MovFinancieros!P92+C140,MovFinancieros!P92)</f>
        <v>0</v>
      </c>
      <c r="J108" s="420" t="s">
        <v>1923</v>
      </c>
    </row>
    <row r="109" spans="1:12" hidden="1" x14ac:dyDescent="0.3">
      <c r="B109" s="1295" t="s">
        <v>1910</v>
      </c>
      <c r="D109" s="1304">
        <f>+MovFinancieros!P18</f>
        <v>0</v>
      </c>
      <c r="E109" s="731"/>
      <c r="G109" s="1295" t="s">
        <v>1910</v>
      </c>
      <c r="H109" s="420"/>
      <c r="I109" s="2274">
        <f>+Precios!C375</f>
        <v>7050</v>
      </c>
    </row>
    <row r="110" spans="1:12" hidden="1" x14ac:dyDescent="0.3">
      <c r="B110" s="1295" t="s">
        <v>1911</v>
      </c>
      <c r="D110" s="1304">
        <f>+General!C147</f>
        <v>0</v>
      </c>
      <c r="E110" s="731"/>
      <c r="G110" s="1295" t="s">
        <v>1911</v>
      </c>
      <c r="H110" s="420"/>
      <c r="I110" s="2274"/>
    </row>
    <row r="111" spans="1:12" hidden="1" x14ac:dyDescent="0.3">
      <c r="B111" s="1295" t="s">
        <v>1912</v>
      </c>
      <c r="D111" s="1304" t="e">
        <f>+(EconómicoAnual!H51+EconómicoAnual!H42)*EconómicoAnual!C5</f>
        <v>#DIV/0!</v>
      </c>
      <c r="E111" s="731"/>
      <c r="G111" s="1295" t="s">
        <v>141</v>
      </c>
      <c r="H111" s="420"/>
      <c r="I111" s="1304">
        <f>+Egresos!P211</f>
        <v>0</v>
      </c>
    </row>
    <row r="112" spans="1:12" hidden="1" x14ac:dyDescent="0.3">
      <c r="B112" s="481"/>
      <c r="D112" s="1304"/>
      <c r="E112" s="731"/>
      <c r="G112" s="481" t="s">
        <v>142</v>
      </c>
      <c r="H112" s="420"/>
      <c r="I112" s="1304" t="e">
        <f>+H56*C5</f>
        <v>#DIV/0!</v>
      </c>
    </row>
    <row r="113" spans="1:12" hidden="1" x14ac:dyDescent="0.3">
      <c r="B113" s="1299" t="s">
        <v>128</v>
      </c>
      <c r="C113" s="1289"/>
      <c r="D113" s="1301" t="e">
        <f ca="1">+IF(C26&gt;0,C26,0)*C5</f>
        <v>#DIV/0!</v>
      </c>
      <c r="E113" s="731"/>
      <c r="G113" s="1299" t="str">
        <f>+B113</f>
        <v>Ingreso del capital</v>
      </c>
      <c r="H113" s="1289"/>
      <c r="I113" s="1301" t="e">
        <f ca="1">+IF(C26&lt;0,C26,0)*C5</f>
        <v>#DIV/0!</v>
      </c>
    </row>
    <row r="114" spans="1:12" hidden="1" x14ac:dyDescent="0.3">
      <c r="B114" s="1296" t="s">
        <v>21</v>
      </c>
      <c r="C114" s="770"/>
      <c r="D114" s="1302" t="e">
        <f>+SUM(D106:D113)</f>
        <v>#DIV/0!</v>
      </c>
      <c r="E114" s="300"/>
      <c r="G114" s="1296" t="s">
        <v>230</v>
      </c>
      <c r="H114" s="770"/>
      <c r="I114" s="1302" t="e">
        <f>+SUM(I106:I113)</f>
        <v>#DIV/0!</v>
      </c>
    </row>
    <row r="115" spans="1:12" hidden="1" x14ac:dyDescent="0.3">
      <c r="D115" s="420"/>
      <c r="E115" s="300"/>
      <c r="I115" s="420" t="e">
        <f>+D114-I114</f>
        <v>#DIV/0!</v>
      </c>
      <c r="L115" s="116"/>
    </row>
    <row r="116" spans="1:12" hidden="1" x14ac:dyDescent="0.3">
      <c r="D116" s="420"/>
      <c r="H116" s="420"/>
    </row>
    <row r="117" spans="1:12" hidden="1" x14ac:dyDescent="0.3">
      <c r="D117" s="420"/>
      <c r="H117" s="420"/>
    </row>
    <row r="118" spans="1:12" hidden="1" x14ac:dyDescent="0.3">
      <c r="D118" s="420"/>
      <c r="H118" s="420"/>
    </row>
    <row r="119" spans="1:12" hidden="1" x14ac:dyDescent="0.3">
      <c r="D119" s="420"/>
      <c r="H119" s="420"/>
    </row>
    <row r="120" spans="1:12" hidden="1" x14ac:dyDescent="0.3">
      <c r="B120" s="432"/>
      <c r="D120" s="420"/>
      <c r="H120" s="420"/>
    </row>
    <row r="121" spans="1:12" hidden="1" x14ac:dyDescent="0.3">
      <c r="A121" s="2275" t="s">
        <v>2092</v>
      </c>
      <c r="B121" s="2276"/>
      <c r="C121" s="748" t="s">
        <v>1917</v>
      </c>
      <c r="D121" s="748"/>
      <c r="E121" s="2277" t="s">
        <v>1903</v>
      </c>
      <c r="F121" s="747"/>
      <c r="G121" s="747"/>
      <c r="H121" s="420"/>
    </row>
    <row r="122" spans="1:12" hidden="1" x14ac:dyDescent="0.3">
      <c r="A122" s="747"/>
      <c r="B122" s="2278"/>
      <c r="C122" s="748" t="s">
        <v>1924</v>
      </c>
      <c r="D122" s="748"/>
      <c r="E122" s="2279" t="s">
        <v>1905</v>
      </c>
      <c r="F122" s="747"/>
      <c r="G122" s="747"/>
      <c r="H122" s="420"/>
    </row>
    <row r="123" spans="1:12" hidden="1" x14ac:dyDescent="0.3">
      <c r="A123" s="747"/>
      <c r="B123" s="2276"/>
      <c r="C123" s="748"/>
      <c r="D123" s="748"/>
      <c r="E123" s="2280" t="s">
        <v>1907</v>
      </c>
      <c r="F123" s="747"/>
      <c r="G123" s="747"/>
      <c r="H123" s="420"/>
    </row>
    <row r="124" spans="1:12" hidden="1" x14ac:dyDescent="0.3">
      <c r="A124" s="747"/>
      <c r="B124" s="2278"/>
      <c r="C124" s="748" t="s">
        <v>1915</v>
      </c>
      <c r="D124" s="748"/>
      <c r="E124" s="2280" t="s">
        <v>1909</v>
      </c>
      <c r="F124" s="747"/>
      <c r="G124" s="747"/>
      <c r="H124" s="420"/>
    </row>
    <row r="125" spans="1:12" hidden="1" x14ac:dyDescent="0.3">
      <c r="A125" s="747" t="s">
        <v>2093</v>
      </c>
      <c r="B125" s="2276"/>
      <c r="C125" s="748" t="s">
        <v>1919</v>
      </c>
      <c r="D125" s="748"/>
      <c r="E125" s="2280" t="s">
        <v>1910</v>
      </c>
      <c r="F125" s="747"/>
      <c r="G125" s="747"/>
      <c r="H125" s="420"/>
    </row>
    <row r="126" spans="1:12" hidden="1" x14ac:dyDescent="0.3">
      <c r="A126" s="747"/>
      <c r="B126" s="2281"/>
      <c r="C126" s="748" t="s">
        <v>1918</v>
      </c>
      <c r="D126" s="748"/>
      <c r="E126" s="2280" t="s">
        <v>1911</v>
      </c>
      <c r="F126" s="747"/>
      <c r="G126" s="747"/>
      <c r="H126" s="420"/>
    </row>
    <row r="127" spans="1:12" hidden="1" x14ac:dyDescent="0.3">
      <c r="A127" s="747"/>
      <c r="B127" s="2276"/>
      <c r="C127" s="747"/>
      <c r="D127" s="747"/>
      <c r="E127" s="2280" t="s">
        <v>1912</v>
      </c>
      <c r="F127" s="747"/>
      <c r="G127" s="747"/>
      <c r="H127" s="420"/>
    </row>
    <row r="128" spans="1:12" hidden="1" x14ac:dyDescent="0.3">
      <c r="A128" s="747"/>
      <c r="B128" s="747"/>
      <c r="C128" s="747"/>
      <c r="D128" s="747"/>
      <c r="E128" s="2282"/>
      <c r="F128" s="747"/>
      <c r="G128" s="747"/>
      <c r="H128" s="420"/>
    </row>
    <row r="129" spans="1:14" hidden="1" x14ac:dyDescent="0.3">
      <c r="A129" s="747"/>
      <c r="B129" s="747"/>
      <c r="C129" s="747"/>
      <c r="D129" s="747"/>
      <c r="E129" s="2283" t="s">
        <v>128</v>
      </c>
      <c r="F129" s="747"/>
      <c r="G129" s="747"/>
      <c r="H129" s="420"/>
    </row>
    <row r="130" spans="1:14" ht="20" hidden="1" customHeight="1" x14ac:dyDescent="0.3">
      <c r="A130" s="747"/>
      <c r="B130" s="747"/>
      <c r="C130" s="747"/>
      <c r="D130" s="747"/>
      <c r="E130" s="2284" t="s">
        <v>21</v>
      </c>
      <c r="F130" s="747"/>
      <c r="G130" s="747"/>
      <c r="H130" s="420"/>
      <c r="N130" s="435"/>
    </row>
    <row r="131" spans="1:14" s="435" customFormat="1" hidden="1" x14ac:dyDescent="0.3">
      <c r="E131" s="420"/>
    </row>
    <row r="132" spans="1:14" s="435" customFormat="1" hidden="1" x14ac:dyDescent="0.3"/>
    <row r="133" spans="1:14" s="435" customFormat="1" hidden="1" x14ac:dyDescent="0.3"/>
    <row r="134" spans="1:14" s="435" customFormat="1" hidden="1" x14ac:dyDescent="0.3"/>
    <row r="135" spans="1:14" s="435" customFormat="1" hidden="1" x14ac:dyDescent="0.3">
      <c r="A135" s="2152" t="s">
        <v>1126</v>
      </c>
      <c r="B135" s="2152"/>
      <c r="C135" s="2153"/>
      <c r="D135" s="2154"/>
      <c r="E135" s="2152"/>
      <c r="F135" s="2152"/>
      <c r="G135" s="2155"/>
      <c r="H135" s="2156"/>
      <c r="I135" s="2152"/>
      <c r="J135" s="2152"/>
      <c r="K135" s="2152"/>
      <c r="L135" s="2152"/>
      <c r="M135" s="2152"/>
      <c r="N135" s="2152"/>
    </row>
    <row r="136" spans="1:14" hidden="1" x14ac:dyDescent="0.3">
      <c r="A136" s="435"/>
      <c r="B136" s="435"/>
      <c r="C136" s="2157"/>
      <c r="D136" s="2158"/>
      <c r="E136" s="435"/>
      <c r="F136" s="435"/>
      <c r="G136" s="435"/>
      <c r="H136" s="425"/>
      <c r="I136" s="435"/>
      <c r="J136" s="435"/>
      <c r="K136" s="435"/>
      <c r="L136" s="435"/>
      <c r="M136" s="435"/>
    </row>
    <row r="137" spans="1:14" ht="15.05" hidden="1" thickBot="1" x14ac:dyDescent="0.35">
      <c r="A137" s="2188">
        <v>1164</v>
      </c>
      <c r="B137" s="2159" t="s">
        <v>1920</v>
      </c>
      <c r="C137" s="2159"/>
      <c r="D137" s="435"/>
      <c r="E137" s="435"/>
      <c r="F137" s="435"/>
      <c r="G137" s="435"/>
      <c r="H137" s="435"/>
      <c r="I137" s="435"/>
      <c r="J137" s="435"/>
      <c r="K137" s="435"/>
      <c r="L137" s="435"/>
      <c r="M137" s="435"/>
    </row>
    <row r="138" spans="1:14" ht="15.05" hidden="1" thickTop="1" x14ac:dyDescent="0.3">
      <c r="A138" s="435"/>
      <c r="B138" s="2160" t="s">
        <v>1921</v>
      </c>
      <c r="C138" s="2161">
        <f>+EconómicoMensual!N10</f>
        <v>0</v>
      </c>
      <c r="D138" s="435"/>
      <c r="E138" s="435"/>
      <c r="F138" s="435"/>
      <c r="G138" s="435"/>
      <c r="H138" s="435"/>
      <c r="I138" s="435"/>
      <c r="J138" s="435"/>
      <c r="K138" s="435"/>
      <c r="L138" s="435"/>
      <c r="M138" s="435"/>
    </row>
    <row r="139" spans="1:14" hidden="1" x14ac:dyDescent="0.3">
      <c r="A139" s="435"/>
      <c r="B139" s="2162" t="s">
        <v>1922</v>
      </c>
      <c r="C139" s="2151">
        <f>+EconómicoMensual!N14</f>
        <v>0</v>
      </c>
      <c r="D139" s="435"/>
      <c r="E139" s="435"/>
      <c r="F139" s="435"/>
      <c r="G139" s="435"/>
      <c r="H139" s="435"/>
      <c r="I139" s="435"/>
      <c r="J139" s="435"/>
      <c r="K139" s="435"/>
      <c r="L139" s="435"/>
    </row>
    <row r="140" spans="1:14" ht="15.05" hidden="1" thickBot="1" x14ac:dyDescent="0.35">
      <c r="A140" s="435"/>
      <c r="B140" s="2163" t="s">
        <v>230</v>
      </c>
      <c r="C140" s="2164">
        <f>+SUM(C138:C139)</f>
        <v>0</v>
      </c>
      <c r="D140" s="435"/>
      <c r="E140" s="435"/>
      <c r="F140" s="435"/>
      <c r="G140" s="435"/>
      <c r="H140" s="435"/>
      <c r="I140" s="435"/>
      <c r="J140" s="435"/>
      <c r="K140" s="435"/>
      <c r="L140" s="435"/>
    </row>
    <row r="141" spans="1:14" ht="15.75" hidden="1" thickTop="1" thickBot="1" x14ac:dyDescent="0.35">
      <c r="E141" s="432"/>
      <c r="F141" s="432"/>
    </row>
    <row r="142" spans="1:14" ht="15.05" hidden="1" thickBot="1" x14ac:dyDescent="0.35">
      <c r="B142" s="1112" t="s">
        <v>2269</v>
      </c>
      <c r="C142" s="1113"/>
      <c r="D142" s="2336"/>
      <c r="E142" s="2337"/>
      <c r="F142" s="2337"/>
      <c r="G142" s="1113"/>
      <c r="H142" s="1093"/>
      <c r="I142" s="768"/>
    </row>
    <row r="143" spans="1:14" ht="15.05" hidden="1" thickBot="1" x14ac:dyDescent="0.35">
      <c r="B143" s="2261" t="s">
        <v>700</v>
      </c>
      <c r="C143" s="768"/>
      <c r="D143" s="2338"/>
      <c r="E143" s="2337"/>
      <c r="F143" s="768"/>
      <c r="G143" s="2261" t="s">
        <v>2105</v>
      </c>
      <c r="H143" s="431"/>
      <c r="I143" s="768"/>
    </row>
    <row r="144" spans="1:14" hidden="1" x14ac:dyDescent="0.3">
      <c r="B144" s="2340" t="s">
        <v>2271</v>
      </c>
      <c r="C144" s="2342"/>
      <c r="D144" s="2341"/>
      <c r="E144" s="2228"/>
      <c r="F144" s="2342"/>
      <c r="G144" s="2340" t="s">
        <v>2270</v>
      </c>
      <c r="H144" s="2344"/>
      <c r="I144" s="2342"/>
    </row>
    <row r="145" spans="2:9" hidden="1" x14ac:dyDescent="0.3">
      <c r="B145" s="427" t="s">
        <v>2278</v>
      </c>
      <c r="C145" s="447">
        <f>+General!G27/1000*Precios!C208</f>
        <v>0</v>
      </c>
      <c r="F145" s="447"/>
      <c r="G145" s="427" t="str">
        <f t="shared" ref="G145:G150" si="0">+B145</f>
        <v>Reservas, Stock</v>
      </c>
      <c r="H145" s="574"/>
      <c r="I145" s="515">
        <f>+Alimentos!R410/1000*Precios!C208</f>
        <v>0</v>
      </c>
    </row>
    <row r="146" spans="2:9" hidden="1" x14ac:dyDescent="0.3">
      <c r="B146" s="427" t="s">
        <v>2277</v>
      </c>
      <c r="C146" s="447">
        <f>+General!E44+General!E61</f>
        <v>0</v>
      </c>
      <c r="F146" s="447"/>
      <c r="G146" s="427" t="str">
        <f t="shared" si="0"/>
        <v>Concentrados, Stock</v>
      </c>
      <c r="H146" s="574"/>
      <c r="I146" s="515" t="e">
        <f>+Alimentos!R475*AVERAGE(Alimentos!G474:R474)+Alimentos!R498*AVERAGE(Alimentos!G497:R497)</f>
        <v>#DIV/0!</v>
      </c>
    </row>
    <row r="147" spans="2:9" hidden="1" x14ac:dyDescent="0.3">
      <c r="B147" s="427" t="s">
        <v>2272</v>
      </c>
      <c r="C147" s="447">
        <f>+Precios!C374</f>
        <v>7050</v>
      </c>
      <c r="F147" s="447"/>
      <c r="G147" s="427" t="str">
        <f t="shared" si="0"/>
        <v>Insumos en Stock</v>
      </c>
      <c r="H147" s="574"/>
      <c r="I147" s="515">
        <f>+Precios!C375</f>
        <v>7050</v>
      </c>
    </row>
    <row r="148" spans="2:9" hidden="1" x14ac:dyDescent="0.3">
      <c r="B148" s="427" t="s">
        <v>2273</v>
      </c>
      <c r="C148" s="447">
        <f>+MovFinancieros!C18</f>
        <v>0</v>
      </c>
      <c r="E148" s="300"/>
      <c r="F148" s="426"/>
      <c r="G148" s="427" t="str">
        <f t="shared" si="0"/>
        <v>Cuentas a cobrar</v>
      </c>
      <c r="I148" s="515">
        <f>+Ingresos!C762</f>
        <v>0</v>
      </c>
    </row>
    <row r="149" spans="2:9" hidden="1" x14ac:dyDescent="0.3">
      <c r="B149" s="427" t="s">
        <v>2274</v>
      </c>
      <c r="C149" s="447">
        <f>+General!C147</f>
        <v>0</v>
      </c>
      <c r="E149" s="300"/>
      <c r="F149" s="426"/>
      <c r="G149" s="427" t="str">
        <f t="shared" si="0"/>
        <v xml:space="preserve">Caja </v>
      </c>
      <c r="I149" s="515">
        <f ca="1">+FinancieroMensual!N62</f>
        <v>0</v>
      </c>
    </row>
    <row r="150" spans="2:9" ht="15.05" hidden="1" thickBot="1" x14ac:dyDescent="0.35">
      <c r="B150" s="1129" t="s">
        <v>230</v>
      </c>
      <c r="C150" s="2346">
        <f>+SUM(C145:C149)</f>
        <v>7050</v>
      </c>
      <c r="D150" s="2343"/>
      <c r="E150" s="444"/>
      <c r="F150" s="428"/>
      <c r="G150" s="1129" t="str">
        <f t="shared" si="0"/>
        <v xml:space="preserve">TOTAL </v>
      </c>
      <c r="H150" s="444"/>
      <c r="I150" s="2345" t="e">
        <f>+SUM(I145:I149)</f>
        <v>#DIV/0!</v>
      </c>
    </row>
    <row r="151" spans="2:9" hidden="1" x14ac:dyDescent="0.3">
      <c r="E151" s="300"/>
      <c r="F151" s="300"/>
    </row>
    <row r="152" spans="2:9" x14ac:dyDescent="0.3">
      <c r="E152" s="300"/>
      <c r="F152" s="300"/>
    </row>
    <row r="153" spans="2:9" x14ac:dyDescent="0.3">
      <c r="E153" s="300"/>
      <c r="F153" s="300"/>
    </row>
    <row r="154" spans="2:9" x14ac:dyDescent="0.3">
      <c r="E154" s="300"/>
      <c r="F154" s="300"/>
    </row>
    <row r="155" spans="2:9" x14ac:dyDescent="0.3">
      <c r="E155" s="300"/>
      <c r="F155" s="300"/>
    </row>
    <row r="156" spans="2:9" x14ac:dyDescent="0.3">
      <c r="E156" s="300"/>
      <c r="F156" s="300"/>
    </row>
    <row r="157" spans="2:9" x14ac:dyDescent="0.3">
      <c r="E157" s="300"/>
      <c r="F157" s="300"/>
    </row>
    <row r="158" spans="2:9" x14ac:dyDescent="0.3">
      <c r="G158" s="432"/>
      <c r="H158" s="434"/>
    </row>
  </sheetData>
  <sheetProtection algorithmName="SHA-512" hashValue="FuUlhndgL/HH5TnWU/ErzYhr8ziSN+W7/9rxgBlbywllRDh9aJvlu1+Mf1vI73Lm75W6yuLiujitvAxfLi1pGg==" saltValue="d8iTRSDYxO8W4GSiplc4+w==" spinCount="100000" sheet="1" objects="1" scenarios="1"/>
  <conditionalFormatting sqref="A1">
    <cfRule type="cellIs" dxfId="51" priority="1" operator="equal">
      <formula>0</formula>
    </cfRule>
  </conditionalFormatting>
  <hyperlinks>
    <hyperlink ref="A1" location="ManualGlobal!B27:D43" display="◄"/>
  </hyperlinks>
  <pageMargins left="0.70866141732283472" right="0.70866141732283472" top="0.74803149606299213" bottom="0.74803149606299213" header="0.31496062992125984" footer="0.31496062992125984"/>
  <pageSetup paperSize="9" scale="72" fitToWidth="0" fitToHeight="0" orientation="portrait" horizontalDpi="300" verticalDpi="300" r:id="rId1"/>
  <rowBreaks count="2" manualBreakCount="2">
    <brk id="77" max="8" man="1"/>
    <brk id="115" max="8"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dimension ref="A1:W185"/>
  <sheetViews>
    <sheetView showGridLines="0" topLeftCell="A6" zoomScaleNormal="100" workbookViewId="0">
      <selection activeCell="F193" sqref="F193"/>
    </sheetView>
  </sheetViews>
  <sheetFormatPr baseColWidth="10" defaultColWidth="11.375" defaultRowHeight="14.4" x14ac:dyDescent="0.3"/>
  <cols>
    <col min="1" max="1" width="5.625" style="3436" customWidth="1"/>
    <col min="2" max="2" width="36" style="3436" customWidth="1"/>
    <col min="3" max="3" width="12.875" style="4265" customWidth="1"/>
    <col min="4" max="5" width="12.375" style="4265" customWidth="1"/>
    <col min="6" max="6" width="13.125" style="4265" customWidth="1"/>
    <col min="7" max="7" width="13.25" style="4265" customWidth="1"/>
    <col min="8" max="8" width="13.625" style="4265" customWidth="1"/>
    <col min="9" max="9" width="11.625" style="4265" bestFit="1" customWidth="1"/>
    <col min="10" max="11" width="12.375" style="4265" customWidth="1"/>
    <col min="12" max="14" width="18.125" style="4265" customWidth="1"/>
    <col min="15" max="15" width="12.375" style="4265" customWidth="1"/>
    <col min="16" max="16" width="11.375" style="3436"/>
    <col min="17" max="17" width="14.125" style="3436" customWidth="1"/>
    <col min="18" max="18" width="10.625" style="3436" customWidth="1"/>
    <col min="19" max="24" width="11.375" style="3436" customWidth="1"/>
    <col min="25" max="16384" width="11.375" style="3436"/>
  </cols>
  <sheetData>
    <row r="1" spans="1:20" x14ac:dyDescent="0.3">
      <c r="A1" s="2463" t="s">
        <v>633</v>
      </c>
      <c r="B1" s="3720" t="s">
        <v>2180</v>
      </c>
    </row>
    <row r="2" spans="1:20" s="3443" customFormat="1" ht="15.05" thickBot="1" x14ac:dyDescent="0.35">
      <c r="B2" s="3628"/>
      <c r="O2" s="4679"/>
      <c r="P2" s="4680"/>
      <c r="Q2" s="4680"/>
    </row>
    <row r="3" spans="1:20" s="3443" customFormat="1" x14ac:dyDescent="0.3">
      <c r="A3" s="2487">
        <f>+EconómicoAnual!A104+1</f>
        <v>172</v>
      </c>
      <c r="B3" s="3815" t="s">
        <v>800</v>
      </c>
      <c r="C3" s="4681"/>
      <c r="D3" s="4681"/>
      <c r="E3" s="4681"/>
      <c r="F3" s="4681"/>
      <c r="G3" s="4681"/>
      <c r="H3" s="4681"/>
      <c r="I3" s="4681"/>
      <c r="J3" s="3839"/>
      <c r="K3" s="3839"/>
      <c r="L3" s="4681"/>
      <c r="M3" s="3839"/>
      <c r="N3" s="4682"/>
      <c r="O3" s="4679"/>
      <c r="P3" s="4680"/>
      <c r="Q3" s="4680"/>
    </row>
    <row r="4" spans="1:20" s="3443" customFormat="1" x14ac:dyDescent="0.2">
      <c r="A4" s="3902"/>
      <c r="B4" s="4683" t="s">
        <v>2161</v>
      </c>
      <c r="C4" s="4684"/>
      <c r="D4" s="4685"/>
      <c r="E4" s="4685"/>
      <c r="F4" s="4685"/>
      <c r="G4" s="4686" t="s">
        <v>2163</v>
      </c>
      <c r="H4" s="4684"/>
      <c r="I4" s="4685"/>
      <c r="J4" s="4685"/>
      <c r="K4" s="4687"/>
      <c r="L4" s="4686" t="s">
        <v>2179</v>
      </c>
      <c r="M4" s="4684"/>
      <c r="N4" s="4688"/>
      <c r="O4" s="4679"/>
      <c r="P4" s="4680"/>
      <c r="Q4" s="4680"/>
    </row>
    <row r="5" spans="1:20" s="3443" customFormat="1" x14ac:dyDescent="0.2">
      <c r="B5" s="4689" t="s">
        <v>275</v>
      </c>
      <c r="C5" s="4690" t="s">
        <v>2162</v>
      </c>
      <c r="D5" s="4691"/>
      <c r="E5" s="4691"/>
      <c r="F5" s="4691" t="s">
        <v>2177</v>
      </c>
      <c r="G5" s="4692" t="s">
        <v>691</v>
      </c>
      <c r="H5" s="4693" t="s">
        <v>718</v>
      </c>
      <c r="I5" s="4691"/>
      <c r="J5" s="4691"/>
      <c r="K5" s="4694"/>
      <c r="L5" s="4695" t="s">
        <v>691</v>
      </c>
      <c r="M5" s="4696" t="s">
        <v>718</v>
      </c>
      <c r="N5" s="4697" t="s">
        <v>757</v>
      </c>
      <c r="O5" s="4679"/>
      <c r="P5" s="4680"/>
      <c r="Q5" s="4680"/>
    </row>
    <row r="6" spans="1:20" s="3443" customFormat="1" x14ac:dyDescent="0.2">
      <c r="B6" s="4698"/>
      <c r="C6" s="4699"/>
      <c r="D6" s="4700"/>
      <c r="E6" s="4700"/>
      <c r="F6" s="4700"/>
      <c r="G6" s="4701" t="s">
        <v>358</v>
      </c>
      <c r="H6" s="4702" t="s">
        <v>358</v>
      </c>
      <c r="I6" s="4700"/>
      <c r="J6" s="4700"/>
      <c r="K6" s="4703"/>
      <c r="L6" s="2754"/>
      <c r="M6" s="4704"/>
      <c r="N6" s="4705"/>
      <c r="O6" s="4679"/>
      <c r="P6" s="4680"/>
      <c r="Q6" s="4680"/>
    </row>
    <row r="7" spans="1:20" s="3443" customFormat="1" x14ac:dyDescent="0.3">
      <c r="B7" s="4706" t="s">
        <v>97</v>
      </c>
      <c r="C7" s="5465"/>
      <c r="D7" s="4707"/>
      <c r="E7" s="4707"/>
      <c r="F7" s="4707"/>
      <c r="G7" s="4708"/>
      <c r="H7" s="4709"/>
      <c r="I7" s="4707"/>
      <c r="J7" s="4707"/>
      <c r="K7" s="4710"/>
      <c r="L7" s="4708" t="e">
        <f>LOOKUP(C7,B46:B48,C46:C48)</f>
        <v>#N/A</v>
      </c>
      <c r="M7" s="4711" t="e">
        <f>LOOKUP(C7,B46:B48,D46:D48)</f>
        <v>#N/A</v>
      </c>
      <c r="N7" s="4712"/>
      <c r="O7" s="4679"/>
      <c r="P7" s="4680"/>
      <c r="Q7" s="4680"/>
    </row>
    <row r="8" spans="1:20" x14ac:dyDescent="0.3">
      <c r="A8" s="3443"/>
      <c r="B8" s="4713" t="s">
        <v>449</v>
      </c>
      <c r="C8" s="5466"/>
      <c r="D8" s="4714"/>
      <c r="E8" s="4714"/>
      <c r="F8" s="4715"/>
      <c r="G8" s="4716"/>
      <c r="H8" s="4717"/>
      <c r="I8" s="4714"/>
      <c r="J8" s="4714"/>
      <c r="K8" s="4718"/>
      <c r="L8" s="4716" t="e">
        <f>LOOKUP(C8,B50:B52,C50:C52)</f>
        <v>#N/A</v>
      </c>
      <c r="M8" s="4719" t="e">
        <f>LOOKUP(C8,B50:B52,D50:D52)</f>
        <v>#N/A</v>
      </c>
      <c r="N8" s="4720" t="e">
        <f>LOOKUP(C8,B50:B52,E50:E52)</f>
        <v>#N/A</v>
      </c>
      <c r="O8" s="4679"/>
      <c r="P8" s="4680"/>
      <c r="Q8" s="4680"/>
    </row>
    <row r="9" spans="1:20" x14ac:dyDescent="0.3">
      <c r="A9" s="3443"/>
      <c r="B9" s="4713" t="s">
        <v>799</v>
      </c>
      <c r="C9" s="5466"/>
      <c r="D9" s="4715"/>
      <c r="E9" s="4714"/>
      <c r="F9" s="4715"/>
      <c r="G9" s="4716"/>
      <c r="H9" s="4717"/>
      <c r="I9" s="4715"/>
      <c r="J9" s="4715"/>
      <c r="K9" s="4718"/>
      <c r="L9" s="4716" t="e">
        <f>LOOKUP(C9,B58:B60,C58:C60)</f>
        <v>#N/A</v>
      </c>
      <c r="M9" s="4719" t="e">
        <f>LOOKUP(C9,B58:B60,D58:D60)</f>
        <v>#N/A</v>
      </c>
      <c r="N9" s="4720" t="e">
        <f>LOOKUP(C9,B58:B60,E58:E60)</f>
        <v>#N/A</v>
      </c>
      <c r="O9" s="4679"/>
      <c r="P9" s="4680"/>
      <c r="Q9" s="4680"/>
    </row>
    <row r="10" spans="1:20" x14ac:dyDescent="0.3">
      <c r="A10" s="3443"/>
      <c r="B10" s="4713" t="s">
        <v>659</v>
      </c>
      <c r="C10" s="5466"/>
      <c r="D10" s="4715"/>
      <c r="E10" s="4714"/>
      <c r="F10" s="4715"/>
      <c r="G10" s="4716"/>
      <c r="H10" s="4717"/>
      <c r="I10" s="4715"/>
      <c r="J10" s="4715"/>
      <c r="K10" s="4718"/>
      <c r="L10" s="4716" t="e">
        <f>LOOKUP(C10,B62:B64,C62:C64)</f>
        <v>#N/A</v>
      </c>
      <c r="M10" s="4719" t="e">
        <f>LOOKUP(C10,B62:B64,D62:D64)</f>
        <v>#N/A</v>
      </c>
      <c r="N10" s="4720"/>
      <c r="O10" s="4679"/>
      <c r="P10" s="4680"/>
      <c r="Q10" s="4680"/>
    </row>
    <row r="11" spans="1:20" ht="15.05" thickBot="1" x14ac:dyDescent="0.35">
      <c r="A11" s="3443"/>
      <c r="B11" s="4721" t="s">
        <v>729</v>
      </c>
      <c r="C11" s="5467"/>
      <c r="D11" s="4722"/>
      <c r="E11" s="4723"/>
      <c r="F11" s="4722"/>
      <c r="G11" s="4724"/>
      <c r="H11" s="4725"/>
      <c r="I11" s="4722"/>
      <c r="J11" s="4722"/>
      <c r="K11" s="4726"/>
      <c r="L11" s="4724" t="e">
        <f>LOOKUP(C11,B54:B56,C54:C56)</f>
        <v>#N/A</v>
      </c>
      <c r="M11" s="4727" t="e">
        <f>LOOKUP(C11,B54:B56,D54:D56)</f>
        <v>#N/A</v>
      </c>
      <c r="N11" s="4728" t="e">
        <f>LOOKUP(C11,B54:B56,E54:E56)</f>
        <v>#N/A</v>
      </c>
      <c r="O11" s="4679"/>
      <c r="P11" s="4680"/>
      <c r="Q11" s="4680"/>
    </row>
    <row r="12" spans="1:20" ht="15.05" thickBot="1" x14ac:dyDescent="0.35">
      <c r="A12" s="3443"/>
      <c r="B12" s="3443"/>
      <c r="C12" s="3443"/>
      <c r="D12" s="4729"/>
      <c r="E12" s="3165"/>
      <c r="F12" s="4679"/>
      <c r="G12" s="4730"/>
      <c r="H12" s="4730"/>
      <c r="I12" s="4679"/>
      <c r="J12" s="4679"/>
      <c r="K12" s="4679"/>
      <c r="L12" s="2998"/>
      <c r="M12" s="2998"/>
      <c r="N12" s="2998"/>
      <c r="O12" s="4679"/>
      <c r="P12" s="4680"/>
      <c r="Q12" s="4680"/>
    </row>
    <row r="13" spans="1:20" s="3452" customFormat="1" ht="15.05" thickBot="1" x14ac:dyDescent="0.35">
      <c r="A13" s="2487">
        <f>+A3+1</f>
        <v>173</v>
      </c>
      <c r="B13" s="2488" t="s">
        <v>2178</v>
      </c>
      <c r="C13" s="2489"/>
      <c r="D13" s="4731"/>
      <c r="E13" s="4731"/>
      <c r="F13" s="2489"/>
      <c r="G13" s="2489"/>
      <c r="H13" s="2489"/>
      <c r="I13" s="2489"/>
      <c r="J13" s="2489"/>
      <c r="K13" s="2491"/>
      <c r="L13" s="2686"/>
      <c r="M13" s="2686"/>
      <c r="N13" s="2686"/>
      <c r="O13" s="2686"/>
      <c r="P13" s="2686"/>
      <c r="Q13" s="2686"/>
      <c r="R13" s="2686"/>
      <c r="T13" s="3628"/>
    </row>
    <row r="14" spans="1:20" ht="15.05" thickBot="1" x14ac:dyDescent="0.35">
      <c r="A14" s="3443"/>
      <c r="B14" s="3812" t="s">
        <v>2164</v>
      </c>
      <c r="C14" s="5558" t="s">
        <v>691</v>
      </c>
      <c r="D14" s="5558"/>
      <c r="E14" s="5558"/>
      <c r="F14" s="5559" t="s">
        <v>757</v>
      </c>
      <c r="G14" s="5559"/>
      <c r="H14" s="5559"/>
      <c r="I14" s="5560" t="s">
        <v>718</v>
      </c>
      <c r="J14" s="5560"/>
      <c r="K14" s="5561"/>
      <c r="L14" s="2998"/>
      <c r="M14" s="2998"/>
      <c r="N14" s="2998"/>
      <c r="O14" s="4679"/>
      <c r="P14" s="4680"/>
      <c r="Q14" s="4680"/>
    </row>
    <row r="15" spans="1:20" s="3437" customFormat="1" ht="15.05" thickBot="1" x14ac:dyDescent="0.35">
      <c r="B15" s="3812" t="s">
        <v>2176</v>
      </c>
      <c r="C15" s="4732"/>
      <c r="D15" s="4732" t="e">
        <f>+UsoSuelo!S127</f>
        <v>#DIV/0!</v>
      </c>
      <c r="E15" s="4732"/>
      <c r="F15" s="4732"/>
      <c r="G15" s="4732">
        <f>+UsoSuelo!S132</f>
        <v>0</v>
      </c>
      <c r="H15" s="4732"/>
      <c r="I15" s="4732"/>
      <c r="J15" s="4732" t="e">
        <f>+UsoSuelo!S131</f>
        <v>#DIV/0!</v>
      </c>
      <c r="K15" s="4732"/>
      <c r="L15" s="4733"/>
      <c r="M15" s="3453"/>
      <c r="N15" s="3453"/>
      <c r="O15" s="3452"/>
    </row>
    <row r="16" spans="1:20" s="3437" customFormat="1" ht="4.75" customHeight="1" thickBot="1" x14ac:dyDescent="0.35">
      <c r="A16" s="4680"/>
      <c r="B16" s="3753"/>
      <c r="C16" s="3679"/>
      <c r="D16" s="3678"/>
      <c r="E16" s="3678"/>
      <c r="F16" s="3679"/>
      <c r="G16" s="3678"/>
      <c r="H16" s="3678"/>
      <c r="I16" s="3679"/>
      <c r="J16" s="3678"/>
      <c r="K16" s="3678"/>
      <c r="L16" s="3523"/>
      <c r="M16" s="3523"/>
      <c r="P16" s="4680"/>
      <c r="Q16" s="4680"/>
    </row>
    <row r="17" spans="1:19" ht="15.05" thickBot="1" x14ac:dyDescent="0.35">
      <c r="A17" s="3443"/>
      <c r="B17" s="3812" t="s">
        <v>255</v>
      </c>
      <c r="C17" s="4734"/>
      <c r="D17" s="4732" t="s">
        <v>752</v>
      </c>
      <c r="E17" s="4735" t="s">
        <v>753</v>
      </c>
      <c r="F17" s="4734"/>
      <c r="G17" s="4732" t="s">
        <v>752</v>
      </c>
      <c r="H17" s="4735" t="s">
        <v>2165</v>
      </c>
      <c r="I17" s="4734"/>
      <c r="J17" s="4732" t="s">
        <v>752</v>
      </c>
      <c r="K17" s="4736" t="s">
        <v>2166</v>
      </c>
      <c r="L17" s="3523"/>
      <c r="M17" s="3523"/>
      <c r="N17" s="3436"/>
      <c r="O17" s="3436"/>
      <c r="P17" s="4680"/>
      <c r="Q17" s="4680"/>
    </row>
    <row r="18" spans="1:19" x14ac:dyDescent="0.3">
      <c r="A18" s="3443"/>
      <c r="B18" s="3512"/>
      <c r="C18" s="4737" t="s">
        <v>749</v>
      </c>
      <c r="D18" s="4696">
        <f>+O68</f>
        <v>0</v>
      </c>
      <c r="E18" s="4738">
        <f>IFERROR(D18/$D$15,0)</f>
        <v>0</v>
      </c>
      <c r="F18" s="4737" t="s">
        <v>63</v>
      </c>
      <c r="G18" s="4696">
        <f>O71</f>
        <v>0</v>
      </c>
      <c r="H18" s="4738">
        <f>IFERROR(G18/$G$15,0)</f>
        <v>0</v>
      </c>
      <c r="I18" s="4737" t="s">
        <v>758</v>
      </c>
      <c r="J18" s="4696">
        <f>+O70</f>
        <v>0</v>
      </c>
      <c r="K18" s="4739">
        <f>IFERROR(J18/$J$15,0)</f>
        <v>0</v>
      </c>
      <c r="L18" s="3165"/>
      <c r="M18" s="3165"/>
      <c r="N18" s="2998"/>
      <c r="O18" s="4679"/>
      <c r="P18" s="4680"/>
      <c r="Q18" s="4680"/>
    </row>
    <row r="19" spans="1:19" x14ac:dyDescent="0.3">
      <c r="A19" s="3443"/>
      <c r="B19" s="4740"/>
      <c r="C19" s="4741" t="s">
        <v>750</v>
      </c>
      <c r="D19" s="3165">
        <f>+O69</f>
        <v>0</v>
      </c>
      <c r="E19" s="4742">
        <f>IFERROR(D19/$D$15,0)</f>
        <v>0</v>
      </c>
      <c r="F19" s="4741" t="s">
        <v>296</v>
      </c>
      <c r="G19" s="3165">
        <f>O72</f>
        <v>0</v>
      </c>
      <c r="H19" s="4742">
        <f>IFERROR(G19/$G$15,0)</f>
        <v>0</v>
      </c>
      <c r="I19" s="4741"/>
      <c r="J19" s="3165"/>
      <c r="K19" s="4743"/>
      <c r="L19" s="3523"/>
      <c r="M19" s="3523"/>
      <c r="N19" s="2998"/>
      <c r="O19" s="4679"/>
      <c r="P19" s="4680"/>
      <c r="Q19" s="4680"/>
    </row>
    <row r="20" spans="1:19" ht="15.05" thickBot="1" x14ac:dyDescent="0.35">
      <c r="A20" s="3443"/>
      <c r="B20" s="4740"/>
      <c r="C20" s="4741" t="s">
        <v>751</v>
      </c>
      <c r="D20" s="3165">
        <f>+O73</f>
        <v>0</v>
      </c>
      <c r="E20" s="4742">
        <f>IFERROR(D20/$D$15,0)</f>
        <v>0</v>
      </c>
      <c r="F20" s="4741"/>
      <c r="G20" s="3165"/>
      <c r="H20" s="4742"/>
      <c r="I20" s="4741"/>
      <c r="J20" s="3165"/>
      <c r="K20" s="4743"/>
      <c r="L20" s="3165"/>
      <c r="M20" s="3165"/>
      <c r="N20" s="2998"/>
      <c r="O20" s="4679"/>
      <c r="P20" s="4680"/>
      <c r="Q20" s="4680"/>
    </row>
    <row r="21" spans="1:19" s="3437" customFormat="1" ht="15.05" thickBot="1" x14ac:dyDescent="0.35">
      <c r="A21" s="3443"/>
      <c r="B21" s="3812" t="s">
        <v>735</v>
      </c>
      <c r="C21" s="4734"/>
      <c r="D21" s="4732">
        <f>SUM(D18:D20)</f>
        <v>0</v>
      </c>
      <c r="E21" s="4735">
        <f>IFERROR(D21/$D$15,0)</f>
        <v>0</v>
      </c>
      <c r="F21" s="4734"/>
      <c r="G21" s="4732">
        <f>+SUM(G18:G20)</f>
        <v>0</v>
      </c>
      <c r="H21" s="4735">
        <f>IFERROR(G21/$G$15,0)</f>
        <v>0</v>
      </c>
      <c r="I21" s="4734"/>
      <c r="J21" s="4732">
        <f>+SUM(J18:J20)</f>
        <v>0</v>
      </c>
      <c r="K21" s="4736">
        <f>IFERROR(J21/$J$15,0)</f>
        <v>0</v>
      </c>
      <c r="L21" s="4744"/>
      <c r="M21" s="4744"/>
      <c r="N21" s="2998"/>
      <c r="O21" s="4679"/>
      <c r="P21" s="4680"/>
      <c r="Q21" s="4680"/>
    </row>
    <row r="22" spans="1:19" ht="4.45" customHeight="1" thickBot="1" x14ac:dyDescent="0.35">
      <c r="A22" s="4680"/>
      <c r="B22" s="3474"/>
      <c r="C22" s="4745"/>
      <c r="D22" s="3165"/>
      <c r="E22" s="3165"/>
      <c r="F22" s="4746"/>
      <c r="G22" s="3165"/>
      <c r="H22" s="3165"/>
      <c r="I22" s="4746"/>
      <c r="J22" s="3165"/>
      <c r="K22" s="4742"/>
      <c r="L22" s="3165"/>
      <c r="M22" s="3165"/>
      <c r="N22" s="2998"/>
      <c r="O22" s="4679"/>
      <c r="P22" s="4680"/>
      <c r="Q22" s="4680"/>
    </row>
    <row r="23" spans="1:19" ht="15.05" thickBot="1" x14ac:dyDescent="0.35">
      <c r="A23" s="3443"/>
      <c r="B23" s="4747" t="s">
        <v>2174</v>
      </c>
      <c r="C23" s="4734"/>
      <c r="D23" s="4732" t="s">
        <v>752</v>
      </c>
      <c r="E23" s="4735" t="s">
        <v>753</v>
      </c>
      <c r="F23" s="4734"/>
      <c r="G23" s="4732" t="s">
        <v>752</v>
      </c>
      <c r="H23" s="4735" t="s">
        <v>2165</v>
      </c>
      <c r="I23" s="4734"/>
      <c r="J23" s="4732" t="s">
        <v>752</v>
      </c>
      <c r="K23" s="4736" t="s">
        <v>2166</v>
      </c>
      <c r="L23" s="3165"/>
      <c r="M23" s="3165"/>
      <c r="N23" s="2998"/>
      <c r="O23" s="4679"/>
      <c r="P23" s="4680"/>
      <c r="Q23" s="4680"/>
    </row>
    <row r="24" spans="1:19" x14ac:dyDescent="0.3">
      <c r="A24" s="3443"/>
      <c r="B24" s="4748"/>
      <c r="C24" s="4749" t="s">
        <v>95</v>
      </c>
      <c r="D24" s="4750" t="e">
        <f t="shared" ref="D24:D34" ca="1" si="0">+O159</f>
        <v>#N/A</v>
      </c>
      <c r="E24" s="4751">
        <f t="shared" ref="E24:E34" ca="1" si="1">IFERROR(D24/$D$15,0)</f>
        <v>0</v>
      </c>
      <c r="F24" s="4752" t="str">
        <f>+C24</f>
        <v>Maquinaria</v>
      </c>
      <c r="G24" s="4750" t="e">
        <f ca="1">+O180</f>
        <v>#N/A</v>
      </c>
      <c r="H24" s="4751">
        <f ca="1">IFERROR(G24/$G$15,0)</f>
        <v>0</v>
      </c>
      <c r="I24" s="4753" t="str">
        <f>+F24</f>
        <v>Maquinaria</v>
      </c>
      <c r="J24" s="4750" t="e">
        <f>+O172</f>
        <v>#N/A</v>
      </c>
      <c r="K24" s="4754">
        <f>IFERROR(J24/$J$15,0)</f>
        <v>0</v>
      </c>
      <c r="L24" s="3165"/>
      <c r="M24" s="3165"/>
      <c r="N24" s="2998"/>
      <c r="O24" s="4679"/>
      <c r="P24" s="4680"/>
      <c r="Q24" s="4680"/>
    </row>
    <row r="25" spans="1:19" x14ac:dyDescent="0.3">
      <c r="A25" s="3443"/>
      <c r="B25" s="4740"/>
      <c r="C25" s="4755" t="str">
        <f>+B160</f>
        <v>Energía</v>
      </c>
      <c r="D25" s="4756">
        <f t="shared" si="0"/>
        <v>0</v>
      </c>
      <c r="E25" s="4757">
        <f t="shared" si="1"/>
        <v>0</v>
      </c>
      <c r="F25" s="4758"/>
      <c r="G25" s="4756"/>
      <c r="H25" s="4757"/>
      <c r="I25" s="4759"/>
      <c r="J25" s="4756"/>
      <c r="K25" s="4760"/>
      <c r="L25" s="3165"/>
      <c r="M25" s="3165"/>
      <c r="N25" s="2998"/>
      <c r="O25" s="4679"/>
      <c r="P25" s="4680"/>
      <c r="Q25" s="4680"/>
    </row>
    <row r="26" spans="1:19" x14ac:dyDescent="0.3">
      <c r="A26" s="3443"/>
      <c r="B26" s="4740"/>
      <c r="C26" s="4755" t="str">
        <f>+B161</f>
        <v>Sanidad</v>
      </c>
      <c r="D26" s="4756" t="e">
        <f t="shared" si="0"/>
        <v>#N/A</v>
      </c>
      <c r="E26" s="4757">
        <f t="shared" si="1"/>
        <v>0</v>
      </c>
      <c r="F26" s="4758"/>
      <c r="G26" s="4756"/>
      <c r="H26" s="4757"/>
      <c r="I26" s="4759" t="str">
        <f>+C26</f>
        <v>Sanidad</v>
      </c>
      <c r="J26" s="4756" t="e">
        <f>+O173</f>
        <v>#N/A</v>
      </c>
      <c r="K26" s="4760">
        <f>IFERROR(J26/$J$15,0)</f>
        <v>0</v>
      </c>
      <c r="L26" s="3165"/>
      <c r="M26" s="3165"/>
      <c r="N26" s="2998"/>
      <c r="O26" s="4679"/>
      <c r="P26" s="4680"/>
      <c r="Q26" s="4680"/>
    </row>
    <row r="27" spans="1:19" x14ac:dyDescent="0.3">
      <c r="A27" s="3443"/>
      <c r="B27" s="4740"/>
      <c r="C27" s="4755" t="str">
        <f>+B162</f>
        <v>Higiene</v>
      </c>
      <c r="D27" s="4756">
        <f t="shared" si="0"/>
        <v>0</v>
      </c>
      <c r="E27" s="4757">
        <f t="shared" si="1"/>
        <v>0</v>
      </c>
      <c r="F27" s="4758"/>
      <c r="G27" s="4756"/>
      <c r="H27" s="4757"/>
      <c r="I27" s="4759"/>
      <c r="J27" s="4756"/>
      <c r="K27" s="4760"/>
      <c r="L27" s="3165"/>
      <c r="M27" s="3165"/>
      <c r="N27" s="2998"/>
      <c r="O27" s="4679"/>
      <c r="P27" s="4680"/>
      <c r="Q27" s="4680"/>
    </row>
    <row r="28" spans="1:19" x14ac:dyDescent="0.3">
      <c r="A28" s="3443"/>
      <c r="B28" s="4740"/>
      <c r="C28" s="4755" t="str">
        <f>+B163</f>
        <v>Inseminación</v>
      </c>
      <c r="D28" s="4756">
        <f t="shared" si="0"/>
        <v>0</v>
      </c>
      <c r="E28" s="4757">
        <f t="shared" si="1"/>
        <v>0</v>
      </c>
      <c r="F28" s="4758"/>
      <c r="G28" s="4756"/>
      <c r="H28" s="4757"/>
      <c r="I28" s="4759"/>
      <c r="J28" s="4756"/>
      <c r="K28" s="4760"/>
      <c r="L28" s="3165"/>
      <c r="M28" s="3165"/>
      <c r="N28" s="2998"/>
      <c r="O28" s="4679"/>
      <c r="P28" s="4680"/>
      <c r="Q28" s="4680"/>
    </row>
    <row r="29" spans="1:19" x14ac:dyDescent="0.3">
      <c r="A29" s="3443"/>
      <c r="B29" s="4740"/>
      <c r="C29" s="4755" t="s">
        <v>760</v>
      </c>
      <c r="D29" s="4756" t="e">
        <f t="shared" si="0"/>
        <v>#N/A</v>
      </c>
      <c r="E29" s="4757">
        <f t="shared" si="1"/>
        <v>0</v>
      </c>
      <c r="F29" s="4758"/>
      <c r="G29" s="4756"/>
      <c r="H29" s="4757"/>
      <c r="I29" s="4759" t="str">
        <f>+C29</f>
        <v xml:space="preserve">Alimentación </v>
      </c>
      <c r="J29" s="4756" t="e">
        <f>+O174</f>
        <v>#N/A</v>
      </c>
      <c r="K29" s="4760">
        <f>IFERROR(J29/$J$15,0)</f>
        <v>0</v>
      </c>
      <c r="L29" s="3165"/>
      <c r="M29" s="3165"/>
      <c r="N29" s="2998"/>
      <c r="O29" s="4679"/>
      <c r="P29" s="4680"/>
      <c r="Q29" s="4680"/>
    </row>
    <row r="30" spans="1:19" ht="43.2" x14ac:dyDescent="0.3">
      <c r="A30" s="3443"/>
      <c r="B30" s="4740"/>
      <c r="C30" s="4761" t="s">
        <v>759</v>
      </c>
      <c r="D30" s="4756">
        <f t="shared" si="0"/>
        <v>0</v>
      </c>
      <c r="E30" s="4757">
        <f t="shared" si="1"/>
        <v>0</v>
      </c>
      <c r="F30" s="4762" t="str">
        <f>+C30</f>
        <v xml:space="preserve">Semillas + Fertilizantes + Agroquimicos </v>
      </c>
      <c r="G30" s="4756">
        <f>+O181</f>
        <v>0</v>
      </c>
      <c r="H30" s="4757">
        <f>IFERROR(G30/$G$15,0)</f>
        <v>0</v>
      </c>
      <c r="I30" s="4763" t="str">
        <f>+F30</f>
        <v xml:space="preserve">Semillas + Fertilizantes + Agroquimicos </v>
      </c>
      <c r="J30" s="4756">
        <f>+O175</f>
        <v>0</v>
      </c>
      <c r="K30" s="4760">
        <f>IFERROR(J30/$J$15,0)</f>
        <v>0</v>
      </c>
      <c r="L30" s="3165"/>
      <c r="M30" s="3165"/>
      <c r="N30" s="2998"/>
      <c r="O30" s="4679"/>
      <c r="P30" s="4680"/>
      <c r="Q30" s="4680"/>
    </row>
    <row r="31" spans="1:19" x14ac:dyDescent="0.3">
      <c r="A31" s="3443"/>
      <c r="B31" s="4740"/>
      <c r="C31" s="4755" t="str">
        <f>+B166</f>
        <v>Pastoreos</v>
      </c>
      <c r="D31" s="4756">
        <f t="shared" si="0"/>
        <v>0</v>
      </c>
      <c r="E31" s="4757">
        <f t="shared" si="1"/>
        <v>0</v>
      </c>
      <c r="F31" s="4758"/>
      <c r="G31" s="4756"/>
      <c r="H31" s="4757"/>
      <c r="I31" s="4759"/>
      <c r="J31" s="4756"/>
      <c r="K31" s="4760"/>
      <c r="L31" s="3165"/>
      <c r="M31" s="3165"/>
      <c r="N31" s="2998"/>
      <c r="O31" s="4679"/>
      <c r="P31" s="4680"/>
      <c r="Q31" s="4680"/>
      <c r="S31" s="3437"/>
    </row>
    <row r="32" spans="1:19" x14ac:dyDescent="0.3">
      <c r="A32" s="3443"/>
      <c r="B32" s="4740"/>
      <c r="C32" s="4755" t="s">
        <v>437</v>
      </c>
      <c r="D32" s="4756">
        <f t="shared" si="0"/>
        <v>0</v>
      </c>
      <c r="E32" s="4757">
        <f t="shared" si="1"/>
        <v>0</v>
      </c>
      <c r="F32" s="4758"/>
      <c r="G32" s="4756"/>
      <c r="H32" s="4757"/>
      <c r="I32" s="4759"/>
      <c r="J32" s="4756"/>
      <c r="K32" s="4760"/>
      <c r="L32" s="3165"/>
      <c r="M32" s="3165"/>
      <c r="N32" s="2998"/>
      <c r="O32" s="4679"/>
      <c r="P32" s="4680"/>
      <c r="Q32" s="4680"/>
      <c r="S32" s="3437"/>
    </row>
    <row r="33" spans="1:23" ht="15.05" thickBot="1" x14ac:dyDescent="0.35">
      <c r="A33" s="3443"/>
      <c r="B33" s="4764"/>
      <c r="C33" s="4765" t="str">
        <f>+B168</f>
        <v xml:space="preserve">Trabajo </v>
      </c>
      <c r="D33" s="4766" t="e">
        <f t="shared" si="0"/>
        <v>#N/A</v>
      </c>
      <c r="E33" s="4767">
        <f t="shared" si="1"/>
        <v>0</v>
      </c>
      <c r="F33" s="4768" t="str">
        <f>+C33</f>
        <v xml:space="preserve">Trabajo </v>
      </c>
      <c r="G33" s="4766" t="e">
        <f>+O182</f>
        <v>#N/A</v>
      </c>
      <c r="H33" s="4767">
        <f>IFERROR(G33/$G$15,0)</f>
        <v>0</v>
      </c>
      <c r="I33" s="4769" t="str">
        <f>+F33</f>
        <v xml:space="preserve">Trabajo </v>
      </c>
      <c r="J33" s="4766" t="e">
        <f>+O176</f>
        <v>#N/A</v>
      </c>
      <c r="K33" s="4770">
        <f>IFERROR(J33/$J$15,0)</f>
        <v>0</v>
      </c>
      <c r="L33" s="3165"/>
      <c r="M33" s="3165"/>
      <c r="N33" s="2998"/>
      <c r="O33" s="4679"/>
      <c r="P33" s="4680"/>
      <c r="Q33" s="4680"/>
      <c r="S33" s="3437"/>
    </row>
    <row r="34" spans="1:23" s="3437" customFormat="1" ht="15.05" thickBot="1" x14ac:dyDescent="0.35">
      <c r="A34" s="3443"/>
      <c r="B34" s="3812" t="s">
        <v>2175</v>
      </c>
      <c r="C34" s="4734"/>
      <c r="D34" s="4732" t="e">
        <f t="shared" ca="1" si="0"/>
        <v>#N/A</v>
      </c>
      <c r="E34" s="4735">
        <f t="shared" ca="1" si="1"/>
        <v>0</v>
      </c>
      <c r="F34" s="4734"/>
      <c r="G34" s="4732" t="e">
        <f ca="1">+SUM(G24:G33)</f>
        <v>#N/A</v>
      </c>
      <c r="H34" s="4735">
        <f ca="1">IFERROR(G34/$G$15,0)</f>
        <v>0</v>
      </c>
      <c r="I34" s="4734"/>
      <c r="J34" s="4732" t="e">
        <f>+SUM(J24:J33)</f>
        <v>#N/A</v>
      </c>
      <c r="K34" s="4736">
        <f>IFERROR(J34/$J$15,0)</f>
        <v>0</v>
      </c>
      <c r="L34" s="3165"/>
      <c r="M34" s="4744"/>
      <c r="N34" s="2998"/>
      <c r="O34" s="4679"/>
      <c r="P34" s="4680"/>
      <c r="Q34" s="4680"/>
    </row>
    <row r="35" spans="1:23" ht="6.05" customHeight="1" thickBot="1" x14ac:dyDescent="0.35">
      <c r="A35" s="4680"/>
      <c r="B35" s="3474"/>
      <c r="C35" s="4771"/>
      <c r="D35" s="4744"/>
      <c r="E35" s="4744"/>
      <c r="F35" s="4729"/>
      <c r="G35" s="4744"/>
      <c r="H35" s="4744"/>
      <c r="I35" s="4729"/>
      <c r="J35" s="4744"/>
      <c r="K35" s="4772"/>
      <c r="L35" s="4744"/>
      <c r="M35" s="4744"/>
      <c r="N35" s="2998"/>
      <c r="O35" s="4679"/>
      <c r="P35" s="4680"/>
      <c r="Q35" s="4680"/>
      <c r="S35" s="3437"/>
    </row>
    <row r="36" spans="1:23" s="3437" customFormat="1" ht="15.05" thickBot="1" x14ac:dyDescent="0.35">
      <c r="A36" s="3443"/>
      <c r="B36" s="3812" t="s">
        <v>755</v>
      </c>
      <c r="C36" s="4734"/>
      <c r="D36" s="4732" t="e">
        <f ca="1">+D21-D34</f>
        <v>#N/A</v>
      </c>
      <c r="E36" s="4735">
        <f ca="1">IFERROR(D36/$D$15,0)</f>
        <v>0</v>
      </c>
      <c r="F36" s="4734"/>
      <c r="G36" s="4732" t="e">
        <f ca="1">+G21-G34</f>
        <v>#N/A</v>
      </c>
      <c r="H36" s="4735">
        <f ca="1">IFERROR(G36/$G$15,0)</f>
        <v>0</v>
      </c>
      <c r="I36" s="4734"/>
      <c r="J36" s="4732" t="e">
        <f>+J21-J34</f>
        <v>#N/A</v>
      </c>
      <c r="K36" s="4736">
        <f>IFERROR(J36/$J$15,0)</f>
        <v>0</v>
      </c>
      <c r="L36" s="4744"/>
      <c r="M36" s="4744"/>
      <c r="N36" s="2998"/>
      <c r="O36" s="4679"/>
      <c r="P36" s="4680"/>
      <c r="Q36" s="4680"/>
    </row>
    <row r="37" spans="1:23" ht="6.05" customHeight="1" thickBot="1" x14ac:dyDescent="0.35">
      <c r="A37" s="4680"/>
      <c r="B37" s="3474"/>
      <c r="C37" s="4771"/>
      <c r="D37" s="4744"/>
      <c r="E37" s="4744"/>
      <c r="F37" s="4729"/>
      <c r="G37" s="4744"/>
      <c r="H37" s="4744"/>
      <c r="I37" s="4729"/>
      <c r="J37" s="4744"/>
      <c r="K37" s="4772"/>
      <c r="L37" s="4744"/>
      <c r="M37" s="4744"/>
      <c r="N37" s="2998"/>
      <c r="O37" s="4679"/>
      <c r="P37" s="4680"/>
      <c r="Q37" s="4680"/>
      <c r="S37" s="3437"/>
    </row>
    <row r="38" spans="1:23" ht="15.05" thickBot="1" x14ac:dyDescent="0.35">
      <c r="A38" s="3443"/>
      <c r="B38" s="3812" t="s">
        <v>2409</v>
      </c>
      <c r="C38" s="4734"/>
      <c r="D38" s="4732" t="e">
        <f>+O151</f>
        <v>#N/A</v>
      </c>
      <c r="E38" s="4735">
        <f>IFERROR(D38/$D$15,0)</f>
        <v>0</v>
      </c>
      <c r="F38" s="4734"/>
      <c r="G38" s="4732" t="e">
        <f>+O153</f>
        <v>#N/A</v>
      </c>
      <c r="H38" s="4735">
        <f>IFERROR(G38/$G$15,0)</f>
        <v>0</v>
      </c>
      <c r="I38" s="4734"/>
      <c r="J38" s="4732" t="e">
        <f>+O152</f>
        <v>#N/A</v>
      </c>
      <c r="K38" s="4736">
        <f>IFERROR(J38/$J$15,0)</f>
        <v>0</v>
      </c>
      <c r="L38" s="3165"/>
      <c r="M38" s="3165"/>
      <c r="N38" s="2998"/>
      <c r="O38" s="4679"/>
      <c r="P38" s="4680"/>
      <c r="Q38" s="4680"/>
      <c r="S38" s="3437"/>
    </row>
    <row r="39" spans="1:23" ht="4.45" customHeight="1" thickBot="1" x14ac:dyDescent="0.35">
      <c r="A39" s="4680"/>
      <c r="B39" s="3474"/>
      <c r="C39" s="4771"/>
      <c r="D39" s="4744"/>
      <c r="E39" s="4744"/>
      <c r="F39" s="4729"/>
      <c r="G39" s="4744"/>
      <c r="H39" s="4744"/>
      <c r="I39" s="4729"/>
      <c r="J39" s="4744"/>
      <c r="K39" s="4772"/>
      <c r="L39" s="4744"/>
      <c r="M39" s="4744"/>
      <c r="N39" s="2998"/>
      <c r="O39" s="4679"/>
      <c r="P39" s="4680"/>
      <c r="Q39" s="4680"/>
      <c r="S39" s="3437"/>
    </row>
    <row r="40" spans="1:23" ht="15.05" thickBot="1" x14ac:dyDescent="0.35">
      <c r="A40" s="3443"/>
      <c r="B40" s="3812" t="s">
        <v>756</v>
      </c>
      <c r="C40" s="4734"/>
      <c r="D40" s="4732" t="e">
        <f ca="1">D36-D38</f>
        <v>#N/A</v>
      </c>
      <c r="E40" s="4735">
        <f ca="1">IFERROR(D40/$D$15,0)</f>
        <v>0</v>
      </c>
      <c r="F40" s="4734"/>
      <c r="G40" s="4732" t="e">
        <f ca="1">+G36-G38</f>
        <v>#N/A</v>
      </c>
      <c r="H40" s="4735">
        <f ca="1">IFERROR(G40/$G$15,0)</f>
        <v>0</v>
      </c>
      <c r="I40" s="4734"/>
      <c r="J40" s="4732" t="e">
        <f>+J36-J38</f>
        <v>#N/A</v>
      </c>
      <c r="K40" s="4736">
        <f>IFERROR(J40/$J$15,0)</f>
        <v>0</v>
      </c>
      <c r="L40" s="4744"/>
      <c r="M40" s="4744"/>
      <c r="N40" s="2998"/>
      <c r="O40" s="4679"/>
      <c r="P40" s="4680"/>
      <c r="Q40" s="4680"/>
      <c r="S40" s="3437"/>
    </row>
    <row r="41" spans="1:23" x14ac:dyDescent="0.3">
      <c r="A41" s="3443"/>
      <c r="B41" s="3443" t="s">
        <v>2410</v>
      </c>
      <c r="C41" s="3443"/>
      <c r="D41" s="4729"/>
      <c r="E41" s="3165"/>
      <c r="F41" s="4773"/>
      <c r="G41" s="4730"/>
      <c r="H41" s="4730"/>
      <c r="I41" s="4679"/>
      <c r="J41" s="4679"/>
      <c r="K41" s="4679"/>
      <c r="L41" s="2998"/>
      <c r="M41" s="2998"/>
      <c r="N41" s="2998"/>
      <c r="O41" s="4679"/>
      <c r="P41" s="4680"/>
      <c r="Q41" s="4680"/>
      <c r="S41" s="3437"/>
    </row>
    <row r="42" spans="1:23" s="2476" customFormat="1" ht="15.9" customHeight="1" x14ac:dyDescent="0.2">
      <c r="A42" s="3443"/>
      <c r="B42" s="3443"/>
      <c r="C42" s="3443"/>
      <c r="D42" s="4729"/>
      <c r="E42" s="3165"/>
      <c r="F42" s="4679"/>
      <c r="G42" s="4730"/>
      <c r="H42" s="4730"/>
      <c r="I42" s="4679"/>
      <c r="J42" s="4679"/>
      <c r="K42" s="4679"/>
      <c r="L42" s="2998"/>
      <c r="M42" s="2998"/>
      <c r="N42" s="2998"/>
      <c r="O42" s="4679"/>
      <c r="P42" s="4680"/>
      <c r="Q42" s="4680"/>
      <c r="W42" s="3066"/>
    </row>
    <row r="43" spans="1:23" s="2476" customFormat="1" ht="19.649999999999999" hidden="1" x14ac:dyDescent="0.3">
      <c r="A43" s="3067"/>
      <c r="B43" s="2149" t="s">
        <v>1126</v>
      </c>
      <c r="C43" s="2147"/>
      <c r="D43" s="3068"/>
      <c r="E43" s="3068"/>
      <c r="F43" s="3069"/>
      <c r="G43" s="2148"/>
      <c r="H43" s="2148"/>
      <c r="I43" s="2148"/>
      <c r="J43" s="2148"/>
      <c r="K43" s="2148"/>
      <c r="L43" s="2148"/>
      <c r="M43" s="2148"/>
      <c r="N43" s="2148"/>
      <c r="O43" s="2148"/>
      <c r="P43" s="2148"/>
      <c r="Q43" s="2148"/>
      <c r="R43" s="2148"/>
      <c r="S43" s="3068"/>
      <c r="T43" s="4499"/>
      <c r="U43" s="4500"/>
      <c r="W43" s="4057"/>
    </row>
    <row r="44" spans="1:23" ht="15.75" hidden="1" thickBot="1" x14ac:dyDescent="0.35">
      <c r="A44" s="3071">
        <v>1165</v>
      </c>
      <c r="B44" s="2233" t="s">
        <v>2167</v>
      </c>
      <c r="C44" s="2231"/>
      <c r="D44" s="4774"/>
      <c r="E44" s="4774"/>
      <c r="F44" s="4775"/>
      <c r="G44" s="2232"/>
      <c r="H44" s="2232"/>
      <c r="I44" s="2232"/>
      <c r="J44" s="2232"/>
      <c r="K44" s="2232"/>
      <c r="L44" s="2232"/>
      <c r="M44" s="2232"/>
      <c r="N44" s="2232"/>
      <c r="O44" s="2232"/>
      <c r="P44" s="414"/>
      <c r="Q44" s="414"/>
    </row>
    <row r="45" spans="1:23" s="3440" customFormat="1" ht="15.05" hidden="1" thickTop="1" x14ac:dyDescent="0.3">
      <c r="B45" s="4776" t="s">
        <v>37</v>
      </c>
      <c r="C45" s="4777" t="s">
        <v>691</v>
      </c>
      <c r="D45" s="4778" t="s">
        <v>718</v>
      </c>
      <c r="E45" s="3443"/>
      <c r="I45" s="414"/>
      <c r="J45" s="414"/>
      <c r="K45" s="414"/>
      <c r="L45" s="414"/>
      <c r="M45" s="414"/>
      <c r="N45" s="414"/>
      <c r="O45" s="414"/>
      <c r="P45" s="414"/>
      <c r="Q45" s="414"/>
    </row>
    <row r="46" spans="1:23" s="3440" customFormat="1" hidden="1" x14ac:dyDescent="0.3">
      <c r="A46" s="2476"/>
      <c r="B46" s="4779" t="s">
        <v>722</v>
      </c>
      <c r="C46" s="4780">
        <f>+G7</f>
        <v>0</v>
      </c>
      <c r="D46" s="4781">
        <f>1-C46</f>
        <v>1</v>
      </c>
      <c r="E46" s="3443"/>
      <c r="I46" s="414"/>
      <c r="J46" s="414"/>
      <c r="K46" s="414"/>
      <c r="L46" s="414"/>
      <c r="M46" s="414"/>
      <c r="N46" s="414"/>
      <c r="O46" s="414"/>
      <c r="P46" s="414"/>
      <c r="Q46" s="414"/>
    </row>
    <row r="47" spans="1:23" s="3440" customFormat="1" hidden="1" x14ac:dyDescent="0.3">
      <c r="A47" s="2476"/>
      <c r="B47" s="4779" t="s">
        <v>723</v>
      </c>
      <c r="C47" s="4780" t="e">
        <f>+(O68+O69+O73)/(O75-O72-O71)</f>
        <v>#DIV/0!</v>
      </c>
      <c r="D47" s="4781" t="e">
        <f>1-C47</f>
        <v>#DIV/0!</v>
      </c>
      <c r="E47" s="3443"/>
      <c r="I47" s="414"/>
      <c r="J47" s="414"/>
      <c r="K47" s="414"/>
      <c r="L47" s="414"/>
      <c r="M47" s="414"/>
      <c r="N47" s="414"/>
      <c r="O47" s="414"/>
      <c r="P47" s="414"/>
      <c r="Q47" s="414"/>
    </row>
    <row r="48" spans="1:23" s="3440" customFormat="1" ht="15.05" hidden="1" thickBot="1" x14ac:dyDescent="0.35">
      <c r="A48" s="2476"/>
      <c r="B48" s="4782" t="s">
        <v>721</v>
      </c>
      <c r="C48" s="4783" t="e">
        <f>+UsoSuelo!S127/(UsoSuelo!S127+UsoSuelo!S131+UsoSuelo!S132)</f>
        <v>#DIV/0!</v>
      </c>
      <c r="D48" s="4784" t="e">
        <f>UsoSuelo!S131/(UsoSuelo!S127+UsoSuelo!S131+UsoSuelo!S132)</f>
        <v>#DIV/0!</v>
      </c>
      <c r="E48" s="3443"/>
      <c r="I48" s="414"/>
      <c r="J48" s="414"/>
      <c r="K48" s="414"/>
      <c r="L48" s="414"/>
      <c r="M48" s="414"/>
      <c r="N48" s="414"/>
      <c r="O48" s="414"/>
      <c r="P48" s="414"/>
      <c r="Q48" s="414"/>
    </row>
    <row r="49" spans="1:17" ht="15.05" hidden="1" thickTop="1" x14ac:dyDescent="0.3">
      <c r="A49" s="2476"/>
      <c r="B49" s="4776" t="s">
        <v>449</v>
      </c>
      <c r="C49" s="4785" t="s">
        <v>691</v>
      </c>
      <c r="D49" s="4785" t="s">
        <v>718</v>
      </c>
      <c r="E49" s="4786" t="s">
        <v>736</v>
      </c>
      <c r="F49" s="3436"/>
      <c r="G49" s="3436"/>
      <c r="H49" s="3436"/>
      <c r="I49" s="414"/>
      <c r="J49" s="414"/>
      <c r="K49" s="414"/>
      <c r="L49" s="414"/>
      <c r="M49" s="414"/>
      <c r="N49" s="414"/>
      <c r="O49" s="414"/>
      <c r="P49" s="414"/>
      <c r="Q49" s="414"/>
    </row>
    <row r="50" spans="1:17" hidden="1" x14ac:dyDescent="0.3">
      <c r="A50" s="2476"/>
      <c r="B50" s="4787" t="str">
        <f>+B46</f>
        <v xml:space="preserve">Porcentaje </v>
      </c>
      <c r="C50" s="4788">
        <f>+G8</f>
        <v>0</v>
      </c>
      <c r="D50" s="4788">
        <f>+H8</f>
        <v>0</v>
      </c>
      <c r="E50" s="4781">
        <f>1-D50-C50</f>
        <v>1</v>
      </c>
      <c r="F50" s="3436"/>
      <c r="G50" s="3436"/>
      <c r="H50" s="3436"/>
      <c r="I50" s="414"/>
      <c r="J50" s="414"/>
      <c r="K50" s="414"/>
      <c r="L50" s="414"/>
      <c r="M50" s="414"/>
      <c r="N50" s="414"/>
      <c r="O50" s="414"/>
      <c r="P50" s="414"/>
      <c r="Q50" s="414"/>
    </row>
    <row r="51" spans="1:17" hidden="1" x14ac:dyDescent="0.3">
      <c r="A51" s="2476"/>
      <c r="B51" s="4787" t="str">
        <f>+B47</f>
        <v xml:space="preserve">Prod. Bruto </v>
      </c>
      <c r="C51" s="4788" t="e">
        <f>(O68+O69+O73)/(O68+O69+O70+O71+O72+O73)</f>
        <v>#DIV/0!</v>
      </c>
      <c r="D51" s="4788" t="e">
        <f>(O70)/(O68+O69+O70+O71+O72+O73)</f>
        <v>#DIV/0!</v>
      </c>
      <c r="E51" s="4781" t="e">
        <f>1-D51-C51</f>
        <v>#DIV/0!</v>
      </c>
      <c r="F51" s="3436"/>
      <c r="G51" s="3436"/>
      <c r="H51" s="3436"/>
      <c r="I51" s="414"/>
      <c r="J51" s="414"/>
      <c r="K51" s="414"/>
      <c r="L51" s="414"/>
      <c r="M51" s="414"/>
      <c r="N51" s="414"/>
      <c r="O51" s="414"/>
      <c r="P51" s="414"/>
      <c r="Q51" s="414"/>
    </row>
    <row r="52" spans="1:17" ht="15.05" hidden="1" thickBot="1" x14ac:dyDescent="0.35">
      <c r="A52" s="2476"/>
      <c r="B52" s="4789" t="str">
        <f>+B48</f>
        <v xml:space="preserve">Superficie </v>
      </c>
      <c r="C52" s="4790" t="e">
        <f>+C48</f>
        <v>#DIV/0!</v>
      </c>
      <c r="D52" s="4790" t="e">
        <f>+D48</f>
        <v>#DIV/0!</v>
      </c>
      <c r="E52" s="4784" t="e">
        <f>1-D52-C52</f>
        <v>#DIV/0!</v>
      </c>
      <c r="F52" s="3436"/>
      <c r="G52" s="3436"/>
      <c r="H52" s="3436"/>
      <c r="I52" s="414"/>
      <c r="J52" s="414"/>
      <c r="K52" s="414"/>
      <c r="L52" s="414"/>
      <c r="M52" s="414"/>
      <c r="N52" s="414"/>
      <c r="O52" s="414"/>
      <c r="P52" s="414"/>
      <c r="Q52" s="414"/>
    </row>
    <row r="53" spans="1:17" ht="15.05" hidden="1" thickTop="1" x14ac:dyDescent="0.3">
      <c r="A53" s="2476"/>
      <c r="B53" s="4776" t="s">
        <v>711</v>
      </c>
      <c r="C53" s="4785" t="s">
        <v>691</v>
      </c>
      <c r="D53" s="4785" t="s">
        <v>718</v>
      </c>
      <c r="E53" s="4786" t="s">
        <v>736</v>
      </c>
      <c r="F53" s="3436"/>
      <c r="G53" s="3436"/>
      <c r="H53" s="3436"/>
      <c r="I53" s="414"/>
      <c r="J53" s="414"/>
      <c r="K53" s="414"/>
      <c r="L53" s="414"/>
      <c r="M53" s="414"/>
      <c r="N53" s="414"/>
      <c r="O53" s="414"/>
      <c r="P53" s="414"/>
      <c r="Q53" s="414"/>
    </row>
    <row r="54" spans="1:17" hidden="1" x14ac:dyDescent="0.3">
      <c r="A54" s="2476"/>
      <c r="B54" s="4787" t="str">
        <f>+B50</f>
        <v xml:space="preserve">Porcentaje </v>
      </c>
      <c r="C54" s="4788">
        <f>+G11</f>
        <v>0</v>
      </c>
      <c r="D54" s="4788">
        <f>+H11</f>
        <v>0</v>
      </c>
      <c r="E54" s="4781">
        <f>1-D54-C54</f>
        <v>1</v>
      </c>
      <c r="F54" s="3436"/>
      <c r="G54" s="3436"/>
      <c r="H54" s="3436"/>
      <c r="I54" s="414"/>
      <c r="J54" s="414"/>
      <c r="K54" s="414"/>
      <c r="L54" s="414"/>
      <c r="M54" s="414"/>
      <c r="N54" s="414"/>
      <c r="O54" s="414"/>
      <c r="P54" s="414"/>
      <c r="Q54" s="414"/>
    </row>
    <row r="55" spans="1:17" hidden="1" x14ac:dyDescent="0.3">
      <c r="A55" s="2476"/>
      <c r="B55" s="4787" t="str">
        <f>+B51</f>
        <v xml:space="preserve">Prod. Bruto </v>
      </c>
      <c r="C55" s="4788" t="e">
        <f t="shared" ref="C55:E56" si="2">+C51</f>
        <v>#DIV/0!</v>
      </c>
      <c r="D55" s="4788" t="e">
        <f t="shared" si="2"/>
        <v>#DIV/0!</v>
      </c>
      <c r="E55" s="4781" t="e">
        <f t="shared" si="2"/>
        <v>#DIV/0!</v>
      </c>
      <c r="F55" s="3436"/>
      <c r="G55" s="3436"/>
      <c r="H55" s="3436"/>
      <c r="I55" s="414"/>
      <c r="J55" s="414"/>
      <c r="K55" s="414"/>
      <c r="L55" s="414"/>
      <c r="M55" s="414"/>
      <c r="N55" s="414"/>
      <c r="O55" s="414"/>
      <c r="P55" s="414"/>
      <c r="Q55" s="414"/>
    </row>
    <row r="56" spans="1:17" ht="15.05" hidden="1" thickBot="1" x14ac:dyDescent="0.35">
      <c r="A56" s="2476"/>
      <c r="B56" s="4789" t="str">
        <f>+B52</f>
        <v xml:space="preserve">Superficie </v>
      </c>
      <c r="C56" s="4790" t="e">
        <f t="shared" si="2"/>
        <v>#DIV/0!</v>
      </c>
      <c r="D56" s="4790" t="e">
        <f t="shared" si="2"/>
        <v>#DIV/0!</v>
      </c>
      <c r="E56" s="4784" t="e">
        <f t="shared" si="2"/>
        <v>#DIV/0!</v>
      </c>
      <c r="F56" s="3436"/>
      <c r="G56" s="3436"/>
      <c r="H56" s="3436"/>
      <c r="I56" s="414"/>
      <c r="J56" s="414"/>
      <c r="K56" s="414"/>
      <c r="L56" s="414"/>
      <c r="M56" s="414"/>
      <c r="N56" s="414"/>
      <c r="O56" s="414"/>
      <c r="P56" s="414"/>
      <c r="Q56" s="414"/>
    </row>
    <row r="57" spans="1:17" ht="15.05" hidden="1" thickTop="1" x14ac:dyDescent="0.3">
      <c r="A57" s="2476"/>
      <c r="B57" s="4776" t="s">
        <v>801</v>
      </c>
      <c r="C57" s="4785" t="s">
        <v>691</v>
      </c>
      <c r="D57" s="4785" t="s">
        <v>718</v>
      </c>
      <c r="E57" s="4786" t="s">
        <v>736</v>
      </c>
      <c r="F57" s="3436"/>
      <c r="G57" s="3436"/>
      <c r="H57" s="3436"/>
      <c r="I57" s="414"/>
      <c r="J57" s="414"/>
      <c r="K57" s="414"/>
      <c r="L57" s="414"/>
      <c r="M57" s="414"/>
      <c r="N57" s="414"/>
      <c r="O57" s="414"/>
      <c r="P57" s="414"/>
      <c r="Q57" s="414"/>
    </row>
    <row r="58" spans="1:17" hidden="1" x14ac:dyDescent="0.3">
      <c r="A58" s="2476"/>
      <c r="B58" s="4787" t="str">
        <f>+B54</f>
        <v xml:space="preserve">Porcentaje </v>
      </c>
      <c r="C58" s="4788">
        <f>+G9</f>
        <v>0</v>
      </c>
      <c r="D58" s="4788">
        <f>+H9</f>
        <v>0</v>
      </c>
      <c r="E58" s="4781">
        <f>1-D58-C58</f>
        <v>1</v>
      </c>
      <c r="F58" s="3436"/>
      <c r="G58" s="3436"/>
      <c r="H58" s="3436"/>
      <c r="I58" s="414"/>
      <c r="J58" s="414"/>
      <c r="K58" s="414"/>
      <c r="L58" s="414"/>
      <c r="M58" s="414"/>
      <c r="N58" s="414"/>
      <c r="O58" s="414"/>
      <c r="P58" s="414"/>
      <c r="Q58" s="414"/>
    </row>
    <row r="59" spans="1:17" hidden="1" x14ac:dyDescent="0.3">
      <c r="A59" s="2476"/>
      <c r="B59" s="4787" t="str">
        <f>+B55</f>
        <v xml:space="preserve">Prod. Bruto </v>
      </c>
      <c r="C59" s="4788" t="e">
        <f t="shared" ref="C59:E60" si="3">+C55</f>
        <v>#DIV/0!</v>
      </c>
      <c r="D59" s="4788" t="e">
        <f t="shared" si="3"/>
        <v>#DIV/0!</v>
      </c>
      <c r="E59" s="4781" t="e">
        <f t="shared" si="3"/>
        <v>#DIV/0!</v>
      </c>
      <c r="F59" s="3436"/>
      <c r="G59" s="3436"/>
      <c r="H59" s="3436"/>
      <c r="I59" s="414"/>
      <c r="J59" s="414"/>
      <c r="K59" s="414"/>
      <c r="L59" s="414"/>
      <c r="M59" s="414"/>
      <c r="N59" s="414"/>
      <c r="O59" s="414"/>
      <c r="P59" s="414"/>
      <c r="Q59" s="414"/>
    </row>
    <row r="60" spans="1:17" ht="15.05" hidden="1" thickBot="1" x14ac:dyDescent="0.35">
      <c r="A60" s="2476"/>
      <c r="B60" s="4789" t="str">
        <f>+B56</f>
        <v xml:space="preserve">Superficie </v>
      </c>
      <c r="C60" s="4790" t="e">
        <f t="shared" si="3"/>
        <v>#DIV/0!</v>
      </c>
      <c r="D60" s="4790" t="e">
        <f t="shared" si="3"/>
        <v>#DIV/0!</v>
      </c>
      <c r="E60" s="4784" t="e">
        <f t="shared" si="3"/>
        <v>#DIV/0!</v>
      </c>
      <c r="F60" s="3436"/>
      <c r="G60" s="3436"/>
      <c r="H60" s="3436"/>
      <c r="I60" s="414"/>
      <c r="J60" s="414"/>
      <c r="K60" s="414"/>
      <c r="L60" s="414"/>
      <c r="M60" s="414"/>
      <c r="N60" s="414"/>
      <c r="O60" s="414"/>
      <c r="P60" s="414"/>
      <c r="Q60" s="414"/>
    </row>
    <row r="61" spans="1:17" ht="15.05" hidden="1" thickTop="1" x14ac:dyDescent="0.3">
      <c r="A61" s="2476"/>
      <c r="B61" s="4776" t="s">
        <v>659</v>
      </c>
      <c r="C61" s="4777" t="s">
        <v>691</v>
      </c>
      <c r="D61" s="4778" t="s">
        <v>718</v>
      </c>
      <c r="E61" s="4270"/>
      <c r="F61" s="3436"/>
      <c r="G61" s="3436"/>
      <c r="H61" s="3436"/>
      <c r="I61" s="414"/>
      <c r="J61" s="414"/>
      <c r="K61" s="414"/>
      <c r="L61" s="414"/>
      <c r="M61" s="414"/>
      <c r="N61" s="414"/>
      <c r="O61" s="414"/>
      <c r="P61" s="414"/>
      <c r="Q61" s="414"/>
    </row>
    <row r="62" spans="1:17" hidden="1" x14ac:dyDescent="0.3">
      <c r="A62" s="2476"/>
      <c r="B62" s="4779" t="str">
        <f>+B58</f>
        <v xml:space="preserve">Porcentaje </v>
      </c>
      <c r="C62" s="4780">
        <f>+G10</f>
        <v>0</v>
      </c>
      <c r="D62" s="4781">
        <f>+H10</f>
        <v>0</v>
      </c>
      <c r="E62" s="4270"/>
      <c r="F62" s="3436"/>
      <c r="G62" s="3436"/>
      <c r="H62" s="3436"/>
      <c r="I62" s="414"/>
      <c r="J62" s="414"/>
      <c r="K62" s="414"/>
      <c r="L62" s="414"/>
      <c r="M62" s="414"/>
      <c r="N62" s="414"/>
      <c r="O62" s="414"/>
      <c r="P62" s="414"/>
      <c r="Q62" s="414"/>
    </row>
    <row r="63" spans="1:17" hidden="1" x14ac:dyDescent="0.3">
      <c r="A63" s="2476"/>
      <c r="B63" s="4779" t="str">
        <f>+B59</f>
        <v xml:space="preserve">Prod. Bruto </v>
      </c>
      <c r="C63" s="4780" t="e">
        <f>+C59</f>
        <v>#DIV/0!</v>
      </c>
      <c r="D63" s="4781" t="e">
        <f>+D59</f>
        <v>#DIV/0!</v>
      </c>
      <c r="E63" s="4270"/>
      <c r="F63" s="3436"/>
      <c r="G63" s="3436"/>
      <c r="H63" s="3436"/>
      <c r="I63" s="414"/>
      <c r="J63" s="414"/>
      <c r="K63" s="414"/>
      <c r="L63" s="414"/>
      <c r="M63" s="414"/>
      <c r="N63" s="414"/>
      <c r="O63" s="414"/>
      <c r="P63" s="414"/>
      <c r="Q63" s="414"/>
    </row>
    <row r="64" spans="1:17" ht="15.05" hidden="1" thickBot="1" x14ac:dyDescent="0.35">
      <c r="A64" s="2476"/>
      <c r="B64" s="4782" t="str">
        <f>+B60</f>
        <v xml:space="preserve">Superficie </v>
      </c>
      <c r="C64" s="4783" t="e">
        <f>+C60</f>
        <v>#DIV/0!</v>
      </c>
      <c r="D64" s="4784" t="e">
        <f>+D60</f>
        <v>#DIV/0!</v>
      </c>
      <c r="E64" s="4270"/>
      <c r="F64" s="3436"/>
      <c r="G64" s="3436"/>
      <c r="H64" s="3436"/>
      <c r="I64" s="414"/>
      <c r="J64" s="414"/>
      <c r="K64" s="414"/>
      <c r="L64" s="414"/>
      <c r="M64" s="414"/>
      <c r="N64" s="414"/>
      <c r="O64" s="414"/>
      <c r="P64" s="414"/>
      <c r="Q64" s="414"/>
    </row>
    <row r="65" spans="1:19" ht="15.05" hidden="1" thickTop="1" x14ac:dyDescent="0.3">
      <c r="A65" s="2476"/>
      <c r="C65" s="3437"/>
      <c r="D65" s="3436"/>
      <c r="E65" s="3436"/>
      <c r="F65" s="3436"/>
      <c r="G65" s="3436"/>
      <c r="H65" s="3436"/>
      <c r="I65" s="414"/>
      <c r="J65" s="414"/>
      <c r="K65" s="414"/>
      <c r="L65" s="414"/>
      <c r="M65" s="414"/>
      <c r="N65" s="414"/>
      <c r="O65" s="414"/>
      <c r="P65" s="414"/>
      <c r="Q65" s="414"/>
    </row>
    <row r="66" spans="1:19" ht="15.05" hidden="1" thickBot="1" x14ac:dyDescent="0.35">
      <c r="A66" s="2476"/>
      <c r="C66" s="3436"/>
      <c r="D66" s="3436"/>
      <c r="E66" s="3436"/>
      <c r="F66" s="3436"/>
      <c r="G66" s="3436"/>
      <c r="H66" s="3436"/>
      <c r="I66" s="414"/>
      <c r="J66" s="414"/>
      <c r="K66" s="414"/>
      <c r="L66" s="414"/>
      <c r="M66" s="414"/>
      <c r="N66" s="414"/>
      <c r="O66" s="414"/>
      <c r="P66" s="414"/>
      <c r="Q66" s="414"/>
    </row>
    <row r="67" spans="1:19" ht="15.05" hidden="1" thickTop="1" x14ac:dyDescent="0.3">
      <c r="A67" s="3071">
        <v>1166</v>
      </c>
      <c r="B67" s="4791" t="s">
        <v>732</v>
      </c>
      <c r="C67" s="4792" t="str">
        <f>General!C5</f>
        <v>Ene</v>
      </c>
      <c r="D67" s="4792" t="str">
        <f>IF(AND(C67="Ene"),"Feb",IF(AND(C67="Feb"),"Mar",IF(AND(C67="Mar"),"Abr",IF(AND(C67="Abr"),"May",IF(AND(C67="May"),"Jun",IF(AND(C67="Jun"),"Jul",IF(AND(C67="Jul"),"Ago",IF(AND(C67="Ago"),"Set",IF(AND(C67="Set"),"Oct",IF(AND(C67="Oct"),"Nov",IF(AND(C67="Nov"),"Dic",IF(AND(C67="Dic"),"Ene"))))))))))))</f>
        <v>Feb</v>
      </c>
      <c r="E67" s="4792" t="str">
        <f t="shared" ref="E67:N67" si="4">IF(AND(D67="Ene"),"Feb",IF(AND(D67="Feb"),"Mar",IF(AND(D67="Mar"),"Abr",IF(AND(D67="Abr"),"May",IF(AND(D67="May"),"Jun",IF(AND(D67="Jun"),"Jul",IF(AND(D67="Jul"),"Ago",IF(AND(D67="Ago"),"Set",IF(AND(D67="Set"),"Oct",IF(AND(D67="Oct"),"Nov",IF(AND(D67="Nov"),"Dic",IF(AND(D67="Dic"),"Ene"))))))))))))</f>
        <v>Mar</v>
      </c>
      <c r="F67" s="4792" t="str">
        <f t="shared" si="4"/>
        <v>Abr</v>
      </c>
      <c r="G67" s="4792" t="str">
        <f>IF(AND(F67="Ene"),"Feb",IF(AND(F67="Feb"),"Mar",IF(AND(F67="Mar"),"Abr",IF(AND(F67="Abr"),"May",IF(AND(F67="May"),"Jun",IF(AND(F67="Jun"),"Jul",IF(AND(F67="Jul"),"Ago",IF(AND(F67="Ago"),"Set",IF(AND(F67="Set"),"Oct",IF(AND(F67="Oct"),"Nov",IF(AND(F67="Nov"),"Dic",IF(AND(F67="Dic"),"Ene"))))))))))))</f>
        <v>May</v>
      </c>
      <c r="H67" s="4792" t="str">
        <f t="shared" si="4"/>
        <v>Jun</v>
      </c>
      <c r="I67" s="4792" t="str">
        <f t="shared" si="4"/>
        <v>Jul</v>
      </c>
      <c r="J67" s="4792" t="str">
        <f t="shared" si="4"/>
        <v>Ago</v>
      </c>
      <c r="K67" s="4792" t="str">
        <f t="shared" si="4"/>
        <v>Set</v>
      </c>
      <c r="L67" s="4792" t="str">
        <f>IF(AND(K67="Ene"),"Feb",IF(AND(K67="Feb"),"Mar",IF(AND(K67="Mar"),"Abr",IF(AND(K67="Abr"),"May",IF(AND(K67="May"),"Jun",IF(AND(K67="Jun"),"Jul",IF(AND(K67="Jul"),"Ago",IF(AND(K67="Ago"),"Set",IF(AND(K67="Set"),"Oct",IF(AND(K67="Oct"),"Nov",IF(AND(K67="Nov"),"Dic",IF(AND(K67="Dic"),"Ene"))))))))))))</f>
        <v>Oct</v>
      </c>
      <c r="M67" s="4792" t="str">
        <f t="shared" si="4"/>
        <v>Nov</v>
      </c>
      <c r="N67" s="4792" t="str">
        <f t="shared" si="4"/>
        <v>Dic</v>
      </c>
      <c r="O67" s="4793" t="s">
        <v>15</v>
      </c>
      <c r="P67" s="4794"/>
      <c r="S67" s="3437"/>
    </row>
    <row r="68" spans="1:19" hidden="1" x14ac:dyDescent="0.3">
      <c r="B68" s="4517" t="s">
        <v>18</v>
      </c>
      <c r="C68" s="3680">
        <f>+Ingresos!E11</f>
        <v>0</v>
      </c>
      <c r="D68" s="3680">
        <f>+Ingresos!F11</f>
        <v>0</v>
      </c>
      <c r="E68" s="3680">
        <f>+Ingresos!G11</f>
        <v>0</v>
      </c>
      <c r="F68" s="3680">
        <f>+Ingresos!H11</f>
        <v>0</v>
      </c>
      <c r="G68" s="3680">
        <f>+Ingresos!I11</f>
        <v>0</v>
      </c>
      <c r="H68" s="3680">
        <f>+Ingresos!J11</f>
        <v>0</v>
      </c>
      <c r="I68" s="3680">
        <f>+Ingresos!K11</f>
        <v>0</v>
      </c>
      <c r="J68" s="3680">
        <f>+Ingresos!L11</f>
        <v>0</v>
      </c>
      <c r="K68" s="3680">
        <f>+Ingresos!M11</f>
        <v>0</v>
      </c>
      <c r="L68" s="3680">
        <f>+Ingresos!N11</f>
        <v>0</v>
      </c>
      <c r="M68" s="3680">
        <f>+Ingresos!O11</f>
        <v>0</v>
      </c>
      <c r="N68" s="3680">
        <f>+Ingresos!P11</f>
        <v>0</v>
      </c>
      <c r="O68" s="4795">
        <f>+EconómicoMensual!O6</f>
        <v>0</v>
      </c>
      <c r="P68" s="4796"/>
      <c r="S68" s="3437"/>
    </row>
    <row r="69" spans="1:19" hidden="1" x14ac:dyDescent="0.3">
      <c r="B69" s="4520" t="s">
        <v>231</v>
      </c>
      <c r="C69" s="3453">
        <f>+Ingresos!E34</f>
        <v>0</v>
      </c>
      <c r="D69" s="3453">
        <f>+Ingresos!F34</f>
        <v>0</v>
      </c>
      <c r="E69" s="3453">
        <f>+Ingresos!G34</f>
        <v>0</v>
      </c>
      <c r="F69" s="3453">
        <f>+Ingresos!H34</f>
        <v>0</v>
      </c>
      <c r="G69" s="3453">
        <f>+Ingresos!I34</f>
        <v>0</v>
      </c>
      <c r="H69" s="3453">
        <f>+Ingresos!J34</f>
        <v>0</v>
      </c>
      <c r="I69" s="3453">
        <f>+Ingresos!K34</f>
        <v>0</v>
      </c>
      <c r="J69" s="3453">
        <f>+Ingresos!L34</f>
        <v>0</v>
      </c>
      <c r="K69" s="3453">
        <f>+Ingresos!M34</f>
        <v>0</v>
      </c>
      <c r="L69" s="3453">
        <f>+Ingresos!N34</f>
        <v>0</v>
      </c>
      <c r="M69" s="3453">
        <f>+Ingresos!O34</f>
        <v>0</v>
      </c>
      <c r="N69" s="3453">
        <f>+Ingresos!P34</f>
        <v>0</v>
      </c>
      <c r="O69" s="4797">
        <f>+EconómicoMensual!O7</f>
        <v>0</v>
      </c>
      <c r="P69" s="4796"/>
      <c r="S69" s="3437"/>
    </row>
    <row r="70" spans="1:19" hidden="1" x14ac:dyDescent="0.3">
      <c r="B70" s="4520" t="s">
        <v>232</v>
      </c>
      <c r="C70" s="3453">
        <f>+Ingresos!E85</f>
        <v>0</v>
      </c>
      <c r="D70" s="3453">
        <f>+Ingresos!F85</f>
        <v>0</v>
      </c>
      <c r="E70" s="3453">
        <f>+Ingresos!G85</f>
        <v>0</v>
      </c>
      <c r="F70" s="3453">
        <f>+Ingresos!H85</f>
        <v>0</v>
      </c>
      <c r="G70" s="3453">
        <f>+Ingresos!I85</f>
        <v>0</v>
      </c>
      <c r="H70" s="3453">
        <f>+Ingresos!J85</f>
        <v>0</v>
      </c>
      <c r="I70" s="3453">
        <f>+Ingresos!K85</f>
        <v>0</v>
      </c>
      <c r="J70" s="3453">
        <f>+Ingresos!L85</f>
        <v>0</v>
      </c>
      <c r="K70" s="3453">
        <f>+Ingresos!M85</f>
        <v>0</v>
      </c>
      <c r="L70" s="3453">
        <f>+Ingresos!N85</f>
        <v>0</v>
      </c>
      <c r="M70" s="3453">
        <f>+Ingresos!O85</f>
        <v>0</v>
      </c>
      <c r="N70" s="3453">
        <f>+Ingresos!P85</f>
        <v>0</v>
      </c>
      <c r="O70" s="4797">
        <f>+EconómicoMensual!O11</f>
        <v>0</v>
      </c>
      <c r="P70" s="4796"/>
      <c r="S70" s="3437"/>
    </row>
    <row r="71" spans="1:19" hidden="1" x14ac:dyDescent="0.3">
      <c r="B71" s="4520" t="s">
        <v>63</v>
      </c>
      <c r="C71" s="3453">
        <f>+Ingresos!E229</f>
        <v>0</v>
      </c>
      <c r="D71" s="3453">
        <f>+Ingresos!F229</f>
        <v>0</v>
      </c>
      <c r="E71" s="3453">
        <f>+Ingresos!G229</f>
        <v>0</v>
      </c>
      <c r="F71" s="3453">
        <f>+Ingresos!H229</f>
        <v>0</v>
      </c>
      <c r="G71" s="3453">
        <f>+Ingresos!I229</f>
        <v>0</v>
      </c>
      <c r="H71" s="3453">
        <f>+Ingresos!J229</f>
        <v>0</v>
      </c>
      <c r="I71" s="3453">
        <f>+Ingresos!K229</f>
        <v>0</v>
      </c>
      <c r="J71" s="3453">
        <f>+Ingresos!L229</f>
        <v>0</v>
      </c>
      <c r="K71" s="3453">
        <f>+Ingresos!M229</f>
        <v>0</v>
      </c>
      <c r="L71" s="3453">
        <f>+Ingresos!N229</f>
        <v>0</v>
      </c>
      <c r="M71" s="3453">
        <f>+Ingresos!O229</f>
        <v>0</v>
      </c>
      <c r="N71" s="3453">
        <f>+Ingresos!P229</f>
        <v>0</v>
      </c>
      <c r="O71" s="4797">
        <f>+EconómicoMensual!O15</f>
        <v>0</v>
      </c>
      <c r="P71" s="4796"/>
      <c r="S71" s="3437"/>
    </row>
    <row r="72" spans="1:19" hidden="1" x14ac:dyDescent="0.3">
      <c r="B72" s="4520" t="s">
        <v>296</v>
      </c>
      <c r="C72" s="3453">
        <f>+Ingresos!E557</f>
        <v>0</v>
      </c>
      <c r="D72" s="3453">
        <f>+Ingresos!F557</f>
        <v>0</v>
      </c>
      <c r="E72" s="3453">
        <f>+Ingresos!G557</f>
        <v>0</v>
      </c>
      <c r="F72" s="3453">
        <f>+Ingresos!H557</f>
        <v>0</v>
      </c>
      <c r="G72" s="3453">
        <f>+Ingresos!I557</f>
        <v>0</v>
      </c>
      <c r="H72" s="3453">
        <f>+Ingresos!J557</f>
        <v>0</v>
      </c>
      <c r="I72" s="3453">
        <f>+Ingresos!K557</f>
        <v>0</v>
      </c>
      <c r="J72" s="3453">
        <f>+Ingresos!L557</f>
        <v>0</v>
      </c>
      <c r="K72" s="3453">
        <f>+Ingresos!M557</f>
        <v>0</v>
      </c>
      <c r="L72" s="3453">
        <f>+Ingresos!N557</f>
        <v>0</v>
      </c>
      <c r="M72" s="3453">
        <f>+Ingresos!O557</f>
        <v>0</v>
      </c>
      <c r="N72" s="3453">
        <f>+Ingresos!P557</f>
        <v>0</v>
      </c>
      <c r="O72" s="4797">
        <f>+EconómicoMensual!O16</f>
        <v>0</v>
      </c>
      <c r="P72" s="4796"/>
      <c r="S72" s="3437"/>
    </row>
    <row r="73" spans="1:19" hidden="1" x14ac:dyDescent="0.3">
      <c r="B73" s="4520" t="s">
        <v>116</v>
      </c>
      <c r="C73" s="3453"/>
      <c r="D73" s="3453"/>
      <c r="E73" s="3453"/>
      <c r="F73" s="3453"/>
      <c r="G73" s="3453"/>
      <c r="H73" s="3453"/>
      <c r="I73" s="3453"/>
      <c r="J73" s="3453"/>
      <c r="K73" s="3453"/>
      <c r="L73" s="3453"/>
      <c r="M73" s="3453"/>
      <c r="N73" s="3453"/>
      <c r="O73" s="4797">
        <f>+EconómicoMensual!O17</f>
        <v>0</v>
      </c>
      <c r="P73" s="4796"/>
      <c r="S73" s="3437"/>
    </row>
    <row r="74" spans="1:19" ht="15.05" hidden="1" thickBot="1" x14ac:dyDescent="0.35">
      <c r="B74" s="4520" t="s">
        <v>672</v>
      </c>
      <c r="C74" s="3453">
        <f>+Ingresos!E647</f>
        <v>0</v>
      </c>
      <c r="D74" s="3453">
        <f>+Ingresos!F647</f>
        <v>0</v>
      </c>
      <c r="E74" s="3453">
        <f>+Ingresos!G647</f>
        <v>0</v>
      </c>
      <c r="F74" s="3453">
        <f>+Ingresos!H647</f>
        <v>0</v>
      </c>
      <c r="G74" s="3453">
        <f>+Ingresos!I647</f>
        <v>0</v>
      </c>
      <c r="H74" s="3453">
        <f>+Ingresos!J647</f>
        <v>0</v>
      </c>
      <c r="I74" s="3453">
        <f>+Ingresos!K647</f>
        <v>0</v>
      </c>
      <c r="J74" s="3453">
        <f>+Ingresos!L647</f>
        <v>0</v>
      </c>
      <c r="K74" s="3453">
        <f>+Ingresos!M647</f>
        <v>0</v>
      </c>
      <c r="L74" s="3453">
        <f>+Ingresos!N647</f>
        <v>0</v>
      </c>
      <c r="M74" s="3453">
        <f>+Ingresos!O647</f>
        <v>0</v>
      </c>
      <c r="N74" s="3453">
        <f>+Ingresos!P647</f>
        <v>0</v>
      </c>
      <c r="O74" s="4797">
        <f>+EconómicoMensual!O18</f>
        <v>0</v>
      </c>
      <c r="P74" s="4796"/>
      <c r="S74" s="3437"/>
    </row>
    <row r="75" spans="1:19" ht="15.05" hidden="1" thickBot="1" x14ac:dyDescent="0.35">
      <c r="B75" s="4798" t="s">
        <v>673</v>
      </c>
      <c r="C75" s="4799">
        <f>SUM(C68:C74)</f>
        <v>0</v>
      </c>
      <c r="D75" s="4799">
        <f t="shared" ref="D75:N75" si="5">SUM(D68:D74)</f>
        <v>0</v>
      </c>
      <c r="E75" s="4799">
        <f t="shared" si="5"/>
        <v>0</v>
      </c>
      <c r="F75" s="4799">
        <f t="shared" si="5"/>
        <v>0</v>
      </c>
      <c r="G75" s="4799">
        <f t="shared" si="5"/>
        <v>0</v>
      </c>
      <c r="H75" s="4799">
        <f t="shared" si="5"/>
        <v>0</v>
      </c>
      <c r="I75" s="4799">
        <f t="shared" si="5"/>
        <v>0</v>
      </c>
      <c r="J75" s="4799">
        <f t="shared" si="5"/>
        <v>0</v>
      </c>
      <c r="K75" s="4799">
        <f t="shared" si="5"/>
        <v>0</v>
      </c>
      <c r="L75" s="4799">
        <f t="shared" si="5"/>
        <v>0</v>
      </c>
      <c r="M75" s="4799">
        <f t="shared" si="5"/>
        <v>0</v>
      </c>
      <c r="N75" s="4799">
        <f t="shared" si="5"/>
        <v>0</v>
      </c>
      <c r="O75" s="4800">
        <f>SUM(O68:O74)</f>
        <v>0</v>
      </c>
      <c r="P75" s="4796"/>
      <c r="S75" s="3437"/>
    </row>
    <row r="76" spans="1:19" ht="15.75" hidden="1" thickTop="1" thickBot="1" x14ac:dyDescent="0.35">
      <c r="B76" s="3437"/>
      <c r="C76" s="3724"/>
      <c r="D76" s="3724"/>
      <c r="E76" s="3724"/>
      <c r="F76" s="3724"/>
      <c r="G76" s="3724"/>
      <c r="H76" s="3724"/>
      <c r="I76" s="3724"/>
      <c r="J76" s="3724"/>
      <c r="K76" s="3724"/>
      <c r="L76" s="3724"/>
      <c r="M76" s="3724"/>
      <c r="N76" s="3724"/>
      <c r="O76" s="3724"/>
      <c r="S76" s="3437"/>
    </row>
    <row r="77" spans="1:19" ht="15.75" hidden="1" thickTop="1" thickBot="1" x14ac:dyDescent="0.35">
      <c r="A77" s="3071">
        <v>1167</v>
      </c>
      <c r="B77" s="4801" t="s">
        <v>733</v>
      </c>
      <c r="C77" s="4802"/>
      <c r="D77" s="4802"/>
      <c r="E77" s="4802"/>
      <c r="F77" s="4802"/>
      <c r="G77" s="4802"/>
      <c r="H77" s="4802"/>
      <c r="I77" s="4802"/>
      <c r="J77" s="4802"/>
      <c r="K77" s="4802"/>
      <c r="L77" s="4802"/>
      <c r="M77" s="4802"/>
      <c r="N77" s="4802"/>
      <c r="O77" s="4803"/>
      <c r="P77" s="3437"/>
      <c r="Q77" s="3437"/>
      <c r="S77" s="3437"/>
    </row>
    <row r="78" spans="1:19" ht="15.75" hidden="1" thickTop="1" thickBot="1" x14ac:dyDescent="0.35">
      <c r="B78" s="4801" t="s">
        <v>95</v>
      </c>
      <c r="C78" s="4802"/>
      <c r="D78" s="4802"/>
      <c r="E78" s="4802"/>
      <c r="F78" s="4802"/>
      <c r="G78" s="4802"/>
      <c r="H78" s="4802"/>
      <c r="I78" s="4802"/>
      <c r="J78" s="4802"/>
      <c r="K78" s="4802"/>
      <c r="L78" s="4802"/>
      <c r="M78" s="4802"/>
      <c r="N78" s="4802"/>
      <c r="O78" s="4803"/>
      <c r="P78" s="3437"/>
      <c r="Q78" s="3437"/>
      <c r="S78" s="3437"/>
    </row>
    <row r="79" spans="1:19" ht="15.75" hidden="1" thickTop="1" thickBot="1" x14ac:dyDescent="0.35">
      <c r="B79" s="4791" t="str">
        <f>+Egresos!C93</f>
        <v>Reparación ordinaria maquinaria</v>
      </c>
      <c r="C79" s="4792">
        <f>+Egresos!D93</f>
        <v>0</v>
      </c>
      <c r="D79" s="4792">
        <f>+Egresos!E93</f>
        <v>0</v>
      </c>
      <c r="E79" s="4792">
        <f>+Egresos!F93</f>
        <v>0</v>
      </c>
      <c r="F79" s="4792">
        <f>+Egresos!G93</f>
        <v>0</v>
      </c>
      <c r="G79" s="4792">
        <f>+Egresos!H93</f>
        <v>0</v>
      </c>
      <c r="H79" s="4792">
        <f>+Egresos!I93</f>
        <v>0</v>
      </c>
      <c r="I79" s="4792">
        <f>+Egresos!J93</f>
        <v>0</v>
      </c>
      <c r="J79" s="4792">
        <f>+Egresos!K93</f>
        <v>0</v>
      </c>
      <c r="K79" s="4792">
        <f>+Egresos!L93</f>
        <v>0</v>
      </c>
      <c r="L79" s="4792">
        <f>+Egresos!M93</f>
        <v>0</v>
      </c>
      <c r="M79" s="4792">
        <f>+Egresos!N93</f>
        <v>0</v>
      </c>
      <c r="N79" s="4792">
        <f>+Egresos!O93</f>
        <v>0</v>
      </c>
      <c r="O79" s="4793"/>
      <c r="P79" s="3437"/>
      <c r="S79" s="3437"/>
    </row>
    <row r="80" spans="1:19" ht="15.05" hidden="1" thickTop="1" x14ac:dyDescent="0.3">
      <c r="B80" s="4791" t="str">
        <f>+Egresos!C94</f>
        <v>Reparación extraordinaria maquinaria</v>
      </c>
      <c r="C80" s="4792">
        <f>+Egresos!D94</f>
        <v>0</v>
      </c>
      <c r="D80" s="4792">
        <f>+Egresos!E94</f>
        <v>0</v>
      </c>
      <c r="E80" s="4792">
        <f>+Egresos!F94</f>
        <v>0</v>
      </c>
      <c r="F80" s="4792">
        <f>+Egresos!G94</f>
        <v>0</v>
      </c>
      <c r="G80" s="4792">
        <f>+Egresos!H94</f>
        <v>0</v>
      </c>
      <c r="H80" s="4792">
        <f>+Egresos!I94</f>
        <v>0</v>
      </c>
      <c r="I80" s="4792">
        <f>+Egresos!J94</f>
        <v>0</v>
      </c>
      <c r="J80" s="4792">
        <f>+Egresos!K94</f>
        <v>0</v>
      </c>
      <c r="K80" s="4792">
        <f>+Egresos!L94</f>
        <v>0</v>
      </c>
      <c r="L80" s="4792">
        <f>+Egresos!M94</f>
        <v>0</v>
      </c>
      <c r="M80" s="4792">
        <f>+Egresos!N94</f>
        <v>0</v>
      </c>
      <c r="N80" s="4792">
        <f>+Egresos!O94</f>
        <v>0</v>
      </c>
      <c r="O80" s="4793"/>
      <c r="P80" s="3437"/>
      <c r="S80" s="3437"/>
    </row>
    <row r="81" spans="2:19" hidden="1" x14ac:dyDescent="0.3">
      <c r="B81" s="4804" t="s">
        <v>691</v>
      </c>
      <c r="C81" s="4805" t="e">
        <f>+(C79+C80)*$L$9</f>
        <v>#N/A</v>
      </c>
      <c r="D81" s="4805" t="e">
        <f t="shared" ref="D81:N81" si="6">+(D79+D80)*$L$9</f>
        <v>#N/A</v>
      </c>
      <c r="E81" s="4805" t="e">
        <f t="shared" si="6"/>
        <v>#N/A</v>
      </c>
      <c r="F81" s="4805" t="e">
        <f t="shared" si="6"/>
        <v>#N/A</v>
      </c>
      <c r="G81" s="4805" t="e">
        <f t="shared" si="6"/>
        <v>#N/A</v>
      </c>
      <c r="H81" s="4805" t="e">
        <f t="shared" si="6"/>
        <v>#N/A</v>
      </c>
      <c r="I81" s="4805" t="e">
        <f t="shared" si="6"/>
        <v>#N/A</v>
      </c>
      <c r="J81" s="4805" t="e">
        <f t="shared" si="6"/>
        <v>#N/A</v>
      </c>
      <c r="K81" s="4805" t="e">
        <f t="shared" si="6"/>
        <v>#N/A</v>
      </c>
      <c r="L81" s="4805" t="e">
        <f t="shared" si="6"/>
        <v>#N/A</v>
      </c>
      <c r="M81" s="4805" t="e">
        <f t="shared" si="6"/>
        <v>#N/A</v>
      </c>
      <c r="N81" s="4806" t="e">
        <f t="shared" si="6"/>
        <v>#N/A</v>
      </c>
      <c r="O81" s="4807"/>
      <c r="P81" s="3437"/>
      <c r="S81" s="3437"/>
    </row>
    <row r="82" spans="2:19" hidden="1" x14ac:dyDescent="0.3">
      <c r="B82" s="4804" t="s">
        <v>718</v>
      </c>
      <c r="C82" s="4805" t="e">
        <f>+(C79+C80)*$M$9</f>
        <v>#N/A</v>
      </c>
      <c r="D82" s="4805" t="e">
        <f t="shared" ref="D82:N82" si="7">+(D79+D80)*$M$9</f>
        <v>#N/A</v>
      </c>
      <c r="E82" s="4805" t="e">
        <f t="shared" si="7"/>
        <v>#N/A</v>
      </c>
      <c r="F82" s="4805" t="e">
        <f t="shared" si="7"/>
        <v>#N/A</v>
      </c>
      <c r="G82" s="4805" t="e">
        <f t="shared" si="7"/>
        <v>#N/A</v>
      </c>
      <c r="H82" s="4805" t="e">
        <f t="shared" si="7"/>
        <v>#N/A</v>
      </c>
      <c r="I82" s="4805" t="e">
        <f t="shared" si="7"/>
        <v>#N/A</v>
      </c>
      <c r="J82" s="4805" t="e">
        <f t="shared" si="7"/>
        <v>#N/A</v>
      </c>
      <c r="K82" s="4805" t="e">
        <f t="shared" si="7"/>
        <v>#N/A</v>
      </c>
      <c r="L82" s="4805" t="e">
        <f t="shared" si="7"/>
        <v>#N/A</v>
      </c>
      <c r="M82" s="4805" t="e">
        <f t="shared" si="7"/>
        <v>#N/A</v>
      </c>
      <c r="N82" s="4806" t="e">
        <f t="shared" si="7"/>
        <v>#N/A</v>
      </c>
      <c r="O82" s="4807"/>
      <c r="P82" s="3437"/>
      <c r="S82" s="3437"/>
    </row>
    <row r="83" spans="2:19" ht="15.05" hidden="1" thickBot="1" x14ac:dyDescent="0.35">
      <c r="B83" s="4808" t="s">
        <v>719</v>
      </c>
      <c r="C83" s="4809" t="e">
        <f>+(C79+C80)*$N$9</f>
        <v>#N/A</v>
      </c>
      <c r="D83" s="4809" t="e">
        <f t="shared" ref="D83:N83" si="8">+(D79+D80)*$N$9</f>
        <v>#N/A</v>
      </c>
      <c r="E83" s="4809" t="e">
        <f t="shared" si="8"/>
        <v>#N/A</v>
      </c>
      <c r="F83" s="4809" t="e">
        <f t="shared" si="8"/>
        <v>#N/A</v>
      </c>
      <c r="G83" s="4809" t="e">
        <f t="shared" si="8"/>
        <v>#N/A</v>
      </c>
      <c r="H83" s="4809" t="e">
        <f t="shared" si="8"/>
        <v>#N/A</v>
      </c>
      <c r="I83" s="4809" t="e">
        <f t="shared" si="8"/>
        <v>#N/A</v>
      </c>
      <c r="J83" s="4809" t="e">
        <f t="shared" si="8"/>
        <v>#N/A</v>
      </c>
      <c r="K83" s="4809" t="e">
        <f t="shared" si="8"/>
        <v>#N/A</v>
      </c>
      <c r="L83" s="4809" t="e">
        <f t="shared" si="8"/>
        <v>#N/A</v>
      </c>
      <c r="M83" s="4809" t="e">
        <f t="shared" si="8"/>
        <v>#N/A</v>
      </c>
      <c r="N83" s="4810" t="e">
        <f t="shared" si="8"/>
        <v>#N/A</v>
      </c>
      <c r="O83" s="4807"/>
      <c r="P83" s="3437"/>
      <c r="S83" s="3437"/>
    </row>
    <row r="84" spans="2:19" ht="15.05" hidden="1" thickTop="1" x14ac:dyDescent="0.3">
      <c r="B84" s="4791" t="str">
        <f>+Egresos!C96</f>
        <v xml:space="preserve">Combustible maquinaria </v>
      </c>
      <c r="C84" s="4792">
        <f ca="1">+Egresos!D96</f>
        <v>0</v>
      </c>
      <c r="D84" s="4792">
        <f ca="1">+Egresos!E96</f>
        <v>0</v>
      </c>
      <c r="E84" s="4792">
        <f ca="1">+Egresos!F96</f>
        <v>0</v>
      </c>
      <c r="F84" s="4792">
        <f ca="1">+Egresos!G96</f>
        <v>0</v>
      </c>
      <c r="G84" s="4792">
        <f ca="1">+Egresos!H96</f>
        <v>0</v>
      </c>
      <c r="H84" s="4792">
        <f ca="1">+Egresos!I96</f>
        <v>0</v>
      </c>
      <c r="I84" s="4792">
        <f ca="1">+Egresos!J96</f>
        <v>0</v>
      </c>
      <c r="J84" s="4792">
        <f ca="1">+Egresos!K96</f>
        <v>0</v>
      </c>
      <c r="K84" s="4792">
        <f ca="1">+Egresos!L96</f>
        <v>0</v>
      </c>
      <c r="L84" s="4792">
        <f ca="1">+Egresos!M96</f>
        <v>0</v>
      </c>
      <c r="M84" s="4792">
        <f ca="1">+Egresos!N96</f>
        <v>0</v>
      </c>
      <c r="N84" s="4792">
        <f ca="1">+Egresos!O96</f>
        <v>0</v>
      </c>
      <c r="O84" s="4793"/>
      <c r="P84" s="3437"/>
      <c r="S84" s="3437"/>
    </row>
    <row r="85" spans="2:19" hidden="1" x14ac:dyDescent="0.3">
      <c r="B85" s="4804" t="s">
        <v>691</v>
      </c>
      <c r="C85" s="4805">
        <f ca="1">+InsumosCultivos!I2413</f>
        <v>0</v>
      </c>
      <c r="D85" s="4805">
        <f ca="1">+InsumosCultivos!J2413</f>
        <v>0</v>
      </c>
      <c r="E85" s="4805">
        <f ca="1">+InsumosCultivos!K2413</f>
        <v>0</v>
      </c>
      <c r="F85" s="4805">
        <f ca="1">+InsumosCultivos!L2413</f>
        <v>0</v>
      </c>
      <c r="G85" s="4805">
        <f ca="1">+InsumosCultivos!M2413</f>
        <v>0</v>
      </c>
      <c r="H85" s="4805">
        <f ca="1">+InsumosCultivos!N2413</f>
        <v>0</v>
      </c>
      <c r="I85" s="4805">
        <f ca="1">+InsumosCultivos!O2413</f>
        <v>0</v>
      </c>
      <c r="J85" s="4805">
        <f ca="1">+InsumosCultivos!P2413</f>
        <v>0</v>
      </c>
      <c r="K85" s="4805">
        <f ca="1">+InsumosCultivos!Q2413</f>
        <v>0</v>
      </c>
      <c r="L85" s="4805">
        <f ca="1">+InsumosCultivos!R2413</f>
        <v>0</v>
      </c>
      <c r="M85" s="4805">
        <f ca="1">+InsumosCultivos!S2413</f>
        <v>0</v>
      </c>
      <c r="N85" s="4806">
        <f ca="1">+InsumosCultivos!T2413</f>
        <v>0</v>
      </c>
      <c r="O85" s="4807"/>
      <c r="P85" s="3437"/>
      <c r="S85" s="3437"/>
    </row>
    <row r="86" spans="2:19" hidden="1" x14ac:dyDescent="0.3">
      <c r="B86" s="4804" t="s">
        <v>718</v>
      </c>
      <c r="C86" s="4805">
        <f>+InsumosCultivos!I2414</f>
        <v>0</v>
      </c>
      <c r="D86" s="4805">
        <f>+InsumosCultivos!J2414</f>
        <v>0</v>
      </c>
      <c r="E86" s="4805">
        <f>+InsumosCultivos!K2414</f>
        <v>0</v>
      </c>
      <c r="F86" s="4805">
        <f>+InsumosCultivos!L2414</f>
        <v>0</v>
      </c>
      <c r="G86" s="4805">
        <f>+InsumosCultivos!M2414</f>
        <v>0</v>
      </c>
      <c r="H86" s="4805">
        <f>+InsumosCultivos!N2414</f>
        <v>0</v>
      </c>
      <c r="I86" s="4805">
        <f>+InsumosCultivos!O2414</f>
        <v>0</v>
      </c>
      <c r="J86" s="4805">
        <f>+InsumosCultivos!P2414</f>
        <v>0</v>
      </c>
      <c r="K86" s="4805">
        <f>+InsumosCultivos!Q2414</f>
        <v>0</v>
      </c>
      <c r="L86" s="4805">
        <f>+InsumosCultivos!R2414</f>
        <v>0</v>
      </c>
      <c r="M86" s="4805">
        <f>+InsumosCultivos!S2414</f>
        <v>0</v>
      </c>
      <c r="N86" s="4806">
        <f>+InsumosCultivos!T2414</f>
        <v>0</v>
      </c>
      <c r="O86" s="4807"/>
      <c r="P86" s="3437"/>
      <c r="S86" s="3437"/>
    </row>
    <row r="87" spans="2:19" ht="15.05" hidden="1" thickBot="1" x14ac:dyDescent="0.35">
      <c r="B87" s="4808" t="s">
        <v>719</v>
      </c>
      <c r="C87" s="4809">
        <f ca="1">+C84-C85-C86</f>
        <v>0</v>
      </c>
      <c r="D87" s="4809">
        <f t="shared" ref="D87:N87" ca="1" si="9">+D84-D85-D86</f>
        <v>0</v>
      </c>
      <c r="E87" s="4809">
        <f t="shared" ca="1" si="9"/>
        <v>0</v>
      </c>
      <c r="F87" s="4809">
        <f t="shared" ca="1" si="9"/>
        <v>0</v>
      </c>
      <c r="G87" s="4809">
        <f t="shared" ca="1" si="9"/>
        <v>0</v>
      </c>
      <c r="H87" s="4809">
        <f t="shared" ca="1" si="9"/>
        <v>0</v>
      </c>
      <c r="I87" s="4809">
        <f t="shared" ca="1" si="9"/>
        <v>0</v>
      </c>
      <c r="J87" s="4809">
        <f t="shared" ca="1" si="9"/>
        <v>0</v>
      </c>
      <c r="K87" s="4809">
        <f t="shared" ca="1" si="9"/>
        <v>0</v>
      </c>
      <c r="L87" s="4809">
        <f t="shared" ca="1" si="9"/>
        <v>0</v>
      </c>
      <c r="M87" s="4809">
        <f t="shared" ca="1" si="9"/>
        <v>0</v>
      </c>
      <c r="N87" s="4810">
        <f t="shared" ca="1" si="9"/>
        <v>0</v>
      </c>
      <c r="O87" s="4807"/>
      <c r="P87" s="3437"/>
      <c r="S87" s="3437"/>
    </row>
    <row r="88" spans="2:19" ht="15.05" hidden="1" thickTop="1" x14ac:dyDescent="0.3">
      <c r="B88" s="4791" t="str">
        <f>+Egresos!C97</f>
        <v xml:space="preserve">Combustible otras labores </v>
      </c>
      <c r="C88" s="4792">
        <f>+Egresos!D97</f>
        <v>0</v>
      </c>
      <c r="D88" s="4792">
        <f>+Egresos!E97</f>
        <v>0</v>
      </c>
      <c r="E88" s="4792">
        <f>+Egresos!F97</f>
        <v>0</v>
      </c>
      <c r="F88" s="4792">
        <f>+Egresos!G97</f>
        <v>0</v>
      </c>
      <c r="G88" s="4792">
        <f>+Egresos!H97</f>
        <v>0</v>
      </c>
      <c r="H88" s="4792">
        <f>+Egresos!I97</f>
        <v>0</v>
      </c>
      <c r="I88" s="4792">
        <f>+Egresos!J97</f>
        <v>0</v>
      </c>
      <c r="J88" s="4792">
        <f>+Egresos!K97</f>
        <v>0</v>
      </c>
      <c r="K88" s="4792">
        <f>+Egresos!L97</f>
        <v>0</v>
      </c>
      <c r="L88" s="4792">
        <f>+Egresos!M97</f>
        <v>0</v>
      </c>
      <c r="M88" s="4792">
        <f>+Egresos!N97</f>
        <v>0</v>
      </c>
      <c r="N88" s="4792">
        <f>+Egresos!O97</f>
        <v>0</v>
      </c>
      <c r="O88" s="4793">
        <f>+Egresos!P97</f>
        <v>0</v>
      </c>
      <c r="P88" s="3437"/>
      <c r="S88" s="3437"/>
    </row>
    <row r="89" spans="2:19" hidden="1" x14ac:dyDescent="0.3">
      <c r="B89" s="4804" t="s">
        <v>691</v>
      </c>
      <c r="C89" s="4811" t="e">
        <f>+(C88)*$L$9</f>
        <v>#N/A</v>
      </c>
      <c r="D89" s="3453" t="e">
        <f t="shared" ref="D89:N89" si="10">+(D88)*$L$9</f>
        <v>#N/A</v>
      </c>
      <c r="E89" s="3453" t="e">
        <f t="shared" si="10"/>
        <v>#N/A</v>
      </c>
      <c r="F89" s="3453" t="e">
        <f t="shared" si="10"/>
        <v>#N/A</v>
      </c>
      <c r="G89" s="3453" t="e">
        <f t="shared" si="10"/>
        <v>#N/A</v>
      </c>
      <c r="H89" s="3453" t="e">
        <f t="shared" si="10"/>
        <v>#N/A</v>
      </c>
      <c r="I89" s="3453" t="e">
        <f t="shared" si="10"/>
        <v>#N/A</v>
      </c>
      <c r="J89" s="3453" t="e">
        <f t="shared" si="10"/>
        <v>#N/A</v>
      </c>
      <c r="K89" s="3453" t="e">
        <f t="shared" si="10"/>
        <v>#N/A</v>
      </c>
      <c r="L89" s="3453" t="e">
        <f t="shared" si="10"/>
        <v>#N/A</v>
      </c>
      <c r="M89" s="3453" t="e">
        <f t="shared" si="10"/>
        <v>#N/A</v>
      </c>
      <c r="N89" s="4101" t="e">
        <f t="shared" si="10"/>
        <v>#N/A</v>
      </c>
      <c r="O89" s="4807"/>
      <c r="P89" s="3437"/>
      <c r="R89" s="3523"/>
      <c r="S89" s="3437"/>
    </row>
    <row r="90" spans="2:19" hidden="1" x14ac:dyDescent="0.3">
      <c r="B90" s="4804" t="s">
        <v>718</v>
      </c>
      <c r="C90" s="4811" t="e">
        <f>+(C88)*$M$9</f>
        <v>#N/A</v>
      </c>
      <c r="D90" s="3453" t="e">
        <f t="shared" ref="D90:N90" si="11">+(D88)*$M$9</f>
        <v>#N/A</v>
      </c>
      <c r="E90" s="3453" t="e">
        <f t="shared" si="11"/>
        <v>#N/A</v>
      </c>
      <c r="F90" s="3453" t="e">
        <f t="shared" si="11"/>
        <v>#N/A</v>
      </c>
      <c r="G90" s="3453" t="e">
        <f t="shared" si="11"/>
        <v>#N/A</v>
      </c>
      <c r="H90" s="3453" t="e">
        <f t="shared" si="11"/>
        <v>#N/A</v>
      </c>
      <c r="I90" s="3453" t="e">
        <f t="shared" si="11"/>
        <v>#N/A</v>
      </c>
      <c r="J90" s="3453" t="e">
        <f t="shared" si="11"/>
        <v>#N/A</v>
      </c>
      <c r="K90" s="3453" t="e">
        <f t="shared" si="11"/>
        <v>#N/A</v>
      </c>
      <c r="L90" s="3453" t="e">
        <f t="shared" si="11"/>
        <v>#N/A</v>
      </c>
      <c r="M90" s="3453" t="e">
        <f t="shared" si="11"/>
        <v>#N/A</v>
      </c>
      <c r="N90" s="4101" t="e">
        <f t="shared" si="11"/>
        <v>#N/A</v>
      </c>
      <c r="O90" s="4807"/>
      <c r="P90" s="3437"/>
      <c r="R90" s="3523"/>
      <c r="S90" s="3437"/>
    </row>
    <row r="91" spans="2:19" ht="15.05" hidden="1" thickBot="1" x14ac:dyDescent="0.35">
      <c r="B91" s="4808" t="s">
        <v>719</v>
      </c>
      <c r="C91" s="4812" t="e">
        <f>+(C88)*$N$9</f>
        <v>#N/A</v>
      </c>
      <c r="D91" s="4813" t="e">
        <f t="shared" ref="D91:N91" si="12">+(D88)*$N$9</f>
        <v>#N/A</v>
      </c>
      <c r="E91" s="4813" t="e">
        <f t="shared" si="12"/>
        <v>#N/A</v>
      </c>
      <c r="F91" s="4813" t="e">
        <f t="shared" si="12"/>
        <v>#N/A</v>
      </c>
      <c r="G91" s="4813" t="e">
        <f t="shared" si="12"/>
        <v>#N/A</v>
      </c>
      <c r="H91" s="4813" t="e">
        <f t="shared" si="12"/>
        <v>#N/A</v>
      </c>
      <c r="I91" s="4813" t="e">
        <f t="shared" si="12"/>
        <v>#N/A</v>
      </c>
      <c r="J91" s="4813" t="e">
        <f t="shared" si="12"/>
        <v>#N/A</v>
      </c>
      <c r="K91" s="4813" t="e">
        <f t="shared" si="12"/>
        <v>#N/A</v>
      </c>
      <c r="L91" s="4813" t="e">
        <f t="shared" si="12"/>
        <v>#N/A</v>
      </c>
      <c r="M91" s="4813" t="e">
        <f t="shared" si="12"/>
        <v>#N/A</v>
      </c>
      <c r="N91" s="4814" t="e">
        <f t="shared" si="12"/>
        <v>#N/A</v>
      </c>
      <c r="O91" s="4807"/>
      <c r="P91" s="3437"/>
      <c r="R91" s="3523"/>
      <c r="S91" s="3437"/>
    </row>
    <row r="92" spans="2:19" ht="15.75" hidden="1" thickTop="1" thickBot="1" x14ac:dyDescent="0.35">
      <c r="B92" s="4791" t="s">
        <v>2173</v>
      </c>
      <c r="C92" s="4792"/>
      <c r="D92" s="4792"/>
      <c r="E92" s="4792"/>
      <c r="F92" s="4792"/>
      <c r="G92" s="4792"/>
      <c r="H92" s="4792"/>
      <c r="I92" s="4792"/>
      <c r="J92" s="4792"/>
      <c r="K92" s="4792"/>
      <c r="L92" s="4792"/>
      <c r="M92" s="4792"/>
      <c r="N92" s="4792"/>
      <c r="O92" s="4793"/>
      <c r="P92" s="3437"/>
      <c r="S92" s="3437"/>
    </row>
    <row r="93" spans="2:19" ht="15.05" hidden="1" thickTop="1" x14ac:dyDescent="0.3">
      <c r="B93" s="4791" t="str">
        <f>+Egresos!C99</f>
        <v>Maquinaria contratada - Pasturas</v>
      </c>
      <c r="C93" s="4792">
        <f>+Egresos!D99+Egresos!D100</f>
        <v>0</v>
      </c>
      <c r="D93" s="4792">
        <f>+Egresos!E99+Egresos!E100</f>
        <v>0</v>
      </c>
      <c r="E93" s="4792">
        <f>+Egresos!F99+Egresos!F100</f>
        <v>0</v>
      </c>
      <c r="F93" s="4792">
        <f>+Egresos!G99+Egresos!G100</f>
        <v>0</v>
      </c>
      <c r="G93" s="4792">
        <f>+Egresos!H99+Egresos!H100</f>
        <v>0</v>
      </c>
      <c r="H93" s="4792">
        <f>+Egresos!I99+Egresos!I100</f>
        <v>0</v>
      </c>
      <c r="I93" s="4792">
        <f>+Egresos!J99+Egresos!J100</f>
        <v>0</v>
      </c>
      <c r="J93" s="4792">
        <f>+Egresos!K99+Egresos!K100</f>
        <v>0</v>
      </c>
      <c r="K93" s="4792">
        <f>+Egresos!L99+Egresos!L100</f>
        <v>0</v>
      </c>
      <c r="L93" s="4792">
        <f>+Egresos!M99+Egresos!M100</f>
        <v>0</v>
      </c>
      <c r="M93" s="4792">
        <f>+Egresos!N99+Egresos!N100</f>
        <v>0</v>
      </c>
      <c r="N93" s="4792">
        <f>+Egresos!O99+Egresos!O100</f>
        <v>0</v>
      </c>
      <c r="O93" s="4793"/>
      <c r="P93" s="3437"/>
      <c r="R93" s="3523"/>
      <c r="S93" s="3437"/>
    </row>
    <row r="94" spans="2:19" hidden="1" x14ac:dyDescent="0.3">
      <c r="B94" s="4796" t="s">
        <v>691</v>
      </c>
      <c r="C94" s="4811">
        <f>+InsumosCultivos!I1627+InsumosCultivos!I1633</f>
        <v>0</v>
      </c>
      <c r="D94" s="4811">
        <f>+InsumosCultivos!J1627+InsumosCultivos!J1633</f>
        <v>0</v>
      </c>
      <c r="E94" s="4811">
        <f>+InsumosCultivos!K1627+InsumosCultivos!K1633</f>
        <v>0</v>
      </c>
      <c r="F94" s="4811">
        <f>+InsumosCultivos!L1627+InsumosCultivos!L1633</f>
        <v>0</v>
      </c>
      <c r="G94" s="4811">
        <f>+InsumosCultivos!M1627+InsumosCultivos!M1633</f>
        <v>0</v>
      </c>
      <c r="H94" s="4811">
        <f>+InsumosCultivos!N1627+InsumosCultivos!N1633</f>
        <v>0</v>
      </c>
      <c r="I94" s="4811">
        <f>+InsumosCultivos!O1627+InsumosCultivos!O1633</f>
        <v>0</v>
      </c>
      <c r="J94" s="4811">
        <f>+InsumosCultivos!P1627+InsumosCultivos!P1633</f>
        <v>0</v>
      </c>
      <c r="K94" s="4811">
        <f>+InsumosCultivos!Q1627+InsumosCultivos!Q1633</f>
        <v>0</v>
      </c>
      <c r="L94" s="4811">
        <f>+InsumosCultivos!R1627+InsumosCultivos!R1633</f>
        <v>0</v>
      </c>
      <c r="M94" s="4811">
        <f>+InsumosCultivos!S1627+InsumosCultivos!S1633</f>
        <v>0</v>
      </c>
      <c r="N94" s="4815">
        <f>+InsumosCultivos!T1627+InsumosCultivos!T1633</f>
        <v>0</v>
      </c>
      <c r="O94" s="4807"/>
      <c r="P94" s="3437"/>
      <c r="R94" s="3523"/>
      <c r="S94" s="3437"/>
    </row>
    <row r="95" spans="2:19" hidden="1" x14ac:dyDescent="0.3">
      <c r="B95" s="4796" t="s">
        <v>718</v>
      </c>
      <c r="C95" s="4811">
        <f>+InsumosCultivos!I1628+InsumosCultivos!I1634</f>
        <v>0</v>
      </c>
      <c r="D95" s="4811">
        <f>+InsumosCultivos!J1628+InsumosCultivos!J1634</f>
        <v>0</v>
      </c>
      <c r="E95" s="4811">
        <f>+InsumosCultivos!K1628+InsumosCultivos!K1634</f>
        <v>0</v>
      </c>
      <c r="F95" s="4811">
        <f>+InsumosCultivos!L1628+InsumosCultivos!L1634</f>
        <v>0</v>
      </c>
      <c r="G95" s="4811">
        <f>+InsumosCultivos!M1628+InsumosCultivos!M1634</f>
        <v>0</v>
      </c>
      <c r="H95" s="4811">
        <f>+InsumosCultivos!N1628+InsumosCultivos!N1634</f>
        <v>0</v>
      </c>
      <c r="I95" s="4811">
        <f>+InsumosCultivos!O1628+InsumosCultivos!O1634</f>
        <v>0</v>
      </c>
      <c r="J95" s="4811">
        <f>+InsumosCultivos!P1628+InsumosCultivos!P1634</f>
        <v>0</v>
      </c>
      <c r="K95" s="4811">
        <f>+InsumosCultivos!Q1628+InsumosCultivos!Q1634</f>
        <v>0</v>
      </c>
      <c r="L95" s="4811">
        <f>+InsumosCultivos!R1628+InsumosCultivos!R1634</f>
        <v>0</v>
      </c>
      <c r="M95" s="4811">
        <f>+InsumosCultivos!S1628+InsumosCultivos!S1634</f>
        <v>0</v>
      </c>
      <c r="N95" s="4815">
        <f>+InsumosCultivos!T1628+InsumosCultivos!T1634</f>
        <v>0</v>
      </c>
      <c r="O95" s="4807"/>
      <c r="P95" s="3437"/>
      <c r="R95" s="3523"/>
      <c r="S95" s="3437"/>
    </row>
    <row r="96" spans="2:19" ht="15.05" hidden="1" thickBot="1" x14ac:dyDescent="0.35">
      <c r="B96" s="4816" t="s">
        <v>719</v>
      </c>
      <c r="C96" s="4812">
        <f>+Egresos!D100+Egresos!D102</f>
        <v>0</v>
      </c>
      <c r="D96" s="4812">
        <f>+Egresos!E100+Egresos!E102</f>
        <v>0</v>
      </c>
      <c r="E96" s="4812">
        <f>+Egresos!F100+Egresos!F102</f>
        <v>0</v>
      </c>
      <c r="F96" s="4812">
        <f>+Egresos!G100+Egresos!G102</f>
        <v>0</v>
      </c>
      <c r="G96" s="4812">
        <f>+Egresos!H100+Egresos!H102</f>
        <v>0</v>
      </c>
      <c r="H96" s="4812">
        <f>+Egresos!I100+Egresos!I102</f>
        <v>0</v>
      </c>
      <c r="I96" s="4812">
        <f>+Egresos!J100+Egresos!J102</f>
        <v>0</v>
      </c>
      <c r="J96" s="4812">
        <f>+Egresos!K100+Egresos!K102</f>
        <v>0</v>
      </c>
      <c r="K96" s="4812">
        <f>+Egresos!L100+Egresos!L102</f>
        <v>0</v>
      </c>
      <c r="L96" s="4812">
        <f>+Egresos!M100+Egresos!M102</f>
        <v>0</v>
      </c>
      <c r="M96" s="4812">
        <f>+Egresos!N100+Egresos!N102</f>
        <v>0</v>
      </c>
      <c r="N96" s="4817">
        <f>+Egresos!O100-Egresos!O101+Egresos!O102</f>
        <v>0</v>
      </c>
      <c r="O96" s="4807"/>
      <c r="P96" s="3437"/>
      <c r="R96" s="3523"/>
      <c r="S96" s="3437"/>
    </row>
    <row r="97" spans="2:19" ht="15.05" hidden="1" thickTop="1" x14ac:dyDescent="0.3">
      <c r="B97" s="4791" t="str">
        <f>+Egresos!C104</f>
        <v xml:space="preserve">Maquinaria contratada - Confección de reservas </v>
      </c>
      <c r="C97" s="4792">
        <f>+Egresos!D104</f>
        <v>0</v>
      </c>
      <c r="D97" s="4792">
        <f>+Egresos!E104</f>
        <v>0</v>
      </c>
      <c r="E97" s="4792">
        <f>+Egresos!F104</f>
        <v>0</v>
      </c>
      <c r="F97" s="4792">
        <f>+Egresos!G104</f>
        <v>0</v>
      </c>
      <c r="G97" s="4792">
        <f>+Egresos!H104</f>
        <v>0</v>
      </c>
      <c r="H97" s="4792">
        <f>+Egresos!I104</f>
        <v>0</v>
      </c>
      <c r="I97" s="4792">
        <f>+Egresos!J104</f>
        <v>0</v>
      </c>
      <c r="J97" s="4792">
        <f>+Egresos!K104</f>
        <v>0</v>
      </c>
      <c r="K97" s="4792">
        <f>+Egresos!L104</f>
        <v>0</v>
      </c>
      <c r="L97" s="4792">
        <f>+Egresos!M104</f>
        <v>0</v>
      </c>
      <c r="M97" s="4792">
        <f>+Egresos!N104</f>
        <v>0</v>
      </c>
      <c r="N97" s="4792">
        <f>+Egresos!O104</f>
        <v>0</v>
      </c>
      <c r="O97" s="4793"/>
      <c r="P97" s="3437"/>
      <c r="R97" s="3523"/>
      <c r="S97" s="3437"/>
    </row>
    <row r="98" spans="2:19" hidden="1" x14ac:dyDescent="0.3">
      <c r="B98" s="4796" t="s">
        <v>691</v>
      </c>
      <c r="C98" s="4811">
        <f>+InsumosCultivos!I2416</f>
        <v>0</v>
      </c>
      <c r="D98" s="4811">
        <f>+InsumosCultivos!J2416</f>
        <v>0</v>
      </c>
      <c r="E98" s="4811">
        <f>+InsumosCultivos!K2416</f>
        <v>0</v>
      </c>
      <c r="F98" s="4811">
        <f>+InsumosCultivos!L2416</f>
        <v>0</v>
      </c>
      <c r="G98" s="4811">
        <f>+InsumosCultivos!M2416</f>
        <v>0</v>
      </c>
      <c r="H98" s="4811">
        <f>+InsumosCultivos!N2416</f>
        <v>0</v>
      </c>
      <c r="I98" s="4811">
        <f>+InsumosCultivos!O2416</f>
        <v>0</v>
      </c>
      <c r="J98" s="4811">
        <f>+InsumosCultivos!P2416</f>
        <v>0</v>
      </c>
      <c r="K98" s="4811">
        <f>+InsumosCultivos!Q2416</f>
        <v>0</v>
      </c>
      <c r="L98" s="4811">
        <f>+InsumosCultivos!R2416</f>
        <v>0</v>
      </c>
      <c r="M98" s="4811">
        <f>+InsumosCultivos!S2416</f>
        <v>0</v>
      </c>
      <c r="N98" s="4815">
        <f>+InsumosCultivos!T2416</f>
        <v>0</v>
      </c>
      <c r="O98" s="4818"/>
      <c r="P98" s="3437"/>
      <c r="R98" s="3523"/>
      <c r="S98" s="3437"/>
    </row>
    <row r="99" spans="2:19" ht="15.05" hidden="1" thickBot="1" x14ac:dyDescent="0.35">
      <c r="B99" s="4816" t="s">
        <v>718</v>
      </c>
      <c r="C99" s="4811">
        <f>+InsumosCultivos!I2417</f>
        <v>0</v>
      </c>
      <c r="D99" s="4811">
        <f>+InsumosCultivos!J2417</f>
        <v>0</v>
      </c>
      <c r="E99" s="4811">
        <f>+InsumosCultivos!K2417</f>
        <v>0</v>
      </c>
      <c r="F99" s="4811">
        <f>+InsumosCultivos!L2417</f>
        <v>0</v>
      </c>
      <c r="G99" s="4811">
        <f>+InsumosCultivos!M2417</f>
        <v>0</v>
      </c>
      <c r="H99" s="4811">
        <f>+InsumosCultivos!N2417</f>
        <v>0</v>
      </c>
      <c r="I99" s="4811">
        <f>+InsumosCultivos!O2417</f>
        <v>0</v>
      </c>
      <c r="J99" s="4811">
        <f>+InsumosCultivos!P2417</f>
        <v>0</v>
      </c>
      <c r="K99" s="4811">
        <f>+InsumosCultivos!Q2417</f>
        <v>0</v>
      </c>
      <c r="L99" s="4811">
        <f>+InsumosCultivos!R2417</f>
        <v>0</v>
      </c>
      <c r="M99" s="4811">
        <f>+InsumosCultivos!S2417</f>
        <v>0</v>
      </c>
      <c r="N99" s="4815">
        <f>+InsumosCultivos!T2417</f>
        <v>0</v>
      </c>
      <c r="O99" s="4818"/>
      <c r="P99" s="3437"/>
      <c r="R99" s="3523"/>
      <c r="S99" s="3437"/>
    </row>
    <row r="100" spans="2:19" ht="15.05" hidden="1" thickTop="1" x14ac:dyDescent="0.3">
      <c r="B100" s="4791" t="str">
        <f>+Egresos!C105</f>
        <v xml:space="preserve">Maquinaria contratada - Confección de reservas de excedentes </v>
      </c>
      <c r="C100" s="4792"/>
      <c r="D100" s="4792"/>
      <c r="E100" s="4792"/>
      <c r="F100" s="4792"/>
      <c r="G100" s="4792"/>
      <c r="H100" s="4792"/>
      <c r="I100" s="4792"/>
      <c r="J100" s="4792"/>
      <c r="K100" s="4792"/>
      <c r="L100" s="4792"/>
      <c r="M100" s="4792"/>
      <c r="N100" s="4792"/>
      <c r="O100" s="4793"/>
      <c r="P100" s="3437"/>
      <c r="R100" s="3523"/>
      <c r="S100" s="3437"/>
    </row>
    <row r="101" spans="2:19" hidden="1" x14ac:dyDescent="0.3">
      <c r="B101" s="4804" t="s">
        <v>691</v>
      </c>
      <c r="C101" s="4811">
        <f>+Alimentos!G699</f>
        <v>0</v>
      </c>
      <c r="D101" s="4811">
        <f>+Alimentos!H699</f>
        <v>0</v>
      </c>
      <c r="E101" s="4811">
        <f>+Alimentos!I699</f>
        <v>0</v>
      </c>
      <c r="F101" s="4811">
        <f>+Alimentos!J699</f>
        <v>0</v>
      </c>
      <c r="G101" s="4811">
        <f>+Alimentos!K699</f>
        <v>0</v>
      </c>
      <c r="H101" s="4811">
        <f>+Alimentos!L699</f>
        <v>0</v>
      </c>
      <c r="I101" s="4811">
        <f>+Alimentos!M699</f>
        <v>0</v>
      </c>
      <c r="J101" s="4811">
        <f>+Alimentos!N699</f>
        <v>0</v>
      </c>
      <c r="K101" s="4811">
        <f>+Alimentos!O699</f>
        <v>0</v>
      </c>
      <c r="L101" s="4811">
        <f>+Alimentos!P699</f>
        <v>0</v>
      </c>
      <c r="M101" s="4811">
        <f>+Alimentos!Q699</f>
        <v>0</v>
      </c>
      <c r="N101" s="4815">
        <f>+Alimentos!R699</f>
        <v>0</v>
      </c>
      <c r="O101" s="4807"/>
      <c r="P101" s="3437"/>
      <c r="R101" s="3523"/>
      <c r="S101" s="3437"/>
    </row>
    <row r="102" spans="2:19" ht="15.05" hidden="1" thickBot="1" x14ac:dyDescent="0.35">
      <c r="B102" s="4804" t="s">
        <v>718</v>
      </c>
      <c r="C102" s="4811">
        <f>+Alimentos!G700</f>
        <v>0</v>
      </c>
      <c r="D102" s="4811">
        <f>+Alimentos!H700</f>
        <v>0</v>
      </c>
      <c r="E102" s="4811">
        <f>+Alimentos!I700</f>
        <v>0</v>
      </c>
      <c r="F102" s="4811">
        <f>+Alimentos!J700</f>
        <v>0</v>
      </c>
      <c r="G102" s="4811">
        <f>+Alimentos!K700</f>
        <v>0</v>
      </c>
      <c r="H102" s="4811">
        <f>+Alimentos!L700</f>
        <v>0</v>
      </c>
      <c r="I102" s="4811">
        <f>+Alimentos!M700</f>
        <v>0</v>
      </c>
      <c r="J102" s="4811">
        <f>+Alimentos!N700</f>
        <v>0</v>
      </c>
      <c r="K102" s="4811">
        <f>+Alimentos!O700</f>
        <v>0</v>
      </c>
      <c r="L102" s="4811">
        <f>+Alimentos!P700</f>
        <v>0</v>
      </c>
      <c r="M102" s="4811">
        <f>+Alimentos!Q700</f>
        <v>0</v>
      </c>
      <c r="N102" s="4815">
        <f>+Alimentos!R700</f>
        <v>0</v>
      </c>
      <c r="O102" s="4807"/>
      <c r="P102" s="3437"/>
      <c r="R102" s="3523"/>
      <c r="S102" s="3437"/>
    </row>
    <row r="103" spans="2:19" ht="15.05" hidden="1" thickTop="1" x14ac:dyDescent="0.3">
      <c r="B103" s="4819" t="s">
        <v>802</v>
      </c>
      <c r="C103" s="4820" t="e">
        <f ca="1">+SUM(C104:C106)</f>
        <v>#N/A</v>
      </c>
      <c r="D103" s="4820" t="e">
        <f t="shared" ref="D103:N103" ca="1" si="13">+SUM(D104:D106)</f>
        <v>#N/A</v>
      </c>
      <c r="E103" s="4820" t="e">
        <f t="shared" ca="1" si="13"/>
        <v>#N/A</v>
      </c>
      <c r="F103" s="4820" t="e">
        <f t="shared" ca="1" si="13"/>
        <v>#N/A</v>
      </c>
      <c r="G103" s="4820" t="e">
        <f t="shared" ca="1" si="13"/>
        <v>#N/A</v>
      </c>
      <c r="H103" s="4820" t="e">
        <f t="shared" ca="1" si="13"/>
        <v>#N/A</v>
      </c>
      <c r="I103" s="4820" t="e">
        <f t="shared" ca="1" si="13"/>
        <v>#N/A</v>
      </c>
      <c r="J103" s="4820" t="e">
        <f t="shared" ca="1" si="13"/>
        <v>#N/A</v>
      </c>
      <c r="K103" s="4820" t="e">
        <f t="shared" ca="1" si="13"/>
        <v>#N/A</v>
      </c>
      <c r="L103" s="4820" t="e">
        <f t="shared" ca="1" si="13"/>
        <v>#N/A</v>
      </c>
      <c r="M103" s="4820" t="e">
        <f t="shared" ca="1" si="13"/>
        <v>#N/A</v>
      </c>
      <c r="N103" s="4820" t="e">
        <f t="shared" ca="1" si="13"/>
        <v>#N/A</v>
      </c>
      <c r="O103" s="4821" t="e">
        <f ca="1">+SUM(O104:O106)</f>
        <v>#N/A</v>
      </c>
      <c r="P103" s="3437"/>
      <c r="R103" s="3523"/>
      <c r="S103" s="3437"/>
    </row>
    <row r="104" spans="2:19" hidden="1" x14ac:dyDescent="0.3">
      <c r="B104" s="4794" t="s">
        <v>691</v>
      </c>
      <c r="C104" s="4822" t="e">
        <f ca="1">+C81+C85+C89+C94+C98+C101</f>
        <v>#N/A</v>
      </c>
      <c r="D104" s="4822" t="e">
        <f t="shared" ref="D104:N104" ca="1" si="14">+D81+D85+D89+D94+D98+D101</f>
        <v>#N/A</v>
      </c>
      <c r="E104" s="4822" t="e">
        <f t="shared" ca="1" si="14"/>
        <v>#N/A</v>
      </c>
      <c r="F104" s="4822" t="e">
        <f t="shared" ca="1" si="14"/>
        <v>#N/A</v>
      </c>
      <c r="G104" s="4822" t="e">
        <f t="shared" ca="1" si="14"/>
        <v>#N/A</v>
      </c>
      <c r="H104" s="4822" t="e">
        <f t="shared" ca="1" si="14"/>
        <v>#N/A</v>
      </c>
      <c r="I104" s="4822" t="e">
        <f t="shared" ca="1" si="14"/>
        <v>#N/A</v>
      </c>
      <c r="J104" s="4822" t="e">
        <f t="shared" ca="1" si="14"/>
        <v>#N/A</v>
      </c>
      <c r="K104" s="4822" t="e">
        <f t="shared" ca="1" si="14"/>
        <v>#N/A</v>
      </c>
      <c r="L104" s="4822" t="e">
        <f t="shared" ca="1" si="14"/>
        <v>#N/A</v>
      </c>
      <c r="M104" s="4822" t="e">
        <f t="shared" ca="1" si="14"/>
        <v>#N/A</v>
      </c>
      <c r="N104" s="4823" t="e">
        <f t="shared" ca="1" si="14"/>
        <v>#N/A</v>
      </c>
      <c r="O104" s="4797" t="e">
        <f ca="1">+SUM(C104:N104)</f>
        <v>#N/A</v>
      </c>
      <c r="P104" s="3437"/>
      <c r="R104" s="3523"/>
      <c r="S104" s="3437"/>
    </row>
    <row r="105" spans="2:19" hidden="1" x14ac:dyDescent="0.3">
      <c r="B105" s="4794" t="s">
        <v>718</v>
      </c>
      <c r="C105" s="4822" t="e">
        <f>+C82+C86+C90+C95+C99+C102</f>
        <v>#N/A</v>
      </c>
      <c r="D105" s="4822" t="e">
        <f t="shared" ref="D105:N105" si="15">+D82+D86+D90+D95+D99+D102</f>
        <v>#N/A</v>
      </c>
      <c r="E105" s="4822" t="e">
        <f t="shared" si="15"/>
        <v>#N/A</v>
      </c>
      <c r="F105" s="4822" t="e">
        <f t="shared" si="15"/>
        <v>#N/A</v>
      </c>
      <c r="G105" s="4822" t="e">
        <f t="shared" si="15"/>
        <v>#N/A</v>
      </c>
      <c r="H105" s="4822" t="e">
        <f t="shared" si="15"/>
        <v>#N/A</v>
      </c>
      <c r="I105" s="4822" t="e">
        <f t="shared" si="15"/>
        <v>#N/A</v>
      </c>
      <c r="J105" s="4822" t="e">
        <f t="shared" si="15"/>
        <v>#N/A</v>
      </c>
      <c r="K105" s="4822" t="e">
        <f t="shared" si="15"/>
        <v>#N/A</v>
      </c>
      <c r="L105" s="4822" t="e">
        <f t="shared" si="15"/>
        <v>#N/A</v>
      </c>
      <c r="M105" s="4822" t="e">
        <f t="shared" si="15"/>
        <v>#N/A</v>
      </c>
      <c r="N105" s="4823" t="e">
        <f t="shared" si="15"/>
        <v>#N/A</v>
      </c>
      <c r="O105" s="4797" t="e">
        <f>+SUM(C105:N105)</f>
        <v>#N/A</v>
      </c>
      <c r="P105" s="3437"/>
      <c r="R105" s="3523"/>
      <c r="S105" s="3437"/>
    </row>
    <row r="106" spans="2:19" ht="15.05" hidden="1" thickBot="1" x14ac:dyDescent="0.35">
      <c r="B106" s="4824" t="s">
        <v>719</v>
      </c>
      <c r="C106" s="4825" t="e">
        <f ca="1">+C83+C87+C91+C96</f>
        <v>#N/A</v>
      </c>
      <c r="D106" s="4825" t="e">
        <f t="shared" ref="D106:N106" ca="1" si="16">+D83+D87+D91+D96</f>
        <v>#N/A</v>
      </c>
      <c r="E106" s="4825" t="e">
        <f t="shared" ca="1" si="16"/>
        <v>#N/A</v>
      </c>
      <c r="F106" s="4825" t="e">
        <f t="shared" ca="1" si="16"/>
        <v>#N/A</v>
      </c>
      <c r="G106" s="4825" t="e">
        <f t="shared" ca="1" si="16"/>
        <v>#N/A</v>
      </c>
      <c r="H106" s="4825" t="e">
        <f t="shared" ca="1" si="16"/>
        <v>#N/A</v>
      </c>
      <c r="I106" s="4825" t="e">
        <f t="shared" ca="1" si="16"/>
        <v>#N/A</v>
      </c>
      <c r="J106" s="4825" t="e">
        <f t="shared" ca="1" si="16"/>
        <v>#N/A</v>
      </c>
      <c r="K106" s="4825" t="e">
        <f t="shared" ca="1" si="16"/>
        <v>#N/A</v>
      </c>
      <c r="L106" s="4825" t="e">
        <f t="shared" ca="1" si="16"/>
        <v>#N/A</v>
      </c>
      <c r="M106" s="4825" t="e">
        <f t="shared" ca="1" si="16"/>
        <v>#N/A</v>
      </c>
      <c r="N106" s="4825" t="e">
        <f t="shared" ca="1" si="16"/>
        <v>#N/A</v>
      </c>
      <c r="O106" s="4826" t="e">
        <f ca="1">+SUM(C106:N106)</f>
        <v>#N/A</v>
      </c>
      <c r="P106" s="3437"/>
      <c r="R106" s="3523"/>
      <c r="S106" s="3437"/>
    </row>
    <row r="107" spans="2:19" ht="15.75" hidden="1" thickTop="1" thickBot="1" x14ac:dyDescent="0.35">
      <c r="B107" s="4801" t="s">
        <v>725</v>
      </c>
      <c r="C107" s="4802">
        <f>+Egresos!D110</f>
        <v>0</v>
      </c>
      <c r="D107" s="4802">
        <f>+Egresos!E110</f>
        <v>0</v>
      </c>
      <c r="E107" s="4802">
        <f>+Egresos!F110</f>
        <v>0</v>
      </c>
      <c r="F107" s="4802">
        <f>+Egresos!G110</f>
        <v>0</v>
      </c>
      <c r="G107" s="4802">
        <f>+Egresos!H110</f>
        <v>0</v>
      </c>
      <c r="H107" s="4802">
        <f>+Egresos!I110</f>
        <v>0</v>
      </c>
      <c r="I107" s="4802">
        <f>+Egresos!J110</f>
        <v>0</v>
      </c>
      <c r="J107" s="4802">
        <f>+Egresos!K110</f>
        <v>0</v>
      </c>
      <c r="K107" s="4802">
        <f>+Egresos!L110</f>
        <v>0</v>
      </c>
      <c r="L107" s="4802">
        <f>+Egresos!M110</f>
        <v>0</v>
      </c>
      <c r="M107" s="4802">
        <f>+Egresos!N110</f>
        <v>0</v>
      </c>
      <c r="N107" s="4802">
        <f>+Egresos!O110</f>
        <v>0</v>
      </c>
      <c r="O107" s="4803">
        <f t="shared" ref="O107:O112" si="17">+SUM(C107:N107)</f>
        <v>0</v>
      </c>
      <c r="P107" s="3437"/>
      <c r="Q107" s="3437"/>
      <c r="S107" s="3437"/>
    </row>
    <row r="108" spans="2:19" ht="15.05" hidden="1" thickTop="1" x14ac:dyDescent="0.3">
      <c r="B108" s="4801" t="s">
        <v>37</v>
      </c>
      <c r="C108" s="4802">
        <f>+Egresos!D111</f>
        <v>0</v>
      </c>
      <c r="D108" s="4802">
        <f>+Egresos!E111</f>
        <v>0</v>
      </c>
      <c r="E108" s="4802">
        <f>+Egresos!F111</f>
        <v>0</v>
      </c>
      <c r="F108" s="4802">
        <f>+Egresos!G111</f>
        <v>0</v>
      </c>
      <c r="G108" s="4802">
        <f>+Egresos!H111</f>
        <v>0</v>
      </c>
      <c r="H108" s="4802">
        <f>+Egresos!I111</f>
        <v>0</v>
      </c>
      <c r="I108" s="4802">
        <f>+Egresos!J111</f>
        <v>0</v>
      </c>
      <c r="J108" s="4802">
        <f>+Egresos!K111</f>
        <v>0</v>
      </c>
      <c r="K108" s="4802">
        <f>+Egresos!L111</f>
        <v>0</v>
      </c>
      <c r="L108" s="4802">
        <f>+Egresos!M111</f>
        <v>0</v>
      </c>
      <c r="M108" s="4802">
        <f>+Egresos!N111</f>
        <v>0</v>
      </c>
      <c r="N108" s="4802">
        <f>+Egresos!O111</f>
        <v>0</v>
      </c>
      <c r="O108" s="4803"/>
      <c r="P108" s="3437"/>
      <c r="Q108" s="3437"/>
      <c r="S108" s="3437"/>
    </row>
    <row r="109" spans="2:19" hidden="1" x14ac:dyDescent="0.3">
      <c r="B109" s="3549" t="s">
        <v>691</v>
      </c>
      <c r="C109" s="4827" t="e">
        <f t="shared" ref="C109:N109" si="18">+C108*$L$7</f>
        <v>#N/A</v>
      </c>
      <c r="D109" s="3724" t="e">
        <f t="shared" si="18"/>
        <v>#N/A</v>
      </c>
      <c r="E109" s="3724" t="e">
        <f t="shared" si="18"/>
        <v>#N/A</v>
      </c>
      <c r="F109" s="3724" t="e">
        <f t="shared" si="18"/>
        <v>#N/A</v>
      </c>
      <c r="G109" s="3724" t="e">
        <f t="shared" si="18"/>
        <v>#N/A</v>
      </c>
      <c r="H109" s="3724" t="e">
        <f t="shared" si="18"/>
        <v>#N/A</v>
      </c>
      <c r="I109" s="3724" t="e">
        <f t="shared" si="18"/>
        <v>#N/A</v>
      </c>
      <c r="J109" s="3724" t="e">
        <f t="shared" si="18"/>
        <v>#N/A</v>
      </c>
      <c r="K109" s="3724" t="e">
        <f t="shared" si="18"/>
        <v>#N/A</v>
      </c>
      <c r="L109" s="3724" t="e">
        <f t="shared" si="18"/>
        <v>#N/A</v>
      </c>
      <c r="M109" s="3724" t="e">
        <f t="shared" si="18"/>
        <v>#N/A</v>
      </c>
      <c r="N109" s="3724" t="e">
        <f t="shared" si="18"/>
        <v>#N/A</v>
      </c>
      <c r="O109" s="4828" t="e">
        <f t="shared" si="17"/>
        <v>#N/A</v>
      </c>
      <c r="P109" s="3437"/>
    </row>
    <row r="110" spans="2:19" ht="15.05" hidden="1" thickBot="1" x14ac:dyDescent="0.35">
      <c r="B110" s="4618" t="s">
        <v>718</v>
      </c>
      <c r="C110" s="4829" t="e">
        <f t="shared" ref="C110:N110" si="19">+C108*$M$7</f>
        <v>#N/A</v>
      </c>
      <c r="D110" s="4830" t="e">
        <f t="shared" si="19"/>
        <v>#N/A</v>
      </c>
      <c r="E110" s="4830" t="e">
        <f t="shared" si="19"/>
        <v>#N/A</v>
      </c>
      <c r="F110" s="4830" t="e">
        <f t="shared" si="19"/>
        <v>#N/A</v>
      </c>
      <c r="G110" s="4830" t="e">
        <f t="shared" si="19"/>
        <v>#N/A</v>
      </c>
      <c r="H110" s="4830" t="e">
        <f t="shared" si="19"/>
        <v>#N/A</v>
      </c>
      <c r="I110" s="4830" t="e">
        <f t="shared" si="19"/>
        <v>#N/A</v>
      </c>
      <c r="J110" s="4830" t="e">
        <f t="shared" si="19"/>
        <v>#N/A</v>
      </c>
      <c r="K110" s="4830" t="e">
        <f t="shared" si="19"/>
        <v>#N/A</v>
      </c>
      <c r="L110" s="4830" t="e">
        <f t="shared" si="19"/>
        <v>#N/A</v>
      </c>
      <c r="M110" s="4830" t="e">
        <f t="shared" si="19"/>
        <v>#N/A</v>
      </c>
      <c r="N110" s="4830" t="e">
        <f t="shared" si="19"/>
        <v>#N/A</v>
      </c>
      <c r="O110" s="4831" t="e">
        <f t="shared" si="17"/>
        <v>#N/A</v>
      </c>
      <c r="P110" s="3437"/>
    </row>
    <row r="111" spans="2:19" ht="15.75" hidden="1" thickTop="1" thickBot="1" x14ac:dyDescent="0.35">
      <c r="B111" s="4801" t="s">
        <v>726</v>
      </c>
      <c r="C111" s="4802">
        <f>+Egresos!D112</f>
        <v>0</v>
      </c>
      <c r="D111" s="4802">
        <f>+Egresos!E112</f>
        <v>0</v>
      </c>
      <c r="E111" s="4802">
        <f>+Egresos!F112</f>
        <v>0</v>
      </c>
      <c r="F111" s="4802">
        <f>+Egresos!G112</f>
        <v>0</v>
      </c>
      <c r="G111" s="4802">
        <f>+Egresos!H112</f>
        <v>0</v>
      </c>
      <c r="H111" s="4802">
        <f>+Egresos!I112</f>
        <v>0</v>
      </c>
      <c r="I111" s="4802">
        <f>+Egresos!J112</f>
        <v>0</v>
      </c>
      <c r="J111" s="4802">
        <f>+Egresos!K112</f>
        <v>0</v>
      </c>
      <c r="K111" s="4802">
        <f>+Egresos!L112</f>
        <v>0</v>
      </c>
      <c r="L111" s="4802">
        <f>+Egresos!M112</f>
        <v>0</v>
      </c>
      <c r="M111" s="4802">
        <f>+Egresos!N112</f>
        <v>0</v>
      </c>
      <c r="N111" s="4802">
        <f>+Egresos!O112</f>
        <v>0</v>
      </c>
      <c r="O111" s="4803">
        <f t="shared" si="17"/>
        <v>0</v>
      </c>
      <c r="P111" s="3437"/>
      <c r="Q111" s="3437"/>
      <c r="S111" s="3437"/>
    </row>
    <row r="112" spans="2:19" ht="15.75" hidden="1" thickTop="1" thickBot="1" x14ac:dyDescent="0.35">
      <c r="B112" s="4801" t="s">
        <v>727</v>
      </c>
      <c r="C112" s="4802">
        <f>+Egresos!D113</f>
        <v>0</v>
      </c>
      <c r="D112" s="4802">
        <f>+Egresos!E113</f>
        <v>0</v>
      </c>
      <c r="E112" s="4802">
        <f>+Egresos!F113</f>
        <v>0</v>
      </c>
      <c r="F112" s="4802">
        <f>+Egresos!G113</f>
        <v>0</v>
      </c>
      <c r="G112" s="4802">
        <f>+Egresos!H113</f>
        <v>0</v>
      </c>
      <c r="H112" s="4802">
        <f>+Egresos!I113</f>
        <v>0</v>
      </c>
      <c r="I112" s="4802">
        <f>+Egresos!J113</f>
        <v>0</v>
      </c>
      <c r="J112" s="4802">
        <f>+Egresos!K113</f>
        <v>0</v>
      </c>
      <c r="K112" s="4802">
        <f>+Egresos!L113</f>
        <v>0</v>
      </c>
      <c r="L112" s="4802">
        <f>+Egresos!M113</f>
        <v>0</v>
      </c>
      <c r="M112" s="4802">
        <f>+Egresos!N113</f>
        <v>0</v>
      </c>
      <c r="N112" s="4802">
        <f>+Egresos!O113</f>
        <v>0</v>
      </c>
      <c r="O112" s="4803">
        <f t="shared" si="17"/>
        <v>0</v>
      </c>
      <c r="P112" s="3437"/>
      <c r="Q112" s="3437"/>
      <c r="S112" s="3437"/>
    </row>
    <row r="113" spans="2:19" ht="15.75" hidden="1" thickTop="1" thickBot="1" x14ac:dyDescent="0.35">
      <c r="B113" s="4801" t="s">
        <v>69</v>
      </c>
      <c r="C113" s="4802"/>
      <c r="D113" s="4802"/>
      <c r="E113" s="4802"/>
      <c r="F113" s="4802"/>
      <c r="G113" s="4802"/>
      <c r="H113" s="4802"/>
      <c r="I113" s="4802"/>
      <c r="J113" s="4802"/>
      <c r="K113" s="4802"/>
      <c r="L113" s="4802"/>
      <c r="M113" s="4802"/>
      <c r="N113" s="4802"/>
      <c r="O113" s="4803"/>
      <c r="P113" s="3437"/>
      <c r="Q113" s="3437"/>
      <c r="S113" s="3437"/>
    </row>
    <row r="114" spans="2:19" ht="15.05" hidden="1" thickTop="1" x14ac:dyDescent="0.3">
      <c r="B114" s="4791" t="s">
        <v>817</v>
      </c>
      <c r="C114" s="4792"/>
      <c r="D114" s="4792"/>
      <c r="E114" s="4792"/>
      <c r="F114" s="4792"/>
      <c r="G114" s="4792"/>
      <c r="H114" s="4792"/>
      <c r="I114" s="4792"/>
      <c r="J114" s="4792"/>
      <c r="K114" s="4792"/>
      <c r="L114" s="4792"/>
      <c r="M114" s="4792"/>
      <c r="N114" s="4792"/>
      <c r="O114" s="4793"/>
      <c r="P114" s="3437"/>
      <c r="R114" s="3523"/>
      <c r="S114" s="3437"/>
    </row>
    <row r="115" spans="2:19" hidden="1" x14ac:dyDescent="0.3">
      <c r="B115" s="4804" t="s">
        <v>691</v>
      </c>
      <c r="C115" s="4832" t="e">
        <f>+Alimentos!G690</f>
        <v>#DIV/0!</v>
      </c>
      <c r="D115" s="3490" t="e">
        <f>+Alimentos!H690</f>
        <v>#DIV/0!</v>
      </c>
      <c r="E115" s="3490" t="e">
        <f>+Alimentos!I690</f>
        <v>#DIV/0!</v>
      </c>
      <c r="F115" s="3490" t="e">
        <f>+Alimentos!J690</f>
        <v>#DIV/0!</v>
      </c>
      <c r="G115" s="3490" t="e">
        <f>+Alimentos!K690</f>
        <v>#DIV/0!</v>
      </c>
      <c r="H115" s="3490" t="e">
        <f>+Alimentos!L690</f>
        <v>#DIV/0!</v>
      </c>
      <c r="I115" s="3490" t="e">
        <f>+Alimentos!M690</f>
        <v>#DIV/0!</v>
      </c>
      <c r="J115" s="3490" t="e">
        <f>+Alimentos!N690</f>
        <v>#DIV/0!</v>
      </c>
      <c r="K115" s="3490" t="e">
        <f>+Alimentos!O690</f>
        <v>#DIV/0!</v>
      </c>
      <c r="L115" s="3490" t="e">
        <f>+Alimentos!P690</f>
        <v>#DIV/0!</v>
      </c>
      <c r="M115" s="3490" t="e">
        <f>+Alimentos!Q690</f>
        <v>#DIV/0!</v>
      </c>
      <c r="N115" s="3490" t="e">
        <f>+Alimentos!R690</f>
        <v>#DIV/0!</v>
      </c>
      <c r="O115" s="4833" t="e">
        <f>+SUM(C115:N115)</f>
        <v>#DIV/0!</v>
      </c>
      <c r="P115" s="3437"/>
    </row>
    <row r="116" spans="2:19" hidden="1" x14ac:dyDescent="0.3">
      <c r="B116" s="4804" t="s">
        <v>718</v>
      </c>
      <c r="C116" s="4834" t="e">
        <f>+Alimentos!G691</f>
        <v>#DIV/0!</v>
      </c>
      <c r="D116" s="4835" t="e">
        <f>+Alimentos!H691</f>
        <v>#DIV/0!</v>
      </c>
      <c r="E116" s="4835" t="e">
        <f>+Alimentos!I691</f>
        <v>#DIV/0!</v>
      </c>
      <c r="F116" s="4835" t="e">
        <f>+Alimentos!J691</f>
        <v>#DIV/0!</v>
      </c>
      <c r="G116" s="4835" t="e">
        <f>+Alimentos!K691</f>
        <v>#DIV/0!</v>
      </c>
      <c r="H116" s="4835" t="e">
        <f>+Alimentos!L691</f>
        <v>#DIV/0!</v>
      </c>
      <c r="I116" s="4835" t="e">
        <f>+Alimentos!M691</f>
        <v>#DIV/0!</v>
      </c>
      <c r="J116" s="4835" t="e">
        <f>+Alimentos!N691</f>
        <v>#DIV/0!</v>
      </c>
      <c r="K116" s="4835" t="e">
        <f>+Alimentos!O691</f>
        <v>#DIV/0!</v>
      </c>
      <c r="L116" s="4835" t="e">
        <f>+Alimentos!P691</f>
        <v>#DIV/0!</v>
      </c>
      <c r="M116" s="4835" t="e">
        <f>+Alimentos!Q691</f>
        <v>#DIV/0!</v>
      </c>
      <c r="N116" s="4835" t="e">
        <f>+Alimentos!R691</f>
        <v>#DIV/0!</v>
      </c>
      <c r="O116" s="4836" t="e">
        <f>+SUM(C116:N116)</f>
        <v>#DIV/0!</v>
      </c>
      <c r="P116" s="3437"/>
    </row>
    <row r="117" spans="2:19" ht="15.05" hidden="1" thickBot="1" x14ac:dyDescent="0.35">
      <c r="B117" s="4804"/>
      <c r="C117" s="3490" t="e">
        <f>+C115+C116</f>
        <v>#DIV/0!</v>
      </c>
      <c r="D117" s="3490" t="e">
        <f t="shared" ref="D117:O117" si="20">+D115+D116</f>
        <v>#DIV/0!</v>
      </c>
      <c r="E117" s="3490" t="e">
        <f t="shared" si="20"/>
        <v>#DIV/0!</v>
      </c>
      <c r="F117" s="3490" t="e">
        <f t="shared" si="20"/>
        <v>#DIV/0!</v>
      </c>
      <c r="G117" s="3490" t="e">
        <f t="shared" si="20"/>
        <v>#DIV/0!</v>
      </c>
      <c r="H117" s="3490" t="e">
        <f t="shared" si="20"/>
        <v>#DIV/0!</v>
      </c>
      <c r="I117" s="3490" t="e">
        <f t="shared" si="20"/>
        <v>#DIV/0!</v>
      </c>
      <c r="J117" s="3490" t="e">
        <f t="shared" si="20"/>
        <v>#DIV/0!</v>
      </c>
      <c r="K117" s="3490" t="e">
        <f t="shared" si="20"/>
        <v>#DIV/0!</v>
      </c>
      <c r="L117" s="3490" t="e">
        <f t="shared" si="20"/>
        <v>#DIV/0!</v>
      </c>
      <c r="M117" s="3490" t="e">
        <f t="shared" si="20"/>
        <v>#DIV/0!</v>
      </c>
      <c r="N117" s="3490" t="e">
        <f t="shared" si="20"/>
        <v>#DIV/0!</v>
      </c>
      <c r="O117" s="4521" t="e">
        <f t="shared" si="20"/>
        <v>#DIV/0!</v>
      </c>
      <c r="P117" s="3437"/>
    </row>
    <row r="118" spans="2:19" ht="15.05" hidden="1" thickTop="1" x14ac:dyDescent="0.3">
      <c r="B118" s="4791" t="s">
        <v>818</v>
      </c>
      <c r="C118" s="4792"/>
      <c r="D118" s="4792"/>
      <c r="E118" s="4792"/>
      <c r="F118" s="4792"/>
      <c r="G118" s="4792"/>
      <c r="H118" s="4792"/>
      <c r="I118" s="4792"/>
      <c r="J118" s="4792"/>
      <c r="K118" s="4792"/>
      <c r="L118" s="4792"/>
      <c r="M118" s="4792"/>
      <c r="N118" s="4792"/>
      <c r="O118" s="4793"/>
      <c r="P118" s="3437"/>
      <c r="R118" s="3523"/>
      <c r="S118" s="3437"/>
    </row>
    <row r="119" spans="2:19" hidden="1" x14ac:dyDescent="0.3">
      <c r="B119" s="4804" t="s">
        <v>691</v>
      </c>
      <c r="C119" s="4832">
        <f>+Alimentos!G701</f>
        <v>0</v>
      </c>
      <c r="D119" s="3490">
        <f>+Alimentos!H701</f>
        <v>0</v>
      </c>
      <c r="E119" s="3490">
        <f>+Alimentos!I701</f>
        <v>0</v>
      </c>
      <c r="F119" s="3490">
        <f>+Alimentos!J701</f>
        <v>0</v>
      </c>
      <c r="G119" s="3490">
        <f>+Alimentos!K701</f>
        <v>0</v>
      </c>
      <c r="H119" s="3490">
        <f>+Alimentos!L701</f>
        <v>0</v>
      </c>
      <c r="I119" s="3490">
        <f>+Alimentos!M701</f>
        <v>0</v>
      </c>
      <c r="J119" s="3490">
        <f>+Alimentos!N701</f>
        <v>0</v>
      </c>
      <c r="K119" s="3490">
        <f>+Alimentos!O701</f>
        <v>0</v>
      </c>
      <c r="L119" s="3490">
        <f>+Alimentos!P701</f>
        <v>0</v>
      </c>
      <c r="M119" s="3490">
        <f>+Alimentos!Q701</f>
        <v>0</v>
      </c>
      <c r="N119" s="3490">
        <f>+Alimentos!R701</f>
        <v>0</v>
      </c>
      <c r="O119" s="4833"/>
      <c r="P119" s="3437"/>
    </row>
    <row r="120" spans="2:19" ht="15.05" hidden="1" thickBot="1" x14ac:dyDescent="0.35">
      <c r="B120" s="4804" t="s">
        <v>718</v>
      </c>
      <c r="C120" s="4834">
        <f>+Alimentos!G702</f>
        <v>0</v>
      </c>
      <c r="D120" s="4835">
        <f>+Alimentos!H702</f>
        <v>0</v>
      </c>
      <c r="E120" s="4835">
        <f>+Alimentos!I702</f>
        <v>0</v>
      </c>
      <c r="F120" s="4835">
        <f>+Alimentos!J702</f>
        <v>0</v>
      </c>
      <c r="G120" s="4835">
        <f>+Alimentos!K702</f>
        <v>0</v>
      </c>
      <c r="H120" s="4835">
        <f>+Alimentos!L702</f>
        <v>0</v>
      </c>
      <c r="I120" s="4835">
        <f>+Alimentos!M702</f>
        <v>0</v>
      </c>
      <c r="J120" s="4835">
        <f>+Alimentos!N702</f>
        <v>0</v>
      </c>
      <c r="K120" s="4835">
        <f>+Alimentos!O702</f>
        <v>0</v>
      </c>
      <c r="L120" s="4835">
        <f>+Alimentos!P702</f>
        <v>0</v>
      </c>
      <c r="M120" s="4835">
        <f>+Alimentos!Q702</f>
        <v>0</v>
      </c>
      <c r="N120" s="4835">
        <f>+Alimentos!R702</f>
        <v>0</v>
      </c>
      <c r="O120" s="4836"/>
      <c r="P120" s="3437"/>
    </row>
    <row r="121" spans="2:19" ht="15.05" hidden="1" thickTop="1" x14ac:dyDescent="0.3">
      <c r="B121" s="4791" t="s">
        <v>659</v>
      </c>
      <c r="C121" s="4792">
        <f>+Alimentos!G396</f>
        <v>0</v>
      </c>
      <c r="D121" s="4792">
        <f>+Alimentos!H396</f>
        <v>0</v>
      </c>
      <c r="E121" s="4792">
        <f>+Alimentos!I396</f>
        <v>0</v>
      </c>
      <c r="F121" s="4792">
        <f>+Alimentos!J396</f>
        <v>0</v>
      </c>
      <c r="G121" s="4792">
        <f>+Alimentos!K396</f>
        <v>0</v>
      </c>
      <c r="H121" s="4792">
        <f>+Alimentos!L396</f>
        <v>0</v>
      </c>
      <c r="I121" s="4792">
        <f>+Alimentos!M396</f>
        <v>0</v>
      </c>
      <c r="J121" s="4792">
        <f>+Alimentos!N396</f>
        <v>0</v>
      </c>
      <c r="K121" s="4792">
        <f>+Alimentos!O396</f>
        <v>0</v>
      </c>
      <c r="L121" s="4792">
        <f>+Alimentos!P396</f>
        <v>0</v>
      </c>
      <c r="M121" s="4792">
        <f>+Alimentos!Q396</f>
        <v>0</v>
      </c>
      <c r="N121" s="4792">
        <f>+Alimentos!R396</f>
        <v>0</v>
      </c>
      <c r="O121" s="4793"/>
      <c r="P121" s="3437"/>
      <c r="R121" s="3523"/>
      <c r="S121" s="3437"/>
    </row>
    <row r="122" spans="2:19" hidden="1" x14ac:dyDescent="0.3">
      <c r="B122" s="4804" t="s">
        <v>691</v>
      </c>
      <c r="C122" s="4832" t="e">
        <f>+C121*$L$10</f>
        <v>#N/A</v>
      </c>
      <c r="D122" s="3490" t="e">
        <f t="shared" ref="D122:N122" si="21">+D121*$L$10</f>
        <v>#N/A</v>
      </c>
      <c r="E122" s="3490" t="e">
        <f t="shared" si="21"/>
        <v>#N/A</v>
      </c>
      <c r="F122" s="3490" t="e">
        <f t="shared" si="21"/>
        <v>#N/A</v>
      </c>
      <c r="G122" s="3490" t="e">
        <f t="shared" si="21"/>
        <v>#N/A</v>
      </c>
      <c r="H122" s="3490" t="e">
        <f t="shared" si="21"/>
        <v>#N/A</v>
      </c>
      <c r="I122" s="3490" t="e">
        <f t="shared" si="21"/>
        <v>#N/A</v>
      </c>
      <c r="J122" s="3490" t="e">
        <f t="shared" si="21"/>
        <v>#N/A</v>
      </c>
      <c r="K122" s="3490" t="e">
        <f t="shared" si="21"/>
        <v>#N/A</v>
      </c>
      <c r="L122" s="3490" t="e">
        <f t="shared" si="21"/>
        <v>#N/A</v>
      </c>
      <c r="M122" s="3490" t="e">
        <f t="shared" si="21"/>
        <v>#N/A</v>
      </c>
      <c r="N122" s="3490" t="e">
        <f t="shared" si="21"/>
        <v>#N/A</v>
      </c>
      <c r="O122" s="4833"/>
      <c r="P122" s="3437"/>
    </row>
    <row r="123" spans="2:19" ht="15.05" hidden="1" thickBot="1" x14ac:dyDescent="0.35">
      <c r="B123" s="4804" t="s">
        <v>718</v>
      </c>
      <c r="C123" s="4832" t="e">
        <f>+C121-C122</f>
        <v>#N/A</v>
      </c>
      <c r="D123" s="3490" t="e">
        <f t="shared" ref="D123:N123" si="22">+D121-D122</f>
        <v>#N/A</v>
      </c>
      <c r="E123" s="3490" t="e">
        <f t="shared" si="22"/>
        <v>#N/A</v>
      </c>
      <c r="F123" s="3490" t="e">
        <f t="shared" si="22"/>
        <v>#N/A</v>
      </c>
      <c r="G123" s="3490" t="e">
        <f t="shared" si="22"/>
        <v>#N/A</v>
      </c>
      <c r="H123" s="3490" t="e">
        <f t="shared" si="22"/>
        <v>#N/A</v>
      </c>
      <c r="I123" s="3490" t="e">
        <f t="shared" si="22"/>
        <v>#N/A</v>
      </c>
      <c r="J123" s="3490" t="e">
        <f t="shared" si="22"/>
        <v>#N/A</v>
      </c>
      <c r="K123" s="3490" t="e">
        <f t="shared" si="22"/>
        <v>#N/A</v>
      </c>
      <c r="L123" s="3490" t="e">
        <f t="shared" si="22"/>
        <v>#N/A</v>
      </c>
      <c r="M123" s="3490" t="e">
        <f t="shared" si="22"/>
        <v>#N/A</v>
      </c>
      <c r="N123" s="3490" t="e">
        <f t="shared" si="22"/>
        <v>#N/A</v>
      </c>
      <c r="O123" s="4833"/>
      <c r="P123" s="3437"/>
    </row>
    <row r="124" spans="2:19" ht="15.05" hidden="1" thickTop="1" x14ac:dyDescent="0.3">
      <c r="B124" s="4791" t="s">
        <v>1140</v>
      </c>
      <c r="C124" s="4792">
        <f>+Egresos!D119</f>
        <v>0</v>
      </c>
      <c r="D124" s="4792">
        <f>+Egresos!E119</f>
        <v>0</v>
      </c>
      <c r="E124" s="4792">
        <f>+Egresos!F119</f>
        <v>0</v>
      </c>
      <c r="F124" s="4792">
        <f>+Egresos!G119</f>
        <v>0</v>
      </c>
      <c r="G124" s="4792">
        <f>+Egresos!H119</f>
        <v>0</v>
      </c>
      <c r="H124" s="4792">
        <f>+Egresos!I119</f>
        <v>0</v>
      </c>
      <c r="I124" s="4792">
        <f>+Egresos!J119</f>
        <v>0</v>
      </c>
      <c r="J124" s="4792">
        <f>+Egresos!K119</f>
        <v>0</v>
      </c>
      <c r="K124" s="4792">
        <f>+Egresos!L119</f>
        <v>0</v>
      </c>
      <c r="L124" s="4792">
        <f>+Egresos!M119</f>
        <v>0</v>
      </c>
      <c r="M124" s="4792">
        <f>+Egresos!N119</f>
        <v>0</v>
      </c>
      <c r="N124" s="4792">
        <f>+Egresos!O119</f>
        <v>0</v>
      </c>
      <c r="O124" s="4793"/>
      <c r="P124" s="3437"/>
      <c r="R124" s="3523"/>
      <c r="S124" s="3437"/>
    </row>
    <row r="125" spans="2:19" hidden="1" x14ac:dyDescent="0.3">
      <c r="B125" s="4804" t="s">
        <v>691</v>
      </c>
      <c r="C125" s="4832">
        <f>+C124</f>
        <v>0</v>
      </c>
      <c r="D125" s="3490">
        <f t="shared" ref="D125:N125" si="23">+D124</f>
        <v>0</v>
      </c>
      <c r="E125" s="3490">
        <f t="shared" si="23"/>
        <v>0</v>
      </c>
      <c r="F125" s="3490">
        <f t="shared" si="23"/>
        <v>0</v>
      </c>
      <c r="G125" s="3490">
        <f t="shared" si="23"/>
        <v>0</v>
      </c>
      <c r="H125" s="3490">
        <f t="shared" si="23"/>
        <v>0</v>
      </c>
      <c r="I125" s="3490">
        <f t="shared" si="23"/>
        <v>0</v>
      </c>
      <c r="J125" s="3490">
        <f t="shared" si="23"/>
        <v>0</v>
      </c>
      <c r="K125" s="3490">
        <f t="shared" si="23"/>
        <v>0</v>
      </c>
      <c r="L125" s="3490">
        <f t="shared" si="23"/>
        <v>0</v>
      </c>
      <c r="M125" s="3490">
        <f t="shared" si="23"/>
        <v>0</v>
      </c>
      <c r="N125" s="3490">
        <f t="shared" si="23"/>
        <v>0</v>
      </c>
      <c r="O125" s="4833"/>
      <c r="P125" s="3437"/>
    </row>
    <row r="126" spans="2:19" ht="15.05" hidden="1" thickBot="1" x14ac:dyDescent="0.35">
      <c r="B126" s="4804" t="s">
        <v>718</v>
      </c>
      <c r="C126" s="4832">
        <f>+C124-C125</f>
        <v>0</v>
      </c>
      <c r="D126" s="3490">
        <f t="shared" ref="D126:N126" si="24">+D124-D125</f>
        <v>0</v>
      </c>
      <c r="E126" s="3490">
        <f t="shared" si="24"/>
        <v>0</v>
      </c>
      <c r="F126" s="3490">
        <f t="shared" si="24"/>
        <v>0</v>
      </c>
      <c r="G126" s="3490">
        <f t="shared" si="24"/>
        <v>0</v>
      </c>
      <c r="H126" s="3490">
        <f t="shared" si="24"/>
        <v>0</v>
      </c>
      <c r="I126" s="3490">
        <f t="shared" si="24"/>
        <v>0</v>
      </c>
      <c r="J126" s="3490">
        <f t="shared" si="24"/>
        <v>0</v>
      </c>
      <c r="K126" s="3490">
        <f t="shared" si="24"/>
        <v>0</v>
      </c>
      <c r="L126" s="3490">
        <f t="shared" si="24"/>
        <v>0</v>
      </c>
      <c r="M126" s="3490">
        <f t="shared" si="24"/>
        <v>0</v>
      </c>
      <c r="N126" s="3490">
        <f t="shared" si="24"/>
        <v>0</v>
      </c>
      <c r="O126" s="4833"/>
      <c r="P126" s="3437"/>
    </row>
    <row r="127" spans="2:19" hidden="1" x14ac:dyDescent="0.3">
      <c r="B127" s="4837" t="s">
        <v>822</v>
      </c>
      <c r="C127" s="4838"/>
      <c r="D127" s="4839"/>
      <c r="E127" s="4839"/>
      <c r="F127" s="4839"/>
      <c r="G127" s="4839"/>
      <c r="H127" s="4839"/>
      <c r="I127" s="4839"/>
      <c r="J127" s="4839"/>
      <c r="K127" s="4839"/>
      <c r="L127" s="4839"/>
      <c r="M127" s="4839"/>
      <c r="N127" s="4839"/>
      <c r="O127" s="4840"/>
      <c r="P127" s="3437"/>
    </row>
    <row r="128" spans="2:19" hidden="1" x14ac:dyDescent="0.3">
      <c r="B128" s="4794" t="s">
        <v>691</v>
      </c>
      <c r="C128" s="4841" t="e">
        <f t="shared" ref="C128:N128" si="25">+C122+C119+C115+C125</f>
        <v>#N/A</v>
      </c>
      <c r="D128" s="4448" t="e">
        <f t="shared" si="25"/>
        <v>#N/A</v>
      </c>
      <c r="E128" s="4448" t="e">
        <f t="shared" si="25"/>
        <v>#N/A</v>
      </c>
      <c r="F128" s="4448" t="e">
        <f t="shared" si="25"/>
        <v>#N/A</v>
      </c>
      <c r="G128" s="4448" t="e">
        <f t="shared" si="25"/>
        <v>#N/A</v>
      </c>
      <c r="H128" s="4448" t="e">
        <f t="shared" si="25"/>
        <v>#N/A</v>
      </c>
      <c r="I128" s="4448" t="e">
        <f t="shared" si="25"/>
        <v>#N/A</v>
      </c>
      <c r="J128" s="4448" t="e">
        <f t="shared" si="25"/>
        <v>#N/A</v>
      </c>
      <c r="K128" s="4448" t="e">
        <f t="shared" si="25"/>
        <v>#N/A</v>
      </c>
      <c r="L128" s="4448" t="e">
        <f t="shared" si="25"/>
        <v>#N/A</v>
      </c>
      <c r="M128" s="4448" t="e">
        <f t="shared" si="25"/>
        <v>#N/A</v>
      </c>
      <c r="N128" s="4448" t="e">
        <f t="shared" si="25"/>
        <v>#N/A</v>
      </c>
      <c r="O128" s="4842"/>
      <c r="P128" s="3437"/>
    </row>
    <row r="129" spans="2:19" ht="15.05" hidden="1" thickBot="1" x14ac:dyDescent="0.35">
      <c r="B129" s="4843" t="s">
        <v>720</v>
      </c>
      <c r="C129" s="4844" t="e">
        <f t="shared" ref="C129:N129" si="26">+C123+C120+C116+C126</f>
        <v>#N/A</v>
      </c>
      <c r="D129" s="4438" t="e">
        <f t="shared" si="26"/>
        <v>#N/A</v>
      </c>
      <c r="E129" s="4438" t="e">
        <f t="shared" si="26"/>
        <v>#N/A</v>
      </c>
      <c r="F129" s="4438" t="e">
        <f t="shared" si="26"/>
        <v>#N/A</v>
      </c>
      <c r="G129" s="4438" t="e">
        <f t="shared" si="26"/>
        <v>#N/A</v>
      </c>
      <c r="H129" s="4438" t="e">
        <f t="shared" si="26"/>
        <v>#N/A</v>
      </c>
      <c r="I129" s="4438" t="e">
        <f t="shared" si="26"/>
        <v>#N/A</v>
      </c>
      <c r="J129" s="4438" t="e">
        <f t="shared" si="26"/>
        <v>#N/A</v>
      </c>
      <c r="K129" s="4438" t="e">
        <f t="shared" si="26"/>
        <v>#N/A</v>
      </c>
      <c r="L129" s="4438" t="e">
        <f t="shared" si="26"/>
        <v>#N/A</v>
      </c>
      <c r="M129" s="4438" t="e">
        <f t="shared" si="26"/>
        <v>#N/A</v>
      </c>
      <c r="N129" s="4438" t="e">
        <f t="shared" si="26"/>
        <v>#N/A</v>
      </c>
      <c r="O129" s="4845"/>
      <c r="P129" s="3437"/>
    </row>
    <row r="130" spans="2:19" ht="15.05" hidden="1" thickTop="1" x14ac:dyDescent="0.3">
      <c r="B130" s="4801" t="s">
        <v>724</v>
      </c>
      <c r="C130" s="4802">
        <f>+EconómicoMensual!C29</f>
        <v>0</v>
      </c>
      <c r="D130" s="4802">
        <f>+EconómicoMensual!D29</f>
        <v>0</v>
      </c>
      <c r="E130" s="4802">
        <f>+EconómicoMensual!E29</f>
        <v>0</v>
      </c>
      <c r="F130" s="4802">
        <f>+EconómicoMensual!F29</f>
        <v>0</v>
      </c>
      <c r="G130" s="4802">
        <f>+EconómicoMensual!G29</f>
        <v>0</v>
      </c>
      <c r="H130" s="4802">
        <f>+EconómicoMensual!H29</f>
        <v>0</v>
      </c>
      <c r="I130" s="4802">
        <f>+EconómicoMensual!I29</f>
        <v>0</v>
      </c>
      <c r="J130" s="4802">
        <f>+EconómicoMensual!J29</f>
        <v>0</v>
      </c>
      <c r="K130" s="4802">
        <f>+EconómicoMensual!K29</f>
        <v>0</v>
      </c>
      <c r="L130" s="4802">
        <f>+EconómicoMensual!L29</f>
        <v>0</v>
      </c>
      <c r="M130" s="4802">
        <f>+EconómicoMensual!M29</f>
        <v>0</v>
      </c>
      <c r="N130" s="4802">
        <f>+EconómicoMensual!N29</f>
        <v>0</v>
      </c>
      <c r="O130" s="4803"/>
      <c r="P130" s="3437"/>
      <c r="Q130" s="3437"/>
      <c r="S130" s="3437"/>
    </row>
    <row r="131" spans="2:19" s="3440" customFormat="1" hidden="1" x14ac:dyDescent="0.3">
      <c r="B131" s="4796" t="s">
        <v>691</v>
      </c>
      <c r="C131" s="4832">
        <f>+InsumosCultivos!I1625+InsumosCultivos!I1631</f>
        <v>0</v>
      </c>
      <c r="D131" s="4832">
        <f>+InsumosCultivos!J1625+InsumosCultivos!J1631</f>
        <v>0</v>
      </c>
      <c r="E131" s="4832">
        <f>+InsumosCultivos!K1625+InsumosCultivos!K1631</f>
        <v>0</v>
      </c>
      <c r="F131" s="4832">
        <f>+InsumosCultivos!L1625+InsumosCultivos!L1631</f>
        <v>0</v>
      </c>
      <c r="G131" s="4832">
        <f>+InsumosCultivos!M1625+InsumosCultivos!M1631</f>
        <v>0</v>
      </c>
      <c r="H131" s="4832">
        <f>+InsumosCultivos!N1625+InsumosCultivos!N1631</f>
        <v>0</v>
      </c>
      <c r="I131" s="4832">
        <f>+InsumosCultivos!O1625+InsumosCultivos!O1631</f>
        <v>0</v>
      </c>
      <c r="J131" s="4832">
        <f>+InsumosCultivos!P1625+InsumosCultivos!P1631</f>
        <v>0</v>
      </c>
      <c r="K131" s="4832">
        <f>+InsumosCultivos!Q1625+InsumosCultivos!Q1631</f>
        <v>0</v>
      </c>
      <c r="L131" s="4832">
        <f>+InsumosCultivos!R1625+InsumosCultivos!R1631</f>
        <v>0</v>
      </c>
      <c r="M131" s="4832">
        <f>+InsumosCultivos!S1625+InsumosCultivos!S1631</f>
        <v>0</v>
      </c>
      <c r="N131" s="4832">
        <f>+InsumosCultivos!T1625+InsumosCultivos!T1631</f>
        <v>0</v>
      </c>
      <c r="O131" s="4846">
        <f>+SUM(C131:N131)</f>
        <v>0</v>
      </c>
      <c r="P131" s="3452"/>
    </row>
    <row r="132" spans="2:19" s="3440" customFormat="1" hidden="1" x14ac:dyDescent="0.3">
      <c r="B132" s="4847" t="s">
        <v>718</v>
      </c>
      <c r="C132" s="4832">
        <f>+InsumosCultivos!I1626+InsumosCultivos!I1632</f>
        <v>0</v>
      </c>
      <c r="D132" s="4832">
        <f>+InsumosCultivos!J1626+InsumosCultivos!J1632</f>
        <v>0</v>
      </c>
      <c r="E132" s="4832">
        <f>+InsumosCultivos!K1626+InsumosCultivos!K1632</f>
        <v>0</v>
      </c>
      <c r="F132" s="4832">
        <f>+InsumosCultivos!L1626+InsumosCultivos!L1632</f>
        <v>0</v>
      </c>
      <c r="G132" s="4832">
        <f>+InsumosCultivos!M1626+InsumosCultivos!M1632</f>
        <v>0</v>
      </c>
      <c r="H132" s="4832">
        <f>+InsumosCultivos!N1626+InsumosCultivos!N1632</f>
        <v>0</v>
      </c>
      <c r="I132" s="4832">
        <f>+InsumosCultivos!O1626+InsumosCultivos!O1632</f>
        <v>0</v>
      </c>
      <c r="J132" s="4832">
        <f>+InsumosCultivos!P1626+InsumosCultivos!P1632</f>
        <v>0</v>
      </c>
      <c r="K132" s="4832">
        <f>+InsumosCultivos!Q1626+InsumosCultivos!Q1632</f>
        <v>0</v>
      </c>
      <c r="L132" s="4832">
        <f>+InsumosCultivos!R1626+InsumosCultivos!R1632</f>
        <v>0</v>
      </c>
      <c r="M132" s="4832">
        <f>+InsumosCultivos!S1626+InsumosCultivos!S1632</f>
        <v>0</v>
      </c>
      <c r="N132" s="4832">
        <f>+InsumosCultivos!T1626+InsumosCultivos!T1632</f>
        <v>0</v>
      </c>
      <c r="O132" s="4848">
        <f>+SUM(C132:N132)</f>
        <v>0</v>
      </c>
      <c r="P132" s="3452"/>
    </row>
    <row r="133" spans="2:19" s="3440" customFormat="1" ht="15.05" hidden="1" thickBot="1" x14ac:dyDescent="0.35">
      <c r="B133" s="4849" t="s">
        <v>63</v>
      </c>
      <c r="C133" s="4850">
        <f>+C130-C131-C132</f>
        <v>0</v>
      </c>
      <c r="D133" s="4851">
        <f t="shared" ref="D133:N133" si="27">+D130-D131-D132</f>
        <v>0</v>
      </c>
      <c r="E133" s="4851">
        <f t="shared" si="27"/>
        <v>0</v>
      </c>
      <c r="F133" s="4851">
        <f t="shared" si="27"/>
        <v>0</v>
      </c>
      <c r="G133" s="4851">
        <f t="shared" si="27"/>
        <v>0</v>
      </c>
      <c r="H133" s="4851">
        <f t="shared" si="27"/>
        <v>0</v>
      </c>
      <c r="I133" s="4851">
        <f t="shared" si="27"/>
        <v>0</v>
      </c>
      <c r="J133" s="4851">
        <f t="shared" si="27"/>
        <v>0</v>
      </c>
      <c r="K133" s="4851">
        <f t="shared" si="27"/>
        <v>0</v>
      </c>
      <c r="L133" s="4851">
        <f t="shared" si="27"/>
        <v>0</v>
      </c>
      <c r="M133" s="4851">
        <f t="shared" si="27"/>
        <v>0</v>
      </c>
      <c r="N133" s="4851">
        <f t="shared" si="27"/>
        <v>0</v>
      </c>
      <c r="O133" s="4852">
        <f>+SUM(C133:N133)</f>
        <v>0</v>
      </c>
      <c r="P133" s="3452"/>
    </row>
    <row r="134" spans="2:19" ht="15.75" hidden="1" thickTop="1" thickBot="1" x14ac:dyDescent="0.35">
      <c r="B134" s="4801" t="s">
        <v>728</v>
      </c>
      <c r="C134" s="4802">
        <f>+Egresos!D135</f>
        <v>0</v>
      </c>
      <c r="D134" s="4802">
        <f>+Egresos!E135</f>
        <v>0</v>
      </c>
      <c r="E134" s="4802">
        <f>+Egresos!F135</f>
        <v>0</v>
      </c>
      <c r="F134" s="4802">
        <f>+Egresos!G135</f>
        <v>0</v>
      </c>
      <c r="G134" s="4802">
        <f>+Egresos!H135</f>
        <v>0</v>
      </c>
      <c r="H134" s="4802">
        <f>+Egresos!I135</f>
        <v>0</v>
      </c>
      <c r="I134" s="4802">
        <f>+Egresos!J135</f>
        <v>0</v>
      </c>
      <c r="J134" s="4802">
        <f>+Egresos!K135</f>
        <v>0</v>
      </c>
      <c r="K134" s="4802">
        <f>+Egresos!L135</f>
        <v>0</v>
      </c>
      <c r="L134" s="4802">
        <f>+Egresos!M135</f>
        <v>0</v>
      </c>
      <c r="M134" s="4802">
        <f>+Egresos!N135</f>
        <v>0</v>
      </c>
      <c r="N134" s="4802">
        <f>+Egresos!O135</f>
        <v>0</v>
      </c>
      <c r="O134" s="4803">
        <f>+SUM(C134:N134)</f>
        <v>0</v>
      </c>
      <c r="P134" s="3437"/>
      <c r="Q134" s="3437"/>
      <c r="S134" s="3437"/>
    </row>
    <row r="135" spans="2:19" ht="15.75" hidden="1" thickTop="1" thickBot="1" x14ac:dyDescent="0.35">
      <c r="B135" s="4801" t="s">
        <v>737</v>
      </c>
      <c r="C135" s="4802">
        <f>+Egresos!D137</f>
        <v>0</v>
      </c>
      <c r="D135" s="4802">
        <f>+Egresos!E137</f>
        <v>0</v>
      </c>
      <c r="E135" s="4802">
        <f>+Egresos!F137</f>
        <v>0</v>
      </c>
      <c r="F135" s="4802">
        <f>+Egresos!G137</f>
        <v>0</v>
      </c>
      <c r="G135" s="4802">
        <f>+Egresos!H137</f>
        <v>0</v>
      </c>
      <c r="H135" s="4802">
        <f>+Egresos!I137</f>
        <v>0</v>
      </c>
      <c r="I135" s="4802">
        <f>+Egresos!J137</f>
        <v>0</v>
      </c>
      <c r="J135" s="4802">
        <f>+Egresos!K137</f>
        <v>0</v>
      </c>
      <c r="K135" s="4802">
        <f>+Egresos!L137</f>
        <v>0</v>
      </c>
      <c r="L135" s="4802">
        <f>+Egresos!M137</f>
        <v>0</v>
      </c>
      <c r="M135" s="4802">
        <f>+Egresos!N137</f>
        <v>0</v>
      </c>
      <c r="N135" s="4802">
        <f>+Egresos!O137</f>
        <v>0</v>
      </c>
      <c r="O135" s="4803">
        <f>+SUM(C135:N135)</f>
        <v>0</v>
      </c>
      <c r="P135" s="3437"/>
      <c r="Q135" s="3437"/>
      <c r="S135" s="3437"/>
    </row>
    <row r="136" spans="2:19" ht="15.05" hidden="1" thickTop="1" x14ac:dyDescent="0.3">
      <c r="B136" s="4801" t="s">
        <v>449</v>
      </c>
      <c r="C136" s="4802">
        <f>+Egresos!D145</f>
        <v>0</v>
      </c>
      <c r="D136" s="4802">
        <f>+Egresos!E145</f>
        <v>0</v>
      </c>
      <c r="E136" s="4802">
        <f>+Egresos!F145</f>
        <v>0</v>
      </c>
      <c r="F136" s="4802">
        <f>+Egresos!G145</f>
        <v>0</v>
      </c>
      <c r="G136" s="4802">
        <f>+Egresos!H145</f>
        <v>0</v>
      </c>
      <c r="H136" s="4802">
        <f>+Egresos!I145</f>
        <v>0</v>
      </c>
      <c r="I136" s="4802">
        <f>+Egresos!J145</f>
        <v>0</v>
      </c>
      <c r="J136" s="4802">
        <f>+Egresos!K145</f>
        <v>0</v>
      </c>
      <c r="K136" s="4802">
        <f>+Egresos!L145</f>
        <v>0</v>
      </c>
      <c r="L136" s="4802">
        <f>+Egresos!M145</f>
        <v>0</v>
      </c>
      <c r="M136" s="4802">
        <f>+Egresos!N145</f>
        <v>0</v>
      </c>
      <c r="N136" s="4802">
        <f>+Egresos!O145</f>
        <v>0</v>
      </c>
      <c r="O136" s="4803"/>
      <c r="P136" s="3437"/>
      <c r="Q136" s="3437"/>
      <c r="S136" s="3437"/>
    </row>
    <row r="137" spans="2:19" s="3440" customFormat="1" hidden="1" x14ac:dyDescent="0.3">
      <c r="B137" s="4796" t="s">
        <v>691</v>
      </c>
      <c r="C137" s="4832" t="e">
        <f>+C136*$L$8</f>
        <v>#N/A</v>
      </c>
      <c r="D137" s="3490" t="e">
        <f t="shared" ref="D137:N137" si="28">+D136*$L$8</f>
        <v>#N/A</v>
      </c>
      <c r="E137" s="3490" t="e">
        <f t="shared" si="28"/>
        <v>#N/A</v>
      </c>
      <c r="F137" s="3490" t="e">
        <f t="shared" si="28"/>
        <v>#N/A</v>
      </c>
      <c r="G137" s="3490" t="e">
        <f t="shared" si="28"/>
        <v>#N/A</v>
      </c>
      <c r="H137" s="3490" t="e">
        <f t="shared" si="28"/>
        <v>#N/A</v>
      </c>
      <c r="I137" s="3490" t="e">
        <f t="shared" si="28"/>
        <v>#N/A</v>
      </c>
      <c r="J137" s="3490" t="e">
        <f t="shared" si="28"/>
        <v>#N/A</v>
      </c>
      <c r="K137" s="3490" t="e">
        <f t="shared" si="28"/>
        <v>#N/A</v>
      </c>
      <c r="L137" s="3490" t="e">
        <f t="shared" si="28"/>
        <v>#N/A</v>
      </c>
      <c r="M137" s="3490" t="e">
        <f t="shared" si="28"/>
        <v>#N/A</v>
      </c>
      <c r="N137" s="3490" t="e">
        <f t="shared" si="28"/>
        <v>#N/A</v>
      </c>
      <c r="O137" s="4846" t="e">
        <f>+SUM(C137:N137)</f>
        <v>#N/A</v>
      </c>
      <c r="P137" s="3452"/>
    </row>
    <row r="138" spans="2:19" s="3440" customFormat="1" hidden="1" x14ac:dyDescent="0.3">
      <c r="B138" s="4847" t="s">
        <v>718</v>
      </c>
      <c r="C138" s="4832" t="e">
        <f t="shared" ref="C138:N138" si="29">+C136*$M$8</f>
        <v>#N/A</v>
      </c>
      <c r="D138" s="3490" t="e">
        <f t="shared" si="29"/>
        <v>#N/A</v>
      </c>
      <c r="E138" s="3490" t="e">
        <f t="shared" si="29"/>
        <v>#N/A</v>
      </c>
      <c r="F138" s="3490" t="e">
        <f t="shared" si="29"/>
        <v>#N/A</v>
      </c>
      <c r="G138" s="3490" t="e">
        <f t="shared" si="29"/>
        <v>#N/A</v>
      </c>
      <c r="H138" s="3490" t="e">
        <f t="shared" si="29"/>
        <v>#N/A</v>
      </c>
      <c r="I138" s="3490" t="e">
        <f t="shared" si="29"/>
        <v>#N/A</v>
      </c>
      <c r="J138" s="3490" t="e">
        <f t="shared" si="29"/>
        <v>#N/A</v>
      </c>
      <c r="K138" s="3490" t="e">
        <f t="shared" si="29"/>
        <v>#N/A</v>
      </c>
      <c r="L138" s="3490" t="e">
        <f t="shared" si="29"/>
        <v>#N/A</v>
      </c>
      <c r="M138" s="3490" t="e">
        <f t="shared" si="29"/>
        <v>#N/A</v>
      </c>
      <c r="N138" s="3490" t="e">
        <f t="shared" si="29"/>
        <v>#N/A</v>
      </c>
      <c r="O138" s="4846" t="e">
        <f>+SUM(C138:N138)</f>
        <v>#N/A</v>
      </c>
      <c r="P138" s="3452"/>
    </row>
    <row r="139" spans="2:19" s="3440" customFormat="1" ht="15.05" hidden="1" thickBot="1" x14ac:dyDescent="0.35">
      <c r="B139" s="4853" t="s">
        <v>719</v>
      </c>
      <c r="C139" s="4854" t="e">
        <f>+C136-C137-C138</f>
        <v>#N/A</v>
      </c>
      <c r="D139" s="4509" t="e">
        <f t="shared" ref="D139:N139" si="30">+D136-D137-D138</f>
        <v>#N/A</v>
      </c>
      <c r="E139" s="4509" t="e">
        <f t="shared" si="30"/>
        <v>#N/A</v>
      </c>
      <c r="F139" s="4509" t="e">
        <f t="shared" si="30"/>
        <v>#N/A</v>
      </c>
      <c r="G139" s="4509" t="e">
        <f t="shared" si="30"/>
        <v>#N/A</v>
      </c>
      <c r="H139" s="4509" t="e">
        <f t="shared" si="30"/>
        <v>#N/A</v>
      </c>
      <c r="I139" s="4509" t="e">
        <f t="shared" si="30"/>
        <v>#N/A</v>
      </c>
      <c r="J139" s="4509" t="e">
        <f t="shared" si="30"/>
        <v>#N/A</v>
      </c>
      <c r="K139" s="4509" t="e">
        <f t="shared" si="30"/>
        <v>#N/A</v>
      </c>
      <c r="L139" s="4509" t="e">
        <f t="shared" si="30"/>
        <v>#N/A</v>
      </c>
      <c r="M139" s="4509" t="e">
        <f t="shared" si="30"/>
        <v>#N/A</v>
      </c>
      <c r="N139" s="4509" t="e">
        <f t="shared" si="30"/>
        <v>#N/A</v>
      </c>
      <c r="O139" s="4855" t="e">
        <f>+SUM(C139:N139)</f>
        <v>#N/A</v>
      </c>
      <c r="P139" s="3452"/>
    </row>
    <row r="140" spans="2:19" ht="15.75" hidden="1" thickTop="1" thickBot="1" x14ac:dyDescent="0.35">
      <c r="B140" s="4801" t="s">
        <v>730</v>
      </c>
      <c r="C140" s="4802">
        <f>+Egresos!D148+Egresos!D149+Egresos!D150</f>
        <v>0</v>
      </c>
      <c r="D140" s="4802">
        <f>+Egresos!E148+Egresos!E149+Egresos!E150</f>
        <v>0</v>
      </c>
      <c r="E140" s="4802">
        <f>+Egresos!F148+Egresos!F149+Egresos!F150</f>
        <v>0</v>
      </c>
      <c r="F140" s="4802">
        <f>+Egresos!G148+Egresos!G149+Egresos!G150</f>
        <v>0</v>
      </c>
      <c r="G140" s="4802">
        <f>+Egresos!H148+Egresos!H149+Egresos!H150</f>
        <v>0</v>
      </c>
      <c r="H140" s="4802">
        <f>+Egresos!I148+Egresos!I149+Egresos!I150</f>
        <v>0</v>
      </c>
      <c r="I140" s="4802">
        <f>+Egresos!J148+Egresos!J149+Egresos!J150</f>
        <v>0</v>
      </c>
      <c r="J140" s="4802">
        <f>+Egresos!K148+Egresos!K149+Egresos!K150</f>
        <v>0</v>
      </c>
      <c r="K140" s="4802">
        <f>+Egresos!L148+Egresos!L149+Egresos!L150</f>
        <v>0</v>
      </c>
      <c r="L140" s="4802">
        <f>+Egresos!M148+Egresos!M149+Egresos!M150</f>
        <v>0</v>
      </c>
      <c r="M140" s="4802">
        <f>+Egresos!N148+Egresos!N149+Egresos!N150</f>
        <v>0</v>
      </c>
      <c r="N140" s="4802">
        <f>+Egresos!O148+Egresos!O149+Egresos!O150</f>
        <v>0</v>
      </c>
      <c r="O140" s="4803">
        <f>+SUM(C140:N140)</f>
        <v>0</v>
      </c>
      <c r="P140" s="3437"/>
      <c r="Q140" s="3437"/>
      <c r="S140" s="3437"/>
    </row>
    <row r="141" spans="2:19" ht="15.05" hidden="1" thickBot="1" x14ac:dyDescent="0.35">
      <c r="B141" s="4494" t="s">
        <v>674</v>
      </c>
      <c r="C141" s="4856" t="e">
        <f t="shared" ref="C141:O141" si="31">SUM(C79:C140)</f>
        <v>#N/A</v>
      </c>
      <c r="D141" s="4636" t="e">
        <f t="shared" si="31"/>
        <v>#N/A</v>
      </c>
      <c r="E141" s="4636" t="e">
        <f t="shared" si="31"/>
        <v>#N/A</v>
      </c>
      <c r="F141" s="4636" t="e">
        <f t="shared" si="31"/>
        <v>#N/A</v>
      </c>
      <c r="G141" s="4636" t="e">
        <f t="shared" si="31"/>
        <v>#N/A</v>
      </c>
      <c r="H141" s="4636" t="e">
        <f t="shared" si="31"/>
        <v>#N/A</v>
      </c>
      <c r="I141" s="4636" t="e">
        <f t="shared" si="31"/>
        <v>#N/A</v>
      </c>
      <c r="J141" s="4636" t="e">
        <f t="shared" si="31"/>
        <v>#N/A</v>
      </c>
      <c r="K141" s="4636" t="e">
        <f t="shared" si="31"/>
        <v>#N/A</v>
      </c>
      <c r="L141" s="4636" t="e">
        <f t="shared" si="31"/>
        <v>#N/A</v>
      </c>
      <c r="M141" s="4636" t="e">
        <f t="shared" si="31"/>
        <v>#N/A</v>
      </c>
      <c r="N141" s="4636" t="e">
        <f t="shared" si="31"/>
        <v>#N/A</v>
      </c>
      <c r="O141" s="4857" t="e">
        <f t="shared" ca="1" si="31"/>
        <v>#N/A</v>
      </c>
      <c r="P141" s="3437"/>
    </row>
    <row r="142" spans="2:19" s="3437" customFormat="1" ht="15.05" hidden="1" thickBot="1" x14ac:dyDescent="0.35">
      <c r="B142" s="3642"/>
      <c r="C142" s="4425"/>
      <c r="D142" s="4425"/>
      <c r="E142" s="4425"/>
      <c r="F142" s="4425"/>
      <c r="G142" s="4425"/>
      <c r="H142" s="4425"/>
      <c r="I142" s="4425"/>
      <c r="J142" s="4425"/>
      <c r="K142" s="4425"/>
      <c r="L142" s="4425"/>
      <c r="M142" s="4425"/>
      <c r="N142" s="4425"/>
      <c r="O142" s="4425"/>
    </row>
    <row r="143" spans="2:19" hidden="1" x14ac:dyDescent="0.3">
      <c r="B143" s="4637" t="s">
        <v>16</v>
      </c>
      <c r="C143" s="4858">
        <f>+Egresos!D159</f>
        <v>0</v>
      </c>
      <c r="D143" s="4859">
        <f>+Egresos!E159</f>
        <v>0</v>
      </c>
      <c r="E143" s="4859">
        <f>+Egresos!F159</f>
        <v>0</v>
      </c>
      <c r="F143" s="4859">
        <f>+Egresos!G159</f>
        <v>0</v>
      </c>
      <c r="G143" s="4859">
        <f>+Egresos!H159</f>
        <v>0</v>
      </c>
      <c r="H143" s="4859">
        <f>+Egresos!I159</f>
        <v>0</v>
      </c>
      <c r="I143" s="4859">
        <f>+Egresos!J159</f>
        <v>0</v>
      </c>
      <c r="J143" s="4859">
        <f>+Egresos!K159</f>
        <v>0</v>
      </c>
      <c r="K143" s="4859">
        <f>+Egresos!L159</f>
        <v>0</v>
      </c>
      <c r="L143" s="4859">
        <f>+Egresos!M159</f>
        <v>0</v>
      </c>
      <c r="M143" s="4859">
        <f>+Egresos!N159</f>
        <v>0</v>
      </c>
      <c r="N143" s="4859">
        <f>+Egresos!O159</f>
        <v>0</v>
      </c>
      <c r="O143" s="4860">
        <f>+Egresos!P159</f>
        <v>0</v>
      </c>
      <c r="P143" s="3437"/>
    </row>
    <row r="144" spans="2:19" hidden="1" x14ac:dyDescent="0.3">
      <c r="B144" s="3723" t="s">
        <v>54</v>
      </c>
      <c r="C144" s="4861">
        <f>+Egresos!D161</f>
        <v>0</v>
      </c>
      <c r="D144" s="4862">
        <f>+Egresos!E161</f>
        <v>0</v>
      </c>
      <c r="E144" s="4862">
        <f>+Egresos!F161</f>
        <v>0</v>
      </c>
      <c r="F144" s="4862">
        <f>+Egresos!G161</f>
        <v>0</v>
      </c>
      <c r="G144" s="4862">
        <f>+Egresos!H161</f>
        <v>0</v>
      </c>
      <c r="H144" s="4862">
        <f>+Egresos!I161</f>
        <v>0</v>
      </c>
      <c r="I144" s="4862">
        <f>+Egresos!J161</f>
        <v>0</v>
      </c>
      <c r="J144" s="4862">
        <f>+Egresos!K161</f>
        <v>0</v>
      </c>
      <c r="K144" s="4862">
        <f>+Egresos!L161</f>
        <v>0</v>
      </c>
      <c r="L144" s="4862">
        <f>+Egresos!M161</f>
        <v>0</v>
      </c>
      <c r="M144" s="4862">
        <f>+Egresos!N161</f>
        <v>0</v>
      </c>
      <c r="N144" s="4862">
        <f>+Egresos!O161</f>
        <v>0</v>
      </c>
      <c r="O144" s="4828">
        <f>+Egresos!P161</f>
        <v>0</v>
      </c>
      <c r="P144" s="3437"/>
    </row>
    <row r="145" spans="1:19" hidden="1" x14ac:dyDescent="0.3">
      <c r="B145" s="3723" t="s">
        <v>223</v>
      </c>
      <c r="C145" s="4861">
        <f>+Egresos!D162</f>
        <v>0</v>
      </c>
      <c r="D145" s="4862">
        <f>+Egresos!E162</f>
        <v>0</v>
      </c>
      <c r="E145" s="4862">
        <f>+Egresos!F162</f>
        <v>0</v>
      </c>
      <c r="F145" s="4862">
        <f>+Egresos!G162</f>
        <v>0</v>
      </c>
      <c r="G145" s="4862">
        <f>+Egresos!H162</f>
        <v>0</v>
      </c>
      <c r="H145" s="4862">
        <f>+Egresos!I162</f>
        <v>0</v>
      </c>
      <c r="I145" s="4862">
        <f>+Egresos!J162</f>
        <v>0</v>
      </c>
      <c r="J145" s="4862">
        <f>+Egresos!K162</f>
        <v>0</v>
      </c>
      <c r="K145" s="4862">
        <f>+Egresos!L162</f>
        <v>0</v>
      </c>
      <c r="L145" s="4862">
        <f>+Egresos!M162</f>
        <v>0</v>
      </c>
      <c r="M145" s="4862">
        <f>+Egresos!N162</f>
        <v>0</v>
      </c>
      <c r="N145" s="4862">
        <f>+Egresos!O162</f>
        <v>0</v>
      </c>
      <c r="O145" s="4828">
        <f>+Egresos!P162</f>
        <v>0</v>
      </c>
      <c r="P145" s="3437"/>
    </row>
    <row r="146" spans="1:19" hidden="1" x14ac:dyDescent="0.3">
      <c r="B146" s="3723" t="s">
        <v>44</v>
      </c>
      <c r="C146" s="4861">
        <f>+Egresos!D163</f>
        <v>0</v>
      </c>
      <c r="D146" s="4862">
        <f>+Egresos!E163</f>
        <v>0</v>
      </c>
      <c r="E146" s="4862">
        <f>+Egresos!F163</f>
        <v>0</v>
      </c>
      <c r="F146" s="4862">
        <f>+Egresos!G163</f>
        <v>0</v>
      </c>
      <c r="G146" s="4862">
        <f>+Egresos!H163</f>
        <v>0</v>
      </c>
      <c r="H146" s="4862">
        <f>+Egresos!I163</f>
        <v>0</v>
      </c>
      <c r="I146" s="4862">
        <f>+Egresos!J163</f>
        <v>0</v>
      </c>
      <c r="J146" s="4862">
        <f>+Egresos!K163</f>
        <v>0</v>
      </c>
      <c r="K146" s="4862">
        <f>+Egresos!L163</f>
        <v>0</v>
      </c>
      <c r="L146" s="4862">
        <f>+Egresos!M163</f>
        <v>0</v>
      </c>
      <c r="M146" s="4862">
        <f>+Egresos!N163</f>
        <v>0</v>
      </c>
      <c r="N146" s="4862">
        <f>+Egresos!O163</f>
        <v>0</v>
      </c>
      <c r="O146" s="4828">
        <f>+Egresos!P163</f>
        <v>0</v>
      </c>
      <c r="P146" s="3437"/>
    </row>
    <row r="147" spans="1:19" hidden="1" x14ac:dyDescent="0.3">
      <c r="B147" s="3723" t="s">
        <v>82</v>
      </c>
      <c r="C147" s="4861">
        <f>+Egresos!D164</f>
        <v>0</v>
      </c>
      <c r="D147" s="4862">
        <f>+Egresos!E164</f>
        <v>0</v>
      </c>
      <c r="E147" s="4862">
        <f>+Egresos!F164</f>
        <v>0</v>
      </c>
      <c r="F147" s="4862">
        <f>+Egresos!G164</f>
        <v>0</v>
      </c>
      <c r="G147" s="4862">
        <f>+Egresos!H164</f>
        <v>0</v>
      </c>
      <c r="H147" s="4862">
        <f>+Egresos!I164</f>
        <v>0</v>
      </c>
      <c r="I147" s="4862">
        <f>+Egresos!J164</f>
        <v>0</v>
      </c>
      <c r="J147" s="4862">
        <f>+Egresos!K164</f>
        <v>0</v>
      </c>
      <c r="K147" s="4862">
        <f>+Egresos!L164</f>
        <v>0</v>
      </c>
      <c r="L147" s="4862">
        <f>+Egresos!M164</f>
        <v>0</v>
      </c>
      <c r="M147" s="4862">
        <f>+Egresos!N164</f>
        <v>0</v>
      </c>
      <c r="N147" s="4862">
        <f>+Egresos!O164</f>
        <v>0</v>
      </c>
      <c r="O147" s="4828">
        <f>+Egresos!P164</f>
        <v>0</v>
      </c>
      <c r="P147" s="3437"/>
    </row>
    <row r="148" spans="1:19" hidden="1" x14ac:dyDescent="0.3">
      <c r="B148" s="3723" t="s">
        <v>113</v>
      </c>
      <c r="C148" s="4861">
        <f>+Egresos!D170</f>
        <v>0</v>
      </c>
      <c r="D148" s="4862">
        <f>+Egresos!E170</f>
        <v>0</v>
      </c>
      <c r="E148" s="4862">
        <f>+Egresos!F170</f>
        <v>0</v>
      </c>
      <c r="F148" s="4862">
        <f>+Egresos!G170</f>
        <v>0</v>
      </c>
      <c r="G148" s="4862">
        <f>+Egresos!H170</f>
        <v>0</v>
      </c>
      <c r="H148" s="4862">
        <f>+Egresos!I170</f>
        <v>0</v>
      </c>
      <c r="I148" s="4862">
        <f>+Egresos!J170</f>
        <v>0</v>
      </c>
      <c r="J148" s="4862">
        <f>+Egresos!K170</f>
        <v>0</v>
      </c>
      <c r="K148" s="4862">
        <f>+Egresos!L170</f>
        <v>0</v>
      </c>
      <c r="L148" s="4862">
        <f>+Egresos!M170</f>
        <v>0</v>
      </c>
      <c r="M148" s="4862">
        <f>+Egresos!N170</f>
        <v>0</v>
      </c>
      <c r="N148" s="4862">
        <f>+Egresos!O170</f>
        <v>0</v>
      </c>
      <c r="O148" s="4828">
        <f>+Egresos!P170</f>
        <v>0</v>
      </c>
      <c r="P148" s="3437"/>
    </row>
    <row r="149" spans="1:19" ht="15.05" hidden="1" thickBot="1" x14ac:dyDescent="0.35">
      <c r="B149" s="3723" t="s">
        <v>439</v>
      </c>
      <c r="C149" s="4861">
        <f>+Egresos!D173+Egresos!D174+Egresos!D175</f>
        <v>0</v>
      </c>
      <c r="D149" s="4862">
        <f>+Egresos!E173+Egresos!E174+Egresos!E175</f>
        <v>0</v>
      </c>
      <c r="E149" s="4862">
        <f>+Egresos!F173+Egresos!F174+Egresos!F175</f>
        <v>0</v>
      </c>
      <c r="F149" s="4862">
        <f>+Egresos!G173+Egresos!G174+Egresos!G175</f>
        <v>0</v>
      </c>
      <c r="G149" s="4862">
        <f>+Egresos!H173+Egresos!H174+Egresos!H175</f>
        <v>0</v>
      </c>
      <c r="H149" s="4862">
        <f>+Egresos!I173+Egresos!I174+Egresos!I175</f>
        <v>0</v>
      </c>
      <c r="I149" s="4862">
        <f>+Egresos!J173+Egresos!J174+Egresos!J175</f>
        <v>0</v>
      </c>
      <c r="J149" s="4862">
        <f>+Egresos!K173+Egresos!K174+Egresos!K175</f>
        <v>0</v>
      </c>
      <c r="K149" s="4862">
        <f>+Egresos!L173+Egresos!L174+Egresos!L175</f>
        <v>0</v>
      </c>
      <c r="L149" s="4862">
        <f>+Egresos!M173+Egresos!M174+Egresos!M175</f>
        <v>0</v>
      </c>
      <c r="M149" s="4862">
        <f>+Egresos!N173+Egresos!N174+Egresos!N175</f>
        <v>0</v>
      </c>
      <c r="N149" s="4862">
        <f>+Egresos!O173+Egresos!O174+Egresos!O175</f>
        <v>0</v>
      </c>
      <c r="O149" s="4828">
        <f>+Egresos!P173+Egresos!P174+Egresos!P175</f>
        <v>0</v>
      </c>
      <c r="P149" s="3437"/>
    </row>
    <row r="150" spans="1:19" ht="15.05" hidden="1" thickTop="1" x14ac:dyDescent="0.3">
      <c r="B150" s="4863" t="s">
        <v>675</v>
      </c>
      <c r="C150" s="4802">
        <f>SUM(C143:C149)</f>
        <v>0</v>
      </c>
      <c r="D150" s="4802">
        <f t="shared" ref="D150:N150" si="32">SUM(D143:D149)</f>
        <v>0</v>
      </c>
      <c r="E150" s="4802">
        <f t="shared" si="32"/>
        <v>0</v>
      </c>
      <c r="F150" s="4802">
        <f t="shared" si="32"/>
        <v>0</v>
      </c>
      <c r="G150" s="4802">
        <f t="shared" si="32"/>
        <v>0</v>
      </c>
      <c r="H150" s="4802">
        <f t="shared" si="32"/>
        <v>0</v>
      </c>
      <c r="I150" s="4802">
        <f t="shared" si="32"/>
        <v>0</v>
      </c>
      <c r="J150" s="4802">
        <f t="shared" si="32"/>
        <v>0</v>
      </c>
      <c r="K150" s="4802">
        <f t="shared" si="32"/>
        <v>0</v>
      </c>
      <c r="L150" s="4802">
        <f t="shared" si="32"/>
        <v>0</v>
      </c>
      <c r="M150" s="4802">
        <f t="shared" si="32"/>
        <v>0</v>
      </c>
      <c r="N150" s="4802">
        <f t="shared" si="32"/>
        <v>0</v>
      </c>
      <c r="O150" s="4864"/>
      <c r="P150" s="3437"/>
      <c r="Q150" s="3437"/>
      <c r="S150" s="3437"/>
    </row>
    <row r="151" spans="1:19" hidden="1" x14ac:dyDescent="0.3">
      <c r="B151" s="3549" t="s">
        <v>691</v>
      </c>
      <c r="C151" s="3724" t="e">
        <f t="shared" ref="C151:N151" si="33">+C150*$L$11</f>
        <v>#N/A</v>
      </c>
      <c r="D151" s="4425" t="e">
        <f t="shared" si="33"/>
        <v>#N/A</v>
      </c>
      <c r="E151" s="4425" t="e">
        <f t="shared" si="33"/>
        <v>#N/A</v>
      </c>
      <c r="F151" s="4425" t="e">
        <f t="shared" si="33"/>
        <v>#N/A</v>
      </c>
      <c r="G151" s="4425" t="e">
        <f t="shared" si="33"/>
        <v>#N/A</v>
      </c>
      <c r="H151" s="4425" t="e">
        <f t="shared" si="33"/>
        <v>#N/A</v>
      </c>
      <c r="I151" s="4425" t="e">
        <f t="shared" si="33"/>
        <v>#N/A</v>
      </c>
      <c r="J151" s="4425" t="e">
        <f t="shared" si="33"/>
        <v>#N/A</v>
      </c>
      <c r="K151" s="4425" t="e">
        <f t="shared" si="33"/>
        <v>#N/A</v>
      </c>
      <c r="L151" s="4425" t="e">
        <f t="shared" si="33"/>
        <v>#N/A</v>
      </c>
      <c r="M151" s="4425" t="e">
        <f t="shared" si="33"/>
        <v>#N/A</v>
      </c>
      <c r="N151" s="4425" t="e">
        <f t="shared" si="33"/>
        <v>#N/A</v>
      </c>
      <c r="O151" s="4828" t="e">
        <f>SUM(C151:N151)</f>
        <v>#N/A</v>
      </c>
      <c r="P151" s="3437"/>
    </row>
    <row r="152" spans="1:19" hidden="1" x14ac:dyDescent="0.3">
      <c r="B152" s="3549" t="s">
        <v>718</v>
      </c>
      <c r="C152" s="3724" t="e">
        <f t="shared" ref="C152:N152" si="34">+C150*$M$11</f>
        <v>#N/A</v>
      </c>
      <c r="D152" s="4425" t="e">
        <f t="shared" si="34"/>
        <v>#N/A</v>
      </c>
      <c r="E152" s="4425" t="e">
        <f t="shared" si="34"/>
        <v>#N/A</v>
      </c>
      <c r="F152" s="4425" t="e">
        <f t="shared" si="34"/>
        <v>#N/A</v>
      </c>
      <c r="G152" s="4425" t="e">
        <f t="shared" si="34"/>
        <v>#N/A</v>
      </c>
      <c r="H152" s="4425" t="e">
        <f t="shared" si="34"/>
        <v>#N/A</v>
      </c>
      <c r="I152" s="4425" t="e">
        <f t="shared" si="34"/>
        <v>#N/A</v>
      </c>
      <c r="J152" s="4425" t="e">
        <f t="shared" si="34"/>
        <v>#N/A</v>
      </c>
      <c r="K152" s="4425" t="e">
        <f t="shared" si="34"/>
        <v>#N/A</v>
      </c>
      <c r="L152" s="4425" t="e">
        <f t="shared" si="34"/>
        <v>#N/A</v>
      </c>
      <c r="M152" s="4425" t="e">
        <f t="shared" si="34"/>
        <v>#N/A</v>
      </c>
      <c r="N152" s="4425" t="e">
        <f t="shared" si="34"/>
        <v>#N/A</v>
      </c>
      <c r="O152" s="4828" t="e">
        <f>SUM(C152:N152)</f>
        <v>#N/A</v>
      </c>
      <c r="P152" s="3437"/>
    </row>
    <row r="153" spans="1:19" ht="15.05" hidden="1" thickBot="1" x14ac:dyDescent="0.35">
      <c r="B153" s="4865" t="s">
        <v>719</v>
      </c>
      <c r="C153" s="3724" t="e">
        <f>+C150-C151-C152</f>
        <v>#N/A</v>
      </c>
      <c r="D153" s="4425" t="e">
        <f t="shared" ref="D153:N153" si="35">+D150-D151-D152</f>
        <v>#N/A</v>
      </c>
      <c r="E153" s="4425" t="e">
        <f t="shared" si="35"/>
        <v>#N/A</v>
      </c>
      <c r="F153" s="4425" t="e">
        <f t="shared" si="35"/>
        <v>#N/A</v>
      </c>
      <c r="G153" s="4425" t="e">
        <f t="shared" si="35"/>
        <v>#N/A</v>
      </c>
      <c r="H153" s="4425" t="e">
        <f t="shared" si="35"/>
        <v>#N/A</v>
      </c>
      <c r="I153" s="4425" t="e">
        <f t="shared" si="35"/>
        <v>#N/A</v>
      </c>
      <c r="J153" s="4425" t="e">
        <f t="shared" si="35"/>
        <v>#N/A</v>
      </c>
      <c r="K153" s="4425" t="e">
        <f t="shared" si="35"/>
        <v>#N/A</v>
      </c>
      <c r="L153" s="4425" t="e">
        <f t="shared" si="35"/>
        <v>#N/A</v>
      </c>
      <c r="M153" s="4425" t="e">
        <f t="shared" si="35"/>
        <v>#N/A</v>
      </c>
      <c r="N153" s="4866" t="e">
        <f t="shared" si="35"/>
        <v>#N/A</v>
      </c>
      <c r="O153" s="4828" t="e">
        <f>SUM(C153:N153)</f>
        <v>#N/A</v>
      </c>
      <c r="P153" s="3437"/>
    </row>
    <row r="154" spans="1:19" ht="15.05" hidden="1" thickTop="1" x14ac:dyDescent="0.3">
      <c r="B154" s="4863" t="s">
        <v>2190</v>
      </c>
      <c r="C154" s="4802" t="e">
        <f>C150+C141</f>
        <v>#N/A</v>
      </c>
      <c r="D154" s="4802" t="e">
        <f t="shared" ref="D154:N154" si="36">D150+D141</f>
        <v>#N/A</v>
      </c>
      <c r="E154" s="4802" t="e">
        <f t="shared" si="36"/>
        <v>#N/A</v>
      </c>
      <c r="F154" s="4802" t="e">
        <f t="shared" si="36"/>
        <v>#N/A</v>
      </c>
      <c r="G154" s="4802" t="e">
        <f t="shared" si="36"/>
        <v>#N/A</v>
      </c>
      <c r="H154" s="4802" t="e">
        <f t="shared" si="36"/>
        <v>#N/A</v>
      </c>
      <c r="I154" s="4802" t="e">
        <f t="shared" si="36"/>
        <v>#N/A</v>
      </c>
      <c r="J154" s="4802" t="e">
        <f t="shared" si="36"/>
        <v>#N/A</v>
      </c>
      <c r="K154" s="4802" t="e">
        <f t="shared" si="36"/>
        <v>#N/A</v>
      </c>
      <c r="L154" s="4802" t="e">
        <f t="shared" si="36"/>
        <v>#N/A</v>
      </c>
      <c r="M154" s="4802" t="e">
        <f t="shared" si="36"/>
        <v>#N/A</v>
      </c>
      <c r="N154" s="4802" t="e">
        <f t="shared" si="36"/>
        <v>#N/A</v>
      </c>
      <c r="O154" s="4864" t="e">
        <f ca="1">+SUM(O141+O151+O152+O153)</f>
        <v>#N/A</v>
      </c>
      <c r="P154" s="3437"/>
      <c r="Q154" s="3437"/>
      <c r="S154" s="3437"/>
    </row>
    <row r="155" spans="1:19" ht="15.05" hidden="1" thickBot="1" x14ac:dyDescent="0.35"/>
    <row r="156" spans="1:19" ht="15.05" hidden="1" thickTop="1" x14ac:dyDescent="0.3">
      <c r="A156" s="3071">
        <v>1168</v>
      </c>
      <c r="B156" s="4801" t="s">
        <v>2189</v>
      </c>
      <c r="C156" s="4802"/>
      <c r="D156" s="4802"/>
      <c r="E156" s="4802"/>
      <c r="F156" s="4802"/>
      <c r="G156" s="4802"/>
      <c r="H156" s="4802"/>
      <c r="I156" s="4802"/>
      <c r="J156" s="4802"/>
      <c r="K156" s="4802"/>
      <c r="L156" s="4802"/>
      <c r="M156" s="4802"/>
      <c r="N156" s="4802"/>
      <c r="O156" s="4803"/>
    </row>
    <row r="157" spans="1:19" s="3440" customFormat="1" hidden="1" x14ac:dyDescent="0.3">
      <c r="B157" s="4867" t="s">
        <v>691</v>
      </c>
      <c r="C157" s="3490"/>
      <c r="D157" s="3490"/>
      <c r="E157" s="3490"/>
      <c r="F157" s="3490"/>
      <c r="G157" s="3490"/>
      <c r="H157" s="4448"/>
      <c r="I157" s="3490"/>
      <c r="J157" s="3490"/>
      <c r="K157" s="3490"/>
      <c r="L157" s="3490"/>
      <c r="M157" s="3490"/>
      <c r="N157" s="3490"/>
      <c r="O157" s="4521"/>
    </row>
    <row r="158" spans="1:19" s="3440" customFormat="1" hidden="1" x14ac:dyDescent="0.3">
      <c r="B158" s="4868" t="s">
        <v>731</v>
      </c>
      <c r="C158" s="3452"/>
      <c r="D158" s="3490"/>
      <c r="E158" s="3490"/>
      <c r="F158" s="3490"/>
      <c r="G158" s="3490"/>
      <c r="H158" s="4448"/>
      <c r="I158" s="3490"/>
      <c r="J158" s="3490"/>
      <c r="K158" s="3490"/>
      <c r="L158" s="3490"/>
      <c r="M158" s="3490"/>
      <c r="N158" s="4869"/>
      <c r="O158" s="4870"/>
    </row>
    <row r="159" spans="1:19" s="3440" customFormat="1" hidden="1" x14ac:dyDescent="0.3">
      <c r="B159" s="4871" t="s">
        <v>447</v>
      </c>
      <c r="C159" s="3490" t="e">
        <f t="shared" ref="C159:N159" ca="1" si="37">+C104</f>
        <v>#N/A</v>
      </c>
      <c r="D159" s="3490" t="e">
        <f t="shared" ca="1" si="37"/>
        <v>#N/A</v>
      </c>
      <c r="E159" s="3490" t="e">
        <f t="shared" ca="1" si="37"/>
        <v>#N/A</v>
      </c>
      <c r="F159" s="3490" t="e">
        <f t="shared" ca="1" si="37"/>
        <v>#N/A</v>
      </c>
      <c r="G159" s="3490" t="e">
        <f t="shared" ca="1" si="37"/>
        <v>#N/A</v>
      </c>
      <c r="H159" s="3490" t="e">
        <f t="shared" ca="1" si="37"/>
        <v>#N/A</v>
      </c>
      <c r="I159" s="3490" t="e">
        <f t="shared" ca="1" si="37"/>
        <v>#N/A</v>
      </c>
      <c r="J159" s="3490" t="e">
        <f t="shared" ca="1" si="37"/>
        <v>#N/A</v>
      </c>
      <c r="K159" s="3490" t="e">
        <f t="shared" ca="1" si="37"/>
        <v>#N/A</v>
      </c>
      <c r="L159" s="3490" t="e">
        <f t="shared" ca="1" si="37"/>
        <v>#N/A</v>
      </c>
      <c r="M159" s="3490" t="e">
        <f t="shared" ca="1" si="37"/>
        <v>#N/A</v>
      </c>
      <c r="N159" s="3490" t="e">
        <f t="shared" ca="1" si="37"/>
        <v>#N/A</v>
      </c>
      <c r="O159" s="4870" t="e">
        <f t="shared" ref="O159:O168" ca="1" si="38">+SUM(C159:N159)</f>
        <v>#N/A</v>
      </c>
    </row>
    <row r="160" spans="1:19" s="3440" customFormat="1" hidden="1" x14ac:dyDescent="0.3">
      <c r="B160" s="4796" t="s">
        <v>138</v>
      </c>
      <c r="C160" s="3452">
        <f t="shared" ref="C160:N160" si="39">+C107</f>
        <v>0</v>
      </c>
      <c r="D160" s="3452">
        <f t="shared" si="39"/>
        <v>0</v>
      </c>
      <c r="E160" s="3452">
        <f t="shared" si="39"/>
        <v>0</v>
      </c>
      <c r="F160" s="3452">
        <f t="shared" si="39"/>
        <v>0</v>
      </c>
      <c r="G160" s="3452">
        <f t="shared" si="39"/>
        <v>0</v>
      </c>
      <c r="H160" s="3452">
        <f t="shared" si="39"/>
        <v>0</v>
      </c>
      <c r="I160" s="3452">
        <f t="shared" si="39"/>
        <v>0</v>
      </c>
      <c r="J160" s="3452">
        <f t="shared" si="39"/>
        <v>0</v>
      </c>
      <c r="K160" s="3452">
        <f t="shared" si="39"/>
        <v>0</v>
      </c>
      <c r="L160" s="3452">
        <f t="shared" si="39"/>
        <v>0</v>
      </c>
      <c r="M160" s="3452">
        <f t="shared" si="39"/>
        <v>0</v>
      </c>
      <c r="N160" s="3851">
        <f t="shared" si="39"/>
        <v>0</v>
      </c>
      <c r="O160" s="4870">
        <f t="shared" si="38"/>
        <v>0</v>
      </c>
    </row>
    <row r="161" spans="2:15" s="3440" customFormat="1" hidden="1" x14ac:dyDescent="0.3">
      <c r="B161" s="4796" t="str">
        <f>+B108</f>
        <v>Sanidad</v>
      </c>
      <c r="C161" s="3452" t="e">
        <f t="shared" ref="C161:N161" si="40">+C109</f>
        <v>#N/A</v>
      </c>
      <c r="D161" s="3452" t="e">
        <f t="shared" si="40"/>
        <v>#N/A</v>
      </c>
      <c r="E161" s="3452" t="e">
        <f t="shared" si="40"/>
        <v>#N/A</v>
      </c>
      <c r="F161" s="3452" t="e">
        <f t="shared" si="40"/>
        <v>#N/A</v>
      </c>
      <c r="G161" s="3452" t="e">
        <f t="shared" si="40"/>
        <v>#N/A</v>
      </c>
      <c r="H161" s="3452" t="e">
        <f t="shared" si="40"/>
        <v>#N/A</v>
      </c>
      <c r="I161" s="3452" t="e">
        <f t="shared" si="40"/>
        <v>#N/A</v>
      </c>
      <c r="J161" s="3452" t="e">
        <f t="shared" si="40"/>
        <v>#N/A</v>
      </c>
      <c r="K161" s="3452" t="e">
        <f t="shared" si="40"/>
        <v>#N/A</v>
      </c>
      <c r="L161" s="3452" t="e">
        <f t="shared" si="40"/>
        <v>#N/A</v>
      </c>
      <c r="M161" s="3452" t="e">
        <f t="shared" si="40"/>
        <v>#N/A</v>
      </c>
      <c r="N161" s="3851" t="e">
        <f t="shared" si="40"/>
        <v>#N/A</v>
      </c>
      <c r="O161" s="4870" t="e">
        <f t="shared" si="38"/>
        <v>#N/A</v>
      </c>
    </row>
    <row r="162" spans="2:15" s="3440" customFormat="1" hidden="1" x14ac:dyDescent="0.3">
      <c r="B162" s="4796" t="s">
        <v>38</v>
      </c>
      <c r="C162" s="3452">
        <f t="shared" ref="C162:N162" si="41">+C111</f>
        <v>0</v>
      </c>
      <c r="D162" s="3452">
        <f t="shared" si="41"/>
        <v>0</v>
      </c>
      <c r="E162" s="3452">
        <f t="shared" si="41"/>
        <v>0</v>
      </c>
      <c r="F162" s="3452">
        <f t="shared" si="41"/>
        <v>0</v>
      </c>
      <c r="G162" s="3452">
        <f t="shared" si="41"/>
        <v>0</v>
      </c>
      <c r="H162" s="3452">
        <f t="shared" si="41"/>
        <v>0</v>
      </c>
      <c r="I162" s="3452">
        <f t="shared" si="41"/>
        <v>0</v>
      </c>
      <c r="J162" s="3452">
        <f t="shared" si="41"/>
        <v>0</v>
      </c>
      <c r="K162" s="3452">
        <f t="shared" si="41"/>
        <v>0</v>
      </c>
      <c r="L162" s="3452">
        <f t="shared" si="41"/>
        <v>0</v>
      </c>
      <c r="M162" s="3452">
        <f t="shared" si="41"/>
        <v>0</v>
      </c>
      <c r="N162" s="3851">
        <f t="shared" si="41"/>
        <v>0</v>
      </c>
      <c r="O162" s="4870">
        <f t="shared" si="38"/>
        <v>0</v>
      </c>
    </row>
    <row r="163" spans="2:15" s="3440" customFormat="1" hidden="1" x14ac:dyDescent="0.3">
      <c r="B163" s="4796" t="s">
        <v>99</v>
      </c>
      <c r="C163" s="3452">
        <f t="shared" ref="C163:N163" si="42">+C112</f>
        <v>0</v>
      </c>
      <c r="D163" s="3452">
        <f t="shared" si="42"/>
        <v>0</v>
      </c>
      <c r="E163" s="3452">
        <f t="shared" si="42"/>
        <v>0</v>
      </c>
      <c r="F163" s="3452">
        <f t="shared" si="42"/>
        <v>0</v>
      </c>
      <c r="G163" s="3452">
        <f t="shared" si="42"/>
        <v>0</v>
      </c>
      <c r="H163" s="3452">
        <f t="shared" si="42"/>
        <v>0</v>
      </c>
      <c r="I163" s="3452">
        <f t="shared" si="42"/>
        <v>0</v>
      </c>
      <c r="J163" s="3452">
        <f t="shared" si="42"/>
        <v>0</v>
      </c>
      <c r="K163" s="3452">
        <f t="shared" si="42"/>
        <v>0</v>
      </c>
      <c r="L163" s="3452">
        <f t="shared" si="42"/>
        <v>0</v>
      </c>
      <c r="M163" s="3452">
        <f t="shared" si="42"/>
        <v>0</v>
      </c>
      <c r="N163" s="3851">
        <f t="shared" si="42"/>
        <v>0</v>
      </c>
      <c r="O163" s="4870">
        <f t="shared" si="38"/>
        <v>0</v>
      </c>
    </row>
    <row r="164" spans="2:15" s="3440" customFormat="1" hidden="1" x14ac:dyDescent="0.3">
      <c r="B164" s="4796" t="str">
        <f>+B113</f>
        <v>Alimentación del ganado</v>
      </c>
      <c r="C164" s="3452" t="e">
        <f t="shared" ref="C164:N164" si="43">+C128</f>
        <v>#N/A</v>
      </c>
      <c r="D164" s="3452" t="e">
        <f t="shared" si="43"/>
        <v>#N/A</v>
      </c>
      <c r="E164" s="3452" t="e">
        <f t="shared" si="43"/>
        <v>#N/A</v>
      </c>
      <c r="F164" s="3452" t="e">
        <f t="shared" si="43"/>
        <v>#N/A</v>
      </c>
      <c r="G164" s="3452" t="e">
        <f t="shared" si="43"/>
        <v>#N/A</v>
      </c>
      <c r="H164" s="3452" t="e">
        <f t="shared" si="43"/>
        <v>#N/A</v>
      </c>
      <c r="I164" s="3452" t="e">
        <f t="shared" si="43"/>
        <v>#N/A</v>
      </c>
      <c r="J164" s="3452" t="e">
        <f t="shared" si="43"/>
        <v>#N/A</v>
      </c>
      <c r="K164" s="3452" t="e">
        <f t="shared" si="43"/>
        <v>#N/A</v>
      </c>
      <c r="L164" s="3452" t="e">
        <f t="shared" si="43"/>
        <v>#N/A</v>
      </c>
      <c r="M164" s="3452" t="e">
        <f t="shared" si="43"/>
        <v>#N/A</v>
      </c>
      <c r="N164" s="3452" t="e">
        <f t="shared" si="43"/>
        <v>#N/A</v>
      </c>
      <c r="O164" s="4870" t="e">
        <f t="shared" si="38"/>
        <v>#N/A</v>
      </c>
    </row>
    <row r="165" spans="2:15" s="3440" customFormat="1" hidden="1" x14ac:dyDescent="0.3">
      <c r="B165" s="4796" t="str">
        <f>+B130</f>
        <v>Pasturas</v>
      </c>
      <c r="C165" s="3452">
        <f t="shared" ref="C165:N165" si="44">+C131</f>
        <v>0</v>
      </c>
      <c r="D165" s="3452">
        <f t="shared" si="44"/>
        <v>0</v>
      </c>
      <c r="E165" s="3452">
        <f t="shared" si="44"/>
        <v>0</v>
      </c>
      <c r="F165" s="3452">
        <f t="shared" si="44"/>
        <v>0</v>
      </c>
      <c r="G165" s="3452">
        <f t="shared" si="44"/>
        <v>0</v>
      </c>
      <c r="H165" s="3452">
        <f t="shared" si="44"/>
        <v>0</v>
      </c>
      <c r="I165" s="3452">
        <f t="shared" si="44"/>
        <v>0</v>
      </c>
      <c r="J165" s="3452">
        <f t="shared" si="44"/>
        <v>0</v>
      </c>
      <c r="K165" s="3452">
        <f t="shared" si="44"/>
        <v>0</v>
      </c>
      <c r="L165" s="3452">
        <f t="shared" si="44"/>
        <v>0</v>
      </c>
      <c r="M165" s="3452">
        <f t="shared" si="44"/>
        <v>0</v>
      </c>
      <c r="N165" s="3851">
        <f t="shared" si="44"/>
        <v>0</v>
      </c>
      <c r="O165" s="4870">
        <f t="shared" si="38"/>
        <v>0</v>
      </c>
    </row>
    <row r="166" spans="2:15" s="3440" customFormat="1" hidden="1" x14ac:dyDescent="0.3">
      <c r="B166" s="4796" t="s">
        <v>448</v>
      </c>
      <c r="C166" s="3452">
        <f t="shared" ref="C166:N166" si="45">+C134</f>
        <v>0</v>
      </c>
      <c r="D166" s="3452">
        <f t="shared" si="45"/>
        <v>0</v>
      </c>
      <c r="E166" s="3452">
        <f t="shared" si="45"/>
        <v>0</v>
      </c>
      <c r="F166" s="3452">
        <f t="shared" si="45"/>
        <v>0</v>
      </c>
      <c r="G166" s="3452">
        <f t="shared" si="45"/>
        <v>0</v>
      </c>
      <c r="H166" s="3452">
        <f t="shared" si="45"/>
        <v>0</v>
      </c>
      <c r="I166" s="3452">
        <f t="shared" si="45"/>
        <v>0</v>
      </c>
      <c r="J166" s="3452">
        <f t="shared" si="45"/>
        <v>0</v>
      </c>
      <c r="K166" s="3452">
        <f t="shared" si="45"/>
        <v>0</v>
      </c>
      <c r="L166" s="3452">
        <f t="shared" si="45"/>
        <v>0</v>
      </c>
      <c r="M166" s="3452">
        <f t="shared" si="45"/>
        <v>0</v>
      </c>
      <c r="N166" s="3851">
        <f t="shared" si="45"/>
        <v>0</v>
      </c>
      <c r="O166" s="4870">
        <f t="shared" si="38"/>
        <v>0</v>
      </c>
    </row>
    <row r="167" spans="2:15" s="3440" customFormat="1" hidden="1" x14ac:dyDescent="0.3">
      <c r="B167" s="4796" t="str">
        <f>+B135</f>
        <v>Varios - Lechería</v>
      </c>
      <c r="C167" s="3452">
        <f t="shared" ref="C167:N167" si="46">+C135</f>
        <v>0</v>
      </c>
      <c r="D167" s="3452">
        <f t="shared" si="46"/>
        <v>0</v>
      </c>
      <c r="E167" s="3452">
        <f t="shared" si="46"/>
        <v>0</v>
      </c>
      <c r="F167" s="3452">
        <f t="shared" si="46"/>
        <v>0</v>
      </c>
      <c r="G167" s="3452">
        <f t="shared" si="46"/>
        <v>0</v>
      </c>
      <c r="H167" s="3452">
        <f t="shared" si="46"/>
        <v>0</v>
      </c>
      <c r="I167" s="3452">
        <f t="shared" si="46"/>
        <v>0</v>
      </c>
      <c r="J167" s="3452">
        <f t="shared" si="46"/>
        <v>0</v>
      </c>
      <c r="K167" s="3452">
        <f t="shared" si="46"/>
        <v>0</v>
      </c>
      <c r="L167" s="3452">
        <f t="shared" si="46"/>
        <v>0</v>
      </c>
      <c r="M167" s="3452">
        <f t="shared" si="46"/>
        <v>0</v>
      </c>
      <c r="N167" s="3851">
        <f t="shared" si="46"/>
        <v>0</v>
      </c>
      <c r="O167" s="4870">
        <f t="shared" si="38"/>
        <v>0</v>
      </c>
    </row>
    <row r="168" spans="2:15" s="3440" customFormat="1" hidden="1" x14ac:dyDescent="0.3">
      <c r="B168" s="4796" t="str">
        <f>+B136</f>
        <v xml:space="preserve">Trabajo </v>
      </c>
      <c r="C168" s="3490" t="e">
        <f t="shared" ref="C168:N168" si="47">+C137</f>
        <v>#N/A</v>
      </c>
      <c r="D168" s="3490" t="e">
        <f t="shared" si="47"/>
        <v>#N/A</v>
      </c>
      <c r="E168" s="3490" t="e">
        <f t="shared" si="47"/>
        <v>#N/A</v>
      </c>
      <c r="F168" s="3490" t="e">
        <f t="shared" si="47"/>
        <v>#N/A</v>
      </c>
      <c r="G168" s="3490" t="e">
        <f t="shared" si="47"/>
        <v>#N/A</v>
      </c>
      <c r="H168" s="3490" t="e">
        <f t="shared" si="47"/>
        <v>#N/A</v>
      </c>
      <c r="I168" s="3490" t="e">
        <f t="shared" si="47"/>
        <v>#N/A</v>
      </c>
      <c r="J168" s="3490" t="e">
        <f t="shared" si="47"/>
        <v>#N/A</v>
      </c>
      <c r="K168" s="3490" t="e">
        <f t="shared" si="47"/>
        <v>#N/A</v>
      </c>
      <c r="L168" s="3490" t="e">
        <f t="shared" si="47"/>
        <v>#N/A</v>
      </c>
      <c r="M168" s="3490" t="e">
        <f t="shared" si="47"/>
        <v>#N/A</v>
      </c>
      <c r="N168" s="4869" t="e">
        <f t="shared" si="47"/>
        <v>#N/A</v>
      </c>
      <c r="O168" s="4870" t="e">
        <f t="shared" si="38"/>
        <v>#N/A</v>
      </c>
    </row>
    <row r="169" spans="2:15" s="3440" customFormat="1" ht="15.05" hidden="1" thickBot="1" x14ac:dyDescent="0.35">
      <c r="B169" s="4872" t="s">
        <v>734</v>
      </c>
      <c r="C169" s="4509" t="e">
        <f ca="1">+SUM(C159:C168)</f>
        <v>#N/A</v>
      </c>
      <c r="D169" s="4509" t="e">
        <f t="shared" ref="D169:N169" ca="1" si="48">+SUM(D159:D168)</f>
        <v>#N/A</v>
      </c>
      <c r="E169" s="4509" t="e">
        <f t="shared" ca="1" si="48"/>
        <v>#N/A</v>
      </c>
      <c r="F169" s="4509" t="e">
        <f t="shared" ca="1" si="48"/>
        <v>#N/A</v>
      </c>
      <c r="G169" s="4509" t="e">
        <f t="shared" ca="1" si="48"/>
        <v>#N/A</v>
      </c>
      <c r="H169" s="4509" t="e">
        <f t="shared" ca="1" si="48"/>
        <v>#N/A</v>
      </c>
      <c r="I169" s="4509" t="e">
        <f t="shared" ca="1" si="48"/>
        <v>#N/A</v>
      </c>
      <c r="J169" s="4509" t="e">
        <f t="shared" ca="1" si="48"/>
        <v>#N/A</v>
      </c>
      <c r="K169" s="4509" t="e">
        <f t="shared" ca="1" si="48"/>
        <v>#N/A</v>
      </c>
      <c r="L169" s="4509" t="e">
        <f t="shared" ca="1" si="48"/>
        <v>#N/A</v>
      </c>
      <c r="M169" s="4509" t="e">
        <f t="shared" ca="1" si="48"/>
        <v>#N/A</v>
      </c>
      <c r="N169" s="4873" t="e">
        <f t="shared" ca="1" si="48"/>
        <v>#N/A</v>
      </c>
      <c r="O169" s="4874" t="e">
        <f ca="1">+SUM(C169:N169)</f>
        <v>#N/A</v>
      </c>
    </row>
    <row r="170" spans="2:15" s="3440" customFormat="1" ht="15.05" hidden="1" thickTop="1" x14ac:dyDescent="0.3">
      <c r="B170" s="4875" t="s">
        <v>718</v>
      </c>
      <c r="C170" s="4505"/>
      <c r="D170" s="4505"/>
      <c r="E170" s="4505"/>
      <c r="F170" s="4505"/>
      <c r="G170" s="4505"/>
      <c r="H170" s="4505"/>
      <c r="I170" s="4505"/>
      <c r="J170" s="4505"/>
      <c r="K170" s="4505"/>
      <c r="L170" s="4505"/>
      <c r="M170" s="4505"/>
      <c r="N170" s="4505"/>
      <c r="O170" s="4876"/>
    </row>
    <row r="171" spans="2:15" s="3440" customFormat="1" hidden="1" x14ac:dyDescent="0.3">
      <c r="B171" s="4877" t="s">
        <v>731</v>
      </c>
      <c r="C171" s="3490"/>
      <c r="D171" s="3490"/>
      <c r="E171" s="3490"/>
      <c r="F171" s="3490"/>
      <c r="G171" s="3490"/>
      <c r="H171" s="3490"/>
      <c r="I171" s="3490"/>
      <c r="J171" s="3490"/>
      <c r="K171" s="3490"/>
      <c r="L171" s="3490"/>
      <c r="M171" s="3490"/>
      <c r="N171" s="3490"/>
      <c r="O171" s="4870"/>
    </row>
    <row r="172" spans="2:15" s="3440" customFormat="1" hidden="1" x14ac:dyDescent="0.3">
      <c r="B172" s="4796" t="s">
        <v>95</v>
      </c>
      <c r="C172" s="3628" t="e">
        <f t="shared" ref="C172:N172" si="49">+C105</f>
        <v>#N/A</v>
      </c>
      <c r="D172" s="3628" t="e">
        <f t="shared" si="49"/>
        <v>#N/A</v>
      </c>
      <c r="E172" s="3628" t="e">
        <f t="shared" si="49"/>
        <v>#N/A</v>
      </c>
      <c r="F172" s="3628" t="e">
        <f t="shared" si="49"/>
        <v>#N/A</v>
      </c>
      <c r="G172" s="3628" t="e">
        <f t="shared" si="49"/>
        <v>#N/A</v>
      </c>
      <c r="H172" s="3628" t="e">
        <f t="shared" si="49"/>
        <v>#N/A</v>
      </c>
      <c r="I172" s="3628" t="e">
        <f t="shared" si="49"/>
        <v>#N/A</v>
      </c>
      <c r="J172" s="3628" t="e">
        <f t="shared" si="49"/>
        <v>#N/A</v>
      </c>
      <c r="K172" s="3628" t="e">
        <f t="shared" si="49"/>
        <v>#N/A</v>
      </c>
      <c r="L172" s="3628" t="e">
        <f t="shared" si="49"/>
        <v>#N/A</v>
      </c>
      <c r="M172" s="3628" t="e">
        <f t="shared" si="49"/>
        <v>#N/A</v>
      </c>
      <c r="N172" s="3628" t="e">
        <f t="shared" si="49"/>
        <v>#N/A</v>
      </c>
      <c r="O172" s="4870" t="e">
        <f t="shared" ref="O172:O177" si="50">+SUM(C172:N172)</f>
        <v>#N/A</v>
      </c>
    </row>
    <row r="173" spans="2:15" s="3440" customFormat="1" hidden="1" x14ac:dyDescent="0.3">
      <c r="B173" s="4796" t="s">
        <v>37</v>
      </c>
      <c r="C173" s="3628" t="e">
        <f t="shared" ref="C173:N173" si="51">+C110</f>
        <v>#N/A</v>
      </c>
      <c r="D173" s="3628" t="e">
        <f t="shared" si="51"/>
        <v>#N/A</v>
      </c>
      <c r="E173" s="3628" t="e">
        <f t="shared" si="51"/>
        <v>#N/A</v>
      </c>
      <c r="F173" s="3628" t="e">
        <f t="shared" si="51"/>
        <v>#N/A</v>
      </c>
      <c r="G173" s="3628" t="e">
        <f t="shared" si="51"/>
        <v>#N/A</v>
      </c>
      <c r="H173" s="3628" t="e">
        <f t="shared" si="51"/>
        <v>#N/A</v>
      </c>
      <c r="I173" s="3628" t="e">
        <f t="shared" si="51"/>
        <v>#N/A</v>
      </c>
      <c r="J173" s="3628" t="e">
        <f t="shared" si="51"/>
        <v>#N/A</v>
      </c>
      <c r="K173" s="3628" t="e">
        <f t="shared" si="51"/>
        <v>#N/A</v>
      </c>
      <c r="L173" s="3628" t="e">
        <f t="shared" si="51"/>
        <v>#N/A</v>
      </c>
      <c r="M173" s="3628" t="e">
        <f t="shared" si="51"/>
        <v>#N/A</v>
      </c>
      <c r="N173" s="3628" t="e">
        <f t="shared" si="51"/>
        <v>#N/A</v>
      </c>
      <c r="O173" s="4870" t="e">
        <f t="shared" si="50"/>
        <v>#N/A</v>
      </c>
    </row>
    <row r="174" spans="2:15" s="3440" customFormat="1" hidden="1" x14ac:dyDescent="0.3">
      <c r="B174" s="4796" t="s">
        <v>69</v>
      </c>
      <c r="C174" s="3628" t="e">
        <f t="shared" ref="C174:N174" si="52">+C129</f>
        <v>#N/A</v>
      </c>
      <c r="D174" s="3628" t="e">
        <f t="shared" si="52"/>
        <v>#N/A</v>
      </c>
      <c r="E174" s="3628" t="e">
        <f t="shared" si="52"/>
        <v>#N/A</v>
      </c>
      <c r="F174" s="3628" t="e">
        <f t="shared" si="52"/>
        <v>#N/A</v>
      </c>
      <c r="G174" s="3628" t="e">
        <f t="shared" si="52"/>
        <v>#N/A</v>
      </c>
      <c r="H174" s="3628" t="e">
        <f t="shared" si="52"/>
        <v>#N/A</v>
      </c>
      <c r="I174" s="3628" t="e">
        <f t="shared" si="52"/>
        <v>#N/A</v>
      </c>
      <c r="J174" s="3628" t="e">
        <f t="shared" si="52"/>
        <v>#N/A</v>
      </c>
      <c r="K174" s="3628" t="e">
        <f t="shared" si="52"/>
        <v>#N/A</v>
      </c>
      <c r="L174" s="3628" t="e">
        <f t="shared" si="52"/>
        <v>#N/A</v>
      </c>
      <c r="M174" s="3628" t="e">
        <f t="shared" si="52"/>
        <v>#N/A</v>
      </c>
      <c r="N174" s="3628" t="e">
        <f t="shared" si="52"/>
        <v>#N/A</v>
      </c>
      <c r="O174" s="4870" t="e">
        <f t="shared" si="50"/>
        <v>#N/A</v>
      </c>
    </row>
    <row r="175" spans="2:15" s="3440" customFormat="1" hidden="1" x14ac:dyDescent="0.3">
      <c r="B175" s="4796" t="str">
        <f>+B130</f>
        <v>Pasturas</v>
      </c>
      <c r="C175" s="3490">
        <f t="shared" ref="C175:N175" si="53">+C132</f>
        <v>0</v>
      </c>
      <c r="D175" s="3490">
        <f t="shared" si="53"/>
        <v>0</v>
      </c>
      <c r="E175" s="3490">
        <f t="shared" si="53"/>
        <v>0</v>
      </c>
      <c r="F175" s="3490">
        <f t="shared" si="53"/>
        <v>0</v>
      </c>
      <c r="G175" s="3490">
        <f t="shared" si="53"/>
        <v>0</v>
      </c>
      <c r="H175" s="3490">
        <f t="shared" si="53"/>
        <v>0</v>
      </c>
      <c r="I175" s="3490">
        <f t="shared" si="53"/>
        <v>0</v>
      </c>
      <c r="J175" s="3490">
        <f t="shared" si="53"/>
        <v>0</v>
      </c>
      <c r="K175" s="3490">
        <f t="shared" si="53"/>
        <v>0</v>
      </c>
      <c r="L175" s="3490">
        <f t="shared" si="53"/>
        <v>0</v>
      </c>
      <c r="M175" s="3490">
        <f t="shared" si="53"/>
        <v>0</v>
      </c>
      <c r="N175" s="3490">
        <f t="shared" si="53"/>
        <v>0</v>
      </c>
      <c r="O175" s="4870">
        <f t="shared" si="50"/>
        <v>0</v>
      </c>
    </row>
    <row r="176" spans="2:15" s="3440" customFormat="1" hidden="1" x14ac:dyDescent="0.3">
      <c r="B176" s="4796" t="str">
        <f>+B136</f>
        <v xml:space="preserve">Trabajo </v>
      </c>
      <c r="C176" s="3490" t="e">
        <f t="shared" ref="C176:N176" si="54">+C138</f>
        <v>#N/A</v>
      </c>
      <c r="D176" s="3490" t="e">
        <f t="shared" si="54"/>
        <v>#N/A</v>
      </c>
      <c r="E176" s="3490" t="e">
        <f t="shared" si="54"/>
        <v>#N/A</v>
      </c>
      <c r="F176" s="3490" t="e">
        <f t="shared" si="54"/>
        <v>#N/A</v>
      </c>
      <c r="G176" s="3490" t="e">
        <f t="shared" si="54"/>
        <v>#N/A</v>
      </c>
      <c r="H176" s="3490" t="e">
        <f t="shared" si="54"/>
        <v>#N/A</v>
      </c>
      <c r="I176" s="3490" t="e">
        <f t="shared" si="54"/>
        <v>#N/A</v>
      </c>
      <c r="J176" s="3490" t="e">
        <f t="shared" si="54"/>
        <v>#N/A</v>
      </c>
      <c r="K176" s="3490" t="e">
        <f t="shared" si="54"/>
        <v>#N/A</v>
      </c>
      <c r="L176" s="3490" t="e">
        <f t="shared" si="54"/>
        <v>#N/A</v>
      </c>
      <c r="M176" s="3490" t="e">
        <f t="shared" si="54"/>
        <v>#N/A</v>
      </c>
      <c r="N176" s="3490" t="e">
        <f t="shared" si="54"/>
        <v>#N/A</v>
      </c>
      <c r="O176" s="4870" t="e">
        <f t="shared" si="50"/>
        <v>#N/A</v>
      </c>
    </row>
    <row r="177" spans="2:15" s="3440" customFormat="1" ht="15.05" hidden="1" thickBot="1" x14ac:dyDescent="0.35">
      <c r="B177" s="4043" t="s">
        <v>738</v>
      </c>
      <c r="C177" s="4509" t="e">
        <f t="shared" ref="C177:N177" si="55">+SUM(C172:C176)</f>
        <v>#N/A</v>
      </c>
      <c r="D177" s="4509" t="e">
        <f t="shared" si="55"/>
        <v>#N/A</v>
      </c>
      <c r="E177" s="4509" t="e">
        <f t="shared" si="55"/>
        <v>#N/A</v>
      </c>
      <c r="F177" s="4509" t="e">
        <f t="shared" si="55"/>
        <v>#N/A</v>
      </c>
      <c r="G177" s="4509" t="e">
        <f t="shared" si="55"/>
        <v>#N/A</v>
      </c>
      <c r="H177" s="4509" t="e">
        <f t="shared" si="55"/>
        <v>#N/A</v>
      </c>
      <c r="I177" s="4509" t="e">
        <f t="shared" si="55"/>
        <v>#N/A</v>
      </c>
      <c r="J177" s="4509" t="e">
        <f t="shared" si="55"/>
        <v>#N/A</v>
      </c>
      <c r="K177" s="4509" t="e">
        <f t="shared" si="55"/>
        <v>#N/A</v>
      </c>
      <c r="L177" s="4509" t="e">
        <f t="shared" si="55"/>
        <v>#N/A</v>
      </c>
      <c r="M177" s="4509" t="e">
        <f t="shared" si="55"/>
        <v>#N/A</v>
      </c>
      <c r="N177" s="4509" t="e">
        <f t="shared" si="55"/>
        <v>#N/A</v>
      </c>
      <c r="O177" s="4874" t="e">
        <f t="shared" si="50"/>
        <v>#N/A</v>
      </c>
    </row>
    <row r="178" spans="2:15" s="3440" customFormat="1" ht="15.05" hidden="1" thickTop="1" x14ac:dyDescent="0.3">
      <c r="B178" s="4875" t="s">
        <v>739</v>
      </c>
      <c r="C178" s="4505"/>
      <c r="D178" s="4505"/>
      <c r="E178" s="4505"/>
      <c r="F178" s="4505"/>
      <c r="G178" s="4505"/>
      <c r="H178" s="4505"/>
      <c r="I178" s="4505"/>
      <c r="J178" s="4505"/>
      <c r="K178" s="4505"/>
      <c r="L178" s="4505"/>
      <c r="M178" s="4505"/>
      <c r="N178" s="4505"/>
      <c r="O178" s="4876"/>
    </row>
    <row r="179" spans="2:15" s="3440" customFormat="1" hidden="1" x14ac:dyDescent="0.3">
      <c r="B179" s="4877" t="s">
        <v>731</v>
      </c>
      <c r="C179" s="3490"/>
      <c r="D179" s="3490"/>
      <c r="E179" s="3490"/>
      <c r="F179" s="3490"/>
      <c r="G179" s="3490"/>
      <c r="H179" s="3490"/>
      <c r="I179" s="3490"/>
      <c r="J179" s="3490"/>
      <c r="K179" s="3490"/>
      <c r="L179" s="3490"/>
      <c r="M179" s="3490"/>
      <c r="N179" s="3490"/>
      <c r="O179" s="4870"/>
    </row>
    <row r="180" spans="2:15" s="3440" customFormat="1" hidden="1" x14ac:dyDescent="0.3">
      <c r="B180" s="4021" t="s">
        <v>447</v>
      </c>
      <c r="C180" s="3490" t="e">
        <f ca="1">+C106</f>
        <v>#N/A</v>
      </c>
      <c r="D180" s="3490" t="e">
        <f t="shared" ref="D180:N180" ca="1" si="56">+D106</f>
        <v>#N/A</v>
      </c>
      <c r="E180" s="3490" t="e">
        <f t="shared" ca="1" si="56"/>
        <v>#N/A</v>
      </c>
      <c r="F180" s="3490" t="e">
        <f t="shared" ca="1" si="56"/>
        <v>#N/A</v>
      </c>
      <c r="G180" s="3490" t="e">
        <f t="shared" ca="1" si="56"/>
        <v>#N/A</v>
      </c>
      <c r="H180" s="3490" t="e">
        <f t="shared" ca="1" si="56"/>
        <v>#N/A</v>
      </c>
      <c r="I180" s="3490" t="e">
        <f t="shared" ca="1" si="56"/>
        <v>#N/A</v>
      </c>
      <c r="J180" s="3490" t="e">
        <f t="shared" ca="1" si="56"/>
        <v>#N/A</v>
      </c>
      <c r="K180" s="3490" t="e">
        <f t="shared" ca="1" si="56"/>
        <v>#N/A</v>
      </c>
      <c r="L180" s="3490" t="e">
        <f t="shared" ca="1" si="56"/>
        <v>#N/A</v>
      </c>
      <c r="M180" s="3490" t="e">
        <f t="shared" ca="1" si="56"/>
        <v>#N/A</v>
      </c>
      <c r="N180" s="3490" t="e">
        <f t="shared" ca="1" si="56"/>
        <v>#N/A</v>
      </c>
      <c r="O180" s="4870" t="e">
        <f ca="1">+SUM(C180:N180)</f>
        <v>#N/A</v>
      </c>
    </row>
    <row r="181" spans="2:15" s="3440" customFormat="1" hidden="1" x14ac:dyDescent="0.3">
      <c r="B181" s="4021" t="str">
        <f t="shared" ref="B181:N181" si="57">+B133</f>
        <v>Cultivos</v>
      </c>
      <c r="C181" s="3452">
        <f t="shared" si="57"/>
        <v>0</v>
      </c>
      <c r="D181" s="3452">
        <f t="shared" si="57"/>
        <v>0</v>
      </c>
      <c r="E181" s="3452">
        <f t="shared" si="57"/>
        <v>0</v>
      </c>
      <c r="F181" s="3452">
        <f t="shared" si="57"/>
        <v>0</v>
      </c>
      <c r="G181" s="3452">
        <f t="shared" si="57"/>
        <v>0</v>
      </c>
      <c r="H181" s="3452">
        <f t="shared" si="57"/>
        <v>0</v>
      </c>
      <c r="I181" s="3452">
        <f t="shared" si="57"/>
        <v>0</v>
      </c>
      <c r="J181" s="3452">
        <f t="shared" si="57"/>
        <v>0</v>
      </c>
      <c r="K181" s="3452">
        <f t="shared" si="57"/>
        <v>0</v>
      </c>
      <c r="L181" s="3452">
        <f t="shared" si="57"/>
        <v>0</v>
      </c>
      <c r="M181" s="3452">
        <f t="shared" si="57"/>
        <v>0</v>
      </c>
      <c r="N181" s="3452">
        <f t="shared" si="57"/>
        <v>0</v>
      </c>
      <c r="O181" s="4870">
        <f>+SUM(C181:N181)</f>
        <v>0</v>
      </c>
    </row>
    <row r="182" spans="2:15" s="3440" customFormat="1" hidden="1" x14ac:dyDescent="0.3">
      <c r="B182" s="4021" t="s">
        <v>449</v>
      </c>
      <c r="C182" s="3452" t="e">
        <f t="shared" ref="C182:N182" si="58">+C139</f>
        <v>#N/A</v>
      </c>
      <c r="D182" s="3452" t="e">
        <f t="shared" si="58"/>
        <v>#N/A</v>
      </c>
      <c r="E182" s="3452" t="e">
        <f t="shared" si="58"/>
        <v>#N/A</v>
      </c>
      <c r="F182" s="3452" t="e">
        <f t="shared" si="58"/>
        <v>#N/A</v>
      </c>
      <c r="G182" s="3452" t="e">
        <f t="shared" si="58"/>
        <v>#N/A</v>
      </c>
      <c r="H182" s="3452" t="e">
        <f t="shared" si="58"/>
        <v>#N/A</v>
      </c>
      <c r="I182" s="3452" t="e">
        <f t="shared" si="58"/>
        <v>#N/A</v>
      </c>
      <c r="J182" s="3452" t="e">
        <f t="shared" si="58"/>
        <v>#N/A</v>
      </c>
      <c r="K182" s="3452" t="e">
        <f t="shared" si="58"/>
        <v>#N/A</v>
      </c>
      <c r="L182" s="3452" t="e">
        <f t="shared" si="58"/>
        <v>#N/A</v>
      </c>
      <c r="M182" s="3452" t="e">
        <f t="shared" si="58"/>
        <v>#N/A</v>
      </c>
      <c r="N182" s="3452" t="e">
        <f t="shared" si="58"/>
        <v>#N/A</v>
      </c>
      <c r="O182" s="4870" t="e">
        <f>+SUM(C182:N182)</f>
        <v>#N/A</v>
      </c>
    </row>
    <row r="183" spans="2:15" s="3440" customFormat="1" ht="15.05" hidden="1" thickBot="1" x14ac:dyDescent="0.35">
      <c r="B183" s="4043" t="s">
        <v>738</v>
      </c>
      <c r="C183" s="4509" t="e">
        <f ca="1">+SUM(C180:C182)</f>
        <v>#N/A</v>
      </c>
      <c r="D183" s="4509" t="e">
        <f t="shared" ref="D183:N183" ca="1" si="59">+SUM(D180:D182)</f>
        <v>#N/A</v>
      </c>
      <c r="E183" s="4509" t="e">
        <f t="shared" ca="1" si="59"/>
        <v>#N/A</v>
      </c>
      <c r="F183" s="4509" t="e">
        <f t="shared" ca="1" si="59"/>
        <v>#N/A</v>
      </c>
      <c r="G183" s="4509" t="e">
        <f t="shared" ca="1" si="59"/>
        <v>#N/A</v>
      </c>
      <c r="H183" s="4509" t="e">
        <f t="shared" ca="1" si="59"/>
        <v>#N/A</v>
      </c>
      <c r="I183" s="4509" t="e">
        <f t="shared" ca="1" si="59"/>
        <v>#N/A</v>
      </c>
      <c r="J183" s="4509" t="e">
        <f t="shared" ca="1" si="59"/>
        <v>#N/A</v>
      </c>
      <c r="K183" s="4509" t="e">
        <f t="shared" ca="1" si="59"/>
        <v>#N/A</v>
      </c>
      <c r="L183" s="4509" t="e">
        <f t="shared" ca="1" si="59"/>
        <v>#N/A</v>
      </c>
      <c r="M183" s="4509" t="e">
        <f t="shared" ca="1" si="59"/>
        <v>#N/A</v>
      </c>
      <c r="N183" s="4509" t="e">
        <f t="shared" ca="1" si="59"/>
        <v>#N/A</v>
      </c>
      <c r="O183" s="4874" t="e">
        <f ca="1">+SUM(C183:N183)</f>
        <v>#N/A</v>
      </c>
    </row>
    <row r="184" spans="2:15" s="3440" customFormat="1" x14ac:dyDescent="0.3">
      <c r="C184" s="4878"/>
      <c r="D184" s="4878"/>
      <c r="E184" s="4878"/>
      <c r="F184" s="4878"/>
      <c r="G184" s="4878"/>
      <c r="H184" s="4878"/>
      <c r="I184" s="4878"/>
      <c r="J184" s="4878"/>
      <c r="K184" s="4878"/>
      <c r="L184" s="4878"/>
      <c r="M184" s="4878"/>
      <c r="N184" s="4878"/>
      <c r="O184" s="4878"/>
    </row>
    <row r="185" spans="2:15" s="3440" customFormat="1" x14ac:dyDescent="0.3">
      <c r="C185" s="4878"/>
      <c r="D185" s="4878"/>
      <c r="E185" s="4878"/>
      <c r="F185" s="4878"/>
      <c r="G185" s="4878"/>
      <c r="H185" s="4878"/>
      <c r="I185" s="4878"/>
      <c r="J185" s="4878"/>
      <c r="K185" s="4878"/>
      <c r="L185" s="4878"/>
      <c r="M185" s="4878"/>
      <c r="N185" s="4878"/>
      <c r="O185" s="4878"/>
    </row>
  </sheetData>
  <sheetProtection algorithmName="SHA-512" hashValue="MFa6MN5qGt4BQ+KJWdbDs14n2jMQLhs5O4jTeSh2UHvZAJ14U28n1YkNbOFt5Ko8bb3tO7qKTFXpFDqwFOVh0A==" saltValue="rUIamwmir3r7w7Y66uCTkA==" spinCount="100000" sheet="1" objects="1" scenarios="1"/>
  <mergeCells count="3">
    <mergeCell ref="C14:E14"/>
    <mergeCell ref="F14:H14"/>
    <mergeCell ref="I14:K14"/>
  </mergeCells>
  <conditionalFormatting sqref="G8:G11">
    <cfRule type="expression" dxfId="50" priority="28837">
      <formula>C8=$B$46</formula>
    </cfRule>
  </conditionalFormatting>
  <conditionalFormatting sqref="H8:H11">
    <cfRule type="expression" dxfId="49" priority="28838">
      <formula>C8=$B$46</formula>
    </cfRule>
  </conditionalFormatting>
  <conditionalFormatting sqref="A15:XFD15">
    <cfRule type="cellIs" dxfId="48" priority="32" operator="equal">
      <formula>0</formula>
    </cfRule>
  </conditionalFormatting>
  <conditionalFormatting sqref="B21:E21">
    <cfRule type="cellIs" dxfId="47" priority="31" operator="equal">
      <formula>0</formula>
    </cfRule>
  </conditionalFormatting>
  <conditionalFormatting sqref="B17:E17">
    <cfRule type="cellIs" dxfId="46" priority="30" operator="equal">
      <formula>0</formula>
    </cfRule>
  </conditionalFormatting>
  <conditionalFormatting sqref="F21:H21">
    <cfRule type="cellIs" dxfId="45" priority="29" operator="equal">
      <formula>0</formula>
    </cfRule>
  </conditionalFormatting>
  <conditionalFormatting sqref="F17:H17">
    <cfRule type="cellIs" dxfId="44" priority="28" operator="equal">
      <formula>0</formula>
    </cfRule>
  </conditionalFormatting>
  <conditionalFormatting sqref="I21:K21">
    <cfRule type="cellIs" dxfId="43" priority="27" operator="equal">
      <formula>0</formula>
    </cfRule>
  </conditionalFormatting>
  <conditionalFormatting sqref="I17:K17">
    <cfRule type="cellIs" dxfId="42" priority="26" operator="equal">
      <formula>0</formula>
    </cfRule>
  </conditionalFormatting>
  <conditionalFormatting sqref="B23">
    <cfRule type="cellIs" dxfId="41" priority="25" operator="equal">
      <formula>0</formula>
    </cfRule>
  </conditionalFormatting>
  <conditionalFormatting sqref="F23:H23">
    <cfRule type="cellIs" dxfId="40" priority="21" operator="equal">
      <formula>0</formula>
    </cfRule>
  </conditionalFormatting>
  <conditionalFormatting sqref="I23:K23">
    <cfRule type="cellIs" dxfId="39" priority="20" operator="equal">
      <formula>0</formula>
    </cfRule>
  </conditionalFormatting>
  <conditionalFormatting sqref="C23:E23">
    <cfRule type="cellIs" dxfId="38" priority="22" operator="equal">
      <formula>0</formula>
    </cfRule>
  </conditionalFormatting>
  <conditionalFormatting sqref="G7">
    <cfRule type="expression" dxfId="37" priority="28840">
      <formula>$C$7=$B$46</formula>
    </cfRule>
  </conditionalFormatting>
  <conditionalFormatting sqref="B34:E34">
    <cfRule type="cellIs" dxfId="36" priority="19" operator="equal">
      <formula>0</formula>
    </cfRule>
  </conditionalFormatting>
  <conditionalFormatting sqref="F34:H34">
    <cfRule type="cellIs" dxfId="35" priority="18" operator="equal">
      <formula>0</formula>
    </cfRule>
  </conditionalFormatting>
  <conditionalFormatting sqref="I34:K34">
    <cfRule type="cellIs" dxfId="34" priority="17" operator="equal">
      <formula>0</formula>
    </cfRule>
  </conditionalFormatting>
  <conditionalFormatting sqref="B36:E36">
    <cfRule type="cellIs" dxfId="33" priority="16" operator="equal">
      <formula>0</formula>
    </cfRule>
  </conditionalFormatting>
  <conditionalFormatting sqref="F36:H36">
    <cfRule type="cellIs" dxfId="32" priority="15" operator="equal">
      <formula>0</formula>
    </cfRule>
  </conditionalFormatting>
  <conditionalFormatting sqref="I36:K36">
    <cfRule type="cellIs" dxfId="31" priority="14" operator="equal">
      <formula>0</formula>
    </cfRule>
  </conditionalFormatting>
  <conditionalFormatting sqref="B40:E40">
    <cfRule type="cellIs" dxfId="30" priority="13" operator="equal">
      <formula>0</formula>
    </cfRule>
  </conditionalFormatting>
  <conditionalFormatting sqref="F40:H40">
    <cfRule type="cellIs" dxfId="29" priority="12" operator="equal">
      <formula>0</formula>
    </cfRule>
  </conditionalFormatting>
  <conditionalFormatting sqref="I40:K40">
    <cfRule type="cellIs" dxfId="28" priority="11" operator="equal">
      <formula>0</formula>
    </cfRule>
  </conditionalFormatting>
  <conditionalFormatting sqref="B38:E38">
    <cfRule type="cellIs" dxfId="27" priority="10" operator="equal">
      <formula>0</formula>
    </cfRule>
  </conditionalFormatting>
  <conditionalFormatting sqref="F38:H38">
    <cfRule type="cellIs" dxfId="26" priority="9" operator="equal">
      <formula>0</formula>
    </cfRule>
  </conditionalFormatting>
  <conditionalFormatting sqref="I38:K38">
    <cfRule type="cellIs" dxfId="25" priority="8" operator="equal">
      <formula>0</formula>
    </cfRule>
  </conditionalFormatting>
  <conditionalFormatting sqref="S13:XFD13">
    <cfRule type="cellIs" dxfId="24" priority="7" operator="equal">
      <formula>0</formula>
    </cfRule>
  </conditionalFormatting>
  <conditionalFormatting sqref="E13:O13 C13">
    <cfRule type="cellIs" dxfId="23" priority="6" operator="equal">
      <formula>0</formula>
    </cfRule>
  </conditionalFormatting>
  <conditionalFormatting sqref="B13">
    <cfRule type="cellIs" dxfId="22" priority="5" operator="equal">
      <formula>0</formula>
    </cfRule>
  </conditionalFormatting>
  <conditionalFormatting sqref="D13">
    <cfRule type="cellIs" dxfId="21" priority="4" operator="equal">
      <formula>0</formula>
    </cfRule>
  </conditionalFormatting>
  <conditionalFormatting sqref="P13:R13">
    <cfRule type="cellIs" dxfId="20" priority="3" operator="equal">
      <formula>0</formula>
    </cfRule>
  </conditionalFormatting>
  <conditionalFormatting sqref="B14">
    <cfRule type="cellIs" dxfId="19" priority="2" operator="equal">
      <formula>0</formula>
    </cfRule>
  </conditionalFormatting>
  <conditionalFormatting sqref="A1">
    <cfRule type="cellIs" dxfId="18" priority="1" operator="equal">
      <formula>0</formula>
    </cfRule>
  </conditionalFormatting>
  <dataValidations count="1">
    <dataValidation type="list" allowBlank="1" showInputMessage="1" showErrorMessage="1" sqref="C7:C11">
      <formula1>$B$46:$B$48</formula1>
    </dataValidation>
  </dataValidations>
  <hyperlinks>
    <hyperlink ref="A1" location="ManualGlobal!B27:D43" display="◄"/>
  </hyperlinks>
  <pageMargins left="0.7" right="0.7" top="0.75" bottom="0.75" header="0.3" footer="0.3"/>
  <pageSetup orientation="portrait" horizontalDpi="0" verticalDpi="0"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M138"/>
  <sheetViews>
    <sheetView showGridLines="0" zoomScaleNormal="100" workbookViewId="0">
      <pane ySplit="5" topLeftCell="A6" activePane="bottomLeft" state="frozen"/>
      <selection activeCell="Q67" sqref="Q67"/>
      <selection pane="bottomLeft" activeCell="H11" sqref="H11"/>
    </sheetView>
  </sheetViews>
  <sheetFormatPr baseColWidth="10" defaultColWidth="11.375" defaultRowHeight="14.4" x14ac:dyDescent="0.3"/>
  <cols>
    <col min="1" max="1" width="3.375" style="3402" bestFit="1" customWidth="1"/>
    <col min="2" max="2" width="26.875" style="3402" customWidth="1"/>
    <col min="3" max="8" width="12.375" style="3402" customWidth="1"/>
    <col min="9" max="10" width="12.375" style="3311" hidden="1" customWidth="1"/>
    <col min="11" max="13" width="12.375" style="3402" customWidth="1"/>
    <col min="14" max="16384" width="11.375" style="3402"/>
  </cols>
  <sheetData>
    <row r="1" spans="1:13" ht="17.7" x14ac:dyDescent="0.3">
      <c r="A1" s="2463" t="s">
        <v>633</v>
      </c>
      <c r="B1" s="4879" t="s">
        <v>1205</v>
      </c>
      <c r="I1" s="4880" t="s">
        <v>1125</v>
      </c>
      <c r="J1" s="4881"/>
    </row>
    <row r="2" spans="1:13" ht="17.7" x14ac:dyDescent="0.3">
      <c r="B2" s="4879"/>
      <c r="G2" s="2478" t="s">
        <v>190</v>
      </c>
      <c r="I2" s="4882"/>
      <c r="K2" s="2478" t="s">
        <v>1206</v>
      </c>
    </row>
    <row r="3" spans="1:13" ht="15.05" thickBot="1" x14ac:dyDescent="0.35"/>
    <row r="4" spans="1:13" x14ac:dyDescent="0.3">
      <c r="A4" s="4883"/>
      <c r="B4" s="4884"/>
      <c r="C4" s="5562" t="s">
        <v>1207</v>
      </c>
      <c r="D4" s="5563"/>
      <c r="E4" s="5564"/>
      <c r="F4" s="5562" t="s">
        <v>1208</v>
      </c>
      <c r="G4" s="5563"/>
      <c r="H4" s="5564"/>
      <c r="I4" s="4885"/>
      <c r="J4" s="4885"/>
      <c r="K4" s="5562" t="s">
        <v>1209</v>
      </c>
      <c r="L4" s="5563"/>
      <c r="M4" s="5564"/>
    </row>
    <row r="5" spans="1:13" s="3311" customFormat="1" ht="15.05" thickBot="1" x14ac:dyDescent="0.35">
      <c r="A5" s="4883"/>
      <c r="B5" s="4886" t="s">
        <v>203</v>
      </c>
      <c r="C5" s="4887" t="s">
        <v>204</v>
      </c>
      <c r="D5" s="4888" t="s">
        <v>205</v>
      </c>
      <c r="E5" s="4889" t="s">
        <v>560</v>
      </c>
      <c r="F5" s="4887" t="s">
        <v>204</v>
      </c>
      <c r="G5" s="4888" t="s">
        <v>205</v>
      </c>
      <c r="H5" s="4889" t="s">
        <v>560</v>
      </c>
      <c r="I5" s="4890" t="s">
        <v>203</v>
      </c>
      <c r="J5" s="4890"/>
      <c r="K5" s="4887" t="s">
        <v>204</v>
      </c>
      <c r="L5" s="4888" t="s">
        <v>205</v>
      </c>
      <c r="M5" s="4889" t="s">
        <v>560</v>
      </c>
    </row>
    <row r="6" spans="1:13" ht="15.05" thickBot="1" x14ac:dyDescent="0.35">
      <c r="A6" s="2487">
        <f>ResFísico!A61+1</f>
        <v>110</v>
      </c>
      <c r="B6" s="4891" t="s">
        <v>1558</v>
      </c>
      <c r="C6" s="4892"/>
      <c r="D6" s="4892"/>
      <c r="E6" s="4892"/>
      <c r="F6" s="4892"/>
      <c r="G6" s="4892"/>
      <c r="H6" s="4892"/>
      <c r="I6" s="4893"/>
      <c r="J6" s="4893"/>
      <c r="K6" s="4892"/>
      <c r="L6" s="4892"/>
      <c r="M6" s="4894"/>
    </row>
    <row r="7" spans="1:13" s="3311" customFormat="1" x14ac:dyDescent="0.3">
      <c r="A7" s="4883"/>
      <c r="B7" s="4884"/>
      <c r="C7" s="5562" t="s">
        <v>1207</v>
      </c>
      <c r="D7" s="5563"/>
      <c r="E7" s="5564"/>
      <c r="F7" s="5562" t="s">
        <v>1208</v>
      </c>
      <c r="G7" s="5563"/>
      <c r="H7" s="5564"/>
      <c r="I7" s="4885"/>
      <c r="J7" s="4885"/>
      <c r="K7" s="5562" t="s">
        <v>1209</v>
      </c>
      <c r="L7" s="5563"/>
      <c r="M7" s="5564"/>
    </row>
    <row r="8" spans="1:13" s="3311" customFormat="1" ht="15.05" thickBot="1" x14ac:dyDescent="0.35">
      <c r="A8" s="4883"/>
      <c r="B8" s="4886" t="s">
        <v>203</v>
      </c>
      <c r="C8" s="4887" t="s">
        <v>204</v>
      </c>
      <c r="D8" s="4888" t="s">
        <v>205</v>
      </c>
      <c r="E8" s="4889" t="s">
        <v>560</v>
      </c>
      <c r="F8" s="4887" t="s">
        <v>204</v>
      </c>
      <c r="G8" s="4888" t="s">
        <v>205</v>
      </c>
      <c r="H8" s="4889" t="s">
        <v>560</v>
      </c>
      <c r="I8" s="4890" t="s">
        <v>203</v>
      </c>
      <c r="J8" s="4890"/>
      <c r="K8" s="4887" t="s">
        <v>204</v>
      </c>
      <c r="L8" s="4888" t="s">
        <v>205</v>
      </c>
      <c r="M8" s="4889" t="s">
        <v>560</v>
      </c>
    </row>
    <row r="9" spans="1:13" s="3311" customFormat="1" ht="15.05" thickBot="1" x14ac:dyDescent="0.35">
      <c r="A9" s="4895"/>
      <c r="B9" s="4896" t="s">
        <v>213</v>
      </c>
      <c r="C9" s="4897">
        <v>32.74</v>
      </c>
      <c r="D9" s="4898">
        <v>10.52</v>
      </c>
      <c r="E9" s="4899">
        <v>1.9375</v>
      </c>
      <c r="F9" s="5468"/>
      <c r="G9" s="5469"/>
      <c r="H9" s="5470"/>
      <c r="I9" s="4900" t="str">
        <f t="shared" ref="I9:I36" si="0">IF(B9=0,"",B9)</f>
        <v>Ensilaje de avena</v>
      </c>
      <c r="J9" s="4901"/>
      <c r="K9" s="4902">
        <f t="shared" ref="K9:K36" si="1">IF(F9&gt;0,F9,C9)</f>
        <v>32.74</v>
      </c>
      <c r="L9" s="4903">
        <f t="shared" ref="L9:L36" si="2">IF(G9&gt;0,G9,D9)</f>
        <v>10.52</v>
      </c>
      <c r="M9" s="4904">
        <f t="shared" ref="M9:M36" si="3">IF(H9&gt;0,H9,E9)</f>
        <v>1.9375</v>
      </c>
    </row>
    <row r="10" spans="1:13" s="3311" customFormat="1" ht="15.05" thickBot="1" x14ac:dyDescent="0.35">
      <c r="A10" s="4895"/>
      <c r="B10" s="4905" t="s">
        <v>1356</v>
      </c>
      <c r="C10" s="4906"/>
      <c r="D10" s="4907"/>
      <c r="E10" s="4908"/>
      <c r="F10" s="5471"/>
      <c r="G10" s="5335"/>
      <c r="H10" s="5472"/>
      <c r="I10" s="4909" t="str">
        <f t="shared" si="0"/>
        <v>Ensilaje de cebada</v>
      </c>
      <c r="J10" s="4910"/>
      <c r="K10" s="4911">
        <f t="shared" si="1"/>
        <v>0</v>
      </c>
      <c r="L10" s="4912">
        <f t="shared" si="2"/>
        <v>0</v>
      </c>
      <c r="M10" s="4913">
        <f t="shared" si="3"/>
        <v>0</v>
      </c>
    </row>
    <row r="11" spans="1:13" s="3311" customFormat="1" ht="15.05" thickBot="1" x14ac:dyDescent="0.35">
      <c r="A11" s="4895"/>
      <c r="B11" s="4905" t="s">
        <v>1611</v>
      </c>
      <c r="C11" s="4906">
        <v>30.82</v>
      </c>
      <c r="D11" s="4907">
        <v>7.81</v>
      </c>
      <c r="E11" s="4908">
        <v>2.33</v>
      </c>
      <c r="F11" s="5471"/>
      <c r="G11" s="5335"/>
      <c r="H11" s="5472"/>
      <c r="I11" s="4909" t="str">
        <f t="shared" si="0"/>
        <v>Ensilaje de Maíz</v>
      </c>
      <c r="J11" s="4910"/>
      <c r="K11" s="4911">
        <f>IF(F11&gt;0,F11,C11)</f>
        <v>30.82</v>
      </c>
      <c r="L11" s="4912">
        <f t="shared" si="2"/>
        <v>7.81</v>
      </c>
      <c r="M11" s="4913">
        <f t="shared" si="3"/>
        <v>2.33</v>
      </c>
    </row>
    <row r="12" spans="1:13" s="3311" customFormat="1" ht="15.05" thickBot="1" x14ac:dyDescent="0.35">
      <c r="A12" s="4895"/>
      <c r="B12" s="4914" t="s">
        <v>1357</v>
      </c>
      <c r="C12" s="4906">
        <v>32.5</v>
      </c>
      <c r="D12" s="4907">
        <v>13.77</v>
      </c>
      <c r="E12" s="4908">
        <v>3.13</v>
      </c>
      <c r="F12" s="5471"/>
      <c r="G12" s="5335"/>
      <c r="H12" s="5472"/>
      <c r="I12" s="4909" t="str">
        <f t="shared" si="0"/>
        <v>Ensilaje de pradera bueno</v>
      </c>
      <c r="J12" s="4910"/>
      <c r="K12" s="4911">
        <f t="shared" si="1"/>
        <v>32.5</v>
      </c>
      <c r="L12" s="4912">
        <f t="shared" si="2"/>
        <v>13.77</v>
      </c>
      <c r="M12" s="4913">
        <f t="shared" si="3"/>
        <v>3.13</v>
      </c>
    </row>
    <row r="13" spans="1:13" s="3311" customFormat="1" ht="15.05" thickBot="1" x14ac:dyDescent="0.35">
      <c r="A13" s="4895"/>
      <c r="B13" s="4914" t="s">
        <v>1358</v>
      </c>
      <c r="C13" s="4906">
        <v>27.8</v>
      </c>
      <c r="D13" s="4907">
        <v>7.9</v>
      </c>
      <c r="E13" s="4908">
        <v>2.09375</v>
      </c>
      <c r="F13" s="5471"/>
      <c r="G13" s="5335"/>
      <c r="H13" s="5472"/>
      <c r="I13" s="4909" t="str">
        <f t="shared" si="0"/>
        <v>Ensilaje de pradera medio</v>
      </c>
      <c r="J13" s="4910"/>
      <c r="K13" s="4911">
        <f t="shared" si="1"/>
        <v>27.8</v>
      </c>
      <c r="L13" s="4912">
        <f t="shared" si="2"/>
        <v>7.9</v>
      </c>
      <c r="M13" s="4913">
        <f t="shared" si="3"/>
        <v>2.09375</v>
      </c>
    </row>
    <row r="14" spans="1:13" s="3311" customFormat="1" ht="15.05" thickBot="1" x14ac:dyDescent="0.35">
      <c r="A14" s="4895"/>
      <c r="B14" s="4905" t="s">
        <v>1365</v>
      </c>
      <c r="C14" s="4906">
        <v>28.5</v>
      </c>
      <c r="D14" s="4907">
        <v>7.3</v>
      </c>
      <c r="E14" s="4908">
        <v>1.92</v>
      </c>
      <c r="F14" s="5471"/>
      <c r="G14" s="5335"/>
      <c r="H14" s="5472"/>
      <c r="I14" s="4909" t="str">
        <f t="shared" si="0"/>
        <v xml:space="preserve">Ensilaje de pradera regular </v>
      </c>
      <c r="J14" s="4910"/>
      <c r="K14" s="4911">
        <f t="shared" si="1"/>
        <v>28.5</v>
      </c>
      <c r="L14" s="4912">
        <f t="shared" si="2"/>
        <v>7.3</v>
      </c>
      <c r="M14" s="4913">
        <f t="shared" si="3"/>
        <v>1.92</v>
      </c>
    </row>
    <row r="15" spans="1:13" s="3311" customFormat="1" ht="15.05" thickBot="1" x14ac:dyDescent="0.35">
      <c r="A15" s="4895"/>
      <c r="B15" s="4905" t="s">
        <v>212</v>
      </c>
      <c r="C15" s="4906">
        <v>37.4</v>
      </c>
      <c r="D15" s="4907">
        <v>7.55</v>
      </c>
      <c r="E15" s="4908">
        <v>2.16</v>
      </c>
      <c r="F15" s="5471"/>
      <c r="G15" s="5335"/>
      <c r="H15" s="5472"/>
      <c r="I15" s="4909" t="str">
        <f t="shared" si="0"/>
        <v>Ensilaje de sorgo</v>
      </c>
      <c r="J15" s="4910"/>
      <c r="K15" s="4911">
        <f t="shared" si="1"/>
        <v>37.4</v>
      </c>
      <c r="L15" s="4912">
        <f t="shared" si="2"/>
        <v>7.55</v>
      </c>
      <c r="M15" s="4913">
        <f t="shared" si="3"/>
        <v>2.16</v>
      </c>
    </row>
    <row r="16" spans="1:13" s="3311" customFormat="1" ht="15.05" thickBot="1" x14ac:dyDescent="0.35">
      <c r="A16" s="4895"/>
      <c r="B16" s="4905" t="s">
        <v>211</v>
      </c>
      <c r="C16" s="4906">
        <v>28</v>
      </c>
      <c r="D16" s="4907">
        <v>9.8000000000000007</v>
      </c>
      <c r="E16" s="4908">
        <v>1.99</v>
      </c>
      <c r="F16" s="5471"/>
      <c r="G16" s="5335"/>
      <c r="H16" s="5472"/>
      <c r="I16" s="4909" t="str">
        <f t="shared" si="0"/>
        <v>Ensilaje de sudangrás</v>
      </c>
      <c r="J16" s="4910"/>
      <c r="K16" s="4911">
        <f t="shared" si="1"/>
        <v>28</v>
      </c>
      <c r="L16" s="4912">
        <f t="shared" si="2"/>
        <v>9.8000000000000007</v>
      </c>
      <c r="M16" s="4913">
        <f t="shared" si="3"/>
        <v>1.99</v>
      </c>
    </row>
    <row r="17" spans="1:13" s="3311" customFormat="1" ht="15.05" thickBot="1" x14ac:dyDescent="0.35">
      <c r="A17" s="4895"/>
      <c r="B17" s="4905" t="s">
        <v>210</v>
      </c>
      <c r="C17" s="4906">
        <v>41.52</v>
      </c>
      <c r="D17" s="4907">
        <v>11.2</v>
      </c>
      <c r="E17" s="4908">
        <v>1.8124999999999998</v>
      </c>
      <c r="F17" s="5471"/>
      <c r="G17" s="5335"/>
      <c r="H17" s="5472"/>
      <c r="I17" s="4909" t="str">
        <f t="shared" si="0"/>
        <v>Ensilaje de trigo</v>
      </c>
      <c r="J17" s="4910"/>
      <c r="K17" s="4911">
        <f t="shared" si="1"/>
        <v>41.52</v>
      </c>
      <c r="L17" s="4912">
        <f t="shared" si="2"/>
        <v>11.2</v>
      </c>
      <c r="M17" s="4913">
        <f t="shared" si="3"/>
        <v>1.8124999999999998</v>
      </c>
    </row>
    <row r="18" spans="1:13" s="3311" customFormat="1" ht="15.05" thickBot="1" x14ac:dyDescent="0.35">
      <c r="A18" s="4895"/>
      <c r="B18" s="4905" t="s">
        <v>206</v>
      </c>
      <c r="C18" s="4906">
        <v>88</v>
      </c>
      <c r="D18" s="4907">
        <v>18.8</v>
      </c>
      <c r="E18" s="4908">
        <v>2.3199999999999998</v>
      </c>
      <c r="F18" s="5471"/>
      <c r="G18" s="5335"/>
      <c r="H18" s="5472"/>
      <c r="I18" s="4909" t="str">
        <f t="shared" si="0"/>
        <v>Heno de alfalfa</v>
      </c>
      <c r="J18" s="4910"/>
      <c r="K18" s="4911">
        <f t="shared" si="1"/>
        <v>88</v>
      </c>
      <c r="L18" s="4912">
        <f t="shared" si="2"/>
        <v>18.8</v>
      </c>
      <c r="M18" s="4913">
        <f t="shared" si="3"/>
        <v>2.3199999999999998</v>
      </c>
    </row>
    <row r="19" spans="1:13" s="3311" customFormat="1" ht="15.05" thickBot="1" x14ac:dyDescent="0.35">
      <c r="A19" s="4895"/>
      <c r="B19" s="4914" t="s">
        <v>209</v>
      </c>
      <c r="C19" s="4906">
        <v>88</v>
      </c>
      <c r="D19" s="4907">
        <v>6.33</v>
      </c>
      <c r="E19" s="4908">
        <v>1.76</v>
      </c>
      <c r="F19" s="5471"/>
      <c r="G19" s="5335"/>
      <c r="H19" s="5472"/>
      <c r="I19" s="4909" t="str">
        <f t="shared" si="0"/>
        <v>Heno de avena</v>
      </c>
      <c r="J19" s="4910"/>
      <c r="K19" s="4911">
        <f t="shared" si="1"/>
        <v>88</v>
      </c>
      <c r="L19" s="4912">
        <f t="shared" si="2"/>
        <v>6.33</v>
      </c>
      <c r="M19" s="4913">
        <f t="shared" si="3"/>
        <v>1.76</v>
      </c>
    </row>
    <row r="20" spans="1:13" s="3311" customFormat="1" ht="15.05" thickBot="1" x14ac:dyDescent="0.35">
      <c r="A20" s="4895"/>
      <c r="B20" s="4914" t="s">
        <v>208</v>
      </c>
      <c r="C20" s="4906">
        <v>88</v>
      </c>
      <c r="D20" s="4907">
        <v>6.33</v>
      </c>
      <c r="E20" s="4908">
        <v>1.76</v>
      </c>
      <c r="F20" s="5471"/>
      <c r="G20" s="5335"/>
      <c r="H20" s="5472"/>
      <c r="I20" s="4909" t="str">
        <f t="shared" si="0"/>
        <v>Heno de festuca</v>
      </c>
      <c r="J20" s="4910"/>
      <c r="K20" s="4911">
        <f t="shared" si="1"/>
        <v>88</v>
      </c>
      <c r="L20" s="4912">
        <f t="shared" si="2"/>
        <v>6.33</v>
      </c>
      <c r="M20" s="4913">
        <f t="shared" si="3"/>
        <v>1.76</v>
      </c>
    </row>
    <row r="21" spans="1:13" s="3311" customFormat="1" ht="15.05" thickBot="1" x14ac:dyDescent="0.35">
      <c r="A21" s="4895"/>
      <c r="B21" s="4914" t="s">
        <v>207</v>
      </c>
      <c r="C21" s="4906">
        <v>88.71</v>
      </c>
      <c r="D21" s="4907">
        <v>5.28</v>
      </c>
      <c r="E21" s="4908">
        <v>1.76</v>
      </c>
      <c r="F21" s="5471"/>
      <c r="G21" s="5335"/>
      <c r="H21" s="5472"/>
      <c r="I21" s="4909" t="str">
        <f t="shared" si="0"/>
        <v>Heno de moha</v>
      </c>
      <c r="J21" s="4910"/>
      <c r="K21" s="4911">
        <f t="shared" si="1"/>
        <v>88.71</v>
      </c>
      <c r="L21" s="4912">
        <f t="shared" si="2"/>
        <v>5.28</v>
      </c>
      <c r="M21" s="4913">
        <f t="shared" si="3"/>
        <v>1.76</v>
      </c>
    </row>
    <row r="22" spans="1:13" s="3311" customFormat="1" ht="15.05" thickBot="1" x14ac:dyDescent="0.35">
      <c r="A22" s="4895"/>
      <c r="B22" s="4905" t="s">
        <v>1609</v>
      </c>
      <c r="C22" s="4906">
        <v>82.5</v>
      </c>
      <c r="D22" s="4907">
        <v>10.130000000000001</v>
      </c>
      <c r="E22" s="4908">
        <v>1.6</v>
      </c>
      <c r="F22" s="5471"/>
      <c r="G22" s="5335"/>
      <c r="H22" s="5472"/>
      <c r="I22" s="4909" t="str">
        <f t="shared" si="0"/>
        <v>Heno de pradera</v>
      </c>
      <c r="J22" s="4910"/>
      <c r="K22" s="4911">
        <f t="shared" si="1"/>
        <v>82.5</v>
      </c>
      <c r="L22" s="4912">
        <f t="shared" si="2"/>
        <v>10.130000000000001</v>
      </c>
      <c r="M22" s="4913">
        <f t="shared" si="3"/>
        <v>1.6</v>
      </c>
    </row>
    <row r="23" spans="1:13" s="3311" customFormat="1" ht="15.05" thickBot="1" x14ac:dyDescent="0.35">
      <c r="A23" s="4895"/>
      <c r="B23" s="4905" t="s">
        <v>1359</v>
      </c>
      <c r="C23" s="4906">
        <v>88.6</v>
      </c>
      <c r="D23" s="4907">
        <v>8.6</v>
      </c>
      <c r="E23" s="4908">
        <v>2.31</v>
      </c>
      <c r="F23" s="5471"/>
      <c r="G23" s="5335"/>
      <c r="H23" s="5472"/>
      <c r="I23" s="4909" t="str">
        <f t="shared" si="0"/>
        <v xml:space="preserve">Heno de raigrás </v>
      </c>
      <c r="J23" s="4910"/>
      <c r="K23" s="4911">
        <f t="shared" si="1"/>
        <v>88.6</v>
      </c>
      <c r="L23" s="4912">
        <f t="shared" si="2"/>
        <v>8.6</v>
      </c>
      <c r="M23" s="4913">
        <f t="shared" si="3"/>
        <v>2.31</v>
      </c>
    </row>
    <row r="24" spans="1:13" s="3311" customFormat="1" ht="15.05" thickBot="1" x14ac:dyDescent="0.35">
      <c r="A24" s="4895"/>
      <c r="B24" s="4905" t="s">
        <v>1422</v>
      </c>
      <c r="C24" s="4906">
        <v>45</v>
      </c>
      <c r="D24" s="4907">
        <v>14</v>
      </c>
      <c r="E24" s="4908">
        <v>2.2000000000000002</v>
      </c>
      <c r="F24" s="5471"/>
      <c r="G24" s="5335"/>
      <c r="H24" s="5472"/>
      <c r="I24" s="4909" t="str">
        <f t="shared" si="0"/>
        <v>Henolaje de Alfalfa</v>
      </c>
      <c r="J24" s="4910"/>
      <c r="K24" s="4911">
        <f t="shared" si="1"/>
        <v>45</v>
      </c>
      <c r="L24" s="4912">
        <f t="shared" si="2"/>
        <v>14</v>
      </c>
      <c r="M24" s="4913">
        <f t="shared" si="3"/>
        <v>2.2000000000000002</v>
      </c>
    </row>
    <row r="25" spans="1:13" s="3311" customFormat="1" ht="15.05" thickBot="1" x14ac:dyDescent="0.35">
      <c r="A25" s="4895"/>
      <c r="B25" s="4905" t="s">
        <v>1421</v>
      </c>
      <c r="C25" s="4906"/>
      <c r="D25" s="4907"/>
      <c r="E25" s="4908"/>
      <c r="F25" s="5471"/>
      <c r="G25" s="5335"/>
      <c r="H25" s="5472"/>
      <c r="I25" s="4909" t="str">
        <f t="shared" si="0"/>
        <v xml:space="preserve">Henolaje de pradera - bueno </v>
      </c>
      <c r="J25" s="4910"/>
      <c r="K25" s="4911">
        <f t="shared" si="1"/>
        <v>0</v>
      </c>
      <c r="L25" s="4912">
        <f t="shared" si="2"/>
        <v>0</v>
      </c>
      <c r="M25" s="4913">
        <f t="shared" si="3"/>
        <v>0</v>
      </c>
    </row>
    <row r="26" spans="1:13" s="3311" customFormat="1" ht="15.05" thickBot="1" x14ac:dyDescent="0.35">
      <c r="A26" s="4895"/>
      <c r="B26" s="4905" t="s">
        <v>1362</v>
      </c>
      <c r="C26" s="4906"/>
      <c r="D26" s="4907"/>
      <c r="E26" s="4908"/>
      <c r="F26" s="5471"/>
      <c r="G26" s="5335"/>
      <c r="H26" s="5472"/>
      <c r="I26" s="4909" t="str">
        <f t="shared" si="0"/>
        <v>Henolaje de pradera medio</v>
      </c>
      <c r="J26" s="4910"/>
      <c r="K26" s="4911">
        <f t="shared" si="1"/>
        <v>0</v>
      </c>
      <c r="L26" s="4912">
        <f t="shared" si="2"/>
        <v>0</v>
      </c>
      <c r="M26" s="4913">
        <f t="shared" si="3"/>
        <v>0</v>
      </c>
    </row>
    <row r="27" spans="1:13" s="3311" customFormat="1" ht="15.05" thickBot="1" x14ac:dyDescent="0.35">
      <c r="A27" s="4895"/>
      <c r="B27" s="4905" t="s">
        <v>1361</v>
      </c>
      <c r="C27" s="4906"/>
      <c r="D27" s="4907"/>
      <c r="E27" s="4908"/>
      <c r="F27" s="5471"/>
      <c r="G27" s="5335"/>
      <c r="H27" s="5472"/>
      <c r="I27" s="4909" t="str">
        <f t="shared" si="0"/>
        <v xml:space="preserve">Henolaje de pradera regular </v>
      </c>
      <c r="J27" s="4910"/>
      <c r="K27" s="4911">
        <f t="shared" si="1"/>
        <v>0</v>
      </c>
      <c r="L27" s="4912">
        <f t="shared" si="2"/>
        <v>0</v>
      </c>
      <c r="M27" s="4913">
        <f t="shared" si="3"/>
        <v>0</v>
      </c>
    </row>
    <row r="28" spans="1:13" s="3311" customFormat="1" ht="15.05" thickBot="1" x14ac:dyDescent="0.35">
      <c r="A28" s="4895"/>
      <c r="B28" s="4905" t="s">
        <v>1360</v>
      </c>
      <c r="C28" s="4906">
        <v>35</v>
      </c>
      <c r="D28" s="4907">
        <v>9.8000000000000007</v>
      </c>
      <c r="E28" s="4908">
        <v>1.921875</v>
      </c>
      <c r="F28" s="5471"/>
      <c r="G28" s="5335"/>
      <c r="H28" s="5472"/>
      <c r="I28" s="4909" t="str">
        <f t="shared" si="0"/>
        <v>Henolaje de soja</v>
      </c>
      <c r="J28" s="4910"/>
      <c r="K28" s="4911">
        <f t="shared" si="1"/>
        <v>35</v>
      </c>
      <c r="L28" s="4912">
        <f t="shared" si="2"/>
        <v>9.8000000000000007</v>
      </c>
      <c r="M28" s="4913">
        <f t="shared" si="3"/>
        <v>1.921875</v>
      </c>
    </row>
    <row r="29" spans="1:13" s="3311" customFormat="1" ht="15.05" thickBot="1" x14ac:dyDescent="0.35">
      <c r="A29" s="4895"/>
      <c r="B29" s="4905" t="s">
        <v>530</v>
      </c>
      <c r="C29" s="4906">
        <v>45</v>
      </c>
      <c r="D29" s="4907">
        <v>12.7</v>
      </c>
      <c r="E29" s="4908">
        <v>1.90625</v>
      </c>
      <c r="F29" s="5471"/>
      <c r="G29" s="5335"/>
      <c r="H29" s="5472"/>
      <c r="I29" s="4909" t="str">
        <f t="shared" si="0"/>
        <v xml:space="preserve">Henolaje de sorgo </v>
      </c>
      <c r="J29" s="4910"/>
      <c r="K29" s="4911">
        <f t="shared" si="1"/>
        <v>45</v>
      </c>
      <c r="L29" s="4912">
        <f t="shared" si="2"/>
        <v>12.7</v>
      </c>
      <c r="M29" s="4913">
        <f t="shared" si="3"/>
        <v>1.90625</v>
      </c>
    </row>
    <row r="30" spans="1:13" s="3311" customFormat="1" ht="15.05" thickBot="1" x14ac:dyDescent="0.35">
      <c r="A30" s="4895"/>
      <c r="B30" s="4905" t="s">
        <v>217</v>
      </c>
      <c r="C30" s="4906">
        <v>89.6</v>
      </c>
      <c r="D30" s="4907">
        <v>4.7</v>
      </c>
      <c r="E30" s="4908">
        <v>1.359375</v>
      </c>
      <c r="F30" s="5471"/>
      <c r="G30" s="5335"/>
      <c r="H30" s="5472"/>
      <c r="I30" s="4909" t="str">
        <f t="shared" si="0"/>
        <v>Paja de arroz</v>
      </c>
      <c r="J30" s="4910"/>
      <c r="K30" s="4911">
        <f t="shared" si="1"/>
        <v>89.6</v>
      </c>
      <c r="L30" s="4912">
        <f t="shared" si="2"/>
        <v>4.7</v>
      </c>
      <c r="M30" s="4913">
        <f t="shared" si="3"/>
        <v>1.359375</v>
      </c>
    </row>
    <row r="31" spans="1:13" s="3311" customFormat="1" ht="15.05" thickBot="1" x14ac:dyDescent="0.35">
      <c r="A31" s="4895"/>
      <c r="B31" s="4905" t="s">
        <v>216</v>
      </c>
      <c r="C31" s="4906">
        <v>85</v>
      </c>
      <c r="D31" s="4907">
        <v>5.0199999999999996</v>
      </c>
      <c r="E31" s="4908">
        <v>1.7343750000000002</v>
      </c>
      <c r="F31" s="5471"/>
      <c r="G31" s="5335"/>
      <c r="H31" s="5472"/>
      <c r="I31" s="4909" t="str">
        <f t="shared" si="0"/>
        <v>Paja de avena</v>
      </c>
      <c r="J31" s="4910"/>
      <c r="K31" s="4911">
        <f t="shared" si="1"/>
        <v>85</v>
      </c>
      <c r="L31" s="4912">
        <f t="shared" si="2"/>
        <v>5.0199999999999996</v>
      </c>
      <c r="M31" s="4913">
        <f t="shared" si="3"/>
        <v>1.7343750000000002</v>
      </c>
    </row>
    <row r="32" spans="1:13" s="3311" customFormat="1" ht="15.05" thickBot="1" x14ac:dyDescent="0.35">
      <c r="A32" s="4895"/>
      <c r="B32" s="4905" t="s">
        <v>215</v>
      </c>
      <c r="C32" s="4906">
        <v>89.7</v>
      </c>
      <c r="D32" s="4907">
        <v>2.7</v>
      </c>
      <c r="E32" s="4908">
        <v>1.203125</v>
      </c>
      <c r="F32" s="5471"/>
      <c r="G32" s="5335"/>
      <c r="H32" s="5472"/>
      <c r="I32" s="4909" t="str">
        <f t="shared" si="0"/>
        <v>Paja de cebada</v>
      </c>
      <c r="J32" s="4910"/>
      <c r="K32" s="4911">
        <f t="shared" si="1"/>
        <v>89.7</v>
      </c>
      <c r="L32" s="4912">
        <f t="shared" si="2"/>
        <v>2.7</v>
      </c>
      <c r="M32" s="4913">
        <f t="shared" si="3"/>
        <v>1.203125</v>
      </c>
    </row>
    <row r="33" spans="1:13" s="3311" customFormat="1" ht="15.05" thickBot="1" x14ac:dyDescent="0.35">
      <c r="A33" s="4895"/>
      <c r="B33" s="4905" t="s">
        <v>218</v>
      </c>
      <c r="C33" s="4906">
        <v>89.1</v>
      </c>
      <c r="D33" s="4907">
        <v>4.4000000000000004</v>
      </c>
      <c r="E33" s="4908">
        <v>1.45</v>
      </c>
      <c r="F33" s="5471"/>
      <c r="G33" s="5335"/>
      <c r="H33" s="5472"/>
      <c r="I33" s="4909" t="str">
        <f t="shared" si="0"/>
        <v>Paja de maíz</v>
      </c>
      <c r="J33" s="4910"/>
      <c r="K33" s="4911">
        <f t="shared" si="1"/>
        <v>89.1</v>
      </c>
      <c r="L33" s="4912">
        <f t="shared" si="2"/>
        <v>4.4000000000000004</v>
      </c>
      <c r="M33" s="4913">
        <f t="shared" si="3"/>
        <v>1.45</v>
      </c>
    </row>
    <row r="34" spans="1:13" s="3311" customFormat="1" ht="15.05" thickBot="1" x14ac:dyDescent="0.35">
      <c r="A34" s="4895"/>
      <c r="B34" s="4905" t="s">
        <v>214</v>
      </c>
      <c r="C34" s="4906">
        <v>89</v>
      </c>
      <c r="D34" s="4907">
        <v>3.5</v>
      </c>
      <c r="E34" s="4908">
        <v>1.48</v>
      </c>
      <c r="F34" s="5471"/>
      <c r="G34" s="5335"/>
      <c r="H34" s="5472"/>
      <c r="I34" s="4909" t="str">
        <f t="shared" si="0"/>
        <v>Paja de trigo</v>
      </c>
      <c r="J34" s="4910"/>
      <c r="K34" s="4911">
        <f t="shared" si="1"/>
        <v>89</v>
      </c>
      <c r="L34" s="4912">
        <f t="shared" si="2"/>
        <v>3.5</v>
      </c>
      <c r="M34" s="4913">
        <f t="shared" si="3"/>
        <v>1.48</v>
      </c>
    </row>
    <row r="35" spans="1:13" s="3311" customFormat="1" ht="15.05" thickBot="1" x14ac:dyDescent="0.35">
      <c r="A35" s="4895"/>
      <c r="B35" s="5473"/>
      <c r="C35" s="4906"/>
      <c r="D35" s="4907"/>
      <c r="E35" s="4908"/>
      <c r="F35" s="5471"/>
      <c r="G35" s="5335"/>
      <c r="H35" s="5472"/>
      <c r="I35" s="4909" t="str">
        <f t="shared" si="0"/>
        <v/>
      </c>
      <c r="J35" s="4910"/>
      <c r="K35" s="4911">
        <f t="shared" si="1"/>
        <v>0</v>
      </c>
      <c r="L35" s="4912">
        <f t="shared" si="2"/>
        <v>0</v>
      </c>
      <c r="M35" s="4913">
        <f t="shared" si="3"/>
        <v>0</v>
      </c>
    </row>
    <row r="36" spans="1:13" s="3311" customFormat="1" ht="15.05" thickBot="1" x14ac:dyDescent="0.35">
      <c r="A36" s="4895"/>
      <c r="B36" s="5474"/>
      <c r="C36" s="4906"/>
      <c r="D36" s="4907"/>
      <c r="E36" s="4908"/>
      <c r="F36" s="5471"/>
      <c r="G36" s="5335"/>
      <c r="H36" s="5472"/>
      <c r="I36" s="4909" t="str">
        <f t="shared" si="0"/>
        <v/>
      </c>
      <c r="J36" s="4910"/>
      <c r="K36" s="4911">
        <f t="shared" si="1"/>
        <v>0</v>
      </c>
      <c r="L36" s="4912">
        <f t="shared" si="2"/>
        <v>0</v>
      </c>
      <c r="M36" s="4913">
        <f t="shared" si="3"/>
        <v>0</v>
      </c>
    </row>
    <row r="37" spans="1:13" s="3311" customFormat="1" ht="15.05" thickBot="1" x14ac:dyDescent="0.35">
      <c r="A37" s="4895"/>
      <c r="B37" s="5474"/>
      <c r="C37" s="4906"/>
      <c r="D37" s="4907"/>
      <c r="E37" s="4908"/>
      <c r="F37" s="5471"/>
      <c r="G37" s="5335"/>
      <c r="H37" s="5472"/>
      <c r="I37" s="4909" t="str">
        <f t="shared" ref="I37:I56" si="4">IF(B37=0,"",B37)</f>
        <v/>
      </c>
      <c r="J37" s="4910"/>
      <c r="K37" s="4911">
        <f t="shared" ref="K37:K56" si="5">IF(F37&gt;0,F37,C37)</f>
        <v>0</v>
      </c>
      <c r="L37" s="4912">
        <f t="shared" ref="L37:L56" si="6">IF(G37&gt;0,G37,D37)</f>
        <v>0</v>
      </c>
      <c r="M37" s="4913">
        <f t="shared" ref="M37:M56" si="7">IF(H37&gt;0,H37,E37)</f>
        <v>0</v>
      </c>
    </row>
    <row r="38" spans="1:13" s="3311" customFormat="1" ht="15.05" thickBot="1" x14ac:dyDescent="0.35">
      <c r="A38" s="4895"/>
      <c r="B38" s="5474"/>
      <c r="C38" s="4906"/>
      <c r="D38" s="4907"/>
      <c r="E38" s="4908"/>
      <c r="F38" s="5471"/>
      <c r="G38" s="5335"/>
      <c r="H38" s="5472"/>
      <c r="I38" s="4909" t="str">
        <f t="shared" si="4"/>
        <v/>
      </c>
      <c r="J38" s="4910"/>
      <c r="K38" s="4911">
        <f t="shared" si="5"/>
        <v>0</v>
      </c>
      <c r="L38" s="4912">
        <f t="shared" si="6"/>
        <v>0</v>
      </c>
      <c r="M38" s="4913">
        <f t="shared" si="7"/>
        <v>0</v>
      </c>
    </row>
    <row r="39" spans="1:13" s="3311" customFormat="1" ht="15.05" thickBot="1" x14ac:dyDescent="0.35">
      <c r="A39" s="4895"/>
      <c r="B39" s="5474"/>
      <c r="C39" s="4906"/>
      <c r="D39" s="4907"/>
      <c r="E39" s="4908"/>
      <c r="F39" s="5471"/>
      <c r="G39" s="5335"/>
      <c r="H39" s="5472"/>
      <c r="I39" s="4909" t="str">
        <f t="shared" si="4"/>
        <v/>
      </c>
      <c r="J39" s="4910"/>
      <c r="K39" s="4911">
        <f t="shared" si="5"/>
        <v>0</v>
      </c>
      <c r="L39" s="4912">
        <f t="shared" si="6"/>
        <v>0</v>
      </c>
      <c r="M39" s="4913">
        <f t="shared" si="7"/>
        <v>0</v>
      </c>
    </row>
    <row r="40" spans="1:13" s="3311" customFormat="1" ht="15.05" thickBot="1" x14ac:dyDescent="0.35">
      <c r="A40" s="4895"/>
      <c r="B40" s="5474"/>
      <c r="C40" s="4906"/>
      <c r="D40" s="4907"/>
      <c r="E40" s="4908"/>
      <c r="F40" s="5471"/>
      <c r="G40" s="5335"/>
      <c r="H40" s="5472"/>
      <c r="I40" s="4909" t="str">
        <f t="shared" si="4"/>
        <v/>
      </c>
      <c r="J40" s="4910"/>
      <c r="K40" s="4911">
        <f t="shared" si="5"/>
        <v>0</v>
      </c>
      <c r="L40" s="4912">
        <f t="shared" si="6"/>
        <v>0</v>
      </c>
      <c r="M40" s="4913">
        <f t="shared" si="7"/>
        <v>0</v>
      </c>
    </row>
    <row r="41" spans="1:13" s="3311" customFormat="1" ht="15.05" thickBot="1" x14ac:dyDescent="0.35">
      <c r="A41" s="4895"/>
      <c r="B41" s="5474"/>
      <c r="C41" s="4906"/>
      <c r="D41" s="4907"/>
      <c r="E41" s="4908"/>
      <c r="F41" s="5471"/>
      <c r="G41" s="5335"/>
      <c r="H41" s="5472"/>
      <c r="I41" s="4909" t="str">
        <f t="shared" si="4"/>
        <v/>
      </c>
      <c r="J41" s="4910"/>
      <c r="K41" s="4911">
        <f t="shared" si="5"/>
        <v>0</v>
      </c>
      <c r="L41" s="4912">
        <f t="shared" si="6"/>
        <v>0</v>
      </c>
      <c r="M41" s="4913">
        <f t="shared" si="7"/>
        <v>0</v>
      </c>
    </row>
    <row r="42" spans="1:13" s="3311" customFormat="1" ht="15.05" thickBot="1" x14ac:dyDescent="0.35">
      <c r="A42" s="4895"/>
      <c r="B42" s="5474"/>
      <c r="C42" s="4906"/>
      <c r="D42" s="4907"/>
      <c r="E42" s="4908"/>
      <c r="F42" s="5471"/>
      <c r="G42" s="5335"/>
      <c r="H42" s="5472"/>
      <c r="I42" s="4909" t="str">
        <f t="shared" si="4"/>
        <v/>
      </c>
      <c r="J42" s="4910"/>
      <c r="K42" s="4911">
        <f t="shared" si="5"/>
        <v>0</v>
      </c>
      <c r="L42" s="4912">
        <f t="shared" si="6"/>
        <v>0</v>
      </c>
      <c r="M42" s="4913">
        <f t="shared" si="7"/>
        <v>0</v>
      </c>
    </row>
    <row r="43" spans="1:13" s="3311" customFormat="1" ht="15.05" thickBot="1" x14ac:dyDescent="0.35">
      <c r="A43" s="4895"/>
      <c r="B43" s="5474"/>
      <c r="C43" s="4906"/>
      <c r="D43" s="4907"/>
      <c r="E43" s="4908"/>
      <c r="F43" s="5471"/>
      <c r="G43" s="5335"/>
      <c r="H43" s="5472"/>
      <c r="I43" s="4909" t="str">
        <f t="shared" si="4"/>
        <v/>
      </c>
      <c r="J43" s="4910"/>
      <c r="K43" s="4911">
        <f t="shared" si="5"/>
        <v>0</v>
      </c>
      <c r="L43" s="4912">
        <f t="shared" si="6"/>
        <v>0</v>
      </c>
      <c r="M43" s="4913">
        <f t="shared" si="7"/>
        <v>0</v>
      </c>
    </row>
    <row r="44" spans="1:13" s="3311" customFormat="1" ht="15.05" thickBot="1" x14ac:dyDescent="0.35">
      <c r="A44" s="4895"/>
      <c r="B44" s="5474"/>
      <c r="C44" s="4906"/>
      <c r="D44" s="4907"/>
      <c r="E44" s="4908"/>
      <c r="F44" s="5471"/>
      <c r="G44" s="5335"/>
      <c r="H44" s="5472"/>
      <c r="I44" s="4909" t="str">
        <f t="shared" si="4"/>
        <v/>
      </c>
      <c r="J44" s="4910"/>
      <c r="K44" s="4911">
        <f t="shared" si="5"/>
        <v>0</v>
      </c>
      <c r="L44" s="4912">
        <f t="shared" si="6"/>
        <v>0</v>
      </c>
      <c r="M44" s="4913">
        <f t="shared" si="7"/>
        <v>0</v>
      </c>
    </row>
    <row r="45" spans="1:13" s="3311" customFormat="1" ht="15.05" thickBot="1" x14ac:dyDescent="0.35">
      <c r="A45" s="4895"/>
      <c r="B45" s="5474"/>
      <c r="C45" s="4906"/>
      <c r="D45" s="4907"/>
      <c r="E45" s="4908"/>
      <c r="F45" s="5471"/>
      <c r="G45" s="5335"/>
      <c r="H45" s="5472"/>
      <c r="I45" s="4909" t="str">
        <f t="shared" si="4"/>
        <v/>
      </c>
      <c r="J45" s="4910"/>
      <c r="K45" s="4911">
        <f t="shared" si="5"/>
        <v>0</v>
      </c>
      <c r="L45" s="4912">
        <f t="shared" si="6"/>
        <v>0</v>
      </c>
      <c r="M45" s="4913">
        <f t="shared" si="7"/>
        <v>0</v>
      </c>
    </row>
    <row r="46" spans="1:13" s="3311" customFormat="1" ht="15.05" thickBot="1" x14ac:dyDescent="0.35">
      <c r="A46" s="4895"/>
      <c r="B46" s="5474"/>
      <c r="C46" s="4906"/>
      <c r="D46" s="4907"/>
      <c r="E46" s="4908"/>
      <c r="F46" s="5471"/>
      <c r="G46" s="5335"/>
      <c r="H46" s="5472"/>
      <c r="I46" s="4909" t="str">
        <f t="shared" si="4"/>
        <v/>
      </c>
      <c r="J46" s="4910"/>
      <c r="K46" s="4911">
        <f t="shared" si="5"/>
        <v>0</v>
      </c>
      <c r="L46" s="4912">
        <f t="shared" si="6"/>
        <v>0</v>
      </c>
      <c r="M46" s="4913">
        <f t="shared" si="7"/>
        <v>0</v>
      </c>
    </row>
    <row r="47" spans="1:13" s="3311" customFormat="1" ht="15.05" thickBot="1" x14ac:dyDescent="0.35">
      <c r="A47" s="4895"/>
      <c r="B47" s="5474"/>
      <c r="C47" s="4906"/>
      <c r="D47" s="4907"/>
      <c r="E47" s="4908"/>
      <c r="F47" s="5471"/>
      <c r="G47" s="5335"/>
      <c r="H47" s="5472"/>
      <c r="I47" s="4909" t="str">
        <f t="shared" si="4"/>
        <v/>
      </c>
      <c r="J47" s="4910"/>
      <c r="K47" s="4911">
        <f t="shared" si="5"/>
        <v>0</v>
      </c>
      <c r="L47" s="4912">
        <f t="shared" si="6"/>
        <v>0</v>
      </c>
      <c r="M47" s="4913">
        <f t="shared" si="7"/>
        <v>0</v>
      </c>
    </row>
    <row r="48" spans="1:13" s="3311" customFormat="1" ht="15.05" thickBot="1" x14ac:dyDescent="0.35">
      <c r="A48" s="4895"/>
      <c r="B48" s="5474"/>
      <c r="C48" s="4906"/>
      <c r="D48" s="4907"/>
      <c r="E48" s="4908"/>
      <c r="F48" s="5471"/>
      <c r="G48" s="5335"/>
      <c r="H48" s="5472"/>
      <c r="I48" s="4909" t="str">
        <f t="shared" si="4"/>
        <v/>
      </c>
      <c r="J48" s="4910"/>
      <c r="K48" s="4911">
        <f t="shared" si="5"/>
        <v>0</v>
      </c>
      <c r="L48" s="4912">
        <f t="shared" si="6"/>
        <v>0</v>
      </c>
      <c r="M48" s="4913">
        <f t="shared" si="7"/>
        <v>0</v>
      </c>
    </row>
    <row r="49" spans="1:13" s="3311" customFormat="1" ht="15.05" thickBot="1" x14ac:dyDescent="0.35">
      <c r="A49" s="4895"/>
      <c r="B49" s="5475"/>
      <c r="C49" s="4906"/>
      <c r="D49" s="4907"/>
      <c r="E49" s="4908"/>
      <c r="F49" s="5471"/>
      <c r="G49" s="5335"/>
      <c r="H49" s="5472"/>
      <c r="I49" s="4909" t="str">
        <f t="shared" si="4"/>
        <v/>
      </c>
      <c r="J49" s="4910"/>
      <c r="K49" s="4911">
        <f t="shared" si="5"/>
        <v>0</v>
      </c>
      <c r="L49" s="4912">
        <f t="shared" si="6"/>
        <v>0</v>
      </c>
      <c r="M49" s="4913">
        <f t="shared" si="7"/>
        <v>0</v>
      </c>
    </row>
    <row r="50" spans="1:13" s="3311" customFormat="1" ht="15.05" thickBot="1" x14ac:dyDescent="0.35">
      <c r="A50" s="4895"/>
      <c r="B50" s="5474"/>
      <c r="C50" s="4906"/>
      <c r="D50" s="4907"/>
      <c r="E50" s="4908"/>
      <c r="F50" s="5471"/>
      <c r="G50" s="5335"/>
      <c r="H50" s="5472"/>
      <c r="I50" s="4909" t="str">
        <f t="shared" si="4"/>
        <v/>
      </c>
      <c r="J50" s="4910"/>
      <c r="K50" s="4911">
        <f t="shared" si="5"/>
        <v>0</v>
      </c>
      <c r="L50" s="4912">
        <f t="shared" si="6"/>
        <v>0</v>
      </c>
      <c r="M50" s="4913">
        <f t="shared" si="7"/>
        <v>0</v>
      </c>
    </row>
    <row r="51" spans="1:13" s="3311" customFormat="1" ht="15.05" thickBot="1" x14ac:dyDescent="0.35">
      <c r="A51" s="4895"/>
      <c r="B51" s="5474"/>
      <c r="C51" s="4906"/>
      <c r="D51" s="4907"/>
      <c r="E51" s="4908"/>
      <c r="F51" s="5471"/>
      <c r="G51" s="5335"/>
      <c r="H51" s="5472"/>
      <c r="I51" s="4909" t="str">
        <f t="shared" si="4"/>
        <v/>
      </c>
      <c r="J51" s="4910"/>
      <c r="K51" s="4911">
        <f t="shared" si="5"/>
        <v>0</v>
      </c>
      <c r="L51" s="4912">
        <f t="shared" si="6"/>
        <v>0</v>
      </c>
      <c r="M51" s="4913">
        <f t="shared" si="7"/>
        <v>0</v>
      </c>
    </row>
    <row r="52" spans="1:13" s="3311" customFormat="1" ht="15.05" thickBot="1" x14ac:dyDescent="0.35">
      <c r="A52" s="4895"/>
      <c r="B52" s="5474"/>
      <c r="C52" s="4906"/>
      <c r="D52" s="4907"/>
      <c r="E52" s="4908"/>
      <c r="F52" s="5471"/>
      <c r="G52" s="5335"/>
      <c r="H52" s="5472"/>
      <c r="I52" s="4909" t="str">
        <f t="shared" si="4"/>
        <v/>
      </c>
      <c r="J52" s="4910"/>
      <c r="K52" s="4911">
        <f t="shared" si="5"/>
        <v>0</v>
      </c>
      <c r="L52" s="4912">
        <f t="shared" si="6"/>
        <v>0</v>
      </c>
      <c r="M52" s="4913">
        <f t="shared" si="7"/>
        <v>0</v>
      </c>
    </row>
    <row r="53" spans="1:13" s="3311" customFormat="1" ht="15.05" thickBot="1" x14ac:dyDescent="0.35">
      <c r="A53" s="4895"/>
      <c r="B53" s="5474"/>
      <c r="C53" s="4906"/>
      <c r="D53" s="4907"/>
      <c r="E53" s="4908"/>
      <c r="F53" s="5471"/>
      <c r="G53" s="5335"/>
      <c r="H53" s="5472"/>
      <c r="I53" s="4909" t="str">
        <f t="shared" si="4"/>
        <v/>
      </c>
      <c r="J53" s="4910"/>
      <c r="K53" s="4911">
        <f t="shared" si="5"/>
        <v>0</v>
      </c>
      <c r="L53" s="4912">
        <f t="shared" si="6"/>
        <v>0</v>
      </c>
      <c r="M53" s="4913">
        <f t="shared" si="7"/>
        <v>0</v>
      </c>
    </row>
    <row r="54" spans="1:13" s="3311" customFormat="1" ht="15.05" thickBot="1" x14ac:dyDescent="0.35">
      <c r="A54" s="4895"/>
      <c r="B54" s="5474"/>
      <c r="C54" s="4906"/>
      <c r="D54" s="4907"/>
      <c r="E54" s="4908"/>
      <c r="F54" s="5471"/>
      <c r="G54" s="5335"/>
      <c r="H54" s="5472"/>
      <c r="I54" s="4909" t="str">
        <f t="shared" si="4"/>
        <v/>
      </c>
      <c r="J54" s="4910"/>
      <c r="K54" s="4911">
        <f t="shared" si="5"/>
        <v>0</v>
      </c>
      <c r="L54" s="4912">
        <f t="shared" si="6"/>
        <v>0</v>
      </c>
      <c r="M54" s="4913">
        <f t="shared" si="7"/>
        <v>0</v>
      </c>
    </row>
    <row r="55" spans="1:13" s="3311" customFormat="1" ht="15.05" thickBot="1" x14ac:dyDescent="0.35">
      <c r="A55" s="4895"/>
      <c r="B55" s="5474"/>
      <c r="C55" s="4906"/>
      <c r="D55" s="4907"/>
      <c r="E55" s="4908"/>
      <c r="F55" s="5471"/>
      <c r="G55" s="5335"/>
      <c r="H55" s="5472"/>
      <c r="I55" s="4909" t="str">
        <f t="shared" si="4"/>
        <v/>
      </c>
      <c r="J55" s="4910"/>
      <c r="K55" s="4911">
        <f t="shared" si="5"/>
        <v>0</v>
      </c>
      <c r="L55" s="4912">
        <f t="shared" si="6"/>
        <v>0</v>
      </c>
      <c r="M55" s="4913">
        <f t="shared" si="7"/>
        <v>0</v>
      </c>
    </row>
    <row r="56" spans="1:13" s="3311" customFormat="1" ht="15.05" thickBot="1" x14ac:dyDescent="0.35">
      <c r="A56" s="4915"/>
      <c r="B56" s="5476"/>
      <c r="C56" s="4916"/>
      <c r="D56" s="4917"/>
      <c r="E56" s="4918"/>
      <c r="F56" s="5477"/>
      <c r="G56" s="5333"/>
      <c r="H56" s="5478"/>
      <c r="I56" s="4919" t="str">
        <f t="shared" si="4"/>
        <v/>
      </c>
      <c r="J56" s="4920"/>
      <c r="K56" s="4921">
        <f t="shared" si="5"/>
        <v>0</v>
      </c>
      <c r="L56" s="4922">
        <f t="shared" si="6"/>
        <v>0</v>
      </c>
      <c r="M56" s="4923">
        <f t="shared" si="7"/>
        <v>0</v>
      </c>
    </row>
    <row r="57" spans="1:13" ht="15.05" thickBot="1" x14ac:dyDescent="0.35">
      <c r="A57" s="2487">
        <f>+A6+1</f>
        <v>111</v>
      </c>
      <c r="B57" s="4891" t="s">
        <v>1557</v>
      </c>
      <c r="C57" s="4892"/>
      <c r="D57" s="4892"/>
      <c r="E57" s="4892"/>
      <c r="F57" s="4892"/>
      <c r="G57" s="4892"/>
      <c r="H57" s="4892"/>
      <c r="I57" s="3143"/>
      <c r="J57" s="3143"/>
      <c r="K57" s="4892"/>
      <c r="L57" s="4892"/>
      <c r="M57" s="4894"/>
    </row>
    <row r="58" spans="1:13" s="3311" customFormat="1" x14ac:dyDescent="0.3">
      <c r="A58" s="4883"/>
      <c r="B58" s="4884"/>
      <c r="C58" s="5562" t="s">
        <v>1207</v>
      </c>
      <c r="D58" s="5563"/>
      <c r="E58" s="5564"/>
      <c r="F58" s="5562" t="s">
        <v>1208</v>
      </c>
      <c r="G58" s="5563"/>
      <c r="H58" s="5564"/>
      <c r="I58" s="4924"/>
      <c r="J58" s="4924"/>
      <c r="K58" s="5562" t="s">
        <v>1209</v>
      </c>
      <c r="L58" s="5563"/>
      <c r="M58" s="5564"/>
    </row>
    <row r="59" spans="1:13" s="3311" customFormat="1" ht="15.05" thickBot="1" x14ac:dyDescent="0.35">
      <c r="A59" s="4883"/>
      <c r="B59" s="4886" t="s">
        <v>203</v>
      </c>
      <c r="C59" s="4887" t="s">
        <v>204</v>
      </c>
      <c r="D59" s="4888" t="s">
        <v>205</v>
      </c>
      <c r="E59" s="4889" t="s">
        <v>560</v>
      </c>
      <c r="F59" s="4887" t="s">
        <v>204</v>
      </c>
      <c r="G59" s="4888" t="s">
        <v>205</v>
      </c>
      <c r="H59" s="4889" t="s">
        <v>560</v>
      </c>
      <c r="I59" s="4925" t="s">
        <v>203</v>
      </c>
      <c r="J59" s="4925"/>
      <c r="K59" s="4887" t="s">
        <v>204</v>
      </c>
      <c r="L59" s="4888" t="s">
        <v>205</v>
      </c>
      <c r="M59" s="4889" t="s">
        <v>560</v>
      </c>
    </row>
    <row r="60" spans="1:13" s="3311" customFormat="1" ht="15.05" thickBot="1" x14ac:dyDescent="0.35">
      <c r="A60" s="4895"/>
      <c r="B60" s="4896" t="s">
        <v>1402</v>
      </c>
      <c r="C60" s="4897">
        <v>89.33</v>
      </c>
      <c r="D60" s="4898">
        <v>42</v>
      </c>
      <c r="E60" s="4899">
        <v>2.65625</v>
      </c>
      <c r="F60" s="5468"/>
      <c r="G60" s="5469"/>
      <c r="H60" s="5470"/>
      <c r="I60" s="4900" t="str">
        <f t="shared" ref="I60:I87" si="8">IF(B60=0,"",B60)</f>
        <v>Algodón, Expeller</v>
      </c>
      <c r="J60" s="4901"/>
      <c r="K60" s="4902">
        <f t="shared" ref="K60:K87" si="9">IF(F60&gt;0,F60,C60)</f>
        <v>89.33</v>
      </c>
      <c r="L60" s="4903">
        <f t="shared" ref="L60:L87" si="10">IF(G60&gt;0,G60,D60)</f>
        <v>42</v>
      </c>
      <c r="M60" s="4904">
        <f t="shared" ref="M60:M87" si="11">IF(H60&gt;0,H60,E60)</f>
        <v>2.65625</v>
      </c>
    </row>
    <row r="61" spans="1:13" s="3311" customFormat="1" ht="15.05" thickBot="1" x14ac:dyDescent="0.35">
      <c r="A61" s="4895"/>
      <c r="B61" s="4905" t="s">
        <v>1405</v>
      </c>
      <c r="C61" s="4906">
        <v>89</v>
      </c>
      <c r="D61" s="4907">
        <v>14.8</v>
      </c>
      <c r="E61" s="4908">
        <v>2.453125</v>
      </c>
      <c r="F61" s="5471"/>
      <c r="G61" s="5335"/>
      <c r="H61" s="5472"/>
      <c r="I61" s="4909" t="str">
        <f t="shared" si="8"/>
        <v>Arroz, afrechilllo desgrasado</v>
      </c>
      <c r="J61" s="4910"/>
      <c r="K61" s="4911">
        <f t="shared" si="9"/>
        <v>89</v>
      </c>
      <c r="L61" s="4912">
        <f t="shared" si="10"/>
        <v>14.8</v>
      </c>
      <c r="M61" s="4913">
        <f t="shared" si="11"/>
        <v>2.453125</v>
      </c>
    </row>
    <row r="62" spans="1:13" s="3311" customFormat="1" ht="15.05" thickBot="1" x14ac:dyDescent="0.35">
      <c r="A62" s="4895"/>
      <c r="B62" s="4905" t="s">
        <v>1404</v>
      </c>
      <c r="C62" s="4906">
        <v>90</v>
      </c>
      <c r="D62" s="4907">
        <v>13.8</v>
      </c>
      <c r="E62" s="4908">
        <v>3.125</v>
      </c>
      <c r="F62" s="5471"/>
      <c r="G62" s="5335"/>
      <c r="H62" s="5472"/>
      <c r="I62" s="4909" t="str">
        <f t="shared" si="8"/>
        <v>Arroz, afrechilllo entero</v>
      </c>
      <c r="J62" s="4910"/>
      <c r="K62" s="4911">
        <f t="shared" si="9"/>
        <v>90</v>
      </c>
      <c r="L62" s="4912">
        <f t="shared" si="10"/>
        <v>13.8</v>
      </c>
      <c r="M62" s="4913">
        <f t="shared" si="11"/>
        <v>3.125</v>
      </c>
    </row>
    <row r="63" spans="1:13" s="3311" customFormat="1" ht="15.05" thickBot="1" x14ac:dyDescent="0.35">
      <c r="A63" s="4895"/>
      <c r="B63" s="4914" t="s">
        <v>1398</v>
      </c>
      <c r="C63" s="4906">
        <v>89</v>
      </c>
      <c r="D63" s="4907">
        <v>13.6</v>
      </c>
      <c r="E63" s="4908">
        <v>2.64</v>
      </c>
      <c r="F63" s="5471"/>
      <c r="G63" s="5335"/>
      <c r="H63" s="5472"/>
      <c r="I63" s="4909" t="str">
        <f t="shared" si="8"/>
        <v xml:space="preserve">Avena, grano </v>
      </c>
      <c r="J63" s="4910"/>
      <c r="K63" s="4911">
        <f t="shared" si="9"/>
        <v>89</v>
      </c>
      <c r="L63" s="4912">
        <f t="shared" si="10"/>
        <v>13.6</v>
      </c>
      <c r="M63" s="4913">
        <f t="shared" si="11"/>
        <v>2.64</v>
      </c>
    </row>
    <row r="64" spans="1:13" s="3311" customFormat="1" ht="15.05" thickBot="1" x14ac:dyDescent="0.35">
      <c r="A64" s="4895"/>
      <c r="B64" s="4914" t="s">
        <v>219</v>
      </c>
      <c r="C64" s="4906">
        <v>94</v>
      </c>
      <c r="D64" s="4907">
        <v>29</v>
      </c>
      <c r="E64" s="4908">
        <v>2.57</v>
      </c>
      <c r="F64" s="5471"/>
      <c r="G64" s="5335"/>
      <c r="H64" s="5472"/>
      <c r="I64" s="4909" t="str">
        <f t="shared" si="8"/>
        <v>Brotes de malta (raicillas)</v>
      </c>
      <c r="J64" s="4910"/>
      <c r="K64" s="4911">
        <f t="shared" si="9"/>
        <v>94</v>
      </c>
      <c r="L64" s="4912">
        <f t="shared" si="10"/>
        <v>29</v>
      </c>
      <c r="M64" s="4913">
        <f t="shared" si="11"/>
        <v>2.57</v>
      </c>
    </row>
    <row r="65" spans="1:13" s="3311" customFormat="1" ht="15.05" thickBot="1" x14ac:dyDescent="0.35">
      <c r="A65" s="4895"/>
      <c r="B65" s="4905" t="s">
        <v>1401</v>
      </c>
      <c r="C65" s="4906">
        <v>92</v>
      </c>
      <c r="D65" s="4907">
        <v>40.9</v>
      </c>
      <c r="E65" s="4908">
        <v>2.4900000000000002</v>
      </c>
      <c r="F65" s="5471"/>
      <c r="G65" s="5335"/>
      <c r="H65" s="5472"/>
      <c r="I65" s="4909" t="str">
        <f t="shared" si="8"/>
        <v>Canola, Expeller</v>
      </c>
      <c r="J65" s="4910"/>
      <c r="K65" s="4911">
        <f t="shared" si="9"/>
        <v>92</v>
      </c>
      <c r="L65" s="4912">
        <f t="shared" si="10"/>
        <v>40.9</v>
      </c>
      <c r="M65" s="4913">
        <f t="shared" si="11"/>
        <v>2.4900000000000002</v>
      </c>
    </row>
    <row r="66" spans="1:13" s="3311" customFormat="1" ht="15.05" thickBot="1" x14ac:dyDescent="0.35">
      <c r="A66" s="4895"/>
      <c r="B66" s="4905" t="s">
        <v>1397</v>
      </c>
      <c r="C66" s="4906">
        <v>88</v>
      </c>
      <c r="D66" s="4907">
        <v>11.9</v>
      </c>
      <c r="E66" s="4908">
        <v>2.96875</v>
      </c>
      <c r="F66" s="5471"/>
      <c r="G66" s="5335"/>
      <c r="H66" s="5472"/>
      <c r="I66" s="4909" t="str">
        <f t="shared" si="8"/>
        <v xml:space="preserve">Cebada, grano </v>
      </c>
      <c r="J66" s="4910"/>
      <c r="K66" s="4911">
        <f t="shared" si="9"/>
        <v>88</v>
      </c>
      <c r="L66" s="4912">
        <f t="shared" si="10"/>
        <v>11.9</v>
      </c>
      <c r="M66" s="4913">
        <f t="shared" si="11"/>
        <v>2.96875</v>
      </c>
    </row>
    <row r="67" spans="1:13" s="3311" customFormat="1" ht="15.05" thickBot="1" x14ac:dyDescent="0.35">
      <c r="A67" s="4895"/>
      <c r="B67" s="4905" t="s">
        <v>1412</v>
      </c>
      <c r="C67" s="4906">
        <v>91</v>
      </c>
      <c r="D67" s="4907">
        <v>29.5</v>
      </c>
      <c r="E67" s="4908">
        <v>3.18</v>
      </c>
      <c r="F67" s="5471"/>
      <c r="G67" s="5335"/>
      <c r="H67" s="5472"/>
      <c r="I67" s="4909" t="str">
        <f t="shared" si="8"/>
        <v>DDGS</v>
      </c>
      <c r="J67" s="4910"/>
      <c r="K67" s="4911">
        <f t="shared" si="9"/>
        <v>91</v>
      </c>
      <c r="L67" s="4912">
        <f t="shared" si="10"/>
        <v>29.5</v>
      </c>
      <c r="M67" s="4913">
        <f t="shared" si="11"/>
        <v>3.18</v>
      </c>
    </row>
    <row r="68" spans="1:13" s="3311" customFormat="1" ht="15.05" thickBot="1" x14ac:dyDescent="0.35">
      <c r="A68" s="4895"/>
      <c r="B68" s="4905" t="s">
        <v>1399</v>
      </c>
      <c r="C68" s="4906">
        <v>87.5</v>
      </c>
      <c r="D68" s="4907">
        <v>34.9</v>
      </c>
      <c r="E68" s="4908">
        <v>2.140625</v>
      </c>
      <c r="F68" s="5471"/>
      <c r="G68" s="5335"/>
      <c r="H68" s="5472"/>
      <c r="I68" s="4909" t="str">
        <f t="shared" si="8"/>
        <v>Girasol, Expeller</v>
      </c>
      <c r="J68" s="4910"/>
      <c r="K68" s="4911">
        <f t="shared" si="9"/>
        <v>87.5</v>
      </c>
      <c r="L68" s="4912">
        <f t="shared" si="10"/>
        <v>34.9</v>
      </c>
      <c r="M68" s="4913">
        <f t="shared" si="11"/>
        <v>2.140625</v>
      </c>
    </row>
    <row r="69" spans="1:13" s="3311" customFormat="1" ht="15.05" thickBot="1" x14ac:dyDescent="0.35">
      <c r="A69" s="4895"/>
      <c r="B69" s="4914" t="s">
        <v>1406</v>
      </c>
      <c r="C69" s="4906">
        <v>88</v>
      </c>
      <c r="D69" s="4907">
        <v>9.08</v>
      </c>
      <c r="E69" s="4908">
        <v>3.26</v>
      </c>
      <c r="F69" s="5471"/>
      <c r="G69" s="5335"/>
      <c r="H69" s="5472"/>
      <c r="I69" s="4909" t="str">
        <f t="shared" si="8"/>
        <v xml:space="preserve">Maíz, grano </v>
      </c>
      <c r="J69" s="4910"/>
      <c r="K69" s="4911">
        <f t="shared" si="9"/>
        <v>88</v>
      </c>
      <c r="L69" s="4912">
        <f t="shared" si="10"/>
        <v>9.08</v>
      </c>
      <c r="M69" s="4913">
        <f t="shared" si="11"/>
        <v>3.26</v>
      </c>
    </row>
    <row r="70" spans="1:13" s="3311" customFormat="1" ht="15.05" thickBot="1" x14ac:dyDescent="0.35">
      <c r="A70" s="4895"/>
      <c r="B70" s="4914" t="s">
        <v>1410</v>
      </c>
      <c r="C70" s="4906">
        <v>68.099999999999994</v>
      </c>
      <c r="D70" s="4907">
        <v>8.2799999999999994</v>
      </c>
      <c r="E70" s="4908">
        <v>3.25</v>
      </c>
      <c r="F70" s="5471"/>
      <c r="G70" s="5335"/>
      <c r="H70" s="5472"/>
      <c r="I70" s="4909" t="str">
        <f t="shared" si="8"/>
        <v xml:space="preserve">Maíz, grano humedo </v>
      </c>
      <c r="J70" s="4910"/>
      <c r="K70" s="4911">
        <f t="shared" si="9"/>
        <v>68.099999999999994</v>
      </c>
      <c r="L70" s="4912">
        <f t="shared" si="10"/>
        <v>8.2799999999999994</v>
      </c>
      <c r="M70" s="4913">
        <f t="shared" si="11"/>
        <v>3.25</v>
      </c>
    </row>
    <row r="71" spans="1:13" s="3311" customFormat="1" ht="15.05" thickBot="1" x14ac:dyDescent="0.35">
      <c r="A71" s="4895"/>
      <c r="B71" s="4905" t="s">
        <v>1413</v>
      </c>
      <c r="C71" s="4906">
        <v>91</v>
      </c>
      <c r="D71" s="4907">
        <v>12.2</v>
      </c>
      <c r="E71" s="4908">
        <v>2.89</v>
      </c>
      <c r="F71" s="5471"/>
      <c r="G71" s="5335"/>
      <c r="H71" s="5472"/>
      <c r="I71" s="4909" t="str">
        <f t="shared" si="8"/>
        <v>Soja, Cascarilla</v>
      </c>
      <c r="J71" s="4910"/>
      <c r="K71" s="4911">
        <f t="shared" si="9"/>
        <v>91</v>
      </c>
      <c r="L71" s="4912">
        <f t="shared" si="10"/>
        <v>12.2</v>
      </c>
      <c r="M71" s="4913">
        <f t="shared" si="11"/>
        <v>2.89</v>
      </c>
    </row>
    <row r="72" spans="1:13" s="3311" customFormat="1" ht="15.05" thickBot="1" x14ac:dyDescent="0.35">
      <c r="A72" s="4895"/>
      <c r="B72" s="4905" t="s">
        <v>1400</v>
      </c>
      <c r="C72" s="4906">
        <v>91</v>
      </c>
      <c r="D72" s="4907">
        <v>45.69</v>
      </c>
      <c r="E72" s="4908">
        <v>3.15</v>
      </c>
      <c r="F72" s="5471"/>
      <c r="G72" s="5335"/>
      <c r="H72" s="5472"/>
      <c r="I72" s="4909" t="str">
        <f t="shared" si="8"/>
        <v>Soja, Expeller</v>
      </c>
      <c r="J72" s="4910"/>
      <c r="K72" s="4911">
        <f t="shared" si="9"/>
        <v>91</v>
      </c>
      <c r="L72" s="4912">
        <f t="shared" si="10"/>
        <v>45.69</v>
      </c>
      <c r="M72" s="4913">
        <f t="shared" si="11"/>
        <v>3.15</v>
      </c>
    </row>
    <row r="73" spans="1:13" s="3311" customFormat="1" ht="15.05" thickBot="1" x14ac:dyDescent="0.35">
      <c r="A73" s="4895"/>
      <c r="B73" s="4905" t="s">
        <v>1407</v>
      </c>
      <c r="C73" s="4906">
        <v>92</v>
      </c>
      <c r="D73" s="4907">
        <v>38</v>
      </c>
      <c r="E73" s="4908">
        <v>3.046875</v>
      </c>
      <c r="F73" s="5471"/>
      <c r="G73" s="5335"/>
      <c r="H73" s="5472"/>
      <c r="I73" s="4909" t="str">
        <f t="shared" si="8"/>
        <v>Soja, grano molido (sojilla)</v>
      </c>
      <c r="J73" s="4910"/>
      <c r="K73" s="4911">
        <f t="shared" si="9"/>
        <v>92</v>
      </c>
      <c r="L73" s="4912">
        <f t="shared" si="10"/>
        <v>38</v>
      </c>
      <c r="M73" s="4913">
        <f t="shared" si="11"/>
        <v>3.046875</v>
      </c>
    </row>
    <row r="74" spans="1:13" s="3311" customFormat="1" ht="15.05" thickBot="1" x14ac:dyDescent="0.35">
      <c r="A74" s="4895"/>
      <c r="B74" s="4905" t="s">
        <v>1411</v>
      </c>
      <c r="C74" s="4906">
        <v>73.709999999999994</v>
      </c>
      <c r="D74" s="4907">
        <v>9.5</v>
      </c>
      <c r="E74" s="4908">
        <v>3.18</v>
      </c>
      <c r="F74" s="5471"/>
      <c r="G74" s="5335"/>
      <c r="H74" s="5472"/>
      <c r="I74" s="4909" t="str">
        <f t="shared" si="8"/>
        <v xml:space="preserve">Sorgo grano humedo </v>
      </c>
      <c r="J74" s="4910"/>
      <c r="K74" s="4911">
        <f t="shared" si="9"/>
        <v>73.709999999999994</v>
      </c>
      <c r="L74" s="4912">
        <f t="shared" si="10"/>
        <v>9.5</v>
      </c>
      <c r="M74" s="4913">
        <f t="shared" si="11"/>
        <v>3.18</v>
      </c>
    </row>
    <row r="75" spans="1:13" s="3311" customFormat="1" ht="15.05" thickBot="1" x14ac:dyDescent="0.35">
      <c r="A75" s="4895"/>
      <c r="B75" s="4914" t="s">
        <v>1408</v>
      </c>
      <c r="C75" s="4906">
        <v>89</v>
      </c>
      <c r="D75" s="4907">
        <v>8.57</v>
      </c>
      <c r="E75" s="4908">
        <v>3.2</v>
      </c>
      <c r="F75" s="5471"/>
      <c r="G75" s="5335"/>
      <c r="H75" s="5472"/>
      <c r="I75" s="4909" t="str">
        <f t="shared" si="8"/>
        <v xml:space="preserve">Sorgo, grano </v>
      </c>
      <c r="J75" s="4910"/>
      <c r="K75" s="4911">
        <f t="shared" si="9"/>
        <v>89</v>
      </c>
      <c r="L75" s="4912">
        <f t="shared" si="10"/>
        <v>8.57</v>
      </c>
      <c r="M75" s="4913">
        <f t="shared" si="11"/>
        <v>3.2</v>
      </c>
    </row>
    <row r="76" spans="1:13" s="3311" customFormat="1" ht="15.05" thickBot="1" x14ac:dyDescent="0.35">
      <c r="A76" s="4895"/>
      <c r="B76" s="4914" t="s">
        <v>1403</v>
      </c>
      <c r="C76" s="4906">
        <v>89.45</v>
      </c>
      <c r="D76" s="4907">
        <v>17.2</v>
      </c>
      <c r="E76" s="4908">
        <v>2.86</v>
      </c>
      <c r="F76" s="5471"/>
      <c r="G76" s="5335"/>
      <c r="H76" s="5472"/>
      <c r="I76" s="4909" t="str">
        <f t="shared" si="8"/>
        <v xml:space="preserve">Trigo, Afrechillo </v>
      </c>
      <c r="J76" s="4910"/>
      <c r="K76" s="4911">
        <f t="shared" si="9"/>
        <v>89.45</v>
      </c>
      <c r="L76" s="4912">
        <f t="shared" si="10"/>
        <v>17.2</v>
      </c>
      <c r="M76" s="4913">
        <f t="shared" si="11"/>
        <v>2.86</v>
      </c>
    </row>
    <row r="77" spans="1:13" s="3311" customFormat="1" ht="15.05" thickBot="1" x14ac:dyDescent="0.35">
      <c r="A77" s="4895"/>
      <c r="B77" s="4905" t="s">
        <v>1409</v>
      </c>
      <c r="C77" s="4906">
        <v>88</v>
      </c>
      <c r="D77" s="4907">
        <v>12.28</v>
      </c>
      <c r="E77" s="4908">
        <v>3.03125</v>
      </c>
      <c r="F77" s="5471"/>
      <c r="G77" s="5335"/>
      <c r="H77" s="5472"/>
      <c r="I77" s="4909" t="str">
        <f t="shared" si="8"/>
        <v xml:space="preserve">Trigo, grano </v>
      </c>
      <c r="J77" s="4910"/>
      <c r="K77" s="4911">
        <f t="shared" si="9"/>
        <v>88</v>
      </c>
      <c r="L77" s="4912">
        <f t="shared" si="10"/>
        <v>12.28</v>
      </c>
      <c r="M77" s="4913">
        <f t="shared" si="11"/>
        <v>3.03125</v>
      </c>
    </row>
    <row r="78" spans="1:13" s="3311" customFormat="1" ht="15.05" thickBot="1" x14ac:dyDescent="0.35">
      <c r="A78" s="4895"/>
      <c r="B78" s="5479"/>
      <c r="C78" s="4906"/>
      <c r="D78" s="4907"/>
      <c r="E78" s="4908"/>
      <c r="F78" s="5471"/>
      <c r="G78" s="5335"/>
      <c r="H78" s="5472"/>
      <c r="I78" s="4909" t="str">
        <f t="shared" si="8"/>
        <v/>
      </c>
      <c r="J78" s="4910"/>
      <c r="K78" s="4911">
        <f t="shared" si="9"/>
        <v>0</v>
      </c>
      <c r="L78" s="4912">
        <f t="shared" si="10"/>
        <v>0</v>
      </c>
      <c r="M78" s="4913">
        <f t="shared" si="11"/>
        <v>0</v>
      </c>
    </row>
    <row r="79" spans="1:13" s="3311" customFormat="1" ht="15.05" thickBot="1" x14ac:dyDescent="0.35">
      <c r="A79" s="4895"/>
      <c r="B79" s="5480"/>
      <c r="C79" s="4906"/>
      <c r="D79" s="4907"/>
      <c r="E79" s="4908"/>
      <c r="F79" s="5471"/>
      <c r="G79" s="5335"/>
      <c r="H79" s="5472"/>
      <c r="I79" s="4909" t="str">
        <f t="shared" si="8"/>
        <v/>
      </c>
      <c r="J79" s="4910"/>
      <c r="K79" s="4911">
        <f t="shared" si="9"/>
        <v>0</v>
      </c>
      <c r="L79" s="4912">
        <f t="shared" si="10"/>
        <v>0</v>
      </c>
      <c r="M79" s="4913">
        <f t="shared" si="11"/>
        <v>0</v>
      </c>
    </row>
    <row r="80" spans="1:13" s="3311" customFormat="1" ht="15.05" thickBot="1" x14ac:dyDescent="0.35">
      <c r="A80" s="4895"/>
      <c r="B80" s="5480"/>
      <c r="C80" s="4906"/>
      <c r="D80" s="4907"/>
      <c r="E80" s="4908"/>
      <c r="F80" s="5471"/>
      <c r="G80" s="5335"/>
      <c r="H80" s="5472"/>
      <c r="I80" s="4909" t="str">
        <f t="shared" si="8"/>
        <v/>
      </c>
      <c r="J80" s="4910"/>
      <c r="K80" s="4911">
        <f t="shared" si="9"/>
        <v>0</v>
      </c>
      <c r="L80" s="4912">
        <f t="shared" si="10"/>
        <v>0</v>
      </c>
      <c r="M80" s="4913">
        <f t="shared" si="11"/>
        <v>0</v>
      </c>
    </row>
    <row r="81" spans="1:13" s="3311" customFormat="1" ht="15.05" thickBot="1" x14ac:dyDescent="0.35">
      <c r="A81" s="4895"/>
      <c r="B81" s="5480"/>
      <c r="C81" s="4906"/>
      <c r="D81" s="4907"/>
      <c r="E81" s="4908"/>
      <c r="F81" s="5471"/>
      <c r="G81" s="5335"/>
      <c r="H81" s="5472"/>
      <c r="I81" s="4909" t="str">
        <f t="shared" si="8"/>
        <v/>
      </c>
      <c r="J81" s="4910"/>
      <c r="K81" s="4911">
        <f t="shared" si="9"/>
        <v>0</v>
      </c>
      <c r="L81" s="4912">
        <f t="shared" si="10"/>
        <v>0</v>
      </c>
      <c r="M81" s="4913">
        <f t="shared" si="11"/>
        <v>0</v>
      </c>
    </row>
    <row r="82" spans="1:13" s="3311" customFormat="1" ht="15.05" thickBot="1" x14ac:dyDescent="0.35">
      <c r="A82" s="4895"/>
      <c r="B82" s="5480"/>
      <c r="C82" s="4906"/>
      <c r="D82" s="4907"/>
      <c r="E82" s="4908"/>
      <c r="F82" s="5471"/>
      <c r="G82" s="5335"/>
      <c r="H82" s="5472"/>
      <c r="I82" s="4909" t="str">
        <f t="shared" si="8"/>
        <v/>
      </c>
      <c r="J82" s="4910"/>
      <c r="K82" s="4911">
        <f t="shared" si="9"/>
        <v>0</v>
      </c>
      <c r="L82" s="4912">
        <f t="shared" si="10"/>
        <v>0</v>
      </c>
      <c r="M82" s="4913">
        <f t="shared" si="11"/>
        <v>0</v>
      </c>
    </row>
    <row r="83" spans="1:13" s="3311" customFormat="1" ht="15.05" thickBot="1" x14ac:dyDescent="0.35">
      <c r="A83" s="4895"/>
      <c r="B83" s="5480"/>
      <c r="C83" s="4906"/>
      <c r="D83" s="4907"/>
      <c r="E83" s="4908"/>
      <c r="F83" s="5471"/>
      <c r="G83" s="5335"/>
      <c r="H83" s="5472"/>
      <c r="I83" s="4909" t="str">
        <f t="shared" si="8"/>
        <v/>
      </c>
      <c r="J83" s="4910"/>
      <c r="K83" s="4911">
        <f t="shared" si="9"/>
        <v>0</v>
      </c>
      <c r="L83" s="4912">
        <f t="shared" si="10"/>
        <v>0</v>
      </c>
      <c r="M83" s="4913">
        <f t="shared" si="11"/>
        <v>0</v>
      </c>
    </row>
    <row r="84" spans="1:13" s="3311" customFormat="1" ht="15.05" thickBot="1" x14ac:dyDescent="0.35">
      <c r="A84" s="4895"/>
      <c r="B84" s="5480"/>
      <c r="C84" s="4906"/>
      <c r="D84" s="4907"/>
      <c r="E84" s="4908"/>
      <c r="F84" s="5471"/>
      <c r="G84" s="5335"/>
      <c r="H84" s="5472"/>
      <c r="I84" s="4909" t="str">
        <f t="shared" si="8"/>
        <v/>
      </c>
      <c r="J84" s="4910"/>
      <c r="K84" s="4911">
        <f t="shared" si="9"/>
        <v>0</v>
      </c>
      <c r="L84" s="4912">
        <f t="shared" si="10"/>
        <v>0</v>
      </c>
      <c r="M84" s="4913">
        <f t="shared" si="11"/>
        <v>0</v>
      </c>
    </row>
    <row r="85" spans="1:13" s="3311" customFormat="1" ht="15.05" thickBot="1" x14ac:dyDescent="0.35">
      <c r="A85" s="4895"/>
      <c r="B85" s="5480"/>
      <c r="C85" s="4906"/>
      <c r="D85" s="4907"/>
      <c r="E85" s="4908"/>
      <c r="F85" s="5471"/>
      <c r="G85" s="5335"/>
      <c r="H85" s="5472"/>
      <c r="I85" s="4909" t="str">
        <f t="shared" si="8"/>
        <v/>
      </c>
      <c r="J85" s="4910"/>
      <c r="K85" s="4911">
        <f t="shared" si="9"/>
        <v>0</v>
      </c>
      <c r="L85" s="4912">
        <f t="shared" si="10"/>
        <v>0</v>
      </c>
      <c r="M85" s="4913">
        <f t="shared" si="11"/>
        <v>0</v>
      </c>
    </row>
    <row r="86" spans="1:13" s="3311" customFormat="1" ht="15.05" thickBot="1" x14ac:dyDescent="0.35">
      <c r="A86" s="4895"/>
      <c r="B86" s="5480"/>
      <c r="C86" s="4906"/>
      <c r="D86" s="4907"/>
      <c r="E86" s="4908"/>
      <c r="F86" s="5471"/>
      <c r="G86" s="5335"/>
      <c r="H86" s="5472"/>
      <c r="I86" s="4909" t="str">
        <f t="shared" si="8"/>
        <v/>
      </c>
      <c r="J86" s="4910"/>
      <c r="K86" s="4911">
        <f t="shared" si="9"/>
        <v>0</v>
      </c>
      <c r="L86" s="4912">
        <f t="shared" si="10"/>
        <v>0</v>
      </c>
      <c r="M86" s="4913">
        <f t="shared" si="11"/>
        <v>0</v>
      </c>
    </row>
    <row r="87" spans="1:13" s="3311" customFormat="1" ht="15.05" thickBot="1" x14ac:dyDescent="0.35">
      <c r="A87" s="4895"/>
      <c r="B87" s="5480"/>
      <c r="C87" s="4906"/>
      <c r="D87" s="4907"/>
      <c r="E87" s="4908"/>
      <c r="F87" s="5471"/>
      <c r="G87" s="5335"/>
      <c r="H87" s="5472"/>
      <c r="I87" s="4909" t="str">
        <f t="shared" si="8"/>
        <v/>
      </c>
      <c r="J87" s="4910"/>
      <c r="K87" s="4911">
        <f t="shared" si="9"/>
        <v>0</v>
      </c>
      <c r="L87" s="4912">
        <f t="shared" si="10"/>
        <v>0</v>
      </c>
      <c r="M87" s="4913">
        <f t="shared" si="11"/>
        <v>0</v>
      </c>
    </row>
    <row r="88" spans="1:13" s="3311" customFormat="1" ht="15.05" thickBot="1" x14ac:dyDescent="0.35">
      <c r="A88" s="4895"/>
      <c r="B88" s="5480"/>
      <c r="C88" s="4906"/>
      <c r="D88" s="4907"/>
      <c r="E88" s="4908"/>
      <c r="F88" s="5471"/>
      <c r="G88" s="5335"/>
      <c r="H88" s="5472"/>
      <c r="I88" s="4909" t="str">
        <f t="shared" ref="I88:I138" si="12">IF(B88=0,"",B88)</f>
        <v/>
      </c>
      <c r="J88" s="4910"/>
      <c r="K88" s="4911">
        <f t="shared" ref="K88:K132" si="13">IF(F88&gt;0,F88,C88)</f>
        <v>0</v>
      </c>
      <c r="L88" s="4912">
        <f>IF(G88&gt;0,G88,D88)</f>
        <v>0</v>
      </c>
      <c r="M88" s="4913">
        <f t="shared" ref="M88:M132" si="14">IF(H88&gt;0,H88,E88)</f>
        <v>0</v>
      </c>
    </row>
    <row r="89" spans="1:13" s="3311" customFormat="1" ht="15.05" thickBot="1" x14ac:dyDescent="0.35">
      <c r="A89" s="4895"/>
      <c r="B89" s="5480"/>
      <c r="C89" s="4906"/>
      <c r="D89" s="4907"/>
      <c r="E89" s="4908"/>
      <c r="F89" s="5471"/>
      <c r="G89" s="5335"/>
      <c r="H89" s="5472"/>
      <c r="I89" s="4909" t="str">
        <f t="shared" si="12"/>
        <v/>
      </c>
      <c r="J89" s="4910"/>
      <c r="K89" s="4911">
        <f t="shared" si="13"/>
        <v>0</v>
      </c>
      <c r="L89" s="4912">
        <f t="shared" ref="L89:L132" si="15">IF(G89&gt;0,G89,D89)</f>
        <v>0</v>
      </c>
      <c r="M89" s="4913">
        <f t="shared" si="14"/>
        <v>0</v>
      </c>
    </row>
    <row r="90" spans="1:13" s="3311" customFormat="1" ht="15.05" thickBot="1" x14ac:dyDescent="0.35">
      <c r="A90" s="4895"/>
      <c r="B90" s="5480"/>
      <c r="C90" s="4906"/>
      <c r="D90" s="4907"/>
      <c r="E90" s="4908"/>
      <c r="F90" s="5471"/>
      <c r="G90" s="5335"/>
      <c r="H90" s="5472"/>
      <c r="I90" s="4909" t="str">
        <f t="shared" si="12"/>
        <v/>
      </c>
      <c r="J90" s="4910"/>
      <c r="K90" s="4911">
        <f t="shared" si="13"/>
        <v>0</v>
      </c>
      <c r="L90" s="4912">
        <f t="shared" si="15"/>
        <v>0</v>
      </c>
      <c r="M90" s="4913">
        <f t="shared" si="14"/>
        <v>0</v>
      </c>
    </row>
    <row r="91" spans="1:13" s="3311" customFormat="1" ht="15.05" thickBot="1" x14ac:dyDescent="0.35">
      <c r="A91" s="4895"/>
      <c r="B91" s="5480"/>
      <c r="C91" s="4906"/>
      <c r="D91" s="4907"/>
      <c r="E91" s="4908"/>
      <c r="F91" s="5471"/>
      <c r="G91" s="5335"/>
      <c r="H91" s="5472"/>
      <c r="I91" s="4909" t="str">
        <f t="shared" si="12"/>
        <v/>
      </c>
      <c r="J91" s="4910"/>
      <c r="K91" s="4911">
        <f t="shared" si="13"/>
        <v>0</v>
      </c>
      <c r="L91" s="4912">
        <f t="shared" si="15"/>
        <v>0</v>
      </c>
      <c r="M91" s="4913">
        <f t="shared" si="14"/>
        <v>0</v>
      </c>
    </row>
    <row r="92" spans="1:13" s="3311" customFormat="1" ht="15.05" thickBot="1" x14ac:dyDescent="0.35">
      <c r="A92" s="4895"/>
      <c r="B92" s="5480"/>
      <c r="C92" s="4906"/>
      <c r="D92" s="4907"/>
      <c r="E92" s="4908"/>
      <c r="F92" s="5471"/>
      <c r="G92" s="5335"/>
      <c r="H92" s="5472"/>
      <c r="I92" s="4909" t="str">
        <f t="shared" si="12"/>
        <v/>
      </c>
      <c r="J92" s="4910"/>
      <c r="K92" s="4911">
        <f t="shared" si="13"/>
        <v>0</v>
      </c>
      <c r="L92" s="4912">
        <f t="shared" si="15"/>
        <v>0</v>
      </c>
      <c r="M92" s="4913">
        <f t="shared" si="14"/>
        <v>0</v>
      </c>
    </row>
    <row r="93" spans="1:13" s="3311" customFormat="1" ht="15.05" thickBot="1" x14ac:dyDescent="0.35">
      <c r="A93" s="4895"/>
      <c r="B93" s="5480"/>
      <c r="C93" s="4906"/>
      <c r="D93" s="4907"/>
      <c r="E93" s="4908"/>
      <c r="F93" s="5471"/>
      <c r="G93" s="5335"/>
      <c r="H93" s="5472"/>
      <c r="I93" s="4909" t="str">
        <f t="shared" si="12"/>
        <v/>
      </c>
      <c r="J93" s="4910"/>
      <c r="K93" s="4911">
        <f t="shared" si="13"/>
        <v>0</v>
      </c>
      <c r="L93" s="4912">
        <f t="shared" si="15"/>
        <v>0</v>
      </c>
      <c r="M93" s="4913">
        <f t="shared" si="14"/>
        <v>0</v>
      </c>
    </row>
    <row r="94" spans="1:13" s="3311" customFormat="1" ht="15.05" thickBot="1" x14ac:dyDescent="0.35">
      <c r="A94" s="4895"/>
      <c r="B94" s="5480"/>
      <c r="C94" s="4906"/>
      <c r="D94" s="4907"/>
      <c r="E94" s="4908"/>
      <c r="F94" s="5471"/>
      <c r="G94" s="5335"/>
      <c r="H94" s="5472"/>
      <c r="I94" s="4909" t="str">
        <f t="shared" si="12"/>
        <v/>
      </c>
      <c r="J94" s="4910"/>
      <c r="K94" s="4911">
        <f t="shared" si="13"/>
        <v>0</v>
      </c>
      <c r="L94" s="4912">
        <f t="shared" si="15"/>
        <v>0</v>
      </c>
      <c r="M94" s="4913">
        <f t="shared" si="14"/>
        <v>0</v>
      </c>
    </row>
    <row r="95" spans="1:13" s="3311" customFormat="1" ht="15.05" thickBot="1" x14ac:dyDescent="0.35">
      <c r="A95" s="4895"/>
      <c r="B95" s="5480"/>
      <c r="C95" s="4906"/>
      <c r="D95" s="4907"/>
      <c r="E95" s="4908"/>
      <c r="F95" s="5471"/>
      <c r="G95" s="5335"/>
      <c r="H95" s="5472"/>
      <c r="I95" s="4909" t="str">
        <f t="shared" si="12"/>
        <v/>
      </c>
      <c r="J95" s="4910"/>
      <c r="K95" s="4911">
        <f t="shared" si="13"/>
        <v>0</v>
      </c>
      <c r="L95" s="4912">
        <f t="shared" si="15"/>
        <v>0</v>
      </c>
      <c r="M95" s="4913">
        <f t="shared" si="14"/>
        <v>0</v>
      </c>
    </row>
    <row r="96" spans="1:13" s="3311" customFormat="1" ht="15.05" thickBot="1" x14ac:dyDescent="0.35">
      <c r="A96" s="4895"/>
      <c r="B96" s="5480"/>
      <c r="C96" s="4906"/>
      <c r="D96" s="4907"/>
      <c r="E96" s="4908"/>
      <c r="F96" s="5471"/>
      <c r="G96" s="5335"/>
      <c r="H96" s="5472"/>
      <c r="I96" s="4909" t="str">
        <f t="shared" si="12"/>
        <v/>
      </c>
      <c r="J96" s="4910"/>
      <c r="K96" s="4911">
        <f t="shared" si="13"/>
        <v>0</v>
      </c>
      <c r="L96" s="4912">
        <f t="shared" si="15"/>
        <v>0</v>
      </c>
      <c r="M96" s="4913">
        <f t="shared" si="14"/>
        <v>0</v>
      </c>
    </row>
    <row r="97" spans="1:13" s="3311" customFormat="1" ht="15.05" thickBot="1" x14ac:dyDescent="0.35">
      <c r="A97" s="4895"/>
      <c r="B97" s="5480"/>
      <c r="C97" s="4906"/>
      <c r="D97" s="4907"/>
      <c r="E97" s="4908"/>
      <c r="F97" s="5471"/>
      <c r="G97" s="5335"/>
      <c r="H97" s="5472"/>
      <c r="I97" s="4909" t="str">
        <f t="shared" si="12"/>
        <v/>
      </c>
      <c r="J97" s="4910"/>
      <c r="K97" s="4911">
        <f t="shared" si="13"/>
        <v>0</v>
      </c>
      <c r="L97" s="4912">
        <f t="shared" si="15"/>
        <v>0</v>
      </c>
      <c r="M97" s="4913">
        <f t="shared" si="14"/>
        <v>0</v>
      </c>
    </row>
    <row r="98" spans="1:13" s="3311" customFormat="1" ht="15.05" thickBot="1" x14ac:dyDescent="0.35">
      <c r="A98" s="4895"/>
      <c r="B98" s="5480"/>
      <c r="C98" s="4906"/>
      <c r="D98" s="4907"/>
      <c r="E98" s="4908"/>
      <c r="F98" s="5471"/>
      <c r="G98" s="5335"/>
      <c r="H98" s="5472"/>
      <c r="I98" s="4909" t="str">
        <f t="shared" si="12"/>
        <v/>
      </c>
      <c r="J98" s="4910"/>
      <c r="K98" s="4911">
        <f t="shared" si="13"/>
        <v>0</v>
      </c>
      <c r="L98" s="4912">
        <f t="shared" si="15"/>
        <v>0</v>
      </c>
      <c r="M98" s="4913">
        <f t="shared" si="14"/>
        <v>0</v>
      </c>
    </row>
    <row r="99" spans="1:13" s="3311" customFormat="1" ht="15.05" thickBot="1" x14ac:dyDescent="0.35">
      <c r="A99" s="4895"/>
      <c r="B99" s="5480"/>
      <c r="C99" s="4906"/>
      <c r="D99" s="4907"/>
      <c r="E99" s="4908"/>
      <c r="F99" s="5471"/>
      <c r="G99" s="5335"/>
      <c r="H99" s="5472"/>
      <c r="I99" s="4909" t="str">
        <f t="shared" si="12"/>
        <v/>
      </c>
      <c r="J99" s="4910"/>
      <c r="K99" s="4911">
        <f t="shared" si="13"/>
        <v>0</v>
      </c>
      <c r="L99" s="4912">
        <f t="shared" si="15"/>
        <v>0</v>
      </c>
      <c r="M99" s="4913">
        <f t="shared" si="14"/>
        <v>0</v>
      </c>
    </row>
    <row r="100" spans="1:13" s="3311" customFormat="1" ht="15.05" thickBot="1" x14ac:dyDescent="0.35">
      <c r="A100" s="4895"/>
      <c r="B100" s="5480"/>
      <c r="C100" s="4906"/>
      <c r="D100" s="4907"/>
      <c r="E100" s="4908"/>
      <c r="F100" s="5471"/>
      <c r="G100" s="5335"/>
      <c r="H100" s="5472"/>
      <c r="I100" s="4909" t="str">
        <f t="shared" si="12"/>
        <v/>
      </c>
      <c r="J100" s="4910"/>
      <c r="K100" s="4911">
        <f t="shared" si="13"/>
        <v>0</v>
      </c>
      <c r="L100" s="4912">
        <f t="shared" si="15"/>
        <v>0</v>
      </c>
      <c r="M100" s="4913">
        <f t="shared" si="14"/>
        <v>0</v>
      </c>
    </row>
    <row r="101" spans="1:13" s="3311" customFormat="1" ht="15.05" thickBot="1" x14ac:dyDescent="0.35">
      <c r="A101" s="4895"/>
      <c r="B101" s="5480"/>
      <c r="C101" s="4906"/>
      <c r="D101" s="4907"/>
      <c r="E101" s="4908"/>
      <c r="F101" s="5471"/>
      <c r="G101" s="5335"/>
      <c r="H101" s="5472"/>
      <c r="I101" s="4909" t="str">
        <f t="shared" si="12"/>
        <v/>
      </c>
      <c r="J101" s="4910"/>
      <c r="K101" s="4911">
        <f t="shared" si="13"/>
        <v>0</v>
      </c>
      <c r="L101" s="4912">
        <f t="shared" si="15"/>
        <v>0</v>
      </c>
      <c r="M101" s="4913">
        <f t="shared" si="14"/>
        <v>0</v>
      </c>
    </row>
    <row r="102" spans="1:13" s="3311" customFormat="1" ht="15.05" thickBot="1" x14ac:dyDescent="0.35">
      <c r="A102" s="4895"/>
      <c r="B102" s="5480"/>
      <c r="C102" s="4906"/>
      <c r="D102" s="4907"/>
      <c r="E102" s="4908"/>
      <c r="F102" s="5471"/>
      <c r="G102" s="5335"/>
      <c r="H102" s="5472"/>
      <c r="I102" s="4909" t="str">
        <f t="shared" si="12"/>
        <v/>
      </c>
      <c r="J102" s="4910"/>
      <c r="K102" s="4911">
        <f t="shared" si="13"/>
        <v>0</v>
      </c>
      <c r="L102" s="4912">
        <f t="shared" si="15"/>
        <v>0</v>
      </c>
      <c r="M102" s="4913">
        <f t="shared" si="14"/>
        <v>0</v>
      </c>
    </row>
    <row r="103" spans="1:13" s="3311" customFormat="1" ht="15.05" thickBot="1" x14ac:dyDescent="0.35">
      <c r="A103" s="4895"/>
      <c r="B103" s="5480"/>
      <c r="C103" s="4906"/>
      <c r="D103" s="4907"/>
      <c r="E103" s="4908"/>
      <c r="F103" s="5471"/>
      <c r="G103" s="5335"/>
      <c r="H103" s="5472"/>
      <c r="I103" s="4909" t="str">
        <f t="shared" si="12"/>
        <v/>
      </c>
      <c r="J103" s="4910"/>
      <c r="K103" s="4911">
        <f t="shared" si="13"/>
        <v>0</v>
      </c>
      <c r="L103" s="4912">
        <f t="shared" si="15"/>
        <v>0</v>
      </c>
      <c r="M103" s="4913">
        <f t="shared" si="14"/>
        <v>0</v>
      </c>
    </row>
    <row r="104" spans="1:13" s="3311" customFormat="1" ht="15.05" thickBot="1" x14ac:dyDescent="0.35">
      <c r="A104" s="4895"/>
      <c r="B104" s="5480"/>
      <c r="C104" s="4906"/>
      <c r="D104" s="4907"/>
      <c r="E104" s="4908"/>
      <c r="F104" s="5471"/>
      <c r="G104" s="5335"/>
      <c r="H104" s="5472"/>
      <c r="I104" s="4909" t="str">
        <f t="shared" si="12"/>
        <v/>
      </c>
      <c r="J104" s="4910"/>
      <c r="K104" s="4911">
        <f t="shared" si="13"/>
        <v>0</v>
      </c>
      <c r="L104" s="4912">
        <f t="shared" si="15"/>
        <v>0</v>
      </c>
      <c r="M104" s="4913">
        <f t="shared" si="14"/>
        <v>0</v>
      </c>
    </row>
    <row r="105" spans="1:13" s="3311" customFormat="1" ht="15.05" thickBot="1" x14ac:dyDescent="0.35">
      <c r="A105" s="4895"/>
      <c r="B105" s="5480"/>
      <c r="C105" s="4906"/>
      <c r="D105" s="4907"/>
      <c r="E105" s="4908"/>
      <c r="F105" s="5471"/>
      <c r="G105" s="5335"/>
      <c r="H105" s="5472"/>
      <c r="I105" s="4909" t="str">
        <f t="shared" si="12"/>
        <v/>
      </c>
      <c r="J105" s="4910"/>
      <c r="K105" s="4911">
        <f t="shared" si="13"/>
        <v>0</v>
      </c>
      <c r="L105" s="4912">
        <f t="shared" si="15"/>
        <v>0</v>
      </c>
      <c r="M105" s="4913">
        <f t="shared" si="14"/>
        <v>0</v>
      </c>
    </row>
    <row r="106" spans="1:13" s="3311" customFormat="1" ht="15.05" thickBot="1" x14ac:dyDescent="0.35">
      <c r="A106" s="4895"/>
      <c r="B106" s="5480"/>
      <c r="C106" s="4906"/>
      <c r="D106" s="4907"/>
      <c r="E106" s="4908"/>
      <c r="F106" s="5471"/>
      <c r="G106" s="5335"/>
      <c r="H106" s="5472"/>
      <c r="I106" s="4909" t="str">
        <f t="shared" si="12"/>
        <v/>
      </c>
      <c r="J106" s="4910"/>
      <c r="K106" s="4911">
        <f t="shared" si="13"/>
        <v>0</v>
      </c>
      <c r="L106" s="4912">
        <f t="shared" si="15"/>
        <v>0</v>
      </c>
      <c r="M106" s="4913">
        <f t="shared" si="14"/>
        <v>0</v>
      </c>
    </row>
    <row r="107" spans="1:13" s="3311" customFormat="1" ht="15.05" thickBot="1" x14ac:dyDescent="0.35">
      <c r="A107" s="4895"/>
      <c r="B107" s="5480"/>
      <c r="C107" s="4906"/>
      <c r="D107" s="4907"/>
      <c r="E107" s="4908"/>
      <c r="F107" s="5471"/>
      <c r="G107" s="5335"/>
      <c r="H107" s="5472"/>
      <c r="I107" s="4909" t="str">
        <f t="shared" si="12"/>
        <v/>
      </c>
      <c r="J107" s="4910"/>
      <c r="K107" s="4911">
        <f t="shared" si="13"/>
        <v>0</v>
      </c>
      <c r="L107" s="4912">
        <f t="shared" si="15"/>
        <v>0</v>
      </c>
      <c r="M107" s="4913">
        <f t="shared" si="14"/>
        <v>0</v>
      </c>
    </row>
    <row r="108" spans="1:13" s="3311" customFormat="1" ht="15.05" thickBot="1" x14ac:dyDescent="0.35">
      <c r="A108" s="4895"/>
      <c r="B108" s="5480"/>
      <c r="C108" s="4906"/>
      <c r="D108" s="4907"/>
      <c r="E108" s="4908"/>
      <c r="F108" s="5471"/>
      <c r="G108" s="5335"/>
      <c r="H108" s="5472"/>
      <c r="I108" s="4909" t="str">
        <f t="shared" si="12"/>
        <v/>
      </c>
      <c r="J108" s="4910"/>
      <c r="K108" s="4911">
        <f t="shared" si="13"/>
        <v>0</v>
      </c>
      <c r="L108" s="4912">
        <f t="shared" si="15"/>
        <v>0</v>
      </c>
      <c r="M108" s="4913">
        <f t="shared" si="14"/>
        <v>0</v>
      </c>
    </row>
    <row r="109" spans="1:13" s="3311" customFormat="1" ht="15.05" thickBot="1" x14ac:dyDescent="0.35">
      <c r="A109" s="4895"/>
      <c r="B109" s="5480"/>
      <c r="C109" s="4906"/>
      <c r="D109" s="4907"/>
      <c r="E109" s="4908"/>
      <c r="F109" s="5471"/>
      <c r="G109" s="5335"/>
      <c r="H109" s="5472"/>
      <c r="I109" s="4909" t="str">
        <f t="shared" si="12"/>
        <v/>
      </c>
      <c r="J109" s="4910"/>
      <c r="K109" s="4911">
        <f t="shared" si="13"/>
        <v>0</v>
      </c>
      <c r="L109" s="4912">
        <f t="shared" si="15"/>
        <v>0</v>
      </c>
      <c r="M109" s="4913">
        <f t="shared" si="14"/>
        <v>0</v>
      </c>
    </row>
    <row r="110" spans="1:13" s="3311" customFormat="1" ht="15.05" thickBot="1" x14ac:dyDescent="0.35">
      <c r="A110" s="4895"/>
      <c r="B110" s="5480"/>
      <c r="C110" s="4906"/>
      <c r="D110" s="4907"/>
      <c r="E110" s="4908"/>
      <c r="F110" s="5471"/>
      <c r="G110" s="5335"/>
      <c r="H110" s="5472"/>
      <c r="I110" s="4909" t="str">
        <f t="shared" si="12"/>
        <v/>
      </c>
      <c r="J110" s="4910"/>
      <c r="K110" s="4911">
        <f t="shared" si="13"/>
        <v>0</v>
      </c>
      <c r="L110" s="4912">
        <f t="shared" si="15"/>
        <v>0</v>
      </c>
      <c r="M110" s="4913">
        <f t="shared" si="14"/>
        <v>0</v>
      </c>
    </row>
    <row r="111" spans="1:13" s="3311" customFormat="1" ht="15.05" thickBot="1" x14ac:dyDescent="0.35">
      <c r="A111" s="4895"/>
      <c r="B111" s="5480"/>
      <c r="C111" s="4906"/>
      <c r="D111" s="4907"/>
      <c r="E111" s="4908"/>
      <c r="F111" s="5471"/>
      <c r="G111" s="5335"/>
      <c r="H111" s="5472"/>
      <c r="I111" s="4909" t="str">
        <f t="shared" si="12"/>
        <v/>
      </c>
      <c r="J111" s="4910"/>
      <c r="K111" s="4911">
        <f t="shared" si="13"/>
        <v>0</v>
      </c>
      <c r="L111" s="4912">
        <f t="shared" si="15"/>
        <v>0</v>
      </c>
      <c r="M111" s="4913">
        <f t="shared" si="14"/>
        <v>0</v>
      </c>
    </row>
    <row r="112" spans="1:13" s="3311" customFormat="1" ht="15.05" thickBot="1" x14ac:dyDescent="0.35">
      <c r="A112" s="4895"/>
      <c r="B112" s="5480"/>
      <c r="C112" s="4906"/>
      <c r="D112" s="4907"/>
      <c r="E112" s="4908"/>
      <c r="F112" s="5471"/>
      <c r="G112" s="5335"/>
      <c r="H112" s="5472"/>
      <c r="I112" s="4909" t="str">
        <f t="shared" si="12"/>
        <v/>
      </c>
      <c r="J112" s="4910"/>
      <c r="K112" s="4911">
        <f t="shared" si="13"/>
        <v>0</v>
      </c>
      <c r="L112" s="4912">
        <f t="shared" si="15"/>
        <v>0</v>
      </c>
      <c r="M112" s="4913">
        <f t="shared" si="14"/>
        <v>0</v>
      </c>
    </row>
    <row r="113" spans="1:13" s="3311" customFormat="1" ht="15.05" thickBot="1" x14ac:dyDescent="0.35">
      <c r="A113" s="4895"/>
      <c r="B113" s="5480"/>
      <c r="C113" s="4906"/>
      <c r="D113" s="4907"/>
      <c r="E113" s="4908"/>
      <c r="F113" s="5471"/>
      <c r="G113" s="5335"/>
      <c r="H113" s="5472"/>
      <c r="I113" s="4909" t="str">
        <f t="shared" si="12"/>
        <v/>
      </c>
      <c r="J113" s="4910"/>
      <c r="K113" s="4911">
        <f t="shared" si="13"/>
        <v>0</v>
      </c>
      <c r="L113" s="4912">
        <f t="shared" si="15"/>
        <v>0</v>
      </c>
      <c r="M113" s="4913">
        <f t="shared" si="14"/>
        <v>0</v>
      </c>
    </row>
    <row r="114" spans="1:13" s="3311" customFormat="1" ht="15.05" thickBot="1" x14ac:dyDescent="0.35">
      <c r="A114" s="4895"/>
      <c r="B114" s="5480"/>
      <c r="C114" s="4906"/>
      <c r="D114" s="4907"/>
      <c r="E114" s="4908"/>
      <c r="F114" s="5471"/>
      <c r="G114" s="5335"/>
      <c r="H114" s="5472"/>
      <c r="I114" s="4909" t="str">
        <f t="shared" si="12"/>
        <v/>
      </c>
      <c r="J114" s="4910"/>
      <c r="K114" s="4911">
        <f t="shared" si="13"/>
        <v>0</v>
      </c>
      <c r="L114" s="4912">
        <f t="shared" si="15"/>
        <v>0</v>
      </c>
      <c r="M114" s="4913">
        <f t="shared" si="14"/>
        <v>0</v>
      </c>
    </row>
    <row r="115" spans="1:13" s="3311" customFormat="1" ht="15.05" thickBot="1" x14ac:dyDescent="0.35">
      <c r="A115" s="4895"/>
      <c r="B115" s="5480"/>
      <c r="C115" s="4906"/>
      <c r="D115" s="4907"/>
      <c r="E115" s="4908"/>
      <c r="F115" s="5471"/>
      <c r="G115" s="5335"/>
      <c r="H115" s="5472"/>
      <c r="I115" s="4909" t="str">
        <f t="shared" si="12"/>
        <v/>
      </c>
      <c r="J115" s="4910"/>
      <c r="K115" s="4911">
        <f t="shared" si="13"/>
        <v>0</v>
      </c>
      <c r="L115" s="4912">
        <f t="shared" si="15"/>
        <v>0</v>
      </c>
      <c r="M115" s="4913">
        <f t="shared" si="14"/>
        <v>0</v>
      </c>
    </row>
    <row r="116" spans="1:13" s="3311" customFormat="1" ht="15.05" thickBot="1" x14ac:dyDescent="0.35">
      <c r="A116" s="4895"/>
      <c r="B116" s="5480"/>
      <c r="C116" s="4906"/>
      <c r="D116" s="4907"/>
      <c r="E116" s="4908"/>
      <c r="F116" s="5471"/>
      <c r="G116" s="5335"/>
      <c r="H116" s="5472"/>
      <c r="I116" s="4909" t="str">
        <f t="shared" si="12"/>
        <v/>
      </c>
      <c r="J116" s="4910"/>
      <c r="K116" s="4911">
        <f t="shared" si="13"/>
        <v>0</v>
      </c>
      <c r="L116" s="4912">
        <f t="shared" si="15"/>
        <v>0</v>
      </c>
      <c r="M116" s="4913">
        <f t="shared" si="14"/>
        <v>0</v>
      </c>
    </row>
    <row r="117" spans="1:13" s="3311" customFormat="1" ht="15.05" thickBot="1" x14ac:dyDescent="0.35">
      <c r="A117" s="4895"/>
      <c r="B117" s="5480"/>
      <c r="C117" s="4906"/>
      <c r="D117" s="4907"/>
      <c r="E117" s="4908"/>
      <c r="F117" s="5471"/>
      <c r="G117" s="5335"/>
      <c r="H117" s="5472"/>
      <c r="I117" s="4909" t="str">
        <f t="shared" si="12"/>
        <v/>
      </c>
      <c r="J117" s="4910"/>
      <c r="K117" s="4911">
        <f t="shared" si="13"/>
        <v>0</v>
      </c>
      <c r="L117" s="4912">
        <f t="shared" si="15"/>
        <v>0</v>
      </c>
      <c r="M117" s="4913">
        <f t="shared" si="14"/>
        <v>0</v>
      </c>
    </row>
    <row r="118" spans="1:13" s="3311" customFormat="1" ht="15.05" thickBot="1" x14ac:dyDescent="0.35">
      <c r="A118" s="4895"/>
      <c r="B118" s="5480"/>
      <c r="C118" s="4906"/>
      <c r="D118" s="4907"/>
      <c r="E118" s="4908"/>
      <c r="F118" s="5471"/>
      <c r="G118" s="5335"/>
      <c r="H118" s="5472"/>
      <c r="I118" s="4909" t="str">
        <f t="shared" si="12"/>
        <v/>
      </c>
      <c r="J118" s="4910"/>
      <c r="K118" s="4911">
        <f t="shared" si="13"/>
        <v>0</v>
      </c>
      <c r="L118" s="4912">
        <f t="shared" si="15"/>
        <v>0</v>
      </c>
      <c r="M118" s="4913">
        <f t="shared" si="14"/>
        <v>0</v>
      </c>
    </row>
    <row r="119" spans="1:13" s="3311" customFormat="1" ht="15.05" thickBot="1" x14ac:dyDescent="0.35">
      <c r="A119" s="4895"/>
      <c r="B119" s="5480"/>
      <c r="C119" s="4906"/>
      <c r="D119" s="4907"/>
      <c r="E119" s="4908"/>
      <c r="F119" s="5471"/>
      <c r="G119" s="5335"/>
      <c r="H119" s="5472"/>
      <c r="I119" s="4909" t="str">
        <f t="shared" si="12"/>
        <v/>
      </c>
      <c r="J119" s="4910"/>
      <c r="K119" s="4911">
        <f t="shared" si="13"/>
        <v>0</v>
      </c>
      <c r="L119" s="4912">
        <f t="shared" si="15"/>
        <v>0</v>
      </c>
      <c r="M119" s="4913">
        <f t="shared" si="14"/>
        <v>0</v>
      </c>
    </row>
    <row r="120" spans="1:13" s="3311" customFormat="1" ht="15.05" thickBot="1" x14ac:dyDescent="0.35">
      <c r="A120" s="4895"/>
      <c r="B120" s="5480"/>
      <c r="C120" s="4906"/>
      <c r="D120" s="4907"/>
      <c r="E120" s="4908"/>
      <c r="F120" s="5471"/>
      <c r="G120" s="5335"/>
      <c r="H120" s="5472"/>
      <c r="I120" s="4909" t="str">
        <f t="shared" si="12"/>
        <v/>
      </c>
      <c r="J120" s="4910"/>
      <c r="K120" s="4911">
        <f t="shared" si="13"/>
        <v>0</v>
      </c>
      <c r="L120" s="4912">
        <f t="shared" si="15"/>
        <v>0</v>
      </c>
      <c r="M120" s="4913">
        <f t="shared" si="14"/>
        <v>0</v>
      </c>
    </row>
    <row r="121" spans="1:13" s="3311" customFormat="1" ht="15.05" thickBot="1" x14ac:dyDescent="0.35">
      <c r="A121" s="4895"/>
      <c r="B121" s="5480"/>
      <c r="C121" s="4906"/>
      <c r="D121" s="4907"/>
      <c r="E121" s="4908"/>
      <c r="F121" s="5471"/>
      <c r="G121" s="5335"/>
      <c r="H121" s="5472"/>
      <c r="I121" s="4909" t="str">
        <f t="shared" si="12"/>
        <v/>
      </c>
      <c r="J121" s="4910"/>
      <c r="K121" s="4911">
        <f t="shared" si="13"/>
        <v>0</v>
      </c>
      <c r="L121" s="4912">
        <f t="shared" si="15"/>
        <v>0</v>
      </c>
      <c r="M121" s="4913">
        <f t="shared" si="14"/>
        <v>0</v>
      </c>
    </row>
    <row r="122" spans="1:13" s="3311" customFormat="1" ht="15.05" thickBot="1" x14ac:dyDescent="0.35">
      <c r="A122" s="4895"/>
      <c r="B122" s="5480"/>
      <c r="C122" s="4906"/>
      <c r="D122" s="4907"/>
      <c r="E122" s="4908"/>
      <c r="F122" s="5471"/>
      <c r="G122" s="5335"/>
      <c r="H122" s="5472"/>
      <c r="I122" s="4909" t="str">
        <f t="shared" si="12"/>
        <v/>
      </c>
      <c r="J122" s="4910"/>
      <c r="K122" s="4911">
        <f t="shared" si="13"/>
        <v>0</v>
      </c>
      <c r="L122" s="4912">
        <f t="shared" si="15"/>
        <v>0</v>
      </c>
      <c r="M122" s="4913">
        <f t="shared" si="14"/>
        <v>0</v>
      </c>
    </row>
    <row r="123" spans="1:13" s="3311" customFormat="1" ht="15.05" thickBot="1" x14ac:dyDescent="0.35">
      <c r="A123" s="4895"/>
      <c r="B123" s="5480"/>
      <c r="C123" s="4906"/>
      <c r="D123" s="4907"/>
      <c r="E123" s="4908"/>
      <c r="F123" s="5471"/>
      <c r="G123" s="5335"/>
      <c r="H123" s="5472"/>
      <c r="I123" s="4909" t="str">
        <f t="shared" si="12"/>
        <v/>
      </c>
      <c r="J123" s="4910"/>
      <c r="K123" s="4911">
        <f t="shared" si="13"/>
        <v>0</v>
      </c>
      <c r="L123" s="4912">
        <f t="shared" si="15"/>
        <v>0</v>
      </c>
      <c r="M123" s="4913">
        <f t="shared" si="14"/>
        <v>0</v>
      </c>
    </row>
    <row r="124" spans="1:13" s="3311" customFormat="1" ht="15.05" thickBot="1" x14ac:dyDescent="0.35">
      <c r="A124" s="4895"/>
      <c r="B124" s="5480"/>
      <c r="C124" s="4906"/>
      <c r="D124" s="4907"/>
      <c r="E124" s="4908"/>
      <c r="F124" s="5471"/>
      <c r="G124" s="5335"/>
      <c r="H124" s="5472"/>
      <c r="I124" s="4909" t="str">
        <f t="shared" si="12"/>
        <v/>
      </c>
      <c r="J124" s="4910"/>
      <c r="K124" s="4911">
        <f t="shared" si="13"/>
        <v>0</v>
      </c>
      <c r="L124" s="4912">
        <f t="shared" si="15"/>
        <v>0</v>
      </c>
      <c r="M124" s="4913">
        <f t="shared" si="14"/>
        <v>0</v>
      </c>
    </row>
    <row r="125" spans="1:13" s="3311" customFormat="1" ht="15.05" thickBot="1" x14ac:dyDescent="0.35">
      <c r="A125" s="4895"/>
      <c r="B125" s="5480"/>
      <c r="C125" s="4906"/>
      <c r="D125" s="4907"/>
      <c r="E125" s="4908"/>
      <c r="F125" s="5471"/>
      <c r="G125" s="5335"/>
      <c r="H125" s="5472"/>
      <c r="I125" s="4909" t="str">
        <f t="shared" si="12"/>
        <v/>
      </c>
      <c r="J125" s="4910"/>
      <c r="K125" s="4911">
        <f t="shared" si="13"/>
        <v>0</v>
      </c>
      <c r="L125" s="4912">
        <f t="shared" si="15"/>
        <v>0</v>
      </c>
      <c r="M125" s="4913">
        <f t="shared" si="14"/>
        <v>0</v>
      </c>
    </row>
    <row r="126" spans="1:13" s="3311" customFormat="1" ht="15.05" thickBot="1" x14ac:dyDescent="0.35">
      <c r="A126" s="4895"/>
      <c r="B126" s="5480"/>
      <c r="C126" s="4906"/>
      <c r="D126" s="4907"/>
      <c r="E126" s="4908"/>
      <c r="F126" s="5471"/>
      <c r="G126" s="5335"/>
      <c r="H126" s="5472"/>
      <c r="I126" s="4909" t="str">
        <f t="shared" si="12"/>
        <v/>
      </c>
      <c r="J126" s="4910"/>
      <c r="K126" s="4911">
        <f t="shared" si="13"/>
        <v>0</v>
      </c>
      <c r="L126" s="4912">
        <f t="shared" si="15"/>
        <v>0</v>
      </c>
      <c r="M126" s="4913">
        <f t="shared" si="14"/>
        <v>0</v>
      </c>
    </row>
    <row r="127" spans="1:13" s="3311" customFormat="1" ht="15.05" thickBot="1" x14ac:dyDescent="0.35">
      <c r="A127" s="4895"/>
      <c r="B127" s="5480"/>
      <c r="C127" s="4906"/>
      <c r="D127" s="4907"/>
      <c r="E127" s="4908"/>
      <c r="F127" s="5471"/>
      <c r="G127" s="5335"/>
      <c r="H127" s="5472"/>
      <c r="I127" s="4909" t="str">
        <f t="shared" si="12"/>
        <v/>
      </c>
      <c r="J127" s="4910"/>
      <c r="K127" s="4911">
        <f t="shared" si="13"/>
        <v>0</v>
      </c>
      <c r="L127" s="4912">
        <f t="shared" si="15"/>
        <v>0</v>
      </c>
      <c r="M127" s="4913">
        <f t="shared" si="14"/>
        <v>0</v>
      </c>
    </row>
    <row r="128" spans="1:13" s="3311" customFormat="1" ht="15.05" thickBot="1" x14ac:dyDescent="0.35">
      <c r="A128" s="4895"/>
      <c r="B128" s="5480"/>
      <c r="C128" s="4906"/>
      <c r="D128" s="4907"/>
      <c r="E128" s="4908"/>
      <c r="F128" s="5471"/>
      <c r="G128" s="5335"/>
      <c r="H128" s="5472"/>
      <c r="I128" s="4909" t="str">
        <f t="shared" si="12"/>
        <v/>
      </c>
      <c r="J128" s="4910"/>
      <c r="K128" s="4911">
        <f t="shared" si="13"/>
        <v>0</v>
      </c>
      <c r="L128" s="4912">
        <f t="shared" si="15"/>
        <v>0</v>
      </c>
      <c r="M128" s="4913">
        <f t="shared" si="14"/>
        <v>0</v>
      </c>
    </row>
    <row r="129" spans="1:13" s="3311" customFormat="1" ht="15.05" thickBot="1" x14ac:dyDescent="0.35">
      <c r="A129" s="4895"/>
      <c r="B129" s="5480"/>
      <c r="C129" s="4906"/>
      <c r="D129" s="4907"/>
      <c r="E129" s="4908"/>
      <c r="F129" s="5471"/>
      <c r="G129" s="5335"/>
      <c r="H129" s="5472"/>
      <c r="I129" s="4909" t="str">
        <f t="shared" si="12"/>
        <v/>
      </c>
      <c r="J129" s="4910"/>
      <c r="K129" s="4911">
        <f t="shared" si="13"/>
        <v>0</v>
      </c>
      <c r="L129" s="4912">
        <f t="shared" si="15"/>
        <v>0</v>
      </c>
      <c r="M129" s="4913">
        <f t="shared" si="14"/>
        <v>0</v>
      </c>
    </row>
    <row r="130" spans="1:13" s="3311" customFormat="1" ht="15.05" thickBot="1" x14ac:dyDescent="0.35">
      <c r="A130" s="4895"/>
      <c r="B130" s="5480"/>
      <c r="C130" s="4906"/>
      <c r="D130" s="4907"/>
      <c r="E130" s="4908"/>
      <c r="F130" s="5471"/>
      <c r="G130" s="5335"/>
      <c r="H130" s="5472"/>
      <c r="I130" s="4909" t="str">
        <f t="shared" si="12"/>
        <v/>
      </c>
      <c r="J130" s="4910"/>
      <c r="K130" s="4911">
        <f t="shared" si="13"/>
        <v>0</v>
      </c>
      <c r="L130" s="4912">
        <f t="shared" si="15"/>
        <v>0</v>
      </c>
      <c r="M130" s="4913">
        <f t="shared" si="14"/>
        <v>0</v>
      </c>
    </row>
    <row r="131" spans="1:13" s="3311" customFormat="1" ht="15.05" thickBot="1" x14ac:dyDescent="0.35">
      <c r="A131" s="4895"/>
      <c r="B131" s="5480"/>
      <c r="C131" s="4906"/>
      <c r="D131" s="4907"/>
      <c r="E131" s="4908"/>
      <c r="F131" s="5471"/>
      <c r="G131" s="5335"/>
      <c r="H131" s="5472"/>
      <c r="I131" s="4909" t="str">
        <f t="shared" si="12"/>
        <v/>
      </c>
      <c r="J131" s="4910"/>
      <c r="K131" s="4911">
        <f t="shared" si="13"/>
        <v>0</v>
      </c>
      <c r="L131" s="4912">
        <f t="shared" si="15"/>
        <v>0</v>
      </c>
      <c r="M131" s="4913">
        <f t="shared" si="14"/>
        <v>0</v>
      </c>
    </row>
    <row r="132" spans="1:13" s="3311" customFormat="1" ht="15.05" thickBot="1" x14ac:dyDescent="0.35">
      <c r="A132" s="4895"/>
      <c r="B132" s="5480"/>
      <c r="C132" s="4906"/>
      <c r="D132" s="4907"/>
      <c r="E132" s="4908"/>
      <c r="F132" s="5471"/>
      <c r="G132" s="5335"/>
      <c r="H132" s="5472"/>
      <c r="I132" s="4909" t="str">
        <f t="shared" si="12"/>
        <v/>
      </c>
      <c r="J132" s="4910"/>
      <c r="K132" s="4911">
        <f t="shared" si="13"/>
        <v>0</v>
      </c>
      <c r="L132" s="4912">
        <f t="shared" si="15"/>
        <v>0</v>
      </c>
      <c r="M132" s="4913">
        <f t="shared" si="14"/>
        <v>0</v>
      </c>
    </row>
    <row r="133" spans="1:13" s="3311" customFormat="1" ht="15.05" thickBot="1" x14ac:dyDescent="0.35">
      <c r="A133" s="4895"/>
      <c r="B133" s="5480"/>
      <c r="C133" s="4906"/>
      <c r="D133" s="4907"/>
      <c r="E133" s="4908"/>
      <c r="F133" s="5471"/>
      <c r="G133" s="5335"/>
      <c r="H133" s="5472"/>
      <c r="I133" s="4909" t="str">
        <f t="shared" si="12"/>
        <v/>
      </c>
      <c r="J133" s="4910"/>
      <c r="K133" s="4911">
        <f t="shared" ref="K133:K138" si="16">IF(F133&gt;0,F133,C133)</f>
        <v>0</v>
      </c>
      <c r="L133" s="4912">
        <f t="shared" ref="L133:L138" si="17">IF(G133&gt;0,G133,D133)</f>
        <v>0</v>
      </c>
      <c r="M133" s="4913">
        <f t="shared" ref="M133:M138" si="18">IF(H133&gt;0,H133,E133)</f>
        <v>0</v>
      </c>
    </row>
    <row r="134" spans="1:13" s="3311" customFormat="1" ht="15.05" thickBot="1" x14ac:dyDescent="0.35">
      <c r="A134" s="4895"/>
      <c r="B134" s="5480"/>
      <c r="C134" s="4906"/>
      <c r="D134" s="4907"/>
      <c r="E134" s="4908"/>
      <c r="F134" s="5471"/>
      <c r="G134" s="5335"/>
      <c r="H134" s="5472"/>
      <c r="I134" s="4909" t="str">
        <f t="shared" si="12"/>
        <v/>
      </c>
      <c r="J134" s="4910"/>
      <c r="K134" s="4911">
        <f t="shared" si="16"/>
        <v>0</v>
      </c>
      <c r="L134" s="4912">
        <f t="shared" si="17"/>
        <v>0</v>
      </c>
      <c r="M134" s="4913">
        <f t="shared" si="18"/>
        <v>0</v>
      </c>
    </row>
    <row r="135" spans="1:13" s="3311" customFormat="1" ht="15.05" thickBot="1" x14ac:dyDescent="0.35">
      <c r="A135" s="4895"/>
      <c r="B135" s="5480"/>
      <c r="C135" s="4906"/>
      <c r="D135" s="4907"/>
      <c r="E135" s="4908"/>
      <c r="F135" s="5471"/>
      <c r="G135" s="5335"/>
      <c r="H135" s="5472"/>
      <c r="I135" s="4909" t="str">
        <f t="shared" si="12"/>
        <v/>
      </c>
      <c r="J135" s="4910"/>
      <c r="K135" s="4911">
        <f t="shared" si="16"/>
        <v>0</v>
      </c>
      <c r="L135" s="4912">
        <f t="shared" si="17"/>
        <v>0</v>
      </c>
      <c r="M135" s="4913">
        <f t="shared" si="18"/>
        <v>0</v>
      </c>
    </row>
    <row r="136" spans="1:13" s="3311" customFormat="1" ht="15.05" thickBot="1" x14ac:dyDescent="0.35">
      <c r="A136" s="4895"/>
      <c r="B136" s="5480"/>
      <c r="C136" s="4906"/>
      <c r="D136" s="4907"/>
      <c r="E136" s="4908"/>
      <c r="F136" s="5471"/>
      <c r="G136" s="5335"/>
      <c r="H136" s="5472"/>
      <c r="I136" s="4909" t="str">
        <f t="shared" si="12"/>
        <v/>
      </c>
      <c r="J136" s="4910"/>
      <c r="K136" s="4911">
        <f t="shared" si="16"/>
        <v>0</v>
      </c>
      <c r="L136" s="4912">
        <f t="shared" si="17"/>
        <v>0</v>
      </c>
      <c r="M136" s="4913">
        <f t="shared" si="18"/>
        <v>0</v>
      </c>
    </row>
    <row r="137" spans="1:13" s="3311" customFormat="1" ht="15.05" thickBot="1" x14ac:dyDescent="0.35">
      <c r="A137" s="4895"/>
      <c r="B137" s="5480"/>
      <c r="C137" s="4906"/>
      <c r="D137" s="4907"/>
      <c r="E137" s="4908"/>
      <c r="F137" s="5471"/>
      <c r="G137" s="5335"/>
      <c r="H137" s="5472"/>
      <c r="I137" s="4909" t="str">
        <f t="shared" si="12"/>
        <v/>
      </c>
      <c r="J137" s="4910"/>
      <c r="K137" s="4911">
        <f t="shared" si="16"/>
        <v>0</v>
      </c>
      <c r="L137" s="4912">
        <f t="shared" si="17"/>
        <v>0</v>
      </c>
      <c r="M137" s="4913">
        <f t="shared" si="18"/>
        <v>0</v>
      </c>
    </row>
    <row r="138" spans="1:13" s="3311" customFormat="1" ht="15.05" thickBot="1" x14ac:dyDescent="0.35">
      <c r="A138" s="4895"/>
      <c r="B138" s="5481"/>
      <c r="C138" s="4916"/>
      <c r="D138" s="4917"/>
      <c r="E138" s="4918"/>
      <c r="F138" s="5477"/>
      <c r="G138" s="5333"/>
      <c r="H138" s="5478"/>
      <c r="I138" s="4919" t="str">
        <f t="shared" si="12"/>
        <v/>
      </c>
      <c r="J138" s="4920"/>
      <c r="K138" s="4921">
        <f t="shared" si="16"/>
        <v>0</v>
      </c>
      <c r="L138" s="4922">
        <f t="shared" si="17"/>
        <v>0</v>
      </c>
      <c r="M138" s="4923">
        <f t="shared" si="18"/>
        <v>0</v>
      </c>
    </row>
  </sheetData>
  <sheetProtection password="CF72" sheet="1" objects="1" scenarios="1"/>
  <sortState ref="A7:Y34">
    <sortCondition ref="B7:B34"/>
  </sortState>
  <mergeCells count="9">
    <mergeCell ref="C58:E58"/>
    <mergeCell ref="F58:H58"/>
    <mergeCell ref="K58:M58"/>
    <mergeCell ref="C4:E4"/>
    <mergeCell ref="F4:H4"/>
    <mergeCell ref="K4:M4"/>
    <mergeCell ref="C7:E7"/>
    <mergeCell ref="F7:H7"/>
    <mergeCell ref="K7:M7"/>
  </mergeCells>
  <conditionalFormatting sqref="A9:A36 F9:M36 A37:M56 B1:M1 N9:XFD57 A2:M5 A7:M8 N1:XFD5 B6:XFD8 N139:XFD1048576">
    <cfRule type="cellIs" dxfId="17" priority="39" operator="equal">
      <formula>0</formula>
    </cfRule>
  </conditionalFormatting>
  <conditionalFormatting sqref="B9:E14 B15 B16:E34 C35:E36">
    <cfRule type="cellIs" dxfId="16" priority="38" operator="equal">
      <formula>0</formula>
    </cfRule>
  </conditionalFormatting>
  <conditionalFormatting sqref="C15:E15">
    <cfRule type="cellIs" dxfId="15" priority="37" operator="equal">
      <formula>0</formula>
    </cfRule>
  </conditionalFormatting>
  <conditionalFormatting sqref="B57:M57">
    <cfRule type="cellIs" dxfId="14" priority="36" operator="equal">
      <formula>0</formula>
    </cfRule>
  </conditionalFormatting>
  <conditionalFormatting sqref="A58:XFD59">
    <cfRule type="cellIs" dxfId="13" priority="13" operator="equal">
      <formula>0</formula>
    </cfRule>
  </conditionalFormatting>
  <conditionalFormatting sqref="B35:B36">
    <cfRule type="cellIs" dxfId="12" priority="18" operator="equal">
      <formula>0</formula>
    </cfRule>
  </conditionalFormatting>
  <conditionalFormatting sqref="B60:E60">
    <cfRule type="cellIs" dxfId="11" priority="11" operator="equal">
      <formula>0</formula>
    </cfRule>
  </conditionalFormatting>
  <conditionalFormatting sqref="A61:A77 F61:XFD77">
    <cfRule type="cellIs" dxfId="10" priority="10" operator="equal">
      <formula>0</formula>
    </cfRule>
  </conditionalFormatting>
  <conditionalFormatting sqref="A60 F60:XFD60">
    <cfRule type="cellIs" dxfId="9" priority="12" operator="equal">
      <formula>0</formula>
    </cfRule>
  </conditionalFormatting>
  <conditionalFormatting sqref="B61:E65 B67:E71 B73:E77 B66 B72">
    <cfRule type="cellIs" dxfId="8" priority="9" operator="equal">
      <formula>0</formula>
    </cfRule>
  </conditionalFormatting>
  <conditionalFormatting sqref="C66:E66 C72:E72">
    <cfRule type="cellIs" dxfId="7" priority="8" operator="equal">
      <formula>0</formula>
    </cfRule>
  </conditionalFormatting>
  <conditionalFormatting sqref="A78 F78:XFD78">
    <cfRule type="cellIs" dxfId="6" priority="7" operator="equal">
      <formula>0</formula>
    </cfRule>
  </conditionalFormatting>
  <conditionalFormatting sqref="C78:E78">
    <cfRule type="cellIs" dxfId="5" priority="6" operator="equal">
      <formula>0</formula>
    </cfRule>
  </conditionalFormatting>
  <conditionalFormatting sqref="B78">
    <cfRule type="cellIs" dxfId="4" priority="5" operator="equal">
      <formula>0</formula>
    </cfRule>
  </conditionalFormatting>
  <conditionalFormatting sqref="A79:A138 F79:XFD138">
    <cfRule type="cellIs" dxfId="3" priority="4" operator="equal">
      <formula>0</formula>
    </cfRule>
  </conditionalFormatting>
  <conditionalFormatting sqref="C79:E138">
    <cfRule type="cellIs" dxfId="2" priority="3" operator="equal">
      <formula>0</formula>
    </cfRule>
  </conditionalFormatting>
  <conditionalFormatting sqref="B79:B138">
    <cfRule type="cellIs" dxfId="1" priority="2" operator="equal">
      <formula>0</formula>
    </cfRule>
  </conditionalFormatting>
  <conditionalFormatting sqref="A1">
    <cfRule type="cellIs" dxfId="0" priority="1" operator="equal">
      <formula>0</formula>
    </cfRule>
  </conditionalFormatting>
  <hyperlinks>
    <hyperlink ref="G2" location="Suplementos!B6:M56" display="Reservas "/>
    <hyperlink ref="K2" location="Suplementos!B57:M138" display="Concentrados "/>
    <hyperlink ref="A1" location="ManualGlobal!B27:D43" display="◄"/>
  </hyperlinks>
  <pageMargins left="0.7" right="0.7" top="0.75" bottom="0.75" header="0.3" footer="0.3"/>
  <pageSetup paperSize="9" orientation="portrait" r:id="rId1"/>
  <ignoredErrors>
    <ignoredError sqref="K37:M57 K88:M138 K9:M10 K60:M87 K12:M36 L11:M11"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M182"/>
  <sheetViews>
    <sheetView showGridLines="0" zoomScaleNormal="100" workbookViewId="0">
      <pane xSplit="1" ySplit="4" topLeftCell="B5" activePane="bottomRight" state="frozen"/>
      <selection pane="topRight" activeCell="B1" sqref="B1"/>
      <selection pane="bottomLeft" activeCell="A5" sqref="A5"/>
      <selection pane="bottomRight" activeCell="N21" sqref="N21"/>
    </sheetView>
  </sheetViews>
  <sheetFormatPr baseColWidth="10" defaultColWidth="11.375" defaultRowHeight="14.4" x14ac:dyDescent="0.2"/>
  <cols>
    <col min="1" max="1" width="3.875" style="141" customWidth="1"/>
    <col min="2" max="2" width="41.375" style="201" customWidth="1"/>
    <col min="3" max="3" width="14" style="141" customWidth="1"/>
    <col min="4" max="11" width="12" style="141" customWidth="1"/>
    <col min="12" max="12" width="13" style="141" customWidth="1"/>
    <col min="13" max="13" width="12" style="141" customWidth="1"/>
    <col min="14" max="16384" width="11.375" style="141"/>
  </cols>
  <sheetData>
    <row r="1" spans="1:12" ht="17.7" x14ac:dyDescent="0.3">
      <c r="A1" s="2461" t="s">
        <v>633</v>
      </c>
      <c r="B1" s="206" t="s">
        <v>1183</v>
      </c>
    </row>
    <row r="2" spans="1:12" x14ac:dyDescent="0.3">
      <c r="B2" s="2460" t="s">
        <v>418</v>
      </c>
      <c r="D2" s="2460" t="s">
        <v>1201</v>
      </c>
      <c r="E2" s="981"/>
      <c r="F2" s="981"/>
      <c r="H2" s="981" t="s">
        <v>2414</v>
      </c>
      <c r="I2" s="981"/>
      <c r="J2" s="2385"/>
      <c r="K2" s="4926" t="s">
        <v>644</v>
      </c>
      <c r="L2" s="4926"/>
    </row>
    <row r="3" spans="1:12" x14ac:dyDescent="0.3">
      <c r="B3" s="2460" t="s">
        <v>641</v>
      </c>
      <c r="D3" s="2460" t="s">
        <v>769</v>
      </c>
      <c r="E3" s="981"/>
      <c r="F3" s="981"/>
      <c r="H3" s="981" t="s">
        <v>421</v>
      </c>
      <c r="I3" s="981"/>
      <c r="J3" s="2385"/>
      <c r="K3" s="981" t="s">
        <v>845</v>
      </c>
      <c r="L3" s="981"/>
    </row>
    <row r="4" spans="1:12" ht="15.05" thickBot="1" x14ac:dyDescent="0.25">
      <c r="B4" s="141"/>
    </row>
    <row r="5" spans="1:12" ht="15.05" thickBot="1" x14ac:dyDescent="0.25">
      <c r="A5" s="1344">
        <v>1</v>
      </c>
      <c r="B5" s="142" t="s">
        <v>178</v>
      </c>
      <c r="C5" s="4933" t="s">
        <v>0</v>
      </c>
    </row>
    <row r="7" spans="1:12" ht="15.05" thickBot="1" x14ac:dyDescent="0.25"/>
    <row r="8" spans="1:12" ht="15.05" thickBot="1" x14ac:dyDescent="0.25">
      <c r="A8" s="1344">
        <f>+A5+1</f>
        <v>2</v>
      </c>
      <c r="B8" s="143" t="s">
        <v>973</v>
      </c>
      <c r="C8" s="144"/>
    </row>
    <row r="9" spans="1:12" ht="17.2" customHeight="1" x14ac:dyDescent="0.2">
      <c r="A9" s="739"/>
      <c r="B9" s="1369" t="s">
        <v>974</v>
      </c>
      <c r="C9" s="4934"/>
    </row>
    <row r="10" spans="1:12" ht="17.2" customHeight="1" x14ac:dyDescent="0.2">
      <c r="B10" s="1370" t="s">
        <v>975</v>
      </c>
      <c r="C10" s="4935"/>
    </row>
    <row r="11" spans="1:12" ht="17.2" customHeight="1" thickBot="1" x14ac:dyDescent="0.25">
      <c r="B11" s="1371" t="s">
        <v>1193</v>
      </c>
      <c r="C11" s="146">
        <f>C9-C10</f>
        <v>0</v>
      </c>
    </row>
    <row r="12" spans="1:12" x14ac:dyDescent="0.2">
      <c r="B12" s="1354"/>
      <c r="D12" s="1353"/>
    </row>
    <row r="13" spans="1:12" ht="15.05" thickBot="1" x14ac:dyDescent="0.25"/>
    <row r="14" spans="1:12" ht="15.05" thickBot="1" x14ac:dyDescent="0.25">
      <c r="A14" s="1344">
        <f>+A8+1</f>
        <v>3</v>
      </c>
      <c r="B14" s="142" t="s">
        <v>902</v>
      </c>
      <c r="C14" s="147"/>
      <c r="D14" s="147"/>
      <c r="E14" s="147"/>
      <c r="F14" s="147"/>
      <c r="G14" s="147"/>
      <c r="H14" s="147"/>
      <c r="I14" s="148"/>
    </row>
    <row r="15" spans="1:12" ht="15.05" customHeight="1" x14ac:dyDescent="0.2">
      <c r="A15" s="739"/>
      <c r="B15" s="143"/>
      <c r="C15" s="149" t="s">
        <v>903</v>
      </c>
      <c r="D15" s="149"/>
      <c r="E15" s="149" t="s">
        <v>910</v>
      </c>
      <c r="F15" s="2452"/>
      <c r="G15" s="150"/>
      <c r="H15" s="151" t="s">
        <v>903</v>
      </c>
      <c r="I15" s="152"/>
    </row>
    <row r="16" spans="1:12" ht="15.05" customHeight="1" thickBot="1" x14ac:dyDescent="0.25">
      <c r="A16" s="739"/>
      <c r="B16" s="153" t="s">
        <v>185</v>
      </c>
      <c r="C16" s="154" t="s">
        <v>842</v>
      </c>
      <c r="D16" s="154" t="s">
        <v>906</v>
      </c>
      <c r="E16" s="154" t="s">
        <v>560</v>
      </c>
      <c r="F16" s="155" t="s">
        <v>184</v>
      </c>
      <c r="G16" s="154" t="s">
        <v>1101</v>
      </c>
      <c r="H16" s="154" t="s">
        <v>227</v>
      </c>
      <c r="I16" s="156" t="s">
        <v>226</v>
      </c>
    </row>
    <row r="17" spans="1:11" x14ac:dyDescent="0.2">
      <c r="B17" s="4936"/>
      <c r="C17" s="4937"/>
      <c r="D17" s="97">
        <f>IF(B17=0,0,VLOOKUP(B17,Suplementos!$I$9:$M$56,3,FALSE))</f>
        <v>0</v>
      </c>
      <c r="E17" s="1355">
        <f>IF(B17=0,0,VLOOKUP(B17,Suplementos!$I$9:$M$56,5,FALSE))</f>
        <v>0</v>
      </c>
      <c r="F17" s="1356">
        <f>IF(B17=0,0,VLOOKUP(B17,Suplementos!$I$9:$M$56,4,FALSE))</f>
        <v>0</v>
      </c>
      <c r="G17" s="1357">
        <f t="shared" ref="G17:G26" si="0">IFERROR(D17/100*C17,0)</f>
        <v>0</v>
      </c>
      <c r="H17" s="1358">
        <f t="shared" ref="H17:H26" si="1">IFERROR(G17*(E17),0)</f>
        <v>0</v>
      </c>
      <c r="I17" s="1359">
        <f t="shared" ref="I17:I26" si="2">IFERROR(G17*(F17/100),0)</f>
        <v>0</v>
      </c>
    </row>
    <row r="18" spans="1:11" x14ac:dyDescent="0.2">
      <c r="B18" s="4938"/>
      <c r="C18" s="4939"/>
      <c r="D18" s="97">
        <f>IF(B18=0,0,VLOOKUP(B18,Suplementos!$I$9:$M$56,3,FALSE))</f>
        <v>0</v>
      </c>
      <c r="E18" s="1355">
        <f>IF(B18=0,0,VLOOKUP(B18,Suplementos!$I$9:$M$56,5,FALSE))</f>
        <v>0</v>
      </c>
      <c r="F18" s="1356">
        <f>IF(B18=0,0,VLOOKUP(B18,Suplementos!$I$9:$M$56,4,FALSE))</f>
        <v>0</v>
      </c>
      <c r="G18" s="1360">
        <f t="shared" si="0"/>
        <v>0</v>
      </c>
      <c r="H18" s="1361">
        <f t="shared" si="1"/>
        <v>0</v>
      </c>
      <c r="I18" s="1362">
        <f t="shared" si="2"/>
        <v>0</v>
      </c>
    </row>
    <row r="19" spans="1:11" x14ac:dyDescent="0.2">
      <c r="B19" s="4938"/>
      <c r="C19" s="4939"/>
      <c r="D19" s="97">
        <f>IF(B19=0,0,VLOOKUP(B19,Suplementos!$I$9:$M$56,3,FALSE))</f>
        <v>0</v>
      </c>
      <c r="E19" s="1355">
        <f>IF(B19=0,0,VLOOKUP(B19,Suplementos!$I$9:$M$56,5,FALSE))</f>
        <v>0</v>
      </c>
      <c r="F19" s="1356">
        <f>IF(B19=0,0,VLOOKUP(B19,Suplementos!$I$9:$M$56,4,FALSE))</f>
        <v>0</v>
      </c>
      <c r="G19" s="1360">
        <f t="shared" si="0"/>
        <v>0</v>
      </c>
      <c r="H19" s="1361">
        <f t="shared" si="1"/>
        <v>0</v>
      </c>
      <c r="I19" s="1362">
        <f t="shared" si="2"/>
        <v>0</v>
      </c>
    </row>
    <row r="20" spans="1:11" x14ac:dyDescent="0.2">
      <c r="B20" s="4938"/>
      <c r="C20" s="4939"/>
      <c r="D20" s="97">
        <f>IF(B20=0,0,VLOOKUP(B20,Suplementos!$I$9:$M$56,3,FALSE))</f>
        <v>0</v>
      </c>
      <c r="E20" s="1355">
        <f>IF(B20=0,0,VLOOKUP(B20,Suplementos!$I$9:$M$56,5,FALSE))</f>
        <v>0</v>
      </c>
      <c r="F20" s="1356">
        <f>IF(B20=0,0,VLOOKUP(B20,Suplementos!$I$9:$M$56,4,FALSE))</f>
        <v>0</v>
      </c>
      <c r="G20" s="1360">
        <f>IFERROR(D20/100*C20,0)</f>
        <v>0</v>
      </c>
      <c r="H20" s="1361">
        <f>IFERROR(G20*(E20),0)</f>
        <v>0</v>
      </c>
      <c r="I20" s="1362">
        <f>IFERROR(G20*(F20/100),0)</f>
        <v>0</v>
      </c>
    </row>
    <row r="21" spans="1:11" x14ac:dyDescent="0.2">
      <c r="B21" s="4938"/>
      <c r="C21" s="4939"/>
      <c r="D21" s="97">
        <f>IF(B21=0,0,VLOOKUP(B21,Suplementos!$I$9:$M$56,3,FALSE))</f>
        <v>0</v>
      </c>
      <c r="E21" s="1355">
        <f>IF(B21=0,0,VLOOKUP(B21,Suplementos!$I$9:$M$56,5,FALSE))</f>
        <v>0</v>
      </c>
      <c r="F21" s="1356">
        <f>IF(B21=0,0,VLOOKUP(B21,Suplementos!$I$9:$M$56,4,FALSE))</f>
        <v>0</v>
      </c>
      <c r="G21" s="1360">
        <f>IFERROR(D21/100*C21,0)</f>
        <v>0</v>
      </c>
      <c r="H21" s="1361">
        <f>IFERROR(G21*(E21),0)</f>
        <v>0</v>
      </c>
      <c r="I21" s="1362">
        <f>IFERROR(G21*(F21/100),0)</f>
        <v>0</v>
      </c>
    </row>
    <row r="22" spans="1:11" x14ac:dyDescent="0.2">
      <c r="B22" s="4938"/>
      <c r="C22" s="4939"/>
      <c r="D22" s="97">
        <f>IF(B22=0,0,VLOOKUP(B22,Suplementos!$I$9:$M$56,3,FALSE))</f>
        <v>0</v>
      </c>
      <c r="E22" s="1355">
        <f>IF(B22=0,0,VLOOKUP(B22,Suplementos!$I$9:$M$56,5,FALSE))</f>
        <v>0</v>
      </c>
      <c r="F22" s="1356">
        <f>IF(B22=0,0,VLOOKUP(B22,Suplementos!$I$9:$M$56,4,FALSE))</f>
        <v>0</v>
      </c>
      <c r="G22" s="1360">
        <f t="shared" si="0"/>
        <v>0</v>
      </c>
      <c r="H22" s="1361">
        <f t="shared" si="1"/>
        <v>0</v>
      </c>
      <c r="I22" s="1362">
        <f t="shared" si="2"/>
        <v>0</v>
      </c>
    </row>
    <row r="23" spans="1:11" x14ac:dyDescent="0.2">
      <c r="B23" s="4938"/>
      <c r="C23" s="4939"/>
      <c r="D23" s="97">
        <f>IF(B23=0,0,VLOOKUP(B23,Suplementos!$I$9:$M$56,3,FALSE))</f>
        <v>0</v>
      </c>
      <c r="E23" s="1355">
        <f>IF(B23=0,0,VLOOKUP(B23,Suplementos!$I$9:$M$56,5,FALSE))</f>
        <v>0</v>
      </c>
      <c r="F23" s="1356">
        <f>IF(B23=0,0,VLOOKUP(B23,Suplementos!$I$9:$M$56,4,FALSE))</f>
        <v>0</v>
      </c>
      <c r="G23" s="1360">
        <f t="shared" si="0"/>
        <v>0</v>
      </c>
      <c r="H23" s="1361">
        <f t="shared" si="1"/>
        <v>0</v>
      </c>
      <c r="I23" s="1362">
        <f t="shared" si="2"/>
        <v>0</v>
      </c>
    </row>
    <row r="24" spans="1:11" x14ac:dyDescent="0.2">
      <c r="B24" s="4938"/>
      <c r="C24" s="4939"/>
      <c r="D24" s="97">
        <f>IF(B24=0,0,VLOOKUP(B24,Suplementos!$I$9:$M$56,3,FALSE))</f>
        <v>0</v>
      </c>
      <c r="E24" s="1355">
        <f>IF(B24=0,0,VLOOKUP(B24,Suplementos!$I$9:$M$56,5,FALSE))</f>
        <v>0</v>
      </c>
      <c r="F24" s="1356">
        <f>IF(B24=0,0,VLOOKUP(B24,Suplementos!$I$9:$M$56,4,FALSE))</f>
        <v>0</v>
      </c>
      <c r="G24" s="1360">
        <f t="shared" si="0"/>
        <v>0</v>
      </c>
      <c r="H24" s="1361">
        <f t="shared" si="1"/>
        <v>0</v>
      </c>
      <c r="I24" s="1362">
        <f t="shared" si="2"/>
        <v>0</v>
      </c>
    </row>
    <row r="25" spans="1:11" x14ac:dyDescent="0.2">
      <c r="B25" s="4938"/>
      <c r="C25" s="4939"/>
      <c r="D25" s="97">
        <f>IF(B25=0,0,VLOOKUP(B25,Suplementos!$I$9:$M$56,3,FALSE))</f>
        <v>0</v>
      </c>
      <c r="E25" s="1355">
        <f>IF(B25=0,0,VLOOKUP(B25,Suplementos!$I$9:$M$56,5,FALSE))</f>
        <v>0</v>
      </c>
      <c r="F25" s="1356">
        <f>IF(B25=0,0,VLOOKUP(B25,Suplementos!$I$9:$M$56,4,FALSE))</f>
        <v>0</v>
      </c>
      <c r="G25" s="1360">
        <f t="shared" si="0"/>
        <v>0</v>
      </c>
      <c r="H25" s="1361">
        <f t="shared" si="1"/>
        <v>0</v>
      </c>
      <c r="I25" s="1362">
        <f t="shared" si="2"/>
        <v>0</v>
      </c>
    </row>
    <row r="26" spans="1:11" ht="15.05" thickBot="1" x14ac:dyDescent="0.25">
      <c r="B26" s="4940"/>
      <c r="C26" s="4941"/>
      <c r="D26" s="1363">
        <f>IF(B26=0,0,VLOOKUP(B26,Suplementos!$I$9:$M$56,3,FALSE))</f>
        <v>0</v>
      </c>
      <c r="E26" s="1364">
        <f>IF(B26=0,0,VLOOKUP(B26,Suplementos!$I$9:$M$56,5,FALSE))</f>
        <v>0</v>
      </c>
      <c r="F26" s="1365">
        <f>IF(B26=0,0,VLOOKUP(B26,Suplementos!$I$9:$M$56,4,FALSE))</f>
        <v>0</v>
      </c>
      <c r="G26" s="1366">
        <f t="shared" si="0"/>
        <v>0</v>
      </c>
      <c r="H26" s="1367">
        <f t="shared" si="1"/>
        <v>0</v>
      </c>
      <c r="I26" s="1368">
        <f t="shared" si="2"/>
        <v>0</v>
      </c>
    </row>
    <row r="27" spans="1:11" x14ac:dyDescent="0.2">
      <c r="F27" s="157" t="s">
        <v>1102</v>
      </c>
      <c r="G27" s="158">
        <f>SUM(G17:G26)</f>
        <v>0</v>
      </c>
      <c r="H27" s="159">
        <f>SUM(H17:H26)</f>
        <v>0</v>
      </c>
      <c r="I27" s="160">
        <f>SUM(I17:I26)</f>
        <v>0</v>
      </c>
    </row>
    <row r="28" spans="1:11" ht="15.05" thickBot="1" x14ac:dyDescent="0.25">
      <c r="F28" s="161"/>
      <c r="G28" s="162" t="s">
        <v>1103</v>
      </c>
      <c r="H28" s="163">
        <f>IF(G27=0,0,H27/G27)</f>
        <v>0</v>
      </c>
      <c r="I28" s="164">
        <f>IF(G27=0,0,I27/G27)</f>
        <v>0</v>
      </c>
    </row>
    <row r="30" spans="1:11" ht="15.05" thickBot="1" x14ac:dyDescent="0.25"/>
    <row r="31" spans="1:11" ht="15.05" thickBot="1" x14ac:dyDescent="0.25">
      <c r="A31" s="1344">
        <f>+A14+1</f>
        <v>4</v>
      </c>
      <c r="B31" s="142" t="s">
        <v>907</v>
      </c>
      <c r="C31" s="147"/>
      <c r="D31" s="147"/>
      <c r="E31" s="147"/>
      <c r="F31" s="147"/>
      <c r="G31" s="147"/>
      <c r="H31" s="147"/>
      <c r="I31" s="147"/>
      <c r="J31" s="147"/>
      <c r="K31" s="148"/>
    </row>
    <row r="32" spans="1:11" ht="15.05" customHeight="1" x14ac:dyDescent="0.2">
      <c r="B32" s="143"/>
      <c r="C32" s="149" t="s">
        <v>903</v>
      </c>
      <c r="D32" s="2451" t="s">
        <v>23</v>
      </c>
      <c r="E32" s="149" t="s">
        <v>905</v>
      </c>
      <c r="F32" s="149"/>
      <c r="G32" s="149" t="s">
        <v>910</v>
      </c>
      <c r="H32" s="2452"/>
      <c r="I32" s="150"/>
      <c r="J32" s="151" t="s">
        <v>903</v>
      </c>
      <c r="K32" s="152"/>
    </row>
    <row r="33" spans="1:11" ht="15.05" customHeight="1" thickBot="1" x14ac:dyDescent="0.25">
      <c r="B33" s="153" t="s">
        <v>419</v>
      </c>
      <c r="C33" s="154" t="s">
        <v>842</v>
      </c>
      <c r="D33" s="165" t="s">
        <v>904</v>
      </c>
      <c r="E33" s="154" t="s">
        <v>30</v>
      </c>
      <c r="F33" s="154" t="s">
        <v>906</v>
      </c>
      <c r="G33" s="154" t="s">
        <v>560</v>
      </c>
      <c r="H33" s="155" t="s">
        <v>184</v>
      </c>
      <c r="I33" s="154" t="s">
        <v>1101</v>
      </c>
      <c r="J33" s="154" t="s">
        <v>227</v>
      </c>
      <c r="K33" s="156" t="s">
        <v>226</v>
      </c>
    </row>
    <row r="34" spans="1:11" x14ac:dyDescent="0.2">
      <c r="B34" s="4938"/>
      <c r="C34" s="4939"/>
      <c r="D34" s="4942"/>
      <c r="E34" s="1372">
        <f>+D34*C34</f>
        <v>0</v>
      </c>
      <c r="F34" s="69">
        <f>IF(B34=0,0,VLOOKUP(B34,Suplementos!$I$60:$M$138,3,FALSE))</f>
        <v>0</v>
      </c>
      <c r="G34" s="1355">
        <f>IF(B34=0,0,VLOOKUP(B34,Suplementos!$I$60:$M$138,5,FALSE))</f>
        <v>0</v>
      </c>
      <c r="H34" s="1356">
        <f>IF(B34=0,0,VLOOKUP(B34,Suplementos!$I$60:$M$138,4,FALSE))</f>
        <v>0</v>
      </c>
      <c r="I34" s="1357">
        <f t="shared" ref="I34:I43" si="3">IFERROR(F34/100*C34,0)</f>
        <v>0</v>
      </c>
      <c r="J34" s="1358">
        <f>IFERROR(I34*(G34),0)</f>
        <v>0</v>
      </c>
      <c r="K34" s="1359">
        <f t="shared" ref="K34:K43" si="4">IFERROR(I34*(H34/100),0)</f>
        <v>0</v>
      </c>
    </row>
    <row r="35" spans="1:11" x14ac:dyDescent="0.2">
      <c r="B35" s="4938"/>
      <c r="C35" s="4939"/>
      <c r="D35" s="4942"/>
      <c r="E35" s="1372">
        <f t="shared" ref="E35:E43" si="5">+D35*C35</f>
        <v>0</v>
      </c>
      <c r="F35" s="69">
        <f>IF(B35=0,0,VLOOKUP(B35,Suplementos!$I$60:$M$138,3,FALSE))</f>
        <v>0</v>
      </c>
      <c r="G35" s="1355">
        <f>IF(B35=0,0,VLOOKUP(B35,Suplementos!$I$60:$M$138,5,FALSE))</f>
        <v>0</v>
      </c>
      <c r="H35" s="1356">
        <f>IF(B35=0,0,VLOOKUP(B35,Suplementos!$I$60:$M$138,4,FALSE))</f>
        <v>0</v>
      </c>
      <c r="I35" s="1360">
        <f t="shared" si="3"/>
        <v>0</v>
      </c>
      <c r="J35" s="1361">
        <f>IFERROR(I35*(G35),0)</f>
        <v>0</v>
      </c>
      <c r="K35" s="1362">
        <f t="shared" si="4"/>
        <v>0</v>
      </c>
    </row>
    <row r="36" spans="1:11" x14ac:dyDescent="0.2">
      <c r="B36" s="4938"/>
      <c r="C36" s="4939"/>
      <c r="D36" s="4942"/>
      <c r="E36" s="1372">
        <f t="shared" si="5"/>
        <v>0</v>
      </c>
      <c r="F36" s="69">
        <f>IF(B36=0,0,VLOOKUP(B36,Suplementos!$I$60:$M$138,3,FALSE))</f>
        <v>0</v>
      </c>
      <c r="G36" s="1355">
        <f>IF(B36=0,0,VLOOKUP(B36,Suplementos!$I$60:$M$138,5,FALSE))</f>
        <v>0</v>
      </c>
      <c r="H36" s="1356">
        <f>IF(B36=0,0,VLOOKUP(B36,Suplementos!$I$60:$M$138,4,FALSE))</f>
        <v>0</v>
      </c>
      <c r="I36" s="1360">
        <f t="shared" si="3"/>
        <v>0</v>
      </c>
      <c r="J36" s="1361">
        <f t="shared" ref="J36:J43" si="6">IFERROR(I36*(G36),0)</f>
        <v>0</v>
      </c>
      <c r="K36" s="1362">
        <f t="shared" si="4"/>
        <v>0</v>
      </c>
    </row>
    <row r="37" spans="1:11" x14ac:dyDescent="0.2">
      <c r="B37" s="4938"/>
      <c r="C37" s="4939"/>
      <c r="D37" s="4942"/>
      <c r="E37" s="1372">
        <f>+D37*C37</f>
        <v>0</v>
      </c>
      <c r="F37" s="69">
        <f>IF(B37=0,0,VLOOKUP(B37,Suplementos!$I$60:$M$138,3,FALSE))</f>
        <v>0</v>
      </c>
      <c r="G37" s="1355">
        <f>IF(B37=0,0,VLOOKUP(B37,Suplementos!$I$60:$M$138,5,FALSE))</f>
        <v>0</v>
      </c>
      <c r="H37" s="1356">
        <f>IF(B37=0,0,VLOOKUP(B37,Suplementos!$I$60:$M$138,4,FALSE))</f>
        <v>0</v>
      </c>
      <c r="I37" s="1360">
        <f t="shared" si="3"/>
        <v>0</v>
      </c>
      <c r="J37" s="1361">
        <f>IFERROR(I37*(G37),0)</f>
        <v>0</v>
      </c>
      <c r="K37" s="1362">
        <f>IFERROR(I37*(H37/100),0)</f>
        <v>0</v>
      </c>
    </row>
    <row r="38" spans="1:11" x14ac:dyDescent="0.2">
      <c r="B38" s="4938"/>
      <c r="C38" s="4939"/>
      <c r="D38" s="4942"/>
      <c r="E38" s="1372">
        <f>+D38*C38</f>
        <v>0</v>
      </c>
      <c r="F38" s="69">
        <f>IF(B38=0,0,VLOOKUP(B38,Suplementos!$I$60:$M$138,3,FALSE))</f>
        <v>0</v>
      </c>
      <c r="G38" s="1355">
        <f>IF(B38=0,0,VLOOKUP(B38,Suplementos!$I$60:$M$138,5,FALSE))</f>
        <v>0</v>
      </c>
      <c r="H38" s="1356">
        <f>IF(B38=0,0,VLOOKUP(B38,Suplementos!$I$60:$M$138,4,FALSE))</f>
        <v>0</v>
      </c>
      <c r="I38" s="1360">
        <f t="shared" si="3"/>
        <v>0</v>
      </c>
      <c r="J38" s="1361">
        <f>IFERROR(I38*(G38),0)</f>
        <v>0</v>
      </c>
      <c r="K38" s="1362">
        <f>IFERROR(I38*(H38/100),0)</f>
        <v>0</v>
      </c>
    </row>
    <row r="39" spans="1:11" x14ac:dyDescent="0.2">
      <c r="B39" s="4938"/>
      <c r="C39" s="4939"/>
      <c r="D39" s="4942"/>
      <c r="E39" s="1372">
        <f t="shared" si="5"/>
        <v>0</v>
      </c>
      <c r="F39" s="69">
        <f>IF(B39=0,0,VLOOKUP(B39,Suplementos!$I$60:$M$138,3,FALSE))</f>
        <v>0</v>
      </c>
      <c r="G39" s="1355">
        <f>IF(B39=0,0,VLOOKUP(B39,Suplementos!$I$60:$M$138,5,FALSE))</f>
        <v>0</v>
      </c>
      <c r="H39" s="1356">
        <f>IF(B39=0,0,VLOOKUP(B39,Suplementos!$I$60:$M$138,4,FALSE))</f>
        <v>0</v>
      </c>
      <c r="I39" s="1360">
        <f t="shared" si="3"/>
        <v>0</v>
      </c>
      <c r="J39" s="1361">
        <f t="shared" si="6"/>
        <v>0</v>
      </c>
      <c r="K39" s="1362">
        <f t="shared" si="4"/>
        <v>0</v>
      </c>
    </row>
    <row r="40" spans="1:11" x14ac:dyDescent="0.2">
      <c r="B40" s="4938"/>
      <c r="C40" s="4939"/>
      <c r="D40" s="4942"/>
      <c r="E40" s="1372">
        <f t="shared" si="5"/>
        <v>0</v>
      </c>
      <c r="F40" s="69">
        <f>IF(B40=0,0,VLOOKUP(B40,Suplementos!$I$60:$M$138,3,FALSE))</f>
        <v>0</v>
      </c>
      <c r="G40" s="1355">
        <f>IF(B40=0,0,VLOOKUP(B40,Suplementos!$I$60:$M$138,5,FALSE))</f>
        <v>0</v>
      </c>
      <c r="H40" s="1356">
        <f>IF(B40=0,0,VLOOKUP(B40,Suplementos!$I$60:$M$138,4,FALSE))</f>
        <v>0</v>
      </c>
      <c r="I40" s="1360">
        <f t="shared" si="3"/>
        <v>0</v>
      </c>
      <c r="J40" s="1361">
        <f t="shared" si="6"/>
        <v>0</v>
      </c>
      <c r="K40" s="1362">
        <f t="shared" si="4"/>
        <v>0</v>
      </c>
    </row>
    <row r="41" spans="1:11" x14ac:dyDescent="0.2">
      <c r="B41" s="4938"/>
      <c r="C41" s="4939"/>
      <c r="D41" s="4942"/>
      <c r="E41" s="1372">
        <f t="shared" si="5"/>
        <v>0</v>
      </c>
      <c r="F41" s="69">
        <f>IF(B41=0,0,VLOOKUP(B41,Suplementos!$I$60:$M$138,3,FALSE))</f>
        <v>0</v>
      </c>
      <c r="G41" s="1355">
        <f>IF(B41=0,0,VLOOKUP(B41,Suplementos!$I$60:$M$138,5,FALSE))</f>
        <v>0</v>
      </c>
      <c r="H41" s="1356">
        <f>IF(B41=0,0,VLOOKUP(B41,Suplementos!$I$60:$M$138,4,FALSE))</f>
        <v>0</v>
      </c>
      <c r="I41" s="1360">
        <f t="shared" si="3"/>
        <v>0</v>
      </c>
      <c r="J41" s="1361">
        <f t="shared" si="6"/>
        <v>0</v>
      </c>
      <c r="K41" s="1362">
        <f t="shared" si="4"/>
        <v>0</v>
      </c>
    </row>
    <row r="42" spans="1:11" x14ac:dyDescent="0.2">
      <c r="B42" s="4938"/>
      <c r="C42" s="4939"/>
      <c r="D42" s="4942"/>
      <c r="E42" s="1372">
        <f t="shared" si="5"/>
        <v>0</v>
      </c>
      <c r="F42" s="69">
        <f>IF(B42=0,0,VLOOKUP(B42,Suplementos!$I$60:$M$138,3,FALSE))</f>
        <v>0</v>
      </c>
      <c r="G42" s="1355">
        <f>IF(B42=0,0,VLOOKUP(B42,Suplementos!$I$60:$M$138,5,FALSE))</f>
        <v>0</v>
      </c>
      <c r="H42" s="1356">
        <f>IF(B42=0,0,VLOOKUP(B42,Suplementos!$I$60:$M$138,4,FALSE))</f>
        <v>0</v>
      </c>
      <c r="I42" s="1360">
        <f t="shared" si="3"/>
        <v>0</v>
      </c>
      <c r="J42" s="1361">
        <f t="shared" si="6"/>
        <v>0</v>
      </c>
      <c r="K42" s="1362">
        <f t="shared" si="4"/>
        <v>0</v>
      </c>
    </row>
    <row r="43" spans="1:11" ht="15.05" thickBot="1" x14ac:dyDescent="0.25">
      <c r="B43" s="4938"/>
      <c r="C43" s="4941"/>
      <c r="D43" s="4942"/>
      <c r="E43" s="1372">
        <f t="shared" si="5"/>
        <v>0</v>
      </c>
      <c r="F43" s="81">
        <f>IF(B43=0,0,VLOOKUP(B43,Suplementos!$I$60:$M$138,3,FALSE))</f>
        <v>0</v>
      </c>
      <c r="G43" s="1364">
        <f>IF(B43=0,0,VLOOKUP(B43,Suplementos!$I$60:$M$138,5,FALSE))</f>
        <v>0</v>
      </c>
      <c r="H43" s="1365">
        <f>IF(B43=0,0,VLOOKUP(B43,Suplementos!$I$60:$M$138,4,FALSE))</f>
        <v>0</v>
      </c>
      <c r="I43" s="1366">
        <f t="shared" si="3"/>
        <v>0</v>
      </c>
      <c r="J43" s="1361">
        <f t="shared" si="6"/>
        <v>0</v>
      </c>
      <c r="K43" s="1368">
        <f t="shared" si="4"/>
        <v>0</v>
      </c>
    </row>
    <row r="44" spans="1:11" ht="15.05" thickBot="1" x14ac:dyDescent="0.25">
      <c r="B44" s="626" t="s">
        <v>909</v>
      </c>
      <c r="C44" s="159">
        <f>SUM(C34:C43)</f>
        <v>0</v>
      </c>
      <c r="D44" s="167"/>
      <c r="E44" s="168">
        <f>(SUM(E34:E43))</f>
        <v>0</v>
      </c>
      <c r="F44" s="372"/>
      <c r="H44" s="157" t="s">
        <v>1102</v>
      </c>
      <c r="I44" s="158">
        <f>SUM(I34:I43)</f>
        <v>0</v>
      </c>
      <c r="J44" s="159">
        <f>SUM(J34:J43)</f>
        <v>0</v>
      </c>
      <c r="K44" s="160">
        <f>SUM(K34:K43)</f>
        <v>0</v>
      </c>
    </row>
    <row r="45" spans="1:11" ht="15.05" thickBot="1" x14ac:dyDescent="0.25">
      <c r="B45" s="627" t="s">
        <v>908</v>
      </c>
      <c r="C45" s="170"/>
      <c r="D45" s="171">
        <f>IFERROR(E44/C44,0)</f>
        <v>0</v>
      </c>
      <c r="F45" s="372"/>
      <c r="H45" s="161"/>
      <c r="I45" s="162" t="s">
        <v>1103</v>
      </c>
      <c r="J45" s="172">
        <f>IFERROR(J44/I44,0)</f>
        <v>0</v>
      </c>
      <c r="K45" s="164">
        <f>IFERROR(K44/I44,0)</f>
        <v>0</v>
      </c>
    </row>
    <row r="46" spans="1:11" x14ac:dyDescent="0.2">
      <c r="B46" s="204"/>
      <c r="C46" s="1373"/>
      <c r="D46" s="1374"/>
      <c r="E46" s="767"/>
      <c r="F46" s="372"/>
      <c r="H46" s="1375"/>
    </row>
    <row r="47" spans="1:11" ht="15.05" thickBot="1" x14ac:dyDescent="0.25">
      <c r="B47" s="204"/>
      <c r="C47" s="1373"/>
      <c r="D47" s="1374"/>
      <c r="E47" s="767"/>
      <c r="F47" s="372"/>
      <c r="H47" s="1375"/>
    </row>
    <row r="48" spans="1:11" ht="15.05" thickBot="1" x14ac:dyDescent="0.25">
      <c r="A48" s="1344">
        <f>+A31+1</f>
        <v>5</v>
      </c>
      <c r="B48" s="142" t="s">
        <v>1267</v>
      </c>
      <c r="C48" s="147"/>
      <c r="D48" s="147"/>
      <c r="E48" s="147"/>
      <c r="F48" s="147"/>
      <c r="G48" s="147"/>
      <c r="H48" s="147"/>
      <c r="I48" s="147"/>
      <c r="J48" s="147"/>
      <c r="K48" s="148"/>
    </row>
    <row r="49" spans="1:12" x14ac:dyDescent="0.2">
      <c r="B49" s="143"/>
      <c r="C49" s="149" t="s">
        <v>903</v>
      </c>
      <c r="D49" s="2451" t="s">
        <v>23</v>
      </c>
      <c r="E49" s="149" t="s">
        <v>905</v>
      </c>
      <c r="F49" s="149"/>
      <c r="G49" s="149" t="s">
        <v>910</v>
      </c>
      <c r="H49" s="2452"/>
      <c r="I49" s="150"/>
      <c r="J49" s="151" t="s">
        <v>903</v>
      </c>
      <c r="K49" s="152"/>
    </row>
    <row r="50" spans="1:12" ht="15.05" thickBot="1" x14ac:dyDescent="0.25">
      <c r="B50" s="153" t="s">
        <v>419</v>
      </c>
      <c r="C50" s="154" t="s">
        <v>842</v>
      </c>
      <c r="D50" s="165" t="s">
        <v>904</v>
      </c>
      <c r="E50" s="154" t="s">
        <v>30</v>
      </c>
      <c r="F50" s="154" t="s">
        <v>906</v>
      </c>
      <c r="G50" s="154" t="s">
        <v>560</v>
      </c>
      <c r="H50" s="155" t="s">
        <v>184</v>
      </c>
      <c r="I50" s="154" t="s">
        <v>1101</v>
      </c>
      <c r="J50" s="154" t="s">
        <v>227</v>
      </c>
      <c r="K50" s="156" t="s">
        <v>226</v>
      </c>
    </row>
    <row r="51" spans="1:12" x14ac:dyDescent="0.2">
      <c r="B51" s="4938"/>
      <c r="C51" s="4939"/>
      <c r="D51" s="4942"/>
      <c r="E51" s="1372">
        <f>+D51*C51</f>
        <v>0</v>
      </c>
      <c r="F51" s="69">
        <f>IF(B51=0,0,VLOOKUP(B51,Suplementos!$I$60:$M$138,3,FALSE))</f>
        <v>0</v>
      </c>
      <c r="G51" s="1355">
        <f>IF(B51=0,0,VLOOKUP(B51,Suplementos!$I$60:$M$138,5,FALSE))</f>
        <v>0</v>
      </c>
      <c r="H51" s="1356">
        <f>IF(B51=0,0,VLOOKUP(B51,Suplementos!$I$60:$M$138,4,FALSE))</f>
        <v>0</v>
      </c>
      <c r="I51" s="1357">
        <f t="shared" ref="I51:I60" si="7">IFERROR(F51/100*C51,0)</f>
        <v>0</v>
      </c>
      <c r="J51" s="1358">
        <f t="shared" ref="J51:J60" si="8">IFERROR(I51*(G51),0)</f>
        <v>0</v>
      </c>
      <c r="K51" s="1359">
        <f t="shared" ref="K51:K60" si="9">IFERROR(I51*(H51/100),0)</f>
        <v>0</v>
      </c>
    </row>
    <row r="52" spans="1:12" x14ac:dyDescent="0.2">
      <c r="B52" s="4938"/>
      <c r="C52" s="4939"/>
      <c r="D52" s="4942"/>
      <c r="E52" s="1372">
        <f t="shared" ref="E52:E60" si="10">+D52*C52</f>
        <v>0</v>
      </c>
      <c r="F52" s="69">
        <f>IF(B52=0,0,VLOOKUP(B52,Suplementos!$I$60:$M$138,3,FALSE))</f>
        <v>0</v>
      </c>
      <c r="G52" s="1355">
        <f>IF(B52=0,0,VLOOKUP(B52,Suplementos!$I$60:$M$138,5,FALSE))</f>
        <v>0</v>
      </c>
      <c r="H52" s="1356">
        <f>IF(B52=0,0,VLOOKUP(B52,Suplementos!$I$60:$M$138,4,FALSE))</f>
        <v>0</v>
      </c>
      <c r="I52" s="1360">
        <f t="shared" si="7"/>
        <v>0</v>
      </c>
      <c r="J52" s="1361">
        <f>IFERROR(I52*(G52),0)</f>
        <v>0</v>
      </c>
      <c r="K52" s="1362">
        <f t="shared" si="9"/>
        <v>0</v>
      </c>
    </row>
    <row r="53" spans="1:12" x14ac:dyDescent="0.2">
      <c r="B53" s="4938"/>
      <c r="C53" s="4939"/>
      <c r="D53" s="4942"/>
      <c r="E53" s="1372">
        <f t="shared" si="10"/>
        <v>0</v>
      </c>
      <c r="F53" s="69">
        <f>IF(B53=0,0,VLOOKUP(B53,Suplementos!$I$60:$M$138,3,FALSE))</f>
        <v>0</v>
      </c>
      <c r="G53" s="1355">
        <f>IF(B53=0,0,VLOOKUP(B53,Suplementos!$I$60:$M$138,5,FALSE))</f>
        <v>0</v>
      </c>
      <c r="H53" s="1356">
        <f>IF(B53=0,0,VLOOKUP(B53,Suplementos!$I$60:$M$138,4,FALSE))</f>
        <v>0</v>
      </c>
      <c r="I53" s="1360">
        <f t="shared" si="7"/>
        <v>0</v>
      </c>
      <c r="J53" s="1361">
        <f t="shared" si="8"/>
        <v>0</v>
      </c>
      <c r="K53" s="1362">
        <f t="shared" si="9"/>
        <v>0</v>
      </c>
    </row>
    <row r="54" spans="1:12" x14ac:dyDescent="0.2">
      <c r="B54" s="4938"/>
      <c r="C54" s="4939"/>
      <c r="D54" s="4942"/>
      <c r="E54" s="1372">
        <f t="shared" si="10"/>
        <v>0</v>
      </c>
      <c r="F54" s="69">
        <f>IF(B54=0,0,VLOOKUP(B54,Suplementos!$I$60:$M$138,3,FALSE))</f>
        <v>0</v>
      </c>
      <c r="G54" s="1355">
        <f>IF(B54=0,0,VLOOKUP(B54,Suplementos!$I$60:$M$138,5,FALSE))</f>
        <v>0</v>
      </c>
      <c r="H54" s="1356">
        <f>IF(B54=0,0,VLOOKUP(B54,Suplementos!$I$60:$M$138,4,FALSE))</f>
        <v>0</v>
      </c>
      <c r="I54" s="1360">
        <f t="shared" si="7"/>
        <v>0</v>
      </c>
      <c r="J54" s="1361">
        <f t="shared" si="8"/>
        <v>0</v>
      </c>
      <c r="K54" s="1362">
        <f t="shared" si="9"/>
        <v>0</v>
      </c>
    </row>
    <row r="55" spans="1:12" x14ac:dyDescent="0.2">
      <c r="B55" s="4938"/>
      <c r="C55" s="4939"/>
      <c r="D55" s="4942"/>
      <c r="E55" s="1372">
        <f>+D55*C55</f>
        <v>0</v>
      </c>
      <c r="F55" s="69">
        <f>IF(B55=0,0,VLOOKUP(B55,Suplementos!$I$60:$M$138,3,FALSE))</f>
        <v>0</v>
      </c>
      <c r="G55" s="1355">
        <f>IF(B55=0,0,VLOOKUP(B55,Suplementos!$I$60:$M$138,5,FALSE))</f>
        <v>0</v>
      </c>
      <c r="H55" s="1356">
        <f>IF(B55=0,0,VLOOKUP(B55,Suplementos!$I$60:$M$138,4,FALSE))</f>
        <v>0</v>
      </c>
      <c r="I55" s="1360">
        <f>IFERROR(F55/100*C55,0)</f>
        <v>0</v>
      </c>
      <c r="J55" s="1361">
        <f>IFERROR(I55*(G55),0)</f>
        <v>0</v>
      </c>
      <c r="K55" s="1362">
        <f>IFERROR(I55*(H55/100),0)</f>
        <v>0</v>
      </c>
    </row>
    <row r="56" spans="1:12" x14ac:dyDescent="0.2">
      <c r="B56" s="4938"/>
      <c r="C56" s="4939"/>
      <c r="D56" s="4942"/>
      <c r="E56" s="1372">
        <f>+D56*C56</f>
        <v>0</v>
      </c>
      <c r="F56" s="69">
        <f>IF(B56=0,0,VLOOKUP(B56,Suplementos!$I$60:$M$138,3,FALSE))</f>
        <v>0</v>
      </c>
      <c r="G56" s="1355">
        <f>IF(B56=0,0,VLOOKUP(B56,Suplementos!$I$60:$M$138,5,FALSE))</f>
        <v>0</v>
      </c>
      <c r="H56" s="1356">
        <f>IF(B56=0,0,VLOOKUP(B56,Suplementos!$I$60:$M$138,4,FALSE))</f>
        <v>0</v>
      </c>
      <c r="I56" s="1360">
        <f>IFERROR(F56/100*C56,0)</f>
        <v>0</v>
      </c>
      <c r="J56" s="1361">
        <f>IFERROR(I56*(G56),0)</f>
        <v>0</v>
      </c>
      <c r="K56" s="1362">
        <f>IFERROR(I56*(H56/100),0)</f>
        <v>0</v>
      </c>
    </row>
    <row r="57" spans="1:12" x14ac:dyDescent="0.2">
      <c r="B57" s="4938"/>
      <c r="C57" s="4939"/>
      <c r="D57" s="4942"/>
      <c r="E57" s="1372">
        <f t="shared" si="10"/>
        <v>0</v>
      </c>
      <c r="F57" s="69">
        <f>IF(B57=0,0,VLOOKUP(B57,Suplementos!$I$60:$M$138,3,FALSE))</f>
        <v>0</v>
      </c>
      <c r="G57" s="1355">
        <f>IF(B57=0,0,VLOOKUP(B57,Suplementos!$I$60:$M$138,5,FALSE))</f>
        <v>0</v>
      </c>
      <c r="H57" s="1356">
        <f>IF(B57=0,0,VLOOKUP(B57,Suplementos!$I$60:$M$138,4,FALSE))</f>
        <v>0</v>
      </c>
      <c r="I57" s="1360">
        <f t="shared" si="7"/>
        <v>0</v>
      </c>
      <c r="J57" s="1361">
        <f>IFERROR(I57*(G57),0)</f>
        <v>0</v>
      </c>
      <c r="K57" s="1362">
        <f t="shared" si="9"/>
        <v>0</v>
      </c>
    </row>
    <row r="58" spans="1:12" x14ac:dyDescent="0.2">
      <c r="B58" s="4938"/>
      <c r="C58" s="4939"/>
      <c r="D58" s="4942"/>
      <c r="E58" s="1372">
        <f t="shared" si="10"/>
        <v>0</v>
      </c>
      <c r="F58" s="69">
        <f>IF(B58=0,0,VLOOKUP(B58,Suplementos!$I$60:$M$138,3,FALSE))</f>
        <v>0</v>
      </c>
      <c r="G58" s="1355">
        <f>IF(B58=0,0,VLOOKUP(B58,Suplementos!$I$60:$M$138,5,FALSE))</f>
        <v>0</v>
      </c>
      <c r="H58" s="1356">
        <f>IF(B58=0,0,VLOOKUP(B58,Suplementos!$I$60:$M$138,4,FALSE))</f>
        <v>0</v>
      </c>
      <c r="I58" s="1360">
        <f t="shared" si="7"/>
        <v>0</v>
      </c>
      <c r="J58" s="1361">
        <f t="shared" si="8"/>
        <v>0</v>
      </c>
      <c r="K58" s="1362">
        <f t="shared" si="9"/>
        <v>0</v>
      </c>
    </row>
    <row r="59" spans="1:12" x14ac:dyDescent="0.2">
      <c r="B59" s="4938"/>
      <c r="C59" s="4939"/>
      <c r="D59" s="4942"/>
      <c r="E59" s="1372">
        <f t="shared" si="10"/>
        <v>0</v>
      </c>
      <c r="F59" s="69">
        <f>IF(B59=0,0,VLOOKUP(B59,Suplementos!$I$60:$M$138,3,FALSE))</f>
        <v>0</v>
      </c>
      <c r="G59" s="1355">
        <f>IF(B59=0,0,VLOOKUP(B59,Suplementos!$I$60:$M$138,5,FALSE))</f>
        <v>0</v>
      </c>
      <c r="H59" s="1356">
        <f>IF(B59=0,0,VLOOKUP(B59,Suplementos!$I$60:$M$138,4,FALSE))</f>
        <v>0</v>
      </c>
      <c r="I59" s="1360">
        <f t="shared" si="7"/>
        <v>0</v>
      </c>
      <c r="J59" s="1361">
        <f t="shared" si="8"/>
        <v>0</v>
      </c>
      <c r="K59" s="1362">
        <f t="shared" si="9"/>
        <v>0</v>
      </c>
    </row>
    <row r="60" spans="1:12" ht="15.05" thickBot="1" x14ac:dyDescent="0.25">
      <c r="B60" s="4938"/>
      <c r="C60" s="4941"/>
      <c r="D60" s="4942"/>
      <c r="E60" s="1372">
        <f t="shared" si="10"/>
        <v>0</v>
      </c>
      <c r="F60" s="81">
        <f>IF(B60=0,0,VLOOKUP(B60,Suplementos!$I$60:$M$138,3,FALSE))</f>
        <v>0</v>
      </c>
      <c r="G60" s="1364">
        <f>IF(B60=0,0,VLOOKUP(B60,Suplementos!$I$60:$M$138,5,FALSE))</f>
        <v>0</v>
      </c>
      <c r="H60" s="1365">
        <f>IF(B60=0,0,VLOOKUP(B60,Suplementos!$I$60:$M$138,4,FALSE))</f>
        <v>0</v>
      </c>
      <c r="I60" s="1366">
        <f t="shared" si="7"/>
        <v>0</v>
      </c>
      <c r="J60" s="1367">
        <f t="shared" si="8"/>
        <v>0</v>
      </c>
      <c r="K60" s="1368">
        <f t="shared" si="9"/>
        <v>0</v>
      </c>
    </row>
    <row r="61" spans="1:12" ht="15.05" thickBot="1" x14ac:dyDescent="0.25">
      <c r="B61" s="1384" t="s">
        <v>909</v>
      </c>
      <c r="C61" s="1378">
        <f>SUM(C51:C60)</f>
        <v>0</v>
      </c>
      <c r="D61" s="1385"/>
      <c r="E61" s="370">
        <f>SUM(E51:E60)</f>
        <v>0</v>
      </c>
      <c r="F61" s="372"/>
      <c r="H61" s="1376" t="s">
        <v>1102</v>
      </c>
      <c r="I61" s="1377">
        <f>SUM(I51:I60)</f>
        <v>0</v>
      </c>
      <c r="J61" s="1378">
        <f>SUM(J51:J60)</f>
        <v>0</v>
      </c>
      <c r="K61" s="1379">
        <f>SUM(K51:K60)</f>
        <v>0</v>
      </c>
      <c r="L61" s="174">
        <f>+(J61+J44)/3.03</f>
        <v>0</v>
      </c>
    </row>
    <row r="62" spans="1:12" ht="15.05" thickBot="1" x14ac:dyDescent="0.25">
      <c r="B62" s="1386" t="s">
        <v>908</v>
      </c>
      <c r="C62" s="1180"/>
      <c r="D62" s="1387">
        <f>IFERROR(E61/C61,0)</f>
        <v>0</v>
      </c>
      <c r="F62" s="1373"/>
      <c r="G62" s="1373"/>
      <c r="H62" s="1380"/>
      <c r="I62" s="1381" t="s">
        <v>1103</v>
      </c>
      <c r="J62" s="1382">
        <f>IFERROR(J61/I61,0)</f>
        <v>0</v>
      </c>
      <c r="K62" s="1383">
        <f>IFERROR(K61/I61,0)</f>
        <v>0</v>
      </c>
    </row>
    <row r="63" spans="1:12" x14ac:dyDescent="0.2">
      <c r="B63" s="204"/>
      <c r="C63" s="1373"/>
      <c r="D63" s="1373"/>
      <c r="E63" s="1373"/>
      <c r="F63" s="1373"/>
      <c r="G63" s="1373"/>
      <c r="H63" s="1373"/>
      <c r="I63" s="1373"/>
      <c r="J63" s="1373"/>
      <c r="K63" s="1373"/>
      <c r="L63" s="1373"/>
    </row>
    <row r="64" spans="1:12" ht="13.6" hidden="1" customHeight="1" thickBot="1" x14ac:dyDescent="0.25">
      <c r="A64" s="1344">
        <f>+A48+1</f>
        <v>6</v>
      </c>
      <c r="B64" s="1320" t="s">
        <v>1322</v>
      </c>
      <c r="C64" s="4943">
        <v>400</v>
      </c>
      <c r="D64" s="1388" t="s">
        <v>1323</v>
      </c>
      <c r="E64" s="1373"/>
      <c r="F64" s="1373"/>
      <c r="G64" s="1373"/>
      <c r="H64" s="1373"/>
      <c r="I64" s="1373"/>
      <c r="J64" s="1373"/>
      <c r="K64" s="1373"/>
      <c r="L64" s="1373"/>
    </row>
    <row r="65" spans="1:12" ht="12.8" hidden="1" customHeight="1" x14ac:dyDescent="0.2">
      <c r="A65" s="140"/>
      <c r="B65" s="204"/>
      <c r="C65" s="1373"/>
      <c r="D65" s="1373"/>
      <c r="E65" s="1373"/>
      <c r="F65" s="1373"/>
      <c r="G65" s="1373"/>
      <c r="H65" s="1373"/>
      <c r="I65" s="1373"/>
      <c r="J65" s="1373"/>
      <c r="K65" s="1373"/>
      <c r="L65" s="1373"/>
    </row>
    <row r="66" spans="1:12" ht="15.05" thickBot="1" x14ac:dyDescent="0.25">
      <c r="B66" s="1388"/>
      <c r="C66" s="767"/>
      <c r="D66" s="767"/>
    </row>
    <row r="67" spans="1:12" ht="15.05" thickBot="1" x14ac:dyDescent="0.25">
      <c r="A67" s="1344">
        <f>+A64+1</f>
        <v>7</v>
      </c>
      <c r="B67" s="142" t="s">
        <v>1187</v>
      </c>
      <c r="C67" s="202"/>
      <c r="D67" s="203"/>
    </row>
    <row r="68" spans="1:12" x14ac:dyDescent="0.2">
      <c r="B68" s="195" t="s">
        <v>13</v>
      </c>
      <c r="C68" s="624" t="s">
        <v>1175</v>
      </c>
      <c r="D68" s="625" t="s">
        <v>1176</v>
      </c>
    </row>
    <row r="69" spans="1:12" x14ac:dyDescent="0.2">
      <c r="B69" s="1389" t="s">
        <v>20</v>
      </c>
      <c r="C69" s="4939"/>
      <c r="D69" s="4944"/>
    </row>
    <row r="70" spans="1:12" x14ac:dyDescent="0.2">
      <c r="B70" s="1389" t="s">
        <v>373</v>
      </c>
      <c r="C70" s="4939"/>
      <c r="D70" s="4944"/>
    </row>
    <row r="71" spans="1:12" x14ac:dyDescent="0.2">
      <c r="B71" s="1389" t="s">
        <v>399</v>
      </c>
      <c r="C71" s="1372">
        <f>+A.Lecheros!F101</f>
        <v>0</v>
      </c>
      <c r="D71" s="4944"/>
    </row>
    <row r="72" spans="1:12" x14ac:dyDescent="0.2">
      <c r="B72" s="1389" t="s">
        <v>400</v>
      </c>
      <c r="C72" s="1372">
        <f>+A.Lecheros!F129</f>
        <v>0</v>
      </c>
      <c r="D72" s="4944"/>
    </row>
    <row r="73" spans="1:12" x14ac:dyDescent="0.2">
      <c r="B73" s="1389" t="s">
        <v>401</v>
      </c>
      <c r="C73" s="1372">
        <f>+A.Lecheros!F157</f>
        <v>0</v>
      </c>
      <c r="D73" s="4944"/>
    </row>
    <row r="74" spans="1:12" x14ac:dyDescent="0.2">
      <c r="B74" s="1389" t="s">
        <v>402</v>
      </c>
      <c r="C74" s="1372">
        <f>+A.Lecheros!F185</f>
        <v>0</v>
      </c>
      <c r="D74" s="4944"/>
    </row>
    <row r="75" spans="1:12" x14ac:dyDescent="0.2">
      <c r="B75" s="1389" t="s">
        <v>384</v>
      </c>
      <c r="C75" s="4939"/>
      <c r="D75" s="4944"/>
      <c r="E75" s="1391" t="s">
        <v>1512</v>
      </c>
    </row>
    <row r="76" spans="1:12" x14ac:dyDescent="0.2">
      <c r="B76" s="1389" t="s">
        <v>1957</v>
      </c>
      <c r="C76" s="4939"/>
      <c r="D76" s="4944"/>
    </row>
    <row r="77" spans="1:12" x14ac:dyDescent="0.2">
      <c r="B77" s="1389" t="s">
        <v>385</v>
      </c>
      <c r="C77" s="4939"/>
      <c r="D77" s="766"/>
    </row>
    <row r="78" spans="1:12" x14ac:dyDescent="0.2">
      <c r="B78" s="1389" t="s">
        <v>387</v>
      </c>
      <c r="C78" s="4939"/>
      <c r="D78" s="766"/>
    </row>
    <row r="79" spans="1:12" x14ac:dyDescent="0.2">
      <c r="B79" s="1389" t="s">
        <v>1137</v>
      </c>
      <c r="C79" s="4939"/>
      <c r="D79" s="766"/>
    </row>
    <row r="80" spans="1:12" x14ac:dyDescent="0.2">
      <c r="B80" s="1393" t="s">
        <v>388</v>
      </c>
      <c r="C80" s="4945"/>
      <c r="D80" s="4946"/>
    </row>
    <row r="81" spans="1:5" x14ac:dyDescent="0.2">
      <c r="B81" s="1394" t="s">
        <v>1366</v>
      </c>
      <c r="C81" s="743">
        <f>SUM(C69:C80)</f>
        <v>0</v>
      </c>
      <c r="D81" s="744"/>
    </row>
    <row r="82" spans="1:5" x14ac:dyDescent="0.2">
      <c r="B82" s="1389" t="s">
        <v>1464</v>
      </c>
      <c r="C82" s="4939"/>
      <c r="D82" s="4944"/>
    </row>
    <row r="83" spans="1:5" x14ac:dyDescent="0.2">
      <c r="B83" s="1389" t="s">
        <v>1483</v>
      </c>
      <c r="C83" s="4939"/>
      <c r="D83" s="4944"/>
    </row>
    <row r="84" spans="1:5" x14ac:dyDescent="0.2">
      <c r="B84" s="1389" t="s">
        <v>1484</v>
      </c>
      <c r="C84" s="4939"/>
      <c r="D84" s="4944"/>
    </row>
    <row r="85" spans="1:5" x14ac:dyDescent="0.2">
      <c r="B85" s="1389" t="s">
        <v>1485</v>
      </c>
      <c r="C85" s="4939"/>
      <c r="D85" s="4944"/>
    </row>
    <row r="86" spans="1:5" ht="15.05" thickBot="1" x14ac:dyDescent="0.25">
      <c r="B86" s="1390" t="s">
        <v>1482</v>
      </c>
      <c r="C86" s="4941"/>
      <c r="D86" s="412"/>
    </row>
    <row r="87" spans="1:5" ht="15.05" thickBot="1" x14ac:dyDescent="0.25">
      <c r="B87" s="1392" t="s">
        <v>1465</v>
      </c>
      <c r="C87" s="745">
        <f>SUM(C82:C86)</f>
        <v>0</v>
      </c>
      <c r="D87" s="746"/>
    </row>
    <row r="88" spans="1:5" ht="15.05" thickBot="1" x14ac:dyDescent="0.25">
      <c r="B88" s="1392" t="s">
        <v>1722</v>
      </c>
      <c r="C88" s="745">
        <f>+C87+C81</f>
        <v>0</v>
      </c>
      <c r="D88" s="767"/>
    </row>
    <row r="89" spans="1:5" ht="15.05" thickBot="1" x14ac:dyDescent="0.25">
      <c r="B89" s="1388"/>
      <c r="C89" s="767"/>
      <c r="D89" s="767"/>
    </row>
    <row r="90" spans="1:5" ht="15.05" thickBot="1" x14ac:dyDescent="0.25">
      <c r="A90" s="1344">
        <f>+A67+1</f>
        <v>8</v>
      </c>
      <c r="B90" s="142" t="s">
        <v>844</v>
      </c>
      <c r="C90" s="176"/>
    </row>
    <row r="91" spans="1:5" x14ac:dyDescent="0.2">
      <c r="A91" s="739"/>
      <c r="B91" s="1389" t="s">
        <v>182</v>
      </c>
      <c r="C91" s="4947"/>
      <c r="D91" s="141" t="s">
        <v>145</v>
      </c>
    </row>
    <row r="92" spans="1:5" x14ac:dyDescent="0.2">
      <c r="B92" s="1389" t="s">
        <v>191</v>
      </c>
      <c r="C92" s="4948"/>
      <c r="D92" s="141" t="s">
        <v>193</v>
      </c>
    </row>
    <row r="93" spans="1:5" x14ac:dyDescent="0.2">
      <c r="B93" s="1389" t="s">
        <v>192</v>
      </c>
      <c r="C93" s="4948"/>
      <c r="D93" s="141" t="s">
        <v>145</v>
      </c>
    </row>
    <row r="94" spans="1:5" x14ac:dyDescent="0.2">
      <c r="B94" s="1389" t="s">
        <v>396</v>
      </c>
      <c r="C94" s="4948"/>
      <c r="D94" s="193" t="s">
        <v>145</v>
      </c>
      <c r="E94" s="193"/>
    </row>
    <row r="95" spans="1:5" x14ac:dyDescent="0.2">
      <c r="B95" s="1389" t="s">
        <v>1481</v>
      </c>
      <c r="C95" s="4948"/>
      <c r="D95" s="141" t="s">
        <v>145</v>
      </c>
    </row>
    <row r="96" spans="1:5" x14ac:dyDescent="0.2">
      <c r="B96" s="1389" t="s">
        <v>1210</v>
      </c>
      <c r="C96" s="4949"/>
      <c r="D96" s="141" t="s">
        <v>1369</v>
      </c>
    </row>
    <row r="97" spans="1:9" ht="15.05" thickBot="1" x14ac:dyDescent="0.25">
      <c r="B97" s="1390" t="s">
        <v>843</v>
      </c>
      <c r="C97" s="4950"/>
      <c r="D97" s="141" t="s">
        <v>358</v>
      </c>
    </row>
    <row r="99" spans="1:9" ht="15.05" thickBot="1" x14ac:dyDescent="0.25"/>
    <row r="100" spans="1:9" ht="15.05" thickBot="1" x14ac:dyDescent="0.25">
      <c r="A100" s="1344">
        <f>+A90+1</f>
        <v>9</v>
      </c>
      <c r="B100" s="142" t="s">
        <v>915</v>
      </c>
      <c r="C100" s="178" t="s">
        <v>851</v>
      </c>
    </row>
    <row r="101" spans="1:9" x14ac:dyDescent="0.2">
      <c r="B101" s="179" t="s">
        <v>613</v>
      </c>
      <c r="C101" s="4951"/>
      <c r="D101" s="141" t="s">
        <v>614</v>
      </c>
    </row>
    <row r="102" spans="1:9" x14ac:dyDescent="0.2">
      <c r="B102" s="179" t="s">
        <v>157</v>
      </c>
      <c r="C102" s="4952"/>
      <c r="D102" s="141" t="s">
        <v>463</v>
      </c>
    </row>
    <row r="103" spans="1:9" x14ac:dyDescent="0.2">
      <c r="B103" s="179" t="s">
        <v>187</v>
      </c>
      <c r="C103" s="4952"/>
      <c r="D103" s="141" t="s">
        <v>464</v>
      </c>
    </row>
    <row r="104" spans="1:9" x14ac:dyDescent="0.2">
      <c r="B104" s="179" t="s">
        <v>186</v>
      </c>
      <c r="C104" s="4952"/>
      <c r="D104" s="141" t="s">
        <v>464</v>
      </c>
    </row>
    <row r="105" spans="1:9" ht="15.05" thickBot="1" x14ac:dyDescent="0.25">
      <c r="B105" s="180" t="s">
        <v>718</v>
      </c>
      <c r="C105" s="4953"/>
      <c r="D105" s="141" t="s">
        <v>464</v>
      </c>
    </row>
    <row r="107" spans="1:9" ht="15.05" thickBot="1" x14ac:dyDescent="0.25"/>
    <row r="108" spans="1:9" ht="15.05" thickBot="1" x14ac:dyDescent="0.25">
      <c r="A108" s="1344">
        <f>+A100+1</f>
        <v>10</v>
      </c>
      <c r="B108" s="142" t="s">
        <v>1182</v>
      </c>
      <c r="C108" s="4927"/>
      <c r="D108" s="4927"/>
      <c r="E108" s="4927"/>
      <c r="F108" s="4927"/>
      <c r="G108" s="4927"/>
      <c r="H108" s="4927"/>
      <c r="I108" s="4928"/>
    </row>
    <row r="109" spans="1:9" x14ac:dyDescent="0.2">
      <c r="B109" s="4929"/>
      <c r="C109" s="4930"/>
      <c r="D109" s="4931"/>
      <c r="E109" s="4931"/>
      <c r="F109" s="4932"/>
      <c r="G109" s="181"/>
      <c r="H109" s="181" t="s">
        <v>485</v>
      </c>
      <c r="I109" s="182"/>
    </row>
    <row r="110" spans="1:9" ht="15.05" thickBot="1" x14ac:dyDescent="0.25">
      <c r="B110" s="183" t="s">
        <v>13</v>
      </c>
      <c r="C110" s="184"/>
      <c r="D110" s="185" t="s">
        <v>489</v>
      </c>
      <c r="E110" s="185"/>
      <c r="F110" s="186"/>
      <c r="G110" s="187" t="s">
        <v>483</v>
      </c>
      <c r="H110" s="188" t="s">
        <v>315</v>
      </c>
      <c r="I110" s="189" t="s">
        <v>484</v>
      </c>
    </row>
    <row r="111" spans="1:9" x14ac:dyDescent="0.2">
      <c r="A111" s="739"/>
      <c r="B111" s="1389" t="s">
        <v>187</v>
      </c>
      <c r="C111" s="5498" t="s">
        <v>1265</v>
      </c>
      <c r="D111" s="5499"/>
      <c r="E111" s="5499"/>
      <c r="F111" s="5500"/>
      <c r="G111" s="110">
        <f>IF(C111=0,0,VLOOKUP(C111,$B$177:$C$180,2,FALSE))</f>
        <v>30</v>
      </c>
      <c r="H111" s="4954"/>
      <c r="I111" s="1395">
        <f>IF(H111&lt;&gt;"",H111,G111)</f>
        <v>30</v>
      </c>
    </row>
    <row r="112" spans="1:9" x14ac:dyDescent="0.2">
      <c r="B112" s="1389" t="s">
        <v>482</v>
      </c>
      <c r="C112" s="5492" t="s">
        <v>488</v>
      </c>
      <c r="D112" s="5493"/>
      <c r="E112" s="5493"/>
      <c r="F112" s="5494"/>
      <c r="G112" s="110">
        <f>IF(C112=0,0,VLOOKUP(C112,$B$177:$C$180,2,FALSE))</f>
        <v>5</v>
      </c>
      <c r="H112" s="4954"/>
      <c r="I112" s="1395">
        <f>IF(H112&lt;&gt;"",H112,G112)</f>
        <v>5</v>
      </c>
    </row>
    <row r="113" spans="1:9" x14ac:dyDescent="0.2">
      <c r="B113" s="1389" t="s">
        <v>481</v>
      </c>
      <c r="C113" s="5492" t="s">
        <v>488</v>
      </c>
      <c r="D113" s="5493"/>
      <c r="E113" s="5493"/>
      <c r="F113" s="5494"/>
      <c r="G113" s="110">
        <f>IF(C113=0,0,VLOOKUP(C113,$B$177:$C$180,2,FALSE))</f>
        <v>5</v>
      </c>
      <c r="H113" s="4954"/>
      <c r="I113" s="1395">
        <f>IF(H113&lt;&gt;"",H113,G113)</f>
        <v>5</v>
      </c>
    </row>
    <row r="114" spans="1:9" ht="15.05" thickBot="1" x14ac:dyDescent="0.25">
      <c r="B114" s="1390" t="s">
        <v>718</v>
      </c>
      <c r="C114" s="5495" t="s">
        <v>1265</v>
      </c>
      <c r="D114" s="5496"/>
      <c r="E114" s="5496"/>
      <c r="F114" s="5497"/>
      <c r="G114" s="1397">
        <f>IF(C114=0,0,VLOOKUP(C114,$B$177:$C$180,2,FALSE))</f>
        <v>30</v>
      </c>
      <c r="H114" s="4955"/>
      <c r="I114" s="1396">
        <f>IF(H114&lt;&gt;"",H114,G114)</f>
        <v>30</v>
      </c>
    </row>
    <row r="115" spans="1:9" x14ac:dyDescent="0.2">
      <c r="B115" s="1398" t="s">
        <v>615</v>
      </c>
    </row>
    <row r="116" spans="1:9" ht="15.05" thickBot="1" x14ac:dyDescent="0.25"/>
    <row r="117" spans="1:9" ht="15.05" thickBot="1" x14ac:dyDescent="0.25">
      <c r="A117" s="1344">
        <f>+A108+1</f>
        <v>11</v>
      </c>
      <c r="B117" s="142" t="s">
        <v>911</v>
      </c>
      <c r="C117" s="4927"/>
      <c r="D117" s="4927"/>
      <c r="E117" s="4927"/>
      <c r="F117" s="4927"/>
      <c r="G117" s="4927"/>
      <c r="H117" s="4927"/>
      <c r="I117" s="4928"/>
    </row>
    <row r="118" spans="1:9" x14ac:dyDescent="0.2">
      <c r="B118" s="4929"/>
      <c r="C118" s="4930"/>
      <c r="D118" s="4931"/>
      <c r="E118" s="4931"/>
      <c r="F118" s="4932"/>
      <c r="G118" s="181"/>
      <c r="H118" s="181" t="s">
        <v>485</v>
      </c>
      <c r="I118" s="182"/>
    </row>
    <row r="119" spans="1:9" ht="15.05" thickBot="1" x14ac:dyDescent="0.25">
      <c r="B119" s="183" t="s">
        <v>13</v>
      </c>
      <c r="C119" s="184"/>
      <c r="D119" s="185" t="s">
        <v>489</v>
      </c>
      <c r="E119" s="185"/>
      <c r="F119" s="186"/>
      <c r="G119" s="187" t="s">
        <v>483</v>
      </c>
      <c r="H119" s="188" t="s">
        <v>315</v>
      </c>
      <c r="I119" s="189" t="s">
        <v>484</v>
      </c>
    </row>
    <row r="120" spans="1:9" x14ac:dyDescent="0.2">
      <c r="B120" s="1389" t="s">
        <v>187</v>
      </c>
      <c r="C120" s="5498" t="s">
        <v>1265</v>
      </c>
      <c r="D120" s="5499"/>
      <c r="E120" s="5499"/>
      <c r="F120" s="5500"/>
      <c r="G120" s="110">
        <f>IF(C120=0,0,VLOOKUP(C120,$B$177:$C$180,2,FALSE))</f>
        <v>30</v>
      </c>
      <c r="H120" s="4954"/>
      <c r="I120" s="1395">
        <f>IF(H120&lt;&gt;"",H120,G120)</f>
        <v>30</v>
      </c>
    </row>
    <row r="121" spans="1:9" x14ac:dyDescent="0.2">
      <c r="B121" s="1389" t="s">
        <v>482</v>
      </c>
      <c r="C121" s="5492" t="s">
        <v>1266</v>
      </c>
      <c r="D121" s="5493"/>
      <c r="E121" s="5493"/>
      <c r="F121" s="5494"/>
      <c r="G121" s="110">
        <f>IF(C121=0,0,VLOOKUP(C121,$B$177:$C$180,2,FALSE))</f>
        <v>15</v>
      </c>
      <c r="H121" s="4954"/>
      <c r="I121" s="1395">
        <f>IF(H121&lt;&gt;"",H121,G121)</f>
        <v>15</v>
      </c>
    </row>
    <row r="122" spans="1:9" x14ac:dyDescent="0.2">
      <c r="B122" s="1389" t="s">
        <v>481</v>
      </c>
      <c r="C122" s="5492" t="s">
        <v>1265</v>
      </c>
      <c r="D122" s="5493"/>
      <c r="E122" s="5493"/>
      <c r="F122" s="5494"/>
      <c r="G122" s="110">
        <f>IF(C122=0,0,VLOOKUP(C122,$B$177:$C$180,2,FALSE))</f>
        <v>30</v>
      </c>
      <c r="H122" s="4954"/>
      <c r="I122" s="1395">
        <f>IF(H122&lt;&gt;"",H122,G122)</f>
        <v>30</v>
      </c>
    </row>
    <row r="123" spans="1:9" ht="15.05" thickBot="1" x14ac:dyDescent="0.25">
      <c r="B123" s="1390" t="s">
        <v>718</v>
      </c>
      <c r="C123" s="5495" t="s">
        <v>1265</v>
      </c>
      <c r="D123" s="5496"/>
      <c r="E123" s="5496"/>
      <c r="F123" s="5497"/>
      <c r="G123" s="1397">
        <f>IF(C123=0,0,VLOOKUP(C123,$B$177:$C$180,2,FALSE))</f>
        <v>30</v>
      </c>
      <c r="H123" s="4955"/>
      <c r="I123" s="1396">
        <f>IF(H123&lt;&gt;"",H123,G123)</f>
        <v>30</v>
      </c>
    </row>
    <row r="124" spans="1:9" x14ac:dyDescent="0.2">
      <c r="B124" s="1398" t="s">
        <v>616</v>
      </c>
    </row>
    <row r="125" spans="1:9" ht="15.05" thickBot="1" x14ac:dyDescent="0.25">
      <c r="A125" s="739"/>
    </row>
    <row r="126" spans="1:9" ht="15.05" thickBot="1" x14ac:dyDescent="0.25">
      <c r="A126" s="1344">
        <f>+A117+1</f>
        <v>12</v>
      </c>
      <c r="B126" s="142" t="s">
        <v>2251</v>
      </c>
      <c r="C126" s="4928"/>
    </row>
    <row r="127" spans="1:9" x14ac:dyDescent="0.2">
      <c r="B127" s="628" t="s">
        <v>912</v>
      </c>
      <c r="C127" s="629" t="s">
        <v>623</v>
      </c>
    </row>
    <row r="128" spans="1:9" x14ac:dyDescent="0.2">
      <c r="B128" s="1389" t="s">
        <v>2275</v>
      </c>
      <c r="C128" s="4948"/>
      <c r="D128" s="193" t="s">
        <v>624</v>
      </c>
      <c r="E128" s="1399"/>
      <c r="F128" s="192"/>
      <c r="G128" s="192"/>
      <c r="H128" s="1399"/>
      <c r="I128" s="192"/>
    </row>
    <row r="129" spans="1:9" x14ac:dyDescent="0.2">
      <c r="B129" s="1389" t="s">
        <v>2276</v>
      </c>
      <c r="C129" s="4948"/>
      <c r="D129" s="193" t="s">
        <v>624</v>
      </c>
      <c r="E129" s="1399"/>
      <c r="F129" s="192"/>
      <c r="G129" s="192"/>
      <c r="H129" s="1399"/>
      <c r="I129" s="192"/>
    </row>
    <row r="130" spans="1:9" x14ac:dyDescent="0.2">
      <c r="B130" s="1389" t="s">
        <v>1744</v>
      </c>
      <c r="C130" s="4948"/>
      <c r="D130" s="193" t="s">
        <v>624</v>
      </c>
      <c r="E130" s="1399"/>
      <c r="F130" s="192"/>
      <c r="G130" s="192"/>
      <c r="H130" s="1399"/>
      <c r="I130" s="192"/>
    </row>
    <row r="131" spans="1:9" x14ac:dyDescent="0.2">
      <c r="B131" s="1393" t="s">
        <v>555</v>
      </c>
      <c r="C131" s="4956"/>
      <c r="D131" s="193" t="s">
        <v>624</v>
      </c>
      <c r="E131" s="1399"/>
      <c r="F131" s="192"/>
      <c r="G131" s="192"/>
      <c r="H131" s="192"/>
      <c r="I131" s="192"/>
    </row>
    <row r="132" spans="1:9" x14ac:dyDescent="0.2">
      <c r="B132" s="1389" t="s">
        <v>1745</v>
      </c>
      <c r="C132" s="1401">
        <f>(C131*0.08+C130*0.03)</f>
        <v>0</v>
      </c>
      <c r="D132" s="193" t="s">
        <v>624</v>
      </c>
      <c r="E132" s="192"/>
      <c r="F132" s="192"/>
      <c r="G132" s="192"/>
      <c r="H132" s="192"/>
      <c r="I132" s="192"/>
    </row>
    <row r="133" spans="1:9" x14ac:dyDescent="0.2">
      <c r="B133" s="1389" t="s">
        <v>1746</v>
      </c>
      <c r="C133" s="4948"/>
      <c r="D133" s="193" t="s">
        <v>624</v>
      </c>
      <c r="E133" s="1399" t="s">
        <v>780</v>
      </c>
      <c r="F133" s="192"/>
      <c r="G133" s="192"/>
      <c r="H133" s="192"/>
      <c r="I133" s="192"/>
    </row>
    <row r="134" spans="1:9" ht="15.05" thickBot="1" x14ac:dyDescent="0.25">
      <c r="B134" s="1390" t="s">
        <v>1747</v>
      </c>
      <c r="C134" s="1402">
        <f>IF(C133&lt;&gt;"",C133,C132)</f>
        <v>0</v>
      </c>
      <c r="D134" s="193" t="s">
        <v>624</v>
      </c>
      <c r="E134" s="192"/>
      <c r="F134" s="192"/>
      <c r="G134" s="192"/>
      <c r="H134" s="192"/>
      <c r="I134" s="192"/>
    </row>
    <row r="135" spans="1:9" x14ac:dyDescent="0.2">
      <c r="A135" s="193"/>
      <c r="B135" s="190"/>
      <c r="C135" s="194"/>
      <c r="D135" s="193"/>
      <c r="E135" s="193"/>
      <c r="F135" s="193"/>
    </row>
    <row r="136" spans="1:9" ht="15.05" thickBot="1" x14ac:dyDescent="0.25">
      <c r="A136" s="739"/>
      <c r="B136" s="173"/>
      <c r="C136" s="194"/>
      <c r="D136" s="193"/>
      <c r="E136" s="193"/>
      <c r="F136" s="193"/>
    </row>
    <row r="137" spans="1:9" ht="15.05" thickBot="1" x14ac:dyDescent="0.25">
      <c r="A137" s="1344">
        <f>+A126+1</f>
        <v>13</v>
      </c>
      <c r="B137" s="142" t="s">
        <v>421</v>
      </c>
      <c r="C137" s="4928"/>
      <c r="D137" s="193"/>
      <c r="E137" s="193"/>
      <c r="F137" s="193"/>
    </row>
    <row r="138" spans="1:9" ht="15.05" thickBot="1" x14ac:dyDescent="0.25">
      <c r="A138" s="767"/>
      <c r="B138" s="1389" t="s">
        <v>2255</v>
      </c>
      <c r="C138" s="4957"/>
      <c r="D138" s="193"/>
      <c r="E138" s="1975"/>
      <c r="F138" s="193"/>
    </row>
    <row r="139" spans="1:9" x14ac:dyDescent="0.2">
      <c r="B139" s="195" t="s">
        <v>854</v>
      </c>
      <c r="C139" s="196" t="str">
        <f>IF(OR(C138=B173,C138=B174),UsoSuelo!R8,"")</f>
        <v/>
      </c>
      <c r="E139" s="2339"/>
    </row>
    <row r="140" spans="1:9" x14ac:dyDescent="0.2">
      <c r="B140" s="1389" t="s">
        <v>852</v>
      </c>
      <c r="C140" s="4958"/>
      <c r="D140" s="141" t="s">
        <v>367</v>
      </c>
    </row>
    <row r="141" spans="1:9" x14ac:dyDescent="0.2">
      <c r="B141" s="1389" t="s">
        <v>853</v>
      </c>
      <c r="C141" s="2350"/>
      <c r="D141" s="141" t="s">
        <v>1037</v>
      </c>
    </row>
    <row r="142" spans="1:9" x14ac:dyDescent="0.2">
      <c r="B142" s="197" t="s">
        <v>855</v>
      </c>
      <c r="C142" s="198" t="str">
        <f>IF(C138=B174,UsoSuelo!Q8,"")</f>
        <v/>
      </c>
      <c r="D142" s="193"/>
      <c r="E142" s="193"/>
      <c r="F142" s="193"/>
    </row>
    <row r="143" spans="1:9" x14ac:dyDescent="0.2">
      <c r="B143" s="1389" t="s">
        <v>852</v>
      </c>
      <c r="C143" s="4958"/>
      <c r="D143" s="141" t="s">
        <v>367</v>
      </c>
    </row>
    <row r="144" spans="1:9" ht="15.05" thickBot="1" x14ac:dyDescent="0.25">
      <c r="B144" s="1390" t="s">
        <v>853</v>
      </c>
      <c r="C144" s="4959"/>
      <c r="D144" s="141" t="s">
        <v>1037</v>
      </c>
    </row>
    <row r="145" spans="1:6" x14ac:dyDescent="0.2">
      <c r="A145" s="739"/>
      <c r="B145" s="204"/>
      <c r="C145" s="193"/>
    </row>
    <row r="146" spans="1:6" ht="15.05" thickBot="1" x14ac:dyDescent="0.25">
      <c r="A146" s="739"/>
      <c r="B146" s="204"/>
      <c r="C146" s="193"/>
    </row>
    <row r="147" spans="1:6" ht="15.05" thickBot="1" x14ac:dyDescent="0.25">
      <c r="A147" s="1344">
        <f>+A137+1</f>
        <v>14</v>
      </c>
      <c r="B147" s="142" t="s">
        <v>1748</v>
      </c>
      <c r="C147" s="4957"/>
    </row>
    <row r="149" spans="1:6" ht="15.05" thickBot="1" x14ac:dyDescent="0.25"/>
    <row r="150" spans="1:6" ht="15.05" thickBot="1" x14ac:dyDescent="0.25">
      <c r="A150" s="1344">
        <f>+A147+1</f>
        <v>15</v>
      </c>
      <c r="B150" s="142" t="s">
        <v>914</v>
      </c>
      <c r="C150" s="4928"/>
    </row>
    <row r="151" spans="1:6" x14ac:dyDescent="0.2">
      <c r="B151" s="40"/>
      <c r="C151" s="191" t="s">
        <v>913</v>
      </c>
      <c r="E151" s="193"/>
      <c r="F151" s="193"/>
    </row>
    <row r="152" spans="1:6" ht="15.05" thickBot="1" x14ac:dyDescent="0.35">
      <c r="B152" s="199" t="s">
        <v>877</v>
      </c>
      <c r="C152" s="200" t="s">
        <v>2256</v>
      </c>
      <c r="E152" s="425"/>
      <c r="F152" s="193"/>
    </row>
    <row r="153" spans="1:6" x14ac:dyDescent="0.3">
      <c r="B153" s="1400" t="str">
        <f>UsoSuelo!D347</f>
        <v>Soja</v>
      </c>
      <c r="C153" s="4947"/>
      <c r="E153" s="425"/>
      <c r="F153" s="193"/>
    </row>
    <row r="154" spans="1:6" x14ac:dyDescent="0.3">
      <c r="B154" s="1389" t="str">
        <f>UsoSuelo!D348</f>
        <v>Soja 2ª</v>
      </c>
      <c r="C154" s="4948"/>
      <c r="E154" s="425"/>
      <c r="F154" s="193"/>
    </row>
    <row r="155" spans="1:6" x14ac:dyDescent="0.3">
      <c r="B155" s="1389" t="str">
        <f>UsoSuelo!D349</f>
        <v>Maíz Grano</v>
      </c>
      <c r="C155" s="4948"/>
      <c r="E155" s="425"/>
      <c r="F155" s="193"/>
    </row>
    <row r="156" spans="1:6" x14ac:dyDescent="0.3">
      <c r="B156" s="1389" t="str">
        <f>UsoSuelo!D350</f>
        <v>Sorgo grano</v>
      </c>
      <c r="C156" s="4948"/>
      <c r="E156" s="425"/>
      <c r="F156" s="193"/>
    </row>
    <row r="157" spans="1:6" x14ac:dyDescent="0.3">
      <c r="B157" s="1389" t="str">
        <f>UsoSuelo!D351</f>
        <v>Trigo grano</v>
      </c>
      <c r="C157" s="4948"/>
      <c r="E157" s="425"/>
      <c r="F157" s="193"/>
    </row>
    <row r="158" spans="1:6" x14ac:dyDescent="0.3">
      <c r="B158" s="1389" t="str">
        <f>UsoSuelo!D352</f>
        <v>Cebada grano</v>
      </c>
      <c r="C158" s="4948"/>
      <c r="E158" s="425"/>
      <c r="F158" s="193"/>
    </row>
    <row r="159" spans="1:6" x14ac:dyDescent="0.3">
      <c r="B159" s="1389" t="str">
        <f>UsoSuelo!D353</f>
        <v>Avena grano</v>
      </c>
      <c r="C159" s="4948"/>
      <c r="E159" s="425"/>
      <c r="F159" s="193"/>
    </row>
    <row r="160" spans="1:6" x14ac:dyDescent="0.3">
      <c r="B160" s="1389" t="str">
        <f>UsoSuelo!D354</f>
        <v>Colza grano</v>
      </c>
      <c r="C160" s="4948"/>
      <c r="E160" s="425"/>
      <c r="F160" s="193"/>
    </row>
    <row r="161" spans="1:13" x14ac:dyDescent="0.3">
      <c r="B161" s="1389">
        <f>UsoSuelo!D355</f>
        <v>0</v>
      </c>
      <c r="C161" s="4948"/>
      <c r="E161" s="425"/>
      <c r="F161" s="193"/>
    </row>
    <row r="162" spans="1:13" x14ac:dyDescent="0.3">
      <c r="B162" s="1389">
        <f>UsoSuelo!D356</f>
        <v>0</v>
      </c>
      <c r="C162" s="4948"/>
      <c r="E162" s="425"/>
      <c r="F162" s="193"/>
    </row>
    <row r="163" spans="1:13" x14ac:dyDescent="0.3">
      <c r="B163" s="1389">
        <f>UsoSuelo!D357</f>
        <v>0</v>
      </c>
      <c r="C163" s="4948"/>
      <c r="E163" s="425"/>
      <c r="F163" s="193"/>
    </row>
    <row r="164" spans="1:13" ht="15.05" thickBot="1" x14ac:dyDescent="0.35">
      <c r="B164" s="1390">
        <f>UsoSuelo!D358</f>
        <v>0</v>
      </c>
      <c r="C164" s="4960"/>
      <c r="E164" s="425"/>
      <c r="F164" s="193"/>
    </row>
    <row r="165" spans="1:13" ht="12.8" hidden="1" customHeight="1" x14ac:dyDescent="0.2"/>
    <row r="166" spans="1:13" ht="12.8" hidden="1" customHeight="1" x14ac:dyDescent="0.2">
      <c r="A166" s="1284"/>
      <c r="B166" s="1749" t="s">
        <v>1983</v>
      </c>
      <c r="C166" s="1744"/>
      <c r="D166" s="1747"/>
      <c r="E166" s="1744"/>
      <c r="F166" s="1744"/>
      <c r="G166" s="1744"/>
      <c r="H166" s="1744"/>
      <c r="I166" s="1744"/>
      <c r="J166" s="1744"/>
      <c r="K166" s="1744"/>
      <c r="L166" s="1744"/>
      <c r="M166" s="1744"/>
    </row>
    <row r="167" spans="1:13" ht="12.8" hidden="1" customHeight="1" x14ac:dyDescent="0.2">
      <c r="A167" s="1284"/>
      <c r="B167" s="1748"/>
      <c r="D167" s="1284"/>
    </row>
    <row r="168" spans="1:13" ht="13.6" hidden="1" customHeight="1" thickBot="1" x14ac:dyDescent="0.25">
      <c r="A168" s="1284"/>
      <c r="B168" s="1748" t="s">
        <v>2031</v>
      </c>
      <c r="D168" s="1284"/>
    </row>
    <row r="169" spans="1:13" ht="13.6" hidden="1" customHeight="1" thickTop="1" x14ac:dyDescent="0.2">
      <c r="A169" s="2188">
        <v>1000</v>
      </c>
      <c r="B169" s="1750" t="s">
        <v>220</v>
      </c>
      <c r="D169" s="1284"/>
    </row>
    <row r="170" spans="1:13" ht="13.6" hidden="1" customHeight="1" thickBot="1" x14ac:dyDescent="0.25">
      <c r="A170" s="1284"/>
      <c r="B170" s="1751" t="s">
        <v>221</v>
      </c>
      <c r="D170" s="1284"/>
    </row>
    <row r="171" spans="1:13" ht="14.25" hidden="1" customHeight="1" thickTop="1" thickBot="1" x14ac:dyDescent="0.25">
      <c r="A171" s="1284"/>
      <c r="D171" s="1284"/>
    </row>
    <row r="172" spans="1:13" ht="13.6" hidden="1" customHeight="1" thickTop="1" x14ac:dyDescent="0.2">
      <c r="A172" s="2188">
        <v>1001</v>
      </c>
      <c r="B172" s="1750" t="s">
        <v>252</v>
      </c>
      <c r="D172" s="1284"/>
    </row>
    <row r="173" spans="1:13" ht="12.8" hidden="1" customHeight="1" x14ac:dyDescent="0.2">
      <c r="A173" s="1284"/>
      <c r="B173" s="1752" t="s">
        <v>253</v>
      </c>
      <c r="D173" s="1284"/>
    </row>
    <row r="174" spans="1:13" ht="13.6" hidden="1" customHeight="1" thickBot="1" x14ac:dyDescent="0.25">
      <c r="A174" s="1284"/>
      <c r="B174" s="1751" t="s">
        <v>254</v>
      </c>
      <c r="D174" s="1284"/>
    </row>
    <row r="175" spans="1:13" ht="14.25" hidden="1" customHeight="1" thickTop="1" thickBot="1" x14ac:dyDescent="0.25">
      <c r="A175" s="1284"/>
      <c r="D175" s="1284"/>
    </row>
    <row r="176" spans="1:13" ht="13.6" hidden="1" customHeight="1" thickTop="1" x14ac:dyDescent="0.2">
      <c r="A176" s="2188">
        <v>1002</v>
      </c>
      <c r="B176" s="1753"/>
      <c r="C176" s="1754" t="s">
        <v>486</v>
      </c>
      <c r="D176" s="1501"/>
    </row>
    <row r="177" spans="1:4" ht="12.8" hidden="1" customHeight="1" x14ac:dyDescent="0.2">
      <c r="A177" s="1284"/>
      <c r="B177" s="1755" t="s">
        <v>1265</v>
      </c>
      <c r="C177" s="1756">
        <v>30</v>
      </c>
      <c r="D177" s="1502"/>
    </row>
    <row r="178" spans="1:4" ht="12.8" hidden="1" customHeight="1" x14ac:dyDescent="0.2">
      <c r="A178" s="1284"/>
      <c r="B178" s="1757" t="s">
        <v>487</v>
      </c>
      <c r="C178" s="1758">
        <v>5</v>
      </c>
      <c r="D178" s="1501"/>
    </row>
    <row r="179" spans="1:4" ht="12.8" hidden="1" customHeight="1" x14ac:dyDescent="0.2">
      <c r="A179" s="1284"/>
      <c r="B179" s="1757" t="s">
        <v>1266</v>
      </c>
      <c r="C179" s="1758">
        <v>15</v>
      </c>
      <c r="D179" s="1501"/>
    </row>
    <row r="180" spans="1:4" ht="13.6" hidden="1" customHeight="1" thickBot="1" x14ac:dyDescent="0.25">
      <c r="A180" s="1284"/>
      <c r="B180" s="1759" t="s">
        <v>488</v>
      </c>
      <c r="C180" s="1760">
        <v>5</v>
      </c>
      <c r="D180" s="1501"/>
    </row>
    <row r="181" spans="1:4" ht="13.6" hidden="1" customHeight="1" thickTop="1" x14ac:dyDescent="0.2"/>
    <row r="182" spans="1:4" ht="12.8" hidden="1" customHeight="1" x14ac:dyDescent="0.2"/>
  </sheetData>
  <sheetProtection algorithmName="SHA-512" hashValue="tvkDjkN8KEr/D6fKr1qOX1uM0xr3Wu6icWfWHytCXr97xkgY7MX+LQo+l0mKWjO7jD+YXVsiGU6x4s/j/OSAnw==" saltValue="q8Gip+2XzqUfNGL9fc/33A==" spinCount="100000" sheet="1" objects="1" scenarios="1"/>
  <mergeCells count="8">
    <mergeCell ref="C121:F121"/>
    <mergeCell ref="C122:F122"/>
    <mergeCell ref="C123:F123"/>
    <mergeCell ref="C111:F111"/>
    <mergeCell ref="C112:F112"/>
    <mergeCell ref="C114:F114"/>
    <mergeCell ref="C113:F113"/>
    <mergeCell ref="C120:F120"/>
  </mergeCells>
  <conditionalFormatting sqref="G120:G123 I120:I123 F51:H60">
    <cfRule type="cellIs" dxfId="8711" priority="34" operator="equal">
      <formula>0</formula>
    </cfRule>
  </conditionalFormatting>
  <conditionalFormatting sqref="B153:B164">
    <cfRule type="cellIs" dxfId="8710" priority="28" operator="equal">
      <formula>0</formula>
    </cfRule>
  </conditionalFormatting>
  <conditionalFormatting sqref="G111:G114">
    <cfRule type="cellIs" dxfId="8709" priority="33" operator="equal">
      <formula>0</formula>
    </cfRule>
  </conditionalFormatting>
  <conditionalFormatting sqref="I111:I114">
    <cfRule type="cellIs" dxfId="8708" priority="32" operator="equal">
      <formula>0</formula>
    </cfRule>
  </conditionalFormatting>
  <conditionalFormatting sqref="E51:E60">
    <cfRule type="cellIs" dxfId="8707" priority="29" operator="equal">
      <formula>0</formula>
    </cfRule>
  </conditionalFormatting>
  <conditionalFormatting sqref="F42:H43">
    <cfRule type="cellIs" dxfId="8706" priority="25" operator="equal">
      <formula>0</formula>
    </cfRule>
  </conditionalFormatting>
  <conditionalFormatting sqref="E42:E43">
    <cfRule type="cellIs" dxfId="8705" priority="24" operator="equal">
      <formula>0</formula>
    </cfRule>
  </conditionalFormatting>
  <conditionalFormatting sqref="F34:H41">
    <cfRule type="cellIs" dxfId="8704" priority="27" operator="equal">
      <formula>0</formula>
    </cfRule>
  </conditionalFormatting>
  <conditionalFormatting sqref="E34:E41">
    <cfRule type="cellIs" dxfId="8703" priority="26" operator="equal">
      <formula>0</formula>
    </cfRule>
  </conditionalFormatting>
  <conditionalFormatting sqref="D17:D24">
    <cfRule type="cellIs" dxfId="8702" priority="21" operator="equal">
      <formula>0</formula>
    </cfRule>
  </conditionalFormatting>
  <conditionalFormatting sqref="D25:D26">
    <cfRule type="cellIs" dxfId="8701" priority="20" operator="equal">
      <formula>0</formula>
    </cfRule>
  </conditionalFormatting>
  <conditionalFormatting sqref="E17:F24">
    <cfRule type="cellIs" dxfId="8700" priority="19" operator="equal">
      <formula>0</formula>
    </cfRule>
  </conditionalFormatting>
  <conditionalFormatting sqref="E25:F26">
    <cfRule type="cellIs" dxfId="8699" priority="18" operator="equal">
      <formula>0</formula>
    </cfRule>
  </conditionalFormatting>
  <conditionalFormatting sqref="I34:I43">
    <cfRule type="cellIs" dxfId="8698" priority="14" operator="equal">
      <formula>0</formula>
    </cfRule>
  </conditionalFormatting>
  <conditionalFormatting sqref="J34:J43">
    <cfRule type="cellIs" dxfId="8697" priority="13" operator="equal">
      <formula>0</formula>
    </cfRule>
  </conditionalFormatting>
  <conditionalFormatting sqref="K34:K43">
    <cfRule type="cellIs" dxfId="8696" priority="12" operator="equal">
      <formula>0</formula>
    </cfRule>
  </conditionalFormatting>
  <conditionalFormatting sqref="I51:I60">
    <cfRule type="cellIs" dxfId="8695" priority="11" operator="equal">
      <formula>0</formula>
    </cfRule>
  </conditionalFormatting>
  <conditionalFormatting sqref="J51:J60">
    <cfRule type="cellIs" dxfId="8694" priority="10" operator="equal">
      <formula>0</formula>
    </cfRule>
  </conditionalFormatting>
  <conditionalFormatting sqref="K51:K60">
    <cfRule type="cellIs" dxfId="8693" priority="9" operator="equal">
      <formula>0</formula>
    </cfRule>
  </conditionalFormatting>
  <conditionalFormatting sqref="G17:G26">
    <cfRule type="cellIs" dxfId="8692" priority="8" operator="equal">
      <formula>0</formula>
    </cfRule>
  </conditionalFormatting>
  <conditionalFormatting sqref="H17:H26">
    <cfRule type="cellIs" dxfId="8691" priority="7" operator="equal">
      <formula>0</formula>
    </cfRule>
  </conditionalFormatting>
  <conditionalFormatting sqref="I17:I26">
    <cfRule type="cellIs" dxfId="8690" priority="6" operator="equal">
      <formula>0</formula>
    </cfRule>
  </conditionalFormatting>
  <conditionalFormatting sqref="A1">
    <cfRule type="cellIs" dxfId="8689" priority="5" operator="equal">
      <formula>0</formula>
    </cfRule>
  </conditionalFormatting>
  <conditionalFormatting sqref="C138">
    <cfRule type="cellIs" dxfId="8688" priority="4" operator="equal">
      <formula>0</formula>
    </cfRule>
  </conditionalFormatting>
  <conditionalFormatting sqref="C140:C141">
    <cfRule type="expression" dxfId="8687" priority="3">
      <formula>$C$138=$B$172</formula>
    </cfRule>
  </conditionalFormatting>
  <conditionalFormatting sqref="C143">
    <cfRule type="expression" dxfId="8686" priority="2">
      <formula>$C$142=""</formula>
    </cfRule>
  </conditionalFormatting>
  <conditionalFormatting sqref="C144">
    <cfRule type="expression" dxfId="8685" priority="1">
      <formula>$C$142=""</formula>
    </cfRule>
  </conditionalFormatting>
  <dataValidations count="5">
    <dataValidation type="list" allowBlank="1" showInputMessage="1" showErrorMessage="1" sqref="C5">
      <formula1>Mes</formula1>
    </dataValidation>
    <dataValidation type="list" allowBlank="1" showInputMessage="1" showErrorMessage="1" sqref="B17:B26">
      <formula1>reserva</formula1>
    </dataValidation>
    <dataValidation type="list" allowBlank="1" showInputMessage="1" showErrorMessage="1" sqref="B51:B61 B34:B44">
      <formula1>concentrado</formula1>
    </dataValidation>
    <dataValidation type="list" allowBlank="1" showInputMessage="1" showErrorMessage="1" sqref="C120:C123 C111:C114">
      <formula1>perdida</formula1>
    </dataValidation>
    <dataValidation type="list" allowBlank="1" showInputMessage="1" showErrorMessage="1" sqref="C138">
      <formula1>cobroleche</formula1>
    </dataValidation>
  </dataValidations>
  <hyperlinks>
    <hyperlink ref="B2" location="General!B8:C11" display="Superficies "/>
    <hyperlink ref="B3" location="General!B14:L63" display="Stocks de reservas y concentrados al inicio"/>
    <hyperlink ref="D2" location="General!B66:D103" display="Animales (Existencia, pesos y muertes según categoría)"/>
    <hyperlink ref="D3" location="General!B106:I121" display="Lugar de suministro de concentrados y reservas"/>
    <hyperlink ref="A1" location="ManualGlobal!B27:D43" display="◄"/>
    <hyperlink ref="D3:F3" location="General!B114:I130" display="Lugar de suministro de concentrados y reservas"/>
    <hyperlink ref="D2:F2" location="General!B73:D111" display="Animales (Existencia, pesos y muertes según categoría)"/>
    <hyperlink ref="H2:I2" location="General!B126:C134" display="Activo promedio y Pasivo a inicio"/>
    <hyperlink ref="H3:I3" location="General!B137:C144" display="Cobro de leche "/>
    <hyperlink ref="K2:L2" location="General!C147" display="Caja al inicio "/>
    <hyperlink ref="K3:L3" location="General!B150:C164" display="Gastos cultivos en proceso al inicio"/>
  </hyperlinks>
  <pageMargins left="0.7" right="0.7" top="0.75" bottom="0.75" header="0.3" footer="0.3"/>
  <pageSetup orientation="portrait" horizontalDpi="4294967293"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
  <sheetViews>
    <sheetView workbookViewId="0">
      <selection activeCell="E69" sqref="E69"/>
    </sheetView>
  </sheetViews>
  <sheetFormatPr baseColWidth="10" defaultRowHeight="12.45" x14ac:dyDescent="0.2"/>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
  <sheetViews>
    <sheetView workbookViewId="0"/>
  </sheetViews>
  <sheetFormatPr baseColWidth="10" defaultRowHeight="12.4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AU609"/>
  <sheetViews>
    <sheetView showGridLines="0" zoomScaleNormal="100" workbookViewId="0">
      <pane xSplit="1" ySplit="3" topLeftCell="B4" activePane="bottomRight" state="frozen"/>
      <selection pane="topRight" activeCell="B1" sqref="B1"/>
      <selection pane="bottomLeft" activeCell="A4" sqref="A4"/>
      <selection pane="bottomRight" activeCell="G165" sqref="G165"/>
    </sheetView>
  </sheetViews>
  <sheetFormatPr baseColWidth="10" defaultColWidth="11.375" defaultRowHeight="14.4" x14ac:dyDescent="0.2"/>
  <cols>
    <col min="1" max="1" width="4.75" style="232" customWidth="1"/>
    <col min="2" max="2" width="34.375" style="359" customWidth="1"/>
    <col min="3" max="5" width="14.375" style="232" customWidth="1"/>
    <col min="6" max="6" width="11.125" style="232" customWidth="1"/>
    <col min="7" max="7" width="10.375" style="232" customWidth="1"/>
    <col min="8" max="8" width="35.125" style="232" customWidth="1"/>
    <col min="9" max="11" width="14.375" style="232" customWidth="1"/>
    <col min="12" max="12" width="10.125" style="232" bestFit="1" customWidth="1"/>
    <col min="13" max="13" width="13.375" style="232" customWidth="1"/>
    <col min="14" max="14" width="10.625" style="232" customWidth="1"/>
    <col min="15" max="16" width="6.625" style="232" customWidth="1"/>
    <col min="17" max="17" width="8" style="232" bestFit="1" customWidth="1"/>
    <col min="18" max="21" width="6.625" style="232" customWidth="1"/>
    <col min="22" max="16384" width="11.375" style="232"/>
  </cols>
  <sheetData>
    <row r="1" spans="1:20" ht="18" customHeight="1" x14ac:dyDescent="0.3">
      <c r="A1" s="2443" t="s">
        <v>633</v>
      </c>
      <c r="B1" s="206" t="s">
        <v>1185</v>
      </c>
      <c r="G1" s="1761"/>
      <c r="H1" s="1761"/>
    </row>
    <row r="2" spans="1:20" x14ac:dyDescent="0.3">
      <c r="B2" s="2443" t="s">
        <v>39</v>
      </c>
      <c r="C2" s="2443" t="s">
        <v>340</v>
      </c>
      <c r="E2" s="2443" t="s">
        <v>645</v>
      </c>
      <c r="H2" s="2443" t="s">
        <v>647</v>
      </c>
      <c r="I2" s="2385"/>
      <c r="K2" s="739" t="s">
        <v>2337</v>
      </c>
      <c r="L2" s="739"/>
      <c r="N2" s="2459" t="s">
        <v>248</v>
      </c>
    </row>
    <row r="3" spans="1:20" x14ac:dyDescent="0.3">
      <c r="B3" s="2443" t="s">
        <v>646</v>
      </c>
      <c r="C3" s="2443" t="s">
        <v>337</v>
      </c>
      <c r="E3" s="2443" t="s">
        <v>649</v>
      </c>
      <c r="G3" s="739"/>
      <c r="H3" s="2443" t="s">
        <v>303</v>
      </c>
      <c r="I3" s="2385"/>
      <c r="K3" s="5504" t="s">
        <v>648</v>
      </c>
      <c r="L3" s="5504"/>
    </row>
    <row r="4" spans="1:20" x14ac:dyDescent="0.2">
      <c r="C4" s="359"/>
      <c r="G4" s="5501"/>
      <c r="H4" s="5501"/>
    </row>
    <row r="5" spans="1:20" ht="15.05" customHeight="1" thickBot="1" x14ac:dyDescent="0.25">
      <c r="B5" s="1762" t="s">
        <v>640</v>
      </c>
      <c r="C5" s="1763"/>
      <c r="D5" s="1763"/>
      <c r="E5" s="1763"/>
      <c r="F5" s="1763"/>
      <c r="G5" s="1763"/>
      <c r="H5" s="1763"/>
      <c r="R5" s="1763"/>
      <c r="S5" s="1763"/>
      <c r="T5" s="1763"/>
    </row>
    <row r="6" spans="1:20" ht="15.05" customHeight="1" thickBot="1" x14ac:dyDescent="0.25">
      <c r="A6" s="1344">
        <f>+General!A150+1</f>
        <v>16</v>
      </c>
      <c r="B6" s="7" t="s">
        <v>2253</v>
      </c>
      <c r="C6" s="8"/>
      <c r="D6" s="8"/>
      <c r="E6" s="8"/>
      <c r="F6" s="8"/>
      <c r="G6" s="9"/>
      <c r="H6" s="1776"/>
      <c r="R6" s="1763"/>
      <c r="S6" s="1763"/>
      <c r="T6" s="1763"/>
    </row>
    <row r="7" spans="1:20" ht="15.05" customHeight="1" x14ac:dyDescent="0.2">
      <c r="B7" s="210"/>
      <c r="C7" s="211" t="s">
        <v>23</v>
      </c>
      <c r="D7" s="211"/>
      <c r="E7" s="212" t="s">
        <v>903</v>
      </c>
      <c r="F7" s="1305" t="s">
        <v>1925</v>
      </c>
      <c r="G7" s="2167" t="s">
        <v>353</v>
      </c>
      <c r="H7" s="1776"/>
      <c r="R7" s="1763"/>
      <c r="S7" s="1763"/>
      <c r="T7" s="1763"/>
    </row>
    <row r="8" spans="1:20" ht="15.05" customHeight="1" thickBot="1" x14ac:dyDescent="0.25">
      <c r="A8" s="1764"/>
      <c r="B8" s="213" t="s">
        <v>84</v>
      </c>
      <c r="C8" s="214" t="s">
        <v>863</v>
      </c>
      <c r="D8" s="214" t="s">
        <v>312</v>
      </c>
      <c r="E8" s="215" t="s">
        <v>917</v>
      </c>
      <c r="F8" s="215" t="s">
        <v>1926</v>
      </c>
      <c r="G8" s="2168" t="s">
        <v>1927</v>
      </c>
      <c r="H8" s="254"/>
      <c r="R8" s="1763"/>
      <c r="S8" s="1763"/>
      <c r="T8" s="1763"/>
    </row>
    <row r="9" spans="1:20" ht="15.05" customHeight="1" x14ac:dyDescent="0.2">
      <c r="B9" s="4964" t="s">
        <v>174</v>
      </c>
      <c r="C9" s="4965">
        <v>2.5</v>
      </c>
      <c r="D9" s="4966" t="s">
        <v>145</v>
      </c>
      <c r="E9" s="4967"/>
      <c r="F9" s="218">
        <f>IF(B9=0,0,SUMIF(InsumosCultivos!$B$2422:$B$3229,B9,InsumosCultivos!$C$2422:$C$3229))</f>
        <v>0</v>
      </c>
      <c r="G9" s="2169">
        <f>MAX(F9-E9,0)</f>
        <v>0</v>
      </c>
      <c r="H9" s="1776"/>
      <c r="R9" s="1765"/>
      <c r="S9" s="1765"/>
      <c r="T9" s="1765"/>
    </row>
    <row r="10" spans="1:20" ht="15.05" customHeight="1" x14ac:dyDescent="0.2">
      <c r="B10" s="4964" t="s">
        <v>1050</v>
      </c>
      <c r="C10" s="4965">
        <v>3</v>
      </c>
      <c r="D10" s="4966" t="s">
        <v>145</v>
      </c>
      <c r="E10" s="4967"/>
      <c r="F10" s="219">
        <f>IF(B10=0,0,SUMIF(InsumosCultivos!$B$2422:$B$3229,B10,InsumosCultivos!$C$2422:$C$3229))</f>
        <v>0</v>
      </c>
      <c r="G10" s="220">
        <f t="shared" ref="G10:G40" si="0">MAX(F10-E10,0)</f>
        <v>0</v>
      </c>
      <c r="H10" s="1776"/>
      <c r="R10" s="1763"/>
      <c r="S10" s="1763"/>
      <c r="T10" s="1763"/>
    </row>
    <row r="11" spans="1:20" ht="15.05" customHeight="1" x14ac:dyDescent="0.2">
      <c r="B11" s="4964" t="s">
        <v>1051</v>
      </c>
      <c r="C11" s="4965">
        <v>200</v>
      </c>
      <c r="D11" s="4965" t="s">
        <v>1052</v>
      </c>
      <c r="E11" s="4967"/>
      <c r="F11" s="219">
        <f>IF(B11=0,0,SUMIF(InsumosCultivos!$B$2422:$B$3229,B11,InsumosCultivos!$C$2422:$C$3229))</f>
        <v>0</v>
      </c>
      <c r="G11" s="220">
        <f>MAX(F11-E11,0)</f>
        <v>0</v>
      </c>
      <c r="H11" s="1776"/>
      <c r="R11" s="1763"/>
      <c r="S11" s="1763"/>
      <c r="T11" s="1763"/>
    </row>
    <row r="12" spans="1:20" ht="15.05" customHeight="1" x14ac:dyDescent="0.2">
      <c r="B12" s="4964" t="s">
        <v>1053</v>
      </c>
      <c r="C12" s="4965">
        <v>5.12</v>
      </c>
      <c r="D12" s="4966" t="s">
        <v>145</v>
      </c>
      <c r="E12" s="4967"/>
      <c r="F12" s="219">
        <f>IF(B12=0,0,SUMIF(InsumosCultivos!$B$2422:$B$3229,B12,InsumosCultivos!$C$2422:$C$3229))</f>
        <v>0</v>
      </c>
      <c r="G12" s="220">
        <f t="shared" si="0"/>
        <v>0</v>
      </c>
      <c r="H12" s="1776"/>
      <c r="R12" s="1763"/>
      <c r="S12" s="1763"/>
      <c r="T12" s="1763"/>
    </row>
    <row r="13" spans="1:20" ht="15.05" customHeight="1" x14ac:dyDescent="0.2">
      <c r="B13" s="4964" t="s">
        <v>64</v>
      </c>
      <c r="C13" s="4965">
        <v>1.8</v>
      </c>
      <c r="D13" s="4966" t="s">
        <v>145</v>
      </c>
      <c r="E13" s="4967"/>
      <c r="F13" s="219">
        <f>IF(B13=0,0,SUMIF(InsumosCultivos!$B$2422:$B$3229,B13,InsumosCultivos!$C$2422:$C$3229))</f>
        <v>0</v>
      </c>
      <c r="G13" s="220">
        <f t="shared" si="0"/>
        <v>0</v>
      </c>
      <c r="H13" s="1776"/>
      <c r="R13" s="1763"/>
      <c r="S13" s="1763"/>
      <c r="T13" s="1763"/>
    </row>
    <row r="14" spans="1:20" ht="15.05" customHeight="1" x14ac:dyDescent="0.2">
      <c r="B14" s="4964" t="s">
        <v>1739</v>
      </c>
      <c r="C14" s="4965">
        <v>12</v>
      </c>
      <c r="D14" s="4966" t="s">
        <v>145</v>
      </c>
      <c r="E14" s="4967"/>
      <c r="F14" s="219">
        <f>IF(B14=0,0,SUMIF(InsumosCultivos!$B$2422:$B$3229,B14,InsumosCultivos!$C$2422:$C$3229))</f>
        <v>0</v>
      </c>
      <c r="G14" s="220">
        <f t="shared" si="0"/>
        <v>0</v>
      </c>
      <c r="H14" s="1776"/>
      <c r="R14" s="1763"/>
      <c r="S14" s="1763"/>
      <c r="T14" s="1763"/>
    </row>
    <row r="15" spans="1:20" ht="15.05" customHeight="1" x14ac:dyDescent="0.2">
      <c r="B15" s="4964" t="s">
        <v>1054</v>
      </c>
      <c r="C15" s="4965">
        <v>1.2</v>
      </c>
      <c r="D15" s="4966" t="s">
        <v>145</v>
      </c>
      <c r="E15" s="4967"/>
      <c r="F15" s="219">
        <f>IF(B15=0,0,SUMIF(InsumosCultivos!$B$2422:$B$3229,B15,InsumosCultivos!$C$2422:$C$3229))</f>
        <v>0</v>
      </c>
      <c r="G15" s="220">
        <f t="shared" si="0"/>
        <v>0</v>
      </c>
      <c r="H15" s="1776"/>
      <c r="R15" s="1763"/>
      <c r="S15" s="1763"/>
      <c r="T15" s="1763"/>
    </row>
    <row r="16" spans="1:20" ht="15.05" customHeight="1" x14ac:dyDescent="0.2">
      <c r="B16" s="4964"/>
      <c r="C16" s="4965"/>
      <c r="D16" s="4966"/>
      <c r="E16" s="4967"/>
      <c r="F16" s="219">
        <f>IF(B16=0,0,SUMIF(InsumosCultivos!$B$2422:$B$3229,B16,InsumosCultivos!$C$2422:$C$3229))</f>
        <v>0</v>
      </c>
      <c r="G16" s="220">
        <f t="shared" si="0"/>
        <v>0</v>
      </c>
      <c r="H16" s="1776"/>
      <c r="R16" s="1763"/>
      <c r="S16" s="1763"/>
      <c r="T16" s="1763"/>
    </row>
    <row r="17" spans="2:20" ht="15.05" customHeight="1" x14ac:dyDescent="0.2">
      <c r="B17" s="4964" t="s">
        <v>1055</v>
      </c>
      <c r="C17" s="4965">
        <v>0.6</v>
      </c>
      <c r="D17" s="4966" t="s">
        <v>145</v>
      </c>
      <c r="E17" s="4967"/>
      <c r="F17" s="219">
        <f>IF(B17=0,0,SUMIF(InsumosCultivos!$B$2422:$B$3229,B17,InsumosCultivos!$C$2422:$C$3229))</f>
        <v>0</v>
      </c>
      <c r="G17" s="220">
        <f t="shared" si="0"/>
        <v>0</v>
      </c>
      <c r="H17" s="1776"/>
      <c r="R17" s="1763"/>
      <c r="S17" s="1763"/>
      <c r="T17" s="1763"/>
    </row>
    <row r="18" spans="2:20" ht="15.05" customHeight="1" x14ac:dyDescent="0.2">
      <c r="B18" s="4964" t="s">
        <v>1575</v>
      </c>
      <c r="C18" s="4965">
        <v>2</v>
      </c>
      <c r="D18" s="4968" t="s">
        <v>145</v>
      </c>
      <c r="E18" s="4967"/>
      <c r="F18" s="219">
        <f>IF(B18=0,0,SUMIF(InsumosCultivos!$B$2422:$B$3229,B18,InsumosCultivos!$C$2422:$C$3229))</f>
        <v>0</v>
      </c>
      <c r="G18" s="220">
        <f t="shared" si="0"/>
        <v>0</v>
      </c>
      <c r="H18" s="1776"/>
    </row>
    <row r="19" spans="2:20" ht="15.05" customHeight="1" x14ac:dyDescent="0.2">
      <c r="B19" s="4964" t="s">
        <v>1564</v>
      </c>
      <c r="C19" s="4965">
        <v>0.4</v>
      </c>
      <c r="D19" s="4966" t="s">
        <v>145</v>
      </c>
      <c r="E19" s="4967"/>
      <c r="F19" s="219">
        <f>IF(B19=0,0,SUMIF(InsumosCultivos!$B$2422:$B$3229,B19,InsumosCultivos!$C$2422:$C$3229))</f>
        <v>0</v>
      </c>
      <c r="G19" s="220">
        <f t="shared" si="0"/>
        <v>0</v>
      </c>
      <c r="H19" s="1776"/>
      <c r="P19" s="1511"/>
    </row>
    <row r="20" spans="2:20" ht="15.05" customHeight="1" x14ac:dyDescent="0.2">
      <c r="B20" s="4964"/>
      <c r="C20" s="4965"/>
      <c r="D20" s="4966"/>
      <c r="E20" s="4967"/>
      <c r="F20" s="219">
        <f>IF(B20=0,0,SUMIF(InsumosCultivos!$B$2422:$B$3229,B20,InsumosCultivos!$C$2422:$C$3229))</f>
        <v>0</v>
      </c>
      <c r="G20" s="220">
        <f t="shared" si="0"/>
        <v>0</v>
      </c>
      <c r="H20" s="1776"/>
    </row>
    <row r="21" spans="2:20" ht="15.05" customHeight="1" x14ac:dyDescent="0.2">
      <c r="B21" s="4964"/>
      <c r="C21" s="4965"/>
      <c r="D21" s="4966"/>
      <c r="E21" s="4967"/>
      <c r="F21" s="219">
        <f>IF(B21=0,0,SUMIF(InsumosCultivos!$B$2422:$B$3229,B21,InsumosCultivos!$C$2422:$C$3229))</f>
        <v>0</v>
      </c>
      <c r="G21" s="220">
        <f t="shared" si="0"/>
        <v>0</v>
      </c>
      <c r="H21" s="1776"/>
    </row>
    <row r="22" spans="2:20" ht="15.05" customHeight="1" x14ac:dyDescent="0.2">
      <c r="B22" s="4964" t="s">
        <v>1056</v>
      </c>
      <c r="C22" s="4965">
        <v>7.5</v>
      </c>
      <c r="D22" s="4966" t="s">
        <v>145</v>
      </c>
      <c r="E22" s="4967"/>
      <c r="F22" s="219">
        <f>IF(B22=0,0,SUMIF(InsumosCultivos!$B$2422:$B$3229,B22,InsumosCultivos!$C$2422:$C$3229))</f>
        <v>0</v>
      </c>
      <c r="G22" s="220">
        <f t="shared" si="0"/>
        <v>0</v>
      </c>
      <c r="H22" s="1776"/>
    </row>
    <row r="23" spans="2:20" ht="15.05" customHeight="1" x14ac:dyDescent="0.2">
      <c r="B23" s="4964" t="s">
        <v>2384</v>
      </c>
      <c r="C23" s="4965">
        <v>5.5</v>
      </c>
      <c r="D23" s="4966" t="s">
        <v>145</v>
      </c>
      <c r="E23" s="4967"/>
      <c r="F23" s="219">
        <f>IF(B23=0,0,SUMIF(InsumosCultivos!$B$2422:$B$3229,B23,InsumosCultivos!$C$2422:$C$3229))</f>
        <v>0</v>
      </c>
      <c r="G23" s="220">
        <f t="shared" si="0"/>
        <v>0</v>
      </c>
      <c r="H23" s="1776"/>
    </row>
    <row r="24" spans="2:20" ht="15.05" customHeight="1" x14ac:dyDescent="0.2">
      <c r="B24" s="4964" t="s">
        <v>1057</v>
      </c>
      <c r="C24" s="4965">
        <v>5</v>
      </c>
      <c r="D24" s="4966" t="s">
        <v>145</v>
      </c>
      <c r="E24" s="4967"/>
      <c r="F24" s="219">
        <f>IF(B24=0,0,SUMIF(InsumosCultivos!$B$2422:$B$3229,B24,InsumosCultivos!$C$2422:$C$3229))</f>
        <v>0</v>
      </c>
      <c r="G24" s="220">
        <f t="shared" si="0"/>
        <v>0</v>
      </c>
      <c r="H24" s="1776"/>
    </row>
    <row r="25" spans="2:20" ht="15.05" customHeight="1" x14ac:dyDescent="0.2">
      <c r="B25" s="4964"/>
      <c r="C25" s="4965"/>
      <c r="D25" s="4966"/>
      <c r="E25" s="4967"/>
      <c r="F25" s="219">
        <f>IF(B25=0,0,SUMIF(InsumosCultivos!$B$2422:$B$3229,B25,InsumosCultivos!$C$2422:$C$3229))</f>
        <v>0</v>
      </c>
      <c r="G25" s="220">
        <f t="shared" si="0"/>
        <v>0</v>
      </c>
      <c r="H25" s="1776"/>
    </row>
    <row r="26" spans="2:20" ht="15.05" customHeight="1" x14ac:dyDescent="0.2">
      <c r="B26" s="4964"/>
      <c r="C26" s="4965"/>
      <c r="D26" s="4966"/>
      <c r="E26" s="4967"/>
      <c r="F26" s="219">
        <f>IF(B26=0,0,SUMIF(InsumosCultivos!$B$2422:$B$3229,B26,InsumosCultivos!$C$2422:$C$3229))</f>
        <v>0</v>
      </c>
      <c r="G26" s="220">
        <f t="shared" si="0"/>
        <v>0</v>
      </c>
      <c r="H26" s="1776"/>
    </row>
    <row r="27" spans="2:20" ht="15.05" customHeight="1" x14ac:dyDescent="0.2">
      <c r="B27" s="4964"/>
      <c r="C27" s="4965"/>
      <c r="D27" s="4966"/>
      <c r="E27" s="4967"/>
      <c r="F27" s="219">
        <f>IF(B27=0,0,SUMIF(InsumosCultivos!$B$2422:$B$3229,B27,InsumosCultivos!$C$2422:$C$3229))</f>
        <v>0</v>
      </c>
      <c r="G27" s="220">
        <f t="shared" si="0"/>
        <v>0</v>
      </c>
      <c r="H27" s="1776"/>
      <c r="P27" s="1510"/>
    </row>
    <row r="28" spans="2:20" ht="15.05" customHeight="1" x14ac:dyDescent="0.2">
      <c r="B28" s="4964"/>
      <c r="C28" s="4965"/>
      <c r="D28" s="4966"/>
      <c r="E28" s="4967"/>
      <c r="F28" s="219">
        <f>IF(B28=0,0,SUMIF(InsumosCultivos!$B$2422:$B$3229,B28,InsumosCultivos!$C$2422:$C$3229))</f>
        <v>0</v>
      </c>
      <c r="G28" s="220">
        <f t="shared" si="0"/>
        <v>0</v>
      </c>
      <c r="H28" s="1776"/>
    </row>
    <row r="29" spans="2:20" ht="15.05" customHeight="1" x14ac:dyDescent="0.2">
      <c r="B29" s="4964"/>
      <c r="C29" s="4965"/>
      <c r="D29" s="4966"/>
      <c r="E29" s="4967"/>
      <c r="F29" s="219">
        <f>IF(B29=0,0,SUMIF(InsumosCultivos!$B$2422:$B$3229,B29,InsumosCultivos!$C$2422:$C$3229))</f>
        <v>0</v>
      </c>
      <c r="G29" s="220">
        <f t="shared" si="0"/>
        <v>0</v>
      </c>
      <c r="H29" s="1776"/>
    </row>
    <row r="30" spans="2:20" ht="15.05" customHeight="1" x14ac:dyDescent="0.2">
      <c r="B30" s="4964"/>
      <c r="C30" s="4965"/>
      <c r="D30" s="4966"/>
      <c r="E30" s="4967"/>
      <c r="F30" s="219">
        <f>IF(B30=0,0,SUMIF(InsumosCultivos!$B$2422:$B$3229,B30,InsumosCultivos!$C$2422:$C$3229))</f>
        <v>0</v>
      </c>
      <c r="G30" s="220">
        <f t="shared" si="0"/>
        <v>0</v>
      </c>
      <c r="H30" s="1776"/>
    </row>
    <row r="31" spans="2:20" ht="15.05" customHeight="1" x14ac:dyDescent="0.2">
      <c r="B31" s="4964"/>
      <c r="C31" s="4965"/>
      <c r="D31" s="4966"/>
      <c r="E31" s="4967"/>
      <c r="F31" s="219">
        <f>IF(B31=0,0,SUMIF(InsumosCultivos!$B$2422:$B$3229,B31,InsumosCultivos!$C$2422:$C$3229))</f>
        <v>0</v>
      </c>
      <c r="G31" s="220">
        <f t="shared" si="0"/>
        <v>0</v>
      </c>
      <c r="H31" s="1776"/>
    </row>
    <row r="32" spans="2:20" ht="15.05" customHeight="1" x14ac:dyDescent="0.2">
      <c r="B32" s="4964"/>
      <c r="C32" s="4965"/>
      <c r="D32" s="4966"/>
      <c r="E32" s="4967"/>
      <c r="F32" s="219">
        <f>IF(B32=0,0,SUMIF(InsumosCultivos!$B$2422:$B$3229,B32,InsumosCultivos!$C$2422:$C$3229))</f>
        <v>0</v>
      </c>
      <c r="G32" s="220">
        <f t="shared" si="0"/>
        <v>0</v>
      </c>
      <c r="H32" s="1776"/>
    </row>
    <row r="33" spans="1:16" ht="15.05" customHeight="1" x14ac:dyDescent="0.2">
      <c r="B33" s="4964"/>
      <c r="C33" s="4965"/>
      <c r="D33" s="4966"/>
      <c r="E33" s="4967"/>
      <c r="F33" s="219">
        <f>IF(B33=0,0,SUMIF(InsumosCultivos!$B$2422:$B$3229,B33,InsumosCultivos!$C$2422:$C$3229))</f>
        <v>0</v>
      </c>
      <c r="G33" s="220">
        <f t="shared" si="0"/>
        <v>0</v>
      </c>
      <c r="H33" s="1776"/>
    </row>
    <row r="34" spans="1:16" ht="15.05" customHeight="1" x14ac:dyDescent="0.2">
      <c r="B34" s="4964"/>
      <c r="C34" s="4965"/>
      <c r="D34" s="4966"/>
      <c r="E34" s="4967"/>
      <c r="F34" s="219">
        <f>IF(B34=0,0,SUMIF(InsumosCultivos!$B$2422:$B$3229,B34,InsumosCultivos!$C$2422:$C$3229))</f>
        <v>0</v>
      </c>
      <c r="G34" s="220">
        <f t="shared" si="0"/>
        <v>0</v>
      </c>
      <c r="H34" s="1776"/>
    </row>
    <row r="35" spans="1:16" ht="15.05" customHeight="1" x14ac:dyDescent="0.2">
      <c r="B35" s="4964"/>
      <c r="C35" s="4965"/>
      <c r="D35" s="4966"/>
      <c r="E35" s="4967"/>
      <c r="F35" s="219">
        <f>IF(B35=0,0,SUMIF(InsumosCultivos!$B$2422:$B$3229,B35,InsumosCultivos!$C$2422:$C$3229))</f>
        <v>0</v>
      </c>
      <c r="G35" s="220">
        <f t="shared" si="0"/>
        <v>0</v>
      </c>
      <c r="H35" s="1776"/>
    </row>
    <row r="36" spans="1:16" ht="15.05" customHeight="1" x14ac:dyDescent="0.2">
      <c r="B36" s="4964"/>
      <c r="C36" s="4965"/>
      <c r="D36" s="4966"/>
      <c r="E36" s="4967"/>
      <c r="F36" s="219">
        <f>IF(B36=0,0,SUMIF(InsumosCultivos!$B$2422:$B$3229,B36,InsumosCultivos!$C$2422:$C$3229))</f>
        <v>0</v>
      </c>
      <c r="G36" s="220">
        <f t="shared" si="0"/>
        <v>0</v>
      </c>
      <c r="H36" s="1776"/>
      <c r="P36" s="1766"/>
    </row>
    <row r="37" spans="1:16" ht="15.05" customHeight="1" x14ac:dyDescent="0.2">
      <c r="B37" s="4964"/>
      <c r="C37" s="4965"/>
      <c r="D37" s="4966"/>
      <c r="E37" s="4967"/>
      <c r="F37" s="219">
        <f>IF(B37=0,0,SUMIF(InsumosCultivos!$B$2422:$B$3229,B37,InsumosCultivos!$C$2422:$C$3229))</f>
        <v>0</v>
      </c>
      <c r="G37" s="220">
        <f t="shared" si="0"/>
        <v>0</v>
      </c>
      <c r="H37" s="1776"/>
    </row>
    <row r="38" spans="1:16" ht="15.05" customHeight="1" x14ac:dyDescent="0.2">
      <c r="B38" s="4964"/>
      <c r="C38" s="4965"/>
      <c r="D38" s="4966"/>
      <c r="E38" s="4967"/>
      <c r="F38" s="219">
        <f>IF(B38=0,0,SUMIF(InsumosCultivos!$B$2422:$B$3229,B38,InsumosCultivos!$C$2422:$C$3229))</f>
        <v>0</v>
      </c>
      <c r="G38" s="220">
        <f t="shared" si="0"/>
        <v>0</v>
      </c>
      <c r="H38" s="1776"/>
    </row>
    <row r="39" spans="1:16" ht="15.05" customHeight="1" x14ac:dyDescent="0.2">
      <c r="B39" s="4964"/>
      <c r="C39" s="4965"/>
      <c r="D39" s="4966"/>
      <c r="E39" s="4967"/>
      <c r="F39" s="219">
        <f>IF(B39=0,0,SUMIF(InsumosCultivos!$B$2422:$B$3229,B39,InsumosCultivos!$C$2422:$C$3229))</f>
        <v>0</v>
      </c>
      <c r="G39" s="220">
        <f t="shared" si="0"/>
        <v>0</v>
      </c>
      <c r="H39" s="1776"/>
    </row>
    <row r="40" spans="1:16" ht="15.05" customHeight="1" thickBot="1" x14ac:dyDescent="0.25">
      <c r="B40" s="4969"/>
      <c r="C40" s="4970"/>
      <c r="D40" s="4971"/>
      <c r="E40" s="4972"/>
      <c r="F40" s="44">
        <f>IF(B40=0,0,SUMIF(InsumosCultivos!$B$2422:$B$3229,B40,InsumosCultivos!$C$2422:$C$3229))</f>
        <v>0</v>
      </c>
      <c r="G40" s="2170">
        <f t="shared" si="0"/>
        <v>0</v>
      </c>
      <c r="H40" s="1776"/>
    </row>
    <row r="41" spans="1:16" ht="15.05" customHeight="1" x14ac:dyDescent="0.2">
      <c r="A41" s="1764"/>
      <c r="B41" s="1765"/>
      <c r="C41" s="1765"/>
      <c r="D41" s="1765"/>
      <c r="E41" s="1779"/>
      <c r="F41" s="1765"/>
      <c r="G41" s="1765"/>
      <c r="H41" s="1765"/>
    </row>
    <row r="42" spans="1:16" ht="15.05" customHeight="1" thickBot="1" x14ac:dyDescent="0.25">
      <c r="B42" s="1762" t="s">
        <v>640</v>
      </c>
      <c r="C42" s="254"/>
      <c r="D42" s="254"/>
      <c r="E42" s="1780"/>
      <c r="F42" s="1781"/>
      <c r="G42" s="1781"/>
      <c r="H42" s="1775"/>
    </row>
    <row r="43" spans="1:16" ht="15.05" customHeight="1" thickBot="1" x14ac:dyDescent="0.25">
      <c r="A43" s="1344">
        <f>+A6+1</f>
        <v>17</v>
      </c>
      <c r="B43" s="7" t="s">
        <v>2252</v>
      </c>
      <c r="C43" s="8"/>
      <c r="D43" s="8"/>
      <c r="E43" s="223"/>
      <c r="F43" s="8"/>
      <c r="G43" s="9"/>
      <c r="H43" s="1775"/>
    </row>
    <row r="44" spans="1:16" ht="15.05" customHeight="1" x14ac:dyDescent="0.2">
      <c r="B44" s="210"/>
      <c r="C44" s="211" t="s">
        <v>23</v>
      </c>
      <c r="D44" s="211"/>
      <c r="E44" s="212" t="s">
        <v>903</v>
      </c>
      <c r="F44" s="5505" t="s">
        <v>916</v>
      </c>
      <c r="G44" s="5506"/>
      <c r="H44" s="1775"/>
    </row>
    <row r="45" spans="1:16" ht="15.05" customHeight="1" thickBot="1" x14ac:dyDescent="0.25">
      <c r="B45" s="213" t="s">
        <v>40</v>
      </c>
      <c r="C45" s="214" t="s">
        <v>863</v>
      </c>
      <c r="D45" s="214" t="s">
        <v>312</v>
      </c>
      <c r="E45" s="215" t="s">
        <v>917</v>
      </c>
      <c r="F45" s="216" t="s">
        <v>63</v>
      </c>
      <c r="G45" s="217" t="s">
        <v>353</v>
      </c>
      <c r="H45" s="1775"/>
    </row>
    <row r="46" spans="1:16" ht="15.05" customHeight="1" x14ac:dyDescent="0.2">
      <c r="B46" s="4973" t="s">
        <v>1058</v>
      </c>
      <c r="C46" s="4974">
        <v>0.49</v>
      </c>
      <c r="D46" s="4975" t="s">
        <v>145</v>
      </c>
      <c r="E46" s="4976"/>
      <c r="F46" s="219">
        <f>IF(B46=0,0,SUMIF(InsumosCultivos!$B$2422:$B$3317,B46,InsumosCultivos!$C$2422:$C$3317))</f>
        <v>0</v>
      </c>
      <c r="G46" s="220">
        <f>MAX(F46-E46,0)</f>
        <v>0</v>
      </c>
      <c r="H46" s="1775"/>
    </row>
    <row r="47" spans="1:16" ht="15.05" customHeight="1" x14ac:dyDescent="0.2">
      <c r="B47" s="4964" t="s">
        <v>1059</v>
      </c>
      <c r="C47" s="4977">
        <v>0.42199999999999999</v>
      </c>
      <c r="D47" s="4966" t="s">
        <v>145</v>
      </c>
      <c r="E47" s="4978"/>
      <c r="F47" s="219">
        <f>IF(B47=0,0,SUMIF(InsumosCultivos!$B$2422:$B$3317,B47,InsumosCultivos!$C$2422:$C$3317))</f>
        <v>0</v>
      </c>
      <c r="G47" s="220">
        <f t="shared" ref="G47:G52" si="1">MAX(F47-E47,0)</f>
        <v>0</v>
      </c>
      <c r="H47" s="1775"/>
    </row>
    <row r="48" spans="1:16" ht="15.05" customHeight="1" x14ac:dyDescent="0.2">
      <c r="B48" s="4964" t="s">
        <v>81</v>
      </c>
      <c r="C48" s="4977">
        <v>0.4</v>
      </c>
      <c r="D48" s="4965" t="s">
        <v>145</v>
      </c>
      <c r="E48" s="4978"/>
      <c r="F48" s="219">
        <f>IF(B48=0,0,SUMIF(InsumosCultivos!$B$2422:$B$3317,B48,InsumosCultivos!$C$2422:$C$3317))</f>
        <v>0</v>
      </c>
      <c r="G48" s="220">
        <f t="shared" si="1"/>
        <v>0</v>
      </c>
      <c r="H48" s="1775"/>
    </row>
    <row r="49" spans="1:8" ht="15.05" customHeight="1" x14ac:dyDescent="0.2">
      <c r="B49" s="4964" t="s">
        <v>1725</v>
      </c>
      <c r="C49" s="4977">
        <v>0.39</v>
      </c>
      <c r="D49" s="4965" t="s">
        <v>145</v>
      </c>
      <c r="E49" s="4978"/>
      <c r="F49" s="219">
        <f>IF(B49=0,0,SUMIF(InsumosCultivos!$B$2422:$B$3317,B49,InsumosCultivos!$C$2422:$C$3317))</f>
        <v>0</v>
      </c>
      <c r="G49" s="220">
        <f t="shared" si="1"/>
        <v>0</v>
      </c>
      <c r="H49" s="1775"/>
    </row>
    <row r="50" spans="1:8" ht="15.05" customHeight="1" x14ac:dyDescent="0.2">
      <c r="B50" s="4964" t="s">
        <v>2335</v>
      </c>
      <c r="C50" s="4977">
        <v>0.3</v>
      </c>
      <c r="D50" s="4965" t="s">
        <v>145</v>
      </c>
      <c r="E50" s="4978">
        <f>47*500</f>
        <v>23500</v>
      </c>
      <c r="F50" s="219">
        <f>IF(B50=0,0,SUMIF(InsumosCultivos!$B$2422:$B$3317,B50,InsumosCultivos!$C$2422:$C$3317))</f>
        <v>0</v>
      </c>
      <c r="G50" s="220">
        <f t="shared" si="1"/>
        <v>0</v>
      </c>
      <c r="H50" s="1775"/>
    </row>
    <row r="51" spans="1:8" ht="15.05" customHeight="1" x14ac:dyDescent="0.2">
      <c r="B51" s="4964"/>
      <c r="C51" s="4977"/>
      <c r="D51" s="4965"/>
      <c r="E51" s="4978"/>
      <c r="F51" s="219">
        <f>IF(B51=0,0,SUMIF(InsumosCultivos!$B$2422:$B$3317,B51,InsumosCultivos!$C$2422:$C$3317))</f>
        <v>0</v>
      </c>
      <c r="G51" s="220">
        <f t="shared" si="1"/>
        <v>0</v>
      </c>
      <c r="H51" s="1775"/>
    </row>
    <row r="52" spans="1:8" ht="15.05" customHeight="1" thickBot="1" x14ac:dyDescent="0.25">
      <c r="B52" s="4969"/>
      <c r="C52" s="4979"/>
      <c r="D52" s="4970"/>
      <c r="E52" s="4980"/>
      <c r="F52" s="44">
        <f>IF(B52=0,0,SUMIF(InsumosCultivos!$B$2422:$B$3317,B52,InsumosCultivos!$C$2422:$C$3317))</f>
        <v>0</v>
      </c>
      <c r="G52" s="224">
        <f t="shared" si="1"/>
        <v>0</v>
      </c>
      <c r="H52" s="1775"/>
    </row>
    <row r="53" spans="1:8" ht="15.05" customHeight="1" x14ac:dyDescent="0.2">
      <c r="B53" s="254"/>
      <c r="C53" s="254"/>
      <c r="D53" s="254"/>
      <c r="E53" s="1782"/>
      <c r="F53" s="254"/>
      <c r="G53" s="254"/>
      <c r="H53" s="1775"/>
    </row>
    <row r="54" spans="1:8" ht="15.05" customHeight="1" thickBot="1" x14ac:dyDescent="0.25">
      <c r="A54" s="1764"/>
      <c r="B54" s="1762" t="s">
        <v>640</v>
      </c>
      <c r="C54" s="254"/>
      <c r="D54" s="254"/>
      <c r="E54" s="1782"/>
      <c r="F54" s="254"/>
      <c r="G54" s="254"/>
      <c r="H54" s="1775"/>
    </row>
    <row r="55" spans="1:8" ht="15.05" customHeight="1" thickBot="1" x14ac:dyDescent="0.25">
      <c r="A55" s="1344">
        <f>+A43+1</f>
        <v>18</v>
      </c>
      <c r="B55" s="7" t="s">
        <v>2254</v>
      </c>
      <c r="C55" s="8"/>
      <c r="D55" s="8"/>
      <c r="E55" s="223"/>
      <c r="F55" s="8"/>
      <c r="G55" s="9"/>
      <c r="H55" s="1775"/>
    </row>
    <row r="56" spans="1:8" ht="15.05" customHeight="1" x14ac:dyDescent="0.2">
      <c r="A56" s="1764"/>
      <c r="B56" s="210"/>
      <c r="C56" s="211" t="s">
        <v>23</v>
      </c>
      <c r="D56" s="211"/>
      <c r="E56" s="212" t="s">
        <v>903</v>
      </c>
      <c r="F56" s="5505" t="s">
        <v>916</v>
      </c>
      <c r="G56" s="5506"/>
      <c r="H56" s="1775"/>
    </row>
    <row r="57" spans="1:8" ht="15.05" customHeight="1" thickBot="1" x14ac:dyDescent="0.25">
      <c r="B57" s="213" t="s">
        <v>864</v>
      </c>
      <c r="C57" s="214" t="s">
        <v>863</v>
      </c>
      <c r="D57" s="214" t="s">
        <v>312</v>
      </c>
      <c r="E57" s="215" t="s">
        <v>917</v>
      </c>
      <c r="F57" s="216" t="s">
        <v>63</v>
      </c>
      <c r="G57" s="217" t="s">
        <v>353</v>
      </c>
      <c r="H57" s="1775"/>
    </row>
    <row r="58" spans="1:8" ht="15.05" customHeight="1" x14ac:dyDescent="0.2">
      <c r="B58" s="4973" t="s">
        <v>1060</v>
      </c>
      <c r="C58" s="4981">
        <v>5</v>
      </c>
      <c r="D58" s="4975" t="s">
        <v>1061</v>
      </c>
      <c r="E58" s="4976"/>
      <c r="F58" s="225">
        <f>IF(B58=0,0,SUMIF(InsumosCultivos!$B$2422:$B$3229,B58,InsumosCultivos!$C$2422:$C$3229))</f>
        <v>0</v>
      </c>
      <c r="G58" s="226">
        <f>MAX(F58-E58,0)</f>
        <v>0</v>
      </c>
      <c r="H58" s="1775"/>
    </row>
    <row r="59" spans="1:8" ht="15.05" customHeight="1" x14ac:dyDescent="0.2">
      <c r="B59" s="4964" t="s">
        <v>1062</v>
      </c>
      <c r="C59" s="4968">
        <v>30</v>
      </c>
      <c r="D59" s="4966" t="s">
        <v>1042</v>
      </c>
      <c r="E59" s="4978"/>
      <c r="F59" s="225">
        <f>IF(B59=0,0,SUMIF(InsumosCultivos!$B$2422:$B$3229,B59,InsumosCultivos!$C$2422:$C$3229))</f>
        <v>0</v>
      </c>
      <c r="G59" s="226">
        <f t="shared" ref="G59:G80" si="2">MAX(F59-E59,0)</f>
        <v>0</v>
      </c>
      <c r="H59" s="1775"/>
    </row>
    <row r="60" spans="1:8" ht="15.05" customHeight="1" x14ac:dyDescent="0.2">
      <c r="B60" s="4964" t="s">
        <v>1063</v>
      </c>
      <c r="C60" s="4968">
        <v>27</v>
      </c>
      <c r="D60" s="4965" t="s">
        <v>1042</v>
      </c>
      <c r="E60" s="4978"/>
      <c r="F60" s="225">
        <f>IF(B60=0,0,SUMIF(InsumosCultivos!$B$2422:$B$3229,B60,InsumosCultivos!$C$2422:$C$3229))</f>
        <v>0</v>
      </c>
      <c r="G60" s="226">
        <f t="shared" si="2"/>
        <v>0</v>
      </c>
      <c r="H60" s="1775"/>
    </row>
    <row r="61" spans="1:8" ht="15.05" customHeight="1" x14ac:dyDescent="0.2">
      <c r="B61" s="4964" t="s">
        <v>1269</v>
      </c>
      <c r="C61" s="4968">
        <v>5</v>
      </c>
      <c r="D61" s="4965" t="s">
        <v>1042</v>
      </c>
      <c r="E61" s="4978"/>
      <c r="F61" s="225">
        <f>IF(B61=0,0,SUMIF(InsumosCultivos!$B$2422:$B$3229,B61,InsumosCultivos!$C$2422:$C$3229))</f>
        <v>0</v>
      </c>
      <c r="G61" s="226">
        <f t="shared" si="2"/>
        <v>0</v>
      </c>
      <c r="H61" s="1775"/>
    </row>
    <row r="62" spans="1:8" ht="15.05" customHeight="1" x14ac:dyDescent="0.2">
      <c r="B62" s="4964" t="s">
        <v>1726</v>
      </c>
      <c r="C62" s="4968">
        <v>25</v>
      </c>
      <c r="D62" s="4965" t="s">
        <v>1042</v>
      </c>
      <c r="E62" s="4978"/>
      <c r="F62" s="225">
        <f>IF(B62=0,0,SUMIF(InsumosCultivos!$B$2422:$B$3229,B62,InsumosCultivos!$C$2422:$C$3229))</f>
        <v>0</v>
      </c>
      <c r="G62" s="226">
        <f t="shared" si="2"/>
        <v>0</v>
      </c>
      <c r="H62" s="1775"/>
    </row>
    <row r="63" spans="1:8" ht="15.05" customHeight="1" x14ac:dyDescent="0.2">
      <c r="B63" s="4964" t="s">
        <v>1727</v>
      </c>
      <c r="C63" s="4968">
        <v>15</v>
      </c>
      <c r="D63" s="4965" t="s">
        <v>1042</v>
      </c>
      <c r="E63" s="4978"/>
      <c r="F63" s="225">
        <f>IF(B63=0,0,SUMIF(InsumosCultivos!$B$2422:$B$3229,B63,InsumosCultivos!$C$2422:$C$3229))</f>
        <v>0</v>
      </c>
      <c r="G63" s="226">
        <f t="shared" si="2"/>
        <v>0</v>
      </c>
      <c r="H63" s="1775"/>
    </row>
    <row r="64" spans="1:8" ht="15.05" customHeight="1" x14ac:dyDescent="0.2">
      <c r="B64" s="4964" t="s">
        <v>1064</v>
      </c>
      <c r="C64" s="4968">
        <v>35</v>
      </c>
      <c r="D64" s="4965" t="s">
        <v>1042</v>
      </c>
      <c r="E64" s="4978"/>
      <c r="F64" s="225">
        <f>IF(B64=0,0,SUMIF(InsumosCultivos!$B$2422:$B$3229,B64,InsumosCultivos!$C$2422:$C$3229))</f>
        <v>0</v>
      </c>
      <c r="G64" s="226">
        <f t="shared" si="2"/>
        <v>0</v>
      </c>
      <c r="H64" s="1775"/>
    </row>
    <row r="65" spans="2:8" ht="15.05" customHeight="1" x14ac:dyDescent="0.2">
      <c r="B65" s="4964" t="s">
        <v>1065</v>
      </c>
      <c r="C65" s="4968">
        <v>5</v>
      </c>
      <c r="D65" s="4965" t="s">
        <v>1042</v>
      </c>
      <c r="E65" s="4978"/>
      <c r="F65" s="225">
        <f>IF(B65=0,0,SUMIF(InsumosCultivos!$B$2422:$B$3229,B65,InsumosCultivos!$C$2422:$C$3229))</f>
        <v>0</v>
      </c>
      <c r="G65" s="226">
        <f t="shared" si="2"/>
        <v>0</v>
      </c>
      <c r="H65" s="1775"/>
    </row>
    <row r="66" spans="2:8" ht="15.05" customHeight="1" x14ac:dyDescent="0.2">
      <c r="B66" s="4964" t="s">
        <v>1066</v>
      </c>
      <c r="C66" s="4968">
        <v>30</v>
      </c>
      <c r="D66" s="4965" t="s">
        <v>1042</v>
      </c>
      <c r="E66" s="4978"/>
      <c r="F66" s="225">
        <f>IF(B66=0,0,SUMIF(InsumosCultivos!$B$2422:$B$3229,B66,InsumosCultivos!$C$2422:$C$3229))</f>
        <v>0</v>
      </c>
      <c r="G66" s="226">
        <f t="shared" si="2"/>
        <v>0</v>
      </c>
      <c r="H66" s="1775"/>
    </row>
    <row r="67" spans="2:8" ht="15.05" customHeight="1" x14ac:dyDescent="0.2">
      <c r="B67" s="4964" t="s">
        <v>1740</v>
      </c>
      <c r="C67" s="4968">
        <f>3.7+2.9+4.5+12.7</f>
        <v>23.799999999999997</v>
      </c>
      <c r="D67" s="4965" t="s">
        <v>1042</v>
      </c>
      <c r="E67" s="4978"/>
      <c r="F67" s="225">
        <f>IF(B67=0,0,SUMIF(InsumosCultivos!$B$2422:$B$3229,B67,InsumosCultivos!$C$2422:$C$3229))</f>
        <v>0</v>
      </c>
      <c r="G67" s="226">
        <f t="shared" si="2"/>
        <v>0</v>
      </c>
      <c r="H67" s="1775"/>
    </row>
    <row r="68" spans="2:8" ht="15.05" customHeight="1" x14ac:dyDescent="0.2">
      <c r="B68" s="4964" t="s">
        <v>1741</v>
      </c>
      <c r="C68" s="4968">
        <f>2.3+6.4</f>
        <v>8.6999999999999993</v>
      </c>
      <c r="D68" s="4965" t="s">
        <v>1042</v>
      </c>
      <c r="E68" s="4978"/>
      <c r="F68" s="225">
        <f>IF(B68=0,0,SUMIF(InsumosCultivos!$B$2422:$B$3229,B68,InsumosCultivos!$C$2422:$C$3229))</f>
        <v>0</v>
      </c>
      <c r="G68" s="226">
        <f t="shared" si="2"/>
        <v>0</v>
      </c>
      <c r="H68" s="1775"/>
    </row>
    <row r="69" spans="2:8" ht="15.05" customHeight="1" x14ac:dyDescent="0.2">
      <c r="B69" s="4964"/>
      <c r="C69" s="4968"/>
      <c r="D69" s="4965"/>
      <c r="E69" s="4978"/>
      <c r="F69" s="225">
        <f>IF(B69=0,0,SUMIF(InsumosCultivos!$B$2422:$B$3229,B69,InsumosCultivos!$C$2422:$C$3229))</f>
        <v>0</v>
      </c>
      <c r="G69" s="226">
        <f t="shared" si="2"/>
        <v>0</v>
      </c>
      <c r="H69" s="1775"/>
    </row>
    <row r="70" spans="2:8" ht="15.05" customHeight="1" x14ac:dyDescent="0.2">
      <c r="B70" s="4964"/>
      <c r="C70" s="4968"/>
      <c r="D70" s="4965"/>
      <c r="E70" s="4978"/>
      <c r="F70" s="225">
        <f>IF(B70=0,0,SUMIF(InsumosCultivos!$B$2422:$B$3229,B70,InsumosCultivos!$C$2422:$C$3229))</f>
        <v>0</v>
      </c>
      <c r="G70" s="226">
        <f t="shared" si="2"/>
        <v>0</v>
      </c>
      <c r="H70" s="1775"/>
    </row>
    <row r="71" spans="2:8" ht="15.05" customHeight="1" x14ac:dyDescent="0.2">
      <c r="B71" s="4964"/>
      <c r="C71" s="4968"/>
      <c r="D71" s="4965"/>
      <c r="E71" s="4978"/>
      <c r="F71" s="225">
        <f>IF(B71=0,0,SUMIF(InsumosCultivos!$B$2422:$B$3229,B71,InsumosCultivos!$C$2422:$C$3229))</f>
        <v>0</v>
      </c>
      <c r="G71" s="226">
        <f t="shared" si="2"/>
        <v>0</v>
      </c>
      <c r="H71" s="1775"/>
    </row>
    <row r="72" spans="2:8" ht="15.05" customHeight="1" x14ac:dyDescent="0.2">
      <c r="B72" s="4964"/>
      <c r="C72" s="4968"/>
      <c r="D72" s="4965"/>
      <c r="E72" s="4978"/>
      <c r="F72" s="225">
        <f>IF(B72=0,0,SUMIF(InsumosCultivos!$B$2422:$B$3229,B72,InsumosCultivos!$C$2422:$C$3229))</f>
        <v>0</v>
      </c>
      <c r="G72" s="226">
        <f t="shared" si="2"/>
        <v>0</v>
      </c>
      <c r="H72" s="1775"/>
    </row>
    <row r="73" spans="2:8" ht="15.05" customHeight="1" x14ac:dyDescent="0.2">
      <c r="B73" s="4964"/>
      <c r="C73" s="4968"/>
      <c r="D73" s="4965"/>
      <c r="E73" s="4978"/>
      <c r="F73" s="225">
        <f>IF(B73=0,0,SUMIF(InsumosCultivos!$B$2422:$B$3229,B73,InsumosCultivos!$C$2422:$C$3229))</f>
        <v>0</v>
      </c>
      <c r="G73" s="226">
        <f t="shared" si="2"/>
        <v>0</v>
      </c>
      <c r="H73" s="1775"/>
    </row>
    <row r="74" spans="2:8" ht="15.05" customHeight="1" x14ac:dyDescent="0.2">
      <c r="B74" s="4964"/>
      <c r="C74" s="4968"/>
      <c r="D74" s="4965"/>
      <c r="E74" s="4978"/>
      <c r="F74" s="225">
        <f>IF(B74=0,0,SUMIF(InsumosCultivos!$B$2422:$B$3229,B74,InsumosCultivos!$C$2422:$C$3229))</f>
        <v>0</v>
      </c>
      <c r="G74" s="226">
        <f t="shared" si="2"/>
        <v>0</v>
      </c>
      <c r="H74" s="1775"/>
    </row>
    <row r="75" spans="2:8" ht="15.05" customHeight="1" x14ac:dyDescent="0.2">
      <c r="B75" s="4964"/>
      <c r="C75" s="4968"/>
      <c r="D75" s="4965"/>
      <c r="E75" s="4978"/>
      <c r="F75" s="225">
        <f>IF(B75=0,0,SUMIF(InsumosCultivos!$B$2422:$B$3229,B75,InsumosCultivos!$C$2422:$C$3229))</f>
        <v>0</v>
      </c>
      <c r="G75" s="226">
        <f t="shared" si="2"/>
        <v>0</v>
      </c>
      <c r="H75" s="1775"/>
    </row>
    <row r="76" spans="2:8" ht="15.05" customHeight="1" x14ac:dyDescent="0.2">
      <c r="B76" s="4964"/>
      <c r="C76" s="4968"/>
      <c r="D76" s="4965"/>
      <c r="E76" s="4978"/>
      <c r="F76" s="225">
        <f>IF(B76=0,0,SUMIF(InsumosCultivos!$B$2422:$B$3229,B76,InsumosCultivos!$C$2422:$C$3229))</f>
        <v>0</v>
      </c>
      <c r="G76" s="226">
        <f t="shared" si="2"/>
        <v>0</v>
      </c>
      <c r="H76" s="1775"/>
    </row>
    <row r="77" spans="2:8" ht="15.05" customHeight="1" x14ac:dyDescent="0.2">
      <c r="B77" s="4964"/>
      <c r="C77" s="4968"/>
      <c r="D77" s="4965"/>
      <c r="E77" s="4978"/>
      <c r="F77" s="225">
        <f>IF(B77=0,0,SUMIF(InsumosCultivos!$B$2422:$B$3229,B77,InsumosCultivos!$C$2422:$C$3229))</f>
        <v>0</v>
      </c>
      <c r="G77" s="226">
        <f t="shared" si="2"/>
        <v>0</v>
      </c>
      <c r="H77" s="1775"/>
    </row>
    <row r="78" spans="2:8" ht="15.05" customHeight="1" x14ac:dyDescent="0.2">
      <c r="B78" s="4964"/>
      <c r="C78" s="4968"/>
      <c r="D78" s="4965"/>
      <c r="E78" s="4978"/>
      <c r="F78" s="225">
        <f>IF(B78=0,0,SUMIF(InsumosCultivos!$B$2422:$B$3229,B78,InsumosCultivos!$C$2422:$C$3229))</f>
        <v>0</v>
      </c>
      <c r="G78" s="226">
        <f t="shared" si="2"/>
        <v>0</v>
      </c>
      <c r="H78" s="1775"/>
    </row>
    <row r="79" spans="2:8" ht="15.05" customHeight="1" x14ac:dyDescent="0.2">
      <c r="B79" s="4964"/>
      <c r="C79" s="4968"/>
      <c r="D79" s="4965"/>
      <c r="E79" s="4978"/>
      <c r="F79" s="225">
        <f>IF(B79=0,0,SUMIF(InsumosCultivos!$B$2422:$B$3229,B79,InsumosCultivos!$C$2422:$C$3229))</f>
        <v>0</v>
      </c>
      <c r="G79" s="226">
        <f t="shared" si="2"/>
        <v>0</v>
      </c>
      <c r="H79" s="1775"/>
    </row>
    <row r="80" spans="2:8" ht="15.05" customHeight="1" thickBot="1" x14ac:dyDescent="0.25">
      <c r="B80" s="4969"/>
      <c r="C80" s="4982"/>
      <c r="D80" s="4970"/>
      <c r="E80" s="4980"/>
      <c r="F80" s="227">
        <f>IF(B80=0,0,SUMIF(InsumosCultivos!$B$2422:$B$3229,B80,InsumosCultivos!$C$2422:$C$3229))</f>
        <v>0</v>
      </c>
      <c r="G80" s="228">
        <f t="shared" si="2"/>
        <v>0</v>
      </c>
      <c r="H80" s="1775"/>
    </row>
    <row r="81" spans="1:22" ht="15.05" customHeight="1" x14ac:dyDescent="0.2">
      <c r="B81" s="1639"/>
      <c r="C81" s="209"/>
      <c r="D81" s="1783"/>
      <c r="E81" s="1784"/>
      <c r="F81" s="1785"/>
      <c r="G81" s="1785"/>
      <c r="H81" s="1775"/>
    </row>
    <row r="82" spans="1:22" ht="15.05" customHeight="1" x14ac:dyDescent="0.2">
      <c r="B82" s="1639"/>
      <c r="C82" s="209"/>
      <c r="D82" s="1783"/>
      <c r="E82" s="1784"/>
      <c r="F82" s="1785"/>
      <c r="G82" s="1785"/>
      <c r="H82" s="1775"/>
    </row>
    <row r="83" spans="1:22" ht="13.75" customHeight="1" thickBot="1" x14ac:dyDescent="0.25">
      <c r="B83" s="1778" t="s">
        <v>896</v>
      </c>
      <c r="C83" s="384"/>
      <c r="D83" s="384"/>
      <c r="E83" s="384"/>
      <c r="F83" s="1767"/>
      <c r="G83" s="1778" t="s">
        <v>895</v>
      </c>
      <c r="H83" s="1778"/>
      <c r="I83" s="384"/>
      <c r="J83" s="384"/>
      <c r="K83" s="1767"/>
      <c r="L83" s="1767"/>
      <c r="M83" s="1767"/>
      <c r="N83" s="1767"/>
      <c r="O83" s="1767"/>
      <c r="P83" s="1767"/>
      <c r="Q83" s="1767"/>
      <c r="R83" s="1767"/>
      <c r="S83" s="1767"/>
      <c r="T83" s="1767"/>
      <c r="U83" s="1767"/>
    </row>
    <row r="84" spans="1:22" ht="15.05" customHeight="1" thickBot="1" x14ac:dyDescent="0.25">
      <c r="A84" s="1344">
        <f>+A55+1</f>
        <v>19</v>
      </c>
      <c r="B84" s="7" t="s">
        <v>2257</v>
      </c>
      <c r="C84" s="8"/>
      <c r="D84" s="8"/>
      <c r="E84" s="9"/>
      <c r="G84" s="1344">
        <f>+A84+1</f>
        <v>20</v>
      </c>
      <c r="H84" s="7" t="s">
        <v>2258</v>
      </c>
      <c r="I84" s="8"/>
      <c r="J84" s="8"/>
      <c r="K84" s="9"/>
      <c r="L84" s="1769"/>
    </row>
    <row r="85" spans="1:22" ht="15.05" customHeight="1" x14ac:dyDescent="0.2">
      <c r="A85" s="1786"/>
      <c r="B85" s="143"/>
      <c r="C85" s="149" t="s">
        <v>23</v>
      </c>
      <c r="D85" s="149"/>
      <c r="E85" s="207" t="s">
        <v>860</v>
      </c>
      <c r="G85" s="1786"/>
      <c r="H85" s="143"/>
      <c r="I85" s="149" t="s">
        <v>23</v>
      </c>
      <c r="J85" s="149"/>
      <c r="K85" s="207" t="s">
        <v>860</v>
      </c>
      <c r="L85" s="1767"/>
      <c r="V85" s="1767"/>
    </row>
    <row r="86" spans="1:22" ht="15.05" customHeight="1" thickBot="1" x14ac:dyDescent="0.25">
      <c r="A86" s="1786"/>
      <c r="B86" s="153" t="s">
        <v>858</v>
      </c>
      <c r="C86" s="154" t="s">
        <v>859</v>
      </c>
      <c r="D86" s="154" t="s">
        <v>312</v>
      </c>
      <c r="E86" s="155" t="s">
        <v>928</v>
      </c>
      <c r="G86" s="1786"/>
      <c r="H86" s="153" t="s">
        <v>858</v>
      </c>
      <c r="I86" s="154" t="s">
        <v>859</v>
      </c>
      <c r="J86" s="154" t="s">
        <v>312</v>
      </c>
      <c r="K86" s="155" t="s">
        <v>928</v>
      </c>
      <c r="L86" s="1767"/>
      <c r="M86" s="1769"/>
      <c r="N86" s="767"/>
      <c r="O86" s="1770"/>
      <c r="P86" s="767"/>
      <c r="Q86" s="1769"/>
      <c r="U86" s="1767"/>
    </row>
    <row r="87" spans="1:22" ht="15.05" customHeight="1" x14ac:dyDescent="0.2">
      <c r="A87" s="739"/>
      <c r="B87" s="4983" t="s">
        <v>1729</v>
      </c>
      <c r="C87" s="4984"/>
      <c r="D87" s="4985" t="s">
        <v>1038</v>
      </c>
      <c r="E87" s="4986">
        <v>5</v>
      </c>
      <c r="G87" s="1764"/>
      <c r="H87" s="4983" t="s">
        <v>1041</v>
      </c>
      <c r="I87" s="4984"/>
      <c r="J87" s="4985" t="s">
        <v>1042</v>
      </c>
      <c r="K87" s="5483">
        <v>12</v>
      </c>
      <c r="M87" s="1769"/>
      <c r="R87" s="767"/>
      <c r="S87" s="1770"/>
      <c r="T87" s="767"/>
      <c r="U87" s="1767"/>
      <c r="V87" s="1767"/>
    </row>
    <row r="88" spans="1:22" ht="15.05" customHeight="1" x14ac:dyDescent="0.2">
      <c r="B88" s="4987" t="s">
        <v>1730</v>
      </c>
      <c r="C88" s="4965">
        <v>40</v>
      </c>
      <c r="D88" s="4966" t="s">
        <v>1038</v>
      </c>
      <c r="E88" s="4988">
        <v>5</v>
      </c>
      <c r="G88" s="1771"/>
      <c r="H88" s="4987" t="s">
        <v>1043</v>
      </c>
      <c r="I88" s="4965">
        <v>55</v>
      </c>
      <c r="J88" s="4966" t="s">
        <v>1042</v>
      </c>
      <c r="K88" s="5484">
        <v>17</v>
      </c>
      <c r="M88" s="1769"/>
      <c r="U88" s="1767"/>
      <c r="V88" s="1767"/>
    </row>
    <row r="89" spans="1:22" ht="15.05" customHeight="1" x14ac:dyDescent="0.2">
      <c r="B89" s="4987" t="s">
        <v>1731</v>
      </c>
      <c r="C89" s="4965"/>
      <c r="D89" s="4965" t="s">
        <v>1038</v>
      </c>
      <c r="E89" s="4988">
        <v>1.5</v>
      </c>
      <c r="G89" s="1771"/>
      <c r="H89" s="4987" t="s">
        <v>1044</v>
      </c>
      <c r="I89" s="4965"/>
      <c r="J89" s="4965" t="s">
        <v>1042</v>
      </c>
      <c r="K89" s="5484">
        <v>12</v>
      </c>
      <c r="M89" s="1769"/>
      <c r="U89" s="1767"/>
      <c r="V89" s="1767"/>
    </row>
    <row r="90" spans="1:22" ht="15.05" customHeight="1" x14ac:dyDescent="0.2">
      <c r="B90" s="4987" t="s">
        <v>1039</v>
      </c>
      <c r="C90" s="4965">
        <v>9.5</v>
      </c>
      <c r="D90" s="4966" t="s">
        <v>1038</v>
      </c>
      <c r="E90" s="4988">
        <v>1.5</v>
      </c>
      <c r="G90" s="1771"/>
      <c r="H90" s="4987" t="s">
        <v>1045</v>
      </c>
      <c r="I90" s="4965"/>
      <c r="J90" s="4966" t="s">
        <v>1042</v>
      </c>
      <c r="K90" s="5484">
        <v>15</v>
      </c>
      <c r="M90" s="1769"/>
      <c r="O90" s="767"/>
      <c r="P90" s="1770"/>
      <c r="Q90" s="767"/>
      <c r="R90" s="1769"/>
      <c r="U90" s="1765"/>
      <c r="V90" s="1765"/>
    </row>
    <row r="91" spans="1:22" ht="15.05" customHeight="1" x14ac:dyDescent="0.2">
      <c r="B91" s="4964" t="s">
        <v>1732</v>
      </c>
      <c r="C91" s="4965"/>
      <c r="D91" s="4966" t="s">
        <v>1038</v>
      </c>
      <c r="E91" s="4988">
        <v>3</v>
      </c>
      <c r="G91" s="1771"/>
      <c r="H91" s="4964" t="s">
        <v>1046</v>
      </c>
      <c r="I91" s="4965">
        <v>70</v>
      </c>
      <c r="J91" s="4966" t="s">
        <v>1042</v>
      </c>
      <c r="K91" s="5484">
        <v>15</v>
      </c>
      <c r="M91" s="1769"/>
      <c r="U91" s="1765"/>
      <c r="V91" s="1765"/>
    </row>
    <row r="92" spans="1:22" ht="15.05" customHeight="1" x14ac:dyDescent="0.2">
      <c r="B92" s="4964" t="s">
        <v>1040</v>
      </c>
      <c r="C92" s="4965">
        <v>9</v>
      </c>
      <c r="D92" s="4966" t="s">
        <v>1038</v>
      </c>
      <c r="E92" s="4988">
        <v>3</v>
      </c>
      <c r="G92" s="1771"/>
      <c r="H92" s="4964" t="s">
        <v>1047</v>
      </c>
      <c r="I92" s="4965">
        <f>41+72-12*1.2</f>
        <v>98.6</v>
      </c>
      <c r="J92" s="4966" t="s">
        <v>1042</v>
      </c>
      <c r="K92" s="5484">
        <v>15</v>
      </c>
      <c r="U92" s="1765"/>
      <c r="V92" s="1765"/>
    </row>
    <row r="93" spans="1:22" ht="15.05" customHeight="1" x14ac:dyDescent="0.2">
      <c r="B93" s="4964" t="s">
        <v>1728</v>
      </c>
      <c r="C93" s="4965">
        <v>55</v>
      </c>
      <c r="D93" s="4966" t="s">
        <v>1038</v>
      </c>
      <c r="E93" s="4988">
        <v>9</v>
      </c>
      <c r="G93" s="1771"/>
      <c r="H93" s="4964" t="s">
        <v>1048</v>
      </c>
      <c r="I93" s="4965">
        <v>14</v>
      </c>
      <c r="J93" s="4966" t="s">
        <v>338</v>
      </c>
      <c r="K93" s="5484"/>
      <c r="U93" s="1765"/>
      <c r="V93" s="1765"/>
    </row>
    <row r="94" spans="1:22" ht="15.05" customHeight="1" x14ac:dyDescent="0.2">
      <c r="B94" s="4964"/>
      <c r="C94" s="4965"/>
      <c r="D94" s="4966"/>
      <c r="E94" s="4988"/>
      <c r="G94" s="1771"/>
      <c r="H94" s="4964" t="s">
        <v>1049</v>
      </c>
      <c r="I94" s="4965">
        <v>60</v>
      </c>
      <c r="J94" s="4966" t="s">
        <v>1042</v>
      </c>
      <c r="K94" s="5484">
        <v>15</v>
      </c>
      <c r="U94" s="1765"/>
      <c r="V94" s="1765"/>
    </row>
    <row r="95" spans="1:22" ht="15.05" customHeight="1" x14ac:dyDescent="0.2">
      <c r="B95" s="4964"/>
      <c r="C95" s="4965"/>
      <c r="D95" s="4966"/>
      <c r="E95" s="4988"/>
      <c r="G95" s="1771"/>
      <c r="H95" s="4964" t="s">
        <v>1270</v>
      </c>
      <c r="I95" s="4965">
        <v>60</v>
      </c>
      <c r="J95" s="4966" t="s">
        <v>1042</v>
      </c>
      <c r="K95" s="5484">
        <v>15</v>
      </c>
      <c r="U95" s="1765"/>
      <c r="V95" s="1765"/>
    </row>
    <row r="96" spans="1:22" ht="15.05" customHeight="1" x14ac:dyDescent="0.2">
      <c r="B96" s="4964"/>
      <c r="C96" s="4965"/>
      <c r="D96" s="4968"/>
      <c r="E96" s="4988"/>
      <c r="G96" s="1771"/>
      <c r="H96" s="4964" t="s">
        <v>1753</v>
      </c>
      <c r="I96" s="4965">
        <v>418</v>
      </c>
      <c r="J96" s="4968" t="s">
        <v>1042</v>
      </c>
      <c r="K96" s="5484">
        <v>38</v>
      </c>
      <c r="U96" s="1771"/>
      <c r="V96" s="1771"/>
    </row>
    <row r="97" spans="1:22" ht="15.05" customHeight="1" x14ac:dyDescent="0.2">
      <c r="B97" s="4964"/>
      <c r="C97" s="4965"/>
      <c r="D97" s="4966"/>
      <c r="E97" s="4988"/>
      <c r="G97" s="1771"/>
      <c r="H97" s="4964" t="s">
        <v>1733</v>
      </c>
      <c r="I97" s="4965">
        <f>+D139</f>
        <v>2.9888888888888889</v>
      </c>
      <c r="J97" s="4966" t="s">
        <v>1734</v>
      </c>
      <c r="K97" s="5484">
        <v>1.8</v>
      </c>
      <c r="S97" s="1772"/>
      <c r="T97" s="1772"/>
      <c r="U97" s="1772"/>
      <c r="V97" s="1772"/>
    </row>
    <row r="98" spans="1:22" ht="15.05" customHeight="1" x14ac:dyDescent="0.2">
      <c r="B98" s="4964"/>
      <c r="C98" s="4965"/>
      <c r="D98" s="4966"/>
      <c r="E98" s="4988"/>
      <c r="G98" s="1771"/>
      <c r="H98" s="4964" t="s">
        <v>2218</v>
      </c>
      <c r="I98" s="4965">
        <v>400</v>
      </c>
      <c r="J98" s="4966" t="s">
        <v>1042</v>
      </c>
      <c r="K98" s="5484">
        <v>38</v>
      </c>
      <c r="S98" s="1765"/>
      <c r="T98" s="1765"/>
      <c r="U98" s="1765"/>
      <c r="V98" s="1765"/>
    </row>
    <row r="99" spans="1:22" ht="15.05" customHeight="1" x14ac:dyDescent="0.2">
      <c r="B99" s="4964"/>
      <c r="C99" s="4965"/>
      <c r="D99" s="4966"/>
      <c r="E99" s="4988"/>
      <c r="G99" s="1771"/>
      <c r="H99" s="4964"/>
      <c r="I99" s="4965"/>
      <c r="J99" s="4966"/>
      <c r="K99" s="5484"/>
      <c r="S99" s="1765"/>
      <c r="T99" s="1765"/>
      <c r="U99" s="1765"/>
    </row>
    <row r="100" spans="1:22" ht="15.05" customHeight="1" thickBot="1" x14ac:dyDescent="0.25">
      <c r="B100" s="4969"/>
      <c r="C100" s="4970"/>
      <c r="D100" s="4971"/>
      <c r="E100" s="4989"/>
      <c r="G100" s="1771"/>
      <c r="H100" s="4969"/>
      <c r="I100" s="4970"/>
      <c r="J100" s="4971"/>
      <c r="K100" s="5485"/>
      <c r="S100" s="1765"/>
      <c r="T100" s="1765"/>
      <c r="U100" s="1765"/>
    </row>
    <row r="101" spans="1:22" ht="15.05" customHeight="1" thickBot="1" x14ac:dyDescent="0.25">
      <c r="B101" s="1639"/>
      <c r="C101" s="1783"/>
      <c r="D101" s="877"/>
      <c r="E101" s="1773"/>
      <c r="G101" s="1771"/>
      <c r="H101" s="1639"/>
      <c r="I101" s="1783"/>
      <c r="J101" s="877"/>
      <c r="K101" s="1773"/>
      <c r="S101" s="1765"/>
      <c r="T101" s="1765"/>
      <c r="U101" s="1765"/>
    </row>
    <row r="102" spans="1:22" ht="15.05" customHeight="1" thickBot="1" x14ac:dyDescent="0.25">
      <c r="B102" s="142" t="s">
        <v>862</v>
      </c>
      <c r="C102" s="4990">
        <v>1.2</v>
      </c>
      <c r="D102" s="698" t="s">
        <v>861</v>
      </c>
      <c r="E102" s="1763"/>
      <c r="G102" s="1763"/>
      <c r="H102" s="1763"/>
      <c r="I102" s="1763"/>
      <c r="S102" s="1771"/>
      <c r="T102" s="1771"/>
      <c r="U102" s="1771"/>
    </row>
    <row r="103" spans="1:22" ht="15.05" customHeight="1" x14ac:dyDescent="0.2">
      <c r="B103" s="1639"/>
      <c r="C103" s="209"/>
      <c r="D103" s="209"/>
      <c r="E103" s="1763"/>
      <c r="F103" s="1763"/>
      <c r="G103" s="1763"/>
      <c r="H103" s="1763"/>
      <c r="R103" s="1771"/>
      <c r="S103" s="1771"/>
      <c r="T103" s="1771"/>
    </row>
    <row r="104" spans="1:22" ht="15.05" customHeight="1" x14ac:dyDescent="0.2">
      <c r="B104" s="381"/>
      <c r="C104" s="254"/>
      <c r="D104" s="254"/>
      <c r="E104" s="1781"/>
      <c r="F104" s="1781"/>
      <c r="G104" s="1781"/>
    </row>
    <row r="105" spans="1:22" ht="15.05" customHeight="1" x14ac:dyDescent="0.2">
      <c r="B105" s="381"/>
      <c r="C105" s="254"/>
      <c r="D105" s="254"/>
      <c r="E105" s="1781"/>
      <c r="F105" s="1781"/>
      <c r="G105" s="1781"/>
    </row>
    <row r="106" spans="1:22" ht="15.05" customHeight="1" x14ac:dyDescent="0.2">
      <c r="A106" s="2230"/>
      <c r="B106" s="2230" t="s">
        <v>2262</v>
      </c>
      <c r="C106" s="2230"/>
      <c r="D106" s="2230"/>
      <c r="E106" s="2230"/>
      <c r="F106" s="2230"/>
      <c r="G106" s="2334" t="s">
        <v>2259</v>
      </c>
      <c r="H106" s="2230"/>
    </row>
    <row r="107" spans="1:22" ht="15.05" customHeight="1" x14ac:dyDescent="0.2">
      <c r="B107" s="2335" t="s">
        <v>2263</v>
      </c>
      <c r="C107" s="254"/>
      <c r="D107" s="254"/>
      <c r="E107" s="1781"/>
      <c r="F107" s="1781"/>
      <c r="G107" s="1781"/>
      <c r="H107" s="254"/>
    </row>
    <row r="108" spans="1:22" ht="15.05" customHeight="1" x14ac:dyDescent="0.2">
      <c r="B108" s="381"/>
      <c r="C108" s="254"/>
      <c r="D108" s="254"/>
      <c r="E108" s="1781"/>
      <c r="F108" s="1781"/>
      <c r="G108" s="1781"/>
      <c r="H108" s="254"/>
    </row>
    <row r="109" spans="1:22" ht="15.05" customHeight="1" thickBot="1" x14ac:dyDescent="0.25">
      <c r="B109" s="2332" t="s">
        <v>929</v>
      </c>
      <c r="C109" s="254"/>
      <c r="D109" s="254"/>
      <c r="E109" s="1781"/>
      <c r="F109" s="1781"/>
      <c r="G109" s="1781"/>
      <c r="H109" s="254"/>
    </row>
    <row r="110" spans="1:22" ht="15.05" customHeight="1" thickBot="1" x14ac:dyDescent="0.25">
      <c r="A110" s="1344">
        <f>+G84+1</f>
        <v>21</v>
      </c>
      <c r="B110" s="229" t="s">
        <v>930</v>
      </c>
      <c r="C110" s="230" t="s">
        <v>1271</v>
      </c>
      <c r="D110" s="230"/>
      <c r="E110" s="231"/>
      <c r="F110" s="178"/>
      <c r="G110" s="982"/>
      <c r="H110" s="254"/>
    </row>
    <row r="111" spans="1:22" ht="15.05" customHeight="1" thickBot="1" x14ac:dyDescent="0.25">
      <c r="A111" s="1764"/>
      <c r="B111" s="233"/>
      <c r="C111" s="234" t="s">
        <v>856</v>
      </c>
      <c r="D111" s="4991">
        <v>8</v>
      </c>
      <c r="E111" s="234"/>
      <c r="F111" s="235"/>
      <c r="G111" s="254"/>
      <c r="H111" s="254"/>
      <c r="U111" s="1510"/>
    </row>
    <row r="112" spans="1:22" ht="15.05" customHeight="1" x14ac:dyDescent="0.2">
      <c r="B112" s="210"/>
      <c r="C112" s="246" t="s">
        <v>23</v>
      </c>
      <c r="D112" s="246" t="s">
        <v>243</v>
      </c>
      <c r="E112" s="5507" t="s">
        <v>860</v>
      </c>
      <c r="F112" s="5503"/>
      <c r="G112" s="254"/>
      <c r="H112" s="254"/>
      <c r="U112" s="1557"/>
    </row>
    <row r="113" spans="1:21" ht="15.05" customHeight="1" thickBot="1" x14ac:dyDescent="0.25">
      <c r="B113" s="213" t="s">
        <v>924</v>
      </c>
      <c r="C113" s="237" t="s">
        <v>313</v>
      </c>
      <c r="D113" s="237" t="s">
        <v>583</v>
      </c>
      <c r="E113" s="238" t="s">
        <v>925</v>
      </c>
      <c r="F113" s="239" t="s">
        <v>593</v>
      </c>
      <c r="G113" s="254"/>
      <c r="H113" s="254"/>
      <c r="U113" s="1557"/>
    </row>
    <row r="114" spans="1:21" ht="15.05" customHeight="1" x14ac:dyDescent="0.2">
      <c r="B114" s="4992" t="s">
        <v>1067</v>
      </c>
      <c r="C114" s="4993"/>
      <c r="D114" s="240">
        <f>IFERROR(C114/$D$111,0)</f>
        <v>0</v>
      </c>
      <c r="E114" s="4994"/>
      <c r="F114" s="241">
        <f>IFERROR(E114/$D$111,0)</f>
        <v>0</v>
      </c>
      <c r="G114" s="254"/>
      <c r="H114" s="254"/>
    </row>
    <row r="115" spans="1:21" ht="15.05" customHeight="1" x14ac:dyDescent="0.2">
      <c r="B115" s="4992" t="s">
        <v>1068</v>
      </c>
      <c r="C115" s="4993"/>
      <c r="D115" s="240">
        <f>IFERROR(C115/$D$111,0)</f>
        <v>0</v>
      </c>
      <c r="E115" s="4994"/>
      <c r="F115" s="241">
        <f>IFERROR(E115/$D$111,0)</f>
        <v>0</v>
      </c>
      <c r="G115" s="254"/>
      <c r="H115" s="254"/>
      <c r="O115" s="1763"/>
      <c r="P115" s="1763"/>
    </row>
    <row r="116" spans="1:21" ht="15.05" customHeight="1" x14ac:dyDescent="0.2">
      <c r="B116" s="4992" t="s">
        <v>1069</v>
      </c>
      <c r="C116" s="4993"/>
      <c r="D116" s="240">
        <f>IFERROR(C116/$D$111,0)</f>
        <v>0</v>
      </c>
      <c r="E116" s="4994"/>
      <c r="F116" s="241">
        <f>IFERROR(E116/$D$111,0)</f>
        <v>0</v>
      </c>
      <c r="G116" s="254"/>
      <c r="H116" s="254"/>
      <c r="I116" s="1546"/>
      <c r="J116" s="1546"/>
      <c r="K116" s="1546"/>
      <c r="L116" s="1546"/>
      <c r="M116" s="1546"/>
      <c r="N116" s="1546"/>
      <c r="O116" s="1763"/>
      <c r="P116" s="1763"/>
    </row>
    <row r="117" spans="1:21" ht="15.05" customHeight="1" x14ac:dyDescent="0.2">
      <c r="B117" s="4992" t="s">
        <v>1070</v>
      </c>
      <c r="C117" s="4993"/>
      <c r="D117" s="240">
        <f>IFERROR(C117/$D$111,0)</f>
        <v>0</v>
      </c>
      <c r="E117" s="4994"/>
      <c r="F117" s="241">
        <f>IFERROR(E117/$D$111,0)</f>
        <v>0</v>
      </c>
      <c r="G117" s="254"/>
      <c r="H117" s="254"/>
      <c r="O117" s="1763"/>
      <c r="P117" s="1763"/>
    </row>
    <row r="118" spans="1:21" ht="15.05" customHeight="1" x14ac:dyDescent="0.2">
      <c r="B118" s="4992"/>
      <c r="C118" s="4993"/>
      <c r="D118" s="240">
        <f>IFERROR(C118/$D$111,0)</f>
        <v>0</v>
      </c>
      <c r="E118" s="4995"/>
      <c r="F118" s="241">
        <f>IFERROR(E118/$D$111,0)</f>
        <v>0</v>
      </c>
      <c r="G118" s="254"/>
      <c r="H118" s="254"/>
      <c r="O118" s="1763"/>
      <c r="P118" s="1763"/>
    </row>
    <row r="119" spans="1:21" ht="15.05" customHeight="1" thickBot="1" x14ac:dyDescent="0.25">
      <c r="B119" s="242" t="s">
        <v>605</v>
      </c>
      <c r="C119" s="243">
        <f>+SUM(C114:C118)</f>
        <v>0</v>
      </c>
      <c r="D119" s="243">
        <f>IF(C119=0,0,SUM(D114:D118))</f>
        <v>0</v>
      </c>
      <c r="E119" s="2171" t="s">
        <v>918</v>
      </c>
      <c r="F119" s="2172">
        <f>+IFERROR(SUM(F114:F118),0)</f>
        <v>0</v>
      </c>
      <c r="G119" s="254"/>
      <c r="H119" s="254"/>
      <c r="O119" s="1763"/>
      <c r="P119" s="1763"/>
    </row>
    <row r="120" spans="1:21" ht="15.05" customHeight="1" x14ac:dyDescent="0.2">
      <c r="B120" s="4992"/>
      <c r="C120" s="4993"/>
      <c r="D120" s="740">
        <f>IFERROR(C120/$D$111,0)</f>
        <v>0</v>
      </c>
      <c r="E120" s="254"/>
      <c r="F120" s="110"/>
      <c r="G120" s="254"/>
      <c r="H120" s="254"/>
      <c r="O120" s="1763"/>
      <c r="P120" s="1763"/>
    </row>
    <row r="121" spans="1:21" ht="15.05" customHeight="1" x14ac:dyDescent="0.2">
      <c r="B121" s="4996"/>
      <c r="C121" s="4997"/>
      <c r="D121" s="2173">
        <f>IFERROR(C121/$D$111,0)</f>
        <v>0</v>
      </c>
      <c r="E121" s="254"/>
      <c r="F121" s="254"/>
      <c r="G121" s="254"/>
      <c r="H121" s="254"/>
      <c r="O121" s="1763"/>
      <c r="P121" s="1763"/>
    </row>
    <row r="122" spans="1:21" ht="15.05" customHeight="1" thickBot="1" x14ac:dyDescent="0.25">
      <c r="B122" s="244" t="s">
        <v>588</v>
      </c>
      <c r="C122" s="245">
        <f>SUM(C120:C121)</f>
        <v>0</v>
      </c>
      <c r="D122" s="2172">
        <f>IF(C122=0,0,SUM(D120:D121))</f>
        <v>0</v>
      </c>
      <c r="E122" s="254"/>
      <c r="F122" s="254"/>
      <c r="G122" s="254"/>
      <c r="H122" s="254"/>
      <c r="M122" s="1763"/>
      <c r="N122" s="1763"/>
      <c r="O122" s="1763"/>
      <c r="P122" s="1763"/>
    </row>
    <row r="123" spans="1:21" ht="15.05" customHeight="1" x14ac:dyDescent="0.2">
      <c r="A123" s="254"/>
      <c r="B123" s="2333"/>
      <c r="C123" s="254"/>
      <c r="D123" s="254"/>
      <c r="E123" s="254"/>
      <c r="F123" s="254"/>
      <c r="G123" s="254"/>
      <c r="H123" s="1781"/>
    </row>
    <row r="124" spans="1:21" ht="15.05" customHeight="1" x14ac:dyDescent="0.2">
      <c r="A124" s="254"/>
      <c r="B124" s="381"/>
      <c r="C124" s="254"/>
      <c r="D124" s="254"/>
      <c r="E124" s="254"/>
      <c r="F124" s="254"/>
      <c r="G124" s="254"/>
      <c r="H124" s="1781"/>
    </row>
    <row r="125" spans="1:21" ht="15.05" customHeight="1" thickBot="1" x14ac:dyDescent="0.25">
      <c r="B125" s="2332" t="s">
        <v>929</v>
      </c>
      <c r="C125" s="254"/>
      <c r="D125" s="254"/>
      <c r="E125" s="254"/>
      <c r="F125" s="254"/>
      <c r="G125" s="254"/>
      <c r="H125" s="1781"/>
    </row>
    <row r="126" spans="1:21" ht="15.05" customHeight="1" thickBot="1" x14ac:dyDescent="0.25">
      <c r="A126" s="1344">
        <f>+A110+1</f>
        <v>22</v>
      </c>
      <c r="B126" s="229" t="s">
        <v>2260</v>
      </c>
      <c r="C126" s="230" t="s">
        <v>1271</v>
      </c>
      <c r="D126" s="230"/>
      <c r="E126" s="231"/>
      <c r="F126" s="178"/>
      <c r="G126" s="254"/>
      <c r="H126" s="1781"/>
    </row>
    <row r="127" spans="1:21" ht="15.05" customHeight="1" thickBot="1" x14ac:dyDescent="0.25">
      <c r="A127" s="1764"/>
      <c r="B127" s="233"/>
      <c r="C127" s="234" t="s">
        <v>856</v>
      </c>
      <c r="D127" s="4991">
        <v>7</v>
      </c>
      <c r="E127" s="234"/>
      <c r="F127" s="235"/>
      <c r="G127" s="254"/>
      <c r="H127" s="254"/>
      <c r="M127" s="1763"/>
      <c r="N127" s="1763"/>
      <c r="O127" s="1763"/>
      <c r="P127" s="1763"/>
    </row>
    <row r="128" spans="1:21" ht="15.05" customHeight="1" x14ac:dyDescent="0.2">
      <c r="B128" s="210"/>
      <c r="C128" s="246" t="s">
        <v>23</v>
      </c>
      <c r="D128" s="246" t="s">
        <v>243</v>
      </c>
      <c r="E128" s="5502" t="s">
        <v>860</v>
      </c>
      <c r="F128" s="5503"/>
      <c r="G128" s="254"/>
      <c r="H128" s="254"/>
      <c r="M128" s="1763"/>
      <c r="N128" s="1763"/>
      <c r="O128" s="1763"/>
      <c r="P128" s="1763"/>
    </row>
    <row r="129" spans="1:16" ht="15.05" customHeight="1" thickBot="1" x14ac:dyDescent="0.25">
      <c r="B129" s="213" t="s">
        <v>924</v>
      </c>
      <c r="C129" s="237" t="s">
        <v>313</v>
      </c>
      <c r="D129" s="237" t="s">
        <v>583</v>
      </c>
      <c r="E129" s="238" t="s">
        <v>925</v>
      </c>
      <c r="F129" s="239" t="s">
        <v>593</v>
      </c>
      <c r="G129" s="254"/>
      <c r="H129" s="254"/>
      <c r="M129" s="1763"/>
      <c r="N129" s="1763"/>
      <c r="O129" s="1763"/>
      <c r="P129" s="1763"/>
    </row>
    <row r="130" spans="1:16" ht="15.05" customHeight="1" x14ac:dyDescent="0.2">
      <c r="B130" s="4992" t="s">
        <v>1067</v>
      </c>
      <c r="C130" s="4998"/>
      <c r="D130" s="240">
        <f t="shared" ref="D130:D135" si="3">IFERROR(C130/$D$127,0)</f>
        <v>0</v>
      </c>
      <c r="E130" s="4999"/>
      <c r="F130" s="241">
        <f t="shared" ref="F130:F135" si="4">IFERROR(E130/$D$127,0)</f>
        <v>0</v>
      </c>
      <c r="G130" s="254"/>
      <c r="H130" s="254"/>
      <c r="M130" s="1763"/>
      <c r="N130" s="1763"/>
      <c r="O130" s="1763"/>
      <c r="P130" s="1763"/>
    </row>
    <row r="131" spans="1:16" ht="15.05" customHeight="1" x14ac:dyDescent="0.2">
      <c r="B131" s="4992" t="s">
        <v>1068</v>
      </c>
      <c r="C131" s="4993"/>
      <c r="D131" s="240">
        <f t="shared" si="3"/>
        <v>0</v>
      </c>
      <c r="E131" s="4994"/>
      <c r="F131" s="241">
        <f t="shared" si="4"/>
        <v>0</v>
      </c>
      <c r="G131" s="254"/>
      <c r="H131" s="254"/>
      <c r="M131" s="1763"/>
      <c r="N131" s="1763"/>
      <c r="O131" s="1763"/>
      <c r="P131" s="1763"/>
    </row>
    <row r="132" spans="1:16" ht="15.05" customHeight="1" x14ac:dyDescent="0.2">
      <c r="B132" s="4992" t="s">
        <v>1751</v>
      </c>
      <c r="C132" s="4993"/>
      <c r="D132" s="240">
        <f t="shared" si="3"/>
        <v>0</v>
      </c>
      <c r="E132" s="4994">
        <v>4</v>
      </c>
      <c r="F132" s="241">
        <f t="shared" si="4"/>
        <v>0.5714285714285714</v>
      </c>
      <c r="G132" s="254"/>
      <c r="H132" s="254"/>
      <c r="M132" s="1763"/>
      <c r="N132" s="1763"/>
      <c r="O132" s="1763"/>
      <c r="P132" s="1763"/>
    </row>
    <row r="133" spans="1:16" ht="15.05" customHeight="1" x14ac:dyDescent="0.2">
      <c r="B133" s="4992" t="s">
        <v>1752</v>
      </c>
      <c r="C133" s="4993"/>
      <c r="D133" s="240">
        <f t="shared" si="3"/>
        <v>0</v>
      </c>
      <c r="E133" s="4994">
        <v>4</v>
      </c>
      <c r="F133" s="241">
        <f t="shared" si="4"/>
        <v>0.5714285714285714</v>
      </c>
      <c r="G133" s="254"/>
      <c r="H133" s="254"/>
      <c r="M133" s="1763"/>
      <c r="N133" s="1763"/>
      <c r="O133" s="1763"/>
      <c r="P133" s="1763"/>
    </row>
    <row r="134" spans="1:16" ht="15.05" customHeight="1" x14ac:dyDescent="0.2">
      <c r="B134" s="4992" t="s">
        <v>1071</v>
      </c>
      <c r="C134" s="4993"/>
      <c r="D134" s="240">
        <f t="shared" si="3"/>
        <v>0</v>
      </c>
      <c r="E134" s="4994">
        <f>8/200*7</f>
        <v>0.28000000000000003</v>
      </c>
      <c r="F134" s="241">
        <f t="shared" si="4"/>
        <v>0.04</v>
      </c>
      <c r="G134" s="254"/>
      <c r="H134" s="254"/>
      <c r="M134" s="1763"/>
      <c r="N134" s="1763"/>
      <c r="O134" s="1763"/>
      <c r="P134" s="1763"/>
    </row>
    <row r="135" spans="1:16" ht="15.05" customHeight="1" x14ac:dyDescent="0.2">
      <c r="B135" s="4996" t="s">
        <v>2304</v>
      </c>
      <c r="C135" s="4997"/>
      <c r="D135" s="240">
        <f t="shared" si="3"/>
        <v>0</v>
      </c>
      <c r="E135" s="4995">
        <v>4</v>
      </c>
      <c r="F135" s="241">
        <f t="shared" si="4"/>
        <v>0.5714285714285714</v>
      </c>
      <c r="G135" s="254"/>
      <c r="H135" s="254"/>
      <c r="M135" s="1763"/>
      <c r="N135" s="1763"/>
      <c r="O135" s="1763"/>
      <c r="P135" s="1763"/>
    </row>
    <row r="136" spans="1:16" ht="15.05" customHeight="1" thickBot="1" x14ac:dyDescent="0.25">
      <c r="B136" s="242" t="s">
        <v>587</v>
      </c>
      <c r="C136" s="243">
        <f>+SUM(C130:C135)</f>
        <v>0</v>
      </c>
      <c r="D136" s="243">
        <f>IF(C136=0,0,SUM(D130:D135))</f>
        <v>0</v>
      </c>
      <c r="E136" s="2171" t="s">
        <v>918</v>
      </c>
      <c r="F136" s="2172">
        <f>+IFERROR(SUM(F130:F135),0)</f>
        <v>1.7542857142857142</v>
      </c>
      <c r="G136" s="254"/>
      <c r="H136" s="254"/>
      <c r="O136" s="1763"/>
      <c r="P136" s="1763"/>
    </row>
    <row r="137" spans="1:16" ht="15.05" customHeight="1" x14ac:dyDescent="0.2">
      <c r="B137" s="4992" t="s">
        <v>2302</v>
      </c>
      <c r="C137" s="5000">
        <f>320/360*7</f>
        <v>6.2222222222222214</v>
      </c>
      <c r="D137" s="740">
        <f>IFERROR(C137/$D$127,0)</f>
        <v>0.88888888888888873</v>
      </c>
      <c r="E137" s="254"/>
      <c r="F137" s="254"/>
      <c r="G137" s="254"/>
      <c r="H137" s="254"/>
      <c r="M137" s="1763"/>
      <c r="N137" s="1763"/>
      <c r="O137" s="1763"/>
      <c r="P137" s="1763"/>
    </row>
    <row r="138" spans="1:16" ht="15.05" customHeight="1" x14ac:dyDescent="0.2">
      <c r="B138" s="4996" t="s">
        <v>2303</v>
      </c>
      <c r="C138" s="4997">
        <f>105/50*7</f>
        <v>14.700000000000001</v>
      </c>
      <c r="D138" s="2173">
        <f>IFERROR(C138/$D$127,0)</f>
        <v>2.1</v>
      </c>
      <c r="E138" s="254"/>
      <c r="F138" s="254"/>
      <c r="G138" s="254"/>
      <c r="H138" s="254"/>
      <c r="M138" s="1763"/>
      <c r="N138" s="1763"/>
      <c r="O138" s="1763"/>
      <c r="P138" s="1763"/>
    </row>
    <row r="139" spans="1:16" ht="15.05" customHeight="1" thickBot="1" x14ac:dyDescent="0.25">
      <c r="B139" s="244" t="s">
        <v>588</v>
      </c>
      <c r="C139" s="245">
        <f>SUM(C137:C138)</f>
        <v>20.922222222222224</v>
      </c>
      <c r="D139" s="2172">
        <f>IF(C139=0,0,SUM(D137:D138))</f>
        <v>2.9888888888888889</v>
      </c>
      <c r="E139" s="254"/>
      <c r="F139" s="254"/>
      <c r="G139" s="254"/>
      <c r="H139" s="254"/>
      <c r="M139" s="1763"/>
      <c r="N139" s="1763"/>
      <c r="O139" s="1763"/>
      <c r="P139" s="1763"/>
    </row>
    <row r="140" spans="1:16" ht="15.05" customHeight="1" x14ac:dyDescent="0.2">
      <c r="B140" s="2333"/>
      <c r="C140" s="254"/>
      <c r="D140" s="254"/>
      <c r="E140" s="254"/>
      <c r="F140" s="254"/>
      <c r="G140" s="254"/>
      <c r="H140" s="254"/>
      <c r="I140" s="254"/>
      <c r="J140" s="1557"/>
      <c r="K140" s="1774"/>
      <c r="L140" s="254"/>
      <c r="M140" s="254"/>
      <c r="N140" s="1763"/>
      <c r="O140" s="1765"/>
      <c r="P140" s="1765"/>
    </row>
    <row r="141" spans="1:16" ht="15.05" customHeight="1" x14ac:dyDescent="0.2">
      <c r="B141" s="381"/>
      <c r="C141" s="254"/>
      <c r="D141" s="254"/>
      <c r="E141" s="254"/>
      <c r="F141" s="254"/>
      <c r="G141" s="254"/>
      <c r="H141" s="254"/>
      <c r="I141" s="254"/>
      <c r="J141" s="1557"/>
      <c r="K141" s="1774"/>
      <c r="L141" s="254"/>
      <c r="M141" s="254"/>
      <c r="N141" s="1763"/>
      <c r="O141" s="1765"/>
      <c r="P141" s="1765"/>
    </row>
    <row r="142" spans="1:16" ht="15.05" customHeight="1" thickBot="1" x14ac:dyDescent="0.25">
      <c r="B142" s="2332" t="s">
        <v>929</v>
      </c>
      <c r="C142" s="254"/>
      <c r="D142" s="254"/>
      <c r="E142" s="254"/>
      <c r="F142" s="254"/>
      <c r="G142" s="254"/>
      <c r="H142" s="254"/>
      <c r="M142" s="254"/>
      <c r="N142" s="1763"/>
      <c r="O142" s="1765"/>
      <c r="P142" s="1765"/>
    </row>
    <row r="143" spans="1:16" ht="15.05" customHeight="1" thickBot="1" x14ac:dyDescent="0.25">
      <c r="A143" s="1344">
        <f>+A126+1</f>
        <v>23</v>
      </c>
      <c r="B143" s="229" t="s">
        <v>2261</v>
      </c>
      <c r="C143" s="230" t="s">
        <v>1271</v>
      </c>
      <c r="D143" s="230"/>
      <c r="E143" s="178"/>
      <c r="F143" s="254"/>
      <c r="G143" s="254"/>
      <c r="H143" s="254"/>
      <c r="M143" s="254"/>
      <c r="N143" s="1763"/>
      <c r="O143" s="1765"/>
      <c r="P143" s="1765"/>
    </row>
    <row r="144" spans="1:16" ht="15.05" customHeight="1" thickBot="1" x14ac:dyDescent="0.25">
      <c r="B144" s="233"/>
      <c r="C144" s="234" t="s">
        <v>857</v>
      </c>
      <c r="D144" s="4991">
        <v>15</v>
      </c>
      <c r="E144" s="235"/>
      <c r="F144" s="254"/>
      <c r="G144" s="254"/>
      <c r="H144" s="254"/>
      <c r="M144" s="254"/>
      <c r="N144" s="1763"/>
      <c r="O144" s="1775"/>
      <c r="P144" s="1775"/>
    </row>
    <row r="145" spans="1:16" ht="15.05" customHeight="1" x14ac:dyDescent="0.2">
      <c r="B145" s="210"/>
      <c r="C145" s="246" t="s">
        <v>23</v>
      </c>
      <c r="D145" s="246" t="s">
        <v>243</v>
      </c>
      <c r="E145" s="247" t="s">
        <v>926</v>
      </c>
      <c r="F145" s="254"/>
      <c r="G145" s="254"/>
      <c r="H145" s="254"/>
      <c r="M145" s="254"/>
      <c r="N145" s="1763"/>
      <c r="O145" s="1775"/>
      <c r="P145" s="1775"/>
    </row>
    <row r="146" spans="1:16" ht="15.05" customHeight="1" thickBot="1" x14ac:dyDescent="0.25">
      <c r="B146" s="213" t="s">
        <v>924</v>
      </c>
      <c r="C146" s="237" t="s">
        <v>313</v>
      </c>
      <c r="D146" s="237" t="s">
        <v>927</v>
      </c>
      <c r="E146" s="248" t="s">
        <v>925</v>
      </c>
      <c r="F146" s="254"/>
      <c r="G146" s="254"/>
      <c r="H146" s="254"/>
      <c r="M146" s="254"/>
      <c r="N146" s="1763"/>
      <c r="O146" s="1775"/>
      <c r="P146" s="1775"/>
    </row>
    <row r="147" spans="1:16" ht="15.05" customHeight="1" x14ac:dyDescent="0.2">
      <c r="B147" s="4992" t="s">
        <v>1072</v>
      </c>
      <c r="C147" s="5000">
        <v>100</v>
      </c>
      <c r="D147" s="240">
        <f t="shared" ref="D147:D152" si="5">IFERROR(C147/$D$144,0)</f>
        <v>6.666666666666667</v>
      </c>
      <c r="E147" s="5001">
        <v>43</v>
      </c>
      <c r="F147" s="254"/>
      <c r="G147" s="254"/>
      <c r="H147" s="254"/>
      <c r="M147" s="1763"/>
      <c r="N147" s="1763"/>
      <c r="O147" s="1763"/>
      <c r="P147" s="1763"/>
    </row>
    <row r="148" spans="1:16" ht="15.05" customHeight="1" x14ac:dyDescent="0.2">
      <c r="B148" s="4992" t="s">
        <v>1069</v>
      </c>
      <c r="C148" s="5000">
        <v>34</v>
      </c>
      <c r="D148" s="240">
        <f t="shared" si="5"/>
        <v>2.2666666666666666</v>
      </c>
      <c r="E148" s="5001">
        <v>8</v>
      </c>
      <c r="F148" s="254"/>
      <c r="G148" s="254"/>
      <c r="H148" s="254"/>
      <c r="M148" s="1763"/>
      <c r="N148" s="1763"/>
      <c r="O148" s="1763"/>
      <c r="P148" s="1763"/>
    </row>
    <row r="149" spans="1:16" ht="15.05" customHeight="1" x14ac:dyDescent="0.2">
      <c r="B149" s="4992"/>
      <c r="C149" s="5000"/>
      <c r="D149" s="240">
        <f t="shared" si="5"/>
        <v>0</v>
      </c>
      <c r="E149" s="5001"/>
      <c r="F149" s="254"/>
      <c r="G149" s="254"/>
      <c r="H149" s="254"/>
      <c r="M149" s="1763"/>
      <c r="N149" s="1763"/>
      <c r="O149" s="1763"/>
      <c r="P149" s="1763"/>
    </row>
    <row r="150" spans="1:16" ht="15.05" customHeight="1" x14ac:dyDescent="0.2">
      <c r="B150" s="4992"/>
      <c r="C150" s="5000"/>
      <c r="D150" s="240">
        <f t="shared" si="5"/>
        <v>0</v>
      </c>
      <c r="E150" s="5001"/>
      <c r="F150" s="254"/>
      <c r="G150" s="254"/>
      <c r="H150" s="254"/>
      <c r="M150" s="1763"/>
      <c r="N150" s="1763"/>
      <c r="O150" s="1763"/>
      <c r="P150" s="1763"/>
    </row>
    <row r="151" spans="1:16" ht="15.05" customHeight="1" x14ac:dyDescent="0.2">
      <c r="B151" s="4992" t="s">
        <v>1272</v>
      </c>
      <c r="C151" s="5000">
        <v>90</v>
      </c>
      <c r="D151" s="240">
        <f t="shared" si="5"/>
        <v>6</v>
      </c>
      <c r="E151" s="5001">
        <v>12</v>
      </c>
      <c r="F151" s="254"/>
      <c r="G151" s="254"/>
      <c r="H151" s="254"/>
      <c r="M151" s="1763"/>
      <c r="N151" s="1763"/>
      <c r="O151" s="1763"/>
      <c r="P151" s="1763"/>
    </row>
    <row r="152" spans="1:16" ht="15.05" customHeight="1" x14ac:dyDescent="0.2">
      <c r="B152" s="4992" t="s">
        <v>1750</v>
      </c>
      <c r="C152" s="5000"/>
      <c r="D152" s="240">
        <f t="shared" si="5"/>
        <v>0</v>
      </c>
      <c r="E152" s="5002"/>
      <c r="F152" s="254"/>
      <c r="G152" s="254"/>
      <c r="H152" s="254"/>
      <c r="M152" s="1763"/>
      <c r="N152" s="1763"/>
      <c r="O152" s="1763"/>
      <c r="P152" s="1763"/>
    </row>
    <row r="153" spans="1:16" ht="15.05" customHeight="1" thickBot="1" x14ac:dyDescent="0.25">
      <c r="B153" s="242" t="s">
        <v>587</v>
      </c>
      <c r="C153" s="243">
        <f>+SUM(C147:C152)</f>
        <v>224</v>
      </c>
      <c r="D153" s="243">
        <f>IF(C153=0,0,SUM(D147:D152))</f>
        <v>14.933333333333334</v>
      </c>
      <c r="E153" s="2172">
        <f>+IFERROR(SUM(E147:E152),0)</f>
        <v>63</v>
      </c>
      <c r="F153" s="254"/>
      <c r="G153" s="254"/>
      <c r="H153" s="254"/>
      <c r="M153" s="1763"/>
      <c r="N153" s="1763"/>
      <c r="O153" s="1763"/>
      <c r="P153" s="1763"/>
    </row>
    <row r="154" spans="1:16" ht="15.05" customHeight="1" x14ac:dyDescent="0.2">
      <c r="B154" s="4992" t="s">
        <v>1749</v>
      </c>
      <c r="C154" s="4993">
        <f>1200/200*D144</f>
        <v>90</v>
      </c>
      <c r="D154" s="740">
        <v>0</v>
      </c>
      <c r="E154" s="254"/>
      <c r="F154" s="254"/>
      <c r="G154" s="254"/>
      <c r="H154" s="1271"/>
      <c r="I154" s="877"/>
      <c r="J154" s="877"/>
      <c r="K154" s="254"/>
      <c r="L154" s="1776"/>
      <c r="M154" s="254"/>
      <c r="N154" s="1775"/>
    </row>
    <row r="155" spans="1:16" ht="15.05" customHeight="1" x14ac:dyDescent="0.2">
      <c r="B155" s="4996"/>
      <c r="C155" s="4997"/>
      <c r="D155" s="249">
        <v>0</v>
      </c>
      <c r="E155" s="254"/>
      <c r="F155" s="254"/>
      <c r="G155" s="254"/>
      <c r="H155" s="254"/>
      <c r="I155" s="877"/>
      <c r="J155" s="877"/>
      <c r="K155" s="254"/>
      <c r="L155" s="1769"/>
      <c r="M155" s="254"/>
      <c r="N155" s="1765"/>
    </row>
    <row r="156" spans="1:16" ht="15.05" customHeight="1" thickBot="1" x14ac:dyDescent="0.25">
      <c r="B156" s="244" t="s">
        <v>588</v>
      </c>
      <c r="C156" s="250">
        <f>SUM(C154:C155)</f>
        <v>90</v>
      </c>
      <c r="D156" s="2172">
        <f>IF(C156=0,0,SUM(D154:D155))</f>
        <v>0</v>
      </c>
      <c r="E156" s="2331"/>
      <c r="F156" s="254"/>
      <c r="G156" s="254"/>
      <c r="H156" s="254"/>
      <c r="I156" s="1783"/>
      <c r="J156" s="1783"/>
      <c r="K156" s="254"/>
      <c r="L156" s="1769"/>
      <c r="M156" s="254"/>
      <c r="N156" s="1767"/>
    </row>
    <row r="157" spans="1:16" ht="15.05" customHeight="1" x14ac:dyDescent="0.2">
      <c r="H157" s="1271"/>
      <c r="I157" s="877"/>
      <c r="J157" s="877"/>
      <c r="K157" s="254"/>
      <c r="L157" s="1777"/>
      <c r="M157" s="254"/>
    </row>
    <row r="158" spans="1:16" ht="15.05" customHeight="1" thickBot="1" x14ac:dyDescent="0.25">
      <c r="A158" s="1764"/>
      <c r="H158" s="1271"/>
      <c r="I158" s="877"/>
      <c r="J158" s="877"/>
      <c r="K158" s="254"/>
      <c r="L158" s="1777"/>
      <c r="M158" s="254"/>
    </row>
    <row r="159" spans="1:16" ht="15.05" customHeight="1" thickBot="1" x14ac:dyDescent="0.25">
      <c r="A159" s="1344">
        <f>+A143+1</f>
        <v>24</v>
      </c>
      <c r="B159" s="229" t="s">
        <v>865</v>
      </c>
      <c r="C159" s="230"/>
      <c r="D159" s="251"/>
      <c r="J159" s="877"/>
      <c r="K159" s="254"/>
      <c r="L159" s="1777"/>
      <c r="M159" s="254"/>
    </row>
    <row r="160" spans="1:16" ht="15.05" customHeight="1" x14ac:dyDescent="0.2">
      <c r="B160" s="252"/>
      <c r="C160" s="149" t="s">
        <v>23</v>
      </c>
      <c r="D160" s="207"/>
      <c r="J160" s="971"/>
      <c r="L160" s="1775"/>
    </row>
    <row r="161" spans="2:14" ht="15.05" customHeight="1" thickBot="1" x14ac:dyDescent="0.25">
      <c r="B161" s="652" t="s">
        <v>13</v>
      </c>
      <c r="C161" s="266" t="s">
        <v>859</v>
      </c>
      <c r="D161" s="653" t="s">
        <v>342</v>
      </c>
      <c r="J161" s="971"/>
      <c r="L161" s="1775"/>
    </row>
    <row r="162" spans="2:14" ht="15.05" customHeight="1" x14ac:dyDescent="0.2">
      <c r="B162" s="417" t="s">
        <v>20</v>
      </c>
      <c r="C162" s="5003">
        <v>1000</v>
      </c>
      <c r="D162" s="654" t="s">
        <v>1186</v>
      </c>
      <c r="J162" s="950"/>
      <c r="L162" s="1775"/>
    </row>
    <row r="163" spans="2:14" ht="15.05" customHeight="1" x14ac:dyDescent="0.2">
      <c r="B163" s="253" t="s">
        <v>373</v>
      </c>
      <c r="C163" s="5004">
        <v>1000</v>
      </c>
      <c r="D163" s="655" t="s">
        <v>1186</v>
      </c>
      <c r="J163" s="950"/>
      <c r="L163" s="1775"/>
    </row>
    <row r="164" spans="2:14" ht="15.05" customHeight="1" x14ac:dyDescent="0.2">
      <c r="B164" s="253" t="s">
        <v>399</v>
      </c>
      <c r="C164" s="5004">
        <v>1100</v>
      </c>
      <c r="D164" s="655" t="s">
        <v>1186</v>
      </c>
      <c r="E164" s="141"/>
      <c r="F164" s="2379"/>
      <c r="J164" s="950"/>
      <c r="L164" s="1510"/>
    </row>
    <row r="165" spans="2:14" ht="15.05" customHeight="1" x14ac:dyDescent="0.2">
      <c r="B165" s="253" t="s">
        <v>400</v>
      </c>
      <c r="C165" s="5004">
        <v>1100</v>
      </c>
      <c r="D165" s="655" t="s">
        <v>1186</v>
      </c>
      <c r="E165" s="141"/>
      <c r="F165" s="2379"/>
      <c r="G165" s="950"/>
      <c r="H165" s="950"/>
      <c r="I165" s="1787"/>
      <c r="J165" s="1787"/>
      <c r="K165" s="1546"/>
      <c r="L165" s="1546"/>
      <c r="M165" s="1546"/>
      <c r="N165" s="1546"/>
    </row>
    <row r="166" spans="2:14" ht="15.05" customHeight="1" x14ac:dyDescent="0.2">
      <c r="B166" s="253" t="s">
        <v>401</v>
      </c>
      <c r="C166" s="5004">
        <v>630</v>
      </c>
      <c r="D166" s="655" t="s">
        <v>1186</v>
      </c>
      <c r="E166" s="141"/>
      <c r="F166" s="2379"/>
      <c r="G166" s="950"/>
      <c r="H166" s="1271"/>
      <c r="I166" s="254"/>
      <c r="J166" s="254"/>
    </row>
    <row r="167" spans="2:14" ht="15.05" customHeight="1" x14ac:dyDescent="0.2">
      <c r="B167" s="253" t="s">
        <v>402</v>
      </c>
      <c r="C167" s="5004">
        <v>630</v>
      </c>
      <c r="D167" s="655" t="s">
        <v>1186</v>
      </c>
      <c r="E167" s="141"/>
      <c r="F167" s="2379"/>
      <c r="G167" s="950"/>
      <c r="H167" s="254"/>
    </row>
    <row r="168" spans="2:14" ht="15.05" customHeight="1" x14ac:dyDescent="0.2">
      <c r="B168" s="253" t="s">
        <v>384</v>
      </c>
      <c r="C168" s="5005">
        <v>2</v>
      </c>
      <c r="D168" s="656" t="s">
        <v>295</v>
      </c>
      <c r="E168" s="1763"/>
      <c r="F168" s="1776"/>
      <c r="G168" s="254"/>
      <c r="H168" s="254"/>
      <c r="K168" s="1767"/>
    </row>
    <row r="169" spans="2:14" ht="15.05" customHeight="1" x14ac:dyDescent="0.2">
      <c r="B169" s="253" t="s">
        <v>386</v>
      </c>
      <c r="C169" s="5005">
        <v>2</v>
      </c>
      <c r="D169" s="656" t="s">
        <v>295</v>
      </c>
      <c r="I169" s="1765"/>
      <c r="J169" s="1765"/>
      <c r="K169" s="1771"/>
    </row>
    <row r="170" spans="2:14" ht="15.05" customHeight="1" x14ac:dyDescent="0.2">
      <c r="B170" s="253" t="s">
        <v>385</v>
      </c>
      <c r="C170" s="5004">
        <v>200</v>
      </c>
      <c r="D170" s="655" t="s">
        <v>1186</v>
      </c>
      <c r="K170" s="1763"/>
    </row>
    <row r="171" spans="2:14" ht="15.05" customHeight="1" x14ac:dyDescent="0.2">
      <c r="B171" s="253" t="s">
        <v>387</v>
      </c>
      <c r="C171" s="5004">
        <v>128</v>
      </c>
      <c r="D171" s="655" t="s">
        <v>1186</v>
      </c>
      <c r="K171" s="1763"/>
    </row>
    <row r="172" spans="2:14" ht="15.05" customHeight="1" x14ac:dyDescent="0.2">
      <c r="B172" s="253" t="s">
        <v>1137</v>
      </c>
      <c r="C172" s="5004">
        <v>100</v>
      </c>
      <c r="D172" s="655" t="s">
        <v>1186</v>
      </c>
      <c r="K172" s="1763"/>
    </row>
    <row r="173" spans="2:14" ht="15.05" customHeight="1" x14ac:dyDescent="0.2">
      <c r="B173" s="253" t="s">
        <v>627</v>
      </c>
      <c r="C173" s="5005">
        <v>1.6</v>
      </c>
      <c r="D173" s="656" t="s">
        <v>295</v>
      </c>
      <c r="K173" s="1765"/>
    </row>
    <row r="174" spans="2:14" ht="15.05" customHeight="1" x14ac:dyDescent="0.2">
      <c r="B174" s="452" t="s">
        <v>388</v>
      </c>
      <c r="C174" s="5006">
        <v>1500</v>
      </c>
      <c r="D174" s="657" t="s">
        <v>1186</v>
      </c>
      <c r="K174" s="1763"/>
    </row>
    <row r="175" spans="2:14" ht="15.05" customHeight="1" x14ac:dyDescent="0.2">
      <c r="B175" s="253" t="s">
        <v>625</v>
      </c>
      <c r="C175" s="5005">
        <v>1.6</v>
      </c>
      <c r="D175" s="656" t="s">
        <v>295</v>
      </c>
      <c r="K175" s="1763"/>
    </row>
    <row r="176" spans="2:14" ht="15.05" customHeight="1" x14ac:dyDescent="0.2">
      <c r="B176" s="253" t="s">
        <v>181</v>
      </c>
      <c r="C176" s="5005">
        <v>1.8</v>
      </c>
      <c r="D176" s="656" t="s">
        <v>295</v>
      </c>
      <c r="K176" s="1763"/>
    </row>
    <row r="177" spans="1:11" ht="15.05" customHeight="1" x14ac:dyDescent="0.2">
      <c r="B177" s="253" t="s">
        <v>179</v>
      </c>
      <c r="C177" s="5005">
        <v>1.8</v>
      </c>
      <c r="D177" s="656" t="s">
        <v>295</v>
      </c>
      <c r="K177" s="1763"/>
    </row>
    <row r="178" spans="1:11" ht="15.05" customHeight="1" x14ac:dyDescent="0.2">
      <c r="B178" s="253" t="s">
        <v>180</v>
      </c>
      <c r="C178" s="5005">
        <v>1.8</v>
      </c>
      <c r="D178" s="656" t="s">
        <v>295</v>
      </c>
      <c r="K178" s="1763"/>
    </row>
    <row r="179" spans="1:11" ht="15.05" customHeight="1" thickBot="1" x14ac:dyDescent="0.25">
      <c r="B179" s="255" t="s">
        <v>183</v>
      </c>
      <c r="C179" s="5007">
        <v>200</v>
      </c>
      <c r="D179" s="658" t="s">
        <v>1186</v>
      </c>
      <c r="K179" s="1763"/>
    </row>
    <row r="180" spans="1:11" ht="15.05" customHeight="1" x14ac:dyDescent="0.2">
      <c r="B180" s="381"/>
      <c r="C180" s="950"/>
      <c r="D180" s="1788"/>
      <c r="K180" s="1763"/>
    </row>
    <row r="181" spans="1:11" ht="15.05" customHeight="1" thickBot="1" x14ac:dyDescent="0.25">
      <c r="B181" s="232"/>
      <c r="C181" s="950"/>
      <c r="D181" s="1788"/>
      <c r="K181" s="1763"/>
    </row>
    <row r="182" spans="1:11" ht="15.05" customHeight="1" thickBot="1" x14ac:dyDescent="0.25">
      <c r="A182" s="1344">
        <f>+A159+1</f>
        <v>25</v>
      </c>
      <c r="B182" s="229" t="s">
        <v>2264</v>
      </c>
      <c r="C182" s="230"/>
      <c r="D182" s="251"/>
      <c r="K182" s="1763"/>
    </row>
    <row r="183" spans="1:11" ht="15.05" customHeight="1" x14ac:dyDescent="0.2">
      <c r="A183" s="1764"/>
      <c r="B183" s="143"/>
      <c r="C183" s="149" t="s">
        <v>23</v>
      </c>
      <c r="D183" s="2452"/>
      <c r="K183" s="1763"/>
    </row>
    <row r="184" spans="1:11" ht="15.05" customHeight="1" thickBot="1" x14ac:dyDescent="0.25">
      <c r="A184" s="1764"/>
      <c r="B184" s="153" t="s">
        <v>419</v>
      </c>
      <c r="C184" s="154" t="s">
        <v>931</v>
      </c>
      <c r="D184" s="155" t="s">
        <v>312</v>
      </c>
      <c r="K184" s="1763"/>
    </row>
    <row r="185" spans="1:11" ht="15.05" customHeight="1" x14ac:dyDescent="0.2">
      <c r="B185" s="256" t="s">
        <v>2266</v>
      </c>
      <c r="C185" s="4966">
        <v>222</v>
      </c>
      <c r="D185" s="257" t="s">
        <v>338</v>
      </c>
      <c r="K185" s="1763"/>
    </row>
    <row r="186" spans="1:11" ht="15.05" customHeight="1" x14ac:dyDescent="0.2">
      <c r="B186" s="256" t="s">
        <v>2265</v>
      </c>
      <c r="C186" s="4966">
        <v>150</v>
      </c>
      <c r="D186" s="257" t="s">
        <v>338</v>
      </c>
      <c r="K186" s="1763"/>
    </row>
    <row r="187" spans="1:11" ht="15.05" customHeight="1" thickBot="1" x14ac:dyDescent="0.25">
      <c r="B187" s="258" t="s">
        <v>2267</v>
      </c>
      <c r="C187" s="5008">
        <v>222</v>
      </c>
      <c r="D187" s="259" t="s">
        <v>338</v>
      </c>
      <c r="K187" s="1763"/>
    </row>
    <row r="188" spans="1:11" ht="15.05" customHeight="1" x14ac:dyDescent="0.2">
      <c r="B188" s="232"/>
      <c r="C188" s="950"/>
      <c r="D188" s="1788"/>
      <c r="K188" s="1763"/>
    </row>
    <row r="189" spans="1:11" ht="15.05" customHeight="1" thickBot="1" x14ac:dyDescent="0.25">
      <c r="B189" s="232"/>
      <c r="C189" s="950"/>
      <c r="D189" s="1788"/>
      <c r="K189" s="1763"/>
    </row>
    <row r="190" spans="1:11" ht="15.05" customHeight="1" thickBot="1" x14ac:dyDescent="0.25">
      <c r="A190" s="1344">
        <f>+A182+1</f>
        <v>26</v>
      </c>
      <c r="B190" s="229" t="s">
        <v>932</v>
      </c>
      <c r="C190" s="230"/>
      <c r="D190" s="230"/>
      <c r="E190" s="230"/>
      <c r="F190" s="230"/>
      <c r="G190" s="260"/>
      <c r="H190" s="950"/>
      <c r="K190" s="1763"/>
    </row>
    <row r="191" spans="1:11" ht="15.05" customHeight="1" x14ac:dyDescent="0.2">
      <c r="B191" s="236"/>
      <c r="C191" s="261" t="s">
        <v>919</v>
      </c>
      <c r="D191" s="262" t="s">
        <v>933</v>
      </c>
      <c r="E191" s="263"/>
      <c r="F191" s="264" t="s">
        <v>683</v>
      </c>
      <c r="G191" s="265" t="s">
        <v>923</v>
      </c>
      <c r="K191" s="1763"/>
    </row>
    <row r="192" spans="1:11" ht="15.05" customHeight="1" x14ac:dyDescent="0.2">
      <c r="A192" s="1764"/>
      <c r="B192" s="236"/>
      <c r="C192" s="266" t="s">
        <v>920</v>
      </c>
      <c r="D192" s="266" t="s">
        <v>934</v>
      </c>
      <c r="E192" s="266" t="s">
        <v>935</v>
      </c>
      <c r="F192" s="266" t="s">
        <v>921</v>
      </c>
      <c r="G192" s="265" t="s">
        <v>922</v>
      </c>
      <c r="K192" s="1763"/>
    </row>
    <row r="193" spans="1:11" ht="15.05" customHeight="1" thickBot="1" x14ac:dyDescent="0.25">
      <c r="B193" s="153" t="s">
        <v>877</v>
      </c>
      <c r="C193" s="154" t="s">
        <v>434</v>
      </c>
      <c r="D193" s="154" t="s">
        <v>936</v>
      </c>
      <c r="E193" s="154" t="s">
        <v>936</v>
      </c>
      <c r="F193" s="154" t="s">
        <v>922</v>
      </c>
      <c r="G193" s="156" t="s">
        <v>432</v>
      </c>
      <c r="H193" s="1789" t="s">
        <v>626</v>
      </c>
      <c r="K193" s="1763"/>
    </row>
    <row r="194" spans="1:11" ht="15.05" customHeight="1" x14ac:dyDescent="0.2">
      <c r="B194" s="267" t="str">
        <f>UsoSuelo!D347</f>
        <v>Soja</v>
      </c>
      <c r="C194" s="5009">
        <v>3</v>
      </c>
      <c r="D194" s="4961">
        <v>0</v>
      </c>
      <c r="E194" s="268">
        <f>Ingresos!P233-Ingresos!P248</f>
        <v>0</v>
      </c>
      <c r="F194" s="69">
        <f>+UsoSuelo!S347</f>
        <v>0</v>
      </c>
      <c r="G194" s="5010">
        <v>280</v>
      </c>
      <c r="K194" s="1763"/>
    </row>
    <row r="195" spans="1:11" ht="15.05" customHeight="1" x14ac:dyDescent="0.2">
      <c r="B195" s="269" t="str">
        <f>UsoSuelo!D348</f>
        <v>Soja 2ª</v>
      </c>
      <c r="C195" s="5011"/>
      <c r="D195" s="4954"/>
      <c r="E195" s="166">
        <f>Ingresos!P234-Ingresos!P249</f>
        <v>0</v>
      </c>
      <c r="F195" s="69">
        <f>+UsoSuelo!S348</f>
        <v>0</v>
      </c>
      <c r="G195" s="5012"/>
      <c r="K195" s="1763"/>
    </row>
    <row r="196" spans="1:11" ht="15.05" customHeight="1" x14ac:dyDescent="0.2">
      <c r="B196" s="269" t="str">
        <f>UsoSuelo!D349</f>
        <v>Maíz Grano</v>
      </c>
      <c r="C196" s="5011">
        <v>6</v>
      </c>
      <c r="D196" s="4954">
        <v>0</v>
      </c>
      <c r="E196" s="69">
        <f>Ingresos!P235-Ingresos!P250</f>
        <v>0</v>
      </c>
      <c r="F196" s="69">
        <f>+UsoSuelo!S349</f>
        <v>0</v>
      </c>
      <c r="G196" s="5001">
        <v>180</v>
      </c>
      <c r="K196" s="1763"/>
    </row>
    <row r="197" spans="1:11" ht="15.05" customHeight="1" x14ac:dyDescent="0.2">
      <c r="B197" s="269" t="str">
        <f>UsoSuelo!D350</f>
        <v>Sorgo grano</v>
      </c>
      <c r="C197" s="5011"/>
      <c r="D197" s="4954"/>
      <c r="E197" s="166">
        <f>Ingresos!P236-Ingresos!P251</f>
        <v>0</v>
      </c>
      <c r="F197" s="69">
        <f>+UsoSuelo!S350</f>
        <v>0</v>
      </c>
      <c r="G197" s="5001"/>
      <c r="K197" s="1763"/>
    </row>
    <row r="198" spans="1:11" ht="15.05" customHeight="1" x14ac:dyDescent="0.2">
      <c r="B198" s="269" t="str">
        <f>UsoSuelo!D351</f>
        <v>Trigo grano</v>
      </c>
      <c r="C198" s="5011"/>
      <c r="D198" s="4954"/>
      <c r="E198" s="166">
        <f>Ingresos!P237-Ingresos!P252</f>
        <v>0</v>
      </c>
      <c r="F198" s="69">
        <f>+UsoSuelo!S351</f>
        <v>0</v>
      </c>
      <c r="G198" s="5001"/>
      <c r="K198" s="1763"/>
    </row>
    <row r="199" spans="1:11" ht="15.05" customHeight="1" x14ac:dyDescent="0.2">
      <c r="B199" s="269" t="str">
        <f>UsoSuelo!D352</f>
        <v>Cebada grano</v>
      </c>
      <c r="C199" s="5011"/>
      <c r="D199" s="4954"/>
      <c r="E199" s="166">
        <f>Ingresos!P238-Ingresos!P253</f>
        <v>0</v>
      </c>
      <c r="F199" s="69">
        <f>+UsoSuelo!S352</f>
        <v>0</v>
      </c>
      <c r="G199" s="5001"/>
      <c r="K199" s="1763"/>
    </row>
    <row r="200" spans="1:11" ht="15.05" customHeight="1" x14ac:dyDescent="0.2">
      <c r="B200" s="269" t="str">
        <f>UsoSuelo!D353</f>
        <v>Avena grano</v>
      </c>
      <c r="C200" s="5011"/>
      <c r="D200" s="4954"/>
      <c r="E200" s="166">
        <f>Ingresos!P239-Ingresos!P254</f>
        <v>0</v>
      </c>
      <c r="F200" s="69">
        <f>+UsoSuelo!S353</f>
        <v>0</v>
      </c>
      <c r="G200" s="5001"/>
      <c r="K200" s="1763"/>
    </row>
    <row r="201" spans="1:11" ht="15.05" customHeight="1" x14ac:dyDescent="0.2">
      <c r="B201" s="269" t="str">
        <f>UsoSuelo!D354</f>
        <v>Colza grano</v>
      </c>
      <c r="C201" s="5011">
        <v>1.8</v>
      </c>
      <c r="D201" s="4954">
        <v>0</v>
      </c>
      <c r="E201" s="166">
        <f>Ingresos!P240-Ingresos!P255</f>
        <v>0</v>
      </c>
      <c r="F201" s="69">
        <f>+UsoSuelo!S354</f>
        <v>0</v>
      </c>
      <c r="G201" s="5001">
        <v>350</v>
      </c>
      <c r="K201" s="1763"/>
    </row>
    <row r="202" spans="1:11" ht="15.05" customHeight="1" x14ac:dyDescent="0.2">
      <c r="B202" s="269">
        <f>UsoSuelo!D355</f>
        <v>0</v>
      </c>
      <c r="C202" s="5011"/>
      <c r="D202" s="4954"/>
      <c r="E202" s="166">
        <f>Ingresos!P241-Ingresos!P256</f>
        <v>0</v>
      </c>
      <c r="F202" s="69">
        <f>+UsoSuelo!S355</f>
        <v>0</v>
      </c>
      <c r="G202" s="5001"/>
      <c r="K202" s="1763"/>
    </row>
    <row r="203" spans="1:11" ht="15.05" customHeight="1" x14ac:dyDescent="0.2">
      <c r="B203" s="269">
        <f>UsoSuelo!D356</f>
        <v>0</v>
      </c>
      <c r="C203" s="5011"/>
      <c r="D203" s="4954"/>
      <c r="E203" s="166">
        <f>Ingresos!P242-Ingresos!P257</f>
        <v>0</v>
      </c>
      <c r="F203" s="69">
        <f>+UsoSuelo!S356</f>
        <v>0</v>
      </c>
      <c r="G203" s="5001"/>
      <c r="K203" s="1763"/>
    </row>
    <row r="204" spans="1:11" ht="15.05" customHeight="1" x14ac:dyDescent="0.2">
      <c r="B204" s="269">
        <f>UsoSuelo!D357</f>
        <v>0</v>
      </c>
      <c r="C204" s="5011"/>
      <c r="D204" s="4954"/>
      <c r="E204" s="166">
        <f>Ingresos!P243-Ingresos!P258</f>
        <v>0</v>
      </c>
      <c r="F204" s="69">
        <f>+UsoSuelo!S357</f>
        <v>0</v>
      </c>
      <c r="G204" s="5001"/>
      <c r="K204" s="1763"/>
    </row>
    <row r="205" spans="1:11" ht="15.05" customHeight="1" thickBot="1" x14ac:dyDescent="0.25">
      <c r="B205" s="270">
        <f>UsoSuelo!D358</f>
        <v>0</v>
      </c>
      <c r="C205" s="5013"/>
      <c r="D205" s="4955"/>
      <c r="E205" s="87">
        <f>Ingresos!P244-Ingresos!P259</f>
        <v>0</v>
      </c>
      <c r="F205" s="81">
        <f>+UsoSuelo!S358</f>
        <v>0</v>
      </c>
      <c r="G205" s="5014"/>
      <c r="K205" s="1763"/>
    </row>
    <row r="206" spans="1:11" ht="15.05" customHeight="1" x14ac:dyDescent="0.2">
      <c r="B206" s="1790" t="s">
        <v>631</v>
      </c>
      <c r="C206" s="1791">
        <v>2</v>
      </c>
      <c r="D206" s="1792">
        <v>3</v>
      </c>
      <c r="E206" s="1792">
        <v>4</v>
      </c>
      <c r="F206" s="1792">
        <v>5</v>
      </c>
      <c r="G206" s="1792">
        <v>6</v>
      </c>
      <c r="K206" s="1763"/>
    </row>
    <row r="207" spans="1:11" ht="15.05" customHeight="1" thickBot="1" x14ac:dyDescent="0.25">
      <c r="A207" s="1764"/>
      <c r="B207" s="1639"/>
      <c r="E207" s="1788"/>
      <c r="K207" s="1763"/>
    </row>
    <row r="208" spans="1:11" ht="15.05" customHeight="1" thickBot="1" x14ac:dyDescent="0.25">
      <c r="A208" s="1344">
        <f>+A190+1</f>
        <v>27</v>
      </c>
      <c r="B208" s="229" t="s">
        <v>1114</v>
      </c>
      <c r="C208" s="4933">
        <v>90</v>
      </c>
      <c r="E208" s="1788"/>
      <c r="K208" s="1763"/>
    </row>
    <row r="209" spans="1:24" ht="15.05" customHeight="1" x14ac:dyDescent="0.2">
      <c r="B209" s="1793" t="s">
        <v>937</v>
      </c>
      <c r="E209" s="1788"/>
      <c r="K209" s="1763"/>
    </row>
    <row r="210" spans="1:24" ht="15.05" customHeight="1" x14ac:dyDescent="0.2">
      <c r="B210" s="1639"/>
      <c r="E210" s="1788"/>
      <c r="K210" s="1763"/>
    </row>
    <row r="211" spans="1:24" ht="15.05" customHeight="1" x14ac:dyDescent="0.2">
      <c r="B211" s="1639"/>
      <c r="E211" s="1788"/>
      <c r="K211" s="1763"/>
    </row>
    <row r="212" spans="1:24" hidden="1" x14ac:dyDescent="0.2">
      <c r="A212" s="1743"/>
      <c r="B212" s="1743" t="s">
        <v>941</v>
      </c>
      <c r="C212" s="1745"/>
      <c r="D212" s="1745"/>
      <c r="E212" s="1745"/>
      <c r="F212" s="1745"/>
      <c r="G212" s="1745"/>
      <c r="H212" s="1745"/>
      <c r="I212" s="1745"/>
      <c r="J212" s="1745"/>
      <c r="K212" s="1745"/>
      <c r="L212" s="1745"/>
      <c r="M212" s="1745"/>
      <c r="N212" s="175"/>
      <c r="O212" s="175"/>
      <c r="P212" s="175"/>
      <c r="Q212" s="175"/>
      <c r="R212" s="175"/>
      <c r="S212" s="175"/>
      <c r="T212" s="175"/>
      <c r="U212" s="175"/>
      <c r="V212" s="982"/>
      <c r="W212" s="982"/>
      <c r="X212" s="1546"/>
    </row>
    <row r="213" spans="1:24" hidden="1" x14ac:dyDescent="0.2">
      <c r="E213" s="1788"/>
      <c r="K213" s="1763"/>
    </row>
    <row r="214" spans="1:24" ht="15.05" hidden="1" thickBot="1" x14ac:dyDescent="0.25">
      <c r="A214" s="2188">
        <v>1003</v>
      </c>
      <c r="B214" s="2175" t="s">
        <v>2035</v>
      </c>
      <c r="C214" s="1663"/>
      <c r="D214" s="1663"/>
      <c r="E214" s="1788"/>
      <c r="K214" s="1763"/>
    </row>
    <row r="215" spans="1:24" ht="15.05" hidden="1" thickTop="1" x14ac:dyDescent="0.2">
      <c r="B215" s="1723" t="s">
        <v>310</v>
      </c>
      <c r="C215" s="1795" t="s">
        <v>343</v>
      </c>
      <c r="D215" s="1796" t="s">
        <v>312</v>
      </c>
      <c r="E215" s="1546"/>
      <c r="K215" s="1767"/>
    </row>
    <row r="216" spans="1:24" hidden="1" x14ac:dyDescent="0.2">
      <c r="B216" s="1665" t="str">
        <f t="shared" ref="B216:D229" si="6">+B87</f>
        <v>Siembra Directa  - Propia</v>
      </c>
      <c r="C216" s="1783">
        <f t="shared" si="6"/>
        <v>0</v>
      </c>
      <c r="D216" s="1797" t="str">
        <f t="shared" si="6"/>
        <v>pasada</v>
      </c>
      <c r="E216" s="1511"/>
      <c r="F216" s="1511"/>
      <c r="K216" s="1765"/>
    </row>
    <row r="217" spans="1:24" hidden="1" x14ac:dyDescent="0.2">
      <c r="B217" s="1665" t="str">
        <f t="shared" si="6"/>
        <v>Siembra Directa  - Contratada</v>
      </c>
      <c r="C217" s="1783">
        <f t="shared" si="6"/>
        <v>40</v>
      </c>
      <c r="D217" s="1797" t="str">
        <f t="shared" si="6"/>
        <v>pasada</v>
      </c>
      <c r="G217" s="1511"/>
      <c r="K217" s="1775"/>
    </row>
    <row r="218" spans="1:24" hidden="1" x14ac:dyDescent="0.2">
      <c r="B218" s="1665" t="str">
        <f t="shared" si="6"/>
        <v>Aplicar herbicida - Propia</v>
      </c>
      <c r="C218" s="1783">
        <f t="shared" si="6"/>
        <v>0</v>
      </c>
      <c r="D218" s="1797" t="str">
        <f t="shared" si="6"/>
        <v>pasada</v>
      </c>
      <c r="K218" s="1775"/>
    </row>
    <row r="219" spans="1:24" hidden="1" x14ac:dyDescent="0.2">
      <c r="B219" s="1665" t="str">
        <f t="shared" si="6"/>
        <v>Aplicar herbicida - Contratada</v>
      </c>
      <c r="C219" s="1783">
        <f t="shared" si="6"/>
        <v>9.5</v>
      </c>
      <c r="D219" s="1797" t="str">
        <f t="shared" si="6"/>
        <v>pasada</v>
      </c>
      <c r="K219" s="1775"/>
    </row>
    <row r="220" spans="1:24" hidden="1" x14ac:dyDescent="0.2">
      <c r="B220" s="1665" t="str">
        <f t="shared" si="6"/>
        <v>Fertilizar - Propia</v>
      </c>
      <c r="C220" s="1783">
        <f t="shared" si="6"/>
        <v>0</v>
      </c>
      <c r="D220" s="1797" t="str">
        <f t="shared" si="6"/>
        <v>pasada</v>
      </c>
    </row>
    <row r="221" spans="1:24" hidden="1" x14ac:dyDescent="0.2">
      <c r="B221" s="1665" t="str">
        <f t="shared" si="6"/>
        <v>Fertilizar - Contratada</v>
      </c>
      <c r="C221" s="1783">
        <f t="shared" si="6"/>
        <v>9</v>
      </c>
      <c r="D221" s="1797" t="str">
        <f t="shared" si="6"/>
        <v>pasada</v>
      </c>
    </row>
    <row r="222" spans="1:24" hidden="1" x14ac:dyDescent="0.2">
      <c r="B222" s="1665" t="str">
        <f t="shared" si="6"/>
        <v>Siembra Maíz - Contratada</v>
      </c>
      <c r="C222" s="1783">
        <f t="shared" si="6"/>
        <v>55</v>
      </c>
      <c r="D222" s="1797" t="str">
        <f t="shared" si="6"/>
        <v>pasada</v>
      </c>
    </row>
    <row r="223" spans="1:24" hidden="1" x14ac:dyDescent="0.2">
      <c r="B223" s="1665">
        <f t="shared" si="6"/>
        <v>0</v>
      </c>
      <c r="C223" s="1783">
        <f t="shared" si="6"/>
        <v>0</v>
      </c>
      <c r="D223" s="1797">
        <f t="shared" si="6"/>
        <v>0</v>
      </c>
    </row>
    <row r="224" spans="1:24" hidden="1" x14ac:dyDescent="0.2">
      <c r="B224" s="1665">
        <f t="shared" si="6"/>
        <v>0</v>
      </c>
      <c r="C224" s="1783">
        <f t="shared" si="6"/>
        <v>0</v>
      </c>
      <c r="D224" s="1797">
        <f t="shared" si="6"/>
        <v>0</v>
      </c>
    </row>
    <row r="225" spans="2:4" hidden="1" x14ac:dyDescent="0.2">
      <c r="B225" s="1665">
        <f t="shared" si="6"/>
        <v>0</v>
      </c>
      <c r="C225" s="1783">
        <f t="shared" si="6"/>
        <v>0</v>
      </c>
      <c r="D225" s="1797">
        <f t="shared" si="6"/>
        <v>0</v>
      </c>
    </row>
    <row r="226" spans="2:4" hidden="1" x14ac:dyDescent="0.2">
      <c r="B226" s="1665">
        <f t="shared" si="6"/>
        <v>0</v>
      </c>
      <c r="C226" s="1783">
        <f t="shared" si="6"/>
        <v>0</v>
      </c>
      <c r="D226" s="1797">
        <f t="shared" si="6"/>
        <v>0</v>
      </c>
    </row>
    <row r="227" spans="2:4" hidden="1" x14ac:dyDescent="0.2">
      <c r="B227" s="1665">
        <f t="shared" si="6"/>
        <v>0</v>
      </c>
      <c r="C227" s="1783">
        <f t="shared" si="6"/>
        <v>0</v>
      </c>
      <c r="D227" s="1797">
        <f t="shared" si="6"/>
        <v>0</v>
      </c>
    </row>
    <row r="228" spans="2:4" hidden="1" x14ac:dyDescent="0.2">
      <c r="B228" s="1665">
        <f t="shared" si="6"/>
        <v>0</v>
      </c>
      <c r="C228" s="1783">
        <f t="shared" si="6"/>
        <v>0</v>
      </c>
      <c r="D228" s="1797">
        <f t="shared" si="6"/>
        <v>0</v>
      </c>
    </row>
    <row r="229" spans="2:4" hidden="1" x14ac:dyDescent="0.2">
      <c r="B229" s="1665">
        <f t="shared" si="6"/>
        <v>0</v>
      </c>
      <c r="C229" s="1783">
        <f t="shared" si="6"/>
        <v>0</v>
      </c>
      <c r="D229" s="1797">
        <f t="shared" si="6"/>
        <v>0</v>
      </c>
    </row>
    <row r="230" spans="2:4" hidden="1" x14ac:dyDescent="0.2">
      <c r="B230" s="1665" t="str">
        <f>+B102</f>
        <v>Precio del gasoil</v>
      </c>
      <c r="C230" s="1783">
        <f>+C102</f>
        <v>1.2</v>
      </c>
      <c r="D230" s="1797" t="str">
        <f>+D102</f>
        <v>litro</v>
      </c>
    </row>
    <row r="231" spans="2:4" hidden="1" x14ac:dyDescent="0.2">
      <c r="B231" s="1665" t="str">
        <f t="shared" ref="B231:D262" si="7">+B9</f>
        <v xml:space="preserve">Sudan </v>
      </c>
      <c r="C231" s="1783">
        <f t="shared" si="7"/>
        <v>2.5</v>
      </c>
      <c r="D231" s="1797" t="str">
        <f t="shared" si="7"/>
        <v>kg</v>
      </c>
    </row>
    <row r="232" spans="2:4" hidden="1" x14ac:dyDescent="0.2">
      <c r="B232" s="1665" t="str">
        <f t="shared" si="7"/>
        <v>Sorgo forrajero</v>
      </c>
      <c r="C232" s="1783">
        <f t="shared" si="7"/>
        <v>3</v>
      </c>
      <c r="D232" s="1797" t="str">
        <f t="shared" si="7"/>
        <v>kg</v>
      </c>
    </row>
    <row r="233" spans="2:4" hidden="1" x14ac:dyDescent="0.2">
      <c r="B233" s="1665" t="str">
        <f t="shared" si="7"/>
        <v>Maíz silo+imidacloprid</v>
      </c>
      <c r="C233" s="1783">
        <f t="shared" si="7"/>
        <v>200</v>
      </c>
      <c r="D233" s="1797" t="str">
        <f t="shared" si="7"/>
        <v>bolsa</v>
      </c>
    </row>
    <row r="234" spans="2:4" hidden="1" x14ac:dyDescent="0.2">
      <c r="B234" s="1665" t="str">
        <f t="shared" si="7"/>
        <v>Sorgo grano-silo</v>
      </c>
      <c r="C234" s="1783">
        <f t="shared" si="7"/>
        <v>5.12</v>
      </c>
      <c r="D234" s="1797" t="str">
        <f t="shared" si="7"/>
        <v>kg</v>
      </c>
    </row>
    <row r="235" spans="2:4" hidden="1" x14ac:dyDescent="0.2">
      <c r="B235" s="1665" t="str">
        <f t="shared" si="7"/>
        <v>Moha</v>
      </c>
      <c r="C235" s="1783">
        <f t="shared" si="7"/>
        <v>1.8</v>
      </c>
      <c r="D235" s="1797" t="str">
        <f t="shared" si="7"/>
        <v>kg</v>
      </c>
    </row>
    <row r="236" spans="2:4" hidden="1" x14ac:dyDescent="0.2">
      <c r="B236" s="1665" t="str">
        <f t="shared" si="7"/>
        <v>Colza (hibrido) - variedad (7 U$S)</v>
      </c>
      <c r="C236" s="1783">
        <f t="shared" si="7"/>
        <v>12</v>
      </c>
      <c r="D236" s="1797" t="str">
        <f t="shared" si="7"/>
        <v>kg</v>
      </c>
    </row>
    <row r="237" spans="2:4" hidden="1" x14ac:dyDescent="0.2">
      <c r="B237" s="1665" t="str">
        <f t="shared" si="7"/>
        <v>Semilla de soja curada e inoculada</v>
      </c>
      <c r="C237" s="1783">
        <f t="shared" si="7"/>
        <v>1.2</v>
      </c>
      <c r="D237" s="1797" t="str">
        <f t="shared" si="7"/>
        <v>kg</v>
      </c>
    </row>
    <row r="238" spans="2:4" hidden="1" x14ac:dyDescent="0.2">
      <c r="B238" s="1665">
        <f t="shared" si="7"/>
        <v>0</v>
      </c>
      <c r="C238" s="1783">
        <f t="shared" si="7"/>
        <v>0</v>
      </c>
      <c r="D238" s="1797">
        <f t="shared" si="7"/>
        <v>0</v>
      </c>
    </row>
    <row r="239" spans="2:4" hidden="1" x14ac:dyDescent="0.2">
      <c r="B239" s="1665" t="str">
        <f t="shared" si="7"/>
        <v>Trigo</v>
      </c>
      <c r="C239" s="1783">
        <f t="shared" si="7"/>
        <v>0.6</v>
      </c>
      <c r="D239" s="1797" t="str">
        <f t="shared" si="7"/>
        <v>kg</v>
      </c>
    </row>
    <row r="240" spans="2:4" hidden="1" x14ac:dyDescent="0.2">
      <c r="B240" s="1665" t="str">
        <f t="shared" si="7"/>
        <v>Raigrás</v>
      </c>
      <c r="C240" s="1783">
        <f t="shared" si="7"/>
        <v>2</v>
      </c>
      <c r="D240" s="1797" t="str">
        <f t="shared" si="7"/>
        <v>kg</v>
      </c>
    </row>
    <row r="241" spans="2:4" hidden="1" x14ac:dyDescent="0.2">
      <c r="B241" s="1665" t="str">
        <f t="shared" si="7"/>
        <v>Avena</v>
      </c>
      <c r="C241" s="1783">
        <f t="shared" si="7"/>
        <v>0.4</v>
      </c>
      <c r="D241" s="1797" t="str">
        <f t="shared" si="7"/>
        <v>kg</v>
      </c>
    </row>
    <row r="242" spans="2:4" hidden="1" x14ac:dyDescent="0.2">
      <c r="B242" s="1665">
        <f t="shared" si="7"/>
        <v>0</v>
      </c>
      <c r="C242" s="1783">
        <f t="shared" si="7"/>
        <v>0</v>
      </c>
      <c r="D242" s="1797">
        <f t="shared" si="7"/>
        <v>0</v>
      </c>
    </row>
    <row r="243" spans="2:4" hidden="1" x14ac:dyDescent="0.2">
      <c r="B243" s="1665">
        <f t="shared" si="7"/>
        <v>0</v>
      </c>
      <c r="C243" s="1783">
        <f t="shared" si="7"/>
        <v>0</v>
      </c>
      <c r="D243" s="1797">
        <f t="shared" si="7"/>
        <v>0</v>
      </c>
    </row>
    <row r="244" spans="2:4" hidden="1" x14ac:dyDescent="0.2">
      <c r="B244" s="1665" t="str">
        <f t="shared" si="7"/>
        <v>Semilla PP1 (dac+ AA)</v>
      </c>
      <c r="C244" s="1783">
        <f t="shared" si="7"/>
        <v>7.5</v>
      </c>
      <c r="D244" s="1797" t="str">
        <f t="shared" si="7"/>
        <v>kg</v>
      </c>
    </row>
    <row r="245" spans="2:4" hidden="1" x14ac:dyDescent="0.2">
      <c r="B245" s="1665" t="str">
        <f t="shared" si="7"/>
        <v>Alfalfa</v>
      </c>
      <c r="C245" s="1783">
        <f t="shared" si="7"/>
        <v>5.5</v>
      </c>
      <c r="D245" s="1797" t="str">
        <f t="shared" si="7"/>
        <v>kg</v>
      </c>
    </row>
    <row r="246" spans="2:4" hidden="1" x14ac:dyDescent="0.2">
      <c r="B246" s="1665" t="str">
        <f t="shared" si="7"/>
        <v>Semilla de TR1 (Rg+TR+Ach)</v>
      </c>
      <c r="C246" s="1783">
        <f t="shared" si="7"/>
        <v>5</v>
      </c>
      <c r="D246" s="1797" t="str">
        <f t="shared" si="7"/>
        <v>kg</v>
      </c>
    </row>
    <row r="247" spans="2:4" hidden="1" x14ac:dyDescent="0.2">
      <c r="B247" s="1665">
        <f t="shared" si="7"/>
        <v>0</v>
      </c>
      <c r="C247" s="1783">
        <f t="shared" si="7"/>
        <v>0</v>
      </c>
      <c r="D247" s="1797">
        <f t="shared" si="7"/>
        <v>0</v>
      </c>
    </row>
    <row r="248" spans="2:4" hidden="1" x14ac:dyDescent="0.2">
      <c r="B248" s="1665">
        <f t="shared" si="7"/>
        <v>0</v>
      </c>
      <c r="C248" s="1783">
        <f t="shared" si="7"/>
        <v>0</v>
      </c>
      <c r="D248" s="1797">
        <f t="shared" si="7"/>
        <v>0</v>
      </c>
    </row>
    <row r="249" spans="2:4" hidden="1" x14ac:dyDescent="0.2">
      <c r="B249" s="1665">
        <f t="shared" si="7"/>
        <v>0</v>
      </c>
      <c r="C249" s="1783">
        <f t="shared" si="7"/>
        <v>0</v>
      </c>
      <c r="D249" s="1797">
        <f t="shared" si="7"/>
        <v>0</v>
      </c>
    </row>
    <row r="250" spans="2:4" hidden="1" x14ac:dyDescent="0.2">
      <c r="B250" s="1665">
        <f t="shared" si="7"/>
        <v>0</v>
      </c>
      <c r="C250" s="1783">
        <f t="shared" si="7"/>
        <v>0</v>
      </c>
      <c r="D250" s="1797">
        <f t="shared" si="7"/>
        <v>0</v>
      </c>
    </row>
    <row r="251" spans="2:4" hidden="1" x14ac:dyDescent="0.2">
      <c r="B251" s="1665">
        <f t="shared" si="7"/>
        <v>0</v>
      </c>
      <c r="C251" s="1783">
        <f t="shared" si="7"/>
        <v>0</v>
      </c>
      <c r="D251" s="1797">
        <f t="shared" si="7"/>
        <v>0</v>
      </c>
    </row>
    <row r="252" spans="2:4" hidden="1" x14ac:dyDescent="0.2">
      <c r="B252" s="1665">
        <f t="shared" si="7"/>
        <v>0</v>
      </c>
      <c r="C252" s="1783">
        <f t="shared" si="7"/>
        <v>0</v>
      </c>
      <c r="D252" s="1797">
        <f t="shared" si="7"/>
        <v>0</v>
      </c>
    </row>
    <row r="253" spans="2:4" hidden="1" x14ac:dyDescent="0.2">
      <c r="B253" s="1665">
        <f t="shared" si="7"/>
        <v>0</v>
      </c>
      <c r="C253" s="1783">
        <f t="shared" si="7"/>
        <v>0</v>
      </c>
      <c r="D253" s="1797">
        <f t="shared" si="7"/>
        <v>0</v>
      </c>
    </row>
    <row r="254" spans="2:4" hidden="1" x14ac:dyDescent="0.2">
      <c r="B254" s="1665">
        <f t="shared" si="7"/>
        <v>0</v>
      </c>
      <c r="C254" s="1783">
        <f t="shared" si="7"/>
        <v>0</v>
      </c>
      <c r="D254" s="1797">
        <f t="shared" si="7"/>
        <v>0</v>
      </c>
    </row>
    <row r="255" spans="2:4" hidden="1" x14ac:dyDescent="0.2">
      <c r="B255" s="1665">
        <f t="shared" si="7"/>
        <v>0</v>
      </c>
      <c r="C255" s="1783">
        <f t="shared" si="7"/>
        <v>0</v>
      </c>
      <c r="D255" s="1797">
        <f t="shared" si="7"/>
        <v>0</v>
      </c>
    </row>
    <row r="256" spans="2:4" hidden="1" x14ac:dyDescent="0.2">
      <c r="B256" s="1665">
        <f t="shared" si="7"/>
        <v>0</v>
      </c>
      <c r="C256" s="1783">
        <f t="shared" si="7"/>
        <v>0</v>
      </c>
      <c r="D256" s="1797">
        <f t="shared" si="7"/>
        <v>0</v>
      </c>
    </row>
    <row r="257" spans="2:4" hidden="1" x14ac:dyDescent="0.2">
      <c r="B257" s="1665">
        <f t="shared" si="7"/>
        <v>0</v>
      </c>
      <c r="C257" s="1783">
        <f t="shared" si="7"/>
        <v>0</v>
      </c>
      <c r="D257" s="1797">
        <f t="shared" si="7"/>
        <v>0</v>
      </c>
    </row>
    <row r="258" spans="2:4" hidden="1" x14ac:dyDescent="0.2">
      <c r="B258" s="1665">
        <f t="shared" si="7"/>
        <v>0</v>
      </c>
      <c r="C258" s="1783">
        <f t="shared" si="7"/>
        <v>0</v>
      </c>
      <c r="D258" s="1797">
        <f t="shared" si="7"/>
        <v>0</v>
      </c>
    </row>
    <row r="259" spans="2:4" hidden="1" x14ac:dyDescent="0.2">
      <c r="B259" s="1665">
        <f t="shared" si="7"/>
        <v>0</v>
      </c>
      <c r="C259" s="1783">
        <f t="shared" si="7"/>
        <v>0</v>
      </c>
      <c r="D259" s="1797">
        <f t="shared" si="7"/>
        <v>0</v>
      </c>
    </row>
    <row r="260" spans="2:4" hidden="1" x14ac:dyDescent="0.2">
      <c r="B260" s="1665">
        <f t="shared" si="7"/>
        <v>0</v>
      </c>
      <c r="C260" s="1783">
        <f t="shared" si="7"/>
        <v>0</v>
      </c>
      <c r="D260" s="1797">
        <f t="shared" si="7"/>
        <v>0</v>
      </c>
    </row>
    <row r="261" spans="2:4" hidden="1" x14ac:dyDescent="0.2">
      <c r="B261" s="1665">
        <f t="shared" si="7"/>
        <v>0</v>
      </c>
      <c r="C261" s="1783">
        <f t="shared" si="7"/>
        <v>0</v>
      </c>
      <c r="D261" s="1797">
        <f t="shared" si="7"/>
        <v>0</v>
      </c>
    </row>
    <row r="262" spans="2:4" hidden="1" x14ac:dyDescent="0.2">
      <c r="B262" s="1665">
        <f t="shared" si="7"/>
        <v>0</v>
      </c>
      <c r="C262" s="1783">
        <f t="shared" si="7"/>
        <v>0</v>
      </c>
      <c r="D262" s="1797">
        <f t="shared" si="7"/>
        <v>0</v>
      </c>
    </row>
    <row r="263" spans="2:4" hidden="1" x14ac:dyDescent="0.2">
      <c r="B263" s="1594" t="str">
        <f t="shared" ref="B263:D269" si="8">+B46</f>
        <v>10-50-0 o 18-46-0</v>
      </c>
      <c r="C263" s="1783">
        <f t="shared" si="8"/>
        <v>0.49</v>
      </c>
      <c r="D263" s="1798" t="str">
        <f t="shared" si="8"/>
        <v>kg</v>
      </c>
    </row>
    <row r="264" spans="2:4" hidden="1" x14ac:dyDescent="0.2">
      <c r="B264" s="1594" t="str">
        <f t="shared" si="8"/>
        <v>7-40-0 o similar</v>
      </c>
      <c r="C264" s="1783">
        <f t="shared" si="8"/>
        <v>0.42199999999999999</v>
      </c>
      <c r="D264" s="1798" t="str">
        <f t="shared" si="8"/>
        <v>kg</v>
      </c>
    </row>
    <row r="265" spans="2:4" hidden="1" x14ac:dyDescent="0.2">
      <c r="B265" s="1594" t="str">
        <f t="shared" si="8"/>
        <v>Urea</v>
      </c>
      <c r="C265" s="1783">
        <f t="shared" si="8"/>
        <v>0.4</v>
      </c>
      <c r="D265" s="1798" t="str">
        <f t="shared" si="8"/>
        <v>kg</v>
      </c>
    </row>
    <row r="266" spans="2:4" hidden="1" x14ac:dyDescent="0.2">
      <c r="B266" s="1594" t="str">
        <f t="shared" si="8"/>
        <v>0-40-40-0</v>
      </c>
      <c r="C266" s="1783">
        <f t="shared" si="8"/>
        <v>0.39</v>
      </c>
      <c r="D266" s="1798" t="str">
        <f t="shared" si="8"/>
        <v>kg</v>
      </c>
    </row>
    <row r="267" spans="2:4" hidden="1" x14ac:dyDescent="0.2">
      <c r="B267" s="1594" t="str">
        <f t="shared" si="8"/>
        <v>SuperSimple + KCL</v>
      </c>
      <c r="C267" s="1783">
        <f t="shared" si="8"/>
        <v>0.3</v>
      </c>
      <c r="D267" s="1798" t="str">
        <f t="shared" si="8"/>
        <v>kg</v>
      </c>
    </row>
    <row r="268" spans="2:4" hidden="1" x14ac:dyDescent="0.2">
      <c r="B268" s="1594">
        <f t="shared" si="8"/>
        <v>0</v>
      </c>
      <c r="C268" s="1783">
        <f t="shared" si="8"/>
        <v>0</v>
      </c>
      <c r="D268" s="1798">
        <f t="shared" si="8"/>
        <v>0</v>
      </c>
    </row>
    <row r="269" spans="2:4" hidden="1" x14ac:dyDescent="0.2">
      <c r="B269" s="1594">
        <f t="shared" si="8"/>
        <v>0</v>
      </c>
      <c r="C269" s="1783">
        <f t="shared" si="8"/>
        <v>0</v>
      </c>
      <c r="D269" s="1798">
        <f t="shared" si="8"/>
        <v>0</v>
      </c>
    </row>
    <row r="270" spans="2:4" hidden="1" x14ac:dyDescent="0.2">
      <c r="B270" s="1594" t="str">
        <f t="shared" ref="B270:D292" si="9">+B58</f>
        <v>Glifosato</v>
      </c>
      <c r="C270" s="1783">
        <f t="shared" si="9"/>
        <v>5</v>
      </c>
      <c r="D270" s="1798" t="str">
        <f t="shared" si="9"/>
        <v xml:space="preserve">litro </v>
      </c>
    </row>
    <row r="271" spans="2:4" hidden="1" x14ac:dyDescent="0.2">
      <c r="B271" s="1594" t="str">
        <f t="shared" si="9"/>
        <v>Herbicida Maíz</v>
      </c>
      <c r="C271" s="1783">
        <f t="shared" si="9"/>
        <v>30</v>
      </c>
      <c r="D271" s="1798" t="str">
        <f t="shared" si="9"/>
        <v>ha</v>
      </c>
    </row>
    <row r="272" spans="2:4" hidden="1" x14ac:dyDescent="0.2">
      <c r="B272" s="1594" t="str">
        <f t="shared" si="9"/>
        <v>Herbicida sorgo y VV</v>
      </c>
      <c r="C272" s="1783">
        <f t="shared" si="9"/>
        <v>27</v>
      </c>
      <c r="D272" s="1798" t="str">
        <f t="shared" si="9"/>
        <v>ha</v>
      </c>
    </row>
    <row r="273" spans="2:4" hidden="1" x14ac:dyDescent="0.2">
      <c r="B273" s="1594" t="str">
        <f t="shared" si="9"/>
        <v>Herbicida verdeos de inv.</v>
      </c>
      <c r="C273" s="1783">
        <f t="shared" si="9"/>
        <v>5</v>
      </c>
      <c r="D273" s="1798" t="str">
        <f t="shared" si="9"/>
        <v>ha</v>
      </c>
    </row>
    <row r="274" spans="2:4" hidden="1" x14ac:dyDescent="0.2">
      <c r="B274" s="1594" t="str">
        <f t="shared" si="9"/>
        <v>Herbicida praderas largas</v>
      </c>
      <c r="C274" s="1783">
        <f t="shared" si="9"/>
        <v>25</v>
      </c>
      <c r="D274" s="1798" t="str">
        <f t="shared" si="9"/>
        <v>ha</v>
      </c>
    </row>
    <row r="275" spans="2:4" hidden="1" x14ac:dyDescent="0.2">
      <c r="B275" s="1594" t="str">
        <f t="shared" si="9"/>
        <v>Herbicida praderas cortas</v>
      </c>
      <c r="C275" s="1783">
        <f t="shared" si="9"/>
        <v>15</v>
      </c>
      <c r="D275" s="1798" t="str">
        <f t="shared" si="9"/>
        <v>ha</v>
      </c>
    </row>
    <row r="276" spans="2:4" hidden="1" x14ac:dyDescent="0.2">
      <c r="B276" s="1594" t="str">
        <f t="shared" si="9"/>
        <v>Sanidad Soja</v>
      </c>
      <c r="C276" s="1783">
        <f t="shared" si="9"/>
        <v>35</v>
      </c>
      <c r="D276" s="1798" t="str">
        <f t="shared" si="9"/>
        <v>ha</v>
      </c>
    </row>
    <row r="277" spans="2:4" hidden="1" x14ac:dyDescent="0.2">
      <c r="B277" s="1594" t="str">
        <f t="shared" si="9"/>
        <v>Herbicida cult de invierno</v>
      </c>
      <c r="C277" s="1783">
        <f t="shared" si="9"/>
        <v>5</v>
      </c>
      <c r="D277" s="1798" t="str">
        <f t="shared" si="9"/>
        <v>ha</v>
      </c>
    </row>
    <row r="278" spans="2:4" hidden="1" x14ac:dyDescent="0.2">
      <c r="B278" s="1594" t="str">
        <f t="shared" si="9"/>
        <v>Sanidad cultivos de invierno</v>
      </c>
      <c r="C278" s="1783">
        <f t="shared" si="9"/>
        <v>30</v>
      </c>
      <c r="D278" s="1798" t="str">
        <f t="shared" si="9"/>
        <v>ha</v>
      </c>
    </row>
    <row r="279" spans="2:4" hidden="1" x14ac:dyDescent="0.2">
      <c r="B279" s="1594" t="str">
        <f t="shared" si="9"/>
        <v>Herbicida Colza Grano</v>
      </c>
      <c r="C279" s="1783">
        <f t="shared" si="9"/>
        <v>23.799999999999997</v>
      </c>
      <c r="D279" s="1798" t="str">
        <f t="shared" si="9"/>
        <v>ha</v>
      </c>
    </row>
    <row r="280" spans="2:4" hidden="1" x14ac:dyDescent="0.2">
      <c r="B280" s="1594" t="str">
        <f t="shared" si="9"/>
        <v>Isecticida + Fungicida Colza Grano</v>
      </c>
      <c r="C280" s="1783">
        <f t="shared" si="9"/>
        <v>8.6999999999999993</v>
      </c>
      <c r="D280" s="1798" t="str">
        <f t="shared" si="9"/>
        <v>ha</v>
      </c>
    </row>
    <row r="281" spans="2:4" hidden="1" x14ac:dyDescent="0.2">
      <c r="B281" s="1594">
        <f t="shared" si="9"/>
        <v>0</v>
      </c>
      <c r="C281" s="1783">
        <f t="shared" si="9"/>
        <v>0</v>
      </c>
      <c r="D281" s="1798">
        <f t="shared" si="9"/>
        <v>0</v>
      </c>
    </row>
    <row r="282" spans="2:4" hidden="1" x14ac:dyDescent="0.2">
      <c r="B282" s="1594">
        <f t="shared" si="9"/>
        <v>0</v>
      </c>
      <c r="C282" s="1783">
        <f t="shared" si="9"/>
        <v>0</v>
      </c>
      <c r="D282" s="1798">
        <f t="shared" si="9"/>
        <v>0</v>
      </c>
    </row>
    <row r="283" spans="2:4" hidden="1" x14ac:dyDescent="0.2">
      <c r="B283" s="1594">
        <f t="shared" si="9"/>
        <v>0</v>
      </c>
      <c r="C283" s="1783">
        <f t="shared" si="9"/>
        <v>0</v>
      </c>
      <c r="D283" s="1798">
        <f t="shared" si="9"/>
        <v>0</v>
      </c>
    </row>
    <row r="284" spans="2:4" hidden="1" x14ac:dyDescent="0.2">
      <c r="B284" s="1594">
        <f t="shared" si="9"/>
        <v>0</v>
      </c>
      <c r="C284" s="1783">
        <f t="shared" si="9"/>
        <v>0</v>
      </c>
      <c r="D284" s="1798">
        <f t="shared" si="9"/>
        <v>0</v>
      </c>
    </row>
    <row r="285" spans="2:4" hidden="1" x14ac:dyDescent="0.2">
      <c r="B285" s="1594">
        <f t="shared" si="9"/>
        <v>0</v>
      </c>
      <c r="C285" s="1783">
        <f t="shared" si="9"/>
        <v>0</v>
      </c>
      <c r="D285" s="1798">
        <f t="shared" si="9"/>
        <v>0</v>
      </c>
    </row>
    <row r="286" spans="2:4" hidden="1" x14ac:dyDescent="0.2">
      <c r="B286" s="1594">
        <f t="shared" si="9"/>
        <v>0</v>
      </c>
      <c r="C286" s="1783">
        <f t="shared" si="9"/>
        <v>0</v>
      </c>
      <c r="D286" s="1798">
        <f t="shared" si="9"/>
        <v>0</v>
      </c>
    </row>
    <row r="287" spans="2:4" hidden="1" x14ac:dyDescent="0.2">
      <c r="B287" s="1594">
        <f t="shared" si="9"/>
        <v>0</v>
      </c>
      <c r="C287" s="1783">
        <f t="shared" si="9"/>
        <v>0</v>
      </c>
      <c r="D287" s="1798">
        <f t="shared" si="9"/>
        <v>0</v>
      </c>
    </row>
    <row r="288" spans="2:4" hidden="1" x14ac:dyDescent="0.2">
      <c r="B288" s="1594">
        <f t="shared" si="9"/>
        <v>0</v>
      </c>
      <c r="C288" s="1783">
        <f t="shared" si="9"/>
        <v>0</v>
      </c>
      <c r="D288" s="1798">
        <f t="shared" si="9"/>
        <v>0</v>
      </c>
    </row>
    <row r="289" spans="2:4" hidden="1" x14ac:dyDescent="0.2">
      <c r="B289" s="1594">
        <f t="shared" si="9"/>
        <v>0</v>
      </c>
      <c r="C289" s="1783">
        <f t="shared" si="9"/>
        <v>0</v>
      </c>
      <c r="D289" s="1798">
        <f t="shared" si="9"/>
        <v>0</v>
      </c>
    </row>
    <row r="290" spans="2:4" hidden="1" x14ac:dyDescent="0.2">
      <c r="B290" s="1594">
        <f t="shared" si="9"/>
        <v>0</v>
      </c>
      <c r="C290" s="1783">
        <f t="shared" si="9"/>
        <v>0</v>
      </c>
      <c r="D290" s="1798">
        <f t="shared" si="9"/>
        <v>0</v>
      </c>
    </row>
    <row r="291" spans="2:4" hidden="1" x14ac:dyDescent="0.2">
      <c r="B291" s="1594">
        <f t="shared" si="9"/>
        <v>0</v>
      </c>
      <c r="C291" s="1783">
        <f t="shared" si="9"/>
        <v>0</v>
      </c>
      <c r="D291" s="1798">
        <f t="shared" si="9"/>
        <v>0</v>
      </c>
    </row>
    <row r="292" spans="2:4" hidden="1" x14ac:dyDescent="0.2">
      <c r="B292" s="1594">
        <f t="shared" si="9"/>
        <v>0</v>
      </c>
      <c r="C292" s="1783">
        <f t="shared" si="9"/>
        <v>0</v>
      </c>
      <c r="D292" s="1798">
        <f t="shared" si="9"/>
        <v>0</v>
      </c>
    </row>
    <row r="293" spans="2:4" hidden="1" x14ac:dyDescent="0.2">
      <c r="B293" s="1665" t="str">
        <f t="shared" ref="B293:B306" si="10">H87</f>
        <v>Cosechar cultivos de invierno contratada</v>
      </c>
      <c r="C293" s="1783">
        <f t="shared" ref="C293:C306" si="11">I87</f>
        <v>0</v>
      </c>
      <c r="D293" s="1797" t="str">
        <f t="shared" ref="D293:D306" si="12">J87</f>
        <v>ha</v>
      </c>
    </row>
    <row r="294" spans="2:4" hidden="1" x14ac:dyDescent="0.2">
      <c r="B294" s="1665" t="str">
        <f t="shared" si="10"/>
        <v>Cosechar cultivos de verano contratada</v>
      </c>
      <c r="C294" s="1783">
        <f t="shared" si="11"/>
        <v>55</v>
      </c>
      <c r="D294" s="1797" t="str">
        <f t="shared" si="12"/>
        <v>ha</v>
      </c>
    </row>
    <row r="295" spans="2:4" hidden="1" x14ac:dyDescent="0.2">
      <c r="B295" s="1665" t="str">
        <f t="shared" si="10"/>
        <v>Cosechar cultivos de invierno propia</v>
      </c>
      <c r="C295" s="1783">
        <f t="shared" si="11"/>
        <v>0</v>
      </c>
      <c r="D295" s="1797" t="str">
        <f t="shared" si="12"/>
        <v>ha</v>
      </c>
    </row>
    <row r="296" spans="2:4" hidden="1" x14ac:dyDescent="0.2">
      <c r="B296" s="1665" t="str">
        <f t="shared" si="10"/>
        <v>Cosechar cultivos de verano propia</v>
      </c>
      <c r="C296" s="1783">
        <f t="shared" si="11"/>
        <v>0</v>
      </c>
      <c r="D296" s="1797" t="str">
        <f t="shared" si="12"/>
        <v>ha</v>
      </c>
    </row>
    <row r="297" spans="2:4" hidden="1" x14ac:dyDescent="0.2">
      <c r="B297" s="1665" t="str">
        <f t="shared" si="10"/>
        <v>Cosechar maíz</v>
      </c>
      <c r="C297" s="1783">
        <f t="shared" si="11"/>
        <v>70</v>
      </c>
      <c r="D297" s="1797" t="str">
        <f t="shared" si="12"/>
        <v>ha</v>
      </c>
    </row>
    <row r="298" spans="2:4" hidden="1" x14ac:dyDescent="0.2">
      <c r="B298" s="1665" t="str">
        <f t="shared" si="10"/>
        <v xml:space="preserve">Cosecha + hilerado </v>
      </c>
      <c r="C298" s="1783">
        <f t="shared" si="11"/>
        <v>98.6</v>
      </c>
      <c r="D298" s="1797" t="str">
        <f t="shared" si="12"/>
        <v>ha</v>
      </c>
    </row>
    <row r="299" spans="2:4" hidden="1" x14ac:dyDescent="0.2">
      <c r="B299" s="1665" t="str">
        <f t="shared" si="10"/>
        <v>Embolsar grano U$D/t (incluye materiales)</v>
      </c>
      <c r="C299" s="1783">
        <f t="shared" si="11"/>
        <v>14</v>
      </c>
      <c r="D299" s="1797" t="str">
        <f t="shared" si="12"/>
        <v xml:space="preserve">ton </v>
      </c>
    </row>
    <row r="300" spans="2:4" hidden="1" x14ac:dyDescent="0.2">
      <c r="B300" s="1665" t="str">
        <f t="shared" si="10"/>
        <v>Cosechar semillero de leguminosa</v>
      </c>
      <c r="C300" s="1783">
        <f t="shared" si="11"/>
        <v>60</v>
      </c>
      <c r="D300" s="1797" t="str">
        <f t="shared" si="12"/>
        <v>ha</v>
      </c>
    </row>
    <row r="301" spans="2:4" hidden="1" x14ac:dyDescent="0.2">
      <c r="B301" s="1665" t="str">
        <f t="shared" si="10"/>
        <v>Cosechar semillero de gramínea</v>
      </c>
      <c r="C301" s="1783">
        <f t="shared" si="11"/>
        <v>60</v>
      </c>
      <c r="D301" s="1797" t="str">
        <f t="shared" si="12"/>
        <v>ha</v>
      </c>
    </row>
    <row r="302" spans="2:4" hidden="1" x14ac:dyDescent="0.2">
      <c r="B302" s="1665" t="str">
        <f t="shared" si="10"/>
        <v>Ensilar Silo de Maíz</v>
      </c>
      <c r="C302" s="1783">
        <f t="shared" si="11"/>
        <v>418</v>
      </c>
      <c r="D302" s="1797" t="str">
        <f t="shared" si="12"/>
        <v>ha</v>
      </c>
    </row>
    <row r="303" spans="2:4" hidden="1" x14ac:dyDescent="0.2">
      <c r="B303" s="1665" t="str">
        <f t="shared" si="10"/>
        <v>Enfardar</v>
      </c>
      <c r="C303" s="1783">
        <f t="shared" si="11"/>
        <v>2.9888888888888889</v>
      </c>
      <c r="D303" s="1797" t="str">
        <f t="shared" si="12"/>
        <v>fardo</v>
      </c>
    </row>
    <row r="304" spans="2:4" hidden="1" x14ac:dyDescent="0.2">
      <c r="B304" s="1665" t="str">
        <f t="shared" si="10"/>
        <v>Ensilar Verdeos de Invierno / Praderas</v>
      </c>
      <c r="C304" s="1783">
        <f t="shared" si="11"/>
        <v>400</v>
      </c>
      <c r="D304" s="1797" t="str">
        <f t="shared" si="12"/>
        <v>ha</v>
      </c>
    </row>
    <row r="305" spans="1:11" hidden="1" x14ac:dyDescent="0.2">
      <c r="B305" s="1665">
        <f t="shared" si="10"/>
        <v>0</v>
      </c>
      <c r="C305" s="1783">
        <f t="shared" si="11"/>
        <v>0</v>
      </c>
      <c r="D305" s="1797">
        <f t="shared" si="12"/>
        <v>0</v>
      </c>
    </row>
    <row r="306" spans="1:11" hidden="1" x14ac:dyDescent="0.2">
      <c r="B306" s="1665">
        <f t="shared" si="10"/>
        <v>0</v>
      </c>
      <c r="C306" s="1783">
        <f t="shared" si="11"/>
        <v>0</v>
      </c>
      <c r="D306" s="1797">
        <f t="shared" si="12"/>
        <v>0</v>
      </c>
    </row>
    <row r="307" spans="1:11" ht="15.05" hidden="1" thickBot="1" x14ac:dyDescent="0.25">
      <c r="B307" s="1666">
        <f>H102</f>
        <v>0</v>
      </c>
      <c r="C307" s="1799">
        <f>I102</f>
        <v>0</v>
      </c>
      <c r="D307" s="1800">
        <f>J102</f>
        <v>0</v>
      </c>
    </row>
    <row r="308" spans="1:11" ht="15.05" hidden="1" thickTop="1" x14ac:dyDescent="0.2">
      <c r="B308" s="1639"/>
      <c r="C308" s="1783"/>
      <c r="D308" s="877"/>
    </row>
    <row r="309" spans="1:11" hidden="1" x14ac:dyDescent="0.2">
      <c r="A309" s="2188">
        <v>1004</v>
      </c>
      <c r="B309" s="2174" t="s">
        <v>2032</v>
      </c>
      <c r="C309" s="2176"/>
      <c r="D309" s="2177"/>
      <c r="E309" s="1663"/>
      <c r="F309" s="1663"/>
      <c r="G309" s="1663"/>
      <c r="H309" s="1663"/>
      <c r="I309" s="1663"/>
      <c r="J309" s="1663"/>
      <c r="K309" s="1663"/>
    </row>
    <row r="310" spans="1:11" hidden="1" x14ac:dyDescent="0.2">
      <c r="D310" s="1321" t="s">
        <v>1929</v>
      </c>
      <c r="G310" s="1321" t="s">
        <v>997</v>
      </c>
      <c r="H310" s="1321"/>
    </row>
    <row r="311" spans="1:11" hidden="1" x14ac:dyDescent="0.2">
      <c r="B311" s="232"/>
      <c r="C311" s="1801" t="str">
        <f>+C7</f>
        <v>Precio</v>
      </c>
      <c r="D311" s="951" t="str">
        <f>+E7</f>
        <v>Existencia</v>
      </c>
      <c r="E311" s="951" t="str">
        <f>+F7</f>
        <v>Necesidades</v>
      </c>
      <c r="F311" s="951" t="str">
        <f>+G7</f>
        <v>Compra</v>
      </c>
      <c r="G311" s="951" t="s">
        <v>1928</v>
      </c>
    </row>
    <row r="312" spans="1:11" hidden="1" x14ac:dyDescent="0.2">
      <c r="B312" s="1282" t="str">
        <f t="shared" ref="B312:C343" si="13">+B9</f>
        <v xml:space="preserve">Sudan </v>
      </c>
      <c r="C312" s="1802">
        <f t="shared" si="13"/>
        <v>2.5</v>
      </c>
      <c r="D312" s="720">
        <f t="shared" ref="D312:F343" si="14">+E9</f>
        <v>0</v>
      </c>
      <c r="E312" s="720">
        <f t="shared" si="14"/>
        <v>0</v>
      </c>
      <c r="F312" s="720">
        <f t="shared" si="14"/>
        <v>0</v>
      </c>
      <c r="G312" s="720">
        <f>+D312-E312+F312</f>
        <v>0</v>
      </c>
      <c r="H312" s="720"/>
    </row>
    <row r="313" spans="1:11" hidden="1" x14ac:dyDescent="0.2">
      <c r="B313" s="1282" t="str">
        <f t="shared" si="13"/>
        <v>Sorgo forrajero</v>
      </c>
      <c r="C313" s="1802">
        <f t="shared" si="13"/>
        <v>3</v>
      </c>
      <c r="D313" s="720">
        <f t="shared" si="14"/>
        <v>0</v>
      </c>
      <c r="E313" s="720">
        <f t="shared" si="14"/>
        <v>0</v>
      </c>
      <c r="F313" s="720">
        <f t="shared" si="14"/>
        <v>0</v>
      </c>
      <c r="G313" s="720">
        <f t="shared" ref="G313:G373" si="15">+D313-E313+F313</f>
        <v>0</v>
      </c>
      <c r="H313" s="720"/>
    </row>
    <row r="314" spans="1:11" hidden="1" x14ac:dyDescent="0.2">
      <c r="B314" s="1282" t="str">
        <f t="shared" si="13"/>
        <v>Maíz silo+imidacloprid</v>
      </c>
      <c r="C314" s="1802">
        <f t="shared" si="13"/>
        <v>200</v>
      </c>
      <c r="D314" s="720">
        <f t="shared" si="14"/>
        <v>0</v>
      </c>
      <c r="E314" s="720">
        <f t="shared" si="14"/>
        <v>0</v>
      </c>
      <c r="F314" s="720">
        <f t="shared" si="14"/>
        <v>0</v>
      </c>
      <c r="G314" s="720">
        <f t="shared" si="15"/>
        <v>0</v>
      </c>
      <c r="H314" s="720"/>
    </row>
    <row r="315" spans="1:11" hidden="1" x14ac:dyDescent="0.2">
      <c r="B315" s="1282" t="str">
        <f t="shared" si="13"/>
        <v>Sorgo grano-silo</v>
      </c>
      <c r="C315" s="1802">
        <f t="shared" si="13"/>
        <v>5.12</v>
      </c>
      <c r="D315" s="720">
        <f t="shared" si="14"/>
        <v>0</v>
      </c>
      <c r="E315" s="720">
        <f t="shared" si="14"/>
        <v>0</v>
      </c>
      <c r="F315" s="720">
        <f t="shared" si="14"/>
        <v>0</v>
      </c>
      <c r="G315" s="720">
        <f t="shared" si="15"/>
        <v>0</v>
      </c>
      <c r="H315" s="720"/>
    </row>
    <row r="316" spans="1:11" hidden="1" x14ac:dyDescent="0.2">
      <c r="B316" s="1282" t="str">
        <f t="shared" si="13"/>
        <v>Moha</v>
      </c>
      <c r="C316" s="1802">
        <f t="shared" si="13"/>
        <v>1.8</v>
      </c>
      <c r="D316" s="720">
        <f t="shared" si="14"/>
        <v>0</v>
      </c>
      <c r="E316" s="720">
        <f t="shared" si="14"/>
        <v>0</v>
      </c>
      <c r="F316" s="720">
        <f t="shared" si="14"/>
        <v>0</v>
      </c>
      <c r="G316" s="720">
        <f t="shared" si="15"/>
        <v>0</v>
      </c>
      <c r="H316" s="720"/>
    </row>
    <row r="317" spans="1:11" hidden="1" x14ac:dyDescent="0.2">
      <c r="B317" s="1282" t="str">
        <f t="shared" si="13"/>
        <v>Colza (hibrido) - variedad (7 U$S)</v>
      </c>
      <c r="C317" s="1802">
        <f t="shared" si="13"/>
        <v>12</v>
      </c>
      <c r="D317" s="720">
        <f t="shared" si="14"/>
        <v>0</v>
      </c>
      <c r="E317" s="720">
        <f t="shared" si="14"/>
        <v>0</v>
      </c>
      <c r="F317" s="720">
        <f t="shared" si="14"/>
        <v>0</v>
      </c>
      <c r="G317" s="720">
        <f t="shared" si="15"/>
        <v>0</v>
      </c>
      <c r="H317" s="720"/>
    </row>
    <row r="318" spans="1:11" hidden="1" x14ac:dyDescent="0.2">
      <c r="B318" s="1282" t="str">
        <f t="shared" si="13"/>
        <v>Semilla de soja curada e inoculada</v>
      </c>
      <c r="C318" s="1802">
        <f t="shared" si="13"/>
        <v>1.2</v>
      </c>
      <c r="D318" s="720">
        <f t="shared" si="14"/>
        <v>0</v>
      </c>
      <c r="E318" s="720">
        <f t="shared" si="14"/>
        <v>0</v>
      </c>
      <c r="F318" s="720">
        <f t="shared" si="14"/>
        <v>0</v>
      </c>
      <c r="G318" s="720">
        <f t="shared" si="15"/>
        <v>0</v>
      </c>
      <c r="H318" s="720"/>
    </row>
    <row r="319" spans="1:11" hidden="1" x14ac:dyDescent="0.2">
      <c r="B319" s="1282">
        <f t="shared" si="13"/>
        <v>0</v>
      </c>
      <c r="C319" s="1802">
        <f t="shared" si="13"/>
        <v>0</v>
      </c>
      <c r="D319" s="720">
        <f t="shared" si="14"/>
        <v>0</v>
      </c>
      <c r="E319" s="720">
        <f t="shared" si="14"/>
        <v>0</v>
      </c>
      <c r="F319" s="720">
        <f t="shared" si="14"/>
        <v>0</v>
      </c>
      <c r="G319" s="720">
        <f t="shared" si="15"/>
        <v>0</v>
      </c>
      <c r="H319" s="720"/>
    </row>
    <row r="320" spans="1:11" hidden="1" x14ac:dyDescent="0.2">
      <c r="B320" s="1282" t="str">
        <f t="shared" si="13"/>
        <v>Trigo</v>
      </c>
      <c r="C320" s="1802">
        <f t="shared" si="13"/>
        <v>0.6</v>
      </c>
      <c r="D320" s="720">
        <f t="shared" si="14"/>
        <v>0</v>
      </c>
      <c r="E320" s="720">
        <f t="shared" si="14"/>
        <v>0</v>
      </c>
      <c r="F320" s="720">
        <f t="shared" si="14"/>
        <v>0</v>
      </c>
      <c r="G320" s="720">
        <f t="shared" si="15"/>
        <v>0</v>
      </c>
      <c r="H320" s="720"/>
    </row>
    <row r="321" spans="2:8" hidden="1" x14ac:dyDescent="0.2">
      <c r="B321" s="1282" t="str">
        <f t="shared" si="13"/>
        <v>Raigrás</v>
      </c>
      <c r="C321" s="1802">
        <f t="shared" si="13"/>
        <v>2</v>
      </c>
      <c r="D321" s="720">
        <f t="shared" si="14"/>
        <v>0</v>
      </c>
      <c r="E321" s="720">
        <f t="shared" si="14"/>
        <v>0</v>
      </c>
      <c r="F321" s="720">
        <f t="shared" si="14"/>
        <v>0</v>
      </c>
      <c r="G321" s="720">
        <f t="shared" si="15"/>
        <v>0</v>
      </c>
      <c r="H321" s="720"/>
    </row>
    <row r="322" spans="2:8" hidden="1" x14ac:dyDescent="0.2">
      <c r="B322" s="1282" t="str">
        <f t="shared" si="13"/>
        <v>Avena</v>
      </c>
      <c r="C322" s="1802">
        <f t="shared" si="13"/>
        <v>0.4</v>
      </c>
      <c r="D322" s="720">
        <f t="shared" si="14"/>
        <v>0</v>
      </c>
      <c r="E322" s="720">
        <f t="shared" si="14"/>
        <v>0</v>
      </c>
      <c r="F322" s="720">
        <f t="shared" si="14"/>
        <v>0</v>
      </c>
      <c r="G322" s="720">
        <f t="shared" si="15"/>
        <v>0</v>
      </c>
      <c r="H322" s="720"/>
    </row>
    <row r="323" spans="2:8" hidden="1" x14ac:dyDescent="0.2">
      <c r="B323" s="1282">
        <f t="shared" si="13"/>
        <v>0</v>
      </c>
      <c r="C323" s="1802">
        <f t="shared" si="13"/>
        <v>0</v>
      </c>
      <c r="D323" s="720">
        <f t="shared" si="14"/>
        <v>0</v>
      </c>
      <c r="E323" s="720">
        <f t="shared" si="14"/>
        <v>0</v>
      </c>
      <c r="F323" s="720">
        <f t="shared" si="14"/>
        <v>0</v>
      </c>
      <c r="G323" s="720">
        <f t="shared" si="15"/>
        <v>0</v>
      </c>
      <c r="H323" s="720"/>
    </row>
    <row r="324" spans="2:8" hidden="1" x14ac:dyDescent="0.2">
      <c r="B324" s="1282">
        <f t="shared" si="13"/>
        <v>0</v>
      </c>
      <c r="C324" s="1802">
        <f t="shared" si="13"/>
        <v>0</v>
      </c>
      <c r="D324" s="720">
        <f t="shared" si="14"/>
        <v>0</v>
      </c>
      <c r="E324" s="720">
        <f t="shared" si="14"/>
        <v>0</v>
      </c>
      <c r="F324" s="720">
        <f t="shared" si="14"/>
        <v>0</v>
      </c>
      <c r="G324" s="720">
        <f t="shared" si="15"/>
        <v>0</v>
      </c>
      <c r="H324" s="720"/>
    </row>
    <row r="325" spans="2:8" hidden="1" x14ac:dyDescent="0.2">
      <c r="B325" s="1282" t="str">
        <f t="shared" si="13"/>
        <v>Semilla PP1 (dac+ AA)</v>
      </c>
      <c r="C325" s="1802">
        <f t="shared" si="13"/>
        <v>7.5</v>
      </c>
      <c r="D325" s="720">
        <f t="shared" si="14"/>
        <v>0</v>
      </c>
      <c r="E325" s="720">
        <f t="shared" si="14"/>
        <v>0</v>
      </c>
      <c r="F325" s="720">
        <f t="shared" si="14"/>
        <v>0</v>
      </c>
      <c r="G325" s="720">
        <f t="shared" si="15"/>
        <v>0</v>
      </c>
      <c r="H325" s="720"/>
    </row>
    <row r="326" spans="2:8" hidden="1" x14ac:dyDescent="0.2">
      <c r="B326" s="1282" t="str">
        <f t="shared" si="13"/>
        <v>Alfalfa</v>
      </c>
      <c r="C326" s="1802">
        <f t="shared" si="13"/>
        <v>5.5</v>
      </c>
      <c r="D326" s="720">
        <f t="shared" si="14"/>
        <v>0</v>
      </c>
      <c r="E326" s="720">
        <f t="shared" si="14"/>
        <v>0</v>
      </c>
      <c r="F326" s="720">
        <f t="shared" si="14"/>
        <v>0</v>
      </c>
      <c r="G326" s="720">
        <f t="shared" si="15"/>
        <v>0</v>
      </c>
      <c r="H326" s="720"/>
    </row>
    <row r="327" spans="2:8" hidden="1" x14ac:dyDescent="0.2">
      <c r="B327" s="1282" t="str">
        <f t="shared" si="13"/>
        <v>Semilla de TR1 (Rg+TR+Ach)</v>
      </c>
      <c r="C327" s="1802">
        <f t="shared" si="13"/>
        <v>5</v>
      </c>
      <c r="D327" s="720">
        <f t="shared" si="14"/>
        <v>0</v>
      </c>
      <c r="E327" s="720">
        <f t="shared" si="14"/>
        <v>0</v>
      </c>
      <c r="F327" s="720">
        <f t="shared" si="14"/>
        <v>0</v>
      </c>
      <c r="G327" s="720">
        <f t="shared" si="15"/>
        <v>0</v>
      </c>
      <c r="H327" s="720"/>
    </row>
    <row r="328" spans="2:8" hidden="1" x14ac:dyDescent="0.2">
      <c r="B328" s="1282">
        <f t="shared" si="13"/>
        <v>0</v>
      </c>
      <c r="C328" s="1802">
        <f t="shared" si="13"/>
        <v>0</v>
      </c>
      <c r="D328" s="720">
        <f t="shared" si="14"/>
        <v>0</v>
      </c>
      <c r="E328" s="720">
        <f t="shared" si="14"/>
        <v>0</v>
      </c>
      <c r="F328" s="720">
        <f t="shared" si="14"/>
        <v>0</v>
      </c>
      <c r="G328" s="720">
        <f t="shared" si="15"/>
        <v>0</v>
      </c>
      <c r="H328" s="720"/>
    </row>
    <row r="329" spans="2:8" hidden="1" x14ac:dyDescent="0.2">
      <c r="B329" s="1282">
        <f t="shared" si="13"/>
        <v>0</v>
      </c>
      <c r="C329" s="1802">
        <f t="shared" si="13"/>
        <v>0</v>
      </c>
      <c r="D329" s="720">
        <f t="shared" si="14"/>
        <v>0</v>
      </c>
      <c r="E329" s="720">
        <f t="shared" si="14"/>
        <v>0</v>
      </c>
      <c r="F329" s="720">
        <f t="shared" si="14"/>
        <v>0</v>
      </c>
      <c r="G329" s="720">
        <f t="shared" si="15"/>
        <v>0</v>
      </c>
      <c r="H329" s="720"/>
    </row>
    <row r="330" spans="2:8" hidden="1" x14ac:dyDescent="0.2">
      <c r="B330" s="1282">
        <f t="shared" si="13"/>
        <v>0</v>
      </c>
      <c r="C330" s="1802">
        <f t="shared" si="13"/>
        <v>0</v>
      </c>
      <c r="D330" s="720">
        <f t="shared" si="14"/>
        <v>0</v>
      </c>
      <c r="E330" s="720">
        <f t="shared" si="14"/>
        <v>0</v>
      </c>
      <c r="F330" s="720">
        <f t="shared" si="14"/>
        <v>0</v>
      </c>
      <c r="G330" s="720">
        <f t="shared" si="15"/>
        <v>0</v>
      </c>
      <c r="H330" s="720"/>
    </row>
    <row r="331" spans="2:8" hidden="1" x14ac:dyDescent="0.2">
      <c r="B331" s="1282">
        <f t="shared" si="13"/>
        <v>0</v>
      </c>
      <c r="C331" s="1802">
        <f t="shared" si="13"/>
        <v>0</v>
      </c>
      <c r="D331" s="720">
        <f t="shared" si="14"/>
        <v>0</v>
      </c>
      <c r="E331" s="720">
        <f t="shared" si="14"/>
        <v>0</v>
      </c>
      <c r="F331" s="720">
        <f t="shared" si="14"/>
        <v>0</v>
      </c>
      <c r="G331" s="720">
        <f t="shared" si="15"/>
        <v>0</v>
      </c>
      <c r="H331" s="720"/>
    </row>
    <row r="332" spans="2:8" hidden="1" x14ac:dyDescent="0.2">
      <c r="B332" s="1282">
        <f t="shared" si="13"/>
        <v>0</v>
      </c>
      <c r="C332" s="1802">
        <f t="shared" si="13"/>
        <v>0</v>
      </c>
      <c r="D332" s="720">
        <f t="shared" si="14"/>
        <v>0</v>
      </c>
      <c r="E332" s="720">
        <f t="shared" si="14"/>
        <v>0</v>
      </c>
      <c r="F332" s="720">
        <f t="shared" si="14"/>
        <v>0</v>
      </c>
      <c r="G332" s="720">
        <f t="shared" si="15"/>
        <v>0</v>
      </c>
      <c r="H332" s="720"/>
    </row>
    <row r="333" spans="2:8" hidden="1" x14ac:dyDescent="0.2">
      <c r="B333" s="1282">
        <f t="shared" si="13"/>
        <v>0</v>
      </c>
      <c r="C333" s="1802">
        <f t="shared" si="13"/>
        <v>0</v>
      </c>
      <c r="D333" s="720">
        <f t="shared" si="14"/>
        <v>0</v>
      </c>
      <c r="E333" s="720">
        <f t="shared" si="14"/>
        <v>0</v>
      </c>
      <c r="F333" s="720">
        <f t="shared" si="14"/>
        <v>0</v>
      </c>
      <c r="G333" s="720">
        <f t="shared" si="15"/>
        <v>0</v>
      </c>
      <c r="H333" s="720"/>
    </row>
    <row r="334" spans="2:8" hidden="1" x14ac:dyDescent="0.2">
      <c r="B334" s="1282">
        <f t="shared" si="13"/>
        <v>0</v>
      </c>
      <c r="C334" s="1802">
        <f t="shared" si="13"/>
        <v>0</v>
      </c>
      <c r="D334" s="720">
        <f t="shared" si="14"/>
        <v>0</v>
      </c>
      <c r="E334" s="720">
        <f t="shared" si="14"/>
        <v>0</v>
      </c>
      <c r="F334" s="720">
        <f t="shared" si="14"/>
        <v>0</v>
      </c>
      <c r="G334" s="720">
        <f t="shared" si="15"/>
        <v>0</v>
      </c>
      <c r="H334" s="720"/>
    </row>
    <row r="335" spans="2:8" hidden="1" x14ac:dyDescent="0.2">
      <c r="B335" s="1282">
        <f t="shared" si="13"/>
        <v>0</v>
      </c>
      <c r="C335" s="1802">
        <f t="shared" si="13"/>
        <v>0</v>
      </c>
      <c r="D335" s="720">
        <f t="shared" si="14"/>
        <v>0</v>
      </c>
      <c r="E335" s="720">
        <f t="shared" si="14"/>
        <v>0</v>
      </c>
      <c r="F335" s="720">
        <f t="shared" si="14"/>
        <v>0</v>
      </c>
      <c r="G335" s="720">
        <f t="shared" si="15"/>
        <v>0</v>
      </c>
      <c r="H335" s="720"/>
    </row>
    <row r="336" spans="2:8" hidden="1" x14ac:dyDescent="0.2">
      <c r="B336" s="1282">
        <f t="shared" si="13"/>
        <v>0</v>
      </c>
      <c r="C336" s="1802">
        <f t="shared" si="13"/>
        <v>0</v>
      </c>
      <c r="D336" s="720">
        <f t="shared" si="14"/>
        <v>0</v>
      </c>
      <c r="E336" s="720">
        <f t="shared" si="14"/>
        <v>0</v>
      </c>
      <c r="F336" s="720">
        <f t="shared" si="14"/>
        <v>0</v>
      </c>
      <c r="G336" s="720">
        <f t="shared" si="15"/>
        <v>0</v>
      </c>
      <c r="H336" s="720"/>
    </row>
    <row r="337" spans="2:8" hidden="1" x14ac:dyDescent="0.2">
      <c r="B337" s="1282">
        <f t="shared" si="13"/>
        <v>0</v>
      </c>
      <c r="C337" s="1802">
        <f t="shared" si="13"/>
        <v>0</v>
      </c>
      <c r="D337" s="720">
        <f t="shared" si="14"/>
        <v>0</v>
      </c>
      <c r="E337" s="720">
        <f t="shared" si="14"/>
        <v>0</v>
      </c>
      <c r="F337" s="720">
        <f t="shared" si="14"/>
        <v>0</v>
      </c>
      <c r="G337" s="720">
        <f t="shared" si="15"/>
        <v>0</v>
      </c>
      <c r="H337" s="720"/>
    </row>
    <row r="338" spans="2:8" hidden="1" x14ac:dyDescent="0.2">
      <c r="B338" s="1282">
        <f t="shared" si="13"/>
        <v>0</v>
      </c>
      <c r="C338" s="1802">
        <f t="shared" si="13"/>
        <v>0</v>
      </c>
      <c r="D338" s="720">
        <f t="shared" si="14"/>
        <v>0</v>
      </c>
      <c r="E338" s="720">
        <f t="shared" si="14"/>
        <v>0</v>
      </c>
      <c r="F338" s="720">
        <f t="shared" si="14"/>
        <v>0</v>
      </c>
      <c r="G338" s="720">
        <f t="shared" si="15"/>
        <v>0</v>
      </c>
      <c r="H338" s="720"/>
    </row>
    <row r="339" spans="2:8" hidden="1" x14ac:dyDescent="0.2">
      <c r="B339" s="1282">
        <f t="shared" si="13"/>
        <v>0</v>
      </c>
      <c r="C339" s="1802">
        <f t="shared" si="13"/>
        <v>0</v>
      </c>
      <c r="D339" s="720">
        <f t="shared" si="14"/>
        <v>0</v>
      </c>
      <c r="E339" s="720">
        <f t="shared" si="14"/>
        <v>0</v>
      </c>
      <c r="F339" s="720">
        <f t="shared" si="14"/>
        <v>0</v>
      </c>
      <c r="G339" s="720">
        <f t="shared" si="15"/>
        <v>0</v>
      </c>
      <c r="H339" s="720"/>
    </row>
    <row r="340" spans="2:8" hidden="1" x14ac:dyDescent="0.2">
      <c r="B340" s="1282">
        <f t="shared" si="13"/>
        <v>0</v>
      </c>
      <c r="C340" s="1802">
        <f t="shared" si="13"/>
        <v>0</v>
      </c>
      <c r="D340" s="720">
        <f t="shared" si="14"/>
        <v>0</v>
      </c>
      <c r="E340" s="720">
        <f t="shared" si="14"/>
        <v>0</v>
      </c>
      <c r="F340" s="720">
        <f t="shared" si="14"/>
        <v>0</v>
      </c>
      <c r="G340" s="720">
        <f t="shared" si="15"/>
        <v>0</v>
      </c>
      <c r="H340" s="720"/>
    </row>
    <row r="341" spans="2:8" hidden="1" x14ac:dyDescent="0.2">
      <c r="B341" s="1282">
        <f t="shared" si="13"/>
        <v>0</v>
      </c>
      <c r="C341" s="1802">
        <f t="shared" si="13"/>
        <v>0</v>
      </c>
      <c r="D341" s="720">
        <f t="shared" si="14"/>
        <v>0</v>
      </c>
      <c r="E341" s="720">
        <f t="shared" si="14"/>
        <v>0</v>
      </c>
      <c r="F341" s="720">
        <f t="shared" si="14"/>
        <v>0</v>
      </c>
      <c r="G341" s="720">
        <f t="shared" si="15"/>
        <v>0</v>
      </c>
      <c r="H341" s="720"/>
    </row>
    <row r="342" spans="2:8" hidden="1" x14ac:dyDescent="0.2">
      <c r="B342" s="1282">
        <f t="shared" si="13"/>
        <v>0</v>
      </c>
      <c r="C342" s="1802">
        <f t="shared" si="13"/>
        <v>0</v>
      </c>
      <c r="D342" s="720">
        <f t="shared" si="14"/>
        <v>0</v>
      </c>
      <c r="E342" s="720">
        <f t="shared" si="14"/>
        <v>0</v>
      </c>
      <c r="F342" s="720">
        <f t="shared" si="14"/>
        <v>0</v>
      </c>
      <c r="G342" s="720">
        <f t="shared" si="15"/>
        <v>0</v>
      </c>
      <c r="H342" s="720"/>
    </row>
    <row r="343" spans="2:8" hidden="1" x14ac:dyDescent="0.2">
      <c r="B343" s="1282">
        <f t="shared" si="13"/>
        <v>0</v>
      </c>
      <c r="C343" s="1802">
        <f t="shared" si="13"/>
        <v>0</v>
      </c>
      <c r="D343" s="720">
        <f t="shared" si="14"/>
        <v>0</v>
      </c>
      <c r="E343" s="720">
        <f t="shared" si="14"/>
        <v>0</v>
      </c>
      <c r="F343" s="720">
        <f t="shared" si="14"/>
        <v>0</v>
      </c>
      <c r="G343" s="720">
        <f t="shared" si="15"/>
        <v>0</v>
      </c>
      <c r="H343" s="720"/>
    </row>
    <row r="344" spans="2:8" hidden="1" x14ac:dyDescent="0.2">
      <c r="B344" s="1282" t="str">
        <f t="shared" ref="B344:C350" si="16">+B46</f>
        <v>10-50-0 o 18-46-0</v>
      </c>
      <c r="C344" s="1802">
        <f t="shared" si="16"/>
        <v>0.49</v>
      </c>
      <c r="D344" s="720">
        <f t="shared" ref="D344:F350" si="17">+E46</f>
        <v>0</v>
      </c>
      <c r="E344" s="720">
        <f t="shared" si="17"/>
        <v>0</v>
      </c>
      <c r="F344" s="720">
        <f t="shared" si="17"/>
        <v>0</v>
      </c>
      <c r="G344" s="720">
        <f t="shared" si="15"/>
        <v>0</v>
      </c>
      <c r="H344" s="720"/>
    </row>
    <row r="345" spans="2:8" hidden="1" x14ac:dyDescent="0.2">
      <c r="B345" s="1282" t="str">
        <f t="shared" si="16"/>
        <v>7-40-0 o similar</v>
      </c>
      <c r="C345" s="1802">
        <f t="shared" si="16"/>
        <v>0.42199999999999999</v>
      </c>
      <c r="D345" s="720">
        <f t="shared" si="17"/>
        <v>0</v>
      </c>
      <c r="E345" s="720">
        <f t="shared" si="17"/>
        <v>0</v>
      </c>
      <c r="F345" s="720">
        <f t="shared" si="17"/>
        <v>0</v>
      </c>
      <c r="G345" s="720">
        <f t="shared" si="15"/>
        <v>0</v>
      </c>
      <c r="H345" s="720"/>
    </row>
    <row r="346" spans="2:8" hidden="1" x14ac:dyDescent="0.2">
      <c r="B346" s="1282" t="str">
        <f t="shared" si="16"/>
        <v>Urea</v>
      </c>
      <c r="C346" s="1802">
        <f t="shared" si="16"/>
        <v>0.4</v>
      </c>
      <c r="D346" s="720">
        <f t="shared" si="17"/>
        <v>0</v>
      </c>
      <c r="E346" s="720">
        <f t="shared" si="17"/>
        <v>0</v>
      </c>
      <c r="F346" s="720">
        <f t="shared" si="17"/>
        <v>0</v>
      </c>
      <c r="G346" s="720">
        <f t="shared" si="15"/>
        <v>0</v>
      </c>
      <c r="H346" s="720"/>
    </row>
    <row r="347" spans="2:8" hidden="1" x14ac:dyDescent="0.2">
      <c r="B347" s="1282" t="str">
        <f t="shared" si="16"/>
        <v>0-40-40-0</v>
      </c>
      <c r="C347" s="1802">
        <f t="shared" si="16"/>
        <v>0.39</v>
      </c>
      <c r="D347" s="720">
        <f t="shared" si="17"/>
        <v>0</v>
      </c>
      <c r="E347" s="720">
        <f t="shared" si="17"/>
        <v>0</v>
      </c>
      <c r="F347" s="720">
        <f t="shared" si="17"/>
        <v>0</v>
      </c>
      <c r="G347" s="720">
        <f t="shared" si="15"/>
        <v>0</v>
      </c>
      <c r="H347" s="720"/>
    </row>
    <row r="348" spans="2:8" hidden="1" x14ac:dyDescent="0.2">
      <c r="B348" s="1282" t="str">
        <f t="shared" si="16"/>
        <v>SuperSimple + KCL</v>
      </c>
      <c r="C348" s="1802">
        <f t="shared" si="16"/>
        <v>0.3</v>
      </c>
      <c r="D348" s="720">
        <f t="shared" si="17"/>
        <v>23500</v>
      </c>
      <c r="E348" s="720">
        <f t="shared" si="17"/>
        <v>0</v>
      </c>
      <c r="F348" s="720">
        <f t="shared" si="17"/>
        <v>0</v>
      </c>
      <c r="G348" s="720">
        <f t="shared" si="15"/>
        <v>23500</v>
      </c>
      <c r="H348" s="720"/>
    </row>
    <row r="349" spans="2:8" hidden="1" x14ac:dyDescent="0.2">
      <c r="B349" s="1282">
        <f t="shared" si="16"/>
        <v>0</v>
      </c>
      <c r="C349" s="1802">
        <f t="shared" si="16"/>
        <v>0</v>
      </c>
      <c r="D349" s="720">
        <f t="shared" si="17"/>
        <v>0</v>
      </c>
      <c r="E349" s="720">
        <f t="shared" si="17"/>
        <v>0</v>
      </c>
      <c r="F349" s="720">
        <f t="shared" si="17"/>
        <v>0</v>
      </c>
      <c r="G349" s="720">
        <f t="shared" si="15"/>
        <v>0</v>
      </c>
      <c r="H349" s="720"/>
    </row>
    <row r="350" spans="2:8" hidden="1" x14ac:dyDescent="0.2">
      <c r="B350" s="1282">
        <f t="shared" si="16"/>
        <v>0</v>
      </c>
      <c r="C350" s="1802">
        <f t="shared" si="16"/>
        <v>0</v>
      </c>
      <c r="D350" s="720">
        <f t="shared" si="17"/>
        <v>0</v>
      </c>
      <c r="E350" s="720">
        <f t="shared" si="17"/>
        <v>0</v>
      </c>
      <c r="F350" s="720">
        <f t="shared" si="17"/>
        <v>0</v>
      </c>
      <c r="G350" s="720">
        <f t="shared" si="15"/>
        <v>0</v>
      </c>
      <c r="H350" s="720"/>
    </row>
    <row r="351" spans="2:8" hidden="1" x14ac:dyDescent="0.2">
      <c r="B351" s="1282" t="str">
        <f t="shared" ref="B351:C373" si="18">+B58</f>
        <v>Glifosato</v>
      </c>
      <c r="C351" s="1802">
        <f t="shared" si="18"/>
        <v>5</v>
      </c>
      <c r="D351" s="720">
        <f t="shared" ref="D351:F373" si="19">+E58</f>
        <v>0</v>
      </c>
      <c r="E351" s="720">
        <f t="shared" si="19"/>
        <v>0</v>
      </c>
      <c r="F351" s="720">
        <f t="shared" si="19"/>
        <v>0</v>
      </c>
      <c r="G351" s="720">
        <f t="shared" si="15"/>
        <v>0</v>
      </c>
      <c r="H351" s="720"/>
    </row>
    <row r="352" spans="2:8" hidden="1" x14ac:dyDescent="0.2">
      <c r="B352" s="1282" t="str">
        <f t="shared" si="18"/>
        <v>Herbicida Maíz</v>
      </c>
      <c r="C352" s="1802">
        <f t="shared" si="18"/>
        <v>30</v>
      </c>
      <c r="D352" s="720">
        <f t="shared" si="19"/>
        <v>0</v>
      </c>
      <c r="E352" s="720">
        <f t="shared" si="19"/>
        <v>0</v>
      </c>
      <c r="F352" s="720">
        <f t="shared" si="19"/>
        <v>0</v>
      </c>
      <c r="G352" s="720">
        <f t="shared" si="15"/>
        <v>0</v>
      </c>
      <c r="H352" s="720"/>
    </row>
    <row r="353" spans="2:8" hidden="1" x14ac:dyDescent="0.2">
      <c r="B353" s="1282" t="str">
        <f t="shared" si="18"/>
        <v>Herbicida sorgo y VV</v>
      </c>
      <c r="C353" s="1802">
        <f t="shared" si="18"/>
        <v>27</v>
      </c>
      <c r="D353" s="720">
        <f t="shared" si="19"/>
        <v>0</v>
      </c>
      <c r="E353" s="720">
        <f t="shared" si="19"/>
        <v>0</v>
      </c>
      <c r="F353" s="720">
        <f t="shared" si="19"/>
        <v>0</v>
      </c>
      <c r="G353" s="720">
        <f t="shared" si="15"/>
        <v>0</v>
      </c>
      <c r="H353" s="720"/>
    </row>
    <row r="354" spans="2:8" hidden="1" x14ac:dyDescent="0.2">
      <c r="B354" s="1282" t="str">
        <f t="shared" si="18"/>
        <v>Herbicida verdeos de inv.</v>
      </c>
      <c r="C354" s="1802">
        <f t="shared" si="18"/>
        <v>5</v>
      </c>
      <c r="D354" s="720">
        <f t="shared" si="19"/>
        <v>0</v>
      </c>
      <c r="E354" s="720">
        <f t="shared" si="19"/>
        <v>0</v>
      </c>
      <c r="F354" s="720">
        <f t="shared" si="19"/>
        <v>0</v>
      </c>
      <c r="G354" s="720">
        <f t="shared" si="15"/>
        <v>0</v>
      </c>
      <c r="H354" s="720"/>
    </row>
    <row r="355" spans="2:8" hidden="1" x14ac:dyDescent="0.2">
      <c r="B355" s="1282" t="str">
        <f t="shared" si="18"/>
        <v>Herbicida praderas largas</v>
      </c>
      <c r="C355" s="1802">
        <f t="shared" si="18"/>
        <v>25</v>
      </c>
      <c r="D355" s="720">
        <f t="shared" si="19"/>
        <v>0</v>
      </c>
      <c r="E355" s="720">
        <f t="shared" si="19"/>
        <v>0</v>
      </c>
      <c r="F355" s="720">
        <f t="shared" si="19"/>
        <v>0</v>
      </c>
      <c r="G355" s="720">
        <f t="shared" si="15"/>
        <v>0</v>
      </c>
      <c r="H355" s="720"/>
    </row>
    <row r="356" spans="2:8" hidden="1" x14ac:dyDescent="0.2">
      <c r="B356" s="1282" t="str">
        <f t="shared" si="18"/>
        <v>Herbicida praderas cortas</v>
      </c>
      <c r="C356" s="1802">
        <f t="shared" si="18"/>
        <v>15</v>
      </c>
      <c r="D356" s="720">
        <f t="shared" si="19"/>
        <v>0</v>
      </c>
      <c r="E356" s="720">
        <f t="shared" si="19"/>
        <v>0</v>
      </c>
      <c r="F356" s="720">
        <f t="shared" si="19"/>
        <v>0</v>
      </c>
      <c r="G356" s="720">
        <f t="shared" si="15"/>
        <v>0</v>
      </c>
      <c r="H356" s="720"/>
    </row>
    <row r="357" spans="2:8" hidden="1" x14ac:dyDescent="0.2">
      <c r="B357" s="1282" t="str">
        <f t="shared" si="18"/>
        <v>Sanidad Soja</v>
      </c>
      <c r="C357" s="1802">
        <f t="shared" si="18"/>
        <v>35</v>
      </c>
      <c r="D357" s="720">
        <f t="shared" si="19"/>
        <v>0</v>
      </c>
      <c r="E357" s="720">
        <f t="shared" si="19"/>
        <v>0</v>
      </c>
      <c r="F357" s="720">
        <f t="shared" si="19"/>
        <v>0</v>
      </c>
      <c r="G357" s="720">
        <f t="shared" si="15"/>
        <v>0</v>
      </c>
      <c r="H357" s="720"/>
    </row>
    <row r="358" spans="2:8" hidden="1" x14ac:dyDescent="0.2">
      <c r="B358" s="1282" t="str">
        <f t="shared" si="18"/>
        <v>Herbicida cult de invierno</v>
      </c>
      <c r="C358" s="1802">
        <f t="shared" si="18"/>
        <v>5</v>
      </c>
      <c r="D358" s="720">
        <f t="shared" si="19"/>
        <v>0</v>
      </c>
      <c r="E358" s="720">
        <f t="shared" si="19"/>
        <v>0</v>
      </c>
      <c r="F358" s="720">
        <f t="shared" si="19"/>
        <v>0</v>
      </c>
      <c r="G358" s="720">
        <f t="shared" si="15"/>
        <v>0</v>
      </c>
      <c r="H358" s="720"/>
    </row>
    <row r="359" spans="2:8" hidden="1" x14ac:dyDescent="0.2">
      <c r="B359" s="1282" t="str">
        <f t="shared" si="18"/>
        <v>Sanidad cultivos de invierno</v>
      </c>
      <c r="C359" s="1802">
        <f t="shared" si="18"/>
        <v>30</v>
      </c>
      <c r="D359" s="720">
        <f t="shared" si="19"/>
        <v>0</v>
      </c>
      <c r="E359" s="720">
        <f t="shared" si="19"/>
        <v>0</v>
      </c>
      <c r="F359" s="720">
        <f t="shared" si="19"/>
        <v>0</v>
      </c>
      <c r="G359" s="720">
        <f t="shared" si="15"/>
        <v>0</v>
      </c>
      <c r="H359" s="720"/>
    </row>
    <row r="360" spans="2:8" hidden="1" x14ac:dyDescent="0.2">
      <c r="B360" s="1282" t="str">
        <f t="shared" si="18"/>
        <v>Herbicida Colza Grano</v>
      </c>
      <c r="C360" s="1802">
        <f t="shared" si="18"/>
        <v>23.799999999999997</v>
      </c>
      <c r="D360" s="720">
        <f t="shared" si="19"/>
        <v>0</v>
      </c>
      <c r="E360" s="720">
        <f t="shared" si="19"/>
        <v>0</v>
      </c>
      <c r="F360" s="720">
        <f t="shared" si="19"/>
        <v>0</v>
      </c>
      <c r="G360" s="720">
        <f t="shared" si="15"/>
        <v>0</v>
      </c>
      <c r="H360" s="720"/>
    </row>
    <row r="361" spans="2:8" hidden="1" x14ac:dyDescent="0.2">
      <c r="B361" s="1282" t="str">
        <f t="shared" si="18"/>
        <v>Isecticida + Fungicida Colza Grano</v>
      </c>
      <c r="C361" s="1802">
        <f t="shared" si="18"/>
        <v>8.6999999999999993</v>
      </c>
      <c r="D361" s="720">
        <f t="shared" si="19"/>
        <v>0</v>
      </c>
      <c r="E361" s="720">
        <f t="shared" si="19"/>
        <v>0</v>
      </c>
      <c r="F361" s="720">
        <f t="shared" si="19"/>
        <v>0</v>
      </c>
      <c r="G361" s="720">
        <f t="shared" si="15"/>
        <v>0</v>
      </c>
      <c r="H361" s="720"/>
    </row>
    <row r="362" spans="2:8" hidden="1" x14ac:dyDescent="0.2">
      <c r="B362" s="1282">
        <f t="shared" si="18"/>
        <v>0</v>
      </c>
      <c r="C362" s="1802">
        <f t="shared" si="18"/>
        <v>0</v>
      </c>
      <c r="D362" s="720">
        <f t="shared" si="19"/>
        <v>0</v>
      </c>
      <c r="E362" s="720">
        <f t="shared" si="19"/>
        <v>0</v>
      </c>
      <c r="F362" s="720">
        <f t="shared" si="19"/>
        <v>0</v>
      </c>
      <c r="G362" s="720">
        <f t="shared" si="15"/>
        <v>0</v>
      </c>
      <c r="H362" s="720"/>
    </row>
    <row r="363" spans="2:8" hidden="1" x14ac:dyDescent="0.2">
      <c r="B363" s="1282">
        <f t="shared" si="18"/>
        <v>0</v>
      </c>
      <c r="C363" s="1802">
        <f t="shared" si="18"/>
        <v>0</v>
      </c>
      <c r="D363" s="720">
        <f t="shared" si="19"/>
        <v>0</v>
      </c>
      <c r="E363" s="720">
        <f t="shared" si="19"/>
        <v>0</v>
      </c>
      <c r="F363" s="720">
        <f t="shared" si="19"/>
        <v>0</v>
      </c>
      <c r="G363" s="720">
        <f t="shared" si="15"/>
        <v>0</v>
      </c>
      <c r="H363" s="720"/>
    </row>
    <row r="364" spans="2:8" hidden="1" x14ac:dyDescent="0.2">
      <c r="B364" s="1282">
        <f t="shared" si="18"/>
        <v>0</v>
      </c>
      <c r="C364" s="1802">
        <f t="shared" si="18"/>
        <v>0</v>
      </c>
      <c r="D364" s="720">
        <f t="shared" si="19"/>
        <v>0</v>
      </c>
      <c r="E364" s="720">
        <f t="shared" si="19"/>
        <v>0</v>
      </c>
      <c r="F364" s="720">
        <f t="shared" si="19"/>
        <v>0</v>
      </c>
      <c r="G364" s="720">
        <f t="shared" si="15"/>
        <v>0</v>
      </c>
      <c r="H364" s="720"/>
    </row>
    <row r="365" spans="2:8" hidden="1" x14ac:dyDescent="0.2">
      <c r="B365" s="1282">
        <f t="shared" si="18"/>
        <v>0</v>
      </c>
      <c r="C365" s="1802">
        <f t="shared" si="18"/>
        <v>0</v>
      </c>
      <c r="D365" s="720">
        <f t="shared" si="19"/>
        <v>0</v>
      </c>
      <c r="E365" s="720">
        <f t="shared" si="19"/>
        <v>0</v>
      </c>
      <c r="F365" s="720">
        <f t="shared" si="19"/>
        <v>0</v>
      </c>
      <c r="G365" s="720">
        <f t="shared" si="15"/>
        <v>0</v>
      </c>
      <c r="H365" s="720"/>
    </row>
    <row r="366" spans="2:8" hidden="1" x14ac:dyDescent="0.2">
      <c r="B366" s="1282">
        <f t="shared" si="18"/>
        <v>0</v>
      </c>
      <c r="C366" s="1802">
        <f t="shared" si="18"/>
        <v>0</v>
      </c>
      <c r="D366" s="720">
        <f t="shared" si="19"/>
        <v>0</v>
      </c>
      <c r="E366" s="720">
        <f t="shared" si="19"/>
        <v>0</v>
      </c>
      <c r="F366" s="720">
        <f t="shared" si="19"/>
        <v>0</v>
      </c>
      <c r="G366" s="720">
        <f t="shared" si="15"/>
        <v>0</v>
      </c>
      <c r="H366" s="720"/>
    </row>
    <row r="367" spans="2:8" hidden="1" x14ac:dyDescent="0.2">
      <c r="B367" s="1282">
        <f t="shared" si="18"/>
        <v>0</v>
      </c>
      <c r="C367" s="1802">
        <f t="shared" si="18"/>
        <v>0</v>
      </c>
      <c r="D367" s="720">
        <f t="shared" si="19"/>
        <v>0</v>
      </c>
      <c r="E367" s="720">
        <f t="shared" si="19"/>
        <v>0</v>
      </c>
      <c r="F367" s="720">
        <f t="shared" si="19"/>
        <v>0</v>
      </c>
      <c r="G367" s="720">
        <f t="shared" si="15"/>
        <v>0</v>
      </c>
      <c r="H367" s="720"/>
    </row>
    <row r="368" spans="2:8" hidden="1" x14ac:dyDescent="0.2">
      <c r="B368" s="1282">
        <f t="shared" si="18"/>
        <v>0</v>
      </c>
      <c r="C368" s="1802">
        <f t="shared" si="18"/>
        <v>0</v>
      </c>
      <c r="D368" s="720">
        <f t="shared" si="19"/>
        <v>0</v>
      </c>
      <c r="E368" s="720">
        <f t="shared" si="19"/>
        <v>0</v>
      </c>
      <c r="F368" s="720">
        <f t="shared" si="19"/>
        <v>0</v>
      </c>
      <c r="G368" s="720">
        <f t="shared" si="15"/>
        <v>0</v>
      </c>
      <c r="H368" s="720"/>
    </row>
    <row r="369" spans="2:47" hidden="1" x14ac:dyDescent="0.2">
      <c r="B369" s="1282">
        <f t="shared" si="18"/>
        <v>0</v>
      </c>
      <c r="C369" s="1802">
        <f t="shared" si="18"/>
        <v>0</v>
      </c>
      <c r="D369" s="720">
        <f t="shared" si="19"/>
        <v>0</v>
      </c>
      <c r="E369" s="720">
        <f t="shared" si="19"/>
        <v>0</v>
      </c>
      <c r="F369" s="720">
        <f t="shared" si="19"/>
        <v>0</v>
      </c>
      <c r="G369" s="720">
        <f t="shared" si="15"/>
        <v>0</v>
      </c>
      <c r="H369" s="720"/>
    </row>
    <row r="370" spans="2:47" hidden="1" x14ac:dyDescent="0.2">
      <c r="B370" s="1282">
        <f t="shared" si="18"/>
        <v>0</v>
      </c>
      <c r="C370" s="1802">
        <f t="shared" si="18"/>
        <v>0</v>
      </c>
      <c r="D370" s="720">
        <f t="shared" si="19"/>
        <v>0</v>
      </c>
      <c r="E370" s="720">
        <f t="shared" si="19"/>
        <v>0</v>
      </c>
      <c r="F370" s="720">
        <f t="shared" si="19"/>
        <v>0</v>
      </c>
      <c r="G370" s="720">
        <f t="shared" si="15"/>
        <v>0</v>
      </c>
      <c r="H370" s="720"/>
    </row>
    <row r="371" spans="2:47" hidden="1" x14ac:dyDescent="0.2">
      <c r="B371" s="1282">
        <f t="shared" si="18"/>
        <v>0</v>
      </c>
      <c r="C371" s="1802">
        <f t="shared" si="18"/>
        <v>0</v>
      </c>
      <c r="D371" s="720">
        <f t="shared" si="19"/>
        <v>0</v>
      </c>
      <c r="E371" s="720">
        <f t="shared" si="19"/>
        <v>0</v>
      </c>
      <c r="F371" s="720">
        <f t="shared" si="19"/>
        <v>0</v>
      </c>
      <c r="G371" s="720">
        <f t="shared" si="15"/>
        <v>0</v>
      </c>
      <c r="H371" s="720"/>
    </row>
    <row r="372" spans="2:47" hidden="1" x14ac:dyDescent="0.2">
      <c r="B372" s="1282">
        <f t="shared" si="18"/>
        <v>0</v>
      </c>
      <c r="C372" s="1802">
        <f t="shared" si="18"/>
        <v>0</v>
      </c>
      <c r="D372" s="720">
        <f t="shared" si="19"/>
        <v>0</v>
      </c>
      <c r="E372" s="720">
        <f t="shared" si="19"/>
        <v>0</v>
      </c>
      <c r="F372" s="720">
        <f t="shared" si="19"/>
        <v>0</v>
      </c>
      <c r="G372" s="720">
        <f t="shared" si="15"/>
        <v>0</v>
      </c>
      <c r="H372" s="720"/>
    </row>
    <row r="373" spans="2:47" ht="15.05" hidden="1" thickBot="1" x14ac:dyDescent="0.25">
      <c r="B373" s="1282">
        <f t="shared" si="18"/>
        <v>0</v>
      </c>
      <c r="C373" s="1802">
        <f t="shared" si="18"/>
        <v>0</v>
      </c>
      <c r="D373" s="720">
        <f t="shared" si="19"/>
        <v>0</v>
      </c>
      <c r="E373" s="720">
        <f t="shared" si="19"/>
        <v>0</v>
      </c>
      <c r="F373" s="720">
        <f t="shared" si="19"/>
        <v>0</v>
      </c>
      <c r="G373" s="720">
        <f t="shared" si="15"/>
        <v>0</v>
      </c>
      <c r="H373" s="720"/>
    </row>
    <row r="374" spans="2:47" hidden="1" x14ac:dyDescent="0.2">
      <c r="B374" s="2178" t="s">
        <v>1931</v>
      </c>
      <c r="C374" s="2179">
        <f>+SUMPRODUCT(D312:D373,C312:C373)</f>
        <v>7050</v>
      </c>
      <c r="E374" s="877"/>
      <c r="F374" s="877"/>
      <c r="G374" s="877"/>
      <c r="H374" s="877"/>
      <c r="I374" s="950"/>
      <c r="J374" s="950"/>
      <c r="K374" s="950"/>
      <c r="L374" s="950"/>
      <c r="M374" s="950"/>
      <c r="N374" s="950"/>
      <c r="O374" s="950"/>
      <c r="P374" s="950"/>
      <c r="Q374" s="950"/>
      <c r="R374" s="950"/>
      <c r="S374" s="950"/>
      <c r="T374" s="950"/>
      <c r="U374" s="1321"/>
      <c r="V374" s="950"/>
      <c r="W374" s="950"/>
      <c r="X374" s="950"/>
      <c r="Y374" s="950"/>
      <c r="Z374" s="950"/>
      <c r="AA374" s="950"/>
      <c r="AB374" s="950"/>
      <c r="AC374" s="950"/>
      <c r="AD374" s="950"/>
      <c r="AE374" s="950"/>
      <c r="AF374" s="950"/>
      <c r="AG374" s="950"/>
      <c r="AH374" s="1321"/>
      <c r="AI374" s="950"/>
      <c r="AJ374" s="950"/>
      <c r="AK374" s="950"/>
      <c r="AL374" s="950"/>
      <c r="AM374" s="950"/>
      <c r="AN374" s="950"/>
      <c r="AO374" s="950"/>
      <c r="AP374" s="950"/>
      <c r="AQ374" s="950"/>
      <c r="AR374" s="950"/>
      <c r="AS374" s="950"/>
      <c r="AT374" s="950"/>
      <c r="AU374" s="1321"/>
    </row>
    <row r="375" spans="2:47" ht="15.05" hidden="1" thickBot="1" x14ac:dyDescent="0.25">
      <c r="B375" s="2180" t="s">
        <v>1930</v>
      </c>
      <c r="C375" s="2181">
        <f>+SUMPRODUCT(C312:C373,G312:G373)</f>
        <v>7050</v>
      </c>
      <c r="E375" s="877"/>
      <c r="F375" s="877"/>
      <c r="G375" s="877"/>
      <c r="H375" s="877"/>
      <c r="I375" s="950"/>
      <c r="J375" s="950"/>
      <c r="K375" s="950"/>
      <c r="L375" s="950"/>
      <c r="M375" s="950"/>
      <c r="N375" s="950"/>
      <c r="O375" s="950"/>
      <c r="P375" s="950"/>
      <c r="Q375" s="950"/>
      <c r="R375" s="950"/>
      <c r="S375" s="950"/>
      <c r="T375" s="950"/>
      <c r="U375" s="1321"/>
      <c r="V375" s="950"/>
      <c r="W375" s="950"/>
      <c r="X375" s="950"/>
      <c r="Y375" s="950"/>
      <c r="Z375" s="950"/>
      <c r="AA375" s="950"/>
      <c r="AB375" s="950"/>
      <c r="AC375" s="950"/>
      <c r="AD375" s="950"/>
      <c r="AE375" s="950"/>
      <c r="AF375" s="950"/>
      <c r="AG375" s="950"/>
      <c r="AH375" s="1321"/>
      <c r="AI375" s="950"/>
      <c r="AJ375" s="950"/>
      <c r="AK375" s="950"/>
      <c r="AL375" s="950"/>
      <c r="AM375" s="950"/>
      <c r="AN375" s="950"/>
      <c r="AO375" s="950"/>
      <c r="AP375" s="950"/>
      <c r="AQ375" s="950"/>
      <c r="AR375" s="950"/>
      <c r="AS375" s="950"/>
      <c r="AT375" s="950"/>
      <c r="AU375" s="1321"/>
    </row>
    <row r="376" spans="2:47" hidden="1" x14ac:dyDescent="0.2">
      <c r="B376" s="1271"/>
      <c r="C376" s="1271"/>
      <c r="E376" s="877"/>
      <c r="F376" s="877"/>
      <c r="G376" s="877"/>
      <c r="H376" s="877"/>
      <c r="I376" s="950"/>
      <c r="J376" s="950"/>
      <c r="K376" s="950"/>
      <c r="L376" s="950"/>
      <c r="M376" s="950"/>
      <c r="N376" s="950"/>
      <c r="O376" s="950"/>
      <c r="P376" s="950"/>
      <c r="Q376" s="950"/>
      <c r="R376" s="950"/>
      <c r="S376" s="950"/>
      <c r="T376" s="950"/>
      <c r="U376" s="1321"/>
      <c r="V376" s="950"/>
      <c r="W376" s="950"/>
      <c r="X376" s="950"/>
      <c r="Y376" s="950"/>
      <c r="Z376" s="950"/>
      <c r="AA376" s="950"/>
      <c r="AB376" s="950"/>
      <c r="AC376" s="950"/>
      <c r="AD376" s="950"/>
      <c r="AE376" s="950"/>
      <c r="AF376" s="950"/>
      <c r="AG376" s="950"/>
      <c r="AH376" s="1321"/>
      <c r="AI376" s="950"/>
      <c r="AJ376" s="950"/>
      <c r="AK376" s="950"/>
      <c r="AL376" s="950"/>
      <c r="AM376" s="950"/>
      <c r="AN376" s="950"/>
      <c r="AO376" s="950"/>
      <c r="AP376" s="950"/>
      <c r="AQ376" s="950"/>
      <c r="AR376" s="950"/>
      <c r="AS376" s="950"/>
      <c r="AT376" s="950"/>
      <c r="AU376" s="1321"/>
    </row>
    <row r="377" spans="2:47" hidden="1" x14ac:dyDescent="0.2">
      <c r="B377" s="2182" t="s">
        <v>2036</v>
      </c>
      <c r="C377" s="2182"/>
      <c r="D377" s="1663"/>
      <c r="E377" s="2177"/>
      <c r="F377" s="2177"/>
      <c r="G377" s="2177"/>
      <c r="H377" s="2177"/>
      <c r="I377" s="2183"/>
      <c r="J377" s="2183"/>
      <c r="K377" s="2183"/>
      <c r="L377" s="2183"/>
      <c r="M377" s="2183"/>
      <c r="N377" s="2183"/>
      <c r="O377" s="2183"/>
      <c r="P377" s="2183"/>
      <c r="Q377" s="2183"/>
      <c r="R377" s="2183"/>
      <c r="S377" s="2183"/>
      <c r="T377" s="2183"/>
      <c r="U377" s="2184"/>
      <c r="V377" s="2183"/>
      <c r="W377" s="2183"/>
      <c r="X377" s="2183"/>
      <c r="Y377" s="2183"/>
      <c r="Z377" s="2183"/>
      <c r="AA377" s="2183"/>
      <c r="AB377" s="2183"/>
      <c r="AC377" s="2183"/>
      <c r="AD377" s="2183"/>
      <c r="AE377" s="2183"/>
      <c r="AF377" s="2183"/>
      <c r="AG377" s="2183"/>
      <c r="AH377" s="2184"/>
      <c r="AI377" s="2183"/>
      <c r="AJ377" s="2183"/>
      <c r="AK377" s="2183"/>
      <c r="AL377" s="2183"/>
      <c r="AM377" s="2183"/>
      <c r="AN377" s="2183"/>
      <c r="AO377" s="2183"/>
      <c r="AP377" s="950"/>
      <c r="AQ377" s="950"/>
      <c r="AR377" s="950"/>
      <c r="AS377" s="950"/>
      <c r="AT377" s="950"/>
      <c r="AU377" s="1321"/>
    </row>
    <row r="378" spans="2:47" hidden="1" x14ac:dyDescent="0.2">
      <c r="B378" s="232"/>
      <c r="C378" s="1794" t="s">
        <v>473</v>
      </c>
      <c r="P378" s="1547" t="s">
        <v>475</v>
      </c>
      <c r="AC378" s="1794" t="s">
        <v>474</v>
      </c>
      <c r="AO378" s="950"/>
      <c r="AP378" s="950"/>
      <c r="AQ378" s="950"/>
      <c r="AR378" s="950"/>
      <c r="AS378" s="950"/>
      <c r="AT378" s="950"/>
      <c r="AU378" s="1321"/>
    </row>
    <row r="379" spans="2:47" hidden="1" x14ac:dyDescent="0.2">
      <c r="B379" s="2188">
        <v>1005</v>
      </c>
      <c r="C379" s="743" t="str">
        <f>+InsumosCultivos!I41</f>
        <v>Ene</v>
      </c>
      <c r="D379" s="743" t="str">
        <f>+InsumosCultivos!J41</f>
        <v>Feb</v>
      </c>
      <c r="E379" s="743" t="str">
        <f>+InsumosCultivos!K41</f>
        <v>Mar</v>
      </c>
      <c r="F379" s="743" t="str">
        <f>+InsumosCultivos!L41</f>
        <v>Abr</v>
      </c>
      <c r="G379" s="743" t="str">
        <f>+InsumosCultivos!M41</f>
        <v>May</v>
      </c>
      <c r="H379" s="743" t="str">
        <f>+InsumosCultivos!N41</f>
        <v>Jun</v>
      </c>
      <c r="I379" s="743" t="str">
        <f>+InsumosCultivos!O41</f>
        <v>Jul</v>
      </c>
      <c r="J379" s="743" t="str">
        <f>+InsumosCultivos!P41</f>
        <v>Ago</v>
      </c>
      <c r="K379" s="743" t="str">
        <f>+InsumosCultivos!Q41</f>
        <v>Set</v>
      </c>
      <c r="L379" s="743" t="str">
        <f>+InsumosCultivos!R41</f>
        <v>Oct</v>
      </c>
      <c r="M379" s="743" t="str">
        <f>+InsumosCultivos!S41</f>
        <v>Nov</v>
      </c>
      <c r="N379" s="743" t="str">
        <f>+InsumosCultivos!T41</f>
        <v>Dic</v>
      </c>
      <c r="O379" s="2188">
        <v>1006</v>
      </c>
      <c r="P379" s="743"/>
      <c r="Q379" s="743"/>
      <c r="R379" s="743"/>
      <c r="S379" s="743"/>
      <c r="T379" s="743"/>
      <c r="U379" s="743"/>
      <c r="V379" s="743"/>
      <c r="W379" s="743"/>
      <c r="X379" s="743"/>
      <c r="Y379" s="743"/>
      <c r="Z379" s="743"/>
      <c r="AA379" s="743"/>
      <c r="AB379" s="2188">
        <v>1007</v>
      </c>
      <c r="AC379" s="743">
        <f>+P379</f>
        <v>0</v>
      </c>
      <c r="AD379" s="743">
        <f t="shared" ref="AD379:AN379" si="20">+Q379</f>
        <v>0</v>
      </c>
      <c r="AE379" s="743">
        <f t="shared" si="20"/>
        <v>0</v>
      </c>
      <c r="AF379" s="743">
        <f t="shared" si="20"/>
        <v>0</v>
      </c>
      <c r="AG379" s="743">
        <f t="shared" si="20"/>
        <v>0</v>
      </c>
      <c r="AH379" s="743">
        <f t="shared" si="20"/>
        <v>0</v>
      </c>
      <c r="AI379" s="743">
        <f t="shared" si="20"/>
        <v>0</v>
      </c>
      <c r="AJ379" s="743">
        <f t="shared" si="20"/>
        <v>0</v>
      </c>
      <c r="AK379" s="743">
        <f t="shared" si="20"/>
        <v>0</v>
      </c>
      <c r="AL379" s="743">
        <f t="shared" si="20"/>
        <v>0</v>
      </c>
      <c r="AM379" s="743">
        <f t="shared" si="20"/>
        <v>0</v>
      </c>
      <c r="AN379" s="1529">
        <f t="shared" si="20"/>
        <v>0</v>
      </c>
      <c r="AO379" s="950"/>
      <c r="AP379" s="950"/>
      <c r="AQ379" s="950"/>
      <c r="AR379" s="950"/>
      <c r="AS379" s="950"/>
      <c r="AT379" s="950"/>
      <c r="AU379" s="1321"/>
    </row>
    <row r="380" spans="2:47" hidden="1" x14ac:dyDescent="0.2">
      <c r="B380" s="232"/>
      <c r="C380" s="1803">
        <f>SUMIF(InsumosCultivos!$B$45:$B$1151,$B312,InsumosCultivos!$I$45:$I$1151)</f>
        <v>0</v>
      </c>
      <c r="D380" s="1803">
        <f>SUMIF(InsumosCultivos!$B$45:$B$1151,$B312,InsumosCultivos!$J$45:$J$1151)</f>
        <v>0</v>
      </c>
      <c r="E380" s="1803">
        <f>SUMIF(InsumosCultivos!$B$45:$B$1151,$B312,InsumosCultivos!$K$45:$K$1151)</f>
        <v>0</v>
      </c>
      <c r="F380" s="1803">
        <f>SUMIF(InsumosCultivos!$B$45:$B$1151,$B312,InsumosCultivos!$L$45:$L$1151)</f>
        <v>0</v>
      </c>
      <c r="G380" s="1803">
        <f>SUMIF(InsumosCultivos!$B$45:$B$1151,$B312,InsumosCultivos!$M$45:$M$1151)</f>
        <v>0</v>
      </c>
      <c r="H380" s="1803">
        <f>SUMIF(InsumosCultivos!$B$45:$B$1151,$B312,InsumosCultivos!$N$45:$N$1151)</f>
        <v>0</v>
      </c>
      <c r="I380" s="1803">
        <f>SUMIF(InsumosCultivos!$B$45:$B$1151,$B312,InsumosCultivos!$O$45:$O$1151)</f>
        <v>0</v>
      </c>
      <c r="J380" s="1803">
        <f>SUMIF(InsumosCultivos!$B$45:$B$1151,$B312,InsumosCultivos!$P$45:$P$1151)</f>
        <v>0</v>
      </c>
      <c r="K380" s="1803">
        <f>SUMIF(InsumosCultivos!$B$45:$B$1151,$B312,InsumosCultivos!$Q$45:$Q$1151)</f>
        <v>0</v>
      </c>
      <c r="L380" s="1803">
        <f>SUMIF(InsumosCultivos!$B$45:$B$1151,$B312,InsumosCultivos!$R$45:$R$1151)</f>
        <v>0</v>
      </c>
      <c r="M380" s="1803">
        <f>SUMIF(InsumosCultivos!$B$45:$B$1151,$B312,InsumosCultivos!$S$45:$S$1151)</f>
        <v>0</v>
      </c>
      <c r="N380" s="1803">
        <f>SUMIF(InsumosCultivos!$B$45:$B$1151,$B312,InsumosCultivos!$T$45:$T$1151)</f>
        <v>0</v>
      </c>
      <c r="O380" s="1321"/>
      <c r="P380" s="1803">
        <f>SUMIF(InsumosCultivos!$Y$45:$Y$529,$B312,InsumosCultivos!$AF$45:$AF$529)</f>
        <v>0</v>
      </c>
      <c r="Q380" s="1803">
        <f>SUMIF(InsumosCultivos!$Y$45:$Y$529,$B312,InsumosCultivos!$AG$45:$AG$529)</f>
        <v>0</v>
      </c>
      <c r="R380" s="1803">
        <f>SUMIF(InsumosCultivos!$Y$45:$Y$529,$B312,InsumosCultivos!$AH$45:$AH$529)</f>
        <v>0</v>
      </c>
      <c r="S380" s="1803">
        <f>SUMIF(InsumosCultivos!$Y$45:$Y$529,$B312,InsumosCultivos!$AI$45:$AI$529)</f>
        <v>0</v>
      </c>
      <c r="T380" s="1803">
        <f>SUMIF(InsumosCultivos!$Y$45:$Y$529,$B312,InsumosCultivos!$AJ$45:$AJ$529)</f>
        <v>0</v>
      </c>
      <c r="U380" s="1803">
        <f>SUMIF(InsumosCultivos!$Y$45:$Y$529,$B312,InsumosCultivos!$AK$45:$AK$529)</f>
        <v>0</v>
      </c>
      <c r="V380" s="1803">
        <f>SUMIF(InsumosCultivos!$Y$45:$Y$529,$B312,InsumosCultivos!$AL$45:$AL$529)</f>
        <v>0</v>
      </c>
      <c r="W380" s="1803">
        <f>SUMIF(InsumosCultivos!$Y$45:$Y$529,$B312,InsumosCultivos!$AM$45:$AM$529)</f>
        <v>0</v>
      </c>
      <c r="X380" s="1803">
        <f>SUMIF(InsumosCultivos!$Y$45:$Y$529,$B312,InsumosCultivos!$AN$45:$AN$529)</f>
        <v>0</v>
      </c>
      <c r="Y380" s="1803">
        <f>SUMIF(InsumosCultivos!$Y$45:$Y$529,$B312,InsumosCultivos!$AO$45:$AO$529)</f>
        <v>0</v>
      </c>
      <c r="Z380" s="1803">
        <f>SUMIF(InsumosCultivos!$Y$45:$Y$529,$B312,InsumosCultivos!$AP$45:$AP$529)</f>
        <v>0</v>
      </c>
      <c r="AA380" s="1803">
        <f>SUMIF(InsumosCultivos!$Y$45:$Y$529,$B312,InsumosCultivos!$AQ$45:$AQ$529)</f>
        <v>0</v>
      </c>
      <c r="AC380" s="1803">
        <f>+P380+C380</f>
        <v>0</v>
      </c>
      <c r="AD380" s="1803">
        <f t="shared" ref="AD380:AN380" si="21">+Q380+D380</f>
        <v>0</v>
      </c>
      <c r="AE380" s="1803">
        <f t="shared" si="21"/>
        <v>0</v>
      </c>
      <c r="AF380" s="1803">
        <f t="shared" si="21"/>
        <v>0</v>
      </c>
      <c r="AG380" s="1803">
        <f t="shared" si="21"/>
        <v>0</v>
      </c>
      <c r="AH380" s="1803">
        <f t="shared" si="21"/>
        <v>0</v>
      </c>
      <c r="AI380" s="1803">
        <f t="shared" si="21"/>
        <v>0</v>
      </c>
      <c r="AJ380" s="1803">
        <f t="shared" si="21"/>
        <v>0</v>
      </c>
      <c r="AK380" s="1803">
        <f t="shared" si="21"/>
        <v>0</v>
      </c>
      <c r="AL380" s="1803">
        <f t="shared" si="21"/>
        <v>0</v>
      </c>
      <c r="AM380" s="1803">
        <f t="shared" si="21"/>
        <v>0</v>
      </c>
      <c r="AN380" s="1803">
        <f t="shared" si="21"/>
        <v>0</v>
      </c>
      <c r="AO380" s="950"/>
      <c r="AP380" s="950"/>
      <c r="AQ380" s="950"/>
      <c r="AR380" s="950"/>
      <c r="AS380" s="950"/>
      <c r="AT380" s="950"/>
      <c r="AU380" s="1321"/>
    </row>
    <row r="381" spans="2:47" hidden="1" x14ac:dyDescent="0.2">
      <c r="B381" s="232"/>
      <c r="C381" s="1803">
        <f>SUMIF(InsumosCultivos!$B$45:$B$1151,$B313,InsumosCultivos!$I$45:$I$1151)</f>
        <v>0</v>
      </c>
      <c r="D381" s="1803">
        <f>SUMIF(InsumosCultivos!$B$45:$B$1151,$B313,InsumosCultivos!$J$45:$J$1151)</f>
        <v>0</v>
      </c>
      <c r="E381" s="1803">
        <f>SUMIF(InsumosCultivos!$B$45:$B$1151,$B313,InsumosCultivos!$K$45:$K$1151)</f>
        <v>0</v>
      </c>
      <c r="F381" s="1803">
        <f>SUMIF(InsumosCultivos!$B$45:$B$1151,$B313,InsumosCultivos!$L$45:$L$1151)</f>
        <v>0</v>
      </c>
      <c r="G381" s="1803">
        <f>SUMIF(InsumosCultivos!$B$45:$B$1151,$B313,InsumosCultivos!$M$45:$M$1151)</f>
        <v>0</v>
      </c>
      <c r="H381" s="1803">
        <f>SUMIF(InsumosCultivos!$B$45:$B$1151,$B313,InsumosCultivos!$N$45:$N$1151)</f>
        <v>0</v>
      </c>
      <c r="I381" s="1803">
        <f>SUMIF(InsumosCultivos!$B$45:$B$1151,$B313,InsumosCultivos!$O$45:$O$1151)</f>
        <v>0</v>
      </c>
      <c r="J381" s="1803">
        <f>SUMIF(InsumosCultivos!$B$45:$B$1151,$B313,InsumosCultivos!$P$45:$P$1151)</f>
        <v>0</v>
      </c>
      <c r="K381" s="1803">
        <f>SUMIF(InsumosCultivos!$B$45:$B$1151,$B313,InsumosCultivos!$Q$45:$Q$1151)</f>
        <v>0</v>
      </c>
      <c r="L381" s="1803">
        <f>SUMIF(InsumosCultivos!$B$45:$B$1151,$B313,InsumosCultivos!$R$45:$R$1151)</f>
        <v>0</v>
      </c>
      <c r="M381" s="1803">
        <f>SUMIF(InsumosCultivos!$B$45:$B$1151,$B313,InsumosCultivos!$S$45:$S$1151)</f>
        <v>0</v>
      </c>
      <c r="N381" s="1803">
        <f>SUMIF(InsumosCultivos!$B$45:$B$1151,$B313,InsumosCultivos!$T$45:$T$1151)</f>
        <v>0</v>
      </c>
      <c r="O381" s="1321"/>
      <c r="P381" s="1803">
        <f>SUMIF(InsumosCultivos!$Y$45:$Y$529,$B313,InsumosCultivos!$AF$45:$AF$529)</f>
        <v>0</v>
      </c>
      <c r="Q381" s="1803">
        <f>SUMIF(InsumosCultivos!$Y$45:$Y$529,$B313,InsumosCultivos!$AG$45:$AG$529)</f>
        <v>0</v>
      </c>
      <c r="R381" s="1803">
        <f>SUMIF(InsumosCultivos!$Y$45:$Y$529,$B313,InsumosCultivos!$AH$45:$AH$529)</f>
        <v>0</v>
      </c>
      <c r="S381" s="1803">
        <f>SUMIF(InsumosCultivos!$Y$45:$Y$529,$B313,InsumosCultivos!$AI$45:$AI$529)</f>
        <v>0</v>
      </c>
      <c r="T381" s="1803">
        <f>SUMIF(InsumosCultivos!$Y$45:$Y$529,$B313,InsumosCultivos!$AJ$45:$AJ$529)</f>
        <v>0</v>
      </c>
      <c r="U381" s="1803">
        <f>SUMIF(InsumosCultivos!$Y$45:$Y$529,$B313,InsumosCultivos!$AK$45:$AK$529)</f>
        <v>0</v>
      </c>
      <c r="V381" s="1803">
        <f>SUMIF(InsumosCultivos!$Y$45:$Y$529,$B313,InsumosCultivos!$AL$45:$AL$529)</f>
        <v>0</v>
      </c>
      <c r="W381" s="1803">
        <f>SUMIF(InsumosCultivos!$Y$45:$Y$529,$B313,InsumosCultivos!$AM$45:$AM$529)</f>
        <v>0</v>
      </c>
      <c r="X381" s="1803">
        <f>SUMIF(InsumosCultivos!$Y$45:$Y$529,$B313,InsumosCultivos!$AN$45:$AN$529)</f>
        <v>0</v>
      </c>
      <c r="Y381" s="1803">
        <f>SUMIF(InsumosCultivos!$Y$45:$Y$529,$B313,InsumosCultivos!$AO$45:$AO$529)</f>
        <v>0</v>
      </c>
      <c r="Z381" s="1803">
        <f>SUMIF(InsumosCultivos!$Y$45:$Y$529,$B313,InsumosCultivos!$AP$45:$AP$529)</f>
        <v>0</v>
      </c>
      <c r="AA381" s="1803">
        <f>SUMIF(InsumosCultivos!$Y$45:$Y$529,$B313,InsumosCultivos!$AQ$45:$AQ$529)</f>
        <v>0</v>
      </c>
      <c r="AB381" s="1321"/>
      <c r="AC381" s="1803">
        <f t="shared" ref="AC381:AC441" si="22">+P381+C381</f>
        <v>0</v>
      </c>
      <c r="AD381" s="1803">
        <f t="shared" ref="AD381:AD441" si="23">+Q381+D381</f>
        <v>0</v>
      </c>
      <c r="AE381" s="1803">
        <f t="shared" ref="AE381:AE441" si="24">+R381+E381</f>
        <v>0</v>
      </c>
      <c r="AF381" s="1803">
        <f t="shared" ref="AF381:AF441" si="25">+S381+F381</f>
        <v>0</v>
      </c>
      <c r="AG381" s="1803">
        <f t="shared" ref="AG381:AG441" si="26">+T381+G381</f>
        <v>0</v>
      </c>
      <c r="AH381" s="1803">
        <f t="shared" ref="AH381:AH441" si="27">+U381+H381</f>
        <v>0</v>
      </c>
      <c r="AI381" s="1803">
        <f t="shared" ref="AI381:AI441" si="28">+V381+I381</f>
        <v>0</v>
      </c>
      <c r="AJ381" s="1803">
        <f t="shared" ref="AJ381:AJ441" si="29">+W381+J381</f>
        <v>0</v>
      </c>
      <c r="AK381" s="1803">
        <f t="shared" ref="AK381:AK441" si="30">+X381+K381</f>
        <v>0</v>
      </c>
      <c r="AL381" s="1803">
        <f t="shared" ref="AL381:AL441" si="31">+Y381+L381</f>
        <v>0</v>
      </c>
      <c r="AM381" s="1803">
        <f t="shared" ref="AM381:AM441" si="32">+Z381+M381</f>
        <v>0</v>
      </c>
      <c r="AN381" s="1803">
        <f t="shared" ref="AN381:AN441" si="33">+AA381+N381</f>
        <v>0</v>
      </c>
      <c r="AO381" s="950"/>
      <c r="AP381" s="950"/>
      <c r="AQ381" s="950"/>
      <c r="AR381" s="950"/>
      <c r="AS381" s="950"/>
      <c r="AT381" s="950"/>
      <c r="AU381" s="1321"/>
    </row>
    <row r="382" spans="2:47" hidden="1" x14ac:dyDescent="0.2">
      <c r="B382" s="232"/>
      <c r="C382" s="1803">
        <f>SUMIF(InsumosCultivos!$B$45:$B$1151,$B314,InsumosCultivos!$I$45:$I$1151)</f>
        <v>0</v>
      </c>
      <c r="D382" s="1803">
        <f>SUMIF(InsumosCultivos!$B$45:$B$1151,$B314,InsumosCultivos!$J$45:$J$1151)</f>
        <v>0</v>
      </c>
      <c r="E382" s="1803">
        <f>SUMIF(InsumosCultivos!$B$45:$B$1151,$B314,InsumosCultivos!$K$45:$K$1151)</f>
        <v>0</v>
      </c>
      <c r="F382" s="1803">
        <f>SUMIF(InsumosCultivos!$B$45:$B$1151,$B314,InsumosCultivos!$L$45:$L$1151)</f>
        <v>0</v>
      </c>
      <c r="G382" s="1803">
        <f>SUMIF(InsumosCultivos!$B$45:$B$1151,$B314,InsumosCultivos!$M$45:$M$1151)</f>
        <v>0</v>
      </c>
      <c r="H382" s="1803">
        <f>SUMIF(InsumosCultivos!$B$45:$B$1151,$B314,InsumosCultivos!$N$45:$N$1151)</f>
        <v>0</v>
      </c>
      <c r="I382" s="1803">
        <f>SUMIF(InsumosCultivos!$B$45:$B$1151,$B314,InsumosCultivos!$O$45:$O$1151)</f>
        <v>0</v>
      </c>
      <c r="J382" s="1803">
        <f>SUMIF(InsumosCultivos!$B$45:$B$1151,$B314,InsumosCultivos!$P$45:$P$1151)</f>
        <v>0</v>
      </c>
      <c r="K382" s="1803">
        <f>SUMIF(InsumosCultivos!$B$45:$B$1151,$B314,InsumosCultivos!$Q$45:$Q$1151)</f>
        <v>0</v>
      </c>
      <c r="L382" s="1803">
        <f>SUMIF(InsumosCultivos!$B$45:$B$1151,$B314,InsumosCultivos!$R$45:$R$1151)</f>
        <v>0</v>
      </c>
      <c r="M382" s="1803">
        <f>SUMIF(InsumosCultivos!$B$45:$B$1151,$B314,InsumosCultivos!$S$45:$S$1151)</f>
        <v>0</v>
      </c>
      <c r="N382" s="1803">
        <f>SUMIF(InsumosCultivos!$B$45:$B$1151,$B314,InsumosCultivos!$T$45:$T$1151)</f>
        <v>0</v>
      </c>
      <c r="O382" s="1321"/>
      <c r="P382" s="1803">
        <f>SUMIF(InsumosCultivos!$Y$45:$Y$529,$B314,InsumosCultivos!$AF$45:$AF$529)</f>
        <v>0</v>
      </c>
      <c r="Q382" s="1803">
        <f>SUMIF(InsumosCultivos!$Y$45:$Y$529,$B314,InsumosCultivos!$AG$45:$AG$529)</f>
        <v>0</v>
      </c>
      <c r="R382" s="1803">
        <f>SUMIF(InsumosCultivos!$Y$45:$Y$529,$B314,InsumosCultivos!$AH$45:$AH$529)</f>
        <v>0</v>
      </c>
      <c r="S382" s="1803">
        <f>SUMIF(InsumosCultivos!$Y$45:$Y$529,$B314,InsumosCultivos!$AI$45:$AI$529)</f>
        <v>0</v>
      </c>
      <c r="T382" s="1803">
        <f>SUMIF(InsumosCultivos!$Y$45:$Y$529,$B314,InsumosCultivos!$AJ$45:$AJ$529)</f>
        <v>0</v>
      </c>
      <c r="U382" s="1803">
        <f>SUMIF(InsumosCultivos!$Y$45:$Y$529,$B314,InsumosCultivos!$AK$45:$AK$529)</f>
        <v>0</v>
      </c>
      <c r="V382" s="1803">
        <f>SUMIF(InsumosCultivos!$Y$45:$Y$529,$B314,InsumosCultivos!$AL$45:$AL$529)</f>
        <v>0</v>
      </c>
      <c r="W382" s="1803">
        <f>SUMIF(InsumosCultivos!$Y$45:$Y$529,$B314,InsumosCultivos!$AM$45:$AM$529)</f>
        <v>0</v>
      </c>
      <c r="X382" s="1803">
        <f>SUMIF(InsumosCultivos!$Y$45:$Y$529,$B314,InsumosCultivos!$AN$45:$AN$529)</f>
        <v>0</v>
      </c>
      <c r="Y382" s="1803">
        <f>SUMIF(InsumosCultivos!$Y$45:$Y$529,$B314,InsumosCultivos!$AO$45:$AO$529)</f>
        <v>0</v>
      </c>
      <c r="Z382" s="1803">
        <f>SUMIF(InsumosCultivos!$Y$45:$Y$529,$B314,InsumosCultivos!$AP$45:$AP$529)</f>
        <v>0</v>
      </c>
      <c r="AA382" s="1803">
        <f>SUMIF(InsumosCultivos!$Y$45:$Y$529,$B314,InsumosCultivos!$AQ$45:$AQ$529)</f>
        <v>0</v>
      </c>
      <c r="AB382" s="1321"/>
      <c r="AC382" s="1803">
        <f t="shared" si="22"/>
        <v>0</v>
      </c>
      <c r="AD382" s="1803">
        <f t="shared" si="23"/>
        <v>0</v>
      </c>
      <c r="AE382" s="1803">
        <f t="shared" si="24"/>
        <v>0</v>
      </c>
      <c r="AF382" s="1803">
        <f t="shared" si="25"/>
        <v>0</v>
      </c>
      <c r="AG382" s="1803">
        <f t="shared" si="26"/>
        <v>0</v>
      </c>
      <c r="AH382" s="1803">
        <f t="shared" si="27"/>
        <v>0</v>
      </c>
      <c r="AI382" s="1803">
        <f t="shared" si="28"/>
        <v>0</v>
      </c>
      <c r="AJ382" s="1803">
        <f t="shared" si="29"/>
        <v>0</v>
      </c>
      <c r="AK382" s="1803">
        <f t="shared" si="30"/>
        <v>0</v>
      </c>
      <c r="AL382" s="1803">
        <f t="shared" si="31"/>
        <v>0</v>
      </c>
      <c r="AM382" s="1803">
        <f t="shared" si="32"/>
        <v>0</v>
      </c>
      <c r="AN382" s="1803">
        <f t="shared" si="33"/>
        <v>0</v>
      </c>
      <c r="AO382" s="950"/>
      <c r="AP382" s="950"/>
      <c r="AQ382" s="950"/>
      <c r="AR382" s="950"/>
      <c r="AS382" s="950"/>
      <c r="AT382" s="950"/>
      <c r="AU382" s="1321"/>
    </row>
    <row r="383" spans="2:47" hidden="1" x14ac:dyDescent="0.2">
      <c r="B383" s="232"/>
      <c r="C383" s="1803">
        <f>SUMIF(InsumosCultivos!$B$45:$B$1151,$B315,InsumosCultivos!$I$45:$I$1151)</f>
        <v>0</v>
      </c>
      <c r="D383" s="1803">
        <f>SUMIF(InsumosCultivos!$B$45:$B$1151,$B315,InsumosCultivos!$J$45:$J$1151)</f>
        <v>0</v>
      </c>
      <c r="E383" s="1803">
        <f>SUMIF(InsumosCultivos!$B$45:$B$1151,$B315,InsumosCultivos!$K$45:$K$1151)</f>
        <v>0</v>
      </c>
      <c r="F383" s="1803">
        <f>SUMIF(InsumosCultivos!$B$45:$B$1151,$B315,InsumosCultivos!$L$45:$L$1151)</f>
        <v>0</v>
      </c>
      <c r="G383" s="1803">
        <f>SUMIF(InsumosCultivos!$B$45:$B$1151,$B315,InsumosCultivos!$M$45:$M$1151)</f>
        <v>0</v>
      </c>
      <c r="H383" s="1803">
        <f>SUMIF(InsumosCultivos!$B$45:$B$1151,$B315,InsumosCultivos!$N$45:$N$1151)</f>
        <v>0</v>
      </c>
      <c r="I383" s="1803">
        <f>SUMIF(InsumosCultivos!$B$45:$B$1151,$B315,InsumosCultivos!$O$45:$O$1151)</f>
        <v>0</v>
      </c>
      <c r="J383" s="1803">
        <f>SUMIF(InsumosCultivos!$B$45:$B$1151,$B315,InsumosCultivos!$P$45:$P$1151)</f>
        <v>0</v>
      </c>
      <c r="K383" s="1803">
        <f>SUMIF(InsumosCultivos!$B$45:$B$1151,$B315,InsumosCultivos!$Q$45:$Q$1151)</f>
        <v>0</v>
      </c>
      <c r="L383" s="1803">
        <f>SUMIF(InsumosCultivos!$B$45:$B$1151,$B315,InsumosCultivos!$R$45:$R$1151)</f>
        <v>0</v>
      </c>
      <c r="M383" s="1803">
        <f>SUMIF(InsumosCultivos!$B$45:$B$1151,$B315,InsumosCultivos!$S$45:$S$1151)</f>
        <v>0</v>
      </c>
      <c r="N383" s="1803">
        <f>SUMIF(InsumosCultivos!$B$45:$B$1151,$B315,InsumosCultivos!$T$45:$T$1151)</f>
        <v>0</v>
      </c>
      <c r="O383" s="1321"/>
      <c r="P383" s="1803">
        <f>SUMIF(InsumosCultivos!$Y$45:$Y$529,$B315,InsumosCultivos!$AF$45:$AF$529)</f>
        <v>0</v>
      </c>
      <c r="Q383" s="1803">
        <f>SUMIF(InsumosCultivos!$Y$45:$Y$529,$B315,InsumosCultivos!$AG$45:$AG$529)</f>
        <v>0</v>
      </c>
      <c r="R383" s="1803">
        <f>SUMIF(InsumosCultivos!$Y$45:$Y$529,$B315,InsumosCultivos!$AH$45:$AH$529)</f>
        <v>0</v>
      </c>
      <c r="S383" s="1803">
        <f>SUMIF(InsumosCultivos!$Y$45:$Y$529,$B315,InsumosCultivos!$AI$45:$AI$529)</f>
        <v>0</v>
      </c>
      <c r="T383" s="1803">
        <f>SUMIF(InsumosCultivos!$Y$45:$Y$529,$B315,InsumosCultivos!$AJ$45:$AJ$529)</f>
        <v>0</v>
      </c>
      <c r="U383" s="1803">
        <f>SUMIF(InsumosCultivos!$Y$45:$Y$529,$B315,InsumosCultivos!$AK$45:$AK$529)</f>
        <v>0</v>
      </c>
      <c r="V383" s="1803">
        <f>SUMIF(InsumosCultivos!$Y$45:$Y$529,$B315,InsumosCultivos!$AL$45:$AL$529)</f>
        <v>0</v>
      </c>
      <c r="W383" s="1803">
        <f>SUMIF(InsumosCultivos!$Y$45:$Y$529,$B315,InsumosCultivos!$AM$45:$AM$529)</f>
        <v>0</v>
      </c>
      <c r="X383" s="1803">
        <f>SUMIF(InsumosCultivos!$Y$45:$Y$529,$B315,InsumosCultivos!$AN$45:$AN$529)</f>
        <v>0</v>
      </c>
      <c r="Y383" s="1803">
        <f>SUMIF(InsumosCultivos!$Y$45:$Y$529,$B315,InsumosCultivos!$AO$45:$AO$529)</f>
        <v>0</v>
      </c>
      <c r="Z383" s="1803">
        <f>SUMIF(InsumosCultivos!$Y$45:$Y$529,$B315,InsumosCultivos!$AP$45:$AP$529)</f>
        <v>0</v>
      </c>
      <c r="AA383" s="1803">
        <f>SUMIF(InsumosCultivos!$Y$45:$Y$529,$B315,InsumosCultivos!$AQ$45:$AQ$529)</f>
        <v>0</v>
      </c>
      <c r="AB383" s="1321"/>
      <c r="AC383" s="1803">
        <f t="shared" si="22"/>
        <v>0</v>
      </c>
      <c r="AD383" s="1803">
        <f t="shared" si="23"/>
        <v>0</v>
      </c>
      <c r="AE383" s="1803">
        <f t="shared" si="24"/>
        <v>0</v>
      </c>
      <c r="AF383" s="1803">
        <f t="shared" si="25"/>
        <v>0</v>
      </c>
      <c r="AG383" s="1803">
        <f t="shared" si="26"/>
        <v>0</v>
      </c>
      <c r="AH383" s="1803">
        <f t="shared" si="27"/>
        <v>0</v>
      </c>
      <c r="AI383" s="1803">
        <f t="shared" si="28"/>
        <v>0</v>
      </c>
      <c r="AJ383" s="1803">
        <f t="shared" si="29"/>
        <v>0</v>
      </c>
      <c r="AK383" s="1803">
        <f t="shared" si="30"/>
        <v>0</v>
      </c>
      <c r="AL383" s="1803">
        <f t="shared" si="31"/>
        <v>0</v>
      </c>
      <c r="AM383" s="1803">
        <f t="shared" si="32"/>
        <v>0</v>
      </c>
      <c r="AN383" s="1803">
        <f t="shared" si="33"/>
        <v>0</v>
      </c>
      <c r="AO383" s="950"/>
      <c r="AP383" s="950"/>
      <c r="AQ383" s="950"/>
      <c r="AR383" s="950"/>
      <c r="AS383" s="950"/>
      <c r="AT383" s="950"/>
      <c r="AU383" s="1321"/>
    </row>
    <row r="384" spans="2:47" hidden="1" x14ac:dyDescent="0.2">
      <c r="B384" s="232"/>
      <c r="C384" s="1803">
        <f>SUMIF(InsumosCultivos!$B$45:$B$1151,$B316,InsumosCultivos!$I$45:$I$1151)</f>
        <v>0</v>
      </c>
      <c r="D384" s="1803">
        <f>SUMIF(InsumosCultivos!$B$45:$B$1151,$B316,InsumosCultivos!$J$45:$J$1151)</f>
        <v>0</v>
      </c>
      <c r="E384" s="1803">
        <f>SUMIF(InsumosCultivos!$B$45:$B$1151,$B316,InsumosCultivos!$K$45:$K$1151)</f>
        <v>0</v>
      </c>
      <c r="F384" s="1803">
        <f>SUMIF(InsumosCultivos!$B$45:$B$1151,$B316,InsumosCultivos!$L$45:$L$1151)</f>
        <v>0</v>
      </c>
      <c r="G384" s="1803">
        <f>SUMIF(InsumosCultivos!$B$45:$B$1151,$B316,InsumosCultivos!$M$45:$M$1151)</f>
        <v>0</v>
      </c>
      <c r="H384" s="1803">
        <f>SUMIF(InsumosCultivos!$B$45:$B$1151,$B316,InsumosCultivos!$N$45:$N$1151)</f>
        <v>0</v>
      </c>
      <c r="I384" s="1803">
        <f>SUMIF(InsumosCultivos!$B$45:$B$1151,$B316,InsumosCultivos!$O$45:$O$1151)</f>
        <v>0</v>
      </c>
      <c r="J384" s="1803">
        <f>SUMIF(InsumosCultivos!$B$45:$B$1151,$B316,InsumosCultivos!$P$45:$P$1151)</f>
        <v>0</v>
      </c>
      <c r="K384" s="1803">
        <f>SUMIF(InsumosCultivos!$B$45:$B$1151,$B316,InsumosCultivos!$Q$45:$Q$1151)</f>
        <v>0</v>
      </c>
      <c r="L384" s="1803">
        <f>SUMIF(InsumosCultivos!$B$45:$B$1151,$B316,InsumosCultivos!$R$45:$R$1151)</f>
        <v>0</v>
      </c>
      <c r="M384" s="1803">
        <f>SUMIF(InsumosCultivos!$B$45:$B$1151,$B316,InsumosCultivos!$S$45:$S$1151)</f>
        <v>0</v>
      </c>
      <c r="N384" s="1803">
        <f>SUMIF(InsumosCultivos!$B$45:$B$1151,$B316,InsumosCultivos!$T$45:$T$1151)</f>
        <v>0</v>
      </c>
      <c r="O384" s="1321"/>
      <c r="P384" s="1803">
        <f>SUMIF(InsumosCultivos!$Y$45:$Y$529,$B316,InsumosCultivos!$AF$45:$AF$529)</f>
        <v>0</v>
      </c>
      <c r="Q384" s="1803">
        <f>SUMIF(InsumosCultivos!$Y$45:$Y$529,$B316,InsumosCultivos!$AG$45:$AG$529)</f>
        <v>0</v>
      </c>
      <c r="R384" s="1803">
        <f>SUMIF(InsumosCultivos!$Y$45:$Y$529,$B316,InsumosCultivos!$AH$45:$AH$529)</f>
        <v>0</v>
      </c>
      <c r="S384" s="1803">
        <f>SUMIF(InsumosCultivos!$Y$45:$Y$529,$B316,InsumosCultivos!$AI$45:$AI$529)</f>
        <v>0</v>
      </c>
      <c r="T384" s="1803">
        <f>SUMIF(InsumosCultivos!$Y$45:$Y$529,$B316,InsumosCultivos!$AJ$45:$AJ$529)</f>
        <v>0</v>
      </c>
      <c r="U384" s="1803">
        <f>SUMIF(InsumosCultivos!$Y$45:$Y$529,$B316,InsumosCultivos!$AK$45:$AK$529)</f>
        <v>0</v>
      </c>
      <c r="V384" s="1803">
        <f>SUMIF(InsumosCultivos!$Y$45:$Y$529,$B316,InsumosCultivos!$AL$45:$AL$529)</f>
        <v>0</v>
      </c>
      <c r="W384" s="1803">
        <f>SUMIF(InsumosCultivos!$Y$45:$Y$529,$B316,InsumosCultivos!$AM$45:$AM$529)</f>
        <v>0</v>
      </c>
      <c r="X384" s="1803">
        <f>SUMIF(InsumosCultivos!$Y$45:$Y$529,$B316,InsumosCultivos!$AN$45:$AN$529)</f>
        <v>0</v>
      </c>
      <c r="Y384" s="1803">
        <f>SUMIF(InsumosCultivos!$Y$45:$Y$529,$B316,InsumosCultivos!$AO$45:$AO$529)</f>
        <v>0</v>
      </c>
      <c r="Z384" s="1803">
        <f>SUMIF(InsumosCultivos!$Y$45:$Y$529,$B316,InsumosCultivos!$AP$45:$AP$529)</f>
        <v>0</v>
      </c>
      <c r="AA384" s="1803">
        <f>SUMIF(InsumosCultivos!$Y$45:$Y$529,$B316,InsumosCultivos!$AQ$45:$AQ$529)</f>
        <v>0</v>
      </c>
      <c r="AB384" s="1321"/>
      <c r="AC384" s="1803">
        <f t="shared" si="22"/>
        <v>0</v>
      </c>
      <c r="AD384" s="1803">
        <f t="shared" si="23"/>
        <v>0</v>
      </c>
      <c r="AE384" s="1803">
        <f t="shared" si="24"/>
        <v>0</v>
      </c>
      <c r="AF384" s="1803">
        <f t="shared" si="25"/>
        <v>0</v>
      </c>
      <c r="AG384" s="1803">
        <f t="shared" si="26"/>
        <v>0</v>
      </c>
      <c r="AH384" s="1803">
        <f t="shared" si="27"/>
        <v>0</v>
      </c>
      <c r="AI384" s="1803">
        <f t="shared" si="28"/>
        <v>0</v>
      </c>
      <c r="AJ384" s="1803">
        <f t="shared" si="29"/>
        <v>0</v>
      </c>
      <c r="AK384" s="1803">
        <f t="shared" si="30"/>
        <v>0</v>
      </c>
      <c r="AL384" s="1803">
        <f t="shared" si="31"/>
        <v>0</v>
      </c>
      <c r="AM384" s="1803">
        <f t="shared" si="32"/>
        <v>0</v>
      </c>
      <c r="AN384" s="1803">
        <f t="shared" si="33"/>
        <v>0</v>
      </c>
      <c r="AO384" s="950"/>
      <c r="AP384" s="950"/>
      <c r="AQ384" s="950"/>
      <c r="AR384" s="950"/>
      <c r="AS384" s="950"/>
      <c r="AT384" s="950"/>
      <c r="AU384" s="1321"/>
    </row>
    <row r="385" spans="3:47" s="232" customFormat="1" hidden="1" x14ac:dyDescent="0.2">
      <c r="C385" s="1803">
        <f>SUMIF(InsumosCultivos!$B$45:$B$1151,$B317,InsumosCultivos!$I$45:$I$1151)</f>
        <v>0</v>
      </c>
      <c r="D385" s="1803">
        <f>SUMIF(InsumosCultivos!$B$45:$B$1151,$B317,InsumosCultivos!$J$45:$J$1151)</f>
        <v>0</v>
      </c>
      <c r="E385" s="1803">
        <f>SUMIF(InsumosCultivos!$B$45:$B$1151,$B317,InsumosCultivos!$K$45:$K$1151)</f>
        <v>0</v>
      </c>
      <c r="F385" s="1803">
        <f>SUMIF(InsumosCultivos!$B$45:$B$1151,$B317,InsumosCultivos!$L$45:$L$1151)</f>
        <v>0</v>
      </c>
      <c r="G385" s="1803">
        <f>SUMIF(InsumosCultivos!$B$45:$B$1151,$B317,InsumosCultivos!$M$45:$M$1151)</f>
        <v>0</v>
      </c>
      <c r="H385" s="1803">
        <f>SUMIF(InsumosCultivos!$B$45:$B$1151,$B317,InsumosCultivos!$N$45:$N$1151)</f>
        <v>0</v>
      </c>
      <c r="I385" s="1803">
        <f>SUMIF(InsumosCultivos!$B$45:$B$1151,$B317,InsumosCultivos!$O$45:$O$1151)</f>
        <v>0</v>
      </c>
      <c r="J385" s="1803">
        <f>SUMIF(InsumosCultivos!$B$45:$B$1151,$B317,InsumosCultivos!$P$45:$P$1151)</f>
        <v>0</v>
      </c>
      <c r="K385" s="1803">
        <f>SUMIF(InsumosCultivos!$B$45:$B$1151,$B317,InsumosCultivos!$Q$45:$Q$1151)</f>
        <v>0</v>
      </c>
      <c r="L385" s="1803">
        <f>SUMIF(InsumosCultivos!$B$45:$B$1151,$B317,InsumosCultivos!$R$45:$R$1151)</f>
        <v>0</v>
      </c>
      <c r="M385" s="1803">
        <f>SUMIF(InsumosCultivos!$B$45:$B$1151,$B317,InsumosCultivos!$S$45:$S$1151)</f>
        <v>0</v>
      </c>
      <c r="N385" s="1803">
        <f>SUMIF(InsumosCultivos!$B$45:$B$1151,$B317,InsumosCultivos!$T$45:$T$1151)</f>
        <v>0</v>
      </c>
      <c r="O385" s="1321"/>
      <c r="P385" s="1803">
        <f>SUMIF(InsumosCultivos!$Y$45:$Y$529,$B317,InsumosCultivos!$AF$45:$AF$529)</f>
        <v>0</v>
      </c>
      <c r="Q385" s="1803">
        <f>SUMIF(InsumosCultivos!$Y$45:$Y$529,$B317,InsumosCultivos!$AG$45:$AG$529)</f>
        <v>0</v>
      </c>
      <c r="R385" s="1803">
        <f>SUMIF(InsumosCultivos!$Y$45:$Y$529,$B317,InsumosCultivos!$AH$45:$AH$529)</f>
        <v>0</v>
      </c>
      <c r="S385" s="1803">
        <f>SUMIF(InsumosCultivos!$Y$45:$Y$529,$B317,InsumosCultivos!$AI$45:$AI$529)</f>
        <v>0</v>
      </c>
      <c r="T385" s="1803">
        <f>SUMIF(InsumosCultivos!$Y$45:$Y$529,$B317,InsumosCultivos!$AJ$45:$AJ$529)</f>
        <v>0</v>
      </c>
      <c r="U385" s="1803">
        <f>SUMIF(InsumosCultivos!$Y$45:$Y$529,$B317,InsumosCultivos!$AK$45:$AK$529)</f>
        <v>0</v>
      </c>
      <c r="V385" s="1803">
        <f>SUMIF(InsumosCultivos!$Y$45:$Y$529,$B317,InsumosCultivos!$AL$45:$AL$529)</f>
        <v>0</v>
      </c>
      <c r="W385" s="1803">
        <f>SUMIF(InsumosCultivos!$Y$45:$Y$529,$B317,InsumosCultivos!$AM$45:$AM$529)</f>
        <v>0</v>
      </c>
      <c r="X385" s="1803">
        <f>SUMIF(InsumosCultivos!$Y$45:$Y$529,$B317,InsumosCultivos!$AN$45:$AN$529)</f>
        <v>0</v>
      </c>
      <c r="Y385" s="1803">
        <f>SUMIF(InsumosCultivos!$Y$45:$Y$529,$B317,InsumosCultivos!$AO$45:$AO$529)</f>
        <v>0</v>
      </c>
      <c r="Z385" s="1803">
        <f>SUMIF(InsumosCultivos!$Y$45:$Y$529,$B317,InsumosCultivos!$AP$45:$AP$529)</f>
        <v>0</v>
      </c>
      <c r="AA385" s="1803">
        <f>SUMIF(InsumosCultivos!$Y$45:$Y$529,$B317,InsumosCultivos!$AQ$45:$AQ$529)</f>
        <v>0</v>
      </c>
      <c r="AB385" s="1321"/>
      <c r="AC385" s="1803">
        <f t="shared" si="22"/>
        <v>0</v>
      </c>
      <c r="AD385" s="1803">
        <f t="shared" si="23"/>
        <v>0</v>
      </c>
      <c r="AE385" s="1803">
        <f t="shared" si="24"/>
        <v>0</v>
      </c>
      <c r="AF385" s="1803">
        <f t="shared" si="25"/>
        <v>0</v>
      </c>
      <c r="AG385" s="1803">
        <f t="shared" si="26"/>
        <v>0</v>
      </c>
      <c r="AH385" s="1803">
        <f t="shared" si="27"/>
        <v>0</v>
      </c>
      <c r="AI385" s="1803">
        <f t="shared" si="28"/>
        <v>0</v>
      </c>
      <c r="AJ385" s="1803">
        <f t="shared" si="29"/>
        <v>0</v>
      </c>
      <c r="AK385" s="1803">
        <f t="shared" si="30"/>
        <v>0</v>
      </c>
      <c r="AL385" s="1803">
        <f t="shared" si="31"/>
        <v>0</v>
      </c>
      <c r="AM385" s="1803">
        <f t="shared" si="32"/>
        <v>0</v>
      </c>
      <c r="AN385" s="1803">
        <f t="shared" si="33"/>
        <v>0</v>
      </c>
      <c r="AO385" s="950"/>
      <c r="AP385" s="950"/>
      <c r="AQ385" s="950"/>
      <c r="AR385" s="950"/>
      <c r="AS385" s="950"/>
      <c r="AT385" s="950"/>
      <c r="AU385" s="1321"/>
    </row>
    <row r="386" spans="3:47" s="232" customFormat="1" hidden="1" x14ac:dyDescent="0.2">
      <c r="C386" s="1803">
        <f>SUMIF(InsumosCultivos!$B$45:$B$1151,$B318,InsumosCultivos!$I$45:$I$1151)</f>
        <v>0</v>
      </c>
      <c r="D386" s="1803">
        <f>SUMIF(InsumosCultivos!$B$45:$B$1151,$B318,InsumosCultivos!$J$45:$J$1151)</f>
        <v>0</v>
      </c>
      <c r="E386" s="1803">
        <f>SUMIF(InsumosCultivos!$B$45:$B$1151,$B318,InsumosCultivos!$K$45:$K$1151)</f>
        <v>0</v>
      </c>
      <c r="F386" s="1803">
        <f>SUMIF(InsumosCultivos!$B$45:$B$1151,$B318,InsumosCultivos!$L$45:$L$1151)</f>
        <v>0</v>
      </c>
      <c r="G386" s="1803">
        <f>SUMIF(InsumosCultivos!$B$45:$B$1151,$B318,InsumosCultivos!$M$45:$M$1151)</f>
        <v>0</v>
      </c>
      <c r="H386" s="1803">
        <f>SUMIF(InsumosCultivos!$B$45:$B$1151,$B318,InsumosCultivos!$N$45:$N$1151)</f>
        <v>0</v>
      </c>
      <c r="I386" s="1803">
        <f>SUMIF(InsumosCultivos!$B$45:$B$1151,$B318,InsumosCultivos!$O$45:$O$1151)</f>
        <v>0</v>
      </c>
      <c r="J386" s="1803">
        <f>SUMIF(InsumosCultivos!$B$45:$B$1151,$B318,InsumosCultivos!$P$45:$P$1151)</f>
        <v>0</v>
      </c>
      <c r="K386" s="1803">
        <f>SUMIF(InsumosCultivos!$B$45:$B$1151,$B318,InsumosCultivos!$Q$45:$Q$1151)</f>
        <v>0</v>
      </c>
      <c r="L386" s="1803">
        <f>SUMIF(InsumosCultivos!$B$45:$B$1151,$B318,InsumosCultivos!$R$45:$R$1151)</f>
        <v>0</v>
      </c>
      <c r="M386" s="1803">
        <f>SUMIF(InsumosCultivos!$B$45:$B$1151,$B318,InsumosCultivos!$S$45:$S$1151)</f>
        <v>0</v>
      </c>
      <c r="N386" s="1803">
        <f>SUMIF(InsumosCultivos!$B$45:$B$1151,$B318,InsumosCultivos!$T$45:$T$1151)</f>
        <v>0</v>
      </c>
      <c r="O386" s="1321"/>
      <c r="P386" s="1803">
        <f>SUMIF(InsumosCultivos!$Y$45:$Y$529,$B318,InsumosCultivos!$AF$45:$AF$529)</f>
        <v>0</v>
      </c>
      <c r="Q386" s="1803">
        <f>SUMIF(InsumosCultivos!$Y$45:$Y$529,$B318,InsumosCultivos!$AG$45:$AG$529)</f>
        <v>0</v>
      </c>
      <c r="R386" s="1803">
        <f>SUMIF(InsumosCultivos!$Y$45:$Y$529,$B318,InsumosCultivos!$AH$45:$AH$529)</f>
        <v>0</v>
      </c>
      <c r="S386" s="1803">
        <f>SUMIF(InsumosCultivos!$Y$45:$Y$529,$B318,InsumosCultivos!$AI$45:$AI$529)</f>
        <v>0</v>
      </c>
      <c r="T386" s="1803">
        <f>SUMIF(InsumosCultivos!$Y$45:$Y$529,$B318,InsumosCultivos!$AJ$45:$AJ$529)</f>
        <v>0</v>
      </c>
      <c r="U386" s="1803">
        <f>SUMIF(InsumosCultivos!$Y$45:$Y$529,$B318,InsumosCultivos!$AK$45:$AK$529)</f>
        <v>0</v>
      </c>
      <c r="V386" s="1803">
        <f>SUMIF(InsumosCultivos!$Y$45:$Y$529,$B318,InsumosCultivos!$AL$45:$AL$529)</f>
        <v>0</v>
      </c>
      <c r="W386" s="1803">
        <f>SUMIF(InsumosCultivos!$Y$45:$Y$529,$B318,InsumosCultivos!$AM$45:$AM$529)</f>
        <v>0</v>
      </c>
      <c r="X386" s="1803">
        <f>SUMIF(InsumosCultivos!$Y$45:$Y$529,$B318,InsumosCultivos!$AN$45:$AN$529)</f>
        <v>0</v>
      </c>
      <c r="Y386" s="1803">
        <f>SUMIF(InsumosCultivos!$Y$45:$Y$529,$B318,InsumosCultivos!$AO$45:$AO$529)</f>
        <v>0</v>
      </c>
      <c r="Z386" s="1803">
        <f>SUMIF(InsumosCultivos!$Y$45:$Y$529,$B318,InsumosCultivos!$AP$45:$AP$529)</f>
        <v>0</v>
      </c>
      <c r="AA386" s="1803">
        <f>SUMIF(InsumosCultivos!$Y$45:$Y$529,$B318,InsumosCultivos!$AQ$45:$AQ$529)</f>
        <v>0</v>
      </c>
      <c r="AB386" s="1321"/>
      <c r="AC386" s="1803">
        <f t="shared" si="22"/>
        <v>0</v>
      </c>
      <c r="AD386" s="1803">
        <f t="shared" si="23"/>
        <v>0</v>
      </c>
      <c r="AE386" s="1803">
        <f t="shared" si="24"/>
        <v>0</v>
      </c>
      <c r="AF386" s="1803">
        <f t="shared" si="25"/>
        <v>0</v>
      </c>
      <c r="AG386" s="1803">
        <f t="shared" si="26"/>
        <v>0</v>
      </c>
      <c r="AH386" s="1803">
        <f t="shared" si="27"/>
        <v>0</v>
      </c>
      <c r="AI386" s="1803">
        <f t="shared" si="28"/>
        <v>0</v>
      </c>
      <c r="AJ386" s="1803">
        <f t="shared" si="29"/>
        <v>0</v>
      </c>
      <c r="AK386" s="1803">
        <f t="shared" si="30"/>
        <v>0</v>
      </c>
      <c r="AL386" s="1803">
        <f t="shared" si="31"/>
        <v>0</v>
      </c>
      <c r="AM386" s="1803">
        <f t="shared" si="32"/>
        <v>0</v>
      </c>
      <c r="AN386" s="1803">
        <f t="shared" si="33"/>
        <v>0</v>
      </c>
      <c r="AO386" s="950"/>
      <c r="AP386" s="950"/>
      <c r="AQ386" s="950"/>
      <c r="AR386" s="950"/>
      <c r="AS386" s="950"/>
      <c r="AT386" s="950"/>
      <c r="AU386" s="1321"/>
    </row>
    <row r="387" spans="3:47" s="232" customFormat="1" hidden="1" x14ac:dyDescent="0.2">
      <c r="C387" s="1803">
        <f>SUMIF(InsumosCultivos!$B$45:$B$1151,$B319,InsumosCultivos!$I$45:$I$1151)</f>
        <v>0</v>
      </c>
      <c r="D387" s="1803">
        <f>SUMIF(InsumosCultivos!$B$45:$B$1151,$B319,InsumosCultivos!$J$45:$J$1151)</f>
        <v>0</v>
      </c>
      <c r="E387" s="1803">
        <f>SUMIF(InsumosCultivos!$B$45:$B$1151,$B319,InsumosCultivos!$K$45:$K$1151)</f>
        <v>0</v>
      </c>
      <c r="F387" s="1803">
        <f>SUMIF(InsumosCultivos!$B$45:$B$1151,$B319,InsumosCultivos!$L$45:$L$1151)</f>
        <v>0</v>
      </c>
      <c r="G387" s="1803">
        <f>SUMIF(InsumosCultivos!$B$45:$B$1151,$B319,InsumosCultivos!$M$45:$M$1151)</f>
        <v>0</v>
      </c>
      <c r="H387" s="1803">
        <f>SUMIF(InsumosCultivos!$B$45:$B$1151,$B319,InsumosCultivos!$N$45:$N$1151)</f>
        <v>0</v>
      </c>
      <c r="I387" s="1803">
        <f>SUMIF(InsumosCultivos!$B$45:$B$1151,$B319,InsumosCultivos!$O$45:$O$1151)</f>
        <v>0</v>
      </c>
      <c r="J387" s="1803">
        <f>SUMIF(InsumosCultivos!$B$45:$B$1151,$B319,InsumosCultivos!$P$45:$P$1151)</f>
        <v>0</v>
      </c>
      <c r="K387" s="1803">
        <f>SUMIF(InsumosCultivos!$B$45:$B$1151,$B319,InsumosCultivos!$Q$45:$Q$1151)</f>
        <v>0</v>
      </c>
      <c r="L387" s="1803">
        <f>SUMIF(InsumosCultivos!$B$45:$B$1151,$B319,InsumosCultivos!$R$45:$R$1151)</f>
        <v>0</v>
      </c>
      <c r="M387" s="1803">
        <f>SUMIF(InsumosCultivos!$B$45:$B$1151,$B319,InsumosCultivos!$S$45:$S$1151)</f>
        <v>0</v>
      </c>
      <c r="N387" s="1803">
        <f>SUMIF(InsumosCultivos!$B$45:$B$1151,$B319,InsumosCultivos!$T$45:$T$1151)</f>
        <v>0</v>
      </c>
      <c r="O387" s="1321"/>
      <c r="P387" s="1803">
        <f>SUMIF(InsumosCultivos!$Y$45:$Y$529,$B319,InsumosCultivos!$AF$45:$AF$529)</f>
        <v>0</v>
      </c>
      <c r="Q387" s="1803">
        <f>SUMIF(InsumosCultivos!$Y$45:$Y$529,$B319,InsumosCultivos!$AG$45:$AG$529)</f>
        <v>0</v>
      </c>
      <c r="R387" s="1803">
        <f>SUMIF(InsumosCultivos!$Y$45:$Y$529,$B319,InsumosCultivos!$AH$45:$AH$529)</f>
        <v>0</v>
      </c>
      <c r="S387" s="1803">
        <f>SUMIF(InsumosCultivos!$Y$45:$Y$529,$B319,InsumosCultivos!$AI$45:$AI$529)</f>
        <v>0</v>
      </c>
      <c r="T387" s="1803">
        <f>SUMIF(InsumosCultivos!$Y$45:$Y$529,$B319,InsumosCultivos!$AJ$45:$AJ$529)</f>
        <v>0</v>
      </c>
      <c r="U387" s="1803">
        <f>SUMIF(InsumosCultivos!$Y$45:$Y$529,$B319,InsumosCultivos!$AK$45:$AK$529)</f>
        <v>0</v>
      </c>
      <c r="V387" s="1803">
        <f>SUMIF(InsumosCultivos!$Y$45:$Y$529,$B319,InsumosCultivos!$AL$45:$AL$529)</f>
        <v>0</v>
      </c>
      <c r="W387" s="1803">
        <f>SUMIF(InsumosCultivos!$Y$45:$Y$529,$B319,InsumosCultivos!$AM$45:$AM$529)</f>
        <v>0</v>
      </c>
      <c r="X387" s="1803">
        <f>SUMIF(InsumosCultivos!$Y$45:$Y$529,$B319,InsumosCultivos!$AN$45:$AN$529)</f>
        <v>0</v>
      </c>
      <c r="Y387" s="1803">
        <f>SUMIF(InsumosCultivos!$Y$45:$Y$529,$B319,InsumosCultivos!$AO$45:$AO$529)</f>
        <v>0</v>
      </c>
      <c r="Z387" s="1803">
        <f>SUMIF(InsumosCultivos!$Y$45:$Y$529,$B319,InsumosCultivos!$AP$45:$AP$529)</f>
        <v>0</v>
      </c>
      <c r="AA387" s="1803">
        <f>SUMIF(InsumosCultivos!$Y$45:$Y$529,$B319,InsumosCultivos!$AQ$45:$AQ$529)</f>
        <v>0</v>
      </c>
      <c r="AB387" s="1321"/>
      <c r="AC387" s="1803">
        <f t="shared" si="22"/>
        <v>0</v>
      </c>
      <c r="AD387" s="1803">
        <f t="shared" si="23"/>
        <v>0</v>
      </c>
      <c r="AE387" s="1803">
        <f t="shared" si="24"/>
        <v>0</v>
      </c>
      <c r="AF387" s="1803">
        <f t="shared" si="25"/>
        <v>0</v>
      </c>
      <c r="AG387" s="1803">
        <f t="shared" si="26"/>
        <v>0</v>
      </c>
      <c r="AH387" s="1803">
        <f t="shared" si="27"/>
        <v>0</v>
      </c>
      <c r="AI387" s="1803">
        <f t="shared" si="28"/>
        <v>0</v>
      </c>
      <c r="AJ387" s="1803">
        <f t="shared" si="29"/>
        <v>0</v>
      </c>
      <c r="AK387" s="1803">
        <f t="shared" si="30"/>
        <v>0</v>
      </c>
      <c r="AL387" s="1803">
        <f t="shared" si="31"/>
        <v>0</v>
      </c>
      <c r="AM387" s="1803">
        <f t="shared" si="32"/>
        <v>0</v>
      </c>
      <c r="AN387" s="1803">
        <f t="shared" si="33"/>
        <v>0</v>
      </c>
      <c r="AO387" s="950"/>
      <c r="AP387" s="950"/>
      <c r="AQ387" s="950"/>
      <c r="AR387" s="950"/>
      <c r="AS387" s="950"/>
      <c r="AT387" s="950"/>
      <c r="AU387" s="1321"/>
    </row>
    <row r="388" spans="3:47" s="232" customFormat="1" hidden="1" x14ac:dyDescent="0.2">
      <c r="C388" s="1803">
        <f>SUMIF(InsumosCultivos!$B$45:$B$1151,$B320,InsumosCultivos!$I$45:$I$1151)</f>
        <v>0</v>
      </c>
      <c r="D388" s="1803">
        <f>SUMIF(InsumosCultivos!$B$45:$B$1151,$B320,InsumosCultivos!$J$45:$J$1151)</f>
        <v>0</v>
      </c>
      <c r="E388" s="1803">
        <f>SUMIF(InsumosCultivos!$B$45:$B$1151,$B320,InsumosCultivos!$K$45:$K$1151)</f>
        <v>0</v>
      </c>
      <c r="F388" s="1803">
        <f>SUMIF(InsumosCultivos!$B$45:$B$1151,$B320,InsumosCultivos!$L$45:$L$1151)</f>
        <v>0</v>
      </c>
      <c r="G388" s="1803">
        <f>SUMIF(InsumosCultivos!$B$45:$B$1151,$B320,InsumosCultivos!$M$45:$M$1151)</f>
        <v>0</v>
      </c>
      <c r="H388" s="1803">
        <f>SUMIF(InsumosCultivos!$B$45:$B$1151,$B320,InsumosCultivos!$N$45:$N$1151)</f>
        <v>0</v>
      </c>
      <c r="I388" s="1803">
        <f>SUMIF(InsumosCultivos!$B$45:$B$1151,$B320,InsumosCultivos!$O$45:$O$1151)</f>
        <v>0</v>
      </c>
      <c r="J388" s="1803">
        <f>SUMIF(InsumosCultivos!$B$45:$B$1151,$B320,InsumosCultivos!$P$45:$P$1151)</f>
        <v>0</v>
      </c>
      <c r="K388" s="1803">
        <f>SUMIF(InsumosCultivos!$B$45:$B$1151,$B320,InsumosCultivos!$Q$45:$Q$1151)</f>
        <v>0</v>
      </c>
      <c r="L388" s="1803">
        <f>SUMIF(InsumosCultivos!$B$45:$B$1151,$B320,InsumosCultivos!$R$45:$R$1151)</f>
        <v>0</v>
      </c>
      <c r="M388" s="1803">
        <f>SUMIF(InsumosCultivos!$B$45:$B$1151,$B320,InsumosCultivos!$S$45:$S$1151)</f>
        <v>0</v>
      </c>
      <c r="N388" s="1803">
        <f>SUMIF(InsumosCultivos!$B$45:$B$1151,$B320,InsumosCultivos!$T$45:$T$1151)</f>
        <v>0</v>
      </c>
      <c r="O388" s="1321"/>
      <c r="P388" s="1803">
        <f>SUMIF(InsumosCultivos!$Y$45:$Y$529,$B320,InsumosCultivos!$AF$45:$AF$529)</f>
        <v>0</v>
      </c>
      <c r="Q388" s="1803">
        <f>SUMIF(InsumosCultivos!$Y$45:$Y$529,$B320,InsumosCultivos!$AG$45:$AG$529)</f>
        <v>0</v>
      </c>
      <c r="R388" s="1803">
        <f>SUMIF(InsumosCultivos!$Y$45:$Y$529,$B320,InsumosCultivos!$AH$45:$AH$529)</f>
        <v>0</v>
      </c>
      <c r="S388" s="1803">
        <f>SUMIF(InsumosCultivos!$Y$45:$Y$529,$B320,InsumosCultivos!$AI$45:$AI$529)</f>
        <v>0</v>
      </c>
      <c r="T388" s="1803">
        <f>SUMIF(InsumosCultivos!$Y$45:$Y$529,$B320,InsumosCultivos!$AJ$45:$AJ$529)</f>
        <v>0</v>
      </c>
      <c r="U388" s="1803">
        <f>SUMIF(InsumosCultivos!$Y$45:$Y$529,$B320,InsumosCultivos!$AK$45:$AK$529)</f>
        <v>0</v>
      </c>
      <c r="V388" s="1803">
        <f>SUMIF(InsumosCultivos!$Y$45:$Y$529,$B320,InsumosCultivos!$AL$45:$AL$529)</f>
        <v>0</v>
      </c>
      <c r="W388" s="1803">
        <f>SUMIF(InsumosCultivos!$Y$45:$Y$529,$B320,InsumosCultivos!$AM$45:$AM$529)</f>
        <v>0</v>
      </c>
      <c r="X388" s="1803">
        <f>SUMIF(InsumosCultivos!$Y$45:$Y$529,$B320,InsumosCultivos!$AN$45:$AN$529)</f>
        <v>0</v>
      </c>
      <c r="Y388" s="1803">
        <f>SUMIF(InsumosCultivos!$Y$45:$Y$529,$B320,InsumosCultivos!$AO$45:$AO$529)</f>
        <v>0</v>
      </c>
      <c r="Z388" s="1803">
        <f>SUMIF(InsumosCultivos!$Y$45:$Y$529,$B320,InsumosCultivos!$AP$45:$AP$529)</f>
        <v>0</v>
      </c>
      <c r="AA388" s="1803">
        <f>SUMIF(InsumosCultivos!$Y$45:$Y$529,$B320,InsumosCultivos!$AQ$45:$AQ$529)</f>
        <v>0</v>
      </c>
      <c r="AB388" s="1321"/>
      <c r="AC388" s="1803">
        <f t="shared" si="22"/>
        <v>0</v>
      </c>
      <c r="AD388" s="1803">
        <f t="shared" si="23"/>
        <v>0</v>
      </c>
      <c r="AE388" s="1803">
        <f t="shared" si="24"/>
        <v>0</v>
      </c>
      <c r="AF388" s="1803">
        <f t="shared" si="25"/>
        <v>0</v>
      </c>
      <c r="AG388" s="1803">
        <f t="shared" si="26"/>
        <v>0</v>
      </c>
      <c r="AH388" s="1803">
        <f t="shared" si="27"/>
        <v>0</v>
      </c>
      <c r="AI388" s="1803">
        <f t="shared" si="28"/>
        <v>0</v>
      </c>
      <c r="AJ388" s="1803">
        <f t="shared" si="29"/>
        <v>0</v>
      </c>
      <c r="AK388" s="1803">
        <f t="shared" si="30"/>
        <v>0</v>
      </c>
      <c r="AL388" s="1803">
        <f t="shared" si="31"/>
        <v>0</v>
      </c>
      <c r="AM388" s="1803">
        <f t="shared" si="32"/>
        <v>0</v>
      </c>
      <c r="AN388" s="1803">
        <f t="shared" si="33"/>
        <v>0</v>
      </c>
      <c r="AO388" s="950"/>
      <c r="AP388" s="950"/>
      <c r="AQ388" s="950"/>
      <c r="AR388" s="950"/>
      <c r="AS388" s="950"/>
      <c r="AT388" s="950"/>
      <c r="AU388" s="1321"/>
    </row>
    <row r="389" spans="3:47" s="2364" customFormat="1" hidden="1" x14ac:dyDescent="0.2">
      <c r="C389" s="1803">
        <f>SUMIF(InsumosCultivos!$B$45:$B$1151,$B321,InsumosCultivos!$I$45:$I$1151)</f>
        <v>0</v>
      </c>
      <c r="D389" s="1803">
        <f>SUMIF(InsumosCultivos!$B$45:$B$1151,$B321,InsumosCultivos!$J$45:$J$1151)</f>
        <v>0</v>
      </c>
      <c r="E389" s="1803">
        <f>SUMIF(InsumosCultivos!$B$45:$B$1151,$B321,InsumosCultivos!$K$45:$K$1151)</f>
        <v>0</v>
      </c>
      <c r="F389" s="1803">
        <f>SUMIF(InsumosCultivos!$B$45:$B$1151,$B321,InsumosCultivos!$L$45:$L$1151)</f>
        <v>0</v>
      </c>
      <c r="G389" s="1803">
        <f>SUMIF(InsumosCultivos!$B$45:$B$1151,$B321,InsumosCultivos!$M$45:$M$1151)</f>
        <v>0</v>
      </c>
      <c r="H389" s="1803">
        <f>SUMIF(InsumosCultivos!$B$45:$B$1151,$B321,InsumosCultivos!$N$45:$N$1151)</f>
        <v>0</v>
      </c>
      <c r="I389" s="1803">
        <f>SUMIF(InsumosCultivos!$B$45:$B$1151,$B321,InsumosCultivos!$O$45:$O$1151)</f>
        <v>0</v>
      </c>
      <c r="J389" s="1803">
        <f>SUMIF(InsumosCultivos!$B$45:$B$1151,$B321,InsumosCultivos!$P$45:$P$1151)</f>
        <v>0</v>
      </c>
      <c r="K389" s="1803">
        <f>SUMIF(InsumosCultivos!$B$45:$B$1151,$B321,InsumosCultivos!$Q$45:$Q$1151)</f>
        <v>0</v>
      </c>
      <c r="L389" s="1803">
        <f>SUMIF(InsumosCultivos!$B$45:$B$1151,$B321,InsumosCultivos!$R$45:$R$1151)</f>
        <v>0</v>
      </c>
      <c r="M389" s="1803">
        <f>SUMIF(InsumosCultivos!$B$45:$B$1151,$B321,InsumosCultivos!$S$45:$S$1151)</f>
        <v>0</v>
      </c>
      <c r="N389" s="1803">
        <f>SUMIF(InsumosCultivos!$B$45:$B$1151,$B321,InsumosCultivos!$T$45:$T$1151)</f>
        <v>0</v>
      </c>
      <c r="O389" s="2362"/>
      <c r="P389" s="2361">
        <f>SUMIF(InsumosCultivos!$Y$45:$Y$529,$B321,InsumosCultivos!$AF$45:$AF$529)</f>
        <v>0</v>
      </c>
      <c r="Q389" s="2361">
        <f>SUMIF(InsumosCultivos!$Y$45:$Y$529,$B321,InsumosCultivos!$AG$45:$AG$529)</f>
        <v>0</v>
      </c>
      <c r="R389" s="2361">
        <f>SUMIF(InsumosCultivos!$Y$45:$Y$529,$B321,InsumosCultivos!$AH$45:$AH$529)</f>
        <v>0</v>
      </c>
      <c r="S389" s="2361">
        <f>SUMIF(InsumosCultivos!$Y$45:$Y$529,$B321,InsumosCultivos!$AI$45:$AI$529)</f>
        <v>0</v>
      </c>
      <c r="T389" s="2361">
        <f>SUMIF(InsumosCultivos!$Y$45:$Y$529,$B321,InsumosCultivos!$AJ$45:$AJ$529)</f>
        <v>0</v>
      </c>
      <c r="U389" s="2361">
        <f>SUMIF(InsumosCultivos!$Y$45:$Y$529,$B321,InsumosCultivos!$AK$45:$AK$529)</f>
        <v>0</v>
      </c>
      <c r="V389" s="2361">
        <f>SUMIF(InsumosCultivos!$Y$45:$Y$529,$B321,InsumosCultivos!$AL$45:$AL$529)</f>
        <v>0</v>
      </c>
      <c r="W389" s="2361">
        <f>SUMIF(InsumosCultivos!$Y$45:$Y$529,$B321,InsumosCultivos!$AM$45:$AM$529)</f>
        <v>0</v>
      </c>
      <c r="X389" s="2361">
        <f>SUMIF(InsumosCultivos!$Y$45:$Y$529,$B321,InsumosCultivos!$AN$45:$AN$529)</f>
        <v>0</v>
      </c>
      <c r="Y389" s="2361">
        <f>SUMIF(InsumosCultivos!$Y$45:$Y$529,$B321,InsumosCultivos!$AO$45:$AO$529)</f>
        <v>0</v>
      </c>
      <c r="Z389" s="2361">
        <f>SUMIF(InsumosCultivos!$Y$45:$Y$529,$B321,InsumosCultivos!$AP$45:$AP$529)</f>
        <v>0</v>
      </c>
      <c r="AA389" s="2361">
        <f>SUMIF(InsumosCultivos!$Y$45:$Y$529,$B321,InsumosCultivos!$AQ$45:$AQ$529)</f>
        <v>0</v>
      </c>
      <c r="AB389" s="2362"/>
      <c r="AC389" s="2361">
        <f t="shared" si="22"/>
        <v>0</v>
      </c>
      <c r="AD389" s="2361">
        <f t="shared" si="23"/>
        <v>0</v>
      </c>
      <c r="AE389" s="2361">
        <f t="shared" si="24"/>
        <v>0</v>
      </c>
      <c r="AF389" s="2361">
        <f t="shared" si="25"/>
        <v>0</v>
      </c>
      <c r="AG389" s="2361">
        <f t="shared" si="26"/>
        <v>0</v>
      </c>
      <c r="AH389" s="2361">
        <f t="shared" si="27"/>
        <v>0</v>
      </c>
      <c r="AI389" s="2361">
        <f t="shared" si="28"/>
        <v>0</v>
      </c>
      <c r="AJ389" s="2361">
        <f t="shared" si="29"/>
        <v>0</v>
      </c>
      <c r="AK389" s="2361">
        <f t="shared" si="30"/>
        <v>0</v>
      </c>
      <c r="AL389" s="2361">
        <f t="shared" si="31"/>
        <v>0</v>
      </c>
      <c r="AM389" s="2361">
        <f t="shared" si="32"/>
        <v>0</v>
      </c>
      <c r="AN389" s="2361">
        <f t="shared" si="33"/>
        <v>0</v>
      </c>
      <c r="AO389" s="2363"/>
      <c r="AP389" s="2363"/>
      <c r="AQ389" s="2363"/>
      <c r="AR389" s="2363"/>
      <c r="AS389" s="2363"/>
      <c r="AT389" s="2363"/>
      <c r="AU389" s="2362"/>
    </row>
    <row r="390" spans="3:47" s="232" customFormat="1" hidden="1" x14ac:dyDescent="0.2">
      <c r="C390" s="1803">
        <f>SUMIF(InsumosCultivos!$B$45:$B$1151,$B322,InsumosCultivos!$I$45:$I$1151)</f>
        <v>0</v>
      </c>
      <c r="D390" s="1803">
        <f>SUMIF(InsumosCultivos!$B$45:$B$1151,$B322,InsumosCultivos!$J$45:$J$1151)</f>
        <v>0</v>
      </c>
      <c r="E390" s="1803">
        <f>SUMIF(InsumosCultivos!$B$45:$B$1151,$B322,InsumosCultivos!$K$45:$K$1151)</f>
        <v>0</v>
      </c>
      <c r="F390" s="1803">
        <f>SUMIF(InsumosCultivos!$B$45:$B$1151,$B322,InsumosCultivos!$L$45:$L$1151)</f>
        <v>0</v>
      </c>
      <c r="G390" s="1803">
        <f>SUMIF(InsumosCultivos!$B$45:$B$1151,$B322,InsumosCultivos!$M$45:$M$1151)</f>
        <v>0</v>
      </c>
      <c r="H390" s="1803">
        <f>SUMIF(InsumosCultivos!$B$45:$B$1151,$B322,InsumosCultivos!$N$45:$N$1151)</f>
        <v>0</v>
      </c>
      <c r="I390" s="1803">
        <f>SUMIF(InsumosCultivos!$B$45:$B$1151,$B322,InsumosCultivos!$O$45:$O$1151)</f>
        <v>0</v>
      </c>
      <c r="J390" s="1803">
        <f>SUMIF(InsumosCultivos!$B$45:$B$1151,$B322,InsumosCultivos!$P$45:$P$1151)</f>
        <v>0</v>
      </c>
      <c r="K390" s="1803">
        <f>SUMIF(InsumosCultivos!$B$45:$B$1151,$B322,InsumosCultivos!$Q$45:$Q$1151)</f>
        <v>0</v>
      </c>
      <c r="L390" s="1803">
        <f>SUMIF(InsumosCultivos!$B$45:$B$1151,$B322,InsumosCultivos!$R$45:$R$1151)</f>
        <v>0</v>
      </c>
      <c r="M390" s="1803">
        <f>SUMIF(InsumosCultivos!$B$45:$B$1151,$B322,InsumosCultivos!$S$45:$S$1151)</f>
        <v>0</v>
      </c>
      <c r="N390" s="1803">
        <f>SUMIF(InsumosCultivos!$B$45:$B$1151,$B322,InsumosCultivos!$T$45:$T$1151)</f>
        <v>0</v>
      </c>
      <c r="O390" s="1321"/>
      <c r="P390" s="1803">
        <f>SUMIF(InsumosCultivos!$Y$45:$Y$529,$B322,InsumosCultivos!$AF$45:$AF$529)</f>
        <v>0</v>
      </c>
      <c r="Q390" s="1803">
        <f>SUMIF(InsumosCultivos!$Y$45:$Y$529,$B322,InsumosCultivos!$AG$45:$AG$529)</f>
        <v>0</v>
      </c>
      <c r="R390" s="1803">
        <f>SUMIF(InsumosCultivos!$Y$45:$Y$529,$B322,InsumosCultivos!$AH$45:$AH$529)</f>
        <v>0</v>
      </c>
      <c r="S390" s="1803">
        <f>SUMIF(InsumosCultivos!$Y$45:$Y$529,$B322,InsumosCultivos!$AI$45:$AI$529)</f>
        <v>0</v>
      </c>
      <c r="T390" s="1803">
        <f>SUMIF(InsumosCultivos!$Y$45:$Y$529,$B322,InsumosCultivos!$AJ$45:$AJ$529)</f>
        <v>0</v>
      </c>
      <c r="U390" s="1803">
        <f>SUMIF(InsumosCultivos!$Y$45:$Y$529,$B322,InsumosCultivos!$AK$45:$AK$529)</f>
        <v>0</v>
      </c>
      <c r="V390" s="1803">
        <f>SUMIF(InsumosCultivos!$Y$45:$Y$529,$B322,InsumosCultivos!$AL$45:$AL$529)</f>
        <v>0</v>
      </c>
      <c r="W390" s="1803">
        <f>SUMIF(InsumosCultivos!$Y$45:$Y$529,$B322,InsumosCultivos!$AM$45:$AM$529)</f>
        <v>0</v>
      </c>
      <c r="X390" s="1803">
        <f>SUMIF(InsumosCultivos!$Y$45:$Y$529,$B322,InsumosCultivos!$AN$45:$AN$529)</f>
        <v>0</v>
      </c>
      <c r="Y390" s="1803">
        <f>SUMIF(InsumosCultivos!$Y$45:$Y$529,$B322,InsumosCultivos!$AO$45:$AO$529)</f>
        <v>0</v>
      </c>
      <c r="Z390" s="1803">
        <f>SUMIF(InsumosCultivos!$Y$45:$Y$529,$B322,InsumosCultivos!$AP$45:$AP$529)</f>
        <v>0</v>
      </c>
      <c r="AA390" s="1803">
        <f>SUMIF(InsumosCultivos!$Y$45:$Y$529,$B322,InsumosCultivos!$AQ$45:$AQ$529)</f>
        <v>0</v>
      </c>
      <c r="AB390" s="1321"/>
      <c r="AC390" s="1803">
        <f t="shared" si="22"/>
        <v>0</v>
      </c>
      <c r="AD390" s="1803">
        <f t="shared" si="23"/>
        <v>0</v>
      </c>
      <c r="AE390" s="1803">
        <f t="shared" si="24"/>
        <v>0</v>
      </c>
      <c r="AF390" s="1803">
        <f t="shared" si="25"/>
        <v>0</v>
      </c>
      <c r="AG390" s="1803">
        <f t="shared" si="26"/>
        <v>0</v>
      </c>
      <c r="AH390" s="1803">
        <f t="shared" si="27"/>
        <v>0</v>
      </c>
      <c r="AI390" s="1803">
        <f t="shared" si="28"/>
        <v>0</v>
      </c>
      <c r="AJ390" s="1803">
        <f t="shared" si="29"/>
        <v>0</v>
      </c>
      <c r="AK390" s="1803">
        <f t="shared" si="30"/>
        <v>0</v>
      </c>
      <c r="AL390" s="1803">
        <f t="shared" si="31"/>
        <v>0</v>
      </c>
      <c r="AM390" s="1803">
        <f t="shared" si="32"/>
        <v>0</v>
      </c>
      <c r="AN390" s="1803">
        <f t="shared" si="33"/>
        <v>0</v>
      </c>
      <c r="AO390" s="950"/>
      <c r="AP390" s="950"/>
      <c r="AQ390" s="950"/>
      <c r="AR390" s="950"/>
      <c r="AS390" s="950"/>
      <c r="AT390" s="950"/>
      <c r="AU390" s="1321"/>
    </row>
    <row r="391" spans="3:47" s="232" customFormat="1" hidden="1" x14ac:dyDescent="0.2">
      <c r="C391" s="1803">
        <f>SUMIF(InsumosCultivos!$B$45:$B$1151,$B323,InsumosCultivos!$I$45:$I$1151)</f>
        <v>0</v>
      </c>
      <c r="D391" s="1803">
        <f>SUMIF(InsumosCultivos!$B$45:$B$1151,$B323,InsumosCultivos!$J$45:$J$1151)</f>
        <v>0</v>
      </c>
      <c r="E391" s="1803">
        <f>SUMIF(InsumosCultivos!$B$45:$B$1151,$B323,InsumosCultivos!$K$45:$K$1151)</f>
        <v>0</v>
      </c>
      <c r="F391" s="1803">
        <f>SUMIF(InsumosCultivos!$B$45:$B$1151,$B323,InsumosCultivos!$L$45:$L$1151)</f>
        <v>0</v>
      </c>
      <c r="G391" s="1803">
        <f>SUMIF(InsumosCultivos!$B$45:$B$1151,$B323,InsumosCultivos!$M$45:$M$1151)</f>
        <v>0</v>
      </c>
      <c r="H391" s="1803">
        <f>SUMIF(InsumosCultivos!$B$45:$B$1151,$B323,InsumosCultivos!$N$45:$N$1151)</f>
        <v>0</v>
      </c>
      <c r="I391" s="1803">
        <f>SUMIF(InsumosCultivos!$B$45:$B$1151,$B323,InsumosCultivos!$O$45:$O$1151)</f>
        <v>0</v>
      </c>
      <c r="J391" s="1803">
        <f>SUMIF(InsumosCultivos!$B$45:$B$1151,$B323,InsumosCultivos!$P$45:$P$1151)</f>
        <v>0</v>
      </c>
      <c r="K391" s="1803">
        <f>SUMIF(InsumosCultivos!$B$45:$B$1151,$B323,InsumosCultivos!$Q$45:$Q$1151)</f>
        <v>0</v>
      </c>
      <c r="L391" s="1803">
        <f>SUMIF(InsumosCultivos!$B$45:$B$1151,$B323,InsumosCultivos!$R$45:$R$1151)</f>
        <v>0</v>
      </c>
      <c r="M391" s="1803">
        <f>SUMIF(InsumosCultivos!$B$45:$B$1151,$B323,InsumosCultivos!$S$45:$S$1151)</f>
        <v>0</v>
      </c>
      <c r="N391" s="1803">
        <f>SUMIF(InsumosCultivos!$B$45:$B$1151,$B323,InsumosCultivos!$T$45:$T$1151)</f>
        <v>0</v>
      </c>
      <c r="O391" s="1321"/>
      <c r="P391" s="1803">
        <f>SUMIF(InsumosCultivos!$Y$45:$Y$529,$B323,InsumosCultivos!$AF$45:$AF$529)</f>
        <v>0</v>
      </c>
      <c r="Q391" s="1803">
        <f>SUMIF(InsumosCultivos!$Y$45:$Y$529,$B323,InsumosCultivos!$AG$45:$AG$529)</f>
        <v>0</v>
      </c>
      <c r="R391" s="1803">
        <f>SUMIF(InsumosCultivos!$Y$45:$Y$529,$B323,InsumosCultivos!$AH$45:$AH$529)</f>
        <v>0</v>
      </c>
      <c r="S391" s="1803">
        <f>SUMIF(InsumosCultivos!$Y$45:$Y$529,$B323,InsumosCultivos!$AI$45:$AI$529)</f>
        <v>0</v>
      </c>
      <c r="T391" s="1803">
        <f>SUMIF(InsumosCultivos!$Y$45:$Y$529,$B323,InsumosCultivos!$AJ$45:$AJ$529)</f>
        <v>0</v>
      </c>
      <c r="U391" s="1803">
        <f>SUMIF(InsumosCultivos!$Y$45:$Y$529,$B323,InsumosCultivos!$AK$45:$AK$529)</f>
        <v>0</v>
      </c>
      <c r="V391" s="1803">
        <f>SUMIF(InsumosCultivos!$Y$45:$Y$529,$B323,InsumosCultivos!$AL$45:$AL$529)</f>
        <v>0</v>
      </c>
      <c r="W391" s="1803">
        <f>SUMIF(InsumosCultivos!$Y$45:$Y$529,$B323,InsumosCultivos!$AM$45:$AM$529)</f>
        <v>0</v>
      </c>
      <c r="X391" s="1803">
        <f>SUMIF(InsumosCultivos!$Y$45:$Y$529,$B323,InsumosCultivos!$AN$45:$AN$529)</f>
        <v>0</v>
      </c>
      <c r="Y391" s="1803">
        <f>SUMIF(InsumosCultivos!$Y$45:$Y$529,$B323,InsumosCultivos!$AO$45:$AO$529)</f>
        <v>0</v>
      </c>
      <c r="Z391" s="1803">
        <f>SUMIF(InsumosCultivos!$Y$45:$Y$529,$B323,InsumosCultivos!$AP$45:$AP$529)</f>
        <v>0</v>
      </c>
      <c r="AA391" s="1803">
        <f>SUMIF(InsumosCultivos!$Y$45:$Y$529,$B323,InsumosCultivos!$AQ$45:$AQ$529)</f>
        <v>0</v>
      </c>
      <c r="AB391" s="1321"/>
      <c r="AC391" s="1803">
        <f t="shared" si="22"/>
        <v>0</v>
      </c>
      <c r="AD391" s="1803">
        <f t="shared" si="23"/>
        <v>0</v>
      </c>
      <c r="AE391" s="1803">
        <f t="shared" si="24"/>
        <v>0</v>
      </c>
      <c r="AF391" s="1803">
        <f t="shared" si="25"/>
        <v>0</v>
      </c>
      <c r="AG391" s="1803">
        <f t="shared" si="26"/>
        <v>0</v>
      </c>
      <c r="AH391" s="1803">
        <f t="shared" si="27"/>
        <v>0</v>
      </c>
      <c r="AI391" s="1803">
        <f t="shared" si="28"/>
        <v>0</v>
      </c>
      <c r="AJ391" s="1803">
        <f t="shared" si="29"/>
        <v>0</v>
      </c>
      <c r="AK391" s="1803">
        <f t="shared" si="30"/>
        <v>0</v>
      </c>
      <c r="AL391" s="1803">
        <f t="shared" si="31"/>
        <v>0</v>
      </c>
      <c r="AM391" s="1803">
        <f t="shared" si="32"/>
        <v>0</v>
      </c>
      <c r="AN391" s="1803">
        <f t="shared" si="33"/>
        <v>0</v>
      </c>
      <c r="AO391" s="950"/>
      <c r="AP391" s="950"/>
      <c r="AQ391" s="950"/>
      <c r="AR391" s="950"/>
      <c r="AS391" s="950"/>
      <c r="AT391" s="950"/>
      <c r="AU391" s="1321"/>
    </row>
    <row r="392" spans="3:47" s="232" customFormat="1" hidden="1" x14ac:dyDescent="0.2">
      <c r="C392" s="1803">
        <f>SUMIF(InsumosCultivos!$B$45:$B$1151,$B324,InsumosCultivos!$I$45:$I$1151)</f>
        <v>0</v>
      </c>
      <c r="D392" s="1803">
        <f>SUMIF(InsumosCultivos!$B$45:$B$1151,$B324,InsumosCultivos!$J$45:$J$1151)</f>
        <v>0</v>
      </c>
      <c r="E392" s="1803">
        <f>SUMIF(InsumosCultivos!$B$45:$B$1151,$B324,InsumosCultivos!$K$45:$K$1151)</f>
        <v>0</v>
      </c>
      <c r="F392" s="1803">
        <f>SUMIF(InsumosCultivos!$B$45:$B$1151,$B324,InsumosCultivos!$L$45:$L$1151)</f>
        <v>0</v>
      </c>
      <c r="G392" s="1803">
        <f>SUMIF(InsumosCultivos!$B$45:$B$1151,$B324,InsumosCultivos!$M$45:$M$1151)</f>
        <v>0</v>
      </c>
      <c r="H392" s="1803">
        <f>SUMIF(InsumosCultivos!$B$45:$B$1151,$B324,InsumosCultivos!$N$45:$N$1151)</f>
        <v>0</v>
      </c>
      <c r="I392" s="1803">
        <f>SUMIF(InsumosCultivos!$B$45:$B$1151,$B324,InsumosCultivos!$O$45:$O$1151)</f>
        <v>0</v>
      </c>
      <c r="J392" s="1803">
        <f>SUMIF(InsumosCultivos!$B$45:$B$1151,$B324,InsumosCultivos!$P$45:$P$1151)</f>
        <v>0</v>
      </c>
      <c r="K392" s="1803">
        <f>SUMIF(InsumosCultivos!$B$45:$B$1151,$B324,InsumosCultivos!$Q$45:$Q$1151)</f>
        <v>0</v>
      </c>
      <c r="L392" s="1803">
        <f>SUMIF(InsumosCultivos!$B$45:$B$1151,$B324,InsumosCultivos!$R$45:$R$1151)</f>
        <v>0</v>
      </c>
      <c r="M392" s="1803">
        <f>SUMIF(InsumosCultivos!$B$45:$B$1151,$B324,InsumosCultivos!$S$45:$S$1151)</f>
        <v>0</v>
      </c>
      <c r="N392" s="1803">
        <f>SUMIF(InsumosCultivos!$B$45:$B$1151,$B324,InsumosCultivos!$T$45:$T$1151)</f>
        <v>0</v>
      </c>
      <c r="O392" s="1321"/>
      <c r="P392" s="1803">
        <f>SUMIF(InsumosCultivos!$Y$45:$Y$529,$B324,InsumosCultivos!$AF$45:$AF$529)</f>
        <v>0</v>
      </c>
      <c r="Q392" s="1803">
        <f>SUMIF(InsumosCultivos!$Y$45:$Y$529,$B324,InsumosCultivos!$AG$45:$AG$529)</f>
        <v>0</v>
      </c>
      <c r="R392" s="1803">
        <f>SUMIF(InsumosCultivos!$Y$45:$Y$529,$B324,InsumosCultivos!$AH$45:$AH$529)</f>
        <v>0</v>
      </c>
      <c r="S392" s="1803">
        <f>SUMIF(InsumosCultivos!$Y$45:$Y$529,$B324,InsumosCultivos!$AI$45:$AI$529)</f>
        <v>0</v>
      </c>
      <c r="T392" s="1803">
        <f>SUMIF(InsumosCultivos!$Y$45:$Y$529,$B324,InsumosCultivos!$AJ$45:$AJ$529)</f>
        <v>0</v>
      </c>
      <c r="U392" s="1803">
        <f>SUMIF(InsumosCultivos!$Y$45:$Y$529,$B324,InsumosCultivos!$AK$45:$AK$529)</f>
        <v>0</v>
      </c>
      <c r="V392" s="1803">
        <f>SUMIF(InsumosCultivos!$Y$45:$Y$529,$B324,InsumosCultivos!$AL$45:$AL$529)</f>
        <v>0</v>
      </c>
      <c r="W392" s="1803">
        <f>SUMIF(InsumosCultivos!$Y$45:$Y$529,$B324,InsumosCultivos!$AM$45:$AM$529)</f>
        <v>0</v>
      </c>
      <c r="X392" s="1803">
        <f>SUMIF(InsumosCultivos!$Y$45:$Y$529,$B324,InsumosCultivos!$AN$45:$AN$529)</f>
        <v>0</v>
      </c>
      <c r="Y392" s="1803">
        <f>SUMIF(InsumosCultivos!$Y$45:$Y$529,$B324,InsumosCultivos!$AO$45:$AO$529)</f>
        <v>0</v>
      </c>
      <c r="Z392" s="1803">
        <f>SUMIF(InsumosCultivos!$Y$45:$Y$529,$B324,InsumosCultivos!$AP$45:$AP$529)</f>
        <v>0</v>
      </c>
      <c r="AA392" s="1803">
        <f>SUMIF(InsumosCultivos!$Y$45:$Y$529,$B324,InsumosCultivos!$AQ$45:$AQ$529)</f>
        <v>0</v>
      </c>
      <c r="AB392" s="1321"/>
      <c r="AC392" s="1803">
        <f t="shared" si="22"/>
        <v>0</v>
      </c>
      <c r="AD392" s="1803">
        <f t="shared" si="23"/>
        <v>0</v>
      </c>
      <c r="AE392" s="1803">
        <f t="shared" si="24"/>
        <v>0</v>
      </c>
      <c r="AF392" s="1803">
        <f t="shared" si="25"/>
        <v>0</v>
      </c>
      <c r="AG392" s="1803">
        <f t="shared" si="26"/>
        <v>0</v>
      </c>
      <c r="AH392" s="1803">
        <f t="shared" si="27"/>
        <v>0</v>
      </c>
      <c r="AI392" s="1803">
        <f t="shared" si="28"/>
        <v>0</v>
      </c>
      <c r="AJ392" s="1803">
        <f t="shared" si="29"/>
        <v>0</v>
      </c>
      <c r="AK392" s="1803">
        <f t="shared" si="30"/>
        <v>0</v>
      </c>
      <c r="AL392" s="1803">
        <f t="shared" si="31"/>
        <v>0</v>
      </c>
      <c r="AM392" s="1803">
        <f t="shared" si="32"/>
        <v>0</v>
      </c>
      <c r="AN392" s="1803">
        <f t="shared" si="33"/>
        <v>0</v>
      </c>
      <c r="AO392" s="950"/>
      <c r="AP392" s="950"/>
      <c r="AQ392" s="950"/>
      <c r="AR392" s="950"/>
      <c r="AS392" s="950"/>
      <c r="AT392" s="950"/>
      <c r="AU392" s="1321"/>
    </row>
    <row r="393" spans="3:47" s="232" customFormat="1" hidden="1" x14ac:dyDescent="0.2">
      <c r="C393" s="1803">
        <f>SUMIF(InsumosCultivos!$B$45:$B$1151,$B325,InsumosCultivos!$I$45:$I$1151)</f>
        <v>0</v>
      </c>
      <c r="D393" s="1803">
        <f>SUMIF(InsumosCultivos!$B$45:$B$1151,$B325,InsumosCultivos!$J$45:$J$1151)</f>
        <v>0</v>
      </c>
      <c r="E393" s="1803">
        <f>SUMIF(InsumosCultivos!$B$45:$B$1151,$B325,InsumosCultivos!$K$45:$K$1151)</f>
        <v>0</v>
      </c>
      <c r="F393" s="1803">
        <f>SUMIF(InsumosCultivos!$B$45:$B$1151,$B325,InsumosCultivos!$L$45:$L$1151)</f>
        <v>0</v>
      </c>
      <c r="G393" s="1803">
        <f>SUMIF(InsumosCultivos!$B$45:$B$1151,$B325,InsumosCultivos!$M$45:$M$1151)</f>
        <v>0</v>
      </c>
      <c r="H393" s="1803">
        <f>SUMIF(InsumosCultivos!$B$45:$B$1151,$B325,InsumosCultivos!$N$45:$N$1151)</f>
        <v>0</v>
      </c>
      <c r="I393" s="1803">
        <f>SUMIF(InsumosCultivos!$B$45:$B$1151,$B325,InsumosCultivos!$O$45:$O$1151)</f>
        <v>0</v>
      </c>
      <c r="J393" s="1803">
        <f>SUMIF(InsumosCultivos!$B$45:$B$1151,$B325,InsumosCultivos!$P$45:$P$1151)</f>
        <v>0</v>
      </c>
      <c r="K393" s="1803">
        <f>SUMIF(InsumosCultivos!$B$45:$B$1151,$B325,InsumosCultivos!$Q$45:$Q$1151)</f>
        <v>0</v>
      </c>
      <c r="L393" s="1803">
        <f>SUMIF(InsumosCultivos!$B$45:$B$1151,$B325,InsumosCultivos!$R$45:$R$1151)</f>
        <v>0</v>
      </c>
      <c r="M393" s="1803">
        <f>SUMIF(InsumosCultivos!$B$45:$B$1151,$B325,InsumosCultivos!$S$45:$S$1151)</f>
        <v>0</v>
      </c>
      <c r="N393" s="1803">
        <f>SUMIF(InsumosCultivos!$B$45:$B$1151,$B325,InsumosCultivos!$T$45:$T$1151)</f>
        <v>0</v>
      </c>
      <c r="O393" s="1321"/>
      <c r="P393" s="1803">
        <f>SUMIF(InsumosCultivos!$Y$45:$Y$529,$B325,InsumosCultivos!$AF$45:$AF$529)</f>
        <v>0</v>
      </c>
      <c r="Q393" s="1803">
        <f>SUMIF(InsumosCultivos!$Y$45:$Y$529,$B325,InsumosCultivos!$AG$45:$AG$529)</f>
        <v>0</v>
      </c>
      <c r="R393" s="1803">
        <f>SUMIF(InsumosCultivos!$Y$45:$Y$529,$B325,InsumosCultivos!$AH$45:$AH$529)</f>
        <v>0</v>
      </c>
      <c r="S393" s="1803">
        <f>SUMIF(InsumosCultivos!$Y$45:$Y$529,$B325,InsumosCultivos!$AI$45:$AI$529)</f>
        <v>0</v>
      </c>
      <c r="T393" s="1803">
        <f>SUMIF(InsumosCultivos!$Y$45:$Y$529,$B325,InsumosCultivos!$AJ$45:$AJ$529)</f>
        <v>0</v>
      </c>
      <c r="U393" s="1803">
        <f>SUMIF(InsumosCultivos!$Y$45:$Y$529,$B325,InsumosCultivos!$AK$45:$AK$529)</f>
        <v>0</v>
      </c>
      <c r="V393" s="1803">
        <f>SUMIF(InsumosCultivos!$Y$45:$Y$529,$B325,InsumosCultivos!$AL$45:$AL$529)</f>
        <v>0</v>
      </c>
      <c r="W393" s="1803">
        <f>SUMIF(InsumosCultivos!$Y$45:$Y$529,$B325,InsumosCultivos!$AM$45:$AM$529)</f>
        <v>0</v>
      </c>
      <c r="X393" s="1803">
        <f>SUMIF(InsumosCultivos!$Y$45:$Y$529,$B325,InsumosCultivos!$AN$45:$AN$529)</f>
        <v>0</v>
      </c>
      <c r="Y393" s="1803">
        <f>SUMIF(InsumosCultivos!$Y$45:$Y$529,$B325,InsumosCultivos!$AO$45:$AO$529)</f>
        <v>0</v>
      </c>
      <c r="Z393" s="1803">
        <f>SUMIF(InsumosCultivos!$Y$45:$Y$529,$B325,InsumosCultivos!$AP$45:$AP$529)</f>
        <v>0</v>
      </c>
      <c r="AA393" s="1803">
        <f>SUMIF(InsumosCultivos!$Y$45:$Y$529,$B325,InsumosCultivos!$AQ$45:$AQ$529)</f>
        <v>0</v>
      </c>
      <c r="AB393" s="1321"/>
      <c r="AC393" s="1803">
        <f t="shared" si="22"/>
        <v>0</v>
      </c>
      <c r="AD393" s="1803">
        <f t="shared" si="23"/>
        <v>0</v>
      </c>
      <c r="AE393" s="1803">
        <f t="shared" si="24"/>
        <v>0</v>
      </c>
      <c r="AF393" s="1803">
        <f t="shared" si="25"/>
        <v>0</v>
      </c>
      <c r="AG393" s="1803">
        <f t="shared" si="26"/>
        <v>0</v>
      </c>
      <c r="AH393" s="1803">
        <f t="shared" si="27"/>
        <v>0</v>
      </c>
      <c r="AI393" s="1803">
        <f t="shared" si="28"/>
        <v>0</v>
      </c>
      <c r="AJ393" s="1803">
        <f t="shared" si="29"/>
        <v>0</v>
      </c>
      <c r="AK393" s="1803">
        <f t="shared" si="30"/>
        <v>0</v>
      </c>
      <c r="AL393" s="1803">
        <f t="shared" si="31"/>
        <v>0</v>
      </c>
      <c r="AM393" s="1803">
        <f t="shared" si="32"/>
        <v>0</v>
      </c>
      <c r="AN393" s="1803">
        <f t="shared" si="33"/>
        <v>0</v>
      </c>
      <c r="AO393" s="950"/>
      <c r="AP393" s="950"/>
      <c r="AQ393" s="950"/>
      <c r="AR393" s="950"/>
      <c r="AS393" s="950"/>
      <c r="AT393" s="950"/>
      <c r="AU393" s="1321"/>
    </row>
    <row r="394" spans="3:47" s="232" customFormat="1" hidden="1" x14ac:dyDescent="0.2">
      <c r="C394" s="1803">
        <f>SUMIF(InsumosCultivos!$B$45:$B$1151,$B326,InsumosCultivos!$I$45:$I$1151)</f>
        <v>0</v>
      </c>
      <c r="D394" s="1803">
        <f>SUMIF(InsumosCultivos!$B$45:$B$1151,$B326,InsumosCultivos!$J$45:$J$1151)</f>
        <v>0</v>
      </c>
      <c r="E394" s="1803">
        <f>SUMIF(InsumosCultivos!$B$45:$B$1151,$B326,InsumosCultivos!$K$45:$K$1151)</f>
        <v>0</v>
      </c>
      <c r="F394" s="1803">
        <f>SUMIF(InsumosCultivos!$B$45:$B$1151,$B326,InsumosCultivos!$L$45:$L$1151)</f>
        <v>0</v>
      </c>
      <c r="G394" s="1803">
        <f>SUMIF(InsumosCultivos!$B$45:$B$1151,$B326,InsumosCultivos!$M$45:$M$1151)</f>
        <v>0</v>
      </c>
      <c r="H394" s="1803">
        <f>SUMIF(InsumosCultivos!$B$45:$B$1151,$B326,InsumosCultivos!$N$45:$N$1151)</f>
        <v>0</v>
      </c>
      <c r="I394" s="1803">
        <f>SUMIF(InsumosCultivos!$B$45:$B$1151,$B326,InsumosCultivos!$O$45:$O$1151)</f>
        <v>0</v>
      </c>
      <c r="J394" s="1803">
        <f>SUMIF(InsumosCultivos!$B$45:$B$1151,$B326,InsumosCultivos!$P$45:$P$1151)</f>
        <v>0</v>
      </c>
      <c r="K394" s="1803">
        <f>SUMIF(InsumosCultivos!$B$45:$B$1151,$B326,InsumosCultivos!$Q$45:$Q$1151)</f>
        <v>0</v>
      </c>
      <c r="L394" s="1803">
        <f>SUMIF(InsumosCultivos!$B$45:$B$1151,$B326,InsumosCultivos!$R$45:$R$1151)</f>
        <v>0</v>
      </c>
      <c r="M394" s="1803">
        <f>SUMIF(InsumosCultivos!$B$45:$B$1151,$B326,InsumosCultivos!$S$45:$S$1151)</f>
        <v>0</v>
      </c>
      <c r="N394" s="1803">
        <f>SUMIF(InsumosCultivos!$B$45:$B$1151,$B326,InsumosCultivos!$T$45:$T$1151)</f>
        <v>0</v>
      </c>
      <c r="O394" s="1321"/>
      <c r="P394" s="1803">
        <f>SUMIF(InsumosCultivos!$Y$45:$Y$529,$B326,InsumosCultivos!$AF$45:$AF$529)</f>
        <v>0</v>
      </c>
      <c r="Q394" s="1803">
        <f>SUMIF(InsumosCultivos!$Y$45:$Y$529,$B326,InsumosCultivos!$AG$45:$AG$529)</f>
        <v>0</v>
      </c>
      <c r="R394" s="1803">
        <f>SUMIF(InsumosCultivos!$Y$45:$Y$529,$B326,InsumosCultivos!$AH$45:$AH$529)</f>
        <v>0</v>
      </c>
      <c r="S394" s="1803">
        <f>SUMIF(InsumosCultivos!$Y$45:$Y$529,$B326,InsumosCultivos!$AI$45:$AI$529)</f>
        <v>0</v>
      </c>
      <c r="T394" s="1803">
        <f>SUMIF(InsumosCultivos!$Y$45:$Y$529,$B326,InsumosCultivos!$AJ$45:$AJ$529)</f>
        <v>0</v>
      </c>
      <c r="U394" s="1803">
        <f>SUMIF(InsumosCultivos!$Y$45:$Y$529,$B326,InsumosCultivos!$AK$45:$AK$529)</f>
        <v>0</v>
      </c>
      <c r="V394" s="1803">
        <f>SUMIF(InsumosCultivos!$Y$45:$Y$529,$B326,InsumosCultivos!$AL$45:$AL$529)</f>
        <v>0</v>
      </c>
      <c r="W394" s="1803">
        <f>SUMIF(InsumosCultivos!$Y$45:$Y$529,$B326,InsumosCultivos!$AM$45:$AM$529)</f>
        <v>0</v>
      </c>
      <c r="X394" s="1803">
        <f>SUMIF(InsumosCultivos!$Y$45:$Y$529,$B326,InsumosCultivos!$AN$45:$AN$529)</f>
        <v>0</v>
      </c>
      <c r="Y394" s="1803">
        <f>SUMIF(InsumosCultivos!$Y$45:$Y$529,$B326,InsumosCultivos!$AO$45:$AO$529)</f>
        <v>0</v>
      </c>
      <c r="Z394" s="1803">
        <f>SUMIF(InsumosCultivos!$Y$45:$Y$529,$B326,InsumosCultivos!$AP$45:$AP$529)</f>
        <v>0</v>
      </c>
      <c r="AA394" s="1803">
        <f>SUMIF(InsumosCultivos!$Y$45:$Y$529,$B326,InsumosCultivos!$AQ$45:$AQ$529)</f>
        <v>0</v>
      </c>
      <c r="AB394" s="1321"/>
      <c r="AC394" s="1803">
        <f t="shared" si="22"/>
        <v>0</v>
      </c>
      <c r="AD394" s="1803">
        <f t="shared" si="23"/>
        <v>0</v>
      </c>
      <c r="AE394" s="1803">
        <f t="shared" si="24"/>
        <v>0</v>
      </c>
      <c r="AF394" s="1803">
        <f t="shared" si="25"/>
        <v>0</v>
      </c>
      <c r="AG394" s="1803">
        <f t="shared" si="26"/>
        <v>0</v>
      </c>
      <c r="AH394" s="1803">
        <f t="shared" si="27"/>
        <v>0</v>
      </c>
      <c r="AI394" s="1803">
        <f t="shared" si="28"/>
        <v>0</v>
      </c>
      <c r="AJ394" s="1803">
        <f t="shared" si="29"/>
        <v>0</v>
      </c>
      <c r="AK394" s="1803">
        <f t="shared" si="30"/>
        <v>0</v>
      </c>
      <c r="AL394" s="1803">
        <f t="shared" si="31"/>
        <v>0</v>
      </c>
      <c r="AM394" s="1803">
        <f t="shared" si="32"/>
        <v>0</v>
      </c>
      <c r="AN394" s="1803">
        <f t="shared" si="33"/>
        <v>0</v>
      </c>
      <c r="AO394" s="950"/>
      <c r="AP394" s="950"/>
      <c r="AQ394" s="950"/>
      <c r="AR394" s="950"/>
      <c r="AS394" s="950"/>
      <c r="AT394" s="950"/>
      <c r="AU394" s="1321"/>
    </row>
    <row r="395" spans="3:47" s="232" customFormat="1" hidden="1" x14ac:dyDescent="0.2">
      <c r="C395" s="1803">
        <f>SUMIF(InsumosCultivos!$B$45:$B$1151,$B327,InsumosCultivos!$I$45:$I$1151)</f>
        <v>0</v>
      </c>
      <c r="D395" s="1803">
        <f>SUMIF(InsumosCultivos!$B$45:$B$1151,$B327,InsumosCultivos!$J$45:$J$1151)</f>
        <v>0</v>
      </c>
      <c r="E395" s="1803">
        <f>SUMIF(InsumosCultivos!$B$45:$B$1151,$B327,InsumosCultivos!$K$45:$K$1151)</f>
        <v>0</v>
      </c>
      <c r="F395" s="1803">
        <f>SUMIF(InsumosCultivos!$B$45:$B$1151,$B327,InsumosCultivos!$L$45:$L$1151)</f>
        <v>0</v>
      </c>
      <c r="G395" s="1803">
        <f>SUMIF(InsumosCultivos!$B$45:$B$1151,$B327,InsumosCultivos!$M$45:$M$1151)</f>
        <v>0</v>
      </c>
      <c r="H395" s="1803">
        <f>SUMIF(InsumosCultivos!$B$45:$B$1151,$B327,InsumosCultivos!$N$45:$N$1151)</f>
        <v>0</v>
      </c>
      <c r="I395" s="1803">
        <f>SUMIF(InsumosCultivos!$B$45:$B$1151,$B327,InsumosCultivos!$O$45:$O$1151)</f>
        <v>0</v>
      </c>
      <c r="J395" s="1803">
        <f>SUMIF(InsumosCultivos!$B$45:$B$1151,$B327,InsumosCultivos!$P$45:$P$1151)</f>
        <v>0</v>
      </c>
      <c r="K395" s="1803">
        <f>SUMIF(InsumosCultivos!$B$45:$B$1151,$B327,InsumosCultivos!$Q$45:$Q$1151)</f>
        <v>0</v>
      </c>
      <c r="L395" s="1803">
        <f>SUMIF(InsumosCultivos!$B$45:$B$1151,$B327,InsumosCultivos!$R$45:$R$1151)</f>
        <v>0</v>
      </c>
      <c r="M395" s="1803">
        <f>SUMIF(InsumosCultivos!$B$45:$B$1151,$B327,InsumosCultivos!$S$45:$S$1151)</f>
        <v>0</v>
      </c>
      <c r="N395" s="1803">
        <f>SUMIF(InsumosCultivos!$B$45:$B$1151,$B327,InsumosCultivos!$T$45:$T$1151)</f>
        <v>0</v>
      </c>
      <c r="O395" s="1321"/>
      <c r="P395" s="1803">
        <f>SUMIF(InsumosCultivos!$Y$45:$Y$529,$B327,InsumosCultivos!$AF$45:$AF$529)</f>
        <v>0</v>
      </c>
      <c r="Q395" s="1803">
        <f>SUMIF(InsumosCultivos!$Y$45:$Y$529,$B327,InsumosCultivos!$AG$45:$AG$529)</f>
        <v>0</v>
      </c>
      <c r="R395" s="1803">
        <f>SUMIF(InsumosCultivos!$Y$45:$Y$529,$B327,InsumosCultivos!$AH$45:$AH$529)</f>
        <v>0</v>
      </c>
      <c r="S395" s="1803">
        <f>SUMIF(InsumosCultivos!$Y$45:$Y$529,$B327,InsumosCultivos!$AI$45:$AI$529)</f>
        <v>0</v>
      </c>
      <c r="T395" s="1803">
        <f>SUMIF(InsumosCultivos!$Y$45:$Y$529,$B327,InsumosCultivos!$AJ$45:$AJ$529)</f>
        <v>0</v>
      </c>
      <c r="U395" s="1803">
        <f>SUMIF(InsumosCultivos!$Y$45:$Y$529,$B327,InsumosCultivos!$AK$45:$AK$529)</f>
        <v>0</v>
      </c>
      <c r="V395" s="1803">
        <f>SUMIF(InsumosCultivos!$Y$45:$Y$529,$B327,InsumosCultivos!$AL$45:$AL$529)</f>
        <v>0</v>
      </c>
      <c r="W395" s="1803">
        <f>SUMIF(InsumosCultivos!$Y$45:$Y$529,$B327,InsumosCultivos!$AM$45:$AM$529)</f>
        <v>0</v>
      </c>
      <c r="X395" s="1803">
        <f>SUMIF(InsumosCultivos!$Y$45:$Y$529,$B327,InsumosCultivos!$AN$45:$AN$529)</f>
        <v>0</v>
      </c>
      <c r="Y395" s="1803">
        <f>SUMIF(InsumosCultivos!$Y$45:$Y$529,$B327,InsumosCultivos!$AO$45:$AO$529)</f>
        <v>0</v>
      </c>
      <c r="Z395" s="1803">
        <f>SUMIF(InsumosCultivos!$Y$45:$Y$529,$B327,InsumosCultivos!$AP$45:$AP$529)</f>
        <v>0</v>
      </c>
      <c r="AA395" s="1803">
        <f>SUMIF(InsumosCultivos!$Y$45:$Y$529,$B327,InsumosCultivos!$AQ$45:$AQ$529)</f>
        <v>0</v>
      </c>
      <c r="AB395" s="1321"/>
      <c r="AC395" s="1803">
        <f t="shared" si="22"/>
        <v>0</v>
      </c>
      <c r="AD395" s="1803">
        <f t="shared" si="23"/>
        <v>0</v>
      </c>
      <c r="AE395" s="1803">
        <f t="shared" si="24"/>
        <v>0</v>
      </c>
      <c r="AF395" s="1803">
        <f t="shared" si="25"/>
        <v>0</v>
      </c>
      <c r="AG395" s="1803">
        <f t="shared" si="26"/>
        <v>0</v>
      </c>
      <c r="AH395" s="1803">
        <f t="shared" si="27"/>
        <v>0</v>
      </c>
      <c r="AI395" s="1803">
        <f t="shared" si="28"/>
        <v>0</v>
      </c>
      <c r="AJ395" s="1803">
        <f t="shared" si="29"/>
        <v>0</v>
      </c>
      <c r="AK395" s="1803">
        <f t="shared" si="30"/>
        <v>0</v>
      </c>
      <c r="AL395" s="1803">
        <f t="shared" si="31"/>
        <v>0</v>
      </c>
      <c r="AM395" s="1803">
        <f t="shared" si="32"/>
        <v>0</v>
      </c>
      <c r="AN395" s="1803">
        <f t="shared" si="33"/>
        <v>0</v>
      </c>
      <c r="AO395" s="950"/>
      <c r="AP395" s="950"/>
      <c r="AQ395" s="950"/>
      <c r="AR395" s="950"/>
      <c r="AS395" s="950"/>
      <c r="AT395" s="950"/>
      <c r="AU395" s="1321"/>
    </row>
    <row r="396" spans="3:47" s="232" customFormat="1" hidden="1" x14ac:dyDescent="0.2">
      <c r="C396" s="1803">
        <f>SUMIF(InsumosCultivos!$B$45:$B$1151,$B328,InsumosCultivos!$I$45:$I$1151)</f>
        <v>0</v>
      </c>
      <c r="D396" s="1803">
        <f>SUMIF(InsumosCultivos!$B$45:$B$1151,$B328,InsumosCultivos!$J$45:$J$1151)</f>
        <v>0</v>
      </c>
      <c r="E396" s="1803">
        <f>SUMIF(InsumosCultivos!$B$45:$B$1151,$B328,InsumosCultivos!$K$45:$K$1151)</f>
        <v>0</v>
      </c>
      <c r="F396" s="1803">
        <f>SUMIF(InsumosCultivos!$B$45:$B$1151,$B328,InsumosCultivos!$L$45:$L$1151)</f>
        <v>0</v>
      </c>
      <c r="G396" s="1803">
        <f>SUMIF(InsumosCultivos!$B$45:$B$1151,$B328,InsumosCultivos!$M$45:$M$1151)</f>
        <v>0</v>
      </c>
      <c r="H396" s="1803">
        <f>SUMIF(InsumosCultivos!$B$45:$B$1151,$B328,InsumosCultivos!$N$45:$N$1151)</f>
        <v>0</v>
      </c>
      <c r="I396" s="1803">
        <f>SUMIF(InsumosCultivos!$B$45:$B$1151,$B328,InsumosCultivos!$O$45:$O$1151)</f>
        <v>0</v>
      </c>
      <c r="J396" s="1803">
        <f>SUMIF(InsumosCultivos!$B$45:$B$1151,$B328,InsumosCultivos!$P$45:$P$1151)</f>
        <v>0</v>
      </c>
      <c r="K396" s="1803">
        <f>SUMIF(InsumosCultivos!$B$45:$B$1151,$B328,InsumosCultivos!$Q$45:$Q$1151)</f>
        <v>0</v>
      </c>
      <c r="L396" s="1803">
        <f>SUMIF(InsumosCultivos!$B$45:$B$1151,$B328,InsumosCultivos!$R$45:$R$1151)</f>
        <v>0</v>
      </c>
      <c r="M396" s="1803">
        <f>SUMIF(InsumosCultivos!$B$45:$B$1151,$B328,InsumosCultivos!$S$45:$S$1151)</f>
        <v>0</v>
      </c>
      <c r="N396" s="1803">
        <f>SUMIF(InsumosCultivos!$B$45:$B$1151,$B328,InsumosCultivos!$T$45:$T$1151)</f>
        <v>0</v>
      </c>
      <c r="O396" s="1321"/>
      <c r="P396" s="1803">
        <f>SUMIF(InsumosCultivos!$Y$45:$Y$529,$B328,InsumosCultivos!$AF$45:$AF$529)</f>
        <v>0</v>
      </c>
      <c r="Q396" s="1803">
        <f>SUMIF(InsumosCultivos!$Y$45:$Y$529,$B328,InsumosCultivos!$AG$45:$AG$529)</f>
        <v>0</v>
      </c>
      <c r="R396" s="1803">
        <f>SUMIF(InsumosCultivos!$Y$45:$Y$529,$B328,InsumosCultivos!$AH$45:$AH$529)</f>
        <v>0</v>
      </c>
      <c r="S396" s="1803">
        <f>SUMIF(InsumosCultivos!$Y$45:$Y$529,$B328,InsumosCultivos!$AI$45:$AI$529)</f>
        <v>0</v>
      </c>
      <c r="T396" s="1803">
        <f>SUMIF(InsumosCultivos!$Y$45:$Y$529,$B328,InsumosCultivos!$AJ$45:$AJ$529)</f>
        <v>0</v>
      </c>
      <c r="U396" s="1803">
        <f>SUMIF(InsumosCultivos!$Y$45:$Y$529,$B328,InsumosCultivos!$AK$45:$AK$529)</f>
        <v>0</v>
      </c>
      <c r="V396" s="1803">
        <f>SUMIF(InsumosCultivos!$Y$45:$Y$529,$B328,InsumosCultivos!$AL$45:$AL$529)</f>
        <v>0</v>
      </c>
      <c r="W396" s="1803">
        <f>SUMIF(InsumosCultivos!$Y$45:$Y$529,$B328,InsumosCultivos!$AM$45:$AM$529)</f>
        <v>0</v>
      </c>
      <c r="X396" s="1803">
        <f>SUMIF(InsumosCultivos!$Y$45:$Y$529,$B328,InsumosCultivos!$AN$45:$AN$529)</f>
        <v>0</v>
      </c>
      <c r="Y396" s="1803">
        <f>SUMIF(InsumosCultivos!$Y$45:$Y$529,$B328,InsumosCultivos!$AO$45:$AO$529)</f>
        <v>0</v>
      </c>
      <c r="Z396" s="1803">
        <f>SUMIF(InsumosCultivos!$Y$45:$Y$529,$B328,InsumosCultivos!$AP$45:$AP$529)</f>
        <v>0</v>
      </c>
      <c r="AA396" s="1803">
        <f>SUMIF(InsumosCultivos!$Y$45:$Y$529,$B328,InsumosCultivos!$AQ$45:$AQ$529)</f>
        <v>0</v>
      </c>
      <c r="AB396" s="1321"/>
      <c r="AC396" s="1803">
        <f t="shared" si="22"/>
        <v>0</v>
      </c>
      <c r="AD396" s="1803">
        <f t="shared" si="23"/>
        <v>0</v>
      </c>
      <c r="AE396" s="1803">
        <f t="shared" si="24"/>
        <v>0</v>
      </c>
      <c r="AF396" s="1803">
        <f t="shared" si="25"/>
        <v>0</v>
      </c>
      <c r="AG396" s="1803">
        <f t="shared" si="26"/>
        <v>0</v>
      </c>
      <c r="AH396" s="1803">
        <f t="shared" si="27"/>
        <v>0</v>
      </c>
      <c r="AI396" s="1803">
        <f t="shared" si="28"/>
        <v>0</v>
      </c>
      <c r="AJ396" s="1803">
        <f t="shared" si="29"/>
        <v>0</v>
      </c>
      <c r="AK396" s="1803">
        <f t="shared" si="30"/>
        <v>0</v>
      </c>
      <c r="AL396" s="1803">
        <f t="shared" si="31"/>
        <v>0</v>
      </c>
      <c r="AM396" s="1803">
        <f t="shared" si="32"/>
        <v>0</v>
      </c>
      <c r="AN396" s="1803">
        <f t="shared" si="33"/>
        <v>0</v>
      </c>
      <c r="AO396" s="950"/>
      <c r="AP396" s="950"/>
      <c r="AQ396" s="950"/>
      <c r="AR396" s="950"/>
      <c r="AS396" s="950"/>
      <c r="AT396" s="950"/>
      <c r="AU396" s="1321"/>
    </row>
    <row r="397" spans="3:47" s="232" customFormat="1" hidden="1" x14ac:dyDescent="0.2">
      <c r="C397" s="1803">
        <f>SUMIF(InsumosCultivos!$B$45:$B$1151,$B329,InsumosCultivos!$I$45:$I$1151)</f>
        <v>0</v>
      </c>
      <c r="D397" s="1803">
        <f>SUMIF(InsumosCultivos!$B$45:$B$1151,$B329,InsumosCultivos!$J$45:$J$1151)</f>
        <v>0</v>
      </c>
      <c r="E397" s="1803">
        <f>SUMIF(InsumosCultivos!$B$45:$B$1151,$B329,InsumosCultivos!$K$45:$K$1151)</f>
        <v>0</v>
      </c>
      <c r="F397" s="1803">
        <f>SUMIF(InsumosCultivos!$B$45:$B$1151,$B329,InsumosCultivos!$L$45:$L$1151)</f>
        <v>0</v>
      </c>
      <c r="G397" s="1803">
        <f>SUMIF(InsumosCultivos!$B$45:$B$1151,$B329,InsumosCultivos!$M$45:$M$1151)</f>
        <v>0</v>
      </c>
      <c r="H397" s="1803">
        <f>SUMIF(InsumosCultivos!$B$45:$B$1151,$B329,InsumosCultivos!$N$45:$N$1151)</f>
        <v>0</v>
      </c>
      <c r="I397" s="1803">
        <f>SUMIF(InsumosCultivos!$B$45:$B$1151,$B329,InsumosCultivos!$O$45:$O$1151)</f>
        <v>0</v>
      </c>
      <c r="J397" s="1803">
        <f>SUMIF(InsumosCultivos!$B$45:$B$1151,$B329,InsumosCultivos!$P$45:$P$1151)</f>
        <v>0</v>
      </c>
      <c r="K397" s="1803">
        <f>SUMIF(InsumosCultivos!$B$45:$B$1151,$B329,InsumosCultivos!$Q$45:$Q$1151)</f>
        <v>0</v>
      </c>
      <c r="L397" s="1803">
        <f>SUMIF(InsumosCultivos!$B$45:$B$1151,$B329,InsumosCultivos!$R$45:$R$1151)</f>
        <v>0</v>
      </c>
      <c r="M397" s="1803">
        <f>SUMIF(InsumosCultivos!$B$45:$B$1151,$B329,InsumosCultivos!$S$45:$S$1151)</f>
        <v>0</v>
      </c>
      <c r="N397" s="1803">
        <f>SUMIF(InsumosCultivos!$B$45:$B$1151,$B329,InsumosCultivos!$T$45:$T$1151)</f>
        <v>0</v>
      </c>
      <c r="O397" s="1321"/>
      <c r="P397" s="1803">
        <f>SUMIF(InsumosCultivos!$Y$45:$Y$529,$B329,InsumosCultivos!$AF$45:$AF$529)</f>
        <v>0</v>
      </c>
      <c r="Q397" s="1803">
        <f>SUMIF(InsumosCultivos!$Y$45:$Y$529,$B329,InsumosCultivos!$AG$45:$AG$529)</f>
        <v>0</v>
      </c>
      <c r="R397" s="1803">
        <f>SUMIF(InsumosCultivos!$Y$45:$Y$529,$B329,InsumosCultivos!$AH$45:$AH$529)</f>
        <v>0</v>
      </c>
      <c r="S397" s="1803">
        <f>SUMIF(InsumosCultivos!$Y$45:$Y$529,$B329,InsumosCultivos!$AI$45:$AI$529)</f>
        <v>0</v>
      </c>
      <c r="T397" s="1803">
        <f>SUMIF(InsumosCultivos!$Y$45:$Y$529,$B329,InsumosCultivos!$AJ$45:$AJ$529)</f>
        <v>0</v>
      </c>
      <c r="U397" s="1803">
        <f>SUMIF(InsumosCultivos!$Y$45:$Y$529,$B329,InsumosCultivos!$AK$45:$AK$529)</f>
        <v>0</v>
      </c>
      <c r="V397" s="1803">
        <f>SUMIF(InsumosCultivos!$Y$45:$Y$529,$B329,InsumosCultivos!$AL$45:$AL$529)</f>
        <v>0</v>
      </c>
      <c r="W397" s="1803">
        <f>SUMIF(InsumosCultivos!$Y$45:$Y$529,$B329,InsumosCultivos!$AM$45:$AM$529)</f>
        <v>0</v>
      </c>
      <c r="X397" s="1803">
        <f>SUMIF(InsumosCultivos!$Y$45:$Y$529,$B329,InsumosCultivos!$AN$45:$AN$529)</f>
        <v>0</v>
      </c>
      <c r="Y397" s="1803">
        <f>SUMIF(InsumosCultivos!$Y$45:$Y$529,$B329,InsumosCultivos!$AO$45:$AO$529)</f>
        <v>0</v>
      </c>
      <c r="Z397" s="1803">
        <f>SUMIF(InsumosCultivos!$Y$45:$Y$529,$B329,InsumosCultivos!$AP$45:$AP$529)</f>
        <v>0</v>
      </c>
      <c r="AA397" s="1803">
        <f>SUMIF(InsumosCultivos!$Y$45:$Y$529,$B329,InsumosCultivos!$AQ$45:$AQ$529)</f>
        <v>0</v>
      </c>
      <c r="AB397" s="1321"/>
      <c r="AC397" s="1803">
        <f t="shared" si="22"/>
        <v>0</v>
      </c>
      <c r="AD397" s="1803">
        <f t="shared" si="23"/>
        <v>0</v>
      </c>
      <c r="AE397" s="1803">
        <f t="shared" si="24"/>
        <v>0</v>
      </c>
      <c r="AF397" s="1803">
        <f t="shared" si="25"/>
        <v>0</v>
      </c>
      <c r="AG397" s="1803">
        <f t="shared" si="26"/>
        <v>0</v>
      </c>
      <c r="AH397" s="1803">
        <f t="shared" si="27"/>
        <v>0</v>
      </c>
      <c r="AI397" s="1803">
        <f t="shared" si="28"/>
        <v>0</v>
      </c>
      <c r="AJ397" s="1803">
        <f t="shared" si="29"/>
        <v>0</v>
      </c>
      <c r="AK397" s="1803">
        <f t="shared" si="30"/>
        <v>0</v>
      </c>
      <c r="AL397" s="1803">
        <f t="shared" si="31"/>
        <v>0</v>
      </c>
      <c r="AM397" s="1803">
        <f t="shared" si="32"/>
        <v>0</v>
      </c>
      <c r="AN397" s="1803">
        <f t="shared" si="33"/>
        <v>0</v>
      </c>
      <c r="AO397" s="950"/>
      <c r="AP397" s="950"/>
      <c r="AQ397" s="950"/>
      <c r="AR397" s="950"/>
      <c r="AS397" s="950"/>
      <c r="AT397" s="950"/>
      <c r="AU397" s="1321"/>
    </row>
    <row r="398" spans="3:47" s="232" customFormat="1" hidden="1" x14ac:dyDescent="0.2">
      <c r="C398" s="1803">
        <f>SUMIF(InsumosCultivos!$B$45:$B$1151,$B330,InsumosCultivos!$I$45:$I$1151)</f>
        <v>0</v>
      </c>
      <c r="D398" s="1803">
        <f>SUMIF(InsumosCultivos!$B$45:$B$1151,$B330,InsumosCultivos!$J$45:$J$1151)</f>
        <v>0</v>
      </c>
      <c r="E398" s="1803">
        <f>SUMIF(InsumosCultivos!$B$45:$B$1151,$B330,InsumosCultivos!$K$45:$K$1151)</f>
        <v>0</v>
      </c>
      <c r="F398" s="1803">
        <f>SUMIF(InsumosCultivos!$B$45:$B$1151,$B330,InsumosCultivos!$L$45:$L$1151)</f>
        <v>0</v>
      </c>
      <c r="G398" s="1803">
        <f>SUMIF(InsumosCultivos!$B$45:$B$1151,$B330,InsumosCultivos!$M$45:$M$1151)</f>
        <v>0</v>
      </c>
      <c r="H398" s="1803">
        <f>SUMIF(InsumosCultivos!$B$45:$B$1151,$B330,InsumosCultivos!$N$45:$N$1151)</f>
        <v>0</v>
      </c>
      <c r="I398" s="1803">
        <f>SUMIF(InsumosCultivos!$B$45:$B$1151,$B330,InsumosCultivos!$O$45:$O$1151)</f>
        <v>0</v>
      </c>
      <c r="J398" s="1803">
        <f>SUMIF(InsumosCultivos!$B$45:$B$1151,$B330,InsumosCultivos!$P$45:$P$1151)</f>
        <v>0</v>
      </c>
      <c r="K398" s="1803">
        <f>SUMIF(InsumosCultivos!$B$45:$B$1151,$B330,InsumosCultivos!$Q$45:$Q$1151)</f>
        <v>0</v>
      </c>
      <c r="L398" s="1803">
        <f>SUMIF(InsumosCultivos!$B$45:$B$1151,$B330,InsumosCultivos!$R$45:$R$1151)</f>
        <v>0</v>
      </c>
      <c r="M398" s="1803">
        <f>SUMIF(InsumosCultivos!$B$45:$B$1151,$B330,InsumosCultivos!$S$45:$S$1151)</f>
        <v>0</v>
      </c>
      <c r="N398" s="1803">
        <f>SUMIF(InsumosCultivos!$B$45:$B$1151,$B330,InsumosCultivos!$T$45:$T$1151)</f>
        <v>0</v>
      </c>
      <c r="O398" s="1321"/>
      <c r="P398" s="1803">
        <f>SUMIF(InsumosCultivos!$Y$45:$Y$529,$B330,InsumosCultivos!$AF$45:$AF$529)</f>
        <v>0</v>
      </c>
      <c r="Q398" s="1803">
        <f>SUMIF(InsumosCultivos!$Y$45:$Y$529,$B330,InsumosCultivos!$AG$45:$AG$529)</f>
        <v>0</v>
      </c>
      <c r="R398" s="1803">
        <f>SUMIF(InsumosCultivos!$Y$45:$Y$529,$B330,InsumosCultivos!$AH$45:$AH$529)</f>
        <v>0</v>
      </c>
      <c r="S398" s="1803">
        <f>SUMIF(InsumosCultivos!$Y$45:$Y$529,$B330,InsumosCultivos!$AI$45:$AI$529)</f>
        <v>0</v>
      </c>
      <c r="T398" s="1803">
        <f>SUMIF(InsumosCultivos!$Y$45:$Y$529,$B330,InsumosCultivos!$AJ$45:$AJ$529)</f>
        <v>0</v>
      </c>
      <c r="U398" s="1803">
        <f>SUMIF(InsumosCultivos!$Y$45:$Y$529,$B330,InsumosCultivos!$AK$45:$AK$529)</f>
        <v>0</v>
      </c>
      <c r="V398" s="1803">
        <f>SUMIF(InsumosCultivos!$Y$45:$Y$529,$B330,InsumosCultivos!$AL$45:$AL$529)</f>
        <v>0</v>
      </c>
      <c r="W398" s="1803">
        <f>SUMIF(InsumosCultivos!$Y$45:$Y$529,$B330,InsumosCultivos!$AM$45:$AM$529)</f>
        <v>0</v>
      </c>
      <c r="X398" s="1803">
        <f>SUMIF(InsumosCultivos!$Y$45:$Y$529,$B330,InsumosCultivos!$AN$45:$AN$529)</f>
        <v>0</v>
      </c>
      <c r="Y398" s="1803">
        <f>SUMIF(InsumosCultivos!$Y$45:$Y$529,$B330,InsumosCultivos!$AO$45:$AO$529)</f>
        <v>0</v>
      </c>
      <c r="Z398" s="1803">
        <f>SUMIF(InsumosCultivos!$Y$45:$Y$529,$B330,InsumosCultivos!$AP$45:$AP$529)</f>
        <v>0</v>
      </c>
      <c r="AA398" s="1803">
        <f>SUMIF(InsumosCultivos!$Y$45:$Y$529,$B330,InsumosCultivos!$AQ$45:$AQ$529)</f>
        <v>0</v>
      </c>
      <c r="AB398" s="1321"/>
      <c r="AC398" s="1803">
        <f t="shared" si="22"/>
        <v>0</v>
      </c>
      <c r="AD398" s="1803">
        <f t="shared" si="23"/>
        <v>0</v>
      </c>
      <c r="AE398" s="1803">
        <f t="shared" si="24"/>
        <v>0</v>
      </c>
      <c r="AF398" s="1803">
        <f t="shared" si="25"/>
        <v>0</v>
      </c>
      <c r="AG398" s="1803">
        <f t="shared" si="26"/>
        <v>0</v>
      </c>
      <c r="AH398" s="1803">
        <f t="shared" si="27"/>
        <v>0</v>
      </c>
      <c r="AI398" s="1803">
        <f t="shared" si="28"/>
        <v>0</v>
      </c>
      <c r="AJ398" s="1803">
        <f t="shared" si="29"/>
        <v>0</v>
      </c>
      <c r="AK398" s="1803">
        <f t="shared" si="30"/>
        <v>0</v>
      </c>
      <c r="AL398" s="1803">
        <f t="shared" si="31"/>
        <v>0</v>
      </c>
      <c r="AM398" s="1803">
        <f t="shared" si="32"/>
        <v>0</v>
      </c>
      <c r="AN398" s="1803">
        <f t="shared" si="33"/>
        <v>0</v>
      </c>
      <c r="AO398" s="950"/>
      <c r="AP398" s="950"/>
      <c r="AQ398" s="950"/>
      <c r="AR398" s="950"/>
      <c r="AS398" s="950"/>
      <c r="AT398" s="950"/>
      <c r="AU398" s="1321"/>
    </row>
    <row r="399" spans="3:47" s="232" customFormat="1" hidden="1" x14ac:dyDescent="0.2">
      <c r="C399" s="1803">
        <f>SUMIF(InsumosCultivos!$B$45:$B$1151,$B331,InsumosCultivos!$I$45:$I$1151)</f>
        <v>0</v>
      </c>
      <c r="D399" s="1803">
        <f>SUMIF(InsumosCultivos!$B$45:$B$1151,$B331,InsumosCultivos!$J$45:$J$1151)</f>
        <v>0</v>
      </c>
      <c r="E399" s="1803">
        <f>SUMIF(InsumosCultivos!$B$45:$B$1151,$B331,InsumosCultivos!$K$45:$K$1151)</f>
        <v>0</v>
      </c>
      <c r="F399" s="1803">
        <f>SUMIF(InsumosCultivos!$B$45:$B$1151,$B331,InsumosCultivos!$L$45:$L$1151)</f>
        <v>0</v>
      </c>
      <c r="G399" s="1803">
        <f>SUMIF(InsumosCultivos!$B$45:$B$1151,$B331,InsumosCultivos!$M$45:$M$1151)</f>
        <v>0</v>
      </c>
      <c r="H399" s="1803">
        <f>SUMIF(InsumosCultivos!$B$45:$B$1151,$B331,InsumosCultivos!$N$45:$N$1151)</f>
        <v>0</v>
      </c>
      <c r="I399" s="1803">
        <f>SUMIF(InsumosCultivos!$B$45:$B$1151,$B331,InsumosCultivos!$O$45:$O$1151)</f>
        <v>0</v>
      </c>
      <c r="J399" s="1803">
        <f>SUMIF(InsumosCultivos!$B$45:$B$1151,$B331,InsumosCultivos!$P$45:$P$1151)</f>
        <v>0</v>
      </c>
      <c r="K399" s="1803">
        <f>SUMIF(InsumosCultivos!$B$45:$B$1151,$B331,InsumosCultivos!$Q$45:$Q$1151)</f>
        <v>0</v>
      </c>
      <c r="L399" s="1803">
        <f>SUMIF(InsumosCultivos!$B$45:$B$1151,$B331,InsumosCultivos!$R$45:$R$1151)</f>
        <v>0</v>
      </c>
      <c r="M399" s="1803">
        <f>SUMIF(InsumosCultivos!$B$45:$B$1151,$B331,InsumosCultivos!$S$45:$S$1151)</f>
        <v>0</v>
      </c>
      <c r="N399" s="1803">
        <f>SUMIF(InsumosCultivos!$B$45:$B$1151,$B331,InsumosCultivos!$T$45:$T$1151)</f>
        <v>0</v>
      </c>
      <c r="O399" s="1321"/>
      <c r="P399" s="1803">
        <f>SUMIF(InsumosCultivos!$Y$45:$Y$529,$B331,InsumosCultivos!$AF$45:$AF$529)</f>
        <v>0</v>
      </c>
      <c r="Q399" s="1803">
        <f>SUMIF(InsumosCultivos!$Y$45:$Y$529,$B331,InsumosCultivos!$AG$45:$AG$529)</f>
        <v>0</v>
      </c>
      <c r="R399" s="1803">
        <f>SUMIF(InsumosCultivos!$Y$45:$Y$529,$B331,InsumosCultivos!$AH$45:$AH$529)</f>
        <v>0</v>
      </c>
      <c r="S399" s="1803">
        <f>SUMIF(InsumosCultivos!$Y$45:$Y$529,$B331,InsumosCultivos!$AI$45:$AI$529)</f>
        <v>0</v>
      </c>
      <c r="T399" s="1803">
        <f>SUMIF(InsumosCultivos!$Y$45:$Y$529,$B331,InsumosCultivos!$AJ$45:$AJ$529)</f>
        <v>0</v>
      </c>
      <c r="U399" s="1803">
        <f>SUMIF(InsumosCultivos!$Y$45:$Y$529,$B331,InsumosCultivos!$AK$45:$AK$529)</f>
        <v>0</v>
      </c>
      <c r="V399" s="1803">
        <f>SUMIF(InsumosCultivos!$Y$45:$Y$529,$B331,InsumosCultivos!$AL$45:$AL$529)</f>
        <v>0</v>
      </c>
      <c r="W399" s="1803">
        <f>SUMIF(InsumosCultivos!$Y$45:$Y$529,$B331,InsumosCultivos!$AM$45:$AM$529)</f>
        <v>0</v>
      </c>
      <c r="X399" s="1803">
        <f>SUMIF(InsumosCultivos!$Y$45:$Y$529,$B331,InsumosCultivos!$AN$45:$AN$529)</f>
        <v>0</v>
      </c>
      <c r="Y399" s="1803">
        <f>SUMIF(InsumosCultivos!$Y$45:$Y$529,$B331,InsumosCultivos!$AO$45:$AO$529)</f>
        <v>0</v>
      </c>
      <c r="Z399" s="1803">
        <f>SUMIF(InsumosCultivos!$Y$45:$Y$529,$B331,InsumosCultivos!$AP$45:$AP$529)</f>
        <v>0</v>
      </c>
      <c r="AA399" s="1803">
        <f>SUMIF(InsumosCultivos!$Y$45:$Y$529,$B331,InsumosCultivos!$AQ$45:$AQ$529)</f>
        <v>0</v>
      </c>
      <c r="AB399" s="1321"/>
      <c r="AC399" s="1803">
        <f t="shared" si="22"/>
        <v>0</v>
      </c>
      <c r="AD399" s="1803">
        <f t="shared" si="23"/>
        <v>0</v>
      </c>
      <c r="AE399" s="1803">
        <f t="shared" si="24"/>
        <v>0</v>
      </c>
      <c r="AF399" s="1803">
        <f t="shared" si="25"/>
        <v>0</v>
      </c>
      <c r="AG399" s="1803">
        <f t="shared" si="26"/>
        <v>0</v>
      </c>
      <c r="AH399" s="1803">
        <f t="shared" si="27"/>
        <v>0</v>
      </c>
      <c r="AI399" s="1803">
        <f t="shared" si="28"/>
        <v>0</v>
      </c>
      <c r="AJ399" s="1803">
        <f t="shared" si="29"/>
        <v>0</v>
      </c>
      <c r="AK399" s="1803">
        <f t="shared" si="30"/>
        <v>0</v>
      </c>
      <c r="AL399" s="1803">
        <f t="shared" si="31"/>
        <v>0</v>
      </c>
      <c r="AM399" s="1803">
        <f t="shared" si="32"/>
        <v>0</v>
      </c>
      <c r="AN399" s="1803">
        <f t="shared" si="33"/>
        <v>0</v>
      </c>
      <c r="AO399" s="950"/>
      <c r="AP399" s="950"/>
      <c r="AQ399" s="950"/>
      <c r="AR399" s="950"/>
      <c r="AS399" s="950"/>
      <c r="AT399" s="950"/>
      <c r="AU399" s="1321"/>
    </row>
    <row r="400" spans="3:47" s="232" customFormat="1" hidden="1" x14ac:dyDescent="0.2">
      <c r="C400" s="1803">
        <f>SUMIF(InsumosCultivos!$B$45:$B$1151,$B332,InsumosCultivos!$I$45:$I$1151)</f>
        <v>0</v>
      </c>
      <c r="D400" s="1803">
        <f>SUMIF(InsumosCultivos!$B$45:$B$1151,$B332,InsumosCultivos!$J$45:$J$1151)</f>
        <v>0</v>
      </c>
      <c r="E400" s="1803">
        <f>SUMIF(InsumosCultivos!$B$45:$B$1151,$B332,InsumosCultivos!$K$45:$K$1151)</f>
        <v>0</v>
      </c>
      <c r="F400" s="1803">
        <f>SUMIF(InsumosCultivos!$B$45:$B$1151,$B332,InsumosCultivos!$L$45:$L$1151)</f>
        <v>0</v>
      </c>
      <c r="G400" s="1803">
        <f>SUMIF(InsumosCultivos!$B$45:$B$1151,$B332,InsumosCultivos!$M$45:$M$1151)</f>
        <v>0</v>
      </c>
      <c r="H400" s="1803">
        <f>SUMIF(InsumosCultivos!$B$45:$B$1151,$B332,InsumosCultivos!$N$45:$N$1151)</f>
        <v>0</v>
      </c>
      <c r="I400" s="1803">
        <f>SUMIF(InsumosCultivos!$B$45:$B$1151,$B332,InsumosCultivos!$O$45:$O$1151)</f>
        <v>0</v>
      </c>
      <c r="J400" s="1803">
        <f>SUMIF(InsumosCultivos!$B$45:$B$1151,$B332,InsumosCultivos!$P$45:$P$1151)</f>
        <v>0</v>
      </c>
      <c r="K400" s="1803">
        <f>SUMIF(InsumosCultivos!$B$45:$B$1151,$B332,InsumosCultivos!$Q$45:$Q$1151)</f>
        <v>0</v>
      </c>
      <c r="L400" s="1803">
        <f>SUMIF(InsumosCultivos!$B$45:$B$1151,$B332,InsumosCultivos!$R$45:$R$1151)</f>
        <v>0</v>
      </c>
      <c r="M400" s="1803">
        <f>SUMIF(InsumosCultivos!$B$45:$B$1151,$B332,InsumosCultivos!$S$45:$S$1151)</f>
        <v>0</v>
      </c>
      <c r="N400" s="1803">
        <f>SUMIF(InsumosCultivos!$B$45:$B$1151,$B332,InsumosCultivos!$T$45:$T$1151)</f>
        <v>0</v>
      </c>
      <c r="O400" s="1321"/>
      <c r="P400" s="1803">
        <f>SUMIF(InsumosCultivos!$Y$45:$Y$529,$B332,InsumosCultivos!$AF$45:$AF$529)</f>
        <v>0</v>
      </c>
      <c r="Q400" s="1803">
        <f>SUMIF(InsumosCultivos!$Y$45:$Y$529,$B332,InsumosCultivos!$AG$45:$AG$529)</f>
        <v>0</v>
      </c>
      <c r="R400" s="1803">
        <f>SUMIF(InsumosCultivos!$Y$45:$Y$529,$B332,InsumosCultivos!$AH$45:$AH$529)</f>
        <v>0</v>
      </c>
      <c r="S400" s="1803">
        <f>SUMIF(InsumosCultivos!$Y$45:$Y$529,$B332,InsumosCultivos!$AI$45:$AI$529)</f>
        <v>0</v>
      </c>
      <c r="T400" s="1803">
        <f>SUMIF(InsumosCultivos!$Y$45:$Y$529,$B332,InsumosCultivos!$AJ$45:$AJ$529)</f>
        <v>0</v>
      </c>
      <c r="U400" s="1803">
        <f>SUMIF(InsumosCultivos!$Y$45:$Y$529,$B332,InsumosCultivos!$AK$45:$AK$529)</f>
        <v>0</v>
      </c>
      <c r="V400" s="1803">
        <f>SUMIF(InsumosCultivos!$Y$45:$Y$529,$B332,InsumosCultivos!$AL$45:$AL$529)</f>
        <v>0</v>
      </c>
      <c r="W400" s="1803">
        <f>SUMIF(InsumosCultivos!$Y$45:$Y$529,$B332,InsumosCultivos!$AM$45:$AM$529)</f>
        <v>0</v>
      </c>
      <c r="X400" s="1803">
        <f>SUMIF(InsumosCultivos!$Y$45:$Y$529,$B332,InsumosCultivos!$AN$45:$AN$529)</f>
        <v>0</v>
      </c>
      <c r="Y400" s="1803">
        <f>SUMIF(InsumosCultivos!$Y$45:$Y$529,$B332,InsumosCultivos!$AO$45:$AO$529)</f>
        <v>0</v>
      </c>
      <c r="Z400" s="1803">
        <f>SUMIF(InsumosCultivos!$Y$45:$Y$529,$B332,InsumosCultivos!$AP$45:$AP$529)</f>
        <v>0</v>
      </c>
      <c r="AA400" s="1803">
        <f>SUMIF(InsumosCultivos!$Y$45:$Y$529,$B332,InsumosCultivos!$AQ$45:$AQ$529)</f>
        <v>0</v>
      </c>
      <c r="AB400" s="1321"/>
      <c r="AC400" s="1803">
        <f t="shared" si="22"/>
        <v>0</v>
      </c>
      <c r="AD400" s="1803">
        <f t="shared" si="23"/>
        <v>0</v>
      </c>
      <c r="AE400" s="1803">
        <f t="shared" si="24"/>
        <v>0</v>
      </c>
      <c r="AF400" s="1803">
        <f t="shared" si="25"/>
        <v>0</v>
      </c>
      <c r="AG400" s="1803">
        <f t="shared" si="26"/>
        <v>0</v>
      </c>
      <c r="AH400" s="1803">
        <f t="shared" si="27"/>
        <v>0</v>
      </c>
      <c r="AI400" s="1803">
        <f t="shared" si="28"/>
        <v>0</v>
      </c>
      <c r="AJ400" s="1803">
        <f t="shared" si="29"/>
        <v>0</v>
      </c>
      <c r="AK400" s="1803">
        <f t="shared" si="30"/>
        <v>0</v>
      </c>
      <c r="AL400" s="1803">
        <f t="shared" si="31"/>
        <v>0</v>
      </c>
      <c r="AM400" s="1803">
        <f t="shared" si="32"/>
        <v>0</v>
      </c>
      <c r="AN400" s="1803">
        <f t="shared" si="33"/>
        <v>0</v>
      </c>
      <c r="AO400" s="950"/>
      <c r="AP400" s="950"/>
      <c r="AQ400" s="950"/>
      <c r="AR400" s="950"/>
      <c r="AS400" s="950"/>
      <c r="AT400" s="950"/>
      <c r="AU400" s="1321"/>
    </row>
    <row r="401" spans="3:47" s="232" customFormat="1" hidden="1" x14ac:dyDescent="0.2">
      <c r="C401" s="1803">
        <f>SUMIF(InsumosCultivos!$B$45:$B$1151,$B333,InsumosCultivos!$I$45:$I$1151)</f>
        <v>0</v>
      </c>
      <c r="D401" s="1803">
        <f>SUMIF(InsumosCultivos!$B$45:$B$1151,$B333,InsumosCultivos!$J$45:$J$1151)</f>
        <v>0</v>
      </c>
      <c r="E401" s="1803">
        <f>SUMIF(InsumosCultivos!$B$45:$B$1151,$B333,InsumosCultivos!$K$45:$K$1151)</f>
        <v>0</v>
      </c>
      <c r="F401" s="1803">
        <f>SUMIF(InsumosCultivos!$B$45:$B$1151,$B333,InsumosCultivos!$L$45:$L$1151)</f>
        <v>0</v>
      </c>
      <c r="G401" s="1803">
        <f>SUMIF(InsumosCultivos!$B$45:$B$1151,$B333,InsumosCultivos!$M$45:$M$1151)</f>
        <v>0</v>
      </c>
      <c r="H401" s="1803">
        <f>SUMIF(InsumosCultivos!$B$45:$B$1151,$B333,InsumosCultivos!$N$45:$N$1151)</f>
        <v>0</v>
      </c>
      <c r="I401" s="1803">
        <f>SUMIF(InsumosCultivos!$B$45:$B$1151,$B333,InsumosCultivos!$O$45:$O$1151)</f>
        <v>0</v>
      </c>
      <c r="J401" s="1803">
        <f>SUMIF(InsumosCultivos!$B$45:$B$1151,$B333,InsumosCultivos!$P$45:$P$1151)</f>
        <v>0</v>
      </c>
      <c r="K401" s="1803">
        <f>SUMIF(InsumosCultivos!$B$45:$B$1151,$B333,InsumosCultivos!$Q$45:$Q$1151)</f>
        <v>0</v>
      </c>
      <c r="L401" s="1803">
        <f>SUMIF(InsumosCultivos!$B$45:$B$1151,$B333,InsumosCultivos!$R$45:$R$1151)</f>
        <v>0</v>
      </c>
      <c r="M401" s="1803">
        <f>SUMIF(InsumosCultivos!$B$45:$B$1151,$B333,InsumosCultivos!$S$45:$S$1151)</f>
        <v>0</v>
      </c>
      <c r="N401" s="1803">
        <f>SUMIF(InsumosCultivos!$B$45:$B$1151,$B333,InsumosCultivos!$T$45:$T$1151)</f>
        <v>0</v>
      </c>
      <c r="O401" s="1321"/>
      <c r="P401" s="1803">
        <f>SUMIF(InsumosCultivos!$Y$45:$Y$529,$B333,InsumosCultivos!$AF$45:$AF$529)</f>
        <v>0</v>
      </c>
      <c r="Q401" s="1803">
        <f>SUMIF(InsumosCultivos!$Y$45:$Y$529,$B333,InsumosCultivos!$AG$45:$AG$529)</f>
        <v>0</v>
      </c>
      <c r="R401" s="1803">
        <f>SUMIF(InsumosCultivos!$Y$45:$Y$529,$B333,InsumosCultivos!$AH$45:$AH$529)</f>
        <v>0</v>
      </c>
      <c r="S401" s="1803">
        <f>SUMIF(InsumosCultivos!$Y$45:$Y$529,$B333,InsumosCultivos!$AI$45:$AI$529)</f>
        <v>0</v>
      </c>
      <c r="T401" s="1803">
        <f>SUMIF(InsumosCultivos!$Y$45:$Y$529,$B333,InsumosCultivos!$AJ$45:$AJ$529)</f>
        <v>0</v>
      </c>
      <c r="U401" s="1803">
        <f>SUMIF(InsumosCultivos!$Y$45:$Y$529,$B333,InsumosCultivos!$AK$45:$AK$529)</f>
        <v>0</v>
      </c>
      <c r="V401" s="1803">
        <f>SUMIF(InsumosCultivos!$Y$45:$Y$529,$B333,InsumosCultivos!$AL$45:$AL$529)</f>
        <v>0</v>
      </c>
      <c r="W401" s="1803">
        <f>SUMIF(InsumosCultivos!$Y$45:$Y$529,$B333,InsumosCultivos!$AM$45:$AM$529)</f>
        <v>0</v>
      </c>
      <c r="X401" s="1803">
        <f>SUMIF(InsumosCultivos!$Y$45:$Y$529,$B333,InsumosCultivos!$AN$45:$AN$529)</f>
        <v>0</v>
      </c>
      <c r="Y401" s="1803">
        <f>SUMIF(InsumosCultivos!$Y$45:$Y$529,$B333,InsumosCultivos!$AO$45:$AO$529)</f>
        <v>0</v>
      </c>
      <c r="Z401" s="1803">
        <f>SUMIF(InsumosCultivos!$Y$45:$Y$529,$B333,InsumosCultivos!$AP$45:$AP$529)</f>
        <v>0</v>
      </c>
      <c r="AA401" s="1803">
        <f>SUMIF(InsumosCultivos!$Y$45:$Y$529,$B333,InsumosCultivos!$AQ$45:$AQ$529)</f>
        <v>0</v>
      </c>
      <c r="AB401" s="1321"/>
      <c r="AC401" s="1803">
        <f t="shared" si="22"/>
        <v>0</v>
      </c>
      <c r="AD401" s="1803">
        <f t="shared" si="23"/>
        <v>0</v>
      </c>
      <c r="AE401" s="1803">
        <f t="shared" si="24"/>
        <v>0</v>
      </c>
      <c r="AF401" s="1803">
        <f t="shared" si="25"/>
        <v>0</v>
      </c>
      <c r="AG401" s="1803">
        <f t="shared" si="26"/>
        <v>0</v>
      </c>
      <c r="AH401" s="1803">
        <f t="shared" si="27"/>
        <v>0</v>
      </c>
      <c r="AI401" s="1803">
        <f t="shared" si="28"/>
        <v>0</v>
      </c>
      <c r="AJ401" s="1803">
        <f t="shared" si="29"/>
        <v>0</v>
      </c>
      <c r="AK401" s="1803">
        <f t="shared" si="30"/>
        <v>0</v>
      </c>
      <c r="AL401" s="1803">
        <f t="shared" si="31"/>
        <v>0</v>
      </c>
      <c r="AM401" s="1803">
        <f t="shared" si="32"/>
        <v>0</v>
      </c>
      <c r="AN401" s="1803">
        <f t="shared" si="33"/>
        <v>0</v>
      </c>
      <c r="AO401" s="950"/>
      <c r="AP401" s="950"/>
      <c r="AQ401" s="950"/>
      <c r="AR401" s="950"/>
      <c r="AS401" s="950"/>
      <c r="AT401" s="950"/>
      <c r="AU401" s="1321"/>
    </row>
    <row r="402" spans="3:47" s="232" customFormat="1" hidden="1" x14ac:dyDescent="0.2">
      <c r="C402" s="1803">
        <f>SUMIF(InsumosCultivos!$B$45:$B$1151,$B334,InsumosCultivos!$I$45:$I$1151)</f>
        <v>0</v>
      </c>
      <c r="D402" s="1803">
        <f>SUMIF(InsumosCultivos!$B$45:$B$1151,$B334,InsumosCultivos!$J$45:$J$1151)</f>
        <v>0</v>
      </c>
      <c r="E402" s="1803">
        <f>SUMIF(InsumosCultivos!$B$45:$B$1151,$B334,InsumosCultivos!$K$45:$K$1151)</f>
        <v>0</v>
      </c>
      <c r="F402" s="1803">
        <f>SUMIF(InsumosCultivos!$B$45:$B$1151,$B334,InsumosCultivos!$L$45:$L$1151)</f>
        <v>0</v>
      </c>
      <c r="G402" s="1803">
        <f>SUMIF(InsumosCultivos!$B$45:$B$1151,$B334,InsumosCultivos!$M$45:$M$1151)</f>
        <v>0</v>
      </c>
      <c r="H402" s="1803">
        <f>SUMIF(InsumosCultivos!$B$45:$B$1151,$B334,InsumosCultivos!$N$45:$N$1151)</f>
        <v>0</v>
      </c>
      <c r="I402" s="1803">
        <f>SUMIF(InsumosCultivos!$B$45:$B$1151,$B334,InsumosCultivos!$O$45:$O$1151)</f>
        <v>0</v>
      </c>
      <c r="J402" s="1803">
        <f>SUMIF(InsumosCultivos!$B$45:$B$1151,$B334,InsumosCultivos!$P$45:$P$1151)</f>
        <v>0</v>
      </c>
      <c r="K402" s="1803">
        <f>SUMIF(InsumosCultivos!$B$45:$B$1151,$B334,InsumosCultivos!$Q$45:$Q$1151)</f>
        <v>0</v>
      </c>
      <c r="L402" s="1803">
        <f>SUMIF(InsumosCultivos!$B$45:$B$1151,$B334,InsumosCultivos!$R$45:$R$1151)</f>
        <v>0</v>
      </c>
      <c r="M402" s="1803">
        <f>SUMIF(InsumosCultivos!$B$45:$B$1151,$B334,InsumosCultivos!$S$45:$S$1151)</f>
        <v>0</v>
      </c>
      <c r="N402" s="1803">
        <f>SUMIF(InsumosCultivos!$B$45:$B$1151,$B334,InsumosCultivos!$T$45:$T$1151)</f>
        <v>0</v>
      </c>
      <c r="O402" s="1321"/>
      <c r="P402" s="1803">
        <f>SUMIF(InsumosCultivos!$Y$45:$Y$529,$B334,InsumosCultivos!$AF$45:$AF$529)</f>
        <v>0</v>
      </c>
      <c r="Q402" s="1803">
        <f>SUMIF(InsumosCultivos!$Y$45:$Y$529,$B334,InsumosCultivos!$AG$45:$AG$529)</f>
        <v>0</v>
      </c>
      <c r="R402" s="1803">
        <f>SUMIF(InsumosCultivos!$Y$45:$Y$529,$B334,InsumosCultivos!$AH$45:$AH$529)</f>
        <v>0</v>
      </c>
      <c r="S402" s="1803">
        <f>SUMIF(InsumosCultivos!$Y$45:$Y$529,$B334,InsumosCultivos!$AI$45:$AI$529)</f>
        <v>0</v>
      </c>
      <c r="T402" s="1803">
        <f>SUMIF(InsumosCultivos!$Y$45:$Y$529,$B334,InsumosCultivos!$AJ$45:$AJ$529)</f>
        <v>0</v>
      </c>
      <c r="U402" s="1803">
        <f>SUMIF(InsumosCultivos!$Y$45:$Y$529,$B334,InsumosCultivos!$AK$45:$AK$529)</f>
        <v>0</v>
      </c>
      <c r="V402" s="1803">
        <f>SUMIF(InsumosCultivos!$Y$45:$Y$529,$B334,InsumosCultivos!$AL$45:$AL$529)</f>
        <v>0</v>
      </c>
      <c r="W402" s="1803">
        <f>SUMIF(InsumosCultivos!$Y$45:$Y$529,$B334,InsumosCultivos!$AM$45:$AM$529)</f>
        <v>0</v>
      </c>
      <c r="X402" s="1803">
        <f>SUMIF(InsumosCultivos!$Y$45:$Y$529,$B334,InsumosCultivos!$AN$45:$AN$529)</f>
        <v>0</v>
      </c>
      <c r="Y402" s="1803">
        <f>SUMIF(InsumosCultivos!$Y$45:$Y$529,$B334,InsumosCultivos!$AO$45:$AO$529)</f>
        <v>0</v>
      </c>
      <c r="Z402" s="1803">
        <f>SUMIF(InsumosCultivos!$Y$45:$Y$529,$B334,InsumosCultivos!$AP$45:$AP$529)</f>
        <v>0</v>
      </c>
      <c r="AA402" s="1803">
        <f>SUMIF(InsumosCultivos!$Y$45:$Y$529,$B334,InsumosCultivos!$AQ$45:$AQ$529)</f>
        <v>0</v>
      </c>
      <c r="AB402" s="1321"/>
      <c r="AC402" s="1803">
        <f t="shared" si="22"/>
        <v>0</v>
      </c>
      <c r="AD402" s="1803">
        <f t="shared" si="23"/>
        <v>0</v>
      </c>
      <c r="AE402" s="1803">
        <f t="shared" si="24"/>
        <v>0</v>
      </c>
      <c r="AF402" s="1803">
        <f t="shared" si="25"/>
        <v>0</v>
      </c>
      <c r="AG402" s="1803">
        <f t="shared" si="26"/>
        <v>0</v>
      </c>
      <c r="AH402" s="1803">
        <f t="shared" si="27"/>
        <v>0</v>
      </c>
      <c r="AI402" s="1803">
        <f t="shared" si="28"/>
        <v>0</v>
      </c>
      <c r="AJ402" s="1803">
        <f t="shared" si="29"/>
        <v>0</v>
      </c>
      <c r="AK402" s="1803">
        <f t="shared" si="30"/>
        <v>0</v>
      </c>
      <c r="AL402" s="1803">
        <f t="shared" si="31"/>
        <v>0</v>
      </c>
      <c r="AM402" s="1803">
        <f t="shared" si="32"/>
        <v>0</v>
      </c>
      <c r="AN402" s="1803">
        <f t="shared" si="33"/>
        <v>0</v>
      </c>
      <c r="AO402" s="950"/>
      <c r="AP402" s="950"/>
      <c r="AQ402" s="950"/>
      <c r="AR402" s="950"/>
      <c r="AS402" s="950"/>
      <c r="AT402" s="950"/>
      <c r="AU402" s="1321"/>
    </row>
    <row r="403" spans="3:47" s="232" customFormat="1" hidden="1" x14ac:dyDescent="0.2">
      <c r="C403" s="1803">
        <f>SUMIF(InsumosCultivos!$B$45:$B$1151,$B335,InsumosCultivos!$I$45:$I$1151)</f>
        <v>0</v>
      </c>
      <c r="D403" s="1803">
        <f>SUMIF(InsumosCultivos!$B$45:$B$1151,$B335,InsumosCultivos!$J$45:$J$1151)</f>
        <v>0</v>
      </c>
      <c r="E403" s="1803">
        <f>SUMIF(InsumosCultivos!$B$45:$B$1151,$B335,InsumosCultivos!$K$45:$K$1151)</f>
        <v>0</v>
      </c>
      <c r="F403" s="1803">
        <f>SUMIF(InsumosCultivos!$B$45:$B$1151,$B335,InsumosCultivos!$L$45:$L$1151)</f>
        <v>0</v>
      </c>
      <c r="G403" s="1803">
        <f>SUMIF(InsumosCultivos!$B$45:$B$1151,$B335,InsumosCultivos!$M$45:$M$1151)</f>
        <v>0</v>
      </c>
      <c r="H403" s="1803">
        <f>SUMIF(InsumosCultivos!$B$45:$B$1151,$B335,InsumosCultivos!$N$45:$N$1151)</f>
        <v>0</v>
      </c>
      <c r="I403" s="1803">
        <f>SUMIF(InsumosCultivos!$B$45:$B$1151,$B335,InsumosCultivos!$O$45:$O$1151)</f>
        <v>0</v>
      </c>
      <c r="J403" s="1803">
        <f>SUMIF(InsumosCultivos!$B$45:$B$1151,$B335,InsumosCultivos!$P$45:$P$1151)</f>
        <v>0</v>
      </c>
      <c r="K403" s="1803">
        <f>SUMIF(InsumosCultivos!$B$45:$B$1151,$B335,InsumosCultivos!$Q$45:$Q$1151)</f>
        <v>0</v>
      </c>
      <c r="L403" s="1803">
        <f>SUMIF(InsumosCultivos!$B$45:$B$1151,$B335,InsumosCultivos!$R$45:$R$1151)</f>
        <v>0</v>
      </c>
      <c r="M403" s="1803">
        <f>SUMIF(InsumosCultivos!$B$45:$B$1151,$B335,InsumosCultivos!$S$45:$S$1151)</f>
        <v>0</v>
      </c>
      <c r="N403" s="1803">
        <f>SUMIF(InsumosCultivos!$B$45:$B$1151,$B335,InsumosCultivos!$T$45:$T$1151)</f>
        <v>0</v>
      </c>
      <c r="O403" s="1321"/>
      <c r="P403" s="1803">
        <f>SUMIF(InsumosCultivos!$Y$45:$Y$529,$B335,InsumosCultivos!$AF$45:$AF$529)</f>
        <v>0</v>
      </c>
      <c r="Q403" s="1803">
        <f>SUMIF(InsumosCultivos!$Y$45:$Y$529,$B335,InsumosCultivos!$AG$45:$AG$529)</f>
        <v>0</v>
      </c>
      <c r="R403" s="1803">
        <f>SUMIF(InsumosCultivos!$Y$45:$Y$529,$B335,InsumosCultivos!$AH$45:$AH$529)</f>
        <v>0</v>
      </c>
      <c r="S403" s="1803">
        <f>SUMIF(InsumosCultivos!$Y$45:$Y$529,$B335,InsumosCultivos!$AI$45:$AI$529)</f>
        <v>0</v>
      </c>
      <c r="T403" s="1803">
        <f>SUMIF(InsumosCultivos!$Y$45:$Y$529,$B335,InsumosCultivos!$AJ$45:$AJ$529)</f>
        <v>0</v>
      </c>
      <c r="U403" s="1803">
        <f>SUMIF(InsumosCultivos!$Y$45:$Y$529,$B335,InsumosCultivos!$AK$45:$AK$529)</f>
        <v>0</v>
      </c>
      <c r="V403" s="1803">
        <f>SUMIF(InsumosCultivos!$Y$45:$Y$529,$B335,InsumosCultivos!$AL$45:$AL$529)</f>
        <v>0</v>
      </c>
      <c r="W403" s="1803">
        <f>SUMIF(InsumosCultivos!$Y$45:$Y$529,$B335,InsumosCultivos!$AM$45:$AM$529)</f>
        <v>0</v>
      </c>
      <c r="X403" s="1803">
        <f>SUMIF(InsumosCultivos!$Y$45:$Y$529,$B335,InsumosCultivos!$AN$45:$AN$529)</f>
        <v>0</v>
      </c>
      <c r="Y403" s="1803">
        <f>SUMIF(InsumosCultivos!$Y$45:$Y$529,$B335,InsumosCultivos!$AO$45:$AO$529)</f>
        <v>0</v>
      </c>
      <c r="Z403" s="1803">
        <f>SUMIF(InsumosCultivos!$Y$45:$Y$529,$B335,InsumosCultivos!$AP$45:$AP$529)</f>
        <v>0</v>
      </c>
      <c r="AA403" s="1803">
        <f>SUMIF(InsumosCultivos!$Y$45:$Y$529,$B335,InsumosCultivos!$AQ$45:$AQ$529)</f>
        <v>0</v>
      </c>
      <c r="AB403" s="1321"/>
      <c r="AC403" s="1803">
        <f t="shared" si="22"/>
        <v>0</v>
      </c>
      <c r="AD403" s="1803">
        <f t="shared" si="23"/>
        <v>0</v>
      </c>
      <c r="AE403" s="1803">
        <f t="shared" si="24"/>
        <v>0</v>
      </c>
      <c r="AF403" s="1803">
        <f t="shared" si="25"/>
        <v>0</v>
      </c>
      <c r="AG403" s="1803">
        <f t="shared" si="26"/>
        <v>0</v>
      </c>
      <c r="AH403" s="1803">
        <f t="shared" si="27"/>
        <v>0</v>
      </c>
      <c r="AI403" s="1803">
        <f t="shared" si="28"/>
        <v>0</v>
      </c>
      <c r="AJ403" s="1803">
        <f t="shared" si="29"/>
        <v>0</v>
      </c>
      <c r="AK403" s="1803">
        <f t="shared" si="30"/>
        <v>0</v>
      </c>
      <c r="AL403" s="1803">
        <f t="shared" si="31"/>
        <v>0</v>
      </c>
      <c r="AM403" s="1803">
        <f t="shared" si="32"/>
        <v>0</v>
      </c>
      <c r="AN403" s="1803">
        <f t="shared" si="33"/>
        <v>0</v>
      </c>
      <c r="AO403" s="950"/>
      <c r="AP403" s="950"/>
      <c r="AQ403" s="950"/>
      <c r="AR403" s="950"/>
      <c r="AS403" s="950"/>
      <c r="AT403" s="950"/>
      <c r="AU403" s="1321"/>
    </row>
    <row r="404" spans="3:47" s="232" customFormat="1" hidden="1" x14ac:dyDescent="0.2">
      <c r="C404" s="1803">
        <f>SUMIF(InsumosCultivos!$B$45:$B$1151,$B336,InsumosCultivos!$I$45:$I$1151)</f>
        <v>0</v>
      </c>
      <c r="D404" s="1803">
        <f>SUMIF(InsumosCultivos!$B$45:$B$1151,$B336,InsumosCultivos!$J$45:$J$1151)</f>
        <v>0</v>
      </c>
      <c r="E404" s="1803">
        <f>SUMIF(InsumosCultivos!$B$45:$B$1151,$B336,InsumosCultivos!$K$45:$K$1151)</f>
        <v>0</v>
      </c>
      <c r="F404" s="1803">
        <f>SUMIF(InsumosCultivos!$B$45:$B$1151,$B336,InsumosCultivos!$L$45:$L$1151)</f>
        <v>0</v>
      </c>
      <c r="G404" s="1803">
        <f>SUMIF(InsumosCultivos!$B$45:$B$1151,$B336,InsumosCultivos!$M$45:$M$1151)</f>
        <v>0</v>
      </c>
      <c r="H404" s="1803">
        <f>SUMIF(InsumosCultivos!$B$45:$B$1151,$B336,InsumosCultivos!$N$45:$N$1151)</f>
        <v>0</v>
      </c>
      <c r="I404" s="1803">
        <f>SUMIF(InsumosCultivos!$B$45:$B$1151,$B336,InsumosCultivos!$O$45:$O$1151)</f>
        <v>0</v>
      </c>
      <c r="J404" s="1803">
        <f>SUMIF(InsumosCultivos!$B$45:$B$1151,$B336,InsumosCultivos!$P$45:$P$1151)</f>
        <v>0</v>
      </c>
      <c r="K404" s="1803">
        <f>SUMIF(InsumosCultivos!$B$45:$B$1151,$B336,InsumosCultivos!$Q$45:$Q$1151)</f>
        <v>0</v>
      </c>
      <c r="L404" s="1803">
        <f>SUMIF(InsumosCultivos!$B$45:$B$1151,$B336,InsumosCultivos!$R$45:$R$1151)</f>
        <v>0</v>
      </c>
      <c r="M404" s="1803">
        <f>SUMIF(InsumosCultivos!$B$45:$B$1151,$B336,InsumosCultivos!$S$45:$S$1151)</f>
        <v>0</v>
      </c>
      <c r="N404" s="1803">
        <f>SUMIF(InsumosCultivos!$B$45:$B$1151,$B336,InsumosCultivos!$T$45:$T$1151)</f>
        <v>0</v>
      </c>
      <c r="O404" s="1321"/>
      <c r="P404" s="1803">
        <f>SUMIF(InsumosCultivos!$Y$45:$Y$529,$B336,InsumosCultivos!$AF$45:$AF$529)</f>
        <v>0</v>
      </c>
      <c r="Q404" s="1803">
        <f>SUMIF(InsumosCultivos!$Y$45:$Y$529,$B336,InsumosCultivos!$AG$45:$AG$529)</f>
        <v>0</v>
      </c>
      <c r="R404" s="1803">
        <f>SUMIF(InsumosCultivos!$Y$45:$Y$529,$B336,InsumosCultivos!$AH$45:$AH$529)</f>
        <v>0</v>
      </c>
      <c r="S404" s="1803">
        <f>SUMIF(InsumosCultivos!$Y$45:$Y$529,$B336,InsumosCultivos!$AI$45:$AI$529)</f>
        <v>0</v>
      </c>
      <c r="T404" s="1803">
        <f>SUMIF(InsumosCultivos!$Y$45:$Y$529,$B336,InsumosCultivos!$AJ$45:$AJ$529)</f>
        <v>0</v>
      </c>
      <c r="U404" s="1803">
        <f>SUMIF(InsumosCultivos!$Y$45:$Y$529,$B336,InsumosCultivos!$AK$45:$AK$529)</f>
        <v>0</v>
      </c>
      <c r="V404" s="1803">
        <f>SUMIF(InsumosCultivos!$Y$45:$Y$529,$B336,InsumosCultivos!$AL$45:$AL$529)</f>
        <v>0</v>
      </c>
      <c r="W404" s="1803">
        <f>SUMIF(InsumosCultivos!$Y$45:$Y$529,$B336,InsumosCultivos!$AM$45:$AM$529)</f>
        <v>0</v>
      </c>
      <c r="X404" s="1803">
        <f>SUMIF(InsumosCultivos!$Y$45:$Y$529,$B336,InsumosCultivos!$AN$45:$AN$529)</f>
        <v>0</v>
      </c>
      <c r="Y404" s="1803">
        <f>SUMIF(InsumosCultivos!$Y$45:$Y$529,$B336,InsumosCultivos!$AO$45:$AO$529)</f>
        <v>0</v>
      </c>
      <c r="Z404" s="1803">
        <f>SUMIF(InsumosCultivos!$Y$45:$Y$529,$B336,InsumosCultivos!$AP$45:$AP$529)</f>
        <v>0</v>
      </c>
      <c r="AA404" s="1803">
        <f>SUMIF(InsumosCultivos!$Y$45:$Y$529,$B336,InsumosCultivos!$AQ$45:$AQ$529)</f>
        <v>0</v>
      </c>
      <c r="AB404" s="1321"/>
      <c r="AC404" s="1803">
        <f t="shared" si="22"/>
        <v>0</v>
      </c>
      <c r="AD404" s="1803">
        <f t="shared" si="23"/>
        <v>0</v>
      </c>
      <c r="AE404" s="1803">
        <f t="shared" si="24"/>
        <v>0</v>
      </c>
      <c r="AF404" s="1803">
        <f t="shared" si="25"/>
        <v>0</v>
      </c>
      <c r="AG404" s="1803">
        <f t="shared" si="26"/>
        <v>0</v>
      </c>
      <c r="AH404" s="1803">
        <f t="shared" si="27"/>
        <v>0</v>
      </c>
      <c r="AI404" s="1803">
        <f t="shared" si="28"/>
        <v>0</v>
      </c>
      <c r="AJ404" s="1803">
        <f t="shared" si="29"/>
        <v>0</v>
      </c>
      <c r="AK404" s="1803">
        <f t="shared" si="30"/>
        <v>0</v>
      </c>
      <c r="AL404" s="1803">
        <f t="shared" si="31"/>
        <v>0</v>
      </c>
      <c r="AM404" s="1803">
        <f t="shared" si="32"/>
        <v>0</v>
      </c>
      <c r="AN404" s="1803">
        <f t="shared" si="33"/>
        <v>0</v>
      </c>
      <c r="AO404" s="950"/>
      <c r="AP404" s="950"/>
      <c r="AQ404" s="950"/>
      <c r="AR404" s="950"/>
      <c r="AS404" s="950"/>
      <c r="AT404" s="950"/>
      <c r="AU404" s="1321"/>
    </row>
    <row r="405" spans="3:47" s="232" customFormat="1" hidden="1" x14ac:dyDescent="0.2">
      <c r="C405" s="1803">
        <f>SUMIF(InsumosCultivos!$B$45:$B$1151,$B337,InsumosCultivos!$I$45:$I$1151)</f>
        <v>0</v>
      </c>
      <c r="D405" s="1803">
        <f>SUMIF(InsumosCultivos!$B$45:$B$1151,$B337,InsumosCultivos!$J$45:$J$1151)</f>
        <v>0</v>
      </c>
      <c r="E405" s="1803">
        <f>SUMIF(InsumosCultivos!$B$45:$B$1151,$B337,InsumosCultivos!$K$45:$K$1151)</f>
        <v>0</v>
      </c>
      <c r="F405" s="1803">
        <f>SUMIF(InsumosCultivos!$B$45:$B$1151,$B337,InsumosCultivos!$L$45:$L$1151)</f>
        <v>0</v>
      </c>
      <c r="G405" s="1803">
        <f>SUMIF(InsumosCultivos!$B$45:$B$1151,$B337,InsumosCultivos!$M$45:$M$1151)</f>
        <v>0</v>
      </c>
      <c r="H405" s="1803">
        <f>SUMIF(InsumosCultivos!$B$45:$B$1151,$B337,InsumosCultivos!$N$45:$N$1151)</f>
        <v>0</v>
      </c>
      <c r="I405" s="1803">
        <f>SUMIF(InsumosCultivos!$B$45:$B$1151,$B337,InsumosCultivos!$O$45:$O$1151)</f>
        <v>0</v>
      </c>
      <c r="J405" s="1803">
        <f>SUMIF(InsumosCultivos!$B$45:$B$1151,$B337,InsumosCultivos!$P$45:$P$1151)</f>
        <v>0</v>
      </c>
      <c r="K405" s="1803">
        <f>SUMIF(InsumosCultivos!$B$45:$B$1151,$B337,InsumosCultivos!$Q$45:$Q$1151)</f>
        <v>0</v>
      </c>
      <c r="L405" s="1803">
        <f>SUMIF(InsumosCultivos!$B$45:$B$1151,$B337,InsumosCultivos!$R$45:$R$1151)</f>
        <v>0</v>
      </c>
      <c r="M405" s="1803">
        <f>SUMIF(InsumosCultivos!$B$45:$B$1151,$B337,InsumosCultivos!$S$45:$S$1151)</f>
        <v>0</v>
      </c>
      <c r="N405" s="1803">
        <f>SUMIF(InsumosCultivos!$B$45:$B$1151,$B337,InsumosCultivos!$T$45:$T$1151)</f>
        <v>0</v>
      </c>
      <c r="O405" s="1321"/>
      <c r="P405" s="1803">
        <f>SUMIF(InsumosCultivos!$Y$45:$Y$529,$B337,InsumosCultivos!$AF$45:$AF$529)</f>
        <v>0</v>
      </c>
      <c r="Q405" s="1803">
        <f>SUMIF(InsumosCultivos!$Y$45:$Y$529,$B337,InsumosCultivos!$AG$45:$AG$529)</f>
        <v>0</v>
      </c>
      <c r="R405" s="1803">
        <f>SUMIF(InsumosCultivos!$Y$45:$Y$529,$B337,InsumosCultivos!$AH$45:$AH$529)</f>
        <v>0</v>
      </c>
      <c r="S405" s="1803">
        <f>SUMIF(InsumosCultivos!$Y$45:$Y$529,$B337,InsumosCultivos!$AI$45:$AI$529)</f>
        <v>0</v>
      </c>
      <c r="T405" s="1803">
        <f>SUMIF(InsumosCultivos!$Y$45:$Y$529,$B337,InsumosCultivos!$AJ$45:$AJ$529)</f>
        <v>0</v>
      </c>
      <c r="U405" s="1803">
        <f>SUMIF(InsumosCultivos!$Y$45:$Y$529,$B337,InsumosCultivos!$AK$45:$AK$529)</f>
        <v>0</v>
      </c>
      <c r="V405" s="1803">
        <f>SUMIF(InsumosCultivos!$Y$45:$Y$529,$B337,InsumosCultivos!$AL$45:$AL$529)</f>
        <v>0</v>
      </c>
      <c r="W405" s="1803">
        <f>SUMIF(InsumosCultivos!$Y$45:$Y$529,$B337,InsumosCultivos!$AM$45:$AM$529)</f>
        <v>0</v>
      </c>
      <c r="X405" s="1803">
        <f>SUMIF(InsumosCultivos!$Y$45:$Y$529,$B337,InsumosCultivos!$AN$45:$AN$529)</f>
        <v>0</v>
      </c>
      <c r="Y405" s="1803">
        <f>SUMIF(InsumosCultivos!$Y$45:$Y$529,$B337,InsumosCultivos!$AO$45:$AO$529)</f>
        <v>0</v>
      </c>
      <c r="Z405" s="1803">
        <f>SUMIF(InsumosCultivos!$Y$45:$Y$529,$B337,InsumosCultivos!$AP$45:$AP$529)</f>
        <v>0</v>
      </c>
      <c r="AA405" s="1803">
        <f>SUMIF(InsumosCultivos!$Y$45:$Y$529,$B337,InsumosCultivos!$AQ$45:$AQ$529)</f>
        <v>0</v>
      </c>
      <c r="AB405" s="1321"/>
      <c r="AC405" s="1803">
        <f t="shared" si="22"/>
        <v>0</v>
      </c>
      <c r="AD405" s="1803">
        <f t="shared" si="23"/>
        <v>0</v>
      </c>
      <c r="AE405" s="1803">
        <f t="shared" si="24"/>
        <v>0</v>
      </c>
      <c r="AF405" s="1803">
        <f t="shared" si="25"/>
        <v>0</v>
      </c>
      <c r="AG405" s="1803">
        <f t="shared" si="26"/>
        <v>0</v>
      </c>
      <c r="AH405" s="1803">
        <f t="shared" si="27"/>
        <v>0</v>
      </c>
      <c r="AI405" s="1803">
        <f t="shared" si="28"/>
        <v>0</v>
      </c>
      <c r="AJ405" s="1803">
        <f t="shared" si="29"/>
        <v>0</v>
      </c>
      <c r="AK405" s="1803">
        <f t="shared" si="30"/>
        <v>0</v>
      </c>
      <c r="AL405" s="1803">
        <f t="shared" si="31"/>
        <v>0</v>
      </c>
      <c r="AM405" s="1803">
        <f t="shared" si="32"/>
        <v>0</v>
      </c>
      <c r="AN405" s="1803">
        <f t="shared" si="33"/>
        <v>0</v>
      </c>
      <c r="AO405" s="950"/>
      <c r="AP405" s="950"/>
      <c r="AQ405" s="950"/>
      <c r="AR405" s="950"/>
      <c r="AS405" s="950"/>
      <c r="AT405" s="950"/>
      <c r="AU405" s="1321"/>
    </row>
    <row r="406" spans="3:47" s="232" customFormat="1" hidden="1" x14ac:dyDescent="0.2">
      <c r="C406" s="1803">
        <f>SUMIF(InsumosCultivos!$B$45:$B$1151,$B338,InsumosCultivos!$I$45:$I$1151)</f>
        <v>0</v>
      </c>
      <c r="D406" s="1803">
        <f>SUMIF(InsumosCultivos!$B$45:$B$1151,$B338,InsumosCultivos!$J$45:$J$1151)</f>
        <v>0</v>
      </c>
      <c r="E406" s="1803">
        <f>SUMIF(InsumosCultivos!$B$45:$B$1151,$B338,InsumosCultivos!$K$45:$K$1151)</f>
        <v>0</v>
      </c>
      <c r="F406" s="1803">
        <f>SUMIF(InsumosCultivos!$B$45:$B$1151,$B338,InsumosCultivos!$L$45:$L$1151)</f>
        <v>0</v>
      </c>
      <c r="G406" s="1803">
        <f>SUMIF(InsumosCultivos!$B$45:$B$1151,$B338,InsumosCultivos!$M$45:$M$1151)</f>
        <v>0</v>
      </c>
      <c r="H406" s="1803">
        <f>SUMIF(InsumosCultivos!$B$45:$B$1151,$B338,InsumosCultivos!$N$45:$N$1151)</f>
        <v>0</v>
      </c>
      <c r="I406" s="1803">
        <f>SUMIF(InsumosCultivos!$B$45:$B$1151,$B338,InsumosCultivos!$O$45:$O$1151)</f>
        <v>0</v>
      </c>
      <c r="J406" s="1803">
        <f>SUMIF(InsumosCultivos!$B$45:$B$1151,$B338,InsumosCultivos!$P$45:$P$1151)</f>
        <v>0</v>
      </c>
      <c r="K406" s="1803">
        <f>SUMIF(InsumosCultivos!$B$45:$B$1151,$B338,InsumosCultivos!$Q$45:$Q$1151)</f>
        <v>0</v>
      </c>
      <c r="L406" s="1803">
        <f>SUMIF(InsumosCultivos!$B$45:$B$1151,$B338,InsumosCultivos!$R$45:$R$1151)</f>
        <v>0</v>
      </c>
      <c r="M406" s="1803">
        <f>SUMIF(InsumosCultivos!$B$45:$B$1151,$B338,InsumosCultivos!$S$45:$S$1151)</f>
        <v>0</v>
      </c>
      <c r="N406" s="1803">
        <f>SUMIF(InsumosCultivos!$B$45:$B$1151,$B338,InsumosCultivos!$T$45:$T$1151)</f>
        <v>0</v>
      </c>
      <c r="O406" s="1321"/>
      <c r="P406" s="1803">
        <f>SUMIF(InsumosCultivos!$Y$45:$Y$529,$B338,InsumosCultivos!$AF$45:$AF$529)</f>
        <v>0</v>
      </c>
      <c r="Q406" s="1803">
        <f>SUMIF(InsumosCultivos!$Y$45:$Y$529,$B338,InsumosCultivos!$AG$45:$AG$529)</f>
        <v>0</v>
      </c>
      <c r="R406" s="1803">
        <f>SUMIF(InsumosCultivos!$Y$45:$Y$529,$B338,InsumosCultivos!$AH$45:$AH$529)</f>
        <v>0</v>
      </c>
      <c r="S406" s="1803">
        <f>SUMIF(InsumosCultivos!$Y$45:$Y$529,$B338,InsumosCultivos!$AI$45:$AI$529)</f>
        <v>0</v>
      </c>
      <c r="T406" s="1803">
        <f>SUMIF(InsumosCultivos!$Y$45:$Y$529,$B338,InsumosCultivos!$AJ$45:$AJ$529)</f>
        <v>0</v>
      </c>
      <c r="U406" s="1803">
        <f>SUMIF(InsumosCultivos!$Y$45:$Y$529,$B338,InsumosCultivos!$AK$45:$AK$529)</f>
        <v>0</v>
      </c>
      <c r="V406" s="1803">
        <f>SUMIF(InsumosCultivos!$Y$45:$Y$529,$B338,InsumosCultivos!$AL$45:$AL$529)</f>
        <v>0</v>
      </c>
      <c r="W406" s="1803">
        <f>SUMIF(InsumosCultivos!$Y$45:$Y$529,$B338,InsumosCultivos!$AM$45:$AM$529)</f>
        <v>0</v>
      </c>
      <c r="X406" s="1803">
        <f>SUMIF(InsumosCultivos!$Y$45:$Y$529,$B338,InsumosCultivos!$AN$45:$AN$529)</f>
        <v>0</v>
      </c>
      <c r="Y406" s="1803">
        <f>SUMIF(InsumosCultivos!$Y$45:$Y$529,$B338,InsumosCultivos!$AO$45:$AO$529)</f>
        <v>0</v>
      </c>
      <c r="Z406" s="1803">
        <f>SUMIF(InsumosCultivos!$Y$45:$Y$529,$B338,InsumosCultivos!$AP$45:$AP$529)</f>
        <v>0</v>
      </c>
      <c r="AA406" s="1803">
        <f>SUMIF(InsumosCultivos!$Y$45:$Y$529,$B338,InsumosCultivos!$AQ$45:$AQ$529)</f>
        <v>0</v>
      </c>
      <c r="AB406" s="1321"/>
      <c r="AC406" s="1803">
        <f t="shared" si="22"/>
        <v>0</v>
      </c>
      <c r="AD406" s="1803">
        <f t="shared" si="23"/>
        <v>0</v>
      </c>
      <c r="AE406" s="1803">
        <f t="shared" si="24"/>
        <v>0</v>
      </c>
      <c r="AF406" s="1803">
        <f t="shared" si="25"/>
        <v>0</v>
      </c>
      <c r="AG406" s="1803">
        <f t="shared" si="26"/>
        <v>0</v>
      </c>
      <c r="AH406" s="1803">
        <f t="shared" si="27"/>
        <v>0</v>
      </c>
      <c r="AI406" s="1803">
        <f t="shared" si="28"/>
        <v>0</v>
      </c>
      <c r="AJ406" s="1803">
        <f t="shared" si="29"/>
        <v>0</v>
      </c>
      <c r="AK406" s="1803">
        <f t="shared" si="30"/>
        <v>0</v>
      </c>
      <c r="AL406" s="1803">
        <f t="shared" si="31"/>
        <v>0</v>
      </c>
      <c r="AM406" s="1803">
        <f t="shared" si="32"/>
        <v>0</v>
      </c>
      <c r="AN406" s="1803">
        <f t="shared" si="33"/>
        <v>0</v>
      </c>
      <c r="AO406" s="950"/>
      <c r="AP406" s="950"/>
      <c r="AQ406" s="950"/>
      <c r="AR406" s="950"/>
      <c r="AS406" s="950"/>
      <c r="AT406" s="950"/>
      <c r="AU406" s="1321"/>
    </row>
    <row r="407" spans="3:47" s="232" customFormat="1" hidden="1" x14ac:dyDescent="0.2">
      <c r="C407" s="1803">
        <f>SUMIF(InsumosCultivos!$B$45:$B$1151,$B339,InsumosCultivos!$I$45:$I$1151)</f>
        <v>0</v>
      </c>
      <c r="D407" s="1803">
        <f>SUMIF(InsumosCultivos!$B$45:$B$1151,$B339,InsumosCultivos!$J$45:$J$1151)</f>
        <v>0</v>
      </c>
      <c r="E407" s="1803">
        <f>SUMIF(InsumosCultivos!$B$45:$B$1151,$B339,InsumosCultivos!$K$45:$K$1151)</f>
        <v>0</v>
      </c>
      <c r="F407" s="1803">
        <f>SUMIF(InsumosCultivos!$B$45:$B$1151,$B339,InsumosCultivos!$L$45:$L$1151)</f>
        <v>0</v>
      </c>
      <c r="G407" s="1803">
        <f>SUMIF(InsumosCultivos!$B$45:$B$1151,$B339,InsumosCultivos!$M$45:$M$1151)</f>
        <v>0</v>
      </c>
      <c r="H407" s="1803">
        <f>SUMIF(InsumosCultivos!$B$45:$B$1151,$B339,InsumosCultivos!$N$45:$N$1151)</f>
        <v>0</v>
      </c>
      <c r="I407" s="1803">
        <f>SUMIF(InsumosCultivos!$B$45:$B$1151,$B339,InsumosCultivos!$O$45:$O$1151)</f>
        <v>0</v>
      </c>
      <c r="J407" s="1803">
        <f>SUMIF(InsumosCultivos!$B$45:$B$1151,$B339,InsumosCultivos!$P$45:$P$1151)</f>
        <v>0</v>
      </c>
      <c r="K407" s="1803">
        <f>SUMIF(InsumosCultivos!$B$45:$B$1151,$B339,InsumosCultivos!$Q$45:$Q$1151)</f>
        <v>0</v>
      </c>
      <c r="L407" s="1803">
        <f>SUMIF(InsumosCultivos!$B$45:$B$1151,$B339,InsumosCultivos!$R$45:$R$1151)</f>
        <v>0</v>
      </c>
      <c r="M407" s="1803">
        <f>SUMIF(InsumosCultivos!$B$45:$B$1151,$B339,InsumosCultivos!$S$45:$S$1151)</f>
        <v>0</v>
      </c>
      <c r="N407" s="1803">
        <f>SUMIF(InsumosCultivos!$B$45:$B$1151,$B339,InsumosCultivos!$T$45:$T$1151)</f>
        <v>0</v>
      </c>
      <c r="O407" s="1321"/>
      <c r="P407" s="1803">
        <f>SUMIF(InsumosCultivos!$Y$45:$Y$529,$B339,InsumosCultivos!$AF$45:$AF$529)</f>
        <v>0</v>
      </c>
      <c r="Q407" s="1803">
        <f>SUMIF(InsumosCultivos!$Y$45:$Y$529,$B339,InsumosCultivos!$AG$45:$AG$529)</f>
        <v>0</v>
      </c>
      <c r="R407" s="1803">
        <f>SUMIF(InsumosCultivos!$Y$45:$Y$529,$B339,InsumosCultivos!$AH$45:$AH$529)</f>
        <v>0</v>
      </c>
      <c r="S407" s="1803">
        <f>SUMIF(InsumosCultivos!$Y$45:$Y$529,$B339,InsumosCultivos!$AI$45:$AI$529)</f>
        <v>0</v>
      </c>
      <c r="T407" s="1803">
        <f>SUMIF(InsumosCultivos!$Y$45:$Y$529,$B339,InsumosCultivos!$AJ$45:$AJ$529)</f>
        <v>0</v>
      </c>
      <c r="U407" s="1803">
        <f>SUMIF(InsumosCultivos!$Y$45:$Y$529,$B339,InsumosCultivos!$AK$45:$AK$529)</f>
        <v>0</v>
      </c>
      <c r="V407" s="1803">
        <f>SUMIF(InsumosCultivos!$Y$45:$Y$529,$B339,InsumosCultivos!$AL$45:$AL$529)</f>
        <v>0</v>
      </c>
      <c r="W407" s="1803">
        <f>SUMIF(InsumosCultivos!$Y$45:$Y$529,$B339,InsumosCultivos!$AM$45:$AM$529)</f>
        <v>0</v>
      </c>
      <c r="X407" s="1803">
        <f>SUMIF(InsumosCultivos!$Y$45:$Y$529,$B339,InsumosCultivos!$AN$45:$AN$529)</f>
        <v>0</v>
      </c>
      <c r="Y407" s="1803">
        <f>SUMIF(InsumosCultivos!$Y$45:$Y$529,$B339,InsumosCultivos!$AO$45:$AO$529)</f>
        <v>0</v>
      </c>
      <c r="Z407" s="1803">
        <f>SUMIF(InsumosCultivos!$Y$45:$Y$529,$B339,InsumosCultivos!$AP$45:$AP$529)</f>
        <v>0</v>
      </c>
      <c r="AA407" s="1803">
        <f>SUMIF(InsumosCultivos!$Y$45:$Y$529,$B339,InsumosCultivos!$AQ$45:$AQ$529)</f>
        <v>0</v>
      </c>
      <c r="AB407" s="1321"/>
      <c r="AC407" s="1803">
        <f>+P407+C407</f>
        <v>0</v>
      </c>
      <c r="AD407" s="1803">
        <f t="shared" si="23"/>
        <v>0</v>
      </c>
      <c r="AE407" s="1803">
        <f t="shared" si="24"/>
        <v>0</v>
      </c>
      <c r="AF407" s="1803">
        <f t="shared" si="25"/>
        <v>0</v>
      </c>
      <c r="AG407" s="1803">
        <f t="shared" si="26"/>
        <v>0</v>
      </c>
      <c r="AH407" s="1803">
        <f t="shared" si="27"/>
        <v>0</v>
      </c>
      <c r="AI407" s="1803">
        <f t="shared" si="28"/>
        <v>0</v>
      </c>
      <c r="AJ407" s="1803">
        <f t="shared" si="29"/>
        <v>0</v>
      </c>
      <c r="AK407" s="1803">
        <f t="shared" si="30"/>
        <v>0</v>
      </c>
      <c r="AL407" s="1803">
        <f t="shared" si="31"/>
        <v>0</v>
      </c>
      <c r="AM407" s="1803">
        <f t="shared" si="32"/>
        <v>0</v>
      </c>
      <c r="AN407" s="1803">
        <f t="shared" si="33"/>
        <v>0</v>
      </c>
      <c r="AO407" s="950"/>
      <c r="AP407" s="950"/>
      <c r="AQ407" s="950"/>
      <c r="AR407" s="950"/>
      <c r="AS407" s="950"/>
      <c r="AT407" s="950"/>
      <c r="AU407" s="1321"/>
    </row>
    <row r="408" spans="3:47" s="232" customFormat="1" hidden="1" x14ac:dyDescent="0.2">
      <c r="C408" s="1803">
        <f>SUMIF(InsumosCultivos!$B$45:$B$1151,$B340,InsumosCultivos!$I$45:$I$1151)</f>
        <v>0</v>
      </c>
      <c r="D408" s="1803">
        <f>SUMIF(InsumosCultivos!$B$45:$B$1151,$B340,InsumosCultivos!$J$45:$J$1151)</f>
        <v>0</v>
      </c>
      <c r="E408" s="1803">
        <f>SUMIF(InsumosCultivos!$B$45:$B$1151,$B340,InsumosCultivos!$K$45:$K$1151)</f>
        <v>0</v>
      </c>
      <c r="F408" s="1803">
        <f>SUMIF(InsumosCultivos!$B$45:$B$1151,$B340,InsumosCultivos!$L$45:$L$1151)</f>
        <v>0</v>
      </c>
      <c r="G408" s="1803">
        <f>SUMIF(InsumosCultivos!$B$45:$B$1151,$B340,InsumosCultivos!$M$45:$M$1151)</f>
        <v>0</v>
      </c>
      <c r="H408" s="1803">
        <f>SUMIF(InsumosCultivos!$B$45:$B$1151,$B340,InsumosCultivos!$N$45:$N$1151)</f>
        <v>0</v>
      </c>
      <c r="I408" s="1803">
        <f>SUMIF(InsumosCultivos!$B$45:$B$1151,$B340,InsumosCultivos!$O$45:$O$1151)</f>
        <v>0</v>
      </c>
      <c r="J408" s="1803">
        <f>SUMIF(InsumosCultivos!$B$45:$B$1151,$B340,InsumosCultivos!$P$45:$P$1151)</f>
        <v>0</v>
      </c>
      <c r="K408" s="1803">
        <f>SUMIF(InsumosCultivos!$B$45:$B$1151,$B340,InsumosCultivos!$Q$45:$Q$1151)</f>
        <v>0</v>
      </c>
      <c r="L408" s="1803">
        <f>SUMIF(InsumosCultivos!$B$45:$B$1151,$B340,InsumosCultivos!$R$45:$R$1151)</f>
        <v>0</v>
      </c>
      <c r="M408" s="1803">
        <f>SUMIF(InsumosCultivos!$B$45:$B$1151,$B340,InsumosCultivos!$S$45:$S$1151)</f>
        <v>0</v>
      </c>
      <c r="N408" s="1803">
        <f>SUMIF(InsumosCultivos!$B$45:$B$1151,$B340,InsumosCultivos!$T$45:$T$1151)</f>
        <v>0</v>
      </c>
      <c r="O408" s="1321"/>
      <c r="P408" s="1803">
        <f>SUMIF(InsumosCultivos!$Y$45:$Y$529,$B340,InsumosCultivos!$AF$45:$AF$529)</f>
        <v>0</v>
      </c>
      <c r="Q408" s="1803">
        <f>SUMIF(InsumosCultivos!$Y$45:$Y$529,$B340,InsumosCultivos!$AG$45:$AG$529)</f>
        <v>0</v>
      </c>
      <c r="R408" s="1803">
        <f>SUMIF(InsumosCultivos!$Y$45:$Y$529,$B340,InsumosCultivos!$AH$45:$AH$529)</f>
        <v>0</v>
      </c>
      <c r="S408" s="1803">
        <f>SUMIF(InsumosCultivos!$Y$45:$Y$529,$B340,InsumosCultivos!$AI$45:$AI$529)</f>
        <v>0</v>
      </c>
      <c r="T408" s="1803">
        <f>SUMIF(InsumosCultivos!$Y$45:$Y$529,$B340,InsumosCultivos!$AJ$45:$AJ$529)</f>
        <v>0</v>
      </c>
      <c r="U408" s="1803">
        <f>SUMIF(InsumosCultivos!$Y$45:$Y$529,$B340,InsumosCultivos!$AK$45:$AK$529)</f>
        <v>0</v>
      </c>
      <c r="V408" s="1803">
        <f>SUMIF(InsumosCultivos!$Y$45:$Y$529,$B340,InsumosCultivos!$AL$45:$AL$529)</f>
        <v>0</v>
      </c>
      <c r="W408" s="1803">
        <f>SUMIF(InsumosCultivos!$Y$45:$Y$529,$B340,InsumosCultivos!$AM$45:$AM$529)</f>
        <v>0</v>
      </c>
      <c r="X408" s="1803">
        <f>SUMIF(InsumosCultivos!$Y$45:$Y$529,$B340,InsumosCultivos!$AN$45:$AN$529)</f>
        <v>0</v>
      </c>
      <c r="Y408" s="1803">
        <f>SUMIF(InsumosCultivos!$Y$45:$Y$529,$B340,InsumosCultivos!$AO$45:$AO$529)</f>
        <v>0</v>
      </c>
      <c r="Z408" s="1803">
        <f>SUMIF(InsumosCultivos!$Y$45:$Y$529,$B340,InsumosCultivos!$AP$45:$AP$529)</f>
        <v>0</v>
      </c>
      <c r="AA408" s="1803">
        <f>SUMIF(InsumosCultivos!$Y$45:$Y$529,$B340,InsumosCultivos!$AQ$45:$AQ$529)</f>
        <v>0</v>
      </c>
      <c r="AB408" s="1321"/>
      <c r="AC408" s="1803">
        <f t="shared" si="22"/>
        <v>0</v>
      </c>
      <c r="AD408" s="1803">
        <f t="shared" si="23"/>
        <v>0</v>
      </c>
      <c r="AE408" s="1803">
        <f t="shared" si="24"/>
        <v>0</v>
      </c>
      <c r="AF408" s="1803">
        <f t="shared" si="25"/>
        <v>0</v>
      </c>
      <c r="AG408" s="1803">
        <f t="shared" si="26"/>
        <v>0</v>
      </c>
      <c r="AH408" s="1803">
        <f t="shared" si="27"/>
        <v>0</v>
      </c>
      <c r="AI408" s="1803">
        <f t="shared" si="28"/>
        <v>0</v>
      </c>
      <c r="AJ408" s="1803">
        <f t="shared" si="29"/>
        <v>0</v>
      </c>
      <c r="AK408" s="1803">
        <f t="shared" si="30"/>
        <v>0</v>
      </c>
      <c r="AL408" s="1803">
        <f t="shared" si="31"/>
        <v>0</v>
      </c>
      <c r="AM408" s="1803">
        <f t="shared" si="32"/>
        <v>0</v>
      </c>
      <c r="AN408" s="1803">
        <f t="shared" si="33"/>
        <v>0</v>
      </c>
      <c r="AO408" s="950"/>
      <c r="AP408" s="950"/>
      <c r="AQ408" s="950"/>
      <c r="AR408" s="950"/>
      <c r="AS408" s="950"/>
      <c r="AT408" s="950"/>
      <c r="AU408" s="1321"/>
    </row>
    <row r="409" spans="3:47" s="232" customFormat="1" hidden="1" x14ac:dyDescent="0.2">
      <c r="C409" s="1803">
        <f>SUMIF(InsumosCultivos!$B$45:$B$1151,$B341,InsumosCultivos!$I$45:$I$1151)</f>
        <v>0</v>
      </c>
      <c r="D409" s="1803">
        <f>SUMIF(InsumosCultivos!$B$45:$B$1151,$B341,InsumosCultivos!$J$45:$J$1151)</f>
        <v>0</v>
      </c>
      <c r="E409" s="1803">
        <f>SUMIF(InsumosCultivos!$B$45:$B$1151,$B341,InsumosCultivos!$K$45:$K$1151)</f>
        <v>0</v>
      </c>
      <c r="F409" s="1803">
        <f>SUMIF(InsumosCultivos!$B$45:$B$1151,$B341,InsumosCultivos!$L$45:$L$1151)</f>
        <v>0</v>
      </c>
      <c r="G409" s="1803">
        <f>SUMIF(InsumosCultivos!$B$45:$B$1151,$B341,InsumosCultivos!$M$45:$M$1151)</f>
        <v>0</v>
      </c>
      <c r="H409" s="1803">
        <f>SUMIF(InsumosCultivos!$B$45:$B$1151,$B341,InsumosCultivos!$N$45:$N$1151)</f>
        <v>0</v>
      </c>
      <c r="I409" s="1803">
        <f>SUMIF(InsumosCultivos!$B$45:$B$1151,$B341,InsumosCultivos!$O$45:$O$1151)</f>
        <v>0</v>
      </c>
      <c r="J409" s="1803">
        <f>SUMIF(InsumosCultivos!$B$45:$B$1151,$B341,InsumosCultivos!$P$45:$P$1151)</f>
        <v>0</v>
      </c>
      <c r="K409" s="1803">
        <f>SUMIF(InsumosCultivos!$B$45:$B$1151,$B341,InsumosCultivos!$Q$45:$Q$1151)</f>
        <v>0</v>
      </c>
      <c r="L409" s="1803">
        <f>SUMIF(InsumosCultivos!$B$45:$B$1151,$B341,InsumosCultivos!$R$45:$R$1151)</f>
        <v>0</v>
      </c>
      <c r="M409" s="1803">
        <f>SUMIF(InsumosCultivos!$B$45:$B$1151,$B341,InsumosCultivos!$S$45:$S$1151)</f>
        <v>0</v>
      </c>
      <c r="N409" s="1803">
        <f>SUMIF(InsumosCultivos!$B$45:$B$1151,$B341,InsumosCultivos!$T$45:$T$1151)</f>
        <v>0</v>
      </c>
      <c r="O409" s="1321"/>
      <c r="P409" s="1803">
        <f>SUMIF(InsumosCultivos!$Y$45:$Y$529,$B341,InsumosCultivos!$AF$45:$AF$529)</f>
        <v>0</v>
      </c>
      <c r="Q409" s="1803">
        <f>SUMIF(InsumosCultivos!$Y$45:$Y$529,$B341,InsumosCultivos!$AG$45:$AG$529)</f>
        <v>0</v>
      </c>
      <c r="R409" s="1803">
        <f>SUMIF(InsumosCultivos!$Y$45:$Y$529,$B341,InsumosCultivos!$AH$45:$AH$529)</f>
        <v>0</v>
      </c>
      <c r="S409" s="1803">
        <f>SUMIF(InsumosCultivos!$Y$45:$Y$529,$B341,InsumosCultivos!$AI$45:$AI$529)</f>
        <v>0</v>
      </c>
      <c r="T409" s="1803">
        <f>SUMIF(InsumosCultivos!$Y$45:$Y$529,$B341,InsumosCultivos!$AJ$45:$AJ$529)</f>
        <v>0</v>
      </c>
      <c r="U409" s="1803">
        <f>SUMIF(InsumosCultivos!$Y$45:$Y$529,$B341,InsumosCultivos!$AK$45:$AK$529)</f>
        <v>0</v>
      </c>
      <c r="V409" s="1803">
        <f>SUMIF(InsumosCultivos!$Y$45:$Y$529,$B341,InsumosCultivos!$AL$45:$AL$529)</f>
        <v>0</v>
      </c>
      <c r="W409" s="1803">
        <f>SUMIF(InsumosCultivos!$Y$45:$Y$529,$B341,InsumosCultivos!$AM$45:$AM$529)</f>
        <v>0</v>
      </c>
      <c r="X409" s="1803">
        <f>SUMIF(InsumosCultivos!$Y$45:$Y$529,$B341,InsumosCultivos!$AN$45:$AN$529)</f>
        <v>0</v>
      </c>
      <c r="Y409" s="1803">
        <f>SUMIF(InsumosCultivos!$Y$45:$Y$529,$B341,InsumosCultivos!$AO$45:$AO$529)</f>
        <v>0</v>
      </c>
      <c r="Z409" s="1803">
        <f>SUMIF(InsumosCultivos!$Y$45:$Y$529,$B341,InsumosCultivos!$AP$45:$AP$529)</f>
        <v>0</v>
      </c>
      <c r="AA409" s="1803">
        <f>SUMIF(InsumosCultivos!$Y$45:$Y$529,$B341,InsumosCultivos!$AQ$45:$AQ$529)</f>
        <v>0</v>
      </c>
      <c r="AB409" s="1321"/>
      <c r="AC409" s="1803">
        <f t="shared" si="22"/>
        <v>0</v>
      </c>
      <c r="AD409" s="1803">
        <f t="shared" si="23"/>
        <v>0</v>
      </c>
      <c r="AE409" s="1803">
        <f t="shared" si="24"/>
        <v>0</v>
      </c>
      <c r="AF409" s="1803">
        <f t="shared" si="25"/>
        <v>0</v>
      </c>
      <c r="AG409" s="1803">
        <f t="shared" si="26"/>
        <v>0</v>
      </c>
      <c r="AH409" s="1803">
        <f t="shared" si="27"/>
        <v>0</v>
      </c>
      <c r="AI409" s="1803">
        <f t="shared" si="28"/>
        <v>0</v>
      </c>
      <c r="AJ409" s="1803">
        <f t="shared" si="29"/>
        <v>0</v>
      </c>
      <c r="AK409" s="1803">
        <f t="shared" si="30"/>
        <v>0</v>
      </c>
      <c r="AL409" s="1803">
        <f t="shared" si="31"/>
        <v>0</v>
      </c>
      <c r="AM409" s="1803">
        <f t="shared" si="32"/>
        <v>0</v>
      </c>
      <c r="AN409" s="1803">
        <f t="shared" si="33"/>
        <v>0</v>
      </c>
      <c r="AO409" s="950"/>
      <c r="AP409" s="950"/>
      <c r="AQ409" s="950"/>
      <c r="AR409" s="950"/>
      <c r="AS409" s="950"/>
      <c r="AT409" s="950"/>
      <c r="AU409" s="1321"/>
    </row>
    <row r="410" spans="3:47" s="232" customFormat="1" hidden="1" x14ac:dyDescent="0.2">
      <c r="C410" s="1803">
        <f>SUMIF(InsumosCultivos!$B$45:$B$1151,$B342,InsumosCultivos!$I$45:$I$1151)</f>
        <v>0</v>
      </c>
      <c r="D410" s="1803">
        <f>SUMIF(InsumosCultivos!$B$45:$B$1151,$B342,InsumosCultivos!$J$45:$J$1151)</f>
        <v>0</v>
      </c>
      <c r="E410" s="1803">
        <f>SUMIF(InsumosCultivos!$B$45:$B$1151,$B342,InsumosCultivos!$K$45:$K$1151)</f>
        <v>0</v>
      </c>
      <c r="F410" s="1803">
        <f>SUMIF(InsumosCultivos!$B$45:$B$1151,$B342,InsumosCultivos!$L$45:$L$1151)</f>
        <v>0</v>
      </c>
      <c r="G410" s="1803">
        <f>SUMIF(InsumosCultivos!$B$45:$B$1151,$B342,InsumosCultivos!$M$45:$M$1151)</f>
        <v>0</v>
      </c>
      <c r="H410" s="1803">
        <f>SUMIF(InsumosCultivos!$B$45:$B$1151,$B342,InsumosCultivos!$N$45:$N$1151)</f>
        <v>0</v>
      </c>
      <c r="I410" s="1803">
        <f>SUMIF(InsumosCultivos!$B$45:$B$1151,$B342,InsumosCultivos!$O$45:$O$1151)</f>
        <v>0</v>
      </c>
      <c r="J410" s="1803">
        <f>SUMIF(InsumosCultivos!$B$45:$B$1151,$B342,InsumosCultivos!$P$45:$P$1151)</f>
        <v>0</v>
      </c>
      <c r="K410" s="1803">
        <f>SUMIF(InsumosCultivos!$B$45:$B$1151,$B342,InsumosCultivos!$Q$45:$Q$1151)</f>
        <v>0</v>
      </c>
      <c r="L410" s="1803">
        <f>SUMIF(InsumosCultivos!$B$45:$B$1151,$B342,InsumosCultivos!$R$45:$R$1151)</f>
        <v>0</v>
      </c>
      <c r="M410" s="1803">
        <f>SUMIF(InsumosCultivos!$B$45:$B$1151,$B342,InsumosCultivos!$S$45:$S$1151)</f>
        <v>0</v>
      </c>
      <c r="N410" s="1803">
        <f>SUMIF(InsumosCultivos!$B$45:$B$1151,$B342,InsumosCultivos!$T$45:$T$1151)</f>
        <v>0</v>
      </c>
      <c r="O410" s="1321"/>
      <c r="P410" s="1803">
        <f>SUMIF(InsumosCultivos!$Y$45:$Y$529,$B342,InsumosCultivos!$AF$45:$AF$529)</f>
        <v>0</v>
      </c>
      <c r="Q410" s="1803">
        <f>SUMIF(InsumosCultivos!$Y$45:$Y$529,$B342,InsumosCultivos!$AG$45:$AG$529)</f>
        <v>0</v>
      </c>
      <c r="R410" s="1803">
        <f>SUMIF(InsumosCultivos!$Y$45:$Y$529,$B342,InsumosCultivos!$AH$45:$AH$529)</f>
        <v>0</v>
      </c>
      <c r="S410" s="1803">
        <f>SUMIF(InsumosCultivos!$Y$45:$Y$529,$B342,InsumosCultivos!$AI$45:$AI$529)</f>
        <v>0</v>
      </c>
      <c r="T410" s="1803">
        <f>SUMIF(InsumosCultivos!$Y$45:$Y$529,$B342,InsumosCultivos!$AJ$45:$AJ$529)</f>
        <v>0</v>
      </c>
      <c r="U410" s="1803">
        <f>SUMIF(InsumosCultivos!$Y$45:$Y$529,$B342,InsumosCultivos!$AK$45:$AK$529)</f>
        <v>0</v>
      </c>
      <c r="V410" s="1803">
        <f>SUMIF(InsumosCultivos!$Y$45:$Y$529,$B342,InsumosCultivos!$AL$45:$AL$529)</f>
        <v>0</v>
      </c>
      <c r="W410" s="1803">
        <f>SUMIF(InsumosCultivos!$Y$45:$Y$529,$B342,InsumosCultivos!$AM$45:$AM$529)</f>
        <v>0</v>
      </c>
      <c r="X410" s="1803">
        <f>SUMIF(InsumosCultivos!$Y$45:$Y$529,$B342,InsumosCultivos!$AN$45:$AN$529)</f>
        <v>0</v>
      </c>
      <c r="Y410" s="1803">
        <f>SUMIF(InsumosCultivos!$Y$45:$Y$529,$B342,InsumosCultivos!$AO$45:$AO$529)</f>
        <v>0</v>
      </c>
      <c r="Z410" s="1803">
        <f>SUMIF(InsumosCultivos!$Y$45:$Y$529,$B342,InsumosCultivos!$AP$45:$AP$529)</f>
        <v>0</v>
      </c>
      <c r="AA410" s="1803">
        <f>SUMIF(InsumosCultivos!$Y$45:$Y$529,$B342,InsumosCultivos!$AQ$45:$AQ$529)</f>
        <v>0</v>
      </c>
      <c r="AB410" s="1321"/>
      <c r="AC410" s="1803">
        <f t="shared" si="22"/>
        <v>0</v>
      </c>
      <c r="AD410" s="1803">
        <f t="shared" si="23"/>
        <v>0</v>
      </c>
      <c r="AE410" s="1803">
        <f t="shared" si="24"/>
        <v>0</v>
      </c>
      <c r="AF410" s="1803">
        <f t="shared" si="25"/>
        <v>0</v>
      </c>
      <c r="AG410" s="1803">
        <f t="shared" si="26"/>
        <v>0</v>
      </c>
      <c r="AH410" s="1803">
        <f t="shared" si="27"/>
        <v>0</v>
      </c>
      <c r="AI410" s="1803">
        <f t="shared" si="28"/>
        <v>0</v>
      </c>
      <c r="AJ410" s="1803">
        <f t="shared" si="29"/>
        <v>0</v>
      </c>
      <c r="AK410" s="1803">
        <f t="shared" si="30"/>
        <v>0</v>
      </c>
      <c r="AL410" s="1803">
        <f t="shared" si="31"/>
        <v>0</v>
      </c>
      <c r="AM410" s="1803">
        <f t="shared" si="32"/>
        <v>0</v>
      </c>
      <c r="AN410" s="1803">
        <f t="shared" si="33"/>
        <v>0</v>
      </c>
      <c r="AO410" s="950"/>
      <c r="AP410" s="950"/>
      <c r="AQ410" s="950"/>
      <c r="AR410" s="950"/>
      <c r="AS410" s="950"/>
      <c r="AT410" s="950"/>
      <c r="AU410" s="1321"/>
    </row>
    <row r="411" spans="3:47" s="232" customFormat="1" hidden="1" x14ac:dyDescent="0.2">
      <c r="C411" s="1803">
        <f>SUMIF(InsumosCultivos!$B$45:$B$1151,$B343,InsumosCultivos!$I$45:$I$1151)</f>
        <v>0</v>
      </c>
      <c r="D411" s="1803">
        <f>SUMIF(InsumosCultivos!$B$45:$B$1151,$B343,InsumosCultivos!$J$45:$J$1151)</f>
        <v>0</v>
      </c>
      <c r="E411" s="1803">
        <f>SUMIF(InsumosCultivos!$B$45:$B$1151,$B343,InsumosCultivos!$K$45:$K$1151)</f>
        <v>0</v>
      </c>
      <c r="F411" s="1803">
        <f>SUMIF(InsumosCultivos!$B$45:$B$1151,$B343,InsumosCultivos!$L$45:$L$1151)</f>
        <v>0</v>
      </c>
      <c r="G411" s="1803">
        <f>SUMIF(InsumosCultivos!$B$45:$B$1151,$B343,InsumosCultivos!$M$45:$M$1151)</f>
        <v>0</v>
      </c>
      <c r="H411" s="1803">
        <f>SUMIF(InsumosCultivos!$B$45:$B$1151,$B343,InsumosCultivos!$N$45:$N$1151)</f>
        <v>0</v>
      </c>
      <c r="I411" s="1803">
        <f>SUMIF(InsumosCultivos!$B$45:$B$1151,$B343,InsumosCultivos!$O$45:$O$1151)</f>
        <v>0</v>
      </c>
      <c r="J411" s="1803">
        <f>SUMIF(InsumosCultivos!$B$45:$B$1151,$B343,InsumosCultivos!$P$45:$P$1151)</f>
        <v>0</v>
      </c>
      <c r="K411" s="1803">
        <f>SUMIF(InsumosCultivos!$B$45:$B$1151,$B343,InsumosCultivos!$Q$45:$Q$1151)</f>
        <v>0</v>
      </c>
      <c r="L411" s="1803">
        <f>SUMIF(InsumosCultivos!$B$45:$B$1151,$B343,InsumosCultivos!$R$45:$R$1151)</f>
        <v>0</v>
      </c>
      <c r="M411" s="1803">
        <f>SUMIF(InsumosCultivos!$B$45:$B$1151,$B343,InsumosCultivos!$S$45:$S$1151)</f>
        <v>0</v>
      </c>
      <c r="N411" s="1803">
        <f>SUMIF(InsumosCultivos!$B$45:$B$1151,$B343,InsumosCultivos!$T$45:$T$1151)</f>
        <v>0</v>
      </c>
      <c r="O411" s="1321"/>
      <c r="P411" s="1803">
        <f>SUMIF(InsumosCultivos!$Y$45:$Y$529,$B343,InsumosCultivos!$AF$45:$AF$529)</f>
        <v>0</v>
      </c>
      <c r="Q411" s="1803">
        <f>SUMIF(InsumosCultivos!$Y$45:$Y$529,$B343,InsumosCultivos!$AG$45:$AG$529)</f>
        <v>0</v>
      </c>
      <c r="R411" s="1803">
        <f>SUMIF(InsumosCultivos!$Y$45:$Y$529,$B343,InsumosCultivos!$AH$45:$AH$529)</f>
        <v>0</v>
      </c>
      <c r="S411" s="1803">
        <f>SUMIF(InsumosCultivos!$Y$45:$Y$529,$B343,InsumosCultivos!$AI$45:$AI$529)</f>
        <v>0</v>
      </c>
      <c r="T411" s="1803">
        <f>SUMIF(InsumosCultivos!$Y$45:$Y$529,$B343,InsumosCultivos!$AJ$45:$AJ$529)</f>
        <v>0</v>
      </c>
      <c r="U411" s="1803">
        <f>SUMIF(InsumosCultivos!$Y$45:$Y$529,$B343,InsumosCultivos!$AK$45:$AK$529)</f>
        <v>0</v>
      </c>
      <c r="V411" s="1803">
        <f>SUMIF(InsumosCultivos!$Y$45:$Y$529,$B343,InsumosCultivos!$AL$45:$AL$529)</f>
        <v>0</v>
      </c>
      <c r="W411" s="1803">
        <f>SUMIF(InsumosCultivos!$Y$45:$Y$529,$B343,InsumosCultivos!$AM$45:$AM$529)</f>
        <v>0</v>
      </c>
      <c r="X411" s="1803">
        <f>SUMIF(InsumosCultivos!$Y$45:$Y$529,$B343,InsumosCultivos!$AN$45:$AN$529)</f>
        <v>0</v>
      </c>
      <c r="Y411" s="1803">
        <f>SUMIF(InsumosCultivos!$Y$45:$Y$529,$B343,InsumosCultivos!$AO$45:$AO$529)</f>
        <v>0</v>
      </c>
      <c r="Z411" s="1803">
        <f>SUMIF(InsumosCultivos!$Y$45:$Y$529,$B343,InsumosCultivos!$AP$45:$AP$529)</f>
        <v>0</v>
      </c>
      <c r="AA411" s="1803">
        <f>SUMIF(InsumosCultivos!$Y$45:$Y$529,$B343,InsumosCultivos!$AQ$45:$AQ$529)</f>
        <v>0</v>
      </c>
      <c r="AB411" s="1321"/>
      <c r="AC411" s="1803">
        <f t="shared" si="22"/>
        <v>0</v>
      </c>
      <c r="AD411" s="1803">
        <f t="shared" si="23"/>
        <v>0</v>
      </c>
      <c r="AE411" s="1803">
        <f t="shared" si="24"/>
        <v>0</v>
      </c>
      <c r="AF411" s="1803">
        <f t="shared" si="25"/>
        <v>0</v>
      </c>
      <c r="AG411" s="1803">
        <f t="shared" si="26"/>
        <v>0</v>
      </c>
      <c r="AH411" s="1803">
        <f t="shared" si="27"/>
        <v>0</v>
      </c>
      <c r="AI411" s="1803">
        <f t="shared" si="28"/>
        <v>0</v>
      </c>
      <c r="AJ411" s="1803">
        <f t="shared" si="29"/>
        <v>0</v>
      </c>
      <c r="AK411" s="1803">
        <f t="shared" si="30"/>
        <v>0</v>
      </c>
      <c r="AL411" s="1803">
        <f t="shared" si="31"/>
        <v>0</v>
      </c>
      <c r="AM411" s="1803">
        <f t="shared" si="32"/>
        <v>0</v>
      </c>
      <c r="AN411" s="1803">
        <f t="shared" si="33"/>
        <v>0</v>
      </c>
      <c r="AO411" s="950"/>
      <c r="AP411" s="950"/>
      <c r="AQ411" s="950"/>
      <c r="AR411" s="950"/>
      <c r="AS411" s="950"/>
      <c r="AT411" s="950"/>
      <c r="AU411" s="1321"/>
    </row>
    <row r="412" spans="3:47" s="232" customFormat="1" hidden="1" x14ac:dyDescent="0.2">
      <c r="C412" s="1803">
        <f>SUMIF(InsumosCultivos!$B$45:$B$1151,$B344,InsumosCultivos!$I$45:$I$1151)</f>
        <v>0</v>
      </c>
      <c r="D412" s="1803">
        <f>SUMIF(InsumosCultivos!$B$45:$B$1151,$B344,InsumosCultivos!$J$45:$J$1151)</f>
        <v>0</v>
      </c>
      <c r="E412" s="1803">
        <f>SUMIF(InsumosCultivos!$B$45:$B$1151,$B344,InsumosCultivos!$K$45:$K$1151)</f>
        <v>0</v>
      </c>
      <c r="F412" s="1803">
        <f>SUMIF(InsumosCultivos!$B$45:$B$1151,$B344,InsumosCultivos!$L$45:$L$1151)</f>
        <v>0</v>
      </c>
      <c r="G412" s="1803">
        <f>SUMIF(InsumosCultivos!$B$45:$B$1151,$B344,InsumosCultivos!$M$45:$M$1151)</f>
        <v>0</v>
      </c>
      <c r="H412" s="1803">
        <f>SUMIF(InsumosCultivos!$B$45:$B$1151,$B344,InsumosCultivos!$N$45:$N$1151)</f>
        <v>0</v>
      </c>
      <c r="I412" s="1803">
        <f>SUMIF(InsumosCultivos!$B$45:$B$1151,$B344,InsumosCultivos!$O$45:$O$1151)</f>
        <v>0</v>
      </c>
      <c r="J412" s="1803">
        <f>SUMIF(InsumosCultivos!$B$45:$B$1151,$B344,InsumosCultivos!$P$45:$P$1151)</f>
        <v>0</v>
      </c>
      <c r="K412" s="1803">
        <f>SUMIF(InsumosCultivos!$B$45:$B$1151,$B344,InsumosCultivos!$Q$45:$Q$1151)</f>
        <v>0</v>
      </c>
      <c r="L412" s="1803">
        <f>SUMIF(InsumosCultivos!$B$45:$B$1151,$B344,InsumosCultivos!$R$45:$R$1151)</f>
        <v>0</v>
      </c>
      <c r="M412" s="1803">
        <f>SUMIF(InsumosCultivos!$B$45:$B$1151,$B344,InsumosCultivos!$S$45:$S$1151)</f>
        <v>0</v>
      </c>
      <c r="N412" s="1803">
        <f>SUMIF(InsumosCultivos!$B$45:$B$1151,$B344,InsumosCultivos!$T$45:$T$1151)</f>
        <v>0</v>
      </c>
      <c r="O412" s="1321"/>
      <c r="P412" s="1803">
        <f>SUMIF(InsumosCultivos!$Y$45:$Y$529,$B344,InsumosCultivos!$AF$45:$AF$529)</f>
        <v>0</v>
      </c>
      <c r="Q412" s="1803">
        <f>SUMIF(InsumosCultivos!$Y$45:$Y$529,$B344,InsumosCultivos!$AG$45:$AG$529)</f>
        <v>0</v>
      </c>
      <c r="R412" s="1803">
        <f>SUMIF(InsumosCultivos!$Y$45:$Y$529,$B344,InsumosCultivos!$AH$45:$AH$529)</f>
        <v>0</v>
      </c>
      <c r="S412" s="1803">
        <f>SUMIF(InsumosCultivos!$Y$45:$Y$529,$B344,InsumosCultivos!$AI$45:$AI$529)</f>
        <v>0</v>
      </c>
      <c r="T412" s="1803">
        <f>SUMIF(InsumosCultivos!$Y$45:$Y$529,$B344,InsumosCultivos!$AJ$45:$AJ$529)</f>
        <v>0</v>
      </c>
      <c r="U412" s="1803">
        <f>SUMIF(InsumosCultivos!$Y$45:$Y$529,$B344,InsumosCultivos!$AK$45:$AK$529)</f>
        <v>0</v>
      </c>
      <c r="V412" s="1803">
        <f>SUMIF(InsumosCultivos!$Y$45:$Y$529,$B344,InsumosCultivos!$AL$45:$AL$529)</f>
        <v>0</v>
      </c>
      <c r="W412" s="1803">
        <f>SUMIF(InsumosCultivos!$Y$45:$Y$529,$B344,InsumosCultivos!$AM$45:$AM$529)</f>
        <v>0</v>
      </c>
      <c r="X412" s="1803">
        <f>SUMIF(InsumosCultivos!$Y$45:$Y$529,$B344,InsumosCultivos!$AN$45:$AN$529)</f>
        <v>0</v>
      </c>
      <c r="Y412" s="1803">
        <f>SUMIF(InsumosCultivos!$Y$45:$Y$529,$B344,InsumosCultivos!$AO$45:$AO$529)</f>
        <v>0</v>
      </c>
      <c r="Z412" s="1803">
        <f>SUMIF(InsumosCultivos!$Y$45:$Y$529,$B344,InsumosCultivos!$AP$45:$AP$529)</f>
        <v>0</v>
      </c>
      <c r="AA412" s="1803">
        <f>SUMIF(InsumosCultivos!$Y$45:$Y$529,$B344,InsumosCultivos!$AQ$45:$AQ$529)</f>
        <v>0</v>
      </c>
      <c r="AB412" s="1321"/>
      <c r="AC412" s="1803">
        <f t="shared" si="22"/>
        <v>0</v>
      </c>
      <c r="AD412" s="1803">
        <f>+Q412+D412</f>
        <v>0</v>
      </c>
      <c r="AE412" s="1803">
        <f t="shared" si="24"/>
        <v>0</v>
      </c>
      <c r="AF412" s="1803">
        <f t="shared" si="25"/>
        <v>0</v>
      </c>
      <c r="AG412" s="1803">
        <f t="shared" si="26"/>
        <v>0</v>
      </c>
      <c r="AH412" s="1803">
        <f t="shared" si="27"/>
        <v>0</v>
      </c>
      <c r="AI412" s="1803">
        <f t="shared" si="28"/>
        <v>0</v>
      </c>
      <c r="AJ412" s="1803">
        <f t="shared" si="29"/>
        <v>0</v>
      </c>
      <c r="AK412" s="1803">
        <f t="shared" si="30"/>
        <v>0</v>
      </c>
      <c r="AL412" s="1803">
        <f t="shared" si="31"/>
        <v>0</v>
      </c>
      <c r="AM412" s="1803">
        <f t="shared" si="32"/>
        <v>0</v>
      </c>
      <c r="AN412" s="1803">
        <f t="shared" si="33"/>
        <v>0</v>
      </c>
      <c r="AO412" s="950"/>
      <c r="AP412" s="950"/>
      <c r="AQ412" s="950"/>
      <c r="AR412" s="950"/>
      <c r="AS412" s="950"/>
      <c r="AT412" s="950"/>
      <c r="AU412" s="1321"/>
    </row>
    <row r="413" spans="3:47" s="232" customFormat="1" hidden="1" x14ac:dyDescent="0.2">
      <c r="C413" s="1803">
        <f>SUMIF(InsumosCultivos!$B$45:$B$1151,$B345,InsumosCultivos!$I$45:$I$1151)</f>
        <v>0</v>
      </c>
      <c r="D413" s="1803">
        <f>SUMIF(InsumosCultivos!$B$45:$B$1151,$B345,InsumosCultivos!$J$45:$J$1151)</f>
        <v>0</v>
      </c>
      <c r="E413" s="1803">
        <f>SUMIF(InsumosCultivos!$B$45:$B$1151,$B345,InsumosCultivos!$K$45:$K$1151)</f>
        <v>0</v>
      </c>
      <c r="F413" s="1803">
        <f>SUMIF(InsumosCultivos!$B$45:$B$1151,$B345,InsumosCultivos!$L$45:$L$1151)</f>
        <v>0</v>
      </c>
      <c r="G413" s="1803">
        <f>SUMIF(InsumosCultivos!$B$45:$B$1151,$B345,InsumosCultivos!$M$45:$M$1151)</f>
        <v>0</v>
      </c>
      <c r="H413" s="1803">
        <f>SUMIF(InsumosCultivos!$B$45:$B$1151,$B345,InsumosCultivos!$N$45:$N$1151)</f>
        <v>0</v>
      </c>
      <c r="I413" s="1803">
        <f>SUMIF(InsumosCultivos!$B$45:$B$1151,$B345,InsumosCultivos!$O$45:$O$1151)</f>
        <v>0</v>
      </c>
      <c r="J413" s="1803">
        <f>SUMIF(InsumosCultivos!$B$45:$B$1151,$B345,InsumosCultivos!$P$45:$P$1151)</f>
        <v>0</v>
      </c>
      <c r="K413" s="1803">
        <f>SUMIF(InsumosCultivos!$B$45:$B$1151,$B345,InsumosCultivos!$Q$45:$Q$1151)</f>
        <v>0</v>
      </c>
      <c r="L413" s="1803">
        <f>SUMIF(InsumosCultivos!$B$45:$B$1151,$B345,InsumosCultivos!$R$45:$R$1151)</f>
        <v>0</v>
      </c>
      <c r="M413" s="1803">
        <f>SUMIF(InsumosCultivos!$B$45:$B$1151,$B345,InsumosCultivos!$S$45:$S$1151)</f>
        <v>0</v>
      </c>
      <c r="N413" s="1803">
        <f>SUMIF(InsumosCultivos!$B$45:$B$1151,$B345,InsumosCultivos!$T$45:$T$1151)</f>
        <v>0</v>
      </c>
      <c r="O413" s="1321"/>
      <c r="P413" s="1803">
        <f>SUMIF(InsumosCultivos!$Y$45:$Y$529,$B345,InsumosCultivos!$AF$45:$AF$529)</f>
        <v>0</v>
      </c>
      <c r="Q413" s="1803">
        <f>SUMIF(InsumosCultivos!$Y$45:$Y$529,$B345,InsumosCultivos!$AG$45:$AG$529)</f>
        <v>0</v>
      </c>
      <c r="R413" s="1803">
        <f>SUMIF(InsumosCultivos!$Y$45:$Y$529,$B345,InsumosCultivos!$AH$45:$AH$529)</f>
        <v>0</v>
      </c>
      <c r="S413" s="1803">
        <f>SUMIF(InsumosCultivos!$Y$45:$Y$529,$B345,InsumosCultivos!$AI$45:$AI$529)</f>
        <v>0</v>
      </c>
      <c r="T413" s="1803">
        <f>SUMIF(InsumosCultivos!$Y$45:$Y$529,$B345,InsumosCultivos!$AJ$45:$AJ$529)</f>
        <v>0</v>
      </c>
      <c r="U413" s="1803">
        <f>SUMIF(InsumosCultivos!$Y$45:$Y$529,$B345,InsumosCultivos!$AK$45:$AK$529)</f>
        <v>0</v>
      </c>
      <c r="V413" s="1803">
        <f>SUMIF(InsumosCultivos!$Y$45:$Y$529,$B345,InsumosCultivos!$AL$45:$AL$529)</f>
        <v>0</v>
      </c>
      <c r="W413" s="1803">
        <f>SUMIF(InsumosCultivos!$Y$45:$Y$529,$B345,InsumosCultivos!$AM$45:$AM$529)</f>
        <v>0</v>
      </c>
      <c r="X413" s="1803">
        <f>SUMIF(InsumosCultivos!$Y$45:$Y$529,$B345,InsumosCultivos!$AN$45:$AN$529)</f>
        <v>0</v>
      </c>
      <c r="Y413" s="1803">
        <f>SUMIF(InsumosCultivos!$Y$45:$Y$529,$B345,InsumosCultivos!$AO$45:$AO$529)</f>
        <v>0</v>
      </c>
      <c r="Z413" s="1803">
        <f>SUMIF(InsumosCultivos!$Y$45:$Y$529,$B345,InsumosCultivos!$AP$45:$AP$529)</f>
        <v>0</v>
      </c>
      <c r="AA413" s="1803">
        <f>SUMIF(InsumosCultivos!$Y$45:$Y$529,$B345,InsumosCultivos!$AQ$45:$AQ$529)</f>
        <v>0</v>
      </c>
      <c r="AB413" s="1321"/>
      <c r="AC413" s="1803">
        <f t="shared" si="22"/>
        <v>0</v>
      </c>
      <c r="AD413" s="1803">
        <f t="shared" si="23"/>
        <v>0</v>
      </c>
      <c r="AE413" s="1803">
        <f t="shared" si="24"/>
        <v>0</v>
      </c>
      <c r="AF413" s="1803">
        <f t="shared" si="25"/>
        <v>0</v>
      </c>
      <c r="AG413" s="1803">
        <f t="shared" si="26"/>
        <v>0</v>
      </c>
      <c r="AH413" s="1803">
        <f t="shared" si="27"/>
        <v>0</v>
      </c>
      <c r="AI413" s="1803">
        <f t="shared" si="28"/>
        <v>0</v>
      </c>
      <c r="AJ413" s="1803">
        <f t="shared" si="29"/>
        <v>0</v>
      </c>
      <c r="AK413" s="1803">
        <f t="shared" si="30"/>
        <v>0</v>
      </c>
      <c r="AL413" s="1803">
        <f t="shared" si="31"/>
        <v>0</v>
      </c>
      <c r="AM413" s="1803">
        <f t="shared" si="32"/>
        <v>0</v>
      </c>
      <c r="AN413" s="1803">
        <f t="shared" si="33"/>
        <v>0</v>
      </c>
      <c r="AO413" s="950"/>
      <c r="AP413" s="950"/>
      <c r="AQ413" s="950"/>
      <c r="AR413" s="950"/>
      <c r="AS413" s="950"/>
      <c r="AT413" s="950"/>
      <c r="AU413" s="1321"/>
    </row>
    <row r="414" spans="3:47" s="232" customFormat="1" hidden="1" x14ac:dyDescent="0.2">
      <c r="C414" s="1803">
        <f>SUMIF(InsumosCultivos!$B$45:$B$1151,$B346,InsumosCultivos!$I$45:$I$1151)</f>
        <v>0</v>
      </c>
      <c r="D414" s="1803">
        <f>SUMIF(InsumosCultivos!$B$45:$B$1151,$B346,InsumosCultivos!$J$45:$J$1151)</f>
        <v>0</v>
      </c>
      <c r="E414" s="1803">
        <f>SUMIF(InsumosCultivos!$B$45:$B$1151,$B346,InsumosCultivos!$K$45:$K$1151)</f>
        <v>0</v>
      </c>
      <c r="F414" s="1803">
        <f>SUMIF(InsumosCultivos!$B$45:$B$1151,$B346,InsumosCultivos!$L$45:$L$1151)</f>
        <v>0</v>
      </c>
      <c r="G414" s="1803">
        <f>SUMIF(InsumosCultivos!$B$45:$B$1151,$B346,InsumosCultivos!$M$45:$M$1151)</f>
        <v>0</v>
      </c>
      <c r="H414" s="1803">
        <f>SUMIF(InsumosCultivos!$B$45:$B$1151,$B346,InsumosCultivos!$N$45:$N$1151)</f>
        <v>0</v>
      </c>
      <c r="I414" s="1803">
        <f>SUMIF(InsumosCultivos!$B$45:$B$1151,$B346,InsumosCultivos!$O$45:$O$1151)</f>
        <v>0</v>
      </c>
      <c r="J414" s="1803">
        <f>SUMIF(InsumosCultivos!$B$45:$B$1151,$B346,InsumosCultivos!$P$45:$P$1151)</f>
        <v>0</v>
      </c>
      <c r="K414" s="1803">
        <f>SUMIF(InsumosCultivos!$B$45:$B$1151,$B346,InsumosCultivos!$Q$45:$Q$1151)</f>
        <v>0</v>
      </c>
      <c r="L414" s="1803">
        <f>SUMIF(InsumosCultivos!$B$45:$B$1151,$B346,InsumosCultivos!$R$45:$R$1151)</f>
        <v>0</v>
      </c>
      <c r="M414" s="1803">
        <f>SUMIF(InsumosCultivos!$B$45:$B$1151,$B346,InsumosCultivos!$S$45:$S$1151)</f>
        <v>0</v>
      </c>
      <c r="N414" s="1803">
        <f>SUMIF(InsumosCultivos!$B$45:$B$1151,$B346,InsumosCultivos!$T$45:$T$1151)</f>
        <v>0</v>
      </c>
      <c r="O414" s="1321"/>
      <c r="P414" s="1803">
        <f>SUMIF(InsumosCultivos!$Y$45:$Y$529,$B346,InsumosCultivos!$AF$45:$AF$529)</f>
        <v>0</v>
      </c>
      <c r="Q414" s="1803">
        <f>SUMIF(InsumosCultivos!$Y$45:$Y$529,$B346,InsumosCultivos!$AG$45:$AG$529)</f>
        <v>0</v>
      </c>
      <c r="R414" s="1803">
        <f>SUMIF(InsumosCultivos!$Y$45:$Y$529,$B346,InsumosCultivos!$AH$45:$AH$529)</f>
        <v>0</v>
      </c>
      <c r="S414" s="1803">
        <f>SUMIF(InsumosCultivos!$Y$45:$Y$529,$B346,InsumosCultivos!$AI$45:$AI$529)</f>
        <v>0</v>
      </c>
      <c r="T414" s="1803">
        <f>SUMIF(InsumosCultivos!$Y$45:$Y$529,$B346,InsumosCultivos!$AJ$45:$AJ$529)</f>
        <v>0</v>
      </c>
      <c r="U414" s="1803">
        <f>SUMIF(InsumosCultivos!$Y$45:$Y$529,$B346,InsumosCultivos!$AK$45:$AK$529)</f>
        <v>0</v>
      </c>
      <c r="V414" s="1803">
        <f>SUMIF(InsumosCultivos!$Y$45:$Y$529,$B346,InsumosCultivos!$AL$45:$AL$529)</f>
        <v>0</v>
      </c>
      <c r="W414" s="1803">
        <f>SUMIF(InsumosCultivos!$Y$45:$Y$529,$B346,InsumosCultivos!$AM$45:$AM$529)</f>
        <v>0</v>
      </c>
      <c r="X414" s="1803">
        <f>SUMIF(InsumosCultivos!$Y$45:$Y$529,$B346,InsumosCultivos!$AN$45:$AN$529)</f>
        <v>0</v>
      </c>
      <c r="Y414" s="1803">
        <f>SUMIF(InsumosCultivos!$Y$45:$Y$529,$B346,InsumosCultivos!$AO$45:$AO$529)</f>
        <v>0</v>
      </c>
      <c r="Z414" s="1803">
        <f>SUMIF(InsumosCultivos!$Y$45:$Y$529,$B346,InsumosCultivos!$AP$45:$AP$529)</f>
        <v>0</v>
      </c>
      <c r="AA414" s="1803">
        <f>SUMIF(InsumosCultivos!$Y$45:$Y$529,$B346,InsumosCultivos!$AQ$45:$AQ$529)</f>
        <v>0</v>
      </c>
      <c r="AB414" s="1321"/>
      <c r="AC414" s="1803">
        <f t="shared" si="22"/>
        <v>0</v>
      </c>
      <c r="AD414" s="1803">
        <f t="shared" si="23"/>
        <v>0</v>
      </c>
      <c r="AE414" s="1803">
        <f t="shared" si="24"/>
        <v>0</v>
      </c>
      <c r="AF414" s="1803">
        <f t="shared" si="25"/>
        <v>0</v>
      </c>
      <c r="AG414" s="1803">
        <f t="shared" si="26"/>
        <v>0</v>
      </c>
      <c r="AH414" s="1803">
        <f t="shared" si="27"/>
        <v>0</v>
      </c>
      <c r="AI414" s="1803">
        <f t="shared" si="28"/>
        <v>0</v>
      </c>
      <c r="AJ414" s="1803">
        <f t="shared" si="29"/>
        <v>0</v>
      </c>
      <c r="AK414" s="1803">
        <f t="shared" si="30"/>
        <v>0</v>
      </c>
      <c r="AL414" s="1803">
        <f t="shared" si="31"/>
        <v>0</v>
      </c>
      <c r="AM414" s="1803">
        <f t="shared" si="32"/>
        <v>0</v>
      </c>
      <c r="AN414" s="1803">
        <f t="shared" si="33"/>
        <v>0</v>
      </c>
      <c r="AO414" s="950"/>
      <c r="AP414" s="950"/>
      <c r="AQ414" s="950"/>
      <c r="AR414" s="950"/>
      <c r="AS414" s="950"/>
      <c r="AT414" s="950"/>
      <c r="AU414" s="1321"/>
    </row>
    <row r="415" spans="3:47" s="232" customFormat="1" hidden="1" x14ac:dyDescent="0.2">
      <c r="C415" s="1803">
        <f>SUMIF(InsumosCultivos!$B$45:$B$1151,$B347,InsumosCultivos!$I$45:$I$1151)</f>
        <v>0</v>
      </c>
      <c r="D415" s="1803">
        <f>SUMIF(InsumosCultivos!$B$45:$B$1151,$B347,InsumosCultivos!$J$45:$J$1151)</f>
        <v>0</v>
      </c>
      <c r="E415" s="1803">
        <f>SUMIF(InsumosCultivos!$B$45:$B$1151,$B347,InsumosCultivos!$K$45:$K$1151)</f>
        <v>0</v>
      </c>
      <c r="F415" s="1803">
        <f>SUMIF(InsumosCultivos!$B$45:$B$1151,$B347,InsumosCultivos!$L$45:$L$1151)</f>
        <v>0</v>
      </c>
      <c r="G415" s="1803">
        <f>SUMIF(InsumosCultivos!$B$45:$B$1151,$B347,InsumosCultivos!$M$45:$M$1151)</f>
        <v>0</v>
      </c>
      <c r="H415" s="1803">
        <f>SUMIF(InsumosCultivos!$B$45:$B$1151,$B347,InsumosCultivos!$N$45:$N$1151)</f>
        <v>0</v>
      </c>
      <c r="I415" s="1803">
        <f>SUMIF(InsumosCultivos!$B$45:$B$1151,$B347,InsumosCultivos!$O$45:$O$1151)</f>
        <v>0</v>
      </c>
      <c r="J415" s="1803">
        <f>SUMIF(InsumosCultivos!$B$45:$B$1151,$B347,InsumosCultivos!$P$45:$P$1151)</f>
        <v>0</v>
      </c>
      <c r="K415" s="1803">
        <f>SUMIF(InsumosCultivos!$B$45:$B$1151,$B347,InsumosCultivos!$Q$45:$Q$1151)</f>
        <v>0</v>
      </c>
      <c r="L415" s="1803">
        <f>SUMIF(InsumosCultivos!$B$45:$B$1151,$B347,InsumosCultivos!$R$45:$R$1151)</f>
        <v>0</v>
      </c>
      <c r="M415" s="1803">
        <f>SUMIF(InsumosCultivos!$B$45:$B$1151,$B347,InsumosCultivos!$S$45:$S$1151)</f>
        <v>0</v>
      </c>
      <c r="N415" s="1803">
        <f>SUMIF(InsumosCultivos!$B$45:$B$1151,$B347,InsumosCultivos!$T$45:$T$1151)</f>
        <v>0</v>
      </c>
      <c r="O415" s="1321"/>
      <c r="P415" s="1803">
        <f>SUMIF(InsumosCultivos!$Y$45:$Y$529,$B347,InsumosCultivos!$AF$45:$AF$529)</f>
        <v>0</v>
      </c>
      <c r="Q415" s="1803">
        <f>SUMIF(InsumosCultivos!$Y$45:$Y$529,$B347,InsumosCultivos!$AG$45:$AG$529)</f>
        <v>0</v>
      </c>
      <c r="R415" s="1803">
        <f>SUMIF(InsumosCultivos!$Y$45:$Y$529,$B347,InsumosCultivos!$AH$45:$AH$529)</f>
        <v>0</v>
      </c>
      <c r="S415" s="1803">
        <f>SUMIF(InsumosCultivos!$Y$45:$Y$529,$B347,InsumosCultivos!$AI$45:$AI$529)</f>
        <v>0</v>
      </c>
      <c r="T415" s="1803">
        <f>SUMIF(InsumosCultivos!$Y$45:$Y$529,$B347,InsumosCultivos!$AJ$45:$AJ$529)</f>
        <v>0</v>
      </c>
      <c r="U415" s="1803">
        <f>SUMIF(InsumosCultivos!$Y$45:$Y$529,$B347,InsumosCultivos!$AK$45:$AK$529)</f>
        <v>0</v>
      </c>
      <c r="V415" s="1803">
        <f>SUMIF(InsumosCultivos!$Y$45:$Y$529,$B347,InsumosCultivos!$AL$45:$AL$529)</f>
        <v>0</v>
      </c>
      <c r="W415" s="1803">
        <f>SUMIF(InsumosCultivos!$Y$45:$Y$529,$B347,InsumosCultivos!$AM$45:$AM$529)</f>
        <v>0</v>
      </c>
      <c r="X415" s="1803">
        <f>SUMIF(InsumosCultivos!$Y$45:$Y$529,$B347,InsumosCultivos!$AN$45:$AN$529)</f>
        <v>0</v>
      </c>
      <c r="Y415" s="1803">
        <f>SUMIF(InsumosCultivos!$Y$45:$Y$529,$B347,InsumosCultivos!$AO$45:$AO$529)</f>
        <v>0</v>
      </c>
      <c r="Z415" s="1803">
        <f>SUMIF(InsumosCultivos!$Y$45:$Y$529,$B347,InsumosCultivos!$AP$45:$AP$529)</f>
        <v>0</v>
      </c>
      <c r="AA415" s="1803">
        <f>SUMIF(InsumosCultivos!$Y$45:$Y$529,$B347,InsumosCultivos!$AQ$45:$AQ$529)</f>
        <v>0</v>
      </c>
      <c r="AB415" s="1321"/>
      <c r="AC415" s="1803">
        <f t="shared" si="22"/>
        <v>0</v>
      </c>
      <c r="AD415" s="1803">
        <f t="shared" si="23"/>
        <v>0</v>
      </c>
      <c r="AE415" s="1803">
        <f t="shared" si="24"/>
        <v>0</v>
      </c>
      <c r="AF415" s="1803">
        <f t="shared" si="25"/>
        <v>0</v>
      </c>
      <c r="AG415" s="1803">
        <f t="shared" si="26"/>
        <v>0</v>
      </c>
      <c r="AH415" s="1803">
        <f t="shared" si="27"/>
        <v>0</v>
      </c>
      <c r="AI415" s="1803">
        <f t="shared" si="28"/>
        <v>0</v>
      </c>
      <c r="AJ415" s="1803">
        <f t="shared" si="29"/>
        <v>0</v>
      </c>
      <c r="AK415" s="1803">
        <f t="shared" si="30"/>
        <v>0</v>
      </c>
      <c r="AL415" s="1803">
        <f t="shared" si="31"/>
        <v>0</v>
      </c>
      <c r="AM415" s="1803">
        <f t="shared" si="32"/>
        <v>0</v>
      </c>
      <c r="AN415" s="1803">
        <f t="shared" si="33"/>
        <v>0</v>
      </c>
      <c r="AO415" s="950"/>
      <c r="AP415" s="950"/>
      <c r="AQ415" s="950"/>
      <c r="AR415" s="950"/>
      <c r="AS415" s="950"/>
      <c r="AT415" s="950"/>
      <c r="AU415" s="1321"/>
    </row>
    <row r="416" spans="3:47" s="232" customFormat="1" hidden="1" x14ac:dyDescent="0.2">
      <c r="C416" s="1803">
        <f>SUMIF(InsumosCultivos!$B$45:$B$1151,$B348,InsumosCultivos!$I$45:$I$1151)</f>
        <v>0</v>
      </c>
      <c r="D416" s="1803">
        <f>SUMIF(InsumosCultivos!$B$45:$B$1151,$B348,InsumosCultivos!$J$45:$J$1151)</f>
        <v>0</v>
      </c>
      <c r="E416" s="1803">
        <f>SUMIF(InsumosCultivos!$B$45:$B$1151,$B348,InsumosCultivos!$K$45:$K$1151)</f>
        <v>0</v>
      </c>
      <c r="F416" s="1803">
        <f>SUMIF(InsumosCultivos!$B$45:$B$1151,$B348,InsumosCultivos!$L$45:$L$1151)</f>
        <v>0</v>
      </c>
      <c r="G416" s="1803">
        <f>SUMIF(InsumosCultivos!$B$45:$B$1151,$B348,InsumosCultivos!$M$45:$M$1151)</f>
        <v>0</v>
      </c>
      <c r="H416" s="1803">
        <f>SUMIF(InsumosCultivos!$B$45:$B$1151,$B348,InsumosCultivos!$N$45:$N$1151)</f>
        <v>0</v>
      </c>
      <c r="I416" s="1803">
        <f>SUMIF(InsumosCultivos!$B$45:$B$1151,$B348,InsumosCultivos!$O$45:$O$1151)</f>
        <v>0</v>
      </c>
      <c r="J416" s="1803">
        <f>SUMIF(InsumosCultivos!$B$45:$B$1151,$B348,InsumosCultivos!$P$45:$P$1151)</f>
        <v>0</v>
      </c>
      <c r="K416" s="1803">
        <f>SUMIF(InsumosCultivos!$B$45:$B$1151,$B348,InsumosCultivos!$Q$45:$Q$1151)</f>
        <v>0</v>
      </c>
      <c r="L416" s="1803">
        <f>SUMIF(InsumosCultivos!$B$45:$B$1151,$B348,InsumosCultivos!$R$45:$R$1151)</f>
        <v>0</v>
      </c>
      <c r="M416" s="1803">
        <f>SUMIF(InsumosCultivos!$B$45:$B$1151,$B348,InsumosCultivos!$S$45:$S$1151)</f>
        <v>0</v>
      </c>
      <c r="N416" s="1803">
        <f>SUMIF(InsumosCultivos!$B$45:$B$1151,$B348,InsumosCultivos!$T$45:$T$1151)</f>
        <v>0</v>
      </c>
      <c r="O416" s="1321"/>
      <c r="P416" s="1803">
        <f>SUMIF(InsumosCultivos!$Y$45:$Y$529,$B348,InsumosCultivos!$AF$45:$AF$529)</f>
        <v>0</v>
      </c>
      <c r="Q416" s="1803">
        <f>SUMIF(InsumosCultivos!$Y$45:$Y$529,$B348,InsumosCultivos!$AG$45:$AG$529)</f>
        <v>0</v>
      </c>
      <c r="R416" s="1803">
        <f>SUMIF(InsumosCultivos!$Y$45:$Y$529,$B348,InsumosCultivos!$AH$45:$AH$529)</f>
        <v>0</v>
      </c>
      <c r="S416" s="1803">
        <f>SUMIF(InsumosCultivos!$Y$45:$Y$529,$B348,InsumosCultivos!$AI$45:$AI$529)</f>
        <v>0</v>
      </c>
      <c r="T416" s="1803">
        <f>SUMIF(InsumosCultivos!$Y$45:$Y$529,$B348,InsumosCultivos!$AJ$45:$AJ$529)</f>
        <v>0</v>
      </c>
      <c r="U416" s="1803">
        <f>SUMIF(InsumosCultivos!$Y$45:$Y$529,$B348,InsumosCultivos!$AK$45:$AK$529)</f>
        <v>0</v>
      </c>
      <c r="V416" s="1803">
        <f>SUMIF(InsumosCultivos!$Y$45:$Y$529,$B348,InsumosCultivos!$AL$45:$AL$529)</f>
        <v>0</v>
      </c>
      <c r="W416" s="1803">
        <f>SUMIF(InsumosCultivos!$Y$45:$Y$529,$B348,InsumosCultivos!$AM$45:$AM$529)</f>
        <v>0</v>
      </c>
      <c r="X416" s="1803">
        <f>SUMIF(InsumosCultivos!$Y$45:$Y$529,$B348,InsumosCultivos!$AN$45:$AN$529)</f>
        <v>0</v>
      </c>
      <c r="Y416" s="1803">
        <f>SUMIF(InsumosCultivos!$Y$45:$Y$529,$B348,InsumosCultivos!$AO$45:$AO$529)</f>
        <v>0</v>
      </c>
      <c r="Z416" s="1803">
        <f>SUMIF(InsumosCultivos!$Y$45:$Y$529,$B348,InsumosCultivos!$AP$45:$AP$529)</f>
        <v>0</v>
      </c>
      <c r="AA416" s="1803">
        <f>SUMIF(InsumosCultivos!$Y$45:$Y$529,$B348,InsumosCultivos!$AQ$45:$AQ$529)</f>
        <v>0</v>
      </c>
      <c r="AB416" s="1321"/>
      <c r="AC416" s="1803">
        <f>+P416+C416</f>
        <v>0</v>
      </c>
      <c r="AD416" s="1803">
        <f t="shared" si="23"/>
        <v>0</v>
      </c>
      <c r="AE416" s="1803">
        <f t="shared" si="24"/>
        <v>0</v>
      </c>
      <c r="AF416" s="1803">
        <f t="shared" si="25"/>
        <v>0</v>
      </c>
      <c r="AG416" s="1803">
        <f t="shared" si="26"/>
        <v>0</v>
      </c>
      <c r="AH416" s="1803">
        <f t="shared" si="27"/>
        <v>0</v>
      </c>
      <c r="AI416" s="1803">
        <f t="shared" si="28"/>
        <v>0</v>
      </c>
      <c r="AJ416" s="1803">
        <f t="shared" si="29"/>
        <v>0</v>
      </c>
      <c r="AK416" s="1803">
        <f t="shared" si="30"/>
        <v>0</v>
      </c>
      <c r="AL416" s="1803">
        <f t="shared" si="31"/>
        <v>0</v>
      </c>
      <c r="AM416" s="1803">
        <f t="shared" si="32"/>
        <v>0</v>
      </c>
      <c r="AN416" s="1803">
        <f t="shared" si="33"/>
        <v>0</v>
      </c>
      <c r="AO416" s="950"/>
      <c r="AP416" s="950"/>
      <c r="AQ416" s="950"/>
      <c r="AR416" s="950"/>
      <c r="AS416" s="950"/>
      <c r="AT416" s="950"/>
      <c r="AU416" s="1321"/>
    </row>
    <row r="417" spans="3:47" s="232" customFormat="1" hidden="1" x14ac:dyDescent="0.2">
      <c r="C417" s="1803">
        <f>SUMIF(InsumosCultivos!$B$45:$B$1151,$B349,InsumosCultivos!$I$45:$I$1151)</f>
        <v>0</v>
      </c>
      <c r="D417" s="1803">
        <f>SUMIF(InsumosCultivos!$B$45:$B$1151,$B349,InsumosCultivos!$J$45:$J$1151)</f>
        <v>0</v>
      </c>
      <c r="E417" s="1803">
        <f>SUMIF(InsumosCultivos!$B$45:$B$1151,$B349,InsumosCultivos!$K$45:$K$1151)</f>
        <v>0</v>
      </c>
      <c r="F417" s="1803">
        <f>SUMIF(InsumosCultivos!$B$45:$B$1151,$B349,InsumosCultivos!$L$45:$L$1151)</f>
        <v>0</v>
      </c>
      <c r="G417" s="1803">
        <f>SUMIF(InsumosCultivos!$B$45:$B$1151,$B349,InsumosCultivos!$M$45:$M$1151)</f>
        <v>0</v>
      </c>
      <c r="H417" s="1803">
        <f>SUMIF(InsumosCultivos!$B$45:$B$1151,$B349,InsumosCultivos!$N$45:$N$1151)</f>
        <v>0</v>
      </c>
      <c r="I417" s="1803">
        <f>SUMIF(InsumosCultivos!$B$45:$B$1151,$B349,InsumosCultivos!$O$45:$O$1151)</f>
        <v>0</v>
      </c>
      <c r="J417" s="1803">
        <f>SUMIF(InsumosCultivos!$B$45:$B$1151,$B349,InsumosCultivos!$P$45:$P$1151)</f>
        <v>0</v>
      </c>
      <c r="K417" s="1803">
        <f>SUMIF(InsumosCultivos!$B$45:$B$1151,$B349,InsumosCultivos!$Q$45:$Q$1151)</f>
        <v>0</v>
      </c>
      <c r="L417" s="1803">
        <f>SUMIF(InsumosCultivos!$B$45:$B$1151,$B349,InsumosCultivos!$R$45:$R$1151)</f>
        <v>0</v>
      </c>
      <c r="M417" s="1803">
        <f>SUMIF(InsumosCultivos!$B$45:$B$1151,$B349,InsumosCultivos!$S$45:$S$1151)</f>
        <v>0</v>
      </c>
      <c r="N417" s="1803">
        <f>SUMIF(InsumosCultivos!$B$45:$B$1151,$B349,InsumosCultivos!$T$45:$T$1151)</f>
        <v>0</v>
      </c>
      <c r="O417" s="1321"/>
      <c r="P417" s="1803">
        <f>SUMIF(InsumosCultivos!$Y$45:$Y$529,$B349,InsumosCultivos!$AF$45:$AF$529)</f>
        <v>0</v>
      </c>
      <c r="Q417" s="1803">
        <f>SUMIF(InsumosCultivos!$Y$45:$Y$529,$B349,InsumosCultivos!$AG$45:$AG$529)</f>
        <v>0</v>
      </c>
      <c r="R417" s="1803">
        <f>SUMIF(InsumosCultivos!$Y$45:$Y$529,$B349,InsumosCultivos!$AH$45:$AH$529)</f>
        <v>0</v>
      </c>
      <c r="S417" s="1803">
        <f>SUMIF(InsumosCultivos!$Y$45:$Y$529,$B349,InsumosCultivos!$AI$45:$AI$529)</f>
        <v>0</v>
      </c>
      <c r="T417" s="1803">
        <f>SUMIF(InsumosCultivos!$Y$45:$Y$529,$B349,InsumosCultivos!$AJ$45:$AJ$529)</f>
        <v>0</v>
      </c>
      <c r="U417" s="1803">
        <f>SUMIF(InsumosCultivos!$Y$45:$Y$529,$B349,InsumosCultivos!$AK$45:$AK$529)</f>
        <v>0</v>
      </c>
      <c r="V417" s="1803">
        <f>SUMIF(InsumosCultivos!$Y$45:$Y$529,$B349,InsumosCultivos!$AL$45:$AL$529)</f>
        <v>0</v>
      </c>
      <c r="W417" s="1803">
        <f>SUMIF(InsumosCultivos!$Y$45:$Y$529,$B349,InsumosCultivos!$AM$45:$AM$529)</f>
        <v>0</v>
      </c>
      <c r="X417" s="1803">
        <f>SUMIF(InsumosCultivos!$Y$45:$Y$529,$B349,InsumosCultivos!$AN$45:$AN$529)</f>
        <v>0</v>
      </c>
      <c r="Y417" s="1803">
        <f>SUMIF(InsumosCultivos!$Y$45:$Y$529,$B349,InsumosCultivos!$AO$45:$AO$529)</f>
        <v>0</v>
      </c>
      <c r="Z417" s="1803">
        <f>SUMIF(InsumosCultivos!$Y$45:$Y$529,$B349,InsumosCultivos!$AP$45:$AP$529)</f>
        <v>0</v>
      </c>
      <c r="AA417" s="1803">
        <f>SUMIF(InsumosCultivos!$Y$45:$Y$529,$B349,InsumosCultivos!$AQ$45:$AQ$529)</f>
        <v>0</v>
      </c>
      <c r="AB417" s="1321"/>
      <c r="AC417" s="1803">
        <f t="shared" si="22"/>
        <v>0</v>
      </c>
      <c r="AD417" s="1803">
        <f t="shared" si="23"/>
        <v>0</v>
      </c>
      <c r="AE417" s="1803">
        <f t="shared" si="24"/>
        <v>0</v>
      </c>
      <c r="AF417" s="1803">
        <f t="shared" si="25"/>
        <v>0</v>
      </c>
      <c r="AG417" s="1803">
        <f t="shared" si="26"/>
        <v>0</v>
      </c>
      <c r="AH417" s="1803">
        <f t="shared" si="27"/>
        <v>0</v>
      </c>
      <c r="AI417" s="1803">
        <f t="shared" si="28"/>
        <v>0</v>
      </c>
      <c r="AJ417" s="1803">
        <f t="shared" si="29"/>
        <v>0</v>
      </c>
      <c r="AK417" s="1803">
        <f t="shared" si="30"/>
        <v>0</v>
      </c>
      <c r="AL417" s="1803">
        <f t="shared" si="31"/>
        <v>0</v>
      </c>
      <c r="AM417" s="1803">
        <f t="shared" si="32"/>
        <v>0</v>
      </c>
      <c r="AN417" s="1803">
        <f t="shared" si="33"/>
        <v>0</v>
      </c>
      <c r="AO417" s="950"/>
      <c r="AP417" s="950"/>
      <c r="AQ417" s="950"/>
      <c r="AR417" s="950"/>
      <c r="AS417" s="950"/>
      <c r="AT417" s="950"/>
      <c r="AU417" s="1321"/>
    </row>
    <row r="418" spans="3:47" s="232" customFormat="1" hidden="1" x14ac:dyDescent="0.2">
      <c r="C418" s="1803">
        <f>SUMIF(InsumosCultivos!$B$45:$B$1151,$B350,InsumosCultivos!$I$45:$I$1151)</f>
        <v>0</v>
      </c>
      <c r="D418" s="1803">
        <f>SUMIF(InsumosCultivos!$B$45:$B$1151,$B350,InsumosCultivos!$J$45:$J$1151)</f>
        <v>0</v>
      </c>
      <c r="E418" s="1803">
        <f>SUMIF(InsumosCultivos!$B$45:$B$1151,$B350,InsumosCultivos!$K$45:$K$1151)</f>
        <v>0</v>
      </c>
      <c r="F418" s="1803">
        <f>SUMIF(InsumosCultivos!$B$45:$B$1151,$B350,InsumosCultivos!$L$45:$L$1151)</f>
        <v>0</v>
      </c>
      <c r="G418" s="1803">
        <f>SUMIF(InsumosCultivos!$B$45:$B$1151,$B350,InsumosCultivos!$M$45:$M$1151)</f>
        <v>0</v>
      </c>
      <c r="H418" s="1803">
        <f>SUMIF(InsumosCultivos!$B$45:$B$1151,$B350,InsumosCultivos!$N$45:$N$1151)</f>
        <v>0</v>
      </c>
      <c r="I418" s="1803">
        <f>SUMIF(InsumosCultivos!$B$45:$B$1151,$B350,InsumosCultivos!$O$45:$O$1151)</f>
        <v>0</v>
      </c>
      <c r="J418" s="1803">
        <f>SUMIF(InsumosCultivos!$B$45:$B$1151,$B350,InsumosCultivos!$P$45:$P$1151)</f>
        <v>0</v>
      </c>
      <c r="K418" s="1803">
        <f>SUMIF(InsumosCultivos!$B$45:$B$1151,$B350,InsumosCultivos!$Q$45:$Q$1151)</f>
        <v>0</v>
      </c>
      <c r="L418" s="1803">
        <f>SUMIF(InsumosCultivos!$B$45:$B$1151,$B350,InsumosCultivos!$R$45:$R$1151)</f>
        <v>0</v>
      </c>
      <c r="M418" s="1803">
        <f>SUMIF(InsumosCultivos!$B$45:$B$1151,$B350,InsumosCultivos!$S$45:$S$1151)</f>
        <v>0</v>
      </c>
      <c r="N418" s="1803">
        <f>SUMIF(InsumosCultivos!$B$45:$B$1151,$B350,InsumosCultivos!$T$45:$T$1151)</f>
        <v>0</v>
      </c>
      <c r="O418" s="1321"/>
      <c r="P418" s="1803">
        <f>SUMIF(InsumosCultivos!$Y$45:$Y$529,$B350,InsumosCultivos!$AF$45:$AF$529)</f>
        <v>0</v>
      </c>
      <c r="Q418" s="1803">
        <f>SUMIF(InsumosCultivos!$Y$45:$Y$529,$B350,InsumosCultivos!$AG$45:$AG$529)</f>
        <v>0</v>
      </c>
      <c r="R418" s="1803">
        <f>SUMIF(InsumosCultivos!$Y$45:$Y$529,$B350,InsumosCultivos!$AH$45:$AH$529)</f>
        <v>0</v>
      </c>
      <c r="S418" s="1803">
        <f>SUMIF(InsumosCultivos!$Y$45:$Y$529,$B350,InsumosCultivos!$AI$45:$AI$529)</f>
        <v>0</v>
      </c>
      <c r="T418" s="1803">
        <f>SUMIF(InsumosCultivos!$Y$45:$Y$529,$B350,InsumosCultivos!$AJ$45:$AJ$529)</f>
        <v>0</v>
      </c>
      <c r="U418" s="1803">
        <f>SUMIF(InsumosCultivos!$Y$45:$Y$529,$B350,InsumosCultivos!$AK$45:$AK$529)</f>
        <v>0</v>
      </c>
      <c r="V418" s="1803">
        <f>SUMIF(InsumosCultivos!$Y$45:$Y$529,$B350,InsumosCultivos!$AL$45:$AL$529)</f>
        <v>0</v>
      </c>
      <c r="W418" s="1803">
        <f>SUMIF(InsumosCultivos!$Y$45:$Y$529,$B350,InsumosCultivos!$AM$45:$AM$529)</f>
        <v>0</v>
      </c>
      <c r="X418" s="1803">
        <f>SUMIF(InsumosCultivos!$Y$45:$Y$529,$B350,InsumosCultivos!$AN$45:$AN$529)</f>
        <v>0</v>
      </c>
      <c r="Y418" s="1803">
        <f>SUMIF(InsumosCultivos!$Y$45:$Y$529,$B350,InsumosCultivos!$AO$45:$AO$529)</f>
        <v>0</v>
      </c>
      <c r="Z418" s="1803">
        <f>SUMIF(InsumosCultivos!$Y$45:$Y$529,$B350,InsumosCultivos!$AP$45:$AP$529)</f>
        <v>0</v>
      </c>
      <c r="AA418" s="1803">
        <f>SUMIF(InsumosCultivos!$Y$45:$Y$529,$B350,InsumosCultivos!$AQ$45:$AQ$529)</f>
        <v>0</v>
      </c>
      <c r="AB418" s="1321"/>
      <c r="AC418" s="1803">
        <f t="shared" si="22"/>
        <v>0</v>
      </c>
      <c r="AD418" s="1803">
        <f t="shared" si="23"/>
        <v>0</v>
      </c>
      <c r="AE418" s="1803">
        <f t="shared" si="24"/>
        <v>0</v>
      </c>
      <c r="AF418" s="1803">
        <f t="shared" si="25"/>
        <v>0</v>
      </c>
      <c r="AG418" s="1803">
        <f t="shared" si="26"/>
        <v>0</v>
      </c>
      <c r="AH418" s="1803">
        <f t="shared" si="27"/>
        <v>0</v>
      </c>
      <c r="AI418" s="1803">
        <f t="shared" si="28"/>
        <v>0</v>
      </c>
      <c r="AJ418" s="1803">
        <f t="shared" si="29"/>
        <v>0</v>
      </c>
      <c r="AK418" s="1803">
        <f t="shared" si="30"/>
        <v>0</v>
      </c>
      <c r="AL418" s="1803">
        <f t="shared" si="31"/>
        <v>0</v>
      </c>
      <c r="AM418" s="1803">
        <f t="shared" si="32"/>
        <v>0</v>
      </c>
      <c r="AN418" s="1803">
        <f t="shared" si="33"/>
        <v>0</v>
      </c>
      <c r="AO418" s="950"/>
      <c r="AP418" s="950"/>
      <c r="AQ418" s="950"/>
      <c r="AR418" s="950"/>
      <c r="AS418" s="950"/>
      <c r="AT418" s="950"/>
      <c r="AU418" s="1321"/>
    </row>
    <row r="419" spans="3:47" s="232" customFormat="1" hidden="1" x14ac:dyDescent="0.2">
      <c r="C419" s="1803">
        <f>SUMIF(InsumosCultivos!$B$45:$B$1151,$B351,InsumosCultivos!$I$45:$I$1151)</f>
        <v>0</v>
      </c>
      <c r="D419" s="1803">
        <f>SUMIF(InsumosCultivos!$B$45:$B$1151,$B351,InsumosCultivos!$J$45:$J$1151)</f>
        <v>0</v>
      </c>
      <c r="E419" s="1803">
        <f>SUMIF(InsumosCultivos!$B$45:$B$1151,$B351,InsumosCultivos!$K$45:$K$1151)</f>
        <v>0</v>
      </c>
      <c r="F419" s="1803">
        <f>SUMIF(InsumosCultivos!$B$45:$B$1151,$B351,InsumosCultivos!$L$45:$L$1151)</f>
        <v>0</v>
      </c>
      <c r="G419" s="1803">
        <f>SUMIF(InsumosCultivos!$B$45:$B$1151,$B351,InsumosCultivos!$M$45:$M$1151)</f>
        <v>0</v>
      </c>
      <c r="H419" s="1803">
        <f>SUMIF(InsumosCultivos!$B$45:$B$1151,$B351,InsumosCultivos!$N$45:$N$1151)</f>
        <v>0</v>
      </c>
      <c r="I419" s="1803">
        <f>SUMIF(InsumosCultivos!$B$45:$B$1151,$B351,InsumosCultivos!$O$45:$O$1151)</f>
        <v>0</v>
      </c>
      <c r="J419" s="1803">
        <f>SUMIF(InsumosCultivos!$B$45:$B$1151,$B351,InsumosCultivos!$P$45:$P$1151)</f>
        <v>0</v>
      </c>
      <c r="K419" s="1803">
        <f>SUMIF(InsumosCultivos!$B$45:$B$1151,$B351,InsumosCultivos!$Q$45:$Q$1151)</f>
        <v>0</v>
      </c>
      <c r="L419" s="1803">
        <f>SUMIF(InsumosCultivos!$B$45:$B$1151,$B351,InsumosCultivos!$R$45:$R$1151)</f>
        <v>0</v>
      </c>
      <c r="M419" s="1803">
        <f>SUMIF(InsumosCultivos!$B$45:$B$1151,$B351,InsumosCultivos!$S$45:$S$1151)</f>
        <v>0</v>
      </c>
      <c r="N419" s="1803">
        <f>SUMIF(InsumosCultivos!$B$45:$B$1151,$B351,InsumosCultivos!$T$45:$T$1151)</f>
        <v>0</v>
      </c>
      <c r="O419" s="1321"/>
      <c r="P419" s="1803">
        <f>SUMIF(InsumosCultivos!$Y$45:$Y$529,$B351,InsumosCultivos!$AF$45:$AF$529)</f>
        <v>0</v>
      </c>
      <c r="Q419" s="1803">
        <f>SUMIF(InsumosCultivos!$Y$45:$Y$529,$B351,InsumosCultivos!$AG$45:$AG$529)</f>
        <v>0</v>
      </c>
      <c r="R419" s="1803">
        <f>SUMIF(InsumosCultivos!$Y$45:$Y$529,$B351,InsumosCultivos!$AH$45:$AH$529)</f>
        <v>0</v>
      </c>
      <c r="S419" s="1803">
        <f>SUMIF(InsumosCultivos!$Y$45:$Y$529,$B351,InsumosCultivos!$AI$45:$AI$529)</f>
        <v>0</v>
      </c>
      <c r="T419" s="1803">
        <f>SUMIF(InsumosCultivos!$Y$45:$Y$529,$B351,InsumosCultivos!$AJ$45:$AJ$529)</f>
        <v>0</v>
      </c>
      <c r="U419" s="1803">
        <f>SUMIF(InsumosCultivos!$Y$45:$Y$529,$B351,InsumosCultivos!$AK$45:$AK$529)</f>
        <v>0</v>
      </c>
      <c r="V419" s="1803">
        <f>SUMIF(InsumosCultivos!$Y$45:$Y$529,$B351,InsumosCultivos!$AL$45:$AL$529)</f>
        <v>0</v>
      </c>
      <c r="W419" s="1803">
        <f>SUMIF(InsumosCultivos!$Y$45:$Y$529,$B351,InsumosCultivos!$AM$45:$AM$529)</f>
        <v>0</v>
      </c>
      <c r="X419" s="1803">
        <f>SUMIF(InsumosCultivos!$Y$45:$Y$529,$B351,InsumosCultivos!$AN$45:$AN$529)</f>
        <v>0</v>
      </c>
      <c r="Y419" s="1803">
        <f>SUMIF(InsumosCultivos!$Y$45:$Y$529,$B351,InsumosCultivos!$AO$45:$AO$529)</f>
        <v>0</v>
      </c>
      <c r="Z419" s="1803">
        <f>SUMIF(InsumosCultivos!$Y$45:$Y$529,$B351,InsumosCultivos!$AP$45:$AP$529)</f>
        <v>0</v>
      </c>
      <c r="AA419" s="1803">
        <f>SUMIF(InsumosCultivos!$Y$45:$Y$529,$B351,InsumosCultivos!$AQ$45:$AQ$529)</f>
        <v>0</v>
      </c>
      <c r="AB419" s="1321"/>
      <c r="AC419" s="1803">
        <f t="shared" si="22"/>
        <v>0</v>
      </c>
      <c r="AD419" s="1803">
        <f t="shared" si="23"/>
        <v>0</v>
      </c>
      <c r="AE419" s="1803">
        <f t="shared" si="24"/>
        <v>0</v>
      </c>
      <c r="AF419" s="1803">
        <f t="shared" si="25"/>
        <v>0</v>
      </c>
      <c r="AG419" s="1803">
        <f t="shared" si="26"/>
        <v>0</v>
      </c>
      <c r="AH419" s="1803">
        <f t="shared" si="27"/>
        <v>0</v>
      </c>
      <c r="AI419" s="1803">
        <f t="shared" si="28"/>
        <v>0</v>
      </c>
      <c r="AJ419" s="1803">
        <f t="shared" si="29"/>
        <v>0</v>
      </c>
      <c r="AK419" s="1803">
        <f t="shared" si="30"/>
        <v>0</v>
      </c>
      <c r="AL419" s="1803">
        <f t="shared" si="31"/>
        <v>0</v>
      </c>
      <c r="AM419" s="1803">
        <f t="shared" si="32"/>
        <v>0</v>
      </c>
      <c r="AN419" s="1803">
        <f t="shared" si="33"/>
        <v>0</v>
      </c>
      <c r="AO419" s="950"/>
      <c r="AP419" s="950"/>
      <c r="AQ419" s="950"/>
      <c r="AR419" s="950"/>
      <c r="AS419" s="950"/>
      <c r="AT419" s="950"/>
      <c r="AU419" s="1321"/>
    </row>
    <row r="420" spans="3:47" s="232" customFormat="1" hidden="1" x14ac:dyDescent="0.2">
      <c r="C420" s="1803">
        <f>SUMIF(InsumosCultivos!$B$45:$B$1151,$B352,InsumosCultivos!$I$45:$I$1151)</f>
        <v>0</v>
      </c>
      <c r="D420" s="1803">
        <f>SUMIF(InsumosCultivos!$B$45:$B$1151,$B352,InsumosCultivos!$J$45:$J$1151)</f>
        <v>0</v>
      </c>
      <c r="E420" s="1803">
        <f>SUMIF(InsumosCultivos!$B$45:$B$1151,$B352,InsumosCultivos!$K$45:$K$1151)</f>
        <v>0</v>
      </c>
      <c r="F420" s="1803">
        <f>SUMIF(InsumosCultivos!$B$45:$B$1151,$B352,InsumosCultivos!$L$45:$L$1151)</f>
        <v>0</v>
      </c>
      <c r="G420" s="1803">
        <f>SUMIF(InsumosCultivos!$B$45:$B$1151,$B352,InsumosCultivos!$M$45:$M$1151)</f>
        <v>0</v>
      </c>
      <c r="H420" s="1803">
        <f>SUMIF(InsumosCultivos!$B$45:$B$1151,$B352,InsumosCultivos!$N$45:$N$1151)</f>
        <v>0</v>
      </c>
      <c r="I420" s="1803">
        <f>SUMIF(InsumosCultivos!$B$45:$B$1151,$B352,InsumosCultivos!$O$45:$O$1151)</f>
        <v>0</v>
      </c>
      <c r="J420" s="1803">
        <f>SUMIF(InsumosCultivos!$B$45:$B$1151,$B352,InsumosCultivos!$P$45:$P$1151)</f>
        <v>0</v>
      </c>
      <c r="K420" s="1803">
        <f>SUMIF(InsumosCultivos!$B$45:$B$1151,$B352,InsumosCultivos!$Q$45:$Q$1151)</f>
        <v>0</v>
      </c>
      <c r="L420" s="1803">
        <f>SUMIF(InsumosCultivos!$B$45:$B$1151,$B352,InsumosCultivos!$R$45:$R$1151)</f>
        <v>0</v>
      </c>
      <c r="M420" s="1803">
        <f>SUMIF(InsumosCultivos!$B$45:$B$1151,$B352,InsumosCultivos!$S$45:$S$1151)</f>
        <v>0</v>
      </c>
      <c r="N420" s="1803">
        <f>SUMIF(InsumosCultivos!$B$45:$B$1151,$B352,InsumosCultivos!$T$45:$T$1151)</f>
        <v>0</v>
      </c>
      <c r="O420" s="1321"/>
      <c r="P420" s="1803">
        <f>SUMIF(InsumosCultivos!$Y$45:$Y$529,$B352,InsumosCultivos!$AF$45:$AF$529)</f>
        <v>0</v>
      </c>
      <c r="Q420" s="1803">
        <f>SUMIF(InsumosCultivos!$Y$45:$Y$529,$B352,InsumosCultivos!$AG$45:$AG$529)</f>
        <v>0</v>
      </c>
      <c r="R420" s="1803">
        <f>SUMIF(InsumosCultivos!$Y$45:$Y$529,$B352,InsumosCultivos!$AH$45:$AH$529)</f>
        <v>0</v>
      </c>
      <c r="S420" s="1803">
        <f>SUMIF(InsumosCultivos!$Y$45:$Y$529,$B352,InsumosCultivos!$AI$45:$AI$529)</f>
        <v>0</v>
      </c>
      <c r="T420" s="1803">
        <f>SUMIF(InsumosCultivos!$Y$45:$Y$529,$B352,InsumosCultivos!$AJ$45:$AJ$529)</f>
        <v>0</v>
      </c>
      <c r="U420" s="1803">
        <f>SUMIF(InsumosCultivos!$Y$45:$Y$529,$B352,InsumosCultivos!$AK$45:$AK$529)</f>
        <v>0</v>
      </c>
      <c r="V420" s="1803">
        <f>SUMIF(InsumosCultivos!$Y$45:$Y$529,$B352,InsumosCultivos!$AL$45:$AL$529)</f>
        <v>0</v>
      </c>
      <c r="W420" s="1803">
        <f>SUMIF(InsumosCultivos!$Y$45:$Y$529,$B352,InsumosCultivos!$AM$45:$AM$529)</f>
        <v>0</v>
      </c>
      <c r="X420" s="1803">
        <f>SUMIF(InsumosCultivos!$Y$45:$Y$529,$B352,InsumosCultivos!$AN$45:$AN$529)</f>
        <v>0</v>
      </c>
      <c r="Y420" s="1803">
        <f>SUMIF(InsumosCultivos!$Y$45:$Y$529,$B352,InsumosCultivos!$AO$45:$AO$529)</f>
        <v>0</v>
      </c>
      <c r="Z420" s="1803">
        <f>SUMIF(InsumosCultivos!$Y$45:$Y$529,$B352,InsumosCultivos!$AP$45:$AP$529)</f>
        <v>0</v>
      </c>
      <c r="AA420" s="1803">
        <f>SUMIF(InsumosCultivos!$Y$45:$Y$529,$B352,InsumosCultivos!$AQ$45:$AQ$529)</f>
        <v>0</v>
      </c>
      <c r="AB420" s="1321"/>
      <c r="AC420" s="1803">
        <f t="shared" si="22"/>
        <v>0</v>
      </c>
      <c r="AD420" s="1803">
        <f t="shared" si="23"/>
        <v>0</v>
      </c>
      <c r="AE420" s="1803">
        <f t="shared" si="24"/>
        <v>0</v>
      </c>
      <c r="AF420" s="1803">
        <f t="shared" si="25"/>
        <v>0</v>
      </c>
      <c r="AG420" s="1803">
        <f t="shared" si="26"/>
        <v>0</v>
      </c>
      <c r="AH420" s="1803">
        <f t="shared" si="27"/>
        <v>0</v>
      </c>
      <c r="AI420" s="1803">
        <f t="shared" si="28"/>
        <v>0</v>
      </c>
      <c r="AJ420" s="1803">
        <f t="shared" si="29"/>
        <v>0</v>
      </c>
      <c r="AK420" s="1803">
        <f t="shared" si="30"/>
        <v>0</v>
      </c>
      <c r="AL420" s="1803">
        <f t="shared" si="31"/>
        <v>0</v>
      </c>
      <c r="AM420" s="1803">
        <f t="shared" si="32"/>
        <v>0</v>
      </c>
      <c r="AN420" s="1803">
        <f t="shared" si="33"/>
        <v>0</v>
      </c>
      <c r="AO420" s="950"/>
      <c r="AP420" s="950"/>
      <c r="AQ420" s="950"/>
      <c r="AR420" s="950"/>
      <c r="AS420" s="950"/>
      <c r="AT420" s="950"/>
      <c r="AU420" s="1321"/>
    </row>
    <row r="421" spans="3:47" s="232" customFormat="1" hidden="1" x14ac:dyDescent="0.2">
      <c r="C421" s="1803">
        <f>SUMIF(InsumosCultivos!$B$45:$B$1151,$B353,InsumosCultivos!$I$45:$I$1151)</f>
        <v>0</v>
      </c>
      <c r="D421" s="1803">
        <f>SUMIF(InsumosCultivos!$B$45:$B$1151,$B353,InsumosCultivos!$J$45:$J$1151)</f>
        <v>0</v>
      </c>
      <c r="E421" s="1803">
        <f>SUMIF(InsumosCultivos!$B$45:$B$1151,$B353,InsumosCultivos!$K$45:$K$1151)</f>
        <v>0</v>
      </c>
      <c r="F421" s="1803">
        <f>SUMIF(InsumosCultivos!$B$45:$B$1151,$B353,InsumosCultivos!$L$45:$L$1151)</f>
        <v>0</v>
      </c>
      <c r="G421" s="1803">
        <f>SUMIF(InsumosCultivos!$B$45:$B$1151,$B353,InsumosCultivos!$M$45:$M$1151)</f>
        <v>0</v>
      </c>
      <c r="H421" s="1803">
        <f>SUMIF(InsumosCultivos!$B$45:$B$1151,$B353,InsumosCultivos!$N$45:$N$1151)</f>
        <v>0</v>
      </c>
      <c r="I421" s="1803">
        <f>SUMIF(InsumosCultivos!$B$45:$B$1151,$B353,InsumosCultivos!$O$45:$O$1151)</f>
        <v>0</v>
      </c>
      <c r="J421" s="1803">
        <f>SUMIF(InsumosCultivos!$B$45:$B$1151,$B353,InsumosCultivos!$P$45:$P$1151)</f>
        <v>0</v>
      </c>
      <c r="K421" s="1803">
        <f>SUMIF(InsumosCultivos!$B$45:$B$1151,$B353,InsumosCultivos!$Q$45:$Q$1151)</f>
        <v>0</v>
      </c>
      <c r="L421" s="1803">
        <f>SUMIF(InsumosCultivos!$B$45:$B$1151,$B353,InsumosCultivos!$R$45:$R$1151)</f>
        <v>0</v>
      </c>
      <c r="M421" s="1803">
        <f>SUMIF(InsumosCultivos!$B$45:$B$1151,$B353,InsumosCultivos!$S$45:$S$1151)</f>
        <v>0</v>
      </c>
      <c r="N421" s="1803">
        <f>SUMIF(InsumosCultivos!$B$45:$B$1151,$B353,InsumosCultivos!$T$45:$T$1151)</f>
        <v>0</v>
      </c>
      <c r="O421" s="1321"/>
      <c r="P421" s="1803">
        <f>SUMIF(InsumosCultivos!$Y$45:$Y$529,$B353,InsumosCultivos!$AF$45:$AF$529)</f>
        <v>0</v>
      </c>
      <c r="Q421" s="1803">
        <f>SUMIF(InsumosCultivos!$Y$45:$Y$529,$B353,InsumosCultivos!$AG$45:$AG$529)</f>
        <v>0</v>
      </c>
      <c r="R421" s="1803">
        <f>SUMIF(InsumosCultivos!$Y$45:$Y$529,$B353,InsumosCultivos!$AH$45:$AH$529)</f>
        <v>0</v>
      </c>
      <c r="S421" s="1803">
        <f>SUMIF(InsumosCultivos!$Y$45:$Y$529,$B353,InsumosCultivos!$AI$45:$AI$529)</f>
        <v>0</v>
      </c>
      <c r="T421" s="1803">
        <f>SUMIF(InsumosCultivos!$Y$45:$Y$529,$B353,InsumosCultivos!$AJ$45:$AJ$529)</f>
        <v>0</v>
      </c>
      <c r="U421" s="1803">
        <f>SUMIF(InsumosCultivos!$Y$45:$Y$529,$B353,InsumosCultivos!$AK$45:$AK$529)</f>
        <v>0</v>
      </c>
      <c r="V421" s="1803">
        <f>SUMIF(InsumosCultivos!$Y$45:$Y$529,$B353,InsumosCultivos!$AL$45:$AL$529)</f>
        <v>0</v>
      </c>
      <c r="W421" s="1803">
        <f>SUMIF(InsumosCultivos!$Y$45:$Y$529,$B353,InsumosCultivos!$AM$45:$AM$529)</f>
        <v>0</v>
      </c>
      <c r="X421" s="1803">
        <f>SUMIF(InsumosCultivos!$Y$45:$Y$529,$B353,InsumosCultivos!$AN$45:$AN$529)</f>
        <v>0</v>
      </c>
      <c r="Y421" s="1803">
        <f>SUMIF(InsumosCultivos!$Y$45:$Y$529,$B353,InsumosCultivos!$AO$45:$AO$529)</f>
        <v>0</v>
      </c>
      <c r="Z421" s="1803">
        <f>SUMIF(InsumosCultivos!$Y$45:$Y$529,$B353,InsumosCultivos!$AP$45:$AP$529)</f>
        <v>0</v>
      </c>
      <c r="AA421" s="1803">
        <f>SUMIF(InsumosCultivos!$Y$45:$Y$529,$B353,InsumosCultivos!$AQ$45:$AQ$529)</f>
        <v>0</v>
      </c>
      <c r="AB421" s="1321"/>
      <c r="AC421" s="1803">
        <f t="shared" si="22"/>
        <v>0</v>
      </c>
      <c r="AD421" s="1803">
        <f t="shared" si="23"/>
        <v>0</v>
      </c>
      <c r="AE421" s="1803">
        <f t="shared" si="24"/>
        <v>0</v>
      </c>
      <c r="AF421" s="1803">
        <f t="shared" si="25"/>
        <v>0</v>
      </c>
      <c r="AG421" s="1803">
        <f t="shared" si="26"/>
        <v>0</v>
      </c>
      <c r="AH421" s="1803">
        <f t="shared" si="27"/>
        <v>0</v>
      </c>
      <c r="AI421" s="1803">
        <f t="shared" si="28"/>
        <v>0</v>
      </c>
      <c r="AJ421" s="1803">
        <f t="shared" si="29"/>
        <v>0</v>
      </c>
      <c r="AK421" s="1803">
        <f t="shared" si="30"/>
        <v>0</v>
      </c>
      <c r="AL421" s="1803">
        <f t="shared" si="31"/>
        <v>0</v>
      </c>
      <c r="AM421" s="1803">
        <f t="shared" si="32"/>
        <v>0</v>
      </c>
      <c r="AN421" s="1803">
        <f t="shared" si="33"/>
        <v>0</v>
      </c>
      <c r="AO421" s="950"/>
      <c r="AP421" s="950"/>
      <c r="AQ421" s="950"/>
      <c r="AR421" s="950"/>
      <c r="AS421" s="950"/>
      <c r="AT421" s="950"/>
      <c r="AU421" s="1321"/>
    </row>
    <row r="422" spans="3:47" s="232" customFormat="1" hidden="1" x14ac:dyDescent="0.2">
      <c r="C422" s="1803">
        <f>SUMIF(InsumosCultivos!$B$45:$B$1151,$B354,InsumosCultivos!$I$45:$I$1151)</f>
        <v>0</v>
      </c>
      <c r="D422" s="1803">
        <f>SUMIF(InsumosCultivos!$B$45:$B$1151,$B354,InsumosCultivos!$J$45:$J$1151)</f>
        <v>0</v>
      </c>
      <c r="E422" s="1803">
        <f>SUMIF(InsumosCultivos!$B$45:$B$1151,$B354,InsumosCultivos!$K$45:$K$1151)</f>
        <v>0</v>
      </c>
      <c r="F422" s="1803">
        <f>SUMIF(InsumosCultivos!$B$45:$B$1151,$B354,InsumosCultivos!$L$45:$L$1151)</f>
        <v>0</v>
      </c>
      <c r="G422" s="1803">
        <f>SUMIF(InsumosCultivos!$B$45:$B$1151,$B354,InsumosCultivos!$M$45:$M$1151)</f>
        <v>0</v>
      </c>
      <c r="H422" s="1803">
        <f>SUMIF(InsumosCultivos!$B$45:$B$1151,$B354,InsumosCultivos!$N$45:$N$1151)</f>
        <v>0</v>
      </c>
      <c r="I422" s="1803">
        <f>SUMIF(InsumosCultivos!$B$45:$B$1151,$B354,InsumosCultivos!$O$45:$O$1151)</f>
        <v>0</v>
      </c>
      <c r="J422" s="1803">
        <f>SUMIF(InsumosCultivos!$B$45:$B$1151,$B354,InsumosCultivos!$P$45:$P$1151)</f>
        <v>0</v>
      </c>
      <c r="K422" s="1803">
        <f>SUMIF(InsumosCultivos!$B$45:$B$1151,$B354,InsumosCultivos!$Q$45:$Q$1151)</f>
        <v>0</v>
      </c>
      <c r="L422" s="1803">
        <f>SUMIF(InsumosCultivos!$B$45:$B$1151,$B354,InsumosCultivos!$R$45:$R$1151)</f>
        <v>0</v>
      </c>
      <c r="M422" s="1803">
        <f>SUMIF(InsumosCultivos!$B$45:$B$1151,$B354,InsumosCultivos!$S$45:$S$1151)</f>
        <v>0</v>
      </c>
      <c r="N422" s="1803">
        <f>SUMIF(InsumosCultivos!$B$45:$B$1151,$B354,InsumosCultivos!$T$45:$T$1151)</f>
        <v>0</v>
      </c>
      <c r="O422" s="1321"/>
      <c r="P422" s="1803">
        <f>SUMIF(InsumosCultivos!$Y$45:$Y$529,$B354,InsumosCultivos!$AF$45:$AF$529)</f>
        <v>0</v>
      </c>
      <c r="Q422" s="1803">
        <f>SUMIF(InsumosCultivos!$Y$45:$Y$529,$B354,InsumosCultivos!$AG$45:$AG$529)</f>
        <v>0</v>
      </c>
      <c r="R422" s="1803">
        <f>SUMIF(InsumosCultivos!$Y$45:$Y$529,$B354,InsumosCultivos!$AH$45:$AH$529)</f>
        <v>0</v>
      </c>
      <c r="S422" s="1803">
        <f>SUMIF(InsumosCultivos!$Y$45:$Y$529,$B354,InsumosCultivos!$AI$45:$AI$529)</f>
        <v>0</v>
      </c>
      <c r="T422" s="1803">
        <f>SUMIF(InsumosCultivos!$Y$45:$Y$529,$B354,InsumosCultivos!$AJ$45:$AJ$529)</f>
        <v>0</v>
      </c>
      <c r="U422" s="1803">
        <f>SUMIF(InsumosCultivos!$Y$45:$Y$529,$B354,InsumosCultivos!$AK$45:$AK$529)</f>
        <v>0</v>
      </c>
      <c r="V422" s="1803">
        <f>SUMIF(InsumosCultivos!$Y$45:$Y$529,$B354,InsumosCultivos!$AL$45:$AL$529)</f>
        <v>0</v>
      </c>
      <c r="W422" s="1803">
        <f>SUMIF(InsumosCultivos!$Y$45:$Y$529,$B354,InsumosCultivos!$AM$45:$AM$529)</f>
        <v>0</v>
      </c>
      <c r="X422" s="1803">
        <f>SUMIF(InsumosCultivos!$Y$45:$Y$529,$B354,InsumosCultivos!$AN$45:$AN$529)</f>
        <v>0</v>
      </c>
      <c r="Y422" s="1803">
        <f>SUMIF(InsumosCultivos!$Y$45:$Y$529,$B354,InsumosCultivos!$AO$45:$AO$529)</f>
        <v>0</v>
      </c>
      <c r="Z422" s="1803">
        <f>SUMIF(InsumosCultivos!$Y$45:$Y$529,$B354,InsumosCultivos!$AP$45:$AP$529)</f>
        <v>0</v>
      </c>
      <c r="AA422" s="1803">
        <f>SUMIF(InsumosCultivos!$Y$45:$Y$529,$B354,InsumosCultivos!$AQ$45:$AQ$529)</f>
        <v>0</v>
      </c>
      <c r="AB422" s="1321"/>
      <c r="AC422" s="1803">
        <f t="shared" si="22"/>
        <v>0</v>
      </c>
      <c r="AD422" s="1803">
        <f t="shared" si="23"/>
        <v>0</v>
      </c>
      <c r="AE422" s="1803">
        <f t="shared" si="24"/>
        <v>0</v>
      </c>
      <c r="AF422" s="1803">
        <f t="shared" si="25"/>
        <v>0</v>
      </c>
      <c r="AG422" s="1803">
        <f t="shared" si="26"/>
        <v>0</v>
      </c>
      <c r="AH422" s="1803">
        <f t="shared" si="27"/>
        <v>0</v>
      </c>
      <c r="AI422" s="1803">
        <f t="shared" si="28"/>
        <v>0</v>
      </c>
      <c r="AJ422" s="1803">
        <f t="shared" si="29"/>
        <v>0</v>
      </c>
      <c r="AK422" s="1803">
        <f t="shared" si="30"/>
        <v>0</v>
      </c>
      <c r="AL422" s="1803">
        <f t="shared" si="31"/>
        <v>0</v>
      </c>
      <c r="AM422" s="1803">
        <f t="shared" si="32"/>
        <v>0</v>
      </c>
      <c r="AN422" s="1803">
        <f t="shared" si="33"/>
        <v>0</v>
      </c>
      <c r="AO422" s="950"/>
      <c r="AP422" s="950"/>
      <c r="AQ422" s="950"/>
      <c r="AR422" s="950"/>
      <c r="AS422" s="950"/>
      <c r="AT422" s="950"/>
      <c r="AU422" s="1321"/>
    </row>
    <row r="423" spans="3:47" s="232" customFormat="1" hidden="1" x14ac:dyDescent="0.2">
      <c r="C423" s="1803">
        <f>SUMIF(InsumosCultivos!$B$45:$B$1151,$B355,InsumosCultivos!$I$45:$I$1151)</f>
        <v>0</v>
      </c>
      <c r="D423" s="1803">
        <f>SUMIF(InsumosCultivos!$B$45:$B$1151,$B355,InsumosCultivos!$J$45:$J$1151)</f>
        <v>0</v>
      </c>
      <c r="E423" s="1803">
        <f>SUMIF(InsumosCultivos!$B$45:$B$1151,$B355,InsumosCultivos!$K$45:$K$1151)</f>
        <v>0</v>
      </c>
      <c r="F423" s="1803">
        <f>SUMIF(InsumosCultivos!$B$45:$B$1151,$B355,InsumosCultivos!$L$45:$L$1151)</f>
        <v>0</v>
      </c>
      <c r="G423" s="1803">
        <f>SUMIF(InsumosCultivos!$B$45:$B$1151,$B355,InsumosCultivos!$M$45:$M$1151)</f>
        <v>0</v>
      </c>
      <c r="H423" s="1803">
        <f>SUMIF(InsumosCultivos!$B$45:$B$1151,$B355,InsumosCultivos!$N$45:$N$1151)</f>
        <v>0</v>
      </c>
      <c r="I423" s="1803">
        <f>SUMIF(InsumosCultivos!$B$45:$B$1151,$B355,InsumosCultivos!$O$45:$O$1151)</f>
        <v>0</v>
      </c>
      <c r="J423" s="1803">
        <f>SUMIF(InsumosCultivos!$B$45:$B$1151,$B355,InsumosCultivos!$P$45:$P$1151)</f>
        <v>0</v>
      </c>
      <c r="K423" s="1803">
        <f>SUMIF(InsumosCultivos!$B$45:$B$1151,$B355,InsumosCultivos!$Q$45:$Q$1151)</f>
        <v>0</v>
      </c>
      <c r="L423" s="1803">
        <f>SUMIF(InsumosCultivos!$B$45:$B$1151,$B355,InsumosCultivos!$R$45:$R$1151)</f>
        <v>0</v>
      </c>
      <c r="M423" s="1803">
        <f>SUMIF(InsumosCultivos!$B$45:$B$1151,$B355,InsumosCultivos!$S$45:$S$1151)</f>
        <v>0</v>
      </c>
      <c r="N423" s="1803">
        <f>SUMIF(InsumosCultivos!$B$45:$B$1151,$B355,InsumosCultivos!$T$45:$T$1151)</f>
        <v>0</v>
      </c>
      <c r="O423" s="1321"/>
      <c r="P423" s="1803">
        <f>SUMIF(InsumosCultivos!$Y$45:$Y$529,$B355,InsumosCultivos!$AF$45:$AF$529)</f>
        <v>0</v>
      </c>
      <c r="Q423" s="1803">
        <f>SUMIF(InsumosCultivos!$Y$45:$Y$529,$B355,InsumosCultivos!$AG$45:$AG$529)</f>
        <v>0</v>
      </c>
      <c r="R423" s="1803">
        <f>SUMIF(InsumosCultivos!$Y$45:$Y$529,$B355,InsumosCultivos!$AH$45:$AH$529)</f>
        <v>0</v>
      </c>
      <c r="S423" s="1803">
        <f>SUMIF(InsumosCultivos!$Y$45:$Y$529,$B355,InsumosCultivos!$AI$45:$AI$529)</f>
        <v>0</v>
      </c>
      <c r="T423" s="1803">
        <f>SUMIF(InsumosCultivos!$Y$45:$Y$529,$B355,InsumosCultivos!$AJ$45:$AJ$529)</f>
        <v>0</v>
      </c>
      <c r="U423" s="1803">
        <f>SUMIF(InsumosCultivos!$Y$45:$Y$529,$B355,InsumosCultivos!$AK$45:$AK$529)</f>
        <v>0</v>
      </c>
      <c r="V423" s="1803">
        <f>SUMIF(InsumosCultivos!$Y$45:$Y$529,$B355,InsumosCultivos!$AL$45:$AL$529)</f>
        <v>0</v>
      </c>
      <c r="W423" s="1803">
        <f>SUMIF(InsumosCultivos!$Y$45:$Y$529,$B355,InsumosCultivos!$AM$45:$AM$529)</f>
        <v>0</v>
      </c>
      <c r="X423" s="1803">
        <f>SUMIF(InsumosCultivos!$Y$45:$Y$529,$B355,InsumosCultivos!$AN$45:$AN$529)</f>
        <v>0</v>
      </c>
      <c r="Y423" s="1803">
        <f>SUMIF(InsumosCultivos!$Y$45:$Y$529,$B355,InsumosCultivos!$AO$45:$AO$529)</f>
        <v>0</v>
      </c>
      <c r="Z423" s="1803">
        <f>SUMIF(InsumosCultivos!$Y$45:$Y$529,$B355,InsumosCultivos!$AP$45:$AP$529)</f>
        <v>0</v>
      </c>
      <c r="AA423" s="1803">
        <f>SUMIF(InsumosCultivos!$Y$45:$Y$529,$B355,InsumosCultivos!$AQ$45:$AQ$529)</f>
        <v>0</v>
      </c>
      <c r="AB423" s="1321"/>
      <c r="AC423" s="1803">
        <f t="shared" si="22"/>
        <v>0</v>
      </c>
      <c r="AD423" s="1803">
        <f t="shared" si="23"/>
        <v>0</v>
      </c>
      <c r="AE423" s="1803">
        <f t="shared" si="24"/>
        <v>0</v>
      </c>
      <c r="AF423" s="1803">
        <f t="shared" si="25"/>
        <v>0</v>
      </c>
      <c r="AG423" s="1803">
        <f t="shared" si="26"/>
        <v>0</v>
      </c>
      <c r="AH423" s="1803">
        <f t="shared" si="27"/>
        <v>0</v>
      </c>
      <c r="AI423" s="1803">
        <f t="shared" si="28"/>
        <v>0</v>
      </c>
      <c r="AJ423" s="1803">
        <f t="shared" si="29"/>
        <v>0</v>
      </c>
      <c r="AK423" s="1803">
        <f t="shared" si="30"/>
        <v>0</v>
      </c>
      <c r="AL423" s="1803">
        <f t="shared" si="31"/>
        <v>0</v>
      </c>
      <c r="AM423" s="1803">
        <f t="shared" si="32"/>
        <v>0</v>
      </c>
      <c r="AN423" s="1803">
        <f t="shared" si="33"/>
        <v>0</v>
      </c>
      <c r="AO423" s="950"/>
      <c r="AP423" s="950"/>
      <c r="AQ423" s="950"/>
      <c r="AR423" s="950"/>
      <c r="AS423" s="950"/>
      <c r="AT423" s="950"/>
      <c r="AU423" s="1321"/>
    </row>
    <row r="424" spans="3:47" s="232" customFormat="1" hidden="1" x14ac:dyDescent="0.2">
      <c r="C424" s="1803">
        <f>SUMIF(InsumosCultivos!$B$45:$B$1151,$B356,InsumosCultivos!$I$45:$I$1151)</f>
        <v>0</v>
      </c>
      <c r="D424" s="1803">
        <f>SUMIF(InsumosCultivos!$B$45:$B$1151,$B356,InsumosCultivos!$J$45:$J$1151)</f>
        <v>0</v>
      </c>
      <c r="E424" s="1803">
        <f>SUMIF(InsumosCultivos!$B$45:$B$1151,$B356,InsumosCultivos!$K$45:$K$1151)</f>
        <v>0</v>
      </c>
      <c r="F424" s="1803">
        <f>SUMIF(InsumosCultivos!$B$45:$B$1151,$B356,InsumosCultivos!$L$45:$L$1151)</f>
        <v>0</v>
      </c>
      <c r="G424" s="1803">
        <f>SUMIF(InsumosCultivos!$B$45:$B$1151,$B356,InsumosCultivos!$M$45:$M$1151)</f>
        <v>0</v>
      </c>
      <c r="H424" s="1803">
        <f>SUMIF(InsumosCultivos!$B$45:$B$1151,$B356,InsumosCultivos!$N$45:$N$1151)</f>
        <v>0</v>
      </c>
      <c r="I424" s="1803">
        <f>SUMIF(InsumosCultivos!$B$45:$B$1151,$B356,InsumosCultivos!$O$45:$O$1151)</f>
        <v>0</v>
      </c>
      <c r="J424" s="1803">
        <f>SUMIF(InsumosCultivos!$B$45:$B$1151,$B356,InsumosCultivos!$P$45:$P$1151)</f>
        <v>0</v>
      </c>
      <c r="K424" s="1803">
        <f>SUMIF(InsumosCultivos!$B$45:$B$1151,$B356,InsumosCultivos!$Q$45:$Q$1151)</f>
        <v>0</v>
      </c>
      <c r="L424" s="1803">
        <f>SUMIF(InsumosCultivos!$B$45:$B$1151,$B356,InsumosCultivos!$R$45:$R$1151)</f>
        <v>0</v>
      </c>
      <c r="M424" s="1803">
        <f>SUMIF(InsumosCultivos!$B$45:$B$1151,$B356,InsumosCultivos!$S$45:$S$1151)</f>
        <v>0</v>
      </c>
      <c r="N424" s="1803">
        <f>SUMIF(InsumosCultivos!$B$45:$B$1151,$B356,InsumosCultivos!$T$45:$T$1151)</f>
        <v>0</v>
      </c>
      <c r="O424" s="1321"/>
      <c r="P424" s="1803">
        <f>SUMIF(InsumosCultivos!$Y$45:$Y$529,$B356,InsumosCultivos!$AF$45:$AF$529)</f>
        <v>0</v>
      </c>
      <c r="Q424" s="1803">
        <f>SUMIF(InsumosCultivos!$Y$45:$Y$529,$B356,InsumosCultivos!$AG$45:$AG$529)</f>
        <v>0</v>
      </c>
      <c r="R424" s="1803">
        <f>SUMIF(InsumosCultivos!$Y$45:$Y$529,$B356,InsumosCultivos!$AH$45:$AH$529)</f>
        <v>0</v>
      </c>
      <c r="S424" s="1803">
        <f>SUMIF(InsumosCultivos!$Y$45:$Y$529,$B356,InsumosCultivos!$AI$45:$AI$529)</f>
        <v>0</v>
      </c>
      <c r="T424" s="1803">
        <f>SUMIF(InsumosCultivos!$Y$45:$Y$529,$B356,InsumosCultivos!$AJ$45:$AJ$529)</f>
        <v>0</v>
      </c>
      <c r="U424" s="1803">
        <f>SUMIF(InsumosCultivos!$Y$45:$Y$529,$B356,InsumosCultivos!$AK$45:$AK$529)</f>
        <v>0</v>
      </c>
      <c r="V424" s="1803">
        <f>SUMIF(InsumosCultivos!$Y$45:$Y$529,$B356,InsumosCultivos!$AL$45:$AL$529)</f>
        <v>0</v>
      </c>
      <c r="W424" s="1803">
        <f>SUMIF(InsumosCultivos!$Y$45:$Y$529,$B356,InsumosCultivos!$AM$45:$AM$529)</f>
        <v>0</v>
      </c>
      <c r="X424" s="1803">
        <f>SUMIF(InsumosCultivos!$Y$45:$Y$529,$B356,InsumosCultivos!$AN$45:$AN$529)</f>
        <v>0</v>
      </c>
      <c r="Y424" s="1803">
        <f>SUMIF(InsumosCultivos!$Y$45:$Y$529,$B356,InsumosCultivos!$AO$45:$AO$529)</f>
        <v>0</v>
      </c>
      <c r="Z424" s="1803">
        <f>SUMIF(InsumosCultivos!$Y$45:$Y$529,$B356,InsumosCultivos!$AP$45:$AP$529)</f>
        <v>0</v>
      </c>
      <c r="AA424" s="1803">
        <f>SUMIF(InsumosCultivos!$Y$45:$Y$529,$B356,InsumosCultivos!$AQ$45:$AQ$529)</f>
        <v>0</v>
      </c>
      <c r="AB424" s="1321"/>
      <c r="AC424" s="1803">
        <f t="shared" si="22"/>
        <v>0</v>
      </c>
      <c r="AD424" s="1803">
        <f t="shared" si="23"/>
        <v>0</v>
      </c>
      <c r="AE424" s="1803">
        <f t="shared" si="24"/>
        <v>0</v>
      </c>
      <c r="AF424" s="1803">
        <f t="shared" si="25"/>
        <v>0</v>
      </c>
      <c r="AG424" s="1803">
        <f t="shared" si="26"/>
        <v>0</v>
      </c>
      <c r="AH424" s="1803">
        <f t="shared" si="27"/>
        <v>0</v>
      </c>
      <c r="AI424" s="1803">
        <f t="shared" si="28"/>
        <v>0</v>
      </c>
      <c r="AJ424" s="1803">
        <f t="shared" si="29"/>
        <v>0</v>
      </c>
      <c r="AK424" s="1803">
        <f t="shared" si="30"/>
        <v>0</v>
      </c>
      <c r="AL424" s="1803">
        <f t="shared" si="31"/>
        <v>0</v>
      </c>
      <c r="AM424" s="1803">
        <f t="shared" si="32"/>
        <v>0</v>
      </c>
      <c r="AN424" s="1803">
        <f t="shared" si="33"/>
        <v>0</v>
      </c>
      <c r="AO424" s="950"/>
      <c r="AP424" s="950"/>
      <c r="AQ424" s="950"/>
      <c r="AR424" s="950"/>
      <c r="AS424" s="950"/>
      <c r="AT424" s="950"/>
      <c r="AU424" s="1321"/>
    </row>
    <row r="425" spans="3:47" s="232" customFormat="1" hidden="1" x14ac:dyDescent="0.2">
      <c r="C425" s="1803">
        <f>SUMIF(InsumosCultivos!$B$45:$B$1151,$B357,InsumosCultivos!$I$45:$I$1151)</f>
        <v>0</v>
      </c>
      <c r="D425" s="1803">
        <f>SUMIF(InsumosCultivos!$B$45:$B$1151,$B357,InsumosCultivos!$J$45:$J$1151)</f>
        <v>0</v>
      </c>
      <c r="E425" s="1803">
        <f>SUMIF(InsumosCultivos!$B$45:$B$1151,$B357,InsumosCultivos!$K$45:$K$1151)</f>
        <v>0</v>
      </c>
      <c r="F425" s="1803">
        <f>SUMIF(InsumosCultivos!$B$45:$B$1151,$B357,InsumosCultivos!$L$45:$L$1151)</f>
        <v>0</v>
      </c>
      <c r="G425" s="1803">
        <f>SUMIF(InsumosCultivos!$B$45:$B$1151,$B357,InsumosCultivos!$M$45:$M$1151)</f>
        <v>0</v>
      </c>
      <c r="H425" s="1803">
        <f>SUMIF(InsumosCultivos!$B$45:$B$1151,$B357,InsumosCultivos!$N$45:$N$1151)</f>
        <v>0</v>
      </c>
      <c r="I425" s="1803">
        <f>SUMIF(InsumosCultivos!$B$45:$B$1151,$B357,InsumosCultivos!$O$45:$O$1151)</f>
        <v>0</v>
      </c>
      <c r="J425" s="1803">
        <f>SUMIF(InsumosCultivos!$B$45:$B$1151,$B357,InsumosCultivos!$P$45:$P$1151)</f>
        <v>0</v>
      </c>
      <c r="K425" s="1803">
        <f>SUMIF(InsumosCultivos!$B$45:$B$1151,$B357,InsumosCultivos!$Q$45:$Q$1151)</f>
        <v>0</v>
      </c>
      <c r="L425" s="1803">
        <f>SUMIF(InsumosCultivos!$B$45:$B$1151,$B357,InsumosCultivos!$R$45:$R$1151)</f>
        <v>0</v>
      </c>
      <c r="M425" s="1803">
        <f>SUMIF(InsumosCultivos!$B$45:$B$1151,$B357,InsumosCultivos!$S$45:$S$1151)</f>
        <v>0</v>
      </c>
      <c r="N425" s="1803">
        <f>SUMIF(InsumosCultivos!$B$45:$B$1151,$B357,InsumosCultivos!$T$45:$T$1151)</f>
        <v>0</v>
      </c>
      <c r="O425" s="1321"/>
      <c r="P425" s="1803">
        <f>SUMIF(InsumosCultivos!$Y$45:$Y$529,$B357,InsumosCultivos!$AF$45:$AF$529)</f>
        <v>0</v>
      </c>
      <c r="Q425" s="1803">
        <f>SUMIF(InsumosCultivos!$Y$45:$Y$529,$B357,InsumosCultivos!$AG$45:$AG$529)</f>
        <v>0</v>
      </c>
      <c r="R425" s="1803">
        <f>SUMIF(InsumosCultivos!$Y$45:$Y$529,$B357,InsumosCultivos!$AH$45:$AH$529)</f>
        <v>0</v>
      </c>
      <c r="S425" s="1803">
        <f>SUMIF(InsumosCultivos!$Y$45:$Y$529,$B357,InsumosCultivos!$AI$45:$AI$529)</f>
        <v>0</v>
      </c>
      <c r="T425" s="1803">
        <f>SUMIF(InsumosCultivos!$Y$45:$Y$529,$B357,InsumosCultivos!$AJ$45:$AJ$529)</f>
        <v>0</v>
      </c>
      <c r="U425" s="1803">
        <f>SUMIF(InsumosCultivos!$Y$45:$Y$529,$B357,InsumosCultivos!$AK$45:$AK$529)</f>
        <v>0</v>
      </c>
      <c r="V425" s="1803">
        <f>SUMIF(InsumosCultivos!$Y$45:$Y$529,$B357,InsumosCultivos!$AL$45:$AL$529)</f>
        <v>0</v>
      </c>
      <c r="W425" s="1803">
        <f>SUMIF(InsumosCultivos!$Y$45:$Y$529,$B357,InsumosCultivos!$AM$45:$AM$529)</f>
        <v>0</v>
      </c>
      <c r="X425" s="1803">
        <f>SUMIF(InsumosCultivos!$Y$45:$Y$529,$B357,InsumosCultivos!$AN$45:$AN$529)</f>
        <v>0</v>
      </c>
      <c r="Y425" s="1803">
        <f>SUMIF(InsumosCultivos!$Y$45:$Y$529,$B357,InsumosCultivos!$AO$45:$AO$529)</f>
        <v>0</v>
      </c>
      <c r="Z425" s="1803">
        <f>SUMIF(InsumosCultivos!$Y$45:$Y$529,$B357,InsumosCultivos!$AP$45:$AP$529)</f>
        <v>0</v>
      </c>
      <c r="AA425" s="1803">
        <f>SUMIF(InsumosCultivos!$Y$45:$Y$529,$B357,InsumosCultivos!$AQ$45:$AQ$529)</f>
        <v>0</v>
      </c>
      <c r="AB425" s="1321"/>
      <c r="AC425" s="1803">
        <f t="shared" si="22"/>
        <v>0</v>
      </c>
      <c r="AD425" s="1803">
        <f t="shared" si="23"/>
        <v>0</v>
      </c>
      <c r="AE425" s="1803">
        <f t="shared" si="24"/>
        <v>0</v>
      </c>
      <c r="AF425" s="1803">
        <f t="shared" si="25"/>
        <v>0</v>
      </c>
      <c r="AG425" s="1803">
        <f t="shared" si="26"/>
        <v>0</v>
      </c>
      <c r="AH425" s="1803">
        <f t="shared" si="27"/>
        <v>0</v>
      </c>
      <c r="AI425" s="1803">
        <f t="shared" si="28"/>
        <v>0</v>
      </c>
      <c r="AJ425" s="1803">
        <f t="shared" si="29"/>
        <v>0</v>
      </c>
      <c r="AK425" s="1803">
        <f t="shared" si="30"/>
        <v>0</v>
      </c>
      <c r="AL425" s="1803">
        <f t="shared" si="31"/>
        <v>0</v>
      </c>
      <c r="AM425" s="1803">
        <f t="shared" si="32"/>
        <v>0</v>
      </c>
      <c r="AN425" s="1803">
        <f t="shared" si="33"/>
        <v>0</v>
      </c>
      <c r="AO425" s="950"/>
      <c r="AP425" s="950"/>
      <c r="AQ425" s="950"/>
      <c r="AR425" s="950"/>
      <c r="AS425" s="950"/>
      <c r="AT425" s="950"/>
      <c r="AU425" s="1321"/>
    </row>
    <row r="426" spans="3:47" s="232" customFormat="1" hidden="1" x14ac:dyDescent="0.2">
      <c r="C426" s="1803">
        <f>SUMIF(InsumosCultivos!$B$45:$B$1151,$B358,InsumosCultivos!$I$45:$I$1151)</f>
        <v>0</v>
      </c>
      <c r="D426" s="1803">
        <f>SUMIF(InsumosCultivos!$B$45:$B$1151,$B358,InsumosCultivos!$J$45:$J$1151)</f>
        <v>0</v>
      </c>
      <c r="E426" s="1803">
        <f>SUMIF(InsumosCultivos!$B$45:$B$1151,$B358,InsumosCultivos!$K$45:$K$1151)</f>
        <v>0</v>
      </c>
      <c r="F426" s="1803">
        <f>SUMIF(InsumosCultivos!$B$45:$B$1151,$B358,InsumosCultivos!$L$45:$L$1151)</f>
        <v>0</v>
      </c>
      <c r="G426" s="1803">
        <f>SUMIF(InsumosCultivos!$B$45:$B$1151,$B358,InsumosCultivos!$M$45:$M$1151)</f>
        <v>0</v>
      </c>
      <c r="H426" s="1803">
        <f>SUMIF(InsumosCultivos!$B$45:$B$1151,$B358,InsumosCultivos!$N$45:$N$1151)</f>
        <v>0</v>
      </c>
      <c r="I426" s="1803">
        <f>SUMIF(InsumosCultivos!$B$45:$B$1151,$B358,InsumosCultivos!$O$45:$O$1151)</f>
        <v>0</v>
      </c>
      <c r="J426" s="1803">
        <f>SUMIF(InsumosCultivos!$B$45:$B$1151,$B358,InsumosCultivos!$P$45:$P$1151)</f>
        <v>0</v>
      </c>
      <c r="K426" s="1803">
        <f>SUMIF(InsumosCultivos!$B$45:$B$1151,$B358,InsumosCultivos!$Q$45:$Q$1151)</f>
        <v>0</v>
      </c>
      <c r="L426" s="1803">
        <f>SUMIF(InsumosCultivos!$B$45:$B$1151,$B358,InsumosCultivos!$R$45:$R$1151)</f>
        <v>0</v>
      </c>
      <c r="M426" s="1803">
        <f>SUMIF(InsumosCultivos!$B$45:$B$1151,$B358,InsumosCultivos!$S$45:$S$1151)</f>
        <v>0</v>
      </c>
      <c r="N426" s="1803">
        <f>SUMIF(InsumosCultivos!$B$45:$B$1151,$B358,InsumosCultivos!$T$45:$T$1151)</f>
        <v>0</v>
      </c>
      <c r="O426" s="1321"/>
      <c r="P426" s="1803">
        <f>SUMIF(InsumosCultivos!$Y$45:$Y$529,$B358,InsumosCultivos!$AF$45:$AF$529)</f>
        <v>0</v>
      </c>
      <c r="Q426" s="1803">
        <f>SUMIF(InsumosCultivos!$Y$45:$Y$529,$B358,InsumosCultivos!$AG$45:$AG$529)</f>
        <v>0</v>
      </c>
      <c r="R426" s="1803">
        <f>SUMIF(InsumosCultivos!$Y$45:$Y$529,$B358,InsumosCultivos!$AH$45:$AH$529)</f>
        <v>0</v>
      </c>
      <c r="S426" s="1803">
        <f>SUMIF(InsumosCultivos!$Y$45:$Y$529,$B358,InsumosCultivos!$AI$45:$AI$529)</f>
        <v>0</v>
      </c>
      <c r="T426" s="1803">
        <f>SUMIF(InsumosCultivos!$Y$45:$Y$529,$B358,InsumosCultivos!$AJ$45:$AJ$529)</f>
        <v>0</v>
      </c>
      <c r="U426" s="1803">
        <f>SUMIF(InsumosCultivos!$Y$45:$Y$529,$B358,InsumosCultivos!$AK$45:$AK$529)</f>
        <v>0</v>
      </c>
      <c r="V426" s="1803">
        <f>SUMIF(InsumosCultivos!$Y$45:$Y$529,$B358,InsumosCultivos!$AL$45:$AL$529)</f>
        <v>0</v>
      </c>
      <c r="W426" s="1803">
        <f>SUMIF(InsumosCultivos!$Y$45:$Y$529,$B358,InsumosCultivos!$AM$45:$AM$529)</f>
        <v>0</v>
      </c>
      <c r="X426" s="1803">
        <f>SUMIF(InsumosCultivos!$Y$45:$Y$529,$B358,InsumosCultivos!$AN$45:$AN$529)</f>
        <v>0</v>
      </c>
      <c r="Y426" s="1803">
        <f>SUMIF(InsumosCultivos!$Y$45:$Y$529,$B358,InsumosCultivos!$AO$45:$AO$529)</f>
        <v>0</v>
      </c>
      <c r="Z426" s="1803">
        <f>SUMIF(InsumosCultivos!$Y$45:$Y$529,$B358,InsumosCultivos!$AP$45:$AP$529)</f>
        <v>0</v>
      </c>
      <c r="AA426" s="1803">
        <f>SUMIF(InsumosCultivos!$Y$45:$Y$529,$B358,InsumosCultivos!$AQ$45:$AQ$529)</f>
        <v>0</v>
      </c>
      <c r="AB426" s="1321"/>
      <c r="AC426" s="1803">
        <f t="shared" si="22"/>
        <v>0</v>
      </c>
      <c r="AD426" s="1803">
        <f t="shared" si="23"/>
        <v>0</v>
      </c>
      <c r="AE426" s="1803">
        <f t="shared" si="24"/>
        <v>0</v>
      </c>
      <c r="AF426" s="1803">
        <f t="shared" si="25"/>
        <v>0</v>
      </c>
      <c r="AG426" s="1803">
        <f t="shared" si="26"/>
        <v>0</v>
      </c>
      <c r="AH426" s="1803">
        <f t="shared" si="27"/>
        <v>0</v>
      </c>
      <c r="AI426" s="1803">
        <f t="shared" si="28"/>
        <v>0</v>
      </c>
      <c r="AJ426" s="1803">
        <f t="shared" si="29"/>
        <v>0</v>
      </c>
      <c r="AK426" s="1803">
        <f t="shared" si="30"/>
        <v>0</v>
      </c>
      <c r="AL426" s="1803">
        <f t="shared" si="31"/>
        <v>0</v>
      </c>
      <c r="AM426" s="1803">
        <f t="shared" si="32"/>
        <v>0</v>
      </c>
      <c r="AN426" s="1803">
        <f t="shared" si="33"/>
        <v>0</v>
      </c>
      <c r="AO426" s="950"/>
      <c r="AP426" s="950"/>
      <c r="AQ426" s="950"/>
      <c r="AR426" s="950"/>
      <c r="AS426" s="950"/>
      <c r="AT426" s="950"/>
      <c r="AU426" s="1321"/>
    </row>
    <row r="427" spans="3:47" s="232" customFormat="1" hidden="1" x14ac:dyDescent="0.2">
      <c r="C427" s="1803">
        <f>SUMIF(InsumosCultivos!$B$45:$B$1151,$B359,InsumosCultivos!$I$45:$I$1151)</f>
        <v>0</v>
      </c>
      <c r="D427" s="1803">
        <f>SUMIF(InsumosCultivos!$B$45:$B$1151,$B359,InsumosCultivos!$J$45:$J$1151)</f>
        <v>0</v>
      </c>
      <c r="E427" s="1803">
        <f>SUMIF(InsumosCultivos!$B$45:$B$1151,$B359,InsumosCultivos!$K$45:$K$1151)</f>
        <v>0</v>
      </c>
      <c r="F427" s="1803">
        <f>SUMIF(InsumosCultivos!$B$45:$B$1151,$B359,InsumosCultivos!$L$45:$L$1151)</f>
        <v>0</v>
      </c>
      <c r="G427" s="1803">
        <f>SUMIF(InsumosCultivos!$B$45:$B$1151,$B359,InsumosCultivos!$M$45:$M$1151)</f>
        <v>0</v>
      </c>
      <c r="H427" s="1803">
        <f>SUMIF(InsumosCultivos!$B$45:$B$1151,$B359,InsumosCultivos!$N$45:$N$1151)</f>
        <v>0</v>
      </c>
      <c r="I427" s="1803">
        <f>SUMIF(InsumosCultivos!$B$45:$B$1151,$B359,InsumosCultivos!$O$45:$O$1151)</f>
        <v>0</v>
      </c>
      <c r="J427" s="1803">
        <f>SUMIF(InsumosCultivos!$B$45:$B$1151,$B359,InsumosCultivos!$P$45:$P$1151)</f>
        <v>0</v>
      </c>
      <c r="K427" s="1803">
        <f>SUMIF(InsumosCultivos!$B$45:$B$1151,$B359,InsumosCultivos!$Q$45:$Q$1151)</f>
        <v>0</v>
      </c>
      <c r="L427" s="1803">
        <f>SUMIF(InsumosCultivos!$B$45:$B$1151,$B359,InsumosCultivos!$R$45:$R$1151)</f>
        <v>0</v>
      </c>
      <c r="M427" s="1803">
        <f>SUMIF(InsumosCultivos!$B$45:$B$1151,$B359,InsumosCultivos!$S$45:$S$1151)</f>
        <v>0</v>
      </c>
      <c r="N427" s="1803">
        <f>SUMIF(InsumosCultivos!$B$45:$B$1151,$B359,InsumosCultivos!$T$45:$T$1151)</f>
        <v>0</v>
      </c>
      <c r="O427" s="1321"/>
      <c r="P427" s="1803">
        <f>SUMIF(InsumosCultivos!$Y$45:$Y$529,$B359,InsumosCultivos!$AF$45:$AF$529)</f>
        <v>0</v>
      </c>
      <c r="Q427" s="1803">
        <f>SUMIF(InsumosCultivos!$Y$45:$Y$529,$B359,InsumosCultivos!$AG$45:$AG$529)</f>
        <v>0</v>
      </c>
      <c r="R427" s="1803">
        <f>SUMIF(InsumosCultivos!$Y$45:$Y$529,$B359,InsumosCultivos!$AH$45:$AH$529)</f>
        <v>0</v>
      </c>
      <c r="S427" s="1803">
        <f>SUMIF(InsumosCultivos!$Y$45:$Y$529,$B359,InsumosCultivos!$AI$45:$AI$529)</f>
        <v>0</v>
      </c>
      <c r="T427" s="1803">
        <f>SUMIF(InsumosCultivos!$Y$45:$Y$529,$B359,InsumosCultivos!$AJ$45:$AJ$529)</f>
        <v>0</v>
      </c>
      <c r="U427" s="1803">
        <f>SUMIF(InsumosCultivos!$Y$45:$Y$529,$B359,InsumosCultivos!$AK$45:$AK$529)</f>
        <v>0</v>
      </c>
      <c r="V427" s="1803">
        <f>SUMIF(InsumosCultivos!$Y$45:$Y$529,$B359,InsumosCultivos!$AL$45:$AL$529)</f>
        <v>0</v>
      </c>
      <c r="W427" s="1803">
        <f>SUMIF(InsumosCultivos!$Y$45:$Y$529,$B359,InsumosCultivos!$AM$45:$AM$529)</f>
        <v>0</v>
      </c>
      <c r="X427" s="1803">
        <f>SUMIF(InsumosCultivos!$Y$45:$Y$529,$B359,InsumosCultivos!$AN$45:$AN$529)</f>
        <v>0</v>
      </c>
      <c r="Y427" s="1803">
        <f>SUMIF(InsumosCultivos!$Y$45:$Y$529,$B359,InsumosCultivos!$AO$45:$AO$529)</f>
        <v>0</v>
      </c>
      <c r="Z427" s="1803">
        <f>SUMIF(InsumosCultivos!$Y$45:$Y$529,$B359,InsumosCultivos!$AP$45:$AP$529)</f>
        <v>0</v>
      </c>
      <c r="AA427" s="1803">
        <f>SUMIF(InsumosCultivos!$Y$45:$Y$529,$B359,InsumosCultivos!$AQ$45:$AQ$529)</f>
        <v>0</v>
      </c>
      <c r="AB427" s="1321"/>
      <c r="AC427" s="1803">
        <f t="shared" si="22"/>
        <v>0</v>
      </c>
      <c r="AD427" s="1803">
        <f t="shared" si="23"/>
        <v>0</v>
      </c>
      <c r="AE427" s="1803">
        <f t="shared" si="24"/>
        <v>0</v>
      </c>
      <c r="AF427" s="1803">
        <f t="shared" si="25"/>
        <v>0</v>
      </c>
      <c r="AG427" s="1803">
        <f t="shared" si="26"/>
        <v>0</v>
      </c>
      <c r="AH427" s="1803">
        <f t="shared" si="27"/>
        <v>0</v>
      </c>
      <c r="AI427" s="1803">
        <f t="shared" si="28"/>
        <v>0</v>
      </c>
      <c r="AJ427" s="1803">
        <f t="shared" si="29"/>
        <v>0</v>
      </c>
      <c r="AK427" s="1803">
        <f t="shared" si="30"/>
        <v>0</v>
      </c>
      <c r="AL427" s="1803">
        <f t="shared" si="31"/>
        <v>0</v>
      </c>
      <c r="AM427" s="1803">
        <f t="shared" si="32"/>
        <v>0</v>
      </c>
      <c r="AN427" s="1803">
        <f t="shared" si="33"/>
        <v>0</v>
      </c>
      <c r="AO427" s="950"/>
      <c r="AP427" s="950"/>
      <c r="AQ427" s="950"/>
      <c r="AR427" s="950"/>
      <c r="AS427" s="950"/>
      <c r="AT427" s="950"/>
      <c r="AU427" s="1321"/>
    </row>
    <row r="428" spans="3:47" s="232" customFormat="1" hidden="1" x14ac:dyDescent="0.2">
      <c r="C428" s="1803">
        <f>SUMIF(InsumosCultivos!$B$45:$B$1151,$B360,InsumosCultivos!$I$45:$I$1151)</f>
        <v>0</v>
      </c>
      <c r="D428" s="1803">
        <f>SUMIF(InsumosCultivos!$B$45:$B$1151,$B360,InsumosCultivos!$J$45:$J$1151)</f>
        <v>0</v>
      </c>
      <c r="E428" s="1803">
        <f>SUMIF(InsumosCultivos!$B$45:$B$1151,$B360,InsumosCultivos!$K$45:$K$1151)</f>
        <v>0</v>
      </c>
      <c r="F428" s="1803">
        <f>SUMIF(InsumosCultivos!$B$45:$B$1151,$B360,InsumosCultivos!$L$45:$L$1151)</f>
        <v>0</v>
      </c>
      <c r="G428" s="1803">
        <f>SUMIF(InsumosCultivos!$B$45:$B$1151,$B360,InsumosCultivos!$M$45:$M$1151)</f>
        <v>0</v>
      </c>
      <c r="H428" s="1803">
        <f>SUMIF(InsumosCultivos!$B$45:$B$1151,$B360,InsumosCultivos!$N$45:$N$1151)</f>
        <v>0</v>
      </c>
      <c r="I428" s="1803">
        <f>SUMIF(InsumosCultivos!$B$45:$B$1151,$B360,InsumosCultivos!$O$45:$O$1151)</f>
        <v>0</v>
      </c>
      <c r="J428" s="1803">
        <f>SUMIF(InsumosCultivos!$B$45:$B$1151,$B360,InsumosCultivos!$P$45:$P$1151)</f>
        <v>0</v>
      </c>
      <c r="K428" s="1803">
        <f>SUMIF(InsumosCultivos!$B$45:$B$1151,$B360,InsumosCultivos!$Q$45:$Q$1151)</f>
        <v>0</v>
      </c>
      <c r="L428" s="1803">
        <f>SUMIF(InsumosCultivos!$B$45:$B$1151,$B360,InsumosCultivos!$R$45:$R$1151)</f>
        <v>0</v>
      </c>
      <c r="M428" s="1803">
        <f>SUMIF(InsumosCultivos!$B$45:$B$1151,$B360,InsumosCultivos!$S$45:$S$1151)</f>
        <v>0</v>
      </c>
      <c r="N428" s="1803">
        <f>SUMIF(InsumosCultivos!$B$45:$B$1151,$B360,InsumosCultivos!$T$45:$T$1151)</f>
        <v>0</v>
      </c>
      <c r="O428" s="1321"/>
      <c r="P428" s="1803">
        <f>SUMIF(InsumosCultivos!$Y$45:$Y$529,$B360,InsumosCultivos!$AF$45:$AF$529)</f>
        <v>0</v>
      </c>
      <c r="Q428" s="1803">
        <f>SUMIF(InsumosCultivos!$Y$45:$Y$529,$B360,InsumosCultivos!$AG$45:$AG$529)</f>
        <v>0</v>
      </c>
      <c r="R428" s="1803">
        <f>SUMIF(InsumosCultivos!$Y$45:$Y$529,$B360,InsumosCultivos!$AH$45:$AH$529)</f>
        <v>0</v>
      </c>
      <c r="S428" s="1803">
        <f>SUMIF(InsumosCultivos!$Y$45:$Y$529,$B360,InsumosCultivos!$AI$45:$AI$529)</f>
        <v>0</v>
      </c>
      <c r="T428" s="1803">
        <f>SUMIF(InsumosCultivos!$Y$45:$Y$529,$B360,InsumosCultivos!$AJ$45:$AJ$529)</f>
        <v>0</v>
      </c>
      <c r="U428" s="1803">
        <f>SUMIF(InsumosCultivos!$Y$45:$Y$529,$B360,InsumosCultivos!$AK$45:$AK$529)</f>
        <v>0</v>
      </c>
      <c r="V428" s="1803">
        <f>SUMIF(InsumosCultivos!$Y$45:$Y$529,$B360,InsumosCultivos!$AL$45:$AL$529)</f>
        <v>0</v>
      </c>
      <c r="W428" s="1803">
        <f>SUMIF(InsumosCultivos!$Y$45:$Y$529,$B360,InsumosCultivos!$AM$45:$AM$529)</f>
        <v>0</v>
      </c>
      <c r="X428" s="1803">
        <f>SUMIF(InsumosCultivos!$Y$45:$Y$529,$B360,InsumosCultivos!$AN$45:$AN$529)</f>
        <v>0</v>
      </c>
      <c r="Y428" s="1803">
        <f>SUMIF(InsumosCultivos!$Y$45:$Y$529,$B360,InsumosCultivos!$AO$45:$AO$529)</f>
        <v>0</v>
      </c>
      <c r="Z428" s="1803">
        <f>SUMIF(InsumosCultivos!$Y$45:$Y$529,$B360,InsumosCultivos!$AP$45:$AP$529)</f>
        <v>0</v>
      </c>
      <c r="AA428" s="1803">
        <f>SUMIF(InsumosCultivos!$Y$45:$Y$529,$B360,InsumosCultivos!$AQ$45:$AQ$529)</f>
        <v>0</v>
      </c>
      <c r="AB428" s="1321"/>
      <c r="AC428" s="1803">
        <f t="shared" si="22"/>
        <v>0</v>
      </c>
      <c r="AD428" s="1803">
        <f t="shared" si="23"/>
        <v>0</v>
      </c>
      <c r="AE428" s="1803">
        <f t="shared" si="24"/>
        <v>0</v>
      </c>
      <c r="AF428" s="1803">
        <f t="shared" si="25"/>
        <v>0</v>
      </c>
      <c r="AG428" s="1803">
        <f t="shared" si="26"/>
        <v>0</v>
      </c>
      <c r="AH428" s="1803">
        <f t="shared" si="27"/>
        <v>0</v>
      </c>
      <c r="AI428" s="1803">
        <f t="shared" si="28"/>
        <v>0</v>
      </c>
      <c r="AJ428" s="1803">
        <f t="shared" si="29"/>
        <v>0</v>
      </c>
      <c r="AK428" s="1803">
        <f t="shared" si="30"/>
        <v>0</v>
      </c>
      <c r="AL428" s="1803">
        <f t="shared" si="31"/>
        <v>0</v>
      </c>
      <c r="AM428" s="1803">
        <f t="shared" si="32"/>
        <v>0</v>
      </c>
      <c r="AN428" s="1803">
        <f t="shared" si="33"/>
        <v>0</v>
      </c>
      <c r="AO428" s="950"/>
      <c r="AP428" s="950"/>
      <c r="AQ428" s="950"/>
      <c r="AR428" s="950"/>
      <c r="AS428" s="950"/>
      <c r="AT428" s="950"/>
      <c r="AU428" s="1321"/>
    </row>
    <row r="429" spans="3:47" s="232" customFormat="1" hidden="1" x14ac:dyDescent="0.2">
      <c r="C429" s="1803">
        <f>SUMIF(InsumosCultivos!$B$45:$B$1151,$B361,InsumosCultivos!$I$45:$I$1151)</f>
        <v>0</v>
      </c>
      <c r="D429" s="1803">
        <f>SUMIF(InsumosCultivos!$B$45:$B$1151,$B361,InsumosCultivos!$J$45:$J$1151)</f>
        <v>0</v>
      </c>
      <c r="E429" s="1803">
        <f>SUMIF(InsumosCultivos!$B$45:$B$1151,$B361,InsumosCultivos!$K$45:$K$1151)</f>
        <v>0</v>
      </c>
      <c r="F429" s="1803">
        <f>SUMIF(InsumosCultivos!$B$45:$B$1151,$B361,InsumosCultivos!$L$45:$L$1151)</f>
        <v>0</v>
      </c>
      <c r="G429" s="1803">
        <f>SUMIF(InsumosCultivos!$B$45:$B$1151,$B361,InsumosCultivos!$M$45:$M$1151)</f>
        <v>0</v>
      </c>
      <c r="H429" s="1803">
        <f>SUMIF(InsumosCultivos!$B$45:$B$1151,$B361,InsumosCultivos!$N$45:$N$1151)</f>
        <v>0</v>
      </c>
      <c r="I429" s="1803">
        <f>SUMIF(InsumosCultivos!$B$45:$B$1151,$B361,InsumosCultivos!$O$45:$O$1151)</f>
        <v>0</v>
      </c>
      <c r="J429" s="1803">
        <f>SUMIF(InsumosCultivos!$B$45:$B$1151,$B361,InsumosCultivos!$P$45:$P$1151)</f>
        <v>0</v>
      </c>
      <c r="K429" s="1803">
        <f>SUMIF(InsumosCultivos!$B$45:$B$1151,$B361,InsumosCultivos!$Q$45:$Q$1151)</f>
        <v>0</v>
      </c>
      <c r="L429" s="1803">
        <f>SUMIF(InsumosCultivos!$B$45:$B$1151,$B361,InsumosCultivos!$R$45:$R$1151)</f>
        <v>0</v>
      </c>
      <c r="M429" s="1803">
        <f>SUMIF(InsumosCultivos!$B$45:$B$1151,$B361,InsumosCultivos!$S$45:$S$1151)</f>
        <v>0</v>
      </c>
      <c r="N429" s="1803">
        <f>SUMIF(InsumosCultivos!$B$45:$B$1151,$B361,InsumosCultivos!$T$45:$T$1151)</f>
        <v>0</v>
      </c>
      <c r="O429" s="1321"/>
      <c r="P429" s="1803">
        <f>SUMIF(InsumosCultivos!$Y$45:$Y$529,$B361,InsumosCultivos!$AF$45:$AF$529)</f>
        <v>0</v>
      </c>
      <c r="Q429" s="1803">
        <f>SUMIF(InsumosCultivos!$Y$45:$Y$529,$B361,InsumosCultivos!$AG$45:$AG$529)</f>
        <v>0</v>
      </c>
      <c r="R429" s="1803">
        <f>SUMIF(InsumosCultivos!$Y$45:$Y$529,$B361,InsumosCultivos!$AH$45:$AH$529)</f>
        <v>0</v>
      </c>
      <c r="S429" s="1803">
        <f>SUMIF(InsumosCultivos!$Y$45:$Y$529,$B361,InsumosCultivos!$AI$45:$AI$529)</f>
        <v>0</v>
      </c>
      <c r="T429" s="1803">
        <f>SUMIF(InsumosCultivos!$Y$45:$Y$529,$B361,InsumosCultivos!$AJ$45:$AJ$529)</f>
        <v>0</v>
      </c>
      <c r="U429" s="1803">
        <f>SUMIF(InsumosCultivos!$Y$45:$Y$529,$B361,InsumosCultivos!$AK$45:$AK$529)</f>
        <v>0</v>
      </c>
      <c r="V429" s="1803">
        <f>SUMIF(InsumosCultivos!$Y$45:$Y$529,$B361,InsumosCultivos!$AL$45:$AL$529)</f>
        <v>0</v>
      </c>
      <c r="W429" s="1803">
        <f>SUMIF(InsumosCultivos!$Y$45:$Y$529,$B361,InsumosCultivos!$AM$45:$AM$529)</f>
        <v>0</v>
      </c>
      <c r="X429" s="1803">
        <f>SUMIF(InsumosCultivos!$Y$45:$Y$529,$B361,InsumosCultivos!$AN$45:$AN$529)</f>
        <v>0</v>
      </c>
      <c r="Y429" s="1803">
        <f>SUMIF(InsumosCultivos!$Y$45:$Y$529,$B361,InsumosCultivos!$AO$45:$AO$529)</f>
        <v>0</v>
      </c>
      <c r="Z429" s="1803">
        <f>SUMIF(InsumosCultivos!$Y$45:$Y$529,$B361,InsumosCultivos!$AP$45:$AP$529)</f>
        <v>0</v>
      </c>
      <c r="AA429" s="1803">
        <f>SUMIF(InsumosCultivos!$Y$45:$Y$529,$B361,InsumosCultivos!$AQ$45:$AQ$529)</f>
        <v>0</v>
      </c>
      <c r="AB429" s="1321"/>
      <c r="AC429" s="1803">
        <f t="shared" si="22"/>
        <v>0</v>
      </c>
      <c r="AD429" s="1803">
        <f t="shared" si="23"/>
        <v>0</v>
      </c>
      <c r="AE429" s="1803">
        <f t="shared" si="24"/>
        <v>0</v>
      </c>
      <c r="AF429" s="1803">
        <f t="shared" si="25"/>
        <v>0</v>
      </c>
      <c r="AG429" s="1803">
        <f t="shared" si="26"/>
        <v>0</v>
      </c>
      <c r="AH429" s="1803">
        <f t="shared" si="27"/>
        <v>0</v>
      </c>
      <c r="AI429" s="1803">
        <f t="shared" si="28"/>
        <v>0</v>
      </c>
      <c r="AJ429" s="1803">
        <f t="shared" si="29"/>
        <v>0</v>
      </c>
      <c r="AK429" s="1803">
        <f t="shared" si="30"/>
        <v>0</v>
      </c>
      <c r="AL429" s="1803">
        <f t="shared" si="31"/>
        <v>0</v>
      </c>
      <c r="AM429" s="1803">
        <f t="shared" si="32"/>
        <v>0</v>
      </c>
      <c r="AN429" s="1803">
        <f t="shared" si="33"/>
        <v>0</v>
      </c>
      <c r="AO429" s="950"/>
      <c r="AP429" s="950"/>
      <c r="AQ429" s="950"/>
      <c r="AR429" s="950"/>
      <c r="AS429" s="950"/>
      <c r="AT429" s="950"/>
      <c r="AU429" s="1321"/>
    </row>
    <row r="430" spans="3:47" s="232" customFormat="1" hidden="1" x14ac:dyDescent="0.2">
      <c r="C430" s="1803">
        <f>SUMIF(InsumosCultivos!$B$45:$B$1151,$B362,InsumosCultivos!$I$45:$I$1151)</f>
        <v>0</v>
      </c>
      <c r="D430" s="1803">
        <f>SUMIF(InsumosCultivos!$B$45:$B$1151,$B362,InsumosCultivos!$J$45:$J$1151)</f>
        <v>0</v>
      </c>
      <c r="E430" s="1803">
        <f>SUMIF(InsumosCultivos!$B$45:$B$1151,$B362,InsumosCultivos!$K$45:$K$1151)</f>
        <v>0</v>
      </c>
      <c r="F430" s="1803">
        <f>SUMIF(InsumosCultivos!$B$45:$B$1151,$B362,InsumosCultivos!$L$45:$L$1151)</f>
        <v>0</v>
      </c>
      <c r="G430" s="1803">
        <f>SUMIF(InsumosCultivos!$B$45:$B$1151,$B362,InsumosCultivos!$M$45:$M$1151)</f>
        <v>0</v>
      </c>
      <c r="H430" s="1803">
        <f>SUMIF(InsumosCultivos!$B$45:$B$1151,$B362,InsumosCultivos!$N$45:$N$1151)</f>
        <v>0</v>
      </c>
      <c r="I430" s="1803">
        <f>SUMIF(InsumosCultivos!$B$45:$B$1151,$B362,InsumosCultivos!$O$45:$O$1151)</f>
        <v>0</v>
      </c>
      <c r="J430" s="1803">
        <f>SUMIF(InsumosCultivos!$B$45:$B$1151,$B362,InsumosCultivos!$P$45:$P$1151)</f>
        <v>0</v>
      </c>
      <c r="K430" s="1803">
        <f>SUMIF(InsumosCultivos!$B$45:$B$1151,$B362,InsumosCultivos!$Q$45:$Q$1151)</f>
        <v>0</v>
      </c>
      <c r="L430" s="1803">
        <f>SUMIF(InsumosCultivos!$B$45:$B$1151,$B362,InsumosCultivos!$R$45:$R$1151)</f>
        <v>0</v>
      </c>
      <c r="M430" s="1803">
        <f>SUMIF(InsumosCultivos!$B$45:$B$1151,$B362,InsumosCultivos!$S$45:$S$1151)</f>
        <v>0</v>
      </c>
      <c r="N430" s="1803">
        <f>SUMIF(InsumosCultivos!$B$45:$B$1151,$B362,InsumosCultivos!$T$45:$T$1151)</f>
        <v>0</v>
      </c>
      <c r="O430" s="1321"/>
      <c r="P430" s="1803">
        <f>SUMIF(InsumosCultivos!$Y$45:$Y$529,$B362,InsumosCultivos!$AF$45:$AF$529)</f>
        <v>0</v>
      </c>
      <c r="Q430" s="1803">
        <f>SUMIF(InsumosCultivos!$Y$45:$Y$529,$B362,InsumosCultivos!$AG$45:$AG$529)</f>
        <v>0</v>
      </c>
      <c r="R430" s="1803">
        <f>SUMIF(InsumosCultivos!$Y$45:$Y$529,$B362,InsumosCultivos!$AH$45:$AH$529)</f>
        <v>0</v>
      </c>
      <c r="S430" s="1803">
        <f>SUMIF(InsumosCultivos!$Y$45:$Y$529,$B362,InsumosCultivos!$AI$45:$AI$529)</f>
        <v>0</v>
      </c>
      <c r="T430" s="1803">
        <f>SUMIF(InsumosCultivos!$Y$45:$Y$529,$B362,InsumosCultivos!$AJ$45:$AJ$529)</f>
        <v>0</v>
      </c>
      <c r="U430" s="1803">
        <f>SUMIF(InsumosCultivos!$Y$45:$Y$529,$B362,InsumosCultivos!$AK$45:$AK$529)</f>
        <v>0</v>
      </c>
      <c r="V430" s="1803">
        <f>SUMIF(InsumosCultivos!$Y$45:$Y$529,$B362,InsumosCultivos!$AL$45:$AL$529)</f>
        <v>0</v>
      </c>
      <c r="W430" s="1803">
        <f>SUMIF(InsumosCultivos!$Y$45:$Y$529,$B362,InsumosCultivos!$AM$45:$AM$529)</f>
        <v>0</v>
      </c>
      <c r="X430" s="1803">
        <f>SUMIF(InsumosCultivos!$Y$45:$Y$529,$B362,InsumosCultivos!$AN$45:$AN$529)</f>
        <v>0</v>
      </c>
      <c r="Y430" s="1803">
        <f>SUMIF(InsumosCultivos!$Y$45:$Y$529,$B362,InsumosCultivos!$AO$45:$AO$529)</f>
        <v>0</v>
      </c>
      <c r="Z430" s="1803">
        <f>SUMIF(InsumosCultivos!$Y$45:$Y$529,$B362,InsumosCultivos!$AP$45:$AP$529)</f>
        <v>0</v>
      </c>
      <c r="AA430" s="1803">
        <f>SUMIF(InsumosCultivos!$Y$45:$Y$529,$B362,InsumosCultivos!$AQ$45:$AQ$529)</f>
        <v>0</v>
      </c>
      <c r="AB430" s="1321"/>
      <c r="AC430" s="1803">
        <f t="shared" si="22"/>
        <v>0</v>
      </c>
      <c r="AD430" s="1803">
        <f t="shared" si="23"/>
        <v>0</v>
      </c>
      <c r="AE430" s="1803">
        <f t="shared" si="24"/>
        <v>0</v>
      </c>
      <c r="AF430" s="1803">
        <f t="shared" si="25"/>
        <v>0</v>
      </c>
      <c r="AG430" s="1803">
        <f t="shared" si="26"/>
        <v>0</v>
      </c>
      <c r="AH430" s="1803">
        <f t="shared" si="27"/>
        <v>0</v>
      </c>
      <c r="AI430" s="1803">
        <f t="shared" si="28"/>
        <v>0</v>
      </c>
      <c r="AJ430" s="1803">
        <f t="shared" si="29"/>
        <v>0</v>
      </c>
      <c r="AK430" s="1803">
        <f t="shared" si="30"/>
        <v>0</v>
      </c>
      <c r="AL430" s="1803">
        <f t="shared" si="31"/>
        <v>0</v>
      </c>
      <c r="AM430" s="1803">
        <f t="shared" si="32"/>
        <v>0</v>
      </c>
      <c r="AN430" s="1803">
        <f t="shared" si="33"/>
        <v>0</v>
      </c>
      <c r="AO430" s="950"/>
      <c r="AP430" s="950"/>
      <c r="AQ430" s="950"/>
      <c r="AR430" s="950"/>
      <c r="AS430" s="950"/>
      <c r="AT430" s="950"/>
      <c r="AU430" s="1321"/>
    </row>
    <row r="431" spans="3:47" s="232" customFormat="1" hidden="1" x14ac:dyDescent="0.2">
      <c r="C431" s="1803">
        <f>SUMIF(InsumosCultivos!$B$45:$B$1151,$B363,InsumosCultivos!$I$45:$I$1151)</f>
        <v>0</v>
      </c>
      <c r="D431" s="1803">
        <f>SUMIF(InsumosCultivos!$B$45:$B$1151,$B363,InsumosCultivos!$J$45:$J$1151)</f>
        <v>0</v>
      </c>
      <c r="E431" s="1803">
        <f>SUMIF(InsumosCultivos!$B$45:$B$1151,$B363,InsumosCultivos!$K$45:$K$1151)</f>
        <v>0</v>
      </c>
      <c r="F431" s="1803">
        <f>SUMIF(InsumosCultivos!$B$45:$B$1151,$B363,InsumosCultivos!$L$45:$L$1151)</f>
        <v>0</v>
      </c>
      <c r="G431" s="1803">
        <f>SUMIF(InsumosCultivos!$B$45:$B$1151,$B363,InsumosCultivos!$M$45:$M$1151)</f>
        <v>0</v>
      </c>
      <c r="H431" s="1803">
        <f>SUMIF(InsumosCultivos!$B$45:$B$1151,$B363,InsumosCultivos!$N$45:$N$1151)</f>
        <v>0</v>
      </c>
      <c r="I431" s="1803">
        <f>SUMIF(InsumosCultivos!$B$45:$B$1151,$B363,InsumosCultivos!$O$45:$O$1151)</f>
        <v>0</v>
      </c>
      <c r="J431" s="1803">
        <f>SUMIF(InsumosCultivos!$B$45:$B$1151,$B363,InsumosCultivos!$P$45:$P$1151)</f>
        <v>0</v>
      </c>
      <c r="K431" s="1803">
        <f>SUMIF(InsumosCultivos!$B$45:$B$1151,$B363,InsumosCultivos!$Q$45:$Q$1151)</f>
        <v>0</v>
      </c>
      <c r="L431" s="1803">
        <f>SUMIF(InsumosCultivos!$B$45:$B$1151,$B363,InsumosCultivos!$R$45:$R$1151)</f>
        <v>0</v>
      </c>
      <c r="M431" s="1803">
        <f>SUMIF(InsumosCultivos!$B$45:$B$1151,$B363,InsumosCultivos!$S$45:$S$1151)</f>
        <v>0</v>
      </c>
      <c r="N431" s="1803">
        <f>SUMIF(InsumosCultivos!$B$45:$B$1151,$B363,InsumosCultivos!$T$45:$T$1151)</f>
        <v>0</v>
      </c>
      <c r="O431" s="1321"/>
      <c r="P431" s="1803">
        <f>SUMIF(InsumosCultivos!$Y$45:$Y$529,$B363,InsumosCultivos!$AF$45:$AF$529)</f>
        <v>0</v>
      </c>
      <c r="Q431" s="1803">
        <f>SUMIF(InsumosCultivos!$Y$45:$Y$529,$B363,InsumosCultivos!$AG$45:$AG$529)</f>
        <v>0</v>
      </c>
      <c r="R431" s="1803">
        <f>SUMIF(InsumosCultivos!$Y$45:$Y$529,$B363,InsumosCultivos!$AH$45:$AH$529)</f>
        <v>0</v>
      </c>
      <c r="S431" s="1803">
        <f>SUMIF(InsumosCultivos!$Y$45:$Y$529,$B363,InsumosCultivos!$AI$45:$AI$529)</f>
        <v>0</v>
      </c>
      <c r="T431" s="1803">
        <f>SUMIF(InsumosCultivos!$Y$45:$Y$529,$B363,InsumosCultivos!$AJ$45:$AJ$529)</f>
        <v>0</v>
      </c>
      <c r="U431" s="1803">
        <f>SUMIF(InsumosCultivos!$Y$45:$Y$529,$B363,InsumosCultivos!$AK$45:$AK$529)</f>
        <v>0</v>
      </c>
      <c r="V431" s="1803">
        <f>SUMIF(InsumosCultivos!$Y$45:$Y$529,$B363,InsumosCultivos!$AL$45:$AL$529)</f>
        <v>0</v>
      </c>
      <c r="W431" s="1803">
        <f>SUMIF(InsumosCultivos!$Y$45:$Y$529,$B363,InsumosCultivos!$AM$45:$AM$529)</f>
        <v>0</v>
      </c>
      <c r="X431" s="1803">
        <f>SUMIF(InsumosCultivos!$Y$45:$Y$529,$B363,InsumosCultivos!$AN$45:$AN$529)</f>
        <v>0</v>
      </c>
      <c r="Y431" s="1803">
        <f>SUMIF(InsumosCultivos!$Y$45:$Y$529,$B363,InsumosCultivos!$AO$45:$AO$529)</f>
        <v>0</v>
      </c>
      <c r="Z431" s="1803">
        <f>SUMIF(InsumosCultivos!$Y$45:$Y$529,$B363,InsumosCultivos!$AP$45:$AP$529)</f>
        <v>0</v>
      </c>
      <c r="AA431" s="1803">
        <f>SUMIF(InsumosCultivos!$Y$45:$Y$529,$B363,InsumosCultivos!$AQ$45:$AQ$529)</f>
        <v>0</v>
      </c>
      <c r="AB431" s="1321"/>
      <c r="AC431" s="1803">
        <f t="shared" si="22"/>
        <v>0</v>
      </c>
      <c r="AD431" s="1803">
        <f t="shared" si="23"/>
        <v>0</v>
      </c>
      <c r="AE431" s="1803">
        <f t="shared" si="24"/>
        <v>0</v>
      </c>
      <c r="AF431" s="1803">
        <f t="shared" si="25"/>
        <v>0</v>
      </c>
      <c r="AG431" s="1803">
        <f t="shared" si="26"/>
        <v>0</v>
      </c>
      <c r="AH431" s="1803">
        <f t="shared" si="27"/>
        <v>0</v>
      </c>
      <c r="AI431" s="1803">
        <f t="shared" si="28"/>
        <v>0</v>
      </c>
      <c r="AJ431" s="1803">
        <f t="shared" si="29"/>
        <v>0</v>
      </c>
      <c r="AK431" s="1803">
        <f t="shared" si="30"/>
        <v>0</v>
      </c>
      <c r="AL431" s="1803">
        <f t="shared" si="31"/>
        <v>0</v>
      </c>
      <c r="AM431" s="1803">
        <f t="shared" si="32"/>
        <v>0</v>
      </c>
      <c r="AN431" s="1803">
        <f t="shared" si="33"/>
        <v>0</v>
      </c>
      <c r="AO431" s="950"/>
      <c r="AP431" s="950"/>
      <c r="AQ431" s="950"/>
      <c r="AR431" s="950"/>
      <c r="AS431" s="950"/>
      <c r="AT431" s="950"/>
      <c r="AU431" s="1321"/>
    </row>
    <row r="432" spans="3:47" s="232" customFormat="1" hidden="1" x14ac:dyDescent="0.2">
      <c r="C432" s="1803">
        <f>SUMIF(InsumosCultivos!$B$45:$B$1151,$B364,InsumosCultivos!$I$45:$I$1151)</f>
        <v>0</v>
      </c>
      <c r="D432" s="1803">
        <f>SUMIF(InsumosCultivos!$B$45:$B$1151,$B364,InsumosCultivos!$J$45:$J$1151)</f>
        <v>0</v>
      </c>
      <c r="E432" s="1803">
        <f>SUMIF(InsumosCultivos!$B$45:$B$1151,$B364,InsumosCultivos!$K$45:$K$1151)</f>
        <v>0</v>
      </c>
      <c r="F432" s="1803">
        <f>SUMIF(InsumosCultivos!$B$45:$B$1151,$B364,InsumosCultivos!$L$45:$L$1151)</f>
        <v>0</v>
      </c>
      <c r="G432" s="1803">
        <f>SUMIF(InsumosCultivos!$B$45:$B$1151,$B364,InsumosCultivos!$M$45:$M$1151)</f>
        <v>0</v>
      </c>
      <c r="H432" s="1803">
        <f>SUMIF(InsumosCultivos!$B$45:$B$1151,$B364,InsumosCultivos!$N$45:$N$1151)</f>
        <v>0</v>
      </c>
      <c r="I432" s="1803">
        <f>SUMIF(InsumosCultivos!$B$45:$B$1151,$B364,InsumosCultivos!$O$45:$O$1151)</f>
        <v>0</v>
      </c>
      <c r="J432" s="1803">
        <f>SUMIF(InsumosCultivos!$B$45:$B$1151,$B364,InsumosCultivos!$P$45:$P$1151)</f>
        <v>0</v>
      </c>
      <c r="K432" s="1803">
        <f>SUMIF(InsumosCultivos!$B$45:$B$1151,$B364,InsumosCultivos!$Q$45:$Q$1151)</f>
        <v>0</v>
      </c>
      <c r="L432" s="1803">
        <f>SUMIF(InsumosCultivos!$B$45:$B$1151,$B364,InsumosCultivos!$R$45:$R$1151)</f>
        <v>0</v>
      </c>
      <c r="M432" s="1803">
        <f>SUMIF(InsumosCultivos!$B$45:$B$1151,$B364,InsumosCultivos!$S$45:$S$1151)</f>
        <v>0</v>
      </c>
      <c r="N432" s="1803">
        <f>SUMIF(InsumosCultivos!$B$45:$B$1151,$B364,InsumosCultivos!$T$45:$T$1151)</f>
        <v>0</v>
      </c>
      <c r="O432" s="1321"/>
      <c r="P432" s="1803">
        <f>SUMIF(InsumosCultivos!$Y$45:$Y$529,$B364,InsumosCultivos!$AF$45:$AF$529)</f>
        <v>0</v>
      </c>
      <c r="Q432" s="1803">
        <f>SUMIF(InsumosCultivos!$Y$45:$Y$529,$B364,InsumosCultivos!$AG$45:$AG$529)</f>
        <v>0</v>
      </c>
      <c r="R432" s="1803">
        <f>SUMIF(InsumosCultivos!$Y$45:$Y$529,$B364,InsumosCultivos!$AH$45:$AH$529)</f>
        <v>0</v>
      </c>
      <c r="S432" s="1803">
        <f>SUMIF(InsumosCultivos!$Y$45:$Y$529,$B364,InsumosCultivos!$AI$45:$AI$529)</f>
        <v>0</v>
      </c>
      <c r="T432" s="1803">
        <f>SUMIF(InsumosCultivos!$Y$45:$Y$529,$B364,InsumosCultivos!$AJ$45:$AJ$529)</f>
        <v>0</v>
      </c>
      <c r="U432" s="1803">
        <f>SUMIF(InsumosCultivos!$Y$45:$Y$529,$B364,InsumosCultivos!$AK$45:$AK$529)</f>
        <v>0</v>
      </c>
      <c r="V432" s="1803">
        <f>SUMIF(InsumosCultivos!$Y$45:$Y$529,$B364,InsumosCultivos!$AL$45:$AL$529)</f>
        <v>0</v>
      </c>
      <c r="W432" s="1803">
        <f>SUMIF(InsumosCultivos!$Y$45:$Y$529,$B364,InsumosCultivos!$AM$45:$AM$529)</f>
        <v>0</v>
      </c>
      <c r="X432" s="1803">
        <f>SUMIF(InsumosCultivos!$Y$45:$Y$529,$B364,InsumosCultivos!$AN$45:$AN$529)</f>
        <v>0</v>
      </c>
      <c r="Y432" s="1803">
        <f>SUMIF(InsumosCultivos!$Y$45:$Y$529,$B364,InsumosCultivos!$AO$45:$AO$529)</f>
        <v>0</v>
      </c>
      <c r="Z432" s="1803">
        <f>SUMIF(InsumosCultivos!$Y$45:$Y$529,$B364,InsumosCultivos!$AP$45:$AP$529)</f>
        <v>0</v>
      </c>
      <c r="AA432" s="1803">
        <f>SUMIF(InsumosCultivos!$Y$45:$Y$529,$B364,InsumosCultivos!$AQ$45:$AQ$529)</f>
        <v>0</v>
      </c>
      <c r="AB432" s="1321"/>
      <c r="AC432" s="1803">
        <f t="shared" si="22"/>
        <v>0</v>
      </c>
      <c r="AD432" s="1803">
        <f t="shared" si="23"/>
        <v>0</v>
      </c>
      <c r="AE432" s="1803">
        <f t="shared" si="24"/>
        <v>0</v>
      </c>
      <c r="AF432" s="1803">
        <f t="shared" si="25"/>
        <v>0</v>
      </c>
      <c r="AG432" s="1803">
        <f t="shared" si="26"/>
        <v>0</v>
      </c>
      <c r="AH432" s="1803">
        <f t="shared" si="27"/>
        <v>0</v>
      </c>
      <c r="AI432" s="1803">
        <f t="shared" si="28"/>
        <v>0</v>
      </c>
      <c r="AJ432" s="1803">
        <f t="shared" si="29"/>
        <v>0</v>
      </c>
      <c r="AK432" s="1803">
        <f t="shared" si="30"/>
        <v>0</v>
      </c>
      <c r="AL432" s="1803">
        <f t="shared" si="31"/>
        <v>0</v>
      </c>
      <c r="AM432" s="1803">
        <f t="shared" si="32"/>
        <v>0</v>
      </c>
      <c r="AN432" s="1803">
        <f t="shared" si="33"/>
        <v>0</v>
      </c>
      <c r="AO432" s="950"/>
      <c r="AP432" s="950"/>
      <c r="AQ432" s="950"/>
      <c r="AR432" s="950"/>
      <c r="AS432" s="950"/>
      <c r="AT432" s="950"/>
      <c r="AU432" s="1321"/>
    </row>
    <row r="433" spans="2:47" hidden="1" x14ac:dyDescent="0.2">
      <c r="B433" s="232"/>
      <c r="C433" s="1803">
        <f>SUMIF(InsumosCultivos!$B$45:$B$1151,$B365,InsumosCultivos!$I$45:$I$1151)</f>
        <v>0</v>
      </c>
      <c r="D433" s="1803">
        <f>SUMIF(InsumosCultivos!$B$45:$B$1151,$B365,InsumosCultivos!$J$45:$J$1151)</f>
        <v>0</v>
      </c>
      <c r="E433" s="1803">
        <f>SUMIF(InsumosCultivos!$B$45:$B$1151,$B365,InsumosCultivos!$K$45:$K$1151)</f>
        <v>0</v>
      </c>
      <c r="F433" s="1803">
        <f>SUMIF(InsumosCultivos!$B$45:$B$1151,$B365,InsumosCultivos!$L$45:$L$1151)</f>
        <v>0</v>
      </c>
      <c r="G433" s="1803">
        <f>SUMIF(InsumosCultivos!$B$45:$B$1151,$B365,InsumosCultivos!$M$45:$M$1151)</f>
        <v>0</v>
      </c>
      <c r="H433" s="1803">
        <f>SUMIF(InsumosCultivos!$B$45:$B$1151,$B365,InsumosCultivos!$N$45:$N$1151)</f>
        <v>0</v>
      </c>
      <c r="I433" s="1803">
        <f>SUMIF(InsumosCultivos!$B$45:$B$1151,$B365,InsumosCultivos!$O$45:$O$1151)</f>
        <v>0</v>
      </c>
      <c r="J433" s="1803">
        <f>SUMIF(InsumosCultivos!$B$45:$B$1151,$B365,InsumosCultivos!$P$45:$P$1151)</f>
        <v>0</v>
      </c>
      <c r="K433" s="1803">
        <f>SUMIF(InsumosCultivos!$B$45:$B$1151,$B365,InsumosCultivos!$Q$45:$Q$1151)</f>
        <v>0</v>
      </c>
      <c r="L433" s="1803">
        <f>SUMIF(InsumosCultivos!$B$45:$B$1151,$B365,InsumosCultivos!$R$45:$R$1151)</f>
        <v>0</v>
      </c>
      <c r="M433" s="1803">
        <f>SUMIF(InsumosCultivos!$B$45:$B$1151,$B365,InsumosCultivos!$S$45:$S$1151)</f>
        <v>0</v>
      </c>
      <c r="N433" s="1803">
        <f>SUMIF(InsumosCultivos!$B$45:$B$1151,$B365,InsumosCultivos!$T$45:$T$1151)</f>
        <v>0</v>
      </c>
      <c r="O433" s="1321"/>
      <c r="P433" s="1803">
        <f>SUMIF(InsumosCultivos!$Y$45:$Y$529,$B365,InsumosCultivos!$AF$45:$AF$529)</f>
        <v>0</v>
      </c>
      <c r="Q433" s="1803">
        <f>SUMIF(InsumosCultivos!$Y$45:$Y$529,$B365,InsumosCultivos!$AG$45:$AG$529)</f>
        <v>0</v>
      </c>
      <c r="R433" s="1803">
        <f>SUMIF(InsumosCultivos!$Y$45:$Y$529,$B365,InsumosCultivos!$AH$45:$AH$529)</f>
        <v>0</v>
      </c>
      <c r="S433" s="1803">
        <f>SUMIF(InsumosCultivos!$Y$45:$Y$529,$B365,InsumosCultivos!$AI$45:$AI$529)</f>
        <v>0</v>
      </c>
      <c r="T433" s="1803">
        <f>SUMIF(InsumosCultivos!$Y$45:$Y$529,$B365,InsumosCultivos!$AJ$45:$AJ$529)</f>
        <v>0</v>
      </c>
      <c r="U433" s="1803">
        <f>SUMIF(InsumosCultivos!$Y$45:$Y$529,$B365,InsumosCultivos!$AK$45:$AK$529)</f>
        <v>0</v>
      </c>
      <c r="V433" s="1803">
        <f>SUMIF(InsumosCultivos!$Y$45:$Y$529,$B365,InsumosCultivos!$AL$45:$AL$529)</f>
        <v>0</v>
      </c>
      <c r="W433" s="1803">
        <f>SUMIF(InsumosCultivos!$Y$45:$Y$529,$B365,InsumosCultivos!$AM$45:$AM$529)</f>
        <v>0</v>
      </c>
      <c r="X433" s="1803">
        <f>SUMIF(InsumosCultivos!$Y$45:$Y$529,$B365,InsumosCultivos!$AN$45:$AN$529)</f>
        <v>0</v>
      </c>
      <c r="Y433" s="1803">
        <f>SUMIF(InsumosCultivos!$Y$45:$Y$529,$B365,InsumosCultivos!$AO$45:$AO$529)</f>
        <v>0</v>
      </c>
      <c r="Z433" s="1803">
        <f>SUMIF(InsumosCultivos!$Y$45:$Y$529,$B365,InsumosCultivos!$AP$45:$AP$529)</f>
        <v>0</v>
      </c>
      <c r="AA433" s="1803">
        <f>SUMIF(InsumosCultivos!$Y$45:$Y$529,$B365,InsumosCultivos!$AQ$45:$AQ$529)</f>
        <v>0</v>
      </c>
      <c r="AB433" s="1321"/>
      <c r="AC433" s="1803">
        <f t="shared" si="22"/>
        <v>0</v>
      </c>
      <c r="AD433" s="1803">
        <f t="shared" si="23"/>
        <v>0</v>
      </c>
      <c r="AE433" s="1803">
        <f t="shared" si="24"/>
        <v>0</v>
      </c>
      <c r="AF433" s="1803">
        <f t="shared" si="25"/>
        <v>0</v>
      </c>
      <c r="AG433" s="1803">
        <f t="shared" si="26"/>
        <v>0</v>
      </c>
      <c r="AH433" s="1803">
        <f t="shared" si="27"/>
        <v>0</v>
      </c>
      <c r="AI433" s="1803">
        <f t="shared" si="28"/>
        <v>0</v>
      </c>
      <c r="AJ433" s="1803">
        <f t="shared" si="29"/>
        <v>0</v>
      </c>
      <c r="AK433" s="1803">
        <f t="shared" si="30"/>
        <v>0</v>
      </c>
      <c r="AL433" s="1803">
        <f t="shared" si="31"/>
        <v>0</v>
      </c>
      <c r="AM433" s="1803">
        <f t="shared" si="32"/>
        <v>0</v>
      </c>
      <c r="AN433" s="1803">
        <f t="shared" si="33"/>
        <v>0</v>
      </c>
      <c r="AO433" s="950"/>
      <c r="AP433" s="950"/>
      <c r="AQ433" s="950"/>
      <c r="AR433" s="950"/>
      <c r="AS433" s="950"/>
      <c r="AT433" s="950"/>
      <c r="AU433" s="1321"/>
    </row>
    <row r="434" spans="2:47" hidden="1" x14ac:dyDescent="0.2">
      <c r="B434" s="232"/>
      <c r="C434" s="1803">
        <f>SUMIF(InsumosCultivos!$B$45:$B$1151,$B366,InsumosCultivos!$I$45:$I$1151)</f>
        <v>0</v>
      </c>
      <c r="D434" s="1803">
        <f>SUMIF(InsumosCultivos!$B$45:$B$1151,$B366,InsumosCultivos!$J$45:$J$1151)</f>
        <v>0</v>
      </c>
      <c r="E434" s="1803">
        <f>SUMIF(InsumosCultivos!$B$45:$B$1151,$B366,InsumosCultivos!$K$45:$K$1151)</f>
        <v>0</v>
      </c>
      <c r="F434" s="1803">
        <f>SUMIF(InsumosCultivos!$B$45:$B$1151,$B366,InsumosCultivos!$L$45:$L$1151)</f>
        <v>0</v>
      </c>
      <c r="G434" s="1803">
        <f>SUMIF(InsumosCultivos!$B$45:$B$1151,$B366,InsumosCultivos!$M$45:$M$1151)</f>
        <v>0</v>
      </c>
      <c r="H434" s="1803">
        <f>SUMIF(InsumosCultivos!$B$45:$B$1151,$B366,InsumosCultivos!$N$45:$N$1151)</f>
        <v>0</v>
      </c>
      <c r="I434" s="1803">
        <f>SUMIF(InsumosCultivos!$B$45:$B$1151,$B366,InsumosCultivos!$O$45:$O$1151)</f>
        <v>0</v>
      </c>
      <c r="J434" s="1803">
        <f>SUMIF(InsumosCultivos!$B$45:$B$1151,$B366,InsumosCultivos!$P$45:$P$1151)</f>
        <v>0</v>
      </c>
      <c r="K434" s="1803">
        <f>SUMIF(InsumosCultivos!$B$45:$B$1151,$B366,InsumosCultivos!$Q$45:$Q$1151)</f>
        <v>0</v>
      </c>
      <c r="L434" s="1803">
        <f>SUMIF(InsumosCultivos!$B$45:$B$1151,$B366,InsumosCultivos!$R$45:$R$1151)</f>
        <v>0</v>
      </c>
      <c r="M434" s="1803">
        <f>SUMIF(InsumosCultivos!$B$45:$B$1151,$B366,InsumosCultivos!$S$45:$S$1151)</f>
        <v>0</v>
      </c>
      <c r="N434" s="1803">
        <f>SUMIF(InsumosCultivos!$B$45:$B$1151,$B366,InsumosCultivos!$T$45:$T$1151)</f>
        <v>0</v>
      </c>
      <c r="O434" s="1321"/>
      <c r="P434" s="1803">
        <f>SUMIF(InsumosCultivos!$Y$45:$Y$529,$B366,InsumosCultivos!$AF$45:$AF$529)</f>
        <v>0</v>
      </c>
      <c r="Q434" s="1803">
        <f>SUMIF(InsumosCultivos!$Y$45:$Y$529,$B366,InsumosCultivos!$AG$45:$AG$529)</f>
        <v>0</v>
      </c>
      <c r="R434" s="1803">
        <f>SUMIF(InsumosCultivos!$Y$45:$Y$529,$B366,InsumosCultivos!$AH$45:$AH$529)</f>
        <v>0</v>
      </c>
      <c r="S434" s="1803">
        <f>SUMIF(InsumosCultivos!$Y$45:$Y$529,$B366,InsumosCultivos!$AI$45:$AI$529)</f>
        <v>0</v>
      </c>
      <c r="T434" s="1803">
        <f>SUMIF(InsumosCultivos!$Y$45:$Y$529,$B366,InsumosCultivos!$AJ$45:$AJ$529)</f>
        <v>0</v>
      </c>
      <c r="U434" s="1803">
        <f>SUMIF(InsumosCultivos!$Y$45:$Y$529,$B366,InsumosCultivos!$AK$45:$AK$529)</f>
        <v>0</v>
      </c>
      <c r="V434" s="1803">
        <f>SUMIF(InsumosCultivos!$Y$45:$Y$529,$B366,InsumosCultivos!$AL$45:$AL$529)</f>
        <v>0</v>
      </c>
      <c r="W434" s="1803">
        <f>SUMIF(InsumosCultivos!$Y$45:$Y$529,$B366,InsumosCultivos!$AM$45:$AM$529)</f>
        <v>0</v>
      </c>
      <c r="X434" s="1803">
        <f>SUMIF(InsumosCultivos!$Y$45:$Y$529,$B366,InsumosCultivos!$AN$45:$AN$529)</f>
        <v>0</v>
      </c>
      <c r="Y434" s="1803">
        <f>SUMIF(InsumosCultivos!$Y$45:$Y$529,$B366,InsumosCultivos!$AO$45:$AO$529)</f>
        <v>0</v>
      </c>
      <c r="Z434" s="1803">
        <f>SUMIF(InsumosCultivos!$Y$45:$Y$529,$B366,InsumosCultivos!$AP$45:$AP$529)</f>
        <v>0</v>
      </c>
      <c r="AA434" s="1803">
        <f>SUMIF(InsumosCultivos!$Y$45:$Y$529,$B366,InsumosCultivos!$AQ$45:$AQ$529)</f>
        <v>0</v>
      </c>
      <c r="AB434" s="1321"/>
      <c r="AC434" s="1803">
        <f t="shared" si="22"/>
        <v>0</v>
      </c>
      <c r="AD434" s="1803">
        <f t="shared" si="23"/>
        <v>0</v>
      </c>
      <c r="AE434" s="1803">
        <f t="shared" si="24"/>
        <v>0</v>
      </c>
      <c r="AF434" s="1803">
        <f t="shared" si="25"/>
        <v>0</v>
      </c>
      <c r="AG434" s="1803">
        <f t="shared" si="26"/>
        <v>0</v>
      </c>
      <c r="AH434" s="1803">
        <f t="shared" si="27"/>
        <v>0</v>
      </c>
      <c r="AI434" s="1803">
        <f t="shared" si="28"/>
        <v>0</v>
      </c>
      <c r="AJ434" s="1803">
        <f t="shared" si="29"/>
        <v>0</v>
      </c>
      <c r="AK434" s="1803">
        <f t="shared" si="30"/>
        <v>0</v>
      </c>
      <c r="AL434" s="1803">
        <f t="shared" si="31"/>
        <v>0</v>
      </c>
      <c r="AM434" s="1803">
        <f t="shared" si="32"/>
        <v>0</v>
      </c>
      <c r="AN434" s="1803">
        <f t="shared" si="33"/>
        <v>0</v>
      </c>
      <c r="AO434" s="950"/>
      <c r="AP434" s="950"/>
      <c r="AQ434" s="950"/>
      <c r="AR434" s="950"/>
      <c r="AS434" s="950"/>
      <c r="AT434" s="950"/>
      <c r="AU434" s="1321"/>
    </row>
    <row r="435" spans="2:47" hidden="1" x14ac:dyDescent="0.2">
      <c r="B435" s="232"/>
      <c r="C435" s="1803">
        <f>SUMIF(InsumosCultivos!$B$45:$B$1151,$B367,InsumosCultivos!$I$45:$I$1151)</f>
        <v>0</v>
      </c>
      <c r="D435" s="1803">
        <f>SUMIF(InsumosCultivos!$B$45:$B$1151,$B367,InsumosCultivos!$J$45:$J$1151)</f>
        <v>0</v>
      </c>
      <c r="E435" s="1803">
        <f>SUMIF(InsumosCultivos!$B$45:$B$1151,$B367,InsumosCultivos!$K$45:$K$1151)</f>
        <v>0</v>
      </c>
      <c r="F435" s="1803">
        <f>SUMIF(InsumosCultivos!$B$45:$B$1151,$B367,InsumosCultivos!$L$45:$L$1151)</f>
        <v>0</v>
      </c>
      <c r="G435" s="1803">
        <f>SUMIF(InsumosCultivos!$B$45:$B$1151,$B367,InsumosCultivos!$M$45:$M$1151)</f>
        <v>0</v>
      </c>
      <c r="H435" s="1803">
        <f>SUMIF(InsumosCultivos!$B$45:$B$1151,$B367,InsumosCultivos!$N$45:$N$1151)</f>
        <v>0</v>
      </c>
      <c r="I435" s="1803">
        <f>SUMIF(InsumosCultivos!$B$45:$B$1151,$B367,InsumosCultivos!$O$45:$O$1151)</f>
        <v>0</v>
      </c>
      <c r="J435" s="1803">
        <f>SUMIF(InsumosCultivos!$B$45:$B$1151,$B367,InsumosCultivos!$P$45:$P$1151)</f>
        <v>0</v>
      </c>
      <c r="K435" s="1803">
        <f>SUMIF(InsumosCultivos!$B$45:$B$1151,$B367,InsumosCultivos!$Q$45:$Q$1151)</f>
        <v>0</v>
      </c>
      <c r="L435" s="1803">
        <f>SUMIF(InsumosCultivos!$B$45:$B$1151,$B367,InsumosCultivos!$R$45:$R$1151)</f>
        <v>0</v>
      </c>
      <c r="M435" s="1803">
        <f>SUMIF(InsumosCultivos!$B$45:$B$1151,$B367,InsumosCultivos!$S$45:$S$1151)</f>
        <v>0</v>
      </c>
      <c r="N435" s="1803">
        <f>SUMIF(InsumosCultivos!$B$45:$B$1151,$B367,InsumosCultivos!$T$45:$T$1151)</f>
        <v>0</v>
      </c>
      <c r="O435" s="1321"/>
      <c r="P435" s="1803">
        <f>SUMIF(InsumosCultivos!$Y$45:$Y$529,$B367,InsumosCultivos!$AF$45:$AF$529)</f>
        <v>0</v>
      </c>
      <c r="Q435" s="1803">
        <f>SUMIF(InsumosCultivos!$Y$45:$Y$529,$B367,InsumosCultivos!$AG$45:$AG$529)</f>
        <v>0</v>
      </c>
      <c r="R435" s="1803">
        <f>SUMIF(InsumosCultivos!$Y$45:$Y$529,$B367,InsumosCultivos!$AH$45:$AH$529)</f>
        <v>0</v>
      </c>
      <c r="S435" s="1803">
        <f>SUMIF(InsumosCultivos!$Y$45:$Y$529,$B367,InsumosCultivos!$AI$45:$AI$529)</f>
        <v>0</v>
      </c>
      <c r="T435" s="1803">
        <f>SUMIF(InsumosCultivos!$Y$45:$Y$529,$B367,InsumosCultivos!$AJ$45:$AJ$529)</f>
        <v>0</v>
      </c>
      <c r="U435" s="1803">
        <f>SUMIF(InsumosCultivos!$Y$45:$Y$529,$B367,InsumosCultivos!$AK$45:$AK$529)</f>
        <v>0</v>
      </c>
      <c r="V435" s="1803">
        <f>SUMIF(InsumosCultivos!$Y$45:$Y$529,$B367,InsumosCultivos!$AL$45:$AL$529)</f>
        <v>0</v>
      </c>
      <c r="W435" s="1803">
        <f>SUMIF(InsumosCultivos!$Y$45:$Y$529,$B367,InsumosCultivos!$AM$45:$AM$529)</f>
        <v>0</v>
      </c>
      <c r="X435" s="1803">
        <f>SUMIF(InsumosCultivos!$Y$45:$Y$529,$B367,InsumosCultivos!$AN$45:$AN$529)</f>
        <v>0</v>
      </c>
      <c r="Y435" s="1803">
        <f>SUMIF(InsumosCultivos!$Y$45:$Y$529,$B367,InsumosCultivos!$AO$45:$AO$529)</f>
        <v>0</v>
      </c>
      <c r="Z435" s="1803">
        <f>SUMIF(InsumosCultivos!$Y$45:$Y$529,$B367,InsumosCultivos!$AP$45:$AP$529)</f>
        <v>0</v>
      </c>
      <c r="AA435" s="1803">
        <f>SUMIF(InsumosCultivos!$Y$45:$Y$529,$B367,InsumosCultivos!$AQ$45:$AQ$529)</f>
        <v>0</v>
      </c>
      <c r="AB435" s="1321"/>
      <c r="AC435" s="1803">
        <f t="shared" si="22"/>
        <v>0</v>
      </c>
      <c r="AD435" s="1803">
        <f t="shared" si="23"/>
        <v>0</v>
      </c>
      <c r="AE435" s="1803">
        <f t="shared" si="24"/>
        <v>0</v>
      </c>
      <c r="AF435" s="1803">
        <f t="shared" si="25"/>
        <v>0</v>
      </c>
      <c r="AG435" s="1803">
        <f t="shared" si="26"/>
        <v>0</v>
      </c>
      <c r="AH435" s="1803">
        <f t="shared" si="27"/>
        <v>0</v>
      </c>
      <c r="AI435" s="1803">
        <f t="shared" si="28"/>
        <v>0</v>
      </c>
      <c r="AJ435" s="1803">
        <f t="shared" si="29"/>
        <v>0</v>
      </c>
      <c r="AK435" s="1803">
        <f t="shared" si="30"/>
        <v>0</v>
      </c>
      <c r="AL435" s="1803">
        <f t="shared" si="31"/>
        <v>0</v>
      </c>
      <c r="AM435" s="1803">
        <f t="shared" si="32"/>
        <v>0</v>
      </c>
      <c r="AN435" s="1803">
        <f t="shared" si="33"/>
        <v>0</v>
      </c>
      <c r="AO435" s="950"/>
      <c r="AP435" s="950"/>
      <c r="AQ435" s="950"/>
      <c r="AR435" s="950"/>
      <c r="AS435" s="950"/>
      <c r="AT435" s="950"/>
      <c r="AU435" s="1321"/>
    </row>
    <row r="436" spans="2:47" hidden="1" x14ac:dyDescent="0.2">
      <c r="B436" s="232"/>
      <c r="C436" s="1803">
        <f>SUMIF(InsumosCultivos!$B$45:$B$1151,$B368,InsumosCultivos!$I$45:$I$1151)</f>
        <v>0</v>
      </c>
      <c r="D436" s="1803">
        <f>SUMIF(InsumosCultivos!$B$45:$B$1151,$B368,InsumosCultivos!$J$45:$J$1151)</f>
        <v>0</v>
      </c>
      <c r="E436" s="1803">
        <f>SUMIF(InsumosCultivos!$B$45:$B$1151,$B368,InsumosCultivos!$K$45:$K$1151)</f>
        <v>0</v>
      </c>
      <c r="F436" s="1803">
        <f>SUMIF(InsumosCultivos!$B$45:$B$1151,$B368,InsumosCultivos!$L$45:$L$1151)</f>
        <v>0</v>
      </c>
      <c r="G436" s="1803">
        <f>SUMIF(InsumosCultivos!$B$45:$B$1151,$B368,InsumosCultivos!$M$45:$M$1151)</f>
        <v>0</v>
      </c>
      <c r="H436" s="1803">
        <f>SUMIF(InsumosCultivos!$B$45:$B$1151,$B368,InsumosCultivos!$N$45:$N$1151)</f>
        <v>0</v>
      </c>
      <c r="I436" s="1803">
        <f>SUMIF(InsumosCultivos!$B$45:$B$1151,$B368,InsumosCultivos!$O$45:$O$1151)</f>
        <v>0</v>
      </c>
      <c r="J436" s="1803">
        <f>SUMIF(InsumosCultivos!$B$45:$B$1151,$B368,InsumosCultivos!$P$45:$P$1151)</f>
        <v>0</v>
      </c>
      <c r="K436" s="1803">
        <f>SUMIF(InsumosCultivos!$B$45:$B$1151,$B368,InsumosCultivos!$Q$45:$Q$1151)</f>
        <v>0</v>
      </c>
      <c r="L436" s="1803">
        <f>SUMIF(InsumosCultivos!$B$45:$B$1151,$B368,InsumosCultivos!$R$45:$R$1151)</f>
        <v>0</v>
      </c>
      <c r="M436" s="1803">
        <f>SUMIF(InsumosCultivos!$B$45:$B$1151,$B368,InsumosCultivos!$S$45:$S$1151)</f>
        <v>0</v>
      </c>
      <c r="N436" s="1803">
        <f>SUMIF(InsumosCultivos!$B$45:$B$1151,$B368,InsumosCultivos!$T$45:$T$1151)</f>
        <v>0</v>
      </c>
      <c r="O436" s="1321"/>
      <c r="P436" s="1803">
        <f>SUMIF(InsumosCultivos!$Y$45:$Y$529,$B368,InsumosCultivos!$AF$45:$AF$529)</f>
        <v>0</v>
      </c>
      <c r="Q436" s="1803">
        <f>SUMIF(InsumosCultivos!$Y$45:$Y$529,$B368,InsumosCultivos!$AG$45:$AG$529)</f>
        <v>0</v>
      </c>
      <c r="R436" s="1803">
        <f>SUMIF(InsumosCultivos!$Y$45:$Y$529,$B368,InsumosCultivos!$AH$45:$AH$529)</f>
        <v>0</v>
      </c>
      <c r="S436" s="1803">
        <f>SUMIF(InsumosCultivos!$Y$45:$Y$529,$B368,InsumosCultivos!$AI$45:$AI$529)</f>
        <v>0</v>
      </c>
      <c r="T436" s="1803">
        <f>SUMIF(InsumosCultivos!$Y$45:$Y$529,$B368,InsumosCultivos!$AJ$45:$AJ$529)</f>
        <v>0</v>
      </c>
      <c r="U436" s="1803">
        <f>SUMIF(InsumosCultivos!$Y$45:$Y$529,$B368,InsumosCultivos!$AK$45:$AK$529)</f>
        <v>0</v>
      </c>
      <c r="V436" s="1803">
        <f>SUMIF(InsumosCultivos!$Y$45:$Y$529,$B368,InsumosCultivos!$AL$45:$AL$529)</f>
        <v>0</v>
      </c>
      <c r="W436" s="1803">
        <f>SUMIF(InsumosCultivos!$Y$45:$Y$529,$B368,InsumosCultivos!$AM$45:$AM$529)</f>
        <v>0</v>
      </c>
      <c r="X436" s="1803">
        <f>SUMIF(InsumosCultivos!$Y$45:$Y$529,$B368,InsumosCultivos!$AN$45:$AN$529)</f>
        <v>0</v>
      </c>
      <c r="Y436" s="1803">
        <f>SUMIF(InsumosCultivos!$Y$45:$Y$529,$B368,InsumosCultivos!$AO$45:$AO$529)</f>
        <v>0</v>
      </c>
      <c r="Z436" s="1803">
        <f>SUMIF(InsumosCultivos!$Y$45:$Y$529,$B368,InsumosCultivos!$AP$45:$AP$529)</f>
        <v>0</v>
      </c>
      <c r="AA436" s="1803">
        <f>SUMIF(InsumosCultivos!$Y$45:$Y$529,$B368,InsumosCultivos!$AQ$45:$AQ$529)</f>
        <v>0</v>
      </c>
      <c r="AB436" s="1321"/>
      <c r="AC436" s="1803">
        <f t="shared" si="22"/>
        <v>0</v>
      </c>
      <c r="AD436" s="1803">
        <f t="shared" si="23"/>
        <v>0</v>
      </c>
      <c r="AE436" s="1803">
        <f t="shared" si="24"/>
        <v>0</v>
      </c>
      <c r="AF436" s="1803">
        <f t="shared" si="25"/>
        <v>0</v>
      </c>
      <c r="AG436" s="1803">
        <f t="shared" si="26"/>
        <v>0</v>
      </c>
      <c r="AH436" s="1803">
        <f t="shared" si="27"/>
        <v>0</v>
      </c>
      <c r="AI436" s="1803">
        <f t="shared" si="28"/>
        <v>0</v>
      </c>
      <c r="AJ436" s="1803">
        <f t="shared" si="29"/>
        <v>0</v>
      </c>
      <c r="AK436" s="1803">
        <f t="shared" si="30"/>
        <v>0</v>
      </c>
      <c r="AL436" s="1803">
        <f t="shared" si="31"/>
        <v>0</v>
      </c>
      <c r="AM436" s="1803">
        <f t="shared" si="32"/>
        <v>0</v>
      </c>
      <c r="AN436" s="1803">
        <f t="shared" si="33"/>
        <v>0</v>
      </c>
      <c r="AO436" s="950"/>
      <c r="AP436" s="950"/>
      <c r="AQ436" s="950"/>
      <c r="AR436" s="950"/>
      <c r="AS436" s="950"/>
      <c r="AT436" s="950"/>
      <c r="AU436" s="1321"/>
    </row>
    <row r="437" spans="2:47" hidden="1" x14ac:dyDescent="0.2">
      <c r="B437" s="232"/>
      <c r="C437" s="1803">
        <f>SUMIF(InsumosCultivos!$B$45:$B$1151,$B369,InsumosCultivos!$I$45:$I$1151)</f>
        <v>0</v>
      </c>
      <c r="D437" s="1803">
        <f>SUMIF(InsumosCultivos!$B$45:$B$1151,$B369,InsumosCultivos!$J$45:$J$1151)</f>
        <v>0</v>
      </c>
      <c r="E437" s="1803">
        <f>SUMIF(InsumosCultivos!$B$45:$B$1151,$B369,InsumosCultivos!$K$45:$K$1151)</f>
        <v>0</v>
      </c>
      <c r="F437" s="1803">
        <f>SUMIF(InsumosCultivos!$B$45:$B$1151,$B369,InsumosCultivos!$L$45:$L$1151)</f>
        <v>0</v>
      </c>
      <c r="G437" s="1803">
        <f>SUMIF(InsumosCultivos!$B$45:$B$1151,$B369,InsumosCultivos!$M$45:$M$1151)</f>
        <v>0</v>
      </c>
      <c r="H437" s="1803">
        <f>SUMIF(InsumosCultivos!$B$45:$B$1151,$B369,InsumosCultivos!$N$45:$N$1151)</f>
        <v>0</v>
      </c>
      <c r="I437" s="1803">
        <f>SUMIF(InsumosCultivos!$B$45:$B$1151,$B369,InsumosCultivos!$O$45:$O$1151)</f>
        <v>0</v>
      </c>
      <c r="J437" s="1803">
        <f>SUMIF(InsumosCultivos!$B$45:$B$1151,$B369,InsumosCultivos!$P$45:$P$1151)</f>
        <v>0</v>
      </c>
      <c r="K437" s="1803">
        <f>SUMIF(InsumosCultivos!$B$45:$B$1151,$B369,InsumosCultivos!$Q$45:$Q$1151)</f>
        <v>0</v>
      </c>
      <c r="L437" s="1803">
        <f>SUMIF(InsumosCultivos!$B$45:$B$1151,$B369,InsumosCultivos!$R$45:$R$1151)</f>
        <v>0</v>
      </c>
      <c r="M437" s="1803">
        <f>SUMIF(InsumosCultivos!$B$45:$B$1151,$B369,InsumosCultivos!$S$45:$S$1151)</f>
        <v>0</v>
      </c>
      <c r="N437" s="1803">
        <f>SUMIF(InsumosCultivos!$B$45:$B$1151,$B369,InsumosCultivos!$T$45:$T$1151)</f>
        <v>0</v>
      </c>
      <c r="O437" s="1321"/>
      <c r="P437" s="1803">
        <f>SUMIF(InsumosCultivos!$Y$45:$Y$529,$B369,InsumosCultivos!$AF$45:$AF$529)</f>
        <v>0</v>
      </c>
      <c r="Q437" s="1803">
        <f>SUMIF(InsumosCultivos!$Y$45:$Y$529,$B369,InsumosCultivos!$AG$45:$AG$529)</f>
        <v>0</v>
      </c>
      <c r="R437" s="1803">
        <f>SUMIF(InsumosCultivos!$Y$45:$Y$529,$B369,InsumosCultivos!$AH$45:$AH$529)</f>
        <v>0</v>
      </c>
      <c r="S437" s="1803">
        <f>SUMIF(InsumosCultivos!$Y$45:$Y$529,$B369,InsumosCultivos!$AI$45:$AI$529)</f>
        <v>0</v>
      </c>
      <c r="T437" s="1803">
        <f>SUMIF(InsumosCultivos!$Y$45:$Y$529,$B369,InsumosCultivos!$AJ$45:$AJ$529)</f>
        <v>0</v>
      </c>
      <c r="U437" s="1803">
        <f>SUMIF(InsumosCultivos!$Y$45:$Y$529,$B369,InsumosCultivos!$AK$45:$AK$529)</f>
        <v>0</v>
      </c>
      <c r="V437" s="1803">
        <f>SUMIF(InsumosCultivos!$Y$45:$Y$529,$B369,InsumosCultivos!$AL$45:$AL$529)</f>
        <v>0</v>
      </c>
      <c r="W437" s="1803">
        <f>SUMIF(InsumosCultivos!$Y$45:$Y$529,$B369,InsumosCultivos!$AM$45:$AM$529)</f>
        <v>0</v>
      </c>
      <c r="X437" s="1803">
        <f>SUMIF(InsumosCultivos!$Y$45:$Y$529,$B369,InsumosCultivos!$AN$45:$AN$529)</f>
        <v>0</v>
      </c>
      <c r="Y437" s="1803">
        <f>SUMIF(InsumosCultivos!$Y$45:$Y$529,$B369,InsumosCultivos!$AO$45:$AO$529)</f>
        <v>0</v>
      </c>
      <c r="Z437" s="1803">
        <f>SUMIF(InsumosCultivos!$Y$45:$Y$529,$B369,InsumosCultivos!$AP$45:$AP$529)</f>
        <v>0</v>
      </c>
      <c r="AA437" s="1803">
        <f>SUMIF(InsumosCultivos!$Y$45:$Y$529,$B369,InsumosCultivos!$AQ$45:$AQ$529)</f>
        <v>0</v>
      </c>
      <c r="AB437" s="1321"/>
      <c r="AC437" s="1803">
        <f t="shared" si="22"/>
        <v>0</v>
      </c>
      <c r="AD437" s="1803">
        <f t="shared" si="23"/>
        <v>0</v>
      </c>
      <c r="AE437" s="1803">
        <f t="shared" si="24"/>
        <v>0</v>
      </c>
      <c r="AF437" s="1803">
        <f t="shared" si="25"/>
        <v>0</v>
      </c>
      <c r="AG437" s="1803">
        <f t="shared" si="26"/>
        <v>0</v>
      </c>
      <c r="AH437" s="1803">
        <f t="shared" si="27"/>
        <v>0</v>
      </c>
      <c r="AI437" s="1803">
        <f t="shared" si="28"/>
        <v>0</v>
      </c>
      <c r="AJ437" s="1803">
        <f t="shared" si="29"/>
        <v>0</v>
      </c>
      <c r="AK437" s="1803">
        <f t="shared" si="30"/>
        <v>0</v>
      </c>
      <c r="AL437" s="1803">
        <f t="shared" si="31"/>
        <v>0</v>
      </c>
      <c r="AM437" s="1803">
        <f t="shared" si="32"/>
        <v>0</v>
      </c>
      <c r="AN437" s="1803">
        <f t="shared" si="33"/>
        <v>0</v>
      </c>
      <c r="AO437" s="950"/>
      <c r="AP437" s="950"/>
      <c r="AQ437" s="950"/>
      <c r="AR437" s="950"/>
      <c r="AS437" s="950"/>
      <c r="AT437" s="950"/>
      <c r="AU437" s="1321"/>
    </row>
    <row r="438" spans="2:47" hidden="1" x14ac:dyDescent="0.2">
      <c r="B438" s="232"/>
      <c r="C438" s="1803">
        <f>SUMIF(InsumosCultivos!$B$45:$B$1151,$B370,InsumosCultivos!$I$45:$I$1151)</f>
        <v>0</v>
      </c>
      <c r="D438" s="1803">
        <f>SUMIF(InsumosCultivos!$B$45:$B$1151,$B370,InsumosCultivos!$J$45:$J$1151)</f>
        <v>0</v>
      </c>
      <c r="E438" s="1803">
        <f>SUMIF(InsumosCultivos!$B$45:$B$1151,$B370,InsumosCultivos!$K$45:$K$1151)</f>
        <v>0</v>
      </c>
      <c r="F438" s="1803">
        <f>SUMIF(InsumosCultivos!$B$45:$B$1151,$B370,InsumosCultivos!$L$45:$L$1151)</f>
        <v>0</v>
      </c>
      <c r="G438" s="1803">
        <f>SUMIF(InsumosCultivos!$B$45:$B$1151,$B370,InsumosCultivos!$M$45:$M$1151)</f>
        <v>0</v>
      </c>
      <c r="H438" s="1803">
        <f>SUMIF(InsumosCultivos!$B$45:$B$1151,$B370,InsumosCultivos!$N$45:$N$1151)</f>
        <v>0</v>
      </c>
      <c r="I438" s="1803">
        <f>SUMIF(InsumosCultivos!$B$45:$B$1151,$B370,InsumosCultivos!$O$45:$O$1151)</f>
        <v>0</v>
      </c>
      <c r="J438" s="1803">
        <f>SUMIF(InsumosCultivos!$B$45:$B$1151,$B370,InsumosCultivos!$P$45:$P$1151)</f>
        <v>0</v>
      </c>
      <c r="K438" s="1803">
        <f>SUMIF(InsumosCultivos!$B$45:$B$1151,$B370,InsumosCultivos!$Q$45:$Q$1151)</f>
        <v>0</v>
      </c>
      <c r="L438" s="1803">
        <f>SUMIF(InsumosCultivos!$B$45:$B$1151,$B370,InsumosCultivos!$R$45:$R$1151)</f>
        <v>0</v>
      </c>
      <c r="M438" s="1803">
        <f>SUMIF(InsumosCultivos!$B$45:$B$1151,$B370,InsumosCultivos!$S$45:$S$1151)</f>
        <v>0</v>
      </c>
      <c r="N438" s="1803">
        <f>SUMIF(InsumosCultivos!$B$45:$B$1151,$B370,InsumosCultivos!$T$45:$T$1151)</f>
        <v>0</v>
      </c>
      <c r="O438" s="1321"/>
      <c r="P438" s="1803">
        <f>SUMIF(InsumosCultivos!$Y$45:$Y$529,$B370,InsumosCultivos!$AF$45:$AF$529)</f>
        <v>0</v>
      </c>
      <c r="Q438" s="1803">
        <f>SUMIF(InsumosCultivos!$Y$45:$Y$529,$B370,InsumosCultivos!$AG$45:$AG$529)</f>
        <v>0</v>
      </c>
      <c r="R438" s="1803">
        <f>SUMIF(InsumosCultivos!$Y$45:$Y$529,$B370,InsumosCultivos!$AH$45:$AH$529)</f>
        <v>0</v>
      </c>
      <c r="S438" s="1803">
        <f>SUMIF(InsumosCultivos!$Y$45:$Y$529,$B370,InsumosCultivos!$AI$45:$AI$529)</f>
        <v>0</v>
      </c>
      <c r="T438" s="1803">
        <f>SUMIF(InsumosCultivos!$Y$45:$Y$529,$B370,InsumosCultivos!$AJ$45:$AJ$529)</f>
        <v>0</v>
      </c>
      <c r="U438" s="1803">
        <f>SUMIF(InsumosCultivos!$Y$45:$Y$529,$B370,InsumosCultivos!$AK$45:$AK$529)</f>
        <v>0</v>
      </c>
      <c r="V438" s="1803">
        <f>SUMIF(InsumosCultivos!$Y$45:$Y$529,$B370,InsumosCultivos!$AL$45:$AL$529)</f>
        <v>0</v>
      </c>
      <c r="W438" s="1803">
        <f>SUMIF(InsumosCultivos!$Y$45:$Y$529,$B370,InsumosCultivos!$AM$45:$AM$529)</f>
        <v>0</v>
      </c>
      <c r="X438" s="1803">
        <f>SUMIF(InsumosCultivos!$Y$45:$Y$529,$B370,InsumosCultivos!$AN$45:$AN$529)</f>
        <v>0</v>
      </c>
      <c r="Y438" s="1803">
        <f>SUMIF(InsumosCultivos!$Y$45:$Y$529,$B370,InsumosCultivos!$AO$45:$AO$529)</f>
        <v>0</v>
      </c>
      <c r="Z438" s="1803">
        <f>SUMIF(InsumosCultivos!$Y$45:$Y$529,$B370,InsumosCultivos!$AP$45:$AP$529)</f>
        <v>0</v>
      </c>
      <c r="AA438" s="1803">
        <f>SUMIF(InsumosCultivos!$Y$45:$Y$529,$B370,InsumosCultivos!$AQ$45:$AQ$529)</f>
        <v>0</v>
      </c>
      <c r="AB438" s="1321"/>
      <c r="AC438" s="1803">
        <f t="shared" si="22"/>
        <v>0</v>
      </c>
      <c r="AD438" s="1803">
        <f t="shared" si="23"/>
        <v>0</v>
      </c>
      <c r="AE438" s="1803">
        <f t="shared" si="24"/>
        <v>0</v>
      </c>
      <c r="AF438" s="1803">
        <f t="shared" si="25"/>
        <v>0</v>
      </c>
      <c r="AG438" s="1803">
        <f t="shared" si="26"/>
        <v>0</v>
      </c>
      <c r="AH438" s="1803">
        <f t="shared" si="27"/>
        <v>0</v>
      </c>
      <c r="AI438" s="1803">
        <f t="shared" si="28"/>
        <v>0</v>
      </c>
      <c r="AJ438" s="1803">
        <f t="shared" si="29"/>
        <v>0</v>
      </c>
      <c r="AK438" s="1803">
        <f t="shared" si="30"/>
        <v>0</v>
      </c>
      <c r="AL438" s="1803">
        <f t="shared" si="31"/>
        <v>0</v>
      </c>
      <c r="AM438" s="1803">
        <f t="shared" si="32"/>
        <v>0</v>
      </c>
      <c r="AN438" s="1803">
        <f t="shared" si="33"/>
        <v>0</v>
      </c>
      <c r="AO438" s="950"/>
      <c r="AP438" s="950"/>
      <c r="AQ438" s="950"/>
      <c r="AR438" s="950"/>
      <c r="AS438" s="950"/>
      <c r="AT438" s="950"/>
      <c r="AU438" s="1321"/>
    </row>
    <row r="439" spans="2:47" hidden="1" x14ac:dyDescent="0.2">
      <c r="B439" s="232"/>
      <c r="C439" s="1803">
        <f>SUMIF(InsumosCultivos!$B$45:$B$1151,$B371,InsumosCultivos!$I$45:$I$1151)</f>
        <v>0</v>
      </c>
      <c r="D439" s="1803">
        <f>SUMIF(InsumosCultivos!$B$45:$B$1151,$B371,InsumosCultivos!$J$45:$J$1151)</f>
        <v>0</v>
      </c>
      <c r="E439" s="1803">
        <f>SUMIF(InsumosCultivos!$B$45:$B$1151,$B371,InsumosCultivos!$K$45:$K$1151)</f>
        <v>0</v>
      </c>
      <c r="F439" s="1803">
        <f>SUMIF(InsumosCultivos!$B$45:$B$1151,$B371,InsumosCultivos!$L$45:$L$1151)</f>
        <v>0</v>
      </c>
      <c r="G439" s="1803">
        <f>SUMIF(InsumosCultivos!$B$45:$B$1151,$B371,InsumosCultivos!$M$45:$M$1151)</f>
        <v>0</v>
      </c>
      <c r="H439" s="1803">
        <f>SUMIF(InsumosCultivos!$B$45:$B$1151,$B371,InsumosCultivos!$N$45:$N$1151)</f>
        <v>0</v>
      </c>
      <c r="I439" s="1803">
        <f>SUMIF(InsumosCultivos!$B$45:$B$1151,$B371,InsumosCultivos!$O$45:$O$1151)</f>
        <v>0</v>
      </c>
      <c r="J439" s="1803">
        <f>SUMIF(InsumosCultivos!$B$45:$B$1151,$B371,InsumosCultivos!$P$45:$P$1151)</f>
        <v>0</v>
      </c>
      <c r="K439" s="1803">
        <f>SUMIF(InsumosCultivos!$B$45:$B$1151,$B371,InsumosCultivos!$Q$45:$Q$1151)</f>
        <v>0</v>
      </c>
      <c r="L439" s="1803">
        <f>SUMIF(InsumosCultivos!$B$45:$B$1151,$B371,InsumosCultivos!$R$45:$R$1151)</f>
        <v>0</v>
      </c>
      <c r="M439" s="1803">
        <f>SUMIF(InsumosCultivos!$B$45:$B$1151,$B371,InsumosCultivos!$S$45:$S$1151)</f>
        <v>0</v>
      </c>
      <c r="N439" s="1803">
        <f>SUMIF(InsumosCultivos!$B$45:$B$1151,$B371,InsumosCultivos!$T$45:$T$1151)</f>
        <v>0</v>
      </c>
      <c r="O439" s="1321"/>
      <c r="P439" s="1803">
        <f>SUMIF(InsumosCultivos!$Y$45:$Y$529,$B371,InsumosCultivos!$AF$45:$AF$529)</f>
        <v>0</v>
      </c>
      <c r="Q439" s="1803">
        <f>SUMIF(InsumosCultivos!$Y$45:$Y$529,$B371,InsumosCultivos!$AG$45:$AG$529)</f>
        <v>0</v>
      </c>
      <c r="R439" s="1803">
        <f>SUMIF(InsumosCultivos!$Y$45:$Y$529,$B371,InsumosCultivos!$AH$45:$AH$529)</f>
        <v>0</v>
      </c>
      <c r="S439" s="1803">
        <f>SUMIF(InsumosCultivos!$Y$45:$Y$529,$B371,InsumosCultivos!$AI$45:$AI$529)</f>
        <v>0</v>
      </c>
      <c r="T439" s="1803">
        <f>SUMIF(InsumosCultivos!$Y$45:$Y$529,$B371,InsumosCultivos!$AJ$45:$AJ$529)</f>
        <v>0</v>
      </c>
      <c r="U439" s="1803">
        <f>SUMIF(InsumosCultivos!$Y$45:$Y$529,$B371,InsumosCultivos!$AK$45:$AK$529)</f>
        <v>0</v>
      </c>
      <c r="V439" s="1803">
        <f>SUMIF(InsumosCultivos!$Y$45:$Y$529,$B371,InsumosCultivos!$AL$45:$AL$529)</f>
        <v>0</v>
      </c>
      <c r="W439" s="1803">
        <f>SUMIF(InsumosCultivos!$Y$45:$Y$529,$B371,InsumosCultivos!$AM$45:$AM$529)</f>
        <v>0</v>
      </c>
      <c r="X439" s="1803">
        <f>SUMIF(InsumosCultivos!$Y$45:$Y$529,$B371,InsumosCultivos!$AN$45:$AN$529)</f>
        <v>0</v>
      </c>
      <c r="Y439" s="1803">
        <f>SUMIF(InsumosCultivos!$Y$45:$Y$529,$B371,InsumosCultivos!$AO$45:$AO$529)</f>
        <v>0</v>
      </c>
      <c r="Z439" s="1803">
        <f>SUMIF(InsumosCultivos!$Y$45:$Y$529,$B371,InsumosCultivos!$AP$45:$AP$529)</f>
        <v>0</v>
      </c>
      <c r="AA439" s="1803">
        <f>SUMIF(InsumosCultivos!$Y$45:$Y$529,$B371,InsumosCultivos!$AQ$45:$AQ$529)</f>
        <v>0</v>
      </c>
      <c r="AB439" s="1321"/>
      <c r="AC439" s="1803">
        <f t="shared" si="22"/>
        <v>0</v>
      </c>
      <c r="AD439" s="1803">
        <f t="shared" si="23"/>
        <v>0</v>
      </c>
      <c r="AE439" s="1803">
        <f t="shared" si="24"/>
        <v>0</v>
      </c>
      <c r="AF439" s="1803">
        <f t="shared" si="25"/>
        <v>0</v>
      </c>
      <c r="AG439" s="1803">
        <f t="shared" si="26"/>
        <v>0</v>
      </c>
      <c r="AH439" s="1803">
        <f t="shared" si="27"/>
        <v>0</v>
      </c>
      <c r="AI439" s="1803">
        <f t="shared" si="28"/>
        <v>0</v>
      </c>
      <c r="AJ439" s="1803">
        <f t="shared" si="29"/>
        <v>0</v>
      </c>
      <c r="AK439" s="1803">
        <f t="shared" si="30"/>
        <v>0</v>
      </c>
      <c r="AL439" s="1803">
        <f t="shared" si="31"/>
        <v>0</v>
      </c>
      <c r="AM439" s="1803">
        <f t="shared" si="32"/>
        <v>0</v>
      </c>
      <c r="AN439" s="1803">
        <f t="shared" si="33"/>
        <v>0</v>
      </c>
      <c r="AO439" s="950"/>
      <c r="AP439" s="950"/>
      <c r="AQ439" s="950"/>
      <c r="AR439" s="950"/>
      <c r="AS439" s="950"/>
      <c r="AT439" s="950"/>
      <c r="AU439" s="1321"/>
    </row>
    <row r="440" spans="2:47" hidden="1" x14ac:dyDescent="0.2">
      <c r="B440" s="232"/>
      <c r="C440" s="1803">
        <f>SUMIF(InsumosCultivos!$B$45:$B$1151,$B372,InsumosCultivos!$I$45:$I$1151)</f>
        <v>0</v>
      </c>
      <c r="D440" s="1803">
        <f>SUMIF(InsumosCultivos!$B$45:$B$1151,$B372,InsumosCultivos!$J$45:$J$1151)</f>
        <v>0</v>
      </c>
      <c r="E440" s="1803">
        <f>SUMIF(InsumosCultivos!$B$45:$B$1151,$B372,InsumosCultivos!$K$45:$K$1151)</f>
        <v>0</v>
      </c>
      <c r="F440" s="1803">
        <f>SUMIF(InsumosCultivos!$B$45:$B$1151,$B372,InsumosCultivos!$L$45:$L$1151)</f>
        <v>0</v>
      </c>
      <c r="G440" s="1803">
        <f>SUMIF(InsumosCultivos!$B$45:$B$1151,$B372,InsumosCultivos!$M$45:$M$1151)</f>
        <v>0</v>
      </c>
      <c r="H440" s="1803">
        <f>SUMIF(InsumosCultivos!$B$45:$B$1151,$B372,InsumosCultivos!$N$45:$N$1151)</f>
        <v>0</v>
      </c>
      <c r="I440" s="1803">
        <f>SUMIF(InsumosCultivos!$B$45:$B$1151,$B372,InsumosCultivos!$O$45:$O$1151)</f>
        <v>0</v>
      </c>
      <c r="J440" s="1803">
        <f>SUMIF(InsumosCultivos!$B$45:$B$1151,$B372,InsumosCultivos!$P$45:$P$1151)</f>
        <v>0</v>
      </c>
      <c r="K440" s="1803">
        <f>SUMIF(InsumosCultivos!$B$45:$B$1151,$B372,InsumosCultivos!$Q$45:$Q$1151)</f>
        <v>0</v>
      </c>
      <c r="L440" s="1803">
        <f>SUMIF(InsumosCultivos!$B$45:$B$1151,$B372,InsumosCultivos!$R$45:$R$1151)</f>
        <v>0</v>
      </c>
      <c r="M440" s="1803">
        <f>SUMIF(InsumosCultivos!$B$45:$B$1151,$B372,InsumosCultivos!$S$45:$S$1151)</f>
        <v>0</v>
      </c>
      <c r="N440" s="1803">
        <f>SUMIF(InsumosCultivos!$B$45:$B$1151,$B372,InsumosCultivos!$T$45:$T$1151)</f>
        <v>0</v>
      </c>
      <c r="O440" s="1321"/>
      <c r="P440" s="1803">
        <f>SUMIF(InsumosCultivos!$Y$45:$Y$529,$B372,InsumosCultivos!$AF$45:$AF$529)</f>
        <v>0</v>
      </c>
      <c r="Q440" s="1803">
        <f>SUMIF(InsumosCultivos!$Y$45:$Y$529,$B372,InsumosCultivos!$AG$45:$AG$529)</f>
        <v>0</v>
      </c>
      <c r="R440" s="1803">
        <f>SUMIF(InsumosCultivos!$Y$45:$Y$529,$B372,InsumosCultivos!$AH$45:$AH$529)</f>
        <v>0</v>
      </c>
      <c r="S440" s="1803">
        <f>SUMIF(InsumosCultivos!$Y$45:$Y$529,$B372,InsumosCultivos!$AI$45:$AI$529)</f>
        <v>0</v>
      </c>
      <c r="T440" s="1803">
        <f>SUMIF(InsumosCultivos!$Y$45:$Y$529,$B372,InsumosCultivos!$AJ$45:$AJ$529)</f>
        <v>0</v>
      </c>
      <c r="U440" s="1803">
        <f>SUMIF(InsumosCultivos!$Y$45:$Y$529,$B372,InsumosCultivos!$AK$45:$AK$529)</f>
        <v>0</v>
      </c>
      <c r="V440" s="1803">
        <f>SUMIF(InsumosCultivos!$Y$45:$Y$529,$B372,InsumosCultivos!$AL$45:$AL$529)</f>
        <v>0</v>
      </c>
      <c r="W440" s="1803">
        <f>SUMIF(InsumosCultivos!$Y$45:$Y$529,$B372,InsumosCultivos!$AM$45:$AM$529)</f>
        <v>0</v>
      </c>
      <c r="X440" s="1803">
        <f>SUMIF(InsumosCultivos!$Y$45:$Y$529,$B372,InsumosCultivos!$AN$45:$AN$529)</f>
        <v>0</v>
      </c>
      <c r="Y440" s="1803">
        <f>SUMIF(InsumosCultivos!$Y$45:$Y$529,$B372,InsumosCultivos!$AO$45:$AO$529)</f>
        <v>0</v>
      </c>
      <c r="Z440" s="1803">
        <f>SUMIF(InsumosCultivos!$Y$45:$Y$529,$B372,InsumosCultivos!$AP$45:$AP$529)</f>
        <v>0</v>
      </c>
      <c r="AA440" s="1803">
        <f>SUMIF(InsumosCultivos!$Y$45:$Y$529,$B372,InsumosCultivos!$AQ$45:$AQ$529)</f>
        <v>0</v>
      </c>
      <c r="AB440" s="1321"/>
      <c r="AC440" s="1803">
        <f t="shared" si="22"/>
        <v>0</v>
      </c>
      <c r="AD440" s="1803">
        <f t="shared" si="23"/>
        <v>0</v>
      </c>
      <c r="AE440" s="1803">
        <f t="shared" si="24"/>
        <v>0</v>
      </c>
      <c r="AF440" s="1803">
        <f t="shared" si="25"/>
        <v>0</v>
      </c>
      <c r="AG440" s="1803">
        <f t="shared" si="26"/>
        <v>0</v>
      </c>
      <c r="AH440" s="1803">
        <f t="shared" si="27"/>
        <v>0</v>
      </c>
      <c r="AI440" s="1803">
        <f t="shared" si="28"/>
        <v>0</v>
      </c>
      <c r="AJ440" s="1803">
        <f t="shared" si="29"/>
        <v>0</v>
      </c>
      <c r="AK440" s="1803">
        <f t="shared" si="30"/>
        <v>0</v>
      </c>
      <c r="AL440" s="1803">
        <f t="shared" si="31"/>
        <v>0</v>
      </c>
      <c r="AM440" s="1803">
        <f t="shared" si="32"/>
        <v>0</v>
      </c>
      <c r="AN440" s="1803">
        <f t="shared" si="33"/>
        <v>0</v>
      </c>
      <c r="AO440" s="950"/>
      <c r="AP440" s="950"/>
      <c r="AQ440" s="950"/>
      <c r="AR440" s="950"/>
      <c r="AS440" s="950"/>
      <c r="AT440" s="950"/>
      <c r="AU440" s="1321"/>
    </row>
    <row r="441" spans="2:47" hidden="1" x14ac:dyDescent="0.2">
      <c r="B441" s="232"/>
      <c r="C441" s="1803">
        <f>SUMIF(InsumosCultivos!$B$45:$B$1151,$B373,InsumosCultivos!$I$45:$I$1151)</f>
        <v>0</v>
      </c>
      <c r="D441" s="1803">
        <f>SUMIF(InsumosCultivos!$B$45:$B$1151,$B373,InsumosCultivos!$J$45:$J$1151)</f>
        <v>0</v>
      </c>
      <c r="E441" s="1803">
        <f>SUMIF(InsumosCultivos!$B$45:$B$1151,$B373,InsumosCultivos!$K$45:$K$1151)</f>
        <v>0</v>
      </c>
      <c r="F441" s="1803">
        <f>SUMIF(InsumosCultivos!$B$45:$B$1151,$B373,InsumosCultivos!$L$45:$L$1151)</f>
        <v>0</v>
      </c>
      <c r="G441" s="1803">
        <f>SUMIF(InsumosCultivos!$B$45:$B$1151,$B373,InsumosCultivos!$M$45:$M$1151)</f>
        <v>0</v>
      </c>
      <c r="H441" s="1803">
        <f>SUMIF(InsumosCultivos!$B$45:$B$1151,$B373,InsumosCultivos!$N$45:$N$1151)</f>
        <v>0</v>
      </c>
      <c r="I441" s="1803">
        <f>SUMIF(InsumosCultivos!$B$45:$B$1151,$B373,InsumosCultivos!$O$45:$O$1151)</f>
        <v>0</v>
      </c>
      <c r="J441" s="1803">
        <f>SUMIF(InsumosCultivos!$B$45:$B$1151,$B373,InsumosCultivos!$P$45:$P$1151)</f>
        <v>0</v>
      </c>
      <c r="K441" s="1803">
        <f>SUMIF(InsumosCultivos!$B$45:$B$1151,$B373,InsumosCultivos!$Q$45:$Q$1151)</f>
        <v>0</v>
      </c>
      <c r="L441" s="1803">
        <f>SUMIF(InsumosCultivos!$B$45:$B$1151,$B373,InsumosCultivos!$R$45:$R$1151)</f>
        <v>0</v>
      </c>
      <c r="M441" s="1803">
        <f>SUMIF(InsumosCultivos!$B$45:$B$1151,$B373,InsumosCultivos!$S$45:$S$1151)</f>
        <v>0</v>
      </c>
      <c r="N441" s="1803">
        <f>SUMIF(InsumosCultivos!$B$45:$B$1151,$B373,InsumosCultivos!$T$45:$T$1151)</f>
        <v>0</v>
      </c>
      <c r="O441" s="1321"/>
      <c r="P441" s="1803">
        <f>SUMIF(InsumosCultivos!$Y$45:$Y$529,$B373,InsumosCultivos!$AF$45:$AF$529)</f>
        <v>0</v>
      </c>
      <c r="Q441" s="1803">
        <f>SUMIF(InsumosCultivos!$Y$45:$Y$529,$B373,InsumosCultivos!$AG$45:$AG$529)</f>
        <v>0</v>
      </c>
      <c r="R441" s="1803">
        <f>SUMIF(InsumosCultivos!$Y$45:$Y$529,$B373,InsumosCultivos!$AH$45:$AH$529)</f>
        <v>0</v>
      </c>
      <c r="S441" s="1803">
        <f>SUMIF(InsumosCultivos!$Y$45:$Y$529,$B373,InsumosCultivos!$AI$45:$AI$529)</f>
        <v>0</v>
      </c>
      <c r="T441" s="1803">
        <f>SUMIF(InsumosCultivos!$Y$45:$Y$529,$B373,InsumosCultivos!$AJ$45:$AJ$529)</f>
        <v>0</v>
      </c>
      <c r="U441" s="1803">
        <f>SUMIF(InsumosCultivos!$Y$45:$Y$529,$B373,InsumosCultivos!$AK$45:$AK$529)</f>
        <v>0</v>
      </c>
      <c r="V441" s="1803">
        <f>SUMIF(InsumosCultivos!$Y$45:$Y$529,$B373,InsumosCultivos!$AL$45:$AL$529)</f>
        <v>0</v>
      </c>
      <c r="W441" s="1803">
        <f>SUMIF(InsumosCultivos!$Y$45:$Y$529,$B373,InsumosCultivos!$AM$45:$AM$529)</f>
        <v>0</v>
      </c>
      <c r="X441" s="1803">
        <f>SUMIF(InsumosCultivos!$Y$45:$Y$529,$B373,InsumosCultivos!$AN$45:$AN$529)</f>
        <v>0</v>
      </c>
      <c r="Y441" s="1803">
        <f>SUMIF(InsumosCultivos!$Y$45:$Y$529,$B373,InsumosCultivos!$AO$45:$AO$529)</f>
        <v>0</v>
      </c>
      <c r="Z441" s="1803">
        <f>SUMIF(InsumosCultivos!$Y$45:$Y$529,$B373,InsumosCultivos!$AP$45:$AP$529)</f>
        <v>0</v>
      </c>
      <c r="AA441" s="1803">
        <f>SUMIF(InsumosCultivos!$Y$45:$Y$529,$B373,InsumosCultivos!$AQ$45:$AQ$529)</f>
        <v>0</v>
      </c>
      <c r="AB441" s="1321"/>
      <c r="AC441" s="1803">
        <f t="shared" si="22"/>
        <v>0</v>
      </c>
      <c r="AD441" s="1803">
        <f t="shared" si="23"/>
        <v>0</v>
      </c>
      <c r="AE441" s="1803">
        <f t="shared" si="24"/>
        <v>0</v>
      </c>
      <c r="AF441" s="1803">
        <f t="shared" si="25"/>
        <v>0</v>
      </c>
      <c r="AG441" s="1803">
        <f t="shared" si="26"/>
        <v>0</v>
      </c>
      <c r="AH441" s="1803">
        <f t="shared" si="27"/>
        <v>0</v>
      </c>
      <c r="AI441" s="1803">
        <f t="shared" si="28"/>
        <v>0</v>
      </c>
      <c r="AJ441" s="1803">
        <f t="shared" si="29"/>
        <v>0</v>
      </c>
      <c r="AK441" s="1803">
        <f t="shared" si="30"/>
        <v>0</v>
      </c>
      <c r="AL441" s="1803">
        <f t="shared" si="31"/>
        <v>0</v>
      </c>
      <c r="AM441" s="1803">
        <f t="shared" si="32"/>
        <v>0</v>
      </c>
      <c r="AN441" s="1803">
        <f t="shared" si="33"/>
        <v>0</v>
      </c>
      <c r="AO441" s="950"/>
      <c r="AP441" s="950"/>
      <c r="AQ441" s="950"/>
      <c r="AR441" s="950"/>
      <c r="AS441" s="950"/>
      <c r="AT441" s="950"/>
      <c r="AU441" s="1321"/>
    </row>
    <row r="442" spans="2:47" hidden="1" x14ac:dyDescent="0.2">
      <c r="B442" s="1271"/>
      <c r="C442" s="1271"/>
      <c r="E442" s="877"/>
      <c r="F442" s="877"/>
      <c r="G442" s="877"/>
      <c r="H442" s="877"/>
      <c r="I442" s="950"/>
      <c r="J442" s="950"/>
      <c r="K442" s="950"/>
      <c r="L442" s="950"/>
      <c r="M442" s="950"/>
      <c r="N442" s="950"/>
      <c r="O442" s="950"/>
      <c r="P442" s="950"/>
      <c r="Q442" s="950"/>
      <c r="R442" s="950"/>
      <c r="S442" s="950"/>
      <c r="T442" s="950"/>
      <c r="U442" s="1321"/>
      <c r="V442" s="950"/>
      <c r="W442" s="950"/>
      <c r="X442" s="950"/>
      <c r="Y442" s="950"/>
      <c r="Z442" s="950"/>
      <c r="AA442" s="950"/>
      <c r="AB442" s="950"/>
      <c r="AC442" s="950"/>
      <c r="AD442" s="950"/>
      <c r="AE442" s="950"/>
      <c r="AF442" s="950"/>
      <c r="AG442" s="950"/>
      <c r="AH442" s="1321"/>
      <c r="AI442" s="950"/>
      <c r="AJ442" s="950"/>
      <c r="AK442" s="950"/>
      <c r="AL442" s="950"/>
      <c r="AM442" s="950"/>
      <c r="AN442" s="950"/>
      <c r="AO442" s="950"/>
      <c r="AP442" s="950"/>
      <c r="AQ442" s="950"/>
      <c r="AR442" s="950"/>
      <c r="AS442" s="950"/>
      <c r="AT442" s="950"/>
      <c r="AU442" s="1321"/>
    </row>
    <row r="443" spans="2:47" hidden="1" x14ac:dyDescent="0.2">
      <c r="B443" s="1271"/>
      <c r="C443" s="1271"/>
      <c r="E443" s="877"/>
      <c r="F443" s="877"/>
      <c r="G443" s="877"/>
      <c r="H443" s="877"/>
      <c r="I443" s="950"/>
      <c r="J443" s="950"/>
      <c r="K443" s="950"/>
      <c r="L443" s="950"/>
      <c r="M443" s="950"/>
      <c r="N443" s="950"/>
      <c r="O443" s="950"/>
      <c r="P443" s="950"/>
      <c r="Q443" s="950"/>
      <c r="R443" s="950"/>
      <c r="S443" s="950"/>
      <c r="T443" s="950"/>
      <c r="U443" s="1321"/>
      <c r="V443" s="950"/>
      <c r="W443" s="950"/>
      <c r="X443" s="950"/>
      <c r="Y443" s="950"/>
      <c r="Z443" s="950"/>
      <c r="AA443" s="950"/>
      <c r="AB443" s="950"/>
      <c r="AC443" s="950"/>
      <c r="AD443" s="950"/>
      <c r="AE443" s="950"/>
      <c r="AF443" s="950"/>
      <c r="AG443" s="950"/>
      <c r="AH443" s="1321"/>
      <c r="AI443" s="950"/>
      <c r="AJ443" s="950"/>
      <c r="AK443" s="950"/>
      <c r="AL443" s="950"/>
      <c r="AM443" s="950"/>
      <c r="AN443" s="950"/>
      <c r="AO443" s="950"/>
      <c r="AP443" s="950"/>
      <c r="AQ443" s="950"/>
      <c r="AR443" s="950"/>
      <c r="AS443" s="950"/>
      <c r="AT443" s="950"/>
      <c r="AU443" s="1321"/>
    </row>
    <row r="444" spans="2:47" hidden="1" x14ac:dyDescent="0.2">
      <c r="B444" s="2188">
        <v>1008</v>
      </c>
      <c r="C444" s="1661" t="s">
        <v>1268</v>
      </c>
      <c r="D444" s="950"/>
      <c r="E444" s="950"/>
      <c r="F444" s="950"/>
      <c r="G444" s="950"/>
      <c r="H444" s="950"/>
      <c r="I444" s="950"/>
      <c r="J444" s="950"/>
      <c r="K444" s="950"/>
      <c r="L444" s="950"/>
      <c r="M444" s="950"/>
      <c r="N444" s="950"/>
      <c r="O444" s="2188">
        <v>1009</v>
      </c>
      <c r="P444" s="1661" t="s">
        <v>519</v>
      </c>
      <c r="Q444" s="950"/>
      <c r="R444" s="950"/>
      <c r="S444" s="950"/>
      <c r="T444" s="950"/>
      <c r="U444" s="950"/>
      <c r="V444" s="950"/>
      <c r="W444" s="950"/>
      <c r="X444" s="950"/>
      <c r="Y444" s="950"/>
      <c r="Z444" s="950"/>
      <c r="AA444" s="950"/>
      <c r="AB444" s="2188">
        <v>1010</v>
      </c>
      <c r="AC444" s="1661" t="s">
        <v>424</v>
      </c>
      <c r="AD444" s="950"/>
      <c r="AE444" s="950"/>
      <c r="AF444" s="950"/>
      <c r="AG444" s="950"/>
      <c r="AH444" s="950"/>
      <c r="AI444" s="950"/>
      <c r="AJ444" s="950"/>
      <c r="AK444" s="950"/>
      <c r="AL444" s="950"/>
      <c r="AM444" s="950"/>
      <c r="AN444" s="950"/>
      <c r="AO444" s="1321"/>
    </row>
    <row r="445" spans="2:47" hidden="1" x14ac:dyDescent="0.2">
      <c r="B445" s="232"/>
      <c r="C445" s="1805"/>
      <c r="D445" s="1805"/>
      <c r="E445" s="1805"/>
      <c r="F445" s="1805"/>
      <c r="G445" s="1805"/>
      <c r="H445" s="1805"/>
      <c r="I445" s="1805"/>
      <c r="J445" s="1805"/>
      <c r="K445" s="1805"/>
      <c r="L445" s="1805"/>
      <c r="M445" s="1805"/>
      <c r="N445" s="1805"/>
      <c r="O445" s="1321"/>
      <c r="P445" s="950"/>
      <c r="Q445" s="950"/>
      <c r="R445" s="950"/>
      <c r="S445" s="950"/>
      <c r="T445" s="950"/>
      <c r="U445" s="950"/>
      <c r="V445" s="950"/>
      <c r="W445" s="950"/>
      <c r="X445" s="950"/>
      <c r="Y445" s="950"/>
      <c r="Z445" s="950"/>
      <c r="AA445" s="950"/>
      <c r="AB445" s="1321"/>
      <c r="AC445" s="1321"/>
      <c r="AD445" s="1321"/>
      <c r="AE445" s="1321"/>
      <c r="AF445" s="1321"/>
      <c r="AG445" s="1321"/>
      <c r="AH445" s="1321"/>
      <c r="AI445" s="1321"/>
      <c r="AJ445" s="1321"/>
      <c r="AK445" s="1321"/>
      <c r="AL445" s="1321"/>
      <c r="AM445" s="1321"/>
      <c r="AN445" s="1321"/>
      <c r="AO445" s="372"/>
    </row>
    <row r="446" spans="2:47" hidden="1" x14ac:dyDescent="0.2">
      <c r="B446" s="1703">
        <f>D312</f>
        <v>0</v>
      </c>
      <c r="C446" s="1172">
        <f>B446+C515-AC380</f>
        <v>0</v>
      </c>
      <c r="D446" s="1172">
        <f t="shared" ref="D446:D477" si="34">C446+D515-AD380+P446</f>
        <v>0</v>
      </c>
      <c r="E446" s="1172">
        <f t="shared" ref="E446:E477" si="35">D446+E515-AE380+Q446</f>
        <v>0</v>
      </c>
      <c r="F446" s="1172">
        <f t="shared" ref="F446:F477" si="36">E446+F515-AF380+R446</f>
        <v>0</v>
      </c>
      <c r="G446" s="1172">
        <f t="shared" ref="G446:G477" si="37">F446+G515-AG380+S446</f>
        <v>0</v>
      </c>
      <c r="H446" s="1172">
        <f t="shared" ref="H446:H477" si="38">G446+H515-AH380+T446</f>
        <v>0</v>
      </c>
      <c r="I446" s="1172">
        <f t="shared" ref="I446:I477" si="39">H446+I515-AI380+U446</f>
        <v>0</v>
      </c>
      <c r="J446" s="1172">
        <f t="shared" ref="J446:J477" si="40">I446+J515-AJ380+V446</f>
        <v>0</v>
      </c>
      <c r="K446" s="1172">
        <f t="shared" ref="K446:K477" si="41">J446+K515-AK380+W446</f>
        <v>0</v>
      </c>
      <c r="L446" s="1172">
        <f t="shared" ref="L446:L477" si="42">K446+L515-AL380+X446</f>
        <v>0</v>
      </c>
      <c r="M446" s="1172">
        <f t="shared" ref="M446:M477" si="43">L446+M515-AM380+Y446</f>
        <v>0</v>
      </c>
      <c r="N446" s="1172">
        <f t="shared" ref="N446:N477" si="44">M446+N515-AN380+Z446</f>
        <v>0</v>
      </c>
      <c r="O446" s="1703"/>
      <c r="P446" s="1172">
        <f>IF(C446&gt;0,0,-C446)</f>
        <v>0</v>
      </c>
      <c r="Q446" s="1172">
        <f>IF(D446&gt;0,0,-D446)</f>
        <v>0</v>
      </c>
      <c r="R446" s="1172">
        <f t="shared" ref="P446:AA451" si="45">IF(E446&gt;0,0,-E446)</f>
        <v>0</v>
      </c>
      <c r="S446" s="1172">
        <f t="shared" si="45"/>
        <v>0</v>
      </c>
      <c r="T446" s="1172">
        <f t="shared" si="45"/>
        <v>0</v>
      </c>
      <c r="U446" s="1172">
        <f t="shared" si="45"/>
        <v>0</v>
      </c>
      <c r="V446" s="1172">
        <f t="shared" si="45"/>
        <v>0</v>
      </c>
      <c r="W446" s="1172">
        <f t="shared" si="45"/>
        <v>0</v>
      </c>
      <c r="X446" s="1172">
        <f t="shared" si="45"/>
        <v>0</v>
      </c>
      <c r="Y446" s="1172">
        <f t="shared" si="45"/>
        <v>0</v>
      </c>
      <c r="Z446" s="1172">
        <f t="shared" si="45"/>
        <v>0</v>
      </c>
      <c r="AA446" s="1172">
        <f t="shared" si="45"/>
        <v>0</v>
      </c>
      <c r="AB446" s="1321"/>
      <c r="AC446" s="1803">
        <f>P446*$C$312</f>
        <v>0</v>
      </c>
      <c r="AD446" s="1803">
        <f t="shared" ref="AD446:AN446" si="46">Q446*$C$312</f>
        <v>0</v>
      </c>
      <c r="AE446" s="1803">
        <f t="shared" si="46"/>
        <v>0</v>
      </c>
      <c r="AF446" s="1803">
        <f t="shared" si="46"/>
        <v>0</v>
      </c>
      <c r="AG446" s="1803">
        <f t="shared" si="46"/>
        <v>0</v>
      </c>
      <c r="AH446" s="1803">
        <f t="shared" si="46"/>
        <v>0</v>
      </c>
      <c r="AI446" s="1803">
        <f t="shared" si="46"/>
        <v>0</v>
      </c>
      <c r="AJ446" s="1803">
        <f t="shared" si="46"/>
        <v>0</v>
      </c>
      <c r="AK446" s="1803">
        <f t="shared" si="46"/>
        <v>0</v>
      </c>
      <c r="AL446" s="1803">
        <f t="shared" si="46"/>
        <v>0</v>
      </c>
      <c r="AM446" s="1803">
        <f t="shared" si="46"/>
        <v>0</v>
      </c>
      <c r="AN446" s="1803">
        <f t="shared" si="46"/>
        <v>0</v>
      </c>
      <c r="AO446" s="1321"/>
    </row>
    <row r="447" spans="2:47" hidden="1" x14ac:dyDescent="0.2">
      <c r="B447" s="1703">
        <f t="shared" ref="B447:B477" si="47">D313</f>
        <v>0</v>
      </c>
      <c r="C447" s="1172">
        <f t="shared" ref="C447:C477" si="48">B447+C516-AC381</f>
        <v>0</v>
      </c>
      <c r="D447" s="1172">
        <f t="shared" si="34"/>
        <v>0</v>
      </c>
      <c r="E447" s="1172">
        <f t="shared" si="35"/>
        <v>0</v>
      </c>
      <c r="F447" s="1172">
        <f t="shared" si="36"/>
        <v>0</v>
      </c>
      <c r="G447" s="1172">
        <f t="shared" si="37"/>
        <v>0</v>
      </c>
      <c r="H447" s="1172">
        <f t="shared" si="38"/>
        <v>0</v>
      </c>
      <c r="I447" s="1172">
        <f t="shared" si="39"/>
        <v>0</v>
      </c>
      <c r="J447" s="1172">
        <f t="shared" si="40"/>
        <v>0</v>
      </c>
      <c r="K447" s="1172">
        <f t="shared" si="41"/>
        <v>0</v>
      </c>
      <c r="L447" s="1172">
        <f t="shared" si="42"/>
        <v>0</v>
      </c>
      <c r="M447" s="1172">
        <f t="shared" si="43"/>
        <v>0</v>
      </c>
      <c r="N447" s="1172">
        <f t="shared" si="44"/>
        <v>0</v>
      </c>
      <c r="O447" s="1703"/>
      <c r="P447" s="1172">
        <f t="shared" si="45"/>
        <v>0</v>
      </c>
      <c r="Q447" s="1172">
        <f t="shared" si="45"/>
        <v>0</v>
      </c>
      <c r="R447" s="1172">
        <f t="shared" si="45"/>
        <v>0</v>
      </c>
      <c r="S447" s="1172">
        <f t="shared" si="45"/>
        <v>0</v>
      </c>
      <c r="T447" s="1172">
        <f t="shared" si="45"/>
        <v>0</v>
      </c>
      <c r="U447" s="1172">
        <f t="shared" si="45"/>
        <v>0</v>
      </c>
      <c r="V447" s="1172">
        <f t="shared" si="45"/>
        <v>0</v>
      </c>
      <c r="W447" s="1172">
        <f t="shared" si="45"/>
        <v>0</v>
      </c>
      <c r="X447" s="1172">
        <f t="shared" si="45"/>
        <v>0</v>
      </c>
      <c r="Y447" s="1172">
        <f t="shared" si="45"/>
        <v>0</v>
      </c>
      <c r="Z447" s="1172">
        <f t="shared" si="45"/>
        <v>0</v>
      </c>
      <c r="AA447" s="1172">
        <f t="shared" si="45"/>
        <v>0</v>
      </c>
      <c r="AB447" s="1321"/>
      <c r="AC447" s="1803">
        <f>P447*$C$313</f>
        <v>0</v>
      </c>
      <c r="AD447" s="1803">
        <f t="shared" ref="AD447:AN447" si="49">Q447*$C$313</f>
        <v>0</v>
      </c>
      <c r="AE447" s="1803">
        <f t="shared" si="49"/>
        <v>0</v>
      </c>
      <c r="AF447" s="1803">
        <f t="shared" si="49"/>
        <v>0</v>
      </c>
      <c r="AG447" s="1803">
        <f t="shared" si="49"/>
        <v>0</v>
      </c>
      <c r="AH447" s="1803">
        <f t="shared" si="49"/>
        <v>0</v>
      </c>
      <c r="AI447" s="1803">
        <f t="shared" si="49"/>
        <v>0</v>
      </c>
      <c r="AJ447" s="1803">
        <f t="shared" si="49"/>
        <v>0</v>
      </c>
      <c r="AK447" s="1803">
        <f t="shared" si="49"/>
        <v>0</v>
      </c>
      <c r="AL447" s="1803">
        <f t="shared" si="49"/>
        <v>0</v>
      </c>
      <c r="AM447" s="1803">
        <f t="shared" si="49"/>
        <v>0</v>
      </c>
      <c r="AN447" s="1803">
        <f t="shared" si="49"/>
        <v>0</v>
      </c>
      <c r="AO447" s="1321"/>
    </row>
    <row r="448" spans="2:47" hidden="1" x14ac:dyDescent="0.2">
      <c r="B448" s="1703">
        <f t="shared" si="47"/>
        <v>0</v>
      </c>
      <c r="C448" s="1172">
        <f t="shared" si="48"/>
        <v>0</v>
      </c>
      <c r="D448" s="1172">
        <f t="shared" si="34"/>
        <v>0</v>
      </c>
      <c r="E448" s="1172">
        <f t="shared" si="35"/>
        <v>0</v>
      </c>
      <c r="F448" s="1172">
        <f t="shared" si="36"/>
        <v>0</v>
      </c>
      <c r="G448" s="1172">
        <f t="shared" si="37"/>
        <v>0</v>
      </c>
      <c r="H448" s="1172">
        <f t="shared" si="38"/>
        <v>0</v>
      </c>
      <c r="I448" s="1172">
        <f t="shared" si="39"/>
        <v>0</v>
      </c>
      <c r="J448" s="1172">
        <f t="shared" si="40"/>
        <v>0</v>
      </c>
      <c r="K448" s="1172">
        <f t="shared" si="41"/>
        <v>0</v>
      </c>
      <c r="L448" s="1172">
        <f t="shared" si="42"/>
        <v>0</v>
      </c>
      <c r="M448" s="1172">
        <f t="shared" si="43"/>
        <v>0</v>
      </c>
      <c r="N448" s="1172">
        <f t="shared" si="44"/>
        <v>0</v>
      </c>
      <c r="O448" s="1703"/>
      <c r="P448" s="1172">
        <f t="shared" si="45"/>
        <v>0</v>
      </c>
      <c r="Q448" s="1172">
        <f t="shared" si="45"/>
        <v>0</v>
      </c>
      <c r="R448" s="1172">
        <f t="shared" si="45"/>
        <v>0</v>
      </c>
      <c r="S448" s="1172">
        <f t="shared" si="45"/>
        <v>0</v>
      </c>
      <c r="T448" s="1172">
        <f>IF(G448&gt;0,0,-G448)</f>
        <v>0</v>
      </c>
      <c r="U448" s="1172">
        <f>IF(H448&gt;0,0,-H448)</f>
        <v>0</v>
      </c>
      <c r="V448" s="1172">
        <f t="shared" si="45"/>
        <v>0</v>
      </c>
      <c r="W448" s="1172">
        <f t="shared" si="45"/>
        <v>0</v>
      </c>
      <c r="X448" s="1172">
        <f t="shared" si="45"/>
        <v>0</v>
      </c>
      <c r="Y448" s="1172">
        <f t="shared" si="45"/>
        <v>0</v>
      </c>
      <c r="Z448" s="1172">
        <f t="shared" si="45"/>
        <v>0</v>
      </c>
      <c r="AA448" s="1172">
        <f t="shared" si="45"/>
        <v>0</v>
      </c>
      <c r="AB448" s="1321"/>
      <c r="AC448" s="1803">
        <f>P448*$C$314</f>
        <v>0</v>
      </c>
      <c r="AD448" s="1803">
        <f t="shared" ref="AD448:AN448" si="50">Q448*$C$314</f>
        <v>0</v>
      </c>
      <c r="AE448" s="1803">
        <f t="shared" si="50"/>
        <v>0</v>
      </c>
      <c r="AF448" s="1803">
        <f t="shared" si="50"/>
        <v>0</v>
      </c>
      <c r="AG448" s="1803">
        <f t="shared" si="50"/>
        <v>0</v>
      </c>
      <c r="AH448" s="1803">
        <f>U448*$C$314</f>
        <v>0</v>
      </c>
      <c r="AI448" s="1803">
        <f t="shared" si="50"/>
        <v>0</v>
      </c>
      <c r="AJ448" s="1803">
        <f t="shared" si="50"/>
        <v>0</v>
      </c>
      <c r="AK448" s="1803">
        <f t="shared" si="50"/>
        <v>0</v>
      </c>
      <c r="AL448" s="1803">
        <f t="shared" si="50"/>
        <v>0</v>
      </c>
      <c r="AM448" s="1803">
        <f t="shared" si="50"/>
        <v>0</v>
      </c>
      <c r="AN448" s="1803">
        <f t="shared" si="50"/>
        <v>0</v>
      </c>
      <c r="AO448" s="1321"/>
    </row>
    <row r="449" spans="2:41" hidden="1" x14ac:dyDescent="0.2">
      <c r="B449" s="1703">
        <f t="shared" si="47"/>
        <v>0</v>
      </c>
      <c r="C449" s="1172">
        <f t="shared" si="48"/>
        <v>0</v>
      </c>
      <c r="D449" s="1172">
        <f t="shared" si="34"/>
        <v>0</v>
      </c>
      <c r="E449" s="1172">
        <f t="shared" si="35"/>
        <v>0</v>
      </c>
      <c r="F449" s="1172">
        <f t="shared" si="36"/>
        <v>0</v>
      </c>
      <c r="G449" s="1172">
        <f t="shared" si="37"/>
        <v>0</v>
      </c>
      <c r="H449" s="1172">
        <f t="shared" si="38"/>
        <v>0</v>
      </c>
      <c r="I449" s="1172">
        <f t="shared" si="39"/>
        <v>0</v>
      </c>
      <c r="J449" s="1172">
        <f t="shared" si="40"/>
        <v>0</v>
      </c>
      <c r="K449" s="1172">
        <f t="shared" si="41"/>
        <v>0</v>
      </c>
      <c r="L449" s="1172">
        <f t="shared" si="42"/>
        <v>0</v>
      </c>
      <c r="M449" s="1172">
        <f t="shared" si="43"/>
        <v>0</v>
      </c>
      <c r="N449" s="1172">
        <f t="shared" si="44"/>
        <v>0</v>
      </c>
      <c r="O449" s="1703"/>
      <c r="P449" s="1172">
        <f t="shared" si="45"/>
        <v>0</v>
      </c>
      <c r="Q449" s="1172">
        <f t="shared" si="45"/>
        <v>0</v>
      </c>
      <c r="R449" s="1172">
        <f t="shared" si="45"/>
        <v>0</v>
      </c>
      <c r="S449" s="1172">
        <f t="shared" si="45"/>
        <v>0</v>
      </c>
      <c r="T449" s="1172">
        <f t="shared" si="45"/>
        <v>0</v>
      </c>
      <c r="U449" s="1172">
        <f t="shared" si="45"/>
        <v>0</v>
      </c>
      <c r="V449" s="1172">
        <f t="shared" si="45"/>
        <v>0</v>
      </c>
      <c r="W449" s="1172">
        <f t="shared" si="45"/>
        <v>0</v>
      </c>
      <c r="X449" s="1172">
        <f t="shared" si="45"/>
        <v>0</v>
      </c>
      <c r="Y449" s="1172">
        <f t="shared" si="45"/>
        <v>0</v>
      </c>
      <c r="Z449" s="1172">
        <f t="shared" si="45"/>
        <v>0</v>
      </c>
      <c r="AA449" s="1172">
        <f t="shared" si="45"/>
        <v>0</v>
      </c>
      <c r="AB449" s="1321"/>
      <c r="AC449" s="1803">
        <f>P449*$C$315</f>
        <v>0</v>
      </c>
      <c r="AD449" s="1803">
        <f t="shared" ref="AD449:AN449" si="51">Q449*$C$315</f>
        <v>0</v>
      </c>
      <c r="AE449" s="1803">
        <f t="shared" si="51"/>
        <v>0</v>
      </c>
      <c r="AF449" s="1803">
        <f t="shared" si="51"/>
        <v>0</v>
      </c>
      <c r="AG449" s="1803">
        <f t="shared" si="51"/>
        <v>0</v>
      </c>
      <c r="AH449" s="1803">
        <f t="shared" si="51"/>
        <v>0</v>
      </c>
      <c r="AI449" s="1803">
        <f t="shared" si="51"/>
        <v>0</v>
      </c>
      <c r="AJ449" s="1803">
        <f t="shared" si="51"/>
        <v>0</v>
      </c>
      <c r="AK449" s="1803">
        <f t="shared" si="51"/>
        <v>0</v>
      </c>
      <c r="AL449" s="1803">
        <f t="shared" si="51"/>
        <v>0</v>
      </c>
      <c r="AM449" s="1803">
        <f t="shared" si="51"/>
        <v>0</v>
      </c>
      <c r="AN449" s="1803">
        <f t="shared" si="51"/>
        <v>0</v>
      </c>
      <c r="AO449" s="1321"/>
    </row>
    <row r="450" spans="2:41" hidden="1" x14ac:dyDescent="0.2">
      <c r="B450" s="1703">
        <f t="shared" si="47"/>
        <v>0</v>
      </c>
      <c r="C450" s="1172">
        <f t="shared" si="48"/>
        <v>0</v>
      </c>
      <c r="D450" s="1172">
        <f t="shared" si="34"/>
        <v>0</v>
      </c>
      <c r="E450" s="1172">
        <f t="shared" si="35"/>
        <v>0</v>
      </c>
      <c r="F450" s="1172">
        <f t="shared" si="36"/>
        <v>0</v>
      </c>
      <c r="G450" s="1172">
        <f t="shared" si="37"/>
        <v>0</v>
      </c>
      <c r="H450" s="1172">
        <f t="shared" si="38"/>
        <v>0</v>
      </c>
      <c r="I450" s="1172">
        <f t="shared" si="39"/>
        <v>0</v>
      </c>
      <c r="J450" s="1172">
        <f t="shared" si="40"/>
        <v>0</v>
      </c>
      <c r="K450" s="1172">
        <f t="shared" si="41"/>
        <v>0</v>
      </c>
      <c r="L450" s="1172">
        <f t="shared" si="42"/>
        <v>0</v>
      </c>
      <c r="M450" s="1172">
        <f t="shared" si="43"/>
        <v>0</v>
      </c>
      <c r="N450" s="1172">
        <f t="shared" si="44"/>
        <v>0</v>
      </c>
      <c r="O450" s="1703"/>
      <c r="P450" s="1172">
        <f t="shared" si="45"/>
        <v>0</v>
      </c>
      <c r="Q450" s="1172">
        <f t="shared" si="45"/>
        <v>0</v>
      </c>
      <c r="R450" s="1172">
        <f t="shared" si="45"/>
        <v>0</v>
      </c>
      <c r="S450" s="1172">
        <f t="shared" si="45"/>
        <v>0</v>
      </c>
      <c r="T450" s="1172">
        <f t="shared" si="45"/>
        <v>0</v>
      </c>
      <c r="U450" s="1172">
        <f t="shared" si="45"/>
        <v>0</v>
      </c>
      <c r="V450" s="1172">
        <f t="shared" si="45"/>
        <v>0</v>
      </c>
      <c r="W450" s="1172">
        <f t="shared" si="45"/>
        <v>0</v>
      </c>
      <c r="X450" s="1172">
        <f t="shared" si="45"/>
        <v>0</v>
      </c>
      <c r="Y450" s="1172">
        <f t="shared" si="45"/>
        <v>0</v>
      </c>
      <c r="Z450" s="1172">
        <f t="shared" si="45"/>
        <v>0</v>
      </c>
      <c r="AA450" s="1172">
        <f t="shared" si="45"/>
        <v>0</v>
      </c>
      <c r="AB450" s="1321"/>
      <c r="AC450" s="1803">
        <f>P450*$C$316</f>
        <v>0</v>
      </c>
      <c r="AD450" s="1803">
        <f t="shared" ref="AD450:AN450" si="52">Q450*$C$316</f>
        <v>0</v>
      </c>
      <c r="AE450" s="1803">
        <f t="shared" si="52"/>
        <v>0</v>
      </c>
      <c r="AF450" s="1803">
        <f t="shared" si="52"/>
        <v>0</v>
      </c>
      <c r="AG450" s="1803">
        <f t="shared" si="52"/>
        <v>0</v>
      </c>
      <c r="AH450" s="1803">
        <f t="shared" si="52"/>
        <v>0</v>
      </c>
      <c r="AI450" s="1803">
        <f t="shared" si="52"/>
        <v>0</v>
      </c>
      <c r="AJ450" s="1803">
        <f t="shared" si="52"/>
        <v>0</v>
      </c>
      <c r="AK450" s="1803">
        <f t="shared" si="52"/>
        <v>0</v>
      </c>
      <c r="AL450" s="1803">
        <f t="shared" si="52"/>
        <v>0</v>
      </c>
      <c r="AM450" s="1803">
        <f t="shared" si="52"/>
        <v>0</v>
      </c>
      <c r="AN450" s="1803">
        <f t="shared" si="52"/>
        <v>0</v>
      </c>
      <c r="AO450" s="1321"/>
    </row>
    <row r="451" spans="2:41" hidden="1" x14ac:dyDescent="0.2">
      <c r="B451" s="1703">
        <f t="shared" si="47"/>
        <v>0</v>
      </c>
      <c r="C451" s="1172">
        <f t="shared" si="48"/>
        <v>0</v>
      </c>
      <c r="D451" s="1172">
        <f t="shared" si="34"/>
        <v>0</v>
      </c>
      <c r="E451" s="1172">
        <f t="shared" si="35"/>
        <v>0</v>
      </c>
      <c r="F451" s="1172">
        <f t="shared" si="36"/>
        <v>0</v>
      </c>
      <c r="G451" s="1172">
        <f t="shared" si="37"/>
        <v>0</v>
      </c>
      <c r="H451" s="1172">
        <f t="shared" si="38"/>
        <v>0</v>
      </c>
      <c r="I451" s="1172">
        <f t="shared" si="39"/>
        <v>0</v>
      </c>
      <c r="J451" s="1172">
        <f t="shared" si="40"/>
        <v>0</v>
      </c>
      <c r="K451" s="1172">
        <f t="shared" si="41"/>
        <v>0</v>
      </c>
      <c r="L451" s="1172">
        <f t="shared" si="42"/>
        <v>0</v>
      </c>
      <c r="M451" s="1172">
        <f t="shared" si="43"/>
        <v>0</v>
      </c>
      <c r="N451" s="1172">
        <f t="shared" si="44"/>
        <v>0</v>
      </c>
      <c r="O451" s="1703"/>
      <c r="P451" s="1172">
        <f t="shared" si="45"/>
        <v>0</v>
      </c>
      <c r="Q451" s="1172">
        <f t="shared" si="45"/>
        <v>0</v>
      </c>
      <c r="R451" s="1172">
        <f t="shared" si="45"/>
        <v>0</v>
      </c>
      <c r="S451" s="1172">
        <f t="shared" si="45"/>
        <v>0</v>
      </c>
      <c r="T451" s="1172">
        <f t="shared" si="45"/>
        <v>0</v>
      </c>
      <c r="U451" s="1172">
        <f t="shared" si="45"/>
        <v>0</v>
      </c>
      <c r="V451" s="1172">
        <f t="shared" si="45"/>
        <v>0</v>
      </c>
      <c r="W451" s="1172">
        <f t="shared" si="45"/>
        <v>0</v>
      </c>
      <c r="X451" s="1172">
        <f t="shared" si="45"/>
        <v>0</v>
      </c>
      <c r="Y451" s="1172">
        <f t="shared" si="45"/>
        <v>0</v>
      </c>
      <c r="Z451" s="1172">
        <f t="shared" si="45"/>
        <v>0</v>
      </c>
      <c r="AA451" s="1172">
        <f t="shared" si="45"/>
        <v>0</v>
      </c>
      <c r="AB451" s="1321"/>
      <c r="AC451" s="1803">
        <f>P451*$C$317</f>
        <v>0</v>
      </c>
      <c r="AD451" s="1803">
        <f t="shared" ref="AD451:AN451" si="53">Q451*$C$317</f>
        <v>0</v>
      </c>
      <c r="AE451" s="1803">
        <f t="shared" si="53"/>
        <v>0</v>
      </c>
      <c r="AF451" s="1803">
        <f t="shared" si="53"/>
        <v>0</v>
      </c>
      <c r="AG451" s="1803">
        <f t="shared" si="53"/>
        <v>0</v>
      </c>
      <c r="AH451" s="1803">
        <f t="shared" si="53"/>
        <v>0</v>
      </c>
      <c r="AI451" s="1803">
        <f t="shared" si="53"/>
        <v>0</v>
      </c>
      <c r="AJ451" s="1803">
        <f t="shared" si="53"/>
        <v>0</v>
      </c>
      <c r="AK451" s="1803">
        <f t="shared" si="53"/>
        <v>0</v>
      </c>
      <c r="AL451" s="1803">
        <f t="shared" si="53"/>
        <v>0</v>
      </c>
      <c r="AM451" s="1803">
        <f t="shared" si="53"/>
        <v>0</v>
      </c>
      <c r="AN451" s="1803">
        <f t="shared" si="53"/>
        <v>0</v>
      </c>
      <c r="AO451" s="1321"/>
    </row>
    <row r="452" spans="2:41" hidden="1" x14ac:dyDescent="0.2">
      <c r="B452" s="1703">
        <f t="shared" si="47"/>
        <v>0</v>
      </c>
      <c r="C452" s="1172">
        <f t="shared" si="48"/>
        <v>0</v>
      </c>
      <c r="D452" s="1172">
        <f t="shared" si="34"/>
        <v>0</v>
      </c>
      <c r="E452" s="1172">
        <f t="shared" si="35"/>
        <v>0</v>
      </c>
      <c r="F452" s="1172">
        <f t="shared" si="36"/>
        <v>0</v>
      </c>
      <c r="G452" s="1172">
        <f t="shared" si="37"/>
        <v>0</v>
      </c>
      <c r="H452" s="1172">
        <f t="shared" si="38"/>
        <v>0</v>
      </c>
      <c r="I452" s="1172">
        <f t="shared" si="39"/>
        <v>0</v>
      </c>
      <c r="J452" s="1172">
        <f t="shared" si="40"/>
        <v>0</v>
      </c>
      <c r="K452" s="1172">
        <f t="shared" si="41"/>
        <v>0</v>
      </c>
      <c r="L452" s="1172">
        <f t="shared" si="42"/>
        <v>0</v>
      </c>
      <c r="M452" s="1172">
        <f t="shared" si="43"/>
        <v>0</v>
      </c>
      <c r="N452" s="1172">
        <f t="shared" si="44"/>
        <v>0</v>
      </c>
      <c r="O452" s="1321"/>
      <c r="P452" s="1172">
        <f t="shared" ref="P452:P507" si="54">IF(C452&gt;0,0,-C452)</f>
        <v>0</v>
      </c>
      <c r="Q452" s="1172">
        <f t="shared" ref="Q452:Q507" si="55">IF(D452&gt;0,0,-D452)</f>
        <v>0</v>
      </c>
      <c r="R452" s="1172">
        <f t="shared" ref="R452:R507" si="56">IF(E452&gt;0,0,-E452)</f>
        <v>0</v>
      </c>
      <c r="S452" s="1172">
        <f t="shared" ref="S452:S507" si="57">IF(F452&gt;0,0,-F452)</f>
        <v>0</v>
      </c>
      <c r="T452" s="1172">
        <f t="shared" ref="T452:T507" si="58">IF(G452&gt;0,0,-G452)</f>
        <v>0</v>
      </c>
      <c r="U452" s="1172">
        <f t="shared" ref="U452:U507" si="59">IF(H452&gt;0,0,-H452)</f>
        <v>0</v>
      </c>
      <c r="V452" s="1172">
        <f t="shared" ref="V452:V507" si="60">IF(I452&gt;0,0,-I452)</f>
        <v>0</v>
      </c>
      <c r="W452" s="1172">
        <f t="shared" ref="W452:W507" si="61">IF(J452&gt;0,0,-J452)</f>
        <v>0</v>
      </c>
      <c r="X452" s="1172">
        <f t="shared" ref="X452:X507" si="62">IF(K452&gt;0,0,-K452)</f>
        <v>0</v>
      </c>
      <c r="Y452" s="1172">
        <f t="shared" ref="Y452:Y507" si="63">IF(L452&gt;0,0,-L452)</f>
        <v>0</v>
      </c>
      <c r="Z452" s="1172">
        <f t="shared" ref="Z452:Z507" si="64">IF(M452&gt;0,0,-M452)</f>
        <v>0</v>
      </c>
      <c r="AA452" s="1172">
        <f t="shared" ref="AA452:AA507" si="65">IF(N452&gt;0,0,-N452)</f>
        <v>0</v>
      </c>
      <c r="AB452" s="1321"/>
      <c r="AC452" s="1803">
        <f>P452*$C$318</f>
        <v>0</v>
      </c>
      <c r="AD452" s="1803">
        <f t="shared" ref="AD452:AN452" si="66">Q452*$C$318</f>
        <v>0</v>
      </c>
      <c r="AE452" s="1803">
        <f t="shared" si="66"/>
        <v>0</v>
      </c>
      <c r="AF452" s="1803">
        <f t="shared" si="66"/>
        <v>0</v>
      </c>
      <c r="AG452" s="1803">
        <f t="shared" si="66"/>
        <v>0</v>
      </c>
      <c r="AH452" s="1803">
        <f t="shared" si="66"/>
        <v>0</v>
      </c>
      <c r="AI452" s="1803">
        <f t="shared" si="66"/>
        <v>0</v>
      </c>
      <c r="AJ452" s="1803">
        <f t="shared" si="66"/>
        <v>0</v>
      </c>
      <c r="AK452" s="1803">
        <f t="shared" si="66"/>
        <v>0</v>
      </c>
      <c r="AL452" s="1803">
        <f t="shared" si="66"/>
        <v>0</v>
      </c>
      <c r="AM452" s="1803">
        <f t="shared" si="66"/>
        <v>0</v>
      </c>
      <c r="AN452" s="1803">
        <f t="shared" si="66"/>
        <v>0</v>
      </c>
      <c r="AO452" s="1321"/>
    </row>
    <row r="453" spans="2:41" hidden="1" x14ac:dyDescent="0.2">
      <c r="B453" s="1703">
        <f t="shared" si="47"/>
        <v>0</v>
      </c>
      <c r="C453" s="1172">
        <f>B453+C522-AC387</f>
        <v>0</v>
      </c>
      <c r="D453" s="1172">
        <f t="shared" si="34"/>
        <v>0</v>
      </c>
      <c r="E453" s="1172">
        <f t="shared" si="35"/>
        <v>0</v>
      </c>
      <c r="F453" s="1172">
        <f t="shared" si="36"/>
        <v>0</v>
      </c>
      <c r="G453" s="1172">
        <f t="shared" si="37"/>
        <v>0</v>
      </c>
      <c r="H453" s="1172">
        <f t="shared" si="38"/>
        <v>0</v>
      </c>
      <c r="I453" s="1172">
        <f t="shared" si="39"/>
        <v>0</v>
      </c>
      <c r="J453" s="1172">
        <f t="shared" si="40"/>
        <v>0</v>
      </c>
      <c r="K453" s="1172">
        <f t="shared" si="41"/>
        <v>0</v>
      </c>
      <c r="L453" s="1172">
        <f t="shared" si="42"/>
        <v>0</v>
      </c>
      <c r="M453" s="1172">
        <f t="shared" si="43"/>
        <v>0</v>
      </c>
      <c r="N453" s="1172">
        <f t="shared" si="44"/>
        <v>0</v>
      </c>
      <c r="O453" s="1321"/>
      <c r="P453" s="1172">
        <f t="shared" si="54"/>
        <v>0</v>
      </c>
      <c r="Q453" s="1172">
        <f t="shared" si="55"/>
        <v>0</v>
      </c>
      <c r="R453" s="1172">
        <f t="shared" si="56"/>
        <v>0</v>
      </c>
      <c r="S453" s="1172">
        <f t="shared" si="57"/>
        <v>0</v>
      </c>
      <c r="T453" s="1172">
        <f t="shared" si="58"/>
        <v>0</v>
      </c>
      <c r="U453" s="1172">
        <f t="shared" si="59"/>
        <v>0</v>
      </c>
      <c r="V453" s="1172">
        <f t="shared" si="60"/>
        <v>0</v>
      </c>
      <c r="W453" s="1172">
        <f t="shared" si="61"/>
        <v>0</v>
      </c>
      <c r="X453" s="1172">
        <f t="shared" si="62"/>
        <v>0</v>
      </c>
      <c r="Y453" s="1172">
        <f t="shared" si="63"/>
        <v>0</v>
      </c>
      <c r="Z453" s="1172">
        <f t="shared" si="64"/>
        <v>0</v>
      </c>
      <c r="AA453" s="1172">
        <f t="shared" si="65"/>
        <v>0</v>
      </c>
      <c r="AB453" s="1321"/>
      <c r="AC453" s="1803">
        <f>P453*$C$319</f>
        <v>0</v>
      </c>
      <c r="AD453" s="1803">
        <f t="shared" ref="AD453:AN453" si="67">Q453*$C$319</f>
        <v>0</v>
      </c>
      <c r="AE453" s="1803">
        <f t="shared" si="67"/>
        <v>0</v>
      </c>
      <c r="AF453" s="1803">
        <f t="shared" si="67"/>
        <v>0</v>
      </c>
      <c r="AG453" s="1803">
        <f t="shared" si="67"/>
        <v>0</v>
      </c>
      <c r="AH453" s="1803">
        <f t="shared" si="67"/>
        <v>0</v>
      </c>
      <c r="AI453" s="1803">
        <f t="shared" si="67"/>
        <v>0</v>
      </c>
      <c r="AJ453" s="1803">
        <f t="shared" si="67"/>
        <v>0</v>
      </c>
      <c r="AK453" s="1803">
        <f t="shared" si="67"/>
        <v>0</v>
      </c>
      <c r="AL453" s="1803">
        <f t="shared" si="67"/>
        <v>0</v>
      </c>
      <c r="AM453" s="1803">
        <f t="shared" si="67"/>
        <v>0</v>
      </c>
      <c r="AN453" s="1803">
        <f t="shared" si="67"/>
        <v>0</v>
      </c>
      <c r="AO453" s="1321"/>
    </row>
    <row r="454" spans="2:41" hidden="1" x14ac:dyDescent="0.2">
      <c r="B454" s="1703">
        <f t="shared" si="47"/>
        <v>0</v>
      </c>
      <c r="C454" s="1172">
        <f t="shared" si="48"/>
        <v>0</v>
      </c>
      <c r="D454" s="1172">
        <f t="shared" si="34"/>
        <v>0</v>
      </c>
      <c r="E454" s="1172">
        <f t="shared" si="35"/>
        <v>0</v>
      </c>
      <c r="F454" s="1172">
        <f t="shared" si="36"/>
        <v>0</v>
      </c>
      <c r="G454" s="1172">
        <f t="shared" si="37"/>
        <v>0</v>
      </c>
      <c r="H454" s="1172">
        <f t="shared" si="38"/>
        <v>0</v>
      </c>
      <c r="I454" s="1172">
        <f t="shared" si="39"/>
        <v>0</v>
      </c>
      <c r="J454" s="1172">
        <f t="shared" si="40"/>
        <v>0</v>
      </c>
      <c r="K454" s="1172">
        <f t="shared" si="41"/>
        <v>0</v>
      </c>
      <c r="L454" s="1172">
        <f t="shared" si="42"/>
        <v>0</v>
      </c>
      <c r="M454" s="1172">
        <f t="shared" si="43"/>
        <v>0</v>
      </c>
      <c r="N454" s="1172">
        <f t="shared" si="44"/>
        <v>0</v>
      </c>
      <c r="O454" s="1321"/>
      <c r="P454" s="1172">
        <f t="shared" si="54"/>
        <v>0</v>
      </c>
      <c r="Q454" s="1172">
        <f t="shared" si="55"/>
        <v>0</v>
      </c>
      <c r="R454" s="1172">
        <f t="shared" si="56"/>
        <v>0</v>
      </c>
      <c r="S454" s="1172">
        <f t="shared" si="57"/>
        <v>0</v>
      </c>
      <c r="T454" s="1172">
        <f t="shared" si="58"/>
        <v>0</v>
      </c>
      <c r="U454" s="1172">
        <f t="shared" si="59"/>
        <v>0</v>
      </c>
      <c r="V454" s="1172">
        <f t="shared" si="60"/>
        <v>0</v>
      </c>
      <c r="W454" s="1172">
        <f t="shared" si="61"/>
        <v>0</v>
      </c>
      <c r="X454" s="1172">
        <f t="shared" si="62"/>
        <v>0</v>
      </c>
      <c r="Y454" s="1172">
        <f t="shared" si="63"/>
        <v>0</v>
      </c>
      <c r="Z454" s="1172">
        <f t="shared" si="64"/>
        <v>0</v>
      </c>
      <c r="AA454" s="1172">
        <f t="shared" si="65"/>
        <v>0</v>
      </c>
      <c r="AB454" s="1321"/>
      <c r="AC454" s="1803">
        <f>P454*$C$320</f>
        <v>0</v>
      </c>
      <c r="AD454" s="1803">
        <f t="shared" ref="AD454:AN454" si="68">Q454*$C$320</f>
        <v>0</v>
      </c>
      <c r="AE454" s="1803">
        <f t="shared" si="68"/>
        <v>0</v>
      </c>
      <c r="AF454" s="1803">
        <f t="shared" si="68"/>
        <v>0</v>
      </c>
      <c r="AG454" s="1803">
        <f t="shared" si="68"/>
        <v>0</v>
      </c>
      <c r="AH454" s="1803">
        <f t="shared" si="68"/>
        <v>0</v>
      </c>
      <c r="AI454" s="1803">
        <f t="shared" si="68"/>
        <v>0</v>
      </c>
      <c r="AJ454" s="1803">
        <f t="shared" si="68"/>
        <v>0</v>
      </c>
      <c r="AK454" s="1803">
        <f t="shared" si="68"/>
        <v>0</v>
      </c>
      <c r="AL454" s="1803">
        <f t="shared" si="68"/>
        <v>0</v>
      </c>
      <c r="AM454" s="1803">
        <f t="shared" si="68"/>
        <v>0</v>
      </c>
      <c r="AN454" s="1803">
        <f t="shared" si="68"/>
        <v>0</v>
      </c>
      <c r="AO454" s="1321"/>
    </row>
    <row r="455" spans="2:41" s="2364" customFormat="1" hidden="1" x14ac:dyDescent="0.2">
      <c r="B455" s="2365">
        <f>D321</f>
        <v>0</v>
      </c>
      <c r="C455" s="2366">
        <f t="shared" si="48"/>
        <v>0</v>
      </c>
      <c r="D455" s="2366">
        <f t="shared" si="34"/>
        <v>0</v>
      </c>
      <c r="E455" s="2366">
        <f t="shared" si="35"/>
        <v>0</v>
      </c>
      <c r="F455" s="2366">
        <f t="shared" si="36"/>
        <v>0</v>
      </c>
      <c r="G455" s="2366">
        <f t="shared" si="37"/>
        <v>0</v>
      </c>
      <c r="H455" s="2366">
        <f t="shared" si="38"/>
        <v>0</v>
      </c>
      <c r="I455" s="2366">
        <f t="shared" si="39"/>
        <v>0</v>
      </c>
      <c r="J455" s="2366">
        <f t="shared" si="40"/>
        <v>0</v>
      </c>
      <c r="K455" s="2366">
        <f t="shared" si="41"/>
        <v>0</v>
      </c>
      <c r="L455" s="2366">
        <f t="shared" si="42"/>
        <v>0</v>
      </c>
      <c r="M455" s="2366">
        <f t="shared" si="43"/>
        <v>0</v>
      </c>
      <c r="N455" s="2366">
        <f t="shared" si="44"/>
        <v>0</v>
      </c>
      <c r="O455" s="2362"/>
      <c r="P455" s="2366">
        <f t="shared" si="54"/>
        <v>0</v>
      </c>
      <c r="Q455" s="2366">
        <f t="shared" si="55"/>
        <v>0</v>
      </c>
      <c r="R455" s="2366">
        <f t="shared" si="56"/>
        <v>0</v>
      </c>
      <c r="S455" s="2366">
        <f t="shared" si="57"/>
        <v>0</v>
      </c>
      <c r="T455" s="2366">
        <f t="shared" si="58"/>
        <v>0</v>
      </c>
      <c r="U455" s="2366">
        <f t="shared" si="59"/>
        <v>0</v>
      </c>
      <c r="V455" s="2366">
        <f t="shared" si="60"/>
        <v>0</v>
      </c>
      <c r="W455" s="2366">
        <f t="shared" si="61"/>
        <v>0</v>
      </c>
      <c r="X455" s="2366">
        <f t="shared" si="62"/>
        <v>0</v>
      </c>
      <c r="Y455" s="2366">
        <f t="shared" si="63"/>
        <v>0</v>
      </c>
      <c r="Z455" s="2366">
        <f t="shared" si="64"/>
        <v>0</v>
      </c>
      <c r="AA455" s="2366">
        <f t="shared" si="65"/>
        <v>0</v>
      </c>
      <c r="AB455" s="2362"/>
      <c r="AC455" s="2361">
        <f>P455*$C$321</f>
        <v>0</v>
      </c>
      <c r="AD455" s="2361">
        <f t="shared" ref="AD455:AN455" si="69">Q455*$C$321</f>
        <v>0</v>
      </c>
      <c r="AE455" s="2361">
        <f t="shared" si="69"/>
        <v>0</v>
      </c>
      <c r="AF455" s="2361">
        <f t="shared" si="69"/>
        <v>0</v>
      </c>
      <c r="AG455" s="2361">
        <f t="shared" si="69"/>
        <v>0</v>
      </c>
      <c r="AH455" s="2361">
        <f t="shared" si="69"/>
        <v>0</v>
      </c>
      <c r="AI455" s="2361">
        <f t="shared" si="69"/>
        <v>0</v>
      </c>
      <c r="AJ455" s="2361">
        <f t="shared" si="69"/>
        <v>0</v>
      </c>
      <c r="AK455" s="2361">
        <f t="shared" si="69"/>
        <v>0</v>
      </c>
      <c r="AL455" s="2361">
        <f t="shared" si="69"/>
        <v>0</v>
      </c>
      <c r="AM455" s="2361">
        <f t="shared" si="69"/>
        <v>0</v>
      </c>
      <c r="AN455" s="2361">
        <f t="shared" si="69"/>
        <v>0</v>
      </c>
      <c r="AO455" s="2362"/>
    </row>
    <row r="456" spans="2:41" hidden="1" x14ac:dyDescent="0.2">
      <c r="B456" s="1703">
        <f t="shared" si="47"/>
        <v>0</v>
      </c>
      <c r="C456" s="1172">
        <f t="shared" si="48"/>
        <v>0</v>
      </c>
      <c r="D456" s="1172">
        <f t="shared" si="34"/>
        <v>0</v>
      </c>
      <c r="E456" s="1172">
        <f t="shared" si="35"/>
        <v>0</v>
      </c>
      <c r="F456" s="1172">
        <f t="shared" si="36"/>
        <v>0</v>
      </c>
      <c r="G456" s="1172">
        <f t="shared" si="37"/>
        <v>0</v>
      </c>
      <c r="H456" s="1172">
        <f t="shared" si="38"/>
        <v>0</v>
      </c>
      <c r="I456" s="1172">
        <f t="shared" si="39"/>
        <v>0</v>
      </c>
      <c r="J456" s="1172">
        <f t="shared" si="40"/>
        <v>0</v>
      </c>
      <c r="K456" s="1172">
        <f t="shared" si="41"/>
        <v>0</v>
      </c>
      <c r="L456" s="1172">
        <f t="shared" si="42"/>
        <v>0</v>
      </c>
      <c r="M456" s="1172">
        <f t="shared" si="43"/>
        <v>0</v>
      </c>
      <c r="N456" s="1172">
        <f t="shared" si="44"/>
        <v>0</v>
      </c>
      <c r="O456" s="1321"/>
      <c r="P456" s="1172">
        <f t="shared" si="54"/>
        <v>0</v>
      </c>
      <c r="Q456" s="1172">
        <f t="shared" si="55"/>
        <v>0</v>
      </c>
      <c r="R456" s="1172">
        <f t="shared" si="56"/>
        <v>0</v>
      </c>
      <c r="S456" s="1172">
        <f t="shared" si="57"/>
        <v>0</v>
      </c>
      <c r="T456" s="1172">
        <f t="shared" si="58"/>
        <v>0</v>
      </c>
      <c r="U456" s="1172">
        <f t="shared" si="59"/>
        <v>0</v>
      </c>
      <c r="V456" s="1172">
        <f t="shared" si="60"/>
        <v>0</v>
      </c>
      <c r="W456" s="1172">
        <f t="shared" si="61"/>
        <v>0</v>
      </c>
      <c r="X456" s="1172">
        <f t="shared" si="62"/>
        <v>0</v>
      </c>
      <c r="Y456" s="1172">
        <f t="shared" si="63"/>
        <v>0</v>
      </c>
      <c r="Z456" s="1172">
        <f t="shared" si="64"/>
        <v>0</v>
      </c>
      <c r="AA456" s="1172">
        <f t="shared" si="65"/>
        <v>0</v>
      </c>
      <c r="AB456" s="1321"/>
      <c r="AC456" s="1803">
        <f>P456*$C$322</f>
        <v>0</v>
      </c>
      <c r="AD456" s="1803">
        <f t="shared" ref="AD456:AN456" si="70">Q456*$C$322</f>
        <v>0</v>
      </c>
      <c r="AE456" s="1803">
        <f t="shared" si="70"/>
        <v>0</v>
      </c>
      <c r="AF456" s="1803">
        <f t="shared" si="70"/>
        <v>0</v>
      </c>
      <c r="AG456" s="1803">
        <f t="shared" si="70"/>
        <v>0</v>
      </c>
      <c r="AH456" s="1803">
        <f t="shared" si="70"/>
        <v>0</v>
      </c>
      <c r="AI456" s="1803">
        <f t="shared" si="70"/>
        <v>0</v>
      </c>
      <c r="AJ456" s="1803">
        <f t="shared" si="70"/>
        <v>0</v>
      </c>
      <c r="AK456" s="1803">
        <f t="shared" si="70"/>
        <v>0</v>
      </c>
      <c r="AL456" s="1803">
        <f t="shared" si="70"/>
        <v>0</v>
      </c>
      <c r="AM456" s="1803">
        <f t="shared" si="70"/>
        <v>0</v>
      </c>
      <c r="AN456" s="1803">
        <f t="shared" si="70"/>
        <v>0</v>
      </c>
      <c r="AO456" s="1321"/>
    </row>
    <row r="457" spans="2:41" hidden="1" x14ac:dyDescent="0.2">
      <c r="B457" s="1703">
        <f>D323</f>
        <v>0</v>
      </c>
      <c r="C457" s="1172">
        <f t="shared" si="48"/>
        <v>0</v>
      </c>
      <c r="D457" s="1172">
        <f t="shared" si="34"/>
        <v>0</v>
      </c>
      <c r="E457" s="1172">
        <f t="shared" si="35"/>
        <v>0</v>
      </c>
      <c r="F457" s="1172">
        <f t="shared" si="36"/>
        <v>0</v>
      </c>
      <c r="G457" s="1172">
        <f t="shared" si="37"/>
        <v>0</v>
      </c>
      <c r="H457" s="1172">
        <f t="shared" si="38"/>
        <v>0</v>
      </c>
      <c r="I457" s="1172">
        <f t="shared" si="39"/>
        <v>0</v>
      </c>
      <c r="J457" s="1172">
        <f t="shared" si="40"/>
        <v>0</v>
      </c>
      <c r="K457" s="1172">
        <f t="shared" si="41"/>
        <v>0</v>
      </c>
      <c r="L457" s="1172">
        <f t="shared" si="42"/>
        <v>0</v>
      </c>
      <c r="M457" s="1172">
        <f t="shared" si="43"/>
        <v>0</v>
      </c>
      <c r="N457" s="1172">
        <f t="shared" si="44"/>
        <v>0</v>
      </c>
      <c r="O457" s="1321"/>
      <c r="P457" s="1172">
        <f t="shared" si="54"/>
        <v>0</v>
      </c>
      <c r="Q457" s="1172">
        <f t="shared" si="55"/>
        <v>0</v>
      </c>
      <c r="R457" s="1172">
        <f t="shared" si="56"/>
        <v>0</v>
      </c>
      <c r="S457" s="1172">
        <f t="shared" si="57"/>
        <v>0</v>
      </c>
      <c r="T457" s="1172">
        <f t="shared" si="58"/>
        <v>0</v>
      </c>
      <c r="U457" s="1172">
        <f t="shared" si="59"/>
        <v>0</v>
      </c>
      <c r="V457" s="1172">
        <f t="shared" si="60"/>
        <v>0</v>
      </c>
      <c r="W457" s="1172">
        <f t="shared" si="61"/>
        <v>0</v>
      </c>
      <c r="X457" s="1172">
        <f t="shared" si="62"/>
        <v>0</v>
      </c>
      <c r="Y457" s="1172">
        <f t="shared" si="63"/>
        <v>0</v>
      </c>
      <c r="Z457" s="1172">
        <f t="shared" si="64"/>
        <v>0</v>
      </c>
      <c r="AA457" s="1172">
        <f t="shared" si="65"/>
        <v>0</v>
      </c>
      <c r="AB457" s="1321"/>
      <c r="AC457" s="1803">
        <f>P457*$C$323</f>
        <v>0</v>
      </c>
      <c r="AD457" s="1803">
        <f t="shared" ref="AD457:AN457" si="71">Q457*$C$323</f>
        <v>0</v>
      </c>
      <c r="AE457" s="1803">
        <f t="shared" si="71"/>
        <v>0</v>
      </c>
      <c r="AF457" s="1803">
        <f t="shared" si="71"/>
        <v>0</v>
      </c>
      <c r="AG457" s="1803">
        <f t="shared" si="71"/>
        <v>0</v>
      </c>
      <c r="AH457" s="1803">
        <f t="shared" si="71"/>
        <v>0</v>
      </c>
      <c r="AI457" s="1803">
        <f t="shared" si="71"/>
        <v>0</v>
      </c>
      <c r="AJ457" s="1803">
        <f t="shared" si="71"/>
        <v>0</v>
      </c>
      <c r="AK457" s="1803">
        <f t="shared" si="71"/>
        <v>0</v>
      </c>
      <c r="AL457" s="1803">
        <f t="shared" si="71"/>
        <v>0</v>
      </c>
      <c r="AM457" s="1803">
        <f t="shared" si="71"/>
        <v>0</v>
      </c>
      <c r="AN457" s="1803">
        <f t="shared" si="71"/>
        <v>0</v>
      </c>
      <c r="AO457" s="1321"/>
    </row>
    <row r="458" spans="2:41" hidden="1" x14ac:dyDescent="0.2">
      <c r="B458" s="1703">
        <f t="shared" si="47"/>
        <v>0</v>
      </c>
      <c r="C458" s="1172">
        <f t="shared" si="48"/>
        <v>0</v>
      </c>
      <c r="D458" s="1172">
        <f t="shared" si="34"/>
        <v>0</v>
      </c>
      <c r="E458" s="1172">
        <f t="shared" si="35"/>
        <v>0</v>
      </c>
      <c r="F458" s="1172">
        <f t="shared" si="36"/>
        <v>0</v>
      </c>
      <c r="G458" s="1172">
        <f t="shared" si="37"/>
        <v>0</v>
      </c>
      <c r="H458" s="1172">
        <f t="shared" si="38"/>
        <v>0</v>
      </c>
      <c r="I458" s="1172">
        <f t="shared" si="39"/>
        <v>0</v>
      </c>
      <c r="J458" s="1172">
        <f t="shared" si="40"/>
        <v>0</v>
      </c>
      <c r="K458" s="1172">
        <f t="shared" si="41"/>
        <v>0</v>
      </c>
      <c r="L458" s="1172">
        <f t="shared" si="42"/>
        <v>0</v>
      </c>
      <c r="M458" s="1172">
        <f t="shared" si="43"/>
        <v>0</v>
      </c>
      <c r="N458" s="1172">
        <f t="shared" si="44"/>
        <v>0</v>
      </c>
      <c r="O458" s="1321"/>
      <c r="P458" s="1172">
        <f t="shared" si="54"/>
        <v>0</v>
      </c>
      <c r="Q458" s="1172">
        <f t="shared" si="55"/>
        <v>0</v>
      </c>
      <c r="R458" s="1172">
        <f t="shared" si="56"/>
        <v>0</v>
      </c>
      <c r="S458" s="1172">
        <f t="shared" si="57"/>
        <v>0</v>
      </c>
      <c r="T458" s="1172">
        <f t="shared" si="58"/>
        <v>0</v>
      </c>
      <c r="U458" s="1172">
        <f t="shared" si="59"/>
        <v>0</v>
      </c>
      <c r="V458" s="1172">
        <f t="shared" si="60"/>
        <v>0</v>
      </c>
      <c r="W458" s="1172">
        <f t="shared" si="61"/>
        <v>0</v>
      </c>
      <c r="X458" s="1172">
        <f t="shared" si="62"/>
        <v>0</v>
      </c>
      <c r="Y458" s="1172">
        <f t="shared" si="63"/>
        <v>0</v>
      </c>
      <c r="Z458" s="1172">
        <f t="shared" si="64"/>
        <v>0</v>
      </c>
      <c r="AA458" s="1172">
        <f t="shared" si="65"/>
        <v>0</v>
      </c>
      <c r="AB458" s="1321"/>
      <c r="AC458" s="1803">
        <f>P458*$C$324</f>
        <v>0</v>
      </c>
      <c r="AD458" s="1803">
        <f t="shared" ref="AD458:AN458" si="72">Q458*$C$324</f>
        <v>0</v>
      </c>
      <c r="AE458" s="1803">
        <f t="shared" si="72"/>
        <v>0</v>
      </c>
      <c r="AF458" s="1803">
        <f t="shared" si="72"/>
        <v>0</v>
      </c>
      <c r="AG458" s="1803">
        <f t="shared" si="72"/>
        <v>0</v>
      </c>
      <c r="AH458" s="1803">
        <f t="shared" si="72"/>
        <v>0</v>
      </c>
      <c r="AI458" s="1803">
        <f t="shared" si="72"/>
        <v>0</v>
      </c>
      <c r="AJ458" s="1803">
        <f t="shared" si="72"/>
        <v>0</v>
      </c>
      <c r="AK458" s="1803">
        <f t="shared" si="72"/>
        <v>0</v>
      </c>
      <c r="AL458" s="1803">
        <f t="shared" si="72"/>
        <v>0</v>
      </c>
      <c r="AM458" s="1803">
        <f t="shared" si="72"/>
        <v>0</v>
      </c>
      <c r="AN458" s="1803">
        <f t="shared" si="72"/>
        <v>0</v>
      </c>
      <c r="AO458" s="1321"/>
    </row>
    <row r="459" spans="2:41" hidden="1" x14ac:dyDescent="0.2">
      <c r="B459" s="1703">
        <f t="shared" si="47"/>
        <v>0</v>
      </c>
      <c r="C459" s="1172">
        <f t="shared" si="48"/>
        <v>0</v>
      </c>
      <c r="D459" s="1172">
        <f t="shared" si="34"/>
        <v>0</v>
      </c>
      <c r="E459" s="1172">
        <f t="shared" si="35"/>
        <v>0</v>
      </c>
      <c r="F459" s="1172">
        <f t="shared" si="36"/>
        <v>0</v>
      </c>
      <c r="G459" s="1172">
        <f t="shared" si="37"/>
        <v>0</v>
      </c>
      <c r="H459" s="1172">
        <f t="shared" si="38"/>
        <v>0</v>
      </c>
      <c r="I459" s="1172">
        <f t="shared" si="39"/>
        <v>0</v>
      </c>
      <c r="J459" s="1172">
        <f t="shared" si="40"/>
        <v>0</v>
      </c>
      <c r="K459" s="1172">
        <f t="shared" si="41"/>
        <v>0</v>
      </c>
      <c r="L459" s="1172">
        <f t="shared" si="42"/>
        <v>0</v>
      </c>
      <c r="M459" s="1172">
        <f t="shared" si="43"/>
        <v>0</v>
      </c>
      <c r="N459" s="1172">
        <f t="shared" si="44"/>
        <v>0</v>
      </c>
      <c r="O459" s="1321"/>
      <c r="P459" s="1172">
        <f t="shared" si="54"/>
        <v>0</v>
      </c>
      <c r="Q459" s="1172">
        <f t="shared" si="55"/>
        <v>0</v>
      </c>
      <c r="R459" s="1172">
        <f t="shared" si="56"/>
        <v>0</v>
      </c>
      <c r="S459" s="1172">
        <f t="shared" si="57"/>
        <v>0</v>
      </c>
      <c r="T459" s="1172">
        <f t="shared" si="58"/>
        <v>0</v>
      </c>
      <c r="U459" s="1172">
        <f t="shared" si="59"/>
        <v>0</v>
      </c>
      <c r="V459" s="1172">
        <f t="shared" si="60"/>
        <v>0</v>
      </c>
      <c r="W459" s="1172">
        <f t="shared" si="61"/>
        <v>0</v>
      </c>
      <c r="X459" s="1172">
        <f t="shared" si="62"/>
        <v>0</v>
      </c>
      <c r="Y459" s="1172">
        <f t="shared" si="63"/>
        <v>0</v>
      </c>
      <c r="Z459" s="1172">
        <f t="shared" si="64"/>
        <v>0</v>
      </c>
      <c r="AA459" s="1172">
        <f t="shared" si="65"/>
        <v>0</v>
      </c>
      <c r="AB459" s="1321"/>
      <c r="AC459" s="1803">
        <f>P459*$C$325</f>
        <v>0</v>
      </c>
      <c r="AD459" s="1803">
        <f t="shared" ref="AD459:AN459" si="73">Q459*$C$325</f>
        <v>0</v>
      </c>
      <c r="AE459" s="1803">
        <f t="shared" si="73"/>
        <v>0</v>
      </c>
      <c r="AF459" s="1803">
        <f t="shared" si="73"/>
        <v>0</v>
      </c>
      <c r="AG459" s="1803">
        <f t="shared" si="73"/>
        <v>0</v>
      </c>
      <c r="AH459" s="1803">
        <f t="shared" si="73"/>
        <v>0</v>
      </c>
      <c r="AI459" s="1803">
        <f t="shared" si="73"/>
        <v>0</v>
      </c>
      <c r="AJ459" s="1803">
        <f t="shared" si="73"/>
        <v>0</v>
      </c>
      <c r="AK459" s="1803">
        <f t="shared" si="73"/>
        <v>0</v>
      </c>
      <c r="AL459" s="1803">
        <f t="shared" si="73"/>
        <v>0</v>
      </c>
      <c r="AM459" s="1803">
        <f t="shared" si="73"/>
        <v>0</v>
      </c>
      <c r="AN459" s="1803">
        <f t="shared" si="73"/>
        <v>0</v>
      </c>
      <c r="AO459" s="1321"/>
    </row>
    <row r="460" spans="2:41" hidden="1" x14ac:dyDescent="0.2">
      <c r="B460" s="1703">
        <f t="shared" si="47"/>
        <v>0</v>
      </c>
      <c r="C460" s="1172">
        <f t="shared" si="48"/>
        <v>0</v>
      </c>
      <c r="D460" s="1172">
        <f t="shared" si="34"/>
        <v>0</v>
      </c>
      <c r="E460" s="1172">
        <f t="shared" si="35"/>
        <v>0</v>
      </c>
      <c r="F460" s="1172">
        <f t="shared" si="36"/>
        <v>0</v>
      </c>
      <c r="G460" s="1172">
        <f t="shared" si="37"/>
        <v>0</v>
      </c>
      <c r="H460" s="1172">
        <f t="shared" si="38"/>
        <v>0</v>
      </c>
      <c r="I460" s="1172">
        <f t="shared" si="39"/>
        <v>0</v>
      </c>
      <c r="J460" s="1172">
        <f t="shared" si="40"/>
        <v>0</v>
      </c>
      <c r="K460" s="1172">
        <f t="shared" si="41"/>
        <v>0</v>
      </c>
      <c r="L460" s="1172">
        <f t="shared" si="42"/>
        <v>0</v>
      </c>
      <c r="M460" s="1172">
        <f t="shared" si="43"/>
        <v>0</v>
      </c>
      <c r="N460" s="1172">
        <f t="shared" si="44"/>
        <v>0</v>
      </c>
      <c r="O460" s="1321"/>
      <c r="P460" s="1172">
        <f t="shared" si="54"/>
        <v>0</v>
      </c>
      <c r="Q460" s="1172">
        <f t="shared" si="55"/>
        <v>0</v>
      </c>
      <c r="R460" s="1172">
        <f t="shared" si="56"/>
        <v>0</v>
      </c>
      <c r="S460" s="1172">
        <f t="shared" si="57"/>
        <v>0</v>
      </c>
      <c r="T460" s="1172">
        <f t="shared" si="58"/>
        <v>0</v>
      </c>
      <c r="U460" s="1172">
        <f t="shared" si="59"/>
        <v>0</v>
      </c>
      <c r="V460" s="1172">
        <f t="shared" si="60"/>
        <v>0</v>
      </c>
      <c r="W460" s="1172">
        <f t="shared" si="61"/>
        <v>0</v>
      </c>
      <c r="X460" s="1172">
        <f t="shared" si="62"/>
        <v>0</v>
      </c>
      <c r="Y460" s="1172">
        <f t="shared" si="63"/>
        <v>0</v>
      </c>
      <c r="Z460" s="1172">
        <f t="shared" si="64"/>
        <v>0</v>
      </c>
      <c r="AA460" s="1172">
        <f t="shared" si="65"/>
        <v>0</v>
      </c>
      <c r="AB460" s="1321"/>
      <c r="AC460" s="1803">
        <f>P460*$C$326</f>
        <v>0</v>
      </c>
      <c r="AD460" s="1803">
        <f t="shared" ref="AD460:AN460" si="74">Q460*$C$326</f>
        <v>0</v>
      </c>
      <c r="AE460" s="1803">
        <f t="shared" si="74"/>
        <v>0</v>
      </c>
      <c r="AF460" s="1803">
        <f t="shared" si="74"/>
        <v>0</v>
      </c>
      <c r="AG460" s="1803">
        <f t="shared" si="74"/>
        <v>0</v>
      </c>
      <c r="AH460" s="1803">
        <f t="shared" si="74"/>
        <v>0</v>
      </c>
      <c r="AI460" s="1803">
        <f t="shared" si="74"/>
        <v>0</v>
      </c>
      <c r="AJ460" s="1803">
        <f t="shared" si="74"/>
        <v>0</v>
      </c>
      <c r="AK460" s="1803">
        <f t="shared" si="74"/>
        <v>0</v>
      </c>
      <c r="AL460" s="1803">
        <f t="shared" si="74"/>
        <v>0</v>
      </c>
      <c r="AM460" s="1803">
        <f t="shared" si="74"/>
        <v>0</v>
      </c>
      <c r="AN460" s="1803">
        <f t="shared" si="74"/>
        <v>0</v>
      </c>
      <c r="AO460" s="1321"/>
    </row>
    <row r="461" spans="2:41" hidden="1" x14ac:dyDescent="0.2">
      <c r="B461" s="1703">
        <f t="shared" si="47"/>
        <v>0</v>
      </c>
      <c r="C461" s="1172">
        <f t="shared" si="48"/>
        <v>0</v>
      </c>
      <c r="D461" s="1172">
        <f t="shared" si="34"/>
        <v>0</v>
      </c>
      <c r="E461" s="1172">
        <f t="shared" si="35"/>
        <v>0</v>
      </c>
      <c r="F461" s="1172">
        <f t="shared" si="36"/>
        <v>0</v>
      </c>
      <c r="G461" s="1172">
        <f t="shared" si="37"/>
        <v>0</v>
      </c>
      <c r="H461" s="1172">
        <f t="shared" si="38"/>
        <v>0</v>
      </c>
      <c r="I461" s="1172">
        <f t="shared" si="39"/>
        <v>0</v>
      </c>
      <c r="J461" s="1172">
        <f t="shared" si="40"/>
        <v>0</v>
      </c>
      <c r="K461" s="1172">
        <f t="shared" si="41"/>
        <v>0</v>
      </c>
      <c r="L461" s="1172">
        <f t="shared" si="42"/>
        <v>0</v>
      </c>
      <c r="M461" s="1172">
        <f t="shared" si="43"/>
        <v>0</v>
      </c>
      <c r="N461" s="1172">
        <f t="shared" si="44"/>
        <v>0</v>
      </c>
      <c r="O461" s="1321"/>
      <c r="P461" s="1172">
        <f t="shared" si="54"/>
        <v>0</v>
      </c>
      <c r="Q461" s="1172">
        <f t="shared" si="55"/>
        <v>0</v>
      </c>
      <c r="R461" s="1172">
        <f t="shared" si="56"/>
        <v>0</v>
      </c>
      <c r="S461" s="1172">
        <f t="shared" si="57"/>
        <v>0</v>
      </c>
      <c r="T461" s="1172">
        <f t="shared" si="58"/>
        <v>0</v>
      </c>
      <c r="U461" s="1172">
        <f t="shared" si="59"/>
        <v>0</v>
      </c>
      <c r="V461" s="1172">
        <f t="shared" si="60"/>
        <v>0</v>
      </c>
      <c r="W461" s="1172">
        <f t="shared" si="61"/>
        <v>0</v>
      </c>
      <c r="X461" s="1172">
        <f t="shared" si="62"/>
        <v>0</v>
      </c>
      <c r="Y461" s="1172">
        <f t="shared" si="63"/>
        <v>0</v>
      </c>
      <c r="Z461" s="1172">
        <f t="shared" si="64"/>
        <v>0</v>
      </c>
      <c r="AA461" s="1172">
        <f t="shared" si="65"/>
        <v>0</v>
      </c>
      <c r="AB461" s="1321"/>
      <c r="AC461" s="1803">
        <f>P461*$C$327</f>
        <v>0</v>
      </c>
      <c r="AD461" s="1803">
        <f t="shared" ref="AD461:AN461" si="75">Q461*$C$327</f>
        <v>0</v>
      </c>
      <c r="AE461" s="1803">
        <f t="shared" si="75"/>
        <v>0</v>
      </c>
      <c r="AF461" s="1803">
        <f t="shared" si="75"/>
        <v>0</v>
      </c>
      <c r="AG461" s="1803">
        <f t="shared" si="75"/>
        <v>0</v>
      </c>
      <c r="AH461" s="1803">
        <f t="shared" si="75"/>
        <v>0</v>
      </c>
      <c r="AI461" s="1803">
        <f t="shared" si="75"/>
        <v>0</v>
      </c>
      <c r="AJ461" s="1803">
        <f t="shared" si="75"/>
        <v>0</v>
      </c>
      <c r="AK461" s="1803">
        <f t="shared" si="75"/>
        <v>0</v>
      </c>
      <c r="AL461" s="1803">
        <f t="shared" si="75"/>
        <v>0</v>
      </c>
      <c r="AM461" s="1803">
        <f t="shared" si="75"/>
        <v>0</v>
      </c>
      <c r="AN461" s="1803">
        <f t="shared" si="75"/>
        <v>0</v>
      </c>
      <c r="AO461" s="1321"/>
    </row>
    <row r="462" spans="2:41" hidden="1" x14ac:dyDescent="0.2">
      <c r="B462" s="1703">
        <f t="shared" si="47"/>
        <v>0</v>
      </c>
      <c r="C462" s="1172">
        <f t="shared" si="48"/>
        <v>0</v>
      </c>
      <c r="D462" s="1172">
        <f t="shared" si="34"/>
        <v>0</v>
      </c>
      <c r="E462" s="1172">
        <f t="shared" si="35"/>
        <v>0</v>
      </c>
      <c r="F462" s="1172">
        <f t="shared" si="36"/>
        <v>0</v>
      </c>
      <c r="G462" s="1172">
        <f t="shared" si="37"/>
        <v>0</v>
      </c>
      <c r="H462" s="1172">
        <f t="shared" si="38"/>
        <v>0</v>
      </c>
      <c r="I462" s="1172">
        <f t="shared" si="39"/>
        <v>0</v>
      </c>
      <c r="J462" s="1172">
        <f t="shared" si="40"/>
        <v>0</v>
      </c>
      <c r="K462" s="1172">
        <f t="shared" si="41"/>
        <v>0</v>
      </c>
      <c r="L462" s="1172">
        <f t="shared" si="42"/>
        <v>0</v>
      </c>
      <c r="M462" s="1172">
        <f t="shared" si="43"/>
        <v>0</v>
      </c>
      <c r="N462" s="1172">
        <f t="shared" si="44"/>
        <v>0</v>
      </c>
      <c r="O462" s="1321"/>
      <c r="P462" s="1172">
        <f t="shared" si="54"/>
        <v>0</v>
      </c>
      <c r="Q462" s="1172">
        <f t="shared" si="55"/>
        <v>0</v>
      </c>
      <c r="R462" s="1172">
        <f t="shared" si="56"/>
        <v>0</v>
      </c>
      <c r="S462" s="1172">
        <f t="shared" si="57"/>
        <v>0</v>
      </c>
      <c r="T462" s="1172">
        <f t="shared" si="58"/>
        <v>0</v>
      </c>
      <c r="U462" s="1172">
        <f t="shared" si="59"/>
        <v>0</v>
      </c>
      <c r="V462" s="1172">
        <f t="shared" si="60"/>
        <v>0</v>
      </c>
      <c r="W462" s="1172">
        <f t="shared" si="61"/>
        <v>0</v>
      </c>
      <c r="X462" s="1172">
        <f t="shared" si="62"/>
        <v>0</v>
      </c>
      <c r="Y462" s="1172">
        <f t="shared" si="63"/>
        <v>0</v>
      </c>
      <c r="Z462" s="1172">
        <f t="shared" si="64"/>
        <v>0</v>
      </c>
      <c r="AA462" s="1172">
        <f t="shared" si="65"/>
        <v>0</v>
      </c>
      <c r="AB462" s="1321"/>
      <c r="AC462" s="1803">
        <f>P462*$C$328</f>
        <v>0</v>
      </c>
      <c r="AD462" s="1803">
        <f t="shared" ref="AD462:AN462" si="76">Q462*$C$328</f>
        <v>0</v>
      </c>
      <c r="AE462" s="1803">
        <f t="shared" si="76"/>
        <v>0</v>
      </c>
      <c r="AF462" s="1803">
        <f t="shared" si="76"/>
        <v>0</v>
      </c>
      <c r="AG462" s="1803">
        <f t="shared" si="76"/>
        <v>0</v>
      </c>
      <c r="AH462" s="1803">
        <f t="shared" si="76"/>
        <v>0</v>
      </c>
      <c r="AI462" s="1803">
        <f t="shared" si="76"/>
        <v>0</v>
      </c>
      <c r="AJ462" s="1803">
        <f t="shared" si="76"/>
        <v>0</v>
      </c>
      <c r="AK462" s="1803">
        <f t="shared" si="76"/>
        <v>0</v>
      </c>
      <c r="AL462" s="1803">
        <f t="shared" si="76"/>
        <v>0</v>
      </c>
      <c r="AM462" s="1803">
        <f t="shared" si="76"/>
        <v>0</v>
      </c>
      <c r="AN462" s="1803">
        <f t="shared" si="76"/>
        <v>0</v>
      </c>
      <c r="AO462" s="1321"/>
    </row>
    <row r="463" spans="2:41" hidden="1" x14ac:dyDescent="0.2">
      <c r="B463" s="1703">
        <f t="shared" si="47"/>
        <v>0</v>
      </c>
      <c r="C463" s="1172">
        <f t="shared" si="48"/>
        <v>0</v>
      </c>
      <c r="D463" s="1172">
        <f t="shared" si="34"/>
        <v>0</v>
      </c>
      <c r="E463" s="1172">
        <f t="shared" si="35"/>
        <v>0</v>
      </c>
      <c r="F463" s="1172">
        <f t="shared" si="36"/>
        <v>0</v>
      </c>
      <c r="G463" s="1172">
        <f t="shared" si="37"/>
        <v>0</v>
      </c>
      <c r="H463" s="1172">
        <f t="shared" si="38"/>
        <v>0</v>
      </c>
      <c r="I463" s="1172">
        <f t="shared" si="39"/>
        <v>0</v>
      </c>
      <c r="J463" s="1172">
        <f t="shared" si="40"/>
        <v>0</v>
      </c>
      <c r="K463" s="1172">
        <f t="shared" si="41"/>
        <v>0</v>
      </c>
      <c r="L463" s="1172">
        <f t="shared" si="42"/>
        <v>0</v>
      </c>
      <c r="M463" s="1172">
        <f t="shared" si="43"/>
        <v>0</v>
      </c>
      <c r="N463" s="1172">
        <f t="shared" si="44"/>
        <v>0</v>
      </c>
      <c r="O463" s="1321"/>
      <c r="P463" s="1172">
        <f t="shared" si="54"/>
        <v>0</v>
      </c>
      <c r="Q463" s="1172">
        <f t="shared" si="55"/>
        <v>0</v>
      </c>
      <c r="R463" s="1172">
        <f t="shared" si="56"/>
        <v>0</v>
      </c>
      <c r="S463" s="1172">
        <f t="shared" si="57"/>
        <v>0</v>
      </c>
      <c r="T463" s="1172">
        <f t="shared" si="58"/>
        <v>0</v>
      </c>
      <c r="U463" s="1172">
        <f t="shared" si="59"/>
        <v>0</v>
      </c>
      <c r="V463" s="1172">
        <f t="shared" si="60"/>
        <v>0</v>
      </c>
      <c r="W463" s="1172">
        <f t="shared" si="61"/>
        <v>0</v>
      </c>
      <c r="X463" s="1172">
        <f t="shared" si="62"/>
        <v>0</v>
      </c>
      <c r="Y463" s="1172">
        <f t="shared" si="63"/>
        <v>0</v>
      </c>
      <c r="Z463" s="1172">
        <f t="shared" si="64"/>
        <v>0</v>
      </c>
      <c r="AA463" s="1172">
        <f t="shared" si="65"/>
        <v>0</v>
      </c>
      <c r="AB463" s="1321"/>
      <c r="AC463" s="1803">
        <f>P463*$C$329</f>
        <v>0</v>
      </c>
      <c r="AD463" s="1803">
        <f t="shared" ref="AD463:AN463" si="77">Q463*$C$329</f>
        <v>0</v>
      </c>
      <c r="AE463" s="1803">
        <f t="shared" si="77"/>
        <v>0</v>
      </c>
      <c r="AF463" s="1803">
        <f t="shared" si="77"/>
        <v>0</v>
      </c>
      <c r="AG463" s="1803">
        <f t="shared" si="77"/>
        <v>0</v>
      </c>
      <c r="AH463" s="1803">
        <f t="shared" si="77"/>
        <v>0</v>
      </c>
      <c r="AI463" s="1803">
        <f t="shared" si="77"/>
        <v>0</v>
      </c>
      <c r="AJ463" s="1803">
        <f t="shared" si="77"/>
        <v>0</v>
      </c>
      <c r="AK463" s="1803">
        <f t="shared" si="77"/>
        <v>0</v>
      </c>
      <c r="AL463" s="1803">
        <f t="shared" si="77"/>
        <v>0</v>
      </c>
      <c r="AM463" s="1803">
        <f t="shared" si="77"/>
        <v>0</v>
      </c>
      <c r="AN463" s="1803">
        <f t="shared" si="77"/>
        <v>0</v>
      </c>
      <c r="AO463" s="1321"/>
    </row>
    <row r="464" spans="2:41" hidden="1" x14ac:dyDescent="0.2">
      <c r="B464" s="1703">
        <f t="shared" si="47"/>
        <v>0</v>
      </c>
      <c r="C464" s="1172">
        <f t="shared" si="48"/>
        <v>0</v>
      </c>
      <c r="D464" s="1172">
        <f t="shared" si="34"/>
        <v>0</v>
      </c>
      <c r="E464" s="1172">
        <f t="shared" si="35"/>
        <v>0</v>
      </c>
      <c r="F464" s="1172">
        <f t="shared" si="36"/>
        <v>0</v>
      </c>
      <c r="G464" s="1172">
        <f t="shared" si="37"/>
        <v>0</v>
      </c>
      <c r="H464" s="1172">
        <f t="shared" si="38"/>
        <v>0</v>
      </c>
      <c r="I464" s="1172">
        <f t="shared" si="39"/>
        <v>0</v>
      </c>
      <c r="J464" s="1172">
        <f t="shared" si="40"/>
        <v>0</v>
      </c>
      <c r="K464" s="1172">
        <f t="shared" si="41"/>
        <v>0</v>
      </c>
      <c r="L464" s="1172">
        <f t="shared" si="42"/>
        <v>0</v>
      </c>
      <c r="M464" s="1172">
        <f t="shared" si="43"/>
        <v>0</v>
      </c>
      <c r="N464" s="1172">
        <f t="shared" si="44"/>
        <v>0</v>
      </c>
      <c r="O464" s="1321"/>
      <c r="P464" s="1172">
        <f t="shared" si="54"/>
        <v>0</v>
      </c>
      <c r="Q464" s="1172">
        <f t="shared" si="55"/>
        <v>0</v>
      </c>
      <c r="R464" s="1172">
        <f t="shared" si="56"/>
        <v>0</v>
      </c>
      <c r="S464" s="1172">
        <f t="shared" si="57"/>
        <v>0</v>
      </c>
      <c r="T464" s="1172">
        <f t="shared" si="58"/>
        <v>0</v>
      </c>
      <c r="U464" s="1172">
        <f t="shared" si="59"/>
        <v>0</v>
      </c>
      <c r="V464" s="1172">
        <f t="shared" si="60"/>
        <v>0</v>
      </c>
      <c r="W464" s="1172">
        <f t="shared" si="61"/>
        <v>0</v>
      </c>
      <c r="X464" s="1172">
        <f t="shared" si="62"/>
        <v>0</v>
      </c>
      <c r="Y464" s="1172">
        <f t="shared" si="63"/>
        <v>0</v>
      </c>
      <c r="Z464" s="1172">
        <f t="shared" si="64"/>
        <v>0</v>
      </c>
      <c r="AA464" s="1172">
        <f t="shared" si="65"/>
        <v>0</v>
      </c>
      <c r="AB464" s="1321"/>
      <c r="AC464" s="1803">
        <f>P464*$C$330</f>
        <v>0</v>
      </c>
      <c r="AD464" s="1803">
        <f t="shared" ref="AD464:AN464" si="78">Q464*$C$330</f>
        <v>0</v>
      </c>
      <c r="AE464" s="1803">
        <f t="shared" si="78"/>
        <v>0</v>
      </c>
      <c r="AF464" s="1803">
        <f t="shared" si="78"/>
        <v>0</v>
      </c>
      <c r="AG464" s="1803">
        <f t="shared" si="78"/>
        <v>0</v>
      </c>
      <c r="AH464" s="1803">
        <f t="shared" si="78"/>
        <v>0</v>
      </c>
      <c r="AI464" s="1803">
        <f t="shared" si="78"/>
        <v>0</v>
      </c>
      <c r="AJ464" s="1803">
        <f t="shared" si="78"/>
        <v>0</v>
      </c>
      <c r="AK464" s="1803">
        <f t="shared" si="78"/>
        <v>0</v>
      </c>
      <c r="AL464" s="1803">
        <f t="shared" si="78"/>
        <v>0</v>
      </c>
      <c r="AM464" s="1803">
        <f t="shared" si="78"/>
        <v>0</v>
      </c>
      <c r="AN464" s="1803">
        <f t="shared" si="78"/>
        <v>0</v>
      </c>
      <c r="AO464" s="1321"/>
    </row>
    <row r="465" spans="2:41" hidden="1" x14ac:dyDescent="0.2">
      <c r="B465" s="1703">
        <f t="shared" si="47"/>
        <v>0</v>
      </c>
      <c r="C465" s="1172">
        <f t="shared" si="48"/>
        <v>0</v>
      </c>
      <c r="D465" s="1172">
        <f t="shared" si="34"/>
        <v>0</v>
      </c>
      <c r="E465" s="1172">
        <f t="shared" si="35"/>
        <v>0</v>
      </c>
      <c r="F465" s="1172">
        <f t="shared" si="36"/>
        <v>0</v>
      </c>
      <c r="G465" s="1172">
        <f t="shared" si="37"/>
        <v>0</v>
      </c>
      <c r="H465" s="1172">
        <f t="shared" si="38"/>
        <v>0</v>
      </c>
      <c r="I465" s="1172">
        <f t="shared" si="39"/>
        <v>0</v>
      </c>
      <c r="J465" s="1172">
        <f t="shared" si="40"/>
        <v>0</v>
      </c>
      <c r="K465" s="1172">
        <f t="shared" si="41"/>
        <v>0</v>
      </c>
      <c r="L465" s="1172">
        <f t="shared" si="42"/>
        <v>0</v>
      </c>
      <c r="M465" s="1172">
        <f t="shared" si="43"/>
        <v>0</v>
      </c>
      <c r="N465" s="1172">
        <f t="shared" si="44"/>
        <v>0</v>
      </c>
      <c r="O465" s="1321"/>
      <c r="P465" s="1172">
        <f t="shared" si="54"/>
        <v>0</v>
      </c>
      <c r="Q465" s="1172">
        <f t="shared" si="55"/>
        <v>0</v>
      </c>
      <c r="R465" s="1172">
        <f t="shared" si="56"/>
        <v>0</v>
      </c>
      <c r="S465" s="1172">
        <f t="shared" si="57"/>
        <v>0</v>
      </c>
      <c r="T465" s="1172">
        <f t="shared" si="58"/>
        <v>0</v>
      </c>
      <c r="U465" s="1172">
        <f t="shared" si="59"/>
        <v>0</v>
      </c>
      <c r="V465" s="1172">
        <f t="shared" si="60"/>
        <v>0</v>
      </c>
      <c r="W465" s="1172">
        <f t="shared" si="61"/>
        <v>0</v>
      </c>
      <c r="X465" s="1172">
        <f t="shared" si="62"/>
        <v>0</v>
      </c>
      <c r="Y465" s="1172">
        <f t="shared" si="63"/>
        <v>0</v>
      </c>
      <c r="Z465" s="1172">
        <f t="shared" si="64"/>
        <v>0</v>
      </c>
      <c r="AA465" s="1172">
        <f t="shared" si="65"/>
        <v>0</v>
      </c>
      <c r="AB465" s="1321"/>
      <c r="AC465" s="1803">
        <f>P465*$C$331</f>
        <v>0</v>
      </c>
      <c r="AD465" s="1803">
        <f t="shared" ref="AD465:AN465" si="79">Q465*$C$331</f>
        <v>0</v>
      </c>
      <c r="AE465" s="1803">
        <f t="shared" si="79"/>
        <v>0</v>
      </c>
      <c r="AF465" s="1803">
        <f t="shared" si="79"/>
        <v>0</v>
      </c>
      <c r="AG465" s="1803">
        <f t="shared" si="79"/>
        <v>0</v>
      </c>
      <c r="AH465" s="1803">
        <f t="shared" si="79"/>
        <v>0</v>
      </c>
      <c r="AI465" s="1803">
        <f t="shared" si="79"/>
        <v>0</v>
      </c>
      <c r="AJ465" s="1803">
        <f t="shared" si="79"/>
        <v>0</v>
      </c>
      <c r="AK465" s="1803">
        <f t="shared" si="79"/>
        <v>0</v>
      </c>
      <c r="AL465" s="1803">
        <f t="shared" si="79"/>
        <v>0</v>
      </c>
      <c r="AM465" s="1803">
        <f t="shared" si="79"/>
        <v>0</v>
      </c>
      <c r="AN465" s="1803">
        <f t="shared" si="79"/>
        <v>0</v>
      </c>
      <c r="AO465" s="1321"/>
    </row>
    <row r="466" spans="2:41" hidden="1" x14ac:dyDescent="0.2">
      <c r="B466" s="1703">
        <f t="shared" si="47"/>
        <v>0</v>
      </c>
      <c r="C466" s="1172">
        <f t="shared" si="48"/>
        <v>0</v>
      </c>
      <c r="D466" s="1172">
        <f t="shared" si="34"/>
        <v>0</v>
      </c>
      <c r="E466" s="1172">
        <f t="shared" si="35"/>
        <v>0</v>
      </c>
      <c r="F466" s="1172">
        <f t="shared" si="36"/>
        <v>0</v>
      </c>
      <c r="G466" s="1172">
        <f t="shared" si="37"/>
        <v>0</v>
      </c>
      <c r="H466" s="1172">
        <f t="shared" si="38"/>
        <v>0</v>
      </c>
      <c r="I466" s="1172">
        <f t="shared" si="39"/>
        <v>0</v>
      </c>
      <c r="J466" s="1172">
        <f t="shared" si="40"/>
        <v>0</v>
      </c>
      <c r="K466" s="1172">
        <f t="shared" si="41"/>
        <v>0</v>
      </c>
      <c r="L466" s="1172">
        <f t="shared" si="42"/>
        <v>0</v>
      </c>
      <c r="M466" s="1172">
        <f t="shared" si="43"/>
        <v>0</v>
      </c>
      <c r="N466" s="1172">
        <f t="shared" si="44"/>
        <v>0</v>
      </c>
      <c r="O466" s="1321"/>
      <c r="P466" s="1172">
        <f t="shared" si="54"/>
        <v>0</v>
      </c>
      <c r="Q466" s="1172">
        <f t="shared" si="55"/>
        <v>0</v>
      </c>
      <c r="R466" s="1172">
        <f t="shared" si="56"/>
        <v>0</v>
      </c>
      <c r="S466" s="1172">
        <f t="shared" si="57"/>
        <v>0</v>
      </c>
      <c r="T466" s="1172">
        <f t="shared" si="58"/>
        <v>0</v>
      </c>
      <c r="U466" s="1172">
        <f t="shared" si="59"/>
        <v>0</v>
      </c>
      <c r="V466" s="1172">
        <f t="shared" si="60"/>
        <v>0</v>
      </c>
      <c r="W466" s="1172">
        <f t="shared" si="61"/>
        <v>0</v>
      </c>
      <c r="X466" s="1172">
        <f t="shared" si="62"/>
        <v>0</v>
      </c>
      <c r="Y466" s="1172">
        <f t="shared" si="63"/>
        <v>0</v>
      </c>
      <c r="Z466" s="1172">
        <f t="shared" si="64"/>
        <v>0</v>
      </c>
      <c r="AA466" s="1172">
        <f t="shared" si="65"/>
        <v>0</v>
      </c>
      <c r="AB466" s="1321"/>
      <c r="AC466" s="1803">
        <f>P466*$C$332</f>
        <v>0</v>
      </c>
      <c r="AD466" s="1803">
        <f t="shared" ref="AD466:AN466" si="80">Q466*$C$332</f>
        <v>0</v>
      </c>
      <c r="AE466" s="1803">
        <f t="shared" si="80"/>
        <v>0</v>
      </c>
      <c r="AF466" s="1803">
        <f t="shared" si="80"/>
        <v>0</v>
      </c>
      <c r="AG466" s="1803">
        <f t="shared" si="80"/>
        <v>0</v>
      </c>
      <c r="AH466" s="1803">
        <f t="shared" si="80"/>
        <v>0</v>
      </c>
      <c r="AI466" s="1803">
        <f t="shared" si="80"/>
        <v>0</v>
      </c>
      <c r="AJ466" s="1803">
        <f t="shared" si="80"/>
        <v>0</v>
      </c>
      <c r="AK466" s="1803">
        <f t="shared" si="80"/>
        <v>0</v>
      </c>
      <c r="AL466" s="1803">
        <f t="shared" si="80"/>
        <v>0</v>
      </c>
      <c r="AM466" s="1803">
        <f t="shared" si="80"/>
        <v>0</v>
      </c>
      <c r="AN466" s="1803">
        <f t="shared" si="80"/>
        <v>0</v>
      </c>
      <c r="AO466" s="1321"/>
    </row>
    <row r="467" spans="2:41" hidden="1" x14ac:dyDescent="0.2">
      <c r="B467" s="1703">
        <f t="shared" si="47"/>
        <v>0</v>
      </c>
      <c r="C467" s="1172">
        <f t="shared" si="48"/>
        <v>0</v>
      </c>
      <c r="D467" s="1172">
        <f t="shared" si="34"/>
        <v>0</v>
      </c>
      <c r="E467" s="1172">
        <f t="shared" si="35"/>
        <v>0</v>
      </c>
      <c r="F467" s="1172">
        <f t="shared" si="36"/>
        <v>0</v>
      </c>
      <c r="G467" s="1172">
        <f t="shared" si="37"/>
        <v>0</v>
      </c>
      <c r="H467" s="1172">
        <f t="shared" si="38"/>
        <v>0</v>
      </c>
      <c r="I467" s="1172">
        <f t="shared" si="39"/>
        <v>0</v>
      </c>
      <c r="J467" s="1172">
        <f t="shared" si="40"/>
        <v>0</v>
      </c>
      <c r="K467" s="1172">
        <f t="shared" si="41"/>
        <v>0</v>
      </c>
      <c r="L467" s="1172">
        <f t="shared" si="42"/>
        <v>0</v>
      </c>
      <c r="M467" s="1172">
        <f t="shared" si="43"/>
        <v>0</v>
      </c>
      <c r="N467" s="1172">
        <f t="shared" si="44"/>
        <v>0</v>
      </c>
      <c r="O467" s="1321"/>
      <c r="P467" s="1172">
        <f t="shared" si="54"/>
        <v>0</v>
      </c>
      <c r="Q467" s="1172">
        <f t="shared" si="55"/>
        <v>0</v>
      </c>
      <c r="R467" s="1172">
        <f t="shared" si="56"/>
        <v>0</v>
      </c>
      <c r="S467" s="1172">
        <f t="shared" si="57"/>
        <v>0</v>
      </c>
      <c r="T467" s="1172">
        <f t="shared" si="58"/>
        <v>0</v>
      </c>
      <c r="U467" s="1172">
        <f t="shared" si="59"/>
        <v>0</v>
      </c>
      <c r="V467" s="1172">
        <f t="shared" si="60"/>
        <v>0</v>
      </c>
      <c r="W467" s="1172">
        <f t="shared" si="61"/>
        <v>0</v>
      </c>
      <c r="X467" s="1172">
        <f t="shared" si="62"/>
        <v>0</v>
      </c>
      <c r="Y467" s="1172">
        <f t="shared" si="63"/>
        <v>0</v>
      </c>
      <c r="Z467" s="1172">
        <f t="shared" si="64"/>
        <v>0</v>
      </c>
      <c r="AA467" s="1172">
        <f t="shared" si="65"/>
        <v>0</v>
      </c>
      <c r="AB467" s="1321"/>
      <c r="AC467" s="1803">
        <f>P467*$C$333</f>
        <v>0</v>
      </c>
      <c r="AD467" s="1803">
        <f t="shared" ref="AD467:AN467" si="81">Q467*$C$333</f>
        <v>0</v>
      </c>
      <c r="AE467" s="1803">
        <f t="shared" si="81"/>
        <v>0</v>
      </c>
      <c r="AF467" s="1803">
        <f t="shared" si="81"/>
        <v>0</v>
      </c>
      <c r="AG467" s="1803">
        <f t="shared" si="81"/>
        <v>0</v>
      </c>
      <c r="AH467" s="1803">
        <f t="shared" si="81"/>
        <v>0</v>
      </c>
      <c r="AI467" s="1803">
        <f t="shared" si="81"/>
        <v>0</v>
      </c>
      <c r="AJ467" s="1803">
        <f t="shared" si="81"/>
        <v>0</v>
      </c>
      <c r="AK467" s="1803">
        <f t="shared" si="81"/>
        <v>0</v>
      </c>
      <c r="AL467" s="1803">
        <f t="shared" si="81"/>
        <v>0</v>
      </c>
      <c r="AM467" s="1803">
        <f t="shared" si="81"/>
        <v>0</v>
      </c>
      <c r="AN467" s="1803">
        <f t="shared" si="81"/>
        <v>0</v>
      </c>
      <c r="AO467" s="1321"/>
    </row>
    <row r="468" spans="2:41" hidden="1" x14ac:dyDescent="0.2">
      <c r="B468" s="1703">
        <f t="shared" si="47"/>
        <v>0</v>
      </c>
      <c r="C468" s="1172">
        <f t="shared" si="48"/>
        <v>0</v>
      </c>
      <c r="D468" s="1172">
        <f t="shared" si="34"/>
        <v>0</v>
      </c>
      <c r="E468" s="1172">
        <f t="shared" si="35"/>
        <v>0</v>
      </c>
      <c r="F468" s="1172">
        <f t="shared" si="36"/>
        <v>0</v>
      </c>
      <c r="G468" s="1172">
        <f t="shared" si="37"/>
        <v>0</v>
      </c>
      <c r="H468" s="1172">
        <f t="shared" si="38"/>
        <v>0</v>
      </c>
      <c r="I468" s="1172">
        <f t="shared" si="39"/>
        <v>0</v>
      </c>
      <c r="J468" s="1172">
        <f t="shared" si="40"/>
        <v>0</v>
      </c>
      <c r="K468" s="1172">
        <f t="shared" si="41"/>
        <v>0</v>
      </c>
      <c r="L468" s="1172">
        <f t="shared" si="42"/>
        <v>0</v>
      </c>
      <c r="M468" s="1172">
        <f t="shared" si="43"/>
        <v>0</v>
      </c>
      <c r="N468" s="1172">
        <f t="shared" si="44"/>
        <v>0</v>
      </c>
      <c r="O468" s="1321"/>
      <c r="P468" s="1172">
        <f t="shared" si="54"/>
        <v>0</v>
      </c>
      <c r="Q468" s="1172">
        <f t="shared" si="55"/>
        <v>0</v>
      </c>
      <c r="R468" s="1172">
        <f t="shared" si="56"/>
        <v>0</v>
      </c>
      <c r="S468" s="1172">
        <f t="shared" si="57"/>
        <v>0</v>
      </c>
      <c r="T468" s="1172">
        <f t="shared" si="58"/>
        <v>0</v>
      </c>
      <c r="U468" s="1172">
        <f t="shared" si="59"/>
        <v>0</v>
      </c>
      <c r="V468" s="1172">
        <f t="shared" si="60"/>
        <v>0</v>
      </c>
      <c r="W468" s="1172">
        <f t="shared" si="61"/>
        <v>0</v>
      </c>
      <c r="X468" s="1172">
        <f t="shared" si="62"/>
        <v>0</v>
      </c>
      <c r="Y468" s="1172">
        <f t="shared" si="63"/>
        <v>0</v>
      </c>
      <c r="Z468" s="1172">
        <f t="shared" si="64"/>
        <v>0</v>
      </c>
      <c r="AA468" s="1172">
        <f t="shared" si="65"/>
        <v>0</v>
      </c>
      <c r="AB468" s="1321"/>
      <c r="AC468" s="1803">
        <f>P468*$C$334</f>
        <v>0</v>
      </c>
      <c r="AD468" s="1803">
        <f t="shared" ref="AD468:AN468" si="82">Q468*$C$334</f>
        <v>0</v>
      </c>
      <c r="AE468" s="1803">
        <f t="shared" si="82"/>
        <v>0</v>
      </c>
      <c r="AF468" s="1803">
        <f t="shared" si="82"/>
        <v>0</v>
      </c>
      <c r="AG468" s="1803">
        <f t="shared" si="82"/>
        <v>0</v>
      </c>
      <c r="AH468" s="1803">
        <f t="shared" si="82"/>
        <v>0</v>
      </c>
      <c r="AI468" s="1803">
        <f t="shared" si="82"/>
        <v>0</v>
      </c>
      <c r="AJ468" s="1803">
        <f t="shared" si="82"/>
        <v>0</v>
      </c>
      <c r="AK468" s="1803">
        <f t="shared" si="82"/>
        <v>0</v>
      </c>
      <c r="AL468" s="1803">
        <f t="shared" si="82"/>
        <v>0</v>
      </c>
      <c r="AM468" s="1803">
        <f t="shared" si="82"/>
        <v>0</v>
      </c>
      <c r="AN468" s="1803">
        <f t="shared" si="82"/>
        <v>0</v>
      </c>
      <c r="AO468" s="1321"/>
    </row>
    <row r="469" spans="2:41" hidden="1" x14ac:dyDescent="0.2">
      <c r="B469" s="1703">
        <f t="shared" si="47"/>
        <v>0</v>
      </c>
      <c r="C469" s="1172">
        <f t="shared" si="48"/>
        <v>0</v>
      </c>
      <c r="D469" s="1172">
        <f t="shared" si="34"/>
        <v>0</v>
      </c>
      <c r="E469" s="1172">
        <f t="shared" si="35"/>
        <v>0</v>
      </c>
      <c r="F469" s="1172">
        <f t="shared" si="36"/>
        <v>0</v>
      </c>
      <c r="G469" s="1172">
        <f t="shared" si="37"/>
        <v>0</v>
      </c>
      <c r="H469" s="1172">
        <f t="shared" si="38"/>
        <v>0</v>
      </c>
      <c r="I469" s="1172">
        <f t="shared" si="39"/>
        <v>0</v>
      </c>
      <c r="J469" s="1172">
        <f t="shared" si="40"/>
        <v>0</v>
      </c>
      <c r="K469" s="1172">
        <f t="shared" si="41"/>
        <v>0</v>
      </c>
      <c r="L469" s="1172">
        <f t="shared" si="42"/>
        <v>0</v>
      </c>
      <c r="M469" s="1172">
        <f t="shared" si="43"/>
        <v>0</v>
      </c>
      <c r="N469" s="1172">
        <f t="shared" si="44"/>
        <v>0</v>
      </c>
      <c r="O469" s="1321"/>
      <c r="P469" s="1172">
        <f t="shared" si="54"/>
        <v>0</v>
      </c>
      <c r="Q469" s="1172">
        <f t="shared" si="55"/>
        <v>0</v>
      </c>
      <c r="R469" s="1172">
        <f t="shared" si="56"/>
        <v>0</v>
      </c>
      <c r="S469" s="1172">
        <f t="shared" si="57"/>
        <v>0</v>
      </c>
      <c r="T469" s="1172">
        <f t="shared" si="58"/>
        <v>0</v>
      </c>
      <c r="U469" s="1172">
        <f t="shared" si="59"/>
        <v>0</v>
      </c>
      <c r="V469" s="1172">
        <f t="shared" si="60"/>
        <v>0</v>
      </c>
      <c r="W469" s="1172">
        <f t="shared" si="61"/>
        <v>0</v>
      </c>
      <c r="X469" s="1172">
        <f t="shared" si="62"/>
        <v>0</v>
      </c>
      <c r="Y469" s="1172">
        <f t="shared" si="63"/>
        <v>0</v>
      </c>
      <c r="Z469" s="1172">
        <f t="shared" si="64"/>
        <v>0</v>
      </c>
      <c r="AA469" s="1172">
        <f t="shared" si="65"/>
        <v>0</v>
      </c>
      <c r="AB469" s="1321"/>
      <c r="AC469" s="1803">
        <f>P469*$C$335</f>
        <v>0</v>
      </c>
      <c r="AD469" s="1803">
        <f t="shared" ref="AD469:AN469" si="83">Q469*$C$335</f>
        <v>0</v>
      </c>
      <c r="AE469" s="1803">
        <f t="shared" si="83"/>
        <v>0</v>
      </c>
      <c r="AF469" s="1803">
        <f t="shared" si="83"/>
        <v>0</v>
      </c>
      <c r="AG469" s="1803">
        <f t="shared" si="83"/>
        <v>0</v>
      </c>
      <c r="AH469" s="1803">
        <f t="shared" si="83"/>
        <v>0</v>
      </c>
      <c r="AI469" s="1803">
        <f t="shared" si="83"/>
        <v>0</v>
      </c>
      <c r="AJ469" s="1803">
        <f t="shared" si="83"/>
        <v>0</v>
      </c>
      <c r="AK469" s="1803">
        <f t="shared" si="83"/>
        <v>0</v>
      </c>
      <c r="AL469" s="1803">
        <f t="shared" si="83"/>
        <v>0</v>
      </c>
      <c r="AM469" s="1803">
        <f t="shared" si="83"/>
        <v>0</v>
      </c>
      <c r="AN469" s="1803">
        <f t="shared" si="83"/>
        <v>0</v>
      </c>
      <c r="AO469" s="1321"/>
    </row>
    <row r="470" spans="2:41" hidden="1" x14ac:dyDescent="0.2">
      <c r="B470" s="1703">
        <f t="shared" si="47"/>
        <v>0</v>
      </c>
      <c r="C470" s="1172">
        <f t="shared" si="48"/>
        <v>0</v>
      </c>
      <c r="D470" s="1172">
        <f t="shared" si="34"/>
        <v>0</v>
      </c>
      <c r="E470" s="1172">
        <f t="shared" si="35"/>
        <v>0</v>
      </c>
      <c r="F470" s="1172">
        <f t="shared" si="36"/>
        <v>0</v>
      </c>
      <c r="G470" s="1172">
        <f t="shared" si="37"/>
        <v>0</v>
      </c>
      <c r="H470" s="1172">
        <f t="shared" si="38"/>
        <v>0</v>
      </c>
      <c r="I470" s="1172">
        <f t="shared" si="39"/>
        <v>0</v>
      </c>
      <c r="J470" s="1172">
        <f t="shared" si="40"/>
        <v>0</v>
      </c>
      <c r="K470" s="1172">
        <f t="shared" si="41"/>
        <v>0</v>
      </c>
      <c r="L470" s="1172">
        <f t="shared" si="42"/>
        <v>0</v>
      </c>
      <c r="M470" s="1172">
        <f t="shared" si="43"/>
        <v>0</v>
      </c>
      <c r="N470" s="1172">
        <f t="shared" si="44"/>
        <v>0</v>
      </c>
      <c r="O470" s="1321"/>
      <c r="P470" s="1172">
        <f t="shared" si="54"/>
        <v>0</v>
      </c>
      <c r="Q470" s="1172">
        <f t="shared" si="55"/>
        <v>0</v>
      </c>
      <c r="R470" s="1172">
        <f t="shared" si="56"/>
        <v>0</v>
      </c>
      <c r="S470" s="1172">
        <f t="shared" si="57"/>
        <v>0</v>
      </c>
      <c r="T470" s="1172">
        <f t="shared" si="58"/>
        <v>0</v>
      </c>
      <c r="U470" s="1172">
        <f t="shared" si="59"/>
        <v>0</v>
      </c>
      <c r="V470" s="1172">
        <f t="shared" si="60"/>
        <v>0</v>
      </c>
      <c r="W470" s="1172">
        <f t="shared" si="61"/>
        <v>0</v>
      </c>
      <c r="X470" s="1172">
        <f t="shared" si="62"/>
        <v>0</v>
      </c>
      <c r="Y470" s="1172">
        <f t="shared" si="63"/>
        <v>0</v>
      </c>
      <c r="Z470" s="1172">
        <f t="shared" si="64"/>
        <v>0</v>
      </c>
      <c r="AA470" s="1172">
        <f t="shared" si="65"/>
        <v>0</v>
      </c>
      <c r="AB470" s="1321"/>
      <c r="AC470" s="1803">
        <f>P470*$C$336</f>
        <v>0</v>
      </c>
      <c r="AD470" s="1803">
        <f t="shared" ref="AD470:AN470" si="84">Q470*$C$336</f>
        <v>0</v>
      </c>
      <c r="AE470" s="1803">
        <f t="shared" si="84"/>
        <v>0</v>
      </c>
      <c r="AF470" s="1803">
        <f t="shared" si="84"/>
        <v>0</v>
      </c>
      <c r="AG470" s="1803">
        <f t="shared" si="84"/>
        <v>0</v>
      </c>
      <c r="AH470" s="1803">
        <f t="shared" si="84"/>
        <v>0</v>
      </c>
      <c r="AI470" s="1803">
        <f t="shared" si="84"/>
        <v>0</v>
      </c>
      <c r="AJ470" s="1803">
        <f t="shared" si="84"/>
        <v>0</v>
      </c>
      <c r="AK470" s="1803">
        <f t="shared" si="84"/>
        <v>0</v>
      </c>
      <c r="AL470" s="1803">
        <f t="shared" si="84"/>
        <v>0</v>
      </c>
      <c r="AM470" s="1803">
        <f t="shared" si="84"/>
        <v>0</v>
      </c>
      <c r="AN470" s="1803">
        <f t="shared" si="84"/>
        <v>0</v>
      </c>
      <c r="AO470" s="1321"/>
    </row>
    <row r="471" spans="2:41" hidden="1" x14ac:dyDescent="0.2">
      <c r="B471" s="1703">
        <f t="shared" si="47"/>
        <v>0</v>
      </c>
      <c r="C471" s="1172">
        <f t="shared" si="48"/>
        <v>0</v>
      </c>
      <c r="D471" s="1172">
        <f t="shared" si="34"/>
        <v>0</v>
      </c>
      <c r="E471" s="1172">
        <f t="shared" si="35"/>
        <v>0</v>
      </c>
      <c r="F471" s="1172">
        <f t="shared" si="36"/>
        <v>0</v>
      </c>
      <c r="G471" s="1172">
        <f t="shared" si="37"/>
        <v>0</v>
      </c>
      <c r="H471" s="1172">
        <f t="shared" si="38"/>
        <v>0</v>
      </c>
      <c r="I471" s="1172">
        <f t="shared" si="39"/>
        <v>0</v>
      </c>
      <c r="J471" s="1172">
        <f t="shared" si="40"/>
        <v>0</v>
      </c>
      <c r="K471" s="1172">
        <f t="shared" si="41"/>
        <v>0</v>
      </c>
      <c r="L471" s="1172">
        <f t="shared" si="42"/>
        <v>0</v>
      </c>
      <c r="M471" s="1172">
        <f t="shared" si="43"/>
        <v>0</v>
      </c>
      <c r="N471" s="1172">
        <f t="shared" si="44"/>
        <v>0</v>
      </c>
      <c r="O471" s="1321"/>
      <c r="P471" s="1172">
        <f t="shared" si="54"/>
        <v>0</v>
      </c>
      <c r="Q471" s="1172">
        <f t="shared" si="55"/>
        <v>0</v>
      </c>
      <c r="R471" s="1172">
        <f t="shared" si="56"/>
        <v>0</v>
      </c>
      <c r="S471" s="1172">
        <f t="shared" si="57"/>
        <v>0</v>
      </c>
      <c r="T471" s="1172">
        <f t="shared" si="58"/>
        <v>0</v>
      </c>
      <c r="U471" s="1172">
        <f t="shared" si="59"/>
        <v>0</v>
      </c>
      <c r="V471" s="1172">
        <f t="shared" si="60"/>
        <v>0</v>
      </c>
      <c r="W471" s="1172">
        <f t="shared" si="61"/>
        <v>0</v>
      </c>
      <c r="X471" s="1172">
        <f t="shared" si="62"/>
        <v>0</v>
      </c>
      <c r="Y471" s="1172">
        <f t="shared" si="63"/>
        <v>0</v>
      </c>
      <c r="Z471" s="1172">
        <f t="shared" si="64"/>
        <v>0</v>
      </c>
      <c r="AA471" s="1172">
        <f t="shared" si="65"/>
        <v>0</v>
      </c>
      <c r="AB471" s="1321"/>
      <c r="AC471" s="1803">
        <f>P471*$C$337</f>
        <v>0</v>
      </c>
      <c r="AD471" s="1803">
        <f t="shared" ref="AD471:AN471" si="85">Q471*$C$337</f>
        <v>0</v>
      </c>
      <c r="AE471" s="1803">
        <f t="shared" si="85"/>
        <v>0</v>
      </c>
      <c r="AF471" s="1803">
        <f t="shared" si="85"/>
        <v>0</v>
      </c>
      <c r="AG471" s="1803">
        <f t="shared" si="85"/>
        <v>0</v>
      </c>
      <c r="AH471" s="1803">
        <f t="shared" si="85"/>
        <v>0</v>
      </c>
      <c r="AI471" s="1803">
        <f t="shared" si="85"/>
        <v>0</v>
      </c>
      <c r="AJ471" s="1803">
        <f t="shared" si="85"/>
        <v>0</v>
      </c>
      <c r="AK471" s="1803">
        <f t="shared" si="85"/>
        <v>0</v>
      </c>
      <c r="AL471" s="1803">
        <f t="shared" si="85"/>
        <v>0</v>
      </c>
      <c r="AM471" s="1803">
        <f t="shared" si="85"/>
        <v>0</v>
      </c>
      <c r="AN471" s="1803">
        <f t="shared" si="85"/>
        <v>0</v>
      </c>
      <c r="AO471" s="1321"/>
    </row>
    <row r="472" spans="2:41" hidden="1" x14ac:dyDescent="0.2">
      <c r="B472" s="1703">
        <f t="shared" si="47"/>
        <v>0</v>
      </c>
      <c r="C472" s="1172">
        <f t="shared" si="48"/>
        <v>0</v>
      </c>
      <c r="D472" s="1172">
        <f t="shared" si="34"/>
        <v>0</v>
      </c>
      <c r="E472" s="1172">
        <f t="shared" si="35"/>
        <v>0</v>
      </c>
      <c r="F472" s="1172">
        <f t="shared" si="36"/>
        <v>0</v>
      </c>
      <c r="G472" s="1172">
        <f t="shared" si="37"/>
        <v>0</v>
      </c>
      <c r="H472" s="1172">
        <f t="shared" si="38"/>
        <v>0</v>
      </c>
      <c r="I472" s="1172">
        <f t="shared" si="39"/>
        <v>0</v>
      </c>
      <c r="J472" s="1172">
        <f t="shared" si="40"/>
        <v>0</v>
      </c>
      <c r="K472" s="1172">
        <f t="shared" si="41"/>
        <v>0</v>
      </c>
      <c r="L472" s="1172">
        <f t="shared" si="42"/>
        <v>0</v>
      </c>
      <c r="M472" s="1172">
        <f t="shared" si="43"/>
        <v>0</v>
      </c>
      <c r="N472" s="1172">
        <f t="shared" si="44"/>
        <v>0</v>
      </c>
      <c r="O472" s="1321"/>
      <c r="P472" s="1172">
        <f t="shared" si="54"/>
        <v>0</v>
      </c>
      <c r="Q472" s="1172">
        <f t="shared" si="55"/>
        <v>0</v>
      </c>
      <c r="R472" s="1172">
        <f t="shared" si="56"/>
        <v>0</v>
      </c>
      <c r="S472" s="1172">
        <f t="shared" si="57"/>
        <v>0</v>
      </c>
      <c r="T472" s="1172">
        <f t="shared" si="58"/>
        <v>0</v>
      </c>
      <c r="U472" s="1172">
        <f t="shared" si="59"/>
        <v>0</v>
      </c>
      <c r="V472" s="1172">
        <f t="shared" si="60"/>
        <v>0</v>
      </c>
      <c r="W472" s="1172">
        <f t="shared" si="61"/>
        <v>0</v>
      </c>
      <c r="X472" s="1172">
        <f t="shared" si="62"/>
        <v>0</v>
      </c>
      <c r="Y472" s="1172">
        <f t="shared" si="63"/>
        <v>0</v>
      </c>
      <c r="Z472" s="1172">
        <f t="shared" si="64"/>
        <v>0</v>
      </c>
      <c r="AA472" s="1172">
        <f t="shared" si="65"/>
        <v>0</v>
      </c>
      <c r="AB472" s="1321"/>
      <c r="AC472" s="1803">
        <f>P472*$C$338</f>
        <v>0</v>
      </c>
      <c r="AD472" s="1803">
        <f t="shared" ref="AD472:AN472" si="86">Q472*$C$338</f>
        <v>0</v>
      </c>
      <c r="AE472" s="1803">
        <f t="shared" si="86"/>
        <v>0</v>
      </c>
      <c r="AF472" s="1803">
        <f t="shared" si="86"/>
        <v>0</v>
      </c>
      <c r="AG472" s="1803">
        <f t="shared" si="86"/>
        <v>0</v>
      </c>
      <c r="AH472" s="1803">
        <f t="shared" si="86"/>
        <v>0</v>
      </c>
      <c r="AI472" s="1803">
        <f t="shared" si="86"/>
        <v>0</v>
      </c>
      <c r="AJ472" s="1803">
        <f t="shared" si="86"/>
        <v>0</v>
      </c>
      <c r="AK472" s="1803">
        <f t="shared" si="86"/>
        <v>0</v>
      </c>
      <c r="AL472" s="1803">
        <f t="shared" si="86"/>
        <v>0</v>
      </c>
      <c r="AM472" s="1803">
        <f t="shared" si="86"/>
        <v>0</v>
      </c>
      <c r="AN472" s="1803">
        <f t="shared" si="86"/>
        <v>0</v>
      </c>
      <c r="AO472" s="1321"/>
    </row>
    <row r="473" spans="2:41" hidden="1" x14ac:dyDescent="0.2">
      <c r="B473" s="1703">
        <f t="shared" si="47"/>
        <v>0</v>
      </c>
      <c r="C473" s="1172">
        <f t="shared" si="48"/>
        <v>0</v>
      </c>
      <c r="D473" s="1172">
        <f t="shared" si="34"/>
        <v>0</v>
      </c>
      <c r="E473" s="1172">
        <f t="shared" si="35"/>
        <v>0</v>
      </c>
      <c r="F473" s="1172">
        <f t="shared" si="36"/>
        <v>0</v>
      </c>
      <c r="G473" s="1172">
        <f t="shared" si="37"/>
        <v>0</v>
      </c>
      <c r="H473" s="1172">
        <f t="shared" si="38"/>
        <v>0</v>
      </c>
      <c r="I473" s="1172">
        <f t="shared" si="39"/>
        <v>0</v>
      </c>
      <c r="J473" s="1172">
        <f t="shared" si="40"/>
        <v>0</v>
      </c>
      <c r="K473" s="1172">
        <f t="shared" si="41"/>
        <v>0</v>
      </c>
      <c r="L473" s="1172">
        <f t="shared" si="42"/>
        <v>0</v>
      </c>
      <c r="M473" s="1172">
        <f t="shared" si="43"/>
        <v>0</v>
      </c>
      <c r="N473" s="1172">
        <f t="shared" si="44"/>
        <v>0</v>
      </c>
      <c r="O473" s="1321"/>
      <c r="P473" s="1172">
        <f t="shared" si="54"/>
        <v>0</v>
      </c>
      <c r="Q473" s="1172">
        <f t="shared" si="55"/>
        <v>0</v>
      </c>
      <c r="R473" s="1172">
        <f t="shared" si="56"/>
        <v>0</v>
      </c>
      <c r="S473" s="1172">
        <f t="shared" si="57"/>
        <v>0</v>
      </c>
      <c r="T473" s="1172">
        <f t="shared" si="58"/>
        <v>0</v>
      </c>
      <c r="U473" s="1172">
        <f t="shared" si="59"/>
        <v>0</v>
      </c>
      <c r="V473" s="1172">
        <f t="shared" si="60"/>
        <v>0</v>
      </c>
      <c r="W473" s="1172">
        <f t="shared" si="61"/>
        <v>0</v>
      </c>
      <c r="X473" s="1172">
        <f t="shared" si="62"/>
        <v>0</v>
      </c>
      <c r="Y473" s="1172">
        <f t="shared" si="63"/>
        <v>0</v>
      </c>
      <c r="Z473" s="1172">
        <f t="shared" si="64"/>
        <v>0</v>
      </c>
      <c r="AA473" s="1172">
        <f t="shared" si="65"/>
        <v>0</v>
      </c>
      <c r="AB473" s="1321"/>
      <c r="AC473" s="1803">
        <f>P473*$C$339</f>
        <v>0</v>
      </c>
      <c r="AD473" s="1803">
        <f t="shared" ref="AD473:AN473" si="87">Q473*$C$339</f>
        <v>0</v>
      </c>
      <c r="AE473" s="1803">
        <f t="shared" si="87"/>
        <v>0</v>
      </c>
      <c r="AF473" s="1803">
        <f t="shared" si="87"/>
        <v>0</v>
      </c>
      <c r="AG473" s="1803">
        <f t="shared" si="87"/>
        <v>0</v>
      </c>
      <c r="AH473" s="1803">
        <f t="shared" si="87"/>
        <v>0</v>
      </c>
      <c r="AI473" s="1803">
        <f t="shared" si="87"/>
        <v>0</v>
      </c>
      <c r="AJ473" s="1803">
        <f t="shared" si="87"/>
        <v>0</v>
      </c>
      <c r="AK473" s="1803">
        <f t="shared" si="87"/>
        <v>0</v>
      </c>
      <c r="AL473" s="1803">
        <f t="shared" si="87"/>
        <v>0</v>
      </c>
      <c r="AM473" s="1803">
        <f t="shared" si="87"/>
        <v>0</v>
      </c>
      <c r="AN473" s="1803">
        <f t="shared" si="87"/>
        <v>0</v>
      </c>
      <c r="AO473" s="1321"/>
    </row>
    <row r="474" spans="2:41" hidden="1" x14ac:dyDescent="0.2">
      <c r="B474" s="1703">
        <f t="shared" si="47"/>
        <v>0</v>
      </c>
      <c r="C474" s="1172">
        <f t="shared" si="48"/>
        <v>0</v>
      </c>
      <c r="D474" s="1172">
        <f t="shared" si="34"/>
        <v>0</v>
      </c>
      <c r="E474" s="1172">
        <f t="shared" si="35"/>
        <v>0</v>
      </c>
      <c r="F474" s="1172">
        <f t="shared" si="36"/>
        <v>0</v>
      </c>
      <c r="G474" s="1172">
        <f t="shared" si="37"/>
        <v>0</v>
      </c>
      <c r="H474" s="1172">
        <f t="shared" si="38"/>
        <v>0</v>
      </c>
      <c r="I474" s="1172">
        <f t="shared" si="39"/>
        <v>0</v>
      </c>
      <c r="J474" s="1172">
        <f t="shared" si="40"/>
        <v>0</v>
      </c>
      <c r="K474" s="1172">
        <f t="shared" si="41"/>
        <v>0</v>
      </c>
      <c r="L474" s="1172">
        <f t="shared" si="42"/>
        <v>0</v>
      </c>
      <c r="M474" s="1172">
        <f t="shared" si="43"/>
        <v>0</v>
      </c>
      <c r="N474" s="1172">
        <f t="shared" si="44"/>
        <v>0</v>
      </c>
      <c r="O474" s="1321"/>
      <c r="P474" s="1172">
        <f t="shared" si="54"/>
        <v>0</v>
      </c>
      <c r="Q474" s="1172">
        <f t="shared" si="55"/>
        <v>0</v>
      </c>
      <c r="R474" s="1172">
        <f t="shared" si="56"/>
        <v>0</v>
      </c>
      <c r="S474" s="1172">
        <f t="shared" si="57"/>
        <v>0</v>
      </c>
      <c r="T474" s="1172">
        <f t="shared" si="58"/>
        <v>0</v>
      </c>
      <c r="U474" s="1172">
        <f t="shared" si="59"/>
        <v>0</v>
      </c>
      <c r="V474" s="1172">
        <f t="shared" si="60"/>
        <v>0</v>
      </c>
      <c r="W474" s="1172">
        <f t="shared" si="61"/>
        <v>0</v>
      </c>
      <c r="X474" s="1172">
        <f t="shared" si="62"/>
        <v>0</v>
      </c>
      <c r="Y474" s="1172">
        <f t="shared" si="63"/>
        <v>0</v>
      </c>
      <c r="Z474" s="1172">
        <f t="shared" si="64"/>
        <v>0</v>
      </c>
      <c r="AA474" s="1172">
        <f t="shared" si="65"/>
        <v>0</v>
      </c>
      <c r="AB474" s="1321"/>
      <c r="AC474" s="1803">
        <f>P474*$C$340</f>
        <v>0</v>
      </c>
      <c r="AD474" s="1803">
        <f t="shared" ref="AD474:AN474" si="88">Q474*$C$340</f>
        <v>0</v>
      </c>
      <c r="AE474" s="1803">
        <f t="shared" si="88"/>
        <v>0</v>
      </c>
      <c r="AF474" s="1803">
        <f t="shared" si="88"/>
        <v>0</v>
      </c>
      <c r="AG474" s="1803">
        <f t="shared" si="88"/>
        <v>0</v>
      </c>
      <c r="AH474" s="1803">
        <f t="shared" si="88"/>
        <v>0</v>
      </c>
      <c r="AI474" s="1803">
        <f t="shared" si="88"/>
        <v>0</v>
      </c>
      <c r="AJ474" s="1803">
        <f t="shared" si="88"/>
        <v>0</v>
      </c>
      <c r="AK474" s="1803">
        <f t="shared" si="88"/>
        <v>0</v>
      </c>
      <c r="AL474" s="1803">
        <f t="shared" si="88"/>
        <v>0</v>
      </c>
      <c r="AM474" s="1803">
        <f t="shared" si="88"/>
        <v>0</v>
      </c>
      <c r="AN474" s="1803">
        <f t="shared" si="88"/>
        <v>0</v>
      </c>
      <c r="AO474" s="1321"/>
    </row>
    <row r="475" spans="2:41" hidden="1" x14ac:dyDescent="0.2">
      <c r="B475" s="1703">
        <f t="shared" si="47"/>
        <v>0</v>
      </c>
      <c r="C475" s="1172">
        <f t="shared" si="48"/>
        <v>0</v>
      </c>
      <c r="D475" s="1172">
        <f t="shared" si="34"/>
        <v>0</v>
      </c>
      <c r="E475" s="1172">
        <f t="shared" si="35"/>
        <v>0</v>
      </c>
      <c r="F475" s="1172">
        <f t="shared" si="36"/>
        <v>0</v>
      </c>
      <c r="G475" s="1172">
        <f t="shared" si="37"/>
        <v>0</v>
      </c>
      <c r="H475" s="1172">
        <f t="shared" si="38"/>
        <v>0</v>
      </c>
      <c r="I475" s="1172">
        <f t="shared" si="39"/>
        <v>0</v>
      </c>
      <c r="J475" s="1172">
        <f t="shared" si="40"/>
        <v>0</v>
      </c>
      <c r="K475" s="1172">
        <f t="shared" si="41"/>
        <v>0</v>
      </c>
      <c r="L475" s="1172">
        <f t="shared" si="42"/>
        <v>0</v>
      </c>
      <c r="M475" s="1172">
        <f t="shared" si="43"/>
        <v>0</v>
      </c>
      <c r="N475" s="1172">
        <f t="shared" si="44"/>
        <v>0</v>
      </c>
      <c r="O475" s="1321"/>
      <c r="P475" s="1172">
        <f t="shared" si="54"/>
        <v>0</v>
      </c>
      <c r="Q475" s="1172">
        <f t="shared" si="55"/>
        <v>0</v>
      </c>
      <c r="R475" s="1172">
        <f t="shared" si="56"/>
        <v>0</v>
      </c>
      <c r="S475" s="1172">
        <f t="shared" si="57"/>
        <v>0</v>
      </c>
      <c r="T475" s="1172">
        <f t="shared" si="58"/>
        <v>0</v>
      </c>
      <c r="U475" s="1172">
        <f t="shared" si="59"/>
        <v>0</v>
      </c>
      <c r="V475" s="1172">
        <f t="shared" si="60"/>
        <v>0</v>
      </c>
      <c r="W475" s="1172">
        <f t="shared" si="61"/>
        <v>0</v>
      </c>
      <c r="X475" s="1172">
        <f t="shared" si="62"/>
        <v>0</v>
      </c>
      <c r="Y475" s="1172">
        <f t="shared" si="63"/>
        <v>0</v>
      </c>
      <c r="Z475" s="1172">
        <f t="shared" si="64"/>
        <v>0</v>
      </c>
      <c r="AA475" s="1172">
        <f t="shared" si="65"/>
        <v>0</v>
      </c>
      <c r="AB475" s="1321"/>
      <c r="AC475" s="1803">
        <f>P475*$C$341</f>
        <v>0</v>
      </c>
      <c r="AD475" s="1803">
        <f t="shared" ref="AD475:AN475" si="89">Q475*$C$341</f>
        <v>0</v>
      </c>
      <c r="AE475" s="1803">
        <f t="shared" si="89"/>
        <v>0</v>
      </c>
      <c r="AF475" s="1803">
        <f t="shared" si="89"/>
        <v>0</v>
      </c>
      <c r="AG475" s="1803">
        <f t="shared" si="89"/>
        <v>0</v>
      </c>
      <c r="AH475" s="1803">
        <f t="shared" si="89"/>
        <v>0</v>
      </c>
      <c r="AI475" s="1803">
        <f t="shared" si="89"/>
        <v>0</v>
      </c>
      <c r="AJ475" s="1803">
        <f t="shared" si="89"/>
        <v>0</v>
      </c>
      <c r="AK475" s="1803">
        <f t="shared" si="89"/>
        <v>0</v>
      </c>
      <c r="AL475" s="1803">
        <f t="shared" si="89"/>
        <v>0</v>
      </c>
      <c r="AM475" s="1803">
        <f t="shared" si="89"/>
        <v>0</v>
      </c>
      <c r="AN475" s="1803">
        <f t="shared" si="89"/>
        <v>0</v>
      </c>
      <c r="AO475" s="1321"/>
    </row>
    <row r="476" spans="2:41" hidden="1" x14ac:dyDescent="0.2">
      <c r="B476" s="1703">
        <f t="shared" si="47"/>
        <v>0</v>
      </c>
      <c r="C476" s="1172">
        <f t="shared" si="48"/>
        <v>0</v>
      </c>
      <c r="D476" s="1172">
        <f t="shared" si="34"/>
        <v>0</v>
      </c>
      <c r="E476" s="1172">
        <f t="shared" si="35"/>
        <v>0</v>
      </c>
      <c r="F476" s="1172">
        <f t="shared" si="36"/>
        <v>0</v>
      </c>
      <c r="G476" s="1172">
        <f t="shared" si="37"/>
        <v>0</v>
      </c>
      <c r="H476" s="1172">
        <f t="shared" si="38"/>
        <v>0</v>
      </c>
      <c r="I476" s="1172">
        <f t="shared" si="39"/>
        <v>0</v>
      </c>
      <c r="J476" s="1172">
        <f t="shared" si="40"/>
        <v>0</v>
      </c>
      <c r="K476" s="1172">
        <f t="shared" si="41"/>
        <v>0</v>
      </c>
      <c r="L476" s="1172">
        <f t="shared" si="42"/>
        <v>0</v>
      </c>
      <c r="M476" s="1172">
        <f t="shared" si="43"/>
        <v>0</v>
      </c>
      <c r="N476" s="1172">
        <f t="shared" si="44"/>
        <v>0</v>
      </c>
      <c r="O476" s="1321"/>
      <c r="P476" s="1172">
        <f t="shared" si="54"/>
        <v>0</v>
      </c>
      <c r="Q476" s="1172">
        <f t="shared" si="55"/>
        <v>0</v>
      </c>
      <c r="R476" s="1172">
        <f t="shared" si="56"/>
        <v>0</v>
      </c>
      <c r="S476" s="1172">
        <f t="shared" si="57"/>
        <v>0</v>
      </c>
      <c r="T476" s="1172">
        <f t="shared" si="58"/>
        <v>0</v>
      </c>
      <c r="U476" s="1172">
        <f t="shared" si="59"/>
        <v>0</v>
      </c>
      <c r="V476" s="1172">
        <f t="shared" si="60"/>
        <v>0</v>
      </c>
      <c r="W476" s="1172">
        <f t="shared" si="61"/>
        <v>0</v>
      </c>
      <c r="X476" s="1172">
        <f t="shared" si="62"/>
        <v>0</v>
      </c>
      <c r="Y476" s="1172">
        <f t="shared" si="63"/>
        <v>0</v>
      </c>
      <c r="Z476" s="1172">
        <f t="shared" si="64"/>
        <v>0</v>
      </c>
      <c r="AA476" s="1172">
        <f t="shared" si="65"/>
        <v>0</v>
      </c>
      <c r="AB476" s="1321"/>
      <c r="AC476" s="1803">
        <f>P476*$C$342</f>
        <v>0</v>
      </c>
      <c r="AD476" s="1803">
        <f t="shared" ref="AD476:AN476" si="90">Q476*$C$342</f>
        <v>0</v>
      </c>
      <c r="AE476" s="1803">
        <f t="shared" si="90"/>
        <v>0</v>
      </c>
      <c r="AF476" s="1803">
        <f t="shared" si="90"/>
        <v>0</v>
      </c>
      <c r="AG476" s="1803">
        <f t="shared" si="90"/>
        <v>0</v>
      </c>
      <c r="AH476" s="1803">
        <f t="shared" si="90"/>
        <v>0</v>
      </c>
      <c r="AI476" s="1803">
        <f t="shared" si="90"/>
        <v>0</v>
      </c>
      <c r="AJ476" s="1803">
        <f t="shared" si="90"/>
        <v>0</v>
      </c>
      <c r="AK476" s="1803">
        <f t="shared" si="90"/>
        <v>0</v>
      </c>
      <c r="AL476" s="1803">
        <f t="shared" si="90"/>
        <v>0</v>
      </c>
      <c r="AM476" s="1803">
        <f t="shared" si="90"/>
        <v>0</v>
      </c>
      <c r="AN476" s="1803">
        <f t="shared" si="90"/>
        <v>0</v>
      </c>
      <c r="AO476" s="1321"/>
    </row>
    <row r="477" spans="2:41" hidden="1" x14ac:dyDescent="0.2">
      <c r="B477" s="1703">
        <f t="shared" si="47"/>
        <v>0</v>
      </c>
      <c r="C477" s="1172">
        <f t="shared" si="48"/>
        <v>0</v>
      </c>
      <c r="D477" s="1172">
        <f t="shared" si="34"/>
        <v>0</v>
      </c>
      <c r="E477" s="1172">
        <f t="shared" si="35"/>
        <v>0</v>
      </c>
      <c r="F477" s="1172">
        <f t="shared" si="36"/>
        <v>0</v>
      </c>
      <c r="G477" s="1172">
        <f t="shared" si="37"/>
        <v>0</v>
      </c>
      <c r="H477" s="1172">
        <f t="shared" si="38"/>
        <v>0</v>
      </c>
      <c r="I477" s="1172">
        <f t="shared" si="39"/>
        <v>0</v>
      </c>
      <c r="J477" s="1172">
        <f t="shared" si="40"/>
        <v>0</v>
      </c>
      <c r="K477" s="1172">
        <f t="shared" si="41"/>
        <v>0</v>
      </c>
      <c r="L477" s="1172">
        <f t="shared" si="42"/>
        <v>0</v>
      </c>
      <c r="M477" s="1172">
        <f t="shared" si="43"/>
        <v>0</v>
      </c>
      <c r="N477" s="1172">
        <f t="shared" si="44"/>
        <v>0</v>
      </c>
      <c r="O477" s="1321"/>
      <c r="P477" s="1172">
        <f t="shared" si="54"/>
        <v>0</v>
      </c>
      <c r="Q477" s="1172">
        <f t="shared" si="55"/>
        <v>0</v>
      </c>
      <c r="R477" s="1172">
        <f t="shared" si="56"/>
        <v>0</v>
      </c>
      <c r="S477" s="1172">
        <f t="shared" si="57"/>
        <v>0</v>
      </c>
      <c r="T477" s="1172">
        <f t="shared" si="58"/>
        <v>0</v>
      </c>
      <c r="U477" s="1172">
        <f t="shared" si="59"/>
        <v>0</v>
      </c>
      <c r="V477" s="1172">
        <f t="shared" si="60"/>
        <v>0</v>
      </c>
      <c r="W477" s="1172">
        <f t="shared" si="61"/>
        <v>0</v>
      </c>
      <c r="X477" s="1172">
        <f t="shared" si="62"/>
        <v>0</v>
      </c>
      <c r="Y477" s="1172">
        <f t="shared" si="63"/>
        <v>0</v>
      </c>
      <c r="Z477" s="1172">
        <f t="shared" si="64"/>
        <v>0</v>
      </c>
      <c r="AA477" s="1172">
        <f t="shared" si="65"/>
        <v>0</v>
      </c>
      <c r="AB477" s="1321"/>
      <c r="AC477" s="1803">
        <f>P477*$C$343</f>
        <v>0</v>
      </c>
      <c r="AD477" s="1803">
        <f t="shared" ref="AD477:AN477" si="91">Q477*$C$343</f>
        <v>0</v>
      </c>
      <c r="AE477" s="1803">
        <f t="shared" si="91"/>
        <v>0</v>
      </c>
      <c r="AF477" s="1803">
        <f t="shared" si="91"/>
        <v>0</v>
      </c>
      <c r="AG477" s="1803">
        <f t="shared" si="91"/>
        <v>0</v>
      </c>
      <c r="AH477" s="1803">
        <f t="shared" si="91"/>
        <v>0</v>
      </c>
      <c r="AI477" s="1803">
        <f t="shared" si="91"/>
        <v>0</v>
      </c>
      <c r="AJ477" s="1803">
        <f t="shared" si="91"/>
        <v>0</v>
      </c>
      <c r="AK477" s="1803">
        <f t="shared" si="91"/>
        <v>0</v>
      </c>
      <c r="AL477" s="1803">
        <f t="shared" si="91"/>
        <v>0</v>
      </c>
      <c r="AM477" s="1803">
        <f t="shared" si="91"/>
        <v>0</v>
      </c>
      <c r="AN477" s="1803">
        <f t="shared" si="91"/>
        <v>0</v>
      </c>
      <c r="AO477" s="1321"/>
    </row>
    <row r="478" spans="2:41" hidden="1" x14ac:dyDescent="0.2">
      <c r="B478" s="1703">
        <f t="shared" ref="B478:B507" si="92">D344</f>
        <v>0</v>
      </c>
      <c r="C478" s="1172">
        <f t="shared" ref="C478:C507" si="93">B478-AC412</f>
        <v>0</v>
      </c>
      <c r="D478" s="1172">
        <f t="shared" ref="D478:D507" si="94">C478-AD412+P478</f>
        <v>0</v>
      </c>
      <c r="E478" s="1172">
        <f t="shared" ref="E478:E507" si="95">D478-AE412+Q478</f>
        <v>0</v>
      </c>
      <c r="F478" s="1172">
        <f t="shared" ref="F478:F507" si="96">E478-AF412+R478</f>
        <v>0</v>
      </c>
      <c r="G478" s="1172">
        <f t="shared" ref="G478:G507" si="97">F478-AG412+S478</f>
        <v>0</v>
      </c>
      <c r="H478" s="1172">
        <f t="shared" ref="H478:H507" si="98">G478-AH412+T478</f>
        <v>0</v>
      </c>
      <c r="I478" s="1172">
        <f t="shared" ref="I478:I507" si="99">H478-AI412+U478</f>
        <v>0</v>
      </c>
      <c r="J478" s="1172">
        <f t="shared" ref="J478:J507" si="100">I478-AJ412+V478</f>
        <v>0</v>
      </c>
      <c r="K478" s="1172">
        <f t="shared" ref="K478:K507" si="101">J478-AK412+W478</f>
        <v>0</v>
      </c>
      <c r="L478" s="1172">
        <f t="shared" ref="L478:L507" si="102">K478-AL412+X478</f>
        <v>0</v>
      </c>
      <c r="M478" s="1172">
        <f t="shared" ref="M478:M507" si="103">L478-AM412+Y478</f>
        <v>0</v>
      </c>
      <c r="N478" s="1172">
        <f t="shared" ref="N478:N507" si="104">M478-AN412+Z478</f>
        <v>0</v>
      </c>
      <c r="O478" s="1321"/>
      <c r="P478" s="1172">
        <f t="shared" si="54"/>
        <v>0</v>
      </c>
      <c r="Q478" s="1172">
        <f t="shared" si="55"/>
        <v>0</v>
      </c>
      <c r="R478" s="1172">
        <f>IF(E478&gt;0,0,-E478)</f>
        <v>0</v>
      </c>
      <c r="S478" s="1172">
        <f t="shared" si="57"/>
        <v>0</v>
      </c>
      <c r="T478" s="1172">
        <f t="shared" si="58"/>
        <v>0</v>
      </c>
      <c r="U478" s="1172">
        <f t="shared" si="59"/>
        <v>0</v>
      </c>
      <c r="V478" s="1172">
        <f t="shared" si="60"/>
        <v>0</v>
      </c>
      <c r="W478" s="1172">
        <f t="shared" si="61"/>
        <v>0</v>
      </c>
      <c r="X478" s="1172">
        <f t="shared" si="62"/>
        <v>0</v>
      </c>
      <c r="Y478" s="1172">
        <f t="shared" si="63"/>
        <v>0</v>
      </c>
      <c r="Z478" s="1172">
        <f t="shared" si="64"/>
        <v>0</v>
      </c>
      <c r="AA478" s="1172">
        <f t="shared" si="65"/>
        <v>0</v>
      </c>
      <c r="AB478" s="1321"/>
      <c r="AC478" s="1803">
        <f>P478*$C$344</f>
        <v>0</v>
      </c>
      <c r="AD478" s="1803">
        <f>Q478*$C$344</f>
        <v>0</v>
      </c>
      <c r="AE478" s="1803">
        <f>R478*$C$344</f>
        <v>0</v>
      </c>
      <c r="AF478" s="1803">
        <f t="shared" ref="AF478:AN478" si="105">S478*$C$344</f>
        <v>0</v>
      </c>
      <c r="AG478" s="1803">
        <f t="shared" si="105"/>
        <v>0</v>
      </c>
      <c r="AH478" s="1803">
        <f t="shared" si="105"/>
        <v>0</v>
      </c>
      <c r="AI478" s="1803">
        <f t="shared" si="105"/>
        <v>0</v>
      </c>
      <c r="AJ478" s="1803">
        <f t="shared" si="105"/>
        <v>0</v>
      </c>
      <c r="AK478" s="1803">
        <f t="shared" si="105"/>
        <v>0</v>
      </c>
      <c r="AL478" s="1803">
        <f t="shared" si="105"/>
        <v>0</v>
      </c>
      <c r="AM478" s="1803">
        <f t="shared" si="105"/>
        <v>0</v>
      </c>
      <c r="AN478" s="1803">
        <f t="shared" si="105"/>
        <v>0</v>
      </c>
      <c r="AO478" s="1321"/>
    </row>
    <row r="479" spans="2:41" hidden="1" x14ac:dyDescent="0.2">
      <c r="B479" s="1703">
        <f t="shared" si="92"/>
        <v>0</v>
      </c>
      <c r="C479" s="1172">
        <f t="shared" si="93"/>
        <v>0</v>
      </c>
      <c r="D479" s="1172">
        <f t="shared" si="94"/>
        <v>0</v>
      </c>
      <c r="E479" s="1172">
        <f t="shared" si="95"/>
        <v>0</v>
      </c>
      <c r="F479" s="1172">
        <f t="shared" si="96"/>
        <v>0</v>
      </c>
      <c r="G479" s="1172">
        <f t="shared" si="97"/>
        <v>0</v>
      </c>
      <c r="H479" s="1172">
        <f t="shared" si="98"/>
        <v>0</v>
      </c>
      <c r="I479" s="1172">
        <f t="shared" si="99"/>
        <v>0</v>
      </c>
      <c r="J479" s="1172">
        <f t="shared" si="100"/>
        <v>0</v>
      </c>
      <c r="K479" s="1172">
        <f t="shared" si="101"/>
        <v>0</v>
      </c>
      <c r="L479" s="1172">
        <f t="shared" si="102"/>
        <v>0</v>
      </c>
      <c r="M479" s="1172">
        <f t="shared" si="103"/>
        <v>0</v>
      </c>
      <c r="N479" s="1172">
        <f t="shared" si="104"/>
        <v>0</v>
      </c>
      <c r="O479" s="1321"/>
      <c r="P479" s="1172">
        <f t="shared" si="54"/>
        <v>0</v>
      </c>
      <c r="Q479" s="1172">
        <f t="shared" si="55"/>
        <v>0</v>
      </c>
      <c r="R479" s="1172">
        <f t="shared" si="56"/>
        <v>0</v>
      </c>
      <c r="S479" s="1172">
        <f t="shared" si="57"/>
        <v>0</v>
      </c>
      <c r="T479" s="1172">
        <f t="shared" si="58"/>
        <v>0</v>
      </c>
      <c r="U479" s="1172">
        <f t="shared" si="59"/>
        <v>0</v>
      </c>
      <c r="V479" s="1172">
        <f t="shared" si="60"/>
        <v>0</v>
      </c>
      <c r="W479" s="1172">
        <f t="shared" si="61"/>
        <v>0</v>
      </c>
      <c r="X479" s="1172">
        <f t="shared" si="62"/>
        <v>0</v>
      </c>
      <c r="Y479" s="1172">
        <f t="shared" si="63"/>
        <v>0</v>
      </c>
      <c r="Z479" s="1172">
        <f t="shared" si="64"/>
        <v>0</v>
      </c>
      <c r="AA479" s="1172">
        <f t="shared" si="65"/>
        <v>0</v>
      </c>
      <c r="AB479" s="1321"/>
      <c r="AC479" s="1803">
        <f>P479*$C$345</f>
        <v>0</v>
      </c>
      <c r="AD479" s="1803">
        <f t="shared" ref="AD479:AN479" si="106">Q479*$C$345</f>
        <v>0</v>
      </c>
      <c r="AE479" s="1803">
        <f t="shared" si="106"/>
        <v>0</v>
      </c>
      <c r="AF479" s="1803">
        <f t="shared" si="106"/>
        <v>0</v>
      </c>
      <c r="AG479" s="1803">
        <f t="shared" si="106"/>
        <v>0</v>
      </c>
      <c r="AH479" s="1803">
        <f t="shared" si="106"/>
        <v>0</v>
      </c>
      <c r="AI479" s="1803">
        <f t="shared" si="106"/>
        <v>0</v>
      </c>
      <c r="AJ479" s="1803">
        <f t="shared" si="106"/>
        <v>0</v>
      </c>
      <c r="AK479" s="1803">
        <f t="shared" si="106"/>
        <v>0</v>
      </c>
      <c r="AL479" s="1803">
        <f t="shared" si="106"/>
        <v>0</v>
      </c>
      <c r="AM479" s="1803">
        <f t="shared" si="106"/>
        <v>0</v>
      </c>
      <c r="AN479" s="1803">
        <f t="shared" si="106"/>
        <v>0</v>
      </c>
      <c r="AO479" s="1321"/>
    </row>
    <row r="480" spans="2:41" hidden="1" x14ac:dyDescent="0.2">
      <c r="B480" s="1703">
        <f t="shared" si="92"/>
        <v>0</v>
      </c>
      <c r="C480" s="1172">
        <f t="shared" si="93"/>
        <v>0</v>
      </c>
      <c r="D480" s="1172">
        <f t="shared" si="94"/>
        <v>0</v>
      </c>
      <c r="E480" s="1172">
        <f t="shared" si="95"/>
        <v>0</v>
      </c>
      <c r="F480" s="1172">
        <f t="shared" si="96"/>
        <v>0</v>
      </c>
      <c r="G480" s="1172">
        <f t="shared" si="97"/>
        <v>0</v>
      </c>
      <c r="H480" s="1172">
        <f t="shared" si="98"/>
        <v>0</v>
      </c>
      <c r="I480" s="1172">
        <f t="shared" si="99"/>
        <v>0</v>
      </c>
      <c r="J480" s="1172">
        <f t="shared" si="100"/>
        <v>0</v>
      </c>
      <c r="K480" s="1172">
        <f t="shared" si="101"/>
        <v>0</v>
      </c>
      <c r="L480" s="1172">
        <f t="shared" si="102"/>
        <v>0</v>
      </c>
      <c r="M480" s="1172">
        <f t="shared" si="103"/>
        <v>0</v>
      </c>
      <c r="N480" s="1172">
        <f t="shared" si="104"/>
        <v>0</v>
      </c>
      <c r="O480" s="1321"/>
      <c r="P480" s="1172">
        <f t="shared" si="54"/>
        <v>0</v>
      </c>
      <c r="Q480" s="1172">
        <f t="shared" si="55"/>
        <v>0</v>
      </c>
      <c r="R480" s="1172">
        <f t="shared" si="56"/>
        <v>0</v>
      </c>
      <c r="S480" s="1172">
        <f t="shared" si="57"/>
        <v>0</v>
      </c>
      <c r="T480" s="1172">
        <f t="shared" si="58"/>
        <v>0</v>
      </c>
      <c r="U480" s="1172">
        <f t="shared" si="59"/>
        <v>0</v>
      </c>
      <c r="V480" s="1172">
        <f t="shared" si="60"/>
        <v>0</v>
      </c>
      <c r="W480" s="1172">
        <f t="shared" si="61"/>
        <v>0</v>
      </c>
      <c r="X480" s="1172">
        <f t="shared" si="62"/>
        <v>0</v>
      </c>
      <c r="Y480" s="1172">
        <f t="shared" si="63"/>
        <v>0</v>
      </c>
      <c r="Z480" s="1172">
        <f t="shared" si="64"/>
        <v>0</v>
      </c>
      <c r="AA480" s="1172">
        <f t="shared" si="65"/>
        <v>0</v>
      </c>
      <c r="AB480" s="1321"/>
      <c r="AC480" s="1803">
        <f>P480*$C$346</f>
        <v>0</v>
      </c>
      <c r="AD480" s="1803">
        <f t="shared" ref="AD480:AN480" si="107">Q480*$C$346</f>
        <v>0</v>
      </c>
      <c r="AE480" s="1803">
        <f t="shared" si="107"/>
        <v>0</v>
      </c>
      <c r="AF480" s="1803">
        <f t="shared" si="107"/>
        <v>0</v>
      </c>
      <c r="AG480" s="1803">
        <f t="shared" si="107"/>
        <v>0</v>
      </c>
      <c r="AH480" s="1803">
        <f t="shared" si="107"/>
        <v>0</v>
      </c>
      <c r="AI480" s="1803">
        <f t="shared" si="107"/>
        <v>0</v>
      </c>
      <c r="AJ480" s="1803">
        <f t="shared" si="107"/>
        <v>0</v>
      </c>
      <c r="AK480" s="1803">
        <f t="shared" si="107"/>
        <v>0</v>
      </c>
      <c r="AL480" s="1803">
        <f t="shared" si="107"/>
        <v>0</v>
      </c>
      <c r="AM480" s="1803">
        <f t="shared" si="107"/>
        <v>0</v>
      </c>
      <c r="AN480" s="1803">
        <f t="shared" si="107"/>
        <v>0</v>
      </c>
      <c r="AO480" s="1321"/>
    </row>
    <row r="481" spans="2:41" hidden="1" x14ac:dyDescent="0.2">
      <c r="B481" s="1703">
        <f t="shared" si="92"/>
        <v>0</v>
      </c>
      <c r="C481" s="1172">
        <f t="shared" si="93"/>
        <v>0</v>
      </c>
      <c r="D481" s="1172">
        <f t="shared" si="94"/>
        <v>0</v>
      </c>
      <c r="E481" s="1172">
        <f t="shared" si="95"/>
        <v>0</v>
      </c>
      <c r="F481" s="1172">
        <f t="shared" si="96"/>
        <v>0</v>
      </c>
      <c r="G481" s="1172">
        <f t="shared" si="97"/>
        <v>0</v>
      </c>
      <c r="H481" s="1172">
        <f t="shared" si="98"/>
        <v>0</v>
      </c>
      <c r="I481" s="1172">
        <f t="shared" si="99"/>
        <v>0</v>
      </c>
      <c r="J481" s="1172">
        <f t="shared" si="100"/>
        <v>0</v>
      </c>
      <c r="K481" s="1172">
        <f t="shared" si="101"/>
        <v>0</v>
      </c>
      <c r="L481" s="1172">
        <f t="shared" si="102"/>
        <v>0</v>
      </c>
      <c r="M481" s="1172">
        <f t="shared" si="103"/>
        <v>0</v>
      </c>
      <c r="N481" s="1172">
        <f t="shared" si="104"/>
        <v>0</v>
      </c>
      <c r="O481" s="1321"/>
      <c r="P481" s="1172">
        <f t="shared" si="54"/>
        <v>0</v>
      </c>
      <c r="Q481" s="1172">
        <f t="shared" si="55"/>
        <v>0</v>
      </c>
      <c r="R481" s="1172">
        <f t="shared" si="56"/>
        <v>0</v>
      </c>
      <c r="S481" s="1172">
        <f t="shared" si="57"/>
        <v>0</v>
      </c>
      <c r="T481" s="1172">
        <f t="shared" si="58"/>
        <v>0</v>
      </c>
      <c r="U481" s="1172">
        <f t="shared" si="59"/>
        <v>0</v>
      </c>
      <c r="V481" s="1172">
        <f t="shared" si="60"/>
        <v>0</v>
      </c>
      <c r="W481" s="1172">
        <f t="shared" si="61"/>
        <v>0</v>
      </c>
      <c r="X481" s="1172">
        <f t="shared" si="62"/>
        <v>0</v>
      </c>
      <c r="Y481" s="1172">
        <f t="shared" si="63"/>
        <v>0</v>
      </c>
      <c r="Z481" s="1172">
        <f t="shared" si="64"/>
        <v>0</v>
      </c>
      <c r="AA481" s="1172">
        <f t="shared" si="65"/>
        <v>0</v>
      </c>
      <c r="AB481" s="1321"/>
      <c r="AC481" s="1803">
        <f>P481*$C$347</f>
        <v>0</v>
      </c>
      <c r="AD481" s="1803">
        <f t="shared" ref="AD481:AN481" si="108">Q481*$C$347</f>
        <v>0</v>
      </c>
      <c r="AE481" s="1803">
        <f t="shared" si="108"/>
        <v>0</v>
      </c>
      <c r="AF481" s="1803">
        <f t="shared" si="108"/>
        <v>0</v>
      </c>
      <c r="AG481" s="1803">
        <f t="shared" si="108"/>
        <v>0</v>
      </c>
      <c r="AH481" s="1803">
        <f t="shared" si="108"/>
        <v>0</v>
      </c>
      <c r="AI481" s="1803">
        <f t="shared" si="108"/>
        <v>0</v>
      </c>
      <c r="AJ481" s="1803">
        <f t="shared" si="108"/>
        <v>0</v>
      </c>
      <c r="AK481" s="1803">
        <f t="shared" si="108"/>
        <v>0</v>
      </c>
      <c r="AL481" s="1803">
        <f t="shared" si="108"/>
        <v>0</v>
      </c>
      <c r="AM481" s="1803">
        <f t="shared" si="108"/>
        <v>0</v>
      </c>
      <c r="AN481" s="1803">
        <f t="shared" si="108"/>
        <v>0</v>
      </c>
      <c r="AO481" s="1321"/>
    </row>
    <row r="482" spans="2:41" hidden="1" x14ac:dyDescent="0.2">
      <c r="B482" s="1703">
        <f t="shared" si="92"/>
        <v>23500</v>
      </c>
      <c r="C482" s="1172">
        <f t="shared" si="93"/>
        <v>23500</v>
      </c>
      <c r="D482" s="1172">
        <f t="shared" si="94"/>
        <v>23500</v>
      </c>
      <c r="E482" s="1172">
        <f t="shared" si="95"/>
        <v>23500</v>
      </c>
      <c r="F482" s="1172">
        <f t="shared" si="96"/>
        <v>23500</v>
      </c>
      <c r="G482" s="1172">
        <f t="shared" si="97"/>
        <v>23500</v>
      </c>
      <c r="H482" s="1172">
        <f t="shared" si="98"/>
        <v>23500</v>
      </c>
      <c r="I482" s="1172">
        <f t="shared" si="99"/>
        <v>23500</v>
      </c>
      <c r="J482" s="1172">
        <f t="shared" si="100"/>
        <v>23500</v>
      </c>
      <c r="K482" s="1172">
        <f t="shared" si="101"/>
        <v>23500</v>
      </c>
      <c r="L482" s="1172">
        <f t="shared" si="102"/>
        <v>23500</v>
      </c>
      <c r="M482" s="1172">
        <f t="shared" si="103"/>
        <v>23500</v>
      </c>
      <c r="N482" s="1172">
        <f t="shared" si="104"/>
        <v>23500</v>
      </c>
      <c r="O482" s="1321"/>
      <c r="P482" s="1172">
        <f t="shared" si="54"/>
        <v>0</v>
      </c>
      <c r="Q482" s="1172">
        <f t="shared" si="55"/>
        <v>0</v>
      </c>
      <c r="R482" s="1172">
        <f t="shared" si="56"/>
        <v>0</v>
      </c>
      <c r="S482" s="1172">
        <f t="shared" si="57"/>
        <v>0</v>
      </c>
      <c r="T482" s="1172">
        <f t="shared" si="58"/>
        <v>0</v>
      </c>
      <c r="U482" s="1172">
        <f t="shared" si="59"/>
        <v>0</v>
      </c>
      <c r="V482" s="1172">
        <f t="shared" si="60"/>
        <v>0</v>
      </c>
      <c r="W482" s="1172">
        <f t="shared" si="61"/>
        <v>0</v>
      </c>
      <c r="X482" s="1172">
        <f t="shared" si="62"/>
        <v>0</v>
      </c>
      <c r="Y482" s="1172">
        <f t="shared" si="63"/>
        <v>0</v>
      </c>
      <c r="Z482" s="1172">
        <f t="shared" si="64"/>
        <v>0</v>
      </c>
      <c r="AA482" s="1172">
        <f t="shared" si="65"/>
        <v>0</v>
      </c>
      <c r="AB482" s="1321"/>
      <c r="AC482" s="1803">
        <f>P482*$C$348</f>
        <v>0</v>
      </c>
      <c r="AD482" s="1803">
        <f t="shared" ref="AD482:AN482" si="109">Q482*$C$348</f>
        <v>0</v>
      </c>
      <c r="AE482" s="1803">
        <f t="shared" si="109"/>
        <v>0</v>
      </c>
      <c r="AF482" s="1803">
        <f t="shared" si="109"/>
        <v>0</v>
      </c>
      <c r="AG482" s="1803">
        <f t="shared" si="109"/>
        <v>0</v>
      </c>
      <c r="AH482" s="1803">
        <f t="shared" si="109"/>
        <v>0</v>
      </c>
      <c r="AI482" s="1803">
        <f t="shared" si="109"/>
        <v>0</v>
      </c>
      <c r="AJ482" s="1803">
        <f t="shared" si="109"/>
        <v>0</v>
      </c>
      <c r="AK482" s="1803">
        <f t="shared" si="109"/>
        <v>0</v>
      </c>
      <c r="AL482" s="1803">
        <f t="shared" si="109"/>
        <v>0</v>
      </c>
      <c r="AM482" s="1803">
        <f t="shared" si="109"/>
        <v>0</v>
      </c>
      <c r="AN482" s="1803">
        <f t="shared" si="109"/>
        <v>0</v>
      </c>
      <c r="AO482" s="1321"/>
    </row>
    <row r="483" spans="2:41" hidden="1" x14ac:dyDescent="0.2">
      <c r="B483" s="1703">
        <f t="shared" si="92"/>
        <v>0</v>
      </c>
      <c r="C483" s="1172">
        <f t="shared" si="93"/>
        <v>0</v>
      </c>
      <c r="D483" s="1172">
        <f t="shared" si="94"/>
        <v>0</v>
      </c>
      <c r="E483" s="1172">
        <f t="shared" si="95"/>
        <v>0</v>
      </c>
      <c r="F483" s="1172">
        <f t="shared" si="96"/>
        <v>0</v>
      </c>
      <c r="G483" s="1172">
        <f t="shared" si="97"/>
        <v>0</v>
      </c>
      <c r="H483" s="1172">
        <f t="shared" si="98"/>
        <v>0</v>
      </c>
      <c r="I483" s="1172">
        <f t="shared" si="99"/>
        <v>0</v>
      </c>
      <c r="J483" s="1172">
        <f t="shared" si="100"/>
        <v>0</v>
      </c>
      <c r="K483" s="1172">
        <f t="shared" si="101"/>
        <v>0</v>
      </c>
      <c r="L483" s="1172">
        <f t="shared" si="102"/>
        <v>0</v>
      </c>
      <c r="M483" s="1172">
        <f t="shared" si="103"/>
        <v>0</v>
      </c>
      <c r="N483" s="1172">
        <f t="shared" si="104"/>
        <v>0</v>
      </c>
      <c r="O483" s="1321"/>
      <c r="P483" s="1172">
        <f t="shared" si="54"/>
        <v>0</v>
      </c>
      <c r="Q483" s="1172">
        <f t="shared" si="55"/>
        <v>0</v>
      </c>
      <c r="R483" s="1172">
        <f t="shared" si="56"/>
        <v>0</v>
      </c>
      <c r="S483" s="1172">
        <f t="shared" si="57"/>
        <v>0</v>
      </c>
      <c r="T483" s="1172">
        <f t="shared" si="58"/>
        <v>0</v>
      </c>
      <c r="U483" s="1172">
        <f t="shared" si="59"/>
        <v>0</v>
      </c>
      <c r="V483" s="1172">
        <f t="shared" si="60"/>
        <v>0</v>
      </c>
      <c r="W483" s="1172">
        <f t="shared" si="61"/>
        <v>0</v>
      </c>
      <c r="X483" s="1172">
        <f t="shared" si="62"/>
        <v>0</v>
      </c>
      <c r="Y483" s="1172">
        <f t="shared" si="63"/>
        <v>0</v>
      </c>
      <c r="Z483" s="1172">
        <f t="shared" si="64"/>
        <v>0</v>
      </c>
      <c r="AA483" s="1172">
        <f t="shared" si="65"/>
        <v>0</v>
      </c>
      <c r="AB483" s="1321"/>
      <c r="AC483" s="1803">
        <f>P483*$C$349</f>
        <v>0</v>
      </c>
      <c r="AD483" s="1803">
        <f t="shared" ref="AD483:AN483" si="110">Q483*$C$349</f>
        <v>0</v>
      </c>
      <c r="AE483" s="1803">
        <f t="shared" si="110"/>
        <v>0</v>
      </c>
      <c r="AF483" s="1803">
        <f t="shared" si="110"/>
        <v>0</v>
      </c>
      <c r="AG483" s="1803">
        <f t="shared" si="110"/>
        <v>0</v>
      </c>
      <c r="AH483" s="1803">
        <f t="shared" si="110"/>
        <v>0</v>
      </c>
      <c r="AI483" s="1803">
        <f t="shared" si="110"/>
        <v>0</v>
      </c>
      <c r="AJ483" s="1803">
        <f t="shared" si="110"/>
        <v>0</v>
      </c>
      <c r="AK483" s="1803">
        <f t="shared" si="110"/>
        <v>0</v>
      </c>
      <c r="AL483" s="1803">
        <f t="shared" si="110"/>
        <v>0</v>
      </c>
      <c r="AM483" s="1803">
        <f t="shared" si="110"/>
        <v>0</v>
      </c>
      <c r="AN483" s="1803">
        <f t="shared" si="110"/>
        <v>0</v>
      </c>
      <c r="AO483" s="1321"/>
    </row>
    <row r="484" spans="2:41" hidden="1" x14ac:dyDescent="0.2">
      <c r="B484" s="1703">
        <f t="shared" si="92"/>
        <v>0</v>
      </c>
      <c r="C484" s="1172">
        <f t="shared" si="93"/>
        <v>0</v>
      </c>
      <c r="D484" s="1172">
        <f t="shared" si="94"/>
        <v>0</v>
      </c>
      <c r="E484" s="1172">
        <f t="shared" si="95"/>
        <v>0</v>
      </c>
      <c r="F484" s="1172">
        <f t="shared" si="96"/>
        <v>0</v>
      </c>
      <c r="G484" s="1172">
        <f t="shared" si="97"/>
        <v>0</v>
      </c>
      <c r="H484" s="1172">
        <f t="shared" si="98"/>
        <v>0</v>
      </c>
      <c r="I484" s="1172">
        <f t="shared" si="99"/>
        <v>0</v>
      </c>
      <c r="J484" s="1172">
        <f t="shared" si="100"/>
        <v>0</v>
      </c>
      <c r="K484" s="1172">
        <f t="shared" si="101"/>
        <v>0</v>
      </c>
      <c r="L484" s="1172">
        <f t="shared" si="102"/>
        <v>0</v>
      </c>
      <c r="M484" s="1172">
        <f t="shared" si="103"/>
        <v>0</v>
      </c>
      <c r="N484" s="1172">
        <f t="shared" si="104"/>
        <v>0</v>
      </c>
      <c r="O484" s="1321"/>
      <c r="P484" s="1172">
        <f t="shared" si="54"/>
        <v>0</v>
      </c>
      <c r="Q484" s="1172">
        <f t="shared" si="55"/>
        <v>0</v>
      </c>
      <c r="R484" s="1172">
        <f t="shared" si="56"/>
        <v>0</v>
      </c>
      <c r="S484" s="1172">
        <f t="shared" si="57"/>
        <v>0</v>
      </c>
      <c r="T484" s="1172">
        <f t="shared" si="58"/>
        <v>0</v>
      </c>
      <c r="U484" s="1172">
        <f t="shared" si="59"/>
        <v>0</v>
      </c>
      <c r="V484" s="1172">
        <f t="shared" si="60"/>
        <v>0</v>
      </c>
      <c r="W484" s="1172">
        <f t="shared" si="61"/>
        <v>0</v>
      </c>
      <c r="X484" s="1172">
        <f t="shared" si="62"/>
        <v>0</v>
      </c>
      <c r="Y484" s="1172">
        <f t="shared" si="63"/>
        <v>0</v>
      </c>
      <c r="Z484" s="1172">
        <f t="shared" si="64"/>
        <v>0</v>
      </c>
      <c r="AA484" s="1172">
        <f t="shared" si="65"/>
        <v>0</v>
      </c>
      <c r="AB484" s="1321"/>
      <c r="AC484" s="1803">
        <f>P484*$C$350</f>
        <v>0</v>
      </c>
      <c r="AD484" s="1803">
        <f t="shared" ref="AD484:AN484" si="111">Q484*$C$350</f>
        <v>0</v>
      </c>
      <c r="AE484" s="1803">
        <f t="shared" si="111"/>
        <v>0</v>
      </c>
      <c r="AF484" s="1803">
        <f t="shared" si="111"/>
        <v>0</v>
      </c>
      <c r="AG484" s="1803">
        <f t="shared" si="111"/>
        <v>0</v>
      </c>
      <c r="AH484" s="1803">
        <f t="shared" si="111"/>
        <v>0</v>
      </c>
      <c r="AI484" s="1803">
        <f t="shared" si="111"/>
        <v>0</v>
      </c>
      <c r="AJ484" s="1803">
        <f t="shared" si="111"/>
        <v>0</v>
      </c>
      <c r="AK484" s="1803">
        <f t="shared" si="111"/>
        <v>0</v>
      </c>
      <c r="AL484" s="1803">
        <f t="shared" si="111"/>
        <v>0</v>
      </c>
      <c r="AM484" s="1803">
        <f t="shared" si="111"/>
        <v>0</v>
      </c>
      <c r="AN484" s="1803">
        <f t="shared" si="111"/>
        <v>0</v>
      </c>
      <c r="AO484" s="1321"/>
    </row>
    <row r="485" spans="2:41" hidden="1" x14ac:dyDescent="0.2">
      <c r="B485" s="1703">
        <f t="shared" si="92"/>
        <v>0</v>
      </c>
      <c r="C485" s="1172">
        <f t="shared" si="93"/>
        <v>0</v>
      </c>
      <c r="D485" s="1172">
        <f t="shared" si="94"/>
        <v>0</v>
      </c>
      <c r="E485" s="1172">
        <f t="shared" si="95"/>
        <v>0</v>
      </c>
      <c r="F485" s="1172">
        <f t="shared" si="96"/>
        <v>0</v>
      </c>
      <c r="G485" s="1172">
        <f t="shared" si="97"/>
        <v>0</v>
      </c>
      <c r="H485" s="1172">
        <f t="shared" si="98"/>
        <v>0</v>
      </c>
      <c r="I485" s="1172">
        <f t="shared" si="99"/>
        <v>0</v>
      </c>
      <c r="J485" s="1172">
        <f t="shared" si="100"/>
        <v>0</v>
      </c>
      <c r="K485" s="1172">
        <f t="shared" si="101"/>
        <v>0</v>
      </c>
      <c r="L485" s="1172">
        <f t="shared" si="102"/>
        <v>0</v>
      </c>
      <c r="M485" s="1172">
        <f t="shared" si="103"/>
        <v>0</v>
      </c>
      <c r="N485" s="1172">
        <f t="shared" si="104"/>
        <v>0</v>
      </c>
      <c r="O485" s="1321"/>
      <c r="P485" s="1172">
        <f t="shared" si="54"/>
        <v>0</v>
      </c>
      <c r="Q485" s="1172">
        <f t="shared" si="55"/>
        <v>0</v>
      </c>
      <c r="R485" s="1172">
        <f t="shared" si="56"/>
        <v>0</v>
      </c>
      <c r="S485" s="1172">
        <f t="shared" si="57"/>
        <v>0</v>
      </c>
      <c r="T485" s="1172">
        <f t="shared" si="58"/>
        <v>0</v>
      </c>
      <c r="U485" s="1172">
        <f t="shared" si="59"/>
        <v>0</v>
      </c>
      <c r="V485" s="1172">
        <f t="shared" si="60"/>
        <v>0</v>
      </c>
      <c r="W485" s="1172">
        <f t="shared" si="61"/>
        <v>0</v>
      </c>
      <c r="X485" s="1172">
        <f t="shared" si="62"/>
        <v>0</v>
      </c>
      <c r="Y485" s="1172">
        <f t="shared" si="63"/>
        <v>0</v>
      </c>
      <c r="Z485" s="1172">
        <f t="shared" si="64"/>
        <v>0</v>
      </c>
      <c r="AA485" s="1172">
        <f t="shared" si="65"/>
        <v>0</v>
      </c>
      <c r="AB485" s="1321"/>
      <c r="AC485" s="1803">
        <f>P485*$C$351</f>
        <v>0</v>
      </c>
      <c r="AD485" s="1803">
        <f t="shared" ref="AD485:AN485" si="112">Q485*$C$351</f>
        <v>0</v>
      </c>
      <c r="AE485" s="1803">
        <f t="shared" si="112"/>
        <v>0</v>
      </c>
      <c r="AF485" s="1803">
        <f t="shared" si="112"/>
        <v>0</v>
      </c>
      <c r="AG485" s="1803">
        <f t="shared" si="112"/>
        <v>0</v>
      </c>
      <c r="AH485" s="1803">
        <f t="shared" si="112"/>
        <v>0</v>
      </c>
      <c r="AI485" s="1803">
        <f t="shared" si="112"/>
        <v>0</v>
      </c>
      <c r="AJ485" s="1803">
        <f t="shared" si="112"/>
        <v>0</v>
      </c>
      <c r="AK485" s="1803">
        <f t="shared" si="112"/>
        <v>0</v>
      </c>
      <c r="AL485" s="1803">
        <f t="shared" si="112"/>
        <v>0</v>
      </c>
      <c r="AM485" s="1803">
        <f t="shared" si="112"/>
        <v>0</v>
      </c>
      <c r="AN485" s="1803">
        <f t="shared" si="112"/>
        <v>0</v>
      </c>
      <c r="AO485" s="1321"/>
    </row>
    <row r="486" spans="2:41" hidden="1" x14ac:dyDescent="0.2">
      <c r="B486" s="1703">
        <f t="shared" si="92"/>
        <v>0</v>
      </c>
      <c r="C486" s="1172">
        <f t="shared" si="93"/>
        <v>0</v>
      </c>
      <c r="D486" s="1172">
        <f t="shared" si="94"/>
        <v>0</v>
      </c>
      <c r="E486" s="1172">
        <f t="shared" si="95"/>
        <v>0</v>
      </c>
      <c r="F486" s="1172">
        <f t="shared" si="96"/>
        <v>0</v>
      </c>
      <c r="G486" s="1172">
        <f t="shared" si="97"/>
        <v>0</v>
      </c>
      <c r="H486" s="1172">
        <f t="shared" si="98"/>
        <v>0</v>
      </c>
      <c r="I486" s="1172">
        <f t="shared" si="99"/>
        <v>0</v>
      </c>
      <c r="J486" s="1172">
        <f t="shared" si="100"/>
        <v>0</v>
      </c>
      <c r="K486" s="1172">
        <f t="shared" si="101"/>
        <v>0</v>
      </c>
      <c r="L486" s="1172">
        <f t="shared" si="102"/>
        <v>0</v>
      </c>
      <c r="M486" s="1172">
        <f t="shared" si="103"/>
        <v>0</v>
      </c>
      <c r="N486" s="1172">
        <f t="shared" si="104"/>
        <v>0</v>
      </c>
      <c r="O486" s="1321"/>
      <c r="P486" s="1172">
        <f t="shared" si="54"/>
        <v>0</v>
      </c>
      <c r="Q486" s="1172">
        <f t="shared" si="55"/>
        <v>0</v>
      </c>
      <c r="R486" s="1172">
        <f t="shared" si="56"/>
        <v>0</v>
      </c>
      <c r="S486" s="1172">
        <f t="shared" si="57"/>
        <v>0</v>
      </c>
      <c r="T486" s="1172">
        <f t="shared" si="58"/>
        <v>0</v>
      </c>
      <c r="U486" s="1172">
        <f t="shared" si="59"/>
        <v>0</v>
      </c>
      <c r="V486" s="1172">
        <f t="shared" si="60"/>
        <v>0</v>
      </c>
      <c r="W486" s="1172">
        <f t="shared" si="61"/>
        <v>0</v>
      </c>
      <c r="X486" s="1172">
        <f t="shared" si="62"/>
        <v>0</v>
      </c>
      <c r="Y486" s="1172">
        <f t="shared" si="63"/>
        <v>0</v>
      </c>
      <c r="Z486" s="1172">
        <f t="shared" si="64"/>
        <v>0</v>
      </c>
      <c r="AA486" s="1172">
        <f t="shared" si="65"/>
        <v>0</v>
      </c>
      <c r="AB486" s="1321"/>
      <c r="AC486" s="1803">
        <f>P486*$C$352</f>
        <v>0</v>
      </c>
      <c r="AD486" s="1803">
        <f t="shared" ref="AD486:AN486" si="113">Q486*$C$352</f>
        <v>0</v>
      </c>
      <c r="AE486" s="1803">
        <f t="shared" si="113"/>
        <v>0</v>
      </c>
      <c r="AF486" s="1803">
        <f t="shared" si="113"/>
        <v>0</v>
      </c>
      <c r="AG486" s="1803">
        <f t="shared" si="113"/>
        <v>0</v>
      </c>
      <c r="AH486" s="1803">
        <f t="shared" si="113"/>
        <v>0</v>
      </c>
      <c r="AI486" s="1803">
        <f t="shared" si="113"/>
        <v>0</v>
      </c>
      <c r="AJ486" s="1803">
        <f t="shared" si="113"/>
        <v>0</v>
      </c>
      <c r="AK486" s="1803">
        <f t="shared" si="113"/>
        <v>0</v>
      </c>
      <c r="AL486" s="1803">
        <f t="shared" si="113"/>
        <v>0</v>
      </c>
      <c r="AM486" s="1803">
        <f t="shared" si="113"/>
        <v>0</v>
      </c>
      <c r="AN486" s="1803">
        <f t="shared" si="113"/>
        <v>0</v>
      </c>
      <c r="AO486" s="1321"/>
    </row>
    <row r="487" spans="2:41" hidden="1" x14ac:dyDescent="0.2">
      <c r="B487" s="1703">
        <f t="shared" si="92"/>
        <v>0</v>
      </c>
      <c r="C487" s="1172">
        <f t="shared" si="93"/>
        <v>0</v>
      </c>
      <c r="D487" s="1172">
        <f t="shared" si="94"/>
        <v>0</v>
      </c>
      <c r="E487" s="1172">
        <f t="shared" si="95"/>
        <v>0</v>
      </c>
      <c r="F487" s="1172">
        <f t="shared" si="96"/>
        <v>0</v>
      </c>
      <c r="G487" s="1172">
        <f t="shared" si="97"/>
        <v>0</v>
      </c>
      <c r="H487" s="1172">
        <f t="shared" si="98"/>
        <v>0</v>
      </c>
      <c r="I487" s="1172">
        <f t="shared" si="99"/>
        <v>0</v>
      </c>
      <c r="J487" s="1172">
        <f t="shared" si="100"/>
        <v>0</v>
      </c>
      <c r="K487" s="1172">
        <f t="shared" si="101"/>
        <v>0</v>
      </c>
      <c r="L487" s="1172">
        <f t="shared" si="102"/>
        <v>0</v>
      </c>
      <c r="M487" s="1172">
        <f t="shared" si="103"/>
        <v>0</v>
      </c>
      <c r="N487" s="1172">
        <f t="shared" si="104"/>
        <v>0</v>
      </c>
      <c r="O487" s="1321"/>
      <c r="P487" s="1172">
        <f t="shared" si="54"/>
        <v>0</v>
      </c>
      <c r="Q487" s="1172">
        <f t="shared" si="55"/>
        <v>0</v>
      </c>
      <c r="R487" s="1172">
        <f t="shared" si="56"/>
        <v>0</v>
      </c>
      <c r="S487" s="1172">
        <f t="shared" si="57"/>
        <v>0</v>
      </c>
      <c r="T487" s="1172">
        <f t="shared" si="58"/>
        <v>0</v>
      </c>
      <c r="U487" s="1172">
        <f t="shared" si="59"/>
        <v>0</v>
      </c>
      <c r="V487" s="1172">
        <f t="shared" si="60"/>
        <v>0</v>
      </c>
      <c r="W487" s="1172">
        <f t="shared" si="61"/>
        <v>0</v>
      </c>
      <c r="X487" s="1172">
        <f t="shared" si="62"/>
        <v>0</v>
      </c>
      <c r="Y487" s="1172">
        <f t="shared" si="63"/>
        <v>0</v>
      </c>
      <c r="Z487" s="1172">
        <f t="shared" si="64"/>
        <v>0</v>
      </c>
      <c r="AA487" s="1172">
        <f t="shared" si="65"/>
        <v>0</v>
      </c>
      <c r="AB487" s="1321"/>
      <c r="AC487" s="1803">
        <f>P487*$C$353</f>
        <v>0</v>
      </c>
      <c r="AD487" s="1803">
        <f t="shared" ref="AD487:AN487" si="114">Q487*$C$353</f>
        <v>0</v>
      </c>
      <c r="AE487" s="1803">
        <f t="shared" si="114"/>
        <v>0</v>
      </c>
      <c r="AF487" s="1803">
        <f t="shared" si="114"/>
        <v>0</v>
      </c>
      <c r="AG487" s="1803">
        <f t="shared" si="114"/>
        <v>0</v>
      </c>
      <c r="AH487" s="1803">
        <f t="shared" si="114"/>
        <v>0</v>
      </c>
      <c r="AI487" s="1803">
        <f t="shared" si="114"/>
        <v>0</v>
      </c>
      <c r="AJ487" s="1803">
        <f t="shared" si="114"/>
        <v>0</v>
      </c>
      <c r="AK487" s="1803">
        <f t="shared" si="114"/>
        <v>0</v>
      </c>
      <c r="AL487" s="1803">
        <f t="shared" si="114"/>
        <v>0</v>
      </c>
      <c r="AM487" s="1803">
        <f t="shared" si="114"/>
        <v>0</v>
      </c>
      <c r="AN487" s="1803">
        <f t="shared" si="114"/>
        <v>0</v>
      </c>
      <c r="AO487" s="1321"/>
    </row>
    <row r="488" spans="2:41" hidden="1" x14ac:dyDescent="0.2">
      <c r="B488" s="1703">
        <f t="shared" si="92"/>
        <v>0</v>
      </c>
      <c r="C488" s="1172">
        <f t="shared" si="93"/>
        <v>0</v>
      </c>
      <c r="D488" s="1172">
        <f t="shared" si="94"/>
        <v>0</v>
      </c>
      <c r="E488" s="1172">
        <f t="shared" si="95"/>
        <v>0</v>
      </c>
      <c r="F488" s="1172">
        <f t="shared" si="96"/>
        <v>0</v>
      </c>
      <c r="G488" s="1172">
        <f t="shared" si="97"/>
        <v>0</v>
      </c>
      <c r="H488" s="1172">
        <f t="shared" si="98"/>
        <v>0</v>
      </c>
      <c r="I488" s="1172">
        <f t="shared" si="99"/>
        <v>0</v>
      </c>
      <c r="J488" s="1172">
        <f t="shared" si="100"/>
        <v>0</v>
      </c>
      <c r="K488" s="1172">
        <f t="shared" si="101"/>
        <v>0</v>
      </c>
      <c r="L488" s="1172">
        <f t="shared" si="102"/>
        <v>0</v>
      </c>
      <c r="M488" s="1172">
        <f t="shared" si="103"/>
        <v>0</v>
      </c>
      <c r="N488" s="1172">
        <f t="shared" si="104"/>
        <v>0</v>
      </c>
      <c r="O488" s="1321"/>
      <c r="P488" s="1172">
        <f t="shared" si="54"/>
        <v>0</v>
      </c>
      <c r="Q488" s="1172">
        <f t="shared" si="55"/>
        <v>0</v>
      </c>
      <c r="R488" s="1172">
        <f t="shared" si="56"/>
        <v>0</v>
      </c>
      <c r="S488" s="1172">
        <f t="shared" si="57"/>
        <v>0</v>
      </c>
      <c r="T488" s="1172">
        <f t="shared" si="58"/>
        <v>0</v>
      </c>
      <c r="U488" s="1172">
        <f t="shared" si="59"/>
        <v>0</v>
      </c>
      <c r="V488" s="1172">
        <f t="shared" si="60"/>
        <v>0</v>
      </c>
      <c r="W488" s="1172">
        <f t="shared" si="61"/>
        <v>0</v>
      </c>
      <c r="X488" s="1172">
        <f t="shared" si="62"/>
        <v>0</v>
      </c>
      <c r="Y488" s="1172">
        <f t="shared" si="63"/>
        <v>0</v>
      </c>
      <c r="Z488" s="1172">
        <f t="shared" si="64"/>
        <v>0</v>
      </c>
      <c r="AA488" s="1172">
        <f t="shared" si="65"/>
        <v>0</v>
      </c>
      <c r="AB488" s="1321"/>
      <c r="AC488" s="1803">
        <f>P488*$C$354</f>
        <v>0</v>
      </c>
      <c r="AD488" s="1803">
        <f t="shared" ref="AD488:AN488" si="115">Q488*$C$354</f>
        <v>0</v>
      </c>
      <c r="AE488" s="1803">
        <f t="shared" si="115"/>
        <v>0</v>
      </c>
      <c r="AF488" s="1803">
        <f t="shared" si="115"/>
        <v>0</v>
      </c>
      <c r="AG488" s="1803">
        <f t="shared" si="115"/>
        <v>0</v>
      </c>
      <c r="AH488" s="1803">
        <f t="shared" si="115"/>
        <v>0</v>
      </c>
      <c r="AI488" s="1803">
        <f t="shared" si="115"/>
        <v>0</v>
      </c>
      <c r="AJ488" s="1803">
        <f t="shared" si="115"/>
        <v>0</v>
      </c>
      <c r="AK488" s="1803">
        <f t="shared" si="115"/>
        <v>0</v>
      </c>
      <c r="AL488" s="1803">
        <f t="shared" si="115"/>
        <v>0</v>
      </c>
      <c r="AM488" s="1803">
        <f t="shared" si="115"/>
        <v>0</v>
      </c>
      <c r="AN488" s="1803">
        <f t="shared" si="115"/>
        <v>0</v>
      </c>
      <c r="AO488" s="1321"/>
    </row>
    <row r="489" spans="2:41" hidden="1" x14ac:dyDescent="0.2">
      <c r="B489" s="1703">
        <f t="shared" si="92"/>
        <v>0</v>
      </c>
      <c r="C489" s="1172">
        <f t="shared" si="93"/>
        <v>0</v>
      </c>
      <c r="D489" s="1172">
        <f t="shared" si="94"/>
        <v>0</v>
      </c>
      <c r="E489" s="1172">
        <f t="shared" si="95"/>
        <v>0</v>
      </c>
      <c r="F489" s="1172">
        <f t="shared" si="96"/>
        <v>0</v>
      </c>
      <c r="G489" s="1172">
        <f t="shared" si="97"/>
        <v>0</v>
      </c>
      <c r="H489" s="1172">
        <f t="shared" si="98"/>
        <v>0</v>
      </c>
      <c r="I489" s="1172">
        <f t="shared" si="99"/>
        <v>0</v>
      </c>
      <c r="J489" s="1172">
        <f t="shared" si="100"/>
        <v>0</v>
      </c>
      <c r="K489" s="1172">
        <f t="shared" si="101"/>
        <v>0</v>
      </c>
      <c r="L489" s="1172">
        <f t="shared" si="102"/>
        <v>0</v>
      </c>
      <c r="M489" s="1172">
        <f t="shared" si="103"/>
        <v>0</v>
      </c>
      <c r="N489" s="1172">
        <f t="shared" si="104"/>
        <v>0</v>
      </c>
      <c r="O489" s="1321"/>
      <c r="P489" s="1172">
        <f t="shared" si="54"/>
        <v>0</v>
      </c>
      <c r="Q489" s="1172">
        <f t="shared" si="55"/>
        <v>0</v>
      </c>
      <c r="R489" s="1172">
        <f t="shared" si="56"/>
        <v>0</v>
      </c>
      <c r="S489" s="1172">
        <f t="shared" si="57"/>
        <v>0</v>
      </c>
      <c r="T489" s="1172">
        <f t="shared" si="58"/>
        <v>0</v>
      </c>
      <c r="U489" s="1172">
        <f t="shared" si="59"/>
        <v>0</v>
      </c>
      <c r="V489" s="1172">
        <f t="shared" si="60"/>
        <v>0</v>
      </c>
      <c r="W489" s="1172">
        <f t="shared" si="61"/>
        <v>0</v>
      </c>
      <c r="X489" s="1172">
        <f t="shared" si="62"/>
        <v>0</v>
      </c>
      <c r="Y489" s="1172">
        <f t="shared" si="63"/>
        <v>0</v>
      </c>
      <c r="Z489" s="1172">
        <f t="shared" si="64"/>
        <v>0</v>
      </c>
      <c r="AA489" s="1172">
        <f t="shared" si="65"/>
        <v>0</v>
      </c>
      <c r="AB489" s="1321"/>
      <c r="AC489" s="1803">
        <f>P489*$C$355</f>
        <v>0</v>
      </c>
      <c r="AD489" s="1803">
        <f t="shared" ref="AD489:AN489" si="116">Q489*$C$355</f>
        <v>0</v>
      </c>
      <c r="AE489" s="1803">
        <f t="shared" si="116"/>
        <v>0</v>
      </c>
      <c r="AF489" s="1803">
        <f t="shared" si="116"/>
        <v>0</v>
      </c>
      <c r="AG489" s="1803">
        <f t="shared" si="116"/>
        <v>0</v>
      </c>
      <c r="AH489" s="1803">
        <f t="shared" si="116"/>
        <v>0</v>
      </c>
      <c r="AI489" s="1803">
        <f t="shared" si="116"/>
        <v>0</v>
      </c>
      <c r="AJ489" s="1803">
        <f t="shared" si="116"/>
        <v>0</v>
      </c>
      <c r="AK489" s="1803">
        <f t="shared" si="116"/>
        <v>0</v>
      </c>
      <c r="AL489" s="1803">
        <f t="shared" si="116"/>
        <v>0</v>
      </c>
      <c r="AM489" s="1803">
        <f t="shared" si="116"/>
        <v>0</v>
      </c>
      <c r="AN489" s="1803">
        <f t="shared" si="116"/>
        <v>0</v>
      </c>
      <c r="AO489" s="1321"/>
    </row>
    <row r="490" spans="2:41" hidden="1" x14ac:dyDescent="0.2">
      <c r="B490" s="1703">
        <f t="shared" si="92"/>
        <v>0</v>
      </c>
      <c r="C490" s="1172">
        <f t="shared" si="93"/>
        <v>0</v>
      </c>
      <c r="D490" s="1172">
        <f t="shared" si="94"/>
        <v>0</v>
      </c>
      <c r="E490" s="1172">
        <f t="shared" si="95"/>
        <v>0</v>
      </c>
      <c r="F490" s="1172">
        <f t="shared" si="96"/>
        <v>0</v>
      </c>
      <c r="G490" s="1172">
        <f t="shared" si="97"/>
        <v>0</v>
      </c>
      <c r="H490" s="1172">
        <f t="shared" si="98"/>
        <v>0</v>
      </c>
      <c r="I490" s="1172">
        <f t="shared" si="99"/>
        <v>0</v>
      </c>
      <c r="J490" s="1172">
        <f t="shared" si="100"/>
        <v>0</v>
      </c>
      <c r="K490" s="1172">
        <f t="shared" si="101"/>
        <v>0</v>
      </c>
      <c r="L490" s="1172">
        <f t="shared" si="102"/>
        <v>0</v>
      </c>
      <c r="M490" s="1172">
        <f t="shared" si="103"/>
        <v>0</v>
      </c>
      <c r="N490" s="1172">
        <f t="shared" si="104"/>
        <v>0</v>
      </c>
      <c r="O490" s="1321"/>
      <c r="P490" s="1172">
        <f t="shared" si="54"/>
        <v>0</v>
      </c>
      <c r="Q490" s="1172">
        <f t="shared" si="55"/>
        <v>0</v>
      </c>
      <c r="R490" s="1172">
        <f t="shared" si="56"/>
        <v>0</v>
      </c>
      <c r="S490" s="1172">
        <f t="shared" si="57"/>
        <v>0</v>
      </c>
      <c r="T490" s="1172">
        <f t="shared" si="58"/>
        <v>0</v>
      </c>
      <c r="U490" s="1172">
        <f t="shared" si="59"/>
        <v>0</v>
      </c>
      <c r="V490" s="1172">
        <f t="shared" si="60"/>
        <v>0</v>
      </c>
      <c r="W490" s="1172">
        <f t="shared" si="61"/>
        <v>0</v>
      </c>
      <c r="X490" s="1172">
        <f t="shared" si="62"/>
        <v>0</v>
      </c>
      <c r="Y490" s="1172">
        <f t="shared" si="63"/>
        <v>0</v>
      </c>
      <c r="Z490" s="1172">
        <f t="shared" si="64"/>
        <v>0</v>
      </c>
      <c r="AA490" s="1172">
        <f t="shared" si="65"/>
        <v>0</v>
      </c>
      <c r="AB490" s="1321"/>
      <c r="AC490" s="1803">
        <f>P490*$C$356</f>
        <v>0</v>
      </c>
      <c r="AD490" s="1803">
        <f t="shared" ref="AD490:AN490" si="117">Q490*$C$356</f>
        <v>0</v>
      </c>
      <c r="AE490" s="1803">
        <f t="shared" si="117"/>
        <v>0</v>
      </c>
      <c r="AF490" s="1803">
        <f t="shared" si="117"/>
        <v>0</v>
      </c>
      <c r="AG490" s="1803">
        <f t="shared" si="117"/>
        <v>0</v>
      </c>
      <c r="AH490" s="1803">
        <f t="shared" si="117"/>
        <v>0</v>
      </c>
      <c r="AI490" s="1803">
        <f t="shared" si="117"/>
        <v>0</v>
      </c>
      <c r="AJ490" s="1803">
        <f t="shared" si="117"/>
        <v>0</v>
      </c>
      <c r="AK490" s="1803">
        <f t="shared" si="117"/>
        <v>0</v>
      </c>
      <c r="AL490" s="1803">
        <f t="shared" si="117"/>
        <v>0</v>
      </c>
      <c r="AM490" s="1803">
        <f t="shared" si="117"/>
        <v>0</v>
      </c>
      <c r="AN490" s="1803">
        <f t="shared" si="117"/>
        <v>0</v>
      </c>
      <c r="AO490" s="1321"/>
    </row>
    <row r="491" spans="2:41" hidden="1" x14ac:dyDescent="0.2">
      <c r="B491" s="1703">
        <f t="shared" si="92"/>
        <v>0</v>
      </c>
      <c r="C491" s="1172">
        <f t="shared" si="93"/>
        <v>0</v>
      </c>
      <c r="D491" s="1172">
        <f t="shared" si="94"/>
        <v>0</v>
      </c>
      <c r="E491" s="1172">
        <f t="shared" si="95"/>
        <v>0</v>
      </c>
      <c r="F491" s="1172">
        <f t="shared" si="96"/>
        <v>0</v>
      </c>
      <c r="G491" s="1172">
        <f t="shared" si="97"/>
        <v>0</v>
      </c>
      <c r="H491" s="1172">
        <f t="shared" si="98"/>
        <v>0</v>
      </c>
      <c r="I491" s="1172">
        <f t="shared" si="99"/>
        <v>0</v>
      </c>
      <c r="J491" s="1172">
        <f t="shared" si="100"/>
        <v>0</v>
      </c>
      <c r="K491" s="1172">
        <f t="shared" si="101"/>
        <v>0</v>
      </c>
      <c r="L491" s="1172">
        <f t="shared" si="102"/>
        <v>0</v>
      </c>
      <c r="M491" s="1172">
        <f t="shared" si="103"/>
        <v>0</v>
      </c>
      <c r="N491" s="1172">
        <f t="shared" si="104"/>
        <v>0</v>
      </c>
      <c r="O491" s="1321"/>
      <c r="P491" s="1172">
        <f t="shared" si="54"/>
        <v>0</v>
      </c>
      <c r="Q491" s="1172">
        <f t="shared" si="55"/>
        <v>0</v>
      </c>
      <c r="R491" s="1172">
        <f t="shared" si="56"/>
        <v>0</v>
      </c>
      <c r="S491" s="1172">
        <f t="shared" si="57"/>
        <v>0</v>
      </c>
      <c r="T491" s="1172">
        <f t="shared" si="58"/>
        <v>0</v>
      </c>
      <c r="U491" s="1172">
        <f t="shared" si="59"/>
        <v>0</v>
      </c>
      <c r="V491" s="1172">
        <f t="shared" si="60"/>
        <v>0</v>
      </c>
      <c r="W491" s="1172">
        <f t="shared" si="61"/>
        <v>0</v>
      </c>
      <c r="X491" s="1172">
        <f t="shared" si="62"/>
        <v>0</v>
      </c>
      <c r="Y491" s="1172">
        <f t="shared" si="63"/>
        <v>0</v>
      </c>
      <c r="Z491" s="1172">
        <f t="shared" si="64"/>
        <v>0</v>
      </c>
      <c r="AA491" s="1172">
        <f t="shared" si="65"/>
        <v>0</v>
      </c>
      <c r="AB491" s="1321"/>
      <c r="AC491" s="1803">
        <f>P491*$C$357</f>
        <v>0</v>
      </c>
      <c r="AD491" s="1803">
        <f t="shared" ref="AD491:AN491" si="118">Q491*$C$357</f>
        <v>0</v>
      </c>
      <c r="AE491" s="1803">
        <f t="shared" si="118"/>
        <v>0</v>
      </c>
      <c r="AF491" s="1803">
        <f t="shared" si="118"/>
        <v>0</v>
      </c>
      <c r="AG491" s="1803">
        <f t="shared" si="118"/>
        <v>0</v>
      </c>
      <c r="AH491" s="1803">
        <f t="shared" si="118"/>
        <v>0</v>
      </c>
      <c r="AI491" s="1803">
        <f t="shared" si="118"/>
        <v>0</v>
      </c>
      <c r="AJ491" s="1803">
        <f t="shared" si="118"/>
        <v>0</v>
      </c>
      <c r="AK491" s="1803">
        <f t="shared" si="118"/>
        <v>0</v>
      </c>
      <c r="AL491" s="1803">
        <f t="shared" si="118"/>
        <v>0</v>
      </c>
      <c r="AM491" s="1803">
        <f t="shared" si="118"/>
        <v>0</v>
      </c>
      <c r="AN491" s="1803">
        <f t="shared" si="118"/>
        <v>0</v>
      </c>
      <c r="AO491" s="1321"/>
    </row>
    <row r="492" spans="2:41" hidden="1" x14ac:dyDescent="0.2">
      <c r="B492" s="1703">
        <f t="shared" si="92"/>
        <v>0</v>
      </c>
      <c r="C492" s="1172">
        <f t="shared" si="93"/>
        <v>0</v>
      </c>
      <c r="D492" s="1172">
        <f t="shared" si="94"/>
        <v>0</v>
      </c>
      <c r="E492" s="1172">
        <f t="shared" si="95"/>
        <v>0</v>
      </c>
      <c r="F492" s="1172">
        <f t="shared" si="96"/>
        <v>0</v>
      </c>
      <c r="G492" s="1172">
        <f t="shared" si="97"/>
        <v>0</v>
      </c>
      <c r="H492" s="1172">
        <f t="shared" si="98"/>
        <v>0</v>
      </c>
      <c r="I492" s="1172">
        <f t="shared" si="99"/>
        <v>0</v>
      </c>
      <c r="J492" s="1172">
        <f t="shared" si="100"/>
        <v>0</v>
      </c>
      <c r="K492" s="1172">
        <f t="shared" si="101"/>
        <v>0</v>
      </c>
      <c r="L492" s="1172">
        <f t="shared" si="102"/>
        <v>0</v>
      </c>
      <c r="M492" s="1172">
        <f t="shared" si="103"/>
        <v>0</v>
      </c>
      <c r="N492" s="1172">
        <f t="shared" si="104"/>
        <v>0</v>
      </c>
      <c r="O492" s="1321"/>
      <c r="P492" s="1172">
        <f t="shared" si="54"/>
        <v>0</v>
      </c>
      <c r="Q492" s="1172">
        <f t="shared" si="55"/>
        <v>0</v>
      </c>
      <c r="R492" s="1172">
        <f t="shared" si="56"/>
        <v>0</v>
      </c>
      <c r="S492" s="1172">
        <f t="shared" si="57"/>
        <v>0</v>
      </c>
      <c r="T492" s="1172">
        <f t="shared" si="58"/>
        <v>0</v>
      </c>
      <c r="U492" s="1172">
        <f t="shared" si="59"/>
        <v>0</v>
      </c>
      <c r="V492" s="1172">
        <f t="shared" si="60"/>
        <v>0</v>
      </c>
      <c r="W492" s="1172">
        <f t="shared" si="61"/>
        <v>0</v>
      </c>
      <c r="X492" s="1172">
        <f t="shared" si="62"/>
        <v>0</v>
      </c>
      <c r="Y492" s="1172">
        <f t="shared" si="63"/>
        <v>0</v>
      </c>
      <c r="Z492" s="1172">
        <f t="shared" si="64"/>
        <v>0</v>
      </c>
      <c r="AA492" s="1172">
        <f t="shared" si="65"/>
        <v>0</v>
      </c>
      <c r="AB492" s="1321"/>
      <c r="AC492" s="1803">
        <f>P492*$C$358</f>
        <v>0</v>
      </c>
      <c r="AD492" s="1803">
        <f t="shared" ref="AD492:AN492" si="119">Q492*$C$358</f>
        <v>0</v>
      </c>
      <c r="AE492" s="1803">
        <f t="shared" si="119"/>
        <v>0</v>
      </c>
      <c r="AF492" s="1803">
        <f t="shared" si="119"/>
        <v>0</v>
      </c>
      <c r="AG492" s="1803">
        <f t="shared" si="119"/>
        <v>0</v>
      </c>
      <c r="AH492" s="1803">
        <f t="shared" si="119"/>
        <v>0</v>
      </c>
      <c r="AI492" s="1803">
        <f t="shared" si="119"/>
        <v>0</v>
      </c>
      <c r="AJ492" s="1803">
        <f t="shared" si="119"/>
        <v>0</v>
      </c>
      <c r="AK492" s="1803">
        <f t="shared" si="119"/>
        <v>0</v>
      </c>
      <c r="AL492" s="1803">
        <f t="shared" si="119"/>
        <v>0</v>
      </c>
      <c r="AM492" s="1803">
        <f t="shared" si="119"/>
        <v>0</v>
      </c>
      <c r="AN492" s="1803">
        <f t="shared" si="119"/>
        <v>0</v>
      </c>
      <c r="AO492" s="1321"/>
    </row>
    <row r="493" spans="2:41" hidden="1" x14ac:dyDescent="0.2">
      <c r="B493" s="1703">
        <f t="shared" si="92"/>
        <v>0</v>
      </c>
      <c r="C493" s="1172">
        <f t="shared" si="93"/>
        <v>0</v>
      </c>
      <c r="D493" s="1172">
        <f t="shared" si="94"/>
        <v>0</v>
      </c>
      <c r="E493" s="1172">
        <f t="shared" si="95"/>
        <v>0</v>
      </c>
      <c r="F493" s="1172">
        <f t="shared" si="96"/>
        <v>0</v>
      </c>
      <c r="G493" s="1172">
        <f t="shared" si="97"/>
        <v>0</v>
      </c>
      <c r="H493" s="1172">
        <f t="shared" si="98"/>
        <v>0</v>
      </c>
      <c r="I493" s="1172">
        <f t="shared" si="99"/>
        <v>0</v>
      </c>
      <c r="J493" s="1172">
        <f t="shared" si="100"/>
        <v>0</v>
      </c>
      <c r="K493" s="1172">
        <f t="shared" si="101"/>
        <v>0</v>
      </c>
      <c r="L493" s="1172">
        <f t="shared" si="102"/>
        <v>0</v>
      </c>
      <c r="M493" s="1172">
        <f t="shared" si="103"/>
        <v>0</v>
      </c>
      <c r="N493" s="1172">
        <f t="shared" si="104"/>
        <v>0</v>
      </c>
      <c r="O493" s="1321"/>
      <c r="P493" s="1172">
        <f t="shared" si="54"/>
        <v>0</v>
      </c>
      <c r="Q493" s="1172">
        <f t="shared" si="55"/>
        <v>0</v>
      </c>
      <c r="R493" s="1172">
        <f t="shared" si="56"/>
        <v>0</v>
      </c>
      <c r="S493" s="1172">
        <f t="shared" si="57"/>
        <v>0</v>
      </c>
      <c r="T493" s="1172">
        <f t="shared" si="58"/>
        <v>0</v>
      </c>
      <c r="U493" s="1172">
        <f t="shared" si="59"/>
        <v>0</v>
      </c>
      <c r="V493" s="1172">
        <f t="shared" si="60"/>
        <v>0</v>
      </c>
      <c r="W493" s="1172">
        <f t="shared" si="61"/>
        <v>0</v>
      </c>
      <c r="X493" s="1172">
        <f t="shared" si="62"/>
        <v>0</v>
      </c>
      <c r="Y493" s="1172">
        <f t="shared" si="63"/>
        <v>0</v>
      </c>
      <c r="Z493" s="1172">
        <f t="shared" si="64"/>
        <v>0</v>
      </c>
      <c r="AA493" s="1172">
        <f t="shared" si="65"/>
        <v>0</v>
      </c>
      <c r="AB493" s="1321"/>
      <c r="AC493" s="1803">
        <f>P493*$C$359</f>
        <v>0</v>
      </c>
      <c r="AD493" s="1803">
        <f t="shared" ref="AD493:AN493" si="120">Q493*$C$359</f>
        <v>0</v>
      </c>
      <c r="AE493" s="1803">
        <f t="shared" si="120"/>
        <v>0</v>
      </c>
      <c r="AF493" s="1803">
        <f t="shared" si="120"/>
        <v>0</v>
      </c>
      <c r="AG493" s="1803">
        <f t="shared" si="120"/>
        <v>0</v>
      </c>
      <c r="AH493" s="1803">
        <f t="shared" si="120"/>
        <v>0</v>
      </c>
      <c r="AI493" s="1803">
        <f t="shared" si="120"/>
        <v>0</v>
      </c>
      <c r="AJ493" s="1803">
        <f t="shared" si="120"/>
        <v>0</v>
      </c>
      <c r="AK493" s="1803">
        <f t="shared" si="120"/>
        <v>0</v>
      </c>
      <c r="AL493" s="1803">
        <f t="shared" si="120"/>
        <v>0</v>
      </c>
      <c r="AM493" s="1803">
        <f t="shared" si="120"/>
        <v>0</v>
      </c>
      <c r="AN493" s="1803">
        <f t="shared" si="120"/>
        <v>0</v>
      </c>
      <c r="AO493" s="1321"/>
    </row>
    <row r="494" spans="2:41" hidden="1" x14ac:dyDescent="0.2">
      <c r="B494" s="1703">
        <f t="shared" si="92"/>
        <v>0</v>
      </c>
      <c r="C494" s="1172">
        <f t="shared" si="93"/>
        <v>0</v>
      </c>
      <c r="D494" s="1172">
        <f t="shared" si="94"/>
        <v>0</v>
      </c>
      <c r="E494" s="1172">
        <f t="shared" si="95"/>
        <v>0</v>
      </c>
      <c r="F494" s="1172">
        <f t="shared" si="96"/>
        <v>0</v>
      </c>
      <c r="G494" s="1172">
        <f t="shared" si="97"/>
        <v>0</v>
      </c>
      <c r="H494" s="1172">
        <f t="shared" si="98"/>
        <v>0</v>
      </c>
      <c r="I494" s="1172">
        <f t="shared" si="99"/>
        <v>0</v>
      </c>
      <c r="J494" s="1172">
        <f t="shared" si="100"/>
        <v>0</v>
      </c>
      <c r="K494" s="1172">
        <f t="shared" si="101"/>
        <v>0</v>
      </c>
      <c r="L494" s="1172">
        <f t="shared" si="102"/>
        <v>0</v>
      </c>
      <c r="M494" s="1172">
        <f t="shared" si="103"/>
        <v>0</v>
      </c>
      <c r="N494" s="1172">
        <f t="shared" si="104"/>
        <v>0</v>
      </c>
      <c r="O494" s="1321"/>
      <c r="P494" s="1172">
        <f t="shared" si="54"/>
        <v>0</v>
      </c>
      <c r="Q494" s="1172">
        <f t="shared" si="55"/>
        <v>0</v>
      </c>
      <c r="R494" s="1172">
        <f t="shared" si="56"/>
        <v>0</v>
      </c>
      <c r="S494" s="1172">
        <f t="shared" si="57"/>
        <v>0</v>
      </c>
      <c r="T494" s="1172">
        <f t="shared" si="58"/>
        <v>0</v>
      </c>
      <c r="U494" s="1172">
        <f t="shared" si="59"/>
        <v>0</v>
      </c>
      <c r="V494" s="1172">
        <f t="shared" si="60"/>
        <v>0</v>
      </c>
      <c r="W494" s="1172">
        <f t="shared" si="61"/>
        <v>0</v>
      </c>
      <c r="X494" s="1172">
        <f t="shared" si="62"/>
        <v>0</v>
      </c>
      <c r="Y494" s="1172">
        <f t="shared" si="63"/>
        <v>0</v>
      </c>
      <c r="Z494" s="1172">
        <f t="shared" si="64"/>
        <v>0</v>
      </c>
      <c r="AA494" s="1172">
        <f t="shared" si="65"/>
        <v>0</v>
      </c>
      <c r="AB494" s="1321"/>
      <c r="AC494" s="1803">
        <f>P494*$C$360</f>
        <v>0</v>
      </c>
      <c r="AD494" s="1803">
        <f t="shared" ref="AD494:AN494" si="121">Q494*$C$360</f>
        <v>0</v>
      </c>
      <c r="AE494" s="1803">
        <f t="shared" si="121"/>
        <v>0</v>
      </c>
      <c r="AF494" s="1803">
        <f t="shared" si="121"/>
        <v>0</v>
      </c>
      <c r="AG494" s="1803">
        <f t="shared" si="121"/>
        <v>0</v>
      </c>
      <c r="AH494" s="1803">
        <f t="shared" si="121"/>
        <v>0</v>
      </c>
      <c r="AI494" s="1803">
        <f t="shared" si="121"/>
        <v>0</v>
      </c>
      <c r="AJ494" s="1803">
        <f t="shared" si="121"/>
        <v>0</v>
      </c>
      <c r="AK494" s="1803">
        <f t="shared" si="121"/>
        <v>0</v>
      </c>
      <c r="AL494" s="1803">
        <f t="shared" si="121"/>
        <v>0</v>
      </c>
      <c r="AM494" s="1803">
        <f t="shared" si="121"/>
        <v>0</v>
      </c>
      <c r="AN494" s="1803">
        <f t="shared" si="121"/>
        <v>0</v>
      </c>
      <c r="AO494" s="1321"/>
    </row>
    <row r="495" spans="2:41" hidden="1" x14ac:dyDescent="0.2">
      <c r="B495" s="1703">
        <f t="shared" si="92"/>
        <v>0</v>
      </c>
      <c r="C495" s="1172">
        <f t="shared" si="93"/>
        <v>0</v>
      </c>
      <c r="D495" s="1172">
        <f t="shared" si="94"/>
        <v>0</v>
      </c>
      <c r="E495" s="1172">
        <f t="shared" si="95"/>
        <v>0</v>
      </c>
      <c r="F495" s="1172">
        <f t="shared" si="96"/>
        <v>0</v>
      </c>
      <c r="G495" s="1172">
        <f t="shared" si="97"/>
        <v>0</v>
      </c>
      <c r="H495" s="1172">
        <f t="shared" si="98"/>
        <v>0</v>
      </c>
      <c r="I495" s="1172">
        <f t="shared" si="99"/>
        <v>0</v>
      </c>
      <c r="J495" s="1172">
        <f t="shared" si="100"/>
        <v>0</v>
      </c>
      <c r="K495" s="1172">
        <f t="shared" si="101"/>
        <v>0</v>
      </c>
      <c r="L495" s="1172">
        <f t="shared" si="102"/>
        <v>0</v>
      </c>
      <c r="M495" s="1172">
        <f t="shared" si="103"/>
        <v>0</v>
      </c>
      <c r="N495" s="1172">
        <f t="shared" si="104"/>
        <v>0</v>
      </c>
      <c r="O495" s="1321"/>
      <c r="P495" s="1172">
        <f t="shared" si="54"/>
        <v>0</v>
      </c>
      <c r="Q495" s="1172">
        <f t="shared" si="55"/>
        <v>0</v>
      </c>
      <c r="R495" s="1172">
        <f t="shared" si="56"/>
        <v>0</v>
      </c>
      <c r="S495" s="1172">
        <f t="shared" si="57"/>
        <v>0</v>
      </c>
      <c r="T495" s="1172">
        <f t="shared" si="58"/>
        <v>0</v>
      </c>
      <c r="U495" s="1172">
        <f t="shared" si="59"/>
        <v>0</v>
      </c>
      <c r="V495" s="1172">
        <f t="shared" si="60"/>
        <v>0</v>
      </c>
      <c r="W495" s="1172">
        <f t="shared" si="61"/>
        <v>0</v>
      </c>
      <c r="X495" s="1172">
        <f t="shared" si="62"/>
        <v>0</v>
      </c>
      <c r="Y495" s="1172">
        <f t="shared" si="63"/>
        <v>0</v>
      </c>
      <c r="Z495" s="1172">
        <f t="shared" si="64"/>
        <v>0</v>
      </c>
      <c r="AA495" s="1172">
        <f t="shared" si="65"/>
        <v>0</v>
      </c>
      <c r="AB495" s="1321"/>
      <c r="AC495" s="1803">
        <f>P495*$C$361</f>
        <v>0</v>
      </c>
      <c r="AD495" s="1803">
        <f t="shared" ref="AD495:AN495" si="122">Q495*$C$361</f>
        <v>0</v>
      </c>
      <c r="AE495" s="1803">
        <f t="shared" si="122"/>
        <v>0</v>
      </c>
      <c r="AF495" s="1803">
        <f t="shared" si="122"/>
        <v>0</v>
      </c>
      <c r="AG495" s="1803">
        <f t="shared" si="122"/>
        <v>0</v>
      </c>
      <c r="AH495" s="1803">
        <f t="shared" si="122"/>
        <v>0</v>
      </c>
      <c r="AI495" s="1803">
        <f t="shared" si="122"/>
        <v>0</v>
      </c>
      <c r="AJ495" s="1803">
        <f t="shared" si="122"/>
        <v>0</v>
      </c>
      <c r="AK495" s="1803">
        <f t="shared" si="122"/>
        <v>0</v>
      </c>
      <c r="AL495" s="1803">
        <f t="shared" si="122"/>
        <v>0</v>
      </c>
      <c r="AM495" s="1803">
        <f t="shared" si="122"/>
        <v>0</v>
      </c>
      <c r="AN495" s="1803">
        <f t="shared" si="122"/>
        <v>0</v>
      </c>
      <c r="AO495" s="1321"/>
    </row>
    <row r="496" spans="2:41" hidden="1" x14ac:dyDescent="0.2">
      <c r="B496" s="1703">
        <f t="shared" si="92"/>
        <v>0</v>
      </c>
      <c r="C496" s="1172">
        <f t="shared" si="93"/>
        <v>0</v>
      </c>
      <c r="D496" s="1172">
        <f t="shared" si="94"/>
        <v>0</v>
      </c>
      <c r="E496" s="1172">
        <f t="shared" si="95"/>
        <v>0</v>
      </c>
      <c r="F496" s="1172">
        <f t="shared" si="96"/>
        <v>0</v>
      </c>
      <c r="G496" s="1172">
        <f t="shared" si="97"/>
        <v>0</v>
      </c>
      <c r="H496" s="1172">
        <f t="shared" si="98"/>
        <v>0</v>
      </c>
      <c r="I496" s="1172">
        <f t="shared" si="99"/>
        <v>0</v>
      </c>
      <c r="J496" s="1172">
        <f t="shared" si="100"/>
        <v>0</v>
      </c>
      <c r="K496" s="1172">
        <f t="shared" si="101"/>
        <v>0</v>
      </c>
      <c r="L496" s="1172">
        <f t="shared" si="102"/>
        <v>0</v>
      </c>
      <c r="M496" s="1172">
        <f t="shared" si="103"/>
        <v>0</v>
      </c>
      <c r="N496" s="1172">
        <f t="shared" si="104"/>
        <v>0</v>
      </c>
      <c r="O496" s="1321"/>
      <c r="P496" s="1172">
        <f t="shared" si="54"/>
        <v>0</v>
      </c>
      <c r="Q496" s="1172">
        <f t="shared" si="55"/>
        <v>0</v>
      </c>
      <c r="R496" s="1172">
        <f t="shared" si="56"/>
        <v>0</v>
      </c>
      <c r="S496" s="1172">
        <f t="shared" si="57"/>
        <v>0</v>
      </c>
      <c r="T496" s="1172">
        <f t="shared" si="58"/>
        <v>0</v>
      </c>
      <c r="U496" s="1172">
        <f t="shared" si="59"/>
        <v>0</v>
      </c>
      <c r="V496" s="1172">
        <f t="shared" si="60"/>
        <v>0</v>
      </c>
      <c r="W496" s="1172">
        <f t="shared" si="61"/>
        <v>0</v>
      </c>
      <c r="X496" s="1172">
        <f t="shared" si="62"/>
        <v>0</v>
      </c>
      <c r="Y496" s="1172">
        <f t="shared" si="63"/>
        <v>0</v>
      </c>
      <c r="Z496" s="1172">
        <f t="shared" si="64"/>
        <v>0</v>
      </c>
      <c r="AA496" s="1172">
        <f t="shared" si="65"/>
        <v>0</v>
      </c>
      <c r="AB496" s="1321"/>
      <c r="AC496" s="1803">
        <f>P496*$C$362</f>
        <v>0</v>
      </c>
      <c r="AD496" s="1803">
        <f t="shared" ref="AD496:AN496" si="123">Q496*$C$362</f>
        <v>0</v>
      </c>
      <c r="AE496" s="1803">
        <f t="shared" si="123"/>
        <v>0</v>
      </c>
      <c r="AF496" s="1803">
        <f t="shared" si="123"/>
        <v>0</v>
      </c>
      <c r="AG496" s="1803">
        <f t="shared" si="123"/>
        <v>0</v>
      </c>
      <c r="AH496" s="1803">
        <f t="shared" si="123"/>
        <v>0</v>
      </c>
      <c r="AI496" s="1803">
        <f t="shared" si="123"/>
        <v>0</v>
      </c>
      <c r="AJ496" s="1803">
        <f t="shared" si="123"/>
        <v>0</v>
      </c>
      <c r="AK496" s="1803">
        <f t="shared" si="123"/>
        <v>0</v>
      </c>
      <c r="AL496" s="1803">
        <f t="shared" si="123"/>
        <v>0</v>
      </c>
      <c r="AM496" s="1803">
        <f t="shared" si="123"/>
        <v>0</v>
      </c>
      <c r="AN496" s="1803">
        <f t="shared" si="123"/>
        <v>0</v>
      </c>
      <c r="AO496" s="1321"/>
    </row>
    <row r="497" spans="1:45" hidden="1" x14ac:dyDescent="0.2">
      <c r="B497" s="1703">
        <f t="shared" si="92"/>
        <v>0</v>
      </c>
      <c r="C497" s="1172">
        <f t="shared" si="93"/>
        <v>0</v>
      </c>
      <c r="D497" s="1172">
        <f t="shared" si="94"/>
        <v>0</v>
      </c>
      <c r="E497" s="1172">
        <f t="shared" si="95"/>
        <v>0</v>
      </c>
      <c r="F497" s="1172">
        <f t="shared" si="96"/>
        <v>0</v>
      </c>
      <c r="G497" s="1172">
        <f t="shared" si="97"/>
        <v>0</v>
      </c>
      <c r="H497" s="1172">
        <f t="shared" si="98"/>
        <v>0</v>
      </c>
      <c r="I497" s="1172">
        <f t="shared" si="99"/>
        <v>0</v>
      </c>
      <c r="J497" s="1172">
        <f t="shared" si="100"/>
        <v>0</v>
      </c>
      <c r="K497" s="1172">
        <f t="shared" si="101"/>
        <v>0</v>
      </c>
      <c r="L497" s="1172">
        <f t="shared" si="102"/>
        <v>0</v>
      </c>
      <c r="M497" s="1172">
        <f t="shared" si="103"/>
        <v>0</v>
      </c>
      <c r="N497" s="1172">
        <f t="shared" si="104"/>
        <v>0</v>
      </c>
      <c r="O497" s="1321"/>
      <c r="P497" s="1172">
        <f t="shared" si="54"/>
        <v>0</v>
      </c>
      <c r="Q497" s="1172">
        <f t="shared" si="55"/>
        <v>0</v>
      </c>
      <c r="R497" s="1172">
        <f t="shared" si="56"/>
        <v>0</v>
      </c>
      <c r="S497" s="1172">
        <f t="shared" si="57"/>
        <v>0</v>
      </c>
      <c r="T497" s="1172">
        <f t="shared" si="58"/>
        <v>0</v>
      </c>
      <c r="U497" s="1172">
        <f t="shared" si="59"/>
        <v>0</v>
      </c>
      <c r="V497" s="1172">
        <f t="shared" si="60"/>
        <v>0</v>
      </c>
      <c r="W497" s="1172">
        <f t="shared" si="61"/>
        <v>0</v>
      </c>
      <c r="X497" s="1172">
        <f t="shared" si="62"/>
        <v>0</v>
      </c>
      <c r="Y497" s="1172">
        <f t="shared" si="63"/>
        <v>0</v>
      </c>
      <c r="Z497" s="1172">
        <f t="shared" si="64"/>
        <v>0</v>
      </c>
      <c r="AA497" s="1172">
        <f t="shared" si="65"/>
        <v>0</v>
      </c>
      <c r="AB497" s="1321"/>
      <c r="AC497" s="1803">
        <f>P497*$C$363</f>
        <v>0</v>
      </c>
      <c r="AD497" s="1803">
        <f t="shared" ref="AD497:AN497" si="124">Q497*$C$363</f>
        <v>0</v>
      </c>
      <c r="AE497" s="1803">
        <f t="shared" si="124"/>
        <v>0</v>
      </c>
      <c r="AF497" s="1803">
        <f t="shared" si="124"/>
        <v>0</v>
      </c>
      <c r="AG497" s="1803">
        <f t="shared" si="124"/>
        <v>0</v>
      </c>
      <c r="AH497" s="1803">
        <f t="shared" si="124"/>
        <v>0</v>
      </c>
      <c r="AI497" s="1803">
        <f t="shared" si="124"/>
        <v>0</v>
      </c>
      <c r="AJ497" s="1803">
        <f t="shared" si="124"/>
        <v>0</v>
      </c>
      <c r="AK497" s="1803">
        <f t="shared" si="124"/>
        <v>0</v>
      </c>
      <c r="AL497" s="1803">
        <f t="shared" si="124"/>
        <v>0</v>
      </c>
      <c r="AM497" s="1803">
        <f t="shared" si="124"/>
        <v>0</v>
      </c>
      <c r="AN497" s="1803">
        <f t="shared" si="124"/>
        <v>0</v>
      </c>
      <c r="AO497" s="1321"/>
    </row>
    <row r="498" spans="1:45" hidden="1" x14ac:dyDescent="0.2">
      <c r="B498" s="1703">
        <f t="shared" si="92"/>
        <v>0</v>
      </c>
      <c r="C498" s="1172">
        <f t="shared" si="93"/>
        <v>0</v>
      </c>
      <c r="D498" s="1172">
        <f t="shared" si="94"/>
        <v>0</v>
      </c>
      <c r="E498" s="1172">
        <f t="shared" si="95"/>
        <v>0</v>
      </c>
      <c r="F498" s="1172">
        <f t="shared" si="96"/>
        <v>0</v>
      </c>
      <c r="G498" s="1172">
        <f t="shared" si="97"/>
        <v>0</v>
      </c>
      <c r="H498" s="1172">
        <f t="shared" si="98"/>
        <v>0</v>
      </c>
      <c r="I498" s="1172">
        <f t="shared" si="99"/>
        <v>0</v>
      </c>
      <c r="J498" s="1172">
        <f t="shared" si="100"/>
        <v>0</v>
      </c>
      <c r="K498" s="1172">
        <f t="shared" si="101"/>
        <v>0</v>
      </c>
      <c r="L498" s="1172">
        <f t="shared" si="102"/>
        <v>0</v>
      </c>
      <c r="M498" s="1172">
        <f t="shared" si="103"/>
        <v>0</v>
      </c>
      <c r="N498" s="1172">
        <f t="shared" si="104"/>
        <v>0</v>
      </c>
      <c r="O498" s="1321"/>
      <c r="P498" s="1172">
        <f t="shared" si="54"/>
        <v>0</v>
      </c>
      <c r="Q498" s="1172">
        <f t="shared" si="55"/>
        <v>0</v>
      </c>
      <c r="R498" s="1172">
        <f t="shared" si="56"/>
        <v>0</v>
      </c>
      <c r="S498" s="1172">
        <f t="shared" si="57"/>
        <v>0</v>
      </c>
      <c r="T498" s="1172">
        <f t="shared" si="58"/>
        <v>0</v>
      </c>
      <c r="U498" s="1172">
        <f t="shared" si="59"/>
        <v>0</v>
      </c>
      <c r="V498" s="1172">
        <f t="shared" si="60"/>
        <v>0</v>
      </c>
      <c r="W498" s="1172">
        <f t="shared" si="61"/>
        <v>0</v>
      </c>
      <c r="X498" s="1172">
        <f t="shared" si="62"/>
        <v>0</v>
      </c>
      <c r="Y498" s="1172">
        <f t="shared" si="63"/>
        <v>0</v>
      </c>
      <c r="Z498" s="1172">
        <f t="shared" si="64"/>
        <v>0</v>
      </c>
      <c r="AA498" s="1172">
        <f t="shared" si="65"/>
        <v>0</v>
      </c>
      <c r="AB498" s="1321"/>
      <c r="AC498" s="1803">
        <f>P498*$C$364</f>
        <v>0</v>
      </c>
      <c r="AD498" s="1803">
        <f t="shared" ref="AD498:AN498" si="125">Q498*$C$364</f>
        <v>0</v>
      </c>
      <c r="AE498" s="1803">
        <f t="shared" si="125"/>
        <v>0</v>
      </c>
      <c r="AF498" s="1803">
        <f t="shared" si="125"/>
        <v>0</v>
      </c>
      <c r="AG498" s="1803">
        <f t="shared" si="125"/>
        <v>0</v>
      </c>
      <c r="AH498" s="1803">
        <f t="shared" si="125"/>
        <v>0</v>
      </c>
      <c r="AI498" s="1803">
        <f t="shared" si="125"/>
        <v>0</v>
      </c>
      <c r="AJ498" s="1803">
        <f t="shared" si="125"/>
        <v>0</v>
      </c>
      <c r="AK498" s="1803">
        <f t="shared" si="125"/>
        <v>0</v>
      </c>
      <c r="AL498" s="1803">
        <f t="shared" si="125"/>
        <v>0</v>
      </c>
      <c r="AM498" s="1803">
        <f t="shared" si="125"/>
        <v>0</v>
      </c>
      <c r="AN498" s="1803">
        <f t="shared" si="125"/>
        <v>0</v>
      </c>
      <c r="AO498" s="1321"/>
    </row>
    <row r="499" spans="1:45" hidden="1" x14ac:dyDescent="0.2">
      <c r="B499" s="1703">
        <f t="shared" si="92"/>
        <v>0</v>
      </c>
      <c r="C499" s="1172">
        <f t="shared" si="93"/>
        <v>0</v>
      </c>
      <c r="D499" s="1172">
        <f t="shared" si="94"/>
        <v>0</v>
      </c>
      <c r="E499" s="1172">
        <f t="shared" si="95"/>
        <v>0</v>
      </c>
      <c r="F499" s="1172">
        <f t="shared" si="96"/>
        <v>0</v>
      </c>
      <c r="G499" s="1172">
        <f t="shared" si="97"/>
        <v>0</v>
      </c>
      <c r="H499" s="1172">
        <f t="shared" si="98"/>
        <v>0</v>
      </c>
      <c r="I499" s="1172">
        <f t="shared" si="99"/>
        <v>0</v>
      </c>
      <c r="J499" s="1172">
        <f t="shared" si="100"/>
        <v>0</v>
      </c>
      <c r="K499" s="1172">
        <f t="shared" si="101"/>
        <v>0</v>
      </c>
      <c r="L499" s="1172">
        <f t="shared" si="102"/>
        <v>0</v>
      </c>
      <c r="M499" s="1172">
        <f t="shared" si="103"/>
        <v>0</v>
      </c>
      <c r="N499" s="1172">
        <f t="shared" si="104"/>
        <v>0</v>
      </c>
      <c r="O499" s="1321"/>
      <c r="P499" s="1172">
        <f t="shared" si="54"/>
        <v>0</v>
      </c>
      <c r="Q499" s="1172">
        <f t="shared" si="55"/>
        <v>0</v>
      </c>
      <c r="R499" s="1172">
        <f t="shared" si="56"/>
        <v>0</v>
      </c>
      <c r="S499" s="1172">
        <f t="shared" si="57"/>
        <v>0</v>
      </c>
      <c r="T499" s="1172">
        <f t="shared" si="58"/>
        <v>0</v>
      </c>
      <c r="U499" s="1172">
        <f t="shared" si="59"/>
        <v>0</v>
      </c>
      <c r="V499" s="1172">
        <f t="shared" si="60"/>
        <v>0</v>
      </c>
      <c r="W499" s="1172">
        <f t="shared" si="61"/>
        <v>0</v>
      </c>
      <c r="X499" s="1172">
        <f t="shared" si="62"/>
        <v>0</v>
      </c>
      <c r="Y499" s="1172">
        <f t="shared" si="63"/>
        <v>0</v>
      </c>
      <c r="Z499" s="1172">
        <f t="shared" si="64"/>
        <v>0</v>
      </c>
      <c r="AA499" s="1172">
        <f t="shared" si="65"/>
        <v>0</v>
      </c>
      <c r="AB499" s="1703"/>
      <c r="AC499" s="1803">
        <f>P499*$C$365</f>
        <v>0</v>
      </c>
      <c r="AD499" s="1803">
        <f t="shared" ref="AD499:AN499" si="126">Q499*$C$365</f>
        <v>0</v>
      </c>
      <c r="AE499" s="1803">
        <f t="shared" si="126"/>
        <v>0</v>
      </c>
      <c r="AF499" s="1803">
        <f t="shared" si="126"/>
        <v>0</v>
      </c>
      <c r="AG499" s="1803">
        <f t="shared" si="126"/>
        <v>0</v>
      </c>
      <c r="AH499" s="1803">
        <f t="shared" si="126"/>
        <v>0</v>
      </c>
      <c r="AI499" s="1803">
        <f t="shared" si="126"/>
        <v>0</v>
      </c>
      <c r="AJ499" s="1803">
        <f t="shared" si="126"/>
        <v>0</v>
      </c>
      <c r="AK499" s="1803">
        <f t="shared" si="126"/>
        <v>0</v>
      </c>
      <c r="AL499" s="1803">
        <f t="shared" si="126"/>
        <v>0</v>
      </c>
      <c r="AM499" s="1803">
        <f t="shared" si="126"/>
        <v>0</v>
      </c>
      <c r="AN499" s="1803">
        <f t="shared" si="126"/>
        <v>0</v>
      </c>
      <c r="AO499" s="1321"/>
    </row>
    <row r="500" spans="1:45" hidden="1" x14ac:dyDescent="0.2">
      <c r="B500" s="1703">
        <f t="shared" si="92"/>
        <v>0</v>
      </c>
      <c r="C500" s="1172">
        <f t="shared" si="93"/>
        <v>0</v>
      </c>
      <c r="D500" s="1172">
        <f t="shared" si="94"/>
        <v>0</v>
      </c>
      <c r="E500" s="1172">
        <f t="shared" si="95"/>
        <v>0</v>
      </c>
      <c r="F500" s="1172">
        <f t="shared" si="96"/>
        <v>0</v>
      </c>
      <c r="G500" s="1172">
        <f t="shared" si="97"/>
        <v>0</v>
      </c>
      <c r="H500" s="1172">
        <f t="shared" si="98"/>
        <v>0</v>
      </c>
      <c r="I500" s="1172">
        <f t="shared" si="99"/>
        <v>0</v>
      </c>
      <c r="J500" s="1172">
        <f t="shared" si="100"/>
        <v>0</v>
      </c>
      <c r="K500" s="1172">
        <f t="shared" si="101"/>
        <v>0</v>
      </c>
      <c r="L500" s="1172">
        <f t="shared" si="102"/>
        <v>0</v>
      </c>
      <c r="M500" s="1172">
        <f t="shared" si="103"/>
        <v>0</v>
      </c>
      <c r="N500" s="1172">
        <f t="shared" si="104"/>
        <v>0</v>
      </c>
      <c r="O500" s="1321"/>
      <c r="P500" s="1172">
        <f t="shared" si="54"/>
        <v>0</v>
      </c>
      <c r="Q500" s="1172">
        <f t="shared" si="55"/>
        <v>0</v>
      </c>
      <c r="R500" s="1172">
        <f t="shared" si="56"/>
        <v>0</v>
      </c>
      <c r="S500" s="1172">
        <f t="shared" si="57"/>
        <v>0</v>
      </c>
      <c r="T500" s="1172">
        <f t="shared" si="58"/>
        <v>0</v>
      </c>
      <c r="U500" s="1172">
        <f t="shared" si="59"/>
        <v>0</v>
      </c>
      <c r="V500" s="1172">
        <f t="shared" si="60"/>
        <v>0</v>
      </c>
      <c r="W500" s="1172">
        <f t="shared" si="61"/>
        <v>0</v>
      </c>
      <c r="X500" s="1172">
        <f t="shared" si="62"/>
        <v>0</v>
      </c>
      <c r="Y500" s="1172">
        <f t="shared" si="63"/>
        <v>0</v>
      </c>
      <c r="Z500" s="1172">
        <f t="shared" si="64"/>
        <v>0</v>
      </c>
      <c r="AA500" s="1172">
        <f t="shared" si="65"/>
        <v>0</v>
      </c>
      <c r="AB500" s="1703"/>
      <c r="AC500" s="1803">
        <f>P500*$C$366</f>
        <v>0</v>
      </c>
      <c r="AD500" s="1803">
        <f t="shared" ref="AD500:AN500" si="127">Q500*$C$366</f>
        <v>0</v>
      </c>
      <c r="AE500" s="1803">
        <f t="shared" si="127"/>
        <v>0</v>
      </c>
      <c r="AF500" s="1803">
        <f t="shared" si="127"/>
        <v>0</v>
      </c>
      <c r="AG500" s="1803">
        <f t="shared" si="127"/>
        <v>0</v>
      </c>
      <c r="AH500" s="1803">
        <f t="shared" si="127"/>
        <v>0</v>
      </c>
      <c r="AI500" s="1803">
        <f t="shared" si="127"/>
        <v>0</v>
      </c>
      <c r="AJ500" s="1803">
        <f t="shared" si="127"/>
        <v>0</v>
      </c>
      <c r="AK500" s="1803">
        <f t="shared" si="127"/>
        <v>0</v>
      </c>
      <c r="AL500" s="1803">
        <f t="shared" si="127"/>
        <v>0</v>
      </c>
      <c r="AM500" s="1803">
        <f t="shared" si="127"/>
        <v>0</v>
      </c>
      <c r="AN500" s="1803">
        <f t="shared" si="127"/>
        <v>0</v>
      </c>
      <c r="AO500" s="1321"/>
    </row>
    <row r="501" spans="1:45" hidden="1" x14ac:dyDescent="0.2">
      <c r="B501" s="1703">
        <f t="shared" si="92"/>
        <v>0</v>
      </c>
      <c r="C501" s="1172">
        <f t="shared" si="93"/>
        <v>0</v>
      </c>
      <c r="D501" s="1172">
        <f t="shared" si="94"/>
        <v>0</v>
      </c>
      <c r="E501" s="1172">
        <f t="shared" si="95"/>
        <v>0</v>
      </c>
      <c r="F501" s="1172">
        <f t="shared" si="96"/>
        <v>0</v>
      </c>
      <c r="G501" s="1172">
        <f t="shared" si="97"/>
        <v>0</v>
      </c>
      <c r="H501" s="1172">
        <f t="shared" si="98"/>
        <v>0</v>
      </c>
      <c r="I501" s="1172">
        <f t="shared" si="99"/>
        <v>0</v>
      </c>
      <c r="J501" s="1172">
        <f t="shared" si="100"/>
        <v>0</v>
      </c>
      <c r="K501" s="1172">
        <f t="shared" si="101"/>
        <v>0</v>
      </c>
      <c r="L501" s="1172">
        <f t="shared" si="102"/>
        <v>0</v>
      </c>
      <c r="M501" s="1172">
        <f t="shared" si="103"/>
        <v>0</v>
      </c>
      <c r="N501" s="1172">
        <f t="shared" si="104"/>
        <v>0</v>
      </c>
      <c r="O501" s="1321"/>
      <c r="P501" s="1172">
        <f t="shared" si="54"/>
        <v>0</v>
      </c>
      <c r="Q501" s="1172">
        <f t="shared" si="55"/>
        <v>0</v>
      </c>
      <c r="R501" s="1172">
        <f t="shared" si="56"/>
        <v>0</v>
      </c>
      <c r="S501" s="1172">
        <f t="shared" si="57"/>
        <v>0</v>
      </c>
      <c r="T501" s="1172">
        <f t="shared" si="58"/>
        <v>0</v>
      </c>
      <c r="U501" s="1172">
        <f t="shared" si="59"/>
        <v>0</v>
      </c>
      <c r="V501" s="1172">
        <f t="shared" si="60"/>
        <v>0</v>
      </c>
      <c r="W501" s="1172">
        <f t="shared" si="61"/>
        <v>0</v>
      </c>
      <c r="X501" s="1172">
        <f t="shared" si="62"/>
        <v>0</v>
      </c>
      <c r="Y501" s="1172">
        <f t="shared" si="63"/>
        <v>0</v>
      </c>
      <c r="Z501" s="1172">
        <f t="shared" si="64"/>
        <v>0</v>
      </c>
      <c r="AA501" s="1172">
        <f t="shared" si="65"/>
        <v>0</v>
      </c>
      <c r="AB501" s="1703"/>
      <c r="AC501" s="1803">
        <f>P501*$C$367</f>
        <v>0</v>
      </c>
      <c r="AD501" s="1803">
        <f t="shared" ref="AD501:AN501" si="128">Q501*$C$367</f>
        <v>0</v>
      </c>
      <c r="AE501" s="1803">
        <f t="shared" si="128"/>
        <v>0</v>
      </c>
      <c r="AF501" s="1803">
        <f t="shared" si="128"/>
        <v>0</v>
      </c>
      <c r="AG501" s="1803">
        <f t="shared" si="128"/>
        <v>0</v>
      </c>
      <c r="AH501" s="1803">
        <f t="shared" si="128"/>
        <v>0</v>
      </c>
      <c r="AI501" s="1803">
        <f t="shared" si="128"/>
        <v>0</v>
      </c>
      <c r="AJ501" s="1803">
        <f t="shared" si="128"/>
        <v>0</v>
      </c>
      <c r="AK501" s="1803">
        <f t="shared" si="128"/>
        <v>0</v>
      </c>
      <c r="AL501" s="1803">
        <f t="shared" si="128"/>
        <v>0</v>
      </c>
      <c r="AM501" s="1803">
        <f t="shared" si="128"/>
        <v>0</v>
      </c>
      <c r="AN501" s="1803">
        <f t="shared" si="128"/>
        <v>0</v>
      </c>
      <c r="AO501" s="1321"/>
    </row>
    <row r="502" spans="1:45" hidden="1" x14ac:dyDescent="0.2">
      <c r="B502" s="1703">
        <f t="shared" si="92"/>
        <v>0</v>
      </c>
      <c r="C502" s="1172">
        <f t="shared" si="93"/>
        <v>0</v>
      </c>
      <c r="D502" s="1172">
        <f t="shared" si="94"/>
        <v>0</v>
      </c>
      <c r="E502" s="1172">
        <f t="shared" si="95"/>
        <v>0</v>
      </c>
      <c r="F502" s="1172">
        <f t="shared" si="96"/>
        <v>0</v>
      </c>
      <c r="G502" s="1172">
        <f t="shared" si="97"/>
        <v>0</v>
      </c>
      <c r="H502" s="1172">
        <f t="shared" si="98"/>
        <v>0</v>
      </c>
      <c r="I502" s="1172">
        <f t="shared" si="99"/>
        <v>0</v>
      </c>
      <c r="J502" s="1172">
        <f t="shared" si="100"/>
        <v>0</v>
      </c>
      <c r="K502" s="1172">
        <f t="shared" si="101"/>
        <v>0</v>
      </c>
      <c r="L502" s="1172">
        <f t="shared" si="102"/>
        <v>0</v>
      </c>
      <c r="M502" s="1172">
        <f t="shared" si="103"/>
        <v>0</v>
      </c>
      <c r="N502" s="1172">
        <f t="shared" si="104"/>
        <v>0</v>
      </c>
      <c r="O502" s="1321"/>
      <c r="P502" s="1172">
        <f t="shared" si="54"/>
        <v>0</v>
      </c>
      <c r="Q502" s="1172">
        <f t="shared" si="55"/>
        <v>0</v>
      </c>
      <c r="R502" s="1172">
        <f t="shared" si="56"/>
        <v>0</v>
      </c>
      <c r="S502" s="1172">
        <f t="shared" si="57"/>
        <v>0</v>
      </c>
      <c r="T502" s="1172">
        <f t="shared" si="58"/>
        <v>0</v>
      </c>
      <c r="U502" s="1172">
        <f t="shared" si="59"/>
        <v>0</v>
      </c>
      <c r="V502" s="1172">
        <f t="shared" si="60"/>
        <v>0</v>
      </c>
      <c r="W502" s="1172">
        <f t="shared" si="61"/>
        <v>0</v>
      </c>
      <c r="X502" s="1172">
        <f t="shared" si="62"/>
        <v>0</v>
      </c>
      <c r="Y502" s="1172">
        <f t="shared" si="63"/>
        <v>0</v>
      </c>
      <c r="Z502" s="1172">
        <f t="shared" si="64"/>
        <v>0</v>
      </c>
      <c r="AA502" s="1172">
        <f t="shared" si="65"/>
        <v>0</v>
      </c>
      <c r="AB502" s="1703"/>
      <c r="AC502" s="1803">
        <f>P502*$C$368</f>
        <v>0</v>
      </c>
      <c r="AD502" s="1803">
        <f t="shared" ref="AD502:AN502" si="129">Q502*$C$368</f>
        <v>0</v>
      </c>
      <c r="AE502" s="1803">
        <f t="shared" si="129"/>
        <v>0</v>
      </c>
      <c r="AF502" s="1803">
        <f t="shared" si="129"/>
        <v>0</v>
      </c>
      <c r="AG502" s="1803">
        <f t="shared" si="129"/>
        <v>0</v>
      </c>
      <c r="AH502" s="1803">
        <f t="shared" si="129"/>
        <v>0</v>
      </c>
      <c r="AI502" s="1803">
        <f t="shared" si="129"/>
        <v>0</v>
      </c>
      <c r="AJ502" s="1803">
        <f t="shared" si="129"/>
        <v>0</v>
      </c>
      <c r="AK502" s="1803">
        <f t="shared" si="129"/>
        <v>0</v>
      </c>
      <c r="AL502" s="1803">
        <f t="shared" si="129"/>
        <v>0</v>
      </c>
      <c r="AM502" s="1803">
        <f t="shared" si="129"/>
        <v>0</v>
      </c>
      <c r="AN502" s="1803">
        <f t="shared" si="129"/>
        <v>0</v>
      </c>
      <c r="AO502" s="1321"/>
    </row>
    <row r="503" spans="1:45" hidden="1" x14ac:dyDescent="0.2">
      <c r="B503" s="1703">
        <f t="shared" si="92"/>
        <v>0</v>
      </c>
      <c r="C503" s="1172">
        <f t="shared" si="93"/>
        <v>0</v>
      </c>
      <c r="D503" s="1172">
        <f t="shared" si="94"/>
        <v>0</v>
      </c>
      <c r="E503" s="1172">
        <f t="shared" si="95"/>
        <v>0</v>
      </c>
      <c r="F503" s="1172">
        <f t="shared" si="96"/>
        <v>0</v>
      </c>
      <c r="G503" s="1172">
        <f t="shared" si="97"/>
        <v>0</v>
      </c>
      <c r="H503" s="1172">
        <f t="shared" si="98"/>
        <v>0</v>
      </c>
      <c r="I503" s="1172">
        <f t="shared" si="99"/>
        <v>0</v>
      </c>
      <c r="J503" s="1172">
        <f t="shared" si="100"/>
        <v>0</v>
      </c>
      <c r="K503" s="1172">
        <f t="shared" si="101"/>
        <v>0</v>
      </c>
      <c r="L503" s="1172">
        <f t="shared" si="102"/>
        <v>0</v>
      </c>
      <c r="M503" s="1172">
        <f t="shared" si="103"/>
        <v>0</v>
      </c>
      <c r="N503" s="1172">
        <f t="shared" si="104"/>
        <v>0</v>
      </c>
      <c r="O503" s="1321"/>
      <c r="P503" s="1172">
        <f t="shared" si="54"/>
        <v>0</v>
      </c>
      <c r="Q503" s="1172">
        <f t="shared" si="55"/>
        <v>0</v>
      </c>
      <c r="R503" s="1172">
        <f t="shared" si="56"/>
        <v>0</v>
      </c>
      <c r="S503" s="1172">
        <f t="shared" si="57"/>
        <v>0</v>
      </c>
      <c r="T503" s="1172">
        <f t="shared" si="58"/>
        <v>0</v>
      </c>
      <c r="U503" s="1172">
        <f t="shared" si="59"/>
        <v>0</v>
      </c>
      <c r="V503" s="1172">
        <f t="shared" si="60"/>
        <v>0</v>
      </c>
      <c r="W503" s="1172">
        <f t="shared" si="61"/>
        <v>0</v>
      </c>
      <c r="X503" s="1172">
        <f t="shared" si="62"/>
        <v>0</v>
      </c>
      <c r="Y503" s="1172">
        <f t="shared" si="63"/>
        <v>0</v>
      </c>
      <c r="Z503" s="1172">
        <f t="shared" si="64"/>
        <v>0</v>
      </c>
      <c r="AA503" s="1172">
        <f t="shared" si="65"/>
        <v>0</v>
      </c>
      <c r="AB503" s="1703"/>
      <c r="AC503" s="1803">
        <f>P503*$C$369</f>
        <v>0</v>
      </c>
      <c r="AD503" s="1803">
        <f t="shared" ref="AD503:AN503" si="130">Q503*$C$369</f>
        <v>0</v>
      </c>
      <c r="AE503" s="1803">
        <f t="shared" si="130"/>
        <v>0</v>
      </c>
      <c r="AF503" s="1803">
        <f t="shared" si="130"/>
        <v>0</v>
      </c>
      <c r="AG503" s="1803">
        <f t="shared" si="130"/>
        <v>0</v>
      </c>
      <c r="AH503" s="1803">
        <f t="shared" si="130"/>
        <v>0</v>
      </c>
      <c r="AI503" s="1803">
        <f t="shared" si="130"/>
        <v>0</v>
      </c>
      <c r="AJ503" s="1803">
        <f t="shared" si="130"/>
        <v>0</v>
      </c>
      <c r="AK503" s="1803">
        <f t="shared" si="130"/>
        <v>0</v>
      </c>
      <c r="AL503" s="1803">
        <f t="shared" si="130"/>
        <v>0</v>
      </c>
      <c r="AM503" s="1803">
        <f t="shared" si="130"/>
        <v>0</v>
      </c>
      <c r="AN503" s="1803">
        <f t="shared" si="130"/>
        <v>0</v>
      </c>
      <c r="AO503" s="1321"/>
    </row>
    <row r="504" spans="1:45" hidden="1" x14ac:dyDescent="0.2">
      <c r="B504" s="1703">
        <f t="shared" si="92"/>
        <v>0</v>
      </c>
      <c r="C504" s="1172">
        <f t="shared" si="93"/>
        <v>0</v>
      </c>
      <c r="D504" s="1172">
        <f t="shared" si="94"/>
        <v>0</v>
      </c>
      <c r="E504" s="1172">
        <f t="shared" si="95"/>
        <v>0</v>
      </c>
      <c r="F504" s="1172">
        <f t="shared" si="96"/>
        <v>0</v>
      </c>
      <c r="G504" s="1172">
        <f t="shared" si="97"/>
        <v>0</v>
      </c>
      <c r="H504" s="1172">
        <f t="shared" si="98"/>
        <v>0</v>
      </c>
      <c r="I504" s="1172">
        <f t="shared" si="99"/>
        <v>0</v>
      </c>
      <c r="J504" s="1172">
        <f t="shared" si="100"/>
        <v>0</v>
      </c>
      <c r="K504" s="1172">
        <f t="shared" si="101"/>
        <v>0</v>
      </c>
      <c r="L504" s="1172">
        <f t="shared" si="102"/>
        <v>0</v>
      </c>
      <c r="M504" s="1172">
        <f t="shared" si="103"/>
        <v>0</v>
      </c>
      <c r="N504" s="1172">
        <f t="shared" si="104"/>
        <v>0</v>
      </c>
      <c r="O504" s="1321"/>
      <c r="P504" s="1172">
        <f t="shared" si="54"/>
        <v>0</v>
      </c>
      <c r="Q504" s="1172">
        <f t="shared" si="55"/>
        <v>0</v>
      </c>
      <c r="R504" s="1172">
        <f t="shared" si="56"/>
        <v>0</v>
      </c>
      <c r="S504" s="1172">
        <f t="shared" si="57"/>
        <v>0</v>
      </c>
      <c r="T504" s="1172">
        <f t="shared" si="58"/>
        <v>0</v>
      </c>
      <c r="U504" s="1172">
        <f t="shared" si="59"/>
        <v>0</v>
      </c>
      <c r="V504" s="1172">
        <f t="shared" si="60"/>
        <v>0</v>
      </c>
      <c r="W504" s="1172">
        <f t="shared" si="61"/>
        <v>0</v>
      </c>
      <c r="X504" s="1172">
        <f t="shared" si="62"/>
        <v>0</v>
      </c>
      <c r="Y504" s="1172">
        <f t="shared" si="63"/>
        <v>0</v>
      </c>
      <c r="Z504" s="1172">
        <f t="shared" si="64"/>
        <v>0</v>
      </c>
      <c r="AA504" s="1172">
        <f t="shared" si="65"/>
        <v>0</v>
      </c>
      <c r="AB504" s="1703"/>
      <c r="AC504" s="1803">
        <f>P504*$C$370</f>
        <v>0</v>
      </c>
      <c r="AD504" s="1803">
        <f t="shared" ref="AD504:AN504" si="131">Q504*$C$370</f>
        <v>0</v>
      </c>
      <c r="AE504" s="1803">
        <f t="shared" si="131"/>
        <v>0</v>
      </c>
      <c r="AF504" s="1803">
        <f t="shared" si="131"/>
        <v>0</v>
      </c>
      <c r="AG504" s="1803">
        <f t="shared" si="131"/>
        <v>0</v>
      </c>
      <c r="AH504" s="1803">
        <f t="shared" si="131"/>
        <v>0</v>
      </c>
      <c r="AI504" s="1803">
        <f t="shared" si="131"/>
        <v>0</v>
      </c>
      <c r="AJ504" s="1803">
        <f t="shared" si="131"/>
        <v>0</v>
      </c>
      <c r="AK504" s="1803">
        <f t="shared" si="131"/>
        <v>0</v>
      </c>
      <c r="AL504" s="1803">
        <f t="shared" si="131"/>
        <v>0</v>
      </c>
      <c r="AM504" s="1803">
        <f t="shared" si="131"/>
        <v>0</v>
      </c>
      <c r="AN504" s="1803">
        <f t="shared" si="131"/>
        <v>0</v>
      </c>
      <c r="AO504" s="1321"/>
    </row>
    <row r="505" spans="1:45" hidden="1" x14ac:dyDescent="0.2">
      <c r="B505" s="1703">
        <f t="shared" si="92"/>
        <v>0</v>
      </c>
      <c r="C505" s="1172">
        <f t="shared" si="93"/>
        <v>0</v>
      </c>
      <c r="D505" s="1172">
        <f t="shared" si="94"/>
        <v>0</v>
      </c>
      <c r="E505" s="1172">
        <f t="shared" si="95"/>
        <v>0</v>
      </c>
      <c r="F505" s="1172">
        <f t="shared" si="96"/>
        <v>0</v>
      </c>
      <c r="G505" s="1172">
        <f t="shared" si="97"/>
        <v>0</v>
      </c>
      <c r="H505" s="1172">
        <f t="shared" si="98"/>
        <v>0</v>
      </c>
      <c r="I505" s="1172">
        <f t="shared" si="99"/>
        <v>0</v>
      </c>
      <c r="J505" s="1172">
        <f t="shared" si="100"/>
        <v>0</v>
      </c>
      <c r="K505" s="1172">
        <f t="shared" si="101"/>
        <v>0</v>
      </c>
      <c r="L505" s="1172">
        <f t="shared" si="102"/>
        <v>0</v>
      </c>
      <c r="M505" s="1172">
        <f t="shared" si="103"/>
        <v>0</v>
      </c>
      <c r="N505" s="1172">
        <f t="shared" si="104"/>
        <v>0</v>
      </c>
      <c r="O505" s="1321"/>
      <c r="P505" s="1172">
        <f t="shared" si="54"/>
        <v>0</v>
      </c>
      <c r="Q505" s="1172">
        <f t="shared" si="55"/>
        <v>0</v>
      </c>
      <c r="R505" s="1172">
        <f t="shared" si="56"/>
        <v>0</v>
      </c>
      <c r="S505" s="1172">
        <f t="shared" si="57"/>
        <v>0</v>
      </c>
      <c r="T505" s="1172">
        <f t="shared" si="58"/>
        <v>0</v>
      </c>
      <c r="U505" s="1172">
        <f t="shared" si="59"/>
        <v>0</v>
      </c>
      <c r="V505" s="1172">
        <f t="shared" si="60"/>
        <v>0</v>
      </c>
      <c r="W505" s="1172">
        <f t="shared" si="61"/>
        <v>0</v>
      </c>
      <c r="X505" s="1172">
        <f t="shared" si="62"/>
        <v>0</v>
      </c>
      <c r="Y505" s="1172">
        <f t="shared" si="63"/>
        <v>0</v>
      </c>
      <c r="Z505" s="1172">
        <f t="shared" si="64"/>
        <v>0</v>
      </c>
      <c r="AA505" s="1172">
        <f t="shared" si="65"/>
        <v>0</v>
      </c>
      <c r="AB505" s="1703"/>
      <c r="AC505" s="1803">
        <f>P505*$C$371</f>
        <v>0</v>
      </c>
      <c r="AD505" s="1803">
        <f t="shared" ref="AD505:AN505" si="132">Q505*$C$371</f>
        <v>0</v>
      </c>
      <c r="AE505" s="1803">
        <f t="shared" si="132"/>
        <v>0</v>
      </c>
      <c r="AF505" s="1803">
        <f t="shared" si="132"/>
        <v>0</v>
      </c>
      <c r="AG505" s="1803">
        <f t="shared" si="132"/>
        <v>0</v>
      </c>
      <c r="AH505" s="1803">
        <f t="shared" si="132"/>
        <v>0</v>
      </c>
      <c r="AI505" s="1803">
        <f t="shared" si="132"/>
        <v>0</v>
      </c>
      <c r="AJ505" s="1803">
        <f t="shared" si="132"/>
        <v>0</v>
      </c>
      <c r="AK505" s="1803">
        <f t="shared" si="132"/>
        <v>0</v>
      </c>
      <c r="AL505" s="1803">
        <f t="shared" si="132"/>
        <v>0</v>
      </c>
      <c r="AM505" s="1803">
        <f t="shared" si="132"/>
        <v>0</v>
      </c>
      <c r="AN505" s="1803">
        <f t="shared" si="132"/>
        <v>0</v>
      </c>
      <c r="AO505" s="1321"/>
    </row>
    <row r="506" spans="1:45" hidden="1" x14ac:dyDescent="0.2">
      <c r="B506" s="1703">
        <f t="shared" si="92"/>
        <v>0</v>
      </c>
      <c r="C506" s="1172">
        <f t="shared" si="93"/>
        <v>0</v>
      </c>
      <c r="D506" s="1172">
        <f t="shared" si="94"/>
        <v>0</v>
      </c>
      <c r="E506" s="1172">
        <f t="shared" si="95"/>
        <v>0</v>
      </c>
      <c r="F506" s="1172">
        <f t="shared" si="96"/>
        <v>0</v>
      </c>
      <c r="G506" s="1172">
        <f t="shared" si="97"/>
        <v>0</v>
      </c>
      <c r="H506" s="1172">
        <f t="shared" si="98"/>
        <v>0</v>
      </c>
      <c r="I506" s="1172">
        <f t="shared" si="99"/>
        <v>0</v>
      </c>
      <c r="J506" s="1172">
        <f t="shared" si="100"/>
        <v>0</v>
      </c>
      <c r="K506" s="1172">
        <f t="shared" si="101"/>
        <v>0</v>
      </c>
      <c r="L506" s="1172">
        <f t="shared" si="102"/>
        <v>0</v>
      </c>
      <c r="M506" s="1172">
        <f t="shared" si="103"/>
        <v>0</v>
      </c>
      <c r="N506" s="1172">
        <f t="shared" si="104"/>
        <v>0</v>
      </c>
      <c r="O506" s="1321"/>
      <c r="P506" s="1172">
        <f t="shared" si="54"/>
        <v>0</v>
      </c>
      <c r="Q506" s="1172">
        <f t="shared" si="55"/>
        <v>0</v>
      </c>
      <c r="R506" s="1172">
        <f t="shared" si="56"/>
        <v>0</v>
      </c>
      <c r="S506" s="1172">
        <f t="shared" si="57"/>
        <v>0</v>
      </c>
      <c r="T506" s="1172">
        <f t="shared" si="58"/>
        <v>0</v>
      </c>
      <c r="U506" s="1172">
        <f t="shared" si="59"/>
        <v>0</v>
      </c>
      <c r="V506" s="1172">
        <f t="shared" si="60"/>
        <v>0</v>
      </c>
      <c r="W506" s="1172">
        <f t="shared" si="61"/>
        <v>0</v>
      </c>
      <c r="X506" s="1172">
        <f t="shared" si="62"/>
        <v>0</v>
      </c>
      <c r="Y506" s="1172">
        <f t="shared" si="63"/>
        <v>0</v>
      </c>
      <c r="Z506" s="1172">
        <f t="shared" si="64"/>
        <v>0</v>
      </c>
      <c r="AA506" s="1172">
        <f t="shared" si="65"/>
        <v>0</v>
      </c>
      <c r="AB506" s="1703"/>
      <c r="AC506" s="1803">
        <f>P506*$C$372</f>
        <v>0</v>
      </c>
      <c r="AD506" s="1803">
        <f t="shared" ref="AD506:AN506" si="133">Q506*$C$372</f>
        <v>0</v>
      </c>
      <c r="AE506" s="1803">
        <f t="shared" si="133"/>
        <v>0</v>
      </c>
      <c r="AF506" s="1803">
        <f t="shared" si="133"/>
        <v>0</v>
      </c>
      <c r="AG506" s="1803">
        <f t="shared" si="133"/>
        <v>0</v>
      </c>
      <c r="AH506" s="1803">
        <f t="shared" si="133"/>
        <v>0</v>
      </c>
      <c r="AI506" s="1803">
        <f t="shared" si="133"/>
        <v>0</v>
      </c>
      <c r="AJ506" s="1803">
        <f t="shared" si="133"/>
        <v>0</v>
      </c>
      <c r="AK506" s="1803">
        <f t="shared" si="133"/>
        <v>0</v>
      </c>
      <c r="AL506" s="1803">
        <f t="shared" si="133"/>
        <v>0</v>
      </c>
      <c r="AM506" s="1803">
        <f t="shared" si="133"/>
        <v>0</v>
      </c>
      <c r="AN506" s="1803">
        <f t="shared" si="133"/>
        <v>0</v>
      </c>
      <c r="AO506" s="1321"/>
    </row>
    <row r="507" spans="1:45" hidden="1" x14ac:dyDescent="0.2">
      <c r="B507" s="1703">
        <f t="shared" si="92"/>
        <v>0</v>
      </c>
      <c r="C507" s="1172">
        <f t="shared" si="93"/>
        <v>0</v>
      </c>
      <c r="D507" s="1172">
        <f t="shared" si="94"/>
        <v>0</v>
      </c>
      <c r="E507" s="1172">
        <f t="shared" si="95"/>
        <v>0</v>
      </c>
      <c r="F507" s="1172">
        <f t="shared" si="96"/>
        <v>0</v>
      </c>
      <c r="G507" s="1172">
        <f t="shared" si="97"/>
        <v>0</v>
      </c>
      <c r="H507" s="1172">
        <f t="shared" si="98"/>
        <v>0</v>
      </c>
      <c r="I507" s="1172">
        <f t="shared" si="99"/>
        <v>0</v>
      </c>
      <c r="J507" s="1172">
        <f t="shared" si="100"/>
        <v>0</v>
      </c>
      <c r="K507" s="1172">
        <f t="shared" si="101"/>
        <v>0</v>
      </c>
      <c r="L507" s="1172">
        <f t="shared" si="102"/>
        <v>0</v>
      </c>
      <c r="M507" s="1172">
        <f t="shared" si="103"/>
        <v>0</v>
      </c>
      <c r="N507" s="1172">
        <f t="shared" si="104"/>
        <v>0</v>
      </c>
      <c r="O507" s="1321"/>
      <c r="P507" s="1172">
        <f t="shared" si="54"/>
        <v>0</v>
      </c>
      <c r="Q507" s="1172">
        <f t="shared" si="55"/>
        <v>0</v>
      </c>
      <c r="R507" s="1172">
        <f t="shared" si="56"/>
        <v>0</v>
      </c>
      <c r="S507" s="1172">
        <f t="shared" si="57"/>
        <v>0</v>
      </c>
      <c r="T507" s="1172">
        <f t="shared" si="58"/>
        <v>0</v>
      </c>
      <c r="U507" s="1172">
        <f t="shared" si="59"/>
        <v>0</v>
      </c>
      <c r="V507" s="1172">
        <f t="shared" si="60"/>
        <v>0</v>
      </c>
      <c r="W507" s="1172">
        <f t="shared" si="61"/>
        <v>0</v>
      </c>
      <c r="X507" s="1172">
        <f t="shared" si="62"/>
        <v>0</v>
      </c>
      <c r="Y507" s="1172">
        <f t="shared" si="63"/>
        <v>0</v>
      </c>
      <c r="Z507" s="1172">
        <f t="shared" si="64"/>
        <v>0</v>
      </c>
      <c r="AA507" s="1172">
        <f t="shared" si="65"/>
        <v>0</v>
      </c>
      <c r="AB507" s="1703"/>
      <c r="AC507" s="1803">
        <f>P507*$C$373</f>
        <v>0</v>
      </c>
      <c r="AD507" s="1803">
        <f t="shared" ref="AD507:AN507" si="134">Q507*$C$373</f>
        <v>0</v>
      </c>
      <c r="AE507" s="1803">
        <f t="shared" si="134"/>
        <v>0</v>
      </c>
      <c r="AF507" s="1803">
        <f t="shared" si="134"/>
        <v>0</v>
      </c>
      <c r="AG507" s="1803">
        <f t="shared" si="134"/>
        <v>0</v>
      </c>
      <c r="AH507" s="1803">
        <f t="shared" si="134"/>
        <v>0</v>
      </c>
      <c r="AI507" s="1803">
        <f t="shared" si="134"/>
        <v>0</v>
      </c>
      <c r="AJ507" s="1803">
        <f t="shared" si="134"/>
        <v>0</v>
      </c>
      <c r="AK507" s="1803">
        <f t="shared" si="134"/>
        <v>0</v>
      </c>
      <c r="AL507" s="1803">
        <f t="shared" si="134"/>
        <v>0</v>
      </c>
      <c r="AM507" s="1803">
        <f t="shared" si="134"/>
        <v>0</v>
      </c>
      <c r="AN507" s="1803">
        <f t="shared" si="134"/>
        <v>0</v>
      </c>
      <c r="AO507" s="1321"/>
    </row>
    <row r="508" spans="1:45" hidden="1" x14ac:dyDescent="0.2">
      <c r="E508" s="1271"/>
      <c r="F508" s="1703"/>
      <c r="G508" s="372"/>
      <c r="H508" s="372"/>
      <c r="I508" s="372"/>
      <c r="J508" s="372"/>
      <c r="K508" s="372"/>
      <c r="L508" s="372"/>
      <c r="M508" s="372"/>
      <c r="N508" s="372"/>
      <c r="O508" s="372"/>
      <c r="P508" s="372"/>
      <c r="Q508" s="372"/>
      <c r="R508" s="372"/>
      <c r="S508" s="1321"/>
      <c r="T508" s="372"/>
      <c r="U508" s="372"/>
      <c r="V508" s="372"/>
      <c r="W508" s="372"/>
      <c r="X508" s="372"/>
      <c r="Y508" s="372"/>
      <c r="Z508" s="372"/>
      <c r="AA508" s="372"/>
      <c r="AB508" s="372"/>
      <c r="AC508" s="372"/>
      <c r="AD508" s="372"/>
      <c r="AE508" s="372"/>
      <c r="AF508" s="1703"/>
      <c r="AG508" s="950"/>
      <c r="AH508" s="950"/>
      <c r="AI508" s="950"/>
      <c r="AJ508" s="950"/>
      <c r="AK508" s="950"/>
      <c r="AL508" s="950"/>
      <c r="AM508" s="950"/>
      <c r="AN508" s="950"/>
      <c r="AO508" s="950"/>
      <c r="AP508" s="950"/>
      <c r="AQ508" s="950"/>
      <c r="AR508" s="950"/>
      <c r="AS508" s="1321"/>
    </row>
    <row r="509" spans="1:45" hidden="1" x14ac:dyDescent="0.2">
      <c r="B509" s="1577" t="s">
        <v>2037</v>
      </c>
      <c r="C509" s="1663"/>
      <c r="D509" s="1663"/>
      <c r="E509" s="2182"/>
      <c r="F509" s="2185"/>
      <c r="G509" s="2186"/>
      <c r="H509" s="2186"/>
      <c r="I509" s="2186"/>
      <c r="J509" s="2186"/>
      <c r="K509" s="2186"/>
      <c r="L509" s="2186"/>
      <c r="M509" s="2186"/>
      <c r="N509" s="2186"/>
      <c r="O509" s="2186"/>
      <c r="P509" s="2186"/>
      <c r="Q509" s="2186"/>
      <c r="R509" s="2186"/>
      <c r="S509" s="2184"/>
      <c r="T509" s="2186"/>
      <c r="U509" s="2186"/>
      <c r="V509" s="2186"/>
      <c r="W509" s="2186"/>
      <c r="X509" s="2186"/>
      <c r="Y509" s="2186"/>
      <c r="Z509" s="2186"/>
      <c r="AA509" s="2186"/>
      <c r="AB509" s="2186"/>
      <c r="AC509" s="2183">
        <f>SUM(AC446:AC507)</f>
        <v>0</v>
      </c>
      <c r="AD509" s="2183">
        <f t="shared" ref="AD509:AN509" si="135">SUM(AD446:AD507)</f>
        <v>0</v>
      </c>
      <c r="AE509" s="2183">
        <f t="shared" si="135"/>
        <v>0</v>
      </c>
      <c r="AF509" s="2183">
        <f t="shared" si="135"/>
        <v>0</v>
      </c>
      <c r="AG509" s="2183">
        <f t="shared" si="135"/>
        <v>0</v>
      </c>
      <c r="AH509" s="2183">
        <f t="shared" si="135"/>
        <v>0</v>
      </c>
      <c r="AI509" s="2183">
        <f t="shared" si="135"/>
        <v>0</v>
      </c>
      <c r="AJ509" s="2183">
        <f t="shared" si="135"/>
        <v>0</v>
      </c>
      <c r="AK509" s="2183">
        <f t="shared" si="135"/>
        <v>0</v>
      </c>
      <c r="AL509" s="2183">
        <f t="shared" si="135"/>
        <v>0</v>
      </c>
      <c r="AM509" s="2183">
        <f t="shared" si="135"/>
        <v>0</v>
      </c>
      <c r="AN509" s="2183">
        <f t="shared" si="135"/>
        <v>0</v>
      </c>
      <c r="AO509" s="1577" t="s">
        <v>2033</v>
      </c>
    </row>
    <row r="510" spans="1:45" hidden="1" x14ac:dyDescent="0.2">
      <c r="E510" s="1271"/>
      <c r="F510" s="1703"/>
      <c r="G510" s="372"/>
      <c r="H510" s="372"/>
      <c r="I510" s="372"/>
      <c r="J510" s="372"/>
      <c r="K510" s="372"/>
      <c r="L510" s="372"/>
      <c r="M510" s="372"/>
      <c r="N510" s="372"/>
      <c r="O510" s="372"/>
      <c r="P510" s="372"/>
      <c r="Q510" s="372"/>
      <c r="R510" s="372"/>
      <c r="S510" s="1321"/>
      <c r="T510" s="372"/>
      <c r="U510" s="372"/>
      <c r="V510" s="372"/>
      <c r="W510" s="372"/>
      <c r="X510" s="372"/>
      <c r="Y510" s="372"/>
      <c r="Z510" s="372"/>
      <c r="AA510" s="372"/>
      <c r="AB510" s="372"/>
      <c r="AC510" s="372"/>
      <c r="AD510" s="372"/>
      <c r="AE510" s="372"/>
      <c r="AF510" s="1703"/>
      <c r="AG510" s="950"/>
      <c r="AH510" s="950"/>
      <c r="AI510" s="950"/>
      <c r="AJ510" s="950"/>
      <c r="AK510" s="950"/>
      <c r="AL510" s="950"/>
      <c r="AM510" s="950"/>
      <c r="AN510" s="950"/>
      <c r="AO510" s="950"/>
      <c r="AP510" s="950"/>
      <c r="AQ510" s="950"/>
      <c r="AR510" s="950"/>
      <c r="AS510" s="359"/>
    </row>
    <row r="511" spans="1:45" hidden="1" x14ac:dyDescent="0.2">
      <c r="E511" s="1271"/>
      <c r="F511" s="1703"/>
      <c r="G511" s="372"/>
      <c r="H511" s="372"/>
      <c r="I511" s="372"/>
      <c r="J511" s="372"/>
      <c r="K511" s="372"/>
      <c r="L511" s="372"/>
      <c r="M511" s="372"/>
      <c r="N511" s="372"/>
      <c r="O511" s="372"/>
      <c r="P511" s="372"/>
      <c r="Q511" s="372"/>
      <c r="R511" s="372"/>
      <c r="S511" s="1321"/>
      <c r="T511" s="372"/>
      <c r="U511" s="372"/>
      <c r="V511" s="372"/>
      <c r="W511" s="372"/>
      <c r="X511" s="372"/>
      <c r="Y511" s="372"/>
      <c r="Z511" s="372"/>
      <c r="AA511" s="372"/>
      <c r="AB511" s="372"/>
      <c r="AC511" s="372"/>
      <c r="AD511" s="372"/>
      <c r="AE511" s="372"/>
      <c r="AF511" s="1703"/>
      <c r="AG511" s="950"/>
      <c r="AH511" s="950"/>
      <c r="AI511" s="950"/>
      <c r="AJ511" s="950"/>
      <c r="AK511" s="950"/>
      <c r="AL511" s="950"/>
      <c r="AM511" s="950"/>
      <c r="AN511" s="950"/>
      <c r="AO511" s="950"/>
      <c r="AP511" s="950"/>
      <c r="AQ511" s="950"/>
      <c r="AR511" s="950"/>
      <c r="AS511" s="359"/>
    </row>
    <row r="512" spans="1:45" hidden="1" x14ac:dyDescent="0.2">
      <c r="A512" s="2188">
        <v>1011</v>
      </c>
      <c r="B512" s="2187" t="s">
        <v>2038</v>
      </c>
      <c r="C512" s="1663"/>
      <c r="D512" s="1663"/>
      <c r="E512" s="2182"/>
      <c r="F512" s="2185"/>
      <c r="G512" s="2186"/>
      <c r="H512" s="2186"/>
      <c r="I512" s="2186"/>
      <c r="J512" s="2186"/>
      <c r="K512" s="2186"/>
      <c r="L512" s="2186"/>
      <c r="M512" s="2186"/>
      <c r="N512" s="2186"/>
      <c r="O512" s="2186"/>
      <c r="P512" s="2186"/>
      <c r="Q512" s="2186"/>
      <c r="R512" s="372"/>
      <c r="S512" s="1321"/>
      <c r="T512" s="372"/>
      <c r="U512" s="372"/>
      <c r="V512" s="372"/>
      <c r="W512" s="372"/>
      <c r="X512" s="372"/>
      <c r="Y512" s="372"/>
      <c r="Z512" s="372"/>
      <c r="AA512" s="372"/>
      <c r="AB512" s="372"/>
      <c r="AC512" s="372"/>
      <c r="AD512" s="372"/>
      <c r="AE512" s="372"/>
      <c r="AF512" s="1703"/>
      <c r="AG512" s="950"/>
      <c r="AH512" s="950"/>
      <c r="AI512" s="950"/>
      <c r="AJ512" s="950"/>
      <c r="AK512" s="950"/>
      <c r="AL512" s="950"/>
      <c r="AM512" s="950"/>
      <c r="AN512" s="950"/>
      <c r="AO512" s="950"/>
      <c r="AP512" s="950"/>
      <c r="AQ512" s="950"/>
      <c r="AR512" s="950"/>
      <c r="AS512" s="359"/>
    </row>
    <row r="513" spans="2:44" hidden="1" x14ac:dyDescent="0.2">
      <c r="G513" s="1321"/>
      <c r="H513" s="1321"/>
      <c r="I513" s="1321"/>
      <c r="J513" s="1321"/>
      <c r="K513" s="1321"/>
      <c r="L513" s="1321"/>
      <c r="M513" s="1321"/>
      <c r="N513" s="1321"/>
      <c r="O513" s="1321"/>
      <c r="P513" s="1321"/>
      <c r="Q513" s="1321"/>
      <c r="R513" s="1321"/>
      <c r="S513" s="1321"/>
      <c r="T513" s="1321"/>
      <c r="U513" s="1321"/>
      <c r="V513" s="1321"/>
      <c r="W513" s="1321"/>
      <c r="X513" s="1321"/>
      <c r="Y513" s="1321"/>
      <c r="Z513" s="1321"/>
      <c r="AA513" s="1321"/>
      <c r="AB513" s="1321"/>
      <c r="AC513" s="1321"/>
      <c r="AD513" s="1321"/>
      <c r="AE513" s="1321"/>
      <c r="AF513" s="1703"/>
      <c r="AG513" s="254"/>
      <c r="AH513" s="254"/>
      <c r="AI513" s="254"/>
      <c r="AJ513" s="254"/>
      <c r="AK513" s="254"/>
      <c r="AL513" s="254"/>
      <c r="AM513" s="254"/>
      <c r="AN513" s="254"/>
      <c r="AO513" s="254"/>
      <c r="AP513" s="254"/>
      <c r="AQ513" s="254"/>
      <c r="AR513" s="254"/>
    </row>
    <row r="514" spans="2:44" hidden="1" x14ac:dyDescent="0.2">
      <c r="B514" s="1804"/>
      <c r="C514" s="1283" t="str">
        <f t="shared" ref="C514:N514" si="136">C379</f>
        <v>Ene</v>
      </c>
      <c r="D514" s="1283" t="str">
        <f t="shared" si="136"/>
        <v>Feb</v>
      </c>
      <c r="E514" s="1283" t="str">
        <f t="shared" si="136"/>
        <v>Mar</v>
      </c>
      <c r="F514" s="1283" t="str">
        <f t="shared" si="136"/>
        <v>Abr</v>
      </c>
      <c r="G514" s="1172" t="str">
        <f t="shared" si="136"/>
        <v>May</v>
      </c>
      <c r="H514" s="1172" t="str">
        <f t="shared" si="136"/>
        <v>Jun</v>
      </c>
      <c r="I514" s="1172" t="str">
        <f t="shared" si="136"/>
        <v>Jul</v>
      </c>
      <c r="J514" s="1172" t="str">
        <f t="shared" si="136"/>
        <v>Ago</v>
      </c>
      <c r="K514" s="1172" t="str">
        <f t="shared" si="136"/>
        <v>Set</v>
      </c>
      <c r="L514" s="1172" t="str">
        <f t="shared" si="136"/>
        <v>Oct</v>
      </c>
      <c r="M514" s="1172" t="str">
        <f t="shared" si="136"/>
        <v>Nov</v>
      </c>
      <c r="N514" s="1172" t="str">
        <f t="shared" si="136"/>
        <v>Dic</v>
      </c>
      <c r="O514" s="1321"/>
      <c r="P514" s="1321"/>
      <c r="Q514" s="1321"/>
      <c r="R514" s="1321"/>
      <c r="S514" s="1321"/>
      <c r="T514" s="1321"/>
      <c r="U514" s="1321"/>
      <c r="V514" s="1321"/>
      <c r="W514" s="1321"/>
      <c r="X514" s="1321"/>
      <c r="Y514" s="1321"/>
      <c r="Z514" s="1321"/>
      <c r="AA514" s="1321"/>
      <c r="AB514" s="1321"/>
      <c r="AC514" s="1321"/>
      <c r="AD514" s="1321"/>
      <c r="AE514" s="1321"/>
      <c r="AF514" s="1703"/>
      <c r="AG514" s="254"/>
      <c r="AH514" s="254"/>
      <c r="AI514" s="254"/>
      <c r="AJ514" s="254"/>
      <c r="AK514" s="254"/>
      <c r="AL514" s="254"/>
      <c r="AM514" s="254"/>
      <c r="AN514" s="254"/>
      <c r="AO514" s="254"/>
      <c r="AP514" s="254"/>
      <c r="AQ514" s="254"/>
      <c r="AR514" s="254"/>
    </row>
    <row r="515" spans="2:44" hidden="1" x14ac:dyDescent="0.2">
      <c r="B515" s="1282" t="str">
        <f t="shared" ref="B515:B545" si="137">B9</f>
        <v xml:space="preserve">Sudan </v>
      </c>
      <c r="C515" s="1707">
        <f>IFERROR(IF($B$312=0,0,VLOOKUP($B$9,Ingresos!$C$683:$P$701,3,FALSE)),0)</f>
        <v>0</v>
      </c>
      <c r="D515" s="1707">
        <f>IFERROR(IF($B$515=0,0,VLOOKUP($B$515,Ingresos!$C$683:$P$701,4,FALSE)),0)</f>
        <v>0</v>
      </c>
      <c r="E515" s="1707">
        <f>IFERROR(IF($B$515=0,0,VLOOKUP($B$515,Ingresos!$C$683:$P$701,5,FALSE)),0)</f>
        <v>0</v>
      </c>
      <c r="F515" s="1707">
        <f>IFERROR(IF($B$515=0,0,VLOOKUP($B$515,Ingresos!$C$683:$P$701,6,FALSE)),0)</f>
        <v>0</v>
      </c>
      <c r="G515" s="1707">
        <f>IFERROR(IF($B$515=0,0,VLOOKUP($B$515,Ingresos!$C$683:$P$701,7,FALSE)),0)</f>
        <v>0</v>
      </c>
      <c r="H515" s="1707">
        <f>IFERROR(IF($B$515=0,0,VLOOKUP($B$515,Ingresos!$C$683:$P$701,8,FALSE)),0)</f>
        <v>0</v>
      </c>
      <c r="I515" s="1707">
        <f>IFERROR(IF($B$515=0,0,VLOOKUP($B$515,Ingresos!$C$683:$P$701,9,FALSE)),0)</f>
        <v>0</v>
      </c>
      <c r="J515" s="1707">
        <f>IFERROR(IF($B$515=0,0,VLOOKUP($B$515,Ingresos!$C$683:$P$701,10,FALSE)),0)</f>
        <v>0</v>
      </c>
      <c r="K515" s="1707">
        <f>IFERROR(IF($B$515=0,0,VLOOKUP($B$515,Ingresos!$C$683:$P$701,11,FALSE)),0)</f>
        <v>0</v>
      </c>
      <c r="L515" s="1707">
        <f>IFERROR(IF($B$515=0,0,VLOOKUP($B$515,Ingresos!$C$683:$P$701,12,FALSE)),0)</f>
        <v>0</v>
      </c>
      <c r="M515" s="1707">
        <f>IFERROR(IF($B$515=0,0,VLOOKUP($B$515,Ingresos!$C$683:$P$701,13,FALSE)),0)</f>
        <v>0</v>
      </c>
      <c r="N515" s="1707">
        <f>IFERROR(IF($B$515=0,0,VLOOKUP($B$515,Ingresos!$C$683:$P$701,14,FALSE)),0)</f>
        <v>0</v>
      </c>
      <c r="AF515" s="141"/>
      <c r="AG515" s="254"/>
      <c r="AH515" s="254"/>
      <c r="AI515" s="254"/>
      <c r="AJ515" s="254"/>
      <c r="AK515" s="254"/>
      <c r="AL515" s="254"/>
      <c r="AM515" s="254"/>
      <c r="AN515" s="254"/>
      <c r="AO515" s="254"/>
      <c r="AP515" s="254"/>
      <c r="AQ515" s="254"/>
      <c r="AR515" s="254"/>
    </row>
    <row r="516" spans="2:44" hidden="1" x14ac:dyDescent="0.2">
      <c r="B516" s="1282" t="str">
        <f t="shared" si="137"/>
        <v>Sorgo forrajero</v>
      </c>
      <c r="C516" s="1707">
        <f>IFERROR(IF($B$515=0,0,VLOOKUP($B$515,Ingresos!$C$683:$P$701,3,FALSE)),0)</f>
        <v>0</v>
      </c>
      <c r="D516" s="1707">
        <f>IFERROR(IF($B$515=0,0,VLOOKUP($B$515,Ingresos!$C$683:$P$701,4,FALSE)),0)</f>
        <v>0</v>
      </c>
      <c r="E516" s="1707">
        <f>IFERROR(IF($B$515=0,0,VLOOKUP($B$515,Ingresos!$C$683:$P$701,5,FALSE)),0)</f>
        <v>0</v>
      </c>
      <c r="F516" s="1707">
        <f>IFERROR(IF($B$515=0,0,VLOOKUP($B$515,Ingresos!$C$683:$P$701,6,FALSE)),0)</f>
        <v>0</v>
      </c>
      <c r="G516" s="1707">
        <f>IFERROR(IF($B$515=0,0,VLOOKUP($B$515,Ingresos!$C$683:$P$701,7,FALSE)),0)</f>
        <v>0</v>
      </c>
      <c r="H516" s="1707">
        <f>IFERROR(IF($B$515=0,0,VLOOKUP($B$515,Ingresos!$C$683:$P$701,8,FALSE)),0)</f>
        <v>0</v>
      </c>
      <c r="I516" s="1707">
        <f>IFERROR(IF($B$515=0,0,VLOOKUP($B$515,Ingresos!$C$683:$P$701,9,FALSE)),0)</f>
        <v>0</v>
      </c>
      <c r="J516" s="1707">
        <f>IFERROR(IF($B$515=0,0,VLOOKUP($B$515,Ingresos!$C$683:$P$701,10,FALSE)),0)</f>
        <v>0</v>
      </c>
      <c r="K516" s="1707">
        <f>IFERROR(IF($B$515=0,0,VLOOKUP($B$515,Ingresos!$C$683:$P$701,11,FALSE)),0)</f>
        <v>0</v>
      </c>
      <c r="L516" s="1707">
        <f>IFERROR(IF($B$515=0,0,VLOOKUP($B$515,Ingresos!$C$683:$P$701,12,FALSE)),0)</f>
        <v>0</v>
      </c>
      <c r="M516" s="1707">
        <f>IFERROR(IF($B$515=0,0,VLOOKUP($B$515,Ingresos!$C$683:$P$701,13,FALSE)),0)</f>
        <v>0</v>
      </c>
      <c r="N516" s="1707">
        <f>IFERROR(IF($B$515=0,0,VLOOKUP($B$515,Ingresos!$C$683:$P$701,14,FALSE)),0)</f>
        <v>0</v>
      </c>
      <c r="AF516" s="141"/>
      <c r="AG516" s="254"/>
      <c r="AH516" s="254"/>
      <c r="AI516" s="254"/>
      <c r="AJ516" s="254"/>
      <c r="AK516" s="254"/>
      <c r="AL516" s="254"/>
      <c r="AM516" s="254"/>
      <c r="AN516" s="254"/>
      <c r="AO516" s="254"/>
      <c r="AP516" s="254"/>
      <c r="AQ516" s="254"/>
      <c r="AR516" s="254"/>
    </row>
    <row r="517" spans="2:44" hidden="1" x14ac:dyDescent="0.2">
      <c r="B517" s="1282" t="str">
        <f t="shared" si="137"/>
        <v>Maíz silo+imidacloprid</v>
      </c>
      <c r="C517" s="1707">
        <f>IFERROR(IF($B$515=0,0,VLOOKUP($B$515,Ingresos!$C$683:$P$701,3,FALSE)),0)</f>
        <v>0</v>
      </c>
      <c r="D517" s="1707">
        <f>IFERROR(IF($B$515=0,0,VLOOKUP($B$515,Ingresos!$C$683:$P$701,4,FALSE)),0)</f>
        <v>0</v>
      </c>
      <c r="E517" s="1707">
        <f>IFERROR(IF($B$515=0,0,VLOOKUP($B$515,Ingresos!$C$683:$P$701,5,FALSE)),0)</f>
        <v>0</v>
      </c>
      <c r="F517" s="1707">
        <f>IFERROR(IF($B$515=0,0,VLOOKUP($B$515,Ingresos!$C$683:$P$701,6,FALSE)),0)</f>
        <v>0</v>
      </c>
      <c r="G517" s="1707">
        <f>IFERROR(IF($B$515=0,0,VLOOKUP($B$515,Ingresos!$C$683:$P$701,7,FALSE)),0)</f>
        <v>0</v>
      </c>
      <c r="H517" s="1707">
        <f>IFERROR(IF($B$515=0,0,VLOOKUP($B$515,Ingresos!$C$683:$P$701,8,FALSE)),0)</f>
        <v>0</v>
      </c>
      <c r="I517" s="1707">
        <f>IFERROR(IF($B$515=0,0,VLOOKUP($B$515,Ingresos!$C$683:$P$701,9,FALSE)),0)</f>
        <v>0</v>
      </c>
      <c r="J517" s="1707">
        <f>IFERROR(IF($B$515=0,0,VLOOKUP($B$515,Ingresos!$C$683:$P$701,10,FALSE)),0)</f>
        <v>0</v>
      </c>
      <c r="K517" s="1707">
        <f>IFERROR(IF($B$515=0,0,VLOOKUP($B$515,Ingresos!$C$683:$P$701,11,FALSE)),0)</f>
        <v>0</v>
      </c>
      <c r="L517" s="1707">
        <f>IFERROR(IF($B$515=0,0,VLOOKUP($B$515,Ingresos!$C$683:$P$701,12,FALSE)),0)</f>
        <v>0</v>
      </c>
      <c r="M517" s="1707">
        <f>IFERROR(IF($B$515=0,0,VLOOKUP($B$515,Ingresos!$C$683:$P$701,13,FALSE)),0)</f>
        <v>0</v>
      </c>
      <c r="N517" s="1707">
        <f>IFERROR(IF($B$515=0,0,VLOOKUP($B$515,Ingresos!$C$683:$P$701,14,FALSE)),0)</f>
        <v>0</v>
      </c>
      <c r="AF517" s="141"/>
      <c r="AG517" s="254"/>
      <c r="AH517" s="254"/>
      <c r="AI517" s="254"/>
      <c r="AJ517" s="254"/>
      <c r="AK517" s="254"/>
      <c r="AL517" s="254"/>
      <c r="AM517" s="254"/>
      <c r="AN517" s="254"/>
      <c r="AO517" s="254"/>
      <c r="AP517" s="254"/>
      <c r="AQ517" s="254"/>
      <c r="AR517" s="254"/>
    </row>
    <row r="518" spans="2:44" hidden="1" x14ac:dyDescent="0.2">
      <c r="B518" s="1282" t="str">
        <f t="shared" si="137"/>
        <v>Sorgo grano-silo</v>
      </c>
      <c r="C518" s="1707">
        <f>IFERROR(IF($B$515=0,0,VLOOKUP($B$515,Ingresos!$C$683:$P$701,3,FALSE)),0)</f>
        <v>0</v>
      </c>
      <c r="D518" s="1707">
        <f>IFERROR(IF($B$515=0,0,VLOOKUP($B$515,Ingresos!$C$683:$P$701,4,FALSE)),0)</f>
        <v>0</v>
      </c>
      <c r="E518" s="1707">
        <f>IFERROR(IF($B$515=0,0,VLOOKUP($B$515,Ingresos!$C$683:$P$701,5,FALSE)),0)</f>
        <v>0</v>
      </c>
      <c r="F518" s="1707">
        <f>IFERROR(IF($B$515=0,0,VLOOKUP($B$515,Ingresos!$C$683:$P$701,6,FALSE)),0)</f>
        <v>0</v>
      </c>
      <c r="G518" s="1707">
        <f>IFERROR(IF($B$515=0,0,VLOOKUP($B$515,Ingresos!$C$683:$P$701,7,FALSE)),0)</f>
        <v>0</v>
      </c>
      <c r="H518" s="1707">
        <f>IFERROR(IF($B$515=0,0,VLOOKUP($B$515,Ingresos!$C$683:$P$701,8,FALSE)),0)</f>
        <v>0</v>
      </c>
      <c r="I518" s="1707">
        <f>IFERROR(IF($B$515=0,0,VLOOKUP($B$515,Ingresos!$C$683:$P$701,9,FALSE)),0)</f>
        <v>0</v>
      </c>
      <c r="J518" s="1707">
        <f>IFERROR(IF($B$515=0,0,VLOOKUP($B$515,Ingresos!$C$683:$P$701,10,FALSE)),0)</f>
        <v>0</v>
      </c>
      <c r="K518" s="1707">
        <f>IFERROR(IF($B$515=0,0,VLOOKUP($B$515,Ingresos!$C$683:$P$701,11,FALSE)),0)</f>
        <v>0</v>
      </c>
      <c r="L518" s="1707">
        <f>IFERROR(IF($B$515=0,0,VLOOKUP($B$515,Ingresos!$C$683:$P$701,12,FALSE)),0)</f>
        <v>0</v>
      </c>
      <c r="M518" s="1707">
        <f>IFERROR(IF($B$515=0,0,VLOOKUP($B$515,Ingresos!$C$683:$P$701,13,FALSE)),0)</f>
        <v>0</v>
      </c>
      <c r="N518" s="1707">
        <f>IFERROR(IF($B$515=0,0,VLOOKUP($B$515,Ingresos!$C$683:$P$701,14,FALSE)),0)</f>
        <v>0</v>
      </c>
      <c r="AF518" s="141"/>
      <c r="AG518" s="254"/>
      <c r="AH518" s="254"/>
      <c r="AI518" s="254"/>
      <c r="AJ518" s="254"/>
      <c r="AK518" s="254"/>
      <c r="AL518" s="254"/>
      <c r="AM518" s="254"/>
      <c r="AN518" s="254"/>
      <c r="AO518" s="254"/>
      <c r="AP518" s="254"/>
      <c r="AQ518" s="254"/>
      <c r="AR518" s="254"/>
    </row>
    <row r="519" spans="2:44" hidden="1" x14ac:dyDescent="0.2">
      <c r="B519" s="1282" t="str">
        <f t="shared" si="137"/>
        <v>Moha</v>
      </c>
      <c r="C519" s="1707">
        <f>IFERROR(IF($B$515=0,0,VLOOKUP($B$515,Ingresos!$C$683:$P$701,3,FALSE)),0)</f>
        <v>0</v>
      </c>
      <c r="D519" s="1707">
        <f>IFERROR(IF($B$515=0,0,VLOOKUP($B$515,Ingresos!$C$683:$P$701,4,FALSE)),0)</f>
        <v>0</v>
      </c>
      <c r="E519" s="1707">
        <f>IFERROR(IF($B$515=0,0,VLOOKUP($B$515,Ingresos!$C$683:$P$701,5,FALSE)),0)</f>
        <v>0</v>
      </c>
      <c r="F519" s="1707">
        <f>IFERROR(IF($B$515=0,0,VLOOKUP($B$515,Ingresos!$C$683:$P$701,6,FALSE)),0)</f>
        <v>0</v>
      </c>
      <c r="G519" s="1707">
        <f>IFERROR(IF($B$515=0,0,VLOOKUP($B$515,Ingresos!$C$683:$P$701,7,FALSE)),0)</f>
        <v>0</v>
      </c>
      <c r="H519" s="1707">
        <f>IFERROR(IF($B$515=0,0,VLOOKUP($B$515,Ingresos!$C$683:$P$701,8,FALSE)),0)</f>
        <v>0</v>
      </c>
      <c r="I519" s="1707">
        <f>IFERROR(IF($B$515=0,0,VLOOKUP($B$515,Ingresos!$C$683:$P$701,9,FALSE)),0)</f>
        <v>0</v>
      </c>
      <c r="J519" s="1707">
        <f>IFERROR(IF($B$515=0,0,VLOOKUP($B$515,Ingresos!$C$683:$P$701,10,FALSE)),0)</f>
        <v>0</v>
      </c>
      <c r="K519" s="1707">
        <f>IFERROR(IF($B$515=0,0,VLOOKUP($B$515,Ingresos!$C$683:$P$701,11,FALSE)),0)</f>
        <v>0</v>
      </c>
      <c r="L519" s="1707">
        <f>IFERROR(IF($B$515=0,0,VLOOKUP($B$515,Ingresos!$C$683:$P$701,12,FALSE)),0)</f>
        <v>0</v>
      </c>
      <c r="M519" s="1707">
        <f>IFERROR(IF($B$515=0,0,VLOOKUP($B$515,Ingresos!$C$683:$P$701,13,FALSE)),0)</f>
        <v>0</v>
      </c>
      <c r="N519" s="1707">
        <f>IFERROR(IF($B$515=0,0,VLOOKUP($B$515,Ingresos!$C$683:$P$701,14,FALSE)),0)</f>
        <v>0</v>
      </c>
      <c r="AF519" s="141"/>
      <c r="AG519" s="254"/>
      <c r="AH519" s="254"/>
      <c r="AI519" s="254"/>
      <c r="AJ519" s="254"/>
      <c r="AK519" s="254"/>
      <c r="AL519" s="254"/>
      <c r="AM519" s="254"/>
      <c r="AN519" s="254"/>
      <c r="AO519" s="254"/>
      <c r="AP519" s="254"/>
      <c r="AQ519" s="254"/>
      <c r="AR519" s="254"/>
    </row>
    <row r="520" spans="2:44" hidden="1" x14ac:dyDescent="0.2">
      <c r="B520" s="1282" t="str">
        <f t="shared" si="137"/>
        <v>Colza (hibrido) - variedad (7 U$S)</v>
      </c>
      <c r="C520" s="1707">
        <f>IFERROR(IF($B$515=0,0,VLOOKUP($B$515,Ingresos!$C$683:$P$701,3,FALSE)),0)</f>
        <v>0</v>
      </c>
      <c r="D520" s="1707">
        <f>IFERROR(IF($B$515=0,0,VLOOKUP($B$515,Ingresos!$C$683:$P$701,4,FALSE)),0)</f>
        <v>0</v>
      </c>
      <c r="E520" s="1707">
        <f>IFERROR(IF($B$515=0,0,VLOOKUP($B$515,Ingresos!$C$683:$P$701,5,FALSE)),0)</f>
        <v>0</v>
      </c>
      <c r="F520" s="1707">
        <f>IFERROR(IF($B$515=0,0,VLOOKUP($B$515,Ingresos!$C$683:$P$701,6,FALSE)),0)</f>
        <v>0</v>
      </c>
      <c r="G520" s="1707">
        <f>IFERROR(IF($B$515=0,0,VLOOKUP($B$515,Ingresos!$C$683:$P$701,7,FALSE)),0)</f>
        <v>0</v>
      </c>
      <c r="H520" s="1707">
        <f>IFERROR(IF($B$515=0,0,VLOOKUP($B$515,Ingresos!$C$683:$P$701,8,FALSE)),0)</f>
        <v>0</v>
      </c>
      <c r="I520" s="1707">
        <f>IFERROR(IF($B$515=0,0,VLOOKUP($B$515,Ingresos!$C$683:$P$701,9,FALSE)),0)</f>
        <v>0</v>
      </c>
      <c r="J520" s="1707">
        <f>IFERROR(IF($B$515=0,0,VLOOKUP($B$515,Ingresos!$C$683:$P$701,10,FALSE)),0)</f>
        <v>0</v>
      </c>
      <c r="K520" s="1707">
        <f>IFERROR(IF($B$515=0,0,VLOOKUP($B$515,Ingresos!$C$683:$P$701,11,FALSE)),0)</f>
        <v>0</v>
      </c>
      <c r="L520" s="1707">
        <f>IFERROR(IF($B$515=0,0,VLOOKUP($B$515,Ingresos!$C$683:$P$701,12,FALSE)),0)</f>
        <v>0</v>
      </c>
      <c r="M520" s="1707">
        <f>IFERROR(IF($B$515=0,0,VLOOKUP($B$515,Ingresos!$C$683:$P$701,13,FALSE)),0)</f>
        <v>0</v>
      </c>
      <c r="N520" s="1707">
        <f>IFERROR(IF($B$515=0,0,VLOOKUP($B$515,Ingresos!$C$683:$P$701,14,FALSE)),0)</f>
        <v>0</v>
      </c>
      <c r="AF520" s="141"/>
      <c r="AG520" s="254"/>
      <c r="AH520" s="254"/>
      <c r="AI520" s="254"/>
      <c r="AJ520" s="254"/>
      <c r="AK520" s="254"/>
      <c r="AL520" s="254"/>
      <c r="AM520" s="254"/>
      <c r="AN520" s="254"/>
      <c r="AO520" s="254"/>
      <c r="AP520" s="254"/>
      <c r="AQ520" s="254"/>
      <c r="AR520" s="254"/>
    </row>
    <row r="521" spans="2:44" hidden="1" x14ac:dyDescent="0.2">
      <c r="B521" s="1282" t="str">
        <f t="shared" si="137"/>
        <v>Semilla de soja curada e inoculada</v>
      </c>
      <c r="C521" s="1707">
        <f>IFERROR(IF($B$515=0,0,VLOOKUP($B$515,Ingresos!$C$683:$P$701,3,FALSE)),0)</f>
        <v>0</v>
      </c>
      <c r="D521" s="1707">
        <f>IFERROR(IF($B$515=0,0,VLOOKUP($B$515,Ingresos!$C$683:$P$701,4,FALSE)),0)</f>
        <v>0</v>
      </c>
      <c r="E521" s="1707">
        <f>IFERROR(IF($B$515=0,0,VLOOKUP($B$515,Ingresos!$C$683:$P$701,5,FALSE)),0)</f>
        <v>0</v>
      </c>
      <c r="F521" s="1707">
        <f>IFERROR(IF($B$515=0,0,VLOOKUP($B$515,Ingresos!$C$683:$P$701,6,FALSE)),0)</f>
        <v>0</v>
      </c>
      <c r="G521" s="1707">
        <f>IFERROR(IF($B$515=0,0,VLOOKUP($B$515,Ingresos!$C$683:$P$701,7,FALSE)),0)</f>
        <v>0</v>
      </c>
      <c r="H521" s="1707">
        <f>IFERROR(IF($B$515=0,0,VLOOKUP($B$515,Ingresos!$C$683:$P$701,8,FALSE)),0)</f>
        <v>0</v>
      </c>
      <c r="I521" s="1707">
        <f>IFERROR(IF($B$515=0,0,VLOOKUP($B$515,Ingresos!$C$683:$P$701,9,FALSE)),0)</f>
        <v>0</v>
      </c>
      <c r="J521" s="1707">
        <f>IFERROR(IF($B$515=0,0,VLOOKUP($B$515,Ingresos!$C$683:$P$701,10,FALSE)),0)</f>
        <v>0</v>
      </c>
      <c r="K521" s="1707">
        <f>IFERROR(IF($B$515=0,0,VLOOKUP($B$515,Ingresos!$C$683:$P$701,11,FALSE)),0)</f>
        <v>0</v>
      </c>
      <c r="L521" s="1707">
        <f>IFERROR(IF($B$515=0,0,VLOOKUP($B$515,Ingresos!$C$683:$P$701,12,FALSE)),0)</f>
        <v>0</v>
      </c>
      <c r="M521" s="1707">
        <f>IFERROR(IF($B$515=0,0,VLOOKUP($B$515,Ingresos!$C$683:$P$701,13,FALSE)),0)</f>
        <v>0</v>
      </c>
      <c r="N521" s="1707">
        <f>IFERROR(IF($B$515=0,0,VLOOKUP($B$515,Ingresos!$C$683:$P$701,14,FALSE)),0)</f>
        <v>0</v>
      </c>
      <c r="AF521" s="141"/>
      <c r="AG521" s="254"/>
      <c r="AH521" s="254"/>
      <c r="AI521" s="254"/>
      <c r="AJ521" s="254"/>
      <c r="AK521" s="254"/>
      <c r="AL521" s="254"/>
      <c r="AM521" s="254"/>
      <c r="AN521" s="254"/>
      <c r="AO521" s="254"/>
      <c r="AP521" s="254"/>
      <c r="AQ521" s="254"/>
      <c r="AR521" s="254"/>
    </row>
    <row r="522" spans="2:44" hidden="1" x14ac:dyDescent="0.2">
      <c r="B522" s="1282">
        <f t="shared" si="137"/>
        <v>0</v>
      </c>
      <c r="C522" s="1707">
        <f>IFERROR(IF($B$515=0,0,VLOOKUP($B$515,Ingresos!$C$683:$P$701,3,FALSE)),0)</f>
        <v>0</v>
      </c>
      <c r="D522" s="1707">
        <f>IFERROR(IF($B$515=0,0,VLOOKUP($B$515,Ingresos!$C$683:$P$701,4,FALSE)),0)</f>
        <v>0</v>
      </c>
      <c r="E522" s="1707">
        <f>IFERROR(IF($B$515=0,0,VLOOKUP($B$515,Ingresos!$C$683:$P$701,5,FALSE)),0)</f>
        <v>0</v>
      </c>
      <c r="F522" s="1707">
        <f>IFERROR(IF($B$515=0,0,VLOOKUP($B$515,Ingresos!$C$683:$P$701,6,FALSE)),0)</f>
        <v>0</v>
      </c>
      <c r="G522" s="1707">
        <f>IFERROR(IF($B$515=0,0,VLOOKUP($B$515,Ingresos!$C$683:$P$701,7,FALSE)),0)</f>
        <v>0</v>
      </c>
      <c r="H522" s="1707">
        <f>IFERROR(IF($B$515=0,0,VLOOKUP($B$515,Ingresos!$C$683:$P$701,8,FALSE)),0)</f>
        <v>0</v>
      </c>
      <c r="I522" s="1707">
        <f>IFERROR(IF($B$515=0,0,VLOOKUP($B$515,Ingresos!$C$683:$P$701,9,FALSE)),0)</f>
        <v>0</v>
      </c>
      <c r="J522" s="1707">
        <f>IFERROR(IF($B$515=0,0,VLOOKUP($B$515,Ingresos!$C$683:$P$701,10,FALSE)),0)</f>
        <v>0</v>
      </c>
      <c r="K522" s="1707">
        <f>IFERROR(IF($B$515=0,0,VLOOKUP($B$515,Ingresos!$C$683:$P$701,11,FALSE)),0)</f>
        <v>0</v>
      </c>
      <c r="L522" s="1707">
        <f>IFERROR(IF($B$515=0,0,VLOOKUP($B$515,Ingresos!$C$683:$P$701,12,FALSE)),0)</f>
        <v>0</v>
      </c>
      <c r="M522" s="1707">
        <f>IFERROR(IF($B$515=0,0,VLOOKUP($B$515,Ingresos!$C$683:$P$701,13,FALSE)),0)</f>
        <v>0</v>
      </c>
      <c r="N522" s="1707">
        <f>IFERROR(IF($B$515=0,0,VLOOKUP($B$515,Ingresos!$C$683:$P$701,14,FALSE)),0)</f>
        <v>0</v>
      </c>
      <c r="AF522" s="141"/>
      <c r="AG522" s="254"/>
      <c r="AH522" s="254"/>
      <c r="AI522" s="254"/>
      <c r="AJ522" s="254"/>
      <c r="AK522" s="254"/>
      <c r="AL522" s="254"/>
      <c r="AM522" s="254"/>
      <c r="AN522" s="254"/>
      <c r="AO522" s="254"/>
      <c r="AP522" s="254"/>
      <c r="AQ522" s="254"/>
      <c r="AR522" s="254"/>
    </row>
    <row r="523" spans="2:44" hidden="1" x14ac:dyDescent="0.2">
      <c r="B523" s="1282" t="str">
        <f t="shared" si="137"/>
        <v>Trigo</v>
      </c>
      <c r="C523" s="1707">
        <f>IFERROR(IF($B$515=0,0,VLOOKUP($B$515,Ingresos!$C$683:$P$701,3,FALSE)),0)</f>
        <v>0</v>
      </c>
      <c r="D523" s="1707">
        <f>IFERROR(IF($B$515=0,0,VLOOKUP($B$515,Ingresos!$C$683:$P$701,4,FALSE)),0)</f>
        <v>0</v>
      </c>
      <c r="E523" s="1707">
        <f>IFERROR(IF($B$515=0,0,VLOOKUP($B$515,Ingresos!$C$683:$P$701,5,FALSE)),0)</f>
        <v>0</v>
      </c>
      <c r="F523" s="1707">
        <f>IFERROR(IF($B$515=0,0,VLOOKUP($B$515,Ingresos!$C$683:$P$701,6,FALSE)),0)</f>
        <v>0</v>
      </c>
      <c r="G523" s="1707">
        <f>IFERROR(IF($B$515=0,0,VLOOKUP($B$515,Ingresos!$C$683:$P$701,7,FALSE)),0)</f>
        <v>0</v>
      </c>
      <c r="H523" s="1707">
        <f>IFERROR(IF($B$515=0,0,VLOOKUP($B$515,Ingresos!$C$683:$P$701,8,FALSE)),0)</f>
        <v>0</v>
      </c>
      <c r="I523" s="1707">
        <f>IFERROR(IF($B$515=0,0,VLOOKUP($B$515,Ingresos!$C$683:$P$701,9,FALSE)),0)</f>
        <v>0</v>
      </c>
      <c r="J523" s="1707">
        <f>IFERROR(IF($B$515=0,0,VLOOKUP($B$515,Ingresos!$C$683:$P$701,10,FALSE)),0)</f>
        <v>0</v>
      </c>
      <c r="K523" s="1707">
        <f>IFERROR(IF($B$515=0,0,VLOOKUP($B$515,Ingresos!$C$683:$P$701,11,FALSE)),0)</f>
        <v>0</v>
      </c>
      <c r="L523" s="1707">
        <f>IFERROR(IF($B$515=0,0,VLOOKUP($B$515,Ingresos!$C$683:$P$701,12,FALSE)),0)</f>
        <v>0</v>
      </c>
      <c r="M523" s="1707">
        <f>IFERROR(IF($B$515=0,0,VLOOKUP($B$515,Ingresos!$C$683:$P$701,13,FALSE)),0)</f>
        <v>0</v>
      </c>
      <c r="N523" s="1707">
        <f>IFERROR(IF($B$515=0,0,VLOOKUP($B$515,Ingresos!$C$683:$P$701,14,FALSE)),0)</f>
        <v>0</v>
      </c>
      <c r="AF523" s="141"/>
      <c r="AG523" s="254"/>
      <c r="AH523" s="254"/>
      <c r="AI523" s="254"/>
      <c r="AJ523" s="254"/>
      <c r="AK523" s="254"/>
      <c r="AL523" s="254"/>
      <c r="AM523" s="254"/>
      <c r="AN523" s="254"/>
      <c r="AO523" s="254"/>
      <c r="AP523" s="254"/>
      <c r="AQ523" s="254"/>
      <c r="AR523" s="254"/>
    </row>
    <row r="524" spans="2:44" hidden="1" x14ac:dyDescent="0.2">
      <c r="B524" s="1282" t="str">
        <f t="shared" si="137"/>
        <v>Raigrás</v>
      </c>
      <c r="C524" s="1707">
        <f>IFERROR(IF($B$515=0,0,VLOOKUP($B$515,Ingresos!$C$683:$P$701,3,FALSE)),0)</f>
        <v>0</v>
      </c>
      <c r="D524" s="1707">
        <f>IFERROR(IF($B$515=0,0,VLOOKUP($B$515,Ingresos!$C$683:$P$701,4,FALSE)),0)</f>
        <v>0</v>
      </c>
      <c r="E524" s="1707">
        <f>IFERROR(IF($B$515=0,0,VLOOKUP($B$515,Ingresos!$C$683:$P$701,5,FALSE)),0)</f>
        <v>0</v>
      </c>
      <c r="F524" s="1707">
        <f>IFERROR(IF($B$515=0,0,VLOOKUP($B$515,Ingresos!$C$683:$P$701,6,FALSE)),0)</f>
        <v>0</v>
      </c>
      <c r="G524" s="1707">
        <f>IFERROR(IF($B$515=0,0,VLOOKUP($B$515,Ingresos!$C$683:$P$701,7,FALSE)),0)</f>
        <v>0</v>
      </c>
      <c r="H524" s="1707">
        <f>IFERROR(IF($B$515=0,0,VLOOKUP($B$515,Ingresos!$C$683:$P$701,8,FALSE)),0)</f>
        <v>0</v>
      </c>
      <c r="I524" s="1707">
        <f>IFERROR(IF($B$515=0,0,VLOOKUP($B$515,Ingresos!$C$683:$P$701,9,FALSE)),0)</f>
        <v>0</v>
      </c>
      <c r="J524" s="1707">
        <f>IFERROR(IF($B$515=0,0,VLOOKUP($B$515,Ingresos!$C$683:$P$701,10,FALSE)),0)</f>
        <v>0</v>
      </c>
      <c r="K524" s="1707">
        <f>IFERROR(IF($B$515=0,0,VLOOKUP($B$515,Ingresos!$C$683:$P$701,11,FALSE)),0)</f>
        <v>0</v>
      </c>
      <c r="L524" s="1707">
        <f>IFERROR(IF($B$515=0,0,VLOOKUP($B$515,Ingresos!$C$683:$P$701,12,FALSE)),0)</f>
        <v>0</v>
      </c>
      <c r="M524" s="1707">
        <f>IFERROR(IF($B$515=0,0,VLOOKUP($B$515,Ingresos!$C$683:$P$701,13,FALSE)),0)</f>
        <v>0</v>
      </c>
      <c r="N524" s="1707">
        <f>IFERROR(IF($B$515=0,0,VLOOKUP($B$515,Ingresos!$C$683:$P$701,14,FALSE)),0)</f>
        <v>0</v>
      </c>
      <c r="AF524" s="141"/>
      <c r="AG524" s="254"/>
      <c r="AH524" s="254"/>
      <c r="AI524" s="254"/>
      <c r="AJ524" s="254"/>
      <c r="AK524" s="254"/>
      <c r="AL524" s="254"/>
      <c r="AM524" s="254"/>
      <c r="AN524" s="254"/>
      <c r="AO524" s="254"/>
      <c r="AP524" s="254"/>
      <c r="AQ524" s="254"/>
      <c r="AR524" s="254"/>
    </row>
    <row r="525" spans="2:44" hidden="1" x14ac:dyDescent="0.2">
      <c r="B525" s="1282" t="str">
        <f t="shared" si="137"/>
        <v>Avena</v>
      </c>
      <c r="C525" s="1707">
        <f>IFERROR(IF($B$515=0,0,VLOOKUP($B$515,Ingresos!$C$683:$P$701,3,FALSE)),0)</f>
        <v>0</v>
      </c>
      <c r="D525" s="1707">
        <f>IFERROR(IF($B$515=0,0,VLOOKUP($B$515,Ingresos!$C$683:$P$701,4,FALSE)),0)</f>
        <v>0</v>
      </c>
      <c r="E525" s="1707">
        <f>IFERROR(IF($B$515=0,0,VLOOKUP($B$515,Ingresos!$C$683:$P$701,5,FALSE)),0)</f>
        <v>0</v>
      </c>
      <c r="F525" s="1707">
        <f>IFERROR(IF($B$515=0,0,VLOOKUP($B$515,Ingresos!$C$683:$P$701,6,FALSE)),0)</f>
        <v>0</v>
      </c>
      <c r="G525" s="1707">
        <f>IFERROR(IF($B$515=0,0,VLOOKUP($B$515,Ingresos!$C$683:$P$701,7,FALSE)),0)</f>
        <v>0</v>
      </c>
      <c r="H525" s="1707">
        <f>IFERROR(IF($B$515=0,0,VLOOKUP($B$515,Ingresos!$C$683:$P$701,8,FALSE)),0)</f>
        <v>0</v>
      </c>
      <c r="I525" s="1707">
        <f>IFERROR(IF($B$515=0,0,VLOOKUP($B$515,Ingresos!$C$683:$P$701,9,FALSE)),0)</f>
        <v>0</v>
      </c>
      <c r="J525" s="1707">
        <f>IFERROR(IF($B$515=0,0,VLOOKUP($B$515,Ingresos!$C$683:$P$701,10,FALSE)),0)</f>
        <v>0</v>
      </c>
      <c r="K525" s="1707">
        <f>IFERROR(IF($B$515=0,0,VLOOKUP($B$515,Ingresos!$C$683:$P$701,11,FALSE)),0)</f>
        <v>0</v>
      </c>
      <c r="L525" s="1707">
        <f>IFERROR(IF($B$515=0,0,VLOOKUP($B$515,Ingresos!$C$683:$P$701,12,FALSE)),0)</f>
        <v>0</v>
      </c>
      <c r="M525" s="1707">
        <f>IFERROR(IF($B$515=0,0,VLOOKUP($B$515,Ingresos!$C$683:$P$701,13,FALSE)),0)</f>
        <v>0</v>
      </c>
      <c r="N525" s="1707">
        <f>IFERROR(IF($B$515=0,0,VLOOKUP($B$515,Ingresos!$C$683:$P$701,14,FALSE)),0)</f>
        <v>0</v>
      </c>
      <c r="AF525" s="141"/>
      <c r="AG525" s="254"/>
      <c r="AH525" s="254"/>
      <c r="AI525" s="254"/>
      <c r="AJ525" s="254"/>
      <c r="AK525" s="254"/>
      <c r="AL525" s="254"/>
      <c r="AM525" s="254"/>
      <c r="AN525" s="254"/>
      <c r="AO525" s="254"/>
      <c r="AP525" s="254"/>
      <c r="AQ525" s="254"/>
      <c r="AR525" s="254"/>
    </row>
    <row r="526" spans="2:44" hidden="1" x14ac:dyDescent="0.2">
      <c r="B526" s="1282">
        <f t="shared" si="137"/>
        <v>0</v>
      </c>
      <c r="C526" s="1707">
        <f>IFERROR(IF($B$515=0,0,VLOOKUP($B$515,Ingresos!$C$683:$P$701,3,FALSE)),0)</f>
        <v>0</v>
      </c>
      <c r="D526" s="1707">
        <f>IFERROR(IF($B$515=0,0,VLOOKUP($B$515,Ingresos!$C$683:$P$701,4,FALSE)),0)</f>
        <v>0</v>
      </c>
      <c r="E526" s="1707">
        <f>IFERROR(IF($B$515=0,0,VLOOKUP($B$515,Ingresos!$C$683:$P$701,5,FALSE)),0)</f>
        <v>0</v>
      </c>
      <c r="F526" s="1707">
        <f>IFERROR(IF($B$515=0,0,VLOOKUP($B$515,Ingresos!$C$683:$P$701,6,FALSE)),0)</f>
        <v>0</v>
      </c>
      <c r="G526" s="1707">
        <f>IFERROR(IF($B$515=0,0,VLOOKUP($B$515,Ingresos!$C$683:$P$701,7,FALSE)),0)</f>
        <v>0</v>
      </c>
      <c r="H526" s="1707">
        <f>IFERROR(IF($B$515=0,0,VLOOKUP($B$515,Ingresos!$C$683:$P$701,8,FALSE)),0)</f>
        <v>0</v>
      </c>
      <c r="I526" s="1707">
        <f>IFERROR(IF($B$515=0,0,VLOOKUP($B$515,Ingresos!$C$683:$P$701,9,FALSE)),0)</f>
        <v>0</v>
      </c>
      <c r="J526" s="1707">
        <f>IFERROR(IF($B$515=0,0,VLOOKUP($B$515,Ingresos!$C$683:$P$701,10,FALSE)),0)</f>
        <v>0</v>
      </c>
      <c r="K526" s="1707">
        <f>IFERROR(IF($B$515=0,0,VLOOKUP($B$515,Ingresos!$C$683:$P$701,11,FALSE)),0)</f>
        <v>0</v>
      </c>
      <c r="L526" s="1707">
        <f>IFERROR(IF($B$515=0,0,VLOOKUP($B$515,Ingresos!$C$683:$P$701,12,FALSE)),0)</f>
        <v>0</v>
      </c>
      <c r="M526" s="1707">
        <f>IFERROR(IF($B$515=0,0,VLOOKUP($B$515,Ingresos!$C$683:$P$701,13,FALSE)),0)</f>
        <v>0</v>
      </c>
      <c r="N526" s="1707">
        <f>IFERROR(IF($B$515=0,0,VLOOKUP($B$515,Ingresos!$C$683:$P$701,14,FALSE)),0)</f>
        <v>0</v>
      </c>
      <c r="AF526" s="141"/>
      <c r="AG526" s="254"/>
      <c r="AH526" s="254"/>
      <c r="AI526" s="254"/>
      <c r="AJ526" s="254"/>
      <c r="AK526" s="254"/>
      <c r="AL526" s="254"/>
      <c r="AM526" s="254"/>
      <c r="AN526" s="254"/>
      <c r="AO526" s="254"/>
      <c r="AP526" s="254"/>
      <c r="AQ526" s="254"/>
      <c r="AR526" s="254"/>
    </row>
    <row r="527" spans="2:44" hidden="1" x14ac:dyDescent="0.2">
      <c r="B527" s="1282">
        <f t="shared" si="137"/>
        <v>0</v>
      </c>
      <c r="C527" s="1707">
        <f>IFERROR(IF($B$515=0,0,VLOOKUP($B$515,Ingresos!$C$683:$P$701,3,FALSE)),0)</f>
        <v>0</v>
      </c>
      <c r="D527" s="1707">
        <f>IFERROR(IF($B$515=0,0,VLOOKUP($B$515,Ingresos!$C$683:$P$701,4,FALSE)),0)</f>
        <v>0</v>
      </c>
      <c r="E527" s="1707">
        <f>IFERROR(IF($B$515=0,0,VLOOKUP($B$515,Ingresos!$C$683:$P$701,5,FALSE)),0)</f>
        <v>0</v>
      </c>
      <c r="F527" s="1707">
        <f>IFERROR(IF($B$515=0,0,VLOOKUP($B$515,Ingresos!$C$683:$P$701,6,FALSE)),0)</f>
        <v>0</v>
      </c>
      <c r="G527" s="1707">
        <f>IFERROR(IF($B$515=0,0,VLOOKUP($B$515,Ingresos!$C$683:$P$701,7,FALSE)),0)</f>
        <v>0</v>
      </c>
      <c r="H527" s="1707">
        <f>IFERROR(IF($B$515=0,0,VLOOKUP($B$515,Ingresos!$C$683:$P$701,8,FALSE)),0)</f>
        <v>0</v>
      </c>
      <c r="I527" s="1707">
        <f>IFERROR(IF($B$515=0,0,VLOOKUP($B$515,Ingresos!$C$683:$P$701,9,FALSE)),0)</f>
        <v>0</v>
      </c>
      <c r="J527" s="1707">
        <f>IFERROR(IF($B$515=0,0,VLOOKUP($B$515,Ingresos!$C$683:$P$701,10,FALSE)),0)</f>
        <v>0</v>
      </c>
      <c r="K527" s="1707">
        <f>IFERROR(IF($B$515=0,0,VLOOKUP($B$515,Ingresos!$C$683:$P$701,11,FALSE)),0)</f>
        <v>0</v>
      </c>
      <c r="L527" s="1707">
        <f>IFERROR(IF($B$515=0,0,VLOOKUP($B$515,Ingresos!$C$683:$P$701,12,FALSE)),0)</f>
        <v>0</v>
      </c>
      <c r="M527" s="1707">
        <f>IFERROR(IF($B$515=0,0,VLOOKUP($B$515,Ingresos!$C$683:$P$701,13,FALSE)),0)</f>
        <v>0</v>
      </c>
      <c r="N527" s="1707">
        <f>IFERROR(IF($B$515=0,0,VLOOKUP($B$515,Ingresos!$C$683:$P$701,14,FALSE)),0)</f>
        <v>0</v>
      </c>
      <c r="AF527" s="141"/>
      <c r="AG527" s="254"/>
      <c r="AH527" s="254"/>
      <c r="AI527" s="254"/>
      <c r="AJ527" s="254"/>
      <c r="AK527" s="254"/>
      <c r="AL527" s="254"/>
      <c r="AM527" s="254"/>
      <c r="AN527" s="254"/>
      <c r="AO527" s="254"/>
      <c r="AP527" s="254"/>
      <c r="AQ527" s="254"/>
      <c r="AR527" s="254"/>
    </row>
    <row r="528" spans="2:44" hidden="1" x14ac:dyDescent="0.2">
      <c r="B528" s="1282" t="str">
        <f t="shared" si="137"/>
        <v>Semilla PP1 (dac+ AA)</v>
      </c>
      <c r="C528" s="1707">
        <f>IFERROR(IF($B$515=0,0,VLOOKUP($B$515,Ingresos!$C$683:$P$701,3,FALSE)),0)</f>
        <v>0</v>
      </c>
      <c r="D528" s="1707">
        <f>IFERROR(IF($B$515=0,0,VLOOKUP($B$515,Ingresos!$C$683:$P$701,4,FALSE)),0)</f>
        <v>0</v>
      </c>
      <c r="E528" s="1707">
        <f>IFERROR(IF($B$515=0,0,VLOOKUP($B$515,Ingresos!$C$683:$P$701,5,FALSE)),0)</f>
        <v>0</v>
      </c>
      <c r="F528" s="1707">
        <f>IFERROR(IF($B$515=0,0,VLOOKUP($B$515,Ingresos!$C$683:$P$701,6,FALSE)),0)</f>
        <v>0</v>
      </c>
      <c r="G528" s="1707">
        <f>IFERROR(IF($B$515=0,0,VLOOKUP($B$515,Ingresos!$C$683:$P$701,7,FALSE)),0)</f>
        <v>0</v>
      </c>
      <c r="H528" s="1707">
        <f>IFERROR(IF($B$515=0,0,VLOOKUP($B$515,Ingresos!$C$683:$P$701,8,FALSE)),0)</f>
        <v>0</v>
      </c>
      <c r="I528" s="1707">
        <f>IFERROR(IF($B$515=0,0,VLOOKUP($B$515,Ingresos!$C$683:$P$701,9,FALSE)),0)</f>
        <v>0</v>
      </c>
      <c r="J528" s="1707">
        <f>IFERROR(IF($B$515=0,0,VLOOKUP($B$515,Ingresos!$C$683:$P$701,10,FALSE)),0)</f>
        <v>0</v>
      </c>
      <c r="K528" s="1707">
        <f>IFERROR(IF($B$515=0,0,VLOOKUP($B$515,Ingresos!$C$683:$P$701,11,FALSE)),0)</f>
        <v>0</v>
      </c>
      <c r="L528" s="1707">
        <f>IFERROR(IF($B$515=0,0,VLOOKUP($B$515,Ingresos!$C$683:$P$701,12,FALSE)),0)</f>
        <v>0</v>
      </c>
      <c r="M528" s="1707">
        <f>IFERROR(IF($B$515=0,0,VLOOKUP($B$515,Ingresos!$C$683:$P$701,13,FALSE)),0)</f>
        <v>0</v>
      </c>
      <c r="N528" s="1707">
        <f>IFERROR(IF($B$515=0,0,VLOOKUP($B$515,Ingresos!$C$683:$P$701,14,FALSE)),0)</f>
        <v>0</v>
      </c>
      <c r="AF528" s="141"/>
      <c r="AG528" s="254"/>
      <c r="AH528" s="254"/>
      <c r="AI528" s="254"/>
      <c r="AJ528" s="254"/>
      <c r="AK528" s="254"/>
      <c r="AL528" s="254"/>
      <c r="AM528" s="254"/>
      <c r="AN528" s="254"/>
      <c r="AO528" s="254"/>
      <c r="AP528" s="254"/>
      <c r="AQ528" s="254"/>
      <c r="AR528" s="254"/>
    </row>
    <row r="529" spans="2:44" hidden="1" x14ac:dyDescent="0.2">
      <c r="B529" s="1282" t="str">
        <f t="shared" si="137"/>
        <v>Alfalfa</v>
      </c>
      <c r="C529" s="1707">
        <f>IFERROR(IF($B$515=0,0,VLOOKUP($B$515,Ingresos!$C$683:$P$701,3,FALSE)),0)</f>
        <v>0</v>
      </c>
      <c r="D529" s="1707">
        <f>IFERROR(IF($B$515=0,0,VLOOKUP($B$515,Ingresos!$C$683:$P$701,4,FALSE)),0)</f>
        <v>0</v>
      </c>
      <c r="E529" s="1707">
        <f>IFERROR(IF($B$515=0,0,VLOOKUP($B$515,Ingresos!$C$683:$P$701,5,FALSE)),0)</f>
        <v>0</v>
      </c>
      <c r="F529" s="1707">
        <f>IFERROR(IF($B$515=0,0,VLOOKUP($B$515,Ingresos!$C$683:$P$701,6,FALSE)),0)</f>
        <v>0</v>
      </c>
      <c r="G529" s="1707">
        <f>IFERROR(IF($B$515=0,0,VLOOKUP($B$515,Ingresos!$C$683:$P$701,7,FALSE)),0)</f>
        <v>0</v>
      </c>
      <c r="H529" s="1707">
        <f>IFERROR(IF($B$515=0,0,VLOOKUP($B$515,Ingresos!$C$683:$P$701,8,FALSE)),0)</f>
        <v>0</v>
      </c>
      <c r="I529" s="1707">
        <f>IFERROR(IF($B$515=0,0,VLOOKUP($B$515,Ingresos!$C$683:$P$701,9,FALSE)),0)</f>
        <v>0</v>
      </c>
      <c r="J529" s="1707">
        <f>IFERROR(IF($B$515=0,0,VLOOKUP($B$515,Ingresos!$C$683:$P$701,10,FALSE)),0)</f>
        <v>0</v>
      </c>
      <c r="K529" s="1707">
        <f>IFERROR(IF($B$515=0,0,VLOOKUP($B$515,Ingresos!$C$683:$P$701,11,FALSE)),0)</f>
        <v>0</v>
      </c>
      <c r="L529" s="1707">
        <f>IFERROR(IF($B$515=0,0,VLOOKUP($B$515,Ingresos!$C$683:$P$701,12,FALSE)),0)</f>
        <v>0</v>
      </c>
      <c r="M529" s="1707">
        <f>IFERROR(IF($B$515=0,0,VLOOKUP($B$515,Ingresos!$C$683:$P$701,13,FALSE)),0)</f>
        <v>0</v>
      </c>
      <c r="N529" s="1707">
        <f>IFERROR(IF($B$515=0,0,VLOOKUP($B$515,Ingresos!$C$683:$P$701,14,FALSE)),0)</f>
        <v>0</v>
      </c>
      <c r="AF529" s="141"/>
      <c r="AG529" s="254"/>
      <c r="AH529" s="254"/>
      <c r="AI529" s="254"/>
      <c r="AJ529" s="254"/>
      <c r="AK529" s="254"/>
      <c r="AL529" s="254"/>
      <c r="AM529" s="254"/>
      <c r="AN529" s="254"/>
      <c r="AO529" s="254"/>
      <c r="AP529" s="254"/>
      <c r="AQ529" s="254"/>
      <c r="AR529" s="254"/>
    </row>
    <row r="530" spans="2:44" hidden="1" x14ac:dyDescent="0.2">
      <c r="B530" s="1282" t="str">
        <f t="shared" si="137"/>
        <v>Semilla de TR1 (Rg+TR+Ach)</v>
      </c>
      <c r="C530" s="1707">
        <f>IFERROR(IF($B$515=0,0,VLOOKUP($B$515,Ingresos!$C$683:$P$701,3,FALSE)),0)</f>
        <v>0</v>
      </c>
      <c r="D530" s="1707">
        <f>IFERROR(IF($B$515=0,0,VLOOKUP($B$515,Ingresos!$C$683:$P$701,4,FALSE)),0)</f>
        <v>0</v>
      </c>
      <c r="E530" s="1707">
        <f>IFERROR(IF($B$515=0,0,VLOOKUP($B$515,Ingresos!$C$683:$P$701,5,FALSE)),0)</f>
        <v>0</v>
      </c>
      <c r="F530" s="1707">
        <f>IFERROR(IF($B$515=0,0,VLOOKUP($B$515,Ingresos!$C$683:$P$701,6,FALSE)),0)</f>
        <v>0</v>
      </c>
      <c r="G530" s="1707">
        <f>IFERROR(IF($B$515=0,0,VLOOKUP($B$515,Ingresos!$C$683:$P$701,7,FALSE)),0)</f>
        <v>0</v>
      </c>
      <c r="H530" s="1707">
        <f>IFERROR(IF($B$515=0,0,VLOOKUP($B$515,Ingresos!$C$683:$P$701,8,FALSE)),0)</f>
        <v>0</v>
      </c>
      <c r="I530" s="1707">
        <f>IFERROR(IF($B$515=0,0,VLOOKUP($B$515,Ingresos!$C$683:$P$701,9,FALSE)),0)</f>
        <v>0</v>
      </c>
      <c r="J530" s="1707">
        <f>IFERROR(IF($B$515=0,0,VLOOKUP($B$515,Ingresos!$C$683:$P$701,10,FALSE)),0)</f>
        <v>0</v>
      </c>
      <c r="K530" s="1707">
        <f>IFERROR(IF($B$515=0,0,VLOOKUP($B$515,Ingresos!$C$683:$P$701,11,FALSE)),0)</f>
        <v>0</v>
      </c>
      <c r="L530" s="1707">
        <f>IFERROR(IF($B$515=0,0,VLOOKUP($B$515,Ingresos!$C$683:$P$701,12,FALSE)),0)</f>
        <v>0</v>
      </c>
      <c r="M530" s="1707">
        <f>IFERROR(IF($B$515=0,0,VLOOKUP($B$515,Ingresos!$C$683:$P$701,13,FALSE)),0)</f>
        <v>0</v>
      </c>
      <c r="N530" s="1707">
        <f>IFERROR(IF($B$515=0,0,VLOOKUP($B$515,Ingresos!$C$683:$P$701,14,FALSE)),0)</f>
        <v>0</v>
      </c>
      <c r="AF530" s="141"/>
      <c r="AG530" s="254"/>
      <c r="AH530" s="254"/>
      <c r="AI530" s="254"/>
      <c r="AJ530" s="254"/>
      <c r="AK530" s="254"/>
      <c r="AL530" s="254"/>
      <c r="AM530" s="254"/>
      <c r="AN530" s="254"/>
      <c r="AO530" s="254"/>
      <c r="AP530" s="254"/>
      <c r="AQ530" s="254"/>
      <c r="AR530" s="254"/>
    </row>
    <row r="531" spans="2:44" hidden="1" x14ac:dyDescent="0.2">
      <c r="B531" s="1282">
        <f t="shared" si="137"/>
        <v>0</v>
      </c>
      <c r="C531" s="1707">
        <f>IFERROR(IF($B$515=0,0,VLOOKUP($B$515,Ingresos!$C$683:$P$701,3,FALSE)),0)</f>
        <v>0</v>
      </c>
      <c r="D531" s="1707">
        <f>IFERROR(IF($B$515=0,0,VLOOKUP($B$515,Ingresos!$C$683:$P$701,4,FALSE)),0)</f>
        <v>0</v>
      </c>
      <c r="E531" s="1707">
        <f>IFERROR(IF($B$515=0,0,VLOOKUP($B$515,Ingresos!$C$683:$P$701,5,FALSE)),0)</f>
        <v>0</v>
      </c>
      <c r="F531" s="1707">
        <f>IFERROR(IF($B$515=0,0,VLOOKUP($B$515,Ingresos!$C$683:$P$701,6,FALSE)),0)</f>
        <v>0</v>
      </c>
      <c r="G531" s="1707">
        <f>IFERROR(IF($B$515=0,0,VLOOKUP($B$515,Ingresos!$C$683:$P$701,7,FALSE)),0)</f>
        <v>0</v>
      </c>
      <c r="H531" s="1707">
        <f>IFERROR(IF($B$515=0,0,VLOOKUP($B$515,Ingresos!$C$683:$P$701,8,FALSE)),0)</f>
        <v>0</v>
      </c>
      <c r="I531" s="1707">
        <f>IFERROR(IF($B$515=0,0,VLOOKUP($B$515,Ingresos!$C$683:$P$701,9,FALSE)),0)</f>
        <v>0</v>
      </c>
      <c r="J531" s="1707">
        <f>IFERROR(IF($B$515=0,0,VLOOKUP($B$515,Ingresos!$C$683:$P$701,10,FALSE)),0)</f>
        <v>0</v>
      </c>
      <c r="K531" s="1707">
        <f>IFERROR(IF($B$515=0,0,VLOOKUP($B$515,Ingresos!$C$683:$P$701,11,FALSE)),0)</f>
        <v>0</v>
      </c>
      <c r="L531" s="1707">
        <f>IFERROR(IF($B$515=0,0,VLOOKUP($B$515,Ingresos!$C$683:$P$701,12,FALSE)),0)</f>
        <v>0</v>
      </c>
      <c r="M531" s="1707">
        <f>IFERROR(IF($B$515=0,0,VLOOKUP($B$515,Ingresos!$C$683:$P$701,13,FALSE)),0)</f>
        <v>0</v>
      </c>
      <c r="N531" s="1707">
        <f>IFERROR(IF($B$515=0,0,VLOOKUP($B$515,Ingresos!$C$683:$P$701,14,FALSE)),0)</f>
        <v>0</v>
      </c>
      <c r="AF531" s="141"/>
      <c r="AG531" s="254"/>
      <c r="AH531" s="254"/>
      <c r="AI531" s="254"/>
      <c r="AJ531" s="254"/>
      <c r="AK531" s="254"/>
      <c r="AL531" s="254"/>
      <c r="AM531" s="254"/>
      <c r="AN531" s="254"/>
      <c r="AO531" s="254"/>
      <c r="AP531" s="254"/>
      <c r="AQ531" s="254"/>
      <c r="AR531" s="254"/>
    </row>
    <row r="532" spans="2:44" hidden="1" x14ac:dyDescent="0.2">
      <c r="B532" s="1282">
        <f t="shared" si="137"/>
        <v>0</v>
      </c>
      <c r="C532" s="1707">
        <f>IFERROR(IF($B$515=0,0,VLOOKUP($B$515,Ingresos!$C$683:$P$701,3,FALSE)),0)</f>
        <v>0</v>
      </c>
      <c r="D532" s="1707">
        <f>IFERROR(IF($B$515=0,0,VLOOKUP($B$515,Ingresos!$C$683:$P$701,4,FALSE)),0)</f>
        <v>0</v>
      </c>
      <c r="E532" s="1707">
        <f>IFERROR(IF($B$515=0,0,VLOOKUP($B$515,Ingresos!$C$683:$P$701,5,FALSE)),0)</f>
        <v>0</v>
      </c>
      <c r="F532" s="1707">
        <f>IFERROR(IF($B$515=0,0,VLOOKUP($B$515,Ingresos!$C$683:$P$701,6,FALSE)),0)</f>
        <v>0</v>
      </c>
      <c r="G532" s="1707">
        <f>IFERROR(IF($B$515=0,0,VLOOKUP($B$515,Ingresos!$C$683:$P$701,7,FALSE)),0)</f>
        <v>0</v>
      </c>
      <c r="H532" s="1707">
        <f>IFERROR(IF($B$515=0,0,VLOOKUP($B$515,Ingresos!$C$683:$P$701,8,FALSE)),0)</f>
        <v>0</v>
      </c>
      <c r="I532" s="1707">
        <f>IFERROR(IF($B$515=0,0,VLOOKUP($B$515,Ingresos!$C$683:$P$701,9,FALSE)),0)</f>
        <v>0</v>
      </c>
      <c r="J532" s="1707">
        <f>IFERROR(IF($B$515=0,0,VLOOKUP($B$515,Ingresos!$C$683:$P$701,10,FALSE)),0)</f>
        <v>0</v>
      </c>
      <c r="K532" s="1707">
        <f>IFERROR(IF($B$515=0,0,VLOOKUP($B$515,Ingresos!$C$683:$P$701,11,FALSE)),0)</f>
        <v>0</v>
      </c>
      <c r="L532" s="1707">
        <f>IFERROR(IF($B$515=0,0,VLOOKUP($B$515,Ingresos!$C$683:$P$701,12,FALSE)),0)</f>
        <v>0</v>
      </c>
      <c r="M532" s="1707">
        <f>IFERROR(IF($B$515=0,0,VLOOKUP($B$515,Ingresos!$C$683:$P$701,13,FALSE)),0)</f>
        <v>0</v>
      </c>
      <c r="N532" s="1707">
        <f>IFERROR(IF($B$515=0,0,VLOOKUP($B$515,Ingresos!$C$683:$P$701,14,FALSE)),0)</f>
        <v>0</v>
      </c>
      <c r="AF532" s="141"/>
      <c r="AG532" s="254"/>
      <c r="AH532" s="254"/>
      <c r="AI532" s="254"/>
      <c r="AJ532" s="254"/>
      <c r="AK532" s="254"/>
      <c r="AL532" s="254"/>
      <c r="AM532" s="254"/>
      <c r="AN532" s="254"/>
      <c r="AO532" s="254"/>
      <c r="AP532" s="254"/>
      <c r="AQ532" s="254"/>
      <c r="AR532" s="254"/>
    </row>
    <row r="533" spans="2:44" hidden="1" x14ac:dyDescent="0.2">
      <c r="B533" s="1282">
        <f t="shared" si="137"/>
        <v>0</v>
      </c>
      <c r="C533" s="1707">
        <f>IFERROR(IF($B$515=0,0,VLOOKUP($B$515,Ingresos!$C$683:$P$701,3,FALSE)),0)</f>
        <v>0</v>
      </c>
      <c r="D533" s="1707">
        <f>IFERROR(IF($B$515=0,0,VLOOKUP($B$515,Ingresos!$C$683:$P$701,4,FALSE)),0)</f>
        <v>0</v>
      </c>
      <c r="E533" s="1707">
        <f>IFERROR(IF($B$515=0,0,VLOOKUP($B$515,Ingresos!$C$683:$P$701,5,FALSE)),0)</f>
        <v>0</v>
      </c>
      <c r="F533" s="1707">
        <f>IFERROR(IF($B$515=0,0,VLOOKUP($B$515,Ingresos!$C$683:$P$701,6,FALSE)),0)</f>
        <v>0</v>
      </c>
      <c r="G533" s="1707">
        <f>IFERROR(IF($B$515=0,0,VLOOKUP($B$515,Ingresos!$C$683:$P$701,7,FALSE)),0)</f>
        <v>0</v>
      </c>
      <c r="H533" s="1707">
        <f>IFERROR(IF($B$515=0,0,VLOOKUP($B$515,Ingresos!$C$683:$P$701,8,FALSE)),0)</f>
        <v>0</v>
      </c>
      <c r="I533" s="1707">
        <f>IFERROR(IF($B$515=0,0,VLOOKUP($B$515,Ingresos!$C$683:$P$701,9,FALSE)),0)</f>
        <v>0</v>
      </c>
      <c r="J533" s="1707">
        <f>IFERROR(IF($B$515=0,0,VLOOKUP($B$515,Ingresos!$C$683:$P$701,10,FALSE)),0)</f>
        <v>0</v>
      </c>
      <c r="K533" s="1707">
        <f>IFERROR(IF($B$515=0,0,VLOOKUP($B$515,Ingresos!$C$683:$P$701,11,FALSE)),0)</f>
        <v>0</v>
      </c>
      <c r="L533" s="1707">
        <f>IFERROR(IF($B$515=0,0,VLOOKUP($B$515,Ingresos!$C$683:$P$701,12,FALSE)),0)</f>
        <v>0</v>
      </c>
      <c r="M533" s="1707">
        <f>IFERROR(IF($B$515=0,0,VLOOKUP($B$515,Ingresos!$C$683:$P$701,13,FALSE)),0)</f>
        <v>0</v>
      </c>
      <c r="N533" s="1707">
        <f>IFERROR(IF($B$515=0,0,VLOOKUP($B$515,Ingresos!$C$683:$P$701,14,FALSE)),0)</f>
        <v>0</v>
      </c>
      <c r="AF533" s="141"/>
      <c r="AG533" s="254"/>
      <c r="AH533" s="254"/>
      <c r="AI533" s="254"/>
      <c r="AJ533" s="254"/>
      <c r="AK533" s="254"/>
      <c r="AL533" s="254"/>
      <c r="AM533" s="254"/>
      <c r="AN533" s="254"/>
      <c r="AO533" s="254"/>
      <c r="AP533" s="254"/>
      <c r="AQ533" s="254"/>
      <c r="AR533" s="254"/>
    </row>
    <row r="534" spans="2:44" hidden="1" x14ac:dyDescent="0.2">
      <c r="B534" s="1282">
        <f t="shared" si="137"/>
        <v>0</v>
      </c>
      <c r="C534" s="1707">
        <f>IFERROR(IF($B$515=0,0,VLOOKUP($B$515,Ingresos!$C$683:$P$701,3,FALSE)),0)</f>
        <v>0</v>
      </c>
      <c r="D534" s="1707">
        <f>IFERROR(IF($B$515=0,0,VLOOKUP($B$515,Ingresos!$C$683:$P$701,4,FALSE)),0)</f>
        <v>0</v>
      </c>
      <c r="E534" s="1707">
        <f>IFERROR(IF($B$515=0,0,VLOOKUP($B$515,Ingresos!$C$683:$P$701,5,FALSE)),0)</f>
        <v>0</v>
      </c>
      <c r="F534" s="1707">
        <f>IFERROR(IF($B$515=0,0,VLOOKUP($B$515,Ingresos!$C$683:$P$701,6,FALSE)),0)</f>
        <v>0</v>
      </c>
      <c r="G534" s="1707">
        <f>IFERROR(IF($B$515=0,0,VLOOKUP($B$515,Ingresos!$C$683:$P$701,7,FALSE)),0)</f>
        <v>0</v>
      </c>
      <c r="H534" s="1707">
        <f>IFERROR(IF($B$515=0,0,VLOOKUP($B$515,Ingresos!$C$683:$P$701,8,FALSE)),0)</f>
        <v>0</v>
      </c>
      <c r="I534" s="1707">
        <f>IFERROR(IF($B$515=0,0,VLOOKUP($B$515,Ingresos!$C$683:$P$701,9,FALSE)),0)</f>
        <v>0</v>
      </c>
      <c r="J534" s="1707">
        <f>IFERROR(IF($B$515=0,0,VLOOKUP($B$515,Ingresos!$C$683:$P$701,10,FALSE)),0)</f>
        <v>0</v>
      </c>
      <c r="K534" s="1707">
        <f>IFERROR(IF($B$515=0,0,VLOOKUP($B$515,Ingresos!$C$683:$P$701,11,FALSE)),0)</f>
        <v>0</v>
      </c>
      <c r="L534" s="1707">
        <f>IFERROR(IF($B$515=0,0,VLOOKUP($B$515,Ingresos!$C$683:$P$701,12,FALSE)),0)</f>
        <v>0</v>
      </c>
      <c r="M534" s="1707">
        <f>IFERROR(IF($B$515=0,0,VLOOKUP($B$515,Ingresos!$C$683:$P$701,13,FALSE)),0)</f>
        <v>0</v>
      </c>
      <c r="N534" s="1707">
        <f>IFERROR(IF($B$515=0,0,VLOOKUP($B$515,Ingresos!$C$683:$P$701,14,FALSE)),0)</f>
        <v>0</v>
      </c>
      <c r="AF534" s="141"/>
      <c r="AG534" s="254"/>
      <c r="AH534" s="254"/>
      <c r="AI534" s="254"/>
      <c r="AJ534" s="254"/>
      <c r="AK534" s="254"/>
      <c r="AL534" s="254"/>
      <c r="AM534" s="254"/>
      <c r="AN534" s="254"/>
      <c r="AO534" s="254"/>
      <c r="AP534" s="254"/>
      <c r="AQ534" s="254"/>
      <c r="AR534" s="254"/>
    </row>
    <row r="535" spans="2:44" hidden="1" x14ac:dyDescent="0.2">
      <c r="B535" s="1282">
        <f t="shared" si="137"/>
        <v>0</v>
      </c>
      <c r="C535" s="1707">
        <f>IFERROR(IF($B$515=0,0,VLOOKUP($B$515,Ingresos!$C$683:$P$701,3,FALSE)),0)</f>
        <v>0</v>
      </c>
      <c r="D535" s="1707">
        <f>IFERROR(IF($B$515=0,0,VLOOKUP($B$515,Ingresos!$C$683:$P$701,4,FALSE)),0)</f>
        <v>0</v>
      </c>
      <c r="E535" s="1707">
        <f>IFERROR(IF($B$515=0,0,VLOOKUP($B$515,Ingresos!$C$683:$P$701,5,FALSE)),0)</f>
        <v>0</v>
      </c>
      <c r="F535" s="1707">
        <f>IFERROR(IF($B$515=0,0,VLOOKUP($B$515,Ingresos!$C$683:$P$701,6,FALSE)),0)</f>
        <v>0</v>
      </c>
      <c r="G535" s="1707">
        <f>IFERROR(IF($B$515=0,0,VLOOKUP($B$515,Ingresos!$C$683:$P$701,7,FALSE)),0)</f>
        <v>0</v>
      </c>
      <c r="H535" s="1707">
        <f>IFERROR(IF($B$515=0,0,VLOOKUP($B$515,Ingresos!$C$683:$P$701,8,FALSE)),0)</f>
        <v>0</v>
      </c>
      <c r="I535" s="1707">
        <f>IFERROR(IF($B$515=0,0,VLOOKUP($B$515,Ingresos!$C$683:$P$701,9,FALSE)),0)</f>
        <v>0</v>
      </c>
      <c r="J535" s="1707">
        <f>IFERROR(IF($B$515=0,0,VLOOKUP($B$515,Ingresos!$C$683:$P$701,10,FALSE)),0)</f>
        <v>0</v>
      </c>
      <c r="K535" s="1707">
        <f>IFERROR(IF($B$515=0,0,VLOOKUP($B$515,Ingresos!$C$683:$P$701,11,FALSE)),0)</f>
        <v>0</v>
      </c>
      <c r="L535" s="1707">
        <f>IFERROR(IF($B$515=0,0,VLOOKUP($B$515,Ingresos!$C$683:$P$701,12,FALSE)),0)</f>
        <v>0</v>
      </c>
      <c r="M535" s="1707">
        <f>IFERROR(IF($B$515=0,0,VLOOKUP($B$515,Ingresos!$C$683:$P$701,13,FALSE)),0)</f>
        <v>0</v>
      </c>
      <c r="N535" s="1707">
        <f>IFERROR(IF($B$515=0,0,VLOOKUP($B$515,Ingresos!$C$683:$P$701,14,FALSE)),0)</f>
        <v>0</v>
      </c>
      <c r="AF535" s="141"/>
      <c r="AG535" s="254"/>
      <c r="AH535" s="254"/>
      <c r="AI535" s="254"/>
      <c r="AJ535" s="254"/>
      <c r="AK535" s="254"/>
      <c r="AL535" s="254"/>
      <c r="AM535" s="254"/>
      <c r="AN535" s="254"/>
      <c r="AO535" s="254"/>
      <c r="AP535" s="254"/>
      <c r="AQ535" s="254"/>
      <c r="AR535" s="254"/>
    </row>
    <row r="536" spans="2:44" hidden="1" x14ac:dyDescent="0.2">
      <c r="B536" s="1282">
        <f t="shared" si="137"/>
        <v>0</v>
      </c>
      <c r="C536" s="1707">
        <f>IFERROR(IF($B$515=0,0,VLOOKUP($B$515,Ingresos!$C$683:$P$701,3,FALSE)),0)</f>
        <v>0</v>
      </c>
      <c r="D536" s="1707">
        <f>IFERROR(IF($B$515=0,0,VLOOKUP($B$515,Ingresos!$C$683:$P$701,4,FALSE)),0)</f>
        <v>0</v>
      </c>
      <c r="E536" s="1707">
        <f>IFERROR(IF($B$515=0,0,VLOOKUP($B$515,Ingresos!$C$683:$P$701,5,FALSE)),0)</f>
        <v>0</v>
      </c>
      <c r="F536" s="1707">
        <f>IFERROR(IF($B$515=0,0,VLOOKUP($B$515,Ingresos!$C$683:$P$701,6,FALSE)),0)</f>
        <v>0</v>
      </c>
      <c r="G536" s="1707">
        <f>IFERROR(IF($B$515=0,0,VLOOKUP($B$515,Ingresos!$C$683:$P$701,7,FALSE)),0)</f>
        <v>0</v>
      </c>
      <c r="H536" s="1707">
        <f>IFERROR(IF($B$515=0,0,VLOOKUP($B$515,Ingresos!$C$683:$P$701,8,FALSE)),0)</f>
        <v>0</v>
      </c>
      <c r="I536" s="1707">
        <f>IFERROR(IF($B$515=0,0,VLOOKUP($B$515,Ingresos!$C$683:$P$701,9,FALSE)),0)</f>
        <v>0</v>
      </c>
      <c r="J536" s="1707">
        <f>IFERROR(IF($B$515=0,0,VLOOKUP($B$515,Ingresos!$C$683:$P$701,10,FALSE)),0)</f>
        <v>0</v>
      </c>
      <c r="K536" s="1707">
        <f>IFERROR(IF($B$515=0,0,VLOOKUP($B$515,Ingresos!$C$683:$P$701,11,FALSE)),0)</f>
        <v>0</v>
      </c>
      <c r="L536" s="1707">
        <f>IFERROR(IF($B$515=0,0,VLOOKUP($B$515,Ingresos!$C$683:$P$701,12,FALSE)),0)</f>
        <v>0</v>
      </c>
      <c r="M536" s="1707">
        <f>IFERROR(IF($B$515=0,0,VLOOKUP($B$515,Ingresos!$C$683:$P$701,13,FALSE)),0)</f>
        <v>0</v>
      </c>
      <c r="N536" s="1707">
        <f>IFERROR(IF($B$515=0,0,VLOOKUP($B$515,Ingresos!$C$683:$P$701,14,FALSE)),0)</f>
        <v>0</v>
      </c>
      <c r="AF536" s="141"/>
      <c r="AG536" s="254"/>
      <c r="AH536" s="254"/>
      <c r="AI536" s="254"/>
      <c r="AJ536" s="254"/>
      <c r="AK536" s="254"/>
      <c r="AL536" s="254"/>
      <c r="AM536" s="254"/>
      <c r="AN536" s="254"/>
      <c r="AO536" s="254"/>
      <c r="AP536" s="254"/>
      <c r="AQ536" s="254"/>
      <c r="AR536" s="254"/>
    </row>
    <row r="537" spans="2:44" hidden="1" x14ac:dyDescent="0.2">
      <c r="B537" s="1282">
        <f t="shared" si="137"/>
        <v>0</v>
      </c>
      <c r="C537" s="1707">
        <f>IFERROR(IF($B$515=0,0,VLOOKUP($B$515,Ingresos!$C$683:$P$701,3,FALSE)),0)</f>
        <v>0</v>
      </c>
      <c r="D537" s="1707">
        <f>IFERROR(IF($B$515=0,0,VLOOKUP($B$515,Ingresos!$C$683:$P$701,4,FALSE)),0)</f>
        <v>0</v>
      </c>
      <c r="E537" s="1707">
        <f>IFERROR(IF($B$515=0,0,VLOOKUP($B$515,Ingresos!$C$683:$P$701,5,FALSE)),0)</f>
        <v>0</v>
      </c>
      <c r="F537" s="1707">
        <f>IFERROR(IF($B$515=0,0,VLOOKUP($B$515,Ingresos!$C$683:$P$701,6,FALSE)),0)</f>
        <v>0</v>
      </c>
      <c r="G537" s="1707">
        <f>IFERROR(IF($B$515=0,0,VLOOKUP($B$515,Ingresos!$C$683:$P$701,7,FALSE)),0)</f>
        <v>0</v>
      </c>
      <c r="H537" s="1707">
        <f>IFERROR(IF($B$515=0,0,VLOOKUP($B$515,Ingresos!$C$683:$P$701,8,FALSE)),0)</f>
        <v>0</v>
      </c>
      <c r="I537" s="1707">
        <f>IFERROR(IF($B$515=0,0,VLOOKUP($B$515,Ingresos!$C$683:$P$701,9,FALSE)),0)</f>
        <v>0</v>
      </c>
      <c r="J537" s="1707">
        <f>IFERROR(IF($B$515=0,0,VLOOKUP($B$515,Ingresos!$C$683:$P$701,10,FALSE)),0)</f>
        <v>0</v>
      </c>
      <c r="K537" s="1707">
        <f>IFERROR(IF($B$515=0,0,VLOOKUP($B$515,Ingresos!$C$683:$P$701,11,FALSE)),0)</f>
        <v>0</v>
      </c>
      <c r="L537" s="1707">
        <f>IFERROR(IF($B$515=0,0,VLOOKUP($B$515,Ingresos!$C$683:$P$701,12,FALSE)),0)</f>
        <v>0</v>
      </c>
      <c r="M537" s="1707">
        <f>IFERROR(IF($B$515=0,0,VLOOKUP($B$515,Ingresos!$C$683:$P$701,13,FALSE)),0)</f>
        <v>0</v>
      </c>
      <c r="N537" s="1707">
        <f>IFERROR(IF($B$515=0,0,VLOOKUP($B$515,Ingresos!$C$683:$P$701,14,FALSE)),0)</f>
        <v>0</v>
      </c>
      <c r="AF537" s="141"/>
      <c r="AG537" s="254"/>
      <c r="AH537" s="254"/>
      <c r="AI537" s="254"/>
      <c r="AJ537" s="254"/>
      <c r="AK537" s="254"/>
      <c r="AL537" s="254"/>
      <c r="AM537" s="254"/>
      <c r="AN537" s="254"/>
      <c r="AO537" s="254"/>
      <c r="AP537" s="254"/>
      <c r="AQ537" s="254"/>
      <c r="AR537" s="254"/>
    </row>
    <row r="538" spans="2:44" hidden="1" x14ac:dyDescent="0.2">
      <c r="B538" s="1282">
        <f t="shared" si="137"/>
        <v>0</v>
      </c>
      <c r="C538" s="1707">
        <f>IFERROR(IF($B$515=0,0,VLOOKUP($B$515,Ingresos!$C$683:$P$701,3,FALSE)),0)</f>
        <v>0</v>
      </c>
      <c r="D538" s="1707">
        <f>IFERROR(IF($B$515=0,0,VLOOKUP($B$515,Ingresos!$C$683:$P$701,4,FALSE)),0)</f>
        <v>0</v>
      </c>
      <c r="E538" s="1707">
        <f>IFERROR(IF($B$515=0,0,VLOOKUP($B$515,Ingresos!$C$683:$P$701,5,FALSE)),0)</f>
        <v>0</v>
      </c>
      <c r="F538" s="1707">
        <f>IFERROR(IF($B$515=0,0,VLOOKUP($B$515,Ingresos!$C$683:$P$701,6,FALSE)),0)</f>
        <v>0</v>
      </c>
      <c r="G538" s="1707">
        <f>IFERROR(IF($B$515=0,0,VLOOKUP($B$515,Ingresos!$C$683:$P$701,7,FALSE)),0)</f>
        <v>0</v>
      </c>
      <c r="H538" s="1707">
        <f>IFERROR(IF($B$515=0,0,VLOOKUP($B$515,Ingresos!$C$683:$P$701,8,FALSE)),0)</f>
        <v>0</v>
      </c>
      <c r="I538" s="1707">
        <f>IFERROR(IF($B$515=0,0,VLOOKUP($B$515,Ingresos!$C$683:$P$701,9,FALSE)),0)</f>
        <v>0</v>
      </c>
      <c r="J538" s="1707">
        <f>IFERROR(IF($B$515=0,0,VLOOKUP($B$515,Ingresos!$C$683:$P$701,10,FALSE)),0)</f>
        <v>0</v>
      </c>
      <c r="K538" s="1707">
        <f>IFERROR(IF($B$515=0,0,VLOOKUP($B$515,Ingresos!$C$683:$P$701,11,FALSE)),0)</f>
        <v>0</v>
      </c>
      <c r="L538" s="1707">
        <f>IFERROR(IF($B$515=0,0,VLOOKUP($B$515,Ingresos!$C$683:$P$701,12,FALSE)),0)</f>
        <v>0</v>
      </c>
      <c r="M538" s="1707">
        <f>IFERROR(IF($B$515=0,0,VLOOKUP($B$515,Ingresos!$C$683:$P$701,13,FALSE)),0)</f>
        <v>0</v>
      </c>
      <c r="N538" s="1707">
        <f>IFERROR(IF($B$515=0,0,VLOOKUP($B$515,Ingresos!$C$683:$P$701,14,FALSE)),0)</f>
        <v>0</v>
      </c>
      <c r="AF538" s="141"/>
      <c r="AG538" s="254"/>
      <c r="AH538" s="254"/>
      <c r="AI538" s="254"/>
      <c r="AJ538" s="254"/>
      <c r="AK538" s="254"/>
      <c r="AL538" s="254"/>
      <c r="AM538" s="254"/>
      <c r="AN538" s="254"/>
      <c r="AO538" s="254"/>
      <c r="AP538" s="254"/>
      <c r="AQ538" s="254"/>
      <c r="AR538" s="254"/>
    </row>
    <row r="539" spans="2:44" hidden="1" x14ac:dyDescent="0.2">
      <c r="B539" s="1282">
        <f t="shared" si="137"/>
        <v>0</v>
      </c>
      <c r="C539" s="1707">
        <f>IFERROR(IF($B$515=0,0,VLOOKUP($B$515,Ingresos!$C$683:$P$701,3,FALSE)),0)</f>
        <v>0</v>
      </c>
      <c r="D539" s="1707">
        <f>IFERROR(IF($B$515=0,0,VLOOKUP($B$515,Ingresos!$C$683:$P$701,4,FALSE)),0)</f>
        <v>0</v>
      </c>
      <c r="E539" s="1707">
        <f>IFERROR(IF($B$515=0,0,VLOOKUP($B$515,Ingresos!$C$683:$P$701,5,FALSE)),0)</f>
        <v>0</v>
      </c>
      <c r="F539" s="1707">
        <f>IFERROR(IF($B$515=0,0,VLOOKUP($B$515,Ingresos!$C$683:$P$701,6,FALSE)),0)</f>
        <v>0</v>
      </c>
      <c r="G539" s="1707">
        <f>IFERROR(IF($B$515=0,0,VLOOKUP($B$515,Ingresos!$C$683:$P$701,7,FALSE)),0)</f>
        <v>0</v>
      </c>
      <c r="H539" s="1707">
        <f>IFERROR(IF($B$515=0,0,VLOOKUP($B$515,Ingresos!$C$683:$P$701,8,FALSE)),0)</f>
        <v>0</v>
      </c>
      <c r="I539" s="1707">
        <f>IFERROR(IF($B$515=0,0,VLOOKUP($B$515,Ingresos!$C$683:$P$701,9,FALSE)),0)</f>
        <v>0</v>
      </c>
      <c r="J539" s="1707">
        <f>IFERROR(IF($B$515=0,0,VLOOKUP($B$515,Ingresos!$C$683:$P$701,10,FALSE)),0)</f>
        <v>0</v>
      </c>
      <c r="K539" s="1707">
        <f>IFERROR(IF($B$515=0,0,VLOOKUP($B$515,Ingresos!$C$683:$P$701,11,FALSE)),0)</f>
        <v>0</v>
      </c>
      <c r="L539" s="1707">
        <f>IFERROR(IF($B$515=0,0,VLOOKUP($B$515,Ingresos!$C$683:$P$701,12,FALSE)),0)</f>
        <v>0</v>
      </c>
      <c r="M539" s="1707">
        <f>IFERROR(IF($B$515=0,0,VLOOKUP($B$515,Ingresos!$C$683:$P$701,13,FALSE)),0)</f>
        <v>0</v>
      </c>
      <c r="N539" s="1707">
        <f>IFERROR(IF($B$515=0,0,VLOOKUP($B$515,Ingresos!$C$683:$P$701,14,FALSE)),0)</f>
        <v>0</v>
      </c>
      <c r="AF539" s="141"/>
      <c r="AG539" s="254"/>
      <c r="AH539" s="254"/>
      <c r="AI539" s="254"/>
      <c r="AJ539" s="254"/>
      <c r="AK539" s="254"/>
      <c r="AL539" s="254"/>
      <c r="AM539" s="254"/>
      <c r="AN539" s="254"/>
      <c r="AO539" s="254"/>
      <c r="AP539" s="254"/>
      <c r="AQ539" s="254"/>
      <c r="AR539" s="254"/>
    </row>
    <row r="540" spans="2:44" hidden="1" x14ac:dyDescent="0.2">
      <c r="B540" s="1282">
        <f t="shared" si="137"/>
        <v>0</v>
      </c>
      <c r="C540" s="1707">
        <f>IFERROR(IF($B$515=0,0,VLOOKUP($B$515,Ingresos!$C$683:$P$701,3,FALSE)),0)</f>
        <v>0</v>
      </c>
      <c r="D540" s="1707">
        <f>IFERROR(IF($B$515=0,0,VLOOKUP($B$515,Ingresos!$C$683:$P$701,4,FALSE)),0)</f>
        <v>0</v>
      </c>
      <c r="E540" s="1707">
        <f>IFERROR(IF($B$515=0,0,VLOOKUP($B$515,Ingresos!$C$683:$P$701,5,FALSE)),0)</f>
        <v>0</v>
      </c>
      <c r="F540" s="1707">
        <f>IFERROR(IF($B$515=0,0,VLOOKUP($B$515,Ingresos!$C$683:$P$701,6,FALSE)),0)</f>
        <v>0</v>
      </c>
      <c r="G540" s="1707">
        <f>IFERROR(IF($B$515=0,0,VLOOKUP($B$515,Ingresos!$C$683:$P$701,7,FALSE)),0)</f>
        <v>0</v>
      </c>
      <c r="H540" s="1707">
        <f>IFERROR(IF($B$515=0,0,VLOOKUP($B$515,Ingresos!$C$683:$P$701,8,FALSE)),0)</f>
        <v>0</v>
      </c>
      <c r="I540" s="1707">
        <f>IFERROR(IF($B$515=0,0,VLOOKUP($B$515,Ingresos!$C$683:$P$701,9,FALSE)),0)</f>
        <v>0</v>
      </c>
      <c r="J540" s="1707">
        <f>IFERROR(IF($B$515=0,0,VLOOKUP($B$515,Ingresos!$C$683:$P$701,10,FALSE)),0)</f>
        <v>0</v>
      </c>
      <c r="K540" s="1707">
        <f>IFERROR(IF($B$515=0,0,VLOOKUP($B$515,Ingresos!$C$683:$P$701,11,FALSE)),0)</f>
        <v>0</v>
      </c>
      <c r="L540" s="1707">
        <f>IFERROR(IF($B$515=0,0,VLOOKUP($B$515,Ingresos!$C$683:$P$701,12,FALSE)),0)</f>
        <v>0</v>
      </c>
      <c r="M540" s="1707">
        <f>IFERROR(IF($B$515=0,0,VLOOKUP($B$515,Ingresos!$C$683:$P$701,13,FALSE)),0)</f>
        <v>0</v>
      </c>
      <c r="N540" s="1707">
        <f>IFERROR(IF($B$515=0,0,VLOOKUP($B$515,Ingresos!$C$683:$P$701,14,FALSE)),0)</f>
        <v>0</v>
      </c>
      <c r="AF540" s="141"/>
      <c r="AG540" s="254"/>
      <c r="AH540" s="254"/>
      <c r="AI540" s="254"/>
      <c r="AJ540" s="254"/>
      <c r="AK540" s="254"/>
      <c r="AL540" s="254"/>
      <c r="AM540" s="254"/>
      <c r="AN540" s="254"/>
      <c r="AO540" s="254"/>
      <c r="AP540" s="254"/>
      <c r="AQ540" s="254"/>
      <c r="AR540" s="254"/>
    </row>
    <row r="541" spans="2:44" hidden="1" x14ac:dyDescent="0.2">
      <c r="B541" s="1282">
        <f t="shared" si="137"/>
        <v>0</v>
      </c>
      <c r="C541" s="1707">
        <f>IFERROR(IF($B$515=0,0,VLOOKUP($B$515,Ingresos!$C$683:$P$701,3,FALSE)),0)</f>
        <v>0</v>
      </c>
      <c r="D541" s="1707">
        <f>IFERROR(IF($B$515=0,0,VLOOKUP($B$515,Ingresos!$C$683:$P$701,4,FALSE)),0)</f>
        <v>0</v>
      </c>
      <c r="E541" s="1707">
        <f>IFERROR(IF($B$515=0,0,VLOOKUP($B$515,Ingresos!$C$683:$P$701,5,FALSE)),0)</f>
        <v>0</v>
      </c>
      <c r="F541" s="1707">
        <f>IFERROR(IF($B$515=0,0,VLOOKUP($B$515,Ingresos!$C$683:$P$701,6,FALSE)),0)</f>
        <v>0</v>
      </c>
      <c r="G541" s="1707">
        <f>IFERROR(IF($B$515=0,0,VLOOKUP($B$515,Ingresos!$C$683:$P$701,7,FALSE)),0)</f>
        <v>0</v>
      </c>
      <c r="H541" s="1707">
        <f>IFERROR(IF($B$515=0,0,VLOOKUP($B$515,Ingresos!$C$683:$P$701,8,FALSE)),0)</f>
        <v>0</v>
      </c>
      <c r="I541" s="1707">
        <f>IFERROR(IF($B$515=0,0,VLOOKUP($B$515,Ingresos!$C$683:$P$701,9,FALSE)),0)</f>
        <v>0</v>
      </c>
      <c r="J541" s="1707">
        <f>IFERROR(IF($B$515=0,0,VLOOKUP($B$515,Ingresos!$C$683:$P$701,10,FALSE)),0)</f>
        <v>0</v>
      </c>
      <c r="K541" s="1707">
        <f>IFERROR(IF($B$515=0,0,VLOOKUP($B$515,Ingresos!$C$683:$P$701,11,FALSE)),0)</f>
        <v>0</v>
      </c>
      <c r="L541" s="1707">
        <f>IFERROR(IF($B$515=0,0,VLOOKUP($B$515,Ingresos!$C$683:$P$701,12,FALSE)),0)</f>
        <v>0</v>
      </c>
      <c r="M541" s="1707">
        <f>IFERROR(IF($B$515=0,0,VLOOKUP($B$515,Ingresos!$C$683:$P$701,13,FALSE)),0)</f>
        <v>0</v>
      </c>
      <c r="N541" s="1707">
        <f>IFERROR(IF($B$515=0,0,VLOOKUP($B$515,Ingresos!$C$683:$P$701,14,FALSE)),0)</f>
        <v>0</v>
      </c>
      <c r="AF541" s="141"/>
      <c r="AG541" s="254"/>
      <c r="AH541" s="254"/>
      <c r="AI541" s="254"/>
      <c r="AJ541" s="254"/>
      <c r="AK541" s="254"/>
      <c r="AL541" s="254"/>
      <c r="AM541" s="254"/>
      <c r="AN541" s="254"/>
      <c r="AO541" s="254"/>
      <c r="AP541" s="254"/>
      <c r="AQ541" s="254"/>
      <c r="AR541" s="254"/>
    </row>
    <row r="542" spans="2:44" hidden="1" x14ac:dyDescent="0.2">
      <c r="B542" s="1282">
        <f t="shared" si="137"/>
        <v>0</v>
      </c>
      <c r="C542" s="1707">
        <f>IFERROR(IF($B$515=0,0,VLOOKUP($B$515,Ingresos!$C$683:$P$701,3,FALSE)),0)</f>
        <v>0</v>
      </c>
      <c r="D542" s="1707">
        <f>IFERROR(IF($B$515=0,0,VLOOKUP($B$515,Ingresos!$C$683:$P$701,4,FALSE)),0)</f>
        <v>0</v>
      </c>
      <c r="E542" s="1707">
        <f>IFERROR(IF($B$515=0,0,VLOOKUP($B$515,Ingresos!$C$683:$P$701,5,FALSE)),0)</f>
        <v>0</v>
      </c>
      <c r="F542" s="1707">
        <f>IFERROR(IF($B$515=0,0,VLOOKUP($B$515,Ingresos!$C$683:$P$701,6,FALSE)),0)</f>
        <v>0</v>
      </c>
      <c r="G542" s="1707">
        <f>IFERROR(IF($B$515=0,0,VLOOKUP($B$515,Ingresos!$C$683:$P$701,7,FALSE)),0)</f>
        <v>0</v>
      </c>
      <c r="H542" s="1707">
        <f>IFERROR(IF($B$515=0,0,VLOOKUP($B$515,Ingresos!$C$683:$P$701,8,FALSE)),0)</f>
        <v>0</v>
      </c>
      <c r="I542" s="1707">
        <f>IFERROR(IF($B$515=0,0,VLOOKUP($B$515,Ingresos!$C$683:$P$701,9,FALSE)),0)</f>
        <v>0</v>
      </c>
      <c r="J542" s="1707">
        <f>IFERROR(IF($B$515=0,0,VLOOKUP($B$515,Ingresos!$C$683:$P$701,10,FALSE)),0)</f>
        <v>0</v>
      </c>
      <c r="K542" s="1707">
        <f>IFERROR(IF($B$515=0,0,VLOOKUP($B$515,Ingresos!$C$683:$P$701,11,FALSE)),0)</f>
        <v>0</v>
      </c>
      <c r="L542" s="1707">
        <f>IFERROR(IF($B$515=0,0,VLOOKUP($B$515,Ingresos!$C$683:$P$701,12,FALSE)),0)</f>
        <v>0</v>
      </c>
      <c r="M542" s="1707">
        <f>IFERROR(IF($B$515=0,0,VLOOKUP($B$515,Ingresos!$C$683:$P$701,13,FALSE)),0)</f>
        <v>0</v>
      </c>
      <c r="N542" s="1707">
        <f>IFERROR(IF($B$515=0,0,VLOOKUP($B$515,Ingresos!$C$683:$P$701,14,FALSE)),0)</f>
        <v>0</v>
      </c>
      <c r="AF542" s="141"/>
      <c r="AG542" s="254"/>
      <c r="AH542" s="254"/>
      <c r="AI542" s="254"/>
      <c r="AJ542" s="254"/>
      <c r="AK542" s="254"/>
      <c r="AL542" s="254"/>
      <c r="AM542" s="254"/>
      <c r="AN542" s="254"/>
      <c r="AO542" s="254"/>
      <c r="AP542" s="254"/>
      <c r="AQ542" s="254"/>
      <c r="AR542" s="254"/>
    </row>
    <row r="543" spans="2:44" hidden="1" x14ac:dyDescent="0.2">
      <c r="B543" s="1282">
        <f t="shared" si="137"/>
        <v>0</v>
      </c>
      <c r="C543" s="1707">
        <f>IFERROR(IF($B$515=0,0,VLOOKUP($B$515,Ingresos!$C$683:$P$701,3,FALSE)),0)</f>
        <v>0</v>
      </c>
      <c r="D543" s="1707">
        <f>IFERROR(IF($B$515=0,0,VLOOKUP($B$515,Ingresos!$C$683:$P$701,4,FALSE)),0)</f>
        <v>0</v>
      </c>
      <c r="E543" s="1707">
        <f>IFERROR(IF($B$515=0,0,VLOOKUP($B$515,Ingresos!$C$683:$P$701,5,FALSE)),0)</f>
        <v>0</v>
      </c>
      <c r="F543" s="1707">
        <f>IFERROR(IF($B$515=0,0,VLOOKUP($B$515,Ingresos!$C$683:$P$701,6,FALSE)),0)</f>
        <v>0</v>
      </c>
      <c r="G543" s="1707">
        <f>IFERROR(IF($B$515=0,0,VLOOKUP($B$515,Ingresos!$C$683:$P$701,7,FALSE)),0)</f>
        <v>0</v>
      </c>
      <c r="H543" s="1707">
        <f>IFERROR(IF($B$515=0,0,VLOOKUP($B$515,Ingresos!$C$683:$P$701,8,FALSE)),0)</f>
        <v>0</v>
      </c>
      <c r="I543" s="1707">
        <f>IFERROR(IF($B$515=0,0,VLOOKUP($B$515,Ingresos!$C$683:$P$701,9,FALSE)),0)</f>
        <v>0</v>
      </c>
      <c r="J543" s="1707">
        <f>IFERROR(IF($B$515=0,0,VLOOKUP($B$515,Ingresos!$C$683:$P$701,10,FALSE)),0)</f>
        <v>0</v>
      </c>
      <c r="K543" s="1707">
        <f>IFERROR(IF($B$515=0,0,VLOOKUP($B$515,Ingresos!$C$683:$P$701,11,FALSE)),0)</f>
        <v>0</v>
      </c>
      <c r="L543" s="1707">
        <f>IFERROR(IF($B$515=0,0,VLOOKUP($B$515,Ingresos!$C$683:$P$701,12,FALSE)),0)</f>
        <v>0</v>
      </c>
      <c r="M543" s="1707">
        <f>IFERROR(IF($B$515=0,0,VLOOKUP($B$515,Ingresos!$C$683:$P$701,13,FALSE)),0)</f>
        <v>0</v>
      </c>
      <c r="N543" s="1707">
        <f>IFERROR(IF($B$515=0,0,VLOOKUP($B$515,Ingresos!$C$683:$P$701,14,FALSE)),0)</f>
        <v>0</v>
      </c>
      <c r="AF543" s="141"/>
      <c r="AG543" s="254"/>
      <c r="AH543" s="254"/>
      <c r="AI543" s="254"/>
      <c r="AJ543" s="254"/>
      <c r="AK543" s="254"/>
      <c r="AL543" s="254"/>
      <c r="AM543" s="254"/>
      <c r="AN543" s="254"/>
      <c r="AO543" s="254"/>
      <c r="AP543" s="254"/>
      <c r="AQ543" s="254"/>
      <c r="AR543" s="254"/>
    </row>
    <row r="544" spans="2:44" hidden="1" x14ac:dyDescent="0.2">
      <c r="B544" s="1282">
        <f t="shared" si="137"/>
        <v>0</v>
      </c>
      <c r="C544" s="1707">
        <f>IFERROR(IF($B$515=0,0,VLOOKUP($B$515,Ingresos!$C$683:$P$701,3,FALSE)),0)</f>
        <v>0</v>
      </c>
      <c r="D544" s="1707">
        <f>IFERROR(IF($B$515=0,0,VLOOKUP($B$515,Ingresos!$C$683:$P$701,4,FALSE)),0)</f>
        <v>0</v>
      </c>
      <c r="E544" s="1707">
        <f>IFERROR(IF($B$515=0,0,VLOOKUP($B$515,Ingresos!$C$683:$P$701,5,FALSE)),0)</f>
        <v>0</v>
      </c>
      <c r="F544" s="1707">
        <f>IFERROR(IF($B$515=0,0,VLOOKUP($B$515,Ingresos!$C$683:$P$701,6,FALSE)),0)</f>
        <v>0</v>
      </c>
      <c r="G544" s="1707">
        <f>IFERROR(IF($B$515=0,0,VLOOKUP($B$515,Ingresos!$C$683:$P$701,7,FALSE)),0)</f>
        <v>0</v>
      </c>
      <c r="H544" s="1707">
        <f>IFERROR(IF($B$515=0,0,VLOOKUP($B$515,Ingresos!$C$683:$P$701,8,FALSE)),0)</f>
        <v>0</v>
      </c>
      <c r="I544" s="1707">
        <f>IFERROR(IF($B$515=0,0,VLOOKUP($B$515,Ingresos!$C$683:$P$701,9,FALSE)),0)</f>
        <v>0</v>
      </c>
      <c r="J544" s="1707">
        <f>IFERROR(IF($B$515=0,0,VLOOKUP($B$515,Ingresos!$C$683:$P$701,10,FALSE)),0)</f>
        <v>0</v>
      </c>
      <c r="K544" s="1707">
        <f>IFERROR(IF($B$515=0,0,VLOOKUP($B$515,Ingresos!$C$683:$P$701,11,FALSE)),0)</f>
        <v>0</v>
      </c>
      <c r="L544" s="1707">
        <f>IFERROR(IF($B$515=0,0,VLOOKUP($B$515,Ingresos!$C$683:$P$701,12,FALSE)),0)</f>
        <v>0</v>
      </c>
      <c r="M544" s="1707">
        <f>IFERROR(IF($B$515=0,0,VLOOKUP($B$515,Ingresos!$C$683:$P$701,13,FALSE)),0)</f>
        <v>0</v>
      </c>
      <c r="N544" s="1707">
        <f>IFERROR(IF($B$515=0,0,VLOOKUP($B$515,Ingresos!$C$683:$P$701,14,FALSE)),0)</f>
        <v>0</v>
      </c>
      <c r="AF544" s="141"/>
      <c r="AG544" s="254"/>
      <c r="AH544" s="254"/>
      <c r="AI544" s="254"/>
      <c r="AJ544" s="254"/>
      <c r="AK544" s="254"/>
      <c r="AL544" s="254"/>
      <c r="AM544" s="254"/>
      <c r="AN544" s="254"/>
      <c r="AO544" s="254"/>
      <c r="AP544" s="254"/>
      <c r="AQ544" s="254"/>
      <c r="AR544" s="254"/>
    </row>
    <row r="545" spans="2:44" hidden="1" x14ac:dyDescent="0.2">
      <c r="B545" s="1282">
        <f t="shared" si="137"/>
        <v>0</v>
      </c>
      <c r="C545" s="1707">
        <f>IFERROR(IF($B$515=0,0,VLOOKUP($B$515,Ingresos!$C$683:$P$701,3,FALSE)),0)</f>
        <v>0</v>
      </c>
      <c r="D545" s="1707">
        <f>IFERROR(IF($B$515=0,0,VLOOKUP($B$515,Ingresos!$C$683:$P$701,4,FALSE)),0)</f>
        <v>0</v>
      </c>
      <c r="E545" s="1707">
        <f>IFERROR(IF($B$515=0,0,VLOOKUP($B$515,Ingresos!$C$683:$P$701,5,FALSE)),0)</f>
        <v>0</v>
      </c>
      <c r="F545" s="1707">
        <f>IFERROR(IF($B$515=0,0,VLOOKUP($B$515,Ingresos!$C$683:$P$701,6,FALSE)),0)</f>
        <v>0</v>
      </c>
      <c r="G545" s="1707">
        <f>IFERROR(IF($B$515=0,0,VLOOKUP($B$515,Ingresos!$C$683:$P$701,7,FALSE)),0)</f>
        <v>0</v>
      </c>
      <c r="H545" s="1707">
        <f>IFERROR(IF($B$515=0,0,VLOOKUP($B$515,Ingresos!$C$683:$P$701,8,FALSE)),0)</f>
        <v>0</v>
      </c>
      <c r="I545" s="1707">
        <f>IFERROR(IF($B$515=0,0,VLOOKUP($B$515,Ingresos!$C$683:$P$701,9,FALSE)),0)</f>
        <v>0</v>
      </c>
      <c r="J545" s="1707">
        <f>IFERROR(IF($B$515=0,0,VLOOKUP($B$515,Ingresos!$C$683:$P$701,10,FALSE)),0)</f>
        <v>0</v>
      </c>
      <c r="K545" s="1707">
        <f>IFERROR(IF($B$515=0,0,VLOOKUP($B$515,Ingresos!$C$683:$P$701,11,FALSE)),0)</f>
        <v>0</v>
      </c>
      <c r="L545" s="1707">
        <f>IFERROR(IF($B$515=0,0,VLOOKUP($B$515,Ingresos!$C$683:$P$701,12,FALSE)),0)</f>
        <v>0</v>
      </c>
      <c r="M545" s="1707">
        <f>IFERROR(IF($B$515=0,0,VLOOKUP($B$515,Ingresos!$C$683:$P$701,13,FALSE)),0)</f>
        <v>0</v>
      </c>
      <c r="N545" s="1707">
        <f>IFERROR(IF($B$515=0,0,VLOOKUP($B$515,Ingresos!$C$683:$P$701,14,FALSE)),0)</f>
        <v>0</v>
      </c>
      <c r="AF545" s="141"/>
      <c r="AG545" s="254"/>
      <c r="AH545" s="254"/>
      <c r="AI545" s="254"/>
      <c r="AJ545" s="254"/>
      <c r="AK545" s="254"/>
      <c r="AL545" s="254"/>
      <c r="AM545" s="254"/>
      <c r="AN545" s="254"/>
      <c r="AO545" s="254"/>
      <c r="AP545" s="254"/>
      <c r="AQ545" s="254"/>
      <c r="AR545" s="254"/>
    </row>
    <row r="546" spans="2:44" hidden="1" x14ac:dyDescent="0.2">
      <c r="B546" s="1282">
        <f>B40</f>
        <v>0</v>
      </c>
      <c r="C546" s="1707">
        <f>IFERROR(IF($B$515=0,0,VLOOKUP($B$515,Ingresos!$C$683:$P$701,3,FALSE)),0)</f>
        <v>0</v>
      </c>
      <c r="D546" s="1707">
        <f>IFERROR(IF($B$515=0,0,VLOOKUP($B$515,Ingresos!$C$683:$P$701,4,FALSE)),0)</f>
        <v>0</v>
      </c>
      <c r="E546" s="1707">
        <f>IFERROR(IF($B$515=0,0,VLOOKUP($B$515,Ingresos!$C$683:$P$701,5,FALSE)),0)</f>
        <v>0</v>
      </c>
      <c r="F546" s="1707">
        <f>IFERROR(IF($B$515=0,0,VLOOKUP($B$515,Ingresos!$C$683:$P$701,6,FALSE)),0)</f>
        <v>0</v>
      </c>
      <c r="G546" s="1707">
        <f>IFERROR(IF($B$515=0,0,VLOOKUP($B$515,Ingresos!$C$683:$P$701,7,FALSE)),0)</f>
        <v>0</v>
      </c>
      <c r="H546" s="1707">
        <f>IFERROR(IF($B$515=0,0,VLOOKUP($B$515,Ingresos!$C$683:$P$701,8,FALSE)),0)</f>
        <v>0</v>
      </c>
      <c r="I546" s="1707">
        <f>IFERROR(IF($B$515=0,0,VLOOKUP($B$515,Ingresos!$C$683:$P$701,9,FALSE)),0)</f>
        <v>0</v>
      </c>
      <c r="J546" s="1707">
        <f>IFERROR(IF($B$515=0,0,VLOOKUP($B$515,Ingresos!$C$683:$P$701,10,FALSE)),0)</f>
        <v>0</v>
      </c>
      <c r="K546" s="1707">
        <f>IFERROR(IF($B$515=0,0,VLOOKUP($B$515,Ingresos!$C$683:$P$701,11,FALSE)),0)</f>
        <v>0</v>
      </c>
      <c r="L546" s="1707">
        <f>IFERROR(IF($B$515=0,0,VLOOKUP($B$515,Ingresos!$C$683:$P$701,12,FALSE)),0)</f>
        <v>0</v>
      </c>
      <c r="M546" s="1707">
        <f>IFERROR(IF($B$515=0,0,VLOOKUP($B$515,Ingresos!$C$683:$P$701,13,FALSE)),0)</f>
        <v>0</v>
      </c>
      <c r="N546" s="1707">
        <f>IFERROR(IF($B$515=0,0,VLOOKUP($B$515,Ingresos!$C$683:$P$701,14,FALSE)),0)</f>
        <v>0</v>
      </c>
      <c r="AF546" s="141"/>
      <c r="AG546" s="254"/>
      <c r="AH546" s="254"/>
      <c r="AI546" s="254"/>
      <c r="AJ546" s="254"/>
      <c r="AK546" s="254"/>
      <c r="AL546" s="254"/>
      <c r="AM546" s="254"/>
      <c r="AN546" s="254"/>
      <c r="AO546" s="254"/>
      <c r="AP546" s="254"/>
      <c r="AQ546" s="254"/>
      <c r="AR546" s="254"/>
    </row>
    <row r="547" spans="2:44" hidden="1" x14ac:dyDescent="0.2">
      <c r="B547" s="373"/>
      <c r="AF547" s="141"/>
      <c r="AG547" s="254"/>
      <c r="AH547" s="254"/>
      <c r="AI547" s="254"/>
      <c r="AJ547" s="254"/>
      <c r="AK547" s="254"/>
      <c r="AL547" s="254"/>
      <c r="AM547" s="254"/>
      <c r="AN547" s="254"/>
      <c r="AO547" s="254"/>
      <c r="AP547" s="254"/>
      <c r="AQ547" s="254"/>
      <c r="AR547" s="254"/>
    </row>
    <row r="548" spans="2:44" hidden="1" x14ac:dyDescent="0.2"/>
    <row r="549" spans="2:44" hidden="1" x14ac:dyDescent="0.2"/>
    <row r="550" spans="2:44" hidden="1" x14ac:dyDescent="0.2"/>
    <row r="551" spans="2:44" hidden="1" x14ac:dyDescent="0.2"/>
    <row r="552" spans="2:44" hidden="1" x14ac:dyDescent="0.2"/>
    <row r="553" spans="2:44" hidden="1" x14ac:dyDescent="0.2"/>
    <row r="554" spans="2:44" hidden="1" x14ac:dyDescent="0.2"/>
    <row r="555" spans="2:44" hidden="1" x14ac:dyDescent="0.2"/>
    <row r="556" spans="2:44" hidden="1" x14ac:dyDescent="0.2"/>
    <row r="557" spans="2:44" hidden="1" x14ac:dyDescent="0.2"/>
    <row r="558" spans="2:44" hidden="1" x14ac:dyDescent="0.2"/>
    <row r="559" spans="2:44" hidden="1" x14ac:dyDescent="0.2"/>
    <row r="560" spans="2:44"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sheetData>
  <sheetProtection algorithmName="SHA-512" hashValue="TQFuEIc+sFPqgKkQElDev5Ktvehsd0rzFkjOkHVMXsAPXx7m6GcFkUx4/0gPBHMGswMrkFwVfSjSVNFKVcw8sA==" saltValue="WYef4Q/ci1Nm9gS1x4rO4w==" spinCount="100000" sheet="1" objects="1" scenarios="1"/>
  <mergeCells count="6">
    <mergeCell ref="G4:H4"/>
    <mergeCell ref="E128:F128"/>
    <mergeCell ref="K3:L3"/>
    <mergeCell ref="F44:G44"/>
    <mergeCell ref="F56:G56"/>
    <mergeCell ref="E112:F112"/>
  </mergeCells>
  <phoneticPr fontId="4" type="noConversion"/>
  <conditionalFormatting sqref="B106">
    <cfRule type="cellIs" dxfId="8684" priority="4" operator="equal">
      <formula>0</formula>
    </cfRule>
  </conditionalFormatting>
  <conditionalFormatting sqref="C106:H106">
    <cfRule type="cellIs" dxfId="8683" priority="3" operator="equal">
      <formula>0</formula>
    </cfRule>
  </conditionalFormatting>
  <conditionalFormatting sqref="A106">
    <cfRule type="cellIs" dxfId="8682" priority="2" operator="equal">
      <formula>0</formula>
    </cfRule>
  </conditionalFormatting>
  <conditionalFormatting sqref="A1">
    <cfRule type="cellIs" dxfId="8681" priority="1" operator="equal">
      <formula>0</formula>
    </cfRule>
  </conditionalFormatting>
  <dataValidations xWindow="608" yWindow="660" count="1">
    <dataValidation allowBlank="1" showInputMessage="1" showErrorMessage="1" prompt="Ingresar las ton disponibles al inicio del ejercicio para venta a lo largo del año." sqref="D194:D205"/>
  </dataValidations>
  <hyperlinks>
    <hyperlink ref="H2" location="Precios!B106:H156" display="Confección de reservas de forraje excedente"/>
    <hyperlink ref="H3" location="Precios!B159:D179" display="Ganado "/>
    <hyperlink ref="K3" location="Precios!B157" display="Cultivos agrícolas "/>
    <hyperlink ref="A1" location="ManualGlobal!B27:D43" display="◄"/>
    <hyperlink ref="B2" location="Precios!B6:G40" display="Semillas "/>
    <hyperlink ref="B3" location="Precios!B43:G52" display="Fertilizantes"/>
    <hyperlink ref="C2" location="Precios!B55:G80" display="Agroquímicos "/>
    <hyperlink ref="C3" location="Precios!B84:G100" display="Labores "/>
    <hyperlink ref="E2" location="Precios!H84:K100" display="Cosecha, Hilerada "/>
    <hyperlink ref="E3" location="Precios!C102" display="Gasoil "/>
    <hyperlink ref="K2:L2" location="Precios!B182:D187" display="Concentrados cat. encerradas"/>
    <hyperlink ref="K3:L3" location="Precios!B190:G205" display="Cultivos agrícolas "/>
    <hyperlink ref="N2" location="Precios!C208" display="Reservas"/>
  </hyperlinks>
  <printOptions verticalCentered="1"/>
  <pageMargins left="0.94488188976377963" right="0.74803149606299213" top="0.27559055118110237" bottom="0.23622047244094491" header="0" footer="0"/>
  <pageSetup paperSize="9" orientation="portrait" horizontalDpi="4294967294"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T232"/>
  <sheetViews>
    <sheetView showGridLines="0" zoomScale="110" zoomScaleNormal="110" workbookViewId="0">
      <pane xSplit="2" ySplit="8" topLeftCell="C89" activePane="bottomRight" state="frozen"/>
      <selection pane="topRight" activeCell="C1" sqref="C1"/>
      <selection pane="bottomLeft" activeCell="A9" sqref="A9"/>
      <selection pane="bottomRight" activeCell="B93" sqref="B93"/>
    </sheetView>
  </sheetViews>
  <sheetFormatPr baseColWidth="10" defaultColWidth="11.375" defaultRowHeight="14.4" x14ac:dyDescent="0.2"/>
  <cols>
    <col min="1" max="1" width="5" style="275" customWidth="1"/>
    <col min="2" max="2" width="17.875" style="275" customWidth="1"/>
    <col min="3" max="3" width="10.875" style="275" customWidth="1"/>
    <col min="4" max="4" width="12.125" style="275" customWidth="1"/>
    <col min="5" max="8" width="9.375" style="275" customWidth="1"/>
    <col min="9" max="12" width="9.625" style="275" customWidth="1"/>
    <col min="13" max="24" width="6.625" style="275" customWidth="1"/>
    <col min="25" max="28" width="9.75" style="275" customWidth="1"/>
    <col min="29" max="40" width="7.25" style="232" hidden="1" customWidth="1"/>
    <col min="41" max="44" width="10.25" style="275" customWidth="1"/>
    <col min="45" max="56" width="6.875" style="275" hidden="1" customWidth="1"/>
    <col min="57" max="70" width="5.375" style="232" hidden="1" customWidth="1"/>
    <col min="71" max="71" width="4.875" style="232" hidden="1" customWidth="1"/>
    <col min="72" max="72" width="5.375" style="232" hidden="1" customWidth="1"/>
    <col min="73" max="84" width="6.75" style="232" hidden="1" customWidth="1"/>
    <col min="85" max="98" width="5.375" style="232" hidden="1" customWidth="1"/>
    <col min="99" max="16384" width="11.375" style="275"/>
  </cols>
  <sheetData>
    <row r="1" spans="1:98" ht="17.7" x14ac:dyDescent="0.3">
      <c r="A1" s="2443" t="s">
        <v>633</v>
      </c>
      <c r="B1" s="273" t="s">
        <v>1273</v>
      </c>
      <c r="C1" s="273"/>
      <c r="D1" s="111"/>
      <c r="E1" s="111"/>
      <c r="F1" s="590"/>
      <c r="G1" s="111"/>
      <c r="H1" s="111"/>
      <c r="I1" s="111"/>
      <c r="J1" s="111"/>
      <c r="K1" s="111"/>
      <c r="L1" s="111"/>
      <c r="M1" s="111"/>
      <c r="N1" s="111"/>
      <c r="O1" s="590"/>
      <c r="P1" s="590"/>
      <c r="Q1" s="590"/>
      <c r="R1" s="590"/>
      <c r="S1" s="111"/>
      <c r="T1" s="111"/>
      <c r="U1" s="111"/>
      <c r="V1" s="111"/>
      <c r="W1" s="111"/>
      <c r="X1" s="1422"/>
      <c r="Y1" s="1422"/>
      <c r="Z1" s="1422"/>
      <c r="AA1" s="1422"/>
      <c r="AB1" s="1422"/>
      <c r="AC1" s="1883" t="s">
        <v>1125</v>
      </c>
      <c r="AD1" s="1883"/>
      <c r="AE1" s="1883"/>
      <c r="AF1" s="1883"/>
      <c r="AG1" s="1883"/>
      <c r="AH1" s="1883"/>
      <c r="AI1" s="1883"/>
      <c r="AJ1" s="1883"/>
      <c r="AK1" s="1883"/>
      <c r="AL1" s="1883"/>
      <c r="AM1" s="1883"/>
      <c r="AN1" s="1883"/>
      <c r="AO1" s="111"/>
      <c r="AP1" s="111"/>
      <c r="AQ1" s="111"/>
      <c r="AR1" s="1423"/>
      <c r="AS1" s="1883" t="s">
        <v>1121</v>
      </c>
      <c r="AT1" s="1883"/>
      <c r="AU1" s="1883"/>
      <c r="AV1" s="1883"/>
      <c r="AW1" s="1883"/>
      <c r="AX1" s="1883"/>
      <c r="AY1" s="1883"/>
      <c r="AZ1" s="1883"/>
      <c r="BA1" s="1883"/>
      <c r="BB1" s="1883"/>
      <c r="BC1" s="1883"/>
      <c r="BD1" s="1883"/>
      <c r="BE1" s="1853"/>
      <c r="BF1" s="1853"/>
      <c r="BG1" s="1883"/>
      <c r="BH1" s="1883"/>
      <c r="BI1" s="1883"/>
      <c r="BJ1" s="1883"/>
      <c r="BK1" s="1883"/>
      <c r="BL1" s="1883"/>
      <c r="BM1" s="1883"/>
      <c r="BN1" s="1883"/>
      <c r="BO1" s="1883"/>
      <c r="BP1" s="1883"/>
      <c r="BQ1" s="1883"/>
      <c r="BR1" s="1883"/>
      <c r="BS1" s="1853"/>
      <c r="BT1" s="1853"/>
      <c r="BU1" s="1883"/>
      <c r="BV1" s="1883"/>
      <c r="BW1" s="1883"/>
      <c r="BX1" s="1883"/>
      <c r="BY1" s="1883"/>
      <c r="BZ1" s="1883"/>
      <c r="CA1" s="1883"/>
      <c r="CB1" s="1883"/>
      <c r="CC1" s="1883"/>
      <c r="CD1" s="1883"/>
      <c r="CE1" s="1883"/>
      <c r="CF1" s="1883"/>
      <c r="CG1" s="1853"/>
      <c r="CH1" s="1853"/>
      <c r="CI1" s="1883"/>
      <c r="CJ1" s="1883"/>
      <c r="CK1" s="1883"/>
      <c r="CL1" s="1883"/>
      <c r="CM1" s="1883"/>
      <c r="CN1" s="1883"/>
      <c r="CO1" s="1883"/>
      <c r="CP1" s="1883"/>
      <c r="CQ1" s="1883"/>
      <c r="CR1" s="1883"/>
      <c r="CS1" s="1883"/>
      <c r="CT1" s="1883"/>
    </row>
    <row r="2" spans="1:98" x14ac:dyDescent="0.3">
      <c r="A2" s="590"/>
      <c r="B2" s="598"/>
      <c r="C2" s="1424" t="s">
        <v>650</v>
      </c>
      <c r="D2" s="1424"/>
      <c r="E2" s="1424" t="s">
        <v>325</v>
      </c>
      <c r="F2" s="1424"/>
      <c r="G2" s="1424"/>
      <c r="H2" s="1424" t="s">
        <v>332</v>
      </c>
      <c r="I2" s="1424"/>
      <c r="J2" s="1424"/>
      <c r="K2" s="1424"/>
      <c r="L2" s="1424" t="s">
        <v>327</v>
      </c>
      <c r="M2" s="1424"/>
      <c r="N2" s="1424"/>
      <c r="O2" s="1424"/>
      <c r="P2" s="1425" t="s">
        <v>329</v>
      </c>
      <c r="Q2" s="1425"/>
      <c r="R2" s="1425"/>
      <c r="S2" s="1425"/>
      <c r="T2" s="590"/>
      <c r="U2" s="590"/>
      <c r="V2" s="590"/>
      <c r="W2" s="590"/>
      <c r="X2" s="1426"/>
      <c r="Y2" s="1422"/>
      <c r="Z2" s="1422"/>
      <c r="AA2" s="1422"/>
      <c r="AB2" s="1422"/>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c r="BA2" s="111"/>
      <c r="BB2" s="111"/>
      <c r="BC2" s="111"/>
      <c r="BD2" s="111"/>
      <c r="BE2" s="590"/>
      <c r="BF2" s="590"/>
      <c r="BG2" s="111"/>
      <c r="BH2" s="111"/>
      <c r="BI2" s="111"/>
      <c r="BJ2" s="111"/>
      <c r="BK2" s="111"/>
      <c r="BL2" s="111"/>
      <c r="BM2" s="111"/>
      <c r="BN2" s="111"/>
      <c r="BO2" s="111"/>
      <c r="BP2" s="111"/>
      <c r="BQ2" s="111"/>
      <c r="BR2" s="111"/>
      <c r="BS2" s="590"/>
      <c r="BT2" s="590"/>
      <c r="BU2" s="111"/>
      <c r="BV2" s="111"/>
      <c r="BW2" s="111"/>
      <c r="BX2" s="111"/>
      <c r="BY2" s="111"/>
      <c r="BZ2" s="111"/>
      <c r="CA2" s="111"/>
      <c r="CB2" s="111"/>
      <c r="CC2" s="111"/>
      <c r="CD2" s="111"/>
      <c r="CE2" s="111"/>
      <c r="CF2" s="111"/>
      <c r="CG2" s="590"/>
      <c r="CH2" s="590"/>
      <c r="CI2" s="111"/>
      <c r="CJ2" s="111"/>
      <c r="CK2" s="111"/>
      <c r="CL2" s="111"/>
      <c r="CM2" s="111"/>
      <c r="CN2" s="111"/>
      <c r="CO2" s="111"/>
      <c r="CP2" s="111"/>
      <c r="CQ2" s="111"/>
      <c r="CR2" s="111"/>
      <c r="CS2" s="111"/>
      <c r="CT2" s="111"/>
    </row>
    <row r="3" spans="1:98" ht="15.05" x14ac:dyDescent="0.3">
      <c r="A3" s="590"/>
      <c r="B3" s="598"/>
      <c r="C3" s="1424" t="s">
        <v>651</v>
      </c>
      <c r="D3" s="1424"/>
      <c r="E3" s="1424" t="s">
        <v>1192</v>
      </c>
      <c r="F3" s="1424"/>
      <c r="G3" s="1424"/>
      <c r="H3" s="1425" t="s">
        <v>333</v>
      </c>
      <c r="I3" s="1425"/>
      <c r="J3" s="1425"/>
      <c r="K3" s="1425"/>
      <c r="L3" s="1424" t="s">
        <v>477</v>
      </c>
      <c r="M3" s="1424"/>
      <c r="N3" s="1424"/>
      <c r="O3" s="1424"/>
      <c r="P3" s="590"/>
      <c r="Q3" s="590"/>
      <c r="R3" s="590"/>
      <c r="S3" s="111"/>
      <c r="T3" s="590"/>
      <c r="U3" s="590"/>
      <c r="V3" s="590"/>
      <c r="W3" s="590"/>
      <c r="X3" s="1426"/>
      <c r="Y3" s="1422"/>
      <c r="Z3" s="232"/>
      <c r="AA3" s="1422"/>
      <c r="AB3" s="1422"/>
      <c r="AC3" s="111"/>
      <c r="AD3" s="111"/>
      <c r="AE3" s="111"/>
      <c r="AF3" s="1888"/>
      <c r="AG3" s="598"/>
      <c r="AH3" s="111"/>
      <c r="AI3" s="111"/>
      <c r="AJ3" s="111"/>
      <c r="AK3" s="111"/>
      <c r="AL3" s="111"/>
      <c r="AM3" s="111"/>
      <c r="AN3" s="111"/>
      <c r="AO3" s="111"/>
      <c r="AP3" s="111"/>
      <c r="AQ3" s="111"/>
      <c r="AR3" s="111"/>
      <c r="AS3" s="111"/>
      <c r="AT3" s="111"/>
      <c r="AU3" s="111"/>
      <c r="AV3" s="111"/>
      <c r="AW3" s="111"/>
      <c r="AX3" s="111"/>
      <c r="AY3" s="111"/>
      <c r="AZ3" s="111"/>
      <c r="BA3" s="111"/>
      <c r="BB3" s="111"/>
      <c r="BC3" s="111"/>
      <c r="BD3" s="111"/>
      <c r="BE3" s="590"/>
      <c r="BF3" s="590"/>
      <c r="BG3" s="111"/>
      <c r="BH3" s="111"/>
      <c r="BI3" s="111"/>
      <c r="BJ3" s="111"/>
      <c r="BK3" s="111"/>
      <c r="BL3" s="111"/>
      <c r="BM3" s="111"/>
      <c r="BN3" s="111"/>
      <c r="BO3" s="111"/>
      <c r="BP3" s="111"/>
      <c r="BQ3" s="111"/>
      <c r="BR3" s="111"/>
      <c r="BS3" s="590"/>
      <c r="BT3" s="590"/>
      <c r="BU3" s="111"/>
      <c r="BV3" s="111"/>
      <c r="BW3" s="111"/>
      <c r="BX3" s="111"/>
      <c r="BY3" s="111"/>
      <c r="BZ3" s="111"/>
      <c r="CA3" s="111"/>
      <c r="CB3" s="111"/>
      <c r="CC3" s="111"/>
      <c r="CD3" s="111"/>
      <c r="CE3" s="111"/>
      <c r="CF3" s="111"/>
      <c r="CG3" s="590"/>
      <c r="CH3" s="590"/>
      <c r="CI3" s="111"/>
      <c r="CJ3" s="111"/>
      <c r="CK3" s="111"/>
      <c r="CL3" s="111"/>
      <c r="CM3" s="111"/>
      <c r="CN3" s="111"/>
      <c r="CO3" s="111"/>
      <c r="CP3" s="111"/>
      <c r="CQ3" s="111"/>
      <c r="CR3" s="111"/>
      <c r="CS3" s="111"/>
      <c r="CT3" s="111"/>
    </row>
    <row r="4" spans="1:98" x14ac:dyDescent="0.3">
      <c r="A4" s="590"/>
      <c r="B4" s="598"/>
      <c r="C4" s="1424" t="s">
        <v>32</v>
      </c>
      <c r="D4" s="1424"/>
      <c r="E4" s="590"/>
      <c r="F4" s="590"/>
      <c r="G4" s="590"/>
      <c r="H4" s="590"/>
      <c r="I4" s="590"/>
      <c r="J4" s="590"/>
      <c r="K4" s="590"/>
      <c r="L4" s="1424" t="s">
        <v>478</v>
      </c>
      <c r="M4" s="1424"/>
      <c r="N4" s="1424"/>
      <c r="O4" s="1424"/>
      <c r="P4" s="590"/>
      <c r="Q4" s="590"/>
      <c r="R4" s="590"/>
      <c r="S4" s="111"/>
      <c r="T4" s="590"/>
      <c r="U4" s="590"/>
      <c r="V4" s="590"/>
      <c r="W4" s="590"/>
      <c r="X4" s="1426"/>
      <c r="Y4" s="1422"/>
      <c r="Z4" s="1422"/>
      <c r="AA4" s="1422"/>
      <c r="AB4" s="1422"/>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590"/>
      <c r="BF4" s="590"/>
      <c r="BG4" s="111"/>
      <c r="BH4" s="111"/>
      <c r="BI4" s="111"/>
      <c r="BJ4" s="111"/>
      <c r="BK4" s="111"/>
      <c r="BL4" s="111"/>
      <c r="BM4" s="111"/>
      <c r="BN4" s="111"/>
      <c r="BO4" s="111"/>
      <c r="BP4" s="111"/>
      <c r="BQ4" s="111"/>
      <c r="BR4" s="111"/>
      <c r="BS4" s="590"/>
      <c r="BT4" s="590"/>
      <c r="BU4" s="111"/>
      <c r="BV4" s="111"/>
      <c r="BW4" s="111"/>
      <c r="BX4" s="111"/>
      <c r="BY4" s="111"/>
      <c r="BZ4" s="111"/>
      <c r="CA4" s="111"/>
      <c r="CB4" s="111"/>
      <c r="CC4" s="111"/>
      <c r="CD4" s="111"/>
      <c r="CE4" s="111"/>
      <c r="CF4" s="111"/>
      <c r="CG4" s="590"/>
      <c r="CH4" s="590"/>
      <c r="CI4" s="111"/>
      <c r="CJ4" s="111"/>
      <c r="CK4" s="111"/>
      <c r="CL4" s="111"/>
      <c r="CM4" s="111"/>
      <c r="CN4" s="111"/>
      <c r="CO4" s="111"/>
      <c r="CP4" s="111"/>
      <c r="CQ4" s="111"/>
      <c r="CR4" s="111"/>
      <c r="CS4" s="111"/>
      <c r="CT4" s="111"/>
    </row>
    <row r="5" spans="1:98" ht="15.05" thickBot="1" x14ac:dyDescent="0.35">
      <c r="A5" s="590"/>
      <c r="B5" s="598"/>
      <c r="C5" s="1424"/>
      <c r="D5" s="1424"/>
      <c r="E5" s="590"/>
      <c r="F5" s="590"/>
      <c r="G5" s="590"/>
      <c r="H5" s="590"/>
      <c r="I5" s="590"/>
      <c r="J5" s="590"/>
      <c r="K5" s="590"/>
      <c r="L5" s="1424"/>
      <c r="M5" s="1424"/>
      <c r="N5" s="1424"/>
      <c r="O5" s="1424"/>
      <c r="P5" s="590"/>
      <c r="Q5" s="590"/>
      <c r="R5" s="590"/>
      <c r="S5" s="111"/>
      <c r="T5" s="590"/>
      <c r="U5" s="590"/>
      <c r="V5" s="590"/>
      <c r="W5" s="590"/>
      <c r="X5" s="1426"/>
      <c r="Y5" s="1422"/>
      <c r="Z5" s="1422"/>
      <c r="AA5" s="1422"/>
      <c r="AB5" s="1422"/>
      <c r="AC5" s="111" t="s">
        <v>2041</v>
      </c>
      <c r="AD5" s="111"/>
      <c r="AE5" s="111"/>
      <c r="AF5" s="111"/>
      <c r="AG5" s="111"/>
      <c r="AH5" s="111"/>
      <c r="AI5" s="111"/>
      <c r="AJ5" s="111"/>
      <c r="AK5" s="111"/>
      <c r="AL5" s="111"/>
      <c r="AM5" s="111"/>
      <c r="AN5" s="111"/>
      <c r="AO5" s="111"/>
      <c r="AP5" s="111"/>
      <c r="AQ5" s="111"/>
      <c r="AR5" s="111"/>
      <c r="AS5" s="111" t="s">
        <v>2040</v>
      </c>
      <c r="AT5" s="111"/>
      <c r="AU5" s="111"/>
      <c r="AV5" s="111"/>
      <c r="AW5" s="111"/>
      <c r="AX5" s="111"/>
      <c r="AY5" s="111"/>
      <c r="AZ5" s="111"/>
      <c r="BA5" s="111"/>
      <c r="BB5" s="111"/>
      <c r="BC5" s="111"/>
      <c r="BD5" s="111"/>
      <c r="BE5" s="111" t="s">
        <v>2040</v>
      </c>
      <c r="BF5" s="590"/>
      <c r="BG5" s="111"/>
      <c r="BH5" s="111"/>
      <c r="BI5" s="111"/>
      <c r="BJ5" s="111"/>
      <c r="BK5" s="111"/>
      <c r="BL5" s="111"/>
      <c r="BM5" s="111"/>
      <c r="BN5" s="111"/>
      <c r="BO5" s="111"/>
      <c r="BP5" s="111"/>
      <c r="BQ5" s="111"/>
      <c r="BR5" s="111"/>
      <c r="BS5" s="111" t="s">
        <v>2040</v>
      </c>
      <c r="BT5" s="590"/>
      <c r="BU5" s="111"/>
      <c r="BV5" s="111"/>
      <c r="BW5" s="111"/>
      <c r="BX5" s="111"/>
      <c r="BY5" s="111"/>
      <c r="BZ5" s="111"/>
      <c r="CA5" s="111"/>
      <c r="CB5" s="111"/>
      <c r="CC5" s="111"/>
      <c r="CD5" s="111"/>
      <c r="CE5" s="111"/>
      <c r="CF5" s="111"/>
      <c r="CG5" s="111" t="s">
        <v>2040</v>
      </c>
      <c r="CH5" s="590"/>
      <c r="CI5" s="111"/>
      <c r="CJ5" s="111"/>
      <c r="CK5" s="111"/>
      <c r="CL5" s="111"/>
      <c r="CM5" s="111"/>
      <c r="CN5" s="111"/>
      <c r="CO5" s="111"/>
      <c r="CP5" s="111"/>
      <c r="CQ5" s="111"/>
      <c r="CR5" s="111"/>
      <c r="CS5" s="111"/>
      <c r="CT5" s="111"/>
    </row>
    <row r="6" spans="1:98" ht="15.75" thickBot="1" x14ac:dyDescent="0.25">
      <c r="A6" s="1344">
        <f>+Precios!A208+1</f>
        <v>28</v>
      </c>
      <c r="B6" s="229" t="s">
        <v>1184</v>
      </c>
      <c r="C6" s="618"/>
      <c r="D6" s="618"/>
      <c r="E6" s="618"/>
      <c r="F6" s="618"/>
      <c r="G6" s="618"/>
      <c r="H6" s="618"/>
      <c r="I6" s="618"/>
      <c r="J6" s="618"/>
      <c r="K6" s="618"/>
      <c r="L6" s="618"/>
      <c r="M6" s="618"/>
      <c r="N6" s="618"/>
      <c r="O6" s="618"/>
      <c r="P6" s="618"/>
      <c r="Q6" s="618"/>
      <c r="R6" s="618"/>
      <c r="S6" s="618"/>
      <c r="T6" s="618"/>
      <c r="U6" s="618"/>
      <c r="V6" s="618"/>
      <c r="W6" s="618"/>
      <c r="X6" s="618"/>
      <c r="Y6" s="618"/>
      <c r="Z6" s="618"/>
      <c r="AA6" s="618"/>
      <c r="AB6" s="619"/>
      <c r="AC6" s="1887"/>
      <c r="AD6" s="1884" t="s">
        <v>1164</v>
      </c>
      <c r="AE6" s="1885"/>
      <c r="AF6" s="1885"/>
      <c r="AG6" s="1885"/>
      <c r="AH6" s="1885"/>
      <c r="AI6" s="1885"/>
      <c r="AJ6" s="1885"/>
      <c r="AK6" s="1885"/>
      <c r="AL6" s="1885"/>
      <c r="AM6" s="1885"/>
      <c r="AN6" s="1886"/>
      <c r="AO6" s="618"/>
      <c r="AP6" s="618"/>
      <c r="AQ6" s="618"/>
      <c r="AR6" s="619"/>
      <c r="AS6" s="1856"/>
      <c r="AT6" s="1884" t="s">
        <v>1165</v>
      </c>
      <c r="AU6" s="1885"/>
      <c r="AV6" s="1885"/>
      <c r="AW6" s="1885"/>
      <c r="AX6" s="1885"/>
      <c r="AY6" s="1885"/>
      <c r="AZ6" s="1885"/>
      <c r="BA6" s="1885"/>
      <c r="BB6" s="1885"/>
      <c r="BC6" s="1885"/>
      <c r="BD6" s="1886"/>
      <c r="BE6" s="1884" t="s">
        <v>1166</v>
      </c>
      <c r="BF6" s="1885"/>
      <c r="BG6" s="1885"/>
      <c r="BH6" s="1885"/>
      <c r="BI6" s="1885"/>
      <c r="BJ6" s="1885"/>
      <c r="BK6" s="1885"/>
      <c r="BL6" s="1885"/>
      <c r="BM6" s="1885"/>
      <c r="BN6" s="1885"/>
      <c r="BO6" s="1885"/>
      <c r="BP6" s="1885"/>
      <c r="BQ6" s="1885"/>
      <c r="BR6" s="1886"/>
      <c r="BS6" s="1884" t="s">
        <v>1167</v>
      </c>
      <c r="BT6" s="1885"/>
      <c r="BU6" s="1885"/>
      <c r="BV6" s="1885"/>
      <c r="BW6" s="1885"/>
      <c r="BX6" s="1885"/>
      <c r="BY6" s="1885"/>
      <c r="BZ6" s="1885"/>
      <c r="CA6" s="1885"/>
      <c r="CB6" s="1885"/>
      <c r="CC6" s="1885"/>
      <c r="CD6" s="1885"/>
      <c r="CE6" s="1885"/>
      <c r="CF6" s="1886"/>
      <c r="CG6" s="1887"/>
      <c r="CH6" s="1884" t="s">
        <v>1168</v>
      </c>
      <c r="CI6" s="1885"/>
      <c r="CJ6" s="1885"/>
      <c r="CK6" s="1885"/>
      <c r="CL6" s="1885"/>
      <c r="CM6" s="1885"/>
      <c r="CN6" s="1885"/>
      <c r="CO6" s="1885"/>
      <c r="CP6" s="1885"/>
      <c r="CQ6" s="1885"/>
      <c r="CR6" s="1885"/>
      <c r="CS6" s="1885"/>
      <c r="CT6" s="1886"/>
    </row>
    <row r="7" spans="1:98" ht="29.45" x14ac:dyDescent="0.2">
      <c r="A7" s="590"/>
      <c r="B7" s="1408"/>
      <c r="C7" s="1409"/>
      <c r="D7" s="1410" t="s">
        <v>1274</v>
      </c>
      <c r="E7" s="5508" t="s">
        <v>331</v>
      </c>
      <c r="F7" s="5509"/>
      <c r="G7" s="5509"/>
      <c r="H7" s="5510"/>
      <c r="I7" s="5508" t="s">
        <v>1275</v>
      </c>
      <c r="J7" s="5509"/>
      <c r="K7" s="5509"/>
      <c r="L7" s="5510"/>
      <c r="M7" s="1351"/>
      <c r="N7" s="1411"/>
      <c r="O7" s="1411"/>
      <c r="P7" s="1411"/>
      <c r="Q7" s="1411"/>
      <c r="R7" s="2445" t="s">
        <v>1276</v>
      </c>
      <c r="S7" s="1411"/>
      <c r="T7" s="1411"/>
      <c r="U7" s="1411"/>
      <c r="V7" s="1411"/>
      <c r="W7" s="1411"/>
      <c r="X7" s="1412"/>
      <c r="Y7" s="1413"/>
      <c r="Z7" s="1414" t="s">
        <v>982</v>
      </c>
      <c r="AA7" s="1414"/>
      <c r="AB7" s="1415"/>
      <c r="AC7" s="815"/>
      <c r="AD7" s="1411"/>
      <c r="AE7" s="1411"/>
      <c r="AF7" s="1411"/>
      <c r="AG7" s="1411"/>
      <c r="AH7" s="1411"/>
      <c r="AI7" s="2445" t="s">
        <v>1170</v>
      </c>
      <c r="AJ7" s="1411"/>
      <c r="AK7" s="1411"/>
      <c r="AL7" s="1411"/>
      <c r="AM7" s="1411"/>
      <c r="AN7" s="1412"/>
      <c r="AO7" s="1413" t="s">
        <v>983</v>
      </c>
      <c r="AP7" s="1414"/>
      <c r="AQ7" s="1414"/>
      <c r="AR7" s="1415"/>
      <c r="AS7" s="1857"/>
      <c r="AT7" s="1411"/>
      <c r="AU7" s="1411"/>
      <c r="AV7" s="1411"/>
      <c r="AW7" s="1411"/>
      <c r="AX7" s="1411"/>
      <c r="AY7" s="2445" t="s">
        <v>1169</v>
      </c>
      <c r="AZ7" s="1411"/>
      <c r="BA7" s="1411"/>
      <c r="BB7" s="1411"/>
      <c r="BC7" s="1411"/>
      <c r="BD7" s="1412"/>
      <c r="BE7" s="2444" t="s">
        <v>984</v>
      </c>
      <c r="BF7" s="1412"/>
      <c r="BG7" s="1812"/>
      <c r="BH7" s="1812"/>
      <c r="BI7" s="1812"/>
      <c r="BJ7" s="1812"/>
      <c r="BK7" s="2445"/>
      <c r="BL7" s="2445" t="s">
        <v>1171</v>
      </c>
      <c r="BM7" s="1812"/>
      <c r="BN7" s="1812"/>
      <c r="BO7" s="1812"/>
      <c r="BP7" s="1812"/>
      <c r="BQ7" s="1812"/>
      <c r="BR7" s="1813"/>
      <c r="BS7" s="2444" t="s">
        <v>984</v>
      </c>
      <c r="BT7" s="1411"/>
      <c r="BU7" s="1414"/>
      <c r="BV7" s="1414"/>
      <c r="BW7" s="1414"/>
      <c r="BX7" s="1414"/>
      <c r="BY7" s="1414"/>
      <c r="BZ7" s="2445" t="s">
        <v>1170</v>
      </c>
      <c r="CA7" s="1414"/>
      <c r="CB7" s="1414"/>
      <c r="CC7" s="1414"/>
      <c r="CD7" s="1414"/>
      <c r="CE7" s="1414"/>
      <c r="CF7" s="1415"/>
      <c r="CG7" s="1814" t="s">
        <v>984</v>
      </c>
      <c r="CH7" s="1411"/>
      <c r="CI7" s="2445"/>
      <c r="CJ7" s="2445"/>
      <c r="CK7" s="2445"/>
      <c r="CL7" s="2445"/>
      <c r="CM7" s="2445"/>
      <c r="CN7" s="2445" t="s">
        <v>1169</v>
      </c>
      <c r="CO7" s="2445"/>
      <c r="CP7" s="2445"/>
      <c r="CQ7" s="2445"/>
      <c r="CR7" s="2445"/>
      <c r="CS7" s="2445"/>
      <c r="CT7" s="2446"/>
    </row>
    <row r="8" spans="1:98" ht="15.05" thickBot="1" x14ac:dyDescent="0.25">
      <c r="A8" s="590"/>
      <c r="B8" s="1416" t="s">
        <v>887</v>
      </c>
      <c r="C8" s="1417" t="s">
        <v>175</v>
      </c>
      <c r="D8" s="1417" t="s">
        <v>786</v>
      </c>
      <c r="E8" s="1418" t="s">
        <v>1559</v>
      </c>
      <c r="F8" s="1419" t="s">
        <v>1560</v>
      </c>
      <c r="G8" s="1419" t="s">
        <v>1561</v>
      </c>
      <c r="H8" s="1420" t="s">
        <v>1562</v>
      </c>
      <c r="I8" s="1418" t="s">
        <v>1559</v>
      </c>
      <c r="J8" s="1419" t="s">
        <v>1560</v>
      </c>
      <c r="K8" s="1419" t="s">
        <v>1561</v>
      </c>
      <c r="L8" s="1420" t="s">
        <v>1562</v>
      </c>
      <c r="M8" s="1421" t="s">
        <v>0</v>
      </c>
      <c r="N8" s="1421" t="s">
        <v>1</v>
      </c>
      <c r="O8" s="1421" t="s">
        <v>2</v>
      </c>
      <c r="P8" s="1421" t="s">
        <v>3</v>
      </c>
      <c r="Q8" s="1421" t="s">
        <v>4</v>
      </c>
      <c r="R8" s="1421" t="s">
        <v>5</v>
      </c>
      <c r="S8" s="1421" t="s">
        <v>6</v>
      </c>
      <c r="T8" s="1421" t="s">
        <v>7</v>
      </c>
      <c r="U8" s="1421" t="s">
        <v>316</v>
      </c>
      <c r="V8" s="1421" t="s">
        <v>8</v>
      </c>
      <c r="W8" s="1421" t="s">
        <v>9</v>
      </c>
      <c r="X8" s="1421" t="s">
        <v>10</v>
      </c>
      <c r="Y8" s="1418" t="s">
        <v>57</v>
      </c>
      <c r="Z8" s="1419" t="s">
        <v>58</v>
      </c>
      <c r="AA8" s="1419" t="s">
        <v>59</v>
      </c>
      <c r="AB8" s="1420" t="s">
        <v>60</v>
      </c>
      <c r="AC8" s="779" t="s">
        <v>0</v>
      </c>
      <c r="AD8" s="780" t="s">
        <v>1</v>
      </c>
      <c r="AE8" s="780" t="s">
        <v>2</v>
      </c>
      <c r="AF8" s="780" t="s">
        <v>3</v>
      </c>
      <c r="AG8" s="780" t="s">
        <v>4</v>
      </c>
      <c r="AH8" s="780" t="s">
        <v>5</v>
      </c>
      <c r="AI8" s="780" t="s">
        <v>6</v>
      </c>
      <c r="AJ8" s="780" t="s">
        <v>7</v>
      </c>
      <c r="AK8" s="780" t="s">
        <v>316</v>
      </c>
      <c r="AL8" s="780" t="s">
        <v>8</v>
      </c>
      <c r="AM8" s="780" t="s">
        <v>9</v>
      </c>
      <c r="AN8" s="806" t="s">
        <v>10</v>
      </c>
      <c r="AO8" s="1418" t="s">
        <v>57</v>
      </c>
      <c r="AP8" s="1419" t="s">
        <v>58</v>
      </c>
      <c r="AQ8" s="1419" t="s">
        <v>59</v>
      </c>
      <c r="AR8" s="1420" t="s">
        <v>60</v>
      </c>
      <c r="AS8" s="779" t="s">
        <v>0</v>
      </c>
      <c r="AT8" s="780" t="s">
        <v>1</v>
      </c>
      <c r="AU8" s="780" t="s">
        <v>2</v>
      </c>
      <c r="AV8" s="780" t="s">
        <v>3</v>
      </c>
      <c r="AW8" s="780" t="s">
        <v>4</v>
      </c>
      <c r="AX8" s="780" t="s">
        <v>5</v>
      </c>
      <c r="AY8" s="780" t="s">
        <v>6</v>
      </c>
      <c r="AZ8" s="780" t="s">
        <v>7</v>
      </c>
      <c r="BA8" s="780" t="s">
        <v>316</v>
      </c>
      <c r="BB8" s="780" t="s">
        <v>8</v>
      </c>
      <c r="BC8" s="780" t="s">
        <v>9</v>
      </c>
      <c r="BD8" s="806" t="s">
        <v>10</v>
      </c>
      <c r="BE8" s="775">
        <v>1</v>
      </c>
      <c r="BF8" s="1858"/>
      <c r="BG8" s="779" t="str">
        <f>UsoSuelo!G8</f>
        <v>Ene</v>
      </c>
      <c r="BH8" s="780" t="str">
        <f>UsoSuelo!H8</f>
        <v>Feb</v>
      </c>
      <c r="BI8" s="780" t="str">
        <f>UsoSuelo!I8</f>
        <v>Mar</v>
      </c>
      <c r="BJ8" s="780" t="str">
        <f>UsoSuelo!J8</f>
        <v>Abr</v>
      </c>
      <c r="BK8" s="780" t="str">
        <f>UsoSuelo!K8</f>
        <v>May</v>
      </c>
      <c r="BL8" s="780" t="str">
        <f>UsoSuelo!L8</f>
        <v>Jun</v>
      </c>
      <c r="BM8" s="780" t="str">
        <f>UsoSuelo!M8</f>
        <v>Jul</v>
      </c>
      <c r="BN8" s="780" t="str">
        <f>UsoSuelo!N8</f>
        <v>Ago</v>
      </c>
      <c r="BO8" s="780" t="str">
        <f>UsoSuelo!O8</f>
        <v>Set</v>
      </c>
      <c r="BP8" s="780" t="str">
        <f>UsoSuelo!P8</f>
        <v>Oct</v>
      </c>
      <c r="BQ8" s="780" t="str">
        <f>UsoSuelo!Q8</f>
        <v>Nov</v>
      </c>
      <c r="BR8" s="806" t="str">
        <f>UsoSuelo!R8</f>
        <v>Dic</v>
      </c>
      <c r="BS8" s="779">
        <v>1</v>
      </c>
      <c r="BT8" s="780"/>
      <c r="BU8" s="780" t="str">
        <f>UsoSuelo!G8</f>
        <v>Ene</v>
      </c>
      <c r="BV8" s="780" t="str">
        <f>UsoSuelo!H8</f>
        <v>Feb</v>
      </c>
      <c r="BW8" s="780" t="str">
        <f>UsoSuelo!I8</f>
        <v>Mar</v>
      </c>
      <c r="BX8" s="780" t="str">
        <f>UsoSuelo!J8</f>
        <v>Abr</v>
      </c>
      <c r="BY8" s="780" t="str">
        <f>UsoSuelo!K8</f>
        <v>May</v>
      </c>
      <c r="BZ8" s="780" t="str">
        <f>UsoSuelo!L8</f>
        <v>Jun</v>
      </c>
      <c r="CA8" s="780" t="str">
        <f>UsoSuelo!M8</f>
        <v>Jul</v>
      </c>
      <c r="CB8" s="780" t="str">
        <f>UsoSuelo!N8</f>
        <v>Ago</v>
      </c>
      <c r="CC8" s="780" t="str">
        <f>UsoSuelo!O8</f>
        <v>Set</v>
      </c>
      <c r="CD8" s="780" t="str">
        <f>UsoSuelo!P8</f>
        <v>Oct</v>
      </c>
      <c r="CE8" s="780" t="str">
        <f>UsoSuelo!Q8</f>
        <v>Nov</v>
      </c>
      <c r="CF8" s="806" t="str">
        <f>UsoSuelo!R8</f>
        <v>Dic</v>
      </c>
      <c r="CG8" s="779">
        <v>1</v>
      </c>
      <c r="CH8" s="780"/>
      <c r="CI8" s="780" t="str">
        <f>UsoSuelo!G8</f>
        <v>Ene</v>
      </c>
      <c r="CJ8" s="780" t="str">
        <f>UsoSuelo!H8</f>
        <v>Feb</v>
      </c>
      <c r="CK8" s="780" t="str">
        <f>UsoSuelo!I8</f>
        <v>Mar</v>
      </c>
      <c r="CL8" s="780" t="str">
        <f>UsoSuelo!J8</f>
        <v>Abr</v>
      </c>
      <c r="CM8" s="780" t="str">
        <f>UsoSuelo!K8</f>
        <v>May</v>
      </c>
      <c r="CN8" s="780" t="str">
        <f>UsoSuelo!L8</f>
        <v>Jun</v>
      </c>
      <c r="CO8" s="780" t="str">
        <f>UsoSuelo!M8</f>
        <v>Jul</v>
      </c>
      <c r="CP8" s="780" t="str">
        <f>UsoSuelo!N8</f>
        <v>Ago</v>
      </c>
      <c r="CQ8" s="780" t="str">
        <f>UsoSuelo!O8</f>
        <v>Set</v>
      </c>
      <c r="CR8" s="780" t="str">
        <f>UsoSuelo!P8</f>
        <v>Oct</v>
      </c>
      <c r="CS8" s="780" t="str">
        <f>UsoSuelo!Q8</f>
        <v>Nov</v>
      </c>
      <c r="CT8" s="806" t="str">
        <f>UsoSuelo!R8</f>
        <v>Dic</v>
      </c>
    </row>
    <row r="9" spans="1:98" s="232" customFormat="1" ht="15.05" thickBot="1" x14ac:dyDescent="0.25">
      <c r="A9" s="590"/>
      <c r="B9" s="1429" t="s">
        <v>31</v>
      </c>
      <c r="C9" s="1428"/>
      <c r="D9" s="1428"/>
      <c r="E9" s="1428"/>
      <c r="F9" s="1428"/>
      <c r="G9" s="1428"/>
      <c r="H9" s="1428"/>
      <c r="I9" s="1428"/>
      <c r="J9" s="1428"/>
      <c r="K9" s="1428"/>
      <c r="L9" s="1428"/>
      <c r="M9" s="1428"/>
      <c r="N9" s="1428"/>
      <c r="O9" s="1428"/>
      <c r="P9" s="1428"/>
      <c r="Q9" s="1428"/>
      <c r="R9" s="1428"/>
      <c r="S9" s="1428"/>
      <c r="T9" s="1428"/>
      <c r="U9" s="1428"/>
      <c r="V9" s="1428"/>
      <c r="W9" s="1428"/>
      <c r="X9" s="1428"/>
      <c r="Y9" s="1428"/>
      <c r="Z9" s="1428"/>
      <c r="AA9" s="1428"/>
      <c r="AB9" s="1428"/>
      <c r="AC9" s="1859"/>
      <c r="AD9" s="1285"/>
      <c r="AE9" s="1285"/>
      <c r="AF9" s="1285"/>
      <c r="AG9" s="1285"/>
      <c r="AH9" s="1285"/>
      <c r="AI9" s="1285"/>
      <c r="AJ9" s="1285"/>
      <c r="AK9" s="1285"/>
      <c r="AL9" s="1285"/>
      <c r="AM9" s="1285"/>
      <c r="AN9" s="1430"/>
      <c r="AO9" s="1285"/>
      <c r="AP9" s="1285"/>
      <c r="AQ9" s="1285"/>
      <c r="AR9" s="1430"/>
      <c r="AS9" s="1859"/>
      <c r="AT9" s="1285"/>
      <c r="AU9" s="1285"/>
      <c r="AV9" s="1285"/>
      <c r="AW9" s="1285"/>
      <c r="AX9" s="1285"/>
      <c r="AY9" s="1285"/>
      <c r="AZ9" s="1285"/>
      <c r="BA9" s="1285"/>
      <c r="BB9" s="1285"/>
      <c r="BC9" s="1285"/>
      <c r="BD9" s="1430"/>
      <c r="BE9" s="1837">
        <f>+BE8+1</f>
        <v>2</v>
      </c>
      <c r="BF9" s="1860"/>
      <c r="BG9" s="1861"/>
      <c r="BH9" s="1862"/>
      <c r="BI9" s="1862"/>
      <c r="BJ9" s="1862"/>
      <c r="BK9" s="1862"/>
      <c r="BL9" s="1862"/>
      <c r="BM9" s="1862"/>
      <c r="BN9" s="1862"/>
      <c r="BO9" s="1862"/>
      <c r="BP9" s="1862"/>
      <c r="BQ9" s="1862"/>
      <c r="BR9" s="1863"/>
      <c r="BS9" s="1864">
        <f>+BS8+1</f>
        <v>2</v>
      </c>
      <c r="BT9" s="1862"/>
      <c r="BU9" s="1862"/>
      <c r="BV9" s="1862"/>
      <c r="BW9" s="1862"/>
      <c r="BX9" s="1862"/>
      <c r="BY9" s="1862"/>
      <c r="BZ9" s="1862"/>
      <c r="CA9" s="1862"/>
      <c r="CB9" s="1862"/>
      <c r="CC9" s="1862"/>
      <c r="CD9" s="1862"/>
      <c r="CE9" s="1862"/>
      <c r="CF9" s="1863"/>
      <c r="CG9" s="1864">
        <f>+CG8+1</f>
        <v>2</v>
      </c>
      <c r="CH9" s="1862"/>
      <c r="CI9" s="1862"/>
      <c r="CJ9" s="1862"/>
      <c r="CK9" s="1862"/>
      <c r="CL9" s="1862"/>
      <c r="CM9" s="1862"/>
      <c r="CN9" s="1862"/>
      <c r="CO9" s="1862"/>
      <c r="CP9" s="1862"/>
      <c r="CQ9" s="1862"/>
      <c r="CR9" s="1862"/>
      <c r="CS9" s="1862"/>
      <c r="CT9" s="1863"/>
    </row>
    <row r="10" spans="1:98" x14ac:dyDescent="0.2">
      <c r="A10" s="739"/>
      <c r="B10" s="5015" t="s">
        <v>35</v>
      </c>
      <c r="C10" s="276" t="s">
        <v>346</v>
      </c>
      <c r="D10" s="5016">
        <v>2000</v>
      </c>
      <c r="E10" s="5017">
        <v>22</v>
      </c>
      <c r="F10" s="5018">
        <v>18</v>
      </c>
      <c r="G10" s="5018">
        <v>52</v>
      </c>
      <c r="H10" s="817">
        <f>100-SUM(E10:G10)</f>
        <v>8</v>
      </c>
      <c r="I10" s="775">
        <f t="shared" ref="I10:L41" si="0">+$D10*E10/100</f>
        <v>440</v>
      </c>
      <c r="J10" s="111">
        <f t="shared" si="0"/>
        <v>360</v>
      </c>
      <c r="K10" s="111">
        <f t="shared" si="0"/>
        <v>1040</v>
      </c>
      <c r="L10" s="817">
        <f t="shared" si="0"/>
        <v>160</v>
      </c>
      <c r="M10" s="5018">
        <f>L10/3</f>
        <v>53.333333333333336</v>
      </c>
      <c r="N10" s="5018">
        <f>L10/3</f>
        <v>53.333333333333336</v>
      </c>
      <c r="O10" s="5018">
        <f>I10/3</f>
        <v>146.66666666666666</v>
      </c>
      <c r="P10" s="5018">
        <f>I10/3</f>
        <v>146.66666666666666</v>
      </c>
      <c r="Q10" s="5018">
        <f t="shared" ref="Q10:R12" si="1">I10/3</f>
        <v>146.66666666666666</v>
      </c>
      <c r="R10" s="5018">
        <f t="shared" si="1"/>
        <v>120</v>
      </c>
      <c r="S10" s="5018">
        <f>J10/3</f>
        <v>120</v>
      </c>
      <c r="T10" s="5018">
        <f>J10/3</f>
        <v>120</v>
      </c>
      <c r="U10" s="5018">
        <f t="shared" ref="T10:U12" si="2">K10/3</f>
        <v>346.66666666666669</v>
      </c>
      <c r="V10" s="5018">
        <f>K10/3</f>
        <v>346.66666666666669</v>
      </c>
      <c r="W10" s="5018">
        <f>K10/3</f>
        <v>346.66666666666669</v>
      </c>
      <c r="X10" s="5018">
        <f t="shared" ref="W10:X12" si="3">L10/3</f>
        <v>53.333333333333336</v>
      </c>
      <c r="Y10" s="5019">
        <v>9.2200000000000006</v>
      </c>
      <c r="Z10" s="5020">
        <v>9.15</v>
      </c>
      <c r="AA10" s="755">
        <v>10.75</v>
      </c>
      <c r="AB10" s="756">
        <v>8.6300000000000008</v>
      </c>
      <c r="AC10" s="1867">
        <f>AB10/100</f>
        <v>8.6300000000000002E-2</v>
      </c>
      <c r="AD10" s="1867">
        <f>AB10/100</f>
        <v>8.6300000000000002E-2</v>
      </c>
      <c r="AE10" s="1867">
        <f>Y10/100</f>
        <v>9.2200000000000004E-2</v>
      </c>
      <c r="AF10" s="1867">
        <f>Y10/100</f>
        <v>9.2200000000000004E-2</v>
      </c>
      <c r="AG10" s="1867">
        <f>Y10/100</f>
        <v>9.2200000000000004E-2</v>
      </c>
      <c r="AH10" s="1867">
        <f>Z10/100</f>
        <v>9.1499999999999998E-2</v>
      </c>
      <c r="AI10" s="1867">
        <f>Z10/100</f>
        <v>9.1499999999999998E-2</v>
      </c>
      <c r="AJ10" s="1867">
        <f>Z10/100</f>
        <v>9.1499999999999998E-2</v>
      </c>
      <c r="AK10" s="1867">
        <f>AA10/100</f>
        <v>0.1075</v>
      </c>
      <c r="AL10" s="1867">
        <f>AA10/100</f>
        <v>0.1075</v>
      </c>
      <c r="AM10" s="1867">
        <f>AA10/100</f>
        <v>0.1075</v>
      </c>
      <c r="AN10" s="1868">
        <f>AB10/100</f>
        <v>8.6300000000000002E-2</v>
      </c>
      <c r="AO10" s="749">
        <v>2.08</v>
      </c>
      <c r="AP10" s="284">
        <v>2.09</v>
      </c>
      <c r="AQ10" s="284">
        <v>2.1</v>
      </c>
      <c r="AR10" s="750">
        <v>2.04</v>
      </c>
      <c r="AS10" s="800">
        <f>AR10</f>
        <v>2.04</v>
      </c>
      <c r="AT10" s="800">
        <f>AR10</f>
        <v>2.04</v>
      </c>
      <c r="AU10" s="800">
        <f>AO10</f>
        <v>2.08</v>
      </c>
      <c r="AV10" s="800">
        <f>AO10</f>
        <v>2.08</v>
      </c>
      <c r="AW10" s="800">
        <f>AO10</f>
        <v>2.08</v>
      </c>
      <c r="AX10" s="800">
        <f>AP10</f>
        <v>2.09</v>
      </c>
      <c r="AY10" s="800">
        <f>AP10</f>
        <v>2.09</v>
      </c>
      <c r="AZ10" s="800">
        <f>AP10</f>
        <v>2.09</v>
      </c>
      <c r="BA10" s="800">
        <f>AQ10</f>
        <v>2.1</v>
      </c>
      <c r="BB10" s="800">
        <f>AQ10</f>
        <v>2.1</v>
      </c>
      <c r="BC10" s="800">
        <f>AQ10</f>
        <v>2.1</v>
      </c>
      <c r="BD10" s="1865">
        <f>AR10</f>
        <v>2.04</v>
      </c>
      <c r="BE10" s="1866">
        <f t="shared" ref="BE10:BE50" si="4">BE9+1</f>
        <v>3</v>
      </c>
      <c r="BF10" s="1411"/>
      <c r="BG10" s="775">
        <f>HLOOKUP(BG$8,$M$8:$X$50,$BE10,FALSE)</f>
        <v>53.333333333333336</v>
      </c>
      <c r="BH10" s="111">
        <f t="shared" ref="BH10:BR18" si="5">HLOOKUP(BH$8,$M$8:$X$50,$BE10,FALSE)</f>
        <v>53.333333333333336</v>
      </c>
      <c r="BI10" s="111">
        <f t="shared" si="5"/>
        <v>146.66666666666666</v>
      </c>
      <c r="BJ10" s="111">
        <f t="shared" si="5"/>
        <v>146.66666666666666</v>
      </c>
      <c r="BK10" s="111">
        <f t="shared" si="5"/>
        <v>146.66666666666666</v>
      </c>
      <c r="BL10" s="111">
        <f t="shared" si="5"/>
        <v>120</v>
      </c>
      <c r="BM10" s="111">
        <f t="shared" si="5"/>
        <v>120</v>
      </c>
      <c r="BN10" s="111">
        <f t="shared" si="5"/>
        <v>120</v>
      </c>
      <c r="BO10" s="111">
        <f t="shared" si="5"/>
        <v>346.66666666666669</v>
      </c>
      <c r="BP10" s="111">
        <f t="shared" si="5"/>
        <v>346.66666666666669</v>
      </c>
      <c r="BQ10" s="111">
        <f t="shared" si="5"/>
        <v>346.66666666666669</v>
      </c>
      <c r="BR10" s="817">
        <f t="shared" si="5"/>
        <v>53.333333333333336</v>
      </c>
      <c r="BS10" s="775">
        <f>+BS9+1</f>
        <v>3</v>
      </c>
      <c r="BT10" s="111"/>
      <c r="BU10" s="1867">
        <f>HLOOKUP(BU$8,$AC$8:$AN$50,$BS10,FALSE)</f>
        <v>8.6300000000000002E-2</v>
      </c>
      <c r="BV10" s="1867">
        <f t="shared" ref="BV10:CF18" si="6">HLOOKUP(BV$8,$AC$8:$AN$50,$BS10,FALSE)</f>
        <v>8.6300000000000002E-2</v>
      </c>
      <c r="BW10" s="1867">
        <f t="shared" si="6"/>
        <v>9.2200000000000004E-2</v>
      </c>
      <c r="BX10" s="1867">
        <f t="shared" si="6"/>
        <v>9.2200000000000004E-2</v>
      </c>
      <c r="BY10" s="1867">
        <f t="shared" si="6"/>
        <v>9.2200000000000004E-2</v>
      </c>
      <c r="BZ10" s="1867">
        <f t="shared" si="6"/>
        <v>9.1499999999999998E-2</v>
      </c>
      <c r="CA10" s="1867">
        <f t="shared" si="6"/>
        <v>9.1499999999999998E-2</v>
      </c>
      <c r="CB10" s="1867">
        <f t="shared" si="6"/>
        <v>9.1499999999999998E-2</v>
      </c>
      <c r="CC10" s="1867">
        <f t="shared" si="6"/>
        <v>0.1075</v>
      </c>
      <c r="CD10" s="1867">
        <f t="shared" si="6"/>
        <v>0.1075</v>
      </c>
      <c r="CE10" s="1867">
        <f t="shared" si="6"/>
        <v>0.1075</v>
      </c>
      <c r="CF10" s="1867">
        <f t="shared" si="6"/>
        <v>8.6300000000000002E-2</v>
      </c>
      <c r="CG10" s="775">
        <f>+CG9+1</f>
        <v>3</v>
      </c>
      <c r="CH10" s="111"/>
      <c r="CI10" s="800">
        <f>HLOOKUP(CI$8,$AS$8:$BD$63,$CG10,FALSE)</f>
        <v>2.04</v>
      </c>
      <c r="CJ10" s="800">
        <f t="shared" ref="CJ10:CT18" si="7">HLOOKUP(CJ$8,$AS$8:$BD$63,$CG10,FALSE)</f>
        <v>2.04</v>
      </c>
      <c r="CK10" s="800">
        <f t="shared" si="7"/>
        <v>2.08</v>
      </c>
      <c r="CL10" s="800">
        <f t="shared" si="7"/>
        <v>2.08</v>
      </c>
      <c r="CM10" s="800">
        <f t="shared" si="7"/>
        <v>2.08</v>
      </c>
      <c r="CN10" s="800">
        <f t="shared" si="7"/>
        <v>2.09</v>
      </c>
      <c r="CO10" s="800">
        <f t="shared" si="7"/>
        <v>2.09</v>
      </c>
      <c r="CP10" s="800">
        <f t="shared" si="7"/>
        <v>2.09</v>
      </c>
      <c r="CQ10" s="800">
        <f t="shared" si="7"/>
        <v>2.1</v>
      </c>
      <c r="CR10" s="800">
        <f t="shared" si="7"/>
        <v>2.1</v>
      </c>
      <c r="CS10" s="800">
        <f t="shared" si="7"/>
        <v>2.1</v>
      </c>
      <c r="CT10" s="800">
        <f t="shared" si="7"/>
        <v>2.04</v>
      </c>
    </row>
    <row r="11" spans="1:98" x14ac:dyDescent="0.2">
      <c r="A11" s="590"/>
      <c r="B11" s="5015" t="s">
        <v>90</v>
      </c>
      <c r="C11" s="276" t="s">
        <v>346</v>
      </c>
      <c r="D11" s="5016">
        <v>4000</v>
      </c>
      <c r="E11" s="5017">
        <v>26</v>
      </c>
      <c r="F11" s="5018">
        <v>19</v>
      </c>
      <c r="G11" s="5018">
        <v>36</v>
      </c>
      <c r="H11" s="817">
        <f t="shared" ref="H11:H19" si="8">100-SUM(E11:G11)</f>
        <v>19</v>
      </c>
      <c r="I11" s="775">
        <f t="shared" si="0"/>
        <v>1040</v>
      </c>
      <c r="J11" s="111">
        <f t="shared" si="0"/>
        <v>760</v>
      </c>
      <c r="K11" s="111">
        <f t="shared" si="0"/>
        <v>1440</v>
      </c>
      <c r="L11" s="817">
        <f t="shared" si="0"/>
        <v>760</v>
      </c>
      <c r="M11" s="5018">
        <f>L11/3</f>
        <v>253.33333333333334</v>
      </c>
      <c r="N11" s="5018">
        <f>L11/3</f>
        <v>253.33333333333334</v>
      </c>
      <c r="O11" s="5018">
        <f>I11/3</f>
        <v>346.66666666666669</v>
      </c>
      <c r="P11" s="5018">
        <f>I11/3</f>
        <v>346.66666666666669</v>
      </c>
      <c r="Q11" s="5018">
        <f t="shared" si="1"/>
        <v>346.66666666666669</v>
      </c>
      <c r="R11" s="5018">
        <f t="shared" si="1"/>
        <v>253.33333333333334</v>
      </c>
      <c r="S11" s="5018">
        <f>J11/3</f>
        <v>253.33333333333334</v>
      </c>
      <c r="T11" s="5018">
        <f t="shared" si="2"/>
        <v>253.33333333333334</v>
      </c>
      <c r="U11" s="5018">
        <f t="shared" si="2"/>
        <v>480</v>
      </c>
      <c r="V11" s="5018">
        <f>K11/3</f>
        <v>480</v>
      </c>
      <c r="W11" s="5018">
        <f t="shared" si="3"/>
        <v>480</v>
      </c>
      <c r="X11" s="5018">
        <f t="shared" si="3"/>
        <v>253.33333333333334</v>
      </c>
      <c r="Y11" s="5021">
        <v>11.69</v>
      </c>
      <c r="Z11" s="5022">
        <v>13.51</v>
      </c>
      <c r="AA11" s="757">
        <f>+Z11</f>
        <v>13.51</v>
      </c>
      <c r="AB11" s="758">
        <f>+Y11</f>
        <v>11.69</v>
      </c>
      <c r="AC11" s="1867">
        <f t="shared" ref="AC11:AC50" si="9">AB11/100</f>
        <v>0.11689999999999999</v>
      </c>
      <c r="AD11" s="1867">
        <f t="shared" ref="AD11:AD50" si="10">AB11/100</f>
        <v>0.11689999999999999</v>
      </c>
      <c r="AE11" s="1867">
        <f t="shared" ref="AE11:AE50" si="11">Y11/100</f>
        <v>0.11689999999999999</v>
      </c>
      <c r="AF11" s="1867">
        <f t="shared" ref="AF11:AF50" si="12">Y11/100</f>
        <v>0.11689999999999999</v>
      </c>
      <c r="AG11" s="1867">
        <f t="shared" ref="AG11:AH50" si="13">Y11/100</f>
        <v>0.11689999999999999</v>
      </c>
      <c r="AH11" s="1867">
        <f t="shared" si="13"/>
        <v>0.1351</v>
      </c>
      <c r="AI11" s="1867">
        <f t="shared" ref="AI11:AI50" si="14">Z11/100</f>
        <v>0.1351</v>
      </c>
      <c r="AJ11" s="1867">
        <f t="shared" ref="AJ11:AK50" si="15">Z11/100</f>
        <v>0.1351</v>
      </c>
      <c r="AK11" s="1867">
        <f t="shared" si="15"/>
        <v>0.1351</v>
      </c>
      <c r="AL11" s="1867">
        <f t="shared" ref="AL11:AL50" si="16">AA11/100</f>
        <v>0.1351</v>
      </c>
      <c r="AM11" s="1867">
        <f t="shared" ref="AM11:AN50" si="17">AA11/100</f>
        <v>0.1351</v>
      </c>
      <c r="AN11" s="1867">
        <f t="shared" si="17"/>
        <v>0.11689999999999999</v>
      </c>
      <c r="AO11" s="751">
        <v>2.16</v>
      </c>
      <c r="AP11" s="277">
        <v>2.27</v>
      </c>
      <c r="AQ11" s="277">
        <f>+AP11</f>
        <v>2.27</v>
      </c>
      <c r="AR11" s="752">
        <f>+AO11</f>
        <v>2.16</v>
      </c>
      <c r="AS11" s="800">
        <f t="shared" ref="AS11:AS50" si="18">AR11</f>
        <v>2.16</v>
      </c>
      <c r="AT11" s="800">
        <f t="shared" ref="AT11:AT50" si="19">AR11</f>
        <v>2.16</v>
      </c>
      <c r="AU11" s="800">
        <f t="shared" ref="AU11:AU50" si="20">AO11</f>
        <v>2.16</v>
      </c>
      <c r="AV11" s="800">
        <f t="shared" ref="AV11:AV50" si="21">AO11</f>
        <v>2.16</v>
      </c>
      <c r="AW11" s="800">
        <f t="shared" ref="AW11:AX50" si="22">AO11</f>
        <v>2.16</v>
      </c>
      <c r="AX11" s="800">
        <f t="shared" si="22"/>
        <v>2.27</v>
      </c>
      <c r="AY11" s="800">
        <f t="shared" ref="AY11:AY50" si="23">AP11</f>
        <v>2.27</v>
      </c>
      <c r="AZ11" s="800">
        <f t="shared" ref="AZ11:BA50" si="24">AP11</f>
        <v>2.27</v>
      </c>
      <c r="BA11" s="800">
        <f t="shared" si="24"/>
        <v>2.27</v>
      </c>
      <c r="BB11" s="800">
        <f t="shared" ref="BB11:BB50" si="25">AQ11</f>
        <v>2.27</v>
      </c>
      <c r="BC11" s="800">
        <f t="shared" ref="BC11:BD50" si="26">AQ11</f>
        <v>2.27</v>
      </c>
      <c r="BD11" s="1865">
        <f t="shared" si="26"/>
        <v>2.16</v>
      </c>
      <c r="BE11" s="775">
        <f t="shared" si="4"/>
        <v>4</v>
      </c>
      <c r="BF11" s="590"/>
      <c r="BG11" s="775">
        <f t="shared" ref="BG11:BG50" si="27">HLOOKUP(BG$8,$M$8:$X$50,$BE11,FALSE)</f>
        <v>253.33333333333334</v>
      </c>
      <c r="BH11" s="111">
        <f t="shared" si="5"/>
        <v>253.33333333333334</v>
      </c>
      <c r="BI11" s="111">
        <f t="shared" si="5"/>
        <v>346.66666666666669</v>
      </c>
      <c r="BJ11" s="111">
        <f t="shared" si="5"/>
        <v>346.66666666666669</v>
      </c>
      <c r="BK11" s="111">
        <f t="shared" si="5"/>
        <v>346.66666666666669</v>
      </c>
      <c r="BL11" s="111">
        <f t="shared" si="5"/>
        <v>253.33333333333334</v>
      </c>
      <c r="BM11" s="111">
        <f t="shared" si="5"/>
        <v>253.33333333333334</v>
      </c>
      <c r="BN11" s="111">
        <f t="shared" si="5"/>
        <v>253.33333333333334</v>
      </c>
      <c r="BO11" s="111">
        <f t="shared" si="5"/>
        <v>480</v>
      </c>
      <c r="BP11" s="111">
        <f t="shared" si="5"/>
        <v>480</v>
      </c>
      <c r="BQ11" s="111">
        <f t="shared" si="5"/>
        <v>480</v>
      </c>
      <c r="BR11" s="817">
        <f t="shared" si="5"/>
        <v>253.33333333333334</v>
      </c>
      <c r="BS11" s="775">
        <f t="shared" ref="BS11:BS50" si="28">BS10+1</f>
        <v>4</v>
      </c>
      <c r="BT11" s="111"/>
      <c r="BU11" s="1867">
        <f t="shared" ref="BU11:BU50" si="29">HLOOKUP(BU$8,$AC$8:$AN$50,$BS11,FALSE)</f>
        <v>0.11689999999999999</v>
      </c>
      <c r="BV11" s="1867">
        <f t="shared" si="6"/>
        <v>0.11689999999999999</v>
      </c>
      <c r="BW11" s="1867">
        <f t="shared" si="6"/>
        <v>0.11689999999999999</v>
      </c>
      <c r="BX11" s="1867">
        <f t="shared" si="6"/>
        <v>0.11689999999999999</v>
      </c>
      <c r="BY11" s="1867">
        <f t="shared" si="6"/>
        <v>0.11689999999999999</v>
      </c>
      <c r="BZ11" s="1867">
        <f t="shared" si="6"/>
        <v>0.1351</v>
      </c>
      <c r="CA11" s="1867">
        <f t="shared" si="6"/>
        <v>0.1351</v>
      </c>
      <c r="CB11" s="1867">
        <f t="shared" si="6"/>
        <v>0.1351</v>
      </c>
      <c r="CC11" s="1867">
        <f t="shared" si="6"/>
        <v>0.1351</v>
      </c>
      <c r="CD11" s="1867">
        <f t="shared" si="6"/>
        <v>0.1351</v>
      </c>
      <c r="CE11" s="1867">
        <f t="shared" si="6"/>
        <v>0.1351</v>
      </c>
      <c r="CF11" s="1868">
        <f t="shared" si="6"/>
        <v>0.11689999999999999</v>
      </c>
      <c r="CG11" s="775">
        <f>CG10+1</f>
        <v>4</v>
      </c>
      <c r="CH11" s="111"/>
      <c r="CI11" s="800">
        <f t="shared" ref="CI11:CI50" si="30">HLOOKUP(CI$8,$AS$8:$BD$63,$CG11,FALSE)</f>
        <v>2.16</v>
      </c>
      <c r="CJ11" s="800">
        <f t="shared" si="7"/>
        <v>2.16</v>
      </c>
      <c r="CK11" s="800">
        <f t="shared" si="7"/>
        <v>2.16</v>
      </c>
      <c r="CL11" s="800">
        <f t="shared" si="7"/>
        <v>2.16</v>
      </c>
      <c r="CM11" s="800">
        <f t="shared" si="7"/>
        <v>2.16</v>
      </c>
      <c r="CN11" s="800">
        <f t="shared" si="7"/>
        <v>2.27</v>
      </c>
      <c r="CO11" s="800">
        <f t="shared" si="7"/>
        <v>2.27</v>
      </c>
      <c r="CP11" s="800">
        <f t="shared" si="7"/>
        <v>2.27</v>
      </c>
      <c r="CQ11" s="800">
        <f t="shared" si="7"/>
        <v>2.27</v>
      </c>
      <c r="CR11" s="800">
        <f t="shared" si="7"/>
        <v>2.27</v>
      </c>
      <c r="CS11" s="800">
        <f t="shared" si="7"/>
        <v>2.27</v>
      </c>
      <c r="CT11" s="1865">
        <f t="shared" si="7"/>
        <v>2.16</v>
      </c>
    </row>
    <row r="12" spans="1:98" x14ac:dyDescent="0.2">
      <c r="A12" s="590"/>
      <c r="B12" s="5015" t="s">
        <v>155</v>
      </c>
      <c r="C12" s="276" t="s">
        <v>346</v>
      </c>
      <c r="D12" s="5016">
        <v>4400</v>
      </c>
      <c r="E12" s="5017">
        <v>20</v>
      </c>
      <c r="F12" s="5018">
        <v>10</v>
      </c>
      <c r="G12" s="5018">
        <v>30</v>
      </c>
      <c r="H12" s="817">
        <f t="shared" si="8"/>
        <v>40</v>
      </c>
      <c r="I12" s="775">
        <f t="shared" si="0"/>
        <v>880</v>
      </c>
      <c r="J12" s="111">
        <f t="shared" si="0"/>
        <v>440</v>
      </c>
      <c r="K12" s="111">
        <f t="shared" si="0"/>
        <v>1320</v>
      </c>
      <c r="L12" s="817">
        <f t="shared" si="0"/>
        <v>1760</v>
      </c>
      <c r="M12" s="5018">
        <f>L12/3</f>
        <v>586.66666666666663</v>
      </c>
      <c r="N12" s="5018">
        <f>L12/3</f>
        <v>586.66666666666663</v>
      </c>
      <c r="O12" s="5018">
        <f>I12/3</f>
        <v>293.33333333333331</v>
      </c>
      <c r="P12" s="5018">
        <f>I12/3</f>
        <v>293.33333333333331</v>
      </c>
      <c r="Q12" s="5018">
        <f t="shared" si="1"/>
        <v>293.33333333333331</v>
      </c>
      <c r="R12" s="5018">
        <f t="shared" si="1"/>
        <v>146.66666666666666</v>
      </c>
      <c r="S12" s="5018">
        <f>J12/3</f>
        <v>146.66666666666666</v>
      </c>
      <c r="T12" s="5018">
        <f t="shared" si="2"/>
        <v>146.66666666666666</v>
      </c>
      <c r="U12" s="5018">
        <f t="shared" si="2"/>
        <v>440</v>
      </c>
      <c r="V12" s="5018">
        <f>K12/3</f>
        <v>440</v>
      </c>
      <c r="W12" s="5018">
        <f t="shared" si="3"/>
        <v>440</v>
      </c>
      <c r="X12" s="5018">
        <f t="shared" si="3"/>
        <v>586.66666666666663</v>
      </c>
      <c r="Y12" s="5023">
        <v>9.2200000000000006</v>
      </c>
      <c r="Z12" s="5024">
        <v>9.15</v>
      </c>
      <c r="AA12" s="759">
        <v>10.75</v>
      </c>
      <c r="AB12" s="760">
        <v>8.6300000000000008</v>
      </c>
      <c r="AC12" s="1867">
        <f t="shared" si="9"/>
        <v>8.6300000000000002E-2</v>
      </c>
      <c r="AD12" s="1867">
        <f t="shared" si="10"/>
        <v>8.6300000000000002E-2</v>
      </c>
      <c r="AE12" s="1867">
        <f t="shared" si="11"/>
        <v>9.2200000000000004E-2</v>
      </c>
      <c r="AF12" s="1867">
        <f t="shared" si="12"/>
        <v>9.2200000000000004E-2</v>
      </c>
      <c r="AG12" s="1867">
        <f t="shared" si="13"/>
        <v>9.2200000000000004E-2</v>
      </c>
      <c r="AH12" s="1867">
        <f t="shared" si="13"/>
        <v>9.1499999999999998E-2</v>
      </c>
      <c r="AI12" s="1867">
        <f t="shared" si="14"/>
        <v>9.1499999999999998E-2</v>
      </c>
      <c r="AJ12" s="1867">
        <f t="shared" si="15"/>
        <v>9.1499999999999998E-2</v>
      </c>
      <c r="AK12" s="1867">
        <f t="shared" si="15"/>
        <v>0.1075</v>
      </c>
      <c r="AL12" s="1867">
        <f t="shared" si="16"/>
        <v>0.1075</v>
      </c>
      <c r="AM12" s="1867">
        <f t="shared" si="17"/>
        <v>0.1075</v>
      </c>
      <c r="AN12" s="1868">
        <f t="shared" si="17"/>
        <v>8.6300000000000002E-2</v>
      </c>
      <c r="AO12" s="753">
        <v>2.08</v>
      </c>
      <c r="AP12" s="279">
        <v>2.09</v>
      </c>
      <c r="AQ12" s="279">
        <v>2.1</v>
      </c>
      <c r="AR12" s="754">
        <v>2.04</v>
      </c>
      <c r="AS12" s="800">
        <f t="shared" si="18"/>
        <v>2.04</v>
      </c>
      <c r="AT12" s="800">
        <f t="shared" si="19"/>
        <v>2.04</v>
      </c>
      <c r="AU12" s="800">
        <f t="shared" si="20"/>
        <v>2.08</v>
      </c>
      <c r="AV12" s="800">
        <f t="shared" si="21"/>
        <v>2.08</v>
      </c>
      <c r="AW12" s="800">
        <f t="shared" si="22"/>
        <v>2.08</v>
      </c>
      <c r="AX12" s="800">
        <f t="shared" si="22"/>
        <v>2.09</v>
      </c>
      <c r="AY12" s="800">
        <f t="shared" si="23"/>
        <v>2.09</v>
      </c>
      <c r="AZ12" s="800">
        <f t="shared" si="24"/>
        <v>2.09</v>
      </c>
      <c r="BA12" s="800">
        <f t="shared" si="24"/>
        <v>2.1</v>
      </c>
      <c r="BB12" s="800">
        <f t="shared" si="25"/>
        <v>2.1</v>
      </c>
      <c r="BC12" s="800">
        <f t="shared" si="26"/>
        <v>2.1</v>
      </c>
      <c r="BD12" s="1865">
        <f t="shared" si="26"/>
        <v>2.04</v>
      </c>
      <c r="BE12" s="775">
        <f t="shared" si="4"/>
        <v>5</v>
      </c>
      <c r="BF12" s="590"/>
      <c r="BG12" s="775">
        <f t="shared" si="27"/>
        <v>586.66666666666663</v>
      </c>
      <c r="BH12" s="111">
        <f t="shared" si="5"/>
        <v>586.66666666666663</v>
      </c>
      <c r="BI12" s="111">
        <f t="shared" si="5"/>
        <v>293.33333333333331</v>
      </c>
      <c r="BJ12" s="111">
        <f t="shared" si="5"/>
        <v>293.33333333333331</v>
      </c>
      <c r="BK12" s="111">
        <f t="shared" si="5"/>
        <v>293.33333333333331</v>
      </c>
      <c r="BL12" s="111">
        <f t="shared" si="5"/>
        <v>146.66666666666666</v>
      </c>
      <c r="BM12" s="111">
        <f t="shared" si="5"/>
        <v>146.66666666666666</v>
      </c>
      <c r="BN12" s="111">
        <f t="shared" si="5"/>
        <v>146.66666666666666</v>
      </c>
      <c r="BO12" s="111">
        <f t="shared" si="5"/>
        <v>440</v>
      </c>
      <c r="BP12" s="111">
        <f t="shared" si="5"/>
        <v>440</v>
      </c>
      <c r="BQ12" s="111">
        <f t="shared" si="5"/>
        <v>440</v>
      </c>
      <c r="BR12" s="817">
        <f t="shared" si="5"/>
        <v>586.66666666666663</v>
      </c>
      <c r="BS12" s="775">
        <f t="shared" si="28"/>
        <v>5</v>
      </c>
      <c r="BT12" s="111"/>
      <c r="BU12" s="1867">
        <f t="shared" si="29"/>
        <v>8.6300000000000002E-2</v>
      </c>
      <c r="BV12" s="1867">
        <f t="shared" si="6"/>
        <v>8.6300000000000002E-2</v>
      </c>
      <c r="BW12" s="1867">
        <f t="shared" si="6"/>
        <v>9.2200000000000004E-2</v>
      </c>
      <c r="BX12" s="1867">
        <f t="shared" si="6"/>
        <v>9.2200000000000004E-2</v>
      </c>
      <c r="BY12" s="1867">
        <f t="shared" si="6"/>
        <v>9.2200000000000004E-2</v>
      </c>
      <c r="BZ12" s="1867">
        <f t="shared" si="6"/>
        <v>9.1499999999999998E-2</v>
      </c>
      <c r="CA12" s="1867">
        <f t="shared" si="6"/>
        <v>9.1499999999999998E-2</v>
      </c>
      <c r="CB12" s="1867">
        <f t="shared" si="6"/>
        <v>9.1499999999999998E-2</v>
      </c>
      <c r="CC12" s="1867">
        <f t="shared" si="6"/>
        <v>0.1075</v>
      </c>
      <c r="CD12" s="1867">
        <f t="shared" si="6"/>
        <v>0.1075</v>
      </c>
      <c r="CE12" s="1867">
        <f t="shared" si="6"/>
        <v>0.1075</v>
      </c>
      <c r="CF12" s="1868">
        <f t="shared" si="6"/>
        <v>8.6300000000000002E-2</v>
      </c>
      <c r="CG12" s="775">
        <f t="shared" ref="CG12:CG50" si="31">CG11+1</f>
        <v>5</v>
      </c>
      <c r="CH12" s="111"/>
      <c r="CI12" s="800">
        <f t="shared" si="30"/>
        <v>2.04</v>
      </c>
      <c r="CJ12" s="800">
        <f t="shared" si="7"/>
        <v>2.04</v>
      </c>
      <c r="CK12" s="800">
        <f t="shared" si="7"/>
        <v>2.08</v>
      </c>
      <c r="CL12" s="800">
        <f t="shared" si="7"/>
        <v>2.08</v>
      </c>
      <c r="CM12" s="800">
        <f t="shared" si="7"/>
        <v>2.08</v>
      </c>
      <c r="CN12" s="800">
        <f t="shared" si="7"/>
        <v>2.09</v>
      </c>
      <c r="CO12" s="800">
        <f t="shared" si="7"/>
        <v>2.09</v>
      </c>
      <c r="CP12" s="800">
        <f t="shared" si="7"/>
        <v>2.09</v>
      </c>
      <c r="CQ12" s="800">
        <f t="shared" si="7"/>
        <v>2.1</v>
      </c>
      <c r="CR12" s="800">
        <f t="shared" si="7"/>
        <v>2.1</v>
      </c>
      <c r="CS12" s="800">
        <f t="shared" si="7"/>
        <v>2.1</v>
      </c>
      <c r="CT12" s="1865">
        <f t="shared" si="7"/>
        <v>2.04</v>
      </c>
    </row>
    <row r="13" spans="1:98" x14ac:dyDescent="0.2">
      <c r="A13" s="739"/>
      <c r="B13" s="278" t="s">
        <v>324</v>
      </c>
      <c r="C13" s="34"/>
      <c r="D13" s="34"/>
      <c r="E13" s="34"/>
      <c r="F13" s="34"/>
      <c r="G13" s="34"/>
      <c r="H13" s="781"/>
      <c r="I13" s="781"/>
      <c r="J13" s="781"/>
      <c r="K13" s="781"/>
      <c r="L13" s="781"/>
      <c r="M13" s="34"/>
      <c r="N13" s="34"/>
      <c r="O13" s="34"/>
      <c r="P13" s="34"/>
      <c r="Q13" s="34"/>
      <c r="R13" s="34"/>
      <c r="S13" s="34"/>
      <c r="T13" s="34"/>
      <c r="U13" s="34"/>
      <c r="V13" s="34"/>
      <c r="W13" s="34"/>
      <c r="X13" s="34"/>
      <c r="Y13" s="761"/>
      <c r="Z13" s="761"/>
      <c r="AA13" s="761"/>
      <c r="AB13" s="761"/>
      <c r="AC13" s="1864"/>
      <c r="AD13" s="781"/>
      <c r="AE13" s="781"/>
      <c r="AF13" s="781"/>
      <c r="AG13" s="781"/>
      <c r="AH13" s="781"/>
      <c r="AI13" s="781"/>
      <c r="AJ13" s="781"/>
      <c r="AK13" s="781"/>
      <c r="AL13" s="781"/>
      <c r="AM13" s="781"/>
      <c r="AN13" s="1869"/>
      <c r="AO13" s="34"/>
      <c r="AP13" s="34"/>
      <c r="AQ13" s="34"/>
      <c r="AR13" s="34"/>
      <c r="AS13" s="1864"/>
      <c r="AT13" s="781"/>
      <c r="AU13" s="781"/>
      <c r="AV13" s="781"/>
      <c r="AW13" s="781"/>
      <c r="AX13" s="781"/>
      <c r="AY13" s="781"/>
      <c r="AZ13" s="781"/>
      <c r="BA13" s="781"/>
      <c r="BB13" s="781"/>
      <c r="BC13" s="781"/>
      <c r="BD13" s="1869"/>
      <c r="BE13" s="1864">
        <f t="shared" si="4"/>
        <v>6</v>
      </c>
      <c r="BF13" s="1821"/>
      <c r="BG13" s="781"/>
      <c r="BH13" s="781"/>
      <c r="BI13" s="781"/>
      <c r="BJ13" s="781"/>
      <c r="BK13" s="781"/>
      <c r="BL13" s="781"/>
      <c r="BM13" s="781"/>
      <c r="BN13" s="781"/>
      <c r="BO13" s="781"/>
      <c r="BP13" s="781"/>
      <c r="BQ13" s="781"/>
      <c r="BR13" s="1869"/>
      <c r="BS13" s="1864">
        <f t="shared" si="28"/>
        <v>6</v>
      </c>
      <c r="BT13" s="781"/>
      <c r="BU13" s="781"/>
      <c r="BV13" s="781"/>
      <c r="BW13" s="781"/>
      <c r="BX13" s="781"/>
      <c r="BY13" s="781"/>
      <c r="BZ13" s="781"/>
      <c r="CA13" s="781"/>
      <c r="CB13" s="781"/>
      <c r="CC13" s="781"/>
      <c r="CD13" s="781"/>
      <c r="CE13" s="781"/>
      <c r="CF13" s="1869"/>
      <c r="CG13" s="1864">
        <f t="shared" si="31"/>
        <v>6</v>
      </c>
      <c r="CH13" s="781"/>
      <c r="CI13" s="781"/>
      <c r="CJ13" s="781"/>
      <c r="CK13" s="781"/>
      <c r="CL13" s="781"/>
      <c r="CM13" s="781"/>
      <c r="CN13" s="781"/>
      <c r="CO13" s="781"/>
      <c r="CP13" s="781"/>
      <c r="CQ13" s="781"/>
      <c r="CR13" s="781"/>
      <c r="CS13" s="781"/>
      <c r="CT13" s="1869"/>
    </row>
    <row r="14" spans="1:98" x14ac:dyDescent="0.2">
      <c r="A14" s="590"/>
      <c r="B14" s="5015" t="s">
        <v>1565</v>
      </c>
      <c r="C14" s="276" t="s">
        <v>346</v>
      </c>
      <c r="D14" s="5016">
        <v>5200</v>
      </c>
      <c r="E14" s="5017"/>
      <c r="F14" s="5018"/>
      <c r="G14" s="5018">
        <v>60</v>
      </c>
      <c r="H14" s="817">
        <f t="shared" si="8"/>
        <v>40</v>
      </c>
      <c r="I14" s="775">
        <f t="shared" si="0"/>
        <v>0</v>
      </c>
      <c r="J14" s="111">
        <f t="shared" si="0"/>
        <v>0</v>
      </c>
      <c r="K14" s="111">
        <f t="shared" si="0"/>
        <v>3120</v>
      </c>
      <c r="L14" s="817">
        <f t="shared" si="0"/>
        <v>2080</v>
      </c>
      <c r="M14" s="5018">
        <f t="shared" ref="M14:M47" si="32">L14/3</f>
        <v>693.33333333333337</v>
      </c>
      <c r="N14" s="5018">
        <f t="shared" ref="N14:N19" si="33">L14/3</f>
        <v>693.33333333333337</v>
      </c>
      <c r="O14" s="5018">
        <f t="shared" ref="O14:O19" si="34">I14/3</f>
        <v>0</v>
      </c>
      <c r="P14" s="5018">
        <f t="shared" ref="P14:P19" si="35">I14/3</f>
        <v>0</v>
      </c>
      <c r="Q14" s="5018">
        <f t="shared" ref="Q14:R17" si="36">I14/3</f>
        <v>0</v>
      </c>
      <c r="R14" s="5018">
        <f t="shared" si="36"/>
        <v>0</v>
      </c>
      <c r="S14" s="5018">
        <f t="shared" ref="S14:S19" si="37">J14/3</f>
        <v>0</v>
      </c>
      <c r="T14" s="5018">
        <f t="shared" ref="T14:U17" si="38">J14/3</f>
        <v>0</v>
      </c>
      <c r="U14" s="5018">
        <f t="shared" si="38"/>
        <v>1040</v>
      </c>
      <c r="V14" s="5018">
        <f t="shared" ref="V14:V19" si="39">K14/3</f>
        <v>1040</v>
      </c>
      <c r="W14" s="5018">
        <f t="shared" ref="W14:X17" si="40">K14/3</f>
        <v>1040</v>
      </c>
      <c r="X14" s="5018">
        <f t="shared" si="40"/>
        <v>693.33333333333337</v>
      </c>
      <c r="Y14" s="5019">
        <v>23.2</v>
      </c>
      <c r="Z14" s="5020">
        <v>26.97</v>
      </c>
      <c r="AA14" s="755">
        <v>21.26</v>
      </c>
      <c r="AB14" s="756">
        <v>21.62</v>
      </c>
      <c r="AC14" s="1867">
        <f t="shared" si="9"/>
        <v>0.2162</v>
      </c>
      <c r="AD14" s="1867">
        <f t="shared" si="10"/>
        <v>0.2162</v>
      </c>
      <c r="AE14" s="1867">
        <f t="shared" si="11"/>
        <v>0.23199999999999998</v>
      </c>
      <c r="AF14" s="1867">
        <f t="shared" si="12"/>
        <v>0.23199999999999998</v>
      </c>
      <c r="AG14" s="1867">
        <f t="shared" si="13"/>
        <v>0.23199999999999998</v>
      </c>
      <c r="AH14" s="1867">
        <f t="shared" si="13"/>
        <v>0.2697</v>
      </c>
      <c r="AI14" s="1867">
        <f t="shared" si="14"/>
        <v>0.2697</v>
      </c>
      <c r="AJ14" s="1867">
        <f t="shared" si="15"/>
        <v>0.2697</v>
      </c>
      <c r="AK14" s="1867">
        <f t="shared" si="15"/>
        <v>0.21260000000000001</v>
      </c>
      <c r="AL14" s="1867">
        <f t="shared" si="16"/>
        <v>0.21260000000000001</v>
      </c>
      <c r="AM14" s="1867">
        <f t="shared" si="17"/>
        <v>0.21260000000000001</v>
      </c>
      <c r="AN14" s="1868">
        <f t="shared" si="17"/>
        <v>0.2162</v>
      </c>
      <c r="AO14" s="749">
        <v>2.56</v>
      </c>
      <c r="AP14" s="284">
        <v>2.67</v>
      </c>
      <c r="AQ14" s="284">
        <v>2.48</v>
      </c>
      <c r="AR14" s="750">
        <v>2.38</v>
      </c>
      <c r="AS14" s="800">
        <f t="shared" si="18"/>
        <v>2.38</v>
      </c>
      <c r="AT14" s="800">
        <f t="shared" si="19"/>
        <v>2.38</v>
      </c>
      <c r="AU14" s="800">
        <f t="shared" si="20"/>
        <v>2.56</v>
      </c>
      <c r="AV14" s="800">
        <f t="shared" si="21"/>
        <v>2.56</v>
      </c>
      <c r="AW14" s="800">
        <f t="shared" si="22"/>
        <v>2.56</v>
      </c>
      <c r="AX14" s="800">
        <f t="shared" si="22"/>
        <v>2.67</v>
      </c>
      <c r="AY14" s="800">
        <f t="shared" si="23"/>
        <v>2.67</v>
      </c>
      <c r="AZ14" s="800">
        <f t="shared" si="24"/>
        <v>2.67</v>
      </c>
      <c r="BA14" s="800">
        <f t="shared" si="24"/>
        <v>2.48</v>
      </c>
      <c r="BB14" s="800">
        <f t="shared" si="25"/>
        <v>2.48</v>
      </c>
      <c r="BC14" s="800">
        <f t="shared" si="26"/>
        <v>2.48</v>
      </c>
      <c r="BD14" s="1865">
        <f t="shared" si="26"/>
        <v>2.38</v>
      </c>
      <c r="BE14" s="775">
        <f t="shared" si="4"/>
        <v>7</v>
      </c>
      <c r="BF14" s="590"/>
      <c r="BG14" s="775">
        <f t="shared" si="27"/>
        <v>693.33333333333337</v>
      </c>
      <c r="BH14" s="111">
        <f t="shared" si="5"/>
        <v>693.33333333333337</v>
      </c>
      <c r="BI14" s="111">
        <f t="shared" si="5"/>
        <v>0</v>
      </c>
      <c r="BJ14" s="111">
        <f t="shared" si="5"/>
        <v>0</v>
      </c>
      <c r="BK14" s="111">
        <f t="shared" si="5"/>
        <v>0</v>
      </c>
      <c r="BL14" s="111">
        <f t="shared" si="5"/>
        <v>0</v>
      </c>
      <c r="BM14" s="111">
        <f t="shared" si="5"/>
        <v>0</v>
      </c>
      <c r="BN14" s="111">
        <f t="shared" si="5"/>
        <v>0</v>
      </c>
      <c r="BO14" s="111">
        <f t="shared" si="5"/>
        <v>1040</v>
      </c>
      <c r="BP14" s="111">
        <f t="shared" si="5"/>
        <v>1040</v>
      </c>
      <c r="BQ14" s="111">
        <f t="shared" si="5"/>
        <v>1040</v>
      </c>
      <c r="BR14" s="817">
        <f t="shared" si="5"/>
        <v>693.33333333333337</v>
      </c>
      <c r="BS14" s="775">
        <f t="shared" si="28"/>
        <v>7</v>
      </c>
      <c r="BT14" s="111"/>
      <c r="BU14" s="1867">
        <f t="shared" si="29"/>
        <v>0.2162</v>
      </c>
      <c r="BV14" s="1867">
        <f t="shared" si="6"/>
        <v>0.2162</v>
      </c>
      <c r="BW14" s="1867">
        <f t="shared" si="6"/>
        <v>0.23199999999999998</v>
      </c>
      <c r="BX14" s="1867">
        <f t="shared" si="6"/>
        <v>0.23199999999999998</v>
      </c>
      <c r="BY14" s="1867">
        <f t="shared" si="6"/>
        <v>0.23199999999999998</v>
      </c>
      <c r="BZ14" s="1867">
        <f t="shared" si="6"/>
        <v>0.2697</v>
      </c>
      <c r="CA14" s="1867">
        <f t="shared" si="6"/>
        <v>0.2697</v>
      </c>
      <c r="CB14" s="1867">
        <f t="shared" si="6"/>
        <v>0.2697</v>
      </c>
      <c r="CC14" s="1867">
        <f t="shared" si="6"/>
        <v>0.21260000000000001</v>
      </c>
      <c r="CD14" s="1867">
        <f t="shared" si="6"/>
        <v>0.21260000000000001</v>
      </c>
      <c r="CE14" s="1867">
        <f t="shared" si="6"/>
        <v>0.21260000000000001</v>
      </c>
      <c r="CF14" s="1868">
        <f t="shared" si="6"/>
        <v>0.2162</v>
      </c>
      <c r="CG14" s="775">
        <f t="shared" si="31"/>
        <v>7</v>
      </c>
      <c r="CH14" s="111"/>
      <c r="CI14" s="800">
        <f t="shared" si="30"/>
        <v>2.38</v>
      </c>
      <c r="CJ14" s="800">
        <f t="shared" si="7"/>
        <v>2.38</v>
      </c>
      <c r="CK14" s="800">
        <f t="shared" si="7"/>
        <v>2.56</v>
      </c>
      <c r="CL14" s="800">
        <f t="shared" si="7"/>
        <v>2.56</v>
      </c>
      <c r="CM14" s="800">
        <f t="shared" si="7"/>
        <v>2.56</v>
      </c>
      <c r="CN14" s="800">
        <f t="shared" si="7"/>
        <v>2.67</v>
      </c>
      <c r="CO14" s="800">
        <f t="shared" si="7"/>
        <v>2.67</v>
      </c>
      <c r="CP14" s="800">
        <f t="shared" si="7"/>
        <v>2.67</v>
      </c>
      <c r="CQ14" s="800">
        <f t="shared" si="7"/>
        <v>2.48</v>
      </c>
      <c r="CR14" s="800">
        <f t="shared" si="7"/>
        <v>2.48</v>
      </c>
      <c r="CS14" s="800">
        <f t="shared" si="7"/>
        <v>2.48</v>
      </c>
      <c r="CT14" s="1865">
        <f t="shared" si="7"/>
        <v>2.38</v>
      </c>
    </row>
    <row r="15" spans="1:98" x14ac:dyDescent="0.2">
      <c r="A15" s="590"/>
      <c r="B15" s="5015" t="s">
        <v>158</v>
      </c>
      <c r="C15" s="276" t="s">
        <v>346</v>
      </c>
      <c r="D15" s="5016">
        <v>5200</v>
      </c>
      <c r="E15" s="5017"/>
      <c r="F15" s="5018"/>
      <c r="G15" s="5018">
        <v>62</v>
      </c>
      <c r="H15" s="817">
        <f t="shared" si="8"/>
        <v>38</v>
      </c>
      <c r="I15" s="775">
        <f t="shared" si="0"/>
        <v>0</v>
      </c>
      <c r="J15" s="111">
        <f t="shared" si="0"/>
        <v>0</v>
      </c>
      <c r="K15" s="111">
        <f t="shared" si="0"/>
        <v>3224</v>
      </c>
      <c r="L15" s="817">
        <f t="shared" si="0"/>
        <v>1976</v>
      </c>
      <c r="M15" s="5018">
        <f>L15/3</f>
        <v>658.66666666666663</v>
      </c>
      <c r="N15" s="5018">
        <f t="shared" si="33"/>
        <v>658.66666666666663</v>
      </c>
      <c r="O15" s="5018">
        <f t="shared" si="34"/>
        <v>0</v>
      </c>
      <c r="P15" s="5018">
        <f t="shared" si="35"/>
        <v>0</v>
      </c>
      <c r="Q15" s="5018">
        <f t="shared" si="36"/>
        <v>0</v>
      </c>
      <c r="R15" s="5018">
        <f t="shared" si="36"/>
        <v>0</v>
      </c>
      <c r="S15" s="5018">
        <f t="shared" si="37"/>
        <v>0</v>
      </c>
      <c r="T15" s="5018">
        <f t="shared" si="38"/>
        <v>0</v>
      </c>
      <c r="U15" s="5018">
        <f t="shared" si="38"/>
        <v>1074.6666666666667</v>
      </c>
      <c r="V15" s="5018">
        <f t="shared" si="39"/>
        <v>1074.6666666666667</v>
      </c>
      <c r="W15" s="5018">
        <f t="shared" si="40"/>
        <v>1074.6666666666667</v>
      </c>
      <c r="X15" s="5018">
        <f t="shared" si="40"/>
        <v>658.66666666666663</v>
      </c>
      <c r="Y15" s="5021">
        <v>19.25</v>
      </c>
      <c r="Z15" s="5022">
        <v>19.78</v>
      </c>
      <c r="AA15" s="757">
        <v>17.03</v>
      </c>
      <c r="AB15" s="758">
        <v>16.239999999999998</v>
      </c>
      <c r="AC15" s="1867">
        <f t="shared" si="9"/>
        <v>0.16239999999999999</v>
      </c>
      <c r="AD15" s="1867">
        <f t="shared" si="10"/>
        <v>0.16239999999999999</v>
      </c>
      <c r="AE15" s="1867">
        <f t="shared" si="11"/>
        <v>0.1925</v>
      </c>
      <c r="AF15" s="1867">
        <f t="shared" si="12"/>
        <v>0.1925</v>
      </c>
      <c r="AG15" s="1867">
        <f t="shared" si="13"/>
        <v>0.1925</v>
      </c>
      <c r="AH15" s="1867">
        <f t="shared" si="13"/>
        <v>0.1978</v>
      </c>
      <c r="AI15" s="1867">
        <f t="shared" si="14"/>
        <v>0.1978</v>
      </c>
      <c r="AJ15" s="1867">
        <f t="shared" si="15"/>
        <v>0.1978</v>
      </c>
      <c r="AK15" s="1867">
        <f t="shared" si="15"/>
        <v>0.17030000000000001</v>
      </c>
      <c r="AL15" s="1867">
        <f t="shared" si="16"/>
        <v>0.17030000000000001</v>
      </c>
      <c r="AM15" s="1867">
        <f t="shared" si="17"/>
        <v>0.17030000000000001</v>
      </c>
      <c r="AN15" s="1868">
        <f t="shared" si="17"/>
        <v>0.16239999999999999</v>
      </c>
      <c r="AO15" s="751">
        <v>2.33</v>
      </c>
      <c r="AP15" s="277">
        <v>2.4700000000000002</v>
      </c>
      <c r="AQ15" s="277">
        <v>2.3199999999999998</v>
      </c>
      <c r="AR15" s="752">
        <v>2.4300000000000002</v>
      </c>
      <c r="AS15" s="800">
        <f t="shared" si="18"/>
        <v>2.4300000000000002</v>
      </c>
      <c r="AT15" s="800">
        <f t="shared" si="19"/>
        <v>2.4300000000000002</v>
      </c>
      <c r="AU15" s="800">
        <f t="shared" si="20"/>
        <v>2.33</v>
      </c>
      <c r="AV15" s="800">
        <f t="shared" si="21"/>
        <v>2.33</v>
      </c>
      <c r="AW15" s="800">
        <f t="shared" si="22"/>
        <v>2.33</v>
      </c>
      <c r="AX15" s="800">
        <f t="shared" si="22"/>
        <v>2.4700000000000002</v>
      </c>
      <c r="AY15" s="800">
        <f t="shared" si="23"/>
        <v>2.4700000000000002</v>
      </c>
      <c r="AZ15" s="800">
        <f t="shared" si="24"/>
        <v>2.4700000000000002</v>
      </c>
      <c r="BA15" s="800">
        <f t="shared" si="24"/>
        <v>2.3199999999999998</v>
      </c>
      <c r="BB15" s="800">
        <f t="shared" si="25"/>
        <v>2.3199999999999998</v>
      </c>
      <c r="BC15" s="800">
        <f t="shared" si="26"/>
        <v>2.3199999999999998</v>
      </c>
      <c r="BD15" s="1865">
        <f t="shared" si="26"/>
        <v>2.4300000000000002</v>
      </c>
      <c r="BE15" s="775">
        <f t="shared" si="4"/>
        <v>8</v>
      </c>
      <c r="BF15" s="590"/>
      <c r="BG15" s="775">
        <f t="shared" si="27"/>
        <v>658.66666666666663</v>
      </c>
      <c r="BH15" s="111">
        <f t="shared" si="5"/>
        <v>658.66666666666663</v>
      </c>
      <c r="BI15" s="111">
        <f t="shared" si="5"/>
        <v>0</v>
      </c>
      <c r="BJ15" s="111">
        <f t="shared" si="5"/>
        <v>0</v>
      </c>
      <c r="BK15" s="111">
        <f t="shared" si="5"/>
        <v>0</v>
      </c>
      <c r="BL15" s="111">
        <f t="shared" si="5"/>
        <v>0</v>
      </c>
      <c r="BM15" s="111">
        <f t="shared" si="5"/>
        <v>0</v>
      </c>
      <c r="BN15" s="111">
        <f t="shared" si="5"/>
        <v>0</v>
      </c>
      <c r="BO15" s="111">
        <f t="shared" si="5"/>
        <v>1074.6666666666667</v>
      </c>
      <c r="BP15" s="111">
        <f t="shared" si="5"/>
        <v>1074.6666666666667</v>
      </c>
      <c r="BQ15" s="111">
        <f t="shared" si="5"/>
        <v>1074.6666666666667</v>
      </c>
      <c r="BR15" s="817">
        <f t="shared" si="5"/>
        <v>658.66666666666663</v>
      </c>
      <c r="BS15" s="775">
        <f t="shared" si="28"/>
        <v>8</v>
      </c>
      <c r="BT15" s="111"/>
      <c r="BU15" s="1867">
        <f t="shared" si="29"/>
        <v>0.16239999999999999</v>
      </c>
      <c r="BV15" s="1867">
        <f t="shared" si="6"/>
        <v>0.16239999999999999</v>
      </c>
      <c r="BW15" s="1867">
        <f t="shared" si="6"/>
        <v>0.1925</v>
      </c>
      <c r="BX15" s="1867">
        <f t="shared" si="6"/>
        <v>0.1925</v>
      </c>
      <c r="BY15" s="1867">
        <f t="shared" si="6"/>
        <v>0.1925</v>
      </c>
      <c r="BZ15" s="1867">
        <f t="shared" si="6"/>
        <v>0.1978</v>
      </c>
      <c r="CA15" s="1867">
        <f t="shared" si="6"/>
        <v>0.1978</v>
      </c>
      <c r="CB15" s="1867">
        <f t="shared" si="6"/>
        <v>0.1978</v>
      </c>
      <c r="CC15" s="1867">
        <f t="shared" si="6"/>
        <v>0.17030000000000001</v>
      </c>
      <c r="CD15" s="1867">
        <f t="shared" si="6"/>
        <v>0.17030000000000001</v>
      </c>
      <c r="CE15" s="1867">
        <f t="shared" si="6"/>
        <v>0.17030000000000001</v>
      </c>
      <c r="CF15" s="1868">
        <f t="shared" si="6"/>
        <v>0.16239999999999999</v>
      </c>
      <c r="CG15" s="775">
        <f t="shared" si="31"/>
        <v>8</v>
      </c>
      <c r="CH15" s="111"/>
      <c r="CI15" s="800">
        <f t="shared" si="30"/>
        <v>2.4300000000000002</v>
      </c>
      <c r="CJ15" s="800">
        <f t="shared" si="7"/>
        <v>2.4300000000000002</v>
      </c>
      <c r="CK15" s="800">
        <f t="shared" si="7"/>
        <v>2.33</v>
      </c>
      <c r="CL15" s="800">
        <f t="shared" si="7"/>
        <v>2.33</v>
      </c>
      <c r="CM15" s="800">
        <f t="shared" si="7"/>
        <v>2.33</v>
      </c>
      <c r="CN15" s="800">
        <f t="shared" si="7"/>
        <v>2.4700000000000002</v>
      </c>
      <c r="CO15" s="800">
        <f t="shared" si="7"/>
        <v>2.4700000000000002</v>
      </c>
      <c r="CP15" s="800">
        <f t="shared" si="7"/>
        <v>2.4700000000000002</v>
      </c>
      <c r="CQ15" s="800">
        <f t="shared" si="7"/>
        <v>2.3199999999999998</v>
      </c>
      <c r="CR15" s="800">
        <f t="shared" si="7"/>
        <v>2.3199999999999998</v>
      </c>
      <c r="CS15" s="800">
        <f t="shared" si="7"/>
        <v>2.3199999999999998</v>
      </c>
      <c r="CT15" s="1865">
        <f t="shared" si="7"/>
        <v>2.4300000000000002</v>
      </c>
    </row>
    <row r="16" spans="1:98" x14ac:dyDescent="0.2">
      <c r="A16" s="590"/>
      <c r="B16" s="5015" t="s">
        <v>162</v>
      </c>
      <c r="C16" s="276" t="s">
        <v>346</v>
      </c>
      <c r="D16" s="5016">
        <v>5600</v>
      </c>
      <c r="E16" s="5017"/>
      <c r="F16" s="5018"/>
      <c r="G16" s="5018">
        <v>49</v>
      </c>
      <c r="H16" s="817">
        <f t="shared" si="8"/>
        <v>51</v>
      </c>
      <c r="I16" s="775">
        <f t="shared" si="0"/>
        <v>0</v>
      </c>
      <c r="J16" s="111">
        <f t="shared" si="0"/>
        <v>0</v>
      </c>
      <c r="K16" s="111">
        <f t="shared" si="0"/>
        <v>2744</v>
      </c>
      <c r="L16" s="817">
        <f t="shared" si="0"/>
        <v>2856</v>
      </c>
      <c r="M16" s="5018">
        <f>L16/3</f>
        <v>952</v>
      </c>
      <c r="N16" s="5018">
        <f t="shared" si="33"/>
        <v>952</v>
      </c>
      <c r="O16" s="5018">
        <f t="shared" si="34"/>
        <v>0</v>
      </c>
      <c r="P16" s="5018">
        <f t="shared" si="35"/>
        <v>0</v>
      </c>
      <c r="Q16" s="5018">
        <f t="shared" si="36"/>
        <v>0</v>
      </c>
      <c r="R16" s="5018">
        <f t="shared" si="36"/>
        <v>0</v>
      </c>
      <c r="S16" s="5018">
        <f t="shared" si="37"/>
        <v>0</v>
      </c>
      <c r="T16" s="5018">
        <f>J16/3</f>
        <v>0</v>
      </c>
      <c r="U16" s="5018">
        <f t="shared" si="38"/>
        <v>914.66666666666663</v>
      </c>
      <c r="V16" s="5018">
        <f t="shared" si="39"/>
        <v>914.66666666666663</v>
      </c>
      <c r="W16" s="5018">
        <f t="shared" si="40"/>
        <v>914.66666666666663</v>
      </c>
      <c r="X16" s="5018">
        <f t="shared" si="40"/>
        <v>952</v>
      </c>
      <c r="Y16" s="5021">
        <v>19.25</v>
      </c>
      <c r="Z16" s="5022">
        <v>19.78</v>
      </c>
      <c r="AA16" s="757">
        <v>17.03</v>
      </c>
      <c r="AB16" s="758">
        <v>16.239999999999998</v>
      </c>
      <c r="AC16" s="1867">
        <f t="shared" si="9"/>
        <v>0.16239999999999999</v>
      </c>
      <c r="AD16" s="1867">
        <f t="shared" si="10"/>
        <v>0.16239999999999999</v>
      </c>
      <c r="AE16" s="1867">
        <f t="shared" si="11"/>
        <v>0.1925</v>
      </c>
      <c r="AF16" s="1867">
        <f t="shared" si="12"/>
        <v>0.1925</v>
      </c>
      <c r="AG16" s="1867">
        <f t="shared" si="13"/>
        <v>0.1925</v>
      </c>
      <c r="AH16" s="1867">
        <f t="shared" si="13"/>
        <v>0.1978</v>
      </c>
      <c r="AI16" s="1867">
        <f t="shared" si="14"/>
        <v>0.1978</v>
      </c>
      <c r="AJ16" s="1867">
        <f t="shared" si="15"/>
        <v>0.1978</v>
      </c>
      <c r="AK16" s="1867">
        <f t="shared" si="15"/>
        <v>0.17030000000000001</v>
      </c>
      <c r="AL16" s="1867">
        <f t="shared" si="16"/>
        <v>0.17030000000000001</v>
      </c>
      <c r="AM16" s="1867">
        <f t="shared" si="17"/>
        <v>0.17030000000000001</v>
      </c>
      <c r="AN16" s="1868">
        <f t="shared" si="17"/>
        <v>0.16239999999999999</v>
      </c>
      <c r="AO16" s="751">
        <v>2.33</v>
      </c>
      <c r="AP16" s="277">
        <v>2.4700000000000002</v>
      </c>
      <c r="AQ16" s="277">
        <v>2.3199999999999998</v>
      </c>
      <c r="AR16" s="752">
        <v>2.4300000000000002</v>
      </c>
      <c r="AS16" s="800">
        <f t="shared" si="18"/>
        <v>2.4300000000000002</v>
      </c>
      <c r="AT16" s="800">
        <f t="shared" si="19"/>
        <v>2.4300000000000002</v>
      </c>
      <c r="AU16" s="800">
        <f t="shared" si="20"/>
        <v>2.33</v>
      </c>
      <c r="AV16" s="800">
        <f t="shared" si="21"/>
        <v>2.33</v>
      </c>
      <c r="AW16" s="800">
        <f t="shared" si="22"/>
        <v>2.33</v>
      </c>
      <c r="AX16" s="800">
        <f t="shared" si="22"/>
        <v>2.4700000000000002</v>
      </c>
      <c r="AY16" s="800">
        <f t="shared" si="23"/>
        <v>2.4700000000000002</v>
      </c>
      <c r="AZ16" s="800">
        <f t="shared" si="24"/>
        <v>2.4700000000000002</v>
      </c>
      <c r="BA16" s="800">
        <f t="shared" si="24"/>
        <v>2.3199999999999998</v>
      </c>
      <c r="BB16" s="800">
        <f t="shared" si="25"/>
        <v>2.3199999999999998</v>
      </c>
      <c r="BC16" s="800">
        <f t="shared" si="26"/>
        <v>2.3199999999999998</v>
      </c>
      <c r="BD16" s="1865">
        <f t="shared" si="26"/>
        <v>2.4300000000000002</v>
      </c>
      <c r="BE16" s="775">
        <f t="shared" si="4"/>
        <v>9</v>
      </c>
      <c r="BF16" s="590"/>
      <c r="BG16" s="775">
        <f t="shared" si="27"/>
        <v>952</v>
      </c>
      <c r="BH16" s="111">
        <f t="shared" si="5"/>
        <v>952</v>
      </c>
      <c r="BI16" s="111">
        <f t="shared" si="5"/>
        <v>0</v>
      </c>
      <c r="BJ16" s="111">
        <f t="shared" si="5"/>
        <v>0</v>
      </c>
      <c r="BK16" s="111">
        <f t="shared" si="5"/>
        <v>0</v>
      </c>
      <c r="BL16" s="111">
        <f t="shared" si="5"/>
        <v>0</v>
      </c>
      <c r="BM16" s="111">
        <f t="shared" si="5"/>
        <v>0</v>
      </c>
      <c r="BN16" s="111">
        <f t="shared" si="5"/>
        <v>0</v>
      </c>
      <c r="BO16" s="111">
        <f t="shared" si="5"/>
        <v>914.66666666666663</v>
      </c>
      <c r="BP16" s="111">
        <f t="shared" si="5"/>
        <v>914.66666666666663</v>
      </c>
      <c r="BQ16" s="111">
        <f t="shared" si="5"/>
        <v>914.66666666666663</v>
      </c>
      <c r="BR16" s="817">
        <f t="shared" si="5"/>
        <v>952</v>
      </c>
      <c r="BS16" s="775">
        <f t="shared" si="28"/>
        <v>9</v>
      </c>
      <c r="BT16" s="111"/>
      <c r="BU16" s="1867">
        <f t="shared" si="29"/>
        <v>0.16239999999999999</v>
      </c>
      <c r="BV16" s="1867">
        <f t="shared" si="6"/>
        <v>0.16239999999999999</v>
      </c>
      <c r="BW16" s="1867">
        <f t="shared" si="6"/>
        <v>0.1925</v>
      </c>
      <c r="BX16" s="1867">
        <f t="shared" si="6"/>
        <v>0.1925</v>
      </c>
      <c r="BY16" s="1867">
        <f t="shared" si="6"/>
        <v>0.1925</v>
      </c>
      <c r="BZ16" s="1867">
        <f t="shared" si="6"/>
        <v>0.1978</v>
      </c>
      <c r="CA16" s="1867">
        <f t="shared" si="6"/>
        <v>0.1978</v>
      </c>
      <c r="CB16" s="1867">
        <f t="shared" si="6"/>
        <v>0.1978</v>
      </c>
      <c r="CC16" s="1867">
        <f t="shared" si="6"/>
        <v>0.17030000000000001</v>
      </c>
      <c r="CD16" s="1867">
        <f t="shared" si="6"/>
        <v>0.17030000000000001</v>
      </c>
      <c r="CE16" s="1867">
        <f t="shared" si="6"/>
        <v>0.17030000000000001</v>
      </c>
      <c r="CF16" s="1868">
        <f t="shared" si="6"/>
        <v>0.16239999999999999</v>
      </c>
      <c r="CG16" s="775">
        <f t="shared" si="31"/>
        <v>9</v>
      </c>
      <c r="CH16" s="111"/>
      <c r="CI16" s="800">
        <f t="shared" si="30"/>
        <v>2.4300000000000002</v>
      </c>
      <c r="CJ16" s="800">
        <f t="shared" si="7"/>
        <v>2.4300000000000002</v>
      </c>
      <c r="CK16" s="800">
        <f t="shared" si="7"/>
        <v>2.33</v>
      </c>
      <c r="CL16" s="800">
        <f t="shared" si="7"/>
        <v>2.33</v>
      </c>
      <c r="CM16" s="800">
        <f t="shared" si="7"/>
        <v>2.33</v>
      </c>
      <c r="CN16" s="800">
        <f t="shared" si="7"/>
        <v>2.4700000000000002</v>
      </c>
      <c r="CO16" s="800">
        <f t="shared" si="7"/>
        <v>2.4700000000000002</v>
      </c>
      <c r="CP16" s="800">
        <f t="shared" si="7"/>
        <v>2.4700000000000002</v>
      </c>
      <c r="CQ16" s="800">
        <f t="shared" si="7"/>
        <v>2.3199999999999998</v>
      </c>
      <c r="CR16" s="800">
        <f t="shared" si="7"/>
        <v>2.3199999999999998</v>
      </c>
      <c r="CS16" s="800">
        <f t="shared" si="7"/>
        <v>2.3199999999999998</v>
      </c>
      <c r="CT16" s="1865">
        <f t="shared" si="7"/>
        <v>2.4300000000000002</v>
      </c>
    </row>
    <row r="17" spans="1:98" x14ac:dyDescent="0.2">
      <c r="A17" s="590"/>
      <c r="B17" s="5015" t="s">
        <v>1569</v>
      </c>
      <c r="C17" s="276" t="s">
        <v>346</v>
      </c>
      <c r="D17" s="5016">
        <v>6800</v>
      </c>
      <c r="E17" s="5017"/>
      <c r="F17" s="5018"/>
      <c r="G17" s="5018">
        <v>47</v>
      </c>
      <c r="H17" s="817">
        <f t="shared" si="8"/>
        <v>53</v>
      </c>
      <c r="I17" s="775">
        <v>0</v>
      </c>
      <c r="J17" s="111">
        <f t="shared" si="0"/>
        <v>0</v>
      </c>
      <c r="K17" s="111">
        <f t="shared" si="0"/>
        <v>3196</v>
      </c>
      <c r="L17" s="817">
        <f t="shared" si="0"/>
        <v>3604</v>
      </c>
      <c r="M17" s="5018">
        <f>L17/3</f>
        <v>1201.3333333333333</v>
      </c>
      <c r="N17" s="5018">
        <f t="shared" si="33"/>
        <v>1201.3333333333333</v>
      </c>
      <c r="O17" s="5018">
        <f t="shared" si="34"/>
        <v>0</v>
      </c>
      <c r="P17" s="5018">
        <f t="shared" si="35"/>
        <v>0</v>
      </c>
      <c r="Q17" s="5018">
        <f t="shared" si="36"/>
        <v>0</v>
      </c>
      <c r="R17" s="5018">
        <f t="shared" si="36"/>
        <v>0</v>
      </c>
      <c r="S17" s="5018">
        <f t="shared" si="37"/>
        <v>0</v>
      </c>
      <c r="T17" s="5018">
        <f t="shared" si="38"/>
        <v>0</v>
      </c>
      <c r="U17" s="5018">
        <f t="shared" si="38"/>
        <v>1065.3333333333333</v>
      </c>
      <c r="V17" s="5018">
        <f t="shared" si="39"/>
        <v>1065.3333333333333</v>
      </c>
      <c r="W17" s="5018">
        <f t="shared" si="40"/>
        <v>1065.3333333333333</v>
      </c>
      <c r="X17" s="5018">
        <f t="shared" si="40"/>
        <v>1201.3333333333333</v>
      </c>
      <c r="Y17" s="5021">
        <v>19.440000000000001</v>
      </c>
      <c r="Z17" s="5022">
        <v>22.53</v>
      </c>
      <c r="AA17" s="757">
        <v>20.28</v>
      </c>
      <c r="AB17" s="758">
        <v>15.78</v>
      </c>
      <c r="AC17" s="1867">
        <f t="shared" si="9"/>
        <v>0.1578</v>
      </c>
      <c r="AD17" s="1867">
        <f t="shared" si="10"/>
        <v>0.1578</v>
      </c>
      <c r="AE17" s="1867">
        <f t="shared" si="11"/>
        <v>0.19440000000000002</v>
      </c>
      <c r="AF17" s="1867">
        <f t="shared" si="12"/>
        <v>0.19440000000000002</v>
      </c>
      <c r="AG17" s="1867">
        <f t="shared" si="13"/>
        <v>0.19440000000000002</v>
      </c>
      <c r="AH17" s="1867">
        <f t="shared" si="13"/>
        <v>0.2253</v>
      </c>
      <c r="AI17" s="1867">
        <f t="shared" si="14"/>
        <v>0.2253</v>
      </c>
      <c r="AJ17" s="1867">
        <f t="shared" si="15"/>
        <v>0.2253</v>
      </c>
      <c r="AK17" s="1867">
        <f t="shared" si="15"/>
        <v>0.20280000000000001</v>
      </c>
      <c r="AL17" s="1867">
        <f t="shared" si="16"/>
        <v>0.20280000000000001</v>
      </c>
      <c r="AM17" s="1867">
        <f t="shared" si="17"/>
        <v>0.20280000000000001</v>
      </c>
      <c r="AN17" s="1868">
        <f t="shared" si="17"/>
        <v>0.1578</v>
      </c>
      <c r="AO17" s="751">
        <v>2.37</v>
      </c>
      <c r="AP17" s="277">
        <v>2.4700000000000002</v>
      </c>
      <c r="AQ17" s="277">
        <v>2.5</v>
      </c>
      <c r="AR17" s="752">
        <v>2.1800000000000002</v>
      </c>
      <c r="AS17" s="800">
        <f t="shared" si="18"/>
        <v>2.1800000000000002</v>
      </c>
      <c r="AT17" s="800">
        <f t="shared" si="19"/>
        <v>2.1800000000000002</v>
      </c>
      <c r="AU17" s="800">
        <f t="shared" si="20"/>
        <v>2.37</v>
      </c>
      <c r="AV17" s="800">
        <f t="shared" si="21"/>
        <v>2.37</v>
      </c>
      <c r="AW17" s="800">
        <f t="shared" si="22"/>
        <v>2.37</v>
      </c>
      <c r="AX17" s="800">
        <f t="shared" si="22"/>
        <v>2.4700000000000002</v>
      </c>
      <c r="AY17" s="800">
        <f t="shared" si="23"/>
        <v>2.4700000000000002</v>
      </c>
      <c r="AZ17" s="800">
        <f t="shared" si="24"/>
        <v>2.4700000000000002</v>
      </c>
      <c r="BA17" s="800">
        <f t="shared" si="24"/>
        <v>2.5</v>
      </c>
      <c r="BB17" s="800">
        <f t="shared" si="25"/>
        <v>2.5</v>
      </c>
      <c r="BC17" s="800">
        <f t="shared" si="26"/>
        <v>2.5</v>
      </c>
      <c r="BD17" s="1865">
        <f t="shared" si="26"/>
        <v>2.1800000000000002</v>
      </c>
      <c r="BE17" s="775">
        <f t="shared" si="4"/>
        <v>10</v>
      </c>
      <c r="BF17" s="590"/>
      <c r="BG17" s="775">
        <f t="shared" si="27"/>
        <v>1201.3333333333333</v>
      </c>
      <c r="BH17" s="111">
        <f t="shared" si="5"/>
        <v>1201.3333333333333</v>
      </c>
      <c r="BI17" s="111">
        <f t="shared" si="5"/>
        <v>0</v>
      </c>
      <c r="BJ17" s="111">
        <f t="shared" si="5"/>
        <v>0</v>
      </c>
      <c r="BK17" s="111">
        <f t="shared" si="5"/>
        <v>0</v>
      </c>
      <c r="BL17" s="111">
        <f t="shared" si="5"/>
        <v>0</v>
      </c>
      <c r="BM17" s="111">
        <f t="shared" si="5"/>
        <v>0</v>
      </c>
      <c r="BN17" s="111">
        <f t="shared" si="5"/>
        <v>0</v>
      </c>
      <c r="BO17" s="111">
        <f t="shared" si="5"/>
        <v>1065.3333333333333</v>
      </c>
      <c r="BP17" s="111">
        <f t="shared" si="5"/>
        <v>1065.3333333333333</v>
      </c>
      <c r="BQ17" s="111">
        <f t="shared" si="5"/>
        <v>1065.3333333333333</v>
      </c>
      <c r="BR17" s="817">
        <f t="shared" si="5"/>
        <v>1201.3333333333333</v>
      </c>
      <c r="BS17" s="775">
        <f t="shared" si="28"/>
        <v>10</v>
      </c>
      <c r="BT17" s="111"/>
      <c r="BU17" s="1867">
        <f t="shared" si="29"/>
        <v>0.1578</v>
      </c>
      <c r="BV17" s="1867">
        <f t="shared" si="6"/>
        <v>0.1578</v>
      </c>
      <c r="BW17" s="1867">
        <f t="shared" si="6"/>
        <v>0.19440000000000002</v>
      </c>
      <c r="BX17" s="1867">
        <f t="shared" si="6"/>
        <v>0.19440000000000002</v>
      </c>
      <c r="BY17" s="1867">
        <f t="shared" si="6"/>
        <v>0.19440000000000002</v>
      </c>
      <c r="BZ17" s="1867">
        <f t="shared" si="6"/>
        <v>0.2253</v>
      </c>
      <c r="CA17" s="1867">
        <f t="shared" si="6"/>
        <v>0.2253</v>
      </c>
      <c r="CB17" s="1867">
        <f t="shared" si="6"/>
        <v>0.2253</v>
      </c>
      <c r="CC17" s="1867">
        <f t="shared" si="6"/>
        <v>0.20280000000000001</v>
      </c>
      <c r="CD17" s="1867">
        <f t="shared" si="6"/>
        <v>0.20280000000000001</v>
      </c>
      <c r="CE17" s="1867">
        <f t="shared" si="6"/>
        <v>0.20280000000000001</v>
      </c>
      <c r="CF17" s="1868">
        <f t="shared" si="6"/>
        <v>0.1578</v>
      </c>
      <c r="CG17" s="775">
        <f t="shared" si="31"/>
        <v>10</v>
      </c>
      <c r="CH17" s="111"/>
      <c r="CI17" s="800">
        <f t="shared" si="30"/>
        <v>2.1800000000000002</v>
      </c>
      <c r="CJ17" s="800">
        <f t="shared" si="7"/>
        <v>2.1800000000000002</v>
      </c>
      <c r="CK17" s="800">
        <f t="shared" si="7"/>
        <v>2.37</v>
      </c>
      <c r="CL17" s="800">
        <f t="shared" si="7"/>
        <v>2.37</v>
      </c>
      <c r="CM17" s="800">
        <f t="shared" si="7"/>
        <v>2.37</v>
      </c>
      <c r="CN17" s="800">
        <f t="shared" si="7"/>
        <v>2.4700000000000002</v>
      </c>
      <c r="CO17" s="800">
        <f t="shared" si="7"/>
        <v>2.4700000000000002</v>
      </c>
      <c r="CP17" s="800">
        <f t="shared" si="7"/>
        <v>2.4700000000000002</v>
      </c>
      <c r="CQ17" s="800">
        <f t="shared" si="7"/>
        <v>2.5</v>
      </c>
      <c r="CR17" s="800">
        <f t="shared" si="7"/>
        <v>2.5</v>
      </c>
      <c r="CS17" s="800">
        <f t="shared" si="7"/>
        <v>2.5</v>
      </c>
      <c r="CT17" s="1865">
        <f t="shared" si="7"/>
        <v>2.1800000000000002</v>
      </c>
    </row>
    <row r="18" spans="1:98" x14ac:dyDescent="0.2">
      <c r="A18" s="590"/>
      <c r="B18" s="5015"/>
      <c r="C18" s="276" t="s">
        <v>346</v>
      </c>
      <c r="D18" s="5016">
        <v>0</v>
      </c>
      <c r="E18" s="5017"/>
      <c r="F18" s="5018"/>
      <c r="G18" s="5018"/>
      <c r="H18" s="817">
        <f t="shared" si="8"/>
        <v>100</v>
      </c>
      <c r="I18" s="775">
        <f t="shared" ref="I18:L19" si="41">+$D18*E18/100</f>
        <v>0</v>
      </c>
      <c r="J18" s="111">
        <f t="shared" si="41"/>
        <v>0</v>
      </c>
      <c r="K18" s="111">
        <f t="shared" si="41"/>
        <v>0</v>
      </c>
      <c r="L18" s="817">
        <f t="shared" si="41"/>
        <v>0</v>
      </c>
      <c r="M18" s="5018">
        <f>L18/3</f>
        <v>0</v>
      </c>
      <c r="N18" s="5018">
        <f t="shared" si="33"/>
        <v>0</v>
      </c>
      <c r="O18" s="5018">
        <f t="shared" si="34"/>
        <v>0</v>
      </c>
      <c r="P18" s="5018">
        <f t="shared" si="35"/>
        <v>0</v>
      </c>
      <c r="Q18" s="5018">
        <f>I18/3</f>
        <v>0</v>
      </c>
      <c r="R18" s="5018">
        <f>J18/3</f>
        <v>0</v>
      </c>
      <c r="S18" s="5018">
        <f t="shared" si="37"/>
        <v>0</v>
      </c>
      <c r="T18" s="5018">
        <f>J18/3</f>
        <v>0</v>
      </c>
      <c r="U18" s="5018">
        <f>K18/3</f>
        <v>0</v>
      </c>
      <c r="V18" s="5018">
        <f t="shared" si="39"/>
        <v>0</v>
      </c>
      <c r="W18" s="5018">
        <f>K18/3</f>
        <v>0</v>
      </c>
      <c r="X18" s="5018">
        <f>L18/3</f>
        <v>0</v>
      </c>
      <c r="Y18" s="5021"/>
      <c r="Z18" s="5022"/>
      <c r="AA18" s="757"/>
      <c r="AB18" s="758"/>
      <c r="AC18" s="1867">
        <f t="shared" si="9"/>
        <v>0</v>
      </c>
      <c r="AD18" s="1867">
        <f t="shared" si="10"/>
        <v>0</v>
      </c>
      <c r="AE18" s="1867">
        <f t="shared" si="11"/>
        <v>0</v>
      </c>
      <c r="AF18" s="1867">
        <f t="shared" si="12"/>
        <v>0</v>
      </c>
      <c r="AG18" s="1867">
        <f t="shared" si="13"/>
        <v>0</v>
      </c>
      <c r="AH18" s="1867">
        <f t="shared" si="13"/>
        <v>0</v>
      </c>
      <c r="AI18" s="1867">
        <f t="shared" si="14"/>
        <v>0</v>
      </c>
      <c r="AJ18" s="1867">
        <f t="shared" si="15"/>
        <v>0</v>
      </c>
      <c r="AK18" s="1867">
        <f t="shared" si="15"/>
        <v>0</v>
      </c>
      <c r="AL18" s="1867">
        <f t="shared" si="16"/>
        <v>0</v>
      </c>
      <c r="AM18" s="1867">
        <f t="shared" si="17"/>
        <v>0</v>
      </c>
      <c r="AN18" s="1868">
        <f t="shared" si="17"/>
        <v>0</v>
      </c>
      <c r="AO18" s="751"/>
      <c r="AP18" s="277"/>
      <c r="AQ18" s="277"/>
      <c r="AR18" s="752"/>
      <c r="AS18" s="800">
        <f t="shared" si="18"/>
        <v>0</v>
      </c>
      <c r="AT18" s="800">
        <f t="shared" si="19"/>
        <v>0</v>
      </c>
      <c r="AU18" s="800">
        <f t="shared" si="20"/>
        <v>0</v>
      </c>
      <c r="AV18" s="800">
        <f t="shared" si="21"/>
        <v>0</v>
      </c>
      <c r="AW18" s="800">
        <f t="shared" si="22"/>
        <v>0</v>
      </c>
      <c r="AX18" s="800">
        <f t="shared" si="22"/>
        <v>0</v>
      </c>
      <c r="AY18" s="800">
        <f t="shared" si="23"/>
        <v>0</v>
      </c>
      <c r="AZ18" s="800">
        <f t="shared" si="24"/>
        <v>0</v>
      </c>
      <c r="BA18" s="800">
        <f t="shared" si="24"/>
        <v>0</v>
      </c>
      <c r="BB18" s="800">
        <f t="shared" si="25"/>
        <v>0</v>
      </c>
      <c r="BC18" s="800">
        <f t="shared" si="26"/>
        <v>0</v>
      </c>
      <c r="BD18" s="1865">
        <f t="shared" si="26"/>
        <v>0</v>
      </c>
      <c r="BE18" s="775">
        <f t="shared" si="4"/>
        <v>11</v>
      </c>
      <c r="BF18" s="590"/>
      <c r="BG18" s="775">
        <f t="shared" si="27"/>
        <v>0</v>
      </c>
      <c r="BH18" s="111">
        <f t="shared" si="5"/>
        <v>0</v>
      </c>
      <c r="BI18" s="111">
        <f t="shared" si="5"/>
        <v>0</v>
      </c>
      <c r="BJ18" s="111">
        <f t="shared" ref="BH18:BR41" si="42">HLOOKUP(BJ$8,$M$8:$X$50,$BE18,FALSE)</f>
        <v>0</v>
      </c>
      <c r="BK18" s="111">
        <f t="shared" si="42"/>
        <v>0</v>
      </c>
      <c r="BL18" s="111">
        <f t="shared" si="42"/>
        <v>0</v>
      </c>
      <c r="BM18" s="111">
        <f t="shared" si="42"/>
        <v>0</v>
      </c>
      <c r="BN18" s="111">
        <f t="shared" si="42"/>
        <v>0</v>
      </c>
      <c r="BO18" s="111">
        <f t="shared" si="42"/>
        <v>0</v>
      </c>
      <c r="BP18" s="111">
        <f t="shared" si="42"/>
        <v>0</v>
      </c>
      <c r="BQ18" s="111">
        <f t="shared" si="42"/>
        <v>0</v>
      </c>
      <c r="BR18" s="817">
        <f t="shared" si="42"/>
        <v>0</v>
      </c>
      <c r="BS18" s="775">
        <f t="shared" si="28"/>
        <v>11</v>
      </c>
      <c r="BT18" s="111"/>
      <c r="BU18" s="1867">
        <f t="shared" si="29"/>
        <v>0</v>
      </c>
      <c r="BV18" s="1867">
        <f t="shared" si="6"/>
        <v>0</v>
      </c>
      <c r="BW18" s="1867">
        <f t="shared" si="6"/>
        <v>0</v>
      </c>
      <c r="BX18" s="1867">
        <f t="shared" ref="BV18:CF41" si="43">HLOOKUP(BX$8,$AC$8:$AN$50,$BS18,FALSE)</f>
        <v>0</v>
      </c>
      <c r="BY18" s="1867">
        <f t="shared" si="43"/>
        <v>0</v>
      </c>
      <c r="BZ18" s="1867">
        <f t="shared" si="43"/>
        <v>0</v>
      </c>
      <c r="CA18" s="1867">
        <f t="shared" si="43"/>
        <v>0</v>
      </c>
      <c r="CB18" s="1867">
        <f t="shared" si="43"/>
        <v>0</v>
      </c>
      <c r="CC18" s="1867">
        <f t="shared" si="43"/>
        <v>0</v>
      </c>
      <c r="CD18" s="1867">
        <f t="shared" si="43"/>
        <v>0</v>
      </c>
      <c r="CE18" s="1867">
        <f t="shared" si="43"/>
        <v>0</v>
      </c>
      <c r="CF18" s="1868">
        <f t="shared" si="43"/>
        <v>0</v>
      </c>
      <c r="CG18" s="775">
        <f t="shared" si="31"/>
        <v>11</v>
      </c>
      <c r="CH18" s="111"/>
      <c r="CI18" s="800">
        <f t="shared" si="30"/>
        <v>0</v>
      </c>
      <c r="CJ18" s="800">
        <f t="shared" si="7"/>
        <v>0</v>
      </c>
      <c r="CK18" s="800">
        <f t="shared" si="7"/>
        <v>0</v>
      </c>
      <c r="CL18" s="800">
        <f t="shared" ref="CJ18:CT41" si="44">HLOOKUP(CL$8,$AS$8:$BD$63,$CG18,FALSE)</f>
        <v>0</v>
      </c>
      <c r="CM18" s="800">
        <f t="shared" si="44"/>
        <v>0</v>
      </c>
      <c r="CN18" s="800">
        <f t="shared" si="44"/>
        <v>0</v>
      </c>
      <c r="CO18" s="800">
        <f t="shared" si="44"/>
        <v>0</v>
      </c>
      <c r="CP18" s="800">
        <f t="shared" si="44"/>
        <v>0</v>
      </c>
      <c r="CQ18" s="800">
        <f t="shared" si="44"/>
        <v>0</v>
      </c>
      <c r="CR18" s="800">
        <f t="shared" si="44"/>
        <v>0</v>
      </c>
      <c r="CS18" s="800">
        <f t="shared" si="44"/>
        <v>0</v>
      </c>
      <c r="CT18" s="1865">
        <f t="shared" si="44"/>
        <v>0</v>
      </c>
    </row>
    <row r="19" spans="1:98" x14ac:dyDescent="0.2">
      <c r="A19" s="590"/>
      <c r="B19" s="5015"/>
      <c r="C19" s="276" t="s">
        <v>346</v>
      </c>
      <c r="D19" s="5016">
        <v>0</v>
      </c>
      <c r="E19" s="5017"/>
      <c r="F19" s="5018"/>
      <c r="G19" s="5018"/>
      <c r="H19" s="817">
        <f t="shared" si="8"/>
        <v>100</v>
      </c>
      <c r="I19" s="775">
        <f t="shared" si="41"/>
        <v>0</v>
      </c>
      <c r="J19" s="111">
        <f t="shared" si="41"/>
        <v>0</v>
      </c>
      <c r="K19" s="111">
        <f t="shared" si="41"/>
        <v>0</v>
      </c>
      <c r="L19" s="817">
        <f t="shared" si="41"/>
        <v>0</v>
      </c>
      <c r="M19" s="5018">
        <f>L19/3</f>
        <v>0</v>
      </c>
      <c r="N19" s="5018">
        <f t="shared" si="33"/>
        <v>0</v>
      </c>
      <c r="O19" s="5018">
        <f t="shared" si="34"/>
        <v>0</v>
      </c>
      <c r="P19" s="5018">
        <f t="shared" si="35"/>
        <v>0</v>
      </c>
      <c r="Q19" s="5018">
        <f>I19/3</f>
        <v>0</v>
      </c>
      <c r="R19" s="5018">
        <f>J19/3</f>
        <v>0</v>
      </c>
      <c r="S19" s="5018">
        <f t="shared" si="37"/>
        <v>0</v>
      </c>
      <c r="T19" s="5018">
        <f>J19/3</f>
        <v>0</v>
      </c>
      <c r="U19" s="5018">
        <f>K19/3</f>
        <v>0</v>
      </c>
      <c r="V19" s="5018">
        <f t="shared" si="39"/>
        <v>0</v>
      </c>
      <c r="W19" s="5018">
        <f>K19/3</f>
        <v>0</v>
      </c>
      <c r="X19" s="5018">
        <f>L19/3</f>
        <v>0</v>
      </c>
      <c r="Y19" s="5023"/>
      <c r="Z19" s="5024"/>
      <c r="AA19" s="759"/>
      <c r="AB19" s="760"/>
      <c r="AC19" s="1873">
        <f t="shared" si="9"/>
        <v>0</v>
      </c>
      <c r="AD19" s="1873">
        <f t="shared" si="10"/>
        <v>0</v>
      </c>
      <c r="AE19" s="1873">
        <f t="shared" si="11"/>
        <v>0</v>
      </c>
      <c r="AF19" s="1873">
        <f t="shared" si="12"/>
        <v>0</v>
      </c>
      <c r="AG19" s="1873">
        <f t="shared" si="13"/>
        <v>0</v>
      </c>
      <c r="AH19" s="1873">
        <f t="shared" si="13"/>
        <v>0</v>
      </c>
      <c r="AI19" s="1873">
        <f t="shared" si="14"/>
        <v>0</v>
      </c>
      <c r="AJ19" s="1873">
        <f t="shared" si="15"/>
        <v>0</v>
      </c>
      <c r="AK19" s="1873">
        <f t="shared" si="15"/>
        <v>0</v>
      </c>
      <c r="AL19" s="1873">
        <f t="shared" si="16"/>
        <v>0</v>
      </c>
      <c r="AM19" s="1873">
        <f t="shared" si="17"/>
        <v>0</v>
      </c>
      <c r="AN19" s="1874">
        <f t="shared" si="17"/>
        <v>0</v>
      </c>
      <c r="AO19" s="753"/>
      <c r="AP19" s="279"/>
      <c r="AQ19" s="279"/>
      <c r="AR19" s="754"/>
      <c r="AS19" s="1870">
        <f t="shared" si="18"/>
        <v>0</v>
      </c>
      <c r="AT19" s="1870">
        <f t="shared" si="19"/>
        <v>0</v>
      </c>
      <c r="AU19" s="1870">
        <f t="shared" si="20"/>
        <v>0</v>
      </c>
      <c r="AV19" s="1870">
        <f t="shared" si="21"/>
        <v>0</v>
      </c>
      <c r="AW19" s="1870">
        <f t="shared" si="22"/>
        <v>0</v>
      </c>
      <c r="AX19" s="1870">
        <f t="shared" si="22"/>
        <v>0</v>
      </c>
      <c r="AY19" s="1870">
        <f t="shared" si="23"/>
        <v>0</v>
      </c>
      <c r="AZ19" s="1870">
        <f t="shared" si="24"/>
        <v>0</v>
      </c>
      <c r="BA19" s="1870">
        <f t="shared" si="24"/>
        <v>0</v>
      </c>
      <c r="BB19" s="1870">
        <f t="shared" si="25"/>
        <v>0</v>
      </c>
      <c r="BC19" s="1870">
        <f t="shared" si="26"/>
        <v>0</v>
      </c>
      <c r="BD19" s="1871">
        <f t="shared" si="26"/>
        <v>0</v>
      </c>
      <c r="BE19" s="779">
        <f t="shared" si="4"/>
        <v>12</v>
      </c>
      <c r="BF19" s="1872"/>
      <c r="BG19" s="775">
        <f t="shared" si="27"/>
        <v>0</v>
      </c>
      <c r="BH19" s="111">
        <f t="shared" si="42"/>
        <v>0</v>
      </c>
      <c r="BI19" s="111">
        <f t="shared" si="42"/>
        <v>0</v>
      </c>
      <c r="BJ19" s="111">
        <f t="shared" si="42"/>
        <v>0</v>
      </c>
      <c r="BK19" s="111">
        <f t="shared" si="42"/>
        <v>0</v>
      </c>
      <c r="BL19" s="111">
        <f t="shared" si="42"/>
        <v>0</v>
      </c>
      <c r="BM19" s="111">
        <f t="shared" si="42"/>
        <v>0</v>
      </c>
      <c r="BN19" s="111">
        <f t="shared" si="42"/>
        <v>0</v>
      </c>
      <c r="BO19" s="111">
        <f t="shared" si="42"/>
        <v>0</v>
      </c>
      <c r="BP19" s="111">
        <f t="shared" si="42"/>
        <v>0</v>
      </c>
      <c r="BQ19" s="111">
        <f t="shared" si="42"/>
        <v>0</v>
      </c>
      <c r="BR19" s="817">
        <f t="shared" si="42"/>
        <v>0</v>
      </c>
      <c r="BS19" s="779">
        <f t="shared" si="28"/>
        <v>12</v>
      </c>
      <c r="BT19" s="780"/>
      <c r="BU19" s="1873">
        <f t="shared" si="29"/>
        <v>0</v>
      </c>
      <c r="BV19" s="1873">
        <f t="shared" si="43"/>
        <v>0</v>
      </c>
      <c r="BW19" s="1873">
        <f t="shared" si="43"/>
        <v>0</v>
      </c>
      <c r="BX19" s="1873">
        <f t="shared" si="43"/>
        <v>0</v>
      </c>
      <c r="BY19" s="1873">
        <f t="shared" si="43"/>
        <v>0</v>
      </c>
      <c r="BZ19" s="1873">
        <f t="shared" si="43"/>
        <v>0</v>
      </c>
      <c r="CA19" s="1873">
        <f t="shared" si="43"/>
        <v>0</v>
      </c>
      <c r="CB19" s="1873">
        <f t="shared" si="43"/>
        <v>0</v>
      </c>
      <c r="CC19" s="1873">
        <f t="shared" si="43"/>
        <v>0</v>
      </c>
      <c r="CD19" s="1873">
        <f t="shared" si="43"/>
        <v>0</v>
      </c>
      <c r="CE19" s="1873">
        <f t="shared" si="43"/>
        <v>0</v>
      </c>
      <c r="CF19" s="1874">
        <f t="shared" si="43"/>
        <v>0</v>
      </c>
      <c r="CG19" s="779">
        <f t="shared" si="31"/>
        <v>12</v>
      </c>
      <c r="CH19" s="780"/>
      <c r="CI19" s="1870">
        <f t="shared" si="30"/>
        <v>0</v>
      </c>
      <c r="CJ19" s="1870">
        <f t="shared" si="44"/>
        <v>0</v>
      </c>
      <c r="CK19" s="1870">
        <f t="shared" si="44"/>
        <v>0</v>
      </c>
      <c r="CL19" s="1870">
        <f t="shared" si="44"/>
        <v>0</v>
      </c>
      <c r="CM19" s="1870">
        <f t="shared" si="44"/>
        <v>0</v>
      </c>
      <c r="CN19" s="1870">
        <f t="shared" si="44"/>
        <v>0</v>
      </c>
      <c r="CO19" s="1870">
        <f t="shared" si="44"/>
        <v>0</v>
      </c>
      <c r="CP19" s="1870">
        <f t="shared" si="44"/>
        <v>0</v>
      </c>
      <c r="CQ19" s="1870">
        <f t="shared" si="44"/>
        <v>0</v>
      </c>
      <c r="CR19" s="1870">
        <f t="shared" si="44"/>
        <v>0</v>
      </c>
      <c r="CS19" s="1870">
        <f t="shared" si="44"/>
        <v>0</v>
      </c>
      <c r="CT19" s="1871">
        <f t="shared" si="44"/>
        <v>0</v>
      </c>
    </row>
    <row r="20" spans="1:98" x14ac:dyDescent="0.2">
      <c r="A20" s="739"/>
      <c r="B20" s="278" t="s">
        <v>846</v>
      </c>
      <c r="C20" s="34"/>
      <c r="D20" s="34"/>
      <c r="E20" s="34"/>
      <c r="F20" s="34"/>
      <c r="G20" s="34"/>
      <c r="H20" s="781"/>
      <c r="I20" s="781"/>
      <c r="J20" s="781"/>
      <c r="K20" s="781"/>
      <c r="L20" s="781"/>
      <c r="M20" s="34"/>
      <c r="N20" s="34"/>
      <c r="O20" s="34"/>
      <c r="P20" s="34"/>
      <c r="Q20" s="34"/>
      <c r="R20" s="34"/>
      <c r="S20" s="34"/>
      <c r="T20" s="34"/>
      <c r="U20" s="34"/>
      <c r="V20" s="34"/>
      <c r="W20" s="34"/>
      <c r="X20" s="34"/>
      <c r="Y20" s="761"/>
      <c r="Z20" s="761"/>
      <c r="AA20" s="762"/>
      <c r="AB20" s="762"/>
      <c r="AC20" s="779"/>
      <c r="AD20" s="780"/>
      <c r="AE20" s="780"/>
      <c r="AF20" s="780"/>
      <c r="AG20" s="780"/>
      <c r="AH20" s="780"/>
      <c r="AI20" s="780"/>
      <c r="AJ20" s="780"/>
      <c r="AK20" s="780"/>
      <c r="AL20" s="780"/>
      <c r="AM20" s="780"/>
      <c r="AN20" s="806"/>
      <c r="AO20" s="280"/>
      <c r="AP20" s="280"/>
      <c r="AQ20" s="280"/>
      <c r="AR20" s="280"/>
      <c r="AS20" s="779"/>
      <c r="AT20" s="780"/>
      <c r="AU20" s="780"/>
      <c r="AV20" s="780"/>
      <c r="AW20" s="780"/>
      <c r="AX20" s="780"/>
      <c r="AY20" s="780"/>
      <c r="AZ20" s="780"/>
      <c r="BA20" s="780"/>
      <c r="BB20" s="780"/>
      <c r="BC20" s="780"/>
      <c r="BD20" s="806"/>
      <c r="BE20" s="779">
        <f t="shared" si="4"/>
        <v>13</v>
      </c>
      <c r="BF20" s="1872"/>
      <c r="BG20" s="781"/>
      <c r="BH20" s="781"/>
      <c r="BI20" s="781"/>
      <c r="BJ20" s="781"/>
      <c r="BK20" s="781"/>
      <c r="BL20" s="781"/>
      <c r="BM20" s="781"/>
      <c r="BN20" s="781"/>
      <c r="BO20" s="781"/>
      <c r="BP20" s="781"/>
      <c r="BQ20" s="781"/>
      <c r="BR20" s="1869"/>
      <c r="BS20" s="779">
        <f t="shared" si="28"/>
        <v>13</v>
      </c>
      <c r="BT20" s="780"/>
      <c r="BU20" s="780"/>
      <c r="BV20" s="780"/>
      <c r="BW20" s="780"/>
      <c r="BX20" s="780"/>
      <c r="BY20" s="780"/>
      <c r="BZ20" s="780"/>
      <c r="CA20" s="780"/>
      <c r="CB20" s="780"/>
      <c r="CC20" s="780"/>
      <c r="CD20" s="780"/>
      <c r="CE20" s="780"/>
      <c r="CF20" s="806"/>
      <c r="CG20" s="779">
        <f t="shared" si="31"/>
        <v>13</v>
      </c>
      <c r="CH20" s="780"/>
      <c r="CI20" s="780"/>
      <c r="CJ20" s="780"/>
      <c r="CK20" s="780"/>
      <c r="CL20" s="780"/>
      <c r="CM20" s="780"/>
      <c r="CN20" s="780"/>
      <c r="CO20" s="780"/>
      <c r="CP20" s="780"/>
      <c r="CQ20" s="780"/>
      <c r="CR20" s="780"/>
      <c r="CS20" s="780"/>
      <c r="CT20" s="806"/>
    </row>
    <row r="21" spans="1:98" x14ac:dyDescent="0.2">
      <c r="A21" s="590"/>
      <c r="B21" s="5015" t="s">
        <v>1566</v>
      </c>
      <c r="C21" s="276" t="s">
        <v>346</v>
      </c>
      <c r="D21" s="5016">
        <v>8000</v>
      </c>
      <c r="E21" s="5017">
        <v>25</v>
      </c>
      <c r="F21" s="5018">
        <v>10</v>
      </c>
      <c r="G21" s="5018">
        <v>35</v>
      </c>
      <c r="H21" s="817">
        <f t="shared" ref="H21:H33" si="45">100-SUM(E21:G21)</f>
        <v>30</v>
      </c>
      <c r="I21" s="775">
        <f t="shared" si="0"/>
        <v>2000</v>
      </c>
      <c r="J21" s="111">
        <f t="shared" si="0"/>
        <v>800</v>
      </c>
      <c r="K21" s="111">
        <f t="shared" si="0"/>
        <v>2800</v>
      </c>
      <c r="L21" s="817">
        <f t="shared" si="0"/>
        <v>2400</v>
      </c>
      <c r="M21" s="5018">
        <f t="shared" si="32"/>
        <v>800</v>
      </c>
      <c r="N21" s="5018">
        <f t="shared" ref="N21:N34" si="46">L21/3</f>
        <v>800</v>
      </c>
      <c r="O21" s="5018">
        <f t="shared" ref="O21:O47" si="47">I21/3</f>
        <v>666.66666666666663</v>
      </c>
      <c r="P21" s="5018">
        <f t="shared" ref="P21:P47" si="48">I21/3</f>
        <v>666.66666666666663</v>
      </c>
      <c r="Q21" s="5018">
        <f t="shared" ref="Q21:R47" si="49">I21/3</f>
        <v>666.66666666666663</v>
      </c>
      <c r="R21" s="5018">
        <f t="shared" si="49"/>
        <v>266.66666666666669</v>
      </c>
      <c r="S21" s="5018">
        <f t="shared" ref="S21:S47" si="50">J21/3</f>
        <v>266.66666666666669</v>
      </c>
      <c r="T21" s="5018">
        <f t="shared" ref="T21:U47" si="51">J21/3</f>
        <v>266.66666666666669</v>
      </c>
      <c r="U21" s="5018">
        <f t="shared" si="51"/>
        <v>933.33333333333337</v>
      </c>
      <c r="V21" s="5018">
        <f t="shared" ref="V21:V47" si="52">K21/3</f>
        <v>933.33333333333337</v>
      </c>
      <c r="W21" s="5018">
        <f t="shared" ref="W21:X47" si="53">K21/3</f>
        <v>933.33333333333337</v>
      </c>
      <c r="X21" s="5018">
        <f t="shared" si="53"/>
        <v>800</v>
      </c>
      <c r="Y21" s="5019">
        <v>23.2</v>
      </c>
      <c r="Z21" s="5020">
        <v>26.97</v>
      </c>
      <c r="AA21" s="755">
        <v>21.26</v>
      </c>
      <c r="AB21" s="756">
        <v>21.62</v>
      </c>
      <c r="AC21" s="1867">
        <f t="shared" si="9"/>
        <v>0.2162</v>
      </c>
      <c r="AD21" s="1867">
        <f t="shared" si="10"/>
        <v>0.2162</v>
      </c>
      <c r="AE21" s="1867">
        <f t="shared" si="11"/>
        <v>0.23199999999999998</v>
      </c>
      <c r="AF21" s="1867">
        <f t="shared" si="12"/>
        <v>0.23199999999999998</v>
      </c>
      <c r="AG21" s="1867">
        <f t="shared" si="13"/>
        <v>0.23199999999999998</v>
      </c>
      <c r="AH21" s="1867">
        <f t="shared" si="13"/>
        <v>0.2697</v>
      </c>
      <c r="AI21" s="1867">
        <f t="shared" si="14"/>
        <v>0.2697</v>
      </c>
      <c r="AJ21" s="1867">
        <f t="shared" si="15"/>
        <v>0.2697</v>
      </c>
      <c r="AK21" s="1867">
        <f t="shared" si="15"/>
        <v>0.21260000000000001</v>
      </c>
      <c r="AL21" s="1867">
        <f t="shared" si="16"/>
        <v>0.21260000000000001</v>
      </c>
      <c r="AM21" s="1867">
        <f t="shared" si="17"/>
        <v>0.21260000000000001</v>
      </c>
      <c r="AN21" s="1868">
        <f t="shared" si="17"/>
        <v>0.2162</v>
      </c>
      <c r="AO21" s="749">
        <v>2.56</v>
      </c>
      <c r="AP21" s="284">
        <v>2.67</v>
      </c>
      <c r="AQ21" s="284">
        <v>2.48</v>
      </c>
      <c r="AR21" s="750">
        <v>2.38</v>
      </c>
      <c r="AS21" s="800">
        <f t="shared" si="18"/>
        <v>2.38</v>
      </c>
      <c r="AT21" s="800">
        <f t="shared" si="19"/>
        <v>2.38</v>
      </c>
      <c r="AU21" s="800">
        <f t="shared" si="20"/>
        <v>2.56</v>
      </c>
      <c r="AV21" s="800">
        <f t="shared" si="21"/>
        <v>2.56</v>
      </c>
      <c r="AW21" s="800">
        <f t="shared" si="22"/>
        <v>2.56</v>
      </c>
      <c r="AX21" s="800">
        <f t="shared" si="22"/>
        <v>2.67</v>
      </c>
      <c r="AY21" s="800">
        <f t="shared" si="23"/>
        <v>2.67</v>
      </c>
      <c r="AZ21" s="800">
        <f t="shared" si="24"/>
        <v>2.67</v>
      </c>
      <c r="BA21" s="800">
        <f t="shared" si="24"/>
        <v>2.48</v>
      </c>
      <c r="BB21" s="800">
        <f t="shared" si="25"/>
        <v>2.48</v>
      </c>
      <c r="BC21" s="800">
        <f t="shared" si="26"/>
        <v>2.48</v>
      </c>
      <c r="BD21" s="1865">
        <f t="shared" si="26"/>
        <v>2.38</v>
      </c>
      <c r="BE21" s="775">
        <f t="shared" si="4"/>
        <v>14</v>
      </c>
      <c r="BF21" s="590"/>
      <c r="BG21" s="775">
        <f t="shared" si="27"/>
        <v>800</v>
      </c>
      <c r="BH21" s="111">
        <f t="shared" si="42"/>
        <v>800</v>
      </c>
      <c r="BI21" s="111">
        <f t="shared" si="42"/>
        <v>666.66666666666663</v>
      </c>
      <c r="BJ21" s="111">
        <f t="shared" si="42"/>
        <v>666.66666666666663</v>
      </c>
      <c r="BK21" s="111">
        <f t="shared" si="42"/>
        <v>666.66666666666663</v>
      </c>
      <c r="BL21" s="111">
        <f t="shared" si="42"/>
        <v>266.66666666666669</v>
      </c>
      <c r="BM21" s="111">
        <f t="shared" si="42"/>
        <v>266.66666666666669</v>
      </c>
      <c r="BN21" s="111">
        <f t="shared" si="42"/>
        <v>266.66666666666669</v>
      </c>
      <c r="BO21" s="111">
        <f t="shared" si="42"/>
        <v>933.33333333333337</v>
      </c>
      <c r="BP21" s="111">
        <f t="shared" si="42"/>
        <v>933.33333333333337</v>
      </c>
      <c r="BQ21" s="111">
        <f t="shared" si="42"/>
        <v>933.33333333333337</v>
      </c>
      <c r="BR21" s="817">
        <f t="shared" si="42"/>
        <v>800</v>
      </c>
      <c r="BS21" s="775">
        <f t="shared" si="28"/>
        <v>14</v>
      </c>
      <c r="BT21" s="111"/>
      <c r="BU21" s="1867">
        <f t="shared" si="29"/>
        <v>0.2162</v>
      </c>
      <c r="BV21" s="1867">
        <f t="shared" si="43"/>
        <v>0.2162</v>
      </c>
      <c r="BW21" s="1867">
        <f t="shared" si="43"/>
        <v>0.23199999999999998</v>
      </c>
      <c r="BX21" s="1867">
        <f t="shared" si="43"/>
        <v>0.23199999999999998</v>
      </c>
      <c r="BY21" s="1867">
        <f t="shared" si="43"/>
        <v>0.23199999999999998</v>
      </c>
      <c r="BZ21" s="1867">
        <f t="shared" si="43"/>
        <v>0.2697</v>
      </c>
      <c r="CA21" s="1867">
        <f t="shared" si="43"/>
        <v>0.2697</v>
      </c>
      <c r="CB21" s="1867">
        <f t="shared" si="43"/>
        <v>0.2697</v>
      </c>
      <c r="CC21" s="1867">
        <f t="shared" si="43"/>
        <v>0.21260000000000001</v>
      </c>
      <c r="CD21" s="1867">
        <f t="shared" si="43"/>
        <v>0.21260000000000001</v>
      </c>
      <c r="CE21" s="1867">
        <f t="shared" si="43"/>
        <v>0.21260000000000001</v>
      </c>
      <c r="CF21" s="1868">
        <f t="shared" si="43"/>
        <v>0.2162</v>
      </c>
      <c r="CG21" s="775">
        <f t="shared" si="31"/>
        <v>14</v>
      </c>
      <c r="CH21" s="111"/>
      <c r="CI21" s="800">
        <f t="shared" si="30"/>
        <v>2.38</v>
      </c>
      <c r="CJ21" s="800">
        <f t="shared" si="44"/>
        <v>2.38</v>
      </c>
      <c r="CK21" s="800">
        <f t="shared" si="44"/>
        <v>2.56</v>
      </c>
      <c r="CL21" s="800">
        <f t="shared" si="44"/>
        <v>2.56</v>
      </c>
      <c r="CM21" s="800">
        <f t="shared" si="44"/>
        <v>2.56</v>
      </c>
      <c r="CN21" s="800">
        <f t="shared" si="44"/>
        <v>2.67</v>
      </c>
      <c r="CO21" s="800">
        <f t="shared" si="44"/>
        <v>2.67</v>
      </c>
      <c r="CP21" s="800">
        <f t="shared" si="44"/>
        <v>2.67</v>
      </c>
      <c r="CQ21" s="800">
        <f t="shared" si="44"/>
        <v>2.48</v>
      </c>
      <c r="CR21" s="800">
        <f t="shared" si="44"/>
        <v>2.48</v>
      </c>
      <c r="CS21" s="800">
        <f t="shared" si="44"/>
        <v>2.48</v>
      </c>
      <c r="CT21" s="1865">
        <f t="shared" si="44"/>
        <v>2.38</v>
      </c>
    </row>
    <row r="22" spans="1:98" x14ac:dyDescent="0.2">
      <c r="A22" s="590"/>
      <c r="B22" s="5015" t="s">
        <v>1567</v>
      </c>
      <c r="C22" s="276" t="s">
        <v>346</v>
      </c>
      <c r="D22" s="5016">
        <v>6000</v>
      </c>
      <c r="E22" s="5017">
        <v>20</v>
      </c>
      <c r="F22" s="5018">
        <v>10</v>
      </c>
      <c r="G22" s="5018">
        <v>40</v>
      </c>
      <c r="H22" s="817">
        <f t="shared" si="45"/>
        <v>30</v>
      </c>
      <c r="I22" s="775">
        <f t="shared" si="0"/>
        <v>1200</v>
      </c>
      <c r="J22" s="111">
        <f t="shared" si="0"/>
        <v>600</v>
      </c>
      <c r="K22" s="111">
        <f t="shared" si="0"/>
        <v>2400</v>
      </c>
      <c r="L22" s="817">
        <f t="shared" si="0"/>
        <v>1800</v>
      </c>
      <c r="M22" s="5018">
        <f t="shared" si="32"/>
        <v>600</v>
      </c>
      <c r="N22" s="5018">
        <f t="shared" si="46"/>
        <v>600</v>
      </c>
      <c r="O22" s="5018">
        <f t="shared" si="47"/>
        <v>400</v>
      </c>
      <c r="P22" s="5018">
        <f t="shared" si="48"/>
        <v>400</v>
      </c>
      <c r="Q22" s="5018">
        <f t="shared" si="49"/>
        <v>400</v>
      </c>
      <c r="R22" s="5018">
        <f t="shared" si="49"/>
        <v>200</v>
      </c>
      <c r="S22" s="5018">
        <f t="shared" si="50"/>
        <v>200</v>
      </c>
      <c r="T22" s="5018">
        <f t="shared" si="51"/>
        <v>200</v>
      </c>
      <c r="U22" s="5018">
        <f t="shared" si="51"/>
        <v>800</v>
      </c>
      <c r="V22" s="5018">
        <f t="shared" si="52"/>
        <v>800</v>
      </c>
      <c r="W22" s="5018">
        <f t="shared" si="53"/>
        <v>800</v>
      </c>
      <c r="X22" s="5018">
        <f t="shared" si="53"/>
        <v>600</v>
      </c>
      <c r="Y22" s="5021">
        <v>23.2</v>
      </c>
      <c r="Z22" s="5022">
        <v>26.97</v>
      </c>
      <c r="AA22" s="757">
        <v>21.26</v>
      </c>
      <c r="AB22" s="758">
        <v>21.62</v>
      </c>
      <c r="AC22" s="1867">
        <f t="shared" si="9"/>
        <v>0.2162</v>
      </c>
      <c r="AD22" s="1867">
        <f t="shared" si="10"/>
        <v>0.2162</v>
      </c>
      <c r="AE22" s="1867">
        <f t="shared" si="11"/>
        <v>0.23199999999999998</v>
      </c>
      <c r="AF22" s="1867">
        <f t="shared" si="12"/>
        <v>0.23199999999999998</v>
      </c>
      <c r="AG22" s="1867">
        <f t="shared" si="13"/>
        <v>0.23199999999999998</v>
      </c>
      <c r="AH22" s="1867">
        <f t="shared" si="13"/>
        <v>0.2697</v>
      </c>
      <c r="AI22" s="1867">
        <f t="shared" si="14"/>
        <v>0.2697</v>
      </c>
      <c r="AJ22" s="1867">
        <f t="shared" si="15"/>
        <v>0.2697</v>
      </c>
      <c r="AK22" s="1867">
        <f t="shared" si="15"/>
        <v>0.21260000000000001</v>
      </c>
      <c r="AL22" s="1867">
        <f t="shared" si="16"/>
        <v>0.21260000000000001</v>
      </c>
      <c r="AM22" s="1867">
        <f t="shared" si="17"/>
        <v>0.21260000000000001</v>
      </c>
      <c r="AN22" s="1868">
        <f t="shared" si="17"/>
        <v>0.2162</v>
      </c>
      <c r="AO22" s="751">
        <v>2.56</v>
      </c>
      <c r="AP22" s="277">
        <v>2.67</v>
      </c>
      <c r="AQ22" s="277">
        <v>2.48</v>
      </c>
      <c r="AR22" s="752">
        <v>2.38</v>
      </c>
      <c r="AS22" s="800">
        <f t="shared" si="18"/>
        <v>2.38</v>
      </c>
      <c r="AT22" s="800">
        <f t="shared" si="19"/>
        <v>2.38</v>
      </c>
      <c r="AU22" s="800">
        <f t="shared" si="20"/>
        <v>2.56</v>
      </c>
      <c r="AV22" s="800">
        <f t="shared" si="21"/>
        <v>2.56</v>
      </c>
      <c r="AW22" s="800">
        <f t="shared" si="22"/>
        <v>2.56</v>
      </c>
      <c r="AX22" s="800">
        <f t="shared" si="22"/>
        <v>2.67</v>
      </c>
      <c r="AY22" s="800">
        <f t="shared" si="23"/>
        <v>2.67</v>
      </c>
      <c r="AZ22" s="800">
        <f t="shared" si="24"/>
        <v>2.67</v>
      </c>
      <c r="BA22" s="800">
        <f t="shared" si="24"/>
        <v>2.48</v>
      </c>
      <c r="BB22" s="800">
        <f t="shared" si="25"/>
        <v>2.48</v>
      </c>
      <c r="BC22" s="800">
        <f t="shared" si="26"/>
        <v>2.48</v>
      </c>
      <c r="BD22" s="1865">
        <f t="shared" si="26"/>
        <v>2.38</v>
      </c>
      <c r="BE22" s="775">
        <f t="shared" si="4"/>
        <v>15</v>
      </c>
      <c r="BF22" s="590"/>
      <c r="BG22" s="775">
        <f t="shared" si="27"/>
        <v>600</v>
      </c>
      <c r="BH22" s="111">
        <f t="shared" si="42"/>
        <v>600</v>
      </c>
      <c r="BI22" s="111">
        <f t="shared" si="42"/>
        <v>400</v>
      </c>
      <c r="BJ22" s="111">
        <f t="shared" si="42"/>
        <v>400</v>
      </c>
      <c r="BK22" s="111">
        <f t="shared" si="42"/>
        <v>400</v>
      </c>
      <c r="BL22" s="111">
        <f t="shared" si="42"/>
        <v>200</v>
      </c>
      <c r="BM22" s="111">
        <f t="shared" si="42"/>
        <v>200</v>
      </c>
      <c r="BN22" s="111">
        <f t="shared" si="42"/>
        <v>200</v>
      </c>
      <c r="BO22" s="111">
        <f t="shared" si="42"/>
        <v>800</v>
      </c>
      <c r="BP22" s="111">
        <f t="shared" si="42"/>
        <v>800</v>
      </c>
      <c r="BQ22" s="111">
        <f t="shared" si="42"/>
        <v>800</v>
      </c>
      <c r="BR22" s="817">
        <f t="shared" si="42"/>
        <v>600</v>
      </c>
      <c r="BS22" s="775">
        <f t="shared" si="28"/>
        <v>15</v>
      </c>
      <c r="BT22" s="111"/>
      <c r="BU22" s="1867">
        <f t="shared" si="29"/>
        <v>0.2162</v>
      </c>
      <c r="BV22" s="1867">
        <f t="shared" si="43"/>
        <v>0.2162</v>
      </c>
      <c r="BW22" s="1867">
        <f t="shared" si="43"/>
        <v>0.23199999999999998</v>
      </c>
      <c r="BX22" s="1867">
        <f t="shared" si="43"/>
        <v>0.23199999999999998</v>
      </c>
      <c r="BY22" s="1867">
        <f t="shared" si="43"/>
        <v>0.23199999999999998</v>
      </c>
      <c r="BZ22" s="1867">
        <f t="shared" si="43"/>
        <v>0.2697</v>
      </c>
      <c r="CA22" s="1867">
        <f t="shared" si="43"/>
        <v>0.2697</v>
      </c>
      <c r="CB22" s="1867">
        <f t="shared" si="43"/>
        <v>0.2697</v>
      </c>
      <c r="CC22" s="1867">
        <f t="shared" si="43"/>
        <v>0.21260000000000001</v>
      </c>
      <c r="CD22" s="1867">
        <f t="shared" si="43"/>
        <v>0.21260000000000001</v>
      </c>
      <c r="CE22" s="1867">
        <f t="shared" si="43"/>
        <v>0.21260000000000001</v>
      </c>
      <c r="CF22" s="1868">
        <f t="shared" si="43"/>
        <v>0.2162</v>
      </c>
      <c r="CG22" s="775">
        <f t="shared" si="31"/>
        <v>15</v>
      </c>
      <c r="CH22" s="111"/>
      <c r="CI22" s="800">
        <f t="shared" si="30"/>
        <v>2.38</v>
      </c>
      <c r="CJ22" s="800">
        <f t="shared" si="44"/>
        <v>2.38</v>
      </c>
      <c r="CK22" s="800">
        <f t="shared" si="44"/>
        <v>2.56</v>
      </c>
      <c r="CL22" s="800">
        <f t="shared" si="44"/>
        <v>2.56</v>
      </c>
      <c r="CM22" s="800">
        <f t="shared" si="44"/>
        <v>2.56</v>
      </c>
      <c r="CN22" s="800">
        <f t="shared" si="44"/>
        <v>2.67</v>
      </c>
      <c r="CO22" s="800">
        <f t="shared" si="44"/>
        <v>2.67</v>
      </c>
      <c r="CP22" s="800">
        <f t="shared" si="44"/>
        <v>2.67</v>
      </c>
      <c r="CQ22" s="800">
        <f t="shared" si="44"/>
        <v>2.48</v>
      </c>
      <c r="CR22" s="800">
        <f t="shared" si="44"/>
        <v>2.48</v>
      </c>
      <c r="CS22" s="800">
        <f t="shared" si="44"/>
        <v>2.48</v>
      </c>
      <c r="CT22" s="1865">
        <f t="shared" si="44"/>
        <v>2.38</v>
      </c>
    </row>
    <row r="23" spans="1:98" x14ac:dyDescent="0.2">
      <c r="A23" s="590"/>
      <c r="B23" s="5015" t="s">
        <v>1568</v>
      </c>
      <c r="C23" s="276" t="s">
        <v>346</v>
      </c>
      <c r="D23" s="5016">
        <v>4000</v>
      </c>
      <c r="E23" s="5017">
        <v>20</v>
      </c>
      <c r="F23" s="5018">
        <v>5</v>
      </c>
      <c r="G23" s="5018">
        <v>40</v>
      </c>
      <c r="H23" s="817">
        <f t="shared" si="45"/>
        <v>35</v>
      </c>
      <c r="I23" s="775">
        <f t="shared" si="0"/>
        <v>800</v>
      </c>
      <c r="J23" s="111">
        <f t="shared" si="0"/>
        <v>200</v>
      </c>
      <c r="K23" s="111">
        <f t="shared" si="0"/>
        <v>1600</v>
      </c>
      <c r="L23" s="817">
        <f t="shared" si="0"/>
        <v>1400</v>
      </c>
      <c r="M23" s="5018">
        <f t="shared" si="32"/>
        <v>466.66666666666669</v>
      </c>
      <c r="N23" s="5018">
        <f t="shared" si="46"/>
        <v>466.66666666666669</v>
      </c>
      <c r="O23" s="5018">
        <f t="shared" si="47"/>
        <v>266.66666666666669</v>
      </c>
      <c r="P23" s="5018">
        <f t="shared" si="48"/>
        <v>266.66666666666669</v>
      </c>
      <c r="Q23" s="5018">
        <f t="shared" si="49"/>
        <v>266.66666666666669</v>
      </c>
      <c r="R23" s="5018">
        <f t="shared" si="49"/>
        <v>66.666666666666671</v>
      </c>
      <c r="S23" s="5018">
        <f t="shared" si="50"/>
        <v>66.666666666666671</v>
      </c>
      <c r="T23" s="5018">
        <f t="shared" si="51"/>
        <v>66.666666666666671</v>
      </c>
      <c r="U23" s="5018">
        <f t="shared" si="51"/>
        <v>533.33333333333337</v>
      </c>
      <c r="V23" s="5018">
        <f t="shared" si="52"/>
        <v>533.33333333333337</v>
      </c>
      <c r="W23" s="5018">
        <f t="shared" si="53"/>
        <v>533.33333333333337</v>
      </c>
      <c r="X23" s="5018">
        <f t="shared" si="53"/>
        <v>466.66666666666669</v>
      </c>
      <c r="Y23" s="5021">
        <v>23.2</v>
      </c>
      <c r="Z23" s="5022">
        <v>26.97</v>
      </c>
      <c r="AA23" s="757">
        <v>21.26</v>
      </c>
      <c r="AB23" s="758">
        <v>21.62</v>
      </c>
      <c r="AC23" s="1867">
        <f t="shared" si="9"/>
        <v>0.2162</v>
      </c>
      <c r="AD23" s="1867">
        <f t="shared" si="10"/>
        <v>0.2162</v>
      </c>
      <c r="AE23" s="1867">
        <f t="shared" si="11"/>
        <v>0.23199999999999998</v>
      </c>
      <c r="AF23" s="1867">
        <f t="shared" si="12"/>
        <v>0.23199999999999998</v>
      </c>
      <c r="AG23" s="1867">
        <f t="shared" si="13"/>
        <v>0.23199999999999998</v>
      </c>
      <c r="AH23" s="1867">
        <f t="shared" si="13"/>
        <v>0.2697</v>
      </c>
      <c r="AI23" s="1867">
        <f t="shared" si="14"/>
        <v>0.2697</v>
      </c>
      <c r="AJ23" s="1867">
        <f t="shared" si="15"/>
        <v>0.2697</v>
      </c>
      <c r="AK23" s="1867">
        <f t="shared" si="15"/>
        <v>0.21260000000000001</v>
      </c>
      <c r="AL23" s="1867">
        <f t="shared" si="16"/>
        <v>0.21260000000000001</v>
      </c>
      <c r="AM23" s="1867">
        <f t="shared" si="17"/>
        <v>0.21260000000000001</v>
      </c>
      <c r="AN23" s="1868">
        <f t="shared" si="17"/>
        <v>0.2162</v>
      </c>
      <c r="AO23" s="751">
        <v>2.56</v>
      </c>
      <c r="AP23" s="277">
        <v>2.67</v>
      </c>
      <c r="AQ23" s="277">
        <v>2.48</v>
      </c>
      <c r="AR23" s="752">
        <v>2.38</v>
      </c>
      <c r="AS23" s="800">
        <f t="shared" si="18"/>
        <v>2.38</v>
      </c>
      <c r="AT23" s="800">
        <f t="shared" si="19"/>
        <v>2.38</v>
      </c>
      <c r="AU23" s="800">
        <f t="shared" si="20"/>
        <v>2.56</v>
      </c>
      <c r="AV23" s="800">
        <f t="shared" si="21"/>
        <v>2.56</v>
      </c>
      <c r="AW23" s="800">
        <f t="shared" si="22"/>
        <v>2.56</v>
      </c>
      <c r="AX23" s="800">
        <f t="shared" si="22"/>
        <v>2.67</v>
      </c>
      <c r="AY23" s="800">
        <f t="shared" si="23"/>
        <v>2.67</v>
      </c>
      <c r="AZ23" s="800">
        <f t="shared" si="24"/>
        <v>2.67</v>
      </c>
      <c r="BA23" s="800">
        <f t="shared" si="24"/>
        <v>2.48</v>
      </c>
      <c r="BB23" s="800">
        <f t="shared" si="25"/>
        <v>2.48</v>
      </c>
      <c r="BC23" s="800">
        <f t="shared" si="26"/>
        <v>2.48</v>
      </c>
      <c r="BD23" s="1865">
        <f t="shared" si="26"/>
        <v>2.38</v>
      </c>
      <c r="BE23" s="775">
        <f t="shared" si="4"/>
        <v>16</v>
      </c>
      <c r="BF23" s="590"/>
      <c r="BG23" s="775">
        <f t="shared" si="27"/>
        <v>466.66666666666669</v>
      </c>
      <c r="BH23" s="111">
        <f t="shared" si="42"/>
        <v>466.66666666666669</v>
      </c>
      <c r="BI23" s="111">
        <f t="shared" si="42"/>
        <v>266.66666666666669</v>
      </c>
      <c r="BJ23" s="111">
        <f t="shared" si="42"/>
        <v>266.66666666666669</v>
      </c>
      <c r="BK23" s="111">
        <f t="shared" si="42"/>
        <v>266.66666666666669</v>
      </c>
      <c r="BL23" s="111">
        <f t="shared" si="42"/>
        <v>66.666666666666671</v>
      </c>
      <c r="BM23" s="111">
        <f t="shared" si="42"/>
        <v>66.666666666666671</v>
      </c>
      <c r="BN23" s="111">
        <f t="shared" si="42"/>
        <v>66.666666666666671</v>
      </c>
      <c r="BO23" s="111">
        <f t="shared" si="42"/>
        <v>533.33333333333337</v>
      </c>
      <c r="BP23" s="111">
        <f t="shared" si="42"/>
        <v>533.33333333333337</v>
      </c>
      <c r="BQ23" s="111">
        <f t="shared" si="42"/>
        <v>533.33333333333337</v>
      </c>
      <c r="BR23" s="817">
        <f t="shared" si="42"/>
        <v>466.66666666666669</v>
      </c>
      <c r="BS23" s="775">
        <f t="shared" si="28"/>
        <v>16</v>
      </c>
      <c r="BT23" s="111"/>
      <c r="BU23" s="1867">
        <f t="shared" si="29"/>
        <v>0.2162</v>
      </c>
      <c r="BV23" s="1867">
        <f t="shared" si="43"/>
        <v>0.2162</v>
      </c>
      <c r="BW23" s="1867">
        <f t="shared" si="43"/>
        <v>0.23199999999999998</v>
      </c>
      <c r="BX23" s="1867">
        <f t="shared" si="43"/>
        <v>0.23199999999999998</v>
      </c>
      <c r="BY23" s="1867">
        <f t="shared" si="43"/>
        <v>0.23199999999999998</v>
      </c>
      <c r="BZ23" s="1867">
        <f t="shared" si="43"/>
        <v>0.2697</v>
      </c>
      <c r="CA23" s="1867">
        <f t="shared" si="43"/>
        <v>0.2697</v>
      </c>
      <c r="CB23" s="1867">
        <f t="shared" si="43"/>
        <v>0.2697</v>
      </c>
      <c r="CC23" s="1867">
        <f t="shared" si="43"/>
        <v>0.21260000000000001</v>
      </c>
      <c r="CD23" s="1867">
        <f t="shared" si="43"/>
        <v>0.21260000000000001</v>
      </c>
      <c r="CE23" s="1867">
        <f t="shared" si="43"/>
        <v>0.21260000000000001</v>
      </c>
      <c r="CF23" s="1868">
        <f t="shared" si="43"/>
        <v>0.2162</v>
      </c>
      <c r="CG23" s="775">
        <f t="shared" si="31"/>
        <v>16</v>
      </c>
      <c r="CH23" s="111"/>
      <c r="CI23" s="800">
        <f t="shared" si="30"/>
        <v>2.38</v>
      </c>
      <c r="CJ23" s="800">
        <f t="shared" si="44"/>
        <v>2.38</v>
      </c>
      <c r="CK23" s="800">
        <f t="shared" si="44"/>
        <v>2.56</v>
      </c>
      <c r="CL23" s="800">
        <f t="shared" si="44"/>
        <v>2.56</v>
      </c>
      <c r="CM23" s="800">
        <f t="shared" si="44"/>
        <v>2.56</v>
      </c>
      <c r="CN23" s="800">
        <f t="shared" si="44"/>
        <v>2.67</v>
      </c>
      <c r="CO23" s="800">
        <f t="shared" si="44"/>
        <v>2.67</v>
      </c>
      <c r="CP23" s="800">
        <f t="shared" si="44"/>
        <v>2.67</v>
      </c>
      <c r="CQ23" s="800">
        <f t="shared" si="44"/>
        <v>2.48</v>
      </c>
      <c r="CR23" s="800">
        <f t="shared" si="44"/>
        <v>2.48</v>
      </c>
      <c r="CS23" s="800">
        <f t="shared" si="44"/>
        <v>2.48</v>
      </c>
      <c r="CT23" s="1865">
        <f t="shared" si="44"/>
        <v>2.38</v>
      </c>
    </row>
    <row r="24" spans="1:98" x14ac:dyDescent="0.2">
      <c r="A24" s="590"/>
      <c r="B24" s="5015" t="s">
        <v>159</v>
      </c>
      <c r="C24" s="276" t="s">
        <v>346</v>
      </c>
      <c r="D24" s="5016">
        <v>8000</v>
      </c>
      <c r="E24" s="5017">
        <v>22</v>
      </c>
      <c r="F24" s="5018">
        <v>20</v>
      </c>
      <c r="G24" s="5018">
        <v>43</v>
      </c>
      <c r="H24" s="817">
        <f t="shared" si="45"/>
        <v>15</v>
      </c>
      <c r="I24" s="775">
        <f t="shared" si="0"/>
        <v>1760</v>
      </c>
      <c r="J24" s="111">
        <f t="shared" si="0"/>
        <v>1600</v>
      </c>
      <c r="K24" s="111">
        <f t="shared" si="0"/>
        <v>3440</v>
      </c>
      <c r="L24" s="817">
        <f t="shared" si="0"/>
        <v>1200</v>
      </c>
      <c r="M24" s="5018">
        <f t="shared" si="32"/>
        <v>400</v>
      </c>
      <c r="N24" s="5018">
        <f t="shared" si="46"/>
        <v>400</v>
      </c>
      <c r="O24" s="5018">
        <f t="shared" si="47"/>
        <v>586.66666666666663</v>
      </c>
      <c r="P24" s="5018">
        <f t="shared" si="48"/>
        <v>586.66666666666663</v>
      </c>
      <c r="Q24" s="5018">
        <f t="shared" si="49"/>
        <v>586.66666666666663</v>
      </c>
      <c r="R24" s="5018">
        <f t="shared" si="49"/>
        <v>533.33333333333337</v>
      </c>
      <c r="S24" s="5018">
        <f t="shared" si="50"/>
        <v>533.33333333333337</v>
      </c>
      <c r="T24" s="5018">
        <f t="shared" si="51"/>
        <v>533.33333333333337</v>
      </c>
      <c r="U24" s="5018">
        <f t="shared" si="51"/>
        <v>1146.6666666666667</v>
      </c>
      <c r="V24" s="5018">
        <f t="shared" si="52"/>
        <v>1146.6666666666667</v>
      </c>
      <c r="W24" s="5018">
        <f t="shared" si="53"/>
        <v>1146.6666666666667</v>
      </c>
      <c r="X24" s="5018">
        <f t="shared" si="53"/>
        <v>400</v>
      </c>
      <c r="Y24" s="5021">
        <v>19.25</v>
      </c>
      <c r="Z24" s="5022">
        <v>19.78</v>
      </c>
      <c r="AA24" s="757">
        <v>17.03</v>
      </c>
      <c r="AB24" s="758">
        <v>16.239999999999998</v>
      </c>
      <c r="AC24" s="1867">
        <f t="shared" si="9"/>
        <v>0.16239999999999999</v>
      </c>
      <c r="AD24" s="1867">
        <f t="shared" si="10"/>
        <v>0.16239999999999999</v>
      </c>
      <c r="AE24" s="1867">
        <f t="shared" si="11"/>
        <v>0.1925</v>
      </c>
      <c r="AF24" s="1867">
        <f t="shared" si="12"/>
        <v>0.1925</v>
      </c>
      <c r="AG24" s="1867">
        <f t="shared" si="13"/>
        <v>0.1925</v>
      </c>
      <c r="AH24" s="1867">
        <f t="shared" si="13"/>
        <v>0.1978</v>
      </c>
      <c r="AI24" s="1867">
        <f t="shared" si="14"/>
        <v>0.1978</v>
      </c>
      <c r="AJ24" s="1867">
        <f t="shared" si="15"/>
        <v>0.1978</v>
      </c>
      <c r="AK24" s="1867">
        <f t="shared" si="15"/>
        <v>0.17030000000000001</v>
      </c>
      <c r="AL24" s="1867">
        <f t="shared" si="16"/>
        <v>0.17030000000000001</v>
      </c>
      <c r="AM24" s="1867">
        <f t="shared" si="17"/>
        <v>0.17030000000000001</v>
      </c>
      <c r="AN24" s="1868">
        <f t="shared" si="17"/>
        <v>0.16239999999999999</v>
      </c>
      <c r="AO24" s="751">
        <v>2.33</v>
      </c>
      <c r="AP24" s="277">
        <v>2.4700000000000002</v>
      </c>
      <c r="AQ24" s="277">
        <v>2.3199999999999998</v>
      </c>
      <c r="AR24" s="752">
        <v>2.4300000000000002</v>
      </c>
      <c r="AS24" s="800">
        <f t="shared" si="18"/>
        <v>2.4300000000000002</v>
      </c>
      <c r="AT24" s="800">
        <f t="shared" si="19"/>
        <v>2.4300000000000002</v>
      </c>
      <c r="AU24" s="800">
        <f t="shared" si="20"/>
        <v>2.33</v>
      </c>
      <c r="AV24" s="800">
        <f t="shared" si="21"/>
        <v>2.33</v>
      </c>
      <c r="AW24" s="800">
        <f t="shared" si="22"/>
        <v>2.33</v>
      </c>
      <c r="AX24" s="800">
        <f t="shared" si="22"/>
        <v>2.4700000000000002</v>
      </c>
      <c r="AY24" s="800">
        <f t="shared" si="23"/>
        <v>2.4700000000000002</v>
      </c>
      <c r="AZ24" s="800">
        <f t="shared" si="24"/>
        <v>2.4700000000000002</v>
      </c>
      <c r="BA24" s="800">
        <f t="shared" si="24"/>
        <v>2.3199999999999998</v>
      </c>
      <c r="BB24" s="800">
        <f t="shared" si="25"/>
        <v>2.3199999999999998</v>
      </c>
      <c r="BC24" s="800">
        <f t="shared" si="26"/>
        <v>2.3199999999999998</v>
      </c>
      <c r="BD24" s="1865">
        <f t="shared" si="26"/>
        <v>2.4300000000000002</v>
      </c>
      <c r="BE24" s="775">
        <f t="shared" si="4"/>
        <v>17</v>
      </c>
      <c r="BF24" s="590"/>
      <c r="BG24" s="775">
        <f t="shared" si="27"/>
        <v>400</v>
      </c>
      <c r="BH24" s="111">
        <f t="shared" si="42"/>
        <v>400</v>
      </c>
      <c r="BI24" s="111">
        <f t="shared" si="42"/>
        <v>586.66666666666663</v>
      </c>
      <c r="BJ24" s="111">
        <f t="shared" si="42"/>
        <v>586.66666666666663</v>
      </c>
      <c r="BK24" s="111">
        <f t="shared" si="42"/>
        <v>586.66666666666663</v>
      </c>
      <c r="BL24" s="111">
        <f t="shared" si="42"/>
        <v>533.33333333333337</v>
      </c>
      <c r="BM24" s="111">
        <f t="shared" si="42"/>
        <v>533.33333333333337</v>
      </c>
      <c r="BN24" s="111">
        <f t="shared" si="42"/>
        <v>533.33333333333337</v>
      </c>
      <c r="BO24" s="111">
        <f t="shared" si="42"/>
        <v>1146.6666666666667</v>
      </c>
      <c r="BP24" s="111">
        <f t="shared" si="42"/>
        <v>1146.6666666666667</v>
      </c>
      <c r="BQ24" s="111">
        <f t="shared" si="42"/>
        <v>1146.6666666666667</v>
      </c>
      <c r="BR24" s="817">
        <f t="shared" si="42"/>
        <v>400</v>
      </c>
      <c r="BS24" s="775">
        <f t="shared" si="28"/>
        <v>17</v>
      </c>
      <c r="BT24" s="111"/>
      <c r="BU24" s="1867">
        <f t="shared" si="29"/>
        <v>0.16239999999999999</v>
      </c>
      <c r="BV24" s="1867">
        <f t="shared" si="43"/>
        <v>0.16239999999999999</v>
      </c>
      <c r="BW24" s="1867">
        <f t="shared" si="43"/>
        <v>0.1925</v>
      </c>
      <c r="BX24" s="1867">
        <f t="shared" si="43"/>
        <v>0.1925</v>
      </c>
      <c r="BY24" s="1867">
        <f t="shared" si="43"/>
        <v>0.1925</v>
      </c>
      <c r="BZ24" s="1867">
        <f t="shared" si="43"/>
        <v>0.1978</v>
      </c>
      <c r="CA24" s="1867">
        <f t="shared" si="43"/>
        <v>0.1978</v>
      </c>
      <c r="CB24" s="1867">
        <f t="shared" si="43"/>
        <v>0.1978</v>
      </c>
      <c r="CC24" s="1867">
        <f t="shared" si="43"/>
        <v>0.17030000000000001</v>
      </c>
      <c r="CD24" s="1867">
        <f t="shared" si="43"/>
        <v>0.17030000000000001</v>
      </c>
      <c r="CE24" s="1867">
        <f t="shared" si="43"/>
        <v>0.17030000000000001</v>
      </c>
      <c r="CF24" s="1868">
        <f t="shared" si="43"/>
        <v>0.16239999999999999</v>
      </c>
      <c r="CG24" s="775">
        <f t="shared" si="31"/>
        <v>17</v>
      </c>
      <c r="CH24" s="111"/>
      <c r="CI24" s="800">
        <f t="shared" si="30"/>
        <v>2.4300000000000002</v>
      </c>
      <c r="CJ24" s="800">
        <f t="shared" si="44"/>
        <v>2.4300000000000002</v>
      </c>
      <c r="CK24" s="800">
        <f t="shared" si="44"/>
        <v>2.33</v>
      </c>
      <c r="CL24" s="800">
        <f t="shared" si="44"/>
        <v>2.33</v>
      </c>
      <c r="CM24" s="800">
        <f t="shared" si="44"/>
        <v>2.33</v>
      </c>
      <c r="CN24" s="800">
        <f t="shared" si="44"/>
        <v>2.4700000000000002</v>
      </c>
      <c r="CO24" s="800">
        <f t="shared" si="44"/>
        <v>2.4700000000000002</v>
      </c>
      <c r="CP24" s="800">
        <f t="shared" si="44"/>
        <v>2.4700000000000002</v>
      </c>
      <c r="CQ24" s="800">
        <f t="shared" si="44"/>
        <v>2.3199999999999998</v>
      </c>
      <c r="CR24" s="800">
        <f t="shared" si="44"/>
        <v>2.3199999999999998</v>
      </c>
      <c r="CS24" s="800">
        <f t="shared" si="44"/>
        <v>2.3199999999999998</v>
      </c>
      <c r="CT24" s="1865">
        <f t="shared" si="44"/>
        <v>2.4300000000000002</v>
      </c>
    </row>
    <row r="25" spans="1:98" x14ac:dyDescent="0.2">
      <c r="A25" s="590"/>
      <c r="B25" s="5015" t="s">
        <v>160</v>
      </c>
      <c r="C25" s="276" t="s">
        <v>346</v>
      </c>
      <c r="D25" s="5016">
        <v>6000</v>
      </c>
      <c r="E25" s="5017">
        <v>20</v>
      </c>
      <c r="F25" s="5018">
        <v>16</v>
      </c>
      <c r="G25" s="5018">
        <v>50</v>
      </c>
      <c r="H25" s="817">
        <f t="shared" si="45"/>
        <v>14</v>
      </c>
      <c r="I25" s="775">
        <f t="shared" si="0"/>
        <v>1200</v>
      </c>
      <c r="J25" s="111">
        <f t="shared" si="0"/>
        <v>960</v>
      </c>
      <c r="K25" s="111">
        <f t="shared" si="0"/>
        <v>3000</v>
      </c>
      <c r="L25" s="817">
        <f t="shared" si="0"/>
        <v>840</v>
      </c>
      <c r="M25" s="5018">
        <f t="shared" si="32"/>
        <v>280</v>
      </c>
      <c r="N25" s="5018">
        <f t="shared" si="46"/>
        <v>280</v>
      </c>
      <c r="O25" s="5018">
        <f t="shared" si="47"/>
        <v>400</v>
      </c>
      <c r="P25" s="5018">
        <f t="shared" si="48"/>
        <v>400</v>
      </c>
      <c r="Q25" s="5018">
        <f t="shared" si="49"/>
        <v>400</v>
      </c>
      <c r="R25" s="5018">
        <f t="shared" si="49"/>
        <v>320</v>
      </c>
      <c r="S25" s="5018">
        <f t="shared" si="50"/>
        <v>320</v>
      </c>
      <c r="T25" s="5018">
        <f t="shared" si="51"/>
        <v>320</v>
      </c>
      <c r="U25" s="5018">
        <f t="shared" si="51"/>
        <v>1000</v>
      </c>
      <c r="V25" s="5018">
        <f t="shared" si="52"/>
        <v>1000</v>
      </c>
      <c r="W25" s="5018">
        <f t="shared" si="53"/>
        <v>1000</v>
      </c>
      <c r="X25" s="5018">
        <f t="shared" si="53"/>
        <v>280</v>
      </c>
      <c r="Y25" s="5021">
        <v>19.25</v>
      </c>
      <c r="Z25" s="5022">
        <v>19.78</v>
      </c>
      <c r="AA25" s="757">
        <v>17.03</v>
      </c>
      <c r="AB25" s="758">
        <v>16.239999999999998</v>
      </c>
      <c r="AC25" s="1867">
        <f t="shared" si="9"/>
        <v>0.16239999999999999</v>
      </c>
      <c r="AD25" s="1867">
        <f t="shared" si="10"/>
        <v>0.16239999999999999</v>
      </c>
      <c r="AE25" s="1867">
        <f t="shared" si="11"/>
        <v>0.1925</v>
      </c>
      <c r="AF25" s="1867">
        <f t="shared" si="12"/>
        <v>0.1925</v>
      </c>
      <c r="AG25" s="1867">
        <f t="shared" si="13"/>
        <v>0.1925</v>
      </c>
      <c r="AH25" s="1867">
        <f t="shared" si="13"/>
        <v>0.1978</v>
      </c>
      <c r="AI25" s="1867">
        <f t="shared" si="14"/>
        <v>0.1978</v>
      </c>
      <c r="AJ25" s="1867">
        <f t="shared" si="15"/>
        <v>0.1978</v>
      </c>
      <c r="AK25" s="1867">
        <f t="shared" si="15"/>
        <v>0.17030000000000001</v>
      </c>
      <c r="AL25" s="1867">
        <f t="shared" si="16"/>
        <v>0.17030000000000001</v>
      </c>
      <c r="AM25" s="1867">
        <f t="shared" si="17"/>
        <v>0.17030000000000001</v>
      </c>
      <c r="AN25" s="1868">
        <f t="shared" si="17"/>
        <v>0.16239999999999999</v>
      </c>
      <c r="AO25" s="751">
        <v>2.33</v>
      </c>
      <c r="AP25" s="277">
        <v>2.4700000000000002</v>
      </c>
      <c r="AQ25" s="277">
        <v>2.3199999999999998</v>
      </c>
      <c r="AR25" s="752">
        <v>2.4300000000000002</v>
      </c>
      <c r="AS25" s="800">
        <f t="shared" si="18"/>
        <v>2.4300000000000002</v>
      </c>
      <c r="AT25" s="800">
        <f t="shared" si="19"/>
        <v>2.4300000000000002</v>
      </c>
      <c r="AU25" s="800">
        <f t="shared" si="20"/>
        <v>2.33</v>
      </c>
      <c r="AV25" s="800">
        <f t="shared" si="21"/>
        <v>2.33</v>
      </c>
      <c r="AW25" s="800">
        <f t="shared" si="22"/>
        <v>2.33</v>
      </c>
      <c r="AX25" s="800">
        <f t="shared" si="22"/>
        <v>2.4700000000000002</v>
      </c>
      <c r="AY25" s="800">
        <f t="shared" si="23"/>
        <v>2.4700000000000002</v>
      </c>
      <c r="AZ25" s="800">
        <f t="shared" si="24"/>
        <v>2.4700000000000002</v>
      </c>
      <c r="BA25" s="800">
        <f t="shared" si="24"/>
        <v>2.3199999999999998</v>
      </c>
      <c r="BB25" s="800">
        <f t="shared" si="25"/>
        <v>2.3199999999999998</v>
      </c>
      <c r="BC25" s="800">
        <f t="shared" si="26"/>
        <v>2.3199999999999998</v>
      </c>
      <c r="BD25" s="1865">
        <f t="shared" si="26"/>
        <v>2.4300000000000002</v>
      </c>
      <c r="BE25" s="775">
        <f t="shared" si="4"/>
        <v>18</v>
      </c>
      <c r="BF25" s="590"/>
      <c r="BG25" s="775">
        <f t="shared" si="27"/>
        <v>280</v>
      </c>
      <c r="BH25" s="111">
        <f t="shared" si="42"/>
        <v>280</v>
      </c>
      <c r="BI25" s="111">
        <f t="shared" si="42"/>
        <v>400</v>
      </c>
      <c r="BJ25" s="111">
        <f t="shared" si="42"/>
        <v>400</v>
      </c>
      <c r="BK25" s="111">
        <f t="shared" si="42"/>
        <v>400</v>
      </c>
      <c r="BL25" s="111">
        <f t="shared" si="42"/>
        <v>320</v>
      </c>
      <c r="BM25" s="111">
        <f t="shared" si="42"/>
        <v>320</v>
      </c>
      <c r="BN25" s="111">
        <f t="shared" si="42"/>
        <v>320</v>
      </c>
      <c r="BO25" s="111">
        <f t="shared" si="42"/>
        <v>1000</v>
      </c>
      <c r="BP25" s="111">
        <f t="shared" si="42"/>
        <v>1000</v>
      </c>
      <c r="BQ25" s="111">
        <f t="shared" si="42"/>
        <v>1000</v>
      </c>
      <c r="BR25" s="817">
        <f t="shared" si="42"/>
        <v>280</v>
      </c>
      <c r="BS25" s="775">
        <f t="shared" si="28"/>
        <v>18</v>
      </c>
      <c r="BT25" s="111"/>
      <c r="BU25" s="1867">
        <f t="shared" si="29"/>
        <v>0.16239999999999999</v>
      </c>
      <c r="BV25" s="1867">
        <f t="shared" si="43"/>
        <v>0.16239999999999999</v>
      </c>
      <c r="BW25" s="1867">
        <f t="shared" si="43"/>
        <v>0.1925</v>
      </c>
      <c r="BX25" s="1867">
        <f t="shared" si="43"/>
        <v>0.1925</v>
      </c>
      <c r="BY25" s="1867">
        <f t="shared" si="43"/>
        <v>0.1925</v>
      </c>
      <c r="BZ25" s="1867">
        <f t="shared" si="43"/>
        <v>0.1978</v>
      </c>
      <c r="CA25" s="1867">
        <f t="shared" si="43"/>
        <v>0.1978</v>
      </c>
      <c r="CB25" s="1867">
        <f t="shared" si="43"/>
        <v>0.1978</v>
      </c>
      <c r="CC25" s="1867">
        <f t="shared" si="43"/>
        <v>0.17030000000000001</v>
      </c>
      <c r="CD25" s="1867">
        <f t="shared" si="43"/>
        <v>0.17030000000000001</v>
      </c>
      <c r="CE25" s="1867">
        <f t="shared" si="43"/>
        <v>0.17030000000000001</v>
      </c>
      <c r="CF25" s="1868">
        <f t="shared" si="43"/>
        <v>0.16239999999999999</v>
      </c>
      <c r="CG25" s="775">
        <f t="shared" si="31"/>
        <v>18</v>
      </c>
      <c r="CH25" s="111"/>
      <c r="CI25" s="800">
        <f t="shared" si="30"/>
        <v>2.4300000000000002</v>
      </c>
      <c r="CJ25" s="800">
        <f t="shared" si="44"/>
        <v>2.4300000000000002</v>
      </c>
      <c r="CK25" s="800">
        <f t="shared" si="44"/>
        <v>2.33</v>
      </c>
      <c r="CL25" s="800">
        <f t="shared" si="44"/>
        <v>2.33</v>
      </c>
      <c r="CM25" s="800">
        <f t="shared" si="44"/>
        <v>2.33</v>
      </c>
      <c r="CN25" s="800">
        <f t="shared" si="44"/>
        <v>2.4700000000000002</v>
      </c>
      <c r="CO25" s="800">
        <f t="shared" si="44"/>
        <v>2.4700000000000002</v>
      </c>
      <c r="CP25" s="800">
        <f t="shared" si="44"/>
        <v>2.4700000000000002</v>
      </c>
      <c r="CQ25" s="800">
        <f t="shared" si="44"/>
        <v>2.3199999999999998</v>
      </c>
      <c r="CR25" s="800">
        <f t="shared" si="44"/>
        <v>2.3199999999999998</v>
      </c>
      <c r="CS25" s="800">
        <f t="shared" si="44"/>
        <v>2.3199999999999998</v>
      </c>
      <c r="CT25" s="1865">
        <f t="shared" si="44"/>
        <v>2.4300000000000002</v>
      </c>
    </row>
    <row r="26" spans="1:98" x14ac:dyDescent="0.2">
      <c r="A26" s="590"/>
      <c r="B26" s="5015" t="s">
        <v>161</v>
      </c>
      <c r="C26" s="276" t="s">
        <v>346</v>
      </c>
      <c r="D26" s="5016">
        <v>4000</v>
      </c>
      <c r="E26" s="5017">
        <v>14</v>
      </c>
      <c r="F26" s="5018">
        <v>13</v>
      </c>
      <c r="G26" s="5018">
        <v>60</v>
      </c>
      <c r="H26" s="817">
        <f t="shared" si="45"/>
        <v>13</v>
      </c>
      <c r="I26" s="775">
        <f t="shared" si="0"/>
        <v>560</v>
      </c>
      <c r="J26" s="111">
        <f t="shared" si="0"/>
        <v>520</v>
      </c>
      <c r="K26" s="111">
        <f t="shared" si="0"/>
        <v>2400</v>
      </c>
      <c r="L26" s="817">
        <f t="shared" si="0"/>
        <v>520</v>
      </c>
      <c r="M26" s="5018">
        <f t="shared" si="32"/>
        <v>173.33333333333334</v>
      </c>
      <c r="N26" s="5018">
        <f t="shared" si="46"/>
        <v>173.33333333333334</v>
      </c>
      <c r="O26" s="5018">
        <f t="shared" si="47"/>
        <v>186.66666666666666</v>
      </c>
      <c r="P26" s="5018">
        <f t="shared" si="48"/>
        <v>186.66666666666666</v>
      </c>
      <c r="Q26" s="5018">
        <f t="shared" si="49"/>
        <v>186.66666666666666</v>
      </c>
      <c r="R26" s="5018">
        <f t="shared" si="49"/>
        <v>173.33333333333334</v>
      </c>
      <c r="S26" s="5018">
        <f t="shared" si="50"/>
        <v>173.33333333333334</v>
      </c>
      <c r="T26" s="5018">
        <f t="shared" si="51"/>
        <v>173.33333333333334</v>
      </c>
      <c r="U26" s="5018">
        <f t="shared" si="51"/>
        <v>800</v>
      </c>
      <c r="V26" s="5018">
        <f t="shared" si="52"/>
        <v>800</v>
      </c>
      <c r="W26" s="5018">
        <f t="shared" si="53"/>
        <v>800</v>
      </c>
      <c r="X26" s="5018">
        <f t="shared" si="53"/>
        <v>173.33333333333334</v>
      </c>
      <c r="Y26" s="5021">
        <v>19.25</v>
      </c>
      <c r="Z26" s="5022">
        <v>19.78</v>
      </c>
      <c r="AA26" s="757">
        <v>17.03</v>
      </c>
      <c r="AB26" s="758">
        <v>16.239999999999998</v>
      </c>
      <c r="AC26" s="1867">
        <f t="shared" si="9"/>
        <v>0.16239999999999999</v>
      </c>
      <c r="AD26" s="1867">
        <f t="shared" si="10"/>
        <v>0.16239999999999999</v>
      </c>
      <c r="AE26" s="1867">
        <f t="shared" si="11"/>
        <v>0.1925</v>
      </c>
      <c r="AF26" s="1867">
        <f t="shared" si="12"/>
        <v>0.1925</v>
      </c>
      <c r="AG26" s="1867">
        <f t="shared" si="13"/>
        <v>0.1925</v>
      </c>
      <c r="AH26" s="1867">
        <f t="shared" si="13"/>
        <v>0.1978</v>
      </c>
      <c r="AI26" s="1867">
        <f t="shared" si="14"/>
        <v>0.1978</v>
      </c>
      <c r="AJ26" s="1867">
        <f t="shared" si="15"/>
        <v>0.1978</v>
      </c>
      <c r="AK26" s="1867">
        <f t="shared" si="15"/>
        <v>0.17030000000000001</v>
      </c>
      <c r="AL26" s="1867">
        <f t="shared" si="16"/>
        <v>0.17030000000000001</v>
      </c>
      <c r="AM26" s="1867">
        <f t="shared" si="17"/>
        <v>0.17030000000000001</v>
      </c>
      <c r="AN26" s="1868">
        <f t="shared" si="17"/>
        <v>0.16239999999999999</v>
      </c>
      <c r="AO26" s="751">
        <v>2.33</v>
      </c>
      <c r="AP26" s="277">
        <v>2.4700000000000002</v>
      </c>
      <c r="AQ26" s="277">
        <v>2.3199999999999998</v>
      </c>
      <c r="AR26" s="752">
        <v>2.4300000000000002</v>
      </c>
      <c r="AS26" s="800">
        <f t="shared" si="18"/>
        <v>2.4300000000000002</v>
      </c>
      <c r="AT26" s="800">
        <f t="shared" si="19"/>
        <v>2.4300000000000002</v>
      </c>
      <c r="AU26" s="800">
        <f t="shared" si="20"/>
        <v>2.33</v>
      </c>
      <c r="AV26" s="800">
        <f t="shared" si="21"/>
        <v>2.33</v>
      </c>
      <c r="AW26" s="800">
        <f t="shared" si="22"/>
        <v>2.33</v>
      </c>
      <c r="AX26" s="800">
        <f t="shared" si="22"/>
        <v>2.4700000000000002</v>
      </c>
      <c r="AY26" s="800">
        <f t="shared" si="23"/>
        <v>2.4700000000000002</v>
      </c>
      <c r="AZ26" s="800">
        <f t="shared" si="24"/>
        <v>2.4700000000000002</v>
      </c>
      <c r="BA26" s="800">
        <f t="shared" si="24"/>
        <v>2.3199999999999998</v>
      </c>
      <c r="BB26" s="800">
        <f t="shared" si="25"/>
        <v>2.3199999999999998</v>
      </c>
      <c r="BC26" s="800">
        <f t="shared" si="26"/>
        <v>2.3199999999999998</v>
      </c>
      <c r="BD26" s="1865">
        <f t="shared" si="26"/>
        <v>2.4300000000000002</v>
      </c>
      <c r="BE26" s="775">
        <f t="shared" si="4"/>
        <v>19</v>
      </c>
      <c r="BF26" s="590"/>
      <c r="BG26" s="775">
        <f t="shared" si="27"/>
        <v>173.33333333333334</v>
      </c>
      <c r="BH26" s="111">
        <f t="shared" si="42"/>
        <v>173.33333333333334</v>
      </c>
      <c r="BI26" s="111">
        <f t="shared" si="42"/>
        <v>186.66666666666666</v>
      </c>
      <c r="BJ26" s="111">
        <f t="shared" si="42"/>
        <v>186.66666666666666</v>
      </c>
      <c r="BK26" s="111">
        <f t="shared" si="42"/>
        <v>186.66666666666666</v>
      </c>
      <c r="BL26" s="111">
        <f t="shared" si="42"/>
        <v>173.33333333333334</v>
      </c>
      <c r="BM26" s="111">
        <f t="shared" si="42"/>
        <v>173.33333333333334</v>
      </c>
      <c r="BN26" s="111">
        <f t="shared" si="42"/>
        <v>173.33333333333334</v>
      </c>
      <c r="BO26" s="111">
        <f t="shared" si="42"/>
        <v>800</v>
      </c>
      <c r="BP26" s="111">
        <f t="shared" si="42"/>
        <v>800</v>
      </c>
      <c r="BQ26" s="111">
        <f t="shared" si="42"/>
        <v>800</v>
      </c>
      <c r="BR26" s="817">
        <f t="shared" si="42"/>
        <v>173.33333333333334</v>
      </c>
      <c r="BS26" s="775">
        <f t="shared" si="28"/>
        <v>19</v>
      </c>
      <c r="BT26" s="111"/>
      <c r="BU26" s="1867">
        <f t="shared" si="29"/>
        <v>0.16239999999999999</v>
      </c>
      <c r="BV26" s="1867">
        <f t="shared" si="43"/>
        <v>0.16239999999999999</v>
      </c>
      <c r="BW26" s="1867">
        <f t="shared" si="43"/>
        <v>0.1925</v>
      </c>
      <c r="BX26" s="1867">
        <f t="shared" si="43"/>
        <v>0.1925</v>
      </c>
      <c r="BY26" s="1867">
        <f t="shared" si="43"/>
        <v>0.1925</v>
      </c>
      <c r="BZ26" s="1867">
        <f t="shared" si="43"/>
        <v>0.1978</v>
      </c>
      <c r="CA26" s="1867">
        <f t="shared" si="43"/>
        <v>0.1978</v>
      </c>
      <c r="CB26" s="1867">
        <f t="shared" si="43"/>
        <v>0.1978</v>
      </c>
      <c r="CC26" s="1867">
        <f t="shared" si="43"/>
        <v>0.17030000000000001</v>
      </c>
      <c r="CD26" s="1867">
        <f t="shared" si="43"/>
        <v>0.17030000000000001</v>
      </c>
      <c r="CE26" s="1867">
        <f t="shared" si="43"/>
        <v>0.17030000000000001</v>
      </c>
      <c r="CF26" s="1868">
        <f t="shared" si="43"/>
        <v>0.16239999999999999</v>
      </c>
      <c r="CG26" s="775">
        <f t="shared" si="31"/>
        <v>19</v>
      </c>
      <c r="CH26" s="111"/>
      <c r="CI26" s="800">
        <f t="shared" si="30"/>
        <v>2.4300000000000002</v>
      </c>
      <c r="CJ26" s="800">
        <f t="shared" si="44"/>
        <v>2.4300000000000002</v>
      </c>
      <c r="CK26" s="800">
        <f t="shared" si="44"/>
        <v>2.33</v>
      </c>
      <c r="CL26" s="800">
        <f t="shared" si="44"/>
        <v>2.33</v>
      </c>
      <c r="CM26" s="800">
        <f t="shared" si="44"/>
        <v>2.33</v>
      </c>
      <c r="CN26" s="800">
        <f t="shared" si="44"/>
        <v>2.4700000000000002</v>
      </c>
      <c r="CO26" s="800">
        <f t="shared" si="44"/>
        <v>2.4700000000000002</v>
      </c>
      <c r="CP26" s="800">
        <f t="shared" si="44"/>
        <v>2.4700000000000002</v>
      </c>
      <c r="CQ26" s="800">
        <f t="shared" si="44"/>
        <v>2.3199999999999998</v>
      </c>
      <c r="CR26" s="800">
        <f t="shared" si="44"/>
        <v>2.3199999999999998</v>
      </c>
      <c r="CS26" s="800">
        <f t="shared" si="44"/>
        <v>2.3199999999999998</v>
      </c>
      <c r="CT26" s="1865">
        <f t="shared" si="44"/>
        <v>2.4300000000000002</v>
      </c>
    </row>
    <row r="27" spans="1:98" x14ac:dyDescent="0.2">
      <c r="A27" s="590"/>
      <c r="B27" s="5015" t="s">
        <v>163</v>
      </c>
      <c r="C27" s="276" t="s">
        <v>346</v>
      </c>
      <c r="D27" s="5016">
        <v>7200</v>
      </c>
      <c r="E27" s="5017">
        <v>22</v>
      </c>
      <c r="F27" s="5018">
        <v>20</v>
      </c>
      <c r="G27" s="5018">
        <v>43</v>
      </c>
      <c r="H27" s="817">
        <f t="shared" si="45"/>
        <v>15</v>
      </c>
      <c r="I27" s="775">
        <f t="shared" si="0"/>
        <v>1584</v>
      </c>
      <c r="J27" s="111">
        <f t="shared" si="0"/>
        <v>1440</v>
      </c>
      <c r="K27" s="111">
        <f t="shared" si="0"/>
        <v>3096</v>
      </c>
      <c r="L27" s="817">
        <f t="shared" si="0"/>
        <v>1080</v>
      </c>
      <c r="M27" s="5018">
        <f t="shared" si="32"/>
        <v>360</v>
      </c>
      <c r="N27" s="5018">
        <f t="shared" si="46"/>
        <v>360</v>
      </c>
      <c r="O27" s="5018">
        <f t="shared" si="47"/>
        <v>528</v>
      </c>
      <c r="P27" s="5018">
        <f t="shared" si="48"/>
        <v>528</v>
      </c>
      <c r="Q27" s="5018">
        <f t="shared" si="49"/>
        <v>528</v>
      </c>
      <c r="R27" s="5018">
        <f t="shared" si="49"/>
        <v>480</v>
      </c>
      <c r="S27" s="5018">
        <f t="shared" si="50"/>
        <v>480</v>
      </c>
      <c r="T27" s="5018">
        <f t="shared" si="51"/>
        <v>480</v>
      </c>
      <c r="U27" s="5018">
        <f t="shared" si="51"/>
        <v>1032</v>
      </c>
      <c r="V27" s="5018">
        <f t="shared" si="52"/>
        <v>1032</v>
      </c>
      <c r="W27" s="5018">
        <f t="shared" si="53"/>
        <v>1032</v>
      </c>
      <c r="X27" s="5018">
        <f t="shared" si="53"/>
        <v>360</v>
      </c>
      <c r="Y27" s="5021">
        <v>19.25</v>
      </c>
      <c r="Z27" s="5022">
        <v>19.78</v>
      </c>
      <c r="AA27" s="757">
        <v>17.03</v>
      </c>
      <c r="AB27" s="758">
        <v>16.239999999999998</v>
      </c>
      <c r="AC27" s="1867">
        <f t="shared" si="9"/>
        <v>0.16239999999999999</v>
      </c>
      <c r="AD27" s="1867">
        <f t="shared" si="10"/>
        <v>0.16239999999999999</v>
      </c>
      <c r="AE27" s="1867">
        <f t="shared" si="11"/>
        <v>0.1925</v>
      </c>
      <c r="AF27" s="1867">
        <f t="shared" si="12"/>
        <v>0.1925</v>
      </c>
      <c r="AG27" s="1867">
        <f t="shared" si="13"/>
        <v>0.1925</v>
      </c>
      <c r="AH27" s="1867">
        <f t="shared" si="13"/>
        <v>0.1978</v>
      </c>
      <c r="AI27" s="1867">
        <f t="shared" si="14"/>
        <v>0.1978</v>
      </c>
      <c r="AJ27" s="1867">
        <f t="shared" si="15"/>
        <v>0.1978</v>
      </c>
      <c r="AK27" s="1867">
        <f t="shared" si="15"/>
        <v>0.17030000000000001</v>
      </c>
      <c r="AL27" s="1867">
        <f t="shared" si="16"/>
        <v>0.17030000000000001</v>
      </c>
      <c r="AM27" s="1867">
        <f t="shared" si="17"/>
        <v>0.17030000000000001</v>
      </c>
      <c r="AN27" s="1868">
        <f t="shared" si="17"/>
        <v>0.16239999999999999</v>
      </c>
      <c r="AO27" s="751">
        <v>2.33</v>
      </c>
      <c r="AP27" s="277">
        <v>2.4700000000000002</v>
      </c>
      <c r="AQ27" s="277">
        <v>2.3199999999999998</v>
      </c>
      <c r="AR27" s="752">
        <v>2.4300000000000002</v>
      </c>
      <c r="AS27" s="800">
        <f t="shared" si="18"/>
        <v>2.4300000000000002</v>
      </c>
      <c r="AT27" s="800">
        <f t="shared" si="19"/>
        <v>2.4300000000000002</v>
      </c>
      <c r="AU27" s="800">
        <f t="shared" si="20"/>
        <v>2.33</v>
      </c>
      <c r="AV27" s="800">
        <f t="shared" si="21"/>
        <v>2.33</v>
      </c>
      <c r="AW27" s="800">
        <f t="shared" si="22"/>
        <v>2.33</v>
      </c>
      <c r="AX27" s="800">
        <f t="shared" si="22"/>
        <v>2.4700000000000002</v>
      </c>
      <c r="AY27" s="800">
        <f t="shared" si="23"/>
        <v>2.4700000000000002</v>
      </c>
      <c r="AZ27" s="800">
        <f t="shared" si="24"/>
        <v>2.4700000000000002</v>
      </c>
      <c r="BA27" s="800">
        <f t="shared" si="24"/>
        <v>2.3199999999999998</v>
      </c>
      <c r="BB27" s="800">
        <f t="shared" si="25"/>
        <v>2.3199999999999998</v>
      </c>
      <c r="BC27" s="800">
        <f t="shared" si="26"/>
        <v>2.3199999999999998</v>
      </c>
      <c r="BD27" s="1865">
        <f t="shared" si="26"/>
        <v>2.4300000000000002</v>
      </c>
      <c r="BE27" s="775">
        <f t="shared" si="4"/>
        <v>20</v>
      </c>
      <c r="BF27" s="590"/>
      <c r="BG27" s="775">
        <f t="shared" si="27"/>
        <v>360</v>
      </c>
      <c r="BH27" s="111">
        <f t="shared" si="42"/>
        <v>360</v>
      </c>
      <c r="BI27" s="111">
        <f t="shared" si="42"/>
        <v>528</v>
      </c>
      <c r="BJ27" s="111">
        <f t="shared" si="42"/>
        <v>528</v>
      </c>
      <c r="BK27" s="111">
        <f t="shared" si="42"/>
        <v>528</v>
      </c>
      <c r="BL27" s="111">
        <f t="shared" si="42"/>
        <v>480</v>
      </c>
      <c r="BM27" s="111">
        <f t="shared" si="42"/>
        <v>480</v>
      </c>
      <c r="BN27" s="111">
        <f t="shared" si="42"/>
        <v>480</v>
      </c>
      <c r="BO27" s="111">
        <f t="shared" si="42"/>
        <v>1032</v>
      </c>
      <c r="BP27" s="111">
        <f t="shared" si="42"/>
        <v>1032</v>
      </c>
      <c r="BQ27" s="111">
        <f t="shared" si="42"/>
        <v>1032</v>
      </c>
      <c r="BR27" s="817">
        <f t="shared" si="42"/>
        <v>360</v>
      </c>
      <c r="BS27" s="775">
        <f t="shared" si="28"/>
        <v>20</v>
      </c>
      <c r="BT27" s="111"/>
      <c r="BU27" s="1867">
        <f t="shared" si="29"/>
        <v>0.16239999999999999</v>
      </c>
      <c r="BV27" s="1867">
        <f t="shared" si="43"/>
        <v>0.16239999999999999</v>
      </c>
      <c r="BW27" s="1867">
        <f t="shared" si="43"/>
        <v>0.1925</v>
      </c>
      <c r="BX27" s="1867">
        <f t="shared" si="43"/>
        <v>0.1925</v>
      </c>
      <c r="BY27" s="1867">
        <f t="shared" si="43"/>
        <v>0.1925</v>
      </c>
      <c r="BZ27" s="1867">
        <f t="shared" si="43"/>
        <v>0.1978</v>
      </c>
      <c r="CA27" s="1867">
        <f t="shared" si="43"/>
        <v>0.1978</v>
      </c>
      <c r="CB27" s="1867">
        <f t="shared" si="43"/>
        <v>0.1978</v>
      </c>
      <c r="CC27" s="1867">
        <f t="shared" si="43"/>
        <v>0.17030000000000001</v>
      </c>
      <c r="CD27" s="1867">
        <f t="shared" si="43"/>
        <v>0.17030000000000001</v>
      </c>
      <c r="CE27" s="1867">
        <f t="shared" si="43"/>
        <v>0.17030000000000001</v>
      </c>
      <c r="CF27" s="1868">
        <f t="shared" si="43"/>
        <v>0.16239999999999999</v>
      </c>
      <c r="CG27" s="775">
        <f t="shared" si="31"/>
        <v>20</v>
      </c>
      <c r="CH27" s="111"/>
      <c r="CI27" s="800">
        <f t="shared" si="30"/>
        <v>2.4300000000000002</v>
      </c>
      <c r="CJ27" s="800">
        <f t="shared" si="44"/>
        <v>2.4300000000000002</v>
      </c>
      <c r="CK27" s="800">
        <f t="shared" si="44"/>
        <v>2.33</v>
      </c>
      <c r="CL27" s="800">
        <f t="shared" si="44"/>
        <v>2.33</v>
      </c>
      <c r="CM27" s="800">
        <f t="shared" si="44"/>
        <v>2.33</v>
      </c>
      <c r="CN27" s="800">
        <f t="shared" si="44"/>
        <v>2.4700000000000002</v>
      </c>
      <c r="CO27" s="800">
        <f t="shared" si="44"/>
        <v>2.4700000000000002</v>
      </c>
      <c r="CP27" s="800">
        <f t="shared" si="44"/>
        <v>2.4700000000000002</v>
      </c>
      <c r="CQ27" s="800">
        <f t="shared" si="44"/>
        <v>2.3199999999999998</v>
      </c>
      <c r="CR27" s="800">
        <f t="shared" si="44"/>
        <v>2.3199999999999998</v>
      </c>
      <c r="CS27" s="800">
        <f t="shared" si="44"/>
        <v>2.3199999999999998</v>
      </c>
      <c r="CT27" s="1865">
        <f t="shared" si="44"/>
        <v>2.4300000000000002</v>
      </c>
    </row>
    <row r="28" spans="1:98" x14ac:dyDescent="0.2">
      <c r="A28" s="590"/>
      <c r="B28" s="5015" t="s">
        <v>164</v>
      </c>
      <c r="C28" s="276" t="s">
        <v>346</v>
      </c>
      <c r="D28" s="5016">
        <v>4400</v>
      </c>
      <c r="E28" s="5017">
        <v>20</v>
      </c>
      <c r="F28" s="5018">
        <v>16</v>
      </c>
      <c r="G28" s="5018">
        <v>50</v>
      </c>
      <c r="H28" s="817">
        <f t="shared" si="45"/>
        <v>14</v>
      </c>
      <c r="I28" s="775">
        <f t="shared" si="0"/>
        <v>880</v>
      </c>
      <c r="J28" s="111">
        <f t="shared" si="0"/>
        <v>704</v>
      </c>
      <c r="K28" s="111">
        <f t="shared" si="0"/>
        <v>2200</v>
      </c>
      <c r="L28" s="817">
        <f t="shared" si="0"/>
        <v>616</v>
      </c>
      <c r="M28" s="5018">
        <f t="shared" si="32"/>
        <v>205.33333333333334</v>
      </c>
      <c r="N28" s="5018">
        <f t="shared" si="46"/>
        <v>205.33333333333334</v>
      </c>
      <c r="O28" s="5018">
        <f t="shared" si="47"/>
        <v>293.33333333333331</v>
      </c>
      <c r="P28" s="5018">
        <f t="shared" si="48"/>
        <v>293.33333333333331</v>
      </c>
      <c r="Q28" s="5018">
        <f t="shared" si="49"/>
        <v>293.33333333333331</v>
      </c>
      <c r="R28" s="5018">
        <f t="shared" si="49"/>
        <v>234.66666666666666</v>
      </c>
      <c r="S28" s="5018">
        <f t="shared" si="50"/>
        <v>234.66666666666666</v>
      </c>
      <c r="T28" s="5018">
        <f t="shared" si="51"/>
        <v>234.66666666666666</v>
      </c>
      <c r="U28" s="5018">
        <f t="shared" si="51"/>
        <v>733.33333333333337</v>
      </c>
      <c r="V28" s="5018">
        <f t="shared" si="52"/>
        <v>733.33333333333337</v>
      </c>
      <c r="W28" s="5018">
        <f t="shared" si="53"/>
        <v>733.33333333333337</v>
      </c>
      <c r="X28" s="5018">
        <f t="shared" si="53"/>
        <v>205.33333333333334</v>
      </c>
      <c r="Y28" s="5021">
        <v>19.25</v>
      </c>
      <c r="Z28" s="5022">
        <v>19.78</v>
      </c>
      <c r="AA28" s="757">
        <v>17.03</v>
      </c>
      <c r="AB28" s="758">
        <v>16.239999999999998</v>
      </c>
      <c r="AC28" s="1867">
        <f t="shared" si="9"/>
        <v>0.16239999999999999</v>
      </c>
      <c r="AD28" s="1867">
        <f t="shared" si="10"/>
        <v>0.16239999999999999</v>
      </c>
      <c r="AE28" s="1867">
        <f t="shared" si="11"/>
        <v>0.1925</v>
      </c>
      <c r="AF28" s="1867">
        <f t="shared" si="12"/>
        <v>0.1925</v>
      </c>
      <c r="AG28" s="1867">
        <f t="shared" si="13"/>
        <v>0.1925</v>
      </c>
      <c r="AH28" s="1867">
        <f t="shared" si="13"/>
        <v>0.1978</v>
      </c>
      <c r="AI28" s="1867">
        <f t="shared" si="14"/>
        <v>0.1978</v>
      </c>
      <c r="AJ28" s="1867">
        <f t="shared" si="15"/>
        <v>0.1978</v>
      </c>
      <c r="AK28" s="1867">
        <f t="shared" si="15"/>
        <v>0.17030000000000001</v>
      </c>
      <c r="AL28" s="1867">
        <f t="shared" si="16"/>
        <v>0.17030000000000001</v>
      </c>
      <c r="AM28" s="1867">
        <f t="shared" si="17"/>
        <v>0.17030000000000001</v>
      </c>
      <c r="AN28" s="1868">
        <f t="shared" si="17"/>
        <v>0.16239999999999999</v>
      </c>
      <c r="AO28" s="751">
        <v>2.33</v>
      </c>
      <c r="AP28" s="277">
        <v>2.4700000000000002</v>
      </c>
      <c r="AQ28" s="277">
        <v>2.3199999999999998</v>
      </c>
      <c r="AR28" s="752">
        <v>2.4300000000000002</v>
      </c>
      <c r="AS28" s="800">
        <f t="shared" si="18"/>
        <v>2.4300000000000002</v>
      </c>
      <c r="AT28" s="800">
        <f t="shared" si="19"/>
        <v>2.4300000000000002</v>
      </c>
      <c r="AU28" s="800">
        <f t="shared" si="20"/>
        <v>2.33</v>
      </c>
      <c r="AV28" s="800">
        <f t="shared" si="21"/>
        <v>2.33</v>
      </c>
      <c r="AW28" s="800">
        <f t="shared" si="22"/>
        <v>2.33</v>
      </c>
      <c r="AX28" s="800">
        <f t="shared" si="22"/>
        <v>2.4700000000000002</v>
      </c>
      <c r="AY28" s="800">
        <f t="shared" si="23"/>
        <v>2.4700000000000002</v>
      </c>
      <c r="AZ28" s="800">
        <f t="shared" si="24"/>
        <v>2.4700000000000002</v>
      </c>
      <c r="BA28" s="800">
        <f t="shared" si="24"/>
        <v>2.3199999999999998</v>
      </c>
      <c r="BB28" s="800">
        <f t="shared" si="25"/>
        <v>2.3199999999999998</v>
      </c>
      <c r="BC28" s="800">
        <f t="shared" si="26"/>
        <v>2.3199999999999998</v>
      </c>
      <c r="BD28" s="1865">
        <f t="shared" si="26"/>
        <v>2.4300000000000002</v>
      </c>
      <c r="BE28" s="775">
        <f t="shared" si="4"/>
        <v>21</v>
      </c>
      <c r="BF28" s="590"/>
      <c r="BG28" s="775">
        <f t="shared" si="27"/>
        <v>205.33333333333334</v>
      </c>
      <c r="BH28" s="111">
        <f t="shared" si="42"/>
        <v>205.33333333333334</v>
      </c>
      <c r="BI28" s="111">
        <f t="shared" si="42"/>
        <v>293.33333333333331</v>
      </c>
      <c r="BJ28" s="111">
        <f t="shared" si="42"/>
        <v>293.33333333333331</v>
      </c>
      <c r="BK28" s="111">
        <f t="shared" si="42"/>
        <v>293.33333333333331</v>
      </c>
      <c r="BL28" s="111">
        <f t="shared" si="42"/>
        <v>234.66666666666666</v>
      </c>
      <c r="BM28" s="111">
        <f t="shared" si="42"/>
        <v>234.66666666666666</v>
      </c>
      <c r="BN28" s="111">
        <f t="shared" si="42"/>
        <v>234.66666666666666</v>
      </c>
      <c r="BO28" s="111">
        <f t="shared" si="42"/>
        <v>733.33333333333337</v>
      </c>
      <c r="BP28" s="111">
        <f t="shared" si="42"/>
        <v>733.33333333333337</v>
      </c>
      <c r="BQ28" s="111">
        <f t="shared" si="42"/>
        <v>733.33333333333337</v>
      </c>
      <c r="BR28" s="817">
        <f t="shared" si="42"/>
        <v>205.33333333333334</v>
      </c>
      <c r="BS28" s="775">
        <f t="shared" si="28"/>
        <v>21</v>
      </c>
      <c r="BT28" s="111"/>
      <c r="BU28" s="1867">
        <f t="shared" si="29"/>
        <v>0.16239999999999999</v>
      </c>
      <c r="BV28" s="1867">
        <f t="shared" si="43"/>
        <v>0.16239999999999999</v>
      </c>
      <c r="BW28" s="1867">
        <f t="shared" si="43"/>
        <v>0.1925</v>
      </c>
      <c r="BX28" s="1867">
        <f t="shared" si="43"/>
        <v>0.1925</v>
      </c>
      <c r="BY28" s="1867">
        <f t="shared" si="43"/>
        <v>0.1925</v>
      </c>
      <c r="BZ28" s="1867">
        <f t="shared" si="43"/>
        <v>0.1978</v>
      </c>
      <c r="CA28" s="1867">
        <f t="shared" si="43"/>
        <v>0.1978</v>
      </c>
      <c r="CB28" s="1867">
        <f t="shared" si="43"/>
        <v>0.1978</v>
      </c>
      <c r="CC28" s="1867">
        <f t="shared" si="43"/>
        <v>0.17030000000000001</v>
      </c>
      <c r="CD28" s="1867">
        <f t="shared" si="43"/>
        <v>0.17030000000000001</v>
      </c>
      <c r="CE28" s="1867">
        <f t="shared" si="43"/>
        <v>0.17030000000000001</v>
      </c>
      <c r="CF28" s="1868">
        <f t="shared" si="43"/>
        <v>0.16239999999999999</v>
      </c>
      <c r="CG28" s="775">
        <f t="shared" si="31"/>
        <v>21</v>
      </c>
      <c r="CH28" s="111"/>
      <c r="CI28" s="800">
        <f t="shared" si="30"/>
        <v>2.4300000000000002</v>
      </c>
      <c r="CJ28" s="800">
        <f t="shared" si="44"/>
        <v>2.4300000000000002</v>
      </c>
      <c r="CK28" s="800">
        <f t="shared" si="44"/>
        <v>2.33</v>
      </c>
      <c r="CL28" s="800">
        <f t="shared" si="44"/>
        <v>2.33</v>
      </c>
      <c r="CM28" s="800">
        <f t="shared" si="44"/>
        <v>2.33</v>
      </c>
      <c r="CN28" s="800">
        <f t="shared" si="44"/>
        <v>2.4700000000000002</v>
      </c>
      <c r="CO28" s="800">
        <f t="shared" si="44"/>
        <v>2.4700000000000002</v>
      </c>
      <c r="CP28" s="800">
        <f t="shared" si="44"/>
        <v>2.4700000000000002</v>
      </c>
      <c r="CQ28" s="800">
        <f t="shared" si="44"/>
        <v>2.3199999999999998</v>
      </c>
      <c r="CR28" s="800">
        <f t="shared" si="44"/>
        <v>2.3199999999999998</v>
      </c>
      <c r="CS28" s="800">
        <f t="shared" si="44"/>
        <v>2.3199999999999998</v>
      </c>
      <c r="CT28" s="1865">
        <f t="shared" si="44"/>
        <v>2.4300000000000002</v>
      </c>
    </row>
    <row r="29" spans="1:98" x14ac:dyDescent="0.2">
      <c r="A29" s="590"/>
      <c r="B29" s="5015" t="s">
        <v>165</v>
      </c>
      <c r="C29" s="276" t="s">
        <v>346</v>
      </c>
      <c r="D29" s="5016">
        <v>3200</v>
      </c>
      <c r="E29" s="5017">
        <v>14</v>
      </c>
      <c r="F29" s="5018">
        <v>13</v>
      </c>
      <c r="G29" s="5018">
        <v>60</v>
      </c>
      <c r="H29" s="817">
        <f t="shared" si="45"/>
        <v>13</v>
      </c>
      <c r="I29" s="775">
        <f t="shared" si="0"/>
        <v>448</v>
      </c>
      <c r="J29" s="111">
        <f t="shared" si="0"/>
        <v>416</v>
      </c>
      <c r="K29" s="111">
        <f t="shared" si="0"/>
        <v>1920</v>
      </c>
      <c r="L29" s="817">
        <f t="shared" si="0"/>
        <v>416</v>
      </c>
      <c r="M29" s="5018">
        <f t="shared" si="32"/>
        <v>138.66666666666666</v>
      </c>
      <c r="N29" s="5018">
        <f t="shared" si="46"/>
        <v>138.66666666666666</v>
      </c>
      <c r="O29" s="5018">
        <f t="shared" si="47"/>
        <v>149.33333333333334</v>
      </c>
      <c r="P29" s="5018">
        <f t="shared" si="48"/>
        <v>149.33333333333334</v>
      </c>
      <c r="Q29" s="5018">
        <f t="shared" si="49"/>
        <v>149.33333333333334</v>
      </c>
      <c r="R29" s="5018">
        <f t="shared" si="49"/>
        <v>138.66666666666666</v>
      </c>
      <c r="S29" s="5018">
        <f t="shared" si="50"/>
        <v>138.66666666666666</v>
      </c>
      <c r="T29" s="5018">
        <f t="shared" si="51"/>
        <v>138.66666666666666</v>
      </c>
      <c r="U29" s="5018">
        <f t="shared" si="51"/>
        <v>640</v>
      </c>
      <c r="V29" s="5018">
        <f t="shared" si="52"/>
        <v>640</v>
      </c>
      <c r="W29" s="5018">
        <f t="shared" si="53"/>
        <v>640</v>
      </c>
      <c r="X29" s="5018">
        <f t="shared" si="53"/>
        <v>138.66666666666666</v>
      </c>
      <c r="Y29" s="5021">
        <v>19.25</v>
      </c>
      <c r="Z29" s="5022">
        <v>19.78</v>
      </c>
      <c r="AA29" s="757">
        <v>17.03</v>
      </c>
      <c r="AB29" s="758">
        <v>16.239999999999998</v>
      </c>
      <c r="AC29" s="1867">
        <f t="shared" si="9"/>
        <v>0.16239999999999999</v>
      </c>
      <c r="AD29" s="1867">
        <f t="shared" si="10"/>
        <v>0.16239999999999999</v>
      </c>
      <c r="AE29" s="1867">
        <f t="shared" si="11"/>
        <v>0.1925</v>
      </c>
      <c r="AF29" s="1867">
        <f t="shared" si="12"/>
        <v>0.1925</v>
      </c>
      <c r="AG29" s="1867">
        <f t="shared" si="13"/>
        <v>0.1925</v>
      </c>
      <c r="AH29" s="1867">
        <f t="shared" si="13"/>
        <v>0.1978</v>
      </c>
      <c r="AI29" s="1867">
        <f t="shared" si="14"/>
        <v>0.1978</v>
      </c>
      <c r="AJ29" s="1867">
        <f t="shared" si="15"/>
        <v>0.1978</v>
      </c>
      <c r="AK29" s="1867">
        <f t="shared" si="15"/>
        <v>0.17030000000000001</v>
      </c>
      <c r="AL29" s="1867">
        <f t="shared" si="16"/>
        <v>0.17030000000000001</v>
      </c>
      <c r="AM29" s="1867">
        <f t="shared" si="17"/>
        <v>0.17030000000000001</v>
      </c>
      <c r="AN29" s="1868">
        <f t="shared" si="17"/>
        <v>0.16239999999999999</v>
      </c>
      <c r="AO29" s="751">
        <v>2.33</v>
      </c>
      <c r="AP29" s="277">
        <v>2.4700000000000002</v>
      </c>
      <c r="AQ29" s="277">
        <v>2.3199999999999998</v>
      </c>
      <c r="AR29" s="752">
        <v>2.4300000000000002</v>
      </c>
      <c r="AS29" s="800">
        <f t="shared" si="18"/>
        <v>2.4300000000000002</v>
      </c>
      <c r="AT29" s="800">
        <f t="shared" si="19"/>
        <v>2.4300000000000002</v>
      </c>
      <c r="AU29" s="800">
        <f t="shared" si="20"/>
        <v>2.33</v>
      </c>
      <c r="AV29" s="800">
        <f t="shared" si="21"/>
        <v>2.33</v>
      </c>
      <c r="AW29" s="800">
        <f t="shared" si="22"/>
        <v>2.33</v>
      </c>
      <c r="AX29" s="800">
        <f t="shared" si="22"/>
        <v>2.4700000000000002</v>
      </c>
      <c r="AY29" s="800">
        <f t="shared" si="23"/>
        <v>2.4700000000000002</v>
      </c>
      <c r="AZ29" s="800">
        <f t="shared" si="24"/>
        <v>2.4700000000000002</v>
      </c>
      <c r="BA29" s="800">
        <f t="shared" si="24"/>
        <v>2.3199999999999998</v>
      </c>
      <c r="BB29" s="800">
        <f t="shared" si="25"/>
        <v>2.3199999999999998</v>
      </c>
      <c r="BC29" s="800">
        <f t="shared" si="26"/>
        <v>2.3199999999999998</v>
      </c>
      <c r="BD29" s="1865">
        <f t="shared" si="26"/>
        <v>2.4300000000000002</v>
      </c>
      <c r="BE29" s="775">
        <f t="shared" si="4"/>
        <v>22</v>
      </c>
      <c r="BF29" s="590"/>
      <c r="BG29" s="775">
        <f t="shared" si="27"/>
        <v>138.66666666666666</v>
      </c>
      <c r="BH29" s="111">
        <f t="shared" si="42"/>
        <v>138.66666666666666</v>
      </c>
      <c r="BI29" s="111">
        <f t="shared" si="42"/>
        <v>149.33333333333334</v>
      </c>
      <c r="BJ29" s="111">
        <f t="shared" si="42"/>
        <v>149.33333333333334</v>
      </c>
      <c r="BK29" s="111">
        <f t="shared" si="42"/>
        <v>149.33333333333334</v>
      </c>
      <c r="BL29" s="111">
        <f t="shared" si="42"/>
        <v>138.66666666666666</v>
      </c>
      <c r="BM29" s="111">
        <f t="shared" si="42"/>
        <v>138.66666666666666</v>
      </c>
      <c r="BN29" s="111">
        <f t="shared" si="42"/>
        <v>138.66666666666666</v>
      </c>
      <c r="BO29" s="111">
        <f t="shared" si="42"/>
        <v>640</v>
      </c>
      <c r="BP29" s="111">
        <f t="shared" si="42"/>
        <v>640</v>
      </c>
      <c r="BQ29" s="111">
        <f t="shared" si="42"/>
        <v>640</v>
      </c>
      <c r="BR29" s="817">
        <f t="shared" si="42"/>
        <v>138.66666666666666</v>
      </c>
      <c r="BS29" s="775">
        <f t="shared" si="28"/>
        <v>22</v>
      </c>
      <c r="BT29" s="111"/>
      <c r="BU29" s="1867">
        <f t="shared" si="29"/>
        <v>0.16239999999999999</v>
      </c>
      <c r="BV29" s="1867">
        <f t="shared" si="43"/>
        <v>0.16239999999999999</v>
      </c>
      <c r="BW29" s="1867">
        <f t="shared" si="43"/>
        <v>0.1925</v>
      </c>
      <c r="BX29" s="1867">
        <f t="shared" si="43"/>
        <v>0.1925</v>
      </c>
      <c r="BY29" s="1867">
        <f t="shared" si="43"/>
        <v>0.1925</v>
      </c>
      <c r="BZ29" s="1867">
        <f t="shared" si="43"/>
        <v>0.1978</v>
      </c>
      <c r="CA29" s="1867">
        <f t="shared" si="43"/>
        <v>0.1978</v>
      </c>
      <c r="CB29" s="1867">
        <f t="shared" si="43"/>
        <v>0.1978</v>
      </c>
      <c r="CC29" s="1867">
        <f t="shared" si="43"/>
        <v>0.17030000000000001</v>
      </c>
      <c r="CD29" s="1867">
        <f t="shared" si="43"/>
        <v>0.17030000000000001</v>
      </c>
      <c r="CE29" s="1867">
        <f t="shared" si="43"/>
        <v>0.17030000000000001</v>
      </c>
      <c r="CF29" s="1868">
        <f t="shared" si="43"/>
        <v>0.16239999999999999</v>
      </c>
      <c r="CG29" s="775">
        <f t="shared" si="31"/>
        <v>22</v>
      </c>
      <c r="CH29" s="111"/>
      <c r="CI29" s="800">
        <f t="shared" si="30"/>
        <v>2.4300000000000002</v>
      </c>
      <c r="CJ29" s="800">
        <f t="shared" si="44"/>
        <v>2.4300000000000002</v>
      </c>
      <c r="CK29" s="800">
        <f t="shared" si="44"/>
        <v>2.33</v>
      </c>
      <c r="CL29" s="800">
        <f t="shared" si="44"/>
        <v>2.33</v>
      </c>
      <c r="CM29" s="800">
        <f t="shared" si="44"/>
        <v>2.33</v>
      </c>
      <c r="CN29" s="800">
        <f t="shared" si="44"/>
        <v>2.4700000000000002</v>
      </c>
      <c r="CO29" s="800">
        <f t="shared" si="44"/>
        <v>2.4700000000000002</v>
      </c>
      <c r="CP29" s="800">
        <f t="shared" si="44"/>
        <v>2.4700000000000002</v>
      </c>
      <c r="CQ29" s="800">
        <f t="shared" si="44"/>
        <v>2.3199999999999998</v>
      </c>
      <c r="CR29" s="800">
        <f t="shared" si="44"/>
        <v>2.3199999999999998</v>
      </c>
      <c r="CS29" s="800">
        <f t="shared" si="44"/>
        <v>2.3199999999999998</v>
      </c>
      <c r="CT29" s="1865">
        <f t="shared" si="44"/>
        <v>2.4300000000000002</v>
      </c>
    </row>
    <row r="30" spans="1:98" x14ac:dyDescent="0.2">
      <c r="A30" s="590"/>
      <c r="B30" s="5015" t="s">
        <v>1570</v>
      </c>
      <c r="C30" s="276" t="s">
        <v>346</v>
      </c>
      <c r="D30" s="5016">
        <v>7200</v>
      </c>
      <c r="E30" s="5017">
        <v>28</v>
      </c>
      <c r="F30" s="5018">
        <v>15</v>
      </c>
      <c r="G30" s="5018">
        <v>40</v>
      </c>
      <c r="H30" s="817">
        <f t="shared" si="45"/>
        <v>17</v>
      </c>
      <c r="I30" s="775">
        <f t="shared" si="0"/>
        <v>2016</v>
      </c>
      <c r="J30" s="111">
        <f t="shared" si="0"/>
        <v>1080</v>
      </c>
      <c r="K30" s="111">
        <f t="shared" si="0"/>
        <v>2880</v>
      </c>
      <c r="L30" s="817">
        <f t="shared" si="0"/>
        <v>1224</v>
      </c>
      <c r="M30" s="5018">
        <f t="shared" si="32"/>
        <v>408</v>
      </c>
      <c r="N30" s="5018">
        <f t="shared" si="46"/>
        <v>408</v>
      </c>
      <c r="O30" s="5018">
        <f t="shared" si="47"/>
        <v>672</v>
      </c>
      <c r="P30" s="5018">
        <f t="shared" si="48"/>
        <v>672</v>
      </c>
      <c r="Q30" s="5018">
        <f t="shared" si="49"/>
        <v>672</v>
      </c>
      <c r="R30" s="5018">
        <f t="shared" si="49"/>
        <v>360</v>
      </c>
      <c r="S30" s="5018">
        <f t="shared" si="50"/>
        <v>360</v>
      </c>
      <c r="T30" s="5018">
        <f t="shared" si="51"/>
        <v>360</v>
      </c>
      <c r="U30" s="5018">
        <f t="shared" si="51"/>
        <v>960</v>
      </c>
      <c r="V30" s="5018">
        <f t="shared" si="52"/>
        <v>960</v>
      </c>
      <c r="W30" s="5018">
        <f t="shared" si="53"/>
        <v>960</v>
      </c>
      <c r="X30" s="5018">
        <f t="shared" si="53"/>
        <v>408</v>
      </c>
      <c r="Y30" s="5021">
        <v>19.440000000000001</v>
      </c>
      <c r="Z30" s="5022">
        <v>22.53</v>
      </c>
      <c r="AA30" s="757">
        <v>20.28</v>
      </c>
      <c r="AB30" s="758">
        <v>15.78</v>
      </c>
      <c r="AC30" s="1867">
        <f t="shared" si="9"/>
        <v>0.1578</v>
      </c>
      <c r="AD30" s="1867">
        <f t="shared" si="10"/>
        <v>0.1578</v>
      </c>
      <c r="AE30" s="1867">
        <f t="shared" si="11"/>
        <v>0.19440000000000002</v>
      </c>
      <c r="AF30" s="1867">
        <f t="shared" si="12"/>
        <v>0.19440000000000002</v>
      </c>
      <c r="AG30" s="1867">
        <f t="shared" si="13"/>
        <v>0.19440000000000002</v>
      </c>
      <c r="AH30" s="1867">
        <f t="shared" si="13"/>
        <v>0.2253</v>
      </c>
      <c r="AI30" s="1867">
        <f t="shared" si="14"/>
        <v>0.2253</v>
      </c>
      <c r="AJ30" s="1867">
        <f t="shared" si="15"/>
        <v>0.2253</v>
      </c>
      <c r="AK30" s="1867">
        <f t="shared" si="15"/>
        <v>0.20280000000000001</v>
      </c>
      <c r="AL30" s="1867">
        <f t="shared" si="16"/>
        <v>0.20280000000000001</v>
      </c>
      <c r="AM30" s="1867">
        <f t="shared" si="17"/>
        <v>0.20280000000000001</v>
      </c>
      <c r="AN30" s="1868">
        <f t="shared" si="17"/>
        <v>0.1578</v>
      </c>
      <c r="AO30" s="751">
        <v>2.37</v>
      </c>
      <c r="AP30" s="277">
        <v>2.4700000000000002</v>
      </c>
      <c r="AQ30" s="277">
        <v>2.5</v>
      </c>
      <c r="AR30" s="752">
        <v>2.1800000000000002</v>
      </c>
      <c r="AS30" s="800">
        <f t="shared" si="18"/>
        <v>2.1800000000000002</v>
      </c>
      <c r="AT30" s="800">
        <f t="shared" si="19"/>
        <v>2.1800000000000002</v>
      </c>
      <c r="AU30" s="800">
        <f t="shared" si="20"/>
        <v>2.37</v>
      </c>
      <c r="AV30" s="800">
        <f t="shared" si="21"/>
        <v>2.37</v>
      </c>
      <c r="AW30" s="800">
        <f t="shared" si="22"/>
        <v>2.37</v>
      </c>
      <c r="AX30" s="800">
        <f t="shared" si="22"/>
        <v>2.4700000000000002</v>
      </c>
      <c r="AY30" s="800">
        <f t="shared" si="23"/>
        <v>2.4700000000000002</v>
      </c>
      <c r="AZ30" s="800">
        <f t="shared" si="24"/>
        <v>2.4700000000000002</v>
      </c>
      <c r="BA30" s="800">
        <f t="shared" si="24"/>
        <v>2.5</v>
      </c>
      <c r="BB30" s="800">
        <f t="shared" si="25"/>
        <v>2.5</v>
      </c>
      <c r="BC30" s="800">
        <f t="shared" si="26"/>
        <v>2.5</v>
      </c>
      <c r="BD30" s="1865">
        <f t="shared" si="26"/>
        <v>2.1800000000000002</v>
      </c>
      <c r="BE30" s="775">
        <f t="shared" si="4"/>
        <v>23</v>
      </c>
      <c r="BF30" s="590"/>
      <c r="BG30" s="775">
        <f t="shared" si="27"/>
        <v>408</v>
      </c>
      <c r="BH30" s="111">
        <f t="shared" si="42"/>
        <v>408</v>
      </c>
      <c r="BI30" s="111">
        <f t="shared" si="42"/>
        <v>672</v>
      </c>
      <c r="BJ30" s="111">
        <f t="shared" si="42"/>
        <v>672</v>
      </c>
      <c r="BK30" s="111">
        <f t="shared" si="42"/>
        <v>672</v>
      </c>
      <c r="BL30" s="111">
        <f t="shared" si="42"/>
        <v>360</v>
      </c>
      <c r="BM30" s="111">
        <f t="shared" si="42"/>
        <v>360</v>
      </c>
      <c r="BN30" s="111">
        <f t="shared" si="42"/>
        <v>360</v>
      </c>
      <c r="BO30" s="111">
        <f t="shared" si="42"/>
        <v>960</v>
      </c>
      <c r="BP30" s="111">
        <f t="shared" si="42"/>
        <v>960</v>
      </c>
      <c r="BQ30" s="111">
        <f t="shared" si="42"/>
        <v>960</v>
      </c>
      <c r="BR30" s="817">
        <f t="shared" si="42"/>
        <v>408</v>
      </c>
      <c r="BS30" s="775">
        <f t="shared" si="28"/>
        <v>23</v>
      </c>
      <c r="BT30" s="111"/>
      <c r="BU30" s="1867">
        <f t="shared" si="29"/>
        <v>0.1578</v>
      </c>
      <c r="BV30" s="1867">
        <f t="shared" si="43"/>
        <v>0.1578</v>
      </c>
      <c r="BW30" s="1867">
        <f t="shared" si="43"/>
        <v>0.19440000000000002</v>
      </c>
      <c r="BX30" s="1867">
        <f t="shared" si="43"/>
        <v>0.19440000000000002</v>
      </c>
      <c r="BY30" s="1867">
        <f t="shared" si="43"/>
        <v>0.19440000000000002</v>
      </c>
      <c r="BZ30" s="1867">
        <f t="shared" si="43"/>
        <v>0.2253</v>
      </c>
      <c r="CA30" s="1867">
        <f t="shared" si="43"/>
        <v>0.2253</v>
      </c>
      <c r="CB30" s="1867">
        <f t="shared" si="43"/>
        <v>0.2253</v>
      </c>
      <c r="CC30" s="1867">
        <f t="shared" si="43"/>
        <v>0.20280000000000001</v>
      </c>
      <c r="CD30" s="1867">
        <f t="shared" si="43"/>
        <v>0.20280000000000001</v>
      </c>
      <c r="CE30" s="1867">
        <f t="shared" si="43"/>
        <v>0.20280000000000001</v>
      </c>
      <c r="CF30" s="1868">
        <f t="shared" si="43"/>
        <v>0.1578</v>
      </c>
      <c r="CG30" s="775">
        <f t="shared" si="31"/>
        <v>23</v>
      </c>
      <c r="CH30" s="111"/>
      <c r="CI30" s="800">
        <f t="shared" si="30"/>
        <v>2.1800000000000002</v>
      </c>
      <c r="CJ30" s="800">
        <f t="shared" si="44"/>
        <v>2.1800000000000002</v>
      </c>
      <c r="CK30" s="800">
        <f t="shared" si="44"/>
        <v>2.37</v>
      </c>
      <c r="CL30" s="800">
        <f t="shared" si="44"/>
        <v>2.37</v>
      </c>
      <c r="CM30" s="800">
        <f t="shared" si="44"/>
        <v>2.37</v>
      </c>
      <c r="CN30" s="800">
        <f t="shared" si="44"/>
        <v>2.4700000000000002</v>
      </c>
      <c r="CO30" s="800">
        <f t="shared" si="44"/>
        <v>2.4700000000000002</v>
      </c>
      <c r="CP30" s="800">
        <f t="shared" si="44"/>
        <v>2.4700000000000002</v>
      </c>
      <c r="CQ30" s="800">
        <f t="shared" si="44"/>
        <v>2.5</v>
      </c>
      <c r="CR30" s="800">
        <f t="shared" si="44"/>
        <v>2.5</v>
      </c>
      <c r="CS30" s="800">
        <f t="shared" si="44"/>
        <v>2.5</v>
      </c>
      <c r="CT30" s="1865">
        <f t="shared" si="44"/>
        <v>2.1800000000000002</v>
      </c>
    </row>
    <row r="31" spans="1:98" x14ac:dyDescent="0.2">
      <c r="A31" s="590"/>
      <c r="B31" s="5015" t="s">
        <v>1571</v>
      </c>
      <c r="C31" s="276" t="s">
        <v>346</v>
      </c>
      <c r="D31" s="5016">
        <v>3600</v>
      </c>
      <c r="E31" s="5017">
        <v>24</v>
      </c>
      <c r="F31" s="5018">
        <v>15</v>
      </c>
      <c r="G31" s="5018">
        <v>47</v>
      </c>
      <c r="H31" s="817">
        <f t="shared" si="45"/>
        <v>14</v>
      </c>
      <c r="I31" s="775">
        <f t="shared" si="0"/>
        <v>864</v>
      </c>
      <c r="J31" s="111">
        <f t="shared" si="0"/>
        <v>540</v>
      </c>
      <c r="K31" s="111">
        <f t="shared" si="0"/>
        <v>1692</v>
      </c>
      <c r="L31" s="817">
        <f t="shared" si="0"/>
        <v>504</v>
      </c>
      <c r="M31" s="5018">
        <f t="shared" si="32"/>
        <v>168</v>
      </c>
      <c r="N31" s="5018">
        <f t="shared" si="46"/>
        <v>168</v>
      </c>
      <c r="O31" s="5018">
        <f t="shared" si="47"/>
        <v>288</v>
      </c>
      <c r="P31" s="5018">
        <f t="shared" si="48"/>
        <v>288</v>
      </c>
      <c r="Q31" s="5018">
        <f t="shared" si="49"/>
        <v>288</v>
      </c>
      <c r="R31" s="5018">
        <f t="shared" si="49"/>
        <v>180</v>
      </c>
      <c r="S31" s="5018">
        <f t="shared" si="50"/>
        <v>180</v>
      </c>
      <c r="T31" s="5018">
        <f t="shared" si="51"/>
        <v>180</v>
      </c>
      <c r="U31" s="5018">
        <f t="shared" si="51"/>
        <v>564</v>
      </c>
      <c r="V31" s="5018">
        <f t="shared" si="52"/>
        <v>564</v>
      </c>
      <c r="W31" s="5018">
        <f t="shared" si="53"/>
        <v>564</v>
      </c>
      <c r="X31" s="5018">
        <f t="shared" si="53"/>
        <v>168</v>
      </c>
      <c r="Y31" s="5021">
        <v>19.440000000000001</v>
      </c>
      <c r="Z31" s="5022">
        <v>22.53</v>
      </c>
      <c r="AA31" s="757">
        <v>20.28</v>
      </c>
      <c r="AB31" s="758">
        <v>15.78</v>
      </c>
      <c r="AC31" s="1867">
        <f t="shared" si="9"/>
        <v>0.1578</v>
      </c>
      <c r="AD31" s="1867">
        <f t="shared" si="10"/>
        <v>0.1578</v>
      </c>
      <c r="AE31" s="1867">
        <f t="shared" si="11"/>
        <v>0.19440000000000002</v>
      </c>
      <c r="AF31" s="1867">
        <f t="shared" si="12"/>
        <v>0.19440000000000002</v>
      </c>
      <c r="AG31" s="1867">
        <f t="shared" si="13"/>
        <v>0.19440000000000002</v>
      </c>
      <c r="AH31" s="1867">
        <f t="shared" si="13"/>
        <v>0.2253</v>
      </c>
      <c r="AI31" s="1867">
        <f t="shared" si="14"/>
        <v>0.2253</v>
      </c>
      <c r="AJ31" s="1867">
        <f t="shared" si="15"/>
        <v>0.2253</v>
      </c>
      <c r="AK31" s="1867">
        <f t="shared" si="15"/>
        <v>0.20280000000000001</v>
      </c>
      <c r="AL31" s="1867">
        <f t="shared" si="16"/>
        <v>0.20280000000000001</v>
      </c>
      <c r="AM31" s="1867">
        <f t="shared" si="17"/>
        <v>0.20280000000000001</v>
      </c>
      <c r="AN31" s="1868">
        <f t="shared" si="17"/>
        <v>0.1578</v>
      </c>
      <c r="AO31" s="751">
        <v>2.37</v>
      </c>
      <c r="AP31" s="277">
        <v>2.4700000000000002</v>
      </c>
      <c r="AQ31" s="277">
        <v>2.5</v>
      </c>
      <c r="AR31" s="752">
        <v>2.1800000000000002</v>
      </c>
      <c r="AS31" s="800">
        <f t="shared" si="18"/>
        <v>2.1800000000000002</v>
      </c>
      <c r="AT31" s="800">
        <f t="shared" si="19"/>
        <v>2.1800000000000002</v>
      </c>
      <c r="AU31" s="800">
        <f t="shared" si="20"/>
        <v>2.37</v>
      </c>
      <c r="AV31" s="800">
        <f t="shared" si="21"/>
        <v>2.37</v>
      </c>
      <c r="AW31" s="800">
        <f t="shared" si="22"/>
        <v>2.37</v>
      </c>
      <c r="AX31" s="800">
        <f t="shared" si="22"/>
        <v>2.4700000000000002</v>
      </c>
      <c r="AY31" s="800">
        <f t="shared" si="23"/>
        <v>2.4700000000000002</v>
      </c>
      <c r="AZ31" s="800">
        <f t="shared" si="24"/>
        <v>2.4700000000000002</v>
      </c>
      <c r="BA31" s="800">
        <f t="shared" si="24"/>
        <v>2.5</v>
      </c>
      <c r="BB31" s="800">
        <f t="shared" si="25"/>
        <v>2.5</v>
      </c>
      <c r="BC31" s="800">
        <f t="shared" si="26"/>
        <v>2.5</v>
      </c>
      <c r="BD31" s="1865">
        <f t="shared" si="26"/>
        <v>2.1800000000000002</v>
      </c>
      <c r="BE31" s="775">
        <f t="shared" si="4"/>
        <v>24</v>
      </c>
      <c r="BF31" s="590"/>
      <c r="BG31" s="775">
        <f t="shared" si="27"/>
        <v>168</v>
      </c>
      <c r="BH31" s="111">
        <f t="shared" si="42"/>
        <v>168</v>
      </c>
      <c r="BI31" s="111">
        <f t="shared" si="42"/>
        <v>288</v>
      </c>
      <c r="BJ31" s="111">
        <f t="shared" si="42"/>
        <v>288</v>
      </c>
      <c r="BK31" s="111">
        <f t="shared" si="42"/>
        <v>288</v>
      </c>
      <c r="BL31" s="111">
        <f t="shared" si="42"/>
        <v>180</v>
      </c>
      <c r="BM31" s="111">
        <f t="shared" si="42"/>
        <v>180</v>
      </c>
      <c r="BN31" s="111">
        <f t="shared" si="42"/>
        <v>180</v>
      </c>
      <c r="BO31" s="111">
        <f t="shared" si="42"/>
        <v>564</v>
      </c>
      <c r="BP31" s="111">
        <f t="shared" si="42"/>
        <v>564</v>
      </c>
      <c r="BQ31" s="111">
        <f t="shared" si="42"/>
        <v>564</v>
      </c>
      <c r="BR31" s="817">
        <f t="shared" si="42"/>
        <v>168</v>
      </c>
      <c r="BS31" s="775">
        <f t="shared" si="28"/>
        <v>24</v>
      </c>
      <c r="BT31" s="111"/>
      <c r="BU31" s="1867">
        <f t="shared" si="29"/>
        <v>0.1578</v>
      </c>
      <c r="BV31" s="1867">
        <f t="shared" si="43"/>
        <v>0.1578</v>
      </c>
      <c r="BW31" s="1867">
        <f t="shared" si="43"/>
        <v>0.19440000000000002</v>
      </c>
      <c r="BX31" s="1867">
        <f t="shared" si="43"/>
        <v>0.19440000000000002</v>
      </c>
      <c r="BY31" s="1867">
        <f t="shared" si="43"/>
        <v>0.19440000000000002</v>
      </c>
      <c r="BZ31" s="1867">
        <f t="shared" si="43"/>
        <v>0.2253</v>
      </c>
      <c r="CA31" s="1867">
        <f t="shared" si="43"/>
        <v>0.2253</v>
      </c>
      <c r="CB31" s="1867">
        <f t="shared" si="43"/>
        <v>0.2253</v>
      </c>
      <c r="CC31" s="1867">
        <f t="shared" si="43"/>
        <v>0.20280000000000001</v>
      </c>
      <c r="CD31" s="1867">
        <f t="shared" si="43"/>
        <v>0.20280000000000001</v>
      </c>
      <c r="CE31" s="1867">
        <f t="shared" si="43"/>
        <v>0.20280000000000001</v>
      </c>
      <c r="CF31" s="1868">
        <f t="shared" si="43"/>
        <v>0.1578</v>
      </c>
      <c r="CG31" s="775">
        <f t="shared" si="31"/>
        <v>24</v>
      </c>
      <c r="CH31" s="111"/>
      <c r="CI31" s="800">
        <f t="shared" si="30"/>
        <v>2.1800000000000002</v>
      </c>
      <c r="CJ31" s="800">
        <f t="shared" si="44"/>
        <v>2.1800000000000002</v>
      </c>
      <c r="CK31" s="800">
        <f t="shared" si="44"/>
        <v>2.37</v>
      </c>
      <c r="CL31" s="800">
        <f t="shared" si="44"/>
        <v>2.37</v>
      </c>
      <c r="CM31" s="800">
        <f t="shared" si="44"/>
        <v>2.37</v>
      </c>
      <c r="CN31" s="800">
        <f t="shared" si="44"/>
        <v>2.4700000000000002</v>
      </c>
      <c r="CO31" s="800">
        <f t="shared" si="44"/>
        <v>2.4700000000000002</v>
      </c>
      <c r="CP31" s="800">
        <f t="shared" si="44"/>
        <v>2.4700000000000002</v>
      </c>
      <c r="CQ31" s="800">
        <f t="shared" si="44"/>
        <v>2.5</v>
      </c>
      <c r="CR31" s="800">
        <f t="shared" si="44"/>
        <v>2.5</v>
      </c>
      <c r="CS31" s="800">
        <f t="shared" si="44"/>
        <v>2.5</v>
      </c>
      <c r="CT31" s="1865">
        <f t="shared" si="44"/>
        <v>2.1800000000000002</v>
      </c>
    </row>
    <row r="32" spans="1:98" x14ac:dyDescent="0.2">
      <c r="A32" s="590"/>
      <c r="B32" s="5015" t="s">
        <v>1572</v>
      </c>
      <c r="C32" s="276" t="s">
        <v>346</v>
      </c>
      <c r="D32" s="5016">
        <v>4000</v>
      </c>
      <c r="E32" s="5017">
        <v>14</v>
      </c>
      <c r="F32" s="5018">
        <v>13</v>
      </c>
      <c r="G32" s="5018">
        <v>60</v>
      </c>
      <c r="H32" s="817">
        <f t="shared" si="45"/>
        <v>13</v>
      </c>
      <c r="I32" s="775">
        <f t="shared" si="0"/>
        <v>560</v>
      </c>
      <c r="J32" s="111">
        <f t="shared" si="0"/>
        <v>520</v>
      </c>
      <c r="K32" s="111">
        <f t="shared" si="0"/>
        <v>2400</v>
      </c>
      <c r="L32" s="817">
        <f t="shared" si="0"/>
        <v>520</v>
      </c>
      <c r="M32" s="5018">
        <f>L32/3</f>
        <v>173.33333333333334</v>
      </c>
      <c r="N32" s="5018">
        <f t="shared" si="46"/>
        <v>173.33333333333334</v>
      </c>
      <c r="O32" s="5018">
        <f>I32/3</f>
        <v>186.66666666666666</v>
      </c>
      <c r="P32" s="5018">
        <f>I32/3</f>
        <v>186.66666666666666</v>
      </c>
      <c r="Q32" s="5018">
        <f t="shared" si="49"/>
        <v>186.66666666666666</v>
      </c>
      <c r="R32" s="5018">
        <f t="shared" si="49"/>
        <v>173.33333333333334</v>
      </c>
      <c r="S32" s="5018">
        <f>J32/3</f>
        <v>173.33333333333334</v>
      </c>
      <c r="T32" s="5018">
        <f t="shared" si="51"/>
        <v>173.33333333333334</v>
      </c>
      <c r="U32" s="5018">
        <f t="shared" si="51"/>
        <v>800</v>
      </c>
      <c r="V32" s="5018">
        <f>K32/3</f>
        <v>800</v>
      </c>
      <c r="W32" s="5018">
        <f t="shared" si="53"/>
        <v>800</v>
      </c>
      <c r="X32" s="5018">
        <f t="shared" si="53"/>
        <v>173.33333333333334</v>
      </c>
      <c r="Y32" s="5021">
        <v>23.2</v>
      </c>
      <c r="Z32" s="5022">
        <v>26.97</v>
      </c>
      <c r="AA32" s="757">
        <v>21.26</v>
      </c>
      <c r="AB32" s="758">
        <v>21.62</v>
      </c>
      <c r="AC32" s="1867">
        <f t="shared" si="9"/>
        <v>0.2162</v>
      </c>
      <c r="AD32" s="1867">
        <f t="shared" si="10"/>
        <v>0.2162</v>
      </c>
      <c r="AE32" s="1867">
        <f t="shared" si="11"/>
        <v>0.23199999999999998</v>
      </c>
      <c r="AF32" s="1867">
        <f t="shared" si="12"/>
        <v>0.23199999999999998</v>
      </c>
      <c r="AG32" s="1867">
        <f t="shared" si="13"/>
        <v>0.23199999999999998</v>
      </c>
      <c r="AH32" s="1867">
        <f t="shared" si="13"/>
        <v>0.2697</v>
      </c>
      <c r="AI32" s="1867">
        <f t="shared" si="14"/>
        <v>0.2697</v>
      </c>
      <c r="AJ32" s="1867">
        <f t="shared" si="15"/>
        <v>0.2697</v>
      </c>
      <c r="AK32" s="1867">
        <f t="shared" si="15"/>
        <v>0.21260000000000001</v>
      </c>
      <c r="AL32" s="1867">
        <f t="shared" si="16"/>
        <v>0.21260000000000001</v>
      </c>
      <c r="AM32" s="1867">
        <f t="shared" si="17"/>
        <v>0.21260000000000001</v>
      </c>
      <c r="AN32" s="1868">
        <f t="shared" si="17"/>
        <v>0.2162</v>
      </c>
      <c r="AO32" s="751">
        <v>2.56</v>
      </c>
      <c r="AP32" s="277">
        <v>2.67</v>
      </c>
      <c r="AQ32" s="277">
        <v>2.48</v>
      </c>
      <c r="AR32" s="752">
        <v>2.38</v>
      </c>
      <c r="AS32" s="800">
        <f t="shared" si="18"/>
        <v>2.38</v>
      </c>
      <c r="AT32" s="800">
        <f t="shared" si="19"/>
        <v>2.38</v>
      </c>
      <c r="AU32" s="800">
        <f t="shared" si="20"/>
        <v>2.56</v>
      </c>
      <c r="AV32" s="800">
        <f t="shared" si="21"/>
        <v>2.56</v>
      </c>
      <c r="AW32" s="800">
        <f t="shared" si="22"/>
        <v>2.56</v>
      </c>
      <c r="AX32" s="800">
        <f t="shared" si="22"/>
        <v>2.67</v>
      </c>
      <c r="AY32" s="800">
        <f t="shared" si="23"/>
        <v>2.67</v>
      </c>
      <c r="AZ32" s="800">
        <f t="shared" si="24"/>
        <v>2.67</v>
      </c>
      <c r="BA32" s="800">
        <f t="shared" si="24"/>
        <v>2.48</v>
      </c>
      <c r="BB32" s="800">
        <f t="shared" si="25"/>
        <v>2.48</v>
      </c>
      <c r="BC32" s="800">
        <f t="shared" si="26"/>
        <v>2.48</v>
      </c>
      <c r="BD32" s="1865">
        <f t="shared" si="26"/>
        <v>2.38</v>
      </c>
      <c r="BE32" s="775">
        <f t="shared" si="4"/>
        <v>25</v>
      </c>
      <c r="BF32" s="590"/>
      <c r="BG32" s="775">
        <f t="shared" si="27"/>
        <v>173.33333333333334</v>
      </c>
      <c r="BH32" s="111">
        <f t="shared" si="42"/>
        <v>173.33333333333334</v>
      </c>
      <c r="BI32" s="111">
        <f t="shared" si="42"/>
        <v>186.66666666666666</v>
      </c>
      <c r="BJ32" s="111">
        <f t="shared" si="42"/>
        <v>186.66666666666666</v>
      </c>
      <c r="BK32" s="111">
        <f t="shared" si="42"/>
        <v>186.66666666666666</v>
      </c>
      <c r="BL32" s="111">
        <f t="shared" si="42"/>
        <v>173.33333333333334</v>
      </c>
      <c r="BM32" s="111">
        <f t="shared" si="42"/>
        <v>173.33333333333334</v>
      </c>
      <c r="BN32" s="111">
        <f t="shared" si="42"/>
        <v>173.33333333333334</v>
      </c>
      <c r="BO32" s="111">
        <f t="shared" si="42"/>
        <v>800</v>
      </c>
      <c r="BP32" s="111">
        <f t="shared" si="42"/>
        <v>800</v>
      </c>
      <c r="BQ32" s="111">
        <f t="shared" si="42"/>
        <v>800</v>
      </c>
      <c r="BR32" s="817">
        <f t="shared" si="42"/>
        <v>173.33333333333334</v>
      </c>
      <c r="BS32" s="775">
        <f t="shared" si="28"/>
        <v>25</v>
      </c>
      <c r="BT32" s="111"/>
      <c r="BU32" s="1867">
        <f t="shared" si="29"/>
        <v>0.2162</v>
      </c>
      <c r="BV32" s="1867">
        <f t="shared" si="43"/>
        <v>0.2162</v>
      </c>
      <c r="BW32" s="1867">
        <f t="shared" si="43"/>
        <v>0.23199999999999998</v>
      </c>
      <c r="BX32" s="1867">
        <f t="shared" si="43"/>
        <v>0.23199999999999998</v>
      </c>
      <c r="BY32" s="1867">
        <f t="shared" si="43"/>
        <v>0.23199999999999998</v>
      </c>
      <c r="BZ32" s="1867">
        <f t="shared" si="43"/>
        <v>0.2697</v>
      </c>
      <c r="CA32" s="1867">
        <f t="shared" si="43"/>
        <v>0.2697</v>
      </c>
      <c r="CB32" s="1867">
        <f t="shared" si="43"/>
        <v>0.2697</v>
      </c>
      <c r="CC32" s="1867">
        <f t="shared" si="43"/>
        <v>0.21260000000000001</v>
      </c>
      <c r="CD32" s="1867">
        <f t="shared" si="43"/>
        <v>0.21260000000000001</v>
      </c>
      <c r="CE32" s="1867">
        <f t="shared" si="43"/>
        <v>0.21260000000000001</v>
      </c>
      <c r="CF32" s="1868">
        <f t="shared" si="43"/>
        <v>0.2162</v>
      </c>
      <c r="CG32" s="775">
        <f t="shared" si="31"/>
        <v>25</v>
      </c>
      <c r="CH32" s="111"/>
      <c r="CI32" s="800">
        <f t="shared" si="30"/>
        <v>2.38</v>
      </c>
      <c r="CJ32" s="800">
        <f t="shared" si="44"/>
        <v>2.38</v>
      </c>
      <c r="CK32" s="800">
        <f t="shared" si="44"/>
        <v>2.56</v>
      </c>
      <c r="CL32" s="800">
        <f t="shared" si="44"/>
        <v>2.56</v>
      </c>
      <c r="CM32" s="800">
        <f t="shared" si="44"/>
        <v>2.56</v>
      </c>
      <c r="CN32" s="800">
        <f t="shared" si="44"/>
        <v>2.67</v>
      </c>
      <c r="CO32" s="800">
        <f t="shared" si="44"/>
        <v>2.67</v>
      </c>
      <c r="CP32" s="800">
        <f t="shared" si="44"/>
        <v>2.67</v>
      </c>
      <c r="CQ32" s="800">
        <f t="shared" si="44"/>
        <v>2.48</v>
      </c>
      <c r="CR32" s="800">
        <f t="shared" si="44"/>
        <v>2.48</v>
      </c>
      <c r="CS32" s="800">
        <f t="shared" si="44"/>
        <v>2.48</v>
      </c>
      <c r="CT32" s="1865">
        <f t="shared" si="44"/>
        <v>2.38</v>
      </c>
    </row>
    <row r="33" spans="1:98" x14ac:dyDescent="0.2">
      <c r="A33" s="590"/>
      <c r="B33" s="5015" t="s">
        <v>529</v>
      </c>
      <c r="C33" s="276" t="s">
        <v>346</v>
      </c>
      <c r="D33" s="5016">
        <v>4000</v>
      </c>
      <c r="E33" s="5017">
        <v>14</v>
      </c>
      <c r="F33" s="5018">
        <v>13</v>
      </c>
      <c r="G33" s="5018">
        <v>60</v>
      </c>
      <c r="H33" s="817">
        <f t="shared" si="45"/>
        <v>13</v>
      </c>
      <c r="I33" s="775">
        <f t="shared" si="0"/>
        <v>560</v>
      </c>
      <c r="J33" s="111">
        <f t="shared" si="0"/>
        <v>520</v>
      </c>
      <c r="K33" s="111">
        <f t="shared" si="0"/>
        <v>2400</v>
      </c>
      <c r="L33" s="817">
        <f t="shared" si="0"/>
        <v>520</v>
      </c>
      <c r="M33" s="5018">
        <f>L33/3</f>
        <v>173.33333333333334</v>
      </c>
      <c r="N33" s="5018">
        <f t="shared" si="46"/>
        <v>173.33333333333334</v>
      </c>
      <c r="O33" s="5018">
        <f>I33/3</f>
        <v>186.66666666666666</v>
      </c>
      <c r="P33" s="5018">
        <f>I33/3</f>
        <v>186.66666666666666</v>
      </c>
      <c r="Q33" s="5018">
        <f t="shared" si="49"/>
        <v>186.66666666666666</v>
      </c>
      <c r="R33" s="5018">
        <f t="shared" si="49"/>
        <v>173.33333333333334</v>
      </c>
      <c r="S33" s="5018">
        <f>J33/3</f>
        <v>173.33333333333334</v>
      </c>
      <c r="T33" s="5018">
        <f t="shared" si="51"/>
        <v>173.33333333333334</v>
      </c>
      <c r="U33" s="5018">
        <f t="shared" si="51"/>
        <v>800</v>
      </c>
      <c r="V33" s="5018">
        <f>K33/3</f>
        <v>800</v>
      </c>
      <c r="W33" s="5018">
        <f t="shared" si="53"/>
        <v>800</v>
      </c>
      <c r="X33" s="5018">
        <f t="shared" si="53"/>
        <v>173.33333333333334</v>
      </c>
      <c r="Y33" s="5021">
        <v>19.25</v>
      </c>
      <c r="Z33" s="5022">
        <v>19.78</v>
      </c>
      <c r="AA33" s="757">
        <v>17.03</v>
      </c>
      <c r="AB33" s="758">
        <v>16.239999999999998</v>
      </c>
      <c r="AC33" s="1867">
        <f t="shared" si="9"/>
        <v>0.16239999999999999</v>
      </c>
      <c r="AD33" s="1867">
        <f t="shared" si="10"/>
        <v>0.16239999999999999</v>
      </c>
      <c r="AE33" s="1867">
        <f t="shared" si="11"/>
        <v>0.1925</v>
      </c>
      <c r="AF33" s="1867">
        <f t="shared" si="12"/>
        <v>0.1925</v>
      </c>
      <c r="AG33" s="1867">
        <f t="shared" si="13"/>
        <v>0.1925</v>
      </c>
      <c r="AH33" s="1867">
        <f t="shared" si="13"/>
        <v>0.1978</v>
      </c>
      <c r="AI33" s="1867">
        <f t="shared" si="14"/>
        <v>0.1978</v>
      </c>
      <c r="AJ33" s="1867">
        <f t="shared" si="15"/>
        <v>0.1978</v>
      </c>
      <c r="AK33" s="1867">
        <f t="shared" si="15"/>
        <v>0.17030000000000001</v>
      </c>
      <c r="AL33" s="1867">
        <f t="shared" si="16"/>
        <v>0.17030000000000001</v>
      </c>
      <c r="AM33" s="1867">
        <f t="shared" si="17"/>
        <v>0.17030000000000001</v>
      </c>
      <c r="AN33" s="1868">
        <f t="shared" si="17"/>
        <v>0.16239999999999999</v>
      </c>
      <c r="AO33" s="751">
        <v>2.33</v>
      </c>
      <c r="AP33" s="277">
        <v>2.4700000000000002</v>
      </c>
      <c r="AQ33" s="277">
        <v>2.3199999999999998</v>
      </c>
      <c r="AR33" s="752">
        <v>2.4300000000000002</v>
      </c>
      <c r="AS33" s="800">
        <f t="shared" si="18"/>
        <v>2.4300000000000002</v>
      </c>
      <c r="AT33" s="800">
        <f t="shared" si="19"/>
        <v>2.4300000000000002</v>
      </c>
      <c r="AU33" s="800">
        <f t="shared" si="20"/>
        <v>2.33</v>
      </c>
      <c r="AV33" s="800">
        <f t="shared" si="21"/>
        <v>2.33</v>
      </c>
      <c r="AW33" s="800">
        <f t="shared" si="22"/>
        <v>2.33</v>
      </c>
      <c r="AX33" s="800">
        <f t="shared" si="22"/>
        <v>2.4700000000000002</v>
      </c>
      <c r="AY33" s="800">
        <f t="shared" si="23"/>
        <v>2.4700000000000002</v>
      </c>
      <c r="AZ33" s="800">
        <f t="shared" si="24"/>
        <v>2.4700000000000002</v>
      </c>
      <c r="BA33" s="800">
        <f t="shared" si="24"/>
        <v>2.3199999999999998</v>
      </c>
      <c r="BB33" s="800">
        <f t="shared" si="25"/>
        <v>2.3199999999999998</v>
      </c>
      <c r="BC33" s="800">
        <f t="shared" si="26"/>
        <v>2.3199999999999998</v>
      </c>
      <c r="BD33" s="1865">
        <f t="shared" si="26"/>
        <v>2.4300000000000002</v>
      </c>
      <c r="BE33" s="775">
        <f t="shared" si="4"/>
        <v>26</v>
      </c>
      <c r="BF33" s="590"/>
      <c r="BG33" s="775">
        <f t="shared" si="27"/>
        <v>173.33333333333334</v>
      </c>
      <c r="BH33" s="111">
        <f t="shared" si="42"/>
        <v>173.33333333333334</v>
      </c>
      <c r="BI33" s="111">
        <f t="shared" si="42"/>
        <v>186.66666666666666</v>
      </c>
      <c r="BJ33" s="111">
        <f t="shared" si="42"/>
        <v>186.66666666666666</v>
      </c>
      <c r="BK33" s="111">
        <f t="shared" si="42"/>
        <v>186.66666666666666</v>
      </c>
      <c r="BL33" s="111">
        <f t="shared" si="42"/>
        <v>173.33333333333334</v>
      </c>
      <c r="BM33" s="111">
        <f t="shared" si="42"/>
        <v>173.33333333333334</v>
      </c>
      <c r="BN33" s="111">
        <f t="shared" si="42"/>
        <v>173.33333333333334</v>
      </c>
      <c r="BO33" s="111">
        <f t="shared" si="42"/>
        <v>800</v>
      </c>
      <c r="BP33" s="111">
        <f t="shared" si="42"/>
        <v>800</v>
      </c>
      <c r="BQ33" s="111">
        <f t="shared" si="42"/>
        <v>800</v>
      </c>
      <c r="BR33" s="817">
        <f t="shared" si="42"/>
        <v>173.33333333333334</v>
      </c>
      <c r="BS33" s="775">
        <f t="shared" si="28"/>
        <v>26</v>
      </c>
      <c r="BT33" s="111"/>
      <c r="BU33" s="1867">
        <f t="shared" si="29"/>
        <v>0.16239999999999999</v>
      </c>
      <c r="BV33" s="1867">
        <f t="shared" si="43"/>
        <v>0.16239999999999999</v>
      </c>
      <c r="BW33" s="1867">
        <f t="shared" si="43"/>
        <v>0.1925</v>
      </c>
      <c r="BX33" s="1867">
        <f t="shared" si="43"/>
        <v>0.1925</v>
      </c>
      <c r="BY33" s="1867">
        <f t="shared" si="43"/>
        <v>0.1925</v>
      </c>
      <c r="BZ33" s="1867">
        <f t="shared" si="43"/>
        <v>0.1978</v>
      </c>
      <c r="CA33" s="1867">
        <f t="shared" si="43"/>
        <v>0.1978</v>
      </c>
      <c r="CB33" s="1867">
        <f t="shared" si="43"/>
        <v>0.1978</v>
      </c>
      <c r="CC33" s="1867">
        <f t="shared" si="43"/>
        <v>0.17030000000000001</v>
      </c>
      <c r="CD33" s="1867">
        <f t="shared" si="43"/>
        <v>0.17030000000000001</v>
      </c>
      <c r="CE33" s="1867">
        <f t="shared" si="43"/>
        <v>0.17030000000000001</v>
      </c>
      <c r="CF33" s="1868">
        <f t="shared" si="43"/>
        <v>0.16239999999999999</v>
      </c>
      <c r="CG33" s="775">
        <f t="shared" si="31"/>
        <v>26</v>
      </c>
      <c r="CH33" s="111"/>
      <c r="CI33" s="800">
        <f t="shared" si="30"/>
        <v>2.4300000000000002</v>
      </c>
      <c r="CJ33" s="800">
        <f t="shared" si="44"/>
        <v>2.4300000000000002</v>
      </c>
      <c r="CK33" s="800">
        <f t="shared" si="44"/>
        <v>2.33</v>
      </c>
      <c r="CL33" s="800">
        <f t="shared" si="44"/>
        <v>2.33</v>
      </c>
      <c r="CM33" s="800">
        <f t="shared" si="44"/>
        <v>2.33</v>
      </c>
      <c r="CN33" s="800">
        <f t="shared" si="44"/>
        <v>2.4700000000000002</v>
      </c>
      <c r="CO33" s="800">
        <f t="shared" si="44"/>
        <v>2.4700000000000002</v>
      </c>
      <c r="CP33" s="800">
        <f t="shared" si="44"/>
        <v>2.4700000000000002</v>
      </c>
      <c r="CQ33" s="800">
        <f t="shared" si="44"/>
        <v>2.3199999999999998</v>
      </c>
      <c r="CR33" s="800">
        <f t="shared" si="44"/>
        <v>2.3199999999999998</v>
      </c>
      <c r="CS33" s="800">
        <f t="shared" si="44"/>
        <v>2.3199999999999998</v>
      </c>
      <c r="CT33" s="1865">
        <f t="shared" si="44"/>
        <v>2.4300000000000002</v>
      </c>
    </row>
    <row r="34" spans="1:98" x14ac:dyDescent="0.2">
      <c r="A34" s="590"/>
      <c r="B34" s="5025"/>
      <c r="C34" s="282" t="s">
        <v>346</v>
      </c>
      <c r="D34" s="5016"/>
      <c r="E34" s="5017"/>
      <c r="F34" s="5018"/>
      <c r="G34" s="5018"/>
      <c r="H34" s="806">
        <f>100-SUM(E34:G34)</f>
        <v>100</v>
      </c>
      <c r="I34" s="779">
        <f t="shared" si="0"/>
        <v>0</v>
      </c>
      <c r="J34" s="780">
        <f t="shared" si="0"/>
        <v>0</v>
      </c>
      <c r="K34" s="780">
        <f t="shared" si="0"/>
        <v>0</v>
      </c>
      <c r="L34" s="806">
        <f t="shared" si="0"/>
        <v>0</v>
      </c>
      <c r="M34" s="5026">
        <f>L34/3</f>
        <v>0</v>
      </c>
      <c r="N34" s="5026">
        <f t="shared" si="46"/>
        <v>0</v>
      </c>
      <c r="O34" s="5026">
        <f>I34/3</f>
        <v>0</v>
      </c>
      <c r="P34" s="5026">
        <f>I34/3</f>
        <v>0</v>
      </c>
      <c r="Q34" s="5026">
        <f t="shared" si="49"/>
        <v>0</v>
      </c>
      <c r="R34" s="5026">
        <f t="shared" si="49"/>
        <v>0</v>
      </c>
      <c r="S34" s="5026">
        <f>J34/3</f>
        <v>0</v>
      </c>
      <c r="T34" s="5026">
        <f t="shared" si="51"/>
        <v>0</v>
      </c>
      <c r="U34" s="5026">
        <f t="shared" si="51"/>
        <v>0</v>
      </c>
      <c r="V34" s="5026">
        <f>K34/3</f>
        <v>0</v>
      </c>
      <c r="W34" s="5026">
        <f t="shared" si="53"/>
        <v>0</v>
      </c>
      <c r="X34" s="5026">
        <f t="shared" si="53"/>
        <v>0</v>
      </c>
      <c r="Y34" s="5023"/>
      <c r="Z34" s="5024"/>
      <c r="AA34" s="759"/>
      <c r="AB34" s="760"/>
      <c r="AC34" s="1867">
        <f t="shared" si="9"/>
        <v>0</v>
      </c>
      <c r="AD34" s="1867">
        <f t="shared" si="10"/>
        <v>0</v>
      </c>
      <c r="AE34" s="1867">
        <f t="shared" si="11"/>
        <v>0</v>
      </c>
      <c r="AF34" s="1867">
        <f t="shared" si="12"/>
        <v>0</v>
      </c>
      <c r="AG34" s="1867">
        <f t="shared" si="13"/>
        <v>0</v>
      </c>
      <c r="AH34" s="1867">
        <f t="shared" si="13"/>
        <v>0</v>
      </c>
      <c r="AI34" s="1867">
        <f t="shared" si="14"/>
        <v>0</v>
      </c>
      <c r="AJ34" s="1867">
        <f t="shared" si="15"/>
        <v>0</v>
      </c>
      <c r="AK34" s="1867">
        <f t="shared" si="15"/>
        <v>0</v>
      </c>
      <c r="AL34" s="1867">
        <f t="shared" si="16"/>
        <v>0</v>
      </c>
      <c r="AM34" s="1867">
        <f t="shared" si="17"/>
        <v>0</v>
      </c>
      <c r="AN34" s="1868">
        <f t="shared" si="17"/>
        <v>0</v>
      </c>
      <c r="AO34" s="753"/>
      <c r="AP34" s="279"/>
      <c r="AQ34" s="279"/>
      <c r="AR34" s="754"/>
      <c r="AS34" s="800">
        <f t="shared" si="18"/>
        <v>0</v>
      </c>
      <c r="AT34" s="800">
        <f t="shared" si="19"/>
        <v>0</v>
      </c>
      <c r="AU34" s="800">
        <f t="shared" si="20"/>
        <v>0</v>
      </c>
      <c r="AV34" s="800">
        <f t="shared" si="21"/>
        <v>0</v>
      </c>
      <c r="AW34" s="800">
        <f t="shared" si="22"/>
        <v>0</v>
      </c>
      <c r="AX34" s="800">
        <f t="shared" si="22"/>
        <v>0</v>
      </c>
      <c r="AY34" s="800">
        <f t="shared" si="23"/>
        <v>0</v>
      </c>
      <c r="AZ34" s="800">
        <f t="shared" si="24"/>
        <v>0</v>
      </c>
      <c r="BA34" s="800">
        <f t="shared" si="24"/>
        <v>0</v>
      </c>
      <c r="BB34" s="800">
        <f t="shared" si="25"/>
        <v>0</v>
      </c>
      <c r="BC34" s="800">
        <f t="shared" si="26"/>
        <v>0</v>
      </c>
      <c r="BD34" s="1865">
        <f t="shared" si="26"/>
        <v>0</v>
      </c>
      <c r="BE34" s="775">
        <f t="shared" si="4"/>
        <v>27</v>
      </c>
      <c r="BF34" s="590"/>
      <c r="BG34" s="775">
        <f t="shared" si="27"/>
        <v>0</v>
      </c>
      <c r="BH34" s="111">
        <f t="shared" si="42"/>
        <v>0</v>
      </c>
      <c r="BI34" s="111">
        <f t="shared" si="42"/>
        <v>0</v>
      </c>
      <c r="BJ34" s="111">
        <f t="shared" si="42"/>
        <v>0</v>
      </c>
      <c r="BK34" s="111">
        <f t="shared" si="42"/>
        <v>0</v>
      </c>
      <c r="BL34" s="111">
        <f t="shared" si="42"/>
        <v>0</v>
      </c>
      <c r="BM34" s="111">
        <f t="shared" si="42"/>
        <v>0</v>
      </c>
      <c r="BN34" s="111">
        <f t="shared" si="42"/>
        <v>0</v>
      </c>
      <c r="BO34" s="111">
        <f t="shared" si="42"/>
        <v>0</v>
      </c>
      <c r="BP34" s="111">
        <f t="shared" si="42"/>
        <v>0</v>
      </c>
      <c r="BQ34" s="111">
        <f t="shared" si="42"/>
        <v>0</v>
      </c>
      <c r="BR34" s="817">
        <f t="shared" si="42"/>
        <v>0</v>
      </c>
      <c r="BS34" s="775">
        <f t="shared" si="28"/>
        <v>27</v>
      </c>
      <c r="BT34" s="111"/>
      <c r="BU34" s="1867">
        <f t="shared" si="29"/>
        <v>0</v>
      </c>
      <c r="BV34" s="1867">
        <f t="shared" si="43"/>
        <v>0</v>
      </c>
      <c r="BW34" s="1867">
        <f t="shared" si="43"/>
        <v>0</v>
      </c>
      <c r="BX34" s="1867">
        <f t="shared" si="43"/>
        <v>0</v>
      </c>
      <c r="BY34" s="1867">
        <f t="shared" si="43"/>
        <v>0</v>
      </c>
      <c r="BZ34" s="1867">
        <f t="shared" si="43"/>
        <v>0</v>
      </c>
      <c r="CA34" s="1867">
        <f t="shared" si="43"/>
        <v>0</v>
      </c>
      <c r="CB34" s="1867">
        <f t="shared" si="43"/>
        <v>0</v>
      </c>
      <c r="CC34" s="1867">
        <f t="shared" si="43"/>
        <v>0</v>
      </c>
      <c r="CD34" s="1867">
        <f t="shared" si="43"/>
        <v>0</v>
      </c>
      <c r="CE34" s="1867">
        <f t="shared" si="43"/>
        <v>0</v>
      </c>
      <c r="CF34" s="1868">
        <f t="shared" si="43"/>
        <v>0</v>
      </c>
      <c r="CG34" s="775">
        <f t="shared" si="31"/>
        <v>27</v>
      </c>
      <c r="CH34" s="111"/>
      <c r="CI34" s="800">
        <f t="shared" si="30"/>
        <v>0</v>
      </c>
      <c r="CJ34" s="800">
        <f t="shared" si="44"/>
        <v>0</v>
      </c>
      <c r="CK34" s="800">
        <f t="shared" si="44"/>
        <v>0</v>
      </c>
      <c r="CL34" s="800">
        <f t="shared" si="44"/>
        <v>0</v>
      </c>
      <c r="CM34" s="800">
        <f t="shared" si="44"/>
        <v>0</v>
      </c>
      <c r="CN34" s="800">
        <f t="shared" si="44"/>
        <v>0</v>
      </c>
      <c r="CO34" s="800">
        <f t="shared" si="44"/>
        <v>0</v>
      </c>
      <c r="CP34" s="800">
        <f t="shared" si="44"/>
        <v>0</v>
      </c>
      <c r="CQ34" s="800">
        <f t="shared" si="44"/>
        <v>0</v>
      </c>
      <c r="CR34" s="800">
        <f t="shared" si="44"/>
        <v>0</v>
      </c>
      <c r="CS34" s="800">
        <f t="shared" si="44"/>
        <v>0</v>
      </c>
      <c r="CT34" s="1865">
        <f t="shared" si="44"/>
        <v>0</v>
      </c>
    </row>
    <row r="35" spans="1:98" x14ac:dyDescent="0.2">
      <c r="A35" s="739"/>
      <c r="B35" s="278" t="s">
        <v>325</v>
      </c>
      <c r="C35" s="34"/>
      <c r="D35" s="34"/>
      <c r="E35" s="34"/>
      <c r="F35" s="34"/>
      <c r="G35" s="34"/>
      <c r="H35" s="781"/>
      <c r="I35" s="781"/>
      <c r="J35" s="781"/>
      <c r="K35" s="781"/>
      <c r="L35" s="781"/>
      <c r="M35" s="34"/>
      <c r="N35" s="34"/>
      <c r="O35" s="34"/>
      <c r="P35" s="34"/>
      <c r="Q35" s="34"/>
      <c r="R35" s="34"/>
      <c r="S35" s="34"/>
      <c r="T35" s="34"/>
      <c r="U35" s="34"/>
      <c r="V35" s="34"/>
      <c r="W35" s="34"/>
      <c r="X35" s="34"/>
      <c r="Y35" s="761"/>
      <c r="Z35" s="761"/>
      <c r="AA35" s="762"/>
      <c r="AB35" s="762"/>
      <c r="AC35" s="1864"/>
      <c r="AD35" s="781"/>
      <c r="AE35" s="781"/>
      <c r="AF35" s="781"/>
      <c r="AG35" s="781"/>
      <c r="AH35" s="781"/>
      <c r="AI35" s="781"/>
      <c r="AJ35" s="781"/>
      <c r="AK35" s="781"/>
      <c r="AL35" s="781"/>
      <c r="AM35" s="781"/>
      <c r="AN35" s="1869"/>
      <c r="AO35" s="34"/>
      <c r="AP35" s="34"/>
      <c r="AQ35" s="34"/>
      <c r="AR35" s="34"/>
      <c r="AS35" s="1864"/>
      <c r="AT35" s="781"/>
      <c r="AU35" s="781"/>
      <c r="AV35" s="781"/>
      <c r="AW35" s="781"/>
      <c r="AX35" s="781"/>
      <c r="AY35" s="781"/>
      <c r="AZ35" s="781"/>
      <c r="BA35" s="781"/>
      <c r="BB35" s="781"/>
      <c r="BC35" s="781"/>
      <c r="BD35" s="1869"/>
      <c r="BE35" s="1864">
        <f t="shared" si="4"/>
        <v>28</v>
      </c>
      <c r="BF35" s="1821"/>
      <c r="BG35" s="781"/>
      <c r="BH35" s="781"/>
      <c r="BI35" s="781"/>
      <c r="BJ35" s="781"/>
      <c r="BK35" s="781"/>
      <c r="BL35" s="781"/>
      <c r="BM35" s="781"/>
      <c r="BN35" s="781"/>
      <c r="BO35" s="781"/>
      <c r="BP35" s="781"/>
      <c r="BQ35" s="781"/>
      <c r="BR35" s="1869"/>
      <c r="BS35" s="1864">
        <f t="shared" si="28"/>
        <v>28</v>
      </c>
      <c r="BT35" s="781"/>
      <c r="BU35" s="781"/>
      <c r="BV35" s="781"/>
      <c r="BW35" s="781"/>
      <c r="BX35" s="781"/>
      <c r="BY35" s="781"/>
      <c r="BZ35" s="781"/>
      <c r="CA35" s="781"/>
      <c r="CB35" s="781"/>
      <c r="CC35" s="781"/>
      <c r="CD35" s="781"/>
      <c r="CE35" s="781"/>
      <c r="CF35" s="1869"/>
      <c r="CG35" s="1864">
        <f t="shared" si="31"/>
        <v>28</v>
      </c>
      <c r="CH35" s="781"/>
      <c r="CI35" s="781"/>
      <c r="CJ35" s="781"/>
      <c r="CK35" s="781"/>
      <c r="CL35" s="781"/>
      <c r="CM35" s="781"/>
      <c r="CN35" s="781"/>
      <c r="CO35" s="781"/>
      <c r="CP35" s="781"/>
      <c r="CQ35" s="781"/>
      <c r="CR35" s="781"/>
      <c r="CS35" s="781"/>
      <c r="CT35" s="1869"/>
    </row>
    <row r="36" spans="1:98" x14ac:dyDescent="0.2">
      <c r="A36" s="590"/>
      <c r="B36" s="5027" t="s">
        <v>1564</v>
      </c>
      <c r="C36" s="283" t="s">
        <v>346</v>
      </c>
      <c r="D36" s="5028">
        <v>3042</v>
      </c>
      <c r="E36" s="5029">
        <v>30</v>
      </c>
      <c r="F36" s="5030">
        <v>40</v>
      </c>
      <c r="G36" s="5030">
        <v>30</v>
      </c>
      <c r="H36" s="816">
        <f t="shared" ref="H36:H44" si="54">100-SUM(E36:G36)</f>
        <v>0</v>
      </c>
      <c r="I36" s="815">
        <f>+$D36*E36/100</f>
        <v>912.6</v>
      </c>
      <c r="J36" s="782">
        <f t="shared" si="0"/>
        <v>1216.8</v>
      </c>
      <c r="K36" s="782">
        <f t="shared" si="0"/>
        <v>912.6</v>
      </c>
      <c r="L36" s="816">
        <f t="shared" si="0"/>
        <v>0</v>
      </c>
      <c r="M36" s="5030">
        <f t="shared" si="32"/>
        <v>0</v>
      </c>
      <c r="N36" s="5030">
        <f t="shared" ref="N36:N44" si="55">L36/3</f>
        <v>0</v>
      </c>
      <c r="O36" s="5030">
        <f t="shared" si="47"/>
        <v>304.2</v>
      </c>
      <c r="P36" s="5030">
        <f t="shared" si="48"/>
        <v>304.2</v>
      </c>
      <c r="Q36" s="5030">
        <f t="shared" si="49"/>
        <v>304.2</v>
      </c>
      <c r="R36" s="5030">
        <f t="shared" si="49"/>
        <v>405.59999999999997</v>
      </c>
      <c r="S36" s="5030">
        <f t="shared" si="50"/>
        <v>405.59999999999997</v>
      </c>
      <c r="T36" s="5030">
        <f t="shared" si="51"/>
        <v>405.59999999999997</v>
      </c>
      <c r="U36" s="5030">
        <f t="shared" si="51"/>
        <v>304.2</v>
      </c>
      <c r="V36" s="5030">
        <f t="shared" si="52"/>
        <v>304.2</v>
      </c>
      <c r="W36" s="5030">
        <f t="shared" si="53"/>
        <v>304.2</v>
      </c>
      <c r="X36" s="5030">
        <f t="shared" si="53"/>
        <v>0</v>
      </c>
      <c r="Y36" s="5019">
        <v>16.32</v>
      </c>
      <c r="Z36" s="5020">
        <v>17.850000000000001</v>
      </c>
      <c r="AA36" s="755">
        <v>13.07</v>
      </c>
      <c r="AB36" s="756"/>
      <c r="AC36" s="1878">
        <f t="shared" si="9"/>
        <v>0</v>
      </c>
      <c r="AD36" s="1878">
        <f t="shared" si="10"/>
        <v>0</v>
      </c>
      <c r="AE36" s="1878">
        <f t="shared" si="11"/>
        <v>0.16320000000000001</v>
      </c>
      <c r="AF36" s="1878">
        <f t="shared" si="12"/>
        <v>0.16320000000000001</v>
      </c>
      <c r="AG36" s="1878">
        <f t="shared" si="13"/>
        <v>0.16320000000000001</v>
      </c>
      <c r="AH36" s="1878">
        <f t="shared" si="13"/>
        <v>0.17850000000000002</v>
      </c>
      <c r="AI36" s="1878">
        <f t="shared" si="14"/>
        <v>0.17850000000000002</v>
      </c>
      <c r="AJ36" s="1878">
        <f t="shared" si="15"/>
        <v>0.17850000000000002</v>
      </c>
      <c r="AK36" s="1878">
        <f t="shared" si="15"/>
        <v>0.13070000000000001</v>
      </c>
      <c r="AL36" s="1878">
        <f t="shared" si="16"/>
        <v>0.13070000000000001</v>
      </c>
      <c r="AM36" s="1878">
        <f t="shared" si="17"/>
        <v>0.13070000000000001</v>
      </c>
      <c r="AN36" s="1879">
        <f t="shared" si="17"/>
        <v>0</v>
      </c>
      <c r="AO36" s="749">
        <v>2.5099999999999998</v>
      </c>
      <c r="AP36" s="284">
        <v>2.58</v>
      </c>
      <c r="AQ36" s="284">
        <v>2.37</v>
      </c>
      <c r="AR36" s="750"/>
      <c r="AS36" s="800">
        <f t="shared" si="18"/>
        <v>0</v>
      </c>
      <c r="AT36" s="800">
        <f t="shared" si="19"/>
        <v>0</v>
      </c>
      <c r="AU36" s="800">
        <f t="shared" si="20"/>
        <v>2.5099999999999998</v>
      </c>
      <c r="AV36" s="800">
        <f t="shared" si="21"/>
        <v>2.5099999999999998</v>
      </c>
      <c r="AW36" s="800">
        <f t="shared" si="22"/>
        <v>2.5099999999999998</v>
      </c>
      <c r="AX36" s="800">
        <f t="shared" si="22"/>
        <v>2.58</v>
      </c>
      <c r="AY36" s="800">
        <f t="shared" si="23"/>
        <v>2.58</v>
      </c>
      <c r="AZ36" s="800">
        <f t="shared" si="24"/>
        <v>2.58</v>
      </c>
      <c r="BA36" s="800">
        <f t="shared" si="24"/>
        <v>2.37</v>
      </c>
      <c r="BB36" s="800">
        <f t="shared" si="25"/>
        <v>2.37</v>
      </c>
      <c r="BC36" s="800">
        <f t="shared" si="26"/>
        <v>2.37</v>
      </c>
      <c r="BD36" s="1865">
        <f t="shared" si="26"/>
        <v>0</v>
      </c>
      <c r="BE36" s="775">
        <f t="shared" si="4"/>
        <v>29</v>
      </c>
      <c r="BF36" s="590"/>
      <c r="BG36" s="775">
        <f t="shared" si="27"/>
        <v>0</v>
      </c>
      <c r="BH36" s="111">
        <f t="shared" si="42"/>
        <v>0</v>
      </c>
      <c r="BI36" s="111">
        <f t="shared" si="42"/>
        <v>304.2</v>
      </c>
      <c r="BJ36" s="111">
        <f t="shared" si="42"/>
        <v>304.2</v>
      </c>
      <c r="BK36" s="111">
        <f t="shared" si="42"/>
        <v>304.2</v>
      </c>
      <c r="BL36" s="111">
        <f t="shared" si="42"/>
        <v>405.59999999999997</v>
      </c>
      <c r="BM36" s="111">
        <f t="shared" si="42"/>
        <v>405.59999999999997</v>
      </c>
      <c r="BN36" s="111">
        <f t="shared" si="42"/>
        <v>405.59999999999997</v>
      </c>
      <c r="BO36" s="111">
        <f t="shared" si="42"/>
        <v>304.2</v>
      </c>
      <c r="BP36" s="111">
        <f t="shared" si="42"/>
        <v>304.2</v>
      </c>
      <c r="BQ36" s="111">
        <f t="shared" si="42"/>
        <v>304.2</v>
      </c>
      <c r="BR36" s="817">
        <f t="shared" si="42"/>
        <v>0</v>
      </c>
      <c r="BS36" s="775">
        <f t="shared" si="28"/>
        <v>29</v>
      </c>
      <c r="BT36" s="111"/>
      <c r="BU36" s="1867">
        <f t="shared" si="29"/>
        <v>0</v>
      </c>
      <c r="BV36" s="1867">
        <f t="shared" si="43"/>
        <v>0</v>
      </c>
      <c r="BW36" s="1867">
        <f t="shared" si="43"/>
        <v>0.16320000000000001</v>
      </c>
      <c r="BX36" s="1867">
        <f t="shared" si="43"/>
        <v>0.16320000000000001</v>
      </c>
      <c r="BY36" s="1867">
        <f t="shared" si="43"/>
        <v>0.16320000000000001</v>
      </c>
      <c r="BZ36" s="1867">
        <f t="shared" si="43"/>
        <v>0.17850000000000002</v>
      </c>
      <c r="CA36" s="1867">
        <f t="shared" si="43"/>
        <v>0.17850000000000002</v>
      </c>
      <c r="CB36" s="1867">
        <f t="shared" si="43"/>
        <v>0.17850000000000002</v>
      </c>
      <c r="CC36" s="1867">
        <f t="shared" si="43"/>
        <v>0.13070000000000001</v>
      </c>
      <c r="CD36" s="1867">
        <f t="shared" si="43"/>
        <v>0.13070000000000001</v>
      </c>
      <c r="CE36" s="1867">
        <f t="shared" si="43"/>
        <v>0.13070000000000001</v>
      </c>
      <c r="CF36" s="1868">
        <f t="shared" si="43"/>
        <v>0</v>
      </c>
      <c r="CG36" s="775">
        <f t="shared" si="31"/>
        <v>29</v>
      </c>
      <c r="CH36" s="111"/>
      <c r="CI36" s="800">
        <f t="shared" si="30"/>
        <v>0</v>
      </c>
      <c r="CJ36" s="800">
        <f t="shared" si="44"/>
        <v>0</v>
      </c>
      <c r="CK36" s="800">
        <f t="shared" si="44"/>
        <v>2.5099999999999998</v>
      </c>
      <c r="CL36" s="800">
        <f t="shared" si="44"/>
        <v>2.5099999999999998</v>
      </c>
      <c r="CM36" s="800">
        <f t="shared" si="44"/>
        <v>2.5099999999999998</v>
      </c>
      <c r="CN36" s="800">
        <f t="shared" si="44"/>
        <v>2.58</v>
      </c>
      <c r="CO36" s="800">
        <f t="shared" si="44"/>
        <v>2.58</v>
      </c>
      <c r="CP36" s="800">
        <f t="shared" si="44"/>
        <v>2.58</v>
      </c>
      <c r="CQ36" s="800">
        <f t="shared" si="44"/>
        <v>2.37</v>
      </c>
      <c r="CR36" s="800">
        <f t="shared" si="44"/>
        <v>2.37</v>
      </c>
      <c r="CS36" s="800">
        <f t="shared" si="44"/>
        <v>2.37</v>
      </c>
      <c r="CT36" s="1865">
        <f t="shared" si="44"/>
        <v>0</v>
      </c>
    </row>
    <row r="37" spans="1:98" x14ac:dyDescent="0.2">
      <c r="A37" s="590"/>
      <c r="B37" s="5015" t="s">
        <v>1575</v>
      </c>
      <c r="C37" s="276" t="s">
        <v>346</v>
      </c>
      <c r="D37" s="5016">
        <v>4606</v>
      </c>
      <c r="E37" s="5017">
        <v>20</v>
      </c>
      <c r="F37" s="5018">
        <v>40</v>
      </c>
      <c r="G37" s="5018">
        <v>40</v>
      </c>
      <c r="H37" s="817">
        <f t="shared" si="54"/>
        <v>0</v>
      </c>
      <c r="I37" s="775">
        <f t="shared" si="0"/>
        <v>921.2</v>
      </c>
      <c r="J37" s="111">
        <f t="shared" si="0"/>
        <v>1842.4</v>
      </c>
      <c r="K37" s="111">
        <f t="shared" si="0"/>
        <v>1842.4</v>
      </c>
      <c r="L37" s="817">
        <f t="shared" si="0"/>
        <v>0</v>
      </c>
      <c r="M37" s="5018">
        <f t="shared" si="32"/>
        <v>0</v>
      </c>
      <c r="N37" s="5018">
        <f t="shared" si="55"/>
        <v>0</v>
      </c>
      <c r="O37" s="5018">
        <f>I37/3</f>
        <v>307.06666666666666</v>
      </c>
      <c r="P37" s="5018">
        <f t="shared" si="48"/>
        <v>307.06666666666666</v>
      </c>
      <c r="Q37" s="5018">
        <f t="shared" si="49"/>
        <v>307.06666666666666</v>
      </c>
      <c r="R37" s="5018">
        <f t="shared" si="49"/>
        <v>614.13333333333333</v>
      </c>
      <c r="S37" s="5018">
        <f t="shared" si="50"/>
        <v>614.13333333333333</v>
      </c>
      <c r="T37" s="5018">
        <f t="shared" si="51"/>
        <v>614.13333333333333</v>
      </c>
      <c r="U37" s="5018">
        <f t="shared" si="51"/>
        <v>614.13333333333333</v>
      </c>
      <c r="V37" s="5018">
        <f t="shared" si="52"/>
        <v>614.13333333333333</v>
      </c>
      <c r="W37" s="5018">
        <f t="shared" si="53"/>
        <v>614.13333333333333</v>
      </c>
      <c r="X37" s="5018">
        <f t="shared" si="53"/>
        <v>0</v>
      </c>
      <c r="Y37" s="5021">
        <v>18.12</v>
      </c>
      <c r="Z37" s="5022">
        <v>20</v>
      </c>
      <c r="AA37" s="757">
        <v>16.78</v>
      </c>
      <c r="AB37" s="758">
        <v>13.01</v>
      </c>
      <c r="AC37" s="1867">
        <f t="shared" si="9"/>
        <v>0.13009999999999999</v>
      </c>
      <c r="AD37" s="1867">
        <f t="shared" si="10"/>
        <v>0.13009999999999999</v>
      </c>
      <c r="AE37" s="1867">
        <f t="shared" si="11"/>
        <v>0.1812</v>
      </c>
      <c r="AF37" s="1867">
        <f t="shared" si="12"/>
        <v>0.1812</v>
      </c>
      <c r="AG37" s="1867">
        <f t="shared" si="13"/>
        <v>0.1812</v>
      </c>
      <c r="AH37" s="1867">
        <f t="shared" si="13"/>
        <v>0.2</v>
      </c>
      <c r="AI37" s="1867">
        <f t="shared" si="14"/>
        <v>0.2</v>
      </c>
      <c r="AJ37" s="1867">
        <f t="shared" si="15"/>
        <v>0.2</v>
      </c>
      <c r="AK37" s="1867">
        <f t="shared" si="15"/>
        <v>0.1678</v>
      </c>
      <c r="AL37" s="1867">
        <f t="shared" si="16"/>
        <v>0.1678</v>
      </c>
      <c r="AM37" s="1867">
        <f t="shared" si="17"/>
        <v>0.1678</v>
      </c>
      <c r="AN37" s="1868">
        <f t="shared" si="17"/>
        <v>0.13009999999999999</v>
      </c>
      <c r="AO37" s="751">
        <v>2.63</v>
      </c>
      <c r="AP37" s="277">
        <v>2.78</v>
      </c>
      <c r="AQ37" s="277">
        <v>2.91</v>
      </c>
      <c r="AR37" s="752">
        <v>2.36</v>
      </c>
      <c r="AS37" s="800">
        <f t="shared" si="18"/>
        <v>2.36</v>
      </c>
      <c r="AT37" s="800">
        <f t="shared" si="19"/>
        <v>2.36</v>
      </c>
      <c r="AU37" s="800">
        <f t="shared" si="20"/>
        <v>2.63</v>
      </c>
      <c r="AV37" s="800">
        <f t="shared" si="21"/>
        <v>2.63</v>
      </c>
      <c r="AW37" s="800">
        <f t="shared" si="22"/>
        <v>2.63</v>
      </c>
      <c r="AX37" s="800">
        <f t="shared" si="22"/>
        <v>2.78</v>
      </c>
      <c r="AY37" s="800">
        <f t="shared" si="23"/>
        <v>2.78</v>
      </c>
      <c r="AZ37" s="800">
        <f t="shared" si="24"/>
        <v>2.78</v>
      </c>
      <c r="BA37" s="800">
        <f t="shared" si="24"/>
        <v>2.91</v>
      </c>
      <c r="BB37" s="800">
        <f t="shared" si="25"/>
        <v>2.91</v>
      </c>
      <c r="BC37" s="800">
        <f t="shared" si="26"/>
        <v>2.91</v>
      </c>
      <c r="BD37" s="1865">
        <f t="shared" si="26"/>
        <v>2.36</v>
      </c>
      <c r="BE37" s="775">
        <f t="shared" si="4"/>
        <v>30</v>
      </c>
      <c r="BF37" s="590"/>
      <c r="BG37" s="775">
        <f t="shared" si="27"/>
        <v>0</v>
      </c>
      <c r="BH37" s="111">
        <f t="shared" si="42"/>
        <v>0</v>
      </c>
      <c r="BI37" s="111">
        <f t="shared" si="42"/>
        <v>307.06666666666666</v>
      </c>
      <c r="BJ37" s="111">
        <f t="shared" si="42"/>
        <v>307.06666666666666</v>
      </c>
      <c r="BK37" s="111">
        <f t="shared" si="42"/>
        <v>307.06666666666666</v>
      </c>
      <c r="BL37" s="111">
        <f t="shared" si="42"/>
        <v>614.13333333333333</v>
      </c>
      <c r="BM37" s="111">
        <f t="shared" si="42"/>
        <v>614.13333333333333</v>
      </c>
      <c r="BN37" s="111">
        <f t="shared" si="42"/>
        <v>614.13333333333333</v>
      </c>
      <c r="BO37" s="111">
        <f t="shared" si="42"/>
        <v>614.13333333333333</v>
      </c>
      <c r="BP37" s="111">
        <f t="shared" si="42"/>
        <v>614.13333333333333</v>
      </c>
      <c r="BQ37" s="111">
        <f t="shared" si="42"/>
        <v>614.13333333333333</v>
      </c>
      <c r="BR37" s="817">
        <f t="shared" si="42"/>
        <v>0</v>
      </c>
      <c r="BS37" s="775">
        <f t="shared" si="28"/>
        <v>30</v>
      </c>
      <c r="BT37" s="111"/>
      <c r="BU37" s="1867">
        <f t="shared" si="29"/>
        <v>0.13009999999999999</v>
      </c>
      <c r="BV37" s="1867">
        <f t="shared" si="43"/>
        <v>0.13009999999999999</v>
      </c>
      <c r="BW37" s="1867">
        <f t="shared" si="43"/>
        <v>0.1812</v>
      </c>
      <c r="BX37" s="1867">
        <f t="shared" si="43"/>
        <v>0.1812</v>
      </c>
      <c r="BY37" s="1867">
        <f t="shared" si="43"/>
        <v>0.1812</v>
      </c>
      <c r="BZ37" s="1867">
        <f t="shared" si="43"/>
        <v>0.2</v>
      </c>
      <c r="CA37" s="1867">
        <f t="shared" si="43"/>
        <v>0.2</v>
      </c>
      <c r="CB37" s="1867">
        <f t="shared" si="43"/>
        <v>0.2</v>
      </c>
      <c r="CC37" s="1867">
        <f t="shared" si="43"/>
        <v>0.1678</v>
      </c>
      <c r="CD37" s="1867">
        <f t="shared" si="43"/>
        <v>0.1678</v>
      </c>
      <c r="CE37" s="1867">
        <f t="shared" si="43"/>
        <v>0.1678</v>
      </c>
      <c r="CF37" s="1868">
        <f t="shared" si="43"/>
        <v>0.13009999999999999</v>
      </c>
      <c r="CG37" s="775">
        <f t="shared" si="31"/>
        <v>30</v>
      </c>
      <c r="CH37" s="111"/>
      <c r="CI37" s="800">
        <f t="shared" si="30"/>
        <v>2.36</v>
      </c>
      <c r="CJ37" s="800">
        <f t="shared" si="44"/>
        <v>2.36</v>
      </c>
      <c r="CK37" s="800">
        <f t="shared" si="44"/>
        <v>2.63</v>
      </c>
      <c r="CL37" s="800">
        <f t="shared" si="44"/>
        <v>2.63</v>
      </c>
      <c r="CM37" s="800">
        <f t="shared" si="44"/>
        <v>2.63</v>
      </c>
      <c r="CN37" s="800">
        <f t="shared" si="44"/>
        <v>2.78</v>
      </c>
      <c r="CO37" s="800">
        <f t="shared" si="44"/>
        <v>2.78</v>
      </c>
      <c r="CP37" s="800">
        <f t="shared" si="44"/>
        <v>2.78</v>
      </c>
      <c r="CQ37" s="800">
        <f t="shared" si="44"/>
        <v>2.91</v>
      </c>
      <c r="CR37" s="800">
        <f t="shared" si="44"/>
        <v>2.91</v>
      </c>
      <c r="CS37" s="800">
        <f t="shared" si="44"/>
        <v>2.91</v>
      </c>
      <c r="CT37" s="1865">
        <f t="shared" si="44"/>
        <v>2.36</v>
      </c>
    </row>
    <row r="38" spans="1:98" x14ac:dyDescent="0.2">
      <c r="A38" s="590"/>
      <c r="B38" s="5015" t="s">
        <v>61</v>
      </c>
      <c r="C38" s="276" t="s">
        <v>346</v>
      </c>
      <c r="D38" s="5016">
        <v>5600</v>
      </c>
      <c r="E38" s="5017">
        <v>20</v>
      </c>
      <c r="F38" s="5018">
        <v>40</v>
      </c>
      <c r="G38" s="5018">
        <v>40</v>
      </c>
      <c r="H38" s="817">
        <f t="shared" si="54"/>
        <v>0</v>
      </c>
      <c r="I38" s="775">
        <f t="shared" si="0"/>
        <v>1120</v>
      </c>
      <c r="J38" s="111">
        <f t="shared" si="0"/>
        <v>2240</v>
      </c>
      <c r="K38" s="111">
        <f t="shared" si="0"/>
        <v>2240</v>
      </c>
      <c r="L38" s="817">
        <f t="shared" si="0"/>
        <v>0</v>
      </c>
      <c r="M38" s="5018">
        <f t="shared" si="32"/>
        <v>0</v>
      </c>
      <c r="N38" s="5018">
        <f t="shared" si="55"/>
        <v>0</v>
      </c>
      <c r="O38" s="5018">
        <f t="shared" si="47"/>
        <v>373.33333333333331</v>
      </c>
      <c r="P38" s="5018">
        <f t="shared" si="48"/>
        <v>373.33333333333331</v>
      </c>
      <c r="Q38" s="5018">
        <f t="shared" si="49"/>
        <v>373.33333333333331</v>
      </c>
      <c r="R38" s="5018">
        <f t="shared" si="49"/>
        <v>746.66666666666663</v>
      </c>
      <c r="S38" s="5018">
        <f t="shared" si="50"/>
        <v>746.66666666666663</v>
      </c>
      <c r="T38" s="5018">
        <f t="shared" si="51"/>
        <v>746.66666666666663</v>
      </c>
      <c r="U38" s="5018">
        <f t="shared" si="51"/>
        <v>746.66666666666663</v>
      </c>
      <c r="V38" s="5018">
        <f t="shared" si="52"/>
        <v>746.66666666666663</v>
      </c>
      <c r="W38" s="5018">
        <f t="shared" si="53"/>
        <v>746.66666666666663</v>
      </c>
      <c r="X38" s="5018">
        <f t="shared" si="53"/>
        <v>0</v>
      </c>
      <c r="Y38" s="5021">
        <v>19</v>
      </c>
      <c r="Z38" s="5022">
        <v>21</v>
      </c>
      <c r="AA38" s="757">
        <v>20</v>
      </c>
      <c r="AB38" s="758">
        <f>AB37</f>
        <v>13.01</v>
      </c>
      <c r="AC38" s="1867">
        <f t="shared" si="9"/>
        <v>0.13009999999999999</v>
      </c>
      <c r="AD38" s="1867">
        <f t="shared" si="10"/>
        <v>0.13009999999999999</v>
      </c>
      <c r="AE38" s="1867">
        <f t="shared" si="11"/>
        <v>0.19</v>
      </c>
      <c r="AF38" s="1867">
        <f t="shared" si="12"/>
        <v>0.19</v>
      </c>
      <c r="AG38" s="1867">
        <f t="shared" si="13"/>
        <v>0.19</v>
      </c>
      <c r="AH38" s="1867">
        <f t="shared" si="13"/>
        <v>0.21</v>
      </c>
      <c r="AI38" s="1867">
        <f t="shared" si="14"/>
        <v>0.21</v>
      </c>
      <c r="AJ38" s="1867">
        <f t="shared" si="15"/>
        <v>0.21</v>
      </c>
      <c r="AK38" s="1867">
        <f t="shared" si="15"/>
        <v>0.2</v>
      </c>
      <c r="AL38" s="1867">
        <f t="shared" si="16"/>
        <v>0.2</v>
      </c>
      <c r="AM38" s="1867">
        <f t="shared" si="17"/>
        <v>0.2</v>
      </c>
      <c r="AN38" s="1868">
        <f t="shared" si="17"/>
        <v>0.13009999999999999</v>
      </c>
      <c r="AO38" s="751">
        <f>AVERAGE(AO36:AO37)</f>
        <v>2.57</v>
      </c>
      <c r="AP38" s="277">
        <f>AVERAGE(AP36:AP37)</f>
        <v>2.6799999999999997</v>
      </c>
      <c r="AQ38" s="277">
        <f>AVERAGE(AQ36:AQ37)</f>
        <v>2.64</v>
      </c>
      <c r="AR38" s="752">
        <f>AVERAGE(AR36:AR37)</f>
        <v>2.36</v>
      </c>
      <c r="AS38" s="800">
        <f t="shared" si="18"/>
        <v>2.36</v>
      </c>
      <c r="AT38" s="800">
        <f t="shared" si="19"/>
        <v>2.36</v>
      </c>
      <c r="AU38" s="800">
        <f t="shared" si="20"/>
        <v>2.57</v>
      </c>
      <c r="AV38" s="800">
        <f t="shared" si="21"/>
        <v>2.57</v>
      </c>
      <c r="AW38" s="800">
        <f t="shared" si="22"/>
        <v>2.57</v>
      </c>
      <c r="AX38" s="800">
        <f t="shared" si="22"/>
        <v>2.6799999999999997</v>
      </c>
      <c r="AY38" s="800">
        <f t="shared" si="23"/>
        <v>2.6799999999999997</v>
      </c>
      <c r="AZ38" s="800">
        <f t="shared" si="24"/>
        <v>2.6799999999999997</v>
      </c>
      <c r="BA38" s="800">
        <f t="shared" si="24"/>
        <v>2.64</v>
      </c>
      <c r="BB38" s="800">
        <f t="shared" si="25"/>
        <v>2.64</v>
      </c>
      <c r="BC38" s="800">
        <f t="shared" si="26"/>
        <v>2.64</v>
      </c>
      <c r="BD38" s="1865">
        <f t="shared" si="26"/>
        <v>2.36</v>
      </c>
      <c r="BE38" s="775">
        <f t="shared" si="4"/>
        <v>31</v>
      </c>
      <c r="BF38" s="590"/>
      <c r="BG38" s="775">
        <f t="shared" si="27"/>
        <v>0</v>
      </c>
      <c r="BH38" s="111">
        <f t="shared" si="42"/>
        <v>0</v>
      </c>
      <c r="BI38" s="111">
        <f t="shared" si="42"/>
        <v>373.33333333333331</v>
      </c>
      <c r="BJ38" s="111">
        <f t="shared" si="42"/>
        <v>373.33333333333331</v>
      </c>
      <c r="BK38" s="111">
        <f t="shared" si="42"/>
        <v>373.33333333333331</v>
      </c>
      <c r="BL38" s="111">
        <f t="shared" si="42"/>
        <v>746.66666666666663</v>
      </c>
      <c r="BM38" s="111">
        <f t="shared" si="42"/>
        <v>746.66666666666663</v>
      </c>
      <c r="BN38" s="111">
        <f t="shared" si="42"/>
        <v>746.66666666666663</v>
      </c>
      <c r="BO38" s="111">
        <f t="shared" si="42"/>
        <v>746.66666666666663</v>
      </c>
      <c r="BP38" s="111">
        <f t="shared" si="42"/>
        <v>746.66666666666663</v>
      </c>
      <c r="BQ38" s="111">
        <f t="shared" si="42"/>
        <v>746.66666666666663</v>
      </c>
      <c r="BR38" s="817">
        <f t="shared" si="42"/>
        <v>0</v>
      </c>
      <c r="BS38" s="775">
        <f t="shared" si="28"/>
        <v>31</v>
      </c>
      <c r="BT38" s="111"/>
      <c r="BU38" s="1867">
        <f t="shared" si="29"/>
        <v>0.13009999999999999</v>
      </c>
      <c r="BV38" s="1867">
        <f t="shared" si="43"/>
        <v>0.13009999999999999</v>
      </c>
      <c r="BW38" s="1867">
        <f t="shared" si="43"/>
        <v>0.19</v>
      </c>
      <c r="BX38" s="1867">
        <f t="shared" si="43"/>
        <v>0.19</v>
      </c>
      <c r="BY38" s="1867">
        <f t="shared" si="43"/>
        <v>0.19</v>
      </c>
      <c r="BZ38" s="1867">
        <f t="shared" si="43"/>
        <v>0.21</v>
      </c>
      <c r="CA38" s="1867">
        <f t="shared" si="43"/>
        <v>0.21</v>
      </c>
      <c r="CB38" s="1867">
        <f t="shared" si="43"/>
        <v>0.21</v>
      </c>
      <c r="CC38" s="1867">
        <f t="shared" si="43"/>
        <v>0.2</v>
      </c>
      <c r="CD38" s="1867">
        <f t="shared" si="43"/>
        <v>0.2</v>
      </c>
      <c r="CE38" s="1867">
        <f t="shared" si="43"/>
        <v>0.2</v>
      </c>
      <c r="CF38" s="1868">
        <f t="shared" si="43"/>
        <v>0.13009999999999999</v>
      </c>
      <c r="CG38" s="775">
        <f t="shared" si="31"/>
        <v>31</v>
      </c>
      <c r="CH38" s="111"/>
      <c r="CI38" s="800">
        <f t="shared" si="30"/>
        <v>2.36</v>
      </c>
      <c r="CJ38" s="800">
        <f t="shared" si="44"/>
        <v>2.36</v>
      </c>
      <c r="CK38" s="800">
        <f t="shared" si="44"/>
        <v>2.57</v>
      </c>
      <c r="CL38" s="800">
        <f t="shared" si="44"/>
        <v>2.57</v>
      </c>
      <c r="CM38" s="800">
        <f t="shared" si="44"/>
        <v>2.57</v>
      </c>
      <c r="CN38" s="800">
        <f t="shared" si="44"/>
        <v>2.6799999999999997</v>
      </c>
      <c r="CO38" s="800">
        <f t="shared" si="44"/>
        <v>2.6799999999999997</v>
      </c>
      <c r="CP38" s="800">
        <f t="shared" si="44"/>
        <v>2.6799999999999997</v>
      </c>
      <c r="CQ38" s="800">
        <f t="shared" si="44"/>
        <v>2.64</v>
      </c>
      <c r="CR38" s="800">
        <f t="shared" si="44"/>
        <v>2.64</v>
      </c>
      <c r="CS38" s="800">
        <f t="shared" si="44"/>
        <v>2.64</v>
      </c>
      <c r="CT38" s="1865">
        <f t="shared" si="44"/>
        <v>2.36</v>
      </c>
    </row>
    <row r="39" spans="1:98" x14ac:dyDescent="0.2">
      <c r="A39" s="590"/>
      <c r="B39" s="5015" t="s">
        <v>1576</v>
      </c>
      <c r="C39" s="276" t="s">
        <v>346</v>
      </c>
      <c r="D39" s="5016">
        <v>5500</v>
      </c>
      <c r="E39" s="5017">
        <v>15</v>
      </c>
      <c r="F39" s="5018">
        <v>35</v>
      </c>
      <c r="G39" s="5018">
        <v>50</v>
      </c>
      <c r="H39" s="817">
        <f t="shared" si="54"/>
        <v>0</v>
      </c>
      <c r="I39" s="775">
        <f t="shared" si="0"/>
        <v>825</v>
      </c>
      <c r="J39" s="111">
        <f t="shared" si="0"/>
        <v>1925</v>
      </c>
      <c r="K39" s="111">
        <f t="shared" si="0"/>
        <v>2750</v>
      </c>
      <c r="L39" s="817">
        <f t="shared" si="0"/>
        <v>0</v>
      </c>
      <c r="M39" s="5018">
        <f t="shared" si="32"/>
        <v>0</v>
      </c>
      <c r="N39" s="5018">
        <f t="shared" si="55"/>
        <v>0</v>
      </c>
      <c r="O39" s="5018">
        <f t="shared" si="47"/>
        <v>275</v>
      </c>
      <c r="P39" s="5018">
        <f t="shared" si="48"/>
        <v>275</v>
      </c>
      <c r="Q39" s="5018">
        <f t="shared" si="49"/>
        <v>275</v>
      </c>
      <c r="R39" s="5018">
        <f t="shared" si="49"/>
        <v>641.66666666666663</v>
      </c>
      <c r="S39" s="5018">
        <f t="shared" si="50"/>
        <v>641.66666666666663</v>
      </c>
      <c r="T39" s="5018">
        <f t="shared" si="51"/>
        <v>641.66666666666663</v>
      </c>
      <c r="U39" s="5018">
        <f t="shared" si="51"/>
        <v>916.66666666666663</v>
      </c>
      <c r="V39" s="5018">
        <f t="shared" si="52"/>
        <v>916.66666666666663</v>
      </c>
      <c r="W39" s="5018">
        <f t="shared" si="53"/>
        <v>916.66666666666663</v>
      </c>
      <c r="X39" s="5018">
        <f t="shared" si="53"/>
        <v>0</v>
      </c>
      <c r="Y39" s="5021">
        <v>18.12</v>
      </c>
      <c r="Z39" s="5022">
        <v>20</v>
      </c>
      <c r="AA39" s="757">
        <v>16.78</v>
      </c>
      <c r="AB39" s="758">
        <v>13.01</v>
      </c>
      <c r="AC39" s="1867">
        <f t="shared" si="9"/>
        <v>0.13009999999999999</v>
      </c>
      <c r="AD39" s="1867">
        <f t="shared" si="10"/>
        <v>0.13009999999999999</v>
      </c>
      <c r="AE39" s="1867">
        <f t="shared" si="11"/>
        <v>0.1812</v>
      </c>
      <c r="AF39" s="1867">
        <f t="shared" si="12"/>
        <v>0.1812</v>
      </c>
      <c r="AG39" s="1867">
        <f t="shared" si="13"/>
        <v>0.1812</v>
      </c>
      <c r="AH39" s="1867">
        <f t="shared" si="13"/>
        <v>0.2</v>
      </c>
      <c r="AI39" s="1867">
        <f t="shared" si="14"/>
        <v>0.2</v>
      </c>
      <c r="AJ39" s="1867">
        <f t="shared" si="15"/>
        <v>0.2</v>
      </c>
      <c r="AK39" s="1867">
        <f t="shared" si="15"/>
        <v>0.1678</v>
      </c>
      <c r="AL39" s="1867">
        <f t="shared" si="16"/>
        <v>0.1678</v>
      </c>
      <c r="AM39" s="1867">
        <f t="shared" si="17"/>
        <v>0.1678</v>
      </c>
      <c r="AN39" s="1868">
        <f t="shared" si="17"/>
        <v>0.13009999999999999</v>
      </c>
      <c r="AO39" s="751">
        <f>AO38</f>
        <v>2.57</v>
      </c>
      <c r="AP39" s="277">
        <f>AP38</f>
        <v>2.6799999999999997</v>
      </c>
      <c r="AQ39" s="277">
        <f>AQ38</f>
        <v>2.64</v>
      </c>
      <c r="AR39" s="752">
        <f>AR38</f>
        <v>2.36</v>
      </c>
      <c r="AS39" s="800">
        <f t="shared" si="18"/>
        <v>2.36</v>
      </c>
      <c r="AT39" s="800">
        <f t="shared" si="19"/>
        <v>2.36</v>
      </c>
      <c r="AU39" s="800">
        <f t="shared" si="20"/>
        <v>2.57</v>
      </c>
      <c r="AV39" s="800">
        <f t="shared" si="21"/>
        <v>2.57</v>
      </c>
      <c r="AW39" s="800">
        <f t="shared" si="22"/>
        <v>2.57</v>
      </c>
      <c r="AX39" s="800">
        <f t="shared" si="22"/>
        <v>2.6799999999999997</v>
      </c>
      <c r="AY39" s="800">
        <f t="shared" si="23"/>
        <v>2.6799999999999997</v>
      </c>
      <c r="AZ39" s="800">
        <f t="shared" si="24"/>
        <v>2.6799999999999997</v>
      </c>
      <c r="BA39" s="800">
        <f t="shared" si="24"/>
        <v>2.64</v>
      </c>
      <c r="BB39" s="800">
        <f t="shared" si="25"/>
        <v>2.64</v>
      </c>
      <c r="BC39" s="800">
        <f t="shared" si="26"/>
        <v>2.64</v>
      </c>
      <c r="BD39" s="1865">
        <f t="shared" si="26"/>
        <v>2.36</v>
      </c>
      <c r="BE39" s="775">
        <f t="shared" si="4"/>
        <v>32</v>
      </c>
      <c r="BF39" s="590"/>
      <c r="BG39" s="775">
        <f t="shared" si="27"/>
        <v>0</v>
      </c>
      <c r="BH39" s="111">
        <f t="shared" si="42"/>
        <v>0</v>
      </c>
      <c r="BI39" s="111">
        <f t="shared" si="42"/>
        <v>275</v>
      </c>
      <c r="BJ39" s="111">
        <f t="shared" si="42"/>
        <v>275</v>
      </c>
      <c r="BK39" s="111">
        <f t="shared" si="42"/>
        <v>275</v>
      </c>
      <c r="BL39" s="111">
        <f t="shared" si="42"/>
        <v>641.66666666666663</v>
      </c>
      <c r="BM39" s="111">
        <f t="shared" si="42"/>
        <v>641.66666666666663</v>
      </c>
      <c r="BN39" s="111">
        <f t="shared" si="42"/>
        <v>641.66666666666663</v>
      </c>
      <c r="BO39" s="111">
        <f t="shared" si="42"/>
        <v>916.66666666666663</v>
      </c>
      <c r="BP39" s="111">
        <f t="shared" si="42"/>
        <v>916.66666666666663</v>
      </c>
      <c r="BQ39" s="111">
        <f t="shared" si="42"/>
        <v>916.66666666666663</v>
      </c>
      <c r="BR39" s="817">
        <f t="shared" si="42"/>
        <v>0</v>
      </c>
      <c r="BS39" s="775">
        <f t="shared" si="28"/>
        <v>32</v>
      </c>
      <c r="BT39" s="111"/>
      <c r="BU39" s="1867">
        <f t="shared" si="29"/>
        <v>0.13009999999999999</v>
      </c>
      <c r="BV39" s="1867">
        <f t="shared" si="43"/>
        <v>0.13009999999999999</v>
      </c>
      <c r="BW39" s="1867">
        <f t="shared" si="43"/>
        <v>0.1812</v>
      </c>
      <c r="BX39" s="1867">
        <f t="shared" si="43"/>
        <v>0.1812</v>
      </c>
      <c r="BY39" s="1867">
        <f t="shared" si="43"/>
        <v>0.1812</v>
      </c>
      <c r="BZ39" s="1867">
        <f t="shared" si="43"/>
        <v>0.2</v>
      </c>
      <c r="CA39" s="1867">
        <f t="shared" si="43"/>
        <v>0.2</v>
      </c>
      <c r="CB39" s="1867">
        <f t="shared" si="43"/>
        <v>0.2</v>
      </c>
      <c r="CC39" s="1867">
        <f t="shared" si="43"/>
        <v>0.1678</v>
      </c>
      <c r="CD39" s="1867">
        <f t="shared" si="43"/>
        <v>0.1678</v>
      </c>
      <c r="CE39" s="1867">
        <f t="shared" si="43"/>
        <v>0.1678</v>
      </c>
      <c r="CF39" s="1868">
        <f t="shared" si="43"/>
        <v>0.13009999999999999</v>
      </c>
      <c r="CG39" s="775">
        <f t="shared" si="31"/>
        <v>32</v>
      </c>
      <c r="CH39" s="111"/>
      <c r="CI39" s="800">
        <f t="shared" si="30"/>
        <v>2.36</v>
      </c>
      <c r="CJ39" s="800">
        <f t="shared" si="44"/>
        <v>2.36</v>
      </c>
      <c r="CK39" s="800">
        <f t="shared" si="44"/>
        <v>2.57</v>
      </c>
      <c r="CL39" s="800">
        <f t="shared" si="44"/>
        <v>2.57</v>
      </c>
      <c r="CM39" s="800">
        <f t="shared" si="44"/>
        <v>2.57</v>
      </c>
      <c r="CN39" s="800">
        <f t="shared" si="44"/>
        <v>2.6799999999999997</v>
      </c>
      <c r="CO39" s="800">
        <f t="shared" si="44"/>
        <v>2.6799999999999997</v>
      </c>
      <c r="CP39" s="800">
        <f t="shared" si="44"/>
        <v>2.6799999999999997</v>
      </c>
      <c r="CQ39" s="800">
        <f t="shared" si="44"/>
        <v>2.64</v>
      </c>
      <c r="CR39" s="800">
        <f t="shared" si="44"/>
        <v>2.64</v>
      </c>
      <c r="CS39" s="800">
        <f t="shared" si="44"/>
        <v>2.64</v>
      </c>
      <c r="CT39" s="1865">
        <f t="shared" si="44"/>
        <v>2.36</v>
      </c>
    </row>
    <row r="40" spans="1:98" x14ac:dyDescent="0.2">
      <c r="A40" s="590"/>
      <c r="B40" s="5015" t="s">
        <v>166</v>
      </c>
      <c r="C40" s="276" t="s">
        <v>346</v>
      </c>
      <c r="D40" s="5016">
        <v>4800</v>
      </c>
      <c r="E40" s="5017">
        <v>20</v>
      </c>
      <c r="F40" s="5018">
        <v>30</v>
      </c>
      <c r="G40" s="5018">
        <v>50</v>
      </c>
      <c r="H40" s="817">
        <f t="shared" si="54"/>
        <v>0</v>
      </c>
      <c r="I40" s="775">
        <f t="shared" si="0"/>
        <v>960</v>
      </c>
      <c r="J40" s="111">
        <f t="shared" si="0"/>
        <v>1440</v>
      </c>
      <c r="K40" s="111">
        <f t="shared" si="0"/>
        <v>2400</v>
      </c>
      <c r="L40" s="817">
        <f t="shared" si="0"/>
        <v>0</v>
      </c>
      <c r="M40" s="5018">
        <f t="shared" si="32"/>
        <v>0</v>
      </c>
      <c r="N40" s="5018">
        <f t="shared" si="55"/>
        <v>0</v>
      </c>
      <c r="O40" s="5018">
        <f t="shared" si="47"/>
        <v>320</v>
      </c>
      <c r="P40" s="5018">
        <f t="shared" si="48"/>
        <v>320</v>
      </c>
      <c r="Q40" s="5018">
        <f t="shared" si="49"/>
        <v>320</v>
      </c>
      <c r="R40" s="5018">
        <f t="shared" si="49"/>
        <v>480</v>
      </c>
      <c r="S40" s="5018">
        <f t="shared" si="50"/>
        <v>480</v>
      </c>
      <c r="T40" s="5018">
        <f t="shared" si="51"/>
        <v>480</v>
      </c>
      <c r="U40" s="5018">
        <f t="shared" si="51"/>
        <v>800</v>
      </c>
      <c r="V40" s="5018">
        <f t="shared" si="52"/>
        <v>800</v>
      </c>
      <c r="W40" s="5018">
        <f t="shared" si="53"/>
        <v>800</v>
      </c>
      <c r="X40" s="5018">
        <f t="shared" si="53"/>
        <v>0</v>
      </c>
      <c r="Y40" s="5021"/>
      <c r="Z40" s="5022">
        <v>19.45</v>
      </c>
      <c r="AA40" s="757">
        <v>7.01</v>
      </c>
      <c r="AB40" s="758"/>
      <c r="AC40" s="1867">
        <f t="shared" si="9"/>
        <v>0</v>
      </c>
      <c r="AD40" s="1867">
        <f t="shared" si="10"/>
        <v>0</v>
      </c>
      <c r="AE40" s="1867">
        <f t="shared" si="11"/>
        <v>0</v>
      </c>
      <c r="AF40" s="1867">
        <f t="shared" si="12"/>
        <v>0</v>
      </c>
      <c r="AG40" s="1867">
        <f t="shared" si="13"/>
        <v>0</v>
      </c>
      <c r="AH40" s="1867">
        <f t="shared" si="13"/>
        <v>0.19450000000000001</v>
      </c>
      <c r="AI40" s="1867">
        <f t="shared" si="14"/>
        <v>0.19450000000000001</v>
      </c>
      <c r="AJ40" s="1867">
        <f t="shared" si="15"/>
        <v>0.19450000000000001</v>
      </c>
      <c r="AK40" s="1867">
        <f t="shared" si="15"/>
        <v>7.0099999999999996E-2</v>
      </c>
      <c r="AL40" s="1867">
        <f t="shared" si="16"/>
        <v>7.0099999999999996E-2</v>
      </c>
      <c r="AM40" s="1867">
        <f t="shared" si="17"/>
        <v>7.0099999999999996E-2</v>
      </c>
      <c r="AN40" s="1868">
        <f t="shared" si="17"/>
        <v>0</v>
      </c>
      <c r="AO40" s="751"/>
      <c r="AP40" s="277">
        <v>2.52</v>
      </c>
      <c r="AQ40" s="277">
        <v>2.12</v>
      </c>
      <c r="AR40" s="752"/>
      <c r="AS40" s="800">
        <f t="shared" si="18"/>
        <v>0</v>
      </c>
      <c r="AT40" s="800">
        <f t="shared" si="19"/>
        <v>0</v>
      </c>
      <c r="AU40" s="800">
        <f t="shared" si="20"/>
        <v>0</v>
      </c>
      <c r="AV40" s="800">
        <f t="shared" si="21"/>
        <v>0</v>
      </c>
      <c r="AW40" s="800">
        <f t="shared" si="22"/>
        <v>0</v>
      </c>
      <c r="AX40" s="800">
        <f t="shared" si="22"/>
        <v>2.52</v>
      </c>
      <c r="AY40" s="800">
        <f t="shared" si="23"/>
        <v>2.52</v>
      </c>
      <c r="AZ40" s="800">
        <f t="shared" si="24"/>
        <v>2.52</v>
      </c>
      <c r="BA40" s="800">
        <f t="shared" si="24"/>
        <v>2.12</v>
      </c>
      <c r="BB40" s="800">
        <f t="shared" si="25"/>
        <v>2.12</v>
      </c>
      <c r="BC40" s="800">
        <f t="shared" si="26"/>
        <v>2.12</v>
      </c>
      <c r="BD40" s="1865">
        <f t="shared" si="26"/>
        <v>0</v>
      </c>
      <c r="BE40" s="775">
        <f t="shared" si="4"/>
        <v>33</v>
      </c>
      <c r="BF40" s="590"/>
      <c r="BG40" s="775">
        <f t="shared" si="27"/>
        <v>0</v>
      </c>
      <c r="BH40" s="111">
        <f t="shared" si="42"/>
        <v>0</v>
      </c>
      <c r="BI40" s="111">
        <f t="shared" si="42"/>
        <v>320</v>
      </c>
      <c r="BJ40" s="111">
        <f t="shared" si="42"/>
        <v>320</v>
      </c>
      <c r="BK40" s="111">
        <f t="shared" si="42"/>
        <v>320</v>
      </c>
      <c r="BL40" s="111">
        <f t="shared" si="42"/>
        <v>480</v>
      </c>
      <c r="BM40" s="111">
        <f t="shared" si="42"/>
        <v>480</v>
      </c>
      <c r="BN40" s="111">
        <f t="shared" si="42"/>
        <v>480</v>
      </c>
      <c r="BO40" s="111">
        <f t="shared" si="42"/>
        <v>800</v>
      </c>
      <c r="BP40" s="111">
        <f t="shared" si="42"/>
        <v>800</v>
      </c>
      <c r="BQ40" s="111">
        <f t="shared" si="42"/>
        <v>800</v>
      </c>
      <c r="BR40" s="817">
        <f t="shared" si="42"/>
        <v>0</v>
      </c>
      <c r="BS40" s="775">
        <f t="shared" si="28"/>
        <v>33</v>
      </c>
      <c r="BT40" s="111"/>
      <c r="BU40" s="1867">
        <f t="shared" si="29"/>
        <v>0</v>
      </c>
      <c r="BV40" s="1867">
        <f t="shared" si="43"/>
        <v>0</v>
      </c>
      <c r="BW40" s="1867">
        <f t="shared" si="43"/>
        <v>0</v>
      </c>
      <c r="BX40" s="1867">
        <f t="shared" si="43"/>
        <v>0</v>
      </c>
      <c r="BY40" s="1867">
        <f t="shared" si="43"/>
        <v>0</v>
      </c>
      <c r="BZ40" s="1867">
        <f t="shared" si="43"/>
        <v>0.19450000000000001</v>
      </c>
      <c r="CA40" s="1867">
        <f t="shared" si="43"/>
        <v>0.19450000000000001</v>
      </c>
      <c r="CB40" s="1867">
        <f t="shared" si="43"/>
        <v>0.19450000000000001</v>
      </c>
      <c r="CC40" s="1867">
        <f t="shared" si="43"/>
        <v>7.0099999999999996E-2</v>
      </c>
      <c r="CD40" s="1867">
        <f t="shared" si="43"/>
        <v>7.0099999999999996E-2</v>
      </c>
      <c r="CE40" s="1867">
        <f t="shared" si="43"/>
        <v>7.0099999999999996E-2</v>
      </c>
      <c r="CF40" s="1868">
        <f t="shared" si="43"/>
        <v>0</v>
      </c>
      <c r="CG40" s="775">
        <f t="shared" si="31"/>
        <v>33</v>
      </c>
      <c r="CH40" s="111"/>
      <c r="CI40" s="800">
        <f t="shared" si="30"/>
        <v>0</v>
      </c>
      <c r="CJ40" s="800">
        <f t="shared" si="44"/>
        <v>0</v>
      </c>
      <c r="CK40" s="800">
        <f t="shared" si="44"/>
        <v>0</v>
      </c>
      <c r="CL40" s="800">
        <f t="shared" si="44"/>
        <v>0</v>
      </c>
      <c r="CM40" s="800">
        <f t="shared" si="44"/>
        <v>0</v>
      </c>
      <c r="CN40" s="800">
        <f t="shared" si="44"/>
        <v>2.52</v>
      </c>
      <c r="CO40" s="800">
        <f t="shared" si="44"/>
        <v>2.52</v>
      </c>
      <c r="CP40" s="800">
        <f t="shared" si="44"/>
        <v>2.52</v>
      </c>
      <c r="CQ40" s="800">
        <f t="shared" si="44"/>
        <v>2.12</v>
      </c>
      <c r="CR40" s="800">
        <f t="shared" si="44"/>
        <v>2.12</v>
      </c>
      <c r="CS40" s="800">
        <f t="shared" si="44"/>
        <v>2.12</v>
      </c>
      <c r="CT40" s="1865">
        <f t="shared" si="44"/>
        <v>0</v>
      </c>
    </row>
    <row r="41" spans="1:98" x14ac:dyDescent="0.2">
      <c r="A41" s="590"/>
      <c r="B41" s="5015" t="s">
        <v>167</v>
      </c>
      <c r="C41" s="276" t="s">
        <v>346</v>
      </c>
      <c r="D41" s="5016">
        <v>4800</v>
      </c>
      <c r="E41" s="5017">
        <v>20</v>
      </c>
      <c r="F41" s="5018">
        <v>30</v>
      </c>
      <c r="G41" s="5018">
        <v>50</v>
      </c>
      <c r="H41" s="817">
        <f t="shared" si="54"/>
        <v>0</v>
      </c>
      <c r="I41" s="775">
        <f t="shared" si="0"/>
        <v>960</v>
      </c>
      <c r="J41" s="111">
        <f t="shared" si="0"/>
        <v>1440</v>
      </c>
      <c r="K41" s="111">
        <f t="shared" si="0"/>
        <v>2400</v>
      </c>
      <c r="L41" s="817">
        <f t="shared" si="0"/>
        <v>0</v>
      </c>
      <c r="M41" s="5018">
        <f t="shared" si="32"/>
        <v>0</v>
      </c>
      <c r="N41" s="5018">
        <f t="shared" si="55"/>
        <v>0</v>
      </c>
      <c r="O41" s="5018">
        <f t="shared" si="47"/>
        <v>320</v>
      </c>
      <c r="P41" s="5018">
        <f t="shared" si="48"/>
        <v>320</v>
      </c>
      <c r="Q41" s="5018">
        <f t="shared" si="49"/>
        <v>320</v>
      </c>
      <c r="R41" s="5018">
        <f t="shared" si="49"/>
        <v>480</v>
      </c>
      <c r="S41" s="5018">
        <f t="shared" si="50"/>
        <v>480</v>
      </c>
      <c r="T41" s="5018">
        <f t="shared" si="51"/>
        <v>480</v>
      </c>
      <c r="U41" s="5018">
        <f t="shared" si="51"/>
        <v>800</v>
      </c>
      <c r="V41" s="5018">
        <f t="shared" si="52"/>
        <v>800</v>
      </c>
      <c r="W41" s="5018">
        <f t="shared" si="53"/>
        <v>800</v>
      </c>
      <c r="X41" s="5018">
        <f t="shared" si="53"/>
        <v>0</v>
      </c>
      <c r="Y41" s="5021"/>
      <c r="Z41" s="5022">
        <v>21.53</v>
      </c>
      <c r="AA41" s="757">
        <v>9.73</v>
      </c>
      <c r="AB41" s="758"/>
      <c r="AC41" s="1867">
        <f t="shared" si="9"/>
        <v>0</v>
      </c>
      <c r="AD41" s="1867">
        <f t="shared" si="10"/>
        <v>0</v>
      </c>
      <c r="AE41" s="1867">
        <f t="shared" si="11"/>
        <v>0</v>
      </c>
      <c r="AF41" s="1867">
        <f t="shared" si="12"/>
        <v>0</v>
      </c>
      <c r="AG41" s="1867">
        <f t="shared" si="13"/>
        <v>0</v>
      </c>
      <c r="AH41" s="1867">
        <f t="shared" si="13"/>
        <v>0.21530000000000002</v>
      </c>
      <c r="AI41" s="1867">
        <f t="shared" si="14"/>
        <v>0.21530000000000002</v>
      </c>
      <c r="AJ41" s="1867">
        <f t="shared" si="15"/>
        <v>0.21530000000000002</v>
      </c>
      <c r="AK41" s="1867">
        <f t="shared" si="15"/>
        <v>9.7299999999999998E-2</v>
      </c>
      <c r="AL41" s="1867">
        <f t="shared" si="16"/>
        <v>9.7299999999999998E-2</v>
      </c>
      <c r="AM41" s="1867">
        <f t="shared" si="17"/>
        <v>9.7299999999999998E-2</v>
      </c>
      <c r="AN41" s="1868">
        <f t="shared" si="17"/>
        <v>0</v>
      </c>
      <c r="AO41" s="751"/>
      <c r="AP41" s="277">
        <v>2.19</v>
      </c>
      <c r="AQ41" s="277">
        <v>2.25</v>
      </c>
      <c r="AR41" s="752"/>
      <c r="AS41" s="800">
        <f t="shared" si="18"/>
        <v>0</v>
      </c>
      <c r="AT41" s="800">
        <f t="shared" si="19"/>
        <v>0</v>
      </c>
      <c r="AU41" s="800">
        <f t="shared" si="20"/>
        <v>0</v>
      </c>
      <c r="AV41" s="800">
        <f t="shared" si="21"/>
        <v>0</v>
      </c>
      <c r="AW41" s="800">
        <f t="shared" si="22"/>
        <v>0</v>
      </c>
      <c r="AX41" s="800">
        <f t="shared" si="22"/>
        <v>2.19</v>
      </c>
      <c r="AY41" s="800">
        <f t="shared" si="23"/>
        <v>2.19</v>
      </c>
      <c r="AZ41" s="800">
        <f t="shared" si="24"/>
        <v>2.19</v>
      </c>
      <c r="BA41" s="800">
        <f t="shared" si="24"/>
        <v>2.25</v>
      </c>
      <c r="BB41" s="800">
        <f t="shared" si="25"/>
        <v>2.25</v>
      </c>
      <c r="BC41" s="800">
        <f t="shared" si="26"/>
        <v>2.25</v>
      </c>
      <c r="BD41" s="1865">
        <f t="shared" si="26"/>
        <v>0</v>
      </c>
      <c r="BE41" s="775">
        <f t="shared" si="4"/>
        <v>34</v>
      </c>
      <c r="BF41" s="590"/>
      <c r="BG41" s="775">
        <f t="shared" si="27"/>
        <v>0</v>
      </c>
      <c r="BH41" s="111">
        <f t="shared" si="42"/>
        <v>0</v>
      </c>
      <c r="BI41" s="111">
        <f t="shared" si="42"/>
        <v>320</v>
      </c>
      <c r="BJ41" s="111">
        <f t="shared" si="42"/>
        <v>320</v>
      </c>
      <c r="BK41" s="111">
        <f t="shared" si="42"/>
        <v>320</v>
      </c>
      <c r="BL41" s="111">
        <f t="shared" ref="BH41:BR50" si="56">HLOOKUP(BL$8,$M$8:$X$50,$BE41,FALSE)</f>
        <v>480</v>
      </c>
      <c r="BM41" s="111">
        <f t="shared" si="56"/>
        <v>480</v>
      </c>
      <c r="BN41" s="111">
        <f t="shared" si="56"/>
        <v>480</v>
      </c>
      <c r="BO41" s="111">
        <f t="shared" si="56"/>
        <v>800</v>
      </c>
      <c r="BP41" s="111">
        <f t="shared" si="56"/>
        <v>800</v>
      </c>
      <c r="BQ41" s="111">
        <f t="shared" si="56"/>
        <v>800</v>
      </c>
      <c r="BR41" s="817">
        <f t="shared" si="56"/>
        <v>0</v>
      </c>
      <c r="BS41" s="775">
        <f t="shared" si="28"/>
        <v>34</v>
      </c>
      <c r="BT41" s="111"/>
      <c r="BU41" s="1867">
        <f t="shared" si="29"/>
        <v>0</v>
      </c>
      <c r="BV41" s="1867">
        <f t="shared" si="43"/>
        <v>0</v>
      </c>
      <c r="BW41" s="1867">
        <f t="shared" si="43"/>
        <v>0</v>
      </c>
      <c r="BX41" s="1867">
        <f t="shared" si="43"/>
        <v>0</v>
      </c>
      <c r="BY41" s="1867">
        <f t="shared" si="43"/>
        <v>0</v>
      </c>
      <c r="BZ41" s="1867">
        <f t="shared" ref="BV41:CF50" si="57">HLOOKUP(BZ$8,$AC$8:$AN$50,$BS41,FALSE)</f>
        <v>0.21530000000000002</v>
      </c>
      <c r="CA41" s="1867">
        <f t="shared" si="57"/>
        <v>0.21530000000000002</v>
      </c>
      <c r="CB41" s="1867">
        <f t="shared" si="57"/>
        <v>0.21530000000000002</v>
      </c>
      <c r="CC41" s="1867">
        <f t="shared" si="57"/>
        <v>9.7299999999999998E-2</v>
      </c>
      <c r="CD41" s="1867">
        <f t="shared" si="57"/>
        <v>9.7299999999999998E-2</v>
      </c>
      <c r="CE41" s="1867">
        <f t="shared" si="57"/>
        <v>9.7299999999999998E-2</v>
      </c>
      <c r="CF41" s="1868">
        <f t="shared" si="57"/>
        <v>0</v>
      </c>
      <c r="CG41" s="775">
        <f t="shared" si="31"/>
        <v>34</v>
      </c>
      <c r="CH41" s="111"/>
      <c r="CI41" s="800">
        <f t="shared" si="30"/>
        <v>0</v>
      </c>
      <c r="CJ41" s="800">
        <f t="shared" si="44"/>
        <v>0</v>
      </c>
      <c r="CK41" s="800">
        <f t="shared" si="44"/>
        <v>0</v>
      </c>
      <c r="CL41" s="800">
        <f t="shared" si="44"/>
        <v>0</v>
      </c>
      <c r="CM41" s="800">
        <f t="shared" si="44"/>
        <v>0</v>
      </c>
      <c r="CN41" s="800">
        <f t="shared" ref="CJ41:CT50" si="58">HLOOKUP(CN$8,$AS$8:$BD$63,$CG41,FALSE)</f>
        <v>2.19</v>
      </c>
      <c r="CO41" s="800">
        <f t="shared" si="58"/>
        <v>2.19</v>
      </c>
      <c r="CP41" s="800">
        <f t="shared" si="58"/>
        <v>2.19</v>
      </c>
      <c r="CQ41" s="800">
        <f t="shared" si="58"/>
        <v>2.25</v>
      </c>
      <c r="CR41" s="800">
        <f t="shared" si="58"/>
        <v>2.25</v>
      </c>
      <c r="CS41" s="800">
        <f t="shared" si="58"/>
        <v>2.25</v>
      </c>
      <c r="CT41" s="1865">
        <f t="shared" si="58"/>
        <v>0</v>
      </c>
    </row>
    <row r="42" spans="1:98" x14ac:dyDescent="0.2">
      <c r="A42" s="590"/>
      <c r="B42" s="5015" t="s">
        <v>2291</v>
      </c>
      <c r="C42" s="276" t="s">
        <v>346</v>
      </c>
      <c r="D42" s="5016">
        <v>4800</v>
      </c>
      <c r="E42" s="5017">
        <v>30</v>
      </c>
      <c r="F42" s="5018">
        <v>30</v>
      </c>
      <c r="G42" s="5018">
        <v>40</v>
      </c>
      <c r="H42" s="817">
        <f t="shared" si="54"/>
        <v>0</v>
      </c>
      <c r="I42" s="775">
        <f t="shared" ref="I42:L50" si="59">+$D42*E42/100</f>
        <v>1440</v>
      </c>
      <c r="J42" s="111">
        <f t="shared" si="59"/>
        <v>1440</v>
      </c>
      <c r="K42" s="111">
        <f t="shared" si="59"/>
        <v>1920</v>
      </c>
      <c r="L42" s="817">
        <f t="shared" si="59"/>
        <v>0</v>
      </c>
      <c r="M42" s="5018">
        <f>L42/3</f>
        <v>0</v>
      </c>
      <c r="N42" s="5018">
        <f t="shared" si="55"/>
        <v>0</v>
      </c>
      <c r="O42" s="5018">
        <f>I42/3</f>
        <v>480</v>
      </c>
      <c r="P42" s="5018">
        <f>I42/3</f>
        <v>480</v>
      </c>
      <c r="Q42" s="5018">
        <f t="shared" si="49"/>
        <v>480</v>
      </c>
      <c r="R42" s="5018">
        <f t="shared" si="49"/>
        <v>480</v>
      </c>
      <c r="S42" s="5018">
        <f>J42/3</f>
        <v>480</v>
      </c>
      <c r="T42" s="5018">
        <f t="shared" si="51"/>
        <v>480</v>
      </c>
      <c r="U42" s="5018">
        <f t="shared" si="51"/>
        <v>640</v>
      </c>
      <c r="V42" s="5018">
        <f>K42/3</f>
        <v>640</v>
      </c>
      <c r="W42" s="5018">
        <f t="shared" si="53"/>
        <v>640</v>
      </c>
      <c r="X42" s="5018">
        <f t="shared" si="53"/>
        <v>0</v>
      </c>
      <c r="Y42" s="5021">
        <v>18.12</v>
      </c>
      <c r="Z42" s="5022">
        <v>20</v>
      </c>
      <c r="AA42" s="757">
        <v>16.78</v>
      </c>
      <c r="AB42" s="758">
        <v>13.01</v>
      </c>
      <c r="AC42" s="1867">
        <f t="shared" si="9"/>
        <v>0.13009999999999999</v>
      </c>
      <c r="AD42" s="1867">
        <f t="shared" si="10"/>
        <v>0.13009999999999999</v>
      </c>
      <c r="AE42" s="1867">
        <f t="shared" si="11"/>
        <v>0.1812</v>
      </c>
      <c r="AF42" s="1867">
        <f t="shared" si="12"/>
        <v>0.1812</v>
      </c>
      <c r="AG42" s="1867">
        <f t="shared" si="13"/>
        <v>0.1812</v>
      </c>
      <c r="AH42" s="1867">
        <f t="shared" si="13"/>
        <v>0.2</v>
      </c>
      <c r="AI42" s="1867">
        <f t="shared" si="14"/>
        <v>0.2</v>
      </c>
      <c r="AJ42" s="1867">
        <f t="shared" si="15"/>
        <v>0.2</v>
      </c>
      <c r="AK42" s="1867">
        <f t="shared" si="15"/>
        <v>0.1678</v>
      </c>
      <c r="AL42" s="1867">
        <f t="shared" si="16"/>
        <v>0.1678</v>
      </c>
      <c r="AM42" s="1867">
        <f t="shared" si="17"/>
        <v>0.1678</v>
      </c>
      <c r="AN42" s="1868">
        <f t="shared" si="17"/>
        <v>0.13009999999999999</v>
      </c>
      <c r="AO42" s="751">
        <v>2.63</v>
      </c>
      <c r="AP42" s="277">
        <v>2.78</v>
      </c>
      <c r="AQ42" s="277">
        <v>2.91</v>
      </c>
      <c r="AR42" s="752">
        <v>2.36</v>
      </c>
      <c r="AS42" s="800">
        <f t="shared" si="18"/>
        <v>2.36</v>
      </c>
      <c r="AT42" s="800">
        <f t="shared" si="19"/>
        <v>2.36</v>
      </c>
      <c r="AU42" s="800">
        <f t="shared" si="20"/>
        <v>2.63</v>
      </c>
      <c r="AV42" s="800">
        <f t="shared" si="21"/>
        <v>2.63</v>
      </c>
      <c r="AW42" s="800">
        <f t="shared" si="22"/>
        <v>2.63</v>
      </c>
      <c r="AX42" s="800">
        <f t="shared" si="22"/>
        <v>2.78</v>
      </c>
      <c r="AY42" s="800">
        <f t="shared" si="23"/>
        <v>2.78</v>
      </c>
      <c r="AZ42" s="800">
        <f t="shared" si="24"/>
        <v>2.78</v>
      </c>
      <c r="BA42" s="800">
        <f t="shared" si="24"/>
        <v>2.91</v>
      </c>
      <c r="BB42" s="800">
        <f t="shared" si="25"/>
        <v>2.91</v>
      </c>
      <c r="BC42" s="800">
        <f t="shared" si="26"/>
        <v>2.91</v>
      </c>
      <c r="BD42" s="1865">
        <f t="shared" si="26"/>
        <v>2.36</v>
      </c>
      <c r="BE42" s="775">
        <f t="shared" si="4"/>
        <v>35</v>
      </c>
      <c r="BF42" s="590"/>
      <c r="BG42" s="775">
        <f t="shared" si="27"/>
        <v>0</v>
      </c>
      <c r="BH42" s="111">
        <f t="shared" si="56"/>
        <v>0</v>
      </c>
      <c r="BI42" s="111">
        <f t="shared" si="56"/>
        <v>480</v>
      </c>
      <c r="BJ42" s="111">
        <f t="shared" si="56"/>
        <v>480</v>
      </c>
      <c r="BK42" s="111">
        <f t="shared" si="56"/>
        <v>480</v>
      </c>
      <c r="BL42" s="111">
        <f t="shared" si="56"/>
        <v>480</v>
      </c>
      <c r="BM42" s="111">
        <f t="shared" si="56"/>
        <v>480</v>
      </c>
      <c r="BN42" s="111">
        <f t="shared" si="56"/>
        <v>480</v>
      </c>
      <c r="BO42" s="111">
        <f t="shared" si="56"/>
        <v>640</v>
      </c>
      <c r="BP42" s="111">
        <f t="shared" si="56"/>
        <v>640</v>
      </c>
      <c r="BQ42" s="111">
        <f t="shared" si="56"/>
        <v>640</v>
      </c>
      <c r="BR42" s="817">
        <f t="shared" si="56"/>
        <v>0</v>
      </c>
      <c r="BS42" s="775">
        <f t="shared" si="28"/>
        <v>35</v>
      </c>
      <c r="BT42" s="111"/>
      <c r="BU42" s="1867">
        <f t="shared" si="29"/>
        <v>0.13009999999999999</v>
      </c>
      <c r="BV42" s="1867">
        <f t="shared" si="57"/>
        <v>0.13009999999999999</v>
      </c>
      <c r="BW42" s="1867">
        <f t="shared" si="57"/>
        <v>0.1812</v>
      </c>
      <c r="BX42" s="1867">
        <f t="shared" si="57"/>
        <v>0.1812</v>
      </c>
      <c r="BY42" s="1867">
        <f t="shared" si="57"/>
        <v>0.1812</v>
      </c>
      <c r="BZ42" s="1867">
        <f t="shared" si="57"/>
        <v>0.2</v>
      </c>
      <c r="CA42" s="1867">
        <f t="shared" si="57"/>
        <v>0.2</v>
      </c>
      <c r="CB42" s="1867">
        <f t="shared" si="57"/>
        <v>0.2</v>
      </c>
      <c r="CC42" s="1867">
        <f t="shared" si="57"/>
        <v>0.1678</v>
      </c>
      <c r="CD42" s="1867">
        <f t="shared" si="57"/>
        <v>0.1678</v>
      </c>
      <c r="CE42" s="1867">
        <f t="shared" si="57"/>
        <v>0.1678</v>
      </c>
      <c r="CF42" s="1868">
        <f t="shared" si="57"/>
        <v>0.13009999999999999</v>
      </c>
      <c r="CG42" s="775">
        <f t="shared" si="31"/>
        <v>35</v>
      </c>
      <c r="CH42" s="111"/>
      <c r="CI42" s="800">
        <f t="shared" si="30"/>
        <v>2.36</v>
      </c>
      <c r="CJ42" s="800">
        <f t="shared" si="58"/>
        <v>2.36</v>
      </c>
      <c r="CK42" s="800">
        <f t="shared" si="58"/>
        <v>2.63</v>
      </c>
      <c r="CL42" s="800">
        <f t="shared" si="58"/>
        <v>2.63</v>
      </c>
      <c r="CM42" s="800">
        <f t="shared" si="58"/>
        <v>2.63</v>
      </c>
      <c r="CN42" s="800">
        <f t="shared" si="58"/>
        <v>2.78</v>
      </c>
      <c r="CO42" s="800">
        <f t="shared" si="58"/>
        <v>2.78</v>
      </c>
      <c r="CP42" s="800">
        <f t="shared" si="58"/>
        <v>2.78</v>
      </c>
      <c r="CQ42" s="800">
        <f t="shared" si="58"/>
        <v>2.91</v>
      </c>
      <c r="CR42" s="800">
        <f t="shared" si="58"/>
        <v>2.91</v>
      </c>
      <c r="CS42" s="800">
        <f t="shared" si="58"/>
        <v>2.91</v>
      </c>
      <c r="CT42" s="1865">
        <f t="shared" si="58"/>
        <v>2.36</v>
      </c>
    </row>
    <row r="43" spans="1:98" x14ac:dyDescent="0.2">
      <c r="A43" s="590"/>
      <c r="B43" s="5015"/>
      <c r="C43" s="276" t="s">
        <v>346</v>
      </c>
      <c r="D43" s="5016">
        <v>0</v>
      </c>
      <c r="E43" s="5017"/>
      <c r="F43" s="5018"/>
      <c r="G43" s="5018"/>
      <c r="H43" s="817">
        <f t="shared" si="54"/>
        <v>100</v>
      </c>
      <c r="I43" s="775">
        <f t="shared" si="59"/>
        <v>0</v>
      </c>
      <c r="J43" s="111">
        <f t="shared" si="59"/>
        <v>0</v>
      </c>
      <c r="K43" s="111">
        <f t="shared" si="59"/>
        <v>0</v>
      </c>
      <c r="L43" s="817">
        <f t="shared" si="59"/>
        <v>0</v>
      </c>
      <c r="M43" s="5018">
        <f>L43/3</f>
        <v>0</v>
      </c>
      <c r="N43" s="5018">
        <f t="shared" si="55"/>
        <v>0</v>
      </c>
      <c r="O43" s="5018">
        <f>I43/3</f>
        <v>0</v>
      </c>
      <c r="P43" s="5018">
        <f>I43/3</f>
        <v>0</v>
      </c>
      <c r="Q43" s="5018">
        <f t="shared" si="49"/>
        <v>0</v>
      </c>
      <c r="R43" s="5018">
        <f t="shared" si="49"/>
        <v>0</v>
      </c>
      <c r="S43" s="5018">
        <f>J43/3</f>
        <v>0</v>
      </c>
      <c r="T43" s="5018">
        <f t="shared" si="51"/>
        <v>0</v>
      </c>
      <c r="U43" s="5018">
        <f t="shared" si="51"/>
        <v>0</v>
      </c>
      <c r="V43" s="5018">
        <f>K43/3</f>
        <v>0</v>
      </c>
      <c r="W43" s="5018">
        <f t="shared" si="53"/>
        <v>0</v>
      </c>
      <c r="X43" s="5018">
        <f t="shared" si="53"/>
        <v>0</v>
      </c>
      <c r="Y43" s="5021"/>
      <c r="Z43" s="5022"/>
      <c r="AA43" s="757"/>
      <c r="AB43" s="758"/>
      <c r="AC43" s="1867">
        <f t="shared" si="9"/>
        <v>0</v>
      </c>
      <c r="AD43" s="1867">
        <f t="shared" si="10"/>
        <v>0</v>
      </c>
      <c r="AE43" s="1867">
        <f t="shared" si="11"/>
        <v>0</v>
      </c>
      <c r="AF43" s="1867">
        <f t="shared" si="12"/>
        <v>0</v>
      </c>
      <c r="AG43" s="1867">
        <f t="shared" si="13"/>
        <v>0</v>
      </c>
      <c r="AH43" s="1867">
        <f t="shared" si="13"/>
        <v>0</v>
      </c>
      <c r="AI43" s="1867">
        <f t="shared" si="14"/>
        <v>0</v>
      </c>
      <c r="AJ43" s="1867">
        <f t="shared" si="15"/>
        <v>0</v>
      </c>
      <c r="AK43" s="1867">
        <f t="shared" si="15"/>
        <v>0</v>
      </c>
      <c r="AL43" s="1867">
        <f t="shared" si="16"/>
        <v>0</v>
      </c>
      <c r="AM43" s="1867">
        <f t="shared" si="17"/>
        <v>0</v>
      </c>
      <c r="AN43" s="1868">
        <f t="shared" si="17"/>
        <v>0</v>
      </c>
      <c r="AO43" s="751"/>
      <c r="AP43" s="277"/>
      <c r="AQ43" s="277"/>
      <c r="AR43" s="752"/>
      <c r="AS43" s="800">
        <f t="shared" si="18"/>
        <v>0</v>
      </c>
      <c r="AT43" s="800">
        <f t="shared" si="19"/>
        <v>0</v>
      </c>
      <c r="AU43" s="800">
        <f t="shared" si="20"/>
        <v>0</v>
      </c>
      <c r="AV43" s="800">
        <f t="shared" si="21"/>
        <v>0</v>
      </c>
      <c r="AW43" s="800">
        <f t="shared" si="22"/>
        <v>0</v>
      </c>
      <c r="AX43" s="800">
        <f t="shared" si="22"/>
        <v>0</v>
      </c>
      <c r="AY43" s="800">
        <f t="shared" si="23"/>
        <v>0</v>
      </c>
      <c r="AZ43" s="800">
        <f t="shared" si="24"/>
        <v>0</v>
      </c>
      <c r="BA43" s="800">
        <f t="shared" si="24"/>
        <v>0</v>
      </c>
      <c r="BB43" s="800">
        <f t="shared" si="25"/>
        <v>0</v>
      </c>
      <c r="BC43" s="800">
        <f t="shared" si="26"/>
        <v>0</v>
      </c>
      <c r="BD43" s="1865">
        <f t="shared" si="26"/>
        <v>0</v>
      </c>
      <c r="BE43" s="775">
        <f t="shared" si="4"/>
        <v>36</v>
      </c>
      <c r="BF43" s="590"/>
      <c r="BG43" s="775">
        <f t="shared" si="27"/>
        <v>0</v>
      </c>
      <c r="BH43" s="111">
        <f t="shared" si="56"/>
        <v>0</v>
      </c>
      <c r="BI43" s="111">
        <f t="shared" si="56"/>
        <v>0</v>
      </c>
      <c r="BJ43" s="111">
        <f t="shared" si="56"/>
        <v>0</v>
      </c>
      <c r="BK43" s="111">
        <f t="shared" si="56"/>
        <v>0</v>
      </c>
      <c r="BL43" s="111">
        <f t="shared" si="56"/>
        <v>0</v>
      </c>
      <c r="BM43" s="111">
        <f t="shared" si="56"/>
        <v>0</v>
      </c>
      <c r="BN43" s="111">
        <f t="shared" si="56"/>
        <v>0</v>
      </c>
      <c r="BO43" s="111">
        <f t="shared" si="56"/>
        <v>0</v>
      </c>
      <c r="BP43" s="111">
        <f t="shared" si="56"/>
        <v>0</v>
      </c>
      <c r="BQ43" s="111">
        <f t="shared" si="56"/>
        <v>0</v>
      </c>
      <c r="BR43" s="817">
        <f t="shared" si="56"/>
        <v>0</v>
      </c>
      <c r="BS43" s="775">
        <f t="shared" si="28"/>
        <v>36</v>
      </c>
      <c r="BT43" s="111"/>
      <c r="BU43" s="1867">
        <f t="shared" si="29"/>
        <v>0</v>
      </c>
      <c r="BV43" s="1867">
        <f t="shared" si="57"/>
        <v>0</v>
      </c>
      <c r="BW43" s="1867">
        <f t="shared" si="57"/>
        <v>0</v>
      </c>
      <c r="BX43" s="1867">
        <f t="shared" si="57"/>
        <v>0</v>
      </c>
      <c r="BY43" s="1867">
        <f t="shared" si="57"/>
        <v>0</v>
      </c>
      <c r="BZ43" s="1867">
        <f t="shared" si="57"/>
        <v>0</v>
      </c>
      <c r="CA43" s="1867">
        <f t="shared" si="57"/>
        <v>0</v>
      </c>
      <c r="CB43" s="1867">
        <f t="shared" si="57"/>
        <v>0</v>
      </c>
      <c r="CC43" s="1867">
        <f t="shared" si="57"/>
        <v>0</v>
      </c>
      <c r="CD43" s="1867">
        <f t="shared" si="57"/>
        <v>0</v>
      </c>
      <c r="CE43" s="1867">
        <f t="shared" si="57"/>
        <v>0</v>
      </c>
      <c r="CF43" s="1868">
        <f t="shared" si="57"/>
        <v>0</v>
      </c>
      <c r="CG43" s="775">
        <f t="shared" si="31"/>
        <v>36</v>
      </c>
      <c r="CH43" s="111"/>
      <c r="CI43" s="800">
        <f t="shared" si="30"/>
        <v>0</v>
      </c>
      <c r="CJ43" s="800">
        <f t="shared" si="58"/>
        <v>0</v>
      </c>
      <c r="CK43" s="800">
        <f t="shared" si="58"/>
        <v>0</v>
      </c>
      <c r="CL43" s="800">
        <f t="shared" si="58"/>
        <v>0</v>
      </c>
      <c r="CM43" s="800">
        <f t="shared" si="58"/>
        <v>0</v>
      </c>
      <c r="CN43" s="800">
        <f t="shared" si="58"/>
        <v>0</v>
      </c>
      <c r="CO43" s="800">
        <f t="shared" si="58"/>
        <v>0</v>
      </c>
      <c r="CP43" s="800">
        <f t="shared" si="58"/>
        <v>0</v>
      </c>
      <c r="CQ43" s="800">
        <f t="shared" si="58"/>
        <v>0</v>
      </c>
      <c r="CR43" s="800">
        <f t="shared" si="58"/>
        <v>0</v>
      </c>
      <c r="CS43" s="800">
        <f t="shared" si="58"/>
        <v>0</v>
      </c>
      <c r="CT43" s="1865">
        <f t="shared" si="58"/>
        <v>0</v>
      </c>
    </row>
    <row r="44" spans="1:98" x14ac:dyDescent="0.2">
      <c r="A44" s="590"/>
      <c r="B44" s="5025"/>
      <c r="C44" s="282" t="s">
        <v>346</v>
      </c>
      <c r="D44" s="5031">
        <v>0</v>
      </c>
      <c r="E44" s="5032"/>
      <c r="F44" s="5026"/>
      <c r="G44" s="5026"/>
      <c r="H44" s="806">
        <f t="shared" si="54"/>
        <v>100</v>
      </c>
      <c r="I44" s="779">
        <f t="shared" si="59"/>
        <v>0</v>
      </c>
      <c r="J44" s="780">
        <f t="shared" si="59"/>
        <v>0</v>
      </c>
      <c r="K44" s="780">
        <f t="shared" si="59"/>
        <v>0</v>
      </c>
      <c r="L44" s="806">
        <f t="shared" si="59"/>
        <v>0</v>
      </c>
      <c r="M44" s="5026">
        <f>L44/3</f>
        <v>0</v>
      </c>
      <c r="N44" s="5026">
        <f t="shared" si="55"/>
        <v>0</v>
      </c>
      <c r="O44" s="5026">
        <f>I44/3</f>
        <v>0</v>
      </c>
      <c r="P44" s="5026">
        <f>I44/3</f>
        <v>0</v>
      </c>
      <c r="Q44" s="5026">
        <f t="shared" si="49"/>
        <v>0</v>
      </c>
      <c r="R44" s="5026">
        <f t="shared" si="49"/>
        <v>0</v>
      </c>
      <c r="S44" s="5026">
        <f>J44/3</f>
        <v>0</v>
      </c>
      <c r="T44" s="5026">
        <f t="shared" si="51"/>
        <v>0</v>
      </c>
      <c r="U44" s="5026">
        <f t="shared" si="51"/>
        <v>0</v>
      </c>
      <c r="V44" s="5026">
        <f>K44/3</f>
        <v>0</v>
      </c>
      <c r="W44" s="5026">
        <f t="shared" si="53"/>
        <v>0</v>
      </c>
      <c r="X44" s="5026">
        <f t="shared" si="53"/>
        <v>0</v>
      </c>
      <c r="Y44" s="5023"/>
      <c r="Z44" s="5024"/>
      <c r="AA44" s="759"/>
      <c r="AB44" s="760"/>
      <c r="AC44" s="1873">
        <f t="shared" si="9"/>
        <v>0</v>
      </c>
      <c r="AD44" s="1873">
        <f t="shared" si="10"/>
        <v>0</v>
      </c>
      <c r="AE44" s="1873">
        <f t="shared" si="11"/>
        <v>0</v>
      </c>
      <c r="AF44" s="1873">
        <f t="shared" si="12"/>
        <v>0</v>
      </c>
      <c r="AG44" s="1873">
        <f t="shared" si="13"/>
        <v>0</v>
      </c>
      <c r="AH44" s="1873">
        <f t="shared" si="13"/>
        <v>0</v>
      </c>
      <c r="AI44" s="1873">
        <f t="shared" si="14"/>
        <v>0</v>
      </c>
      <c r="AJ44" s="1873">
        <f t="shared" si="15"/>
        <v>0</v>
      </c>
      <c r="AK44" s="1873">
        <f t="shared" si="15"/>
        <v>0</v>
      </c>
      <c r="AL44" s="1873">
        <f t="shared" si="16"/>
        <v>0</v>
      </c>
      <c r="AM44" s="1873">
        <f t="shared" si="17"/>
        <v>0</v>
      </c>
      <c r="AN44" s="1874">
        <f t="shared" si="17"/>
        <v>0</v>
      </c>
      <c r="AO44" s="753"/>
      <c r="AP44" s="279"/>
      <c r="AQ44" s="279"/>
      <c r="AR44" s="754"/>
      <c r="AS44" s="1870">
        <f t="shared" si="18"/>
        <v>0</v>
      </c>
      <c r="AT44" s="1870">
        <f t="shared" si="19"/>
        <v>0</v>
      </c>
      <c r="AU44" s="1870">
        <f t="shared" si="20"/>
        <v>0</v>
      </c>
      <c r="AV44" s="1870">
        <f t="shared" si="21"/>
        <v>0</v>
      </c>
      <c r="AW44" s="1870">
        <f t="shared" si="22"/>
        <v>0</v>
      </c>
      <c r="AX44" s="1870">
        <f t="shared" si="22"/>
        <v>0</v>
      </c>
      <c r="AY44" s="1870">
        <f t="shared" si="23"/>
        <v>0</v>
      </c>
      <c r="AZ44" s="1870">
        <f t="shared" si="24"/>
        <v>0</v>
      </c>
      <c r="BA44" s="1870">
        <f t="shared" si="24"/>
        <v>0</v>
      </c>
      <c r="BB44" s="1870">
        <f t="shared" si="25"/>
        <v>0</v>
      </c>
      <c r="BC44" s="1870">
        <f t="shared" si="26"/>
        <v>0</v>
      </c>
      <c r="BD44" s="1871">
        <f t="shared" si="26"/>
        <v>0</v>
      </c>
      <c r="BE44" s="779">
        <f t="shared" si="4"/>
        <v>37</v>
      </c>
      <c r="BF44" s="1872"/>
      <c r="BG44" s="779">
        <f t="shared" si="27"/>
        <v>0</v>
      </c>
      <c r="BH44" s="780">
        <f t="shared" si="56"/>
        <v>0</v>
      </c>
      <c r="BI44" s="780">
        <f t="shared" si="56"/>
        <v>0</v>
      </c>
      <c r="BJ44" s="780">
        <f t="shared" si="56"/>
        <v>0</v>
      </c>
      <c r="BK44" s="780">
        <f t="shared" si="56"/>
        <v>0</v>
      </c>
      <c r="BL44" s="780">
        <f t="shared" si="56"/>
        <v>0</v>
      </c>
      <c r="BM44" s="780">
        <f t="shared" si="56"/>
        <v>0</v>
      </c>
      <c r="BN44" s="780">
        <f t="shared" si="56"/>
        <v>0</v>
      </c>
      <c r="BO44" s="780">
        <f t="shared" si="56"/>
        <v>0</v>
      </c>
      <c r="BP44" s="780">
        <f t="shared" si="56"/>
        <v>0</v>
      </c>
      <c r="BQ44" s="780">
        <f t="shared" si="56"/>
        <v>0</v>
      </c>
      <c r="BR44" s="806">
        <f t="shared" si="56"/>
        <v>0</v>
      </c>
      <c r="BS44" s="779">
        <f t="shared" si="28"/>
        <v>37</v>
      </c>
      <c r="BT44" s="780"/>
      <c r="BU44" s="1873">
        <f t="shared" si="29"/>
        <v>0</v>
      </c>
      <c r="BV44" s="1873">
        <f t="shared" si="57"/>
        <v>0</v>
      </c>
      <c r="BW44" s="1873">
        <f t="shared" si="57"/>
        <v>0</v>
      </c>
      <c r="BX44" s="1873">
        <f t="shared" si="57"/>
        <v>0</v>
      </c>
      <c r="BY44" s="1873">
        <f t="shared" si="57"/>
        <v>0</v>
      </c>
      <c r="BZ44" s="1873">
        <f t="shared" si="57"/>
        <v>0</v>
      </c>
      <c r="CA44" s="1873">
        <f t="shared" si="57"/>
        <v>0</v>
      </c>
      <c r="CB44" s="1873">
        <f t="shared" si="57"/>
        <v>0</v>
      </c>
      <c r="CC44" s="1873">
        <f t="shared" si="57"/>
        <v>0</v>
      </c>
      <c r="CD44" s="1873">
        <f t="shared" si="57"/>
        <v>0</v>
      </c>
      <c r="CE44" s="1873">
        <f t="shared" si="57"/>
        <v>0</v>
      </c>
      <c r="CF44" s="1874">
        <f t="shared" si="57"/>
        <v>0</v>
      </c>
      <c r="CG44" s="779">
        <f t="shared" si="31"/>
        <v>37</v>
      </c>
      <c r="CH44" s="780"/>
      <c r="CI44" s="1870">
        <f t="shared" si="30"/>
        <v>0</v>
      </c>
      <c r="CJ44" s="1870">
        <f t="shared" si="58"/>
        <v>0</v>
      </c>
      <c r="CK44" s="1870">
        <f t="shared" si="58"/>
        <v>0</v>
      </c>
      <c r="CL44" s="1870">
        <f t="shared" si="58"/>
        <v>0</v>
      </c>
      <c r="CM44" s="1870">
        <f t="shared" si="58"/>
        <v>0</v>
      </c>
      <c r="CN44" s="1870">
        <f t="shared" si="58"/>
        <v>0</v>
      </c>
      <c r="CO44" s="1870">
        <f t="shared" si="58"/>
        <v>0</v>
      </c>
      <c r="CP44" s="1870">
        <f t="shared" si="58"/>
        <v>0</v>
      </c>
      <c r="CQ44" s="1870">
        <f t="shared" si="58"/>
        <v>0</v>
      </c>
      <c r="CR44" s="1870">
        <f t="shared" si="58"/>
        <v>0</v>
      </c>
      <c r="CS44" s="1870">
        <f t="shared" si="58"/>
        <v>0</v>
      </c>
      <c r="CT44" s="1871">
        <f t="shared" si="58"/>
        <v>0</v>
      </c>
    </row>
    <row r="45" spans="1:98" x14ac:dyDescent="0.2">
      <c r="A45" s="739"/>
      <c r="B45" s="285" t="s">
        <v>1192</v>
      </c>
      <c r="C45" s="280"/>
      <c r="D45" s="280"/>
      <c r="E45" s="280"/>
      <c r="F45" s="280"/>
      <c r="G45" s="280"/>
      <c r="H45" s="780"/>
      <c r="I45" s="780"/>
      <c r="J45" s="780"/>
      <c r="K45" s="780"/>
      <c r="L45" s="780"/>
      <c r="M45" s="280"/>
      <c r="N45" s="280"/>
      <c r="O45" s="280"/>
      <c r="P45" s="280"/>
      <c r="Q45" s="280"/>
      <c r="R45" s="280"/>
      <c r="S45" s="280"/>
      <c r="T45" s="280"/>
      <c r="U45" s="280"/>
      <c r="V45" s="280"/>
      <c r="W45" s="280"/>
      <c r="X45" s="280"/>
      <c r="Y45" s="762"/>
      <c r="Z45" s="762"/>
      <c r="AA45" s="762"/>
      <c r="AB45" s="762"/>
      <c r="AC45" s="779"/>
      <c r="AD45" s="780"/>
      <c r="AE45" s="780"/>
      <c r="AF45" s="780"/>
      <c r="AG45" s="780"/>
      <c r="AH45" s="780"/>
      <c r="AI45" s="780"/>
      <c r="AJ45" s="780"/>
      <c r="AK45" s="780"/>
      <c r="AL45" s="780"/>
      <c r="AM45" s="780"/>
      <c r="AN45" s="806"/>
      <c r="AO45" s="280"/>
      <c r="AP45" s="280"/>
      <c r="AQ45" s="280"/>
      <c r="AR45" s="280"/>
      <c r="AS45" s="1864"/>
      <c r="AT45" s="781"/>
      <c r="AU45" s="781"/>
      <c r="AV45" s="781"/>
      <c r="AW45" s="781"/>
      <c r="AX45" s="781"/>
      <c r="AY45" s="781"/>
      <c r="AZ45" s="781"/>
      <c r="BA45" s="781"/>
      <c r="BB45" s="781"/>
      <c r="BC45" s="781"/>
      <c r="BD45" s="1869"/>
      <c r="BE45" s="1864">
        <f t="shared" si="4"/>
        <v>38</v>
      </c>
      <c r="BF45" s="1821"/>
      <c r="BG45" s="781"/>
      <c r="BH45" s="781"/>
      <c r="BI45" s="781"/>
      <c r="BJ45" s="781"/>
      <c r="BK45" s="781"/>
      <c r="BL45" s="781"/>
      <c r="BM45" s="781"/>
      <c r="BN45" s="781"/>
      <c r="BO45" s="781"/>
      <c r="BP45" s="781"/>
      <c r="BQ45" s="781"/>
      <c r="BR45" s="1869"/>
      <c r="BS45" s="1864">
        <f t="shared" si="28"/>
        <v>38</v>
      </c>
      <c r="BT45" s="781"/>
      <c r="BU45" s="781"/>
      <c r="BV45" s="781"/>
      <c r="BW45" s="781"/>
      <c r="BX45" s="781"/>
      <c r="BY45" s="781"/>
      <c r="BZ45" s="781"/>
      <c r="CA45" s="781"/>
      <c r="CB45" s="781"/>
      <c r="CC45" s="781"/>
      <c r="CD45" s="781"/>
      <c r="CE45" s="781"/>
      <c r="CF45" s="1869"/>
      <c r="CG45" s="1864">
        <f t="shared" si="31"/>
        <v>38</v>
      </c>
      <c r="CH45" s="781"/>
      <c r="CI45" s="781"/>
      <c r="CJ45" s="781"/>
      <c r="CK45" s="781"/>
      <c r="CL45" s="781"/>
      <c r="CM45" s="781"/>
      <c r="CN45" s="781"/>
      <c r="CO45" s="781"/>
      <c r="CP45" s="781"/>
      <c r="CQ45" s="781"/>
      <c r="CR45" s="781"/>
      <c r="CS45" s="781"/>
      <c r="CT45" s="1869"/>
    </row>
    <row r="46" spans="1:98" x14ac:dyDescent="0.2">
      <c r="A46" s="590"/>
      <c r="B46" s="5015" t="s">
        <v>610</v>
      </c>
      <c r="C46" s="276" t="s">
        <v>346</v>
      </c>
      <c r="D46" s="5028">
        <v>8000</v>
      </c>
      <c r="E46" s="5017">
        <v>25</v>
      </c>
      <c r="F46" s="5018">
        <v>0</v>
      </c>
      <c r="G46" s="5018">
        <v>0</v>
      </c>
      <c r="H46" s="817">
        <f>100-SUM(E46:G46)</f>
        <v>75</v>
      </c>
      <c r="I46" s="775">
        <f t="shared" si="59"/>
        <v>2000</v>
      </c>
      <c r="J46" s="111">
        <f t="shared" si="59"/>
        <v>0</v>
      </c>
      <c r="K46" s="111">
        <f t="shared" si="59"/>
        <v>0</v>
      </c>
      <c r="L46" s="817">
        <f t="shared" si="59"/>
        <v>6000</v>
      </c>
      <c r="M46" s="5018">
        <f t="shared" si="32"/>
        <v>2000</v>
      </c>
      <c r="N46" s="5018">
        <f>L46/3</f>
        <v>2000</v>
      </c>
      <c r="O46" s="5018">
        <f t="shared" si="47"/>
        <v>666.66666666666663</v>
      </c>
      <c r="P46" s="5018">
        <f t="shared" si="48"/>
        <v>666.66666666666663</v>
      </c>
      <c r="Q46" s="5018">
        <f t="shared" si="49"/>
        <v>666.66666666666663</v>
      </c>
      <c r="R46" s="5018">
        <f t="shared" si="49"/>
        <v>0</v>
      </c>
      <c r="S46" s="5018">
        <f t="shared" si="50"/>
        <v>0</v>
      </c>
      <c r="T46" s="5018">
        <f t="shared" si="51"/>
        <v>0</v>
      </c>
      <c r="U46" s="5018">
        <f t="shared" si="51"/>
        <v>0</v>
      </c>
      <c r="V46" s="5018">
        <f t="shared" si="52"/>
        <v>0</v>
      </c>
      <c r="W46" s="5018">
        <f t="shared" si="53"/>
        <v>0</v>
      </c>
      <c r="X46" s="5018">
        <f t="shared" si="53"/>
        <v>2000</v>
      </c>
      <c r="Y46" s="5019">
        <v>8.99</v>
      </c>
      <c r="Z46" s="5020"/>
      <c r="AA46" s="755"/>
      <c r="AB46" s="756">
        <v>10.93</v>
      </c>
      <c r="AC46" s="1867">
        <f t="shared" si="9"/>
        <v>0.10929999999999999</v>
      </c>
      <c r="AD46" s="1867">
        <f t="shared" si="10"/>
        <v>0.10929999999999999</v>
      </c>
      <c r="AE46" s="1867">
        <f t="shared" si="11"/>
        <v>8.9900000000000008E-2</v>
      </c>
      <c r="AF46" s="1867">
        <f t="shared" si="12"/>
        <v>8.9900000000000008E-2</v>
      </c>
      <c r="AG46" s="1867">
        <f t="shared" si="13"/>
        <v>8.9900000000000008E-2</v>
      </c>
      <c r="AH46" s="1867">
        <f t="shared" si="13"/>
        <v>0</v>
      </c>
      <c r="AI46" s="1867">
        <f t="shared" si="14"/>
        <v>0</v>
      </c>
      <c r="AJ46" s="1867">
        <f t="shared" si="15"/>
        <v>0</v>
      </c>
      <c r="AK46" s="1867">
        <f t="shared" si="15"/>
        <v>0</v>
      </c>
      <c r="AL46" s="1867">
        <f t="shared" si="16"/>
        <v>0</v>
      </c>
      <c r="AM46" s="1867">
        <f t="shared" si="17"/>
        <v>0</v>
      </c>
      <c r="AN46" s="1868">
        <f t="shared" si="17"/>
        <v>0.10929999999999999</v>
      </c>
      <c r="AO46" s="749">
        <v>1.9</v>
      </c>
      <c r="AP46" s="284"/>
      <c r="AQ46" s="284"/>
      <c r="AR46" s="750">
        <v>2</v>
      </c>
      <c r="AS46" s="800">
        <f t="shared" si="18"/>
        <v>2</v>
      </c>
      <c r="AT46" s="800">
        <f t="shared" si="19"/>
        <v>2</v>
      </c>
      <c r="AU46" s="800">
        <f t="shared" si="20"/>
        <v>1.9</v>
      </c>
      <c r="AV46" s="800">
        <f t="shared" si="21"/>
        <v>1.9</v>
      </c>
      <c r="AW46" s="800">
        <f t="shared" si="22"/>
        <v>1.9</v>
      </c>
      <c r="AX46" s="800">
        <f t="shared" si="22"/>
        <v>0</v>
      </c>
      <c r="AY46" s="800">
        <f t="shared" si="23"/>
        <v>0</v>
      </c>
      <c r="AZ46" s="800">
        <f t="shared" si="24"/>
        <v>0</v>
      </c>
      <c r="BA46" s="800">
        <f t="shared" si="24"/>
        <v>0</v>
      </c>
      <c r="BB46" s="800">
        <f t="shared" si="25"/>
        <v>0</v>
      </c>
      <c r="BC46" s="800">
        <f t="shared" si="26"/>
        <v>0</v>
      </c>
      <c r="BD46" s="1865">
        <f t="shared" si="26"/>
        <v>2</v>
      </c>
      <c r="BE46" s="775">
        <f t="shared" si="4"/>
        <v>39</v>
      </c>
      <c r="BF46" s="590"/>
      <c r="BG46" s="775">
        <f t="shared" si="27"/>
        <v>2000</v>
      </c>
      <c r="BH46" s="111">
        <f t="shared" si="56"/>
        <v>2000</v>
      </c>
      <c r="BI46" s="111">
        <f t="shared" si="56"/>
        <v>666.66666666666663</v>
      </c>
      <c r="BJ46" s="111">
        <f t="shared" si="56"/>
        <v>666.66666666666663</v>
      </c>
      <c r="BK46" s="111">
        <f t="shared" si="56"/>
        <v>666.66666666666663</v>
      </c>
      <c r="BL46" s="111">
        <f t="shared" si="56"/>
        <v>0</v>
      </c>
      <c r="BM46" s="111">
        <f t="shared" si="56"/>
        <v>0</v>
      </c>
      <c r="BN46" s="111">
        <f t="shared" si="56"/>
        <v>0</v>
      </c>
      <c r="BO46" s="111">
        <f t="shared" si="56"/>
        <v>0</v>
      </c>
      <c r="BP46" s="111">
        <f t="shared" si="56"/>
        <v>0</v>
      </c>
      <c r="BQ46" s="111">
        <f t="shared" si="56"/>
        <v>0</v>
      </c>
      <c r="BR46" s="817">
        <f t="shared" si="56"/>
        <v>2000</v>
      </c>
      <c r="BS46" s="775">
        <f t="shared" si="28"/>
        <v>39</v>
      </c>
      <c r="BT46" s="111"/>
      <c r="BU46" s="1867">
        <f t="shared" si="29"/>
        <v>0.10929999999999999</v>
      </c>
      <c r="BV46" s="1867">
        <f t="shared" si="57"/>
        <v>0.10929999999999999</v>
      </c>
      <c r="BW46" s="1867">
        <f t="shared" si="57"/>
        <v>8.9900000000000008E-2</v>
      </c>
      <c r="BX46" s="1867">
        <f t="shared" si="57"/>
        <v>8.9900000000000008E-2</v>
      </c>
      <c r="BY46" s="1867">
        <f t="shared" si="57"/>
        <v>8.9900000000000008E-2</v>
      </c>
      <c r="BZ46" s="1867">
        <f t="shared" si="57"/>
        <v>0</v>
      </c>
      <c r="CA46" s="1867">
        <f t="shared" si="57"/>
        <v>0</v>
      </c>
      <c r="CB46" s="1867">
        <f t="shared" si="57"/>
        <v>0</v>
      </c>
      <c r="CC46" s="1867">
        <f t="shared" si="57"/>
        <v>0</v>
      </c>
      <c r="CD46" s="1867">
        <f t="shared" si="57"/>
        <v>0</v>
      </c>
      <c r="CE46" s="1867">
        <f t="shared" si="57"/>
        <v>0</v>
      </c>
      <c r="CF46" s="1868">
        <f t="shared" si="57"/>
        <v>0.10929999999999999</v>
      </c>
      <c r="CG46" s="775">
        <f t="shared" si="31"/>
        <v>39</v>
      </c>
      <c r="CH46" s="111"/>
      <c r="CI46" s="800">
        <f t="shared" si="30"/>
        <v>2</v>
      </c>
      <c r="CJ46" s="800">
        <f t="shared" si="58"/>
        <v>2</v>
      </c>
      <c r="CK46" s="800">
        <f t="shared" si="58"/>
        <v>1.9</v>
      </c>
      <c r="CL46" s="800">
        <f t="shared" si="58"/>
        <v>1.9</v>
      </c>
      <c r="CM46" s="800">
        <f t="shared" si="58"/>
        <v>1.9</v>
      </c>
      <c r="CN46" s="800">
        <f t="shared" si="58"/>
        <v>0</v>
      </c>
      <c r="CO46" s="800">
        <f t="shared" si="58"/>
        <v>0</v>
      </c>
      <c r="CP46" s="800">
        <f t="shared" si="58"/>
        <v>0</v>
      </c>
      <c r="CQ46" s="800">
        <f t="shared" si="58"/>
        <v>0</v>
      </c>
      <c r="CR46" s="800">
        <f t="shared" si="58"/>
        <v>0</v>
      </c>
      <c r="CS46" s="800">
        <f t="shared" si="58"/>
        <v>0</v>
      </c>
      <c r="CT46" s="1865">
        <f t="shared" si="58"/>
        <v>2</v>
      </c>
    </row>
    <row r="47" spans="1:98" x14ac:dyDescent="0.2">
      <c r="A47" s="590"/>
      <c r="B47" s="5015" t="s">
        <v>174</v>
      </c>
      <c r="C47" s="276" t="s">
        <v>346</v>
      </c>
      <c r="D47" s="5016">
        <v>7500</v>
      </c>
      <c r="E47" s="5017">
        <v>30</v>
      </c>
      <c r="F47" s="5018">
        <v>0</v>
      </c>
      <c r="G47" s="5018">
        <v>0</v>
      </c>
      <c r="H47" s="817">
        <f>100-SUM(E47:G47)</f>
        <v>70</v>
      </c>
      <c r="I47" s="775">
        <f t="shared" si="59"/>
        <v>2250</v>
      </c>
      <c r="J47" s="111">
        <f t="shared" si="59"/>
        <v>0</v>
      </c>
      <c r="K47" s="111">
        <f t="shared" si="59"/>
        <v>0</v>
      </c>
      <c r="L47" s="817">
        <f t="shared" si="59"/>
        <v>5250</v>
      </c>
      <c r="M47" s="5018">
        <f t="shared" si="32"/>
        <v>1750</v>
      </c>
      <c r="N47" s="5018">
        <f>L47/3</f>
        <v>1750</v>
      </c>
      <c r="O47" s="5018">
        <f t="shared" si="47"/>
        <v>750</v>
      </c>
      <c r="P47" s="5018">
        <f t="shared" si="48"/>
        <v>750</v>
      </c>
      <c r="Q47" s="5018">
        <f t="shared" si="49"/>
        <v>750</v>
      </c>
      <c r="R47" s="5018">
        <f t="shared" si="49"/>
        <v>0</v>
      </c>
      <c r="S47" s="5018">
        <f t="shared" si="50"/>
        <v>0</v>
      </c>
      <c r="T47" s="5018">
        <f t="shared" si="51"/>
        <v>0</v>
      </c>
      <c r="U47" s="5018">
        <f t="shared" si="51"/>
        <v>0</v>
      </c>
      <c r="V47" s="5018">
        <f t="shared" si="52"/>
        <v>0</v>
      </c>
      <c r="W47" s="5018">
        <f t="shared" si="53"/>
        <v>0</v>
      </c>
      <c r="X47" s="5018">
        <f t="shared" si="53"/>
        <v>1750</v>
      </c>
      <c r="Y47" s="5021">
        <v>12.61</v>
      </c>
      <c r="Z47" s="5022"/>
      <c r="AA47" s="757"/>
      <c r="AB47" s="758">
        <v>15.23</v>
      </c>
      <c r="AC47" s="1867">
        <f t="shared" si="9"/>
        <v>0.15229999999999999</v>
      </c>
      <c r="AD47" s="1867">
        <f t="shared" si="10"/>
        <v>0.15229999999999999</v>
      </c>
      <c r="AE47" s="1867">
        <f t="shared" si="11"/>
        <v>0.12609999999999999</v>
      </c>
      <c r="AF47" s="1867">
        <f t="shared" si="12"/>
        <v>0.12609999999999999</v>
      </c>
      <c r="AG47" s="1867">
        <f t="shared" si="13"/>
        <v>0.12609999999999999</v>
      </c>
      <c r="AH47" s="1867">
        <f t="shared" si="13"/>
        <v>0</v>
      </c>
      <c r="AI47" s="1867">
        <f t="shared" si="14"/>
        <v>0</v>
      </c>
      <c r="AJ47" s="1867">
        <f t="shared" si="15"/>
        <v>0</v>
      </c>
      <c r="AK47" s="1867">
        <f t="shared" si="15"/>
        <v>0</v>
      </c>
      <c r="AL47" s="1867">
        <f t="shared" si="16"/>
        <v>0</v>
      </c>
      <c r="AM47" s="1867">
        <f t="shared" si="17"/>
        <v>0</v>
      </c>
      <c r="AN47" s="1868">
        <f t="shared" si="17"/>
        <v>0.15229999999999999</v>
      </c>
      <c r="AO47" s="751">
        <v>2.1</v>
      </c>
      <c r="AP47" s="277"/>
      <c r="AQ47" s="277">
        <f>AP47</f>
        <v>0</v>
      </c>
      <c r="AR47" s="752">
        <v>2.25</v>
      </c>
      <c r="AS47" s="800">
        <f t="shared" si="18"/>
        <v>2.25</v>
      </c>
      <c r="AT47" s="800">
        <f t="shared" si="19"/>
        <v>2.25</v>
      </c>
      <c r="AU47" s="800">
        <f t="shared" si="20"/>
        <v>2.1</v>
      </c>
      <c r="AV47" s="800">
        <f t="shared" si="21"/>
        <v>2.1</v>
      </c>
      <c r="AW47" s="800">
        <f t="shared" si="22"/>
        <v>2.1</v>
      </c>
      <c r="AX47" s="800">
        <f t="shared" si="22"/>
        <v>0</v>
      </c>
      <c r="AY47" s="800">
        <f t="shared" si="23"/>
        <v>0</v>
      </c>
      <c r="AZ47" s="800">
        <f t="shared" si="24"/>
        <v>0</v>
      </c>
      <c r="BA47" s="800">
        <f t="shared" si="24"/>
        <v>0</v>
      </c>
      <c r="BB47" s="800">
        <f t="shared" si="25"/>
        <v>0</v>
      </c>
      <c r="BC47" s="800">
        <f t="shared" si="26"/>
        <v>0</v>
      </c>
      <c r="BD47" s="1865">
        <f t="shared" si="26"/>
        <v>2.25</v>
      </c>
      <c r="BE47" s="775">
        <f t="shared" si="4"/>
        <v>40</v>
      </c>
      <c r="BF47" s="590"/>
      <c r="BG47" s="775">
        <f t="shared" si="27"/>
        <v>1750</v>
      </c>
      <c r="BH47" s="111">
        <f t="shared" si="56"/>
        <v>1750</v>
      </c>
      <c r="BI47" s="111">
        <f t="shared" si="56"/>
        <v>750</v>
      </c>
      <c r="BJ47" s="111">
        <f t="shared" si="56"/>
        <v>750</v>
      </c>
      <c r="BK47" s="111">
        <f t="shared" si="56"/>
        <v>750</v>
      </c>
      <c r="BL47" s="111">
        <f t="shared" si="56"/>
        <v>0</v>
      </c>
      <c r="BM47" s="111">
        <f t="shared" si="56"/>
        <v>0</v>
      </c>
      <c r="BN47" s="111">
        <f t="shared" si="56"/>
        <v>0</v>
      </c>
      <c r="BO47" s="111">
        <f t="shared" si="56"/>
        <v>0</v>
      </c>
      <c r="BP47" s="111">
        <f t="shared" si="56"/>
        <v>0</v>
      </c>
      <c r="BQ47" s="111">
        <f t="shared" si="56"/>
        <v>0</v>
      </c>
      <c r="BR47" s="817">
        <f t="shared" si="56"/>
        <v>1750</v>
      </c>
      <c r="BS47" s="775">
        <f t="shared" si="28"/>
        <v>40</v>
      </c>
      <c r="BT47" s="111"/>
      <c r="BU47" s="1867">
        <f t="shared" si="29"/>
        <v>0.15229999999999999</v>
      </c>
      <c r="BV47" s="1867">
        <f t="shared" si="57"/>
        <v>0.15229999999999999</v>
      </c>
      <c r="BW47" s="1867">
        <f t="shared" si="57"/>
        <v>0.12609999999999999</v>
      </c>
      <c r="BX47" s="1867">
        <f t="shared" si="57"/>
        <v>0.12609999999999999</v>
      </c>
      <c r="BY47" s="1867">
        <f t="shared" si="57"/>
        <v>0.12609999999999999</v>
      </c>
      <c r="BZ47" s="1867">
        <f t="shared" si="57"/>
        <v>0</v>
      </c>
      <c r="CA47" s="1867">
        <f t="shared" si="57"/>
        <v>0</v>
      </c>
      <c r="CB47" s="1867">
        <f t="shared" si="57"/>
        <v>0</v>
      </c>
      <c r="CC47" s="1867">
        <f t="shared" si="57"/>
        <v>0</v>
      </c>
      <c r="CD47" s="1867">
        <f t="shared" si="57"/>
        <v>0</v>
      </c>
      <c r="CE47" s="1867">
        <f t="shared" si="57"/>
        <v>0</v>
      </c>
      <c r="CF47" s="1868">
        <f t="shared" si="57"/>
        <v>0.15229999999999999</v>
      </c>
      <c r="CG47" s="775">
        <f t="shared" si="31"/>
        <v>40</v>
      </c>
      <c r="CH47" s="111"/>
      <c r="CI47" s="800">
        <f t="shared" si="30"/>
        <v>2.25</v>
      </c>
      <c r="CJ47" s="800">
        <f t="shared" si="58"/>
        <v>2.25</v>
      </c>
      <c r="CK47" s="800">
        <f t="shared" si="58"/>
        <v>2.1</v>
      </c>
      <c r="CL47" s="800">
        <f t="shared" si="58"/>
        <v>2.1</v>
      </c>
      <c r="CM47" s="800">
        <f t="shared" si="58"/>
        <v>2.1</v>
      </c>
      <c r="CN47" s="800">
        <f t="shared" si="58"/>
        <v>0</v>
      </c>
      <c r="CO47" s="800">
        <f t="shared" si="58"/>
        <v>0</v>
      </c>
      <c r="CP47" s="800">
        <f t="shared" si="58"/>
        <v>0</v>
      </c>
      <c r="CQ47" s="800">
        <f t="shared" si="58"/>
        <v>0</v>
      </c>
      <c r="CR47" s="800">
        <f t="shared" si="58"/>
        <v>0</v>
      </c>
      <c r="CS47" s="800">
        <f t="shared" si="58"/>
        <v>0</v>
      </c>
      <c r="CT47" s="1865">
        <f t="shared" si="58"/>
        <v>2.25</v>
      </c>
    </row>
    <row r="48" spans="1:98" x14ac:dyDescent="0.2">
      <c r="A48" s="590"/>
      <c r="B48" s="5015"/>
      <c r="C48" s="276" t="s">
        <v>346</v>
      </c>
      <c r="D48" s="5016">
        <v>0</v>
      </c>
      <c r="E48" s="5017"/>
      <c r="F48" s="5018"/>
      <c r="G48" s="5018"/>
      <c r="H48" s="817">
        <f>100-SUM(E48:G48)</f>
        <v>100</v>
      </c>
      <c r="I48" s="775">
        <f t="shared" si="59"/>
        <v>0</v>
      </c>
      <c r="J48" s="111">
        <f t="shared" si="59"/>
        <v>0</v>
      </c>
      <c r="K48" s="111">
        <f t="shared" si="59"/>
        <v>0</v>
      </c>
      <c r="L48" s="817">
        <f t="shared" si="59"/>
        <v>0</v>
      </c>
      <c r="M48" s="5018">
        <f>L48/3</f>
        <v>0</v>
      </c>
      <c r="N48" s="5018">
        <f>L48/3</f>
        <v>0</v>
      </c>
      <c r="O48" s="5018">
        <f>I48/3</f>
        <v>0</v>
      </c>
      <c r="P48" s="5018">
        <f>I48/3</f>
        <v>0</v>
      </c>
      <c r="Q48" s="5018">
        <f t="shared" ref="Q48:R50" si="60">I48/3</f>
        <v>0</v>
      </c>
      <c r="R48" s="5018">
        <f t="shared" si="60"/>
        <v>0</v>
      </c>
      <c r="S48" s="5018">
        <f>J48/3</f>
        <v>0</v>
      </c>
      <c r="T48" s="5018">
        <f t="shared" ref="T48:U50" si="61">J48/3</f>
        <v>0</v>
      </c>
      <c r="U48" s="5018">
        <f t="shared" si="61"/>
        <v>0</v>
      </c>
      <c r="V48" s="5018">
        <f>K48/3</f>
        <v>0</v>
      </c>
      <c r="W48" s="5018">
        <f t="shared" ref="W48:X50" si="62">K48/3</f>
        <v>0</v>
      </c>
      <c r="X48" s="5018">
        <f t="shared" si="62"/>
        <v>0</v>
      </c>
      <c r="Y48" s="5021"/>
      <c r="Z48" s="5022"/>
      <c r="AA48" s="757"/>
      <c r="AB48" s="758"/>
      <c r="AC48" s="1867">
        <f t="shared" si="9"/>
        <v>0</v>
      </c>
      <c r="AD48" s="1867">
        <f t="shared" si="10"/>
        <v>0</v>
      </c>
      <c r="AE48" s="1867">
        <f t="shared" si="11"/>
        <v>0</v>
      </c>
      <c r="AF48" s="1867">
        <f t="shared" si="12"/>
        <v>0</v>
      </c>
      <c r="AG48" s="1867">
        <f t="shared" si="13"/>
        <v>0</v>
      </c>
      <c r="AH48" s="1867">
        <f t="shared" si="13"/>
        <v>0</v>
      </c>
      <c r="AI48" s="1867">
        <f t="shared" si="14"/>
        <v>0</v>
      </c>
      <c r="AJ48" s="1867">
        <f t="shared" si="15"/>
        <v>0</v>
      </c>
      <c r="AK48" s="1867">
        <f t="shared" si="15"/>
        <v>0</v>
      </c>
      <c r="AL48" s="1867">
        <f t="shared" si="16"/>
        <v>0</v>
      </c>
      <c r="AM48" s="1867">
        <f t="shared" si="17"/>
        <v>0</v>
      </c>
      <c r="AN48" s="1868">
        <f t="shared" si="17"/>
        <v>0</v>
      </c>
      <c r="AO48" s="751"/>
      <c r="AP48" s="277"/>
      <c r="AQ48" s="277"/>
      <c r="AR48" s="752"/>
      <c r="AS48" s="800">
        <f t="shared" si="18"/>
        <v>0</v>
      </c>
      <c r="AT48" s="800">
        <f t="shared" si="19"/>
        <v>0</v>
      </c>
      <c r="AU48" s="800">
        <f t="shared" si="20"/>
        <v>0</v>
      </c>
      <c r="AV48" s="800">
        <f t="shared" si="21"/>
        <v>0</v>
      </c>
      <c r="AW48" s="800">
        <f t="shared" si="22"/>
        <v>0</v>
      </c>
      <c r="AX48" s="800">
        <f t="shared" si="22"/>
        <v>0</v>
      </c>
      <c r="AY48" s="800">
        <f t="shared" si="23"/>
        <v>0</v>
      </c>
      <c r="AZ48" s="800">
        <f t="shared" si="24"/>
        <v>0</v>
      </c>
      <c r="BA48" s="800">
        <f t="shared" si="24"/>
        <v>0</v>
      </c>
      <c r="BB48" s="800">
        <f t="shared" si="25"/>
        <v>0</v>
      </c>
      <c r="BC48" s="800">
        <f t="shared" si="26"/>
        <v>0</v>
      </c>
      <c r="BD48" s="1865">
        <f t="shared" si="26"/>
        <v>0</v>
      </c>
      <c r="BE48" s="775">
        <f t="shared" si="4"/>
        <v>41</v>
      </c>
      <c r="BF48" s="590"/>
      <c r="BG48" s="775">
        <f t="shared" si="27"/>
        <v>0</v>
      </c>
      <c r="BH48" s="111">
        <f t="shared" si="56"/>
        <v>0</v>
      </c>
      <c r="BI48" s="111">
        <f t="shared" si="56"/>
        <v>0</v>
      </c>
      <c r="BJ48" s="111">
        <f t="shared" si="56"/>
        <v>0</v>
      </c>
      <c r="BK48" s="111">
        <f t="shared" si="56"/>
        <v>0</v>
      </c>
      <c r="BL48" s="111">
        <f t="shared" si="56"/>
        <v>0</v>
      </c>
      <c r="BM48" s="111">
        <f t="shared" si="56"/>
        <v>0</v>
      </c>
      <c r="BN48" s="111">
        <f t="shared" si="56"/>
        <v>0</v>
      </c>
      <c r="BO48" s="111">
        <f t="shared" si="56"/>
        <v>0</v>
      </c>
      <c r="BP48" s="111">
        <f t="shared" si="56"/>
        <v>0</v>
      </c>
      <c r="BQ48" s="111">
        <f t="shared" si="56"/>
        <v>0</v>
      </c>
      <c r="BR48" s="817">
        <f t="shared" si="56"/>
        <v>0</v>
      </c>
      <c r="BS48" s="775">
        <f t="shared" si="28"/>
        <v>41</v>
      </c>
      <c r="BT48" s="111"/>
      <c r="BU48" s="1867">
        <f t="shared" si="29"/>
        <v>0</v>
      </c>
      <c r="BV48" s="1867">
        <f t="shared" si="57"/>
        <v>0</v>
      </c>
      <c r="BW48" s="1867">
        <f t="shared" si="57"/>
        <v>0</v>
      </c>
      <c r="BX48" s="1867">
        <f t="shared" si="57"/>
        <v>0</v>
      </c>
      <c r="BY48" s="1867">
        <f t="shared" si="57"/>
        <v>0</v>
      </c>
      <c r="BZ48" s="1867">
        <f t="shared" si="57"/>
        <v>0</v>
      </c>
      <c r="CA48" s="1867">
        <f t="shared" si="57"/>
        <v>0</v>
      </c>
      <c r="CB48" s="1867">
        <f t="shared" si="57"/>
        <v>0</v>
      </c>
      <c r="CC48" s="1867">
        <f t="shared" si="57"/>
        <v>0</v>
      </c>
      <c r="CD48" s="1867">
        <f t="shared" si="57"/>
        <v>0</v>
      </c>
      <c r="CE48" s="1867">
        <f t="shared" si="57"/>
        <v>0</v>
      </c>
      <c r="CF48" s="1868">
        <f t="shared" si="57"/>
        <v>0</v>
      </c>
      <c r="CG48" s="775">
        <f t="shared" si="31"/>
        <v>41</v>
      </c>
      <c r="CH48" s="111"/>
      <c r="CI48" s="800">
        <f t="shared" si="30"/>
        <v>0</v>
      </c>
      <c r="CJ48" s="800">
        <f t="shared" si="58"/>
        <v>0</v>
      </c>
      <c r="CK48" s="800">
        <f t="shared" si="58"/>
        <v>0</v>
      </c>
      <c r="CL48" s="800">
        <f t="shared" si="58"/>
        <v>0</v>
      </c>
      <c r="CM48" s="800">
        <f t="shared" si="58"/>
        <v>0</v>
      </c>
      <c r="CN48" s="800">
        <f t="shared" si="58"/>
        <v>0</v>
      </c>
      <c r="CO48" s="800">
        <f t="shared" si="58"/>
        <v>0</v>
      </c>
      <c r="CP48" s="800">
        <f t="shared" si="58"/>
        <v>0</v>
      </c>
      <c r="CQ48" s="800">
        <f t="shared" si="58"/>
        <v>0</v>
      </c>
      <c r="CR48" s="800">
        <f t="shared" si="58"/>
        <v>0</v>
      </c>
      <c r="CS48" s="800">
        <f t="shared" si="58"/>
        <v>0</v>
      </c>
      <c r="CT48" s="1865">
        <f t="shared" si="58"/>
        <v>0</v>
      </c>
    </row>
    <row r="49" spans="1:98" x14ac:dyDescent="0.2">
      <c r="A49" s="590"/>
      <c r="B49" s="5015"/>
      <c r="C49" s="276" t="s">
        <v>346</v>
      </c>
      <c r="D49" s="5016">
        <v>0</v>
      </c>
      <c r="E49" s="5017"/>
      <c r="F49" s="5018"/>
      <c r="G49" s="5018"/>
      <c r="H49" s="817">
        <f>100-SUM(E49:G49)</f>
        <v>100</v>
      </c>
      <c r="I49" s="775">
        <f t="shared" si="59"/>
        <v>0</v>
      </c>
      <c r="J49" s="111">
        <f t="shared" si="59"/>
        <v>0</v>
      </c>
      <c r="K49" s="111">
        <f t="shared" si="59"/>
        <v>0</v>
      </c>
      <c r="L49" s="817">
        <f t="shared" si="59"/>
        <v>0</v>
      </c>
      <c r="M49" s="5018">
        <f>L49/3</f>
        <v>0</v>
      </c>
      <c r="N49" s="5018">
        <f>L49/3</f>
        <v>0</v>
      </c>
      <c r="O49" s="5018">
        <f>I49/3</f>
        <v>0</v>
      </c>
      <c r="P49" s="5018">
        <f>I49/3</f>
        <v>0</v>
      </c>
      <c r="Q49" s="5018">
        <f t="shared" si="60"/>
        <v>0</v>
      </c>
      <c r="R49" s="5018">
        <f t="shared" si="60"/>
        <v>0</v>
      </c>
      <c r="S49" s="5018">
        <f>J49/3</f>
        <v>0</v>
      </c>
      <c r="T49" s="5018">
        <f t="shared" si="61"/>
        <v>0</v>
      </c>
      <c r="U49" s="5018">
        <f t="shared" si="61"/>
        <v>0</v>
      </c>
      <c r="V49" s="5018">
        <f>K49/3</f>
        <v>0</v>
      </c>
      <c r="W49" s="5018">
        <f t="shared" si="62"/>
        <v>0</v>
      </c>
      <c r="X49" s="5018">
        <f t="shared" si="62"/>
        <v>0</v>
      </c>
      <c r="Y49" s="5021"/>
      <c r="Z49" s="5022"/>
      <c r="AA49" s="757"/>
      <c r="AB49" s="758"/>
      <c r="AC49" s="1867">
        <f t="shared" si="9"/>
        <v>0</v>
      </c>
      <c r="AD49" s="1867">
        <f t="shared" si="10"/>
        <v>0</v>
      </c>
      <c r="AE49" s="1867">
        <f t="shared" si="11"/>
        <v>0</v>
      </c>
      <c r="AF49" s="1867">
        <f t="shared" si="12"/>
        <v>0</v>
      </c>
      <c r="AG49" s="1867">
        <f t="shared" si="13"/>
        <v>0</v>
      </c>
      <c r="AH49" s="1867">
        <f t="shared" si="13"/>
        <v>0</v>
      </c>
      <c r="AI49" s="1867">
        <f t="shared" si="14"/>
        <v>0</v>
      </c>
      <c r="AJ49" s="1867">
        <f t="shared" si="15"/>
        <v>0</v>
      </c>
      <c r="AK49" s="1867">
        <f t="shared" si="15"/>
        <v>0</v>
      </c>
      <c r="AL49" s="1867">
        <f t="shared" si="16"/>
        <v>0</v>
      </c>
      <c r="AM49" s="1867">
        <f t="shared" si="17"/>
        <v>0</v>
      </c>
      <c r="AN49" s="1868">
        <f t="shared" si="17"/>
        <v>0</v>
      </c>
      <c r="AO49" s="751"/>
      <c r="AP49" s="277"/>
      <c r="AQ49" s="277"/>
      <c r="AR49" s="752"/>
      <c r="AS49" s="800">
        <f t="shared" si="18"/>
        <v>0</v>
      </c>
      <c r="AT49" s="800">
        <f t="shared" si="19"/>
        <v>0</v>
      </c>
      <c r="AU49" s="800">
        <f t="shared" si="20"/>
        <v>0</v>
      </c>
      <c r="AV49" s="800">
        <f t="shared" si="21"/>
        <v>0</v>
      </c>
      <c r="AW49" s="800">
        <f t="shared" si="22"/>
        <v>0</v>
      </c>
      <c r="AX49" s="800">
        <f t="shared" si="22"/>
        <v>0</v>
      </c>
      <c r="AY49" s="800">
        <f t="shared" si="23"/>
        <v>0</v>
      </c>
      <c r="AZ49" s="800">
        <f t="shared" si="24"/>
        <v>0</v>
      </c>
      <c r="BA49" s="800">
        <f t="shared" si="24"/>
        <v>0</v>
      </c>
      <c r="BB49" s="800">
        <f t="shared" si="25"/>
        <v>0</v>
      </c>
      <c r="BC49" s="800">
        <f t="shared" si="26"/>
        <v>0</v>
      </c>
      <c r="BD49" s="1865">
        <f t="shared" si="26"/>
        <v>0</v>
      </c>
      <c r="BE49" s="775">
        <f t="shared" si="4"/>
        <v>42</v>
      </c>
      <c r="BF49" s="590"/>
      <c r="BG49" s="775">
        <f t="shared" si="27"/>
        <v>0</v>
      </c>
      <c r="BH49" s="111">
        <f t="shared" si="56"/>
        <v>0</v>
      </c>
      <c r="BI49" s="111">
        <f t="shared" si="56"/>
        <v>0</v>
      </c>
      <c r="BJ49" s="111">
        <f t="shared" si="56"/>
        <v>0</v>
      </c>
      <c r="BK49" s="111">
        <f t="shared" si="56"/>
        <v>0</v>
      </c>
      <c r="BL49" s="111">
        <f t="shared" si="56"/>
        <v>0</v>
      </c>
      <c r="BM49" s="111">
        <f t="shared" si="56"/>
        <v>0</v>
      </c>
      <c r="BN49" s="111">
        <f t="shared" si="56"/>
        <v>0</v>
      </c>
      <c r="BO49" s="111">
        <f t="shared" si="56"/>
        <v>0</v>
      </c>
      <c r="BP49" s="111">
        <f t="shared" si="56"/>
        <v>0</v>
      </c>
      <c r="BQ49" s="111">
        <f t="shared" si="56"/>
        <v>0</v>
      </c>
      <c r="BR49" s="817">
        <f t="shared" si="56"/>
        <v>0</v>
      </c>
      <c r="BS49" s="775">
        <f t="shared" si="28"/>
        <v>42</v>
      </c>
      <c r="BT49" s="111"/>
      <c r="BU49" s="1867">
        <f t="shared" si="29"/>
        <v>0</v>
      </c>
      <c r="BV49" s="1867">
        <f t="shared" si="57"/>
        <v>0</v>
      </c>
      <c r="BW49" s="1867">
        <f t="shared" si="57"/>
        <v>0</v>
      </c>
      <c r="BX49" s="1867">
        <f t="shared" si="57"/>
        <v>0</v>
      </c>
      <c r="BY49" s="1867">
        <f t="shared" si="57"/>
        <v>0</v>
      </c>
      <c r="BZ49" s="1867">
        <f t="shared" si="57"/>
        <v>0</v>
      </c>
      <c r="CA49" s="1867">
        <f t="shared" si="57"/>
        <v>0</v>
      </c>
      <c r="CB49" s="1867">
        <f t="shared" si="57"/>
        <v>0</v>
      </c>
      <c r="CC49" s="1867">
        <f t="shared" si="57"/>
        <v>0</v>
      </c>
      <c r="CD49" s="1867">
        <f t="shared" si="57"/>
        <v>0</v>
      </c>
      <c r="CE49" s="1867">
        <f t="shared" si="57"/>
        <v>0</v>
      </c>
      <c r="CF49" s="1868">
        <f t="shared" si="57"/>
        <v>0</v>
      </c>
      <c r="CG49" s="775">
        <f t="shared" si="31"/>
        <v>42</v>
      </c>
      <c r="CH49" s="111"/>
      <c r="CI49" s="800">
        <f t="shared" si="30"/>
        <v>0</v>
      </c>
      <c r="CJ49" s="800">
        <f t="shared" si="58"/>
        <v>0</v>
      </c>
      <c r="CK49" s="800">
        <f t="shared" si="58"/>
        <v>0</v>
      </c>
      <c r="CL49" s="800">
        <f t="shared" si="58"/>
        <v>0</v>
      </c>
      <c r="CM49" s="800">
        <f t="shared" si="58"/>
        <v>0</v>
      </c>
      <c r="CN49" s="800">
        <f t="shared" si="58"/>
        <v>0</v>
      </c>
      <c r="CO49" s="800">
        <f t="shared" si="58"/>
        <v>0</v>
      </c>
      <c r="CP49" s="800">
        <f t="shared" si="58"/>
        <v>0</v>
      </c>
      <c r="CQ49" s="800">
        <f t="shared" si="58"/>
        <v>0</v>
      </c>
      <c r="CR49" s="800">
        <f t="shared" si="58"/>
        <v>0</v>
      </c>
      <c r="CS49" s="800">
        <f t="shared" si="58"/>
        <v>0</v>
      </c>
      <c r="CT49" s="1865">
        <f t="shared" si="58"/>
        <v>0</v>
      </c>
    </row>
    <row r="50" spans="1:98" x14ac:dyDescent="0.2">
      <c r="A50" s="590"/>
      <c r="B50" s="5025"/>
      <c r="C50" s="282" t="s">
        <v>346</v>
      </c>
      <c r="D50" s="5031">
        <v>0</v>
      </c>
      <c r="E50" s="5032"/>
      <c r="F50" s="5026"/>
      <c r="G50" s="5026"/>
      <c r="H50" s="806">
        <f>100-SUM(E50:G50)</f>
        <v>100</v>
      </c>
      <c r="I50" s="779">
        <f t="shared" si="59"/>
        <v>0</v>
      </c>
      <c r="J50" s="780">
        <f t="shared" si="59"/>
        <v>0</v>
      </c>
      <c r="K50" s="780">
        <f t="shared" si="59"/>
        <v>0</v>
      </c>
      <c r="L50" s="806">
        <f t="shared" si="59"/>
        <v>0</v>
      </c>
      <c r="M50" s="5026">
        <f>L50/3</f>
        <v>0</v>
      </c>
      <c r="N50" s="5026">
        <f>L50/3</f>
        <v>0</v>
      </c>
      <c r="O50" s="5026">
        <f>I50/3</f>
        <v>0</v>
      </c>
      <c r="P50" s="5026">
        <f>I50/3</f>
        <v>0</v>
      </c>
      <c r="Q50" s="5026">
        <f t="shared" si="60"/>
        <v>0</v>
      </c>
      <c r="R50" s="5026">
        <f t="shared" si="60"/>
        <v>0</v>
      </c>
      <c r="S50" s="5026">
        <f>J50/3</f>
        <v>0</v>
      </c>
      <c r="T50" s="5026">
        <f t="shared" si="61"/>
        <v>0</v>
      </c>
      <c r="U50" s="5026">
        <f t="shared" si="61"/>
        <v>0</v>
      </c>
      <c r="V50" s="5026">
        <f>K50/3</f>
        <v>0</v>
      </c>
      <c r="W50" s="5026">
        <f t="shared" si="62"/>
        <v>0</v>
      </c>
      <c r="X50" s="5026">
        <f t="shared" si="62"/>
        <v>0</v>
      </c>
      <c r="Y50" s="5023"/>
      <c r="Z50" s="5024"/>
      <c r="AA50" s="759"/>
      <c r="AB50" s="760"/>
      <c r="AC50" s="1867">
        <f t="shared" si="9"/>
        <v>0</v>
      </c>
      <c r="AD50" s="1867">
        <f t="shared" si="10"/>
        <v>0</v>
      </c>
      <c r="AE50" s="1867">
        <f t="shared" si="11"/>
        <v>0</v>
      </c>
      <c r="AF50" s="1867">
        <f t="shared" si="12"/>
        <v>0</v>
      </c>
      <c r="AG50" s="1867">
        <f t="shared" si="13"/>
        <v>0</v>
      </c>
      <c r="AH50" s="1867">
        <f t="shared" si="13"/>
        <v>0</v>
      </c>
      <c r="AI50" s="1867">
        <f t="shared" si="14"/>
        <v>0</v>
      </c>
      <c r="AJ50" s="1867">
        <f t="shared" si="15"/>
        <v>0</v>
      </c>
      <c r="AK50" s="1867">
        <f t="shared" si="15"/>
        <v>0</v>
      </c>
      <c r="AL50" s="1867">
        <f t="shared" si="16"/>
        <v>0</v>
      </c>
      <c r="AM50" s="1867">
        <f t="shared" si="17"/>
        <v>0</v>
      </c>
      <c r="AN50" s="1868">
        <f t="shared" si="17"/>
        <v>0</v>
      </c>
      <c r="AO50" s="753"/>
      <c r="AP50" s="279"/>
      <c r="AQ50" s="279"/>
      <c r="AR50" s="754"/>
      <c r="AS50" s="800">
        <f t="shared" si="18"/>
        <v>0</v>
      </c>
      <c r="AT50" s="800">
        <f t="shared" si="19"/>
        <v>0</v>
      </c>
      <c r="AU50" s="800">
        <f t="shared" si="20"/>
        <v>0</v>
      </c>
      <c r="AV50" s="800">
        <f t="shared" si="21"/>
        <v>0</v>
      </c>
      <c r="AW50" s="800">
        <f t="shared" si="22"/>
        <v>0</v>
      </c>
      <c r="AX50" s="800">
        <f t="shared" si="22"/>
        <v>0</v>
      </c>
      <c r="AY50" s="800">
        <f t="shared" si="23"/>
        <v>0</v>
      </c>
      <c r="AZ50" s="800">
        <f t="shared" si="24"/>
        <v>0</v>
      </c>
      <c r="BA50" s="800">
        <f t="shared" si="24"/>
        <v>0</v>
      </c>
      <c r="BB50" s="800">
        <f t="shared" si="25"/>
        <v>0</v>
      </c>
      <c r="BC50" s="800">
        <f t="shared" si="26"/>
        <v>0</v>
      </c>
      <c r="BD50" s="1865">
        <f t="shared" si="26"/>
        <v>0</v>
      </c>
      <c r="BE50" s="775">
        <f t="shared" si="4"/>
        <v>43</v>
      </c>
      <c r="BF50" s="590"/>
      <c r="BG50" s="775">
        <f t="shared" si="27"/>
        <v>0</v>
      </c>
      <c r="BH50" s="111">
        <f t="shared" si="56"/>
        <v>0</v>
      </c>
      <c r="BI50" s="111">
        <f t="shared" si="56"/>
        <v>0</v>
      </c>
      <c r="BJ50" s="111">
        <f t="shared" si="56"/>
        <v>0</v>
      </c>
      <c r="BK50" s="111">
        <f t="shared" si="56"/>
        <v>0</v>
      </c>
      <c r="BL50" s="111">
        <f t="shared" si="56"/>
        <v>0</v>
      </c>
      <c r="BM50" s="111">
        <f t="shared" si="56"/>
        <v>0</v>
      </c>
      <c r="BN50" s="111">
        <f t="shared" si="56"/>
        <v>0</v>
      </c>
      <c r="BO50" s="111">
        <f t="shared" si="56"/>
        <v>0</v>
      </c>
      <c r="BP50" s="111">
        <f t="shared" si="56"/>
        <v>0</v>
      </c>
      <c r="BQ50" s="111">
        <f t="shared" si="56"/>
        <v>0</v>
      </c>
      <c r="BR50" s="817">
        <f t="shared" si="56"/>
        <v>0</v>
      </c>
      <c r="BS50" s="775">
        <f t="shared" si="28"/>
        <v>43</v>
      </c>
      <c r="BT50" s="111"/>
      <c r="BU50" s="1867">
        <f t="shared" si="29"/>
        <v>0</v>
      </c>
      <c r="BV50" s="1867">
        <f t="shared" si="57"/>
        <v>0</v>
      </c>
      <c r="BW50" s="1867">
        <f t="shared" si="57"/>
        <v>0</v>
      </c>
      <c r="BX50" s="1867">
        <f t="shared" si="57"/>
        <v>0</v>
      </c>
      <c r="BY50" s="1867">
        <f t="shared" si="57"/>
        <v>0</v>
      </c>
      <c r="BZ50" s="1867">
        <f t="shared" si="57"/>
        <v>0</v>
      </c>
      <c r="CA50" s="1867">
        <f t="shared" si="57"/>
        <v>0</v>
      </c>
      <c r="CB50" s="1867">
        <f t="shared" si="57"/>
        <v>0</v>
      </c>
      <c r="CC50" s="1867">
        <f t="shared" si="57"/>
        <v>0</v>
      </c>
      <c r="CD50" s="1867">
        <f t="shared" si="57"/>
        <v>0</v>
      </c>
      <c r="CE50" s="1867">
        <f t="shared" si="57"/>
        <v>0</v>
      </c>
      <c r="CF50" s="1868">
        <f t="shared" si="57"/>
        <v>0</v>
      </c>
      <c r="CG50" s="775">
        <f t="shared" si="31"/>
        <v>43</v>
      </c>
      <c r="CH50" s="111"/>
      <c r="CI50" s="800">
        <f t="shared" si="30"/>
        <v>0</v>
      </c>
      <c r="CJ50" s="800">
        <f t="shared" si="58"/>
        <v>0</v>
      </c>
      <c r="CK50" s="800">
        <f t="shared" si="58"/>
        <v>0</v>
      </c>
      <c r="CL50" s="800">
        <f t="shared" si="58"/>
        <v>0</v>
      </c>
      <c r="CM50" s="800">
        <f t="shared" si="58"/>
        <v>0</v>
      </c>
      <c r="CN50" s="800">
        <f t="shared" si="58"/>
        <v>0</v>
      </c>
      <c r="CO50" s="800">
        <f t="shared" si="58"/>
        <v>0</v>
      </c>
      <c r="CP50" s="800">
        <f t="shared" si="58"/>
        <v>0</v>
      </c>
      <c r="CQ50" s="800">
        <f t="shared" si="58"/>
        <v>0</v>
      </c>
      <c r="CR50" s="800">
        <f t="shared" si="58"/>
        <v>0</v>
      </c>
      <c r="CS50" s="800">
        <f t="shared" si="58"/>
        <v>0</v>
      </c>
      <c r="CT50" s="1865">
        <f t="shared" si="58"/>
        <v>0</v>
      </c>
    </row>
    <row r="51" spans="1:98" x14ac:dyDescent="0.2">
      <c r="A51" s="739"/>
      <c r="B51" s="285" t="s">
        <v>332</v>
      </c>
      <c r="C51" s="282"/>
      <c r="D51" s="282"/>
      <c r="E51" s="281"/>
      <c r="F51" s="280"/>
      <c r="G51" s="280"/>
      <c r="H51" s="806"/>
      <c r="I51" s="779"/>
      <c r="J51" s="780"/>
      <c r="K51" s="780"/>
      <c r="L51" s="806"/>
      <c r="M51" s="274"/>
      <c r="N51" s="274"/>
      <c r="O51" s="274"/>
      <c r="P51" s="274"/>
      <c r="Q51" s="274"/>
      <c r="R51" s="274"/>
      <c r="S51" s="274"/>
      <c r="T51" s="274"/>
      <c r="U51" s="274"/>
      <c r="V51" s="274"/>
      <c r="W51" s="274"/>
      <c r="X51" s="274"/>
      <c r="Y51" s="763"/>
      <c r="Z51" s="761"/>
      <c r="AA51" s="761"/>
      <c r="AB51" s="823" t="s">
        <v>1506</v>
      </c>
      <c r="AC51" s="781"/>
      <c r="AD51" s="781"/>
      <c r="AE51" s="781"/>
      <c r="AF51" s="781"/>
      <c r="AG51" s="781"/>
      <c r="AH51" s="781"/>
      <c r="AI51" s="781"/>
      <c r="AJ51" s="781"/>
      <c r="AK51" s="781"/>
      <c r="AL51" s="781"/>
      <c r="AM51" s="781"/>
      <c r="AN51" s="1869"/>
      <c r="AO51" s="34"/>
      <c r="AP51" s="34"/>
      <c r="AQ51" s="34"/>
      <c r="AR51" s="823" t="s">
        <v>1506</v>
      </c>
      <c r="AS51" s="781"/>
      <c r="AT51" s="781"/>
      <c r="AU51" s="781"/>
      <c r="AV51" s="781"/>
      <c r="AW51" s="781"/>
      <c r="AX51" s="781"/>
      <c r="AY51" s="781"/>
      <c r="AZ51" s="781"/>
      <c r="BA51" s="781"/>
      <c r="BB51" s="781"/>
      <c r="BC51" s="781"/>
      <c r="BD51" s="1869"/>
      <c r="BE51" s="1864"/>
      <c r="BF51" s="1821"/>
      <c r="BG51" s="781"/>
      <c r="BH51" s="781"/>
      <c r="BI51" s="781"/>
      <c r="BJ51" s="781"/>
      <c r="BK51" s="781"/>
      <c r="BL51" s="781"/>
      <c r="BM51" s="781"/>
      <c r="BN51" s="781"/>
      <c r="BO51" s="781"/>
      <c r="BP51" s="781"/>
      <c r="BQ51" s="781"/>
      <c r="BR51" s="1869"/>
      <c r="BS51" s="1864"/>
      <c r="BT51" s="781"/>
      <c r="BU51" s="781"/>
      <c r="BV51" s="781"/>
      <c r="BW51" s="781"/>
      <c r="BX51" s="781"/>
      <c r="BY51" s="781"/>
      <c r="BZ51" s="781"/>
      <c r="CA51" s="781"/>
      <c r="CB51" s="781"/>
      <c r="CC51" s="781"/>
      <c r="CD51" s="781"/>
      <c r="CE51" s="781"/>
      <c r="CF51" s="1869"/>
      <c r="CG51" s="1864"/>
      <c r="CH51" s="781"/>
      <c r="CI51" s="781"/>
      <c r="CJ51" s="781"/>
      <c r="CK51" s="781"/>
      <c r="CL51" s="781"/>
      <c r="CM51" s="781"/>
      <c r="CN51" s="781"/>
      <c r="CO51" s="781"/>
      <c r="CP51" s="781"/>
      <c r="CQ51" s="781"/>
      <c r="CR51" s="781"/>
      <c r="CS51" s="781"/>
      <c r="CT51" s="1869"/>
    </row>
    <row r="52" spans="1:98" x14ac:dyDescent="0.2">
      <c r="A52" s="590"/>
      <c r="B52" s="5033" t="s">
        <v>62</v>
      </c>
      <c r="C52" s="286" t="s">
        <v>185</v>
      </c>
      <c r="D52" s="5034">
        <v>10000</v>
      </c>
      <c r="E52" s="772"/>
      <c r="F52" s="773"/>
      <c r="G52" s="773"/>
      <c r="H52" s="774"/>
      <c r="I52" s="775"/>
      <c r="J52" s="111"/>
      <c r="K52" s="111"/>
      <c r="L52" s="111"/>
      <c r="M52" s="769"/>
      <c r="N52" s="782"/>
      <c r="O52" s="782"/>
      <c r="P52" s="782"/>
      <c r="Q52" s="782"/>
      <c r="R52" s="782"/>
      <c r="S52" s="782"/>
      <c r="T52" s="782"/>
      <c r="U52" s="782"/>
      <c r="V52" s="782"/>
      <c r="W52" s="782"/>
      <c r="X52" s="783"/>
      <c r="Y52" s="807"/>
      <c r="Z52" s="790"/>
      <c r="AA52" s="790"/>
      <c r="AB52" s="818">
        <v>8</v>
      </c>
      <c r="AC52" s="1889"/>
      <c r="AD52" s="1889"/>
      <c r="AE52" s="1889"/>
      <c r="AF52" s="1889"/>
      <c r="AG52" s="1878"/>
      <c r="AH52" s="1889"/>
      <c r="AI52" s="1889"/>
      <c r="AJ52" s="1889"/>
      <c r="AK52" s="1889"/>
      <c r="AL52" s="1889"/>
      <c r="AM52" s="1889"/>
      <c r="AN52" s="1890"/>
      <c r="AO52" s="792"/>
      <c r="AP52" s="793"/>
      <c r="AQ52" s="793"/>
      <c r="AR52" s="811">
        <v>2.39</v>
      </c>
      <c r="AS52" s="793"/>
      <c r="AT52" s="793"/>
      <c r="AU52" s="793"/>
      <c r="AV52" s="793"/>
      <c r="AW52" s="1875"/>
      <c r="AX52" s="793"/>
      <c r="AY52" s="793"/>
      <c r="AZ52" s="793"/>
      <c r="BA52" s="793"/>
      <c r="BB52" s="793"/>
      <c r="BC52" s="793"/>
      <c r="BD52" s="1876"/>
      <c r="BE52" s="815"/>
      <c r="BF52" s="1877"/>
      <c r="BG52" s="815"/>
      <c r="BH52" s="782"/>
      <c r="BI52" s="782"/>
      <c r="BJ52" s="782"/>
      <c r="BK52" s="782"/>
      <c r="BL52" s="782"/>
      <c r="BM52" s="782"/>
      <c r="BN52" s="782"/>
      <c r="BO52" s="782"/>
      <c r="BP52" s="782"/>
      <c r="BQ52" s="782"/>
      <c r="BR52" s="816"/>
      <c r="BS52" s="815"/>
      <c r="BT52" s="782"/>
      <c r="BU52" s="1878"/>
      <c r="BV52" s="1878"/>
      <c r="BW52" s="1878"/>
      <c r="BX52" s="1878"/>
      <c r="BY52" s="1878"/>
      <c r="BZ52" s="1878"/>
      <c r="CA52" s="1878"/>
      <c r="CB52" s="1878"/>
      <c r="CC52" s="1878"/>
      <c r="CD52" s="1878"/>
      <c r="CE52" s="1878"/>
      <c r="CF52" s="1879"/>
      <c r="CG52" s="815"/>
      <c r="CH52" s="782"/>
      <c r="CI52" s="1875"/>
      <c r="CJ52" s="1875"/>
      <c r="CK52" s="1875"/>
      <c r="CL52" s="1875"/>
      <c r="CM52" s="1875"/>
      <c r="CN52" s="1875"/>
      <c r="CO52" s="1875"/>
      <c r="CP52" s="1875"/>
      <c r="CQ52" s="1875"/>
      <c r="CR52" s="1875"/>
      <c r="CS52" s="1875"/>
      <c r="CT52" s="1880"/>
    </row>
    <row r="53" spans="1:98" x14ac:dyDescent="0.2">
      <c r="A53" s="590"/>
      <c r="B53" s="5033" t="s">
        <v>80</v>
      </c>
      <c r="C53" s="286" t="s">
        <v>185</v>
      </c>
      <c r="D53" s="5034">
        <v>9600</v>
      </c>
      <c r="E53" s="772"/>
      <c r="F53" s="773"/>
      <c r="G53" s="773"/>
      <c r="H53" s="774"/>
      <c r="I53" s="775"/>
      <c r="J53" s="111"/>
      <c r="K53" s="111"/>
      <c r="L53" s="111"/>
      <c r="M53" s="784"/>
      <c r="N53" s="111"/>
      <c r="O53" s="111"/>
      <c r="P53" s="111"/>
      <c r="Q53" s="111"/>
      <c r="R53" s="111"/>
      <c r="S53" s="111"/>
      <c r="T53" s="111"/>
      <c r="U53" s="111"/>
      <c r="V53" s="111"/>
      <c r="W53" s="111"/>
      <c r="X53" s="785"/>
      <c r="Y53" s="808"/>
      <c r="Z53" s="795"/>
      <c r="AA53" s="795"/>
      <c r="AB53" s="819">
        <v>12</v>
      </c>
      <c r="AC53" s="1891"/>
      <c r="AD53" s="1891"/>
      <c r="AE53" s="1891"/>
      <c r="AF53" s="1891"/>
      <c r="AG53" s="1867"/>
      <c r="AH53" s="1891"/>
      <c r="AI53" s="1891"/>
      <c r="AJ53" s="1891"/>
      <c r="AK53" s="1891"/>
      <c r="AL53" s="1891"/>
      <c r="AM53" s="1891"/>
      <c r="AN53" s="1892"/>
      <c r="AO53" s="797"/>
      <c r="AP53" s="798"/>
      <c r="AQ53" s="798"/>
      <c r="AR53" s="812">
        <v>1.91</v>
      </c>
      <c r="AS53" s="798"/>
      <c r="AT53" s="798"/>
      <c r="AU53" s="798"/>
      <c r="AV53" s="798"/>
      <c r="AW53" s="800"/>
      <c r="AX53" s="798"/>
      <c r="AY53" s="798"/>
      <c r="AZ53" s="798"/>
      <c r="BA53" s="798"/>
      <c r="BB53" s="798"/>
      <c r="BC53" s="798"/>
      <c r="BD53" s="1881"/>
      <c r="BE53" s="775"/>
      <c r="BF53" s="590"/>
      <c r="BG53" s="775"/>
      <c r="BH53" s="111"/>
      <c r="BI53" s="111"/>
      <c r="BJ53" s="111"/>
      <c r="BK53" s="111"/>
      <c r="BL53" s="111"/>
      <c r="BM53" s="111"/>
      <c r="BN53" s="111"/>
      <c r="BO53" s="111"/>
      <c r="BP53" s="111"/>
      <c r="BQ53" s="111"/>
      <c r="BR53" s="817"/>
      <c r="BS53" s="775"/>
      <c r="BT53" s="111"/>
      <c r="BU53" s="1867"/>
      <c r="BV53" s="1867"/>
      <c r="BW53" s="1867"/>
      <c r="BX53" s="1867"/>
      <c r="BY53" s="1867"/>
      <c r="BZ53" s="1867"/>
      <c r="CA53" s="1867"/>
      <c r="CB53" s="1867"/>
      <c r="CC53" s="1867"/>
      <c r="CD53" s="1867"/>
      <c r="CE53" s="1867"/>
      <c r="CF53" s="1868"/>
      <c r="CG53" s="775"/>
      <c r="CH53" s="111"/>
      <c r="CI53" s="800"/>
      <c r="CJ53" s="800"/>
      <c r="CK53" s="800"/>
      <c r="CL53" s="800"/>
      <c r="CM53" s="800"/>
      <c r="CN53" s="800"/>
      <c r="CO53" s="800"/>
      <c r="CP53" s="800"/>
      <c r="CQ53" s="800"/>
      <c r="CR53" s="800"/>
      <c r="CS53" s="800"/>
      <c r="CT53" s="1865"/>
    </row>
    <row r="54" spans="1:98" x14ac:dyDescent="0.2">
      <c r="A54" s="590"/>
      <c r="B54" s="5033" t="s">
        <v>64</v>
      </c>
      <c r="C54" s="286" t="s">
        <v>185</v>
      </c>
      <c r="D54" s="5034">
        <v>3040</v>
      </c>
      <c r="E54" s="772"/>
      <c r="F54" s="773"/>
      <c r="G54" s="773"/>
      <c r="H54" s="774"/>
      <c r="I54" s="775"/>
      <c r="J54" s="111"/>
      <c r="K54" s="111"/>
      <c r="L54" s="111"/>
      <c r="M54" s="784"/>
      <c r="N54" s="111"/>
      <c r="O54" s="111"/>
      <c r="P54" s="111"/>
      <c r="Q54" s="111"/>
      <c r="R54" s="111"/>
      <c r="S54" s="111"/>
      <c r="T54" s="111"/>
      <c r="U54" s="111"/>
      <c r="V54" s="111"/>
      <c r="W54" s="111"/>
      <c r="X54" s="785"/>
      <c r="Y54" s="808"/>
      <c r="Z54" s="795"/>
      <c r="AA54" s="795"/>
      <c r="AB54" s="819">
        <v>3</v>
      </c>
      <c r="AC54" s="1891"/>
      <c r="AD54" s="1891"/>
      <c r="AE54" s="1891"/>
      <c r="AF54" s="1891"/>
      <c r="AG54" s="1867"/>
      <c r="AH54" s="1891"/>
      <c r="AI54" s="1891"/>
      <c r="AJ54" s="1891"/>
      <c r="AK54" s="1891"/>
      <c r="AL54" s="1891"/>
      <c r="AM54" s="1891"/>
      <c r="AN54" s="1892"/>
      <c r="AO54" s="797"/>
      <c r="AP54" s="798"/>
      <c r="AQ54" s="798"/>
      <c r="AR54" s="812">
        <v>1.44</v>
      </c>
      <c r="AS54" s="798"/>
      <c r="AT54" s="798"/>
      <c r="AU54" s="798"/>
      <c r="AV54" s="798"/>
      <c r="AW54" s="800"/>
      <c r="AX54" s="798"/>
      <c r="AY54" s="798"/>
      <c r="AZ54" s="798"/>
      <c r="BA54" s="798"/>
      <c r="BB54" s="798"/>
      <c r="BC54" s="798"/>
      <c r="BD54" s="1881"/>
      <c r="BE54" s="775"/>
      <c r="BF54" s="590"/>
      <c r="BG54" s="775"/>
      <c r="BH54" s="111"/>
      <c r="BI54" s="111"/>
      <c r="BJ54" s="111"/>
      <c r="BK54" s="111"/>
      <c r="BL54" s="111"/>
      <c r="BM54" s="111"/>
      <c r="BN54" s="111"/>
      <c r="BO54" s="111"/>
      <c r="BP54" s="111"/>
      <c r="BQ54" s="111"/>
      <c r="BR54" s="817"/>
      <c r="BS54" s="775"/>
      <c r="BT54" s="111"/>
      <c r="BU54" s="1867"/>
      <c r="BV54" s="1867"/>
      <c r="BW54" s="1867"/>
      <c r="BX54" s="1867"/>
      <c r="BY54" s="1867"/>
      <c r="BZ54" s="1867"/>
      <c r="CA54" s="1867"/>
      <c r="CB54" s="1867"/>
      <c r="CC54" s="1867"/>
      <c r="CD54" s="1867"/>
      <c r="CE54" s="1867"/>
      <c r="CF54" s="1868"/>
      <c r="CG54" s="775"/>
      <c r="CH54" s="111"/>
      <c r="CI54" s="800"/>
      <c r="CJ54" s="800"/>
      <c r="CK54" s="800"/>
      <c r="CL54" s="800"/>
      <c r="CM54" s="800"/>
      <c r="CN54" s="800"/>
      <c r="CO54" s="800"/>
      <c r="CP54" s="800"/>
      <c r="CQ54" s="800"/>
      <c r="CR54" s="800"/>
      <c r="CS54" s="800"/>
      <c r="CT54" s="1865"/>
    </row>
    <row r="55" spans="1:98" x14ac:dyDescent="0.2">
      <c r="A55" s="590"/>
      <c r="B55" s="5033" t="s">
        <v>528</v>
      </c>
      <c r="C55" s="286" t="s">
        <v>185</v>
      </c>
      <c r="D55" s="5034">
        <v>6000</v>
      </c>
      <c r="E55" s="772"/>
      <c r="F55" s="773"/>
      <c r="G55" s="773"/>
      <c r="H55" s="774"/>
      <c r="I55" s="775"/>
      <c r="J55" s="111"/>
      <c r="K55" s="111"/>
      <c r="L55" s="111"/>
      <c r="M55" s="784"/>
      <c r="N55" s="111"/>
      <c r="O55" s="111"/>
      <c r="P55" s="111"/>
      <c r="Q55" s="111"/>
      <c r="R55" s="111"/>
      <c r="S55" s="111"/>
      <c r="T55" s="111"/>
      <c r="U55" s="111"/>
      <c r="V55" s="111"/>
      <c r="W55" s="111"/>
      <c r="X55" s="785"/>
      <c r="Y55" s="808"/>
      <c r="Z55" s="795"/>
      <c r="AA55" s="795"/>
      <c r="AB55" s="820">
        <v>14</v>
      </c>
      <c r="AC55" s="1891"/>
      <c r="AD55" s="1891"/>
      <c r="AE55" s="1891"/>
      <c r="AF55" s="1891"/>
      <c r="AG55" s="1891"/>
      <c r="AH55" s="1891"/>
      <c r="AI55" s="1891"/>
      <c r="AJ55" s="1891"/>
      <c r="AK55" s="1891"/>
      <c r="AL55" s="1891"/>
      <c r="AM55" s="1891"/>
      <c r="AN55" s="1892"/>
      <c r="AO55" s="797"/>
      <c r="AP55" s="798"/>
      <c r="AQ55" s="798"/>
      <c r="AR55" s="812">
        <v>2.2999999999999998</v>
      </c>
      <c r="AS55" s="798"/>
      <c r="AT55" s="798"/>
      <c r="AU55" s="798"/>
      <c r="AV55" s="798"/>
      <c r="AW55" s="798"/>
      <c r="AX55" s="798"/>
      <c r="AY55" s="798"/>
      <c r="AZ55" s="798"/>
      <c r="BA55" s="798"/>
      <c r="BB55" s="798"/>
      <c r="BC55" s="798"/>
      <c r="BD55" s="1881"/>
      <c r="BE55" s="775"/>
      <c r="BF55" s="590"/>
      <c r="BG55" s="775"/>
      <c r="BH55" s="111"/>
      <c r="BI55" s="111"/>
      <c r="BJ55" s="111"/>
      <c r="BK55" s="111"/>
      <c r="BL55" s="111"/>
      <c r="BM55" s="111"/>
      <c r="BN55" s="111"/>
      <c r="BO55" s="111"/>
      <c r="BP55" s="111"/>
      <c r="BQ55" s="111"/>
      <c r="BR55" s="817"/>
      <c r="BS55" s="775"/>
      <c r="BT55" s="111"/>
      <c r="BU55" s="1867"/>
      <c r="BV55" s="1867"/>
      <c r="BW55" s="1867"/>
      <c r="BX55" s="1867"/>
      <c r="BY55" s="1867"/>
      <c r="BZ55" s="1867"/>
      <c r="CA55" s="1867"/>
      <c r="CB55" s="1867"/>
      <c r="CC55" s="1867"/>
      <c r="CD55" s="1867"/>
      <c r="CE55" s="1867"/>
      <c r="CF55" s="1868"/>
      <c r="CG55" s="775"/>
      <c r="CH55" s="111"/>
      <c r="CI55" s="800"/>
      <c r="CJ55" s="800"/>
      <c r="CK55" s="800"/>
      <c r="CL55" s="800"/>
      <c r="CM55" s="800"/>
      <c r="CN55" s="800"/>
      <c r="CO55" s="800"/>
      <c r="CP55" s="800"/>
      <c r="CQ55" s="800"/>
      <c r="CR55" s="800"/>
      <c r="CS55" s="800"/>
      <c r="CT55" s="1865"/>
    </row>
    <row r="56" spans="1:98" x14ac:dyDescent="0.2">
      <c r="A56" s="590"/>
      <c r="B56" s="5033"/>
      <c r="C56" s="286" t="s">
        <v>185</v>
      </c>
      <c r="D56" s="5034">
        <v>0</v>
      </c>
      <c r="E56" s="772"/>
      <c r="F56" s="773"/>
      <c r="G56" s="773"/>
      <c r="H56" s="774"/>
      <c r="I56" s="775"/>
      <c r="J56" s="111"/>
      <c r="K56" s="111"/>
      <c r="L56" s="111"/>
      <c r="M56" s="784"/>
      <c r="N56" s="111"/>
      <c r="O56" s="111"/>
      <c r="P56" s="111"/>
      <c r="Q56" s="111"/>
      <c r="R56" s="111"/>
      <c r="S56" s="111"/>
      <c r="T56" s="111"/>
      <c r="U56" s="111"/>
      <c r="V56" s="111"/>
      <c r="W56" s="111"/>
      <c r="X56" s="785"/>
      <c r="Y56" s="808"/>
      <c r="Z56" s="795"/>
      <c r="AA56" s="795"/>
      <c r="AB56" s="819"/>
      <c r="AC56" s="1891"/>
      <c r="AD56" s="1891"/>
      <c r="AE56" s="1891"/>
      <c r="AF56" s="1891"/>
      <c r="AG56" s="1891"/>
      <c r="AH56" s="1891"/>
      <c r="AI56" s="1891"/>
      <c r="AJ56" s="1891"/>
      <c r="AK56" s="1891"/>
      <c r="AL56" s="1891"/>
      <c r="AM56" s="1891"/>
      <c r="AN56" s="1892"/>
      <c r="AO56" s="797"/>
      <c r="AP56" s="798"/>
      <c r="AQ56" s="798"/>
      <c r="AR56" s="812"/>
      <c r="AS56" s="798"/>
      <c r="AT56" s="798"/>
      <c r="AU56" s="798"/>
      <c r="AV56" s="798"/>
      <c r="AW56" s="798"/>
      <c r="AX56" s="798"/>
      <c r="AY56" s="798"/>
      <c r="AZ56" s="798"/>
      <c r="BA56" s="798"/>
      <c r="BB56" s="798"/>
      <c r="BC56" s="798"/>
      <c r="BD56" s="1881"/>
      <c r="BE56" s="775"/>
      <c r="BF56" s="590"/>
      <c r="BG56" s="775"/>
      <c r="BH56" s="111"/>
      <c r="BI56" s="111"/>
      <c r="BJ56" s="111"/>
      <c r="BK56" s="111"/>
      <c r="BL56" s="111"/>
      <c r="BM56" s="111"/>
      <c r="BN56" s="111"/>
      <c r="BO56" s="111"/>
      <c r="BP56" s="111"/>
      <c r="BQ56" s="111"/>
      <c r="BR56" s="817"/>
      <c r="BS56" s="775"/>
      <c r="BT56" s="111"/>
      <c r="BU56" s="1867"/>
      <c r="BV56" s="1867"/>
      <c r="BW56" s="1867"/>
      <c r="BX56" s="1867"/>
      <c r="BY56" s="1867"/>
      <c r="BZ56" s="1867"/>
      <c r="CA56" s="1867"/>
      <c r="CB56" s="1867"/>
      <c r="CC56" s="1867"/>
      <c r="CD56" s="1867"/>
      <c r="CE56" s="1867"/>
      <c r="CF56" s="1868"/>
      <c r="CG56" s="775"/>
      <c r="CH56" s="111"/>
      <c r="CI56" s="800"/>
      <c r="CJ56" s="800"/>
      <c r="CK56" s="800"/>
      <c r="CL56" s="800"/>
      <c r="CM56" s="800"/>
      <c r="CN56" s="800"/>
      <c r="CO56" s="800"/>
      <c r="CP56" s="800"/>
      <c r="CQ56" s="800"/>
      <c r="CR56" s="800"/>
      <c r="CS56" s="800"/>
      <c r="CT56" s="1865"/>
    </row>
    <row r="57" spans="1:98" x14ac:dyDescent="0.2">
      <c r="A57" s="590"/>
      <c r="B57" s="5035"/>
      <c r="C57" s="287" t="s">
        <v>185</v>
      </c>
      <c r="D57" s="5036">
        <v>0</v>
      </c>
      <c r="E57" s="776"/>
      <c r="F57" s="777"/>
      <c r="G57" s="777"/>
      <c r="H57" s="778"/>
      <c r="I57" s="779"/>
      <c r="J57" s="780"/>
      <c r="K57" s="780"/>
      <c r="L57" s="780"/>
      <c r="M57" s="786"/>
      <c r="N57" s="780"/>
      <c r="O57" s="780"/>
      <c r="P57" s="780"/>
      <c r="Q57" s="780"/>
      <c r="R57" s="780"/>
      <c r="S57" s="780"/>
      <c r="T57" s="780"/>
      <c r="U57" s="780"/>
      <c r="V57" s="780"/>
      <c r="W57" s="780"/>
      <c r="X57" s="787"/>
      <c r="Y57" s="809"/>
      <c r="Z57" s="801"/>
      <c r="AA57" s="801"/>
      <c r="AB57" s="821"/>
      <c r="AC57" s="1893"/>
      <c r="AD57" s="1893"/>
      <c r="AE57" s="1893"/>
      <c r="AF57" s="1893"/>
      <c r="AG57" s="1893"/>
      <c r="AH57" s="1893"/>
      <c r="AI57" s="1893"/>
      <c r="AJ57" s="1893"/>
      <c r="AK57" s="1893"/>
      <c r="AL57" s="1893"/>
      <c r="AM57" s="1893"/>
      <c r="AN57" s="1894"/>
      <c r="AO57" s="803"/>
      <c r="AP57" s="804"/>
      <c r="AQ57" s="804"/>
      <c r="AR57" s="813"/>
      <c r="AS57" s="804"/>
      <c r="AT57" s="804"/>
      <c r="AU57" s="804"/>
      <c r="AV57" s="804"/>
      <c r="AW57" s="804"/>
      <c r="AX57" s="804"/>
      <c r="AY57" s="804"/>
      <c r="AZ57" s="804"/>
      <c r="BA57" s="804"/>
      <c r="BB57" s="804"/>
      <c r="BC57" s="804"/>
      <c r="BD57" s="1882"/>
      <c r="BE57" s="779"/>
      <c r="BF57" s="1872"/>
      <c r="BG57" s="779"/>
      <c r="BH57" s="780"/>
      <c r="BI57" s="780"/>
      <c r="BJ57" s="780"/>
      <c r="BK57" s="780"/>
      <c r="BL57" s="780"/>
      <c r="BM57" s="780"/>
      <c r="BN57" s="780"/>
      <c r="BO57" s="780"/>
      <c r="BP57" s="780"/>
      <c r="BQ57" s="780"/>
      <c r="BR57" s="806"/>
      <c r="BS57" s="779"/>
      <c r="BT57" s="780"/>
      <c r="BU57" s="1873"/>
      <c r="BV57" s="1873"/>
      <c r="BW57" s="1873"/>
      <c r="BX57" s="1873"/>
      <c r="BY57" s="1873"/>
      <c r="BZ57" s="1873"/>
      <c r="CA57" s="1873"/>
      <c r="CB57" s="1873"/>
      <c r="CC57" s="1873"/>
      <c r="CD57" s="1873"/>
      <c r="CE57" s="1873"/>
      <c r="CF57" s="1874"/>
      <c r="CG57" s="779"/>
      <c r="CH57" s="780"/>
      <c r="CI57" s="1870"/>
      <c r="CJ57" s="1870"/>
      <c r="CK57" s="1870"/>
      <c r="CL57" s="1870"/>
      <c r="CM57" s="1870"/>
      <c r="CN57" s="1870"/>
      <c r="CO57" s="1870"/>
      <c r="CP57" s="1870"/>
      <c r="CQ57" s="1870"/>
      <c r="CR57" s="1870"/>
      <c r="CS57" s="1870"/>
      <c r="CT57" s="1871"/>
    </row>
    <row r="58" spans="1:98" x14ac:dyDescent="0.2">
      <c r="A58" s="739"/>
      <c r="B58" s="278" t="s">
        <v>333</v>
      </c>
      <c r="C58" s="34"/>
      <c r="D58" s="34">
        <v>0</v>
      </c>
      <c r="E58" s="781"/>
      <c r="F58" s="781"/>
      <c r="G58" s="781"/>
      <c r="H58" s="781"/>
      <c r="I58" s="781"/>
      <c r="J58" s="781"/>
      <c r="K58" s="781"/>
      <c r="L58" s="781"/>
      <c r="M58" s="780"/>
      <c r="N58" s="780"/>
      <c r="O58" s="780"/>
      <c r="P58" s="780"/>
      <c r="Q58" s="780"/>
      <c r="R58" s="780"/>
      <c r="S58" s="780"/>
      <c r="T58" s="780"/>
      <c r="U58" s="780"/>
      <c r="V58" s="780"/>
      <c r="W58" s="780"/>
      <c r="X58" s="780"/>
      <c r="Y58" s="763"/>
      <c r="Z58" s="822" t="s">
        <v>1506</v>
      </c>
      <c r="AA58" s="761"/>
      <c r="AB58" s="761"/>
      <c r="AC58" s="779"/>
      <c r="AD58" s="780"/>
      <c r="AE58" s="780"/>
      <c r="AF58" s="780"/>
      <c r="AG58" s="780"/>
      <c r="AH58" s="780"/>
      <c r="AI58" s="780"/>
      <c r="AJ58" s="780"/>
      <c r="AK58" s="780"/>
      <c r="AL58" s="780"/>
      <c r="AM58" s="780"/>
      <c r="AN58" s="806"/>
      <c r="AO58" s="280"/>
      <c r="AP58" s="822" t="s">
        <v>1506</v>
      </c>
      <c r="AQ58" s="280"/>
      <c r="AR58" s="814"/>
      <c r="AS58" s="780"/>
      <c r="AT58" s="780"/>
      <c r="AU58" s="780"/>
      <c r="AV58" s="780"/>
      <c r="AW58" s="780"/>
      <c r="AX58" s="780"/>
      <c r="AY58" s="780"/>
      <c r="AZ58" s="780"/>
      <c r="BA58" s="780"/>
      <c r="BB58" s="780"/>
      <c r="BC58" s="780"/>
      <c r="BD58" s="806"/>
      <c r="BE58" s="779"/>
      <c r="BF58" s="1872"/>
      <c r="BG58" s="780"/>
      <c r="BH58" s="780"/>
      <c r="BI58" s="780"/>
      <c r="BJ58" s="780"/>
      <c r="BK58" s="780"/>
      <c r="BL58" s="780"/>
      <c r="BM58" s="780"/>
      <c r="BN58" s="780"/>
      <c r="BO58" s="780"/>
      <c r="BP58" s="780"/>
      <c r="BQ58" s="780"/>
      <c r="BR58" s="806"/>
      <c r="BS58" s="779"/>
      <c r="BT58" s="780"/>
      <c r="BU58" s="780"/>
      <c r="BV58" s="780"/>
      <c r="BW58" s="780"/>
      <c r="BX58" s="780"/>
      <c r="BY58" s="780"/>
      <c r="BZ58" s="780"/>
      <c r="CA58" s="780"/>
      <c r="CB58" s="780"/>
      <c r="CC58" s="780"/>
      <c r="CD58" s="780"/>
      <c r="CE58" s="780"/>
      <c r="CF58" s="806"/>
      <c r="CG58" s="779"/>
      <c r="CH58" s="780"/>
      <c r="CI58" s="780"/>
      <c r="CJ58" s="780"/>
      <c r="CK58" s="780"/>
      <c r="CL58" s="780"/>
      <c r="CM58" s="780"/>
      <c r="CN58" s="780"/>
      <c r="CO58" s="780"/>
      <c r="CP58" s="780"/>
      <c r="CQ58" s="780"/>
      <c r="CR58" s="780"/>
      <c r="CS58" s="780"/>
      <c r="CT58" s="806"/>
    </row>
    <row r="59" spans="1:98" x14ac:dyDescent="0.2">
      <c r="A59" s="590"/>
      <c r="B59" s="5033" t="s">
        <v>1573</v>
      </c>
      <c r="C59" s="286" t="s">
        <v>185</v>
      </c>
      <c r="D59" s="5016">
        <v>4800</v>
      </c>
      <c r="E59" s="772"/>
      <c r="F59" s="773"/>
      <c r="G59" s="773"/>
      <c r="H59" s="774"/>
      <c r="I59" s="775"/>
      <c r="J59" s="111"/>
      <c r="K59" s="111"/>
      <c r="L59" s="111"/>
      <c r="M59" s="769"/>
      <c r="N59" s="782"/>
      <c r="O59" s="782"/>
      <c r="P59" s="782"/>
      <c r="Q59" s="782"/>
      <c r="R59" s="782"/>
      <c r="S59" s="782"/>
      <c r="T59" s="782"/>
      <c r="U59" s="782"/>
      <c r="V59" s="782"/>
      <c r="W59" s="782"/>
      <c r="X59" s="783"/>
      <c r="Y59" s="807"/>
      <c r="Z59" s="5037">
        <v>13.5</v>
      </c>
      <c r="AA59" s="790"/>
      <c r="AB59" s="791"/>
      <c r="AC59" s="1891"/>
      <c r="AD59" s="1891"/>
      <c r="AE59" s="1891"/>
      <c r="AF59" s="1891"/>
      <c r="AG59" s="1891"/>
      <c r="AH59" s="1891"/>
      <c r="AI59" s="1891"/>
      <c r="AJ59" s="1891"/>
      <c r="AK59" s="1891"/>
      <c r="AL59" s="1891"/>
      <c r="AM59" s="1891"/>
      <c r="AN59" s="1892"/>
      <c r="AO59" s="792"/>
      <c r="AP59" s="952">
        <v>1.95</v>
      </c>
      <c r="AQ59" s="793"/>
      <c r="AR59" s="794"/>
      <c r="AS59" s="798"/>
      <c r="AT59" s="798"/>
      <c r="AU59" s="798"/>
      <c r="AV59" s="798"/>
      <c r="AW59" s="798"/>
      <c r="AX59" s="798"/>
      <c r="AY59" s="798"/>
      <c r="AZ59" s="798"/>
      <c r="BA59" s="798"/>
      <c r="BB59" s="798"/>
      <c r="BC59" s="798"/>
      <c r="BD59" s="1881"/>
      <c r="BE59" s="775"/>
      <c r="BF59" s="590"/>
      <c r="BG59" s="775"/>
      <c r="BH59" s="111"/>
      <c r="BI59" s="111"/>
      <c r="BJ59" s="111"/>
      <c r="BK59" s="111"/>
      <c r="BL59" s="111"/>
      <c r="BM59" s="111"/>
      <c r="BN59" s="111"/>
      <c r="BO59" s="111"/>
      <c r="BP59" s="111"/>
      <c r="BQ59" s="111"/>
      <c r="BR59" s="817"/>
      <c r="BS59" s="775"/>
      <c r="BT59" s="111"/>
      <c r="BU59" s="1867"/>
      <c r="BV59" s="1867"/>
      <c r="BW59" s="1867"/>
      <c r="BX59" s="1867"/>
      <c r="BY59" s="1867"/>
      <c r="BZ59" s="1867"/>
      <c r="CA59" s="1867"/>
      <c r="CB59" s="1867"/>
      <c r="CC59" s="1867"/>
      <c r="CD59" s="1867"/>
      <c r="CE59" s="1867"/>
      <c r="CF59" s="1868"/>
      <c r="CG59" s="775"/>
      <c r="CH59" s="111"/>
      <c r="CI59" s="800"/>
      <c r="CJ59" s="800"/>
      <c r="CK59" s="800"/>
      <c r="CL59" s="800"/>
      <c r="CM59" s="800"/>
      <c r="CN59" s="800"/>
      <c r="CO59" s="800"/>
      <c r="CP59" s="800"/>
      <c r="CQ59" s="800"/>
      <c r="CR59" s="800"/>
      <c r="CS59" s="800"/>
      <c r="CT59" s="1865"/>
    </row>
    <row r="60" spans="1:98" x14ac:dyDescent="0.2">
      <c r="A60" s="590"/>
      <c r="B60" s="5033" t="s">
        <v>1574</v>
      </c>
      <c r="C60" s="286" t="s">
        <v>185</v>
      </c>
      <c r="D60" s="5016">
        <v>5600</v>
      </c>
      <c r="E60" s="772"/>
      <c r="F60" s="773"/>
      <c r="G60" s="773"/>
      <c r="H60" s="774"/>
      <c r="I60" s="775"/>
      <c r="J60" s="111"/>
      <c r="K60" s="111"/>
      <c r="L60" s="111"/>
      <c r="M60" s="784"/>
      <c r="N60" s="111"/>
      <c r="O60" s="111"/>
      <c r="P60" s="111"/>
      <c r="Q60" s="111"/>
      <c r="R60" s="111"/>
      <c r="S60" s="111"/>
      <c r="T60" s="111"/>
      <c r="U60" s="111"/>
      <c r="V60" s="111"/>
      <c r="W60" s="111"/>
      <c r="X60" s="785"/>
      <c r="Y60" s="808"/>
      <c r="Z60" s="5038">
        <v>12</v>
      </c>
      <c r="AA60" s="795"/>
      <c r="AB60" s="796"/>
      <c r="AC60" s="1891"/>
      <c r="AD60" s="1891"/>
      <c r="AE60" s="1891"/>
      <c r="AF60" s="1891"/>
      <c r="AG60" s="1891"/>
      <c r="AH60" s="1891"/>
      <c r="AI60" s="1891"/>
      <c r="AJ60" s="1891"/>
      <c r="AK60" s="1891"/>
      <c r="AL60" s="1891"/>
      <c r="AM60" s="1891"/>
      <c r="AN60" s="1892"/>
      <c r="AO60" s="797"/>
      <c r="AP60" s="953">
        <v>2.0099999999999998</v>
      </c>
      <c r="AQ60" s="798"/>
      <c r="AR60" s="799"/>
      <c r="AS60" s="798"/>
      <c r="AT60" s="798"/>
      <c r="AU60" s="798"/>
      <c r="AV60" s="798"/>
      <c r="AW60" s="798"/>
      <c r="AX60" s="798"/>
      <c r="AY60" s="798"/>
      <c r="AZ60" s="798"/>
      <c r="BA60" s="798"/>
      <c r="BB60" s="798"/>
      <c r="BC60" s="798"/>
      <c r="BD60" s="1881"/>
      <c r="BE60" s="775"/>
      <c r="BF60" s="590"/>
      <c r="BG60" s="775"/>
      <c r="BH60" s="111"/>
      <c r="BI60" s="111"/>
      <c r="BJ60" s="111"/>
      <c r="BK60" s="111"/>
      <c r="BL60" s="111"/>
      <c r="BM60" s="111"/>
      <c r="BN60" s="111"/>
      <c r="BO60" s="111"/>
      <c r="BP60" s="111"/>
      <c r="BQ60" s="111"/>
      <c r="BR60" s="817"/>
      <c r="BS60" s="775"/>
      <c r="BT60" s="111"/>
      <c r="BU60" s="1867"/>
      <c r="BV60" s="1867"/>
      <c r="BW60" s="1867"/>
      <c r="BX60" s="1867"/>
      <c r="BY60" s="1867"/>
      <c r="BZ60" s="1867"/>
      <c r="CA60" s="1867"/>
      <c r="CB60" s="1867"/>
      <c r="CC60" s="1867"/>
      <c r="CD60" s="1867"/>
      <c r="CE60" s="1867"/>
      <c r="CF60" s="1868"/>
      <c r="CG60" s="775"/>
      <c r="CH60" s="111"/>
      <c r="CI60" s="800"/>
      <c r="CJ60" s="800"/>
      <c r="CK60" s="800"/>
      <c r="CL60" s="800"/>
      <c r="CM60" s="800"/>
      <c r="CN60" s="800"/>
      <c r="CO60" s="800"/>
      <c r="CP60" s="800"/>
      <c r="CQ60" s="800"/>
      <c r="CR60" s="800"/>
      <c r="CS60" s="800"/>
      <c r="CT60" s="1865"/>
    </row>
    <row r="61" spans="1:98" x14ac:dyDescent="0.2">
      <c r="A61" s="590"/>
      <c r="B61" s="5033" t="s">
        <v>2292</v>
      </c>
      <c r="C61" s="286" t="s">
        <v>185</v>
      </c>
      <c r="D61" s="5034">
        <v>3000</v>
      </c>
      <c r="E61" s="772"/>
      <c r="F61" s="773"/>
      <c r="G61" s="773"/>
      <c r="H61" s="774"/>
      <c r="I61" s="775"/>
      <c r="J61" s="111"/>
      <c r="K61" s="111"/>
      <c r="L61" s="111"/>
      <c r="M61" s="784"/>
      <c r="N61" s="111"/>
      <c r="O61" s="111"/>
      <c r="P61" s="111"/>
      <c r="Q61" s="111"/>
      <c r="R61" s="111"/>
      <c r="S61" s="111"/>
      <c r="T61" s="111"/>
      <c r="U61" s="111"/>
      <c r="V61" s="111"/>
      <c r="W61" s="111"/>
      <c r="X61" s="785"/>
      <c r="Y61" s="808"/>
      <c r="Z61" s="5038"/>
      <c r="AA61" s="795"/>
      <c r="AB61" s="796"/>
      <c r="AC61" s="1891"/>
      <c r="AD61" s="1891"/>
      <c r="AE61" s="1891"/>
      <c r="AF61" s="1891"/>
      <c r="AG61" s="1891"/>
      <c r="AH61" s="1891"/>
      <c r="AI61" s="1891"/>
      <c r="AJ61" s="1891"/>
      <c r="AK61" s="1891"/>
      <c r="AL61" s="1891"/>
      <c r="AM61" s="1891"/>
      <c r="AN61" s="1892"/>
      <c r="AO61" s="797"/>
      <c r="AP61" s="764"/>
      <c r="AQ61" s="798"/>
      <c r="AR61" s="799"/>
      <c r="AS61" s="798"/>
      <c r="AT61" s="798"/>
      <c r="AU61" s="798"/>
      <c r="AV61" s="798"/>
      <c r="AW61" s="798"/>
      <c r="AX61" s="798"/>
      <c r="AY61" s="798"/>
      <c r="AZ61" s="798"/>
      <c r="BA61" s="798"/>
      <c r="BB61" s="798"/>
      <c r="BC61" s="798"/>
      <c r="BD61" s="1881"/>
      <c r="BE61" s="775"/>
      <c r="BF61" s="590"/>
      <c r="BG61" s="775"/>
      <c r="BH61" s="111"/>
      <c r="BI61" s="111"/>
      <c r="BJ61" s="111"/>
      <c r="BK61" s="111"/>
      <c r="BL61" s="111"/>
      <c r="BM61" s="111"/>
      <c r="BN61" s="111"/>
      <c r="BO61" s="111"/>
      <c r="BP61" s="111"/>
      <c r="BQ61" s="111"/>
      <c r="BR61" s="817"/>
      <c r="BS61" s="775"/>
      <c r="BT61" s="111"/>
      <c r="BU61" s="1867"/>
      <c r="BV61" s="1867"/>
      <c r="BW61" s="1867"/>
      <c r="BX61" s="1867"/>
      <c r="BY61" s="1867"/>
      <c r="BZ61" s="1867"/>
      <c r="CA61" s="1867"/>
      <c r="CB61" s="1867"/>
      <c r="CC61" s="1867"/>
      <c r="CD61" s="1867"/>
      <c r="CE61" s="1867"/>
      <c r="CF61" s="1868"/>
      <c r="CG61" s="775"/>
      <c r="CH61" s="111"/>
      <c r="CI61" s="800"/>
      <c r="CJ61" s="800"/>
      <c r="CK61" s="800"/>
      <c r="CL61" s="800"/>
      <c r="CM61" s="800"/>
      <c r="CN61" s="800"/>
      <c r="CO61" s="800"/>
      <c r="CP61" s="800"/>
      <c r="CQ61" s="800"/>
      <c r="CR61" s="800"/>
      <c r="CS61" s="800"/>
      <c r="CT61" s="1865"/>
    </row>
    <row r="62" spans="1:98" x14ac:dyDescent="0.2">
      <c r="A62" s="590"/>
      <c r="B62" s="5033"/>
      <c r="C62" s="286" t="s">
        <v>185</v>
      </c>
      <c r="D62" s="5034">
        <v>0</v>
      </c>
      <c r="E62" s="772"/>
      <c r="F62" s="773"/>
      <c r="G62" s="773"/>
      <c r="H62" s="774"/>
      <c r="I62" s="775"/>
      <c r="J62" s="111"/>
      <c r="K62" s="111"/>
      <c r="L62" s="111"/>
      <c r="M62" s="784"/>
      <c r="N62" s="111"/>
      <c r="O62" s="111"/>
      <c r="P62" s="111"/>
      <c r="Q62" s="111"/>
      <c r="R62" s="111"/>
      <c r="S62" s="111"/>
      <c r="T62" s="111"/>
      <c r="U62" s="111"/>
      <c r="V62" s="111"/>
      <c r="W62" s="111"/>
      <c r="X62" s="785"/>
      <c r="Y62" s="808"/>
      <c r="Z62" s="5038"/>
      <c r="AA62" s="795"/>
      <c r="AB62" s="796"/>
      <c r="AC62" s="1891"/>
      <c r="AD62" s="1891"/>
      <c r="AE62" s="1891"/>
      <c r="AF62" s="1891"/>
      <c r="AG62" s="1891"/>
      <c r="AH62" s="1891"/>
      <c r="AI62" s="1891"/>
      <c r="AJ62" s="1891"/>
      <c r="AK62" s="1891"/>
      <c r="AL62" s="1891"/>
      <c r="AM62" s="1891"/>
      <c r="AN62" s="1892"/>
      <c r="AO62" s="797"/>
      <c r="AP62" s="764"/>
      <c r="AQ62" s="798"/>
      <c r="AR62" s="799"/>
      <c r="AS62" s="798"/>
      <c r="AT62" s="798"/>
      <c r="AU62" s="798"/>
      <c r="AV62" s="798"/>
      <c r="AW62" s="798"/>
      <c r="AX62" s="798"/>
      <c r="AY62" s="798"/>
      <c r="AZ62" s="798"/>
      <c r="BA62" s="798"/>
      <c r="BB62" s="798"/>
      <c r="BC62" s="798"/>
      <c r="BD62" s="1881"/>
      <c r="BE62" s="775"/>
      <c r="BF62" s="590"/>
      <c r="BG62" s="775"/>
      <c r="BH62" s="111"/>
      <c r="BI62" s="111"/>
      <c r="BJ62" s="111"/>
      <c r="BK62" s="111"/>
      <c r="BL62" s="111"/>
      <c r="BM62" s="111"/>
      <c r="BN62" s="111"/>
      <c r="BO62" s="111"/>
      <c r="BP62" s="111"/>
      <c r="BQ62" s="111"/>
      <c r="BR62" s="817"/>
      <c r="BS62" s="775"/>
      <c r="BT62" s="111"/>
      <c r="BU62" s="1867"/>
      <c r="BV62" s="1867"/>
      <c r="BW62" s="1867"/>
      <c r="BX62" s="1867"/>
      <c r="BY62" s="1867"/>
      <c r="BZ62" s="1867"/>
      <c r="CA62" s="1867"/>
      <c r="CB62" s="1867"/>
      <c r="CC62" s="1867"/>
      <c r="CD62" s="1867"/>
      <c r="CE62" s="1867"/>
      <c r="CF62" s="1868"/>
      <c r="CG62" s="775"/>
      <c r="CH62" s="111"/>
      <c r="CI62" s="800"/>
      <c r="CJ62" s="800"/>
      <c r="CK62" s="800"/>
      <c r="CL62" s="800"/>
      <c r="CM62" s="800"/>
      <c r="CN62" s="800"/>
      <c r="CO62" s="800"/>
      <c r="CP62" s="800"/>
      <c r="CQ62" s="800"/>
      <c r="CR62" s="800"/>
      <c r="CS62" s="800"/>
      <c r="CT62" s="1865"/>
    </row>
    <row r="63" spans="1:98" x14ac:dyDescent="0.2">
      <c r="A63" s="590"/>
      <c r="B63" s="5035"/>
      <c r="C63" s="287" t="s">
        <v>185</v>
      </c>
      <c r="D63" s="5036">
        <v>0</v>
      </c>
      <c r="E63" s="776"/>
      <c r="F63" s="777"/>
      <c r="G63" s="777"/>
      <c r="H63" s="778"/>
      <c r="I63" s="779"/>
      <c r="J63" s="780"/>
      <c r="K63" s="780"/>
      <c r="L63" s="780"/>
      <c r="M63" s="786"/>
      <c r="N63" s="780"/>
      <c r="O63" s="780"/>
      <c r="P63" s="780"/>
      <c r="Q63" s="780"/>
      <c r="R63" s="780"/>
      <c r="S63" s="780"/>
      <c r="T63" s="780"/>
      <c r="U63" s="780"/>
      <c r="V63" s="780"/>
      <c r="W63" s="780"/>
      <c r="X63" s="787"/>
      <c r="Y63" s="809"/>
      <c r="Z63" s="5039"/>
      <c r="AA63" s="801"/>
      <c r="AB63" s="802"/>
      <c r="AC63" s="1893"/>
      <c r="AD63" s="1893"/>
      <c r="AE63" s="1893"/>
      <c r="AF63" s="1893"/>
      <c r="AG63" s="1893"/>
      <c r="AH63" s="1893"/>
      <c r="AI63" s="1893"/>
      <c r="AJ63" s="1893"/>
      <c r="AK63" s="1893"/>
      <c r="AL63" s="1893"/>
      <c r="AM63" s="1893"/>
      <c r="AN63" s="1894"/>
      <c r="AO63" s="803"/>
      <c r="AP63" s="765"/>
      <c r="AQ63" s="804"/>
      <c r="AR63" s="805"/>
      <c r="AS63" s="798"/>
      <c r="AT63" s="798"/>
      <c r="AU63" s="798"/>
      <c r="AV63" s="798"/>
      <c r="AW63" s="798"/>
      <c r="AX63" s="798"/>
      <c r="AY63" s="798"/>
      <c r="AZ63" s="798"/>
      <c r="BA63" s="798"/>
      <c r="BB63" s="798"/>
      <c r="BC63" s="798"/>
      <c r="BD63" s="1881"/>
      <c r="BE63" s="775"/>
      <c r="BF63" s="590"/>
      <c r="BG63" s="775"/>
      <c r="BH63" s="111"/>
      <c r="BI63" s="111"/>
      <c r="BJ63" s="111"/>
      <c r="BK63" s="111"/>
      <c r="BL63" s="111"/>
      <c r="BM63" s="111"/>
      <c r="BN63" s="111"/>
      <c r="BO63" s="111"/>
      <c r="BP63" s="111"/>
      <c r="BQ63" s="111"/>
      <c r="BR63" s="817"/>
      <c r="BS63" s="775"/>
      <c r="BT63" s="111"/>
      <c r="BU63" s="1867"/>
      <c r="BV63" s="1867"/>
      <c r="BW63" s="1867"/>
      <c r="BX63" s="1867"/>
      <c r="BY63" s="1867"/>
      <c r="BZ63" s="1867"/>
      <c r="CA63" s="1867"/>
      <c r="CB63" s="1867"/>
      <c r="CC63" s="1867"/>
      <c r="CD63" s="1867"/>
      <c r="CE63" s="1867"/>
      <c r="CF63" s="1868"/>
      <c r="CG63" s="775"/>
      <c r="CH63" s="111"/>
      <c r="CI63" s="800"/>
      <c r="CJ63" s="800"/>
      <c r="CK63" s="800"/>
      <c r="CL63" s="800"/>
      <c r="CM63" s="800"/>
      <c r="CN63" s="800"/>
      <c r="CO63" s="800"/>
      <c r="CP63" s="800"/>
      <c r="CQ63" s="800"/>
      <c r="CR63" s="800"/>
      <c r="CS63" s="800"/>
      <c r="CT63" s="1865"/>
    </row>
    <row r="64" spans="1:98" x14ac:dyDescent="0.2">
      <c r="A64" s="739"/>
      <c r="B64" s="285" t="s">
        <v>327</v>
      </c>
      <c r="C64" s="780"/>
      <c r="D64" s="782"/>
      <c r="E64" s="782"/>
      <c r="F64" s="782"/>
      <c r="G64" s="782"/>
      <c r="H64" s="782"/>
      <c r="I64" s="782"/>
      <c r="J64" s="782"/>
      <c r="K64" s="782"/>
      <c r="L64" s="782"/>
      <c r="M64" s="782"/>
      <c r="N64" s="782"/>
      <c r="O64" s="782"/>
      <c r="P64" s="782"/>
      <c r="Q64" s="782"/>
      <c r="R64" s="782"/>
      <c r="S64" s="782"/>
      <c r="T64" s="782"/>
      <c r="U64" s="782"/>
      <c r="V64" s="782"/>
      <c r="W64" s="782"/>
      <c r="X64" s="782"/>
      <c r="Y64" s="1431"/>
      <c r="Z64" s="1431"/>
      <c r="AA64" s="1431"/>
      <c r="AB64" s="1431"/>
      <c r="AC64" s="782"/>
      <c r="AD64" s="782"/>
      <c r="AE64" s="782"/>
      <c r="AF64" s="782"/>
      <c r="AG64" s="782"/>
      <c r="AH64" s="782"/>
      <c r="AI64" s="782"/>
      <c r="AJ64" s="782"/>
      <c r="AK64" s="782"/>
      <c r="AL64" s="782"/>
      <c r="AM64" s="782"/>
      <c r="AN64" s="782"/>
      <c r="AO64" s="782"/>
      <c r="AP64" s="782"/>
      <c r="AQ64" s="782"/>
      <c r="AR64" s="782"/>
      <c r="AS64" s="782"/>
      <c r="AT64" s="782"/>
      <c r="AU64" s="782"/>
      <c r="AV64" s="782"/>
      <c r="AW64" s="782"/>
      <c r="AX64" s="782"/>
      <c r="AY64" s="782"/>
      <c r="AZ64" s="782"/>
      <c r="BA64" s="782"/>
      <c r="BB64" s="782"/>
      <c r="BC64" s="782"/>
      <c r="BD64" s="782"/>
      <c r="BE64" s="782"/>
      <c r="BF64" s="1877"/>
      <c r="BG64" s="782"/>
      <c r="BH64" s="782"/>
      <c r="BI64" s="782"/>
      <c r="BJ64" s="782"/>
      <c r="BK64" s="782"/>
      <c r="BL64" s="782"/>
      <c r="BM64" s="782"/>
      <c r="BN64" s="782"/>
      <c r="BO64" s="782"/>
      <c r="BP64" s="782"/>
      <c r="BQ64" s="782"/>
      <c r="BR64" s="782"/>
      <c r="BS64" s="782"/>
      <c r="BT64" s="782"/>
      <c r="BU64" s="782"/>
      <c r="BV64" s="782"/>
      <c r="BW64" s="782"/>
      <c r="BX64" s="782"/>
      <c r="BY64" s="782"/>
      <c r="BZ64" s="782"/>
      <c r="CA64" s="782"/>
      <c r="CB64" s="782"/>
      <c r="CC64" s="782"/>
      <c r="CD64" s="782"/>
      <c r="CE64" s="782"/>
      <c r="CF64" s="782"/>
      <c r="CG64" s="782"/>
      <c r="CH64" s="782"/>
      <c r="CI64" s="782"/>
      <c r="CJ64" s="782"/>
      <c r="CK64" s="782"/>
      <c r="CL64" s="782"/>
      <c r="CM64" s="782"/>
      <c r="CN64" s="782"/>
      <c r="CO64" s="782"/>
      <c r="CP64" s="782"/>
      <c r="CQ64" s="782"/>
      <c r="CR64" s="782"/>
      <c r="CS64" s="782"/>
      <c r="CT64" s="782"/>
    </row>
    <row r="65" spans="1:98" x14ac:dyDescent="0.2">
      <c r="A65" s="590"/>
      <c r="B65" s="5033" t="s">
        <v>53</v>
      </c>
      <c r="C65" s="1404" t="s">
        <v>347</v>
      </c>
      <c r="D65" s="772"/>
      <c r="E65" s="773"/>
      <c r="F65" s="773"/>
      <c r="G65" s="773"/>
      <c r="H65" s="773"/>
      <c r="I65" s="773"/>
      <c r="J65" s="773"/>
      <c r="K65" s="773"/>
      <c r="L65" s="773"/>
      <c r="M65" s="773"/>
      <c r="N65" s="773"/>
      <c r="O65" s="773"/>
      <c r="P65" s="773"/>
      <c r="Q65" s="773"/>
      <c r="R65" s="773"/>
      <c r="S65" s="773"/>
      <c r="T65" s="773"/>
      <c r="U65" s="773"/>
      <c r="V65" s="773"/>
      <c r="W65" s="773"/>
      <c r="X65" s="773"/>
      <c r="Y65" s="795"/>
      <c r="Z65" s="795"/>
      <c r="AA65" s="795"/>
      <c r="AB65" s="795"/>
      <c r="AC65" s="1891"/>
      <c r="AD65" s="1891"/>
      <c r="AE65" s="1891"/>
      <c r="AF65" s="1891"/>
      <c r="AG65" s="1891"/>
      <c r="AH65" s="1891"/>
      <c r="AI65" s="1891"/>
      <c r="AJ65" s="1891"/>
      <c r="AK65" s="1891"/>
      <c r="AL65" s="1891"/>
      <c r="AM65" s="1891"/>
      <c r="AN65" s="1891"/>
      <c r="AO65" s="798"/>
      <c r="AP65" s="798"/>
      <c r="AQ65" s="798"/>
      <c r="AR65" s="798"/>
      <c r="AS65" s="798"/>
      <c r="AT65" s="798"/>
      <c r="AU65" s="798"/>
      <c r="AV65" s="798"/>
      <c r="AW65" s="798"/>
      <c r="AX65" s="798"/>
      <c r="AY65" s="798"/>
      <c r="AZ65" s="798"/>
      <c r="BA65" s="798"/>
      <c r="BB65" s="798"/>
      <c r="BC65" s="798"/>
      <c r="BD65" s="798"/>
      <c r="BE65" s="111"/>
      <c r="BF65" s="590"/>
      <c r="BG65" s="111"/>
      <c r="BH65" s="111"/>
      <c r="BI65" s="111"/>
      <c r="BJ65" s="111"/>
      <c r="BK65" s="111"/>
      <c r="BL65" s="111"/>
      <c r="BM65" s="111"/>
      <c r="BN65" s="111"/>
      <c r="BO65" s="111"/>
      <c r="BP65" s="111"/>
      <c r="BQ65" s="111"/>
      <c r="BR65" s="111"/>
      <c r="BS65" s="111"/>
      <c r="BT65" s="111"/>
      <c r="BU65" s="1867"/>
      <c r="BV65" s="1867"/>
      <c r="BW65" s="1867"/>
      <c r="BX65" s="1867"/>
      <c r="BY65" s="1867"/>
      <c r="BZ65" s="1867"/>
      <c r="CA65" s="1867"/>
      <c r="CB65" s="1867"/>
      <c r="CC65" s="1867"/>
      <c r="CD65" s="1867"/>
      <c r="CE65" s="1867"/>
      <c r="CF65" s="1867"/>
      <c r="CG65" s="111"/>
      <c r="CH65" s="111"/>
      <c r="CI65" s="800"/>
      <c r="CJ65" s="800"/>
      <c r="CK65" s="800"/>
      <c r="CL65" s="800"/>
      <c r="CM65" s="800"/>
      <c r="CN65" s="800"/>
      <c r="CO65" s="800"/>
      <c r="CP65" s="800"/>
      <c r="CQ65" s="800"/>
      <c r="CR65" s="800"/>
      <c r="CS65" s="800"/>
      <c r="CT65" s="800"/>
    </row>
    <row r="66" spans="1:98" x14ac:dyDescent="0.2">
      <c r="A66" s="111"/>
      <c r="B66" s="5033" t="s">
        <v>86</v>
      </c>
      <c r="C66" s="1404" t="s">
        <v>347</v>
      </c>
      <c r="D66" s="772"/>
      <c r="E66" s="773"/>
      <c r="F66" s="773"/>
      <c r="G66" s="773"/>
      <c r="H66" s="773"/>
      <c r="I66" s="773"/>
      <c r="J66" s="773"/>
      <c r="K66" s="773"/>
      <c r="L66" s="773"/>
      <c r="M66" s="773"/>
      <c r="N66" s="773"/>
      <c r="O66" s="773"/>
      <c r="P66" s="773"/>
      <c r="Q66" s="773"/>
      <c r="R66" s="773"/>
      <c r="S66" s="773"/>
      <c r="T66" s="773"/>
      <c r="U66" s="773"/>
      <c r="V66" s="773"/>
      <c r="W66" s="773"/>
      <c r="X66" s="773"/>
      <c r="Y66" s="795"/>
      <c r="Z66" s="795"/>
      <c r="AA66" s="795"/>
      <c r="AB66" s="795"/>
      <c r="AC66" s="1891"/>
      <c r="AD66" s="1891"/>
      <c r="AE66" s="1891"/>
      <c r="AF66" s="1891"/>
      <c r="AG66" s="1891"/>
      <c r="AH66" s="1891"/>
      <c r="AI66" s="1891"/>
      <c r="AJ66" s="1891"/>
      <c r="AK66" s="1891"/>
      <c r="AL66" s="1891"/>
      <c r="AM66" s="1891"/>
      <c r="AN66" s="1891"/>
      <c r="AO66" s="798"/>
      <c r="AP66" s="798"/>
      <c r="AQ66" s="798"/>
      <c r="AR66" s="798"/>
      <c r="AS66" s="798"/>
      <c r="AT66" s="798"/>
      <c r="AU66" s="798"/>
      <c r="AV66" s="798"/>
      <c r="AW66" s="798"/>
      <c r="AX66" s="798"/>
      <c r="AY66" s="798"/>
      <c r="AZ66" s="798"/>
      <c r="BA66" s="798"/>
      <c r="BB66" s="798"/>
      <c r="BC66" s="798"/>
      <c r="BD66" s="798"/>
      <c r="BE66" s="111"/>
      <c r="BF66" s="111"/>
      <c r="BG66" s="111"/>
      <c r="BH66" s="111"/>
      <c r="BI66" s="111"/>
      <c r="BJ66" s="111"/>
      <c r="BK66" s="111"/>
      <c r="BL66" s="111"/>
      <c r="BM66" s="111"/>
      <c r="BN66" s="111"/>
      <c r="BO66" s="111"/>
      <c r="BP66" s="111"/>
      <c r="BQ66" s="111"/>
      <c r="BR66" s="111"/>
      <c r="BS66" s="111"/>
      <c r="BT66" s="111"/>
      <c r="BU66" s="1867"/>
      <c r="BV66" s="1867"/>
      <c r="BW66" s="1867"/>
      <c r="BX66" s="1867"/>
      <c r="BY66" s="1867"/>
      <c r="BZ66" s="1867"/>
      <c r="CA66" s="1867"/>
      <c r="CB66" s="1867"/>
      <c r="CC66" s="1867"/>
      <c r="CD66" s="1867"/>
      <c r="CE66" s="1867"/>
      <c r="CF66" s="1867"/>
      <c r="CG66" s="111"/>
      <c r="CH66" s="111"/>
      <c r="CI66" s="800"/>
      <c r="CJ66" s="800"/>
      <c r="CK66" s="800"/>
      <c r="CL66" s="800"/>
      <c r="CM66" s="800"/>
      <c r="CN66" s="800"/>
      <c r="CO66" s="800"/>
      <c r="CP66" s="800"/>
      <c r="CQ66" s="800"/>
      <c r="CR66" s="800"/>
      <c r="CS66" s="800"/>
      <c r="CT66" s="800"/>
    </row>
    <row r="67" spans="1:98" x14ac:dyDescent="0.2">
      <c r="A67" s="111"/>
      <c r="B67" s="5033" t="s">
        <v>168</v>
      </c>
      <c r="C67" s="1404" t="s">
        <v>347</v>
      </c>
      <c r="D67" s="772"/>
      <c r="E67" s="773"/>
      <c r="F67" s="773"/>
      <c r="G67" s="773"/>
      <c r="H67" s="773"/>
      <c r="I67" s="773"/>
      <c r="J67" s="773"/>
      <c r="K67" s="773"/>
      <c r="L67" s="773"/>
      <c r="M67" s="773"/>
      <c r="N67" s="773"/>
      <c r="O67" s="773"/>
      <c r="P67" s="773"/>
      <c r="Q67" s="773"/>
      <c r="R67" s="773"/>
      <c r="S67" s="773"/>
      <c r="T67" s="773"/>
      <c r="U67" s="773"/>
      <c r="V67" s="773"/>
      <c r="W67" s="773"/>
      <c r="X67" s="773"/>
      <c r="Y67" s="795"/>
      <c r="Z67" s="795"/>
      <c r="AA67" s="795"/>
      <c r="AB67" s="795"/>
      <c r="AC67" s="1891"/>
      <c r="AD67" s="1891"/>
      <c r="AE67" s="1891"/>
      <c r="AF67" s="1891"/>
      <c r="AG67" s="1891"/>
      <c r="AH67" s="1891"/>
      <c r="AI67" s="1891"/>
      <c r="AJ67" s="1891"/>
      <c r="AK67" s="1891"/>
      <c r="AL67" s="1891"/>
      <c r="AM67" s="1891"/>
      <c r="AN67" s="1891"/>
      <c r="AO67" s="798"/>
      <c r="AP67" s="798"/>
      <c r="AQ67" s="798"/>
      <c r="AR67" s="798"/>
      <c r="AS67" s="798"/>
      <c r="AT67" s="798"/>
      <c r="AU67" s="798"/>
      <c r="AV67" s="798"/>
      <c r="AW67" s="798"/>
      <c r="AX67" s="798"/>
      <c r="AY67" s="798"/>
      <c r="AZ67" s="798"/>
      <c r="BA67" s="798"/>
      <c r="BB67" s="798"/>
      <c r="BC67" s="798"/>
      <c r="BD67" s="798"/>
      <c r="BE67" s="111"/>
      <c r="BF67" s="111"/>
      <c r="BG67" s="111"/>
      <c r="BH67" s="111"/>
      <c r="BI67" s="111"/>
      <c r="BJ67" s="111"/>
      <c r="BK67" s="111"/>
      <c r="BL67" s="111"/>
      <c r="BM67" s="111"/>
      <c r="BN67" s="111"/>
      <c r="BO67" s="111"/>
      <c r="BP67" s="111"/>
      <c r="BQ67" s="111"/>
      <c r="BR67" s="111"/>
      <c r="BS67" s="111"/>
      <c r="BT67" s="111"/>
      <c r="BU67" s="1867"/>
      <c r="BV67" s="1867"/>
      <c r="BW67" s="1867"/>
      <c r="BX67" s="1867"/>
      <c r="BY67" s="1867"/>
      <c r="BZ67" s="1867"/>
      <c r="CA67" s="1867"/>
      <c r="CB67" s="1867"/>
      <c r="CC67" s="1867"/>
      <c r="CD67" s="1867"/>
      <c r="CE67" s="1867"/>
      <c r="CF67" s="1867"/>
      <c r="CG67" s="111"/>
      <c r="CH67" s="111"/>
      <c r="CI67" s="800"/>
      <c r="CJ67" s="800"/>
      <c r="CK67" s="800"/>
      <c r="CL67" s="800"/>
      <c r="CM67" s="800"/>
      <c r="CN67" s="800"/>
      <c r="CO67" s="800"/>
      <c r="CP67" s="800"/>
      <c r="CQ67" s="800"/>
      <c r="CR67" s="800"/>
      <c r="CS67" s="800"/>
      <c r="CT67" s="800"/>
    </row>
    <row r="68" spans="1:98" x14ac:dyDescent="0.2">
      <c r="A68" s="590"/>
      <c r="B68" s="5033" t="s">
        <v>169</v>
      </c>
      <c r="C68" s="1404" t="s">
        <v>347</v>
      </c>
      <c r="D68" s="772"/>
      <c r="E68" s="773"/>
      <c r="F68" s="773"/>
      <c r="G68" s="773"/>
      <c r="H68" s="773"/>
      <c r="I68" s="773"/>
      <c r="J68" s="773"/>
      <c r="K68" s="773"/>
      <c r="L68" s="773"/>
      <c r="M68" s="773"/>
      <c r="N68" s="773"/>
      <c r="O68" s="773"/>
      <c r="P68" s="773"/>
      <c r="Q68" s="773"/>
      <c r="R68" s="773"/>
      <c r="S68" s="773"/>
      <c r="T68" s="773"/>
      <c r="U68" s="773"/>
      <c r="V68" s="773"/>
      <c r="W68" s="773"/>
      <c r="X68" s="773"/>
      <c r="Y68" s="795"/>
      <c r="Z68" s="795"/>
      <c r="AA68" s="795"/>
      <c r="AB68" s="795"/>
      <c r="AC68" s="1891"/>
      <c r="AD68" s="1891"/>
      <c r="AE68" s="1891"/>
      <c r="AF68" s="1891"/>
      <c r="AG68" s="1891"/>
      <c r="AH68" s="1891"/>
      <c r="AI68" s="1891"/>
      <c r="AJ68" s="1891"/>
      <c r="AK68" s="1891"/>
      <c r="AL68" s="1891"/>
      <c r="AM68" s="1891"/>
      <c r="AN68" s="1891"/>
      <c r="AO68" s="798"/>
      <c r="AP68" s="798"/>
      <c r="AQ68" s="798"/>
      <c r="AR68" s="798"/>
      <c r="AS68" s="798"/>
      <c r="AT68" s="798"/>
      <c r="AU68" s="798"/>
      <c r="AV68" s="798"/>
      <c r="AW68" s="798"/>
      <c r="AX68" s="798"/>
      <c r="AY68" s="798"/>
      <c r="AZ68" s="798"/>
      <c r="BA68" s="798"/>
      <c r="BB68" s="798"/>
      <c r="BC68" s="798"/>
      <c r="BD68" s="798"/>
      <c r="BE68" s="111"/>
      <c r="BF68" s="590"/>
      <c r="BG68" s="111"/>
      <c r="BH68" s="111"/>
      <c r="BI68" s="111"/>
      <c r="BJ68" s="111"/>
      <c r="BK68" s="111"/>
      <c r="BL68" s="111"/>
      <c r="BM68" s="111"/>
      <c r="BN68" s="111"/>
      <c r="BO68" s="111"/>
      <c r="BP68" s="111"/>
      <c r="BQ68" s="111"/>
      <c r="BR68" s="111"/>
      <c r="BS68" s="111"/>
      <c r="BT68" s="111"/>
      <c r="BU68" s="1867"/>
      <c r="BV68" s="1867"/>
      <c r="BW68" s="1867"/>
      <c r="BX68" s="1867"/>
      <c r="BY68" s="1867"/>
      <c r="BZ68" s="1867"/>
      <c r="CA68" s="1867"/>
      <c r="CB68" s="1867"/>
      <c r="CC68" s="1867"/>
      <c r="CD68" s="1867"/>
      <c r="CE68" s="1867"/>
      <c r="CF68" s="1867"/>
      <c r="CG68" s="111"/>
      <c r="CH68" s="111"/>
      <c r="CI68" s="800"/>
      <c r="CJ68" s="800"/>
      <c r="CK68" s="800"/>
      <c r="CL68" s="800"/>
      <c r="CM68" s="800"/>
      <c r="CN68" s="800"/>
      <c r="CO68" s="800"/>
      <c r="CP68" s="800"/>
      <c r="CQ68" s="800"/>
      <c r="CR68" s="800"/>
      <c r="CS68" s="800"/>
      <c r="CT68" s="800"/>
    </row>
    <row r="69" spans="1:98" x14ac:dyDescent="0.2">
      <c r="A69" s="590"/>
      <c r="B69" s="5033" t="s">
        <v>170</v>
      </c>
      <c r="C69" s="1404" t="s">
        <v>347</v>
      </c>
      <c r="D69" s="772"/>
      <c r="E69" s="773"/>
      <c r="F69" s="773"/>
      <c r="G69" s="773"/>
      <c r="H69" s="773"/>
      <c r="I69" s="773"/>
      <c r="J69" s="773"/>
      <c r="K69" s="773"/>
      <c r="L69" s="773"/>
      <c r="M69" s="773"/>
      <c r="N69" s="773"/>
      <c r="O69" s="773"/>
      <c r="P69" s="773"/>
      <c r="Q69" s="773"/>
      <c r="R69" s="773"/>
      <c r="S69" s="773"/>
      <c r="T69" s="773"/>
      <c r="U69" s="773"/>
      <c r="V69" s="773"/>
      <c r="W69" s="773"/>
      <c r="X69" s="773"/>
      <c r="Y69" s="795"/>
      <c r="Z69" s="795"/>
      <c r="AA69" s="795"/>
      <c r="AB69" s="795"/>
      <c r="AC69" s="1891"/>
      <c r="AD69" s="1891"/>
      <c r="AE69" s="1891"/>
      <c r="AF69" s="1891"/>
      <c r="AG69" s="1891"/>
      <c r="AH69" s="1891"/>
      <c r="AI69" s="1891"/>
      <c r="AJ69" s="1891"/>
      <c r="AK69" s="1891"/>
      <c r="AL69" s="1891"/>
      <c r="AM69" s="1891"/>
      <c r="AN69" s="1891"/>
      <c r="AO69" s="798"/>
      <c r="AP69" s="798"/>
      <c r="AQ69" s="798"/>
      <c r="AR69" s="798"/>
      <c r="AS69" s="798"/>
      <c r="AT69" s="798"/>
      <c r="AU69" s="798"/>
      <c r="AV69" s="798"/>
      <c r="AW69" s="798"/>
      <c r="AX69" s="798"/>
      <c r="AY69" s="798"/>
      <c r="AZ69" s="798"/>
      <c r="BA69" s="798"/>
      <c r="BB69" s="798"/>
      <c r="BC69" s="798"/>
      <c r="BD69" s="798"/>
      <c r="BE69" s="111"/>
      <c r="BF69" s="590"/>
      <c r="BG69" s="111"/>
      <c r="BH69" s="111"/>
      <c r="BI69" s="111"/>
      <c r="BJ69" s="111"/>
      <c r="BK69" s="111"/>
      <c r="BL69" s="111"/>
      <c r="BM69" s="111"/>
      <c r="BN69" s="111"/>
      <c r="BO69" s="111"/>
      <c r="BP69" s="111"/>
      <c r="BQ69" s="111"/>
      <c r="BR69" s="111"/>
      <c r="BS69" s="111"/>
      <c r="BT69" s="111"/>
      <c r="BU69" s="1867"/>
      <c r="BV69" s="1867"/>
      <c r="BW69" s="1867"/>
      <c r="BX69" s="1867"/>
      <c r="BY69" s="1867"/>
      <c r="BZ69" s="1867"/>
      <c r="CA69" s="1867"/>
      <c r="CB69" s="1867"/>
      <c r="CC69" s="1867"/>
      <c r="CD69" s="1867"/>
      <c r="CE69" s="1867"/>
      <c r="CF69" s="1867"/>
      <c r="CG69" s="111"/>
      <c r="CH69" s="111"/>
      <c r="CI69" s="800"/>
      <c r="CJ69" s="800"/>
      <c r="CK69" s="800"/>
      <c r="CL69" s="800"/>
      <c r="CM69" s="800"/>
      <c r="CN69" s="800"/>
      <c r="CO69" s="800"/>
      <c r="CP69" s="800"/>
      <c r="CQ69" s="800"/>
      <c r="CR69" s="800"/>
      <c r="CS69" s="800"/>
      <c r="CT69" s="800"/>
    </row>
    <row r="70" spans="1:98" x14ac:dyDescent="0.2">
      <c r="A70" s="590"/>
      <c r="B70" s="5033" t="s">
        <v>171</v>
      </c>
      <c r="C70" s="1404" t="s">
        <v>347</v>
      </c>
      <c r="D70" s="772"/>
      <c r="E70" s="773"/>
      <c r="F70" s="773"/>
      <c r="G70" s="773"/>
      <c r="H70" s="773"/>
      <c r="I70" s="773"/>
      <c r="J70" s="773"/>
      <c r="K70" s="773"/>
      <c r="L70" s="773"/>
      <c r="M70" s="773"/>
      <c r="N70" s="773"/>
      <c r="O70" s="773"/>
      <c r="P70" s="773"/>
      <c r="Q70" s="773"/>
      <c r="R70" s="773"/>
      <c r="S70" s="773"/>
      <c r="T70" s="773"/>
      <c r="U70" s="773"/>
      <c r="V70" s="773"/>
      <c r="W70" s="773"/>
      <c r="X70" s="773"/>
      <c r="Y70" s="795"/>
      <c r="Z70" s="795"/>
      <c r="AA70" s="795"/>
      <c r="AB70" s="795"/>
      <c r="AC70" s="1891"/>
      <c r="AD70" s="1891"/>
      <c r="AE70" s="1891"/>
      <c r="AF70" s="1891"/>
      <c r="AG70" s="1891"/>
      <c r="AH70" s="1891"/>
      <c r="AI70" s="1891"/>
      <c r="AJ70" s="1891"/>
      <c r="AK70" s="1891"/>
      <c r="AL70" s="1891"/>
      <c r="AM70" s="1891"/>
      <c r="AN70" s="1891"/>
      <c r="AO70" s="798"/>
      <c r="AP70" s="798"/>
      <c r="AQ70" s="798"/>
      <c r="AR70" s="798"/>
      <c r="AS70" s="798"/>
      <c r="AT70" s="798"/>
      <c r="AU70" s="798"/>
      <c r="AV70" s="798"/>
      <c r="AW70" s="798"/>
      <c r="AX70" s="798"/>
      <c r="AY70" s="798"/>
      <c r="AZ70" s="798"/>
      <c r="BA70" s="798"/>
      <c r="BB70" s="798"/>
      <c r="BC70" s="798"/>
      <c r="BD70" s="798"/>
      <c r="BE70" s="111"/>
      <c r="BF70" s="590"/>
      <c r="BG70" s="111"/>
      <c r="BH70" s="111"/>
      <c r="BI70" s="111"/>
      <c r="BJ70" s="111"/>
      <c r="BK70" s="111"/>
      <c r="BL70" s="111"/>
      <c r="BM70" s="111"/>
      <c r="BN70" s="111"/>
      <c r="BO70" s="111"/>
      <c r="BP70" s="111"/>
      <c r="BQ70" s="111"/>
      <c r="BR70" s="111"/>
      <c r="BS70" s="111"/>
      <c r="BT70" s="111"/>
      <c r="BU70" s="1867"/>
      <c r="BV70" s="1867"/>
      <c r="BW70" s="1867"/>
      <c r="BX70" s="1867"/>
      <c r="BY70" s="1867"/>
      <c r="BZ70" s="1867"/>
      <c r="CA70" s="1867"/>
      <c r="CB70" s="1867"/>
      <c r="CC70" s="1867"/>
      <c r="CD70" s="1867"/>
      <c r="CE70" s="1867"/>
      <c r="CF70" s="1867"/>
      <c r="CG70" s="111"/>
      <c r="CH70" s="111"/>
      <c r="CI70" s="800"/>
      <c r="CJ70" s="800"/>
      <c r="CK70" s="800"/>
      <c r="CL70" s="800"/>
      <c r="CM70" s="800"/>
      <c r="CN70" s="800"/>
      <c r="CO70" s="800"/>
      <c r="CP70" s="800"/>
      <c r="CQ70" s="800"/>
      <c r="CR70" s="800"/>
      <c r="CS70" s="800"/>
      <c r="CT70" s="800"/>
    </row>
    <row r="71" spans="1:98" x14ac:dyDescent="0.2">
      <c r="A71" s="590"/>
      <c r="B71" s="5033" t="s">
        <v>172</v>
      </c>
      <c r="C71" s="1404" t="s">
        <v>347</v>
      </c>
      <c r="D71" s="772"/>
      <c r="E71" s="773"/>
      <c r="F71" s="773"/>
      <c r="G71" s="773"/>
      <c r="H71" s="773"/>
      <c r="I71" s="773"/>
      <c r="J71" s="773"/>
      <c r="K71" s="773"/>
      <c r="L71" s="773"/>
      <c r="M71" s="773"/>
      <c r="N71" s="773"/>
      <c r="O71" s="773"/>
      <c r="P71" s="773"/>
      <c r="Q71" s="773"/>
      <c r="R71" s="773"/>
      <c r="S71" s="773"/>
      <c r="T71" s="773"/>
      <c r="U71" s="773"/>
      <c r="V71" s="773"/>
      <c r="W71" s="773"/>
      <c r="X71" s="773"/>
      <c r="Y71" s="795"/>
      <c r="Z71" s="795"/>
      <c r="AA71" s="795"/>
      <c r="AB71" s="795"/>
      <c r="AC71" s="1891"/>
      <c r="AD71" s="1891"/>
      <c r="AE71" s="1891"/>
      <c r="AF71" s="1891"/>
      <c r="AG71" s="1891"/>
      <c r="AH71" s="1891"/>
      <c r="AI71" s="1891"/>
      <c r="AJ71" s="1891"/>
      <c r="AK71" s="1891"/>
      <c r="AL71" s="1891"/>
      <c r="AM71" s="1891"/>
      <c r="AN71" s="1891"/>
      <c r="AO71" s="798"/>
      <c r="AP71" s="798"/>
      <c r="AQ71" s="798"/>
      <c r="AR71" s="798"/>
      <c r="AS71" s="798"/>
      <c r="AT71" s="798"/>
      <c r="AU71" s="798"/>
      <c r="AV71" s="798"/>
      <c r="AW71" s="798"/>
      <c r="AX71" s="798"/>
      <c r="AY71" s="798"/>
      <c r="AZ71" s="798"/>
      <c r="BA71" s="798"/>
      <c r="BB71" s="798"/>
      <c r="BC71" s="798"/>
      <c r="BD71" s="798"/>
      <c r="BE71" s="111"/>
      <c r="BF71" s="590"/>
      <c r="BG71" s="111"/>
      <c r="BH71" s="111"/>
      <c r="BI71" s="111"/>
      <c r="BJ71" s="111"/>
      <c r="BK71" s="111"/>
      <c r="BL71" s="111"/>
      <c r="BM71" s="111"/>
      <c r="BN71" s="111"/>
      <c r="BO71" s="111"/>
      <c r="BP71" s="111"/>
      <c r="BQ71" s="111"/>
      <c r="BR71" s="111"/>
      <c r="BS71" s="111"/>
      <c r="BT71" s="111"/>
      <c r="BU71" s="1867"/>
      <c r="BV71" s="1867"/>
      <c r="BW71" s="1867"/>
      <c r="BX71" s="1867"/>
      <c r="BY71" s="1867"/>
      <c r="BZ71" s="1867"/>
      <c r="CA71" s="1867"/>
      <c r="CB71" s="1867"/>
      <c r="CC71" s="1867"/>
      <c r="CD71" s="1867"/>
      <c r="CE71" s="1867"/>
      <c r="CF71" s="1867"/>
      <c r="CG71" s="111"/>
      <c r="CH71" s="111"/>
      <c r="CI71" s="800"/>
      <c r="CJ71" s="800"/>
      <c r="CK71" s="800"/>
      <c r="CL71" s="800"/>
      <c r="CM71" s="800"/>
      <c r="CN71" s="800"/>
      <c r="CO71" s="800"/>
      <c r="CP71" s="800"/>
      <c r="CQ71" s="800"/>
      <c r="CR71" s="800"/>
      <c r="CS71" s="800"/>
      <c r="CT71" s="800"/>
    </row>
    <row r="72" spans="1:98" x14ac:dyDescent="0.2">
      <c r="A72" s="590"/>
      <c r="B72" s="5033" t="s">
        <v>173</v>
      </c>
      <c r="C72" s="1404" t="s">
        <v>347</v>
      </c>
      <c r="D72" s="772"/>
      <c r="E72" s="773"/>
      <c r="F72" s="773"/>
      <c r="G72" s="773"/>
      <c r="H72" s="773"/>
      <c r="I72" s="773"/>
      <c r="J72" s="773"/>
      <c r="K72" s="773"/>
      <c r="L72" s="773"/>
      <c r="M72" s="773"/>
      <c r="N72" s="773"/>
      <c r="O72" s="773"/>
      <c r="P72" s="773"/>
      <c r="Q72" s="773"/>
      <c r="R72" s="773"/>
      <c r="S72" s="773"/>
      <c r="T72" s="773"/>
      <c r="U72" s="773"/>
      <c r="V72" s="773"/>
      <c r="W72" s="773"/>
      <c r="X72" s="773"/>
      <c r="Y72" s="795"/>
      <c r="Z72" s="795"/>
      <c r="AA72" s="795"/>
      <c r="AB72" s="795"/>
      <c r="AC72" s="1891"/>
      <c r="AD72" s="1891"/>
      <c r="AE72" s="1891"/>
      <c r="AF72" s="1891"/>
      <c r="AG72" s="1891"/>
      <c r="AH72" s="1891"/>
      <c r="AI72" s="1891"/>
      <c r="AJ72" s="1891"/>
      <c r="AK72" s="1891"/>
      <c r="AL72" s="1891"/>
      <c r="AM72" s="1891"/>
      <c r="AN72" s="1891"/>
      <c r="AO72" s="798"/>
      <c r="AP72" s="798"/>
      <c r="AQ72" s="798"/>
      <c r="AR72" s="798"/>
      <c r="AS72" s="798"/>
      <c r="AT72" s="798"/>
      <c r="AU72" s="798"/>
      <c r="AV72" s="798"/>
      <c r="AW72" s="798"/>
      <c r="AX72" s="798"/>
      <c r="AY72" s="798"/>
      <c r="AZ72" s="798"/>
      <c r="BA72" s="798"/>
      <c r="BB72" s="798"/>
      <c r="BC72" s="798"/>
      <c r="BD72" s="798"/>
      <c r="BE72" s="111"/>
      <c r="BF72" s="590"/>
      <c r="BG72" s="111"/>
      <c r="BH72" s="111"/>
      <c r="BI72" s="111"/>
      <c r="BJ72" s="111"/>
      <c r="BK72" s="111"/>
      <c r="BL72" s="111"/>
      <c r="BM72" s="111"/>
      <c r="BN72" s="111"/>
      <c r="BO72" s="111"/>
      <c r="BP72" s="111"/>
      <c r="BQ72" s="111"/>
      <c r="BR72" s="111"/>
      <c r="BS72" s="111"/>
      <c r="BT72" s="111"/>
      <c r="BU72" s="1867"/>
      <c r="BV72" s="1867"/>
      <c r="BW72" s="1867"/>
      <c r="BX72" s="1867"/>
      <c r="BY72" s="1867"/>
      <c r="BZ72" s="1867"/>
      <c r="CA72" s="1867"/>
      <c r="CB72" s="1867"/>
      <c r="CC72" s="1867"/>
      <c r="CD72" s="1867"/>
      <c r="CE72" s="1867"/>
      <c r="CF72" s="1867"/>
      <c r="CG72" s="111"/>
      <c r="CH72" s="111"/>
      <c r="CI72" s="800"/>
      <c r="CJ72" s="800"/>
      <c r="CK72" s="800"/>
      <c r="CL72" s="800"/>
      <c r="CM72" s="800"/>
      <c r="CN72" s="800"/>
      <c r="CO72" s="800"/>
      <c r="CP72" s="800"/>
      <c r="CQ72" s="800"/>
      <c r="CR72" s="800"/>
      <c r="CS72" s="800"/>
      <c r="CT72" s="800"/>
    </row>
    <row r="73" spans="1:98" x14ac:dyDescent="0.2">
      <c r="A73" s="590"/>
      <c r="B73" s="5033"/>
      <c r="C73" s="1404" t="s">
        <v>347</v>
      </c>
      <c r="D73" s="772"/>
      <c r="E73" s="773"/>
      <c r="F73" s="773"/>
      <c r="G73" s="773"/>
      <c r="H73" s="773"/>
      <c r="I73" s="773"/>
      <c r="J73" s="773"/>
      <c r="K73" s="773"/>
      <c r="L73" s="773"/>
      <c r="M73" s="773"/>
      <c r="N73" s="773"/>
      <c r="O73" s="773"/>
      <c r="P73" s="773"/>
      <c r="Q73" s="773"/>
      <c r="R73" s="773"/>
      <c r="S73" s="773"/>
      <c r="T73" s="773"/>
      <c r="U73" s="773"/>
      <c r="V73" s="773"/>
      <c r="W73" s="773"/>
      <c r="X73" s="773"/>
      <c r="Y73" s="795"/>
      <c r="Z73" s="795"/>
      <c r="AA73" s="795"/>
      <c r="AB73" s="795"/>
      <c r="AC73" s="1891"/>
      <c r="AD73" s="1891"/>
      <c r="AE73" s="1891"/>
      <c r="AF73" s="1891"/>
      <c r="AG73" s="1891"/>
      <c r="AH73" s="1891"/>
      <c r="AI73" s="1891"/>
      <c r="AJ73" s="1891"/>
      <c r="AK73" s="1891"/>
      <c r="AL73" s="1891"/>
      <c r="AM73" s="1891"/>
      <c r="AN73" s="1891"/>
      <c r="AO73" s="798"/>
      <c r="AP73" s="798"/>
      <c r="AQ73" s="798"/>
      <c r="AR73" s="798"/>
      <c r="AS73" s="798"/>
      <c r="AT73" s="798"/>
      <c r="AU73" s="798"/>
      <c r="AV73" s="798"/>
      <c r="AW73" s="798"/>
      <c r="AX73" s="798"/>
      <c r="AY73" s="798"/>
      <c r="AZ73" s="798"/>
      <c r="BA73" s="798"/>
      <c r="BB73" s="798"/>
      <c r="BC73" s="798"/>
      <c r="BD73" s="798"/>
      <c r="BE73" s="111"/>
      <c r="BF73" s="590"/>
      <c r="BG73" s="111"/>
      <c r="BH73" s="111"/>
      <c r="BI73" s="111"/>
      <c r="BJ73" s="111"/>
      <c r="BK73" s="111"/>
      <c r="BL73" s="111"/>
      <c r="BM73" s="111"/>
      <c r="BN73" s="111"/>
      <c r="BO73" s="111"/>
      <c r="BP73" s="111"/>
      <c r="BQ73" s="111"/>
      <c r="BR73" s="111"/>
      <c r="BS73" s="111"/>
      <c r="BT73" s="111"/>
      <c r="BU73" s="1867"/>
      <c r="BV73" s="1867"/>
      <c r="BW73" s="1867"/>
      <c r="BX73" s="1867"/>
      <c r="BY73" s="1867"/>
      <c r="BZ73" s="1867"/>
      <c r="CA73" s="1867"/>
      <c r="CB73" s="1867"/>
      <c r="CC73" s="1867"/>
      <c r="CD73" s="1867"/>
      <c r="CE73" s="1867"/>
      <c r="CF73" s="1867"/>
      <c r="CG73" s="111"/>
      <c r="CH73" s="111"/>
      <c r="CI73" s="800"/>
      <c r="CJ73" s="800"/>
      <c r="CK73" s="800"/>
      <c r="CL73" s="800"/>
      <c r="CM73" s="800"/>
      <c r="CN73" s="800"/>
      <c r="CO73" s="800"/>
      <c r="CP73" s="800"/>
      <c r="CQ73" s="800"/>
      <c r="CR73" s="800"/>
      <c r="CS73" s="800"/>
      <c r="CT73" s="800"/>
    </row>
    <row r="74" spans="1:98" x14ac:dyDescent="0.2">
      <c r="A74" s="590"/>
      <c r="B74" s="5033"/>
      <c r="C74" s="1404" t="s">
        <v>347</v>
      </c>
      <c r="D74" s="772"/>
      <c r="E74" s="773"/>
      <c r="F74" s="773"/>
      <c r="G74" s="773"/>
      <c r="H74" s="773"/>
      <c r="I74" s="773"/>
      <c r="J74" s="773"/>
      <c r="K74" s="773"/>
      <c r="L74" s="773"/>
      <c r="M74" s="773"/>
      <c r="N74" s="773"/>
      <c r="O74" s="773"/>
      <c r="P74" s="773"/>
      <c r="Q74" s="773"/>
      <c r="R74" s="773"/>
      <c r="S74" s="773"/>
      <c r="T74" s="773"/>
      <c r="U74" s="773"/>
      <c r="V74" s="773"/>
      <c r="W74" s="773"/>
      <c r="X74" s="773"/>
      <c r="Y74" s="795"/>
      <c r="Z74" s="795"/>
      <c r="AA74" s="795"/>
      <c r="AB74" s="795"/>
      <c r="AC74" s="1891"/>
      <c r="AD74" s="1891"/>
      <c r="AE74" s="1891"/>
      <c r="AF74" s="1891"/>
      <c r="AG74" s="1891"/>
      <c r="AH74" s="1891"/>
      <c r="AI74" s="1891"/>
      <c r="AJ74" s="1891"/>
      <c r="AK74" s="1891"/>
      <c r="AL74" s="1891"/>
      <c r="AM74" s="1891"/>
      <c r="AN74" s="1891"/>
      <c r="AO74" s="798"/>
      <c r="AP74" s="798"/>
      <c r="AQ74" s="798"/>
      <c r="AR74" s="798"/>
      <c r="AS74" s="798"/>
      <c r="AT74" s="798"/>
      <c r="AU74" s="798"/>
      <c r="AV74" s="798"/>
      <c r="AW74" s="798"/>
      <c r="AX74" s="798"/>
      <c r="AY74" s="798"/>
      <c r="AZ74" s="798"/>
      <c r="BA74" s="798"/>
      <c r="BB74" s="798"/>
      <c r="BC74" s="798"/>
      <c r="BD74" s="798"/>
      <c r="BE74" s="111"/>
      <c r="BF74" s="590"/>
      <c r="BG74" s="111"/>
      <c r="BH74" s="111"/>
      <c r="BI74" s="111"/>
      <c r="BJ74" s="111"/>
      <c r="BK74" s="111"/>
      <c r="BL74" s="111"/>
      <c r="BM74" s="111"/>
      <c r="BN74" s="111"/>
      <c r="BO74" s="111"/>
      <c r="BP74" s="111"/>
      <c r="BQ74" s="111"/>
      <c r="BR74" s="111"/>
      <c r="BS74" s="111"/>
      <c r="BT74" s="111"/>
      <c r="BU74" s="1867"/>
      <c r="BV74" s="1867"/>
      <c r="BW74" s="1867"/>
      <c r="BX74" s="1867"/>
      <c r="BY74" s="1867"/>
      <c r="BZ74" s="1867"/>
      <c r="CA74" s="1867"/>
      <c r="CB74" s="1867"/>
      <c r="CC74" s="1867"/>
      <c r="CD74" s="1867"/>
      <c r="CE74" s="1867"/>
      <c r="CF74" s="1867"/>
      <c r="CG74" s="111"/>
      <c r="CH74" s="111"/>
      <c r="CI74" s="800"/>
      <c r="CJ74" s="800"/>
      <c r="CK74" s="800"/>
      <c r="CL74" s="800"/>
      <c r="CM74" s="800"/>
      <c r="CN74" s="800"/>
      <c r="CO74" s="800"/>
      <c r="CP74" s="800"/>
      <c r="CQ74" s="800"/>
      <c r="CR74" s="800"/>
      <c r="CS74" s="800"/>
      <c r="CT74" s="800"/>
    </row>
    <row r="75" spans="1:98" x14ac:dyDescent="0.2">
      <c r="A75" s="590"/>
      <c r="B75" s="5033"/>
      <c r="C75" s="1404" t="s">
        <v>347</v>
      </c>
      <c r="D75" s="772"/>
      <c r="E75" s="773"/>
      <c r="F75" s="773"/>
      <c r="G75" s="773"/>
      <c r="H75" s="773"/>
      <c r="I75" s="773"/>
      <c r="J75" s="773"/>
      <c r="K75" s="773"/>
      <c r="L75" s="773"/>
      <c r="M75" s="773"/>
      <c r="N75" s="773"/>
      <c r="O75" s="773"/>
      <c r="P75" s="773"/>
      <c r="Q75" s="773"/>
      <c r="R75" s="773"/>
      <c r="S75" s="773"/>
      <c r="T75" s="773"/>
      <c r="U75" s="773"/>
      <c r="V75" s="773"/>
      <c r="W75" s="773"/>
      <c r="X75" s="773"/>
      <c r="Y75" s="795"/>
      <c r="Z75" s="795"/>
      <c r="AA75" s="795"/>
      <c r="AB75" s="795"/>
      <c r="AC75" s="1891"/>
      <c r="AD75" s="1891"/>
      <c r="AE75" s="1891"/>
      <c r="AF75" s="1891"/>
      <c r="AG75" s="1891"/>
      <c r="AH75" s="1891"/>
      <c r="AI75" s="1891"/>
      <c r="AJ75" s="1891"/>
      <c r="AK75" s="1891"/>
      <c r="AL75" s="1891"/>
      <c r="AM75" s="1891"/>
      <c r="AN75" s="1891"/>
      <c r="AO75" s="798"/>
      <c r="AP75" s="798"/>
      <c r="AQ75" s="798"/>
      <c r="AR75" s="798"/>
      <c r="AS75" s="798"/>
      <c r="AT75" s="798"/>
      <c r="AU75" s="798"/>
      <c r="AV75" s="798"/>
      <c r="AW75" s="798"/>
      <c r="AX75" s="798"/>
      <c r="AY75" s="798"/>
      <c r="AZ75" s="798"/>
      <c r="BA75" s="798"/>
      <c r="BB75" s="798"/>
      <c r="BC75" s="798"/>
      <c r="BD75" s="798"/>
      <c r="BE75" s="111"/>
      <c r="BF75" s="590"/>
      <c r="BG75" s="111"/>
      <c r="BH75" s="111"/>
      <c r="BI75" s="111"/>
      <c r="BJ75" s="111"/>
      <c r="BK75" s="111"/>
      <c r="BL75" s="111"/>
      <c r="BM75" s="111"/>
      <c r="BN75" s="111"/>
      <c r="BO75" s="111"/>
      <c r="BP75" s="111"/>
      <c r="BQ75" s="111"/>
      <c r="BR75" s="111"/>
      <c r="BS75" s="111"/>
      <c r="BT75" s="111"/>
      <c r="BU75" s="1867"/>
      <c r="BV75" s="1867"/>
      <c r="BW75" s="1867"/>
      <c r="BX75" s="1867"/>
      <c r="BY75" s="1867"/>
      <c r="BZ75" s="1867"/>
      <c r="CA75" s="1867"/>
      <c r="CB75" s="1867"/>
      <c r="CC75" s="1867"/>
      <c r="CD75" s="1867"/>
      <c r="CE75" s="1867"/>
      <c r="CF75" s="1867"/>
      <c r="CG75" s="111"/>
      <c r="CH75" s="111"/>
      <c r="CI75" s="800"/>
      <c r="CJ75" s="800"/>
      <c r="CK75" s="800"/>
      <c r="CL75" s="800"/>
      <c r="CM75" s="800"/>
      <c r="CN75" s="800"/>
      <c r="CO75" s="800"/>
      <c r="CP75" s="800"/>
      <c r="CQ75" s="800"/>
      <c r="CR75" s="800"/>
      <c r="CS75" s="800"/>
      <c r="CT75" s="800"/>
    </row>
    <row r="76" spans="1:98" x14ac:dyDescent="0.2">
      <c r="A76" s="590"/>
      <c r="B76" s="5035"/>
      <c r="C76" s="1405" t="s">
        <v>347</v>
      </c>
      <c r="D76" s="772"/>
      <c r="E76" s="773"/>
      <c r="F76" s="773"/>
      <c r="G76" s="773"/>
      <c r="H76" s="773"/>
      <c r="I76" s="773"/>
      <c r="J76" s="773"/>
      <c r="K76" s="773"/>
      <c r="L76" s="773"/>
      <c r="M76" s="773"/>
      <c r="N76" s="773"/>
      <c r="O76" s="773"/>
      <c r="P76" s="773"/>
      <c r="Q76" s="773"/>
      <c r="R76" s="773"/>
      <c r="S76" s="773"/>
      <c r="T76" s="773"/>
      <c r="U76" s="773"/>
      <c r="V76" s="773"/>
      <c r="W76" s="773"/>
      <c r="X76" s="773"/>
      <c r="Y76" s="795"/>
      <c r="Z76" s="795"/>
      <c r="AA76" s="795"/>
      <c r="AB76" s="795"/>
      <c r="AC76" s="1891"/>
      <c r="AD76" s="1891"/>
      <c r="AE76" s="1891"/>
      <c r="AF76" s="1891"/>
      <c r="AG76" s="1891"/>
      <c r="AH76" s="1891"/>
      <c r="AI76" s="1891"/>
      <c r="AJ76" s="1891"/>
      <c r="AK76" s="1891"/>
      <c r="AL76" s="1891"/>
      <c r="AM76" s="1891"/>
      <c r="AN76" s="1891"/>
      <c r="AO76" s="798"/>
      <c r="AP76" s="798"/>
      <c r="AQ76" s="798"/>
      <c r="AR76" s="798"/>
      <c r="AS76" s="798"/>
      <c r="AT76" s="798"/>
      <c r="AU76" s="798"/>
      <c r="AV76" s="798"/>
      <c r="AW76" s="798"/>
      <c r="AX76" s="798"/>
      <c r="AY76" s="798"/>
      <c r="AZ76" s="798"/>
      <c r="BA76" s="798"/>
      <c r="BB76" s="798"/>
      <c r="BC76" s="798"/>
      <c r="BD76" s="798"/>
      <c r="BE76" s="111"/>
      <c r="BF76" s="590"/>
      <c r="BG76" s="111"/>
      <c r="BH76" s="111"/>
      <c r="BI76" s="111"/>
      <c r="BJ76" s="111"/>
      <c r="BK76" s="111"/>
      <c r="BL76" s="111"/>
      <c r="BM76" s="111"/>
      <c r="BN76" s="111"/>
      <c r="BO76" s="111"/>
      <c r="BP76" s="111"/>
      <c r="BQ76" s="111"/>
      <c r="BR76" s="111"/>
      <c r="BS76" s="111"/>
      <c r="BT76" s="111"/>
      <c r="BU76" s="1867"/>
      <c r="BV76" s="1867"/>
      <c r="BW76" s="1867"/>
      <c r="BX76" s="1867"/>
      <c r="BY76" s="1867"/>
      <c r="BZ76" s="1867"/>
      <c r="CA76" s="1867"/>
      <c r="CB76" s="1867"/>
      <c r="CC76" s="1867"/>
      <c r="CD76" s="1867"/>
      <c r="CE76" s="1867"/>
      <c r="CF76" s="1867"/>
      <c r="CG76" s="111"/>
      <c r="CH76" s="111"/>
      <c r="CI76" s="800"/>
      <c r="CJ76" s="800"/>
      <c r="CK76" s="800"/>
      <c r="CL76" s="800"/>
      <c r="CM76" s="800"/>
      <c r="CN76" s="800"/>
      <c r="CO76" s="800"/>
      <c r="CP76" s="800"/>
      <c r="CQ76" s="800"/>
      <c r="CR76" s="800"/>
      <c r="CS76" s="800"/>
      <c r="CT76" s="800"/>
    </row>
    <row r="77" spans="1:98" x14ac:dyDescent="0.2">
      <c r="A77" s="739"/>
      <c r="B77" s="788" t="s">
        <v>477</v>
      </c>
      <c r="C77" s="781"/>
      <c r="D77" s="111"/>
      <c r="E77" s="111"/>
      <c r="F77" s="111"/>
      <c r="G77" s="111"/>
      <c r="H77" s="111"/>
      <c r="I77" s="111"/>
      <c r="J77" s="111"/>
      <c r="K77" s="111"/>
      <c r="L77" s="111"/>
      <c r="M77" s="111"/>
      <c r="N77" s="111"/>
      <c r="O77" s="111"/>
      <c r="P77" s="111"/>
      <c r="Q77" s="111"/>
      <c r="R77" s="111"/>
      <c r="S77" s="111"/>
      <c r="T77" s="111"/>
      <c r="U77" s="111"/>
      <c r="V77" s="111"/>
      <c r="W77" s="111"/>
      <c r="X77" s="111"/>
      <c r="Y77" s="810"/>
      <c r="Z77" s="810"/>
      <c r="AA77" s="810"/>
      <c r="AB77" s="810"/>
      <c r="AC77" s="111"/>
      <c r="AD77" s="111"/>
      <c r="AE77" s="111"/>
      <c r="AF77" s="111"/>
      <c r="AG77" s="111"/>
      <c r="AH77" s="111"/>
      <c r="AI77" s="111"/>
      <c r="AJ77" s="111"/>
      <c r="AK77" s="111"/>
      <c r="AL77" s="111"/>
      <c r="AM77" s="111"/>
      <c r="AN77" s="111"/>
      <c r="AO77" s="111"/>
      <c r="AP77" s="111"/>
      <c r="AQ77" s="111"/>
      <c r="AR77" s="111"/>
      <c r="AS77" s="111"/>
      <c r="AT77" s="111"/>
      <c r="AU77" s="111"/>
      <c r="AV77" s="111"/>
      <c r="AW77" s="111"/>
      <c r="AX77" s="111"/>
      <c r="AY77" s="111"/>
      <c r="AZ77" s="111"/>
      <c r="BA77" s="111"/>
      <c r="BB77" s="111"/>
      <c r="BC77" s="111"/>
      <c r="BD77" s="111"/>
      <c r="BE77" s="111"/>
      <c r="BF77" s="590"/>
      <c r="BG77" s="111"/>
      <c r="BH77" s="111"/>
      <c r="BI77" s="111"/>
      <c r="BJ77" s="111"/>
      <c r="BK77" s="111"/>
      <c r="BL77" s="111"/>
      <c r="BM77" s="111"/>
      <c r="BN77" s="111"/>
      <c r="BO77" s="111"/>
      <c r="BP77" s="111"/>
      <c r="BQ77" s="111"/>
      <c r="BR77" s="111"/>
      <c r="BS77" s="111"/>
      <c r="BT77" s="111"/>
      <c r="BU77" s="111"/>
      <c r="BV77" s="111"/>
      <c r="BW77" s="111"/>
      <c r="BX77" s="111"/>
      <c r="BY77" s="111"/>
      <c r="BZ77" s="111"/>
      <c r="CA77" s="111"/>
      <c r="CB77" s="111"/>
      <c r="CC77" s="111"/>
      <c r="CD77" s="111"/>
      <c r="CE77" s="111"/>
      <c r="CF77" s="111"/>
      <c r="CG77" s="111"/>
      <c r="CH77" s="111"/>
      <c r="CI77" s="111"/>
      <c r="CJ77" s="111"/>
      <c r="CK77" s="111"/>
      <c r="CL77" s="111"/>
      <c r="CM77" s="111"/>
      <c r="CN77" s="111"/>
      <c r="CO77" s="111"/>
      <c r="CP77" s="111"/>
      <c r="CQ77" s="111"/>
      <c r="CR77" s="111"/>
      <c r="CS77" s="111"/>
      <c r="CT77" s="111"/>
    </row>
    <row r="78" spans="1:98" x14ac:dyDescent="0.2">
      <c r="A78" s="590"/>
      <c r="B78" s="5033" t="s">
        <v>1577</v>
      </c>
      <c r="C78" s="1404" t="s">
        <v>348</v>
      </c>
      <c r="D78" s="772"/>
      <c r="E78" s="773"/>
      <c r="F78" s="773"/>
      <c r="G78" s="773"/>
      <c r="H78" s="773"/>
      <c r="I78" s="773"/>
      <c r="J78" s="773"/>
      <c r="K78" s="773"/>
      <c r="L78" s="773"/>
      <c r="M78" s="773"/>
      <c r="N78" s="773"/>
      <c r="O78" s="773"/>
      <c r="P78" s="773"/>
      <c r="Q78" s="773"/>
      <c r="R78" s="773"/>
      <c r="S78" s="773"/>
      <c r="T78" s="773"/>
      <c r="U78" s="773"/>
      <c r="V78" s="773"/>
      <c r="W78" s="773"/>
      <c r="X78" s="773"/>
      <c r="Y78" s="795"/>
      <c r="Z78" s="795"/>
      <c r="AA78" s="795"/>
      <c r="AB78" s="795"/>
      <c r="AC78" s="1891"/>
      <c r="AD78" s="1891"/>
      <c r="AE78" s="1891"/>
      <c r="AF78" s="1891"/>
      <c r="AG78" s="1891"/>
      <c r="AH78" s="1891"/>
      <c r="AI78" s="1891"/>
      <c r="AJ78" s="1891"/>
      <c r="AK78" s="1891"/>
      <c r="AL78" s="1891"/>
      <c r="AM78" s="1891"/>
      <c r="AN78" s="1891"/>
      <c r="AO78" s="798"/>
      <c r="AP78" s="798"/>
      <c r="AQ78" s="798"/>
      <c r="AR78" s="798"/>
      <c r="AS78" s="798"/>
      <c r="AT78" s="798"/>
      <c r="AU78" s="798"/>
      <c r="AV78" s="798"/>
      <c r="AW78" s="798"/>
      <c r="AX78" s="798"/>
      <c r="AY78" s="798"/>
      <c r="AZ78" s="798"/>
      <c r="BA78" s="798"/>
      <c r="BB78" s="798"/>
      <c r="BC78" s="798"/>
      <c r="BD78" s="798"/>
      <c r="BE78" s="111"/>
      <c r="BF78" s="590"/>
      <c r="BG78" s="111"/>
      <c r="BH78" s="111"/>
      <c r="BI78" s="111"/>
      <c r="BJ78" s="111"/>
      <c r="BK78" s="111"/>
      <c r="BL78" s="111"/>
      <c r="BM78" s="111"/>
      <c r="BN78" s="111"/>
      <c r="BO78" s="111"/>
      <c r="BP78" s="111"/>
      <c r="BQ78" s="111"/>
      <c r="BR78" s="111"/>
      <c r="BS78" s="111"/>
      <c r="BT78" s="111"/>
      <c r="BU78" s="1867"/>
      <c r="BV78" s="1867"/>
      <c r="BW78" s="1867"/>
      <c r="BX78" s="1867"/>
      <c r="BY78" s="1867"/>
      <c r="BZ78" s="1867"/>
      <c r="CA78" s="1867"/>
      <c r="CB78" s="1867"/>
      <c r="CC78" s="1867"/>
      <c r="CD78" s="1867"/>
      <c r="CE78" s="1867"/>
      <c r="CF78" s="1867"/>
      <c r="CG78" s="111"/>
      <c r="CH78" s="111"/>
      <c r="CI78" s="800"/>
      <c r="CJ78" s="800"/>
      <c r="CK78" s="800"/>
      <c r="CL78" s="800"/>
      <c r="CM78" s="800"/>
      <c r="CN78" s="800"/>
      <c r="CO78" s="800"/>
      <c r="CP78" s="800"/>
      <c r="CQ78" s="800"/>
      <c r="CR78" s="800"/>
      <c r="CS78" s="800"/>
      <c r="CT78" s="800"/>
    </row>
    <row r="79" spans="1:98" x14ac:dyDescent="0.2">
      <c r="A79" s="590"/>
      <c r="B79" s="5033" t="s">
        <v>261</v>
      </c>
      <c r="C79" s="1404" t="s">
        <v>348</v>
      </c>
      <c r="D79" s="772"/>
      <c r="E79" s="773"/>
      <c r="F79" s="773"/>
      <c r="G79" s="773"/>
      <c r="H79" s="773"/>
      <c r="I79" s="773"/>
      <c r="J79" s="773"/>
      <c r="K79" s="773"/>
      <c r="L79" s="773"/>
      <c r="M79" s="773"/>
      <c r="N79" s="773"/>
      <c r="O79" s="773"/>
      <c r="P79" s="773"/>
      <c r="Q79" s="773"/>
      <c r="R79" s="773"/>
      <c r="S79" s="773"/>
      <c r="T79" s="773"/>
      <c r="U79" s="773"/>
      <c r="V79" s="773"/>
      <c r="W79" s="773"/>
      <c r="X79" s="773"/>
      <c r="Y79" s="795"/>
      <c r="Z79" s="795"/>
      <c r="AA79" s="795"/>
      <c r="AB79" s="795"/>
      <c r="AC79" s="1891"/>
      <c r="AD79" s="1891"/>
      <c r="AE79" s="1891"/>
      <c r="AF79" s="1891"/>
      <c r="AG79" s="1891"/>
      <c r="AH79" s="1891"/>
      <c r="AI79" s="1891"/>
      <c r="AJ79" s="1891"/>
      <c r="AK79" s="1891"/>
      <c r="AL79" s="1891"/>
      <c r="AM79" s="1891"/>
      <c r="AN79" s="1891"/>
      <c r="AO79" s="798"/>
      <c r="AP79" s="798"/>
      <c r="AQ79" s="798"/>
      <c r="AR79" s="798"/>
      <c r="AS79" s="798"/>
      <c r="AT79" s="798"/>
      <c r="AU79" s="798"/>
      <c r="AV79" s="798"/>
      <c r="AW79" s="798"/>
      <c r="AX79" s="798"/>
      <c r="AY79" s="798"/>
      <c r="AZ79" s="798"/>
      <c r="BA79" s="798"/>
      <c r="BB79" s="798"/>
      <c r="BC79" s="798"/>
      <c r="BD79" s="798"/>
      <c r="BE79" s="111"/>
      <c r="BF79" s="590"/>
      <c r="BG79" s="111"/>
      <c r="BH79" s="111"/>
      <c r="BI79" s="111"/>
      <c r="BJ79" s="111"/>
      <c r="BK79" s="111"/>
      <c r="BL79" s="111"/>
      <c r="BM79" s="111"/>
      <c r="BN79" s="111"/>
      <c r="BO79" s="111"/>
      <c r="BP79" s="111"/>
      <c r="BQ79" s="111"/>
      <c r="BR79" s="111"/>
      <c r="BS79" s="111"/>
      <c r="BT79" s="111"/>
      <c r="BU79" s="1867"/>
      <c r="BV79" s="1867"/>
      <c r="BW79" s="1867"/>
      <c r="BX79" s="1867"/>
      <c r="BY79" s="1867"/>
      <c r="BZ79" s="1867"/>
      <c r="CA79" s="1867"/>
      <c r="CB79" s="1867"/>
      <c r="CC79" s="1867"/>
      <c r="CD79" s="1867"/>
      <c r="CE79" s="1867"/>
      <c r="CF79" s="1867"/>
      <c r="CG79" s="111"/>
      <c r="CH79" s="111"/>
      <c r="CI79" s="800"/>
      <c r="CJ79" s="800"/>
      <c r="CK79" s="800"/>
      <c r="CL79" s="800"/>
      <c r="CM79" s="800"/>
      <c r="CN79" s="800"/>
      <c r="CO79" s="800"/>
      <c r="CP79" s="800"/>
      <c r="CQ79" s="800"/>
      <c r="CR79" s="800"/>
      <c r="CS79" s="800"/>
      <c r="CT79" s="800"/>
    </row>
    <row r="80" spans="1:98" x14ac:dyDescent="0.2">
      <c r="A80" s="590"/>
      <c r="B80" s="5033" t="s">
        <v>262</v>
      </c>
      <c r="C80" s="1404" t="s">
        <v>348</v>
      </c>
      <c r="D80" s="772"/>
      <c r="E80" s="773"/>
      <c r="F80" s="773"/>
      <c r="G80" s="773"/>
      <c r="H80" s="773"/>
      <c r="I80" s="773"/>
      <c r="J80" s="773"/>
      <c r="K80" s="773"/>
      <c r="L80" s="773"/>
      <c r="M80" s="773"/>
      <c r="N80" s="773"/>
      <c r="O80" s="773"/>
      <c r="P80" s="773"/>
      <c r="Q80" s="773"/>
      <c r="R80" s="773"/>
      <c r="S80" s="773"/>
      <c r="T80" s="773"/>
      <c r="U80" s="773"/>
      <c r="V80" s="773"/>
      <c r="W80" s="773"/>
      <c r="X80" s="773"/>
      <c r="Y80" s="795"/>
      <c r="Z80" s="795"/>
      <c r="AA80" s="795"/>
      <c r="AB80" s="795"/>
      <c r="AC80" s="1891"/>
      <c r="AD80" s="1891"/>
      <c r="AE80" s="1891"/>
      <c r="AF80" s="1891"/>
      <c r="AG80" s="1891"/>
      <c r="AH80" s="1891"/>
      <c r="AI80" s="1891"/>
      <c r="AJ80" s="1891"/>
      <c r="AK80" s="1891"/>
      <c r="AL80" s="1891"/>
      <c r="AM80" s="1891"/>
      <c r="AN80" s="1891"/>
      <c r="AO80" s="798"/>
      <c r="AP80" s="798"/>
      <c r="AQ80" s="798"/>
      <c r="AR80" s="798"/>
      <c r="AS80" s="798"/>
      <c r="AT80" s="798"/>
      <c r="AU80" s="798"/>
      <c r="AV80" s="798"/>
      <c r="AW80" s="798"/>
      <c r="AX80" s="798"/>
      <c r="AY80" s="798"/>
      <c r="AZ80" s="798"/>
      <c r="BA80" s="798"/>
      <c r="BB80" s="798"/>
      <c r="BC80" s="798"/>
      <c r="BD80" s="798"/>
      <c r="BE80" s="111"/>
      <c r="BF80" s="590"/>
      <c r="BG80" s="111"/>
      <c r="BH80" s="111"/>
      <c r="BI80" s="111"/>
      <c r="BJ80" s="111"/>
      <c r="BK80" s="111"/>
      <c r="BL80" s="111"/>
      <c r="BM80" s="111"/>
      <c r="BN80" s="111"/>
      <c r="BO80" s="111"/>
      <c r="BP80" s="111"/>
      <c r="BQ80" s="111"/>
      <c r="BR80" s="111"/>
      <c r="BS80" s="111"/>
      <c r="BT80" s="111"/>
      <c r="BU80" s="1867"/>
      <c r="BV80" s="1867"/>
      <c r="BW80" s="1867"/>
      <c r="BX80" s="1867"/>
      <c r="BY80" s="1867"/>
      <c r="BZ80" s="1867"/>
      <c r="CA80" s="1867"/>
      <c r="CB80" s="1867"/>
      <c r="CC80" s="1867"/>
      <c r="CD80" s="1867"/>
      <c r="CE80" s="1867"/>
      <c r="CF80" s="1867"/>
      <c r="CG80" s="111"/>
      <c r="CH80" s="111"/>
      <c r="CI80" s="800"/>
      <c r="CJ80" s="800"/>
      <c r="CK80" s="800"/>
      <c r="CL80" s="800"/>
      <c r="CM80" s="800"/>
      <c r="CN80" s="800"/>
      <c r="CO80" s="800"/>
      <c r="CP80" s="800"/>
      <c r="CQ80" s="800"/>
      <c r="CR80" s="800"/>
      <c r="CS80" s="800"/>
      <c r="CT80" s="800"/>
    </row>
    <row r="81" spans="1:98" x14ac:dyDescent="0.2">
      <c r="A81" s="590"/>
      <c r="B81" s="5033" t="s">
        <v>263</v>
      </c>
      <c r="C81" s="1404" t="s">
        <v>348</v>
      </c>
      <c r="D81" s="772"/>
      <c r="E81" s="773"/>
      <c r="F81" s="773"/>
      <c r="G81" s="773"/>
      <c r="H81" s="773"/>
      <c r="I81" s="773"/>
      <c r="J81" s="773"/>
      <c r="K81" s="773"/>
      <c r="L81" s="773"/>
      <c r="M81" s="773"/>
      <c r="N81" s="773"/>
      <c r="O81" s="773"/>
      <c r="P81" s="773"/>
      <c r="Q81" s="773"/>
      <c r="R81" s="773"/>
      <c r="S81" s="773"/>
      <c r="T81" s="773"/>
      <c r="U81" s="773"/>
      <c r="V81" s="773"/>
      <c r="W81" s="773"/>
      <c r="X81" s="773"/>
      <c r="Y81" s="795"/>
      <c r="Z81" s="795"/>
      <c r="AA81" s="795"/>
      <c r="AB81" s="795"/>
      <c r="AC81" s="1891"/>
      <c r="AD81" s="1891"/>
      <c r="AE81" s="1891"/>
      <c r="AF81" s="1891"/>
      <c r="AG81" s="1891"/>
      <c r="AH81" s="1891"/>
      <c r="AI81" s="1891"/>
      <c r="AJ81" s="1891"/>
      <c r="AK81" s="1891"/>
      <c r="AL81" s="1891"/>
      <c r="AM81" s="1891"/>
      <c r="AN81" s="1891"/>
      <c r="AO81" s="798"/>
      <c r="AP81" s="798"/>
      <c r="AQ81" s="798"/>
      <c r="AR81" s="798"/>
      <c r="AS81" s="798"/>
      <c r="AT81" s="798"/>
      <c r="AU81" s="798"/>
      <c r="AV81" s="798"/>
      <c r="AW81" s="798"/>
      <c r="AX81" s="798"/>
      <c r="AY81" s="798"/>
      <c r="AZ81" s="798"/>
      <c r="BA81" s="798"/>
      <c r="BB81" s="798"/>
      <c r="BC81" s="798"/>
      <c r="BD81" s="798"/>
      <c r="BE81" s="111"/>
      <c r="BF81" s="590"/>
      <c r="BG81" s="111"/>
      <c r="BH81" s="111"/>
      <c r="BI81" s="111"/>
      <c r="BJ81" s="111"/>
      <c r="BK81" s="111"/>
      <c r="BL81" s="111"/>
      <c r="BM81" s="111"/>
      <c r="BN81" s="111"/>
      <c r="BO81" s="111"/>
      <c r="BP81" s="111"/>
      <c r="BQ81" s="111"/>
      <c r="BR81" s="111"/>
      <c r="BS81" s="111"/>
      <c r="BT81" s="111"/>
      <c r="BU81" s="1867"/>
      <c r="BV81" s="1867"/>
      <c r="BW81" s="1867"/>
      <c r="BX81" s="1867"/>
      <c r="BY81" s="1867"/>
      <c r="BZ81" s="1867"/>
      <c r="CA81" s="1867"/>
      <c r="CB81" s="1867"/>
      <c r="CC81" s="1867"/>
      <c r="CD81" s="1867"/>
      <c r="CE81" s="1867"/>
      <c r="CF81" s="1867"/>
      <c r="CG81" s="111"/>
      <c r="CH81" s="111"/>
      <c r="CI81" s="800"/>
      <c r="CJ81" s="800"/>
      <c r="CK81" s="800"/>
      <c r="CL81" s="800"/>
      <c r="CM81" s="800"/>
      <c r="CN81" s="800"/>
      <c r="CO81" s="800"/>
      <c r="CP81" s="800"/>
      <c r="CQ81" s="800"/>
      <c r="CR81" s="800"/>
      <c r="CS81" s="800"/>
      <c r="CT81" s="800"/>
    </row>
    <row r="82" spans="1:98" x14ac:dyDescent="0.2">
      <c r="A82" s="590"/>
      <c r="B82" s="5015"/>
      <c r="C82" s="1404" t="s">
        <v>348</v>
      </c>
      <c r="D82" s="772"/>
      <c r="E82" s="773"/>
      <c r="F82" s="773"/>
      <c r="G82" s="773"/>
      <c r="H82" s="773"/>
      <c r="I82" s="773"/>
      <c r="J82" s="773"/>
      <c r="K82" s="773"/>
      <c r="L82" s="773"/>
      <c r="M82" s="773"/>
      <c r="N82" s="773"/>
      <c r="O82" s="773"/>
      <c r="P82" s="773"/>
      <c r="Q82" s="773"/>
      <c r="R82" s="773"/>
      <c r="S82" s="773"/>
      <c r="T82" s="773"/>
      <c r="U82" s="773"/>
      <c r="V82" s="773"/>
      <c r="W82" s="773"/>
      <c r="X82" s="773"/>
      <c r="Y82" s="795"/>
      <c r="Z82" s="795"/>
      <c r="AA82" s="795"/>
      <c r="AB82" s="795"/>
      <c r="AC82" s="1891"/>
      <c r="AD82" s="1891"/>
      <c r="AE82" s="1891"/>
      <c r="AF82" s="1891"/>
      <c r="AG82" s="1891"/>
      <c r="AH82" s="1891"/>
      <c r="AI82" s="1891"/>
      <c r="AJ82" s="1891"/>
      <c r="AK82" s="1891"/>
      <c r="AL82" s="1891"/>
      <c r="AM82" s="1891"/>
      <c r="AN82" s="1891"/>
      <c r="AO82" s="798"/>
      <c r="AP82" s="798"/>
      <c r="AQ82" s="798"/>
      <c r="AR82" s="798"/>
      <c r="AS82" s="798"/>
      <c r="AT82" s="798"/>
      <c r="AU82" s="798"/>
      <c r="AV82" s="798"/>
      <c r="AW82" s="798"/>
      <c r="AX82" s="798"/>
      <c r="AY82" s="798"/>
      <c r="AZ82" s="798"/>
      <c r="BA82" s="798"/>
      <c r="BB82" s="798"/>
      <c r="BC82" s="798"/>
      <c r="BD82" s="798"/>
      <c r="BE82" s="111"/>
      <c r="BF82" s="590"/>
      <c r="BG82" s="111"/>
      <c r="BH82" s="111"/>
      <c r="BI82" s="111"/>
      <c r="BJ82" s="111"/>
      <c r="BK82" s="111"/>
      <c r="BL82" s="111"/>
      <c r="BM82" s="111"/>
      <c r="BN82" s="111"/>
      <c r="BO82" s="111"/>
      <c r="BP82" s="111"/>
      <c r="BQ82" s="111"/>
      <c r="BR82" s="111"/>
      <c r="BS82" s="111"/>
      <c r="BT82" s="111"/>
      <c r="BU82" s="1867"/>
      <c r="BV82" s="1867"/>
      <c r="BW82" s="1867"/>
      <c r="BX82" s="1867"/>
      <c r="BY82" s="1867"/>
      <c r="BZ82" s="1867"/>
      <c r="CA82" s="1867"/>
      <c r="CB82" s="1867"/>
      <c r="CC82" s="1867"/>
      <c r="CD82" s="1867"/>
      <c r="CE82" s="1867"/>
      <c r="CF82" s="1867"/>
      <c r="CG82" s="111"/>
      <c r="CH82" s="111"/>
      <c r="CI82" s="800"/>
      <c r="CJ82" s="800"/>
      <c r="CK82" s="800"/>
      <c r="CL82" s="800"/>
      <c r="CM82" s="800"/>
      <c r="CN82" s="800"/>
      <c r="CO82" s="800"/>
      <c r="CP82" s="800"/>
      <c r="CQ82" s="800"/>
      <c r="CR82" s="800"/>
      <c r="CS82" s="800"/>
      <c r="CT82" s="800"/>
    </row>
    <row r="83" spans="1:98" x14ac:dyDescent="0.2">
      <c r="A83" s="590"/>
      <c r="B83" s="5015"/>
      <c r="C83" s="1404" t="s">
        <v>348</v>
      </c>
      <c r="D83" s="772"/>
      <c r="E83" s="773"/>
      <c r="F83" s="773"/>
      <c r="G83" s="773"/>
      <c r="H83" s="773"/>
      <c r="I83" s="773"/>
      <c r="J83" s="773"/>
      <c r="K83" s="773"/>
      <c r="L83" s="773"/>
      <c r="M83" s="773"/>
      <c r="N83" s="773"/>
      <c r="O83" s="773"/>
      <c r="P83" s="773"/>
      <c r="Q83" s="773"/>
      <c r="R83" s="773"/>
      <c r="S83" s="773"/>
      <c r="T83" s="773"/>
      <c r="U83" s="773"/>
      <c r="V83" s="773"/>
      <c r="W83" s="773"/>
      <c r="X83" s="773"/>
      <c r="Y83" s="795"/>
      <c r="Z83" s="795"/>
      <c r="AA83" s="795"/>
      <c r="AB83" s="795"/>
      <c r="AC83" s="1891"/>
      <c r="AD83" s="1891"/>
      <c r="AE83" s="1891"/>
      <c r="AF83" s="1891"/>
      <c r="AG83" s="1891"/>
      <c r="AH83" s="1891"/>
      <c r="AI83" s="1891"/>
      <c r="AJ83" s="1891"/>
      <c r="AK83" s="1891"/>
      <c r="AL83" s="1891"/>
      <c r="AM83" s="1891"/>
      <c r="AN83" s="1891"/>
      <c r="AO83" s="798"/>
      <c r="AP83" s="798"/>
      <c r="AQ83" s="798"/>
      <c r="AR83" s="798"/>
      <c r="AS83" s="798"/>
      <c r="AT83" s="798"/>
      <c r="AU83" s="798"/>
      <c r="AV83" s="798"/>
      <c r="AW83" s="798"/>
      <c r="AX83" s="798"/>
      <c r="AY83" s="798"/>
      <c r="AZ83" s="798"/>
      <c r="BA83" s="798"/>
      <c r="BB83" s="798"/>
      <c r="BC83" s="798"/>
      <c r="BD83" s="798"/>
      <c r="BE83" s="111"/>
      <c r="BF83" s="590"/>
      <c r="BG83" s="111"/>
      <c r="BH83" s="111"/>
      <c r="BI83" s="111"/>
      <c r="BJ83" s="111"/>
      <c r="BK83" s="111"/>
      <c r="BL83" s="111"/>
      <c r="BM83" s="111"/>
      <c r="BN83" s="111"/>
      <c r="BO83" s="111"/>
      <c r="BP83" s="111"/>
      <c r="BQ83" s="111"/>
      <c r="BR83" s="111"/>
      <c r="BS83" s="111"/>
      <c r="BT83" s="111"/>
      <c r="BU83" s="1867"/>
      <c r="BV83" s="1867"/>
      <c r="BW83" s="1867"/>
      <c r="BX83" s="1867"/>
      <c r="BY83" s="1867"/>
      <c r="BZ83" s="1867"/>
      <c r="CA83" s="1867"/>
      <c r="CB83" s="1867"/>
      <c r="CC83" s="1867"/>
      <c r="CD83" s="1867"/>
      <c r="CE83" s="1867"/>
      <c r="CF83" s="1867"/>
      <c r="CG83" s="111"/>
      <c r="CH83" s="111"/>
      <c r="CI83" s="800"/>
      <c r="CJ83" s="800"/>
      <c r="CK83" s="800"/>
      <c r="CL83" s="800"/>
      <c r="CM83" s="800"/>
      <c r="CN83" s="800"/>
      <c r="CO83" s="800"/>
      <c r="CP83" s="800"/>
      <c r="CQ83" s="800"/>
      <c r="CR83" s="800"/>
      <c r="CS83" s="800"/>
      <c r="CT83" s="800"/>
    </row>
    <row r="84" spans="1:98" x14ac:dyDescent="0.2">
      <c r="A84" s="590"/>
      <c r="B84" s="5015"/>
      <c r="C84" s="1404" t="s">
        <v>348</v>
      </c>
      <c r="D84" s="772"/>
      <c r="E84" s="773"/>
      <c r="F84" s="773"/>
      <c r="G84" s="773"/>
      <c r="H84" s="773"/>
      <c r="I84" s="773"/>
      <c r="J84" s="773"/>
      <c r="K84" s="773"/>
      <c r="L84" s="773"/>
      <c r="M84" s="773"/>
      <c r="N84" s="773"/>
      <c r="O84" s="773"/>
      <c r="P84" s="773"/>
      <c r="Q84" s="773"/>
      <c r="R84" s="773"/>
      <c r="S84" s="773"/>
      <c r="T84" s="773"/>
      <c r="U84" s="773"/>
      <c r="V84" s="773"/>
      <c r="W84" s="773"/>
      <c r="X84" s="773"/>
      <c r="Y84" s="795"/>
      <c r="Z84" s="795"/>
      <c r="AA84" s="795"/>
      <c r="AB84" s="795"/>
      <c r="AC84" s="1891"/>
      <c r="AD84" s="1891"/>
      <c r="AE84" s="1891"/>
      <c r="AF84" s="1891"/>
      <c r="AG84" s="1891"/>
      <c r="AH84" s="1891"/>
      <c r="AI84" s="1891"/>
      <c r="AJ84" s="1891"/>
      <c r="AK84" s="1891"/>
      <c r="AL84" s="1891"/>
      <c r="AM84" s="1891"/>
      <c r="AN84" s="1891"/>
      <c r="AO84" s="798"/>
      <c r="AP84" s="798"/>
      <c r="AQ84" s="798"/>
      <c r="AR84" s="798"/>
      <c r="AS84" s="798"/>
      <c r="AT84" s="798"/>
      <c r="AU84" s="798"/>
      <c r="AV84" s="798"/>
      <c r="AW84" s="798"/>
      <c r="AX84" s="798"/>
      <c r="AY84" s="798"/>
      <c r="AZ84" s="798"/>
      <c r="BA84" s="798"/>
      <c r="BB84" s="798"/>
      <c r="BC84" s="798"/>
      <c r="BD84" s="798"/>
      <c r="BE84" s="111"/>
      <c r="BF84" s="590"/>
      <c r="BG84" s="111"/>
      <c r="BH84" s="111"/>
      <c r="BI84" s="111"/>
      <c r="BJ84" s="111"/>
      <c r="BK84" s="111"/>
      <c r="BL84" s="111"/>
      <c r="BM84" s="111"/>
      <c r="BN84" s="111"/>
      <c r="BO84" s="111"/>
      <c r="BP84" s="111"/>
      <c r="BQ84" s="111"/>
      <c r="BR84" s="111"/>
      <c r="BS84" s="111"/>
      <c r="BT84" s="111"/>
      <c r="BU84" s="1867"/>
      <c r="BV84" s="1867"/>
      <c r="BW84" s="1867"/>
      <c r="BX84" s="1867"/>
      <c r="BY84" s="1867"/>
      <c r="BZ84" s="1867"/>
      <c r="CA84" s="1867"/>
      <c r="CB84" s="1867"/>
      <c r="CC84" s="1867"/>
      <c r="CD84" s="1867"/>
      <c r="CE84" s="1867"/>
      <c r="CF84" s="1867"/>
      <c r="CG84" s="111"/>
      <c r="CH84" s="111"/>
      <c r="CI84" s="800"/>
      <c r="CJ84" s="800"/>
      <c r="CK84" s="800"/>
      <c r="CL84" s="800"/>
      <c r="CM84" s="800"/>
      <c r="CN84" s="800"/>
      <c r="CO84" s="800"/>
      <c r="CP84" s="800"/>
      <c r="CQ84" s="800"/>
      <c r="CR84" s="800"/>
      <c r="CS84" s="800"/>
      <c r="CT84" s="800"/>
    </row>
    <row r="85" spans="1:98" x14ac:dyDescent="0.2">
      <c r="A85" s="590"/>
      <c r="B85" s="5033"/>
      <c r="C85" s="1404" t="s">
        <v>348</v>
      </c>
      <c r="D85" s="772"/>
      <c r="E85" s="773"/>
      <c r="F85" s="773"/>
      <c r="G85" s="773"/>
      <c r="H85" s="773"/>
      <c r="I85" s="773"/>
      <c r="J85" s="773"/>
      <c r="K85" s="773"/>
      <c r="L85" s="773"/>
      <c r="M85" s="773"/>
      <c r="N85" s="773"/>
      <c r="O85" s="773"/>
      <c r="P85" s="773"/>
      <c r="Q85" s="773"/>
      <c r="R85" s="773"/>
      <c r="S85" s="773"/>
      <c r="T85" s="773"/>
      <c r="U85" s="773"/>
      <c r="V85" s="773"/>
      <c r="W85" s="773"/>
      <c r="X85" s="773"/>
      <c r="Y85" s="795"/>
      <c r="Z85" s="795"/>
      <c r="AA85" s="795"/>
      <c r="AB85" s="795"/>
      <c r="AC85" s="1891"/>
      <c r="AD85" s="1891"/>
      <c r="AE85" s="1891"/>
      <c r="AF85" s="1891"/>
      <c r="AG85" s="1891"/>
      <c r="AH85" s="1891"/>
      <c r="AI85" s="1891"/>
      <c r="AJ85" s="1891"/>
      <c r="AK85" s="1891"/>
      <c r="AL85" s="1891"/>
      <c r="AM85" s="1891"/>
      <c r="AN85" s="1891"/>
      <c r="AO85" s="798"/>
      <c r="AP85" s="798"/>
      <c r="AQ85" s="798"/>
      <c r="AR85" s="798"/>
      <c r="AS85" s="798"/>
      <c r="AT85" s="798"/>
      <c r="AU85" s="798"/>
      <c r="AV85" s="798"/>
      <c r="AW85" s="798"/>
      <c r="AX85" s="798"/>
      <c r="AY85" s="798"/>
      <c r="AZ85" s="798"/>
      <c r="BA85" s="798"/>
      <c r="BB85" s="798"/>
      <c r="BC85" s="798"/>
      <c r="BD85" s="798"/>
      <c r="BE85" s="111"/>
      <c r="BF85" s="590"/>
      <c r="BG85" s="111"/>
      <c r="BH85" s="111"/>
      <c r="BI85" s="111"/>
      <c r="BJ85" s="111"/>
      <c r="BK85" s="111"/>
      <c r="BL85" s="111"/>
      <c r="BM85" s="111"/>
      <c r="BN85" s="111"/>
      <c r="BO85" s="111"/>
      <c r="BP85" s="111"/>
      <c r="BQ85" s="111"/>
      <c r="BR85" s="111"/>
      <c r="BS85" s="111"/>
      <c r="BT85" s="111"/>
      <c r="BU85" s="1867"/>
      <c r="BV85" s="1867"/>
      <c r="BW85" s="1867"/>
      <c r="BX85" s="1867"/>
      <c r="BY85" s="1867"/>
      <c r="BZ85" s="1867"/>
      <c r="CA85" s="1867"/>
      <c r="CB85" s="1867"/>
      <c r="CC85" s="1867"/>
      <c r="CD85" s="1867"/>
      <c r="CE85" s="1867"/>
      <c r="CF85" s="1867"/>
      <c r="CG85" s="111"/>
      <c r="CH85" s="111"/>
      <c r="CI85" s="800"/>
      <c r="CJ85" s="800"/>
      <c r="CK85" s="800"/>
      <c r="CL85" s="800"/>
      <c r="CM85" s="800"/>
      <c r="CN85" s="800"/>
      <c r="CO85" s="800"/>
      <c r="CP85" s="800"/>
      <c r="CQ85" s="800"/>
      <c r="CR85" s="800"/>
      <c r="CS85" s="800"/>
      <c r="CT85" s="800"/>
    </row>
    <row r="86" spans="1:98" x14ac:dyDescent="0.2">
      <c r="A86" s="590"/>
      <c r="B86" s="5033"/>
      <c r="C86" s="1404" t="s">
        <v>348</v>
      </c>
      <c r="D86" s="772"/>
      <c r="E86" s="773"/>
      <c r="F86" s="773"/>
      <c r="G86" s="773"/>
      <c r="H86" s="773"/>
      <c r="I86" s="773"/>
      <c r="J86" s="773"/>
      <c r="K86" s="773"/>
      <c r="L86" s="773"/>
      <c r="M86" s="773"/>
      <c r="N86" s="773"/>
      <c r="O86" s="773"/>
      <c r="P86" s="773"/>
      <c r="Q86" s="773"/>
      <c r="R86" s="773"/>
      <c r="S86" s="773"/>
      <c r="T86" s="773"/>
      <c r="U86" s="773"/>
      <c r="V86" s="773"/>
      <c r="W86" s="773"/>
      <c r="X86" s="773"/>
      <c r="Y86" s="795"/>
      <c r="Z86" s="795"/>
      <c r="AA86" s="795"/>
      <c r="AB86" s="795"/>
      <c r="AC86" s="1891"/>
      <c r="AD86" s="1891"/>
      <c r="AE86" s="1891"/>
      <c r="AF86" s="1891"/>
      <c r="AG86" s="1891"/>
      <c r="AH86" s="1891"/>
      <c r="AI86" s="1891"/>
      <c r="AJ86" s="1891"/>
      <c r="AK86" s="1891"/>
      <c r="AL86" s="1891"/>
      <c r="AM86" s="1891"/>
      <c r="AN86" s="1891"/>
      <c r="AO86" s="798"/>
      <c r="AP86" s="798"/>
      <c r="AQ86" s="798"/>
      <c r="AR86" s="798"/>
      <c r="AS86" s="798"/>
      <c r="AT86" s="798"/>
      <c r="AU86" s="798"/>
      <c r="AV86" s="798"/>
      <c r="AW86" s="798"/>
      <c r="AX86" s="798"/>
      <c r="AY86" s="798"/>
      <c r="AZ86" s="798"/>
      <c r="BA86" s="798"/>
      <c r="BB86" s="798"/>
      <c r="BC86" s="798"/>
      <c r="BD86" s="798"/>
      <c r="BE86" s="111"/>
      <c r="BF86" s="590"/>
      <c r="BG86" s="111"/>
      <c r="BH86" s="111"/>
      <c r="BI86" s="111"/>
      <c r="BJ86" s="111"/>
      <c r="BK86" s="111"/>
      <c r="BL86" s="111"/>
      <c r="BM86" s="111"/>
      <c r="BN86" s="111"/>
      <c r="BO86" s="111"/>
      <c r="BP86" s="111"/>
      <c r="BQ86" s="111"/>
      <c r="BR86" s="111"/>
      <c r="BS86" s="111"/>
      <c r="BT86" s="111"/>
      <c r="BU86" s="1867"/>
      <c r="BV86" s="1867"/>
      <c r="BW86" s="1867"/>
      <c r="BX86" s="1867"/>
      <c r="BY86" s="1867"/>
      <c r="BZ86" s="1867"/>
      <c r="CA86" s="1867"/>
      <c r="CB86" s="1867"/>
      <c r="CC86" s="1867"/>
      <c r="CD86" s="1867"/>
      <c r="CE86" s="1867"/>
      <c r="CF86" s="1867"/>
      <c r="CG86" s="111"/>
      <c r="CH86" s="111"/>
      <c r="CI86" s="800"/>
      <c r="CJ86" s="800"/>
      <c r="CK86" s="800"/>
      <c r="CL86" s="800"/>
      <c r="CM86" s="800"/>
      <c r="CN86" s="800"/>
      <c r="CO86" s="800"/>
      <c r="CP86" s="800"/>
      <c r="CQ86" s="800"/>
      <c r="CR86" s="800"/>
      <c r="CS86" s="800"/>
      <c r="CT86" s="800"/>
    </row>
    <row r="87" spans="1:98" x14ac:dyDescent="0.2">
      <c r="A87" s="739"/>
      <c r="B87" s="788" t="s">
        <v>478</v>
      </c>
      <c r="C87" s="781"/>
      <c r="D87" s="111"/>
      <c r="E87" s="111"/>
      <c r="F87" s="111"/>
      <c r="G87" s="111"/>
      <c r="H87" s="111"/>
      <c r="I87" s="111"/>
      <c r="J87" s="111"/>
      <c r="K87" s="111"/>
      <c r="L87" s="111"/>
      <c r="M87" s="111"/>
      <c r="N87" s="111"/>
      <c r="O87" s="111"/>
      <c r="P87" s="111"/>
      <c r="Q87" s="111"/>
      <c r="R87" s="111"/>
      <c r="S87" s="111"/>
      <c r="T87" s="111"/>
      <c r="U87" s="111"/>
      <c r="V87" s="111"/>
      <c r="W87" s="111"/>
      <c r="X87" s="111"/>
      <c r="Y87" s="810"/>
      <c r="Z87" s="810"/>
      <c r="AA87" s="810"/>
      <c r="AB87" s="810"/>
      <c r="AC87" s="111"/>
      <c r="AD87" s="111"/>
      <c r="AE87" s="111"/>
      <c r="AF87" s="111"/>
      <c r="AG87" s="111"/>
      <c r="AH87" s="111"/>
      <c r="AI87" s="111"/>
      <c r="AJ87" s="111"/>
      <c r="AK87" s="111"/>
      <c r="AL87" s="111"/>
      <c r="AM87" s="111"/>
      <c r="AN87" s="111"/>
      <c r="AO87" s="111"/>
      <c r="AP87" s="111"/>
      <c r="AQ87" s="111"/>
      <c r="AR87" s="111"/>
      <c r="AS87" s="111"/>
      <c r="AT87" s="111"/>
      <c r="AU87" s="111"/>
      <c r="AV87" s="111"/>
      <c r="AW87" s="111"/>
      <c r="AX87" s="111"/>
      <c r="AY87" s="111"/>
      <c r="AZ87" s="111"/>
      <c r="BA87" s="111"/>
      <c r="BB87" s="111"/>
      <c r="BC87" s="111"/>
      <c r="BD87" s="111"/>
      <c r="BE87" s="111"/>
      <c r="BF87" s="590"/>
      <c r="BG87" s="111"/>
      <c r="BH87" s="111"/>
      <c r="BI87" s="111"/>
      <c r="BJ87" s="111"/>
      <c r="BK87" s="111"/>
      <c r="BL87" s="111"/>
      <c r="BM87" s="111"/>
      <c r="BN87" s="111"/>
      <c r="BO87" s="111"/>
      <c r="BP87" s="111"/>
      <c r="BQ87" s="111"/>
      <c r="BR87" s="111"/>
      <c r="BS87" s="111"/>
      <c r="BT87" s="111"/>
      <c r="BU87" s="111"/>
      <c r="BV87" s="111"/>
      <c r="BW87" s="111"/>
      <c r="BX87" s="111"/>
      <c r="BY87" s="111"/>
      <c r="BZ87" s="111"/>
      <c r="CA87" s="111"/>
      <c r="CB87" s="111"/>
      <c r="CC87" s="111"/>
      <c r="CD87" s="111"/>
      <c r="CE87" s="111"/>
      <c r="CF87" s="111"/>
      <c r="CG87" s="111"/>
      <c r="CH87" s="111"/>
      <c r="CI87" s="111"/>
      <c r="CJ87" s="111"/>
      <c r="CK87" s="111"/>
      <c r="CL87" s="111"/>
      <c r="CM87" s="111"/>
      <c r="CN87" s="111"/>
      <c r="CO87" s="111"/>
      <c r="CP87" s="111"/>
      <c r="CQ87" s="111"/>
      <c r="CR87" s="111"/>
      <c r="CS87" s="111"/>
      <c r="CT87" s="111"/>
    </row>
    <row r="88" spans="1:98" x14ac:dyDescent="0.2">
      <c r="A88" s="590"/>
      <c r="B88" s="5033" t="s">
        <v>264</v>
      </c>
      <c r="C88" s="1404" t="s">
        <v>348</v>
      </c>
      <c r="D88" s="772"/>
      <c r="E88" s="773"/>
      <c r="F88" s="773"/>
      <c r="G88" s="773"/>
      <c r="H88" s="773"/>
      <c r="I88" s="773"/>
      <c r="J88" s="773"/>
      <c r="K88" s="773"/>
      <c r="L88" s="773"/>
      <c r="M88" s="773"/>
      <c r="N88" s="773"/>
      <c r="O88" s="773"/>
      <c r="P88" s="773"/>
      <c r="Q88" s="773"/>
      <c r="R88" s="773"/>
      <c r="S88" s="773"/>
      <c r="T88" s="773"/>
      <c r="U88" s="773"/>
      <c r="V88" s="773"/>
      <c r="W88" s="773"/>
      <c r="X88" s="773"/>
      <c r="Y88" s="795"/>
      <c r="Z88" s="795"/>
      <c r="AA88" s="795"/>
      <c r="AB88" s="795"/>
      <c r="AC88" s="1891"/>
      <c r="AD88" s="1891"/>
      <c r="AE88" s="1891"/>
      <c r="AF88" s="1891"/>
      <c r="AG88" s="1891"/>
      <c r="AH88" s="1891"/>
      <c r="AI88" s="1891"/>
      <c r="AJ88" s="1891"/>
      <c r="AK88" s="1891"/>
      <c r="AL88" s="1891"/>
      <c r="AM88" s="1891"/>
      <c r="AN88" s="1891"/>
      <c r="AO88" s="798"/>
      <c r="AP88" s="798"/>
      <c r="AQ88" s="798"/>
      <c r="AR88" s="798"/>
      <c r="AS88" s="798"/>
      <c r="AT88" s="798"/>
      <c r="AU88" s="798"/>
      <c r="AV88" s="798"/>
      <c r="AW88" s="798"/>
      <c r="AX88" s="798"/>
      <c r="AY88" s="798"/>
      <c r="AZ88" s="798"/>
      <c r="BA88" s="798"/>
      <c r="BB88" s="798"/>
      <c r="BC88" s="798"/>
      <c r="BD88" s="798"/>
      <c r="BE88" s="111"/>
      <c r="BF88" s="590"/>
      <c r="BG88" s="111"/>
      <c r="BH88" s="111"/>
      <c r="BI88" s="111"/>
      <c r="BJ88" s="111"/>
      <c r="BK88" s="111"/>
      <c r="BL88" s="111"/>
      <c r="BM88" s="111"/>
      <c r="BN88" s="111"/>
      <c r="BO88" s="111"/>
      <c r="BP88" s="111"/>
      <c r="BQ88" s="111"/>
      <c r="BR88" s="111"/>
      <c r="BS88" s="111"/>
      <c r="BT88" s="111"/>
      <c r="BU88" s="1867"/>
      <c r="BV88" s="1867"/>
      <c r="BW88" s="1867"/>
      <c r="BX88" s="1867"/>
      <c r="BY88" s="1867"/>
      <c r="BZ88" s="1867"/>
      <c r="CA88" s="1867"/>
      <c r="CB88" s="1867"/>
      <c r="CC88" s="1867"/>
      <c r="CD88" s="1867"/>
      <c r="CE88" s="1867"/>
      <c r="CF88" s="1867"/>
      <c r="CG88" s="111"/>
      <c r="CH88" s="111"/>
      <c r="CI88" s="800"/>
      <c r="CJ88" s="800"/>
      <c r="CK88" s="800"/>
      <c r="CL88" s="800"/>
      <c r="CM88" s="800"/>
      <c r="CN88" s="800"/>
      <c r="CO88" s="800"/>
      <c r="CP88" s="800"/>
      <c r="CQ88" s="800"/>
      <c r="CR88" s="800"/>
      <c r="CS88" s="800"/>
      <c r="CT88" s="800"/>
    </row>
    <row r="89" spans="1:98" x14ac:dyDescent="0.2">
      <c r="A89" s="590"/>
      <c r="B89" s="5033" t="s">
        <v>265</v>
      </c>
      <c r="C89" s="1404" t="s">
        <v>348</v>
      </c>
      <c r="D89" s="772"/>
      <c r="E89" s="773"/>
      <c r="F89" s="773"/>
      <c r="G89" s="773"/>
      <c r="H89" s="773"/>
      <c r="I89" s="773"/>
      <c r="J89" s="773"/>
      <c r="K89" s="773"/>
      <c r="L89" s="773"/>
      <c r="M89" s="773"/>
      <c r="N89" s="773"/>
      <c r="O89" s="773"/>
      <c r="P89" s="773"/>
      <c r="Q89" s="773"/>
      <c r="R89" s="773"/>
      <c r="S89" s="773"/>
      <c r="T89" s="773"/>
      <c r="U89" s="773"/>
      <c r="V89" s="773"/>
      <c r="W89" s="773"/>
      <c r="X89" s="773"/>
      <c r="Y89" s="795"/>
      <c r="Z89" s="795"/>
      <c r="AA89" s="795"/>
      <c r="AB89" s="795"/>
      <c r="AC89" s="1891"/>
      <c r="AD89" s="1891"/>
      <c r="AE89" s="1891"/>
      <c r="AF89" s="1891"/>
      <c r="AG89" s="1891"/>
      <c r="AH89" s="1891"/>
      <c r="AI89" s="1891"/>
      <c r="AJ89" s="1891"/>
      <c r="AK89" s="1891"/>
      <c r="AL89" s="1891"/>
      <c r="AM89" s="1891"/>
      <c r="AN89" s="1891"/>
      <c r="AO89" s="798"/>
      <c r="AP89" s="798"/>
      <c r="AQ89" s="798"/>
      <c r="AR89" s="798"/>
      <c r="AS89" s="798"/>
      <c r="AT89" s="798"/>
      <c r="AU89" s="798"/>
      <c r="AV89" s="798"/>
      <c r="AW89" s="798"/>
      <c r="AX89" s="798"/>
      <c r="AY89" s="798"/>
      <c r="AZ89" s="798"/>
      <c r="BA89" s="798"/>
      <c r="BB89" s="798"/>
      <c r="BC89" s="798"/>
      <c r="BD89" s="798"/>
      <c r="BE89" s="111"/>
      <c r="BF89" s="590"/>
      <c r="BG89" s="111"/>
      <c r="BH89" s="111"/>
      <c r="BI89" s="111"/>
      <c r="BJ89" s="111"/>
      <c r="BK89" s="111"/>
      <c r="BL89" s="111"/>
      <c r="BM89" s="111"/>
      <c r="BN89" s="111"/>
      <c r="BO89" s="111"/>
      <c r="BP89" s="111"/>
      <c r="BQ89" s="111"/>
      <c r="BR89" s="111"/>
      <c r="BS89" s="111"/>
      <c r="BT89" s="111"/>
      <c r="BU89" s="1867"/>
      <c r="BV89" s="1867"/>
      <c r="BW89" s="1867"/>
      <c r="BX89" s="1867"/>
      <c r="BY89" s="1867"/>
      <c r="BZ89" s="1867"/>
      <c r="CA89" s="1867"/>
      <c r="CB89" s="1867"/>
      <c r="CC89" s="1867"/>
      <c r="CD89" s="1867"/>
      <c r="CE89" s="1867"/>
      <c r="CF89" s="1867"/>
      <c r="CG89" s="111"/>
      <c r="CH89" s="599"/>
      <c r="CI89" s="800"/>
      <c r="CJ89" s="800"/>
      <c r="CK89" s="800"/>
      <c r="CL89" s="800"/>
      <c r="CM89" s="800"/>
      <c r="CN89" s="800"/>
      <c r="CO89" s="800"/>
      <c r="CP89" s="800"/>
      <c r="CQ89" s="800"/>
      <c r="CR89" s="800"/>
      <c r="CS89" s="800"/>
      <c r="CT89" s="800"/>
    </row>
    <row r="90" spans="1:98" x14ac:dyDescent="0.2">
      <c r="A90" s="590"/>
      <c r="B90" s="5033" t="s">
        <v>266</v>
      </c>
      <c r="C90" s="1404" t="s">
        <v>348</v>
      </c>
      <c r="D90" s="772"/>
      <c r="E90" s="773"/>
      <c r="F90" s="773"/>
      <c r="G90" s="773"/>
      <c r="H90" s="773"/>
      <c r="I90" s="773"/>
      <c r="J90" s="773"/>
      <c r="K90" s="773"/>
      <c r="L90" s="773"/>
      <c r="M90" s="773"/>
      <c r="N90" s="773"/>
      <c r="O90" s="773"/>
      <c r="P90" s="773"/>
      <c r="Q90" s="773"/>
      <c r="R90" s="773"/>
      <c r="S90" s="773"/>
      <c r="T90" s="773"/>
      <c r="U90" s="773"/>
      <c r="V90" s="773"/>
      <c r="W90" s="773"/>
      <c r="X90" s="773"/>
      <c r="Y90" s="795"/>
      <c r="Z90" s="795"/>
      <c r="AA90" s="795"/>
      <c r="AB90" s="795"/>
      <c r="AC90" s="1891"/>
      <c r="AD90" s="1891"/>
      <c r="AE90" s="1891"/>
      <c r="AF90" s="1891"/>
      <c r="AG90" s="1891"/>
      <c r="AH90" s="1891"/>
      <c r="AI90" s="1891"/>
      <c r="AJ90" s="1891"/>
      <c r="AK90" s="1891"/>
      <c r="AL90" s="1891"/>
      <c r="AM90" s="1891"/>
      <c r="AN90" s="1891"/>
      <c r="AO90" s="798"/>
      <c r="AP90" s="798"/>
      <c r="AQ90" s="798"/>
      <c r="AR90" s="798"/>
      <c r="AS90" s="798"/>
      <c r="AT90" s="798"/>
      <c r="AU90" s="798"/>
      <c r="AV90" s="798"/>
      <c r="AW90" s="798"/>
      <c r="AX90" s="798"/>
      <c r="AY90" s="798"/>
      <c r="AZ90" s="798"/>
      <c r="BA90" s="798"/>
      <c r="BB90" s="798"/>
      <c r="BC90" s="798"/>
      <c r="BD90" s="798"/>
      <c r="BE90" s="111"/>
      <c r="BF90" s="590"/>
      <c r="BG90" s="111"/>
      <c r="BH90" s="111"/>
      <c r="BI90" s="111"/>
      <c r="BJ90" s="111"/>
      <c r="BK90" s="111"/>
      <c r="BL90" s="111"/>
      <c r="BM90" s="111"/>
      <c r="BN90" s="111"/>
      <c r="BO90" s="111"/>
      <c r="BP90" s="111"/>
      <c r="BQ90" s="111"/>
      <c r="BR90" s="111"/>
      <c r="BS90" s="111"/>
      <c r="BT90" s="111"/>
      <c r="BU90" s="1867"/>
      <c r="BV90" s="1867"/>
      <c r="BW90" s="1867"/>
      <c r="BX90" s="1867"/>
      <c r="BY90" s="1867"/>
      <c r="BZ90" s="1867"/>
      <c r="CA90" s="1867"/>
      <c r="CB90" s="1867"/>
      <c r="CC90" s="1867"/>
      <c r="CD90" s="1867"/>
      <c r="CE90" s="1867"/>
      <c r="CF90" s="1867"/>
      <c r="CG90" s="111"/>
      <c r="CH90" s="111"/>
      <c r="CI90" s="800"/>
      <c r="CJ90" s="800"/>
      <c r="CK90" s="800"/>
      <c r="CL90" s="800"/>
      <c r="CM90" s="800"/>
      <c r="CN90" s="800"/>
      <c r="CO90" s="800"/>
      <c r="CP90" s="800"/>
      <c r="CQ90" s="800"/>
      <c r="CR90" s="800"/>
      <c r="CS90" s="800"/>
      <c r="CT90" s="800"/>
    </row>
    <row r="91" spans="1:98" x14ac:dyDescent="0.2">
      <c r="A91" s="590"/>
      <c r="B91" s="5040"/>
      <c r="C91" s="1404" t="s">
        <v>348</v>
      </c>
      <c r="D91" s="772"/>
      <c r="E91" s="773"/>
      <c r="F91" s="773"/>
      <c r="G91" s="773"/>
      <c r="H91" s="773"/>
      <c r="I91" s="773"/>
      <c r="J91" s="773"/>
      <c r="K91" s="773"/>
      <c r="L91" s="773"/>
      <c r="M91" s="773"/>
      <c r="N91" s="773"/>
      <c r="O91" s="773"/>
      <c r="P91" s="773"/>
      <c r="Q91" s="773"/>
      <c r="R91" s="773"/>
      <c r="S91" s="773"/>
      <c r="T91" s="773"/>
      <c r="U91" s="773"/>
      <c r="V91" s="773"/>
      <c r="W91" s="773"/>
      <c r="X91" s="773"/>
      <c r="Y91" s="795"/>
      <c r="Z91" s="795"/>
      <c r="AA91" s="795"/>
      <c r="AB91" s="795"/>
      <c r="AC91" s="1891"/>
      <c r="AD91" s="1891"/>
      <c r="AE91" s="1891"/>
      <c r="AF91" s="1891"/>
      <c r="AG91" s="1891"/>
      <c r="AH91" s="1891"/>
      <c r="AI91" s="1891"/>
      <c r="AJ91" s="1891"/>
      <c r="AK91" s="1891"/>
      <c r="AL91" s="1891"/>
      <c r="AM91" s="1891"/>
      <c r="AN91" s="1891"/>
      <c r="AO91" s="798"/>
      <c r="AP91" s="798"/>
      <c r="AQ91" s="798"/>
      <c r="AR91" s="798"/>
      <c r="AS91" s="798"/>
      <c r="AT91" s="798"/>
      <c r="AU91" s="798"/>
      <c r="AV91" s="798"/>
      <c r="AW91" s="798"/>
      <c r="AX91" s="798"/>
      <c r="AY91" s="798"/>
      <c r="AZ91" s="798"/>
      <c r="BA91" s="798"/>
      <c r="BB91" s="798"/>
      <c r="BC91" s="798"/>
      <c r="BD91" s="798"/>
      <c r="BE91" s="111"/>
      <c r="BF91" s="590"/>
      <c r="BG91" s="111"/>
      <c r="BH91" s="111"/>
      <c r="BI91" s="111"/>
      <c r="BJ91" s="111"/>
      <c r="BK91" s="111"/>
      <c r="BL91" s="111"/>
      <c r="BM91" s="111"/>
      <c r="BN91" s="111"/>
      <c r="BO91" s="111"/>
      <c r="BP91" s="111"/>
      <c r="BQ91" s="111"/>
      <c r="BR91" s="111"/>
      <c r="BS91" s="111"/>
      <c r="BT91" s="111"/>
      <c r="BU91" s="1867"/>
      <c r="BV91" s="1867"/>
      <c r="BW91" s="1867"/>
      <c r="BX91" s="1867"/>
      <c r="BY91" s="1867"/>
      <c r="BZ91" s="1867"/>
      <c r="CA91" s="1867"/>
      <c r="CB91" s="1867"/>
      <c r="CC91" s="1867"/>
      <c r="CD91" s="1867"/>
      <c r="CE91" s="1867"/>
      <c r="CF91" s="1867"/>
      <c r="CG91" s="111"/>
      <c r="CH91" s="111"/>
      <c r="CI91" s="800"/>
      <c r="CJ91" s="800"/>
      <c r="CK91" s="800"/>
      <c r="CL91" s="800"/>
      <c r="CM91" s="800"/>
      <c r="CN91" s="800"/>
      <c r="CO91" s="800"/>
      <c r="CP91" s="800"/>
      <c r="CQ91" s="800"/>
      <c r="CR91" s="800"/>
      <c r="CS91" s="800"/>
      <c r="CT91" s="800"/>
    </row>
    <row r="92" spans="1:98" x14ac:dyDescent="0.2">
      <c r="A92" s="590"/>
      <c r="B92" s="5033"/>
      <c r="C92" s="1404" t="s">
        <v>348</v>
      </c>
      <c r="D92" s="772"/>
      <c r="E92" s="773"/>
      <c r="F92" s="773"/>
      <c r="G92" s="773"/>
      <c r="H92" s="773"/>
      <c r="I92" s="773"/>
      <c r="J92" s="773"/>
      <c r="K92" s="773"/>
      <c r="L92" s="773"/>
      <c r="M92" s="773"/>
      <c r="N92" s="773"/>
      <c r="O92" s="773"/>
      <c r="P92" s="773"/>
      <c r="Q92" s="773"/>
      <c r="R92" s="773"/>
      <c r="S92" s="773"/>
      <c r="T92" s="773"/>
      <c r="U92" s="773"/>
      <c r="V92" s="773"/>
      <c r="W92" s="773"/>
      <c r="X92" s="773"/>
      <c r="Y92" s="795"/>
      <c r="Z92" s="795"/>
      <c r="AA92" s="795"/>
      <c r="AB92" s="795"/>
      <c r="AC92" s="1891"/>
      <c r="AD92" s="1891"/>
      <c r="AE92" s="1891"/>
      <c r="AF92" s="1891"/>
      <c r="AG92" s="1891"/>
      <c r="AH92" s="1891"/>
      <c r="AI92" s="1891"/>
      <c r="AJ92" s="1891"/>
      <c r="AK92" s="1891"/>
      <c r="AL92" s="1891"/>
      <c r="AM92" s="1891"/>
      <c r="AN92" s="1891"/>
      <c r="AO92" s="798"/>
      <c r="AP92" s="798"/>
      <c r="AQ92" s="798"/>
      <c r="AR92" s="798"/>
      <c r="AS92" s="798"/>
      <c r="AT92" s="798"/>
      <c r="AU92" s="798"/>
      <c r="AV92" s="798"/>
      <c r="AW92" s="798"/>
      <c r="AX92" s="798"/>
      <c r="AY92" s="798"/>
      <c r="AZ92" s="798"/>
      <c r="BA92" s="798"/>
      <c r="BB92" s="798"/>
      <c r="BC92" s="798"/>
      <c r="BD92" s="798"/>
      <c r="BE92" s="111"/>
      <c r="BF92" s="590"/>
      <c r="BG92" s="111"/>
      <c r="BH92" s="111"/>
      <c r="BI92" s="111"/>
      <c r="BJ92" s="111"/>
      <c r="BK92" s="111"/>
      <c r="BL92" s="111"/>
      <c r="BM92" s="111"/>
      <c r="BN92" s="111"/>
      <c r="BO92" s="111"/>
      <c r="BP92" s="111"/>
      <c r="BQ92" s="111"/>
      <c r="BR92" s="111"/>
      <c r="BS92" s="111"/>
      <c r="BT92" s="111"/>
      <c r="BU92" s="1867"/>
      <c r="BV92" s="1867"/>
      <c r="BW92" s="1867"/>
      <c r="BX92" s="1867"/>
      <c r="BY92" s="1867"/>
      <c r="BZ92" s="1867"/>
      <c r="CA92" s="1867"/>
      <c r="CB92" s="1867"/>
      <c r="CC92" s="1867"/>
      <c r="CD92" s="1867"/>
      <c r="CE92" s="1867"/>
      <c r="CF92" s="1867"/>
      <c r="CG92" s="111"/>
      <c r="CH92" s="599"/>
      <c r="CI92" s="800"/>
      <c r="CJ92" s="800"/>
      <c r="CK92" s="800"/>
      <c r="CL92" s="800"/>
      <c r="CM92" s="800"/>
      <c r="CN92" s="800"/>
      <c r="CO92" s="800"/>
      <c r="CP92" s="800"/>
      <c r="CQ92" s="800"/>
      <c r="CR92" s="800"/>
      <c r="CS92" s="800"/>
      <c r="CT92" s="800"/>
    </row>
    <row r="93" spans="1:98" x14ac:dyDescent="0.2">
      <c r="A93" s="590"/>
      <c r="B93" s="5033"/>
      <c r="C93" s="1404" t="s">
        <v>348</v>
      </c>
      <c r="D93" s="772"/>
      <c r="E93" s="773"/>
      <c r="F93" s="773"/>
      <c r="G93" s="773"/>
      <c r="H93" s="773"/>
      <c r="I93" s="773"/>
      <c r="J93" s="773"/>
      <c r="K93" s="773"/>
      <c r="L93" s="773"/>
      <c r="M93" s="773"/>
      <c r="N93" s="773"/>
      <c r="O93" s="773"/>
      <c r="P93" s="773"/>
      <c r="Q93" s="773"/>
      <c r="R93" s="773"/>
      <c r="S93" s="773"/>
      <c r="T93" s="773"/>
      <c r="U93" s="773"/>
      <c r="V93" s="773"/>
      <c r="W93" s="773"/>
      <c r="X93" s="773"/>
      <c r="Y93" s="795"/>
      <c r="Z93" s="795"/>
      <c r="AA93" s="795"/>
      <c r="AB93" s="795"/>
      <c r="AC93" s="1891"/>
      <c r="AD93" s="1891"/>
      <c r="AE93" s="1891"/>
      <c r="AF93" s="1891"/>
      <c r="AG93" s="1891"/>
      <c r="AH93" s="1891"/>
      <c r="AI93" s="1891"/>
      <c r="AJ93" s="1891"/>
      <c r="AK93" s="1891"/>
      <c r="AL93" s="1891"/>
      <c r="AM93" s="1891"/>
      <c r="AN93" s="1891"/>
      <c r="AO93" s="798"/>
      <c r="AP93" s="798"/>
      <c r="AQ93" s="798"/>
      <c r="AR93" s="798"/>
      <c r="AS93" s="798"/>
      <c r="AT93" s="798"/>
      <c r="AU93" s="798"/>
      <c r="AV93" s="798"/>
      <c r="AW93" s="798"/>
      <c r="AX93" s="798"/>
      <c r="AY93" s="798"/>
      <c r="AZ93" s="798"/>
      <c r="BA93" s="798"/>
      <c r="BB93" s="798"/>
      <c r="BC93" s="798"/>
      <c r="BD93" s="798"/>
      <c r="BE93" s="111"/>
      <c r="BF93" s="590"/>
      <c r="BG93" s="111"/>
      <c r="BH93" s="111"/>
      <c r="BI93" s="111"/>
      <c r="BJ93" s="111"/>
      <c r="BK93" s="111"/>
      <c r="BL93" s="111"/>
      <c r="BM93" s="111"/>
      <c r="BN93" s="111"/>
      <c r="BO93" s="111"/>
      <c r="BP93" s="111"/>
      <c r="BQ93" s="111"/>
      <c r="BR93" s="111"/>
      <c r="BS93" s="111"/>
      <c r="BT93" s="111"/>
      <c r="BU93" s="1867"/>
      <c r="BV93" s="1867"/>
      <c r="BW93" s="1867"/>
      <c r="BX93" s="1867"/>
      <c r="BY93" s="1867"/>
      <c r="BZ93" s="1867"/>
      <c r="CA93" s="1867"/>
      <c r="CB93" s="1867"/>
      <c r="CC93" s="1867"/>
      <c r="CD93" s="1867"/>
      <c r="CE93" s="1867"/>
      <c r="CF93" s="1867"/>
      <c r="CG93" s="111"/>
      <c r="CH93" s="111"/>
      <c r="CI93" s="800"/>
      <c r="CJ93" s="800"/>
      <c r="CK93" s="800"/>
      <c r="CL93" s="800"/>
      <c r="CM93" s="800"/>
      <c r="CN93" s="800"/>
      <c r="CO93" s="800"/>
      <c r="CP93" s="800"/>
      <c r="CQ93" s="800"/>
      <c r="CR93" s="800"/>
      <c r="CS93" s="800"/>
      <c r="CT93" s="800"/>
    </row>
    <row r="94" spans="1:98" x14ac:dyDescent="0.2">
      <c r="A94" s="590"/>
      <c r="B94" s="5033"/>
      <c r="C94" s="1404" t="s">
        <v>348</v>
      </c>
      <c r="D94" s="772"/>
      <c r="E94" s="773"/>
      <c r="F94" s="773"/>
      <c r="G94" s="773"/>
      <c r="H94" s="773"/>
      <c r="I94" s="773"/>
      <c r="J94" s="773"/>
      <c r="K94" s="773"/>
      <c r="L94" s="773"/>
      <c r="M94" s="773"/>
      <c r="N94" s="773"/>
      <c r="O94" s="773"/>
      <c r="P94" s="773"/>
      <c r="Q94" s="773"/>
      <c r="R94" s="773"/>
      <c r="S94" s="773"/>
      <c r="T94" s="773"/>
      <c r="U94" s="773"/>
      <c r="V94" s="773"/>
      <c r="W94" s="773"/>
      <c r="X94" s="773"/>
      <c r="Y94" s="795"/>
      <c r="Z94" s="795"/>
      <c r="AA94" s="795"/>
      <c r="AB94" s="795"/>
      <c r="AC94" s="1891"/>
      <c r="AD94" s="1891"/>
      <c r="AE94" s="1891"/>
      <c r="AF94" s="1891"/>
      <c r="AG94" s="1891"/>
      <c r="AH94" s="1891"/>
      <c r="AI94" s="1891"/>
      <c r="AJ94" s="1891"/>
      <c r="AK94" s="1891"/>
      <c r="AL94" s="1891"/>
      <c r="AM94" s="1891"/>
      <c r="AN94" s="1891"/>
      <c r="AO94" s="798"/>
      <c r="AP94" s="798"/>
      <c r="AQ94" s="798"/>
      <c r="AR94" s="798"/>
      <c r="AS94" s="798"/>
      <c r="AT94" s="798"/>
      <c r="AU94" s="798"/>
      <c r="AV94" s="798"/>
      <c r="AW94" s="798"/>
      <c r="AX94" s="798"/>
      <c r="AY94" s="798"/>
      <c r="AZ94" s="798"/>
      <c r="BA94" s="798"/>
      <c r="BB94" s="798"/>
      <c r="BC94" s="798"/>
      <c r="BD94" s="798"/>
      <c r="BE94" s="111"/>
      <c r="BF94" s="590"/>
      <c r="BG94" s="111"/>
      <c r="BH94" s="111"/>
      <c r="BI94" s="111"/>
      <c r="BJ94" s="111"/>
      <c r="BK94" s="111"/>
      <c r="BL94" s="111"/>
      <c r="BM94" s="111"/>
      <c r="BN94" s="111"/>
      <c r="BO94" s="111"/>
      <c r="BP94" s="111"/>
      <c r="BQ94" s="111"/>
      <c r="BR94" s="111"/>
      <c r="BS94" s="111"/>
      <c r="BT94" s="111"/>
      <c r="BU94" s="1867"/>
      <c r="BV94" s="1867"/>
      <c r="BW94" s="1867"/>
      <c r="BX94" s="1867"/>
      <c r="BY94" s="1867"/>
      <c r="BZ94" s="1867"/>
      <c r="CA94" s="1867"/>
      <c r="CB94" s="1867"/>
      <c r="CC94" s="1867"/>
      <c r="CD94" s="1867"/>
      <c r="CE94" s="1867"/>
      <c r="CF94" s="1867"/>
      <c r="CG94" s="111"/>
      <c r="CH94" s="111"/>
      <c r="CI94" s="800"/>
      <c r="CJ94" s="800"/>
      <c r="CK94" s="800"/>
      <c r="CL94" s="800"/>
      <c r="CM94" s="800"/>
      <c r="CN94" s="800"/>
      <c r="CO94" s="800"/>
      <c r="CP94" s="800"/>
      <c r="CQ94" s="800"/>
      <c r="CR94" s="800"/>
      <c r="CS94" s="800"/>
      <c r="CT94" s="800"/>
    </row>
    <row r="95" spans="1:98" x14ac:dyDescent="0.2">
      <c r="A95" s="590"/>
      <c r="B95" s="5033"/>
      <c r="C95" s="1404" t="s">
        <v>348</v>
      </c>
      <c r="D95" s="772"/>
      <c r="E95" s="773"/>
      <c r="F95" s="773"/>
      <c r="G95" s="773"/>
      <c r="H95" s="773"/>
      <c r="I95" s="773"/>
      <c r="J95" s="773"/>
      <c r="K95" s="773"/>
      <c r="L95" s="773"/>
      <c r="M95" s="773"/>
      <c r="N95" s="773"/>
      <c r="O95" s="773"/>
      <c r="P95" s="773"/>
      <c r="Q95" s="773"/>
      <c r="R95" s="773"/>
      <c r="S95" s="773"/>
      <c r="T95" s="773"/>
      <c r="U95" s="773"/>
      <c r="V95" s="773"/>
      <c r="W95" s="773"/>
      <c r="X95" s="773"/>
      <c r="Y95" s="795"/>
      <c r="Z95" s="795"/>
      <c r="AA95" s="795"/>
      <c r="AB95" s="795"/>
      <c r="AC95" s="1891"/>
      <c r="AD95" s="1891"/>
      <c r="AE95" s="1891"/>
      <c r="AF95" s="1891"/>
      <c r="AG95" s="1891"/>
      <c r="AH95" s="1891"/>
      <c r="AI95" s="1891"/>
      <c r="AJ95" s="1891"/>
      <c r="AK95" s="1891"/>
      <c r="AL95" s="1891"/>
      <c r="AM95" s="1891"/>
      <c r="AN95" s="1891"/>
      <c r="AO95" s="798"/>
      <c r="AP95" s="798"/>
      <c r="AQ95" s="798"/>
      <c r="AR95" s="798"/>
      <c r="AS95" s="798"/>
      <c r="AT95" s="798"/>
      <c r="AU95" s="798"/>
      <c r="AV95" s="798"/>
      <c r="AW95" s="798"/>
      <c r="AX95" s="798"/>
      <c r="AY95" s="798"/>
      <c r="AZ95" s="798"/>
      <c r="BA95" s="798"/>
      <c r="BB95" s="798"/>
      <c r="BC95" s="798"/>
      <c r="BD95" s="798"/>
      <c r="BE95" s="111"/>
      <c r="BF95" s="590"/>
      <c r="BG95" s="111"/>
      <c r="BH95" s="111"/>
      <c r="BI95" s="111"/>
      <c r="BJ95" s="111"/>
      <c r="BK95" s="111"/>
      <c r="BL95" s="111"/>
      <c r="BM95" s="111"/>
      <c r="BN95" s="111"/>
      <c r="BO95" s="111"/>
      <c r="BP95" s="111"/>
      <c r="BQ95" s="111"/>
      <c r="BR95" s="111"/>
      <c r="BS95" s="111"/>
      <c r="BT95" s="111"/>
      <c r="BU95" s="1867"/>
      <c r="BV95" s="1867"/>
      <c r="BW95" s="1867"/>
      <c r="BX95" s="1867"/>
      <c r="BY95" s="1867"/>
      <c r="BZ95" s="1867"/>
      <c r="CA95" s="1867"/>
      <c r="CB95" s="1867"/>
      <c r="CC95" s="1867"/>
      <c r="CD95" s="1867"/>
      <c r="CE95" s="1867"/>
      <c r="CF95" s="1867"/>
      <c r="CG95" s="111"/>
      <c r="CH95" s="111"/>
      <c r="CI95" s="800"/>
      <c r="CJ95" s="800"/>
      <c r="CK95" s="800"/>
      <c r="CL95" s="800"/>
      <c r="CM95" s="800"/>
      <c r="CN95" s="800"/>
      <c r="CO95" s="800"/>
      <c r="CP95" s="800"/>
      <c r="CQ95" s="800"/>
      <c r="CR95" s="800"/>
      <c r="CS95" s="800"/>
      <c r="CT95" s="800"/>
    </row>
    <row r="96" spans="1:98" x14ac:dyDescent="0.2">
      <c r="A96" s="590"/>
      <c r="B96" s="5035"/>
      <c r="C96" s="1405" t="s">
        <v>348</v>
      </c>
      <c r="D96" s="772"/>
      <c r="E96" s="773"/>
      <c r="F96" s="773"/>
      <c r="G96" s="773"/>
      <c r="H96" s="773"/>
      <c r="I96" s="773"/>
      <c r="J96" s="773"/>
      <c r="K96" s="773"/>
      <c r="L96" s="773"/>
      <c r="M96" s="773"/>
      <c r="N96" s="773"/>
      <c r="O96" s="773"/>
      <c r="P96" s="773"/>
      <c r="Q96" s="773"/>
      <c r="R96" s="773"/>
      <c r="S96" s="773"/>
      <c r="T96" s="773"/>
      <c r="U96" s="773"/>
      <c r="V96" s="773"/>
      <c r="W96" s="773"/>
      <c r="X96" s="773"/>
      <c r="Y96" s="795"/>
      <c r="Z96" s="795"/>
      <c r="AA96" s="795"/>
      <c r="AB96" s="795"/>
      <c r="AC96" s="1891"/>
      <c r="AD96" s="1891"/>
      <c r="AE96" s="1891"/>
      <c r="AF96" s="1891"/>
      <c r="AG96" s="1891"/>
      <c r="AH96" s="1891"/>
      <c r="AI96" s="1891"/>
      <c r="AJ96" s="1891"/>
      <c r="AK96" s="1891"/>
      <c r="AL96" s="1891"/>
      <c r="AM96" s="1891"/>
      <c r="AN96" s="1891"/>
      <c r="AO96" s="798"/>
      <c r="AP96" s="798"/>
      <c r="AQ96" s="798"/>
      <c r="AR96" s="798"/>
      <c r="AS96" s="798"/>
      <c r="AT96" s="798"/>
      <c r="AU96" s="798"/>
      <c r="AV96" s="798"/>
      <c r="AW96" s="798"/>
      <c r="AX96" s="798"/>
      <c r="AY96" s="798"/>
      <c r="AZ96" s="798"/>
      <c r="BA96" s="798"/>
      <c r="BB96" s="798"/>
      <c r="BC96" s="798"/>
      <c r="BD96" s="798"/>
      <c r="BE96" s="111"/>
      <c r="BF96" s="590"/>
      <c r="BG96" s="111"/>
      <c r="BH96" s="111"/>
      <c r="BI96" s="111"/>
      <c r="BJ96" s="111"/>
      <c r="BK96" s="111"/>
      <c r="BL96" s="111"/>
      <c r="BM96" s="111"/>
      <c r="BN96" s="111"/>
      <c r="BO96" s="111"/>
      <c r="BP96" s="111"/>
      <c r="BQ96" s="111"/>
      <c r="BR96" s="111"/>
      <c r="BS96" s="111"/>
      <c r="BT96" s="111"/>
      <c r="BU96" s="1867"/>
      <c r="BV96" s="1867"/>
      <c r="BW96" s="1867"/>
      <c r="BX96" s="1867"/>
      <c r="BY96" s="1867"/>
      <c r="BZ96" s="1867"/>
      <c r="CA96" s="1867"/>
      <c r="CB96" s="1867"/>
      <c r="CC96" s="1867"/>
      <c r="CD96" s="1867"/>
      <c r="CE96" s="1867"/>
      <c r="CF96" s="1867"/>
      <c r="CG96" s="111"/>
      <c r="CH96" s="111"/>
      <c r="CI96" s="800"/>
      <c r="CJ96" s="800"/>
      <c r="CK96" s="800"/>
      <c r="CL96" s="800"/>
      <c r="CM96" s="800"/>
      <c r="CN96" s="800"/>
      <c r="CO96" s="800"/>
      <c r="CP96" s="800"/>
      <c r="CQ96" s="800"/>
      <c r="CR96" s="800"/>
      <c r="CS96" s="800"/>
      <c r="CT96" s="800"/>
    </row>
    <row r="97" spans="1:98" x14ac:dyDescent="0.2">
      <c r="A97" s="739"/>
      <c r="B97" s="789" t="s">
        <v>1319</v>
      </c>
      <c r="C97" s="780"/>
      <c r="D97" s="111"/>
      <c r="E97" s="111"/>
      <c r="F97" s="111"/>
      <c r="G97" s="111"/>
      <c r="H97" s="111"/>
      <c r="I97" s="111"/>
      <c r="J97" s="111"/>
      <c r="K97" s="111"/>
      <c r="L97" s="111"/>
      <c r="M97" s="111"/>
      <c r="N97" s="111"/>
      <c r="O97" s="111"/>
      <c r="P97" s="111"/>
      <c r="Q97" s="111"/>
      <c r="R97" s="111"/>
      <c r="S97" s="111"/>
      <c r="T97" s="111"/>
      <c r="U97" s="111"/>
      <c r="V97" s="111"/>
      <c r="W97" s="111"/>
      <c r="X97" s="111"/>
      <c r="Y97" s="810"/>
      <c r="Z97" s="810"/>
      <c r="AA97" s="810"/>
      <c r="AB97" s="810"/>
      <c r="AC97" s="111"/>
      <c r="AD97" s="111"/>
      <c r="AE97" s="111"/>
      <c r="AF97" s="111"/>
      <c r="AG97" s="111"/>
      <c r="AH97" s="111"/>
      <c r="AI97" s="111"/>
      <c r="AJ97" s="111"/>
      <c r="AK97" s="111"/>
      <c r="AL97" s="111"/>
      <c r="AM97" s="111"/>
      <c r="AN97" s="111"/>
      <c r="AO97" s="111"/>
      <c r="AP97" s="111"/>
      <c r="AQ97" s="111"/>
      <c r="AR97" s="111"/>
      <c r="AS97" s="111"/>
      <c r="AT97" s="111"/>
      <c r="AU97" s="111"/>
      <c r="AV97" s="111"/>
      <c r="AW97" s="111"/>
      <c r="AX97" s="111"/>
      <c r="AY97" s="111"/>
      <c r="AZ97" s="111"/>
      <c r="BA97" s="111"/>
      <c r="BB97" s="111"/>
      <c r="BC97" s="111"/>
      <c r="BD97" s="111"/>
      <c r="BE97" s="111"/>
      <c r="BF97" s="590"/>
      <c r="BG97" s="111"/>
      <c r="BH97" s="111"/>
      <c r="BI97" s="111"/>
      <c r="BJ97" s="111"/>
      <c r="BK97" s="111"/>
      <c r="BL97" s="111"/>
      <c r="BM97" s="111"/>
      <c r="BN97" s="111"/>
      <c r="BO97" s="111"/>
      <c r="BP97" s="111"/>
      <c r="BQ97" s="111"/>
      <c r="BR97" s="111"/>
      <c r="BS97" s="111"/>
      <c r="BT97" s="111"/>
      <c r="BU97" s="111"/>
      <c r="BV97" s="111"/>
      <c r="BW97" s="111"/>
      <c r="BX97" s="111"/>
      <c r="BY97" s="111"/>
      <c r="BZ97" s="111"/>
      <c r="CA97" s="111"/>
      <c r="CB97" s="111"/>
      <c r="CC97" s="111"/>
      <c r="CD97" s="111"/>
      <c r="CE97" s="111"/>
      <c r="CF97" s="111"/>
      <c r="CG97" s="111"/>
      <c r="CH97" s="111"/>
      <c r="CI97" s="111"/>
      <c r="CJ97" s="111"/>
      <c r="CK97" s="111"/>
      <c r="CL97" s="111"/>
      <c r="CM97" s="111"/>
      <c r="CN97" s="111"/>
      <c r="CO97" s="111"/>
      <c r="CP97" s="111"/>
      <c r="CQ97" s="111"/>
      <c r="CR97" s="111"/>
      <c r="CS97" s="111"/>
      <c r="CT97" s="111"/>
    </row>
    <row r="98" spans="1:98" x14ac:dyDescent="0.2">
      <c r="A98" s="590"/>
      <c r="B98" s="1347" t="s">
        <v>176</v>
      </c>
      <c r="C98" s="1406"/>
      <c r="D98" s="775"/>
      <c r="E98" s="111"/>
      <c r="F98" s="111"/>
      <c r="G98" s="111"/>
      <c r="H98" s="111"/>
      <c r="I98" s="111"/>
      <c r="J98" s="111"/>
      <c r="K98" s="111"/>
      <c r="L98" s="111"/>
      <c r="M98" s="773"/>
      <c r="N98" s="773"/>
      <c r="O98" s="773"/>
      <c r="P98" s="773"/>
      <c r="Q98" s="773"/>
      <c r="R98" s="773"/>
      <c r="S98" s="773"/>
      <c r="T98" s="773"/>
      <c r="U98" s="773"/>
      <c r="V98" s="773"/>
      <c r="W98" s="773"/>
      <c r="X98" s="773"/>
      <c r="Y98" s="810"/>
      <c r="Z98" s="795"/>
      <c r="AA98" s="795"/>
      <c r="AB98" s="795"/>
      <c r="AC98" s="1891"/>
      <c r="AD98" s="1891"/>
      <c r="AE98" s="1891"/>
      <c r="AF98" s="1891"/>
      <c r="AG98" s="1891"/>
      <c r="AH98" s="1891"/>
      <c r="AI98" s="1891"/>
      <c r="AJ98" s="1891"/>
      <c r="AK98" s="1891"/>
      <c r="AL98" s="1891"/>
      <c r="AM98" s="1891"/>
      <c r="AN98" s="1891"/>
      <c r="AO98" s="800"/>
      <c r="AP98" s="798"/>
      <c r="AQ98" s="798"/>
      <c r="AR98" s="798"/>
      <c r="AS98" s="798"/>
      <c r="AT98" s="798"/>
      <c r="AU98" s="798"/>
      <c r="AV98" s="798"/>
      <c r="AW98" s="798"/>
      <c r="AX98" s="798"/>
      <c r="AY98" s="798"/>
      <c r="AZ98" s="798"/>
      <c r="BA98" s="798"/>
      <c r="BB98" s="798"/>
      <c r="BC98" s="798"/>
      <c r="BD98" s="798"/>
      <c r="BE98" s="111"/>
      <c r="BF98" s="590"/>
      <c r="BG98" s="111"/>
      <c r="BH98" s="111"/>
      <c r="BI98" s="111"/>
      <c r="BJ98" s="111"/>
      <c r="BK98" s="111"/>
      <c r="BL98" s="111"/>
      <c r="BM98" s="111"/>
      <c r="BN98" s="111"/>
      <c r="BO98" s="111"/>
      <c r="BP98" s="111"/>
      <c r="BQ98" s="111"/>
      <c r="BR98" s="111"/>
      <c r="BS98" s="111"/>
      <c r="BT98" s="111"/>
      <c r="BU98" s="1867"/>
      <c r="BV98" s="1867"/>
      <c r="BW98" s="1867"/>
      <c r="BX98" s="1867"/>
      <c r="BY98" s="1867"/>
      <c r="BZ98" s="1867"/>
      <c r="CA98" s="1867"/>
      <c r="CB98" s="1867"/>
      <c r="CC98" s="1867"/>
      <c r="CD98" s="1867"/>
      <c r="CE98" s="1867"/>
      <c r="CF98" s="1867"/>
      <c r="CG98" s="111"/>
      <c r="CH98" s="599"/>
      <c r="CI98" s="800"/>
      <c r="CJ98" s="800"/>
      <c r="CK98" s="800"/>
      <c r="CL98" s="800"/>
      <c r="CM98" s="800"/>
      <c r="CN98" s="800"/>
      <c r="CO98" s="800"/>
      <c r="CP98" s="800"/>
      <c r="CQ98" s="800"/>
      <c r="CR98" s="800"/>
      <c r="CS98" s="800"/>
      <c r="CT98" s="800"/>
    </row>
    <row r="99" spans="1:98" x14ac:dyDescent="0.2">
      <c r="A99" s="590"/>
      <c r="B99" s="1347" t="s">
        <v>326</v>
      </c>
      <c r="C99" s="1406"/>
      <c r="D99" s="775"/>
      <c r="E99" s="111"/>
      <c r="F99" s="111"/>
      <c r="G99" s="111"/>
      <c r="H99" s="111"/>
      <c r="I99" s="111"/>
      <c r="J99" s="111"/>
      <c r="K99" s="111"/>
      <c r="L99" s="111"/>
      <c r="M99" s="773"/>
      <c r="N99" s="773"/>
      <c r="O99" s="773"/>
      <c r="P99" s="773"/>
      <c r="Q99" s="773"/>
      <c r="R99" s="773"/>
      <c r="S99" s="773"/>
      <c r="T99" s="773"/>
      <c r="U99" s="773"/>
      <c r="V99" s="773"/>
      <c r="W99" s="773"/>
      <c r="X99" s="773"/>
      <c r="Y99" s="810"/>
      <c r="Z99" s="795"/>
      <c r="AA99" s="795"/>
      <c r="AB99" s="795"/>
      <c r="AC99" s="1891"/>
      <c r="AD99" s="1891"/>
      <c r="AE99" s="1891"/>
      <c r="AF99" s="1891"/>
      <c r="AG99" s="1891"/>
      <c r="AH99" s="1891"/>
      <c r="AI99" s="1891"/>
      <c r="AJ99" s="1891"/>
      <c r="AK99" s="1891"/>
      <c r="AL99" s="1891"/>
      <c r="AM99" s="1891"/>
      <c r="AN99" s="1891"/>
      <c r="AO99" s="800"/>
      <c r="AP99" s="798"/>
      <c r="AQ99" s="798"/>
      <c r="AR99" s="798"/>
      <c r="AS99" s="798"/>
      <c r="AT99" s="798"/>
      <c r="AU99" s="798"/>
      <c r="AV99" s="798"/>
      <c r="AW99" s="798"/>
      <c r="AX99" s="798"/>
      <c r="AY99" s="798"/>
      <c r="AZ99" s="798"/>
      <c r="BA99" s="798"/>
      <c r="BB99" s="798"/>
      <c r="BC99" s="798"/>
      <c r="BD99" s="798"/>
      <c r="BE99" s="111"/>
      <c r="BF99" s="590"/>
      <c r="BG99" s="111"/>
      <c r="BH99" s="111"/>
      <c r="BI99" s="111"/>
      <c r="BJ99" s="111"/>
      <c r="BK99" s="111"/>
      <c r="BL99" s="111"/>
      <c r="BM99" s="111"/>
      <c r="BN99" s="111"/>
      <c r="BO99" s="111"/>
      <c r="BP99" s="111"/>
      <c r="BQ99" s="111"/>
      <c r="BR99" s="111"/>
      <c r="BS99" s="111"/>
      <c r="BT99" s="111"/>
      <c r="BU99" s="1867"/>
      <c r="BV99" s="1867"/>
      <c r="BW99" s="1867"/>
      <c r="BX99" s="1867"/>
      <c r="BY99" s="1867"/>
      <c r="BZ99" s="1867"/>
      <c r="CA99" s="1867"/>
      <c r="CB99" s="1867"/>
      <c r="CC99" s="1867"/>
      <c r="CD99" s="1867"/>
      <c r="CE99" s="1867"/>
      <c r="CF99" s="1867"/>
      <c r="CG99" s="111"/>
      <c r="CH99" s="599"/>
      <c r="CI99" s="800"/>
      <c r="CJ99" s="800"/>
      <c r="CK99" s="800"/>
      <c r="CL99" s="800"/>
      <c r="CM99" s="800"/>
      <c r="CN99" s="800"/>
      <c r="CO99" s="800"/>
      <c r="CP99" s="800"/>
      <c r="CQ99" s="800"/>
      <c r="CR99" s="800"/>
      <c r="CS99" s="800"/>
      <c r="CT99" s="800"/>
    </row>
    <row r="100" spans="1:98" x14ac:dyDescent="0.2">
      <c r="A100" s="590"/>
      <c r="B100" s="1347" t="s">
        <v>1610</v>
      </c>
      <c r="C100" s="1406"/>
      <c r="D100" s="775"/>
      <c r="E100" s="111"/>
      <c r="F100" s="111"/>
      <c r="G100" s="111"/>
      <c r="H100" s="111"/>
      <c r="I100" s="111"/>
      <c r="J100" s="111"/>
      <c r="K100" s="111"/>
      <c r="L100" s="111"/>
      <c r="M100" s="773"/>
      <c r="N100" s="773"/>
      <c r="O100" s="773"/>
      <c r="P100" s="773"/>
      <c r="Q100" s="773"/>
      <c r="R100" s="773"/>
      <c r="S100" s="773"/>
      <c r="T100" s="773"/>
      <c r="U100" s="773"/>
      <c r="V100" s="773"/>
      <c r="W100" s="773"/>
      <c r="X100" s="773"/>
      <c r="Y100" s="810"/>
      <c r="Z100" s="795"/>
      <c r="AA100" s="795"/>
      <c r="AB100" s="795"/>
      <c r="AC100" s="1891"/>
      <c r="AD100" s="1891"/>
      <c r="AE100" s="1891"/>
      <c r="AF100" s="1891"/>
      <c r="AG100" s="1891"/>
      <c r="AH100" s="1891"/>
      <c r="AI100" s="1891"/>
      <c r="AJ100" s="1891"/>
      <c r="AK100" s="1891"/>
      <c r="AL100" s="1891"/>
      <c r="AM100" s="1891"/>
      <c r="AN100" s="1891"/>
      <c r="AO100" s="800"/>
      <c r="AP100" s="798"/>
      <c r="AQ100" s="798"/>
      <c r="AR100" s="798"/>
      <c r="AS100" s="798"/>
      <c r="AT100" s="798"/>
      <c r="AU100" s="798"/>
      <c r="AV100" s="798"/>
      <c r="AW100" s="798"/>
      <c r="AX100" s="798"/>
      <c r="AY100" s="798"/>
      <c r="AZ100" s="798"/>
      <c r="BA100" s="798"/>
      <c r="BB100" s="798"/>
      <c r="BC100" s="798"/>
      <c r="BD100" s="798"/>
      <c r="BE100" s="111"/>
      <c r="BF100" s="590"/>
      <c r="BG100" s="111"/>
      <c r="BH100" s="111"/>
      <c r="BI100" s="111"/>
      <c r="BJ100" s="111"/>
      <c r="BK100" s="111"/>
      <c r="BL100" s="111"/>
      <c r="BM100" s="111"/>
      <c r="BN100" s="111"/>
      <c r="BO100" s="111"/>
      <c r="BP100" s="111"/>
      <c r="BQ100" s="111"/>
      <c r="BR100" s="111"/>
      <c r="BS100" s="111"/>
      <c r="BT100" s="111"/>
      <c r="BU100" s="1867"/>
      <c r="BV100" s="1867"/>
      <c r="BW100" s="1867"/>
      <c r="BX100" s="1867"/>
      <c r="BY100" s="1867"/>
      <c r="BZ100" s="1867"/>
      <c r="CA100" s="1867"/>
      <c r="CB100" s="1867"/>
      <c r="CC100" s="1867"/>
      <c r="CD100" s="1867"/>
      <c r="CE100" s="1867"/>
      <c r="CF100" s="1867"/>
      <c r="CG100" s="111"/>
      <c r="CH100" s="599"/>
      <c r="CI100" s="800"/>
      <c r="CJ100" s="800"/>
      <c r="CK100" s="800"/>
      <c r="CL100" s="800"/>
      <c r="CM100" s="800"/>
      <c r="CN100" s="800"/>
      <c r="CO100" s="800"/>
      <c r="CP100" s="800"/>
      <c r="CQ100" s="800"/>
      <c r="CR100" s="800"/>
      <c r="CS100" s="800"/>
      <c r="CT100" s="800"/>
    </row>
    <row r="101" spans="1:98" x14ac:dyDescent="0.2">
      <c r="A101" s="590"/>
      <c r="B101" s="5033" t="s">
        <v>328</v>
      </c>
      <c r="C101" s="1406"/>
      <c r="D101" s="775"/>
      <c r="E101" s="111"/>
      <c r="F101" s="111"/>
      <c r="G101" s="111"/>
      <c r="H101" s="111"/>
      <c r="I101" s="111"/>
      <c r="J101" s="111"/>
      <c r="K101" s="111"/>
      <c r="L101" s="111"/>
      <c r="M101" s="773"/>
      <c r="N101" s="773"/>
      <c r="O101" s="773"/>
      <c r="P101" s="773"/>
      <c r="Q101" s="773"/>
      <c r="R101" s="773"/>
      <c r="S101" s="773"/>
      <c r="T101" s="773"/>
      <c r="U101" s="773"/>
      <c r="V101" s="773"/>
      <c r="W101" s="773"/>
      <c r="X101" s="773"/>
      <c r="Y101" s="810"/>
      <c r="Z101" s="795"/>
      <c r="AA101" s="795"/>
      <c r="AB101" s="795"/>
      <c r="AC101" s="1891"/>
      <c r="AD101" s="1891"/>
      <c r="AE101" s="1891"/>
      <c r="AF101" s="1891"/>
      <c r="AG101" s="1891"/>
      <c r="AH101" s="1891"/>
      <c r="AI101" s="1891"/>
      <c r="AJ101" s="1891"/>
      <c r="AK101" s="1891"/>
      <c r="AL101" s="1891"/>
      <c r="AM101" s="1891"/>
      <c r="AN101" s="1891"/>
      <c r="AO101" s="800"/>
      <c r="AP101" s="798"/>
      <c r="AQ101" s="798"/>
      <c r="AR101" s="798"/>
      <c r="AS101" s="798"/>
      <c r="AT101" s="798"/>
      <c r="AU101" s="798"/>
      <c r="AV101" s="798"/>
      <c r="AW101" s="798"/>
      <c r="AX101" s="798"/>
      <c r="AY101" s="798"/>
      <c r="AZ101" s="798"/>
      <c r="BA101" s="798"/>
      <c r="BB101" s="798"/>
      <c r="BC101" s="798"/>
      <c r="BD101" s="798"/>
      <c r="BE101" s="111"/>
      <c r="BF101" s="590"/>
      <c r="BG101" s="111"/>
      <c r="BH101" s="111"/>
      <c r="BI101" s="111"/>
      <c r="BJ101" s="111"/>
      <c r="BK101" s="111"/>
      <c r="BL101" s="111"/>
      <c r="BM101" s="111"/>
      <c r="BN101" s="111"/>
      <c r="BO101" s="111"/>
      <c r="BP101" s="111"/>
      <c r="BQ101" s="111"/>
      <c r="BR101" s="111"/>
      <c r="BS101" s="111"/>
      <c r="BT101" s="111"/>
      <c r="BU101" s="1867"/>
      <c r="BV101" s="1867"/>
      <c r="BW101" s="1867"/>
      <c r="BX101" s="1867"/>
      <c r="BY101" s="1867"/>
      <c r="BZ101" s="1867"/>
      <c r="CA101" s="1867"/>
      <c r="CB101" s="1867"/>
      <c r="CC101" s="1867"/>
      <c r="CD101" s="1867"/>
      <c r="CE101" s="1867"/>
      <c r="CF101" s="1867"/>
      <c r="CG101" s="111"/>
      <c r="CH101" s="599"/>
      <c r="CI101" s="800"/>
      <c r="CJ101" s="800"/>
      <c r="CK101" s="800"/>
      <c r="CL101" s="800"/>
      <c r="CM101" s="800"/>
      <c r="CN101" s="800"/>
      <c r="CO101" s="800"/>
      <c r="CP101" s="800"/>
      <c r="CQ101" s="800"/>
      <c r="CR101" s="800"/>
      <c r="CS101" s="800"/>
      <c r="CT101" s="800"/>
    </row>
    <row r="102" spans="1:98" x14ac:dyDescent="0.2">
      <c r="A102" s="590"/>
      <c r="B102" s="5015" t="s">
        <v>330</v>
      </c>
      <c r="C102" s="1406"/>
      <c r="D102" s="775"/>
      <c r="E102" s="111"/>
      <c r="F102" s="111"/>
      <c r="G102" s="111"/>
      <c r="H102" s="111"/>
      <c r="I102" s="111"/>
      <c r="J102" s="111"/>
      <c r="K102" s="111"/>
      <c r="L102" s="111"/>
      <c r="M102" s="773"/>
      <c r="N102" s="773"/>
      <c r="O102" s="773"/>
      <c r="P102" s="773"/>
      <c r="Q102" s="773"/>
      <c r="R102" s="773"/>
      <c r="S102" s="773"/>
      <c r="T102" s="773"/>
      <c r="U102" s="773"/>
      <c r="V102" s="773"/>
      <c r="W102" s="773"/>
      <c r="X102" s="773"/>
      <c r="Y102" s="810"/>
      <c r="Z102" s="795"/>
      <c r="AA102" s="795"/>
      <c r="AB102" s="795"/>
      <c r="AC102" s="1891"/>
      <c r="AD102" s="1891"/>
      <c r="AE102" s="1891"/>
      <c r="AF102" s="1891"/>
      <c r="AG102" s="1891"/>
      <c r="AH102" s="1891"/>
      <c r="AI102" s="1891"/>
      <c r="AJ102" s="1891"/>
      <c r="AK102" s="1891"/>
      <c r="AL102" s="1891"/>
      <c r="AM102" s="1891"/>
      <c r="AN102" s="1891"/>
      <c r="AO102" s="800"/>
      <c r="AP102" s="798"/>
      <c r="AQ102" s="798"/>
      <c r="AR102" s="798"/>
      <c r="AS102" s="798"/>
      <c r="AT102" s="798"/>
      <c r="AU102" s="798"/>
      <c r="AV102" s="798"/>
      <c r="AW102" s="798"/>
      <c r="AX102" s="798"/>
      <c r="AY102" s="798"/>
      <c r="AZ102" s="798"/>
      <c r="BA102" s="798"/>
      <c r="BB102" s="798"/>
      <c r="BC102" s="798"/>
      <c r="BD102" s="798"/>
      <c r="BE102" s="111"/>
      <c r="BF102" s="590"/>
      <c r="BG102" s="111"/>
      <c r="BH102" s="111"/>
      <c r="BI102" s="111"/>
      <c r="BJ102" s="111"/>
      <c r="BK102" s="111"/>
      <c r="BL102" s="111"/>
      <c r="BM102" s="111"/>
      <c r="BN102" s="111"/>
      <c r="BO102" s="111"/>
      <c r="BP102" s="111"/>
      <c r="BQ102" s="111"/>
      <c r="BR102" s="111"/>
      <c r="BS102" s="111"/>
      <c r="BT102" s="111"/>
      <c r="BU102" s="1867"/>
      <c r="BV102" s="1867"/>
      <c r="BW102" s="1867"/>
      <c r="BX102" s="1867"/>
      <c r="BY102" s="1867"/>
      <c r="BZ102" s="1867"/>
      <c r="CA102" s="1867"/>
      <c r="CB102" s="1867"/>
      <c r="CC102" s="1867"/>
      <c r="CD102" s="1867"/>
      <c r="CE102" s="1867"/>
      <c r="CF102" s="1867"/>
      <c r="CG102" s="111"/>
      <c r="CH102" s="111"/>
      <c r="CI102" s="800"/>
      <c r="CJ102" s="800"/>
      <c r="CK102" s="800"/>
      <c r="CL102" s="800"/>
      <c r="CM102" s="800"/>
      <c r="CN102" s="800"/>
      <c r="CO102" s="800"/>
      <c r="CP102" s="800"/>
      <c r="CQ102" s="800"/>
      <c r="CR102" s="800"/>
      <c r="CS102" s="800"/>
      <c r="CT102" s="800"/>
    </row>
    <row r="103" spans="1:98" x14ac:dyDescent="0.2">
      <c r="A103" s="590"/>
      <c r="B103" s="5033" t="s">
        <v>2215</v>
      </c>
      <c r="C103" s="1406"/>
      <c r="D103" s="775"/>
      <c r="E103" s="111"/>
      <c r="F103" s="111"/>
      <c r="G103" s="111"/>
      <c r="H103" s="111"/>
      <c r="I103" s="111"/>
      <c r="J103" s="111"/>
      <c r="K103" s="111"/>
      <c r="L103" s="111"/>
      <c r="M103" s="773"/>
      <c r="N103" s="773"/>
      <c r="O103" s="773"/>
      <c r="P103" s="773"/>
      <c r="Q103" s="773"/>
      <c r="R103" s="773"/>
      <c r="S103" s="773"/>
      <c r="T103" s="773"/>
      <c r="U103" s="773"/>
      <c r="V103" s="773"/>
      <c r="W103" s="773"/>
      <c r="X103" s="773"/>
      <c r="Y103" s="810"/>
      <c r="Z103" s="795"/>
      <c r="AA103" s="795"/>
      <c r="AB103" s="795"/>
      <c r="AC103" s="1891"/>
      <c r="AD103" s="1891"/>
      <c r="AE103" s="1891"/>
      <c r="AF103" s="1891"/>
      <c r="AG103" s="1891"/>
      <c r="AH103" s="1891"/>
      <c r="AI103" s="1891"/>
      <c r="AJ103" s="1891"/>
      <c r="AK103" s="1891"/>
      <c r="AL103" s="1891"/>
      <c r="AM103" s="1891"/>
      <c r="AN103" s="1891"/>
      <c r="AO103" s="800"/>
      <c r="AP103" s="798"/>
      <c r="AQ103" s="798"/>
      <c r="AR103" s="798"/>
      <c r="AS103" s="798"/>
      <c r="AT103" s="798"/>
      <c r="AU103" s="798"/>
      <c r="AV103" s="798"/>
      <c r="AW103" s="798"/>
      <c r="AX103" s="798"/>
      <c r="AY103" s="798"/>
      <c r="AZ103" s="798"/>
      <c r="BA103" s="798"/>
      <c r="BB103" s="798"/>
      <c r="BC103" s="798"/>
      <c r="BD103" s="798"/>
      <c r="BE103" s="111"/>
      <c r="BF103" s="590"/>
      <c r="BG103" s="111"/>
      <c r="BH103" s="111"/>
      <c r="BI103" s="111"/>
      <c r="BJ103" s="111"/>
      <c r="BK103" s="111"/>
      <c r="BL103" s="111"/>
      <c r="BM103" s="111"/>
      <c r="BN103" s="111"/>
      <c r="BO103" s="111"/>
      <c r="BP103" s="111"/>
      <c r="BQ103" s="111"/>
      <c r="BR103" s="111"/>
      <c r="BS103" s="111"/>
      <c r="BT103" s="111"/>
      <c r="BU103" s="1867"/>
      <c r="BV103" s="1867"/>
      <c r="BW103" s="1867"/>
      <c r="BX103" s="1867"/>
      <c r="BY103" s="1867"/>
      <c r="BZ103" s="1867"/>
      <c r="CA103" s="1867"/>
      <c r="CB103" s="1867"/>
      <c r="CC103" s="1867"/>
      <c r="CD103" s="1867"/>
      <c r="CE103" s="1867"/>
      <c r="CF103" s="1867"/>
      <c r="CG103" s="111"/>
      <c r="CH103" s="111"/>
      <c r="CI103" s="800"/>
      <c r="CJ103" s="800"/>
      <c r="CK103" s="800"/>
      <c r="CL103" s="800"/>
      <c r="CM103" s="800"/>
      <c r="CN103" s="800"/>
      <c r="CO103" s="800"/>
      <c r="CP103" s="800"/>
      <c r="CQ103" s="800"/>
      <c r="CR103" s="800"/>
      <c r="CS103" s="800"/>
      <c r="CT103" s="800"/>
    </row>
    <row r="104" spans="1:98" x14ac:dyDescent="0.2">
      <c r="A104" s="590"/>
      <c r="B104" s="5033"/>
      <c r="C104" s="1406"/>
      <c r="D104" s="775"/>
      <c r="E104" s="111"/>
      <c r="F104" s="111"/>
      <c r="G104" s="111"/>
      <c r="H104" s="111"/>
      <c r="I104" s="111"/>
      <c r="J104" s="111"/>
      <c r="K104" s="111"/>
      <c r="L104" s="111"/>
      <c r="M104" s="773"/>
      <c r="N104" s="773"/>
      <c r="O104" s="773"/>
      <c r="P104" s="773"/>
      <c r="Q104" s="773"/>
      <c r="R104" s="773"/>
      <c r="S104" s="773"/>
      <c r="T104" s="773"/>
      <c r="U104" s="773"/>
      <c r="V104" s="773"/>
      <c r="W104" s="773"/>
      <c r="X104" s="773"/>
      <c r="Y104" s="810"/>
      <c r="Z104" s="795"/>
      <c r="AA104" s="795"/>
      <c r="AB104" s="795"/>
      <c r="AC104" s="1891"/>
      <c r="AD104" s="1891"/>
      <c r="AE104" s="1891"/>
      <c r="AF104" s="1891"/>
      <c r="AG104" s="1891"/>
      <c r="AH104" s="1891"/>
      <c r="AI104" s="1891"/>
      <c r="AJ104" s="1891"/>
      <c r="AK104" s="1891"/>
      <c r="AL104" s="1891"/>
      <c r="AM104" s="1891"/>
      <c r="AN104" s="1891"/>
      <c r="AO104" s="800"/>
      <c r="AP104" s="798"/>
      <c r="AQ104" s="798"/>
      <c r="AR104" s="798"/>
      <c r="AS104" s="798"/>
      <c r="AT104" s="798"/>
      <c r="AU104" s="798"/>
      <c r="AV104" s="798"/>
      <c r="AW104" s="798"/>
      <c r="AX104" s="798"/>
      <c r="AY104" s="798"/>
      <c r="AZ104" s="798"/>
      <c r="BA104" s="798"/>
      <c r="BB104" s="798"/>
      <c r="BC104" s="798"/>
      <c r="BD104" s="798"/>
      <c r="BE104" s="111"/>
      <c r="BF104" s="590"/>
      <c r="BG104" s="111"/>
      <c r="BH104" s="111"/>
      <c r="BI104" s="111"/>
      <c r="BJ104" s="111"/>
      <c r="BK104" s="111"/>
      <c r="BL104" s="111"/>
      <c r="BM104" s="111"/>
      <c r="BN104" s="111"/>
      <c r="BO104" s="111"/>
      <c r="BP104" s="111"/>
      <c r="BQ104" s="111"/>
      <c r="BR104" s="111"/>
      <c r="BS104" s="111"/>
      <c r="BT104" s="111"/>
      <c r="BU104" s="1867"/>
      <c r="BV104" s="1867"/>
      <c r="BW104" s="1867"/>
      <c r="BX104" s="1867"/>
      <c r="BY104" s="1867"/>
      <c r="BZ104" s="1867"/>
      <c r="CA104" s="1867"/>
      <c r="CB104" s="1867"/>
      <c r="CC104" s="1867"/>
      <c r="CD104" s="1867"/>
      <c r="CE104" s="1867"/>
      <c r="CF104" s="1867"/>
      <c r="CG104" s="111"/>
      <c r="CH104" s="111"/>
      <c r="CI104" s="800"/>
      <c r="CJ104" s="800"/>
      <c r="CK104" s="800"/>
      <c r="CL104" s="800"/>
      <c r="CM104" s="800"/>
      <c r="CN104" s="800"/>
      <c r="CO104" s="800"/>
      <c r="CP104" s="800"/>
      <c r="CQ104" s="800"/>
      <c r="CR104" s="800"/>
      <c r="CS104" s="800"/>
      <c r="CT104" s="800"/>
    </row>
    <row r="105" spans="1:98" ht="15.05" thickBot="1" x14ac:dyDescent="0.25">
      <c r="A105" s="590"/>
      <c r="B105" s="5041" t="s">
        <v>1933</v>
      </c>
      <c r="C105" s="1407"/>
      <c r="D105" s="775"/>
      <c r="E105" s="111"/>
      <c r="F105" s="111"/>
      <c r="G105" s="111"/>
      <c r="H105" s="111"/>
      <c r="I105" s="111"/>
      <c r="J105" s="111"/>
      <c r="K105" s="111"/>
      <c r="L105" s="111"/>
      <c r="M105" s="773"/>
      <c r="N105" s="773"/>
      <c r="O105" s="773"/>
      <c r="P105" s="773"/>
      <c r="Q105" s="773"/>
      <c r="R105" s="773"/>
      <c r="S105" s="773"/>
      <c r="T105" s="773"/>
      <c r="U105" s="773"/>
      <c r="V105" s="773"/>
      <c r="W105" s="773"/>
      <c r="X105" s="773"/>
      <c r="Y105" s="810"/>
      <c r="Z105" s="795"/>
      <c r="AA105" s="795"/>
      <c r="AB105" s="795"/>
      <c r="AC105" s="1891"/>
      <c r="AD105" s="1891"/>
      <c r="AE105" s="1891"/>
      <c r="AF105" s="1891"/>
      <c r="AG105" s="1891"/>
      <c r="AH105" s="1891"/>
      <c r="AI105" s="1891"/>
      <c r="AJ105" s="1891"/>
      <c r="AK105" s="1891"/>
      <c r="AL105" s="1891"/>
      <c r="AM105" s="1891"/>
      <c r="AN105" s="1891"/>
      <c r="AO105" s="800"/>
      <c r="AP105" s="798"/>
      <c r="AQ105" s="798"/>
      <c r="AR105" s="798"/>
      <c r="AS105" s="798"/>
      <c r="AT105" s="798"/>
      <c r="AU105" s="798"/>
      <c r="AV105" s="798"/>
      <c r="AW105" s="798"/>
      <c r="AX105" s="798"/>
      <c r="AY105" s="798"/>
      <c r="AZ105" s="798"/>
      <c r="BA105" s="798"/>
      <c r="BB105" s="798"/>
      <c r="BC105" s="798"/>
      <c r="BD105" s="798"/>
      <c r="BE105" s="111"/>
      <c r="BF105" s="590"/>
      <c r="BG105" s="111"/>
      <c r="BH105" s="111"/>
      <c r="BI105" s="111"/>
      <c r="BJ105" s="111"/>
      <c r="BK105" s="111"/>
      <c r="BL105" s="111"/>
      <c r="BM105" s="111"/>
      <c r="BN105" s="111"/>
      <c r="BO105" s="111"/>
      <c r="BP105" s="111"/>
      <c r="BQ105" s="111"/>
      <c r="BR105" s="111"/>
      <c r="BS105" s="111"/>
      <c r="BT105" s="111"/>
      <c r="BU105" s="1867"/>
      <c r="BV105" s="1867"/>
      <c r="BW105" s="1867"/>
      <c r="BX105" s="1867"/>
      <c r="BY105" s="1867"/>
      <c r="BZ105" s="1867"/>
      <c r="CA105" s="1867"/>
      <c r="CB105" s="1867"/>
      <c r="CC105" s="1867"/>
      <c r="CD105" s="1867"/>
      <c r="CE105" s="1867"/>
      <c r="CF105" s="1867"/>
      <c r="CG105" s="111"/>
      <c r="CH105" s="111"/>
      <c r="CI105" s="800"/>
      <c r="CJ105" s="800"/>
      <c r="CK105" s="800"/>
      <c r="CL105" s="800"/>
      <c r="CM105" s="800"/>
      <c r="CN105" s="800"/>
      <c r="CO105" s="800"/>
      <c r="CP105" s="800"/>
      <c r="CQ105" s="800"/>
      <c r="CR105" s="800"/>
      <c r="CS105" s="800"/>
      <c r="CT105" s="800"/>
    </row>
    <row r="106" spans="1:98" s="232" customFormat="1" x14ac:dyDescent="0.2">
      <c r="A106" s="590"/>
      <c r="B106" s="590"/>
      <c r="C106" s="590"/>
      <c r="D106" s="590"/>
      <c r="E106" s="590"/>
      <c r="F106" s="590"/>
      <c r="G106" s="590"/>
      <c r="H106" s="590"/>
      <c r="I106" s="590"/>
      <c r="J106" s="590"/>
      <c r="K106" s="590"/>
      <c r="L106" s="590"/>
      <c r="M106" s="111"/>
      <c r="N106" s="111"/>
      <c r="O106" s="111"/>
      <c r="P106" s="111"/>
      <c r="Q106" s="111"/>
      <c r="R106" s="111"/>
      <c r="S106" s="111"/>
      <c r="T106" s="590"/>
      <c r="U106" s="590"/>
      <c r="V106" s="590"/>
      <c r="W106" s="590"/>
      <c r="X106" s="590"/>
      <c r="Y106" s="590"/>
      <c r="Z106" s="590"/>
      <c r="AA106" s="590"/>
      <c r="AB106" s="590"/>
      <c r="AC106" s="590"/>
      <c r="AD106" s="590"/>
      <c r="AE106" s="590"/>
      <c r="AF106" s="590"/>
      <c r="AG106" s="590"/>
      <c r="AH106" s="590"/>
      <c r="AI106" s="590"/>
      <c r="AJ106" s="590"/>
      <c r="AK106" s="590"/>
      <c r="AL106" s="590"/>
      <c r="AM106" s="590"/>
      <c r="AN106" s="590"/>
      <c r="AO106" s="590"/>
      <c r="AP106" s="590"/>
      <c r="AQ106" s="590"/>
      <c r="AR106" s="590"/>
      <c r="AS106" s="590"/>
      <c r="AT106" s="590"/>
      <c r="AU106" s="590"/>
      <c r="AV106" s="590"/>
      <c r="AW106" s="590"/>
      <c r="AX106" s="590"/>
      <c r="AY106" s="590"/>
      <c r="AZ106" s="590"/>
      <c r="BA106" s="590"/>
      <c r="BB106" s="590"/>
      <c r="BC106" s="590"/>
      <c r="BD106" s="590"/>
      <c r="BE106" s="590"/>
      <c r="BF106" s="590"/>
      <c r="BG106" s="590"/>
      <c r="BH106" s="590"/>
      <c r="BI106" s="590"/>
      <c r="BJ106" s="590"/>
      <c r="BK106" s="590"/>
      <c r="BL106" s="590"/>
      <c r="BM106" s="590"/>
      <c r="BN106" s="590"/>
      <c r="BO106" s="590"/>
      <c r="BP106" s="590"/>
      <c r="BQ106" s="590"/>
      <c r="BR106" s="590"/>
      <c r="BS106" s="590"/>
      <c r="BT106" s="590"/>
      <c r="BU106" s="590"/>
      <c r="BV106" s="590"/>
      <c r="BW106" s="590"/>
      <c r="BX106" s="590"/>
      <c r="BY106" s="590"/>
      <c r="BZ106" s="590"/>
      <c r="CA106" s="590"/>
      <c r="CB106" s="590"/>
      <c r="CC106" s="590"/>
      <c r="CD106" s="590"/>
      <c r="CE106" s="590"/>
      <c r="CF106" s="590"/>
      <c r="CG106" s="590"/>
      <c r="CH106" s="590"/>
      <c r="CI106" s="590"/>
      <c r="CJ106" s="590"/>
      <c r="CK106" s="590"/>
      <c r="CL106" s="590"/>
      <c r="CM106" s="590"/>
      <c r="CN106" s="590"/>
      <c r="CO106" s="590"/>
      <c r="CP106" s="590"/>
      <c r="CQ106" s="590"/>
      <c r="CR106" s="590"/>
      <c r="CS106" s="590"/>
      <c r="CT106" s="590"/>
    </row>
    <row r="107" spans="1:98" s="6" customFormat="1" ht="17.7" hidden="1" x14ac:dyDescent="0.2">
      <c r="A107" s="1846"/>
      <c r="B107" s="1847" t="s">
        <v>943</v>
      </c>
      <c r="C107" s="1846"/>
      <c r="D107" s="1848"/>
      <c r="E107" s="1848"/>
      <c r="F107" s="1848"/>
      <c r="G107" s="1849"/>
      <c r="H107" s="1849"/>
      <c r="I107" s="1849"/>
      <c r="J107" s="1849"/>
      <c r="K107" s="1849"/>
      <c r="L107" s="1849"/>
      <c r="M107" s="1849"/>
      <c r="N107" s="1849"/>
      <c r="O107" s="1849"/>
      <c r="P107" s="1849"/>
      <c r="Q107" s="1849"/>
      <c r="R107" s="1849"/>
      <c r="S107" s="1848"/>
      <c r="T107" s="1850"/>
      <c r="U107" s="1848"/>
      <c r="V107" s="1848"/>
      <c r="W107" s="1848"/>
      <c r="X107" s="1848"/>
      <c r="Y107" s="1848"/>
      <c r="Z107" s="1848"/>
      <c r="AA107" s="1848"/>
      <c r="AB107" s="1848"/>
      <c r="AC107" s="1848"/>
      <c r="AD107" s="1848"/>
      <c r="AE107" s="1848"/>
      <c r="AF107" s="1848"/>
      <c r="AG107" s="1848"/>
      <c r="AH107" s="1848"/>
      <c r="AI107" s="1848"/>
      <c r="AJ107" s="1848"/>
      <c r="AK107" s="1848"/>
      <c r="AL107" s="1848"/>
      <c r="AM107" s="1848"/>
      <c r="AN107" s="1848"/>
      <c r="AO107" s="1848"/>
      <c r="AP107" s="1848"/>
      <c r="AQ107" s="1848"/>
      <c r="AR107" s="1848"/>
      <c r="AS107" s="100"/>
      <c r="AT107" s="100"/>
      <c r="AU107" s="100"/>
      <c r="AV107" s="100"/>
      <c r="AW107" s="100"/>
      <c r="AX107" s="100"/>
      <c r="AY107" s="100"/>
      <c r="AZ107" s="100"/>
      <c r="BA107" s="100"/>
      <c r="BB107" s="100"/>
      <c r="BC107" s="100"/>
      <c r="BD107" s="100"/>
      <c r="BE107" s="100"/>
      <c r="BF107" s="100"/>
      <c r="BG107" s="100"/>
      <c r="BH107" s="100"/>
      <c r="BI107" s="100"/>
      <c r="BJ107" s="100"/>
      <c r="BK107" s="100"/>
      <c r="BL107" s="100"/>
      <c r="BM107" s="100"/>
      <c r="BN107" s="100"/>
      <c r="BO107" s="100"/>
      <c r="BP107" s="100"/>
      <c r="BQ107" s="100"/>
      <c r="BR107" s="100"/>
      <c r="BS107" s="100"/>
      <c r="BT107" s="100"/>
      <c r="BU107" s="100"/>
      <c r="BV107" s="100"/>
      <c r="BW107" s="100"/>
      <c r="BX107" s="100"/>
      <c r="BY107" s="100"/>
      <c r="BZ107" s="100"/>
      <c r="CA107" s="100"/>
      <c r="CB107" s="100"/>
      <c r="CC107" s="100"/>
      <c r="CD107" s="100"/>
      <c r="CE107" s="100"/>
      <c r="CF107" s="100"/>
      <c r="CG107" s="100"/>
      <c r="CH107" s="100"/>
      <c r="CI107" s="100"/>
      <c r="CJ107" s="100"/>
      <c r="CK107" s="100"/>
      <c r="CL107" s="100"/>
      <c r="CM107" s="100"/>
      <c r="CN107" s="100"/>
      <c r="CO107" s="100"/>
      <c r="CP107" s="100"/>
      <c r="CQ107" s="100"/>
      <c r="CR107" s="100"/>
      <c r="CS107" s="100"/>
      <c r="CT107" s="100"/>
    </row>
    <row r="108" spans="1:98" s="232" customFormat="1" hidden="1" x14ac:dyDescent="0.2">
      <c r="A108" s="590"/>
      <c r="B108" s="590"/>
      <c r="C108" s="590"/>
      <c r="D108" s="767"/>
      <c r="E108" s="598"/>
      <c r="F108" s="111"/>
      <c r="G108" s="767"/>
      <c r="H108" s="598"/>
      <c r="I108" s="590"/>
      <c r="J108" s="590"/>
      <c r="K108" s="590"/>
      <c r="L108" s="767"/>
      <c r="M108" s="590"/>
      <c r="N108" s="590"/>
      <c r="O108" s="111"/>
      <c r="P108" s="767"/>
      <c r="Q108" s="111"/>
      <c r="R108" s="254"/>
      <c r="S108" s="111"/>
      <c r="T108" s="111"/>
      <c r="U108" s="111"/>
      <c r="V108" s="590"/>
      <c r="W108" s="590"/>
      <c r="X108" s="590"/>
      <c r="Y108" s="590"/>
      <c r="Z108" s="590"/>
      <c r="AA108" s="590"/>
      <c r="AB108" s="590"/>
      <c r="AC108" s="590"/>
      <c r="AD108" s="590"/>
      <c r="AE108" s="590"/>
      <c r="AF108" s="590"/>
      <c r="AG108" s="590"/>
      <c r="AH108" s="590"/>
      <c r="AI108" s="590"/>
      <c r="AJ108" s="590"/>
      <c r="AK108" s="590"/>
      <c r="AL108" s="590"/>
      <c r="AM108" s="590"/>
      <c r="AN108" s="590"/>
      <c r="AO108" s="590"/>
      <c r="AP108" s="590"/>
      <c r="AQ108" s="590"/>
      <c r="AR108" s="590"/>
      <c r="AS108" s="590"/>
      <c r="AT108" s="590"/>
      <c r="AU108" s="590"/>
      <c r="AV108" s="590"/>
      <c r="AW108" s="590"/>
      <c r="AX108" s="590"/>
      <c r="AY108" s="590"/>
      <c r="AZ108" s="590"/>
      <c r="BA108" s="590"/>
      <c r="BB108" s="590"/>
      <c r="BC108" s="590"/>
      <c r="BD108" s="590"/>
      <c r="BE108" s="590"/>
      <c r="BF108" s="590"/>
      <c r="BG108" s="590"/>
      <c r="BH108" s="590"/>
      <c r="BI108" s="590"/>
      <c r="BJ108" s="590"/>
      <c r="BK108" s="590"/>
      <c r="BL108" s="590"/>
      <c r="BM108" s="590"/>
      <c r="BN108" s="590"/>
      <c r="BO108" s="590"/>
      <c r="BP108" s="590"/>
      <c r="BQ108" s="590"/>
      <c r="BR108" s="590"/>
      <c r="BS108" s="590"/>
      <c r="BT108" s="590"/>
      <c r="BU108" s="590"/>
      <c r="BV108" s="590"/>
      <c r="BW108" s="590"/>
      <c r="BX108" s="590"/>
      <c r="BY108" s="590"/>
      <c r="BZ108" s="590"/>
      <c r="CA108" s="590"/>
      <c r="CB108" s="590"/>
      <c r="CC108" s="590"/>
      <c r="CD108" s="590"/>
      <c r="CE108" s="590"/>
      <c r="CF108" s="590"/>
      <c r="CG108" s="590"/>
      <c r="CH108" s="590"/>
      <c r="CI108" s="590"/>
      <c r="CJ108" s="590"/>
      <c r="CK108" s="590"/>
      <c r="CL108" s="590"/>
      <c r="CM108" s="590"/>
      <c r="CN108" s="590"/>
      <c r="CO108" s="590"/>
      <c r="CP108" s="590"/>
      <c r="CQ108" s="590"/>
      <c r="CR108" s="590"/>
      <c r="CS108" s="590"/>
      <c r="CT108" s="590"/>
    </row>
    <row r="109" spans="1:98" s="232" customFormat="1" ht="15.05" hidden="1" thickBot="1" x14ac:dyDescent="0.25">
      <c r="A109" s="590"/>
      <c r="B109" s="590"/>
      <c r="C109" s="767"/>
      <c r="D109" s="590"/>
      <c r="E109" s="590"/>
      <c r="F109" s="590"/>
      <c r="G109" s="590"/>
      <c r="H109" s="590"/>
      <c r="I109" s="590"/>
      <c r="J109" s="590"/>
      <c r="K109" s="590"/>
      <c r="L109" s="111"/>
      <c r="M109" s="111"/>
      <c r="N109" s="111"/>
      <c r="O109" s="111"/>
      <c r="P109" s="111"/>
      <c r="Q109" s="111"/>
      <c r="R109" s="111"/>
      <c r="S109" s="590"/>
      <c r="T109" s="590"/>
      <c r="U109" s="590"/>
      <c r="V109" s="590"/>
      <c r="W109" s="111"/>
      <c r="X109" s="590"/>
      <c r="Y109" s="590"/>
      <c r="Z109" s="590"/>
      <c r="AA109" s="590"/>
      <c r="AB109" s="590"/>
      <c r="AC109" s="590"/>
      <c r="AD109" s="590"/>
      <c r="AE109" s="590"/>
      <c r="AF109" s="590"/>
      <c r="AG109" s="590"/>
      <c r="AH109" s="590"/>
      <c r="AI109" s="590"/>
      <c r="AJ109" s="590"/>
      <c r="AK109" s="590"/>
      <c r="AL109" s="590"/>
      <c r="AM109" s="590"/>
      <c r="AN109" s="590"/>
      <c r="AO109" s="590"/>
      <c r="AP109" s="590"/>
      <c r="AQ109" s="590"/>
      <c r="AR109" s="590"/>
      <c r="AS109" s="590"/>
      <c r="AT109" s="590"/>
      <c r="AU109" s="590"/>
      <c r="AV109" s="590"/>
      <c r="AW109" s="590"/>
      <c r="AX109" s="590"/>
      <c r="AY109" s="590"/>
      <c r="AZ109" s="590"/>
      <c r="BA109" s="590"/>
      <c r="BB109" s="590"/>
      <c r="BC109" s="590"/>
      <c r="BD109" s="590"/>
      <c r="BE109" s="590"/>
      <c r="BF109" s="590"/>
      <c r="BG109" s="590"/>
      <c r="BH109" s="590"/>
      <c r="BI109" s="590"/>
      <c r="BJ109" s="590"/>
      <c r="BK109" s="590"/>
      <c r="BL109" s="590"/>
      <c r="BM109" s="590"/>
      <c r="BN109" s="590"/>
      <c r="BO109" s="590"/>
      <c r="BP109" s="590"/>
      <c r="BQ109" s="590"/>
      <c r="BR109" s="590"/>
      <c r="BS109" s="590"/>
      <c r="BT109" s="590"/>
      <c r="BU109" s="590"/>
      <c r="BV109" s="590"/>
      <c r="BW109" s="590"/>
      <c r="BX109" s="590"/>
      <c r="BY109" s="590"/>
      <c r="BZ109" s="590"/>
      <c r="CA109" s="590"/>
      <c r="CB109" s="590"/>
      <c r="CC109" s="590"/>
      <c r="CD109" s="590"/>
      <c r="CE109" s="590"/>
      <c r="CF109" s="590"/>
      <c r="CG109" s="590"/>
      <c r="CH109" s="590"/>
      <c r="CI109" s="590"/>
      <c r="CJ109" s="590"/>
      <c r="CK109" s="590"/>
      <c r="CL109" s="590"/>
      <c r="CM109" s="590"/>
      <c r="CN109" s="590"/>
      <c r="CO109" s="590"/>
      <c r="CP109" s="590"/>
      <c r="CQ109" s="590"/>
      <c r="CR109" s="590"/>
      <c r="CS109" s="590"/>
      <c r="CT109" s="590"/>
    </row>
    <row r="110" spans="1:98" ht="15.75" hidden="1" thickBot="1" x14ac:dyDescent="0.25">
      <c r="A110" s="2188">
        <v>1012</v>
      </c>
      <c r="B110" s="1843" t="s">
        <v>889</v>
      </c>
      <c r="C110" s="1844"/>
      <c r="D110" s="1346"/>
      <c r="E110" s="1557"/>
      <c r="F110" s="590"/>
      <c r="G110" s="590"/>
      <c r="H110" s="590"/>
      <c r="I110" s="590"/>
      <c r="J110" s="590"/>
      <c r="K110" s="590"/>
      <c r="L110" s="590"/>
      <c r="M110" s="111"/>
      <c r="N110" s="111"/>
      <c r="O110" s="111"/>
      <c r="P110" s="111"/>
      <c r="Q110" s="111"/>
      <c r="R110" s="111"/>
      <c r="S110" s="111"/>
      <c r="T110" s="590"/>
      <c r="U110" s="590"/>
      <c r="V110" s="590"/>
      <c r="W110" s="590"/>
      <c r="X110" s="590"/>
      <c r="Y110" s="590"/>
      <c r="Z110" s="590"/>
      <c r="AA110" s="590"/>
      <c r="AB110" s="590"/>
      <c r="AC110" s="590"/>
      <c r="AD110" s="590"/>
      <c r="AE110" s="590"/>
      <c r="AF110" s="590"/>
      <c r="AG110" s="590"/>
      <c r="AH110" s="590"/>
      <c r="AI110" s="590"/>
      <c r="AJ110" s="590"/>
      <c r="AK110" s="590"/>
      <c r="AL110" s="590"/>
      <c r="AM110" s="590"/>
      <c r="AN110" s="590"/>
      <c r="AO110" s="590"/>
      <c r="AP110" s="590"/>
      <c r="AQ110" s="590"/>
      <c r="AR110" s="590"/>
      <c r="AS110" s="590"/>
      <c r="AT110" s="590"/>
      <c r="AU110" s="590"/>
      <c r="AV110" s="590"/>
      <c r="AW110" s="590"/>
      <c r="AX110" s="590"/>
      <c r="AY110" s="590"/>
      <c r="AZ110" s="590"/>
      <c r="BA110" s="590"/>
      <c r="BB110" s="590"/>
      <c r="BC110" s="590"/>
      <c r="BD110" s="590"/>
      <c r="BE110" s="590"/>
      <c r="BF110" s="590"/>
      <c r="BG110" s="590"/>
      <c r="BH110" s="590"/>
      <c r="BI110" s="590"/>
      <c r="BJ110" s="590"/>
      <c r="BK110" s="590"/>
      <c r="BL110" s="590"/>
      <c r="BM110" s="590"/>
      <c r="BN110" s="590"/>
      <c r="BO110" s="590"/>
      <c r="BP110" s="590"/>
      <c r="BQ110" s="590"/>
      <c r="BR110" s="590"/>
      <c r="BS110" s="590"/>
      <c r="BT110" s="590"/>
      <c r="BU110" s="590"/>
      <c r="BV110" s="590"/>
      <c r="BW110" s="590"/>
      <c r="BX110" s="590"/>
      <c r="BY110" s="590"/>
      <c r="BZ110" s="590"/>
      <c r="CA110" s="590"/>
      <c r="CB110" s="590"/>
      <c r="CC110" s="590"/>
      <c r="CD110" s="590"/>
      <c r="CE110" s="590"/>
      <c r="CF110" s="590"/>
      <c r="CG110" s="590"/>
      <c r="CH110" s="590"/>
      <c r="CI110" s="590"/>
      <c r="CJ110" s="590"/>
      <c r="CK110" s="590"/>
      <c r="CL110" s="590"/>
      <c r="CM110" s="590"/>
      <c r="CN110" s="590"/>
      <c r="CO110" s="590"/>
      <c r="CP110" s="590"/>
      <c r="CQ110" s="590"/>
      <c r="CR110" s="590"/>
      <c r="CS110" s="590"/>
      <c r="CT110" s="590"/>
    </row>
    <row r="111" spans="1:98" hidden="1" x14ac:dyDescent="0.2">
      <c r="A111" s="590"/>
      <c r="B111" s="2189" t="s">
        <v>893</v>
      </c>
      <c r="C111" s="1414"/>
      <c r="D111" s="2189" t="s">
        <v>894</v>
      </c>
      <c r="E111" s="598"/>
      <c r="F111" s="590"/>
      <c r="G111" s="590"/>
      <c r="H111" s="590"/>
      <c r="I111" s="598"/>
      <c r="J111" s="590"/>
      <c r="K111" s="590"/>
      <c r="L111" s="590"/>
      <c r="M111" s="111"/>
      <c r="N111" s="111"/>
      <c r="O111" s="111"/>
      <c r="P111" s="111"/>
      <c r="Q111" s="111"/>
      <c r="R111" s="111"/>
      <c r="S111" s="111"/>
      <c r="T111" s="590"/>
      <c r="U111" s="590"/>
      <c r="V111" s="590"/>
      <c r="W111" s="590"/>
      <c r="X111" s="590"/>
      <c r="Y111" s="590"/>
      <c r="Z111" s="590"/>
      <c r="AA111" s="590"/>
      <c r="AB111" s="590"/>
      <c r="AC111" s="590"/>
      <c r="AD111" s="590"/>
      <c r="AE111" s="590"/>
      <c r="AF111" s="590"/>
      <c r="AG111" s="590"/>
      <c r="AH111" s="590"/>
      <c r="AI111" s="590"/>
      <c r="AJ111" s="590"/>
      <c r="AK111" s="590"/>
      <c r="AL111" s="590"/>
      <c r="AM111" s="590"/>
      <c r="AN111" s="590"/>
      <c r="AO111" s="590"/>
      <c r="AP111" s="590"/>
      <c r="AQ111" s="590"/>
      <c r="AR111" s="590"/>
      <c r="AS111" s="590"/>
      <c r="AT111" s="590"/>
      <c r="AU111" s="590"/>
      <c r="AV111" s="590"/>
      <c r="AW111" s="590"/>
      <c r="AX111" s="590"/>
      <c r="AY111" s="590"/>
      <c r="AZ111" s="590"/>
      <c r="BA111" s="590"/>
      <c r="BB111" s="590"/>
      <c r="BC111" s="590"/>
      <c r="BD111" s="590"/>
      <c r="BE111" s="590"/>
      <c r="BF111" s="590"/>
      <c r="BG111" s="590"/>
      <c r="BH111" s="590"/>
      <c r="BI111" s="590"/>
      <c r="BJ111" s="590"/>
      <c r="BK111" s="590"/>
      <c r="BL111" s="590"/>
      <c r="BM111" s="590"/>
      <c r="BN111" s="590"/>
      <c r="BO111" s="590"/>
      <c r="BP111" s="590"/>
      <c r="BQ111" s="590"/>
      <c r="BR111" s="590"/>
      <c r="BS111" s="590"/>
      <c r="BT111" s="590"/>
      <c r="BU111" s="590"/>
      <c r="BV111" s="590"/>
      <c r="BW111" s="590"/>
      <c r="BX111" s="590"/>
      <c r="BY111" s="590"/>
      <c r="BZ111" s="590"/>
      <c r="CA111" s="590"/>
      <c r="CB111" s="590"/>
      <c r="CC111" s="590"/>
      <c r="CD111" s="590"/>
      <c r="CE111" s="590"/>
      <c r="CF111" s="590"/>
      <c r="CG111" s="590"/>
      <c r="CH111" s="590"/>
      <c r="CI111" s="590"/>
      <c r="CJ111" s="590"/>
      <c r="CK111" s="590"/>
      <c r="CL111" s="590"/>
      <c r="CM111" s="590"/>
      <c r="CN111" s="590"/>
      <c r="CO111" s="590"/>
      <c r="CP111" s="590"/>
      <c r="CQ111" s="590"/>
      <c r="CR111" s="590"/>
      <c r="CS111" s="590"/>
      <c r="CT111" s="590"/>
    </row>
    <row r="112" spans="1:98" hidden="1" x14ac:dyDescent="0.2">
      <c r="A112" s="590"/>
      <c r="B112" s="1807" t="str">
        <f>B10</f>
        <v>CN</v>
      </c>
      <c r="C112" s="590"/>
      <c r="D112" s="1807" t="str">
        <f t="shared" ref="D112:D117" si="63">+B115</f>
        <v>Alfalfa 1</v>
      </c>
      <c r="E112" s="590"/>
      <c r="F112" s="590"/>
      <c r="G112" s="590"/>
      <c r="H112" s="590"/>
      <c r="I112" s="590"/>
      <c r="J112" s="590"/>
      <c r="K112" s="590"/>
      <c r="L112" s="590"/>
      <c r="M112" s="111"/>
      <c r="N112" s="111"/>
      <c r="O112" s="111"/>
      <c r="P112" s="111"/>
      <c r="Q112" s="111"/>
      <c r="R112" s="111"/>
      <c r="S112" s="111"/>
      <c r="T112" s="590"/>
      <c r="U112" s="590"/>
      <c r="V112" s="590"/>
      <c r="W112" s="590"/>
      <c r="X112" s="590"/>
      <c r="Y112" s="590"/>
      <c r="Z112" s="590"/>
      <c r="AA112" s="590"/>
      <c r="AB112" s="590"/>
      <c r="AC112" s="590"/>
      <c r="AD112" s="590"/>
      <c r="AE112" s="590"/>
      <c r="AF112" s="590"/>
      <c r="AG112" s="590"/>
      <c r="AH112" s="590"/>
      <c r="AI112" s="590"/>
      <c r="AJ112" s="590"/>
      <c r="AK112" s="590"/>
      <c r="AL112" s="590"/>
      <c r="AM112" s="590"/>
      <c r="AN112" s="590"/>
      <c r="AO112" s="590"/>
      <c r="AP112" s="590"/>
      <c r="AQ112" s="590"/>
      <c r="AR112" s="590"/>
      <c r="AS112" s="590"/>
      <c r="AT112" s="590"/>
      <c r="AU112" s="590"/>
      <c r="AV112" s="590"/>
      <c r="AW112" s="590"/>
      <c r="AX112" s="590"/>
      <c r="AY112" s="590"/>
      <c r="AZ112" s="590"/>
      <c r="BA112" s="590"/>
      <c r="BB112" s="590"/>
      <c r="BC112" s="590"/>
      <c r="BD112" s="590"/>
      <c r="BE112" s="590"/>
      <c r="BF112" s="590"/>
      <c r="BG112" s="590"/>
      <c r="BH112" s="590"/>
      <c r="BI112" s="590"/>
      <c r="BJ112" s="590"/>
      <c r="BK112" s="590"/>
      <c r="BL112" s="590"/>
      <c r="BM112" s="590"/>
      <c r="BN112" s="590"/>
      <c r="BO112" s="590"/>
      <c r="BP112" s="590"/>
      <c r="BQ112" s="590"/>
      <c r="BR112" s="590"/>
      <c r="BS112" s="590"/>
      <c r="BT112" s="590"/>
      <c r="BU112" s="590"/>
      <c r="BV112" s="590"/>
      <c r="BW112" s="590"/>
      <c r="BX112" s="590"/>
      <c r="BY112" s="590"/>
      <c r="BZ112" s="590"/>
      <c r="CA112" s="590"/>
      <c r="CB112" s="590"/>
      <c r="CC112" s="590"/>
      <c r="CD112" s="590"/>
      <c r="CE112" s="590"/>
      <c r="CF112" s="590"/>
      <c r="CG112" s="590"/>
      <c r="CH112" s="590"/>
      <c r="CI112" s="590"/>
      <c r="CJ112" s="590"/>
      <c r="CK112" s="590"/>
      <c r="CL112" s="590"/>
      <c r="CM112" s="590"/>
      <c r="CN112" s="590"/>
      <c r="CO112" s="590"/>
      <c r="CP112" s="590"/>
      <c r="CQ112" s="590"/>
      <c r="CR112" s="590"/>
      <c r="CS112" s="590"/>
      <c r="CT112" s="590"/>
    </row>
    <row r="113" spans="1:98" hidden="1" x14ac:dyDescent="0.2">
      <c r="A113" s="590"/>
      <c r="B113" s="1807" t="str">
        <f>B11</f>
        <v>CNM</v>
      </c>
      <c r="C113" s="590"/>
      <c r="D113" s="1807" t="str">
        <f t="shared" si="63"/>
        <v>PP 1</v>
      </c>
      <c r="E113" s="590"/>
      <c r="F113" s="590"/>
      <c r="G113" s="590"/>
      <c r="H113" s="590"/>
      <c r="I113" s="590"/>
      <c r="J113" s="590"/>
      <c r="K113" s="590"/>
      <c r="L113" s="590"/>
      <c r="M113" s="111"/>
      <c r="N113" s="111"/>
      <c r="O113" s="111"/>
      <c r="P113" s="111"/>
      <c r="Q113" s="111"/>
      <c r="R113" s="111"/>
      <c r="S113" s="111"/>
      <c r="T113" s="590"/>
      <c r="U113" s="590"/>
      <c r="V113" s="590"/>
      <c r="W113" s="590"/>
      <c r="X113" s="590"/>
      <c r="Y113" s="590"/>
      <c r="Z113" s="590"/>
      <c r="AA113" s="590"/>
      <c r="AB113" s="590"/>
      <c r="AC113" s="590"/>
      <c r="AD113" s="590"/>
      <c r="AE113" s="590"/>
      <c r="AF113" s="590"/>
      <c r="AG113" s="590"/>
      <c r="AH113" s="590"/>
      <c r="AI113" s="590"/>
      <c r="AJ113" s="590"/>
      <c r="AK113" s="590"/>
      <c r="AL113" s="590"/>
      <c r="AM113" s="590"/>
      <c r="AN113" s="590"/>
      <c r="AO113" s="590"/>
      <c r="AP113" s="590"/>
      <c r="AQ113" s="590"/>
      <c r="AR113" s="590"/>
      <c r="AS113" s="590"/>
      <c r="AT113" s="590"/>
      <c r="AU113" s="590"/>
      <c r="AV113" s="590"/>
      <c r="AW113" s="590"/>
      <c r="AX113" s="590"/>
      <c r="AY113" s="590"/>
      <c r="AZ113" s="590"/>
      <c r="BA113" s="590"/>
      <c r="BB113" s="590"/>
      <c r="BC113" s="590"/>
      <c r="BD113" s="590"/>
      <c r="BE113" s="590"/>
      <c r="BF113" s="590"/>
      <c r="BG113" s="590"/>
      <c r="BH113" s="590"/>
      <c r="BI113" s="590"/>
      <c r="BJ113" s="590"/>
      <c r="BK113" s="590"/>
      <c r="BL113" s="590"/>
      <c r="BM113" s="590"/>
      <c r="BN113" s="590"/>
      <c r="BO113" s="590"/>
      <c r="BP113" s="590"/>
      <c r="BQ113" s="590"/>
      <c r="BR113" s="590"/>
      <c r="BS113" s="590"/>
      <c r="BT113" s="590"/>
      <c r="BU113" s="590"/>
      <c r="BV113" s="590"/>
      <c r="BW113" s="590"/>
      <c r="BX113" s="590"/>
      <c r="BY113" s="590"/>
      <c r="BZ113" s="590"/>
      <c r="CA113" s="590"/>
      <c r="CB113" s="590"/>
      <c r="CC113" s="590"/>
      <c r="CD113" s="590"/>
      <c r="CE113" s="590"/>
      <c r="CF113" s="590"/>
      <c r="CG113" s="590"/>
      <c r="CH113" s="590"/>
      <c r="CI113" s="590"/>
      <c r="CJ113" s="590"/>
      <c r="CK113" s="590"/>
      <c r="CL113" s="590"/>
      <c r="CM113" s="590"/>
      <c r="CN113" s="590"/>
      <c r="CO113" s="590"/>
      <c r="CP113" s="590"/>
      <c r="CQ113" s="590"/>
      <c r="CR113" s="590"/>
      <c r="CS113" s="590"/>
      <c r="CT113" s="590"/>
    </row>
    <row r="114" spans="1:98" hidden="1" x14ac:dyDescent="0.2">
      <c r="A114" s="590"/>
      <c r="B114" s="1807" t="str">
        <f>B12</f>
        <v>CN bajo</v>
      </c>
      <c r="C114" s="590"/>
      <c r="D114" s="1807" t="str">
        <f t="shared" si="63"/>
        <v>Prad 1</v>
      </c>
      <c r="E114" s="590"/>
      <c r="F114" s="590"/>
      <c r="G114" s="590"/>
      <c r="H114" s="590"/>
      <c r="I114" s="590"/>
      <c r="J114" s="590"/>
      <c r="K114" s="590"/>
      <c r="L114" s="590"/>
      <c r="M114" s="111"/>
      <c r="N114" s="111"/>
      <c r="O114" s="111"/>
      <c r="P114" s="111"/>
      <c r="Q114" s="111"/>
      <c r="R114" s="111"/>
      <c r="S114" s="111"/>
      <c r="T114" s="590"/>
      <c r="U114" s="590"/>
      <c r="V114" s="590"/>
      <c r="W114" s="590"/>
      <c r="X114" s="590"/>
      <c r="Y114" s="590"/>
      <c r="Z114" s="590"/>
      <c r="AA114" s="590"/>
      <c r="AB114" s="590"/>
      <c r="AC114" s="590"/>
      <c r="AD114" s="590"/>
      <c r="AE114" s="590"/>
      <c r="AF114" s="590"/>
      <c r="AG114" s="590"/>
      <c r="AH114" s="590"/>
      <c r="AI114" s="590"/>
      <c r="AJ114" s="590"/>
      <c r="AK114" s="590"/>
      <c r="AL114" s="590"/>
      <c r="AM114" s="590"/>
      <c r="AN114" s="590"/>
      <c r="AO114" s="590"/>
      <c r="AP114" s="590"/>
      <c r="AQ114" s="590"/>
      <c r="AR114" s="590"/>
      <c r="AS114" s="590"/>
      <c r="AT114" s="590"/>
      <c r="AU114" s="590"/>
      <c r="AV114" s="590"/>
      <c r="AW114" s="590"/>
      <c r="AX114" s="590"/>
      <c r="AY114" s="590"/>
      <c r="AZ114" s="590"/>
      <c r="BA114" s="590"/>
      <c r="BB114" s="590"/>
      <c r="BC114" s="590"/>
      <c r="BD114" s="590"/>
      <c r="BE114" s="590"/>
      <c r="BF114" s="590"/>
      <c r="BG114" s="590"/>
      <c r="BH114" s="590"/>
      <c r="BI114" s="590"/>
      <c r="BJ114" s="590"/>
      <c r="BK114" s="590"/>
      <c r="BL114" s="590"/>
      <c r="BM114" s="590"/>
      <c r="BN114" s="590"/>
      <c r="BO114" s="590"/>
      <c r="BP114" s="590"/>
      <c r="BQ114" s="590"/>
      <c r="BR114" s="590"/>
      <c r="BS114" s="590"/>
      <c r="BT114" s="590"/>
      <c r="BU114" s="590"/>
      <c r="BV114" s="590"/>
      <c r="BW114" s="590"/>
      <c r="BX114" s="590"/>
      <c r="BY114" s="590"/>
      <c r="BZ114" s="590"/>
      <c r="CA114" s="590"/>
      <c r="CB114" s="590"/>
      <c r="CC114" s="590"/>
      <c r="CD114" s="590"/>
      <c r="CE114" s="590"/>
      <c r="CF114" s="590"/>
      <c r="CG114" s="590"/>
      <c r="CH114" s="590"/>
      <c r="CI114" s="590"/>
      <c r="CJ114" s="590"/>
      <c r="CK114" s="590"/>
      <c r="CL114" s="590"/>
      <c r="CM114" s="590"/>
      <c r="CN114" s="590"/>
      <c r="CO114" s="590"/>
      <c r="CP114" s="590"/>
      <c r="CQ114" s="590"/>
      <c r="CR114" s="590"/>
      <c r="CS114" s="590"/>
      <c r="CT114" s="590"/>
    </row>
    <row r="115" spans="1:98" hidden="1" x14ac:dyDescent="0.2">
      <c r="A115" s="590"/>
      <c r="B115" s="1807" t="str">
        <f t="shared" ref="B115:B120" si="64">B14</f>
        <v>Alfalfa 1</v>
      </c>
      <c r="C115" s="590"/>
      <c r="D115" s="1807" t="str">
        <f t="shared" si="63"/>
        <v>Trébol Rojo 1</v>
      </c>
      <c r="E115" s="590"/>
      <c r="F115" s="590"/>
      <c r="G115" s="590"/>
      <c r="H115" s="590"/>
      <c r="I115" s="590"/>
      <c r="J115" s="590"/>
      <c r="K115" s="590"/>
      <c r="L115" s="590"/>
      <c r="M115" s="111"/>
      <c r="N115" s="111"/>
      <c r="O115" s="111"/>
      <c r="P115" s="111"/>
      <c r="Q115" s="111"/>
      <c r="R115" s="111"/>
      <c r="S115" s="111"/>
      <c r="T115" s="590"/>
      <c r="U115" s="590"/>
      <c r="V115" s="590"/>
      <c r="W115" s="590"/>
      <c r="X115" s="590"/>
      <c r="Y115" s="590"/>
      <c r="Z115" s="590"/>
      <c r="AA115" s="590"/>
      <c r="AB115" s="590"/>
      <c r="AC115" s="590"/>
      <c r="AD115" s="590"/>
      <c r="AE115" s="590"/>
      <c r="AF115" s="590"/>
      <c r="AG115" s="590"/>
      <c r="AH115" s="590"/>
      <c r="AI115" s="590"/>
      <c r="AJ115" s="590"/>
      <c r="AK115" s="590"/>
      <c r="AL115" s="590"/>
      <c r="AM115" s="590"/>
      <c r="AN115" s="590"/>
      <c r="AO115" s="590"/>
      <c r="AP115" s="590"/>
      <c r="AQ115" s="590"/>
      <c r="AR115" s="590"/>
      <c r="AS115" s="590"/>
      <c r="AT115" s="590"/>
      <c r="AU115" s="590"/>
      <c r="AV115" s="590"/>
      <c r="AW115" s="590"/>
      <c r="AX115" s="590"/>
      <c r="AY115" s="590"/>
      <c r="AZ115" s="590"/>
      <c r="BA115" s="590"/>
      <c r="BB115" s="590"/>
      <c r="BC115" s="590"/>
      <c r="BD115" s="590"/>
      <c r="BE115" s="590"/>
      <c r="BF115" s="590"/>
      <c r="BG115" s="590"/>
      <c r="BH115" s="590"/>
      <c r="BI115" s="590"/>
      <c r="BJ115" s="590"/>
      <c r="BK115" s="590"/>
      <c r="BL115" s="590"/>
      <c r="BM115" s="590"/>
      <c r="BN115" s="590"/>
      <c r="BO115" s="590"/>
      <c r="BP115" s="590"/>
      <c r="BQ115" s="590"/>
      <c r="BR115" s="590"/>
      <c r="BS115" s="590"/>
      <c r="BT115" s="590"/>
      <c r="BU115" s="590"/>
      <c r="BV115" s="590"/>
      <c r="BW115" s="590"/>
      <c r="BX115" s="590"/>
      <c r="BY115" s="590"/>
      <c r="BZ115" s="590"/>
      <c r="CA115" s="590"/>
      <c r="CB115" s="590"/>
      <c r="CC115" s="590"/>
      <c r="CD115" s="590"/>
      <c r="CE115" s="590"/>
      <c r="CF115" s="590"/>
      <c r="CG115" s="590"/>
      <c r="CH115" s="590"/>
      <c r="CI115" s="590"/>
      <c r="CJ115" s="590"/>
      <c r="CK115" s="590"/>
      <c r="CL115" s="590"/>
      <c r="CM115" s="590"/>
      <c r="CN115" s="590"/>
      <c r="CO115" s="590"/>
      <c r="CP115" s="590"/>
      <c r="CQ115" s="590"/>
      <c r="CR115" s="590"/>
      <c r="CS115" s="590"/>
      <c r="CT115" s="590"/>
    </row>
    <row r="116" spans="1:98" hidden="1" x14ac:dyDescent="0.2">
      <c r="A116" s="590"/>
      <c r="B116" s="1807" t="str">
        <f t="shared" si="64"/>
        <v>PP 1</v>
      </c>
      <c r="C116" s="590"/>
      <c r="D116" s="1807">
        <f t="shared" si="63"/>
        <v>0</v>
      </c>
      <c r="E116" s="590"/>
      <c r="F116" s="590"/>
      <c r="G116" s="590"/>
      <c r="H116" s="590"/>
      <c r="I116" s="590"/>
      <c r="J116" s="590"/>
      <c r="K116" s="590"/>
      <c r="L116" s="590"/>
      <c r="M116" s="111"/>
      <c r="N116" s="111"/>
      <c r="O116" s="111"/>
      <c r="P116" s="111"/>
      <c r="Q116" s="111"/>
      <c r="R116" s="111"/>
      <c r="S116" s="111"/>
      <c r="T116" s="590"/>
      <c r="U116" s="590"/>
      <c r="V116" s="590"/>
      <c r="W116" s="590"/>
      <c r="X116" s="590"/>
      <c r="Y116" s="590"/>
      <c r="Z116" s="590"/>
      <c r="AA116" s="590"/>
      <c r="AB116" s="590"/>
      <c r="AC116" s="590"/>
      <c r="AD116" s="590"/>
      <c r="AE116" s="590"/>
      <c r="AF116" s="590"/>
      <c r="AG116" s="590"/>
      <c r="AH116" s="590"/>
      <c r="AI116" s="590"/>
      <c r="AJ116" s="590"/>
      <c r="AK116" s="590"/>
      <c r="AL116" s="590"/>
      <c r="AM116" s="590"/>
      <c r="AN116" s="590"/>
      <c r="AO116" s="590"/>
      <c r="AP116" s="590"/>
      <c r="AQ116" s="590"/>
      <c r="AR116" s="590"/>
      <c r="AS116" s="590"/>
      <c r="AT116" s="590"/>
      <c r="AU116" s="590"/>
      <c r="AV116" s="590"/>
      <c r="AW116" s="590"/>
      <c r="AX116" s="590"/>
      <c r="AY116" s="590"/>
      <c r="AZ116" s="590"/>
      <c r="BA116" s="590"/>
      <c r="BB116" s="590"/>
      <c r="BC116" s="590"/>
      <c r="BD116" s="590"/>
      <c r="BE116" s="590"/>
      <c r="BF116" s="590"/>
      <c r="BG116" s="590"/>
      <c r="BH116" s="590"/>
      <c r="BI116" s="590"/>
      <c r="BJ116" s="590"/>
      <c r="BK116" s="590"/>
      <c r="BL116" s="590"/>
      <c r="BM116" s="590"/>
      <c r="BN116" s="590"/>
      <c r="BO116" s="590"/>
      <c r="BP116" s="590"/>
      <c r="BQ116" s="590"/>
      <c r="BR116" s="590"/>
      <c r="BS116" s="590"/>
      <c r="BT116" s="590"/>
      <c r="BU116" s="590"/>
      <c r="BV116" s="590"/>
      <c r="BW116" s="590"/>
      <c r="BX116" s="590"/>
      <c r="BY116" s="590"/>
      <c r="BZ116" s="590"/>
      <c r="CA116" s="590"/>
      <c r="CB116" s="590"/>
      <c r="CC116" s="590"/>
      <c r="CD116" s="590"/>
      <c r="CE116" s="590"/>
      <c r="CF116" s="590"/>
      <c r="CG116" s="590"/>
      <c r="CH116" s="590"/>
      <c r="CI116" s="590"/>
      <c r="CJ116" s="590"/>
      <c r="CK116" s="590"/>
      <c r="CL116" s="590"/>
      <c r="CM116" s="590"/>
      <c r="CN116" s="590"/>
      <c r="CO116" s="590"/>
      <c r="CP116" s="590"/>
      <c r="CQ116" s="590"/>
      <c r="CR116" s="590"/>
      <c r="CS116" s="590"/>
      <c r="CT116" s="590"/>
    </row>
    <row r="117" spans="1:98" hidden="1" x14ac:dyDescent="0.2">
      <c r="A117" s="590"/>
      <c r="B117" s="1807" t="str">
        <f t="shared" si="64"/>
        <v>Prad 1</v>
      </c>
      <c r="C117" s="590"/>
      <c r="D117" s="1807">
        <f t="shared" si="63"/>
        <v>0</v>
      </c>
      <c r="E117" s="590"/>
      <c r="F117" s="590"/>
      <c r="G117" s="590"/>
      <c r="H117" s="590"/>
      <c r="I117" s="590"/>
      <c r="J117" s="590"/>
      <c r="K117" s="590"/>
      <c r="L117" s="590"/>
      <c r="M117" s="111"/>
      <c r="N117" s="111"/>
      <c r="O117" s="111"/>
      <c r="P117" s="111"/>
      <c r="Q117" s="111"/>
      <c r="R117" s="111"/>
      <c r="S117" s="111"/>
      <c r="T117" s="590"/>
      <c r="U117" s="590"/>
      <c r="V117" s="590"/>
      <c r="W117" s="590"/>
      <c r="X117" s="590"/>
      <c r="Y117" s="590"/>
      <c r="Z117" s="590"/>
      <c r="AA117" s="590"/>
      <c r="AB117" s="590"/>
      <c r="AC117" s="590"/>
      <c r="AD117" s="590"/>
      <c r="AE117" s="590"/>
      <c r="AF117" s="590"/>
      <c r="AG117" s="590"/>
      <c r="AH117" s="590"/>
      <c r="AI117" s="590"/>
      <c r="AJ117" s="590"/>
      <c r="AK117" s="590"/>
      <c r="AL117" s="590"/>
      <c r="AM117" s="590"/>
      <c r="AN117" s="590"/>
      <c r="AO117" s="590"/>
      <c r="AP117" s="590"/>
      <c r="AQ117" s="590"/>
      <c r="AR117" s="590"/>
      <c r="AS117" s="590"/>
      <c r="AT117" s="590"/>
      <c r="AU117" s="590"/>
      <c r="AV117" s="590"/>
      <c r="AW117" s="590"/>
      <c r="AX117" s="590"/>
      <c r="AY117" s="590"/>
      <c r="AZ117" s="590"/>
      <c r="BA117" s="590"/>
      <c r="BB117" s="590"/>
      <c r="BC117" s="590"/>
      <c r="BD117" s="590"/>
      <c r="BE117" s="590"/>
      <c r="BF117" s="590"/>
      <c r="BG117" s="590"/>
      <c r="BH117" s="590"/>
      <c r="BI117" s="590"/>
      <c r="BJ117" s="590"/>
      <c r="BK117" s="590"/>
      <c r="BL117" s="590"/>
      <c r="BM117" s="590"/>
      <c r="BN117" s="590"/>
      <c r="BO117" s="590"/>
      <c r="BP117" s="590"/>
      <c r="BQ117" s="590"/>
      <c r="BR117" s="590"/>
      <c r="BS117" s="590"/>
      <c r="BT117" s="590"/>
      <c r="BU117" s="590"/>
      <c r="BV117" s="590"/>
      <c r="BW117" s="590"/>
      <c r="BX117" s="590"/>
      <c r="BY117" s="590"/>
      <c r="BZ117" s="590"/>
      <c r="CA117" s="590"/>
      <c r="CB117" s="590"/>
      <c r="CC117" s="590"/>
      <c r="CD117" s="590"/>
      <c r="CE117" s="590"/>
      <c r="CF117" s="590"/>
      <c r="CG117" s="590"/>
      <c r="CH117" s="590"/>
      <c r="CI117" s="590"/>
      <c r="CJ117" s="590"/>
      <c r="CK117" s="590"/>
      <c r="CL117" s="590"/>
      <c r="CM117" s="590"/>
      <c r="CN117" s="590"/>
      <c r="CO117" s="590"/>
      <c r="CP117" s="590"/>
      <c r="CQ117" s="590"/>
      <c r="CR117" s="590"/>
      <c r="CS117" s="590"/>
      <c r="CT117" s="590"/>
    </row>
    <row r="118" spans="1:98" hidden="1" x14ac:dyDescent="0.2">
      <c r="A118" s="590"/>
      <c r="B118" s="1807" t="str">
        <f t="shared" si="64"/>
        <v>Trébol Rojo 1</v>
      </c>
      <c r="C118" s="590"/>
      <c r="D118" s="1807" t="str">
        <f>+B135</f>
        <v>Avena</v>
      </c>
      <c r="E118" s="590"/>
      <c r="F118" s="590"/>
      <c r="G118" s="590"/>
      <c r="H118" s="590"/>
      <c r="I118" s="590"/>
      <c r="J118" s="590"/>
      <c r="K118" s="590"/>
      <c r="L118" s="590"/>
      <c r="M118" s="111"/>
      <c r="N118" s="111"/>
      <c r="O118" s="111"/>
      <c r="P118" s="111"/>
      <c r="Q118" s="111"/>
      <c r="R118" s="111"/>
      <c r="S118" s="111"/>
      <c r="T118" s="590"/>
      <c r="U118" s="590"/>
      <c r="V118" s="590"/>
      <c r="W118" s="590"/>
      <c r="X118" s="590"/>
      <c r="Y118" s="590"/>
      <c r="Z118" s="590"/>
      <c r="AA118" s="590"/>
      <c r="AB118" s="590"/>
      <c r="AC118" s="590"/>
      <c r="AD118" s="590"/>
      <c r="AE118" s="590"/>
      <c r="AF118" s="590"/>
      <c r="AG118" s="590"/>
      <c r="AH118" s="590"/>
      <c r="AI118" s="590"/>
      <c r="AJ118" s="590"/>
      <c r="AK118" s="590"/>
      <c r="AL118" s="590"/>
      <c r="AM118" s="590"/>
      <c r="AN118" s="590"/>
      <c r="AO118" s="590"/>
      <c r="AP118" s="590"/>
      <c r="AQ118" s="590"/>
      <c r="AR118" s="590"/>
      <c r="AS118" s="590"/>
      <c r="AT118" s="590"/>
      <c r="AU118" s="590"/>
      <c r="AV118" s="590"/>
      <c r="AW118" s="590"/>
      <c r="AX118" s="590"/>
      <c r="AY118" s="590"/>
      <c r="AZ118" s="590"/>
      <c r="BA118" s="590"/>
      <c r="BB118" s="590"/>
      <c r="BC118" s="590"/>
      <c r="BD118" s="590"/>
      <c r="BE118" s="590"/>
      <c r="BF118" s="590"/>
      <c r="BG118" s="590"/>
      <c r="BH118" s="590"/>
      <c r="BI118" s="590"/>
      <c r="BJ118" s="590"/>
      <c r="BK118" s="590"/>
      <c r="BL118" s="590"/>
      <c r="BM118" s="590"/>
      <c r="BN118" s="590"/>
      <c r="BO118" s="590"/>
      <c r="BP118" s="590"/>
      <c r="BQ118" s="590"/>
      <c r="BR118" s="590"/>
      <c r="BS118" s="590"/>
      <c r="BT118" s="590"/>
      <c r="BU118" s="590"/>
      <c r="BV118" s="590"/>
      <c r="BW118" s="590"/>
      <c r="BX118" s="590"/>
      <c r="BY118" s="590"/>
      <c r="BZ118" s="590"/>
      <c r="CA118" s="590"/>
      <c r="CB118" s="590"/>
      <c r="CC118" s="590"/>
      <c r="CD118" s="590"/>
      <c r="CE118" s="590"/>
      <c r="CF118" s="590"/>
      <c r="CG118" s="590"/>
      <c r="CH118" s="590"/>
      <c r="CI118" s="590"/>
      <c r="CJ118" s="590"/>
      <c r="CK118" s="590"/>
      <c r="CL118" s="590"/>
      <c r="CM118" s="590"/>
      <c r="CN118" s="590"/>
      <c r="CO118" s="590"/>
      <c r="CP118" s="590"/>
      <c r="CQ118" s="590"/>
      <c r="CR118" s="590"/>
      <c r="CS118" s="590"/>
      <c r="CT118" s="590"/>
    </row>
    <row r="119" spans="1:98" hidden="1" x14ac:dyDescent="0.2">
      <c r="A119" s="590"/>
      <c r="B119" s="1807">
        <f t="shared" si="64"/>
        <v>0</v>
      </c>
      <c r="C119" s="590"/>
      <c r="D119" s="1807" t="str">
        <f t="shared" ref="D119:D172" si="65">+B136</f>
        <v>Raigrás</v>
      </c>
      <c r="E119" s="590"/>
      <c r="F119" s="590"/>
      <c r="G119" s="590"/>
      <c r="H119" s="590"/>
      <c r="I119" s="590"/>
      <c r="J119" s="590"/>
      <c r="K119" s="590"/>
      <c r="L119" s="590"/>
      <c r="M119" s="111"/>
      <c r="N119" s="111"/>
      <c r="O119" s="111"/>
      <c r="P119" s="111"/>
      <c r="Q119" s="111"/>
      <c r="R119" s="111"/>
      <c r="S119" s="111"/>
      <c r="T119" s="590"/>
      <c r="U119" s="590"/>
      <c r="V119" s="590"/>
      <c r="W119" s="590"/>
      <c r="X119" s="590"/>
      <c r="Y119" s="590"/>
      <c r="Z119" s="590"/>
      <c r="AA119" s="590"/>
      <c r="AB119" s="590"/>
      <c r="AC119" s="590"/>
      <c r="AD119" s="590"/>
      <c r="AE119" s="590"/>
      <c r="AF119" s="590"/>
      <c r="AG119" s="590"/>
      <c r="AH119" s="590"/>
      <c r="AI119" s="590"/>
      <c r="AJ119" s="590"/>
      <c r="AK119" s="590"/>
      <c r="AL119" s="590"/>
      <c r="AM119" s="590"/>
      <c r="AN119" s="590"/>
      <c r="AO119" s="590"/>
      <c r="AP119" s="590"/>
      <c r="AQ119" s="590"/>
      <c r="AR119" s="590"/>
      <c r="AS119" s="590"/>
      <c r="AT119" s="590"/>
      <c r="AU119" s="590"/>
      <c r="AV119" s="590"/>
      <c r="AW119" s="590"/>
      <c r="AX119" s="590"/>
      <c r="AY119" s="590"/>
      <c r="AZ119" s="590"/>
      <c r="BA119" s="590"/>
      <c r="BB119" s="590"/>
      <c r="BC119" s="590"/>
      <c r="BD119" s="590"/>
      <c r="BE119" s="590"/>
      <c r="BF119" s="590"/>
      <c r="BG119" s="590"/>
      <c r="BH119" s="590"/>
      <c r="BI119" s="590"/>
      <c r="BJ119" s="590"/>
      <c r="BK119" s="590"/>
      <c r="BL119" s="590"/>
      <c r="BM119" s="590"/>
      <c r="BN119" s="590"/>
      <c r="BO119" s="590"/>
      <c r="BP119" s="590"/>
      <c r="BQ119" s="590"/>
      <c r="BR119" s="590"/>
      <c r="BS119" s="590"/>
      <c r="BT119" s="590"/>
      <c r="BU119" s="590"/>
      <c r="BV119" s="590"/>
      <c r="BW119" s="590"/>
      <c r="BX119" s="590"/>
      <c r="BY119" s="590"/>
      <c r="BZ119" s="590"/>
      <c r="CA119" s="590"/>
      <c r="CB119" s="590"/>
      <c r="CC119" s="590"/>
      <c r="CD119" s="590"/>
      <c r="CE119" s="590"/>
      <c r="CF119" s="590"/>
      <c r="CG119" s="590"/>
      <c r="CH119" s="590"/>
      <c r="CI119" s="590"/>
      <c r="CJ119" s="590"/>
      <c r="CK119" s="590"/>
      <c r="CL119" s="590"/>
      <c r="CM119" s="590"/>
      <c r="CN119" s="590"/>
      <c r="CO119" s="590"/>
      <c r="CP119" s="590"/>
      <c r="CQ119" s="590"/>
      <c r="CR119" s="590"/>
      <c r="CS119" s="590"/>
      <c r="CT119" s="590"/>
    </row>
    <row r="120" spans="1:98" hidden="1" x14ac:dyDescent="0.2">
      <c r="A120" s="590"/>
      <c r="B120" s="1807">
        <f t="shared" si="64"/>
        <v>0</v>
      </c>
      <c r="C120" s="590"/>
      <c r="D120" s="1807" t="str">
        <f t="shared" si="65"/>
        <v>Av+Rg</v>
      </c>
      <c r="E120" s="590"/>
      <c r="F120" s="590"/>
      <c r="G120" s="590"/>
      <c r="H120" s="590"/>
      <c r="I120" s="590"/>
      <c r="J120" s="590"/>
      <c r="K120" s="590"/>
      <c r="L120" s="590"/>
      <c r="M120" s="111"/>
      <c r="N120" s="111"/>
      <c r="O120" s="111"/>
      <c r="P120" s="111"/>
      <c r="Q120" s="111"/>
      <c r="R120" s="111"/>
      <c r="S120" s="111"/>
      <c r="T120" s="590"/>
      <c r="U120" s="590"/>
      <c r="V120" s="590"/>
      <c r="W120" s="590"/>
      <c r="X120" s="590"/>
      <c r="Y120" s="590"/>
      <c r="Z120" s="590"/>
      <c r="AA120" s="590"/>
      <c r="AB120" s="590"/>
      <c r="AC120" s="590"/>
      <c r="AD120" s="590"/>
      <c r="AE120" s="590"/>
      <c r="AF120" s="590"/>
      <c r="AG120" s="590"/>
      <c r="AH120" s="590"/>
      <c r="AI120" s="590"/>
      <c r="AJ120" s="590"/>
      <c r="AK120" s="590"/>
      <c r="AL120" s="590"/>
      <c r="AM120" s="590"/>
      <c r="AN120" s="590"/>
      <c r="AO120" s="590"/>
      <c r="AP120" s="590"/>
      <c r="AQ120" s="590"/>
      <c r="AR120" s="590"/>
      <c r="AS120" s="590"/>
      <c r="AT120" s="590"/>
      <c r="AU120" s="590"/>
      <c r="AV120" s="590"/>
      <c r="AW120" s="590"/>
      <c r="AX120" s="590"/>
      <c r="AY120" s="590"/>
      <c r="AZ120" s="590"/>
      <c r="BA120" s="590"/>
      <c r="BB120" s="590"/>
      <c r="BC120" s="590"/>
      <c r="BD120" s="590"/>
      <c r="BE120" s="590"/>
      <c r="BF120" s="590"/>
      <c r="BG120" s="590"/>
      <c r="BH120" s="590"/>
      <c r="BI120" s="590"/>
      <c r="BJ120" s="590"/>
      <c r="BK120" s="590"/>
      <c r="BL120" s="590"/>
      <c r="BM120" s="590"/>
      <c r="BN120" s="590"/>
      <c r="BO120" s="590"/>
      <c r="BP120" s="590"/>
      <c r="BQ120" s="590"/>
      <c r="BR120" s="590"/>
      <c r="BS120" s="590"/>
      <c r="BT120" s="590"/>
      <c r="BU120" s="590"/>
      <c r="BV120" s="590"/>
      <c r="BW120" s="590"/>
      <c r="BX120" s="590"/>
      <c r="BY120" s="590"/>
      <c r="BZ120" s="590"/>
      <c r="CA120" s="590"/>
      <c r="CB120" s="590"/>
      <c r="CC120" s="590"/>
      <c r="CD120" s="590"/>
      <c r="CE120" s="590"/>
      <c r="CF120" s="590"/>
      <c r="CG120" s="590"/>
      <c r="CH120" s="590"/>
      <c r="CI120" s="590"/>
      <c r="CJ120" s="590"/>
      <c r="CK120" s="590"/>
      <c r="CL120" s="590"/>
      <c r="CM120" s="590"/>
      <c r="CN120" s="590"/>
      <c r="CO120" s="590"/>
      <c r="CP120" s="590"/>
      <c r="CQ120" s="590"/>
      <c r="CR120" s="590"/>
      <c r="CS120" s="590"/>
      <c r="CT120" s="590"/>
    </row>
    <row r="121" spans="1:98" hidden="1" x14ac:dyDescent="0.2">
      <c r="A121" s="590"/>
      <c r="B121" s="1807" t="str">
        <f t="shared" ref="B121:B134" si="66">B21</f>
        <v>Alfalfa 2</v>
      </c>
      <c r="C121" s="590"/>
      <c r="D121" s="1807" t="str">
        <f t="shared" si="65"/>
        <v>Rg Ciclo Largo</v>
      </c>
      <c r="E121" s="590"/>
      <c r="F121" s="590"/>
      <c r="G121" s="590"/>
      <c r="H121" s="590"/>
      <c r="I121" s="590"/>
      <c r="J121" s="590"/>
      <c r="K121" s="590"/>
      <c r="L121" s="590"/>
      <c r="M121" s="111"/>
      <c r="N121" s="111"/>
      <c r="O121" s="111"/>
      <c r="P121" s="111"/>
      <c r="Q121" s="111"/>
      <c r="R121" s="111"/>
      <c r="S121" s="111"/>
      <c r="T121" s="590"/>
      <c r="U121" s="590"/>
      <c r="V121" s="590"/>
      <c r="W121" s="590"/>
      <c r="X121" s="590"/>
      <c r="Y121" s="590"/>
      <c r="Z121" s="590"/>
      <c r="AA121" s="590"/>
      <c r="AB121" s="590"/>
      <c r="AC121" s="590"/>
      <c r="AD121" s="590"/>
      <c r="AE121" s="590"/>
      <c r="AF121" s="590"/>
      <c r="AG121" s="590"/>
      <c r="AH121" s="590"/>
      <c r="AI121" s="590"/>
      <c r="AJ121" s="590"/>
      <c r="AK121" s="590"/>
      <c r="AL121" s="590"/>
      <c r="AM121" s="590"/>
      <c r="AN121" s="590"/>
      <c r="AO121" s="590"/>
      <c r="AP121" s="590"/>
      <c r="AQ121" s="590"/>
      <c r="AR121" s="590"/>
      <c r="AS121" s="590"/>
      <c r="AT121" s="590"/>
      <c r="AU121" s="590"/>
      <c r="AV121" s="590"/>
      <c r="AW121" s="590"/>
      <c r="AX121" s="590"/>
      <c r="AY121" s="590"/>
      <c r="AZ121" s="590"/>
      <c r="BA121" s="590"/>
      <c r="BB121" s="590"/>
      <c r="BC121" s="590"/>
      <c r="BD121" s="590"/>
      <c r="BE121" s="590"/>
      <c r="BF121" s="590"/>
      <c r="BG121" s="590"/>
      <c r="BH121" s="590"/>
      <c r="BI121" s="590"/>
      <c r="BJ121" s="590"/>
      <c r="BK121" s="590"/>
      <c r="BL121" s="590"/>
      <c r="BM121" s="590"/>
      <c r="BN121" s="590"/>
      <c r="BO121" s="590"/>
      <c r="BP121" s="590"/>
      <c r="BQ121" s="590"/>
      <c r="BR121" s="590"/>
      <c r="BS121" s="590"/>
      <c r="BT121" s="590"/>
      <c r="BU121" s="590"/>
      <c r="BV121" s="590"/>
      <c r="BW121" s="590"/>
      <c r="BX121" s="590"/>
      <c r="BY121" s="590"/>
      <c r="BZ121" s="590"/>
      <c r="CA121" s="590"/>
      <c r="CB121" s="590"/>
      <c r="CC121" s="590"/>
      <c r="CD121" s="590"/>
      <c r="CE121" s="590"/>
      <c r="CF121" s="590"/>
      <c r="CG121" s="590"/>
      <c r="CH121" s="590"/>
      <c r="CI121" s="590"/>
      <c r="CJ121" s="590"/>
      <c r="CK121" s="590"/>
      <c r="CL121" s="590"/>
      <c r="CM121" s="590"/>
      <c r="CN121" s="590"/>
      <c r="CO121" s="590"/>
      <c r="CP121" s="590"/>
      <c r="CQ121" s="590"/>
      <c r="CR121" s="590"/>
      <c r="CS121" s="590"/>
      <c r="CT121" s="590"/>
    </row>
    <row r="122" spans="1:98" hidden="1" x14ac:dyDescent="0.2">
      <c r="A122" s="590"/>
      <c r="B122" s="1807" t="str">
        <f t="shared" si="66"/>
        <v>Alfalfa 3</v>
      </c>
      <c r="C122" s="590"/>
      <c r="D122" s="1807" t="str">
        <f t="shared" si="65"/>
        <v>Trigo pastoreo</v>
      </c>
      <c r="E122" s="590"/>
      <c r="F122" s="590"/>
      <c r="G122" s="590"/>
      <c r="H122" s="590"/>
      <c r="I122" s="590"/>
      <c r="J122" s="590"/>
      <c r="K122" s="590"/>
      <c r="L122" s="590"/>
      <c r="M122" s="111"/>
      <c r="N122" s="111"/>
      <c r="O122" s="111"/>
      <c r="P122" s="111"/>
      <c r="Q122" s="111"/>
      <c r="R122" s="111"/>
      <c r="S122" s="111"/>
      <c r="T122" s="590"/>
      <c r="U122" s="590"/>
      <c r="V122" s="590"/>
      <c r="W122" s="590"/>
      <c r="X122" s="590"/>
      <c r="Y122" s="590"/>
      <c r="Z122" s="590"/>
      <c r="AA122" s="590"/>
      <c r="AB122" s="590"/>
      <c r="AC122" s="590"/>
      <c r="AD122" s="590"/>
      <c r="AE122" s="590"/>
      <c r="AF122" s="590"/>
      <c r="AG122" s="590"/>
      <c r="AH122" s="590"/>
      <c r="AI122" s="590"/>
      <c r="AJ122" s="590"/>
      <c r="AK122" s="590"/>
      <c r="AL122" s="590"/>
      <c r="AM122" s="590"/>
      <c r="AN122" s="590"/>
      <c r="AO122" s="590"/>
      <c r="AP122" s="590"/>
      <c r="AQ122" s="590"/>
      <c r="AR122" s="590"/>
      <c r="AS122" s="590"/>
      <c r="AT122" s="590"/>
      <c r="AU122" s="590"/>
      <c r="AV122" s="590"/>
      <c r="AW122" s="590"/>
      <c r="AX122" s="590"/>
      <c r="AY122" s="590"/>
      <c r="AZ122" s="590"/>
      <c r="BA122" s="590"/>
      <c r="BB122" s="590"/>
      <c r="BC122" s="590"/>
      <c r="BD122" s="590"/>
      <c r="BE122" s="590"/>
      <c r="BF122" s="590"/>
      <c r="BG122" s="590"/>
      <c r="BH122" s="590"/>
      <c r="BI122" s="590"/>
      <c r="BJ122" s="590"/>
      <c r="BK122" s="590"/>
      <c r="BL122" s="590"/>
      <c r="BM122" s="590"/>
      <c r="BN122" s="590"/>
      <c r="BO122" s="590"/>
      <c r="BP122" s="590"/>
      <c r="BQ122" s="590"/>
      <c r="BR122" s="590"/>
      <c r="BS122" s="590"/>
      <c r="BT122" s="590"/>
      <c r="BU122" s="590"/>
      <c r="BV122" s="590"/>
      <c r="BW122" s="590"/>
      <c r="BX122" s="590"/>
      <c r="BY122" s="590"/>
      <c r="BZ122" s="590"/>
      <c r="CA122" s="590"/>
      <c r="CB122" s="590"/>
      <c r="CC122" s="590"/>
      <c r="CD122" s="590"/>
      <c r="CE122" s="590"/>
      <c r="CF122" s="590"/>
      <c r="CG122" s="590"/>
      <c r="CH122" s="590"/>
      <c r="CI122" s="590"/>
      <c r="CJ122" s="590"/>
      <c r="CK122" s="590"/>
      <c r="CL122" s="590"/>
      <c r="CM122" s="590"/>
      <c r="CN122" s="590"/>
      <c r="CO122" s="590"/>
      <c r="CP122" s="590"/>
      <c r="CQ122" s="590"/>
      <c r="CR122" s="590"/>
      <c r="CS122" s="590"/>
      <c r="CT122" s="590"/>
    </row>
    <row r="123" spans="1:98" hidden="1" x14ac:dyDescent="0.2">
      <c r="A123" s="590"/>
      <c r="B123" s="1807" t="str">
        <f t="shared" si="66"/>
        <v>Alfalfa 4</v>
      </c>
      <c r="C123" s="590"/>
      <c r="D123" s="1807" t="str">
        <f t="shared" si="65"/>
        <v>Cebada pastoreo</v>
      </c>
      <c r="E123" s="590"/>
      <c r="F123" s="590"/>
      <c r="G123" s="590"/>
      <c r="H123" s="590"/>
      <c r="I123" s="590"/>
      <c r="J123" s="590"/>
      <c r="K123" s="590"/>
      <c r="L123" s="590"/>
      <c r="M123" s="111"/>
      <c r="N123" s="111"/>
      <c r="O123" s="111"/>
      <c r="P123" s="111"/>
      <c r="Q123" s="111"/>
      <c r="R123" s="111"/>
      <c r="S123" s="111"/>
      <c r="T123" s="590"/>
      <c r="U123" s="590"/>
      <c r="V123" s="590"/>
      <c r="W123" s="590"/>
      <c r="X123" s="590"/>
      <c r="Y123" s="590"/>
      <c r="Z123" s="590"/>
      <c r="AA123" s="590"/>
      <c r="AB123" s="590"/>
      <c r="AC123" s="590"/>
      <c r="AD123" s="590"/>
      <c r="AE123" s="590"/>
      <c r="AF123" s="590"/>
      <c r="AG123" s="590"/>
      <c r="AH123" s="590"/>
      <c r="AI123" s="590"/>
      <c r="AJ123" s="590"/>
      <c r="AK123" s="590"/>
      <c r="AL123" s="590"/>
      <c r="AM123" s="590"/>
      <c r="AN123" s="590"/>
      <c r="AO123" s="590"/>
      <c r="AP123" s="590"/>
      <c r="AQ123" s="590"/>
      <c r="AR123" s="590"/>
      <c r="AS123" s="590"/>
      <c r="AT123" s="590"/>
      <c r="AU123" s="590"/>
      <c r="AV123" s="590"/>
      <c r="AW123" s="590"/>
      <c r="AX123" s="590"/>
      <c r="AY123" s="590"/>
      <c r="AZ123" s="590"/>
      <c r="BA123" s="590"/>
      <c r="BB123" s="590"/>
      <c r="BC123" s="590"/>
      <c r="BD123" s="590"/>
      <c r="BE123" s="590"/>
      <c r="BF123" s="590"/>
      <c r="BG123" s="590"/>
      <c r="BH123" s="590"/>
      <c r="BI123" s="590"/>
      <c r="BJ123" s="590"/>
      <c r="BK123" s="590"/>
      <c r="BL123" s="590"/>
      <c r="BM123" s="590"/>
      <c r="BN123" s="590"/>
      <c r="BO123" s="590"/>
      <c r="BP123" s="590"/>
      <c r="BQ123" s="590"/>
      <c r="BR123" s="590"/>
      <c r="BS123" s="590"/>
      <c r="BT123" s="590"/>
      <c r="BU123" s="590"/>
      <c r="BV123" s="590"/>
      <c r="BW123" s="590"/>
      <c r="BX123" s="590"/>
      <c r="BY123" s="590"/>
      <c r="BZ123" s="590"/>
      <c r="CA123" s="590"/>
      <c r="CB123" s="590"/>
      <c r="CC123" s="590"/>
      <c r="CD123" s="590"/>
      <c r="CE123" s="590"/>
      <c r="CF123" s="590"/>
      <c r="CG123" s="590"/>
      <c r="CH123" s="590"/>
      <c r="CI123" s="590"/>
      <c r="CJ123" s="590"/>
      <c r="CK123" s="590"/>
      <c r="CL123" s="590"/>
      <c r="CM123" s="590"/>
      <c r="CN123" s="590"/>
      <c r="CO123" s="590"/>
      <c r="CP123" s="590"/>
      <c r="CQ123" s="590"/>
      <c r="CR123" s="590"/>
      <c r="CS123" s="590"/>
      <c r="CT123" s="590"/>
    </row>
    <row r="124" spans="1:98" hidden="1" x14ac:dyDescent="0.2">
      <c r="A124" s="590"/>
      <c r="B124" s="1807" t="str">
        <f t="shared" si="66"/>
        <v>PP 2</v>
      </c>
      <c r="C124" s="590"/>
      <c r="D124" s="1807" t="str">
        <f t="shared" si="65"/>
        <v>InterS. Rg</v>
      </c>
      <c r="E124" s="590"/>
      <c r="F124" s="590"/>
      <c r="G124" s="590"/>
      <c r="H124" s="590"/>
      <c r="I124" s="590"/>
      <c r="J124" s="590"/>
      <c r="K124" s="590"/>
      <c r="L124" s="590"/>
      <c r="M124" s="111"/>
      <c r="N124" s="111"/>
      <c r="O124" s="111"/>
      <c r="P124" s="111"/>
      <c r="Q124" s="111"/>
      <c r="R124" s="111"/>
      <c r="S124" s="111"/>
      <c r="T124" s="590"/>
      <c r="U124" s="590"/>
      <c r="V124" s="590"/>
      <c r="W124" s="590"/>
      <c r="X124" s="590"/>
      <c r="Y124" s="590"/>
      <c r="Z124" s="590"/>
      <c r="AA124" s="590"/>
      <c r="AB124" s="590"/>
      <c r="AC124" s="590"/>
      <c r="AD124" s="590"/>
      <c r="AE124" s="590"/>
      <c r="AF124" s="590"/>
      <c r="AG124" s="590"/>
      <c r="AH124" s="590"/>
      <c r="AI124" s="590"/>
      <c r="AJ124" s="590"/>
      <c r="AK124" s="590"/>
      <c r="AL124" s="590"/>
      <c r="AM124" s="590"/>
      <c r="AN124" s="590"/>
      <c r="AO124" s="590"/>
      <c r="AP124" s="590"/>
      <c r="AQ124" s="590"/>
      <c r="AR124" s="590"/>
      <c r="AS124" s="590"/>
      <c r="AT124" s="590"/>
      <c r="AU124" s="590"/>
      <c r="AV124" s="590"/>
      <c r="AW124" s="590"/>
      <c r="AX124" s="590"/>
      <c r="AY124" s="590"/>
      <c r="AZ124" s="590"/>
      <c r="BA124" s="590"/>
      <c r="BB124" s="590"/>
      <c r="BC124" s="590"/>
      <c r="BD124" s="590"/>
      <c r="BE124" s="590"/>
      <c r="BF124" s="590"/>
      <c r="BG124" s="590"/>
      <c r="BH124" s="590"/>
      <c r="BI124" s="590"/>
      <c r="BJ124" s="590"/>
      <c r="BK124" s="590"/>
      <c r="BL124" s="590"/>
      <c r="BM124" s="590"/>
      <c r="BN124" s="590"/>
      <c r="BO124" s="590"/>
      <c r="BP124" s="590"/>
      <c r="BQ124" s="590"/>
      <c r="BR124" s="590"/>
      <c r="BS124" s="590"/>
      <c r="BT124" s="590"/>
      <c r="BU124" s="590"/>
      <c r="BV124" s="590"/>
      <c r="BW124" s="590"/>
      <c r="BX124" s="590"/>
      <c r="BY124" s="590"/>
      <c r="BZ124" s="590"/>
      <c r="CA124" s="590"/>
      <c r="CB124" s="590"/>
      <c r="CC124" s="590"/>
      <c r="CD124" s="590"/>
      <c r="CE124" s="590"/>
      <c r="CF124" s="590"/>
      <c r="CG124" s="590"/>
      <c r="CH124" s="590"/>
      <c r="CI124" s="590"/>
      <c r="CJ124" s="590"/>
      <c r="CK124" s="590"/>
      <c r="CL124" s="590"/>
      <c r="CM124" s="590"/>
      <c r="CN124" s="590"/>
      <c r="CO124" s="590"/>
      <c r="CP124" s="590"/>
      <c r="CQ124" s="590"/>
      <c r="CR124" s="590"/>
      <c r="CS124" s="590"/>
      <c r="CT124" s="590"/>
    </row>
    <row r="125" spans="1:98" hidden="1" x14ac:dyDescent="0.2">
      <c r="A125" s="590"/>
      <c r="B125" s="1807" t="str">
        <f t="shared" si="66"/>
        <v>PP 3</v>
      </c>
      <c r="C125" s="590"/>
      <c r="D125" s="1807">
        <f t="shared" si="65"/>
        <v>0</v>
      </c>
      <c r="E125" s="590"/>
      <c r="F125" s="590"/>
      <c r="G125" s="590"/>
      <c r="H125" s="590"/>
      <c r="I125" s="590"/>
      <c r="J125" s="590"/>
      <c r="K125" s="590"/>
      <c r="L125" s="590"/>
      <c r="M125" s="111"/>
      <c r="N125" s="111"/>
      <c r="O125" s="111"/>
      <c r="P125" s="111"/>
      <c r="Q125" s="111"/>
      <c r="R125" s="111"/>
      <c r="S125" s="111"/>
      <c r="T125" s="590"/>
      <c r="U125" s="590"/>
      <c r="V125" s="590"/>
      <c r="W125" s="590"/>
      <c r="X125" s="590"/>
      <c r="Y125" s="590"/>
      <c r="Z125" s="590"/>
      <c r="AA125" s="590"/>
      <c r="AB125" s="590"/>
      <c r="AC125" s="590"/>
      <c r="AD125" s="590"/>
      <c r="AE125" s="590"/>
      <c r="AF125" s="590"/>
      <c r="AG125" s="590"/>
      <c r="AH125" s="590"/>
      <c r="AI125" s="590"/>
      <c r="AJ125" s="590"/>
      <c r="AK125" s="590"/>
      <c r="AL125" s="590"/>
      <c r="AM125" s="590"/>
      <c r="AN125" s="590"/>
      <c r="AO125" s="590"/>
      <c r="AP125" s="590"/>
      <c r="AQ125" s="590"/>
      <c r="AR125" s="590"/>
      <c r="AS125" s="590"/>
      <c r="AT125" s="590"/>
      <c r="AU125" s="590"/>
      <c r="AV125" s="590"/>
      <c r="AW125" s="590"/>
      <c r="AX125" s="590"/>
      <c r="AY125" s="590"/>
      <c r="AZ125" s="590"/>
      <c r="BA125" s="590"/>
      <c r="BB125" s="590"/>
      <c r="BC125" s="590"/>
      <c r="BD125" s="590"/>
      <c r="BE125" s="590"/>
      <c r="BF125" s="590"/>
      <c r="BG125" s="590"/>
      <c r="BH125" s="590"/>
      <c r="BI125" s="590"/>
      <c r="BJ125" s="590"/>
      <c r="BK125" s="590"/>
      <c r="BL125" s="590"/>
      <c r="BM125" s="590"/>
      <c r="BN125" s="590"/>
      <c r="BO125" s="590"/>
      <c r="BP125" s="590"/>
      <c r="BQ125" s="590"/>
      <c r="BR125" s="590"/>
      <c r="BS125" s="590"/>
      <c r="BT125" s="590"/>
      <c r="BU125" s="590"/>
      <c r="BV125" s="590"/>
      <c r="BW125" s="590"/>
      <c r="BX125" s="590"/>
      <c r="BY125" s="590"/>
      <c r="BZ125" s="590"/>
      <c r="CA125" s="590"/>
      <c r="CB125" s="590"/>
      <c r="CC125" s="590"/>
      <c r="CD125" s="590"/>
      <c r="CE125" s="590"/>
      <c r="CF125" s="590"/>
      <c r="CG125" s="590"/>
      <c r="CH125" s="590"/>
      <c r="CI125" s="590"/>
      <c r="CJ125" s="590"/>
      <c r="CK125" s="590"/>
      <c r="CL125" s="590"/>
      <c r="CM125" s="590"/>
      <c r="CN125" s="590"/>
      <c r="CO125" s="590"/>
      <c r="CP125" s="590"/>
      <c r="CQ125" s="590"/>
      <c r="CR125" s="590"/>
      <c r="CS125" s="590"/>
      <c r="CT125" s="590"/>
    </row>
    <row r="126" spans="1:98" hidden="1" x14ac:dyDescent="0.2">
      <c r="A126" s="590"/>
      <c r="B126" s="1807" t="str">
        <f t="shared" si="66"/>
        <v>PP 4</v>
      </c>
      <c r="C126" s="590"/>
      <c r="D126" s="1807">
        <f t="shared" si="65"/>
        <v>0</v>
      </c>
      <c r="E126" s="590"/>
      <c r="F126" s="590"/>
      <c r="G126" s="590"/>
      <c r="H126" s="590"/>
      <c r="I126" s="590"/>
      <c r="J126" s="590"/>
      <c r="K126" s="590"/>
      <c r="L126" s="590"/>
      <c r="M126" s="111"/>
      <c r="N126" s="111"/>
      <c r="O126" s="111"/>
      <c r="P126" s="111"/>
      <c r="Q126" s="111"/>
      <c r="R126" s="111"/>
      <c r="S126" s="111"/>
      <c r="T126" s="590"/>
      <c r="U126" s="590"/>
      <c r="V126" s="590"/>
      <c r="W126" s="590"/>
      <c r="X126" s="590"/>
      <c r="Y126" s="590"/>
      <c r="Z126" s="590"/>
      <c r="AA126" s="590"/>
      <c r="AB126" s="590"/>
      <c r="AC126" s="590"/>
      <c r="AD126" s="590"/>
      <c r="AE126" s="590"/>
      <c r="AF126" s="590"/>
      <c r="AG126" s="590"/>
      <c r="AH126" s="590"/>
      <c r="AI126" s="590"/>
      <c r="AJ126" s="590"/>
      <c r="AK126" s="590"/>
      <c r="AL126" s="590"/>
      <c r="AM126" s="590"/>
      <c r="AN126" s="590"/>
      <c r="AO126" s="590"/>
      <c r="AP126" s="590"/>
      <c r="AQ126" s="590"/>
      <c r="AR126" s="590"/>
      <c r="AS126" s="590"/>
      <c r="AT126" s="590"/>
      <c r="AU126" s="590"/>
      <c r="AV126" s="590"/>
      <c r="AW126" s="590"/>
      <c r="AX126" s="590"/>
      <c r="AY126" s="590"/>
      <c r="AZ126" s="590"/>
      <c r="BA126" s="590"/>
      <c r="BB126" s="590"/>
      <c r="BC126" s="590"/>
      <c r="BD126" s="590"/>
      <c r="BE126" s="590"/>
      <c r="BF126" s="590"/>
      <c r="BG126" s="590"/>
      <c r="BH126" s="590"/>
      <c r="BI126" s="590"/>
      <c r="BJ126" s="590"/>
      <c r="BK126" s="590"/>
      <c r="BL126" s="590"/>
      <c r="BM126" s="590"/>
      <c r="BN126" s="590"/>
      <c r="BO126" s="590"/>
      <c r="BP126" s="590"/>
      <c r="BQ126" s="590"/>
      <c r="BR126" s="590"/>
      <c r="BS126" s="590"/>
      <c r="BT126" s="590"/>
      <c r="BU126" s="590"/>
      <c r="BV126" s="590"/>
      <c r="BW126" s="590"/>
      <c r="BX126" s="590"/>
      <c r="BY126" s="590"/>
      <c r="BZ126" s="590"/>
      <c r="CA126" s="590"/>
      <c r="CB126" s="590"/>
      <c r="CC126" s="590"/>
      <c r="CD126" s="590"/>
      <c r="CE126" s="590"/>
      <c r="CF126" s="590"/>
      <c r="CG126" s="590"/>
      <c r="CH126" s="590"/>
      <c r="CI126" s="590"/>
      <c r="CJ126" s="590"/>
      <c r="CK126" s="590"/>
      <c r="CL126" s="590"/>
      <c r="CM126" s="590"/>
      <c r="CN126" s="590"/>
      <c r="CO126" s="590"/>
      <c r="CP126" s="590"/>
      <c r="CQ126" s="590"/>
      <c r="CR126" s="590"/>
      <c r="CS126" s="590"/>
      <c r="CT126" s="590"/>
    </row>
    <row r="127" spans="1:98" hidden="1" x14ac:dyDescent="0.2">
      <c r="A127" s="590"/>
      <c r="B127" s="1807" t="str">
        <f t="shared" si="66"/>
        <v>Prad 2</v>
      </c>
      <c r="C127" s="590"/>
      <c r="D127" s="1807" t="str">
        <f t="shared" si="65"/>
        <v>Sorgo Forrajero</v>
      </c>
      <c r="E127" s="590"/>
      <c r="F127" s="590"/>
      <c r="G127" s="590"/>
      <c r="H127" s="590"/>
      <c r="I127" s="590"/>
      <c r="J127" s="590"/>
      <c r="K127" s="590"/>
      <c r="L127" s="590"/>
      <c r="M127" s="111"/>
      <c r="N127" s="111"/>
      <c r="O127" s="111"/>
      <c r="P127" s="111"/>
      <c r="Q127" s="111"/>
      <c r="R127" s="111"/>
      <c r="S127" s="111"/>
      <c r="T127" s="590"/>
      <c r="U127" s="590"/>
      <c r="V127" s="590"/>
      <c r="W127" s="590"/>
      <c r="X127" s="590"/>
      <c r="Y127" s="590"/>
      <c r="Z127" s="590"/>
      <c r="AA127" s="590"/>
      <c r="AB127" s="590"/>
      <c r="AC127" s="590"/>
      <c r="AD127" s="590"/>
      <c r="AE127" s="590"/>
      <c r="AF127" s="590"/>
      <c r="AG127" s="590"/>
      <c r="AH127" s="590"/>
      <c r="AI127" s="590"/>
      <c r="AJ127" s="590"/>
      <c r="AK127" s="590"/>
      <c r="AL127" s="590"/>
      <c r="AM127" s="590"/>
      <c r="AN127" s="590"/>
      <c r="AO127" s="590"/>
      <c r="AP127" s="590"/>
      <c r="AQ127" s="590"/>
      <c r="AR127" s="590"/>
      <c r="AS127" s="590"/>
      <c r="AT127" s="590"/>
      <c r="AU127" s="590"/>
      <c r="AV127" s="590"/>
      <c r="AW127" s="590"/>
      <c r="AX127" s="590"/>
      <c r="AY127" s="590"/>
      <c r="AZ127" s="590"/>
      <c r="BA127" s="590"/>
      <c r="BB127" s="590"/>
      <c r="BC127" s="590"/>
      <c r="BD127" s="590"/>
      <c r="BE127" s="590"/>
      <c r="BF127" s="590"/>
      <c r="BG127" s="590"/>
      <c r="BH127" s="590"/>
      <c r="BI127" s="590"/>
      <c r="BJ127" s="590"/>
      <c r="BK127" s="590"/>
      <c r="BL127" s="590"/>
      <c r="BM127" s="590"/>
      <c r="BN127" s="590"/>
      <c r="BO127" s="590"/>
      <c r="BP127" s="590"/>
      <c r="BQ127" s="590"/>
      <c r="BR127" s="590"/>
      <c r="BS127" s="590"/>
      <c r="BT127" s="590"/>
      <c r="BU127" s="590"/>
      <c r="BV127" s="590"/>
      <c r="BW127" s="590"/>
      <c r="BX127" s="590"/>
      <c r="BY127" s="590"/>
      <c r="BZ127" s="590"/>
      <c r="CA127" s="590"/>
      <c r="CB127" s="590"/>
      <c r="CC127" s="590"/>
      <c r="CD127" s="590"/>
      <c r="CE127" s="590"/>
      <c r="CF127" s="590"/>
      <c r="CG127" s="590"/>
      <c r="CH127" s="590"/>
      <c r="CI127" s="590"/>
      <c r="CJ127" s="590"/>
      <c r="CK127" s="590"/>
      <c r="CL127" s="590"/>
      <c r="CM127" s="590"/>
      <c r="CN127" s="590"/>
      <c r="CO127" s="590"/>
      <c r="CP127" s="590"/>
      <c r="CQ127" s="590"/>
      <c r="CR127" s="590"/>
      <c r="CS127" s="590"/>
      <c r="CT127" s="590"/>
    </row>
    <row r="128" spans="1:98" hidden="1" x14ac:dyDescent="0.2">
      <c r="A128" s="590"/>
      <c r="B128" s="1807" t="str">
        <f t="shared" si="66"/>
        <v>Prad 3</v>
      </c>
      <c r="C128" s="590"/>
      <c r="D128" s="1807" t="str">
        <f t="shared" si="65"/>
        <v xml:space="preserve">Sudan </v>
      </c>
      <c r="E128" s="590"/>
      <c r="F128" s="590"/>
      <c r="G128" s="590"/>
      <c r="H128" s="590"/>
      <c r="I128" s="590"/>
      <c r="J128" s="590"/>
      <c r="K128" s="590"/>
      <c r="L128" s="590"/>
      <c r="M128" s="111"/>
      <c r="N128" s="111"/>
      <c r="O128" s="111"/>
      <c r="P128" s="111"/>
      <c r="Q128" s="111"/>
      <c r="R128" s="111"/>
      <c r="S128" s="111"/>
      <c r="T128" s="590"/>
      <c r="U128" s="590"/>
      <c r="V128" s="590"/>
      <c r="W128" s="590"/>
      <c r="X128" s="590"/>
      <c r="Y128" s="590"/>
      <c r="Z128" s="590"/>
      <c r="AA128" s="590"/>
      <c r="AB128" s="590"/>
      <c r="AC128" s="590"/>
      <c r="AD128" s="590"/>
      <c r="AE128" s="590"/>
      <c r="AF128" s="590"/>
      <c r="AG128" s="590"/>
      <c r="AH128" s="590"/>
      <c r="AI128" s="590"/>
      <c r="AJ128" s="590"/>
      <c r="AK128" s="590"/>
      <c r="AL128" s="590"/>
      <c r="AM128" s="590"/>
      <c r="AN128" s="590"/>
      <c r="AO128" s="590"/>
      <c r="AP128" s="590"/>
      <c r="AQ128" s="590"/>
      <c r="AR128" s="590"/>
      <c r="AS128" s="590"/>
      <c r="AT128" s="590"/>
      <c r="AU128" s="590"/>
      <c r="AV128" s="590"/>
      <c r="AW128" s="590"/>
      <c r="AX128" s="590"/>
      <c r="AY128" s="590"/>
      <c r="AZ128" s="590"/>
      <c r="BA128" s="590"/>
      <c r="BB128" s="590"/>
      <c r="BC128" s="590"/>
      <c r="BD128" s="590"/>
      <c r="BE128" s="590"/>
      <c r="BF128" s="590"/>
      <c r="BG128" s="590"/>
      <c r="BH128" s="590"/>
      <c r="BI128" s="590"/>
      <c r="BJ128" s="590"/>
      <c r="BK128" s="590"/>
      <c r="BL128" s="590"/>
      <c r="BM128" s="590"/>
      <c r="BN128" s="590"/>
      <c r="BO128" s="590"/>
      <c r="BP128" s="590"/>
      <c r="BQ128" s="590"/>
      <c r="BR128" s="590"/>
      <c r="BS128" s="590"/>
      <c r="BT128" s="590"/>
      <c r="BU128" s="590"/>
      <c r="BV128" s="590"/>
      <c r="BW128" s="590"/>
      <c r="BX128" s="590"/>
      <c r="BY128" s="590"/>
      <c r="BZ128" s="590"/>
      <c r="CA128" s="590"/>
      <c r="CB128" s="590"/>
      <c r="CC128" s="590"/>
      <c r="CD128" s="590"/>
      <c r="CE128" s="590"/>
      <c r="CF128" s="590"/>
      <c r="CG128" s="590"/>
      <c r="CH128" s="590"/>
      <c r="CI128" s="590"/>
      <c r="CJ128" s="590"/>
      <c r="CK128" s="590"/>
      <c r="CL128" s="590"/>
      <c r="CM128" s="590"/>
      <c r="CN128" s="590"/>
      <c r="CO128" s="590"/>
      <c r="CP128" s="590"/>
      <c r="CQ128" s="590"/>
      <c r="CR128" s="590"/>
      <c r="CS128" s="590"/>
      <c r="CT128" s="590"/>
    </row>
    <row r="129" spans="1:98" hidden="1" x14ac:dyDescent="0.2">
      <c r="A129" s="590"/>
      <c r="B129" s="1807" t="str">
        <f t="shared" si="66"/>
        <v>Prad 4</v>
      </c>
      <c r="C129" s="590"/>
      <c r="D129" s="1807">
        <f t="shared" si="65"/>
        <v>0</v>
      </c>
      <c r="E129" s="590"/>
      <c r="F129" s="590"/>
      <c r="G129" s="590"/>
      <c r="H129" s="590"/>
      <c r="I129" s="590"/>
      <c r="J129" s="590"/>
      <c r="K129" s="590"/>
      <c r="L129" s="590"/>
      <c r="M129" s="111"/>
      <c r="N129" s="111"/>
      <c r="O129" s="111"/>
      <c r="P129" s="111"/>
      <c r="Q129" s="111"/>
      <c r="R129" s="111"/>
      <c r="S129" s="111"/>
      <c r="T129" s="590"/>
      <c r="U129" s="590"/>
      <c r="V129" s="590"/>
      <c r="W129" s="590"/>
      <c r="X129" s="590"/>
      <c r="Y129" s="590"/>
      <c r="Z129" s="590"/>
      <c r="AA129" s="590"/>
      <c r="AB129" s="590"/>
      <c r="AC129" s="590"/>
      <c r="AD129" s="590"/>
      <c r="AE129" s="590"/>
      <c r="AF129" s="590"/>
      <c r="AG129" s="590"/>
      <c r="AH129" s="590"/>
      <c r="AI129" s="590"/>
      <c r="AJ129" s="590"/>
      <c r="AK129" s="590"/>
      <c r="AL129" s="590"/>
      <c r="AM129" s="590"/>
      <c r="AN129" s="590"/>
      <c r="AO129" s="590"/>
      <c r="AP129" s="590"/>
      <c r="AQ129" s="590"/>
      <c r="AR129" s="590"/>
      <c r="AS129" s="590"/>
      <c r="AT129" s="590"/>
      <c r="AU129" s="590"/>
      <c r="AV129" s="590"/>
      <c r="AW129" s="590"/>
      <c r="AX129" s="590"/>
      <c r="AY129" s="590"/>
      <c r="AZ129" s="590"/>
      <c r="BA129" s="590"/>
      <c r="BB129" s="590"/>
      <c r="BC129" s="590"/>
      <c r="BD129" s="590"/>
      <c r="BE129" s="590"/>
      <c r="BF129" s="590"/>
      <c r="BG129" s="590"/>
      <c r="BH129" s="590"/>
      <c r="BI129" s="590"/>
      <c r="BJ129" s="590"/>
      <c r="BK129" s="590"/>
      <c r="BL129" s="590"/>
      <c r="BM129" s="590"/>
      <c r="BN129" s="590"/>
      <c r="BO129" s="590"/>
      <c r="BP129" s="590"/>
      <c r="BQ129" s="590"/>
      <c r="BR129" s="590"/>
      <c r="BS129" s="590"/>
      <c r="BT129" s="590"/>
      <c r="BU129" s="590"/>
      <c r="BV129" s="590"/>
      <c r="BW129" s="590"/>
      <c r="BX129" s="590"/>
      <c r="BY129" s="590"/>
      <c r="BZ129" s="590"/>
      <c r="CA129" s="590"/>
      <c r="CB129" s="590"/>
      <c r="CC129" s="590"/>
      <c r="CD129" s="590"/>
      <c r="CE129" s="590"/>
      <c r="CF129" s="590"/>
      <c r="CG129" s="590"/>
      <c r="CH129" s="590"/>
      <c r="CI129" s="590"/>
      <c r="CJ129" s="590"/>
      <c r="CK129" s="590"/>
      <c r="CL129" s="590"/>
      <c r="CM129" s="590"/>
      <c r="CN129" s="590"/>
      <c r="CO129" s="590"/>
      <c r="CP129" s="590"/>
      <c r="CQ129" s="590"/>
      <c r="CR129" s="590"/>
      <c r="CS129" s="590"/>
      <c r="CT129" s="590"/>
    </row>
    <row r="130" spans="1:98" hidden="1" x14ac:dyDescent="0.2">
      <c r="A130" s="590"/>
      <c r="B130" s="1807" t="str">
        <f t="shared" si="66"/>
        <v>Trébol Rojo 2</v>
      </c>
      <c r="C130" s="590"/>
      <c r="D130" s="1807">
        <f t="shared" si="65"/>
        <v>0</v>
      </c>
      <c r="E130" s="590"/>
      <c r="F130" s="590"/>
      <c r="G130" s="590"/>
      <c r="H130" s="590"/>
      <c r="I130" s="590"/>
      <c r="J130" s="590"/>
      <c r="K130" s="590"/>
      <c r="L130" s="590"/>
      <c r="M130" s="111"/>
      <c r="N130" s="111"/>
      <c r="O130" s="111"/>
      <c r="P130" s="111"/>
      <c r="Q130" s="111"/>
      <c r="R130" s="111"/>
      <c r="S130" s="111"/>
      <c r="T130" s="590"/>
      <c r="U130" s="590"/>
      <c r="V130" s="590"/>
      <c r="W130" s="590"/>
      <c r="X130" s="590"/>
      <c r="Y130" s="590"/>
      <c r="Z130" s="590"/>
      <c r="AA130" s="590"/>
      <c r="AB130" s="590"/>
      <c r="AC130" s="590"/>
      <c r="AD130" s="590"/>
      <c r="AE130" s="590"/>
      <c r="AF130" s="590"/>
      <c r="AG130" s="590"/>
      <c r="AH130" s="590"/>
      <c r="AI130" s="590"/>
      <c r="AJ130" s="590"/>
      <c r="AK130" s="590"/>
      <c r="AL130" s="590"/>
      <c r="AM130" s="590"/>
      <c r="AN130" s="590"/>
      <c r="AO130" s="590"/>
      <c r="AP130" s="590"/>
      <c r="AQ130" s="590"/>
      <c r="AR130" s="590"/>
      <c r="AS130" s="590"/>
      <c r="AT130" s="590"/>
      <c r="AU130" s="590"/>
      <c r="AV130" s="590"/>
      <c r="AW130" s="590"/>
      <c r="AX130" s="590"/>
      <c r="AY130" s="590"/>
      <c r="AZ130" s="590"/>
      <c r="BA130" s="590"/>
      <c r="BB130" s="590"/>
      <c r="BC130" s="590"/>
      <c r="BD130" s="590"/>
      <c r="BE130" s="590"/>
      <c r="BF130" s="590"/>
      <c r="BG130" s="590"/>
      <c r="BH130" s="590"/>
      <c r="BI130" s="590"/>
      <c r="BJ130" s="590"/>
      <c r="BK130" s="590"/>
      <c r="BL130" s="590"/>
      <c r="BM130" s="590"/>
      <c r="BN130" s="590"/>
      <c r="BO130" s="590"/>
      <c r="BP130" s="590"/>
      <c r="BQ130" s="590"/>
      <c r="BR130" s="590"/>
      <c r="BS130" s="590"/>
      <c r="BT130" s="590"/>
      <c r="BU130" s="590"/>
      <c r="BV130" s="590"/>
      <c r="BW130" s="590"/>
      <c r="BX130" s="590"/>
      <c r="BY130" s="590"/>
      <c r="BZ130" s="590"/>
      <c r="CA130" s="590"/>
      <c r="CB130" s="590"/>
      <c r="CC130" s="590"/>
      <c r="CD130" s="590"/>
      <c r="CE130" s="590"/>
      <c r="CF130" s="590"/>
      <c r="CG130" s="590"/>
      <c r="CH130" s="590"/>
      <c r="CI130" s="590"/>
      <c r="CJ130" s="590"/>
      <c r="CK130" s="590"/>
      <c r="CL130" s="590"/>
      <c r="CM130" s="590"/>
      <c r="CN130" s="590"/>
      <c r="CO130" s="590"/>
      <c r="CP130" s="590"/>
      <c r="CQ130" s="590"/>
      <c r="CR130" s="590"/>
      <c r="CS130" s="590"/>
      <c r="CT130" s="590"/>
    </row>
    <row r="131" spans="1:98" hidden="1" x14ac:dyDescent="0.2">
      <c r="A131" s="590"/>
      <c r="B131" s="1807" t="str">
        <f t="shared" si="66"/>
        <v>Trébol Rojo 3</v>
      </c>
      <c r="C131" s="590"/>
      <c r="D131" s="1807">
        <f t="shared" si="65"/>
        <v>0</v>
      </c>
      <c r="E131" s="590"/>
      <c r="F131" s="590"/>
      <c r="G131" s="590"/>
      <c r="H131" s="590"/>
      <c r="I131" s="590"/>
      <c r="J131" s="590"/>
      <c r="K131" s="590"/>
      <c r="L131" s="590"/>
      <c r="M131" s="111"/>
      <c r="N131" s="111"/>
      <c r="O131" s="111"/>
      <c r="P131" s="111"/>
      <c r="Q131" s="111"/>
      <c r="R131" s="111"/>
      <c r="S131" s="111"/>
      <c r="T131" s="590"/>
      <c r="U131" s="590"/>
      <c r="V131" s="590"/>
      <c r="W131" s="590"/>
      <c r="X131" s="590"/>
      <c r="Y131" s="590"/>
      <c r="Z131" s="590"/>
      <c r="AA131" s="590"/>
      <c r="AB131" s="590"/>
      <c r="AC131" s="590"/>
      <c r="AD131" s="590"/>
      <c r="AE131" s="590"/>
      <c r="AF131" s="590"/>
      <c r="AG131" s="590"/>
      <c r="AH131" s="590"/>
      <c r="AI131" s="590"/>
      <c r="AJ131" s="590"/>
      <c r="AK131" s="590"/>
      <c r="AL131" s="590"/>
      <c r="AM131" s="590"/>
      <c r="AN131" s="590"/>
      <c r="AO131" s="590"/>
      <c r="AP131" s="590"/>
      <c r="AQ131" s="590"/>
      <c r="AR131" s="590"/>
      <c r="AS131" s="590"/>
      <c r="AT131" s="590"/>
      <c r="AU131" s="590"/>
      <c r="AV131" s="590"/>
      <c r="AW131" s="590"/>
      <c r="AX131" s="590"/>
      <c r="AY131" s="590"/>
      <c r="AZ131" s="590"/>
      <c r="BA131" s="590"/>
      <c r="BB131" s="590"/>
      <c r="BC131" s="590"/>
      <c r="BD131" s="590"/>
      <c r="BE131" s="590"/>
      <c r="BF131" s="590"/>
      <c r="BG131" s="590"/>
      <c r="BH131" s="590"/>
      <c r="BI131" s="590"/>
      <c r="BJ131" s="590"/>
      <c r="BK131" s="590"/>
      <c r="BL131" s="590"/>
      <c r="BM131" s="590"/>
      <c r="BN131" s="590"/>
      <c r="BO131" s="590"/>
      <c r="BP131" s="590"/>
      <c r="BQ131" s="590"/>
      <c r="BR131" s="590"/>
      <c r="BS131" s="590"/>
      <c r="BT131" s="590"/>
      <c r="BU131" s="590"/>
      <c r="BV131" s="590"/>
      <c r="BW131" s="590"/>
      <c r="BX131" s="590"/>
      <c r="BY131" s="590"/>
      <c r="BZ131" s="590"/>
      <c r="CA131" s="590"/>
      <c r="CB131" s="590"/>
      <c r="CC131" s="590"/>
      <c r="CD131" s="590"/>
      <c r="CE131" s="590"/>
      <c r="CF131" s="590"/>
      <c r="CG131" s="590"/>
      <c r="CH131" s="590"/>
      <c r="CI131" s="590"/>
      <c r="CJ131" s="590"/>
      <c r="CK131" s="590"/>
      <c r="CL131" s="590"/>
      <c r="CM131" s="590"/>
      <c r="CN131" s="590"/>
      <c r="CO131" s="590"/>
      <c r="CP131" s="590"/>
      <c r="CQ131" s="590"/>
      <c r="CR131" s="590"/>
      <c r="CS131" s="590"/>
      <c r="CT131" s="590"/>
    </row>
    <row r="132" spans="1:98" hidden="1" x14ac:dyDescent="0.2">
      <c r="A132" s="590"/>
      <c r="B132" s="1807" t="str">
        <f t="shared" si="66"/>
        <v>Alfalfa 5</v>
      </c>
      <c r="C132" s="590"/>
      <c r="D132" s="1807" t="str">
        <f t="shared" si="65"/>
        <v>Maíz Silo</v>
      </c>
      <c r="E132" s="590"/>
      <c r="F132" s="590"/>
      <c r="G132" s="590"/>
      <c r="H132" s="590"/>
      <c r="I132" s="590"/>
      <c r="J132" s="590"/>
      <c r="K132" s="590"/>
      <c r="L132" s="590"/>
      <c r="M132" s="111"/>
      <c r="N132" s="111"/>
      <c r="O132" s="111"/>
      <c r="P132" s="111"/>
      <c r="Q132" s="111"/>
      <c r="R132" s="111"/>
      <c r="S132" s="111"/>
      <c r="T132" s="590"/>
      <c r="U132" s="590"/>
      <c r="V132" s="590"/>
      <c r="W132" s="590"/>
      <c r="X132" s="590"/>
      <c r="Y132" s="590"/>
      <c r="Z132" s="590"/>
      <c r="AA132" s="590"/>
      <c r="AB132" s="590"/>
      <c r="AC132" s="590"/>
      <c r="AD132" s="590"/>
      <c r="AE132" s="590"/>
      <c r="AF132" s="590"/>
      <c r="AG132" s="590"/>
      <c r="AH132" s="590"/>
      <c r="AI132" s="590"/>
      <c r="AJ132" s="590"/>
      <c r="AK132" s="590"/>
      <c r="AL132" s="590"/>
      <c r="AM132" s="590"/>
      <c r="AN132" s="590"/>
      <c r="AO132" s="590"/>
      <c r="AP132" s="590"/>
      <c r="AQ132" s="590"/>
      <c r="AR132" s="590"/>
      <c r="AS132" s="590"/>
      <c r="AT132" s="590"/>
      <c r="AU132" s="590"/>
      <c r="AV132" s="590"/>
      <c r="AW132" s="590"/>
      <c r="AX132" s="590"/>
      <c r="AY132" s="590"/>
      <c r="AZ132" s="590"/>
      <c r="BA132" s="590"/>
      <c r="BB132" s="590"/>
      <c r="BC132" s="590"/>
      <c r="BD132" s="590"/>
      <c r="BE132" s="590"/>
      <c r="BF132" s="590"/>
      <c r="BG132" s="590"/>
      <c r="BH132" s="590"/>
      <c r="BI132" s="590"/>
      <c r="BJ132" s="590"/>
      <c r="BK132" s="590"/>
      <c r="BL132" s="590"/>
      <c r="BM132" s="590"/>
      <c r="BN132" s="590"/>
      <c r="BO132" s="590"/>
      <c r="BP132" s="590"/>
      <c r="BQ132" s="590"/>
      <c r="BR132" s="590"/>
      <c r="BS132" s="590"/>
      <c r="BT132" s="590"/>
      <c r="BU132" s="590"/>
      <c r="BV132" s="590"/>
      <c r="BW132" s="590"/>
      <c r="BX132" s="590"/>
      <c r="BY132" s="590"/>
      <c r="BZ132" s="590"/>
      <c r="CA132" s="590"/>
      <c r="CB132" s="590"/>
      <c r="CC132" s="590"/>
      <c r="CD132" s="590"/>
      <c r="CE132" s="590"/>
      <c r="CF132" s="590"/>
      <c r="CG132" s="590"/>
      <c r="CH132" s="590"/>
      <c r="CI132" s="590"/>
      <c r="CJ132" s="590"/>
      <c r="CK132" s="590"/>
      <c r="CL132" s="590"/>
      <c r="CM132" s="590"/>
      <c r="CN132" s="590"/>
      <c r="CO132" s="590"/>
      <c r="CP132" s="590"/>
      <c r="CQ132" s="590"/>
      <c r="CR132" s="590"/>
      <c r="CS132" s="590"/>
      <c r="CT132" s="590"/>
    </row>
    <row r="133" spans="1:98" hidden="1" x14ac:dyDescent="0.2">
      <c r="A133" s="590"/>
      <c r="B133" s="1807" t="str">
        <f t="shared" si="66"/>
        <v>PP 5</v>
      </c>
      <c r="C133" s="590"/>
      <c r="D133" s="1807" t="str">
        <f t="shared" si="65"/>
        <v>Sorgo silo</v>
      </c>
      <c r="E133" s="590"/>
      <c r="F133" s="590"/>
      <c r="G133" s="590"/>
      <c r="H133" s="590"/>
      <c r="I133" s="590"/>
      <c r="J133" s="590"/>
      <c r="K133" s="590"/>
      <c r="L133" s="590"/>
      <c r="M133" s="111"/>
      <c r="N133" s="111"/>
      <c r="O133" s="111"/>
      <c r="P133" s="111"/>
      <c r="Q133" s="111"/>
      <c r="R133" s="111"/>
      <c r="S133" s="111"/>
      <c r="T133" s="590"/>
      <c r="U133" s="590"/>
      <c r="V133" s="590"/>
      <c r="W133" s="590"/>
      <c r="X133" s="590"/>
      <c r="Y133" s="590"/>
      <c r="Z133" s="590"/>
      <c r="AA133" s="590"/>
      <c r="AB133" s="590"/>
      <c r="AC133" s="590"/>
      <c r="AD133" s="590"/>
      <c r="AE133" s="590"/>
      <c r="AF133" s="590"/>
      <c r="AG133" s="590"/>
      <c r="AH133" s="590"/>
      <c r="AI133" s="590"/>
      <c r="AJ133" s="590"/>
      <c r="AK133" s="590"/>
      <c r="AL133" s="590"/>
      <c r="AM133" s="590"/>
      <c r="AN133" s="590"/>
      <c r="AO133" s="590"/>
      <c r="AP133" s="590"/>
      <c r="AQ133" s="590"/>
      <c r="AR133" s="590"/>
      <c r="AS133" s="590"/>
      <c r="AT133" s="590"/>
      <c r="AU133" s="590"/>
      <c r="AV133" s="590"/>
      <c r="AW133" s="590"/>
      <c r="AX133" s="590"/>
      <c r="AY133" s="590"/>
      <c r="AZ133" s="590"/>
      <c r="BA133" s="590"/>
      <c r="BB133" s="590"/>
      <c r="BC133" s="590"/>
      <c r="BD133" s="590"/>
      <c r="BE133" s="590"/>
      <c r="BF133" s="590"/>
      <c r="BG133" s="590"/>
      <c r="BH133" s="590"/>
      <c r="BI133" s="590"/>
      <c r="BJ133" s="590"/>
      <c r="BK133" s="590"/>
      <c r="BL133" s="590"/>
      <c r="BM133" s="590"/>
      <c r="BN133" s="590"/>
      <c r="BO133" s="590"/>
      <c r="BP133" s="590"/>
      <c r="BQ133" s="590"/>
      <c r="BR133" s="590"/>
      <c r="BS133" s="590"/>
      <c r="BT133" s="590"/>
      <c r="BU133" s="590"/>
      <c r="BV133" s="590"/>
      <c r="BW133" s="590"/>
      <c r="BX133" s="590"/>
      <c r="BY133" s="590"/>
      <c r="BZ133" s="590"/>
      <c r="CA133" s="590"/>
      <c r="CB133" s="590"/>
      <c r="CC133" s="590"/>
      <c r="CD133" s="590"/>
      <c r="CE133" s="590"/>
      <c r="CF133" s="590"/>
      <c r="CG133" s="590"/>
      <c r="CH133" s="590"/>
      <c r="CI133" s="590"/>
      <c r="CJ133" s="590"/>
      <c r="CK133" s="590"/>
      <c r="CL133" s="590"/>
      <c r="CM133" s="590"/>
      <c r="CN133" s="590"/>
      <c r="CO133" s="590"/>
      <c r="CP133" s="590"/>
      <c r="CQ133" s="590"/>
      <c r="CR133" s="590"/>
      <c r="CS133" s="590"/>
      <c r="CT133" s="590"/>
    </row>
    <row r="134" spans="1:98" hidden="1" x14ac:dyDescent="0.2">
      <c r="A134" s="590"/>
      <c r="B134" s="1807">
        <f t="shared" si="66"/>
        <v>0</v>
      </c>
      <c r="C134" s="590"/>
      <c r="D134" s="1807" t="str">
        <f t="shared" si="65"/>
        <v>Moha</v>
      </c>
      <c r="E134" s="590"/>
      <c r="F134" s="590"/>
      <c r="G134" s="590"/>
      <c r="H134" s="590"/>
      <c r="I134" s="590"/>
      <c r="J134" s="590"/>
      <c r="K134" s="590"/>
      <c r="L134" s="590"/>
      <c r="M134" s="111"/>
      <c r="N134" s="111"/>
      <c r="O134" s="111"/>
      <c r="P134" s="111"/>
      <c r="Q134" s="111"/>
      <c r="R134" s="111"/>
      <c r="S134" s="111"/>
      <c r="T134" s="590"/>
      <c r="U134" s="590"/>
      <c r="V134" s="590"/>
      <c r="W134" s="590"/>
      <c r="X134" s="590"/>
      <c r="Y134" s="590"/>
      <c r="Z134" s="590"/>
      <c r="AA134" s="590"/>
      <c r="AB134" s="590"/>
      <c r="AC134" s="590"/>
      <c r="AD134" s="590"/>
      <c r="AE134" s="590"/>
      <c r="AF134" s="590"/>
      <c r="AG134" s="590"/>
      <c r="AH134" s="590"/>
      <c r="AI134" s="590"/>
      <c r="AJ134" s="590"/>
      <c r="AK134" s="590"/>
      <c r="AL134" s="590"/>
      <c r="AM134" s="590"/>
      <c r="AN134" s="590"/>
      <c r="AO134" s="590"/>
      <c r="AP134" s="590"/>
      <c r="AQ134" s="590"/>
      <c r="AR134" s="590"/>
      <c r="AS134" s="590"/>
      <c r="AT134" s="590"/>
      <c r="AU134" s="590"/>
      <c r="AV134" s="590"/>
      <c r="AW134" s="590"/>
      <c r="AX134" s="590"/>
      <c r="AY134" s="590"/>
      <c r="AZ134" s="590"/>
      <c r="BA134" s="590"/>
      <c r="BB134" s="590"/>
      <c r="BC134" s="590"/>
      <c r="BD134" s="590"/>
      <c r="BE134" s="590"/>
      <c r="BF134" s="590"/>
      <c r="BG134" s="590"/>
      <c r="BH134" s="590"/>
      <c r="BI134" s="590"/>
      <c r="BJ134" s="590"/>
      <c r="BK134" s="590"/>
      <c r="BL134" s="590"/>
      <c r="BM134" s="590"/>
      <c r="BN134" s="590"/>
      <c r="BO134" s="590"/>
      <c r="BP134" s="590"/>
      <c r="BQ134" s="590"/>
      <c r="BR134" s="590"/>
      <c r="BS134" s="590"/>
      <c r="BT134" s="590"/>
      <c r="BU134" s="590"/>
      <c r="BV134" s="590"/>
      <c r="BW134" s="590"/>
      <c r="BX134" s="590"/>
      <c r="BY134" s="590"/>
      <c r="BZ134" s="590"/>
      <c r="CA134" s="590"/>
      <c r="CB134" s="590"/>
      <c r="CC134" s="590"/>
      <c r="CD134" s="590"/>
      <c r="CE134" s="590"/>
      <c r="CF134" s="590"/>
      <c r="CG134" s="590"/>
      <c r="CH134" s="590"/>
      <c r="CI134" s="590"/>
      <c r="CJ134" s="590"/>
      <c r="CK134" s="590"/>
      <c r="CL134" s="590"/>
      <c r="CM134" s="590"/>
      <c r="CN134" s="590"/>
      <c r="CO134" s="590"/>
      <c r="CP134" s="590"/>
      <c r="CQ134" s="590"/>
      <c r="CR134" s="590"/>
      <c r="CS134" s="590"/>
      <c r="CT134" s="590"/>
    </row>
    <row r="135" spans="1:98" hidden="1" x14ac:dyDescent="0.2">
      <c r="A135" s="590"/>
      <c r="B135" s="1807" t="str">
        <f t="shared" ref="B135:B143" si="67">B36</f>
        <v>Avena</v>
      </c>
      <c r="C135" s="590"/>
      <c r="D135" s="1807" t="str">
        <f t="shared" si="65"/>
        <v>Soja reserva</v>
      </c>
      <c r="E135" s="590"/>
      <c r="F135" s="590"/>
      <c r="G135" s="590"/>
      <c r="H135" s="590"/>
      <c r="I135" s="590"/>
      <c r="J135" s="590"/>
      <c r="K135" s="590"/>
      <c r="L135" s="590"/>
      <c r="M135" s="111"/>
      <c r="N135" s="111"/>
      <c r="O135" s="111"/>
      <c r="P135" s="111"/>
      <c r="Q135" s="111"/>
      <c r="R135" s="111"/>
      <c r="S135" s="111"/>
      <c r="T135" s="590"/>
      <c r="U135" s="590"/>
      <c r="V135" s="590"/>
      <c r="W135" s="590"/>
      <c r="X135" s="590"/>
      <c r="Y135" s="590"/>
      <c r="Z135" s="590"/>
      <c r="AA135" s="590"/>
      <c r="AB135" s="590"/>
      <c r="AC135" s="590"/>
      <c r="AD135" s="590"/>
      <c r="AE135" s="590"/>
      <c r="AF135" s="590"/>
      <c r="AG135" s="590"/>
      <c r="AH135" s="590"/>
      <c r="AI135" s="590"/>
      <c r="AJ135" s="590"/>
      <c r="AK135" s="590"/>
      <c r="AL135" s="590"/>
      <c r="AM135" s="590"/>
      <c r="AN135" s="590"/>
      <c r="AO135" s="590"/>
      <c r="AP135" s="590"/>
      <c r="AQ135" s="590"/>
      <c r="AR135" s="590"/>
      <c r="AS135" s="590"/>
      <c r="AT135" s="590"/>
      <c r="AU135" s="590"/>
      <c r="AV135" s="590"/>
      <c r="AW135" s="590"/>
      <c r="AX135" s="590"/>
      <c r="AY135" s="590"/>
      <c r="AZ135" s="590"/>
      <c r="BA135" s="590"/>
      <c r="BB135" s="590"/>
      <c r="BC135" s="590"/>
      <c r="BD135" s="590"/>
      <c r="BE135" s="590"/>
      <c r="BF135" s="590"/>
      <c r="BG135" s="590"/>
      <c r="BH135" s="590"/>
      <c r="BI135" s="590"/>
      <c r="BJ135" s="590"/>
      <c r="BK135" s="590"/>
      <c r="BL135" s="590"/>
      <c r="BM135" s="590"/>
      <c r="BN135" s="590"/>
      <c r="BO135" s="590"/>
      <c r="BP135" s="590"/>
      <c r="BQ135" s="590"/>
      <c r="BR135" s="590"/>
      <c r="BS135" s="590"/>
      <c r="BT135" s="590"/>
      <c r="BU135" s="590"/>
      <c r="BV135" s="590"/>
      <c r="BW135" s="590"/>
      <c r="BX135" s="590"/>
      <c r="BY135" s="590"/>
      <c r="BZ135" s="590"/>
      <c r="CA135" s="590"/>
      <c r="CB135" s="590"/>
      <c r="CC135" s="590"/>
      <c r="CD135" s="590"/>
      <c r="CE135" s="590"/>
      <c r="CF135" s="590"/>
      <c r="CG135" s="590"/>
      <c r="CH135" s="590"/>
      <c r="CI135" s="590"/>
      <c r="CJ135" s="590"/>
      <c r="CK135" s="590"/>
      <c r="CL135" s="590"/>
      <c r="CM135" s="590"/>
      <c r="CN135" s="590"/>
      <c r="CO135" s="590"/>
      <c r="CP135" s="590"/>
      <c r="CQ135" s="590"/>
      <c r="CR135" s="590"/>
      <c r="CS135" s="590"/>
      <c r="CT135" s="590"/>
    </row>
    <row r="136" spans="1:98" hidden="1" x14ac:dyDescent="0.2">
      <c r="A136" s="590"/>
      <c r="B136" s="1807" t="str">
        <f t="shared" si="67"/>
        <v>Raigrás</v>
      </c>
      <c r="C136" s="590"/>
      <c r="D136" s="1807">
        <f t="shared" si="65"/>
        <v>0</v>
      </c>
      <c r="E136" s="590"/>
      <c r="F136" s="590"/>
      <c r="G136" s="590"/>
      <c r="H136" s="590"/>
      <c r="I136" s="590"/>
      <c r="J136" s="590"/>
      <c r="K136" s="590"/>
      <c r="L136" s="590"/>
      <c r="M136" s="111"/>
      <c r="N136" s="111"/>
      <c r="O136" s="111"/>
      <c r="P136" s="111"/>
      <c r="Q136" s="111"/>
      <c r="R136" s="111"/>
      <c r="S136" s="111"/>
      <c r="T136" s="590"/>
      <c r="U136" s="590"/>
      <c r="V136" s="590"/>
      <c r="W136" s="590"/>
      <c r="X136" s="590"/>
      <c r="Y136" s="590"/>
      <c r="Z136" s="590"/>
      <c r="AA136" s="590"/>
      <c r="AB136" s="590"/>
      <c r="AC136" s="590"/>
      <c r="AD136" s="590"/>
      <c r="AE136" s="590"/>
      <c r="AF136" s="590"/>
      <c r="AG136" s="590"/>
      <c r="AH136" s="590"/>
      <c r="AI136" s="590"/>
      <c r="AJ136" s="590"/>
      <c r="AK136" s="590"/>
      <c r="AL136" s="590"/>
      <c r="AM136" s="590"/>
      <c r="AN136" s="590"/>
      <c r="AO136" s="590"/>
      <c r="AP136" s="590"/>
      <c r="AQ136" s="590"/>
      <c r="AR136" s="590"/>
      <c r="AS136" s="590"/>
      <c r="AT136" s="590"/>
      <c r="AU136" s="590"/>
      <c r="AV136" s="590"/>
      <c r="AW136" s="590"/>
      <c r="AX136" s="590"/>
      <c r="AY136" s="590"/>
      <c r="AZ136" s="590"/>
      <c r="BA136" s="590"/>
      <c r="BB136" s="590"/>
      <c r="BC136" s="590"/>
      <c r="BD136" s="590"/>
      <c r="BE136" s="590"/>
      <c r="BF136" s="590"/>
      <c r="BG136" s="590"/>
      <c r="BH136" s="590"/>
      <c r="BI136" s="590"/>
      <c r="BJ136" s="590"/>
      <c r="BK136" s="590"/>
      <c r="BL136" s="590"/>
      <c r="BM136" s="590"/>
      <c r="BN136" s="590"/>
      <c r="BO136" s="590"/>
      <c r="BP136" s="590"/>
      <c r="BQ136" s="590"/>
      <c r="BR136" s="590"/>
      <c r="BS136" s="590"/>
      <c r="BT136" s="590"/>
      <c r="BU136" s="590"/>
      <c r="BV136" s="590"/>
      <c r="BW136" s="590"/>
      <c r="BX136" s="590"/>
      <c r="BY136" s="590"/>
      <c r="BZ136" s="590"/>
      <c r="CA136" s="590"/>
      <c r="CB136" s="590"/>
      <c r="CC136" s="590"/>
      <c r="CD136" s="590"/>
      <c r="CE136" s="590"/>
      <c r="CF136" s="590"/>
      <c r="CG136" s="590"/>
      <c r="CH136" s="590"/>
      <c r="CI136" s="590"/>
      <c r="CJ136" s="590"/>
      <c r="CK136" s="590"/>
      <c r="CL136" s="590"/>
      <c r="CM136" s="590"/>
      <c r="CN136" s="590"/>
      <c r="CO136" s="590"/>
      <c r="CP136" s="590"/>
      <c r="CQ136" s="590"/>
      <c r="CR136" s="590"/>
      <c r="CS136" s="590"/>
      <c r="CT136" s="590"/>
    </row>
    <row r="137" spans="1:98" hidden="1" x14ac:dyDescent="0.2">
      <c r="A137" s="590"/>
      <c r="B137" s="1807" t="str">
        <f t="shared" si="67"/>
        <v>Av+Rg</v>
      </c>
      <c r="C137" s="590"/>
      <c r="D137" s="1807">
        <f t="shared" si="65"/>
        <v>0</v>
      </c>
      <c r="E137" s="590"/>
      <c r="F137" s="590"/>
      <c r="G137" s="590"/>
      <c r="H137" s="590"/>
      <c r="I137" s="590"/>
      <c r="J137" s="590"/>
      <c r="K137" s="590"/>
      <c r="L137" s="590"/>
      <c r="M137" s="111"/>
      <c r="N137" s="111"/>
      <c r="O137" s="111"/>
      <c r="P137" s="111"/>
      <c r="Q137" s="111"/>
      <c r="R137" s="111"/>
      <c r="S137" s="111"/>
      <c r="T137" s="590"/>
      <c r="U137" s="590"/>
      <c r="V137" s="590"/>
      <c r="W137" s="590"/>
      <c r="X137" s="590"/>
      <c r="Y137" s="590"/>
      <c r="Z137" s="590"/>
      <c r="AA137" s="590"/>
      <c r="AB137" s="590"/>
      <c r="AC137" s="590"/>
      <c r="AD137" s="590"/>
      <c r="AE137" s="590"/>
      <c r="AF137" s="590"/>
      <c r="AG137" s="590"/>
      <c r="AH137" s="590"/>
      <c r="AI137" s="590"/>
      <c r="AJ137" s="590"/>
      <c r="AK137" s="590"/>
      <c r="AL137" s="590"/>
      <c r="AM137" s="590"/>
      <c r="AN137" s="590"/>
      <c r="AO137" s="590"/>
      <c r="AP137" s="590"/>
      <c r="AQ137" s="590"/>
      <c r="AR137" s="590"/>
      <c r="AS137" s="590"/>
      <c r="AT137" s="590"/>
      <c r="AU137" s="590"/>
      <c r="AV137" s="590"/>
      <c r="AW137" s="590"/>
      <c r="AX137" s="590"/>
      <c r="AY137" s="590"/>
      <c r="AZ137" s="590"/>
      <c r="BA137" s="590"/>
      <c r="BB137" s="590"/>
      <c r="BC137" s="590"/>
      <c r="BD137" s="590"/>
      <c r="BE137" s="590"/>
      <c r="BF137" s="590"/>
      <c r="BG137" s="590"/>
      <c r="BH137" s="590"/>
      <c r="BI137" s="590"/>
      <c r="BJ137" s="590"/>
      <c r="BK137" s="590"/>
      <c r="BL137" s="590"/>
      <c r="BM137" s="590"/>
      <c r="BN137" s="590"/>
      <c r="BO137" s="590"/>
      <c r="BP137" s="590"/>
      <c r="BQ137" s="590"/>
      <c r="BR137" s="590"/>
      <c r="BS137" s="590"/>
      <c r="BT137" s="590"/>
      <c r="BU137" s="590"/>
      <c r="BV137" s="590"/>
      <c r="BW137" s="590"/>
      <c r="BX137" s="590"/>
      <c r="BY137" s="590"/>
      <c r="BZ137" s="590"/>
      <c r="CA137" s="590"/>
      <c r="CB137" s="590"/>
      <c r="CC137" s="590"/>
      <c r="CD137" s="590"/>
      <c r="CE137" s="590"/>
      <c r="CF137" s="590"/>
      <c r="CG137" s="590"/>
      <c r="CH137" s="590"/>
      <c r="CI137" s="590"/>
      <c r="CJ137" s="590"/>
      <c r="CK137" s="590"/>
      <c r="CL137" s="590"/>
      <c r="CM137" s="590"/>
      <c r="CN137" s="590"/>
      <c r="CO137" s="590"/>
      <c r="CP137" s="590"/>
      <c r="CQ137" s="590"/>
      <c r="CR137" s="590"/>
      <c r="CS137" s="590"/>
      <c r="CT137" s="590"/>
    </row>
    <row r="138" spans="1:98" hidden="1" x14ac:dyDescent="0.2">
      <c r="A138" s="590"/>
      <c r="B138" s="1807" t="str">
        <f t="shared" si="67"/>
        <v>Rg Ciclo Largo</v>
      </c>
      <c r="C138" s="590"/>
      <c r="D138" s="1807" t="str">
        <f t="shared" si="65"/>
        <v>Avena silo</v>
      </c>
      <c r="E138" s="590"/>
      <c r="F138" s="590"/>
      <c r="G138" s="590"/>
      <c r="H138" s="590"/>
      <c r="I138" s="590"/>
      <c r="J138" s="590"/>
      <c r="K138" s="590"/>
      <c r="L138" s="590"/>
      <c r="M138" s="111"/>
      <c r="N138" s="111"/>
      <c r="O138" s="111"/>
      <c r="P138" s="111"/>
      <c r="Q138" s="111"/>
      <c r="R138" s="111"/>
      <c r="S138" s="111"/>
      <c r="T138" s="590"/>
      <c r="U138" s="590"/>
      <c r="V138" s="590"/>
      <c r="W138" s="590"/>
      <c r="X138" s="590"/>
      <c r="Y138" s="590"/>
      <c r="Z138" s="590"/>
      <c r="AA138" s="590"/>
      <c r="AB138" s="590"/>
      <c r="AC138" s="590"/>
      <c r="AD138" s="590"/>
      <c r="AE138" s="590"/>
      <c r="AF138" s="590"/>
      <c r="AG138" s="590"/>
      <c r="AH138" s="590"/>
      <c r="AI138" s="590"/>
      <c r="AJ138" s="590"/>
      <c r="AK138" s="590"/>
      <c r="AL138" s="590"/>
      <c r="AM138" s="590"/>
      <c r="AN138" s="590"/>
      <c r="AO138" s="590"/>
      <c r="AP138" s="590"/>
      <c r="AQ138" s="590"/>
      <c r="AR138" s="590"/>
      <c r="AS138" s="590"/>
      <c r="AT138" s="590"/>
      <c r="AU138" s="590"/>
      <c r="AV138" s="590"/>
      <c r="AW138" s="590"/>
      <c r="AX138" s="590"/>
      <c r="AY138" s="590"/>
      <c r="AZ138" s="590"/>
      <c r="BA138" s="590"/>
      <c r="BB138" s="590"/>
      <c r="BC138" s="590"/>
      <c r="BD138" s="590"/>
      <c r="BE138" s="590"/>
      <c r="BF138" s="590"/>
      <c r="BG138" s="590"/>
      <c r="BH138" s="590"/>
      <c r="BI138" s="590"/>
      <c r="BJ138" s="590"/>
      <c r="BK138" s="590"/>
      <c r="BL138" s="590"/>
      <c r="BM138" s="590"/>
      <c r="BN138" s="590"/>
      <c r="BO138" s="590"/>
      <c r="BP138" s="590"/>
      <c r="BQ138" s="590"/>
      <c r="BR138" s="590"/>
      <c r="BS138" s="590"/>
      <c r="BT138" s="590"/>
      <c r="BU138" s="590"/>
      <c r="BV138" s="590"/>
      <c r="BW138" s="590"/>
      <c r="BX138" s="590"/>
      <c r="BY138" s="590"/>
      <c r="BZ138" s="590"/>
      <c r="CA138" s="590"/>
      <c r="CB138" s="590"/>
      <c r="CC138" s="590"/>
      <c r="CD138" s="590"/>
      <c r="CE138" s="590"/>
      <c r="CF138" s="590"/>
      <c r="CG138" s="590"/>
      <c r="CH138" s="590"/>
      <c r="CI138" s="590"/>
      <c r="CJ138" s="590"/>
      <c r="CK138" s="590"/>
      <c r="CL138" s="590"/>
      <c r="CM138" s="590"/>
      <c r="CN138" s="590"/>
      <c r="CO138" s="590"/>
      <c r="CP138" s="590"/>
      <c r="CQ138" s="590"/>
      <c r="CR138" s="590"/>
      <c r="CS138" s="590"/>
      <c r="CT138" s="590"/>
    </row>
    <row r="139" spans="1:98" hidden="1" x14ac:dyDescent="0.2">
      <c r="A139" s="590"/>
      <c r="B139" s="1807" t="str">
        <f t="shared" si="67"/>
        <v>Trigo pastoreo</v>
      </c>
      <c r="C139" s="590"/>
      <c r="D139" s="1807" t="str">
        <f>+B156</f>
        <v>Raigrás Silo</v>
      </c>
      <c r="E139" s="590"/>
      <c r="F139" s="590"/>
      <c r="G139" s="590"/>
      <c r="H139" s="590"/>
      <c r="I139" s="590"/>
      <c r="J139" s="590"/>
      <c r="K139" s="590"/>
      <c r="L139" s="590"/>
      <c r="M139" s="111"/>
      <c r="N139" s="111"/>
      <c r="O139" s="111"/>
      <c r="P139" s="111"/>
      <c r="Q139" s="111"/>
      <c r="R139" s="111"/>
      <c r="S139" s="111"/>
      <c r="T139" s="590"/>
      <c r="U139" s="590"/>
      <c r="V139" s="590"/>
      <c r="W139" s="590"/>
      <c r="X139" s="590"/>
      <c r="Y139" s="590"/>
      <c r="Z139" s="590"/>
      <c r="AA139" s="590"/>
      <c r="AB139" s="590"/>
      <c r="AC139" s="590"/>
      <c r="AD139" s="590"/>
      <c r="AE139" s="590"/>
      <c r="AF139" s="590"/>
      <c r="AG139" s="590"/>
      <c r="AH139" s="590"/>
      <c r="AI139" s="590"/>
      <c r="AJ139" s="590"/>
      <c r="AK139" s="590"/>
      <c r="AL139" s="590"/>
      <c r="AM139" s="590"/>
      <c r="AN139" s="590"/>
      <c r="AO139" s="590"/>
      <c r="AP139" s="590"/>
      <c r="AQ139" s="590"/>
      <c r="AR139" s="590"/>
      <c r="AS139" s="590"/>
      <c r="AT139" s="590"/>
      <c r="AU139" s="590"/>
      <c r="AV139" s="590"/>
      <c r="AW139" s="590"/>
      <c r="AX139" s="590"/>
      <c r="AY139" s="590"/>
      <c r="AZ139" s="590"/>
      <c r="BA139" s="590"/>
      <c r="BB139" s="590"/>
      <c r="BC139" s="590"/>
      <c r="BD139" s="590"/>
      <c r="BE139" s="590"/>
      <c r="BF139" s="590"/>
      <c r="BG139" s="590"/>
      <c r="BH139" s="590"/>
      <c r="BI139" s="590"/>
      <c r="BJ139" s="590"/>
      <c r="BK139" s="590"/>
      <c r="BL139" s="590"/>
      <c r="BM139" s="590"/>
      <c r="BN139" s="590"/>
      <c r="BO139" s="590"/>
      <c r="BP139" s="590"/>
      <c r="BQ139" s="590"/>
      <c r="BR139" s="590"/>
      <c r="BS139" s="590"/>
      <c r="BT139" s="590"/>
      <c r="BU139" s="590"/>
      <c r="BV139" s="590"/>
      <c r="BW139" s="590"/>
      <c r="BX139" s="590"/>
      <c r="BY139" s="590"/>
      <c r="BZ139" s="590"/>
      <c r="CA139" s="590"/>
      <c r="CB139" s="590"/>
      <c r="CC139" s="590"/>
      <c r="CD139" s="590"/>
      <c r="CE139" s="590"/>
      <c r="CF139" s="590"/>
      <c r="CG139" s="590"/>
      <c r="CH139" s="590"/>
      <c r="CI139" s="590"/>
      <c r="CJ139" s="590"/>
      <c r="CK139" s="590"/>
      <c r="CL139" s="590"/>
      <c r="CM139" s="590"/>
      <c r="CN139" s="590"/>
      <c r="CO139" s="590"/>
      <c r="CP139" s="590"/>
      <c r="CQ139" s="590"/>
      <c r="CR139" s="590"/>
      <c r="CS139" s="590"/>
      <c r="CT139" s="590"/>
    </row>
    <row r="140" spans="1:98" hidden="1" x14ac:dyDescent="0.2">
      <c r="A140" s="590"/>
      <c r="B140" s="1807" t="str">
        <f t="shared" si="67"/>
        <v>Cebada pastoreo</v>
      </c>
      <c r="C140" s="590"/>
      <c r="D140" s="1807" t="str">
        <f t="shared" si="65"/>
        <v>Ra Silo Cierre Ago</v>
      </c>
      <c r="E140" s="590"/>
      <c r="F140" s="590"/>
      <c r="G140" s="590"/>
      <c r="H140" s="590"/>
      <c r="I140" s="590"/>
      <c r="J140" s="590"/>
      <c r="K140" s="590"/>
      <c r="L140" s="590"/>
      <c r="M140" s="111"/>
      <c r="N140" s="111"/>
      <c r="O140" s="111"/>
      <c r="P140" s="111"/>
      <c r="Q140" s="111"/>
      <c r="R140" s="111"/>
      <c r="S140" s="111"/>
      <c r="T140" s="590"/>
      <c r="U140" s="590"/>
      <c r="V140" s="590"/>
      <c r="W140" s="590"/>
      <c r="X140" s="590"/>
      <c r="Y140" s="590"/>
      <c r="Z140" s="590"/>
      <c r="AA140" s="590"/>
      <c r="AB140" s="590"/>
      <c r="AC140" s="590"/>
      <c r="AD140" s="590"/>
      <c r="AE140" s="590"/>
      <c r="AF140" s="590"/>
      <c r="AG140" s="590"/>
      <c r="AH140" s="590"/>
      <c r="AI140" s="590"/>
      <c r="AJ140" s="590"/>
      <c r="AK140" s="590"/>
      <c r="AL140" s="590"/>
      <c r="AM140" s="590"/>
      <c r="AN140" s="590"/>
      <c r="AO140" s="590"/>
      <c r="AP140" s="590"/>
      <c r="AQ140" s="590"/>
      <c r="AR140" s="590"/>
      <c r="AS140" s="590"/>
      <c r="AT140" s="590"/>
      <c r="AU140" s="590"/>
      <c r="AV140" s="590"/>
      <c r="AW140" s="590"/>
      <c r="AX140" s="590"/>
      <c r="AY140" s="590"/>
      <c r="AZ140" s="590"/>
      <c r="BA140" s="590"/>
      <c r="BB140" s="590"/>
      <c r="BC140" s="590"/>
      <c r="BD140" s="590"/>
      <c r="BE140" s="590"/>
      <c r="BF140" s="590"/>
      <c r="BG140" s="590"/>
      <c r="BH140" s="590"/>
      <c r="BI140" s="590"/>
      <c r="BJ140" s="590"/>
      <c r="BK140" s="590"/>
      <c r="BL140" s="590"/>
      <c r="BM140" s="590"/>
      <c r="BN140" s="590"/>
      <c r="BO140" s="590"/>
      <c r="BP140" s="590"/>
      <c r="BQ140" s="590"/>
      <c r="BR140" s="590"/>
      <c r="BS140" s="590"/>
      <c r="BT140" s="590"/>
      <c r="BU140" s="590"/>
      <c r="BV140" s="590"/>
      <c r="BW140" s="590"/>
      <c r="BX140" s="590"/>
      <c r="BY140" s="590"/>
      <c r="BZ140" s="590"/>
      <c r="CA140" s="590"/>
      <c r="CB140" s="590"/>
      <c r="CC140" s="590"/>
      <c r="CD140" s="590"/>
      <c r="CE140" s="590"/>
      <c r="CF140" s="590"/>
      <c r="CG140" s="590"/>
      <c r="CH140" s="590"/>
      <c r="CI140" s="590"/>
      <c r="CJ140" s="590"/>
      <c r="CK140" s="590"/>
      <c r="CL140" s="590"/>
      <c r="CM140" s="590"/>
      <c r="CN140" s="590"/>
      <c r="CO140" s="590"/>
      <c r="CP140" s="590"/>
      <c r="CQ140" s="590"/>
      <c r="CR140" s="590"/>
      <c r="CS140" s="590"/>
      <c r="CT140" s="590"/>
    </row>
    <row r="141" spans="1:98" hidden="1" x14ac:dyDescent="0.2">
      <c r="A141" s="590"/>
      <c r="B141" s="1807" t="str">
        <f t="shared" si="67"/>
        <v>InterS. Rg</v>
      </c>
      <c r="C141" s="590"/>
      <c r="D141" s="1807">
        <f t="shared" si="65"/>
        <v>0</v>
      </c>
      <c r="E141" s="590"/>
      <c r="F141" s="590"/>
      <c r="G141" s="590"/>
      <c r="H141" s="590"/>
      <c r="I141" s="590"/>
      <c r="J141" s="590"/>
      <c r="K141" s="590"/>
      <c r="L141" s="590"/>
      <c r="M141" s="111"/>
      <c r="N141" s="111"/>
      <c r="O141" s="111"/>
      <c r="P141" s="111"/>
      <c r="Q141" s="111"/>
      <c r="R141" s="111"/>
      <c r="S141" s="111"/>
      <c r="T141" s="590"/>
      <c r="U141" s="590"/>
      <c r="V141" s="590"/>
      <c r="W141" s="590"/>
      <c r="X141" s="590"/>
      <c r="Y141" s="590"/>
      <c r="Z141" s="590"/>
      <c r="AA141" s="590"/>
      <c r="AB141" s="590"/>
      <c r="AC141" s="590"/>
      <c r="AD141" s="590"/>
      <c r="AE141" s="590"/>
      <c r="AF141" s="590"/>
      <c r="AG141" s="590"/>
      <c r="AH141" s="590"/>
      <c r="AI141" s="590"/>
      <c r="AJ141" s="590"/>
      <c r="AK141" s="590"/>
      <c r="AL141" s="590"/>
      <c r="AM141" s="590"/>
      <c r="AN141" s="590"/>
      <c r="AO141" s="590"/>
      <c r="AP141" s="590"/>
      <c r="AQ141" s="590"/>
      <c r="AR141" s="590"/>
      <c r="AS141" s="590"/>
      <c r="AT141" s="590"/>
      <c r="AU141" s="590"/>
      <c r="AV141" s="590"/>
      <c r="AW141" s="590"/>
      <c r="AX141" s="590"/>
      <c r="AY141" s="590"/>
      <c r="AZ141" s="590"/>
      <c r="BA141" s="590"/>
      <c r="BB141" s="590"/>
      <c r="BC141" s="590"/>
      <c r="BD141" s="590"/>
      <c r="BE141" s="590"/>
      <c r="BF141" s="590"/>
      <c r="BG141" s="590"/>
      <c r="BH141" s="590"/>
      <c r="BI141" s="590"/>
      <c r="BJ141" s="590"/>
      <c r="BK141" s="590"/>
      <c r="BL141" s="590"/>
      <c r="BM141" s="590"/>
      <c r="BN141" s="590"/>
      <c r="BO141" s="590"/>
      <c r="BP141" s="590"/>
      <c r="BQ141" s="590"/>
      <c r="BR141" s="590"/>
      <c r="BS141" s="590"/>
      <c r="BT141" s="590"/>
      <c r="BU141" s="590"/>
      <c r="BV141" s="590"/>
      <c r="BW141" s="590"/>
      <c r="BX141" s="590"/>
      <c r="BY141" s="590"/>
      <c r="BZ141" s="590"/>
      <c r="CA141" s="590"/>
      <c r="CB141" s="590"/>
      <c r="CC141" s="590"/>
      <c r="CD141" s="590"/>
      <c r="CE141" s="590"/>
      <c r="CF141" s="590"/>
      <c r="CG141" s="590"/>
      <c r="CH141" s="590"/>
      <c r="CI141" s="590"/>
      <c r="CJ141" s="590"/>
      <c r="CK141" s="590"/>
      <c r="CL141" s="590"/>
      <c r="CM141" s="590"/>
      <c r="CN141" s="590"/>
      <c r="CO141" s="590"/>
      <c r="CP141" s="590"/>
      <c r="CQ141" s="590"/>
      <c r="CR141" s="590"/>
      <c r="CS141" s="590"/>
      <c r="CT141" s="590"/>
    </row>
    <row r="142" spans="1:98" hidden="1" x14ac:dyDescent="0.2">
      <c r="A142" s="590"/>
      <c r="B142" s="1807">
        <f t="shared" si="67"/>
        <v>0</v>
      </c>
      <c r="C142" s="590"/>
      <c r="D142" s="1807">
        <f t="shared" si="65"/>
        <v>0</v>
      </c>
      <c r="E142" s="590"/>
      <c r="F142" s="590"/>
      <c r="G142" s="590"/>
      <c r="H142" s="590"/>
      <c r="I142" s="590"/>
      <c r="J142" s="590"/>
      <c r="K142" s="590"/>
      <c r="L142" s="590"/>
      <c r="M142" s="111"/>
      <c r="N142" s="111"/>
      <c r="O142" s="111"/>
      <c r="P142" s="111"/>
      <c r="Q142" s="111"/>
      <c r="R142" s="111"/>
      <c r="S142" s="111"/>
      <c r="T142" s="590"/>
      <c r="U142" s="590"/>
      <c r="V142" s="590"/>
      <c r="W142" s="590"/>
      <c r="X142" s="590"/>
      <c r="Y142" s="590"/>
      <c r="Z142" s="590"/>
      <c r="AA142" s="590"/>
      <c r="AB142" s="590"/>
      <c r="AC142" s="590"/>
      <c r="AD142" s="590"/>
      <c r="AE142" s="590"/>
      <c r="AF142" s="590"/>
      <c r="AG142" s="590"/>
      <c r="AH142" s="590"/>
      <c r="AI142" s="590"/>
      <c r="AJ142" s="590"/>
      <c r="AK142" s="590"/>
      <c r="AL142" s="590"/>
      <c r="AM142" s="590"/>
      <c r="AN142" s="590"/>
      <c r="AO142" s="590"/>
      <c r="AP142" s="590"/>
      <c r="AQ142" s="590"/>
      <c r="AR142" s="590"/>
      <c r="AS142" s="590"/>
      <c r="AT142" s="590"/>
      <c r="AU142" s="590"/>
      <c r="AV142" s="590"/>
      <c r="AW142" s="590"/>
      <c r="AX142" s="590"/>
      <c r="AY142" s="590"/>
      <c r="AZ142" s="590"/>
      <c r="BA142" s="590"/>
      <c r="BB142" s="590"/>
      <c r="BC142" s="590"/>
      <c r="BD142" s="590"/>
      <c r="BE142" s="590"/>
      <c r="BF142" s="590"/>
      <c r="BG142" s="590"/>
      <c r="BH142" s="590"/>
      <c r="BI142" s="590"/>
      <c r="BJ142" s="590"/>
      <c r="BK142" s="590"/>
      <c r="BL142" s="590"/>
      <c r="BM142" s="590"/>
      <c r="BN142" s="590"/>
      <c r="BO142" s="590"/>
      <c r="BP142" s="590"/>
      <c r="BQ142" s="590"/>
      <c r="BR142" s="590"/>
      <c r="BS142" s="590"/>
      <c r="BT142" s="590"/>
      <c r="BU142" s="590"/>
      <c r="BV142" s="590"/>
      <c r="BW142" s="590"/>
      <c r="BX142" s="590"/>
      <c r="BY142" s="590"/>
      <c r="BZ142" s="590"/>
      <c r="CA142" s="590"/>
      <c r="CB142" s="590"/>
      <c r="CC142" s="590"/>
      <c r="CD142" s="590"/>
      <c r="CE142" s="590"/>
      <c r="CF142" s="590"/>
      <c r="CG142" s="590"/>
      <c r="CH142" s="590"/>
      <c r="CI142" s="590"/>
      <c r="CJ142" s="590"/>
      <c r="CK142" s="590"/>
      <c r="CL142" s="590"/>
      <c r="CM142" s="590"/>
      <c r="CN142" s="590"/>
      <c r="CO142" s="590"/>
      <c r="CP142" s="590"/>
      <c r="CQ142" s="590"/>
      <c r="CR142" s="590"/>
      <c r="CS142" s="590"/>
      <c r="CT142" s="590"/>
    </row>
    <row r="143" spans="1:98" hidden="1" x14ac:dyDescent="0.2">
      <c r="A143" s="590"/>
      <c r="B143" s="1807">
        <f t="shared" si="67"/>
        <v>0</v>
      </c>
      <c r="C143" s="590"/>
      <c r="D143" s="1807" t="str">
        <f t="shared" si="65"/>
        <v>Soja</v>
      </c>
      <c r="E143" s="590"/>
      <c r="F143" s="590"/>
      <c r="G143" s="590"/>
      <c r="H143" s="590"/>
      <c r="I143" s="590"/>
      <c r="J143" s="590"/>
      <c r="K143" s="590"/>
      <c r="L143" s="590"/>
      <c r="M143" s="111"/>
      <c r="N143" s="111"/>
      <c r="O143" s="111"/>
      <c r="P143" s="111"/>
      <c r="Q143" s="111"/>
      <c r="R143" s="111"/>
      <c r="S143" s="111"/>
      <c r="T143" s="590"/>
      <c r="U143" s="590"/>
      <c r="V143" s="590"/>
      <c r="W143" s="590"/>
      <c r="X143" s="590"/>
      <c r="Y143" s="590"/>
      <c r="Z143" s="590"/>
      <c r="AA143" s="590"/>
      <c r="AB143" s="590"/>
      <c r="AC143" s="590"/>
      <c r="AD143" s="590"/>
      <c r="AE143" s="590"/>
      <c r="AF143" s="590"/>
      <c r="AG143" s="590"/>
      <c r="AH143" s="590"/>
      <c r="AI143" s="590"/>
      <c r="AJ143" s="590"/>
      <c r="AK143" s="590"/>
      <c r="AL143" s="590"/>
      <c r="AM143" s="590"/>
      <c r="AN143" s="590"/>
      <c r="AO143" s="590"/>
      <c r="AP143" s="590"/>
      <c r="AQ143" s="590"/>
      <c r="AR143" s="590"/>
      <c r="AS143" s="590"/>
      <c r="AT143" s="590"/>
      <c r="AU143" s="590"/>
      <c r="AV143" s="590"/>
      <c r="AW143" s="590"/>
      <c r="AX143" s="590"/>
      <c r="AY143" s="590"/>
      <c r="AZ143" s="590"/>
      <c r="BA143" s="590"/>
      <c r="BB143" s="590"/>
      <c r="BC143" s="590"/>
      <c r="BD143" s="590"/>
      <c r="BE143" s="590"/>
      <c r="BF143" s="590"/>
      <c r="BG143" s="590"/>
      <c r="BH143" s="590"/>
      <c r="BI143" s="590"/>
      <c r="BJ143" s="590"/>
      <c r="BK143" s="590"/>
      <c r="BL143" s="590"/>
      <c r="BM143" s="590"/>
      <c r="BN143" s="590"/>
      <c r="BO143" s="590"/>
      <c r="BP143" s="590"/>
      <c r="BQ143" s="590"/>
      <c r="BR143" s="590"/>
      <c r="BS143" s="590"/>
      <c r="BT143" s="590"/>
      <c r="BU143" s="590"/>
      <c r="BV143" s="590"/>
      <c r="BW143" s="590"/>
      <c r="BX143" s="590"/>
      <c r="BY143" s="590"/>
      <c r="BZ143" s="590"/>
      <c r="CA143" s="590"/>
      <c r="CB143" s="590"/>
      <c r="CC143" s="590"/>
      <c r="CD143" s="590"/>
      <c r="CE143" s="590"/>
      <c r="CF143" s="590"/>
      <c r="CG143" s="590"/>
      <c r="CH143" s="590"/>
      <c r="CI143" s="590"/>
      <c r="CJ143" s="590"/>
      <c r="CK143" s="590"/>
      <c r="CL143" s="590"/>
      <c r="CM143" s="590"/>
      <c r="CN143" s="590"/>
      <c r="CO143" s="590"/>
      <c r="CP143" s="590"/>
      <c r="CQ143" s="590"/>
      <c r="CR143" s="590"/>
      <c r="CS143" s="590"/>
      <c r="CT143" s="590"/>
    </row>
    <row r="144" spans="1:98" hidden="1" x14ac:dyDescent="0.2">
      <c r="A144" s="590"/>
      <c r="B144" s="1807" t="str">
        <f>B46</f>
        <v>Sorgo Forrajero</v>
      </c>
      <c r="C144" s="590"/>
      <c r="D144" s="1807" t="str">
        <f t="shared" si="65"/>
        <v>Soja 2ª</v>
      </c>
      <c r="E144" s="590"/>
      <c r="F144" s="590"/>
      <c r="G144" s="590"/>
      <c r="H144" s="590"/>
      <c r="I144" s="590"/>
      <c r="J144" s="590"/>
      <c r="K144" s="590"/>
      <c r="L144" s="590"/>
      <c r="M144" s="111"/>
      <c r="N144" s="111"/>
      <c r="O144" s="111"/>
      <c r="P144" s="111"/>
      <c r="Q144" s="111"/>
      <c r="R144" s="111"/>
      <c r="S144" s="111"/>
      <c r="T144" s="590"/>
      <c r="U144" s="590"/>
      <c r="V144" s="590"/>
      <c r="W144" s="590"/>
      <c r="X144" s="590"/>
      <c r="Y144" s="590"/>
      <c r="Z144" s="590"/>
      <c r="AA144" s="590"/>
      <c r="AB144" s="590"/>
      <c r="AC144" s="590"/>
      <c r="AD144" s="590"/>
      <c r="AE144" s="590"/>
      <c r="AF144" s="590"/>
      <c r="AG144" s="590"/>
      <c r="AH144" s="590"/>
      <c r="AI144" s="590"/>
      <c r="AJ144" s="590"/>
      <c r="AK144" s="590"/>
      <c r="AL144" s="590"/>
      <c r="AM144" s="590"/>
      <c r="AN144" s="590"/>
      <c r="AO144" s="590"/>
      <c r="AP144" s="590"/>
      <c r="AQ144" s="590"/>
      <c r="AR144" s="590"/>
      <c r="AS144" s="590"/>
      <c r="AT144" s="590"/>
      <c r="AU144" s="590"/>
      <c r="AV144" s="590"/>
      <c r="AW144" s="590"/>
      <c r="AX144" s="590"/>
      <c r="AY144" s="590"/>
      <c r="AZ144" s="590"/>
      <c r="BA144" s="590"/>
      <c r="BB144" s="590"/>
      <c r="BC144" s="590"/>
      <c r="BD144" s="590"/>
      <c r="BE144" s="590"/>
      <c r="BF144" s="590"/>
      <c r="BG144" s="590"/>
      <c r="BH144" s="590"/>
      <c r="BI144" s="590"/>
      <c r="BJ144" s="590"/>
      <c r="BK144" s="590"/>
      <c r="BL144" s="590"/>
      <c r="BM144" s="590"/>
      <c r="BN144" s="590"/>
      <c r="BO144" s="590"/>
      <c r="BP144" s="590"/>
      <c r="BQ144" s="590"/>
      <c r="BR144" s="590"/>
      <c r="BS144" s="590"/>
      <c r="BT144" s="590"/>
      <c r="BU144" s="590"/>
      <c r="BV144" s="590"/>
      <c r="BW144" s="590"/>
      <c r="BX144" s="590"/>
      <c r="BY144" s="590"/>
      <c r="BZ144" s="590"/>
      <c r="CA144" s="590"/>
      <c r="CB144" s="590"/>
      <c r="CC144" s="590"/>
      <c r="CD144" s="590"/>
      <c r="CE144" s="590"/>
      <c r="CF144" s="590"/>
      <c r="CG144" s="590"/>
      <c r="CH144" s="590"/>
      <c r="CI144" s="590"/>
      <c r="CJ144" s="590"/>
      <c r="CK144" s="590"/>
      <c r="CL144" s="590"/>
      <c r="CM144" s="590"/>
      <c r="CN144" s="590"/>
      <c r="CO144" s="590"/>
      <c r="CP144" s="590"/>
      <c r="CQ144" s="590"/>
      <c r="CR144" s="590"/>
      <c r="CS144" s="590"/>
      <c r="CT144" s="590"/>
    </row>
    <row r="145" spans="1:98" hidden="1" x14ac:dyDescent="0.2">
      <c r="A145" s="590"/>
      <c r="B145" s="1807" t="str">
        <f>B47</f>
        <v xml:space="preserve">Sudan </v>
      </c>
      <c r="C145" s="590"/>
      <c r="D145" s="1807" t="str">
        <f t="shared" si="65"/>
        <v>Maíz Grano</v>
      </c>
      <c r="E145" s="590"/>
      <c r="F145" s="590"/>
      <c r="G145" s="590"/>
      <c r="H145" s="590"/>
      <c r="I145" s="590"/>
      <c r="J145" s="590"/>
      <c r="K145" s="590"/>
      <c r="L145" s="590"/>
      <c r="M145" s="111"/>
      <c r="N145" s="111"/>
      <c r="O145" s="111"/>
      <c r="P145" s="111"/>
      <c r="Q145" s="111"/>
      <c r="R145" s="111"/>
      <c r="S145" s="111"/>
      <c r="T145" s="590"/>
      <c r="U145" s="590"/>
      <c r="V145" s="590"/>
      <c r="W145" s="590"/>
      <c r="X145" s="590"/>
      <c r="Y145" s="590"/>
      <c r="Z145" s="590"/>
      <c r="AA145" s="590"/>
      <c r="AB145" s="590"/>
      <c r="AC145" s="590"/>
      <c r="AD145" s="590"/>
      <c r="AE145" s="590"/>
      <c r="AF145" s="590"/>
      <c r="AG145" s="590"/>
      <c r="AH145" s="590"/>
      <c r="AI145" s="590"/>
      <c r="AJ145" s="590"/>
      <c r="AK145" s="590"/>
      <c r="AL145" s="590"/>
      <c r="AM145" s="590"/>
      <c r="AN145" s="590"/>
      <c r="AO145" s="590"/>
      <c r="AP145" s="590"/>
      <c r="AQ145" s="590"/>
      <c r="AR145" s="590"/>
      <c r="AS145" s="590"/>
      <c r="AT145" s="590"/>
      <c r="AU145" s="590"/>
      <c r="AV145" s="590"/>
      <c r="AW145" s="590"/>
      <c r="AX145" s="590"/>
      <c r="AY145" s="590"/>
      <c r="AZ145" s="590"/>
      <c r="BA145" s="590"/>
      <c r="BB145" s="590"/>
      <c r="BC145" s="590"/>
      <c r="BD145" s="590"/>
      <c r="BE145" s="590"/>
      <c r="BF145" s="590"/>
      <c r="BG145" s="590"/>
      <c r="BH145" s="590"/>
      <c r="BI145" s="590"/>
      <c r="BJ145" s="590"/>
      <c r="BK145" s="590"/>
      <c r="BL145" s="590"/>
      <c r="BM145" s="590"/>
      <c r="BN145" s="590"/>
      <c r="BO145" s="590"/>
      <c r="BP145" s="590"/>
      <c r="BQ145" s="590"/>
      <c r="BR145" s="590"/>
      <c r="BS145" s="590"/>
      <c r="BT145" s="590"/>
      <c r="BU145" s="590"/>
      <c r="BV145" s="590"/>
      <c r="BW145" s="590"/>
      <c r="BX145" s="590"/>
      <c r="BY145" s="590"/>
      <c r="BZ145" s="590"/>
      <c r="CA145" s="590"/>
      <c r="CB145" s="590"/>
      <c r="CC145" s="590"/>
      <c r="CD145" s="590"/>
      <c r="CE145" s="590"/>
      <c r="CF145" s="590"/>
      <c r="CG145" s="590"/>
      <c r="CH145" s="590"/>
      <c r="CI145" s="590"/>
      <c r="CJ145" s="590"/>
      <c r="CK145" s="590"/>
      <c r="CL145" s="590"/>
      <c r="CM145" s="590"/>
      <c r="CN145" s="590"/>
      <c r="CO145" s="590"/>
      <c r="CP145" s="590"/>
      <c r="CQ145" s="590"/>
      <c r="CR145" s="590"/>
      <c r="CS145" s="590"/>
      <c r="CT145" s="590"/>
    </row>
    <row r="146" spans="1:98" hidden="1" x14ac:dyDescent="0.2">
      <c r="A146" s="590"/>
      <c r="B146" s="1807">
        <f>B48</f>
        <v>0</v>
      </c>
      <c r="C146" s="590"/>
      <c r="D146" s="1807" t="str">
        <f>+B163</f>
        <v>Sorgo grano</v>
      </c>
      <c r="E146" s="590"/>
      <c r="F146" s="590"/>
      <c r="G146" s="590"/>
      <c r="H146" s="590"/>
      <c r="I146" s="590"/>
      <c r="J146" s="590"/>
      <c r="K146" s="590"/>
      <c r="L146" s="590"/>
      <c r="M146" s="111"/>
      <c r="N146" s="111"/>
      <c r="O146" s="111"/>
      <c r="P146" s="111"/>
      <c r="Q146" s="111"/>
      <c r="R146" s="111"/>
      <c r="S146" s="111"/>
      <c r="T146" s="590"/>
      <c r="U146" s="590"/>
      <c r="V146" s="590"/>
      <c r="W146" s="590"/>
      <c r="X146" s="590"/>
      <c r="Y146" s="590"/>
      <c r="Z146" s="590"/>
      <c r="AA146" s="590"/>
      <c r="AB146" s="590"/>
      <c r="AC146" s="590"/>
      <c r="AD146" s="590"/>
      <c r="AE146" s="590"/>
      <c r="AF146" s="590"/>
      <c r="AG146" s="590"/>
      <c r="AH146" s="590"/>
      <c r="AI146" s="590"/>
      <c r="AJ146" s="590"/>
      <c r="AK146" s="590"/>
      <c r="AL146" s="590"/>
      <c r="AM146" s="590"/>
      <c r="AN146" s="590"/>
      <c r="AO146" s="590"/>
      <c r="AP146" s="590"/>
      <c r="AQ146" s="590"/>
      <c r="AR146" s="590"/>
      <c r="AS146" s="590"/>
      <c r="AT146" s="590"/>
      <c r="AU146" s="590"/>
      <c r="AV146" s="590"/>
      <c r="AW146" s="590"/>
      <c r="AX146" s="590"/>
      <c r="AY146" s="590"/>
      <c r="AZ146" s="590"/>
      <c r="BA146" s="590"/>
      <c r="BB146" s="590"/>
      <c r="BC146" s="590"/>
      <c r="BD146" s="590"/>
      <c r="BE146" s="590"/>
      <c r="BF146" s="590"/>
      <c r="BG146" s="590"/>
      <c r="BH146" s="590"/>
      <c r="BI146" s="590"/>
      <c r="BJ146" s="590"/>
      <c r="BK146" s="590"/>
      <c r="BL146" s="590"/>
      <c r="BM146" s="590"/>
      <c r="BN146" s="590"/>
      <c r="BO146" s="590"/>
      <c r="BP146" s="590"/>
      <c r="BQ146" s="590"/>
      <c r="BR146" s="590"/>
      <c r="BS146" s="590"/>
      <c r="BT146" s="590"/>
      <c r="BU146" s="590"/>
      <c r="BV146" s="590"/>
      <c r="BW146" s="590"/>
      <c r="BX146" s="590"/>
      <c r="BY146" s="590"/>
      <c r="BZ146" s="590"/>
      <c r="CA146" s="590"/>
      <c r="CB146" s="590"/>
      <c r="CC146" s="590"/>
      <c r="CD146" s="590"/>
      <c r="CE146" s="590"/>
      <c r="CF146" s="590"/>
      <c r="CG146" s="590"/>
      <c r="CH146" s="590"/>
      <c r="CI146" s="590"/>
      <c r="CJ146" s="590"/>
      <c r="CK146" s="590"/>
      <c r="CL146" s="590"/>
      <c r="CM146" s="590"/>
      <c r="CN146" s="590"/>
      <c r="CO146" s="590"/>
      <c r="CP146" s="590"/>
      <c r="CQ146" s="590"/>
      <c r="CR146" s="590"/>
      <c r="CS146" s="590"/>
      <c r="CT146" s="590"/>
    </row>
    <row r="147" spans="1:98" hidden="1" x14ac:dyDescent="0.2">
      <c r="A147" s="590"/>
      <c r="B147" s="1807">
        <f>B49</f>
        <v>0</v>
      </c>
      <c r="C147" s="590"/>
      <c r="D147" s="1807" t="str">
        <f t="shared" si="65"/>
        <v>Trigo grano</v>
      </c>
      <c r="E147" s="590"/>
      <c r="F147" s="590"/>
      <c r="G147" s="590"/>
      <c r="H147" s="590"/>
      <c r="I147" s="590"/>
      <c r="J147" s="590"/>
      <c r="K147" s="590"/>
      <c r="L147" s="590"/>
      <c r="M147" s="111"/>
      <c r="N147" s="111"/>
      <c r="O147" s="111"/>
      <c r="P147" s="111"/>
      <c r="Q147" s="111"/>
      <c r="R147" s="111"/>
      <c r="S147" s="111"/>
      <c r="T147" s="590"/>
      <c r="U147" s="590"/>
      <c r="V147" s="590"/>
      <c r="W147" s="590"/>
      <c r="X147" s="590"/>
      <c r="Y147" s="590"/>
      <c r="Z147" s="590"/>
      <c r="AA147" s="590"/>
      <c r="AB147" s="590"/>
      <c r="AC147" s="590"/>
      <c r="AD147" s="590"/>
      <c r="AE147" s="590"/>
      <c r="AF147" s="590"/>
      <c r="AG147" s="590"/>
      <c r="AH147" s="590"/>
      <c r="AI147" s="590"/>
      <c r="AJ147" s="590"/>
      <c r="AK147" s="590"/>
      <c r="AL147" s="590"/>
      <c r="AM147" s="590"/>
      <c r="AN147" s="590"/>
      <c r="AO147" s="590"/>
      <c r="AP147" s="590"/>
      <c r="AQ147" s="590"/>
      <c r="AR147" s="590"/>
      <c r="AS147" s="590"/>
      <c r="AT147" s="590"/>
      <c r="AU147" s="590"/>
      <c r="AV147" s="590"/>
      <c r="AW147" s="590"/>
      <c r="AX147" s="590"/>
      <c r="AY147" s="590"/>
      <c r="AZ147" s="590"/>
      <c r="BA147" s="590"/>
      <c r="BB147" s="590"/>
      <c r="BC147" s="590"/>
      <c r="BD147" s="590"/>
      <c r="BE147" s="590"/>
      <c r="BF147" s="590"/>
      <c r="BG147" s="590"/>
      <c r="BH147" s="590"/>
      <c r="BI147" s="590"/>
      <c r="BJ147" s="590"/>
      <c r="BK147" s="590"/>
      <c r="BL147" s="590"/>
      <c r="BM147" s="590"/>
      <c r="BN147" s="590"/>
      <c r="BO147" s="590"/>
      <c r="BP147" s="590"/>
      <c r="BQ147" s="590"/>
      <c r="BR147" s="590"/>
      <c r="BS147" s="590"/>
      <c r="BT147" s="590"/>
      <c r="BU147" s="590"/>
      <c r="BV147" s="590"/>
      <c r="BW147" s="590"/>
      <c r="BX147" s="590"/>
      <c r="BY147" s="590"/>
      <c r="BZ147" s="590"/>
      <c r="CA147" s="590"/>
      <c r="CB147" s="590"/>
      <c r="CC147" s="590"/>
      <c r="CD147" s="590"/>
      <c r="CE147" s="590"/>
      <c r="CF147" s="590"/>
      <c r="CG147" s="590"/>
      <c r="CH147" s="590"/>
      <c r="CI147" s="590"/>
      <c r="CJ147" s="590"/>
      <c r="CK147" s="590"/>
      <c r="CL147" s="590"/>
      <c r="CM147" s="590"/>
      <c r="CN147" s="590"/>
      <c r="CO147" s="590"/>
      <c r="CP147" s="590"/>
      <c r="CQ147" s="590"/>
      <c r="CR147" s="590"/>
      <c r="CS147" s="590"/>
      <c r="CT147" s="590"/>
    </row>
    <row r="148" spans="1:98" hidden="1" x14ac:dyDescent="0.2">
      <c r="A148" s="590"/>
      <c r="B148" s="1807">
        <f>B50</f>
        <v>0</v>
      </c>
      <c r="C148" s="590"/>
      <c r="D148" s="1807" t="str">
        <f t="shared" si="65"/>
        <v>Cebada grano</v>
      </c>
      <c r="E148" s="590"/>
      <c r="F148" s="590"/>
      <c r="G148" s="590"/>
      <c r="H148" s="590"/>
      <c r="I148" s="590"/>
      <c r="J148" s="590"/>
      <c r="K148" s="590"/>
      <c r="L148" s="590"/>
      <c r="M148" s="111"/>
      <c r="N148" s="111"/>
      <c r="O148" s="111"/>
      <c r="P148" s="111"/>
      <c r="Q148" s="111"/>
      <c r="R148" s="111"/>
      <c r="S148" s="111"/>
      <c r="T148" s="590"/>
      <c r="U148" s="590"/>
      <c r="V148" s="590"/>
      <c r="W148" s="590"/>
      <c r="X148" s="590"/>
      <c r="Y148" s="590"/>
      <c r="Z148" s="590"/>
      <c r="AA148" s="590"/>
      <c r="AB148" s="590"/>
      <c r="AC148" s="590"/>
      <c r="AD148" s="590"/>
      <c r="AE148" s="590"/>
      <c r="AF148" s="590"/>
      <c r="AG148" s="590"/>
      <c r="AH148" s="590"/>
      <c r="AI148" s="590"/>
      <c r="AJ148" s="590"/>
      <c r="AK148" s="590"/>
      <c r="AL148" s="590"/>
      <c r="AM148" s="590"/>
      <c r="AN148" s="590"/>
      <c r="AO148" s="590"/>
      <c r="AP148" s="590"/>
      <c r="AQ148" s="590"/>
      <c r="AR148" s="590"/>
      <c r="AS148" s="590"/>
      <c r="AT148" s="590"/>
      <c r="AU148" s="590"/>
      <c r="AV148" s="590"/>
      <c r="AW148" s="590"/>
      <c r="AX148" s="590"/>
      <c r="AY148" s="590"/>
      <c r="AZ148" s="590"/>
      <c r="BA148" s="590"/>
      <c r="BB148" s="590"/>
      <c r="BC148" s="590"/>
      <c r="BD148" s="590"/>
      <c r="BE148" s="590"/>
      <c r="BF148" s="590"/>
      <c r="BG148" s="590"/>
      <c r="BH148" s="590"/>
      <c r="BI148" s="590"/>
      <c r="BJ148" s="590"/>
      <c r="BK148" s="590"/>
      <c r="BL148" s="590"/>
      <c r="BM148" s="590"/>
      <c r="BN148" s="590"/>
      <c r="BO148" s="590"/>
      <c r="BP148" s="590"/>
      <c r="BQ148" s="590"/>
      <c r="BR148" s="590"/>
      <c r="BS148" s="590"/>
      <c r="BT148" s="590"/>
      <c r="BU148" s="590"/>
      <c r="BV148" s="590"/>
      <c r="BW148" s="590"/>
      <c r="BX148" s="590"/>
      <c r="BY148" s="590"/>
      <c r="BZ148" s="590"/>
      <c r="CA148" s="590"/>
      <c r="CB148" s="590"/>
      <c r="CC148" s="590"/>
      <c r="CD148" s="590"/>
      <c r="CE148" s="590"/>
      <c r="CF148" s="590"/>
      <c r="CG148" s="590"/>
      <c r="CH148" s="590"/>
      <c r="CI148" s="590"/>
      <c r="CJ148" s="590"/>
      <c r="CK148" s="590"/>
      <c r="CL148" s="590"/>
      <c r="CM148" s="590"/>
      <c r="CN148" s="590"/>
      <c r="CO148" s="590"/>
      <c r="CP148" s="590"/>
      <c r="CQ148" s="590"/>
      <c r="CR148" s="590"/>
      <c r="CS148" s="590"/>
      <c r="CT148" s="590"/>
    </row>
    <row r="149" spans="1:98" hidden="1" x14ac:dyDescent="0.2">
      <c r="A149" s="590"/>
      <c r="B149" s="1807" t="str">
        <f t="shared" ref="B149:B154" si="68">B52</f>
        <v>Maíz Silo</v>
      </c>
      <c r="C149" s="590"/>
      <c r="D149" s="1807" t="str">
        <f t="shared" si="65"/>
        <v>Avena grano</v>
      </c>
      <c r="E149" s="590"/>
      <c r="F149" s="590"/>
      <c r="G149" s="590"/>
      <c r="H149" s="590"/>
      <c r="I149" s="590"/>
      <c r="J149" s="590"/>
      <c r="K149" s="590"/>
      <c r="L149" s="590"/>
      <c r="M149" s="111"/>
      <c r="N149" s="111"/>
      <c r="O149" s="111"/>
      <c r="P149" s="111"/>
      <c r="Q149" s="111"/>
      <c r="R149" s="111"/>
      <c r="S149" s="111"/>
      <c r="T149" s="590"/>
      <c r="U149" s="590"/>
      <c r="V149" s="590"/>
      <c r="W149" s="590"/>
      <c r="X149" s="590"/>
      <c r="Y149" s="590"/>
      <c r="Z149" s="590"/>
      <c r="AA149" s="590"/>
      <c r="AB149" s="590"/>
      <c r="AC149" s="590"/>
      <c r="AD149" s="590"/>
      <c r="AE149" s="590"/>
      <c r="AF149" s="590"/>
      <c r="AG149" s="590"/>
      <c r="AH149" s="590"/>
      <c r="AI149" s="590"/>
      <c r="AJ149" s="590"/>
      <c r="AK149" s="590"/>
      <c r="AL149" s="590"/>
      <c r="AM149" s="590"/>
      <c r="AN149" s="590"/>
      <c r="AO149" s="590"/>
      <c r="AP149" s="590"/>
      <c r="AQ149" s="590"/>
      <c r="AR149" s="590"/>
      <c r="AS149" s="590"/>
      <c r="AT149" s="590"/>
      <c r="AU149" s="590"/>
      <c r="AV149" s="590"/>
      <c r="AW149" s="590"/>
      <c r="AX149" s="590"/>
      <c r="AY149" s="590"/>
      <c r="AZ149" s="590"/>
      <c r="BA149" s="590"/>
      <c r="BB149" s="590"/>
      <c r="BC149" s="590"/>
      <c r="BD149" s="590"/>
      <c r="BE149" s="590"/>
      <c r="BF149" s="590"/>
      <c r="BG149" s="590"/>
      <c r="BH149" s="590"/>
      <c r="BI149" s="590"/>
      <c r="BJ149" s="590"/>
      <c r="BK149" s="590"/>
      <c r="BL149" s="590"/>
      <c r="BM149" s="590"/>
      <c r="BN149" s="590"/>
      <c r="BO149" s="590"/>
      <c r="BP149" s="590"/>
      <c r="BQ149" s="590"/>
      <c r="BR149" s="590"/>
      <c r="BS149" s="590"/>
      <c r="BT149" s="590"/>
      <c r="BU149" s="590"/>
      <c r="BV149" s="590"/>
      <c r="BW149" s="590"/>
      <c r="BX149" s="590"/>
      <c r="BY149" s="590"/>
      <c r="BZ149" s="590"/>
      <c r="CA149" s="590"/>
      <c r="CB149" s="590"/>
      <c r="CC149" s="590"/>
      <c r="CD149" s="590"/>
      <c r="CE149" s="590"/>
      <c r="CF149" s="590"/>
      <c r="CG149" s="590"/>
      <c r="CH149" s="590"/>
      <c r="CI149" s="590"/>
      <c r="CJ149" s="590"/>
      <c r="CK149" s="590"/>
      <c r="CL149" s="590"/>
      <c r="CM149" s="590"/>
      <c r="CN149" s="590"/>
      <c r="CO149" s="590"/>
      <c r="CP149" s="590"/>
      <c r="CQ149" s="590"/>
      <c r="CR149" s="590"/>
      <c r="CS149" s="590"/>
      <c r="CT149" s="590"/>
    </row>
    <row r="150" spans="1:98" hidden="1" x14ac:dyDescent="0.2">
      <c r="A150" s="590"/>
      <c r="B150" s="1807" t="str">
        <f t="shared" si="68"/>
        <v>Sorgo silo</v>
      </c>
      <c r="C150" s="590"/>
      <c r="D150" s="1807" t="str">
        <f t="shared" si="65"/>
        <v>Colza grano</v>
      </c>
      <c r="E150" s="590"/>
      <c r="F150" s="590"/>
      <c r="G150" s="590"/>
      <c r="H150" s="590"/>
      <c r="I150" s="590"/>
      <c r="J150" s="590"/>
      <c r="K150" s="590"/>
      <c r="L150" s="590"/>
      <c r="M150" s="111"/>
      <c r="N150" s="111"/>
      <c r="O150" s="111"/>
      <c r="P150" s="111"/>
      <c r="Q150" s="111"/>
      <c r="R150" s="111"/>
      <c r="S150" s="111"/>
      <c r="T150" s="590"/>
      <c r="U150" s="590"/>
      <c r="V150" s="590"/>
      <c r="W150" s="590"/>
      <c r="X150" s="590"/>
      <c r="Y150" s="590"/>
      <c r="Z150" s="590"/>
      <c r="AA150" s="590"/>
      <c r="AB150" s="590"/>
      <c r="AC150" s="590"/>
      <c r="AD150" s="590"/>
      <c r="AE150" s="590"/>
      <c r="AF150" s="590"/>
      <c r="AG150" s="590"/>
      <c r="AH150" s="590"/>
      <c r="AI150" s="590"/>
      <c r="AJ150" s="590"/>
      <c r="AK150" s="590"/>
      <c r="AL150" s="590"/>
      <c r="AM150" s="590"/>
      <c r="AN150" s="590"/>
      <c r="AO150" s="590"/>
      <c r="AP150" s="590"/>
      <c r="AQ150" s="590"/>
      <c r="AR150" s="590"/>
      <c r="AS150" s="590"/>
      <c r="AT150" s="590"/>
      <c r="AU150" s="590"/>
      <c r="AV150" s="590"/>
      <c r="AW150" s="590"/>
      <c r="AX150" s="590"/>
      <c r="AY150" s="590"/>
      <c r="AZ150" s="590"/>
      <c r="BA150" s="590"/>
      <c r="BB150" s="590"/>
      <c r="BC150" s="590"/>
      <c r="BD150" s="590"/>
      <c r="BE150" s="590"/>
      <c r="BF150" s="590"/>
      <c r="BG150" s="590"/>
      <c r="BH150" s="590"/>
      <c r="BI150" s="590"/>
      <c r="BJ150" s="590"/>
      <c r="BK150" s="590"/>
      <c r="BL150" s="590"/>
      <c r="BM150" s="590"/>
      <c r="BN150" s="590"/>
      <c r="BO150" s="590"/>
      <c r="BP150" s="590"/>
      <c r="BQ150" s="590"/>
      <c r="BR150" s="590"/>
      <c r="BS150" s="590"/>
      <c r="BT150" s="590"/>
      <c r="BU150" s="590"/>
      <c r="BV150" s="590"/>
      <c r="BW150" s="590"/>
      <c r="BX150" s="590"/>
      <c r="BY150" s="590"/>
      <c r="BZ150" s="590"/>
      <c r="CA150" s="590"/>
      <c r="CB150" s="590"/>
      <c r="CC150" s="590"/>
      <c r="CD150" s="590"/>
      <c r="CE150" s="590"/>
      <c r="CF150" s="590"/>
      <c r="CG150" s="590"/>
      <c r="CH150" s="590"/>
      <c r="CI150" s="590"/>
      <c r="CJ150" s="590"/>
      <c r="CK150" s="590"/>
      <c r="CL150" s="590"/>
      <c r="CM150" s="590"/>
      <c r="CN150" s="590"/>
      <c r="CO150" s="590"/>
      <c r="CP150" s="590"/>
      <c r="CQ150" s="590"/>
      <c r="CR150" s="590"/>
      <c r="CS150" s="590"/>
      <c r="CT150" s="590"/>
    </row>
    <row r="151" spans="1:98" hidden="1" x14ac:dyDescent="0.2">
      <c r="A151" s="590"/>
      <c r="B151" s="1807" t="str">
        <f t="shared" si="68"/>
        <v>Moha</v>
      </c>
      <c r="C151" s="590"/>
      <c r="D151" s="1807">
        <f t="shared" si="65"/>
        <v>0</v>
      </c>
      <c r="E151" s="590"/>
      <c r="F151" s="590"/>
      <c r="G151" s="590"/>
      <c r="H151" s="590"/>
      <c r="I151" s="590"/>
      <c r="J151" s="590"/>
      <c r="K151" s="590"/>
      <c r="L151" s="590"/>
      <c r="M151" s="111"/>
      <c r="N151" s="111"/>
      <c r="O151" s="111"/>
      <c r="P151" s="111"/>
      <c r="Q151" s="111"/>
      <c r="R151" s="111"/>
      <c r="S151" s="111"/>
      <c r="T151" s="590"/>
      <c r="U151" s="590"/>
      <c r="V151" s="590"/>
      <c r="W151" s="590"/>
      <c r="X151" s="590"/>
      <c r="Y151" s="590"/>
      <c r="Z151" s="590"/>
      <c r="AA151" s="590"/>
      <c r="AB151" s="590"/>
      <c r="AC151" s="590"/>
      <c r="AD151" s="590"/>
      <c r="AE151" s="590"/>
      <c r="AF151" s="590"/>
      <c r="AG151" s="590"/>
      <c r="AH151" s="590"/>
      <c r="AI151" s="590"/>
      <c r="AJ151" s="590"/>
      <c r="AK151" s="590"/>
      <c r="AL151" s="590"/>
      <c r="AM151" s="590"/>
      <c r="AN151" s="590"/>
      <c r="AO151" s="590"/>
      <c r="AP151" s="590"/>
      <c r="AQ151" s="590"/>
      <c r="AR151" s="590"/>
      <c r="AS151" s="590"/>
      <c r="AT151" s="590"/>
      <c r="AU151" s="590"/>
      <c r="AV151" s="590"/>
      <c r="AW151" s="590"/>
      <c r="AX151" s="590"/>
      <c r="AY151" s="590"/>
      <c r="AZ151" s="590"/>
      <c r="BA151" s="590"/>
      <c r="BB151" s="590"/>
      <c r="BC151" s="590"/>
      <c r="BD151" s="590"/>
      <c r="BE151" s="590"/>
      <c r="BF151" s="590"/>
      <c r="BG151" s="590"/>
      <c r="BH151" s="590"/>
      <c r="BI151" s="590"/>
      <c r="BJ151" s="590"/>
      <c r="BK151" s="590"/>
      <c r="BL151" s="590"/>
      <c r="BM151" s="590"/>
      <c r="BN151" s="590"/>
      <c r="BO151" s="590"/>
      <c r="BP151" s="590"/>
      <c r="BQ151" s="590"/>
      <c r="BR151" s="590"/>
      <c r="BS151" s="590"/>
      <c r="BT151" s="590"/>
      <c r="BU151" s="590"/>
      <c r="BV151" s="590"/>
      <c r="BW151" s="590"/>
      <c r="BX151" s="590"/>
      <c r="BY151" s="590"/>
      <c r="BZ151" s="590"/>
      <c r="CA151" s="590"/>
      <c r="CB151" s="590"/>
      <c r="CC151" s="590"/>
      <c r="CD151" s="590"/>
      <c r="CE151" s="590"/>
      <c r="CF151" s="590"/>
      <c r="CG151" s="590"/>
      <c r="CH151" s="590"/>
      <c r="CI151" s="590"/>
      <c r="CJ151" s="590"/>
      <c r="CK151" s="590"/>
      <c r="CL151" s="590"/>
      <c r="CM151" s="590"/>
      <c r="CN151" s="590"/>
      <c r="CO151" s="590"/>
      <c r="CP151" s="590"/>
      <c r="CQ151" s="590"/>
      <c r="CR151" s="590"/>
      <c r="CS151" s="590"/>
      <c r="CT151" s="590"/>
    </row>
    <row r="152" spans="1:98" hidden="1" x14ac:dyDescent="0.2">
      <c r="A152" s="590"/>
      <c r="B152" s="1807" t="str">
        <f t="shared" si="68"/>
        <v>Soja reserva</v>
      </c>
      <c r="C152" s="590"/>
      <c r="D152" s="1807">
        <f t="shared" si="65"/>
        <v>0</v>
      </c>
      <c r="E152" s="590"/>
      <c r="F152" s="590"/>
      <c r="G152" s="590"/>
      <c r="H152" s="590"/>
      <c r="I152" s="590"/>
      <c r="J152" s="590"/>
      <c r="K152" s="590"/>
      <c r="L152" s="590"/>
      <c r="M152" s="111"/>
      <c r="N152" s="111"/>
      <c r="O152" s="111"/>
      <c r="P152" s="111"/>
      <c r="Q152" s="111"/>
      <c r="R152" s="111"/>
      <c r="S152" s="111"/>
      <c r="T152" s="590"/>
      <c r="U152" s="590"/>
      <c r="V152" s="590"/>
      <c r="W152" s="590"/>
      <c r="X152" s="590"/>
      <c r="Y152" s="590"/>
      <c r="Z152" s="590"/>
      <c r="AA152" s="590"/>
      <c r="AB152" s="590"/>
      <c r="AC152" s="590"/>
      <c r="AD152" s="590"/>
      <c r="AE152" s="590"/>
      <c r="AF152" s="590"/>
      <c r="AG152" s="590"/>
      <c r="AH152" s="590"/>
      <c r="AI152" s="590"/>
      <c r="AJ152" s="590"/>
      <c r="AK152" s="590"/>
      <c r="AL152" s="590"/>
      <c r="AM152" s="590"/>
      <c r="AN152" s="590"/>
      <c r="AO152" s="590"/>
      <c r="AP152" s="590"/>
      <c r="AQ152" s="590"/>
      <c r="AR152" s="590"/>
      <c r="AS152" s="590"/>
      <c r="AT152" s="590"/>
      <c r="AU152" s="590"/>
      <c r="AV152" s="590"/>
      <c r="AW152" s="590"/>
      <c r="AX152" s="590"/>
      <c r="AY152" s="590"/>
      <c r="AZ152" s="590"/>
      <c r="BA152" s="590"/>
      <c r="BB152" s="590"/>
      <c r="BC152" s="590"/>
      <c r="BD152" s="590"/>
      <c r="BE152" s="590"/>
      <c r="BF152" s="590"/>
      <c r="BG152" s="590"/>
      <c r="BH152" s="590"/>
      <c r="BI152" s="590"/>
      <c r="BJ152" s="590"/>
      <c r="BK152" s="590"/>
      <c r="BL152" s="590"/>
      <c r="BM152" s="590"/>
      <c r="BN152" s="590"/>
      <c r="BO152" s="590"/>
      <c r="BP152" s="590"/>
      <c r="BQ152" s="590"/>
      <c r="BR152" s="590"/>
      <c r="BS152" s="590"/>
      <c r="BT152" s="590"/>
      <c r="BU152" s="590"/>
      <c r="BV152" s="590"/>
      <c r="BW152" s="590"/>
      <c r="BX152" s="590"/>
      <c r="BY152" s="590"/>
      <c r="BZ152" s="590"/>
      <c r="CA152" s="590"/>
      <c r="CB152" s="590"/>
      <c r="CC152" s="590"/>
      <c r="CD152" s="590"/>
      <c r="CE152" s="590"/>
      <c r="CF152" s="590"/>
      <c r="CG152" s="590"/>
      <c r="CH152" s="590"/>
      <c r="CI152" s="590"/>
      <c r="CJ152" s="590"/>
      <c r="CK152" s="590"/>
      <c r="CL152" s="590"/>
      <c r="CM152" s="590"/>
      <c r="CN152" s="590"/>
      <c r="CO152" s="590"/>
      <c r="CP152" s="590"/>
      <c r="CQ152" s="590"/>
      <c r="CR152" s="590"/>
      <c r="CS152" s="590"/>
      <c r="CT152" s="590"/>
    </row>
    <row r="153" spans="1:98" hidden="1" x14ac:dyDescent="0.2">
      <c r="A153" s="590"/>
      <c r="B153" s="1807">
        <f t="shared" si="68"/>
        <v>0</v>
      </c>
      <c r="C153" s="590"/>
      <c r="D153" s="1807">
        <f t="shared" si="65"/>
        <v>0</v>
      </c>
      <c r="E153" s="590"/>
      <c r="F153" s="590"/>
      <c r="G153" s="590"/>
      <c r="H153" s="590"/>
      <c r="I153" s="590"/>
      <c r="J153" s="590"/>
      <c r="K153" s="590"/>
      <c r="L153" s="590"/>
      <c r="M153" s="111"/>
      <c r="N153" s="111"/>
      <c r="O153" s="111"/>
      <c r="P153" s="111"/>
      <c r="Q153" s="111"/>
      <c r="R153" s="111"/>
      <c r="S153" s="111"/>
      <c r="T153" s="590"/>
      <c r="U153" s="590"/>
      <c r="V153" s="590"/>
      <c r="W153" s="590"/>
      <c r="X153" s="590"/>
      <c r="Y153" s="590"/>
      <c r="Z153" s="590"/>
      <c r="AA153" s="590"/>
      <c r="AB153" s="590"/>
      <c r="AC153" s="590"/>
      <c r="AD153" s="590"/>
      <c r="AE153" s="590"/>
      <c r="AF153" s="590"/>
      <c r="AG153" s="590"/>
      <c r="AH153" s="590"/>
      <c r="AI153" s="590"/>
      <c r="AJ153" s="590"/>
      <c r="AK153" s="590"/>
      <c r="AL153" s="590"/>
      <c r="AM153" s="590"/>
      <c r="AN153" s="590"/>
      <c r="AO153" s="590"/>
      <c r="AP153" s="590"/>
      <c r="AQ153" s="590"/>
      <c r="AR153" s="590"/>
      <c r="AS153" s="590"/>
      <c r="AT153" s="590"/>
      <c r="AU153" s="590"/>
      <c r="AV153" s="590"/>
      <c r="AW153" s="590"/>
      <c r="AX153" s="590"/>
      <c r="AY153" s="590"/>
      <c r="AZ153" s="590"/>
      <c r="BA153" s="590"/>
      <c r="BB153" s="590"/>
      <c r="BC153" s="590"/>
      <c r="BD153" s="590"/>
      <c r="BE153" s="590"/>
      <c r="BF153" s="590"/>
      <c r="BG153" s="590"/>
      <c r="BH153" s="590"/>
      <c r="BI153" s="590"/>
      <c r="BJ153" s="590"/>
      <c r="BK153" s="590"/>
      <c r="BL153" s="590"/>
      <c r="BM153" s="590"/>
      <c r="BN153" s="590"/>
      <c r="BO153" s="590"/>
      <c r="BP153" s="590"/>
      <c r="BQ153" s="590"/>
      <c r="BR153" s="590"/>
      <c r="BS153" s="590"/>
      <c r="BT153" s="590"/>
      <c r="BU153" s="590"/>
      <c r="BV153" s="590"/>
      <c r="BW153" s="590"/>
      <c r="BX153" s="590"/>
      <c r="BY153" s="590"/>
      <c r="BZ153" s="590"/>
      <c r="CA153" s="590"/>
      <c r="CB153" s="590"/>
      <c r="CC153" s="590"/>
      <c r="CD153" s="590"/>
      <c r="CE153" s="590"/>
      <c r="CF153" s="590"/>
      <c r="CG153" s="590"/>
      <c r="CH153" s="590"/>
      <c r="CI153" s="590"/>
      <c r="CJ153" s="590"/>
      <c r="CK153" s="590"/>
      <c r="CL153" s="590"/>
      <c r="CM153" s="590"/>
      <c r="CN153" s="590"/>
      <c r="CO153" s="590"/>
      <c r="CP153" s="590"/>
      <c r="CQ153" s="590"/>
      <c r="CR153" s="590"/>
      <c r="CS153" s="590"/>
      <c r="CT153" s="590"/>
    </row>
    <row r="154" spans="1:98" hidden="1" x14ac:dyDescent="0.2">
      <c r="A154" s="590"/>
      <c r="B154" s="1807">
        <f t="shared" si="68"/>
        <v>0</v>
      </c>
      <c r="C154" s="590"/>
      <c r="D154" s="1807">
        <f t="shared" si="65"/>
        <v>0</v>
      </c>
      <c r="E154" s="590"/>
      <c r="F154" s="590"/>
      <c r="G154" s="590"/>
      <c r="H154" s="590"/>
      <c r="I154" s="590"/>
      <c r="J154" s="590"/>
      <c r="K154" s="590"/>
      <c r="L154" s="590"/>
      <c r="M154" s="111"/>
      <c r="N154" s="111"/>
      <c r="O154" s="111"/>
      <c r="P154" s="111"/>
      <c r="Q154" s="111"/>
      <c r="R154" s="111"/>
      <c r="S154" s="111"/>
      <c r="T154" s="590"/>
      <c r="U154" s="590"/>
      <c r="V154" s="590"/>
      <c r="W154" s="590"/>
      <c r="X154" s="590"/>
      <c r="Y154" s="590"/>
      <c r="Z154" s="590"/>
      <c r="AA154" s="590"/>
      <c r="AB154" s="590"/>
      <c r="AC154" s="590"/>
      <c r="AD154" s="590"/>
      <c r="AE154" s="590"/>
      <c r="AF154" s="590"/>
      <c r="AG154" s="590"/>
      <c r="AH154" s="590"/>
      <c r="AI154" s="590"/>
      <c r="AJ154" s="590"/>
      <c r="AK154" s="590"/>
      <c r="AL154" s="590"/>
      <c r="AM154" s="590"/>
      <c r="AN154" s="590"/>
      <c r="AO154" s="590"/>
      <c r="AP154" s="590"/>
      <c r="AQ154" s="590"/>
      <c r="AR154" s="590"/>
      <c r="AS154" s="590"/>
      <c r="AT154" s="590"/>
      <c r="AU154" s="590"/>
      <c r="AV154" s="590"/>
      <c r="AW154" s="590"/>
      <c r="AX154" s="590"/>
      <c r="AY154" s="590"/>
      <c r="AZ154" s="590"/>
      <c r="BA154" s="590"/>
      <c r="BB154" s="590"/>
      <c r="BC154" s="590"/>
      <c r="BD154" s="590"/>
      <c r="BE154" s="590"/>
      <c r="BF154" s="590"/>
      <c r="BG154" s="590"/>
      <c r="BH154" s="590"/>
      <c r="BI154" s="590"/>
      <c r="BJ154" s="590"/>
      <c r="BK154" s="590"/>
      <c r="BL154" s="590"/>
      <c r="BM154" s="590"/>
      <c r="BN154" s="590"/>
      <c r="BO154" s="590"/>
      <c r="BP154" s="590"/>
      <c r="BQ154" s="590"/>
      <c r="BR154" s="590"/>
      <c r="BS154" s="590"/>
      <c r="BT154" s="590"/>
      <c r="BU154" s="590"/>
      <c r="BV154" s="590"/>
      <c r="BW154" s="590"/>
      <c r="BX154" s="590"/>
      <c r="BY154" s="590"/>
      <c r="BZ154" s="590"/>
      <c r="CA154" s="590"/>
      <c r="CB154" s="590"/>
      <c r="CC154" s="590"/>
      <c r="CD154" s="590"/>
      <c r="CE154" s="590"/>
      <c r="CF154" s="590"/>
      <c r="CG154" s="590"/>
      <c r="CH154" s="590"/>
      <c r="CI154" s="590"/>
      <c r="CJ154" s="590"/>
      <c r="CK154" s="590"/>
      <c r="CL154" s="590"/>
      <c r="CM154" s="590"/>
      <c r="CN154" s="590"/>
      <c r="CO154" s="590"/>
      <c r="CP154" s="590"/>
      <c r="CQ154" s="590"/>
      <c r="CR154" s="590"/>
      <c r="CS154" s="590"/>
      <c r="CT154" s="590"/>
    </row>
    <row r="155" spans="1:98" hidden="1" x14ac:dyDescent="0.2">
      <c r="A155" s="590"/>
      <c r="B155" s="1807" t="str">
        <f>B59</f>
        <v>Avena silo</v>
      </c>
      <c r="C155" s="590"/>
      <c r="D155" s="1807" t="str">
        <f t="shared" si="65"/>
        <v xml:space="preserve">Alfalfa semillero </v>
      </c>
      <c r="E155" s="590"/>
      <c r="F155" s="590"/>
      <c r="G155" s="590"/>
      <c r="H155" s="590"/>
      <c r="I155" s="590"/>
      <c r="J155" s="590"/>
      <c r="K155" s="590"/>
      <c r="L155" s="590"/>
      <c r="M155" s="111"/>
      <c r="N155" s="111"/>
      <c r="O155" s="111"/>
      <c r="P155" s="111"/>
      <c r="Q155" s="111"/>
      <c r="R155" s="111"/>
      <c r="S155" s="111"/>
      <c r="T155" s="590"/>
      <c r="U155" s="590"/>
      <c r="V155" s="590"/>
      <c r="W155" s="590"/>
      <c r="X155" s="590"/>
      <c r="Y155" s="590"/>
      <c r="Z155" s="590"/>
      <c r="AA155" s="590"/>
      <c r="AB155" s="590"/>
      <c r="AC155" s="590"/>
      <c r="AD155" s="590"/>
      <c r="AE155" s="590"/>
      <c r="AF155" s="590"/>
      <c r="AG155" s="590"/>
      <c r="AH155" s="590"/>
      <c r="AI155" s="590"/>
      <c r="AJ155" s="590"/>
      <c r="AK155" s="590"/>
      <c r="AL155" s="590"/>
      <c r="AM155" s="590"/>
      <c r="AN155" s="590"/>
      <c r="AO155" s="590"/>
      <c r="AP155" s="590"/>
      <c r="AQ155" s="590"/>
      <c r="AR155" s="590"/>
      <c r="AS155" s="590"/>
      <c r="AT155" s="590"/>
      <c r="AU155" s="590"/>
      <c r="AV155" s="590"/>
      <c r="AW155" s="590"/>
      <c r="AX155" s="590"/>
      <c r="AY155" s="590"/>
      <c r="AZ155" s="590"/>
      <c r="BA155" s="590"/>
      <c r="BB155" s="590"/>
      <c r="BC155" s="590"/>
      <c r="BD155" s="590"/>
      <c r="BE155" s="590"/>
      <c r="BF155" s="590"/>
      <c r="BG155" s="590"/>
      <c r="BH155" s="590"/>
      <c r="BI155" s="590"/>
      <c r="BJ155" s="590"/>
      <c r="BK155" s="590"/>
      <c r="BL155" s="590"/>
      <c r="BM155" s="590"/>
      <c r="BN155" s="590"/>
      <c r="BO155" s="590"/>
      <c r="BP155" s="590"/>
      <c r="BQ155" s="590"/>
      <c r="BR155" s="590"/>
      <c r="BS155" s="590"/>
      <c r="BT155" s="590"/>
      <c r="BU155" s="590"/>
      <c r="BV155" s="590"/>
      <c r="BW155" s="590"/>
      <c r="BX155" s="590"/>
      <c r="BY155" s="590"/>
      <c r="BZ155" s="590"/>
      <c r="CA155" s="590"/>
      <c r="CB155" s="590"/>
      <c r="CC155" s="590"/>
      <c r="CD155" s="590"/>
      <c r="CE155" s="590"/>
      <c r="CF155" s="590"/>
      <c r="CG155" s="590"/>
      <c r="CH155" s="590"/>
      <c r="CI155" s="590"/>
      <c r="CJ155" s="590"/>
      <c r="CK155" s="590"/>
      <c r="CL155" s="590"/>
      <c r="CM155" s="590"/>
      <c r="CN155" s="590"/>
      <c r="CO155" s="590"/>
      <c r="CP155" s="590"/>
      <c r="CQ155" s="590"/>
      <c r="CR155" s="590"/>
      <c r="CS155" s="590"/>
      <c r="CT155" s="590"/>
    </row>
    <row r="156" spans="1:98" hidden="1" x14ac:dyDescent="0.2">
      <c r="A156" s="590"/>
      <c r="B156" s="1807" t="str">
        <f>B60</f>
        <v>Raigrás Silo</v>
      </c>
      <c r="C156" s="590"/>
      <c r="D156" s="1807" t="str">
        <f t="shared" si="65"/>
        <v xml:space="preserve">TR semillero </v>
      </c>
      <c r="E156" s="590"/>
      <c r="F156" s="590"/>
      <c r="G156" s="590"/>
      <c r="H156" s="590"/>
      <c r="I156" s="590"/>
      <c r="J156" s="590"/>
      <c r="K156" s="590"/>
      <c r="L156" s="590"/>
      <c r="M156" s="111"/>
      <c r="N156" s="111"/>
      <c r="O156" s="111"/>
      <c r="P156" s="111"/>
      <c r="Q156" s="111"/>
      <c r="R156" s="111"/>
      <c r="S156" s="111"/>
      <c r="T156" s="590"/>
      <c r="U156" s="590"/>
      <c r="V156" s="590"/>
      <c r="W156" s="590"/>
      <c r="X156" s="590"/>
      <c r="Y156" s="590"/>
      <c r="Z156" s="590"/>
      <c r="AA156" s="590"/>
      <c r="AB156" s="590"/>
      <c r="AC156" s="590"/>
      <c r="AD156" s="590"/>
      <c r="AE156" s="590"/>
      <c r="AF156" s="590"/>
      <c r="AG156" s="590"/>
      <c r="AH156" s="590"/>
      <c r="AI156" s="590"/>
      <c r="AJ156" s="590"/>
      <c r="AK156" s="590"/>
      <c r="AL156" s="590"/>
      <c r="AM156" s="590"/>
      <c r="AN156" s="590"/>
      <c r="AO156" s="590"/>
      <c r="AP156" s="590"/>
      <c r="AQ156" s="590"/>
      <c r="AR156" s="590"/>
      <c r="AS156" s="590"/>
      <c r="AT156" s="590"/>
      <c r="AU156" s="590"/>
      <c r="AV156" s="590"/>
      <c r="AW156" s="590"/>
      <c r="AX156" s="590"/>
      <c r="AY156" s="590"/>
      <c r="AZ156" s="590"/>
      <c r="BA156" s="590"/>
      <c r="BB156" s="590"/>
      <c r="BC156" s="590"/>
      <c r="BD156" s="590"/>
      <c r="BE156" s="590"/>
      <c r="BF156" s="590"/>
      <c r="BG156" s="590"/>
      <c r="BH156" s="590"/>
      <c r="BI156" s="590"/>
      <c r="BJ156" s="590"/>
      <c r="BK156" s="590"/>
      <c r="BL156" s="590"/>
      <c r="BM156" s="590"/>
      <c r="BN156" s="590"/>
      <c r="BO156" s="590"/>
      <c r="BP156" s="590"/>
      <c r="BQ156" s="590"/>
      <c r="BR156" s="590"/>
      <c r="BS156" s="590"/>
      <c r="BT156" s="590"/>
      <c r="BU156" s="590"/>
      <c r="BV156" s="590"/>
      <c r="BW156" s="590"/>
      <c r="BX156" s="590"/>
      <c r="BY156" s="590"/>
      <c r="BZ156" s="590"/>
      <c r="CA156" s="590"/>
      <c r="CB156" s="590"/>
      <c r="CC156" s="590"/>
      <c r="CD156" s="590"/>
      <c r="CE156" s="590"/>
      <c r="CF156" s="590"/>
      <c r="CG156" s="590"/>
      <c r="CH156" s="590"/>
      <c r="CI156" s="590"/>
      <c r="CJ156" s="590"/>
      <c r="CK156" s="590"/>
      <c r="CL156" s="590"/>
      <c r="CM156" s="590"/>
      <c r="CN156" s="590"/>
      <c r="CO156" s="590"/>
      <c r="CP156" s="590"/>
      <c r="CQ156" s="590"/>
      <c r="CR156" s="590"/>
      <c r="CS156" s="590"/>
      <c r="CT156" s="590"/>
    </row>
    <row r="157" spans="1:98" hidden="1" x14ac:dyDescent="0.2">
      <c r="A157" s="590"/>
      <c r="B157" s="1807" t="str">
        <f>B61</f>
        <v>Ra Silo Cierre Ago</v>
      </c>
      <c r="C157" s="590"/>
      <c r="D157" s="1807" t="str">
        <f t="shared" si="65"/>
        <v xml:space="preserve">TB semillero </v>
      </c>
      <c r="E157" s="590"/>
      <c r="F157" s="590"/>
      <c r="G157" s="590"/>
      <c r="H157" s="590"/>
      <c r="I157" s="590"/>
      <c r="J157" s="590"/>
      <c r="K157" s="590"/>
      <c r="L157" s="590"/>
      <c r="M157" s="111"/>
      <c r="N157" s="111"/>
      <c r="O157" s="111"/>
      <c r="P157" s="111"/>
      <c r="Q157" s="111"/>
      <c r="R157" s="111"/>
      <c r="S157" s="111"/>
      <c r="T157" s="590"/>
      <c r="U157" s="590"/>
      <c r="V157" s="590"/>
      <c r="W157" s="590"/>
      <c r="X157" s="590"/>
      <c r="Y157" s="590"/>
      <c r="Z157" s="590"/>
      <c r="AA157" s="590"/>
      <c r="AB157" s="590"/>
      <c r="AC157" s="590"/>
      <c r="AD157" s="590"/>
      <c r="AE157" s="590"/>
      <c r="AF157" s="590"/>
      <c r="AG157" s="590"/>
      <c r="AH157" s="590"/>
      <c r="AI157" s="590"/>
      <c r="AJ157" s="590"/>
      <c r="AK157" s="590"/>
      <c r="AL157" s="590"/>
      <c r="AM157" s="590"/>
      <c r="AN157" s="590"/>
      <c r="AO157" s="590"/>
      <c r="AP157" s="590"/>
      <c r="AQ157" s="590"/>
      <c r="AR157" s="590"/>
      <c r="AS157" s="590"/>
      <c r="AT157" s="590"/>
      <c r="AU157" s="590"/>
      <c r="AV157" s="590"/>
      <c r="AW157" s="590"/>
      <c r="AX157" s="590"/>
      <c r="AY157" s="590"/>
      <c r="AZ157" s="590"/>
      <c r="BA157" s="590"/>
      <c r="BB157" s="590"/>
      <c r="BC157" s="590"/>
      <c r="BD157" s="590"/>
      <c r="BE157" s="590"/>
      <c r="BF157" s="590"/>
      <c r="BG157" s="590"/>
      <c r="BH157" s="590"/>
      <c r="BI157" s="590"/>
      <c r="BJ157" s="590"/>
      <c r="BK157" s="590"/>
      <c r="BL157" s="590"/>
      <c r="BM157" s="590"/>
      <c r="BN157" s="590"/>
      <c r="BO157" s="590"/>
      <c r="BP157" s="590"/>
      <c r="BQ157" s="590"/>
      <c r="BR157" s="590"/>
      <c r="BS157" s="590"/>
      <c r="BT157" s="590"/>
      <c r="BU157" s="590"/>
      <c r="BV157" s="590"/>
      <c r="BW157" s="590"/>
      <c r="BX157" s="590"/>
      <c r="BY157" s="590"/>
      <c r="BZ157" s="590"/>
      <c r="CA157" s="590"/>
      <c r="CB157" s="590"/>
      <c r="CC157" s="590"/>
      <c r="CD157" s="590"/>
      <c r="CE157" s="590"/>
      <c r="CF157" s="590"/>
      <c r="CG157" s="590"/>
      <c r="CH157" s="590"/>
      <c r="CI157" s="590"/>
      <c r="CJ157" s="590"/>
      <c r="CK157" s="590"/>
      <c r="CL157" s="590"/>
      <c r="CM157" s="590"/>
      <c r="CN157" s="590"/>
      <c r="CO157" s="590"/>
      <c r="CP157" s="590"/>
      <c r="CQ157" s="590"/>
      <c r="CR157" s="590"/>
      <c r="CS157" s="590"/>
      <c r="CT157" s="590"/>
    </row>
    <row r="158" spans="1:98" hidden="1" x14ac:dyDescent="0.2">
      <c r="A158" s="590"/>
      <c r="B158" s="1807">
        <f>B62</f>
        <v>0</v>
      </c>
      <c r="C158" s="590"/>
      <c r="D158" s="1807" t="str">
        <f t="shared" si="65"/>
        <v xml:space="preserve">Achicoria Semillero </v>
      </c>
      <c r="E158" s="590"/>
      <c r="F158" s="590"/>
      <c r="G158" s="590"/>
      <c r="H158" s="590"/>
      <c r="I158" s="590"/>
      <c r="J158" s="590"/>
      <c r="K158" s="590"/>
      <c r="L158" s="590"/>
      <c r="M158" s="111"/>
      <c r="N158" s="111"/>
      <c r="O158" s="111"/>
      <c r="P158" s="111"/>
      <c r="Q158" s="111"/>
      <c r="R158" s="111"/>
      <c r="S158" s="111"/>
      <c r="T158" s="111"/>
      <c r="U158" s="111"/>
      <c r="V158" s="111"/>
      <c r="W158" s="111"/>
      <c r="X158" s="111"/>
      <c r="Y158" s="111"/>
      <c r="Z158" s="111"/>
      <c r="AA158" s="111"/>
      <c r="AB158" s="111"/>
      <c r="AC158" s="111"/>
      <c r="AD158" s="111"/>
      <c r="AE158" s="111"/>
      <c r="AF158" s="111"/>
      <c r="AG158" s="111"/>
      <c r="AH158" s="111"/>
      <c r="AI158" s="111"/>
      <c r="AJ158" s="111"/>
      <c r="AK158" s="111"/>
      <c r="AL158" s="111"/>
      <c r="AM158" s="111"/>
      <c r="AN158" s="111"/>
      <c r="AO158" s="111"/>
      <c r="AP158" s="111"/>
      <c r="AQ158" s="111"/>
      <c r="AR158" s="111"/>
      <c r="AS158" s="111"/>
      <c r="AT158" s="111"/>
      <c r="AU158" s="111"/>
      <c r="AV158" s="111"/>
      <c r="AW158" s="111"/>
      <c r="AX158" s="111"/>
      <c r="AY158" s="111"/>
      <c r="AZ158" s="111"/>
      <c r="BA158" s="111"/>
      <c r="BB158" s="111"/>
      <c r="BC158" s="111"/>
      <c r="BD158" s="111"/>
      <c r="BE158" s="111"/>
      <c r="BF158" s="111"/>
      <c r="BG158" s="111"/>
      <c r="BH158" s="111"/>
      <c r="BI158" s="111"/>
      <c r="BJ158" s="111"/>
      <c r="BK158" s="111"/>
      <c r="BL158" s="111"/>
      <c r="BM158" s="111"/>
      <c r="BN158" s="111"/>
      <c r="BO158" s="111"/>
      <c r="BP158" s="111"/>
      <c r="BQ158" s="111"/>
      <c r="BR158" s="111"/>
      <c r="BS158" s="111"/>
      <c r="BT158" s="111"/>
      <c r="BU158" s="111"/>
      <c r="BV158" s="111"/>
      <c r="BW158" s="111"/>
      <c r="BX158" s="111"/>
      <c r="BY158" s="111"/>
      <c r="BZ158" s="111"/>
      <c r="CA158" s="111"/>
      <c r="CB158" s="111"/>
      <c r="CC158" s="111"/>
      <c r="CD158" s="111"/>
      <c r="CE158" s="111"/>
      <c r="CF158" s="111"/>
      <c r="CG158" s="111"/>
      <c r="CH158" s="111"/>
      <c r="CI158" s="111"/>
      <c r="CJ158" s="111"/>
      <c r="CK158" s="111"/>
      <c r="CL158" s="111"/>
      <c r="CM158" s="111"/>
      <c r="CN158" s="111"/>
      <c r="CO158" s="111"/>
      <c r="CP158" s="111"/>
      <c r="CQ158" s="111"/>
      <c r="CR158" s="111"/>
      <c r="CS158" s="111"/>
      <c r="CT158" s="111"/>
    </row>
    <row r="159" spans="1:98" hidden="1" x14ac:dyDescent="0.2">
      <c r="A159" s="590"/>
      <c r="B159" s="1807">
        <f>B63</f>
        <v>0</v>
      </c>
      <c r="C159" s="590"/>
      <c r="D159" s="1807">
        <f t="shared" si="65"/>
        <v>0</v>
      </c>
      <c r="E159" s="590"/>
      <c r="F159" s="590"/>
      <c r="G159" s="590"/>
      <c r="H159" s="590"/>
      <c r="I159" s="590"/>
      <c r="J159" s="590"/>
      <c r="K159" s="590"/>
      <c r="L159" s="590"/>
      <c r="M159" s="111"/>
      <c r="N159" s="111"/>
      <c r="O159" s="111"/>
      <c r="P159" s="111"/>
      <c r="Q159" s="111"/>
      <c r="R159" s="111"/>
      <c r="S159" s="111"/>
      <c r="T159" s="111"/>
      <c r="U159" s="111"/>
      <c r="V159" s="111"/>
      <c r="W159" s="111"/>
      <c r="X159" s="111"/>
      <c r="Y159" s="111"/>
      <c r="Z159" s="111"/>
      <c r="AA159" s="111"/>
      <c r="AB159" s="111"/>
      <c r="AC159" s="111"/>
      <c r="AD159" s="111"/>
      <c r="AE159" s="111"/>
      <c r="AF159" s="111"/>
      <c r="AG159" s="111"/>
      <c r="AH159" s="111"/>
      <c r="AI159" s="111"/>
      <c r="AJ159" s="111"/>
      <c r="AK159" s="111"/>
      <c r="AL159" s="111"/>
      <c r="AM159" s="111"/>
      <c r="AN159" s="111"/>
      <c r="AO159" s="111"/>
      <c r="AP159" s="111"/>
      <c r="AQ159" s="111"/>
      <c r="AR159" s="111"/>
      <c r="AS159" s="111"/>
      <c r="AT159" s="111"/>
      <c r="AU159" s="111"/>
      <c r="AV159" s="111"/>
      <c r="AW159" s="111"/>
      <c r="AX159" s="111"/>
      <c r="AY159" s="111"/>
      <c r="AZ159" s="111"/>
      <c r="BA159" s="111"/>
      <c r="BB159" s="111"/>
      <c r="BC159" s="111"/>
      <c r="BD159" s="111"/>
      <c r="BE159" s="111"/>
      <c r="BF159" s="111"/>
      <c r="BG159" s="111"/>
      <c r="BH159" s="111"/>
      <c r="BI159" s="111"/>
      <c r="BJ159" s="111"/>
      <c r="BK159" s="111"/>
      <c r="BL159" s="111"/>
      <c r="BM159" s="111"/>
      <c r="BN159" s="111"/>
      <c r="BO159" s="111"/>
      <c r="BP159" s="111"/>
      <c r="BQ159" s="111"/>
      <c r="BR159" s="111"/>
      <c r="BS159" s="111"/>
      <c r="BT159" s="111"/>
      <c r="BU159" s="111"/>
      <c r="BV159" s="111"/>
      <c r="BW159" s="111"/>
      <c r="BX159" s="111"/>
      <c r="BY159" s="111"/>
      <c r="BZ159" s="111"/>
      <c r="CA159" s="111"/>
      <c r="CB159" s="111"/>
      <c r="CC159" s="111"/>
      <c r="CD159" s="111"/>
      <c r="CE159" s="111"/>
      <c r="CF159" s="111"/>
      <c r="CG159" s="111"/>
      <c r="CH159" s="111"/>
      <c r="CI159" s="111"/>
      <c r="CJ159" s="111"/>
      <c r="CK159" s="111"/>
      <c r="CL159" s="111"/>
      <c r="CM159" s="111"/>
      <c r="CN159" s="111"/>
      <c r="CO159" s="111"/>
      <c r="CP159" s="111"/>
      <c r="CQ159" s="111"/>
      <c r="CR159" s="111"/>
      <c r="CS159" s="111"/>
      <c r="CT159" s="111"/>
    </row>
    <row r="160" spans="1:98" hidden="1" x14ac:dyDescent="0.2">
      <c r="A160" s="590"/>
      <c r="B160" s="1807" t="str">
        <f t="shared" ref="B160:B171" si="69">B65</f>
        <v>Soja</v>
      </c>
      <c r="C160" s="590"/>
      <c r="D160" s="1807">
        <f t="shared" si="65"/>
        <v>0</v>
      </c>
      <c r="E160" s="590"/>
      <c r="F160" s="590"/>
      <c r="G160" s="590"/>
      <c r="H160" s="590"/>
      <c r="I160" s="590"/>
      <c r="J160" s="590"/>
      <c r="K160" s="590"/>
      <c r="L160" s="590"/>
      <c r="M160" s="111"/>
      <c r="N160" s="111"/>
      <c r="O160" s="111"/>
      <c r="P160" s="111"/>
      <c r="Q160" s="111"/>
      <c r="R160" s="111"/>
      <c r="S160" s="111"/>
      <c r="T160" s="111"/>
      <c r="U160" s="111"/>
      <c r="V160" s="111"/>
      <c r="W160" s="111"/>
      <c r="X160" s="111"/>
      <c r="Y160" s="111"/>
      <c r="Z160" s="111"/>
      <c r="AA160" s="111"/>
      <c r="AB160" s="111"/>
      <c r="AC160" s="111"/>
      <c r="AD160" s="111"/>
      <c r="AE160" s="111"/>
      <c r="AF160" s="111"/>
      <c r="AG160" s="111"/>
      <c r="AH160" s="111"/>
      <c r="AI160" s="111"/>
      <c r="AJ160" s="111"/>
      <c r="AK160" s="111"/>
      <c r="AL160" s="111"/>
      <c r="AM160" s="111"/>
      <c r="AN160" s="111"/>
      <c r="AO160" s="111"/>
      <c r="AP160" s="111"/>
      <c r="AQ160" s="111"/>
      <c r="AR160" s="111"/>
      <c r="AS160" s="111"/>
      <c r="AT160" s="111"/>
      <c r="AU160" s="111"/>
      <c r="AV160" s="111"/>
      <c r="AW160" s="111"/>
      <c r="AX160" s="111"/>
      <c r="AY160" s="111"/>
      <c r="AZ160" s="111"/>
      <c r="BA160" s="111"/>
      <c r="BB160" s="111"/>
      <c r="BC160" s="111"/>
      <c r="BD160" s="111"/>
      <c r="BE160" s="111"/>
      <c r="BF160" s="111"/>
      <c r="BG160" s="111"/>
      <c r="BH160" s="111"/>
      <c r="BI160" s="111"/>
      <c r="BJ160" s="111"/>
      <c r="BK160" s="111"/>
      <c r="BL160" s="111"/>
      <c r="BM160" s="111"/>
      <c r="BN160" s="111"/>
      <c r="BO160" s="111"/>
      <c r="BP160" s="111"/>
      <c r="BQ160" s="111"/>
      <c r="BR160" s="111"/>
      <c r="BS160" s="111"/>
      <c r="BT160" s="111"/>
      <c r="BU160" s="111"/>
      <c r="BV160" s="111"/>
      <c r="BW160" s="111"/>
      <c r="BX160" s="111"/>
      <c r="BY160" s="111"/>
      <c r="BZ160" s="111"/>
      <c r="CA160" s="111"/>
      <c r="CB160" s="111"/>
      <c r="CC160" s="111"/>
      <c r="CD160" s="111"/>
      <c r="CE160" s="111"/>
      <c r="CF160" s="111"/>
      <c r="CG160" s="111"/>
      <c r="CH160" s="111"/>
      <c r="CI160" s="111"/>
      <c r="CJ160" s="111"/>
      <c r="CK160" s="111"/>
      <c r="CL160" s="111"/>
      <c r="CM160" s="111"/>
      <c r="CN160" s="111"/>
      <c r="CO160" s="111"/>
      <c r="CP160" s="111"/>
      <c r="CQ160" s="111"/>
      <c r="CR160" s="111"/>
      <c r="CS160" s="111"/>
      <c r="CT160" s="111"/>
    </row>
    <row r="161" spans="1:98" hidden="1" x14ac:dyDescent="0.2">
      <c r="A161" s="590"/>
      <c r="B161" s="1807" t="str">
        <f t="shared" si="69"/>
        <v>Soja 2ª</v>
      </c>
      <c r="C161" s="590"/>
      <c r="D161" s="1807">
        <f t="shared" si="65"/>
        <v>0</v>
      </c>
      <c r="E161" s="590"/>
      <c r="F161" s="590"/>
      <c r="G161" s="590"/>
      <c r="H161" s="590"/>
      <c r="I161" s="590"/>
      <c r="J161" s="590"/>
      <c r="K161" s="590"/>
      <c r="L161" s="590"/>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c r="CC161" s="111"/>
      <c r="CD161" s="111"/>
      <c r="CE161" s="111"/>
      <c r="CF161" s="111"/>
      <c r="CG161" s="111"/>
      <c r="CH161" s="111"/>
      <c r="CI161" s="111"/>
      <c r="CJ161" s="111"/>
      <c r="CK161" s="111"/>
      <c r="CL161" s="111"/>
      <c r="CM161" s="111"/>
      <c r="CN161" s="111"/>
      <c r="CO161" s="111"/>
      <c r="CP161" s="111"/>
      <c r="CQ161" s="111"/>
      <c r="CR161" s="111"/>
      <c r="CS161" s="111"/>
      <c r="CT161" s="111"/>
    </row>
    <row r="162" spans="1:98" hidden="1" x14ac:dyDescent="0.2">
      <c r="A162" s="590"/>
      <c r="B162" s="1807" t="str">
        <f t="shared" si="69"/>
        <v>Maíz Grano</v>
      </c>
      <c r="C162" s="590"/>
      <c r="D162" s="1807">
        <f t="shared" si="65"/>
        <v>0</v>
      </c>
      <c r="E162" s="590"/>
      <c r="F162" s="590"/>
      <c r="G162" s="590"/>
      <c r="H162" s="590"/>
      <c r="I162" s="590"/>
      <c r="J162" s="590"/>
      <c r="K162" s="590"/>
      <c r="L162" s="590"/>
      <c r="M162" s="111"/>
      <c r="N162" s="111"/>
      <c r="O162" s="111"/>
      <c r="P162" s="111"/>
      <c r="Q162" s="111"/>
      <c r="R162" s="111"/>
      <c r="S162" s="111"/>
      <c r="T162" s="111"/>
      <c r="U162" s="111"/>
      <c r="V162" s="111"/>
      <c r="W162" s="111"/>
      <c r="X162" s="111"/>
      <c r="Y162" s="111"/>
      <c r="Z162" s="111"/>
      <c r="AA162" s="111"/>
      <c r="AB162" s="111"/>
      <c r="AC162" s="111"/>
      <c r="AD162" s="111"/>
      <c r="AE162" s="111"/>
      <c r="AF162" s="111"/>
      <c r="AG162" s="111"/>
      <c r="AH162" s="111"/>
      <c r="AI162" s="111"/>
      <c r="AJ162" s="111"/>
      <c r="AK162" s="111"/>
      <c r="AL162" s="111"/>
      <c r="AM162" s="111"/>
      <c r="AN162" s="111"/>
      <c r="AO162" s="111"/>
      <c r="AP162" s="111"/>
      <c r="AQ162" s="111"/>
      <c r="AR162" s="111"/>
      <c r="AS162" s="111"/>
      <c r="AT162" s="111"/>
      <c r="AU162" s="111"/>
      <c r="AV162" s="111"/>
      <c r="AW162" s="111"/>
      <c r="AX162" s="111"/>
      <c r="AY162" s="111"/>
      <c r="AZ162" s="111"/>
      <c r="BA162" s="111"/>
      <c r="BB162" s="111"/>
      <c r="BC162" s="111"/>
      <c r="BD162" s="111"/>
      <c r="BE162" s="111"/>
      <c r="BF162" s="111"/>
      <c r="BG162" s="111"/>
      <c r="BH162" s="111"/>
      <c r="BI162" s="111"/>
      <c r="BJ162" s="111"/>
      <c r="BK162" s="111"/>
      <c r="BL162" s="111"/>
      <c r="BM162" s="111"/>
      <c r="BN162" s="111"/>
      <c r="BO162" s="111"/>
      <c r="BP162" s="111"/>
      <c r="BQ162" s="111"/>
      <c r="BR162" s="111"/>
      <c r="BS162" s="111"/>
      <c r="BT162" s="111"/>
      <c r="BU162" s="111"/>
      <c r="BV162" s="111"/>
      <c r="BW162" s="111"/>
      <c r="BX162" s="111"/>
      <c r="BY162" s="111"/>
      <c r="BZ162" s="111"/>
      <c r="CA162" s="111"/>
      <c r="CB162" s="111"/>
      <c r="CC162" s="111"/>
      <c r="CD162" s="111"/>
      <c r="CE162" s="111"/>
      <c r="CF162" s="111"/>
      <c r="CG162" s="111"/>
      <c r="CH162" s="111"/>
      <c r="CI162" s="111"/>
      <c r="CJ162" s="111"/>
      <c r="CK162" s="111"/>
      <c r="CL162" s="111"/>
      <c r="CM162" s="111"/>
      <c r="CN162" s="111"/>
      <c r="CO162" s="111"/>
      <c r="CP162" s="111"/>
      <c r="CQ162" s="111"/>
      <c r="CR162" s="111"/>
      <c r="CS162" s="111"/>
      <c r="CT162" s="111"/>
    </row>
    <row r="163" spans="1:98" hidden="1" x14ac:dyDescent="0.2">
      <c r="A163" s="590"/>
      <c r="B163" s="1807" t="str">
        <f t="shared" si="69"/>
        <v>Sorgo grano</v>
      </c>
      <c r="C163" s="590"/>
      <c r="D163" s="1807">
        <f t="shared" si="65"/>
        <v>0</v>
      </c>
      <c r="E163" s="590"/>
      <c r="F163" s="590"/>
      <c r="G163" s="590"/>
      <c r="H163" s="590"/>
      <c r="I163" s="590"/>
      <c r="J163" s="590"/>
      <c r="K163" s="590"/>
      <c r="L163" s="590"/>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row>
    <row r="164" spans="1:98" hidden="1" x14ac:dyDescent="0.2">
      <c r="A164" s="590"/>
      <c r="B164" s="1807" t="str">
        <f t="shared" si="69"/>
        <v>Trigo grano</v>
      </c>
      <c r="C164" s="590"/>
      <c r="D164" s="1807" t="str">
        <f t="shared" si="65"/>
        <v xml:space="preserve">Dactylis Semillero </v>
      </c>
      <c r="E164" s="590"/>
      <c r="F164" s="590"/>
      <c r="G164" s="590"/>
      <c r="H164" s="590"/>
      <c r="I164" s="590"/>
      <c r="J164" s="590"/>
      <c r="K164" s="590"/>
      <c r="L164" s="590"/>
      <c r="M164" s="111"/>
      <c r="N164" s="111"/>
      <c r="O164" s="111"/>
      <c r="P164" s="111"/>
      <c r="Q164" s="111"/>
      <c r="R164" s="111"/>
      <c r="S164" s="111"/>
      <c r="T164" s="111"/>
      <c r="U164" s="111"/>
      <c r="V164" s="111"/>
      <c r="W164" s="111"/>
      <c r="X164" s="111"/>
      <c r="Y164" s="111"/>
      <c r="Z164" s="111"/>
      <c r="AA164" s="111"/>
      <c r="AB164" s="111"/>
      <c r="AC164" s="111"/>
      <c r="AD164" s="111"/>
      <c r="AE164" s="111"/>
      <c r="AF164" s="111"/>
      <c r="AG164" s="111"/>
      <c r="AH164" s="111"/>
      <c r="AI164" s="111"/>
      <c r="AJ164" s="111"/>
      <c r="AK164" s="111"/>
      <c r="AL164" s="111"/>
      <c r="AM164" s="111"/>
      <c r="AN164" s="111"/>
      <c r="AO164" s="111"/>
      <c r="AP164" s="111"/>
      <c r="AQ164" s="111"/>
      <c r="AR164" s="111"/>
      <c r="AS164" s="111"/>
      <c r="AT164" s="111"/>
      <c r="AU164" s="111"/>
      <c r="AV164" s="111"/>
      <c r="AW164" s="111"/>
      <c r="AX164" s="111"/>
      <c r="AY164" s="111"/>
      <c r="AZ164" s="111"/>
      <c r="BA164" s="111"/>
      <c r="BB164" s="111"/>
      <c r="BC164" s="111"/>
      <c r="BD164" s="111"/>
      <c r="BE164" s="111"/>
      <c r="BF164" s="111"/>
      <c r="BG164" s="111"/>
      <c r="BH164" s="111"/>
      <c r="BI164" s="111"/>
      <c r="BJ164" s="111"/>
      <c r="BK164" s="111"/>
      <c r="BL164" s="111"/>
      <c r="BM164" s="111"/>
      <c r="BN164" s="111"/>
      <c r="BO164" s="111"/>
      <c r="BP164" s="111"/>
      <c r="BQ164" s="111"/>
      <c r="BR164" s="111"/>
      <c r="BS164" s="111"/>
      <c r="BT164" s="111"/>
      <c r="BU164" s="111"/>
      <c r="BV164" s="111"/>
      <c r="BW164" s="111"/>
      <c r="BX164" s="111"/>
      <c r="BY164" s="111"/>
      <c r="BZ164" s="111"/>
      <c r="CA164" s="111"/>
      <c r="CB164" s="111"/>
      <c r="CC164" s="111"/>
      <c r="CD164" s="111"/>
      <c r="CE164" s="111"/>
      <c r="CF164" s="111"/>
      <c r="CG164" s="111"/>
      <c r="CH164" s="111"/>
      <c r="CI164" s="111"/>
      <c r="CJ164" s="111"/>
      <c r="CK164" s="111"/>
      <c r="CL164" s="111"/>
      <c r="CM164" s="111"/>
      <c r="CN164" s="111"/>
      <c r="CO164" s="111"/>
      <c r="CP164" s="111"/>
      <c r="CQ164" s="111"/>
      <c r="CR164" s="111"/>
      <c r="CS164" s="111"/>
      <c r="CT164" s="111"/>
    </row>
    <row r="165" spans="1:98" hidden="1" x14ac:dyDescent="0.2">
      <c r="A165" s="590"/>
      <c r="B165" s="1807" t="str">
        <f t="shared" si="69"/>
        <v>Cebada grano</v>
      </c>
      <c r="C165" s="590"/>
      <c r="D165" s="1807" t="str">
        <f t="shared" si="65"/>
        <v xml:space="preserve">Festuca Semillero </v>
      </c>
      <c r="E165" s="590"/>
      <c r="F165" s="590"/>
      <c r="G165" s="590"/>
      <c r="H165" s="590"/>
      <c r="I165" s="590"/>
      <c r="J165" s="590"/>
      <c r="K165" s="590"/>
      <c r="L165" s="590"/>
      <c r="M165" s="111"/>
      <c r="N165" s="111"/>
      <c r="O165" s="111"/>
      <c r="P165" s="111"/>
      <c r="Q165" s="111"/>
      <c r="R165" s="111"/>
      <c r="S165" s="111"/>
      <c r="T165" s="111"/>
      <c r="U165" s="111"/>
      <c r="V165" s="111"/>
      <c r="W165" s="111"/>
      <c r="X165" s="111"/>
      <c r="Y165" s="111"/>
      <c r="Z165" s="111"/>
      <c r="AA165" s="111"/>
      <c r="AB165" s="111"/>
      <c r="AC165" s="111"/>
      <c r="AD165" s="111"/>
      <c r="AE165" s="111"/>
      <c r="AF165" s="111"/>
      <c r="AG165" s="111"/>
      <c r="AH165" s="111"/>
      <c r="AI165" s="111"/>
      <c r="AJ165" s="111"/>
      <c r="AK165" s="111"/>
      <c r="AL165" s="111"/>
      <c r="AM165" s="111"/>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1"/>
      <c r="BR165" s="111"/>
      <c r="BS165" s="111"/>
      <c r="BT165" s="111"/>
      <c r="BU165" s="111"/>
      <c r="BV165" s="111"/>
      <c r="BW165" s="111"/>
      <c r="BX165" s="111"/>
      <c r="BY165" s="111"/>
      <c r="BZ165" s="111"/>
      <c r="CA165" s="111"/>
      <c r="CB165" s="111"/>
      <c r="CC165" s="111"/>
      <c r="CD165" s="111"/>
      <c r="CE165" s="111"/>
      <c r="CF165" s="111"/>
      <c r="CG165" s="111"/>
      <c r="CH165" s="111"/>
      <c r="CI165" s="111"/>
      <c r="CJ165" s="111"/>
      <c r="CK165" s="111"/>
      <c r="CL165" s="111"/>
      <c r="CM165" s="111"/>
      <c r="CN165" s="111"/>
      <c r="CO165" s="111"/>
      <c r="CP165" s="111"/>
      <c r="CQ165" s="111"/>
      <c r="CR165" s="111"/>
      <c r="CS165" s="111"/>
      <c r="CT165" s="111"/>
    </row>
    <row r="166" spans="1:98" hidden="1" x14ac:dyDescent="0.2">
      <c r="A166" s="590"/>
      <c r="B166" s="1807" t="str">
        <f t="shared" si="69"/>
        <v>Avena grano</v>
      </c>
      <c r="C166" s="590"/>
      <c r="D166" s="1807" t="str">
        <f t="shared" si="65"/>
        <v xml:space="preserve">Rg semillero </v>
      </c>
      <c r="E166" s="590"/>
      <c r="F166" s="590"/>
      <c r="G166" s="590"/>
      <c r="H166" s="590"/>
      <c r="I166" s="590"/>
      <c r="J166" s="590"/>
      <c r="K166" s="590"/>
      <c r="L166" s="590"/>
      <c r="M166" s="111"/>
      <c r="N166" s="111"/>
      <c r="O166" s="111"/>
      <c r="P166" s="111"/>
      <c r="Q166" s="111"/>
      <c r="R166" s="111"/>
      <c r="S166" s="111"/>
      <c r="T166" s="111"/>
      <c r="U166" s="111"/>
      <c r="V166" s="111"/>
      <c r="W166" s="111"/>
      <c r="X166" s="111"/>
      <c r="Y166" s="111"/>
      <c r="Z166" s="111"/>
      <c r="AA166" s="111"/>
      <c r="AB166" s="111"/>
      <c r="AC166" s="111"/>
      <c r="AD166" s="111"/>
      <c r="AE166" s="111"/>
      <c r="AF166" s="111"/>
      <c r="AG166" s="111"/>
      <c r="AH166" s="111"/>
      <c r="AI166" s="111"/>
      <c r="AJ166" s="111"/>
      <c r="AK166" s="111"/>
      <c r="AL166" s="111"/>
      <c r="AM166" s="111"/>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1"/>
      <c r="BR166" s="111"/>
      <c r="BS166" s="111"/>
      <c r="BT166" s="111"/>
      <c r="BU166" s="111"/>
      <c r="BV166" s="111"/>
      <c r="BW166" s="111"/>
      <c r="BX166" s="111"/>
      <c r="BY166" s="111"/>
      <c r="BZ166" s="111"/>
      <c r="CA166" s="111"/>
      <c r="CB166" s="111"/>
      <c r="CC166" s="111"/>
      <c r="CD166" s="111"/>
      <c r="CE166" s="111"/>
      <c r="CF166" s="111"/>
      <c r="CG166" s="111"/>
      <c r="CH166" s="111"/>
      <c r="CI166" s="111"/>
      <c r="CJ166" s="111"/>
      <c r="CK166" s="111"/>
      <c r="CL166" s="111"/>
      <c r="CM166" s="111"/>
      <c r="CN166" s="111"/>
      <c r="CO166" s="111"/>
      <c r="CP166" s="111"/>
      <c r="CQ166" s="111"/>
      <c r="CR166" s="111"/>
      <c r="CS166" s="111"/>
      <c r="CT166" s="111"/>
    </row>
    <row r="167" spans="1:98" hidden="1" x14ac:dyDescent="0.2">
      <c r="A167" s="590"/>
      <c r="B167" s="1807" t="str">
        <f t="shared" si="69"/>
        <v>Colza grano</v>
      </c>
      <c r="C167" s="590"/>
      <c r="D167" s="1807">
        <f t="shared" si="65"/>
        <v>0</v>
      </c>
      <c r="E167" s="590"/>
      <c r="F167" s="590"/>
      <c r="G167" s="590"/>
      <c r="H167" s="590"/>
      <c r="I167" s="590"/>
      <c r="J167" s="590"/>
      <c r="K167" s="590"/>
      <c r="L167" s="590"/>
      <c r="M167" s="111"/>
      <c r="N167" s="111"/>
      <c r="O167" s="111"/>
      <c r="P167" s="111"/>
      <c r="Q167" s="111"/>
      <c r="R167" s="111"/>
      <c r="S167" s="111"/>
      <c r="T167" s="111"/>
      <c r="U167" s="111"/>
      <c r="V167" s="111"/>
      <c r="W167" s="111"/>
      <c r="X167" s="111"/>
      <c r="Y167" s="111"/>
      <c r="Z167" s="111"/>
      <c r="AA167" s="111"/>
      <c r="AB167" s="111"/>
      <c r="AC167" s="111"/>
      <c r="AD167" s="111"/>
      <c r="AE167" s="111"/>
      <c r="AF167" s="111"/>
      <c r="AG167" s="111"/>
      <c r="AH167" s="111"/>
      <c r="AI167" s="111"/>
      <c r="AJ167" s="111"/>
      <c r="AK167" s="111"/>
      <c r="AL167" s="111"/>
      <c r="AM167" s="111"/>
      <c r="AN167" s="111"/>
      <c r="AO167" s="111"/>
      <c r="AP167" s="111"/>
      <c r="AQ167" s="111"/>
      <c r="AR167" s="111"/>
      <c r="AS167" s="111"/>
      <c r="AT167" s="111"/>
      <c r="AU167" s="111"/>
      <c r="AV167" s="111"/>
      <c r="AW167" s="111"/>
      <c r="AX167" s="111"/>
      <c r="AY167" s="111"/>
      <c r="AZ167" s="111"/>
      <c r="BA167" s="111"/>
      <c r="BB167" s="111"/>
      <c r="BC167" s="111"/>
      <c r="BD167" s="111"/>
      <c r="BE167" s="111"/>
      <c r="BF167" s="111"/>
      <c r="BG167" s="111"/>
      <c r="BH167" s="111"/>
      <c r="BI167" s="111"/>
      <c r="BJ167" s="111"/>
      <c r="BK167" s="111"/>
      <c r="BL167" s="111"/>
      <c r="BM167" s="111"/>
      <c r="BN167" s="111"/>
      <c r="BO167" s="111"/>
      <c r="BP167" s="111"/>
      <c r="BQ167" s="111"/>
      <c r="BR167" s="111"/>
      <c r="BS167" s="111"/>
      <c r="BT167" s="111"/>
      <c r="BU167" s="111"/>
      <c r="BV167" s="111"/>
      <c r="BW167" s="111"/>
      <c r="BX167" s="111"/>
      <c r="BY167" s="111"/>
      <c r="BZ167" s="111"/>
      <c r="CA167" s="111"/>
      <c r="CB167" s="111"/>
      <c r="CC167" s="111"/>
      <c r="CD167" s="111"/>
      <c r="CE167" s="111"/>
      <c r="CF167" s="111"/>
      <c r="CG167" s="111"/>
      <c r="CH167" s="111"/>
      <c r="CI167" s="111"/>
      <c r="CJ167" s="111"/>
      <c r="CK167" s="111"/>
      <c r="CL167" s="111"/>
      <c r="CM167" s="111"/>
      <c r="CN167" s="111"/>
      <c r="CO167" s="111"/>
      <c r="CP167" s="111"/>
      <c r="CQ167" s="111"/>
      <c r="CR167" s="111"/>
      <c r="CS167" s="111"/>
      <c r="CT167" s="111"/>
    </row>
    <row r="168" spans="1:98" hidden="1" x14ac:dyDescent="0.2">
      <c r="A168" s="590"/>
      <c r="B168" s="1807">
        <f t="shared" si="69"/>
        <v>0</v>
      </c>
      <c r="C168" s="590"/>
      <c r="D168" s="1807">
        <f t="shared" si="65"/>
        <v>0</v>
      </c>
      <c r="E168" s="590"/>
      <c r="F168" s="590"/>
      <c r="G168" s="590"/>
      <c r="H168" s="590"/>
      <c r="I168" s="590"/>
      <c r="J168" s="590"/>
      <c r="K168" s="590"/>
      <c r="L168" s="590"/>
      <c r="M168" s="111"/>
      <c r="N168" s="111"/>
      <c r="O168" s="111"/>
      <c r="P168" s="111"/>
      <c r="Q168" s="111"/>
      <c r="R168" s="111"/>
      <c r="S168" s="111"/>
      <c r="T168" s="111"/>
      <c r="U168" s="111"/>
      <c r="V168" s="111"/>
      <c r="W168" s="111"/>
      <c r="X168" s="111"/>
      <c r="Y168" s="111"/>
      <c r="Z168" s="111"/>
      <c r="AA168" s="111"/>
      <c r="AB168" s="111"/>
      <c r="AC168" s="111"/>
      <c r="AD168" s="111"/>
      <c r="AE168" s="111"/>
      <c r="AF168" s="111"/>
      <c r="AG168" s="111"/>
      <c r="AH168" s="111"/>
      <c r="AI168" s="111"/>
      <c r="AJ168" s="111"/>
      <c r="AK168" s="111"/>
      <c r="AL168" s="111"/>
      <c r="AM168" s="111"/>
      <c r="AN168" s="111"/>
      <c r="AO168" s="111"/>
      <c r="AP168" s="111"/>
      <c r="AQ168" s="111"/>
      <c r="AR168" s="111"/>
      <c r="AS168" s="111"/>
      <c r="AT168" s="111"/>
      <c r="AU168" s="111"/>
      <c r="AV168" s="111"/>
      <c r="AW168" s="111"/>
      <c r="AX168" s="111"/>
      <c r="AY168" s="111"/>
      <c r="AZ168" s="111"/>
      <c r="BA168" s="111"/>
      <c r="BB168" s="111"/>
      <c r="BC168" s="111"/>
      <c r="BD168" s="111"/>
      <c r="BE168" s="111"/>
      <c r="BF168" s="111"/>
      <c r="BG168" s="111"/>
      <c r="BH168" s="111"/>
      <c r="BI168" s="111"/>
      <c r="BJ168" s="111"/>
      <c r="BK168" s="111"/>
      <c r="BL168" s="111"/>
      <c r="BM168" s="111"/>
      <c r="BN168" s="111"/>
      <c r="BO168" s="111"/>
      <c r="BP168" s="111"/>
      <c r="BQ168" s="111"/>
      <c r="BR168" s="111"/>
      <c r="BS168" s="111"/>
      <c r="BT168" s="111"/>
      <c r="BU168" s="111"/>
      <c r="BV168" s="111"/>
      <c r="BW168" s="111"/>
      <c r="BX168" s="111"/>
      <c r="BY168" s="111"/>
      <c r="BZ168" s="111"/>
      <c r="CA168" s="111"/>
      <c r="CB168" s="111"/>
      <c r="CC168" s="111"/>
      <c r="CD168" s="111"/>
      <c r="CE168" s="111"/>
      <c r="CF168" s="111"/>
      <c r="CG168" s="111"/>
      <c r="CH168" s="111"/>
      <c r="CI168" s="111"/>
      <c r="CJ168" s="111"/>
      <c r="CK168" s="111"/>
      <c r="CL168" s="111"/>
      <c r="CM168" s="111"/>
      <c r="CN168" s="111"/>
      <c r="CO168" s="111"/>
      <c r="CP168" s="111"/>
      <c r="CQ168" s="111"/>
      <c r="CR168" s="111"/>
      <c r="CS168" s="111"/>
      <c r="CT168" s="111"/>
    </row>
    <row r="169" spans="1:98" hidden="1" x14ac:dyDescent="0.2">
      <c r="A169" s="590"/>
      <c r="B169" s="1807">
        <f t="shared" si="69"/>
        <v>0</v>
      </c>
      <c r="C169" s="590"/>
      <c r="D169" s="1807">
        <f t="shared" si="65"/>
        <v>0</v>
      </c>
      <c r="E169" s="590"/>
      <c r="F169" s="590"/>
      <c r="G169" s="590"/>
      <c r="H169" s="590"/>
      <c r="I169" s="590"/>
      <c r="J169" s="590"/>
      <c r="K169" s="590"/>
      <c r="L169" s="590"/>
      <c r="M169" s="111"/>
      <c r="N169" s="111"/>
      <c r="O169" s="111"/>
      <c r="P169" s="111"/>
      <c r="Q169" s="111"/>
      <c r="R169" s="111"/>
      <c r="S169" s="111"/>
      <c r="T169" s="111"/>
      <c r="U169" s="111"/>
      <c r="V169" s="111"/>
      <c r="W169" s="111"/>
      <c r="X169" s="111"/>
      <c r="Y169" s="111"/>
      <c r="Z169" s="111"/>
      <c r="AA169" s="111"/>
      <c r="AB169" s="111"/>
      <c r="AC169" s="111"/>
      <c r="AD169" s="111"/>
      <c r="AE169" s="111"/>
      <c r="AF169" s="111"/>
      <c r="AG169" s="111"/>
      <c r="AH169" s="111"/>
      <c r="AI169" s="111"/>
      <c r="AJ169" s="111"/>
      <c r="AK169" s="111"/>
      <c r="AL169" s="111"/>
      <c r="AM169" s="111"/>
      <c r="AN169" s="111"/>
      <c r="AO169" s="111"/>
      <c r="AP169" s="111"/>
      <c r="AQ169" s="111"/>
      <c r="AR169" s="111"/>
      <c r="AS169" s="111"/>
      <c r="AT169" s="111"/>
      <c r="AU169" s="111"/>
      <c r="AV169" s="111"/>
      <c r="AW169" s="111"/>
      <c r="AX169" s="111"/>
      <c r="AY169" s="111"/>
      <c r="AZ169" s="111"/>
      <c r="BA169" s="111"/>
      <c r="BB169" s="111"/>
      <c r="BC169" s="111"/>
      <c r="BD169" s="111"/>
      <c r="BE169" s="111"/>
      <c r="BF169" s="111"/>
      <c r="BG169" s="111"/>
      <c r="BH169" s="111"/>
      <c r="BI169" s="111"/>
      <c r="BJ169" s="111"/>
      <c r="BK169" s="111"/>
      <c r="BL169" s="111"/>
      <c r="BM169" s="111"/>
      <c r="BN169" s="111"/>
      <c r="BO169" s="111"/>
      <c r="BP169" s="111"/>
      <c r="BQ169" s="111"/>
      <c r="BR169" s="111"/>
      <c r="BS169" s="111"/>
      <c r="BT169" s="111"/>
      <c r="BU169" s="111"/>
      <c r="BV169" s="111"/>
      <c r="BW169" s="111"/>
      <c r="BX169" s="111"/>
      <c r="BY169" s="111"/>
      <c r="BZ169" s="111"/>
      <c r="CA169" s="111"/>
      <c r="CB169" s="111"/>
      <c r="CC169" s="111"/>
      <c r="CD169" s="111"/>
      <c r="CE169" s="111"/>
      <c r="CF169" s="111"/>
      <c r="CG169" s="111"/>
      <c r="CH169" s="111"/>
      <c r="CI169" s="111"/>
      <c r="CJ169" s="111"/>
      <c r="CK169" s="111"/>
      <c r="CL169" s="111"/>
      <c r="CM169" s="111"/>
      <c r="CN169" s="111"/>
      <c r="CO169" s="111"/>
      <c r="CP169" s="111"/>
      <c r="CQ169" s="111"/>
      <c r="CR169" s="111"/>
      <c r="CS169" s="111"/>
      <c r="CT169" s="111"/>
    </row>
    <row r="170" spans="1:98" hidden="1" x14ac:dyDescent="0.2">
      <c r="A170" s="590"/>
      <c r="B170" s="1807">
        <f t="shared" si="69"/>
        <v>0</v>
      </c>
      <c r="C170" s="590"/>
      <c r="D170" s="1807">
        <f t="shared" si="65"/>
        <v>0</v>
      </c>
      <c r="E170" s="590"/>
      <c r="F170" s="590"/>
      <c r="G170" s="590"/>
      <c r="H170" s="590"/>
      <c r="I170" s="590"/>
      <c r="J170" s="590"/>
      <c r="K170" s="590"/>
      <c r="L170" s="590"/>
      <c r="M170" s="111"/>
      <c r="N170" s="111"/>
      <c r="O170" s="111"/>
      <c r="P170" s="111"/>
      <c r="Q170" s="111"/>
      <c r="R170" s="111"/>
      <c r="S170" s="111"/>
      <c r="T170" s="111"/>
      <c r="U170" s="111"/>
      <c r="V170" s="111"/>
      <c r="W170" s="111"/>
      <c r="X170" s="111"/>
      <c r="Y170" s="111"/>
      <c r="Z170" s="111"/>
      <c r="AA170" s="111"/>
      <c r="AB170" s="111"/>
      <c r="AC170" s="111"/>
      <c r="AD170" s="111"/>
      <c r="AE170" s="111"/>
      <c r="AF170" s="111"/>
      <c r="AG170" s="111"/>
      <c r="AH170" s="111"/>
      <c r="AI170" s="111"/>
      <c r="AJ170" s="111"/>
      <c r="AK170" s="111"/>
      <c r="AL170" s="111"/>
      <c r="AM170" s="111"/>
      <c r="AN170" s="111"/>
      <c r="AO170" s="111"/>
      <c r="AP170" s="111"/>
      <c r="AQ170" s="111"/>
      <c r="AR170" s="111"/>
      <c r="AS170" s="111"/>
      <c r="AT170" s="111"/>
      <c r="AU170" s="111"/>
      <c r="AV170" s="111"/>
      <c r="AW170" s="111"/>
      <c r="AX170" s="111"/>
      <c r="AY170" s="111"/>
      <c r="AZ170" s="111"/>
      <c r="BA170" s="111"/>
      <c r="BB170" s="111"/>
      <c r="BC170" s="111"/>
      <c r="BD170" s="111"/>
      <c r="BE170" s="111"/>
      <c r="BF170" s="111"/>
      <c r="BG170" s="111"/>
      <c r="BH170" s="111"/>
      <c r="BI170" s="111"/>
      <c r="BJ170" s="111"/>
      <c r="BK170" s="111"/>
      <c r="BL170" s="111"/>
      <c r="BM170" s="111"/>
      <c r="BN170" s="111"/>
      <c r="BO170" s="111"/>
      <c r="BP170" s="111"/>
      <c r="BQ170" s="111"/>
      <c r="BR170" s="111"/>
      <c r="BS170" s="111"/>
      <c r="BT170" s="111"/>
      <c r="BU170" s="111"/>
      <c r="BV170" s="111"/>
      <c r="BW170" s="111"/>
      <c r="BX170" s="111"/>
      <c r="BY170" s="111"/>
      <c r="BZ170" s="111"/>
      <c r="CA170" s="111"/>
      <c r="CB170" s="111"/>
      <c r="CC170" s="111"/>
      <c r="CD170" s="111"/>
      <c r="CE170" s="111"/>
      <c r="CF170" s="111"/>
      <c r="CG170" s="111"/>
      <c r="CH170" s="111"/>
      <c r="CI170" s="111"/>
      <c r="CJ170" s="111"/>
      <c r="CK170" s="111"/>
      <c r="CL170" s="111"/>
      <c r="CM170" s="111"/>
      <c r="CN170" s="111"/>
      <c r="CO170" s="111"/>
      <c r="CP170" s="111"/>
      <c r="CQ170" s="111"/>
      <c r="CR170" s="111"/>
      <c r="CS170" s="111"/>
      <c r="CT170" s="111"/>
    </row>
    <row r="171" spans="1:98" hidden="1" x14ac:dyDescent="0.2">
      <c r="A171" s="590"/>
      <c r="B171" s="1807">
        <f t="shared" si="69"/>
        <v>0</v>
      </c>
      <c r="C171" s="590"/>
      <c r="D171" s="1807">
        <f t="shared" si="65"/>
        <v>0</v>
      </c>
      <c r="E171" s="590"/>
      <c r="F171" s="590"/>
      <c r="G171" s="590"/>
      <c r="H171" s="590"/>
      <c r="I171" s="590"/>
      <c r="J171" s="590"/>
      <c r="K171" s="590"/>
      <c r="L171" s="590"/>
      <c r="M171" s="111"/>
      <c r="N171" s="111"/>
      <c r="O171" s="111"/>
      <c r="P171" s="111"/>
      <c r="Q171" s="111"/>
      <c r="R171" s="111"/>
      <c r="S171" s="111"/>
      <c r="T171" s="111"/>
      <c r="U171" s="111"/>
      <c r="V171" s="111"/>
      <c r="W171" s="111"/>
      <c r="X171" s="111"/>
      <c r="Y171" s="111"/>
      <c r="Z171" s="111"/>
      <c r="AA171" s="111"/>
      <c r="AB171" s="111"/>
      <c r="AC171" s="111"/>
      <c r="AD171" s="111"/>
      <c r="AE171" s="111"/>
      <c r="AF171" s="111"/>
      <c r="AG171" s="111"/>
      <c r="AH171" s="111"/>
      <c r="AI171" s="111"/>
      <c r="AJ171" s="111"/>
      <c r="AK171" s="111"/>
      <c r="AL171" s="111"/>
      <c r="AM171" s="111"/>
      <c r="AN171" s="111"/>
      <c r="AO171" s="111"/>
      <c r="AP171" s="111"/>
      <c r="AQ171" s="111"/>
      <c r="AR171" s="111"/>
      <c r="AS171" s="111"/>
      <c r="AT171" s="111"/>
      <c r="AU171" s="111"/>
      <c r="AV171" s="111"/>
      <c r="AW171" s="111"/>
      <c r="AX171" s="111"/>
      <c r="AY171" s="111"/>
      <c r="AZ171" s="111"/>
      <c r="BA171" s="111"/>
      <c r="BB171" s="111"/>
      <c r="BC171" s="111"/>
      <c r="BD171" s="111"/>
      <c r="BE171" s="111"/>
      <c r="BF171" s="111"/>
      <c r="BG171" s="111"/>
      <c r="BH171" s="111"/>
      <c r="BI171" s="111"/>
      <c r="BJ171" s="111"/>
      <c r="BK171" s="111"/>
      <c r="BL171" s="111"/>
      <c r="BM171" s="111"/>
      <c r="BN171" s="111"/>
      <c r="BO171" s="111"/>
      <c r="BP171" s="111"/>
      <c r="BQ171" s="111"/>
      <c r="BR171" s="111"/>
      <c r="BS171" s="111"/>
      <c r="BT171" s="111"/>
      <c r="BU171" s="111"/>
      <c r="BV171" s="111"/>
      <c r="BW171" s="111"/>
      <c r="BX171" s="111"/>
      <c r="BY171" s="111"/>
      <c r="BZ171" s="111"/>
      <c r="CA171" s="111"/>
      <c r="CB171" s="111"/>
      <c r="CC171" s="111"/>
      <c r="CD171" s="111"/>
      <c r="CE171" s="111"/>
      <c r="CF171" s="111"/>
      <c r="CG171" s="111"/>
      <c r="CH171" s="111"/>
      <c r="CI171" s="111"/>
      <c r="CJ171" s="111"/>
      <c r="CK171" s="111"/>
      <c r="CL171" s="111"/>
      <c r="CM171" s="111"/>
      <c r="CN171" s="111"/>
      <c r="CO171" s="111"/>
      <c r="CP171" s="111"/>
      <c r="CQ171" s="111"/>
      <c r="CR171" s="111"/>
      <c r="CS171" s="111"/>
      <c r="CT171" s="111"/>
    </row>
    <row r="172" spans="1:98" ht="15.05" hidden="1" thickBot="1" x14ac:dyDescent="0.25">
      <c r="A172" s="590"/>
      <c r="B172" s="1807" t="str">
        <f t="shared" ref="B172:B180" si="70">B78</f>
        <v xml:space="preserve">Alfalfa semillero </v>
      </c>
      <c r="C172" s="590"/>
      <c r="D172" s="1808">
        <f t="shared" si="65"/>
        <v>0</v>
      </c>
      <c r="E172" s="590"/>
      <c r="F172" s="590"/>
      <c r="G172" s="590"/>
      <c r="H172" s="590"/>
      <c r="I172" s="590"/>
      <c r="J172" s="590"/>
      <c r="K172" s="590"/>
      <c r="L172" s="590"/>
      <c r="M172" s="111"/>
      <c r="N172" s="111"/>
      <c r="O172" s="111"/>
      <c r="P172" s="111"/>
      <c r="Q172" s="111"/>
      <c r="R172" s="111"/>
      <c r="S172" s="111"/>
      <c r="T172" s="111"/>
      <c r="U172" s="111"/>
      <c r="V172" s="111"/>
      <c r="W172" s="111"/>
      <c r="X172" s="111"/>
      <c r="Y172" s="111"/>
      <c r="Z172" s="111"/>
      <c r="AA172" s="111"/>
      <c r="AB172" s="111"/>
      <c r="AC172" s="111"/>
      <c r="AD172" s="111"/>
      <c r="AE172" s="111"/>
      <c r="AF172" s="111"/>
      <c r="AG172" s="111"/>
      <c r="AH172" s="111"/>
      <c r="AI172" s="111"/>
      <c r="AJ172" s="111"/>
      <c r="AK172" s="111"/>
      <c r="AL172" s="111"/>
      <c r="AM172" s="111"/>
      <c r="AN172" s="111"/>
      <c r="AO172" s="111"/>
      <c r="AP172" s="111"/>
      <c r="AQ172" s="111"/>
      <c r="AR172" s="111"/>
      <c r="AS172" s="111"/>
      <c r="AT172" s="111"/>
      <c r="AU172" s="111"/>
      <c r="AV172" s="111"/>
      <c r="AW172" s="111"/>
      <c r="AX172" s="111"/>
      <c r="AY172" s="111"/>
      <c r="AZ172" s="111"/>
      <c r="BA172" s="111"/>
      <c r="BB172" s="111"/>
      <c r="BC172" s="111"/>
      <c r="BD172" s="111"/>
      <c r="BE172" s="111"/>
      <c r="BF172" s="111"/>
      <c r="BG172" s="111"/>
      <c r="BH172" s="111"/>
      <c r="BI172" s="111"/>
      <c r="BJ172" s="111"/>
      <c r="BK172" s="111"/>
      <c r="BL172" s="111"/>
      <c r="BM172" s="111"/>
      <c r="BN172" s="111"/>
      <c r="BO172" s="111"/>
      <c r="BP172" s="111"/>
      <c r="BQ172" s="111"/>
      <c r="BR172" s="111"/>
      <c r="BS172" s="111"/>
      <c r="BT172" s="111"/>
      <c r="BU172" s="111"/>
      <c r="BV172" s="111"/>
      <c r="BW172" s="111"/>
      <c r="BX172" s="111"/>
      <c r="BY172" s="111"/>
      <c r="BZ172" s="111"/>
      <c r="CA172" s="111"/>
      <c r="CB172" s="111"/>
      <c r="CC172" s="111"/>
      <c r="CD172" s="111"/>
      <c r="CE172" s="111"/>
      <c r="CF172" s="111"/>
      <c r="CG172" s="111"/>
      <c r="CH172" s="111"/>
      <c r="CI172" s="111"/>
      <c r="CJ172" s="111"/>
      <c r="CK172" s="111"/>
      <c r="CL172" s="111"/>
      <c r="CM172" s="111"/>
      <c r="CN172" s="111"/>
      <c r="CO172" s="111"/>
      <c r="CP172" s="111"/>
      <c r="CQ172" s="111"/>
      <c r="CR172" s="111"/>
      <c r="CS172" s="111"/>
      <c r="CT172" s="111"/>
    </row>
    <row r="173" spans="1:98" hidden="1" x14ac:dyDescent="0.2">
      <c r="A173" s="590"/>
      <c r="B173" s="1807" t="str">
        <f t="shared" si="70"/>
        <v xml:space="preserve">TR semillero </v>
      </c>
      <c r="C173" s="590"/>
      <c r="D173" s="590"/>
      <c r="E173" s="590"/>
      <c r="F173" s="590"/>
      <c r="G173" s="590"/>
      <c r="H173" s="590"/>
      <c r="I173" s="590"/>
      <c r="J173" s="590"/>
      <c r="K173" s="590"/>
      <c r="L173" s="590"/>
      <c r="M173" s="111"/>
      <c r="N173" s="111"/>
      <c r="O173" s="111"/>
      <c r="P173" s="111"/>
      <c r="Q173" s="111"/>
      <c r="R173" s="111"/>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11"/>
      <c r="AQ173" s="111"/>
      <c r="AR173" s="111"/>
      <c r="AS173" s="111"/>
      <c r="AT173" s="111"/>
      <c r="AU173" s="111"/>
      <c r="AV173" s="111"/>
      <c r="AW173" s="111"/>
      <c r="AX173" s="111"/>
      <c r="AY173" s="111"/>
      <c r="AZ173" s="111"/>
      <c r="BA173" s="111"/>
      <c r="BB173" s="111"/>
      <c r="BC173" s="111"/>
      <c r="BD173" s="111"/>
      <c r="BE173" s="111"/>
      <c r="BF173" s="111"/>
      <c r="BG173" s="111"/>
      <c r="BH173" s="111"/>
      <c r="BI173" s="111"/>
      <c r="BJ173" s="111"/>
      <c r="BK173" s="111"/>
      <c r="BL173" s="111"/>
      <c r="BM173" s="111"/>
      <c r="BN173" s="111"/>
      <c r="BO173" s="111"/>
      <c r="BP173" s="111"/>
      <c r="BQ173" s="111"/>
      <c r="BR173" s="111"/>
      <c r="BS173" s="111"/>
      <c r="BT173" s="111"/>
      <c r="BU173" s="111"/>
      <c r="BV173" s="111"/>
      <c r="BW173" s="111"/>
      <c r="BX173" s="111"/>
      <c r="BY173" s="111"/>
      <c r="BZ173" s="111"/>
      <c r="CA173" s="111"/>
      <c r="CB173" s="111"/>
      <c r="CC173" s="111"/>
      <c r="CD173" s="111"/>
      <c r="CE173" s="111"/>
      <c r="CF173" s="111"/>
      <c r="CG173" s="111"/>
      <c r="CH173" s="111"/>
      <c r="CI173" s="111"/>
      <c r="CJ173" s="111"/>
      <c r="CK173" s="111"/>
      <c r="CL173" s="111"/>
      <c r="CM173" s="111"/>
      <c r="CN173" s="111"/>
      <c r="CO173" s="111"/>
      <c r="CP173" s="111"/>
      <c r="CQ173" s="111"/>
      <c r="CR173" s="111"/>
      <c r="CS173" s="111"/>
      <c r="CT173" s="111"/>
    </row>
    <row r="174" spans="1:98" hidden="1" x14ac:dyDescent="0.2">
      <c r="A174" s="590"/>
      <c r="B174" s="1807" t="str">
        <f t="shared" si="70"/>
        <v xml:space="preserve">TB semillero </v>
      </c>
      <c r="C174" s="590"/>
      <c r="D174" s="590"/>
      <c r="E174" s="590"/>
      <c r="F174" s="590"/>
      <c r="G174" s="590"/>
      <c r="H174" s="590"/>
      <c r="I174" s="590"/>
      <c r="J174" s="590"/>
      <c r="K174" s="590"/>
      <c r="L174" s="590"/>
      <c r="M174" s="111"/>
      <c r="N174" s="111"/>
      <c r="O174" s="111"/>
      <c r="P174" s="111"/>
      <c r="Q174" s="111"/>
      <c r="R174" s="111"/>
      <c r="S174" s="111"/>
      <c r="T174" s="111"/>
      <c r="U174" s="111"/>
      <c r="V174" s="111"/>
      <c r="W174" s="111"/>
      <c r="X174" s="111"/>
      <c r="Y174" s="111"/>
      <c r="Z174" s="111"/>
      <c r="AA174" s="111"/>
      <c r="AB174" s="111"/>
      <c r="AC174" s="111"/>
      <c r="AD174" s="111"/>
      <c r="AE174" s="111"/>
      <c r="AF174" s="111"/>
      <c r="AG174" s="111"/>
      <c r="AH174" s="111"/>
      <c r="AI174" s="111"/>
      <c r="AJ174" s="111"/>
      <c r="AK174" s="111"/>
      <c r="AL174" s="111"/>
      <c r="AM174" s="111"/>
      <c r="AN174" s="111"/>
      <c r="AO174" s="111"/>
      <c r="AP174" s="111"/>
      <c r="AQ174" s="111"/>
      <c r="AR174" s="111"/>
      <c r="AS174" s="111"/>
      <c r="AT174" s="111"/>
      <c r="AU174" s="111"/>
      <c r="AV174" s="111"/>
      <c r="AW174" s="111"/>
      <c r="AX174" s="111"/>
      <c r="AY174" s="111"/>
      <c r="AZ174" s="111"/>
      <c r="BA174" s="111"/>
      <c r="BB174" s="111"/>
      <c r="BC174" s="111"/>
      <c r="BD174" s="111"/>
      <c r="BE174" s="111"/>
      <c r="BF174" s="111"/>
      <c r="BG174" s="111"/>
      <c r="BH174" s="111"/>
      <c r="BI174" s="111"/>
      <c r="BJ174" s="111"/>
      <c r="BK174" s="111"/>
      <c r="BL174" s="111"/>
      <c r="BM174" s="111"/>
      <c r="BN174" s="111"/>
      <c r="BO174" s="111"/>
      <c r="BP174" s="111"/>
      <c r="BQ174" s="111"/>
      <c r="BR174" s="111"/>
      <c r="BS174" s="111"/>
      <c r="BT174" s="111"/>
      <c r="BU174" s="111"/>
      <c r="BV174" s="111"/>
      <c r="BW174" s="111"/>
      <c r="BX174" s="111"/>
      <c r="BY174" s="111"/>
      <c r="BZ174" s="111"/>
      <c r="CA174" s="111"/>
      <c r="CB174" s="111"/>
      <c r="CC174" s="111"/>
      <c r="CD174" s="111"/>
      <c r="CE174" s="111"/>
      <c r="CF174" s="111"/>
      <c r="CG174" s="111"/>
      <c r="CH174" s="111"/>
      <c r="CI174" s="111"/>
      <c r="CJ174" s="111"/>
      <c r="CK174" s="111"/>
      <c r="CL174" s="111"/>
      <c r="CM174" s="111"/>
      <c r="CN174" s="111"/>
      <c r="CO174" s="111"/>
      <c r="CP174" s="111"/>
      <c r="CQ174" s="111"/>
      <c r="CR174" s="111"/>
      <c r="CS174" s="111"/>
      <c r="CT174" s="111"/>
    </row>
    <row r="175" spans="1:98" hidden="1" x14ac:dyDescent="0.2">
      <c r="A175" s="590"/>
      <c r="B175" s="1807" t="str">
        <f t="shared" si="70"/>
        <v xml:space="preserve">Achicoria Semillero </v>
      </c>
      <c r="C175" s="590"/>
      <c r="D175" s="590"/>
      <c r="E175" s="590"/>
      <c r="F175" s="590"/>
      <c r="G175" s="590"/>
      <c r="H175" s="590"/>
      <c r="I175" s="590"/>
      <c r="J175" s="590"/>
      <c r="K175" s="590"/>
      <c r="L175" s="590"/>
      <c r="M175" s="111"/>
      <c r="N175" s="111"/>
      <c r="O175" s="111"/>
      <c r="P175" s="111"/>
      <c r="Q175" s="111"/>
      <c r="R175" s="111"/>
      <c r="S175" s="111"/>
      <c r="T175" s="111"/>
      <c r="U175" s="111"/>
      <c r="V175" s="111"/>
      <c r="W175" s="111"/>
      <c r="X175" s="111"/>
      <c r="Y175" s="111"/>
      <c r="Z175" s="111"/>
      <c r="AA175" s="111"/>
      <c r="AB175" s="111"/>
      <c r="AC175" s="111"/>
      <c r="AD175" s="111"/>
      <c r="AE175" s="111"/>
      <c r="AF175" s="111"/>
      <c r="AG175" s="111"/>
      <c r="AH175" s="111"/>
      <c r="AI175" s="111"/>
      <c r="AJ175" s="111"/>
      <c r="AK175" s="111"/>
      <c r="AL175" s="111"/>
      <c r="AM175" s="111"/>
      <c r="AN175" s="111"/>
      <c r="AO175" s="111"/>
      <c r="AP175" s="111"/>
      <c r="AQ175" s="111"/>
      <c r="AR175" s="111"/>
      <c r="AS175" s="111"/>
      <c r="AT175" s="111"/>
      <c r="AU175" s="111"/>
      <c r="AV175" s="111"/>
      <c r="AW175" s="111"/>
      <c r="AX175" s="111"/>
      <c r="AY175" s="111"/>
      <c r="AZ175" s="111"/>
      <c r="BA175" s="111"/>
      <c r="BB175" s="111"/>
      <c r="BC175" s="111"/>
      <c r="BD175" s="111"/>
      <c r="BE175" s="111"/>
      <c r="BF175" s="111"/>
      <c r="BG175" s="111"/>
      <c r="BH175" s="111"/>
      <c r="BI175" s="111"/>
      <c r="BJ175" s="111"/>
      <c r="BK175" s="111"/>
      <c r="BL175" s="111"/>
      <c r="BM175" s="111"/>
      <c r="BN175" s="111"/>
      <c r="BO175" s="111"/>
      <c r="BP175" s="111"/>
      <c r="BQ175" s="111"/>
      <c r="BR175" s="111"/>
      <c r="BS175" s="111"/>
      <c r="BT175" s="111"/>
      <c r="BU175" s="111"/>
      <c r="BV175" s="111"/>
      <c r="BW175" s="111"/>
      <c r="BX175" s="111"/>
      <c r="BY175" s="111"/>
      <c r="BZ175" s="111"/>
      <c r="CA175" s="111"/>
      <c r="CB175" s="111"/>
      <c r="CC175" s="111"/>
      <c r="CD175" s="111"/>
      <c r="CE175" s="111"/>
      <c r="CF175" s="111"/>
      <c r="CG175" s="111"/>
      <c r="CH175" s="111"/>
      <c r="CI175" s="111"/>
      <c r="CJ175" s="111"/>
      <c r="CK175" s="111"/>
      <c r="CL175" s="111"/>
      <c r="CM175" s="111"/>
      <c r="CN175" s="111"/>
      <c r="CO175" s="111"/>
      <c r="CP175" s="111"/>
      <c r="CQ175" s="111"/>
      <c r="CR175" s="111"/>
      <c r="CS175" s="111"/>
      <c r="CT175" s="111"/>
    </row>
    <row r="176" spans="1:98" hidden="1" x14ac:dyDescent="0.2">
      <c r="A176" s="590"/>
      <c r="B176" s="1807">
        <f t="shared" si="70"/>
        <v>0</v>
      </c>
      <c r="C176" s="590"/>
      <c r="D176" s="590"/>
      <c r="E176" s="590"/>
      <c r="F176" s="590"/>
      <c r="G176" s="590"/>
      <c r="H176" s="590"/>
      <c r="I176" s="590"/>
      <c r="J176" s="590"/>
      <c r="K176" s="590"/>
      <c r="L176" s="590"/>
      <c r="M176" s="111"/>
      <c r="N176" s="111"/>
      <c r="O176" s="111"/>
      <c r="P176" s="111"/>
      <c r="Q176" s="111"/>
      <c r="R176" s="111"/>
      <c r="S176" s="111"/>
      <c r="T176" s="111"/>
      <c r="U176" s="111"/>
      <c r="V176" s="111"/>
      <c r="W176" s="111"/>
      <c r="X176" s="111"/>
      <c r="Y176" s="111"/>
      <c r="Z176" s="111"/>
      <c r="AA176" s="111"/>
      <c r="AB176" s="111"/>
      <c r="AC176" s="111"/>
      <c r="AD176" s="111"/>
      <c r="AE176" s="111"/>
      <c r="AF176" s="111"/>
      <c r="AG176" s="111"/>
      <c r="AH176" s="111"/>
      <c r="AI176" s="111"/>
      <c r="AJ176" s="111"/>
      <c r="AK176" s="111"/>
      <c r="AL176" s="111"/>
      <c r="AM176" s="111"/>
      <c r="AN176" s="111"/>
      <c r="AO176" s="111"/>
      <c r="AP176" s="111"/>
      <c r="AQ176" s="111"/>
      <c r="AR176" s="111"/>
      <c r="AS176" s="111"/>
      <c r="AT176" s="111"/>
      <c r="AU176" s="111"/>
      <c r="AV176" s="111"/>
      <c r="AW176" s="111"/>
      <c r="AX176" s="111"/>
      <c r="AY176" s="111"/>
      <c r="AZ176" s="111"/>
      <c r="BA176" s="111"/>
      <c r="BB176" s="111"/>
      <c r="BC176" s="111"/>
      <c r="BD176" s="111"/>
      <c r="BE176" s="111"/>
      <c r="BF176" s="111"/>
      <c r="BG176" s="111"/>
      <c r="BH176" s="111"/>
      <c r="BI176" s="111"/>
      <c r="BJ176" s="111"/>
      <c r="BK176" s="111"/>
      <c r="BL176" s="111"/>
      <c r="BM176" s="111"/>
      <c r="BN176" s="111"/>
      <c r="BO176" s="111"/>
      <c r="BP176" s="111"/>
      <c r="BQ176" s="111"/>
      <c r="BR176" s="111"/>
      <c r="BS176" s="111"/>
      <c r="BT176" s="111"/>
      <c r="BU176" s="111"/>
      <c r="BV176" s="111"/>
      <c r="BW176" s="111"/>
      <c r="BX176" s="111"/>
      <c r="BY176" s="111"/>
      <c r="BZ176" s="111"/>
      <c r="CA176" s="111"/>
      <c r="CB176" s="111"/>
      <c r="CC176" s="111"/>
      <c r="CD176" s="111"/>
      <c r="CE176" s="111"/>
      <c r="CF176" s="111"/>
      <c r="CG176" s="111"/>
      <c r="CH176" s="111"/>
      <c r="CI176" s="111"/>
      <c r="CJ176" s="111"/>
      <c r="CK176" s="111"/>
      <c r="CL176" s="111"/>
      <c r="CM176" s="111"/>
      <c r="CN176" s="111"/>
      <c r="CO176" s="111"/>
      <c r="CP176" s="111"/>
      <c r="CQ176" s="111"/>
      <c r="CR176" s="111"/>
      <c r="CS176" s="111"/>
      <c r="CT176" s="111"/>
    </row>
    <row r="177" spans="1:98" hidden="1" x14ac:dyDescent="0.2">
      <c r="A177" s="590"/>
      <c r="B177" s="1807">
        <f t="shared" si="70"/>
        <v>0</v>
      </c>
      <c r="C177" s="590"/>
      <c r="D177" s="590"/>
      <c r="E177" s="590"/>
      <c r="F177" s="590"/>
      <c r="G177" s="590"/>
      <c r="H177" s="590"/>
      <c r="I177" s="590"/>
      <c r="J177" s="590"/>
      <c r="K177" s="590"/>
      <c r="L177" s="590"/>
      <c r="M177" s="111"/>
      <c r="N177" s="111"/>
      <c r="O177" s="111"/>
      <c r="P177" s="111"/>
      <c r="Q177" s="111"/>
      <c r="R177" s="111"/>
      <c r="S177" s="111"/>
      <c r="T177" s="111"/>
      <c r="U177" s="111"/>
      <c r="V177" s="111"/>
      <c r="W177" s="111"/>
      <c r="X177" s="111"/>
      <c r="Y177" s="111"/>
      <c r="Z177" s="111"/>
      <c r="AA177" s="111"/>
      <c r="AB177" s="111"/>
      <c r="AC177" s="111"/>
      <c r="AD177" s="111"/>
      <c r="AE177" s="111"/>
      <c r="AF177" s="111"/>
      <c r="AG177" s="111"/>
      <c r="AH177" s="111"/>
      <c r="AI177" s="111"/>
      <c r="AJ177" s="111"/>
      <c r="AK177" s="111"/>
      <c r="AL177" s="111"/>
      <c r="AM177" s="111"/>
      <c r="AN177" s="111"/>
      <c r="AO177" s="111"/>
      <c r="AP177" s="111"/>
      <c r="AQ177" s="111"/>
      <c r="AR177" s="111"/>
      <c r="AS177" s="111"/>
      <c r="AT177" s="111"/>
      <c r="AU177" s="111"/>
      <c r="AV177" s="111"/>
      <c r="AW177" s="111"/>
      <c r="AX177" s="111"/>
      <c r="AY177" s="111"/>
      <c r="AZ177" s="111"/>
      <c r="BA177" s="111"/>
      <c r="BB177" s="111"/>
      <c r="BC177" s="111"/>
      <c r="BD177" s="111"/>
      <c r="BE177" s="111"/>
      <c r="BF177" s="111"/>
      <c r="BG177" s="111"/>
      <c r="BH177" s="111"/>
      <c r="BI177" s="111"/>
      <c r="BJ177" s="111"/>
      <c r="BK177" s="111"/>
      <c r="BL177" s="111"/>
      <c r="BM177" s="111"/>
      <c r="BN177" s="111"/>
      <c r="BO177" s="111"/>
      <c r="BP177" s="111"/>
      <c r="BQ177" s="111"/>
      <c r="BR177" s="111"/>
      <c r="BS177" s="111"/>
      <c r="BT177" s="111"/>
      <c r="BU177" s="111"/>
      <c r="BV177" s="111"/>
      <c r="BW177" s="111"/>
      <c r="BX177" s="111"/>
      <c r="BY177" s="111"/>
      <c r="BZ177" s="111"/>
      <c r="CA177" s="111"/>
      <c r="CB177" s="111"/>
      <c r="CC177" s="111"/>
      <c r="CD177" s="111"/>
      <c r="CE177" s="111"/>
      <c r="CF177" s="111"/>
      <c r="CG177" s="111"/>
      <c r="CH177" s="111"/>
      <c r="CI177" s="111"/>
      <c r="CJ177" s="111"/>
      <c r="CK177" s="111"/>
      <c r="CL177" s="111"/>
      <c r="CM177" s="111"/>
      <c r="CN177" s="111"/>
      <c r="CO177" s="111"/>
      <c r="CP177" s="111"/>
      <c r="CQ177" s="111"/>
      <c r="CR177" s="111"/>
      <c r="CS177" s="111"/>
      <c r="CT177" s="111"/>
    </row>
    <row r="178" spans="1:98" hidden="1" x14ac:dyDescent="0.2">
      <c r="A178" s="590"/>
      <c r="B178" s="1807">
        <f t="shared" si="70"/>
        <v>0</v>
      </c>
      <c r="C178" s="590"/>
      <c r="D178" s="590"/>
      <c r="E178" s="590"/>
      <c r="F178" s="590"/>
      <c r="G178" s="590"/>
      <c r="H178" s="590"/>
      <c r="I178" s="590"/>
      <c r="J178" s="590"/>
      <c r="K178" s="590"/>
      <c r="L178" s="590"/>
      <c r="M178" s="111"/>
      <c r="N178" s="111"/>
      <c r="O178" s="111"/>
      <c r="P178" s="111"/>
      <c r="Q178" s="111"/>
      <c r="R178" s="111"/>
      <c r="S178" s="111"/>
      <c r="T178" s="111"/>
      <c r="U178" s="111"/>
      <c r="V178" s="111"/>
      <c r="W178" s="111"/>
      <c r="X178" s="111"/>
      <c r="Y178" s="111"/>
      <c r="Z178" s="111"/>
      <c r="AA178" s="111"/>
      <c r="AB178" s="111"/>
      <c r="AC178" s="111"/>
      <c r="AD178" s="111"/>
      <c r="AE178" s="111"/>
      <c r="AF178" s="111"/>
      <c r="AG178" s="111"/>
      <c r="AH178" s="111"/>
      <c r="AI178" s="111"/>
      <c r="AJ178" s="111"/>
      <c r="AK178" s="111"/>
      <c r="AL178" s="111"/>
      <c r="AM178" s="111"/>
      <c r="AN178" s="111"/>
      <c r="AO178" s="111"/>
      <c r="AP178" s="111"/>
      <c r="AQ178" s="111"/>
      <c r="AR178" s="111"/>
      <c r="AS178" s="111"/>
      <c r="AT178" s="111"/>
      <c r="AU178" s="111"/>
      <c r="AV178" s="111"/>
      <c r="AW178" s="111"/>
      <c r="AX178" s="111"/>
      <c r="AY178" s="111"/>
      <c r="AZ178" s="111"/>
      <c r="BA178" s="111"/>
      <c r="BB178" s="111"/>
      <c r="BC178" s="111"/>
      <c r="BD178" s="111"/>
      <c r="BE178" s="111"/>
      <c r="BF178" s="111"/>
      <c r="BG178" s="111"/>
      <c r="BH178" s="111"/>
      <c r="BI178" s="111"/>
      <c r="BJ178" s="111"/>
      <c r="BK178" s="111"/>
      <c r="BL178" s="111"/>
      <c r="BM178" s="111"/>
      <c r="BN178" s="111"/>
      <c r="BO178" s="111"/>
      <c r="BP178" s="111"/>
      <c r="BQ178" s="111"/>
      <c r="BR178" s="111"/>
      <c r="BS178" s="111"/>
      <c r="BT178" s="111"/>
      <c r="BU178" s="111"/>
      <c r="BV178" s="111"/>
      <c r="BW178" s="111"/>
      <c r="BX178" s="111"/>
      <c r="BY178" s="111"/>
      <c r="BZ178" s="111"/>
      <c r="CA178" s="111"/>
      <c r="CB178" s="111"/>
      <c r="CC178" s="111"/>
      <c r="CD178" s="111"/>
      <c r="CE178" s="111"/>
      <c r="CF178" s="111"/>
      <c r="CG178" s="111"/>
      <c r="CH178" s="111"/>
      <c r="CI178" s="111"/>
      <c r="CJ178" s="111"/>
      <c r="CK178" s="111"/>
      <c r="CL178" s="111"/>
      <c r="CM178" s="111"/>
      <c r="CN178" s="111"/>
      <c r="CO178" s="111"/>
      <c r="CP178" s="111"/>
      <c r="CQ178" s="111"/>
      <c r="CR178" s="111"/>
      <c r="CS178" s="111"/>
      <c r="CT178" s="111"/>
    </row>
    <row r="179" spans="1:98" hidden="1" x14ac:dyDescent="0.2">
      <c r="A179" s="590"/>
      <c r="B179" s="1807">
        <f t="shared" si="70"/>
        <v>0</v>
      </c>
      <c r="C179" s="590"/>
      <c r="D179" s="590"/>
      <c r="E179" s="590"/>
      <c r="F179" s="590"/>
      <c r="G179" s="590"/>
      <c r="H179" s="590"/>
      <c r="I179" s="590"/>
      <c r="J179" s="590"/>
      <c r="K179" s="590"/>
      <c r="L179" s="590"/>
      <c r="M179" s="111"/>
      <c r="N179" s="111"/>
      <c r="O179" s="111"/>
      <c r="P179" s="111"/>
      <c r="Q179" s="111"/>
      <c r="R179" s="111"/>
      <c r="S179" s="111"/>
      <c r="T179" s="111"/>
      <c r="U179" s="111"/>
      <c r="V179" s="111"/>
      <c r="W179" s="111"/>
      <c r="X179" s="111"/>
      <c r="Y179" s="111"/>
      <c r="Z179" s="111"/>
      <c r="AA179" s="111"/>
      <c r="AB179" s="111"/>
      <c r="AC179" s="111"/>
      <c r="AD179" s="111"/>
      <c r="AE179" s="111"/>
      <c r="AF179" s="111"/>
      <c r="AG179" s="111"/>
      <c r="AH179" s="111"/>
      <c r="AI179" s="111"/>
      <c r="AJ179" s="111"/>
      <c r="AK179" s="111"/>
      <c r="AL179" s="111"/>
      <c r="AM179" s="111"/>
      <c r="AN179" s="111"/>
      <c r="AO179" s="111"/>
      <c r="AP179" s="111"/>
      <c r="AQ179" s="111"/>
      <c r="AR179" s="111"/>
      <c r="AS179" s="111"/>
      <c r="AT179" s="111"/>
      <c r="AU179" s="111"/>
      <c r="AV179" s="111"/>
      <c r="AW179" s="111"/>
      <c r="AX179" s="111"/>
      <c r="AY179" s="111"/>
      <c r="AZ179" s="111"/>
      <c r="BA179" s="111"/>
      <c r="BB179" s="111"/>
      <c r="BC179" s="111"/>
      <c r="BD179" s="111"/>
      <c r="BE179" s="111"/>
      <c r="BF179" s="111"/>
      <c r="BG179" s="111"/>
      <c r="BH179" s="111"/>
      <c r="BI179" s="111"/>
      <c r="BJ179" s="111"/>
      <c r="BK179" s="111"/>
      <c r="BL179" s="111"/>
      <c r="BM179" s="111"/>
      <c r="BN179" s="111"/>
      <c r="BO179" s="111"/>
      <c r="BP179" s="111"/>
      <c r="BQ179" s="111"/>
      <c r="BR179" s="111"/>
      <c r="BS179" s="111"/>
      <c r="BT179" s="111"/>
      <c r="BU179" s="111"/>
      <c r="BV179" s="111"/>
      <c r="BW179" s="111"/>
      <c r="BX179" s="111"/>
      <c r="BY179" s="111"/>
      <c r="BZ179" s="111"/>
      <c r="CA179" s="111"/>
      <c r="CB179" s="111"/>
      <c r="CC179" s="111"/>
      <c r="CD179" s="111"/>
      <c r="CE179" s="111"/>
      <c r="CF179" s="111"/>
      <c r="CG179" s="111"/>
      <c r="CH179" s="111"/>
      <c r="CI179" s="111"/>
      <c r="CJ179" s="111"/>
      <c r="CK179" s="111"/>
      <c r="CL179" s="111"/>
      <c r="CM179" s="111"/>
      <c r="CN179" s="111"/>
      <c r="CO179" s="111"/>
      <c r="CP179" s="111"/>
      <c r="CQ179" s="111"/>
      <c r="CR179" s="111"/>
      <c r="CS179" s="111"/>
      <c r="CT179" s="111"/>
    </row>
    <row r="180" spans="1:98" hidden="1" x14ac:dyDescent="0.2">
      <c r="A180" s="590"/>
      <c r="B180" s="1807">
        <f t="shared" si="70"/>
        <v>0</v>
      </c>
      <c r="C180" s="590"/>
      <c r="D180" s="590"/>
      <c r="E180" s="590"/>
      <c r="F180" s="590"/>
      <c r="G180" s="590"/>
      <c r="H180" s="590"/>
      <c r="I180" s="590"/>
      <c r="J180" s="590"/>
      <c r="K180" s="590"/>
      <c r="L180" s="590"/>
      <c r="M180" s="111"/>
      <c r="N180" s="111"/>
      <c r="O180" s="111"/>
      <c r="P180" s="111"/>
      <c r="Q180" s="111"/>
      <c r="R180" s="111"/>
      <c r="S180" s="111"/>
      <c r="T180" s="111"/>
      <c r="U180" s="111"/>
      <c r="V180" s="111"/>
      <c r="W180" s="111"/>
      <c r="X180" s="111"/>
      <c r="Y180" s="111"/>
      <c r="Z180" s="111"/>
      <c r="AA180" s="111"/>
      <c r="AB180" s="111"/>
      <c r="AC180" s="111"/>
      <c r="AD180" s="111"/>
      <c r="AE180" s="111"/>
      <c r="AF180" s="111"/>
      <c r="AG180" s="111"/>
      <c r="AH180" s="111"/>
      <c r="AI180" s="111"/>
      <c r="AJ180" s="111"/>
      <c r="AK180" s="111"/>
      <c r="AL180" s="111"/>
      <c r="AM180" s="111"/>
      <c r="AN180" s="111"/>
      <c r="AO180" s="111"/>
      <c r="AP180" s="111"/>
      <c r="AQ180" s="111"/>
      <c r="AR180" s="111"/>
      <c r="AS180" s="111"/>
      <c r="AT180" s="111"/>
      <c r="AU180" s="111"/>
      <c r="AV180" s="111"/>
      <c r="AW180" s="111"/>
      <c r="AX180" s="111"/>
      <c r="AY180" s="111"/>
      <c r="AZ180" s="111"/>
      <c r="BA180" s="111"/>
      <c r="BB180" s="111"/>
      <c r="BC180" s="111"/>
      <c r="BD180" s="111"/>
      <c r="BE180" s="111"/>
      <c r="BF180" s="111"/>
      <c r="BG180" s="111"/>
      <c r="BH180" s="111"/>
      <c r="BI180" s="111"/>
      <c r="BJ180" s="111"/>
      <c r="BK180" s="111"/>
      <c r="BL180" s="111"/>
      <c r="BM180" s="111"/>
      <c r="BN180" s="111"/>
      <c r="BO180" s="111"/>
      <c r="BP180" s="111"/>
      <c r="BQ180" s="111"/>
      <c r="BR180" s="111"/>
      <c r="BS180" s="111"/>
      <c r="BT180" s="111"/>
      <c r="BU180" s="111"/>
      <c r="BV180" s="111"/>
      <c r="BW180" s="111"/>
      <c r="BX180" s="111"/>
      <c r="BY180" s="111"/>
      <c r="BZ180" s="111"/>
      <c r="CA180" s="111"/>
      <c r="CB180" s="111"/>
      <c r="CC180" s="111"/>
      <c r="CD180" s="111"/>
      <c r="CE180" s="111"/>
      <c r="CF180" s="111"/>
      <c r="CG180" s="111"/>
      <c r="CH180" s="111"/>
      <c r="CI180" s="111"/>
      <c r="CJ180" s="111"/>
      <c r="CK180" s="111"/>
      <c r="CL180" s="111"/>
      <c r="CM180" s="111"/>
      <c r="CN180" s="111"/>
      <c r="CO180" s="111"/>
      <c r="CP180" s="111"/>
      <c r="CQ180" s="111"/>
      <c r="CR180" s="111"/>
      <c r="CS180" s="111"/>
      <c r="CT180" s="111"/>
    </row>
    <row r="181" spans="1:98" hidden="1" x14ac:dyDescent="0.2">
      <c r="A181" s="590"/>
      <c r="B181" s="1807" t="str">
        <f t="shared" ref="B181:B189" si="71">B88</f>
        <v xml:space="preserve">Dactylis Semillero </v>
      </c>
      <c r="C181" s="590"/>
      <c r="D181" s="590"/>
      <c r="E181" s="590"/>
      <c r="F181" s="590"/>
      <c r="G181" s="590"/>
      <c r="H181" s="590"/>
      <c r="I181" s="590"/>
      <c r="J181" s="590"/>
      <c r="K181" s="590"/>
      <c r="L181" s="590"/>
      <c r="M181" s="111"/>
      <c r="N181" s="111"/>
      <c r="O181" s="111"/>
      <c r="P181" s="111"/>
      <c r="Q181" s="111"/>
      <c r="R181" s="111"/>
      <c r="S181" s="111"/>
      <c r="T181" s="111"/>
      <c r="U181" s="111"/>
      <c r="V181" s="111"/>
      <c r="W181" s="111"/>
      <c r="X181" s="111"/>
      <c r="Y181" s="111"/>
      <c r="Z181" s="111"/>
      <c r="AA181" s="111"/>
      <c r="AB181" s="111"/>
      <c r="AC181" s="111"/>
      <c r="AD181" s="111"/>
      <c r="AE181" s="111"/>
      <c r="AF181" s="111"/>
      <c r="AG181" s="111"/>
      <c r="AH181" s="111"/>
      <c r="AI181" s="111"/>
      <c r="AJ181" s="111"/>
      <c r="AK181" s="111"/>
      <c r="AL181" s="111"/>
      <c r="AM181" s="111"/>
      <c r="AN181" s="111"/>
      <c r="AO181" s="111"/>
      <c r="AP181" s="111"/>
      <c r="AQ181" s="111"/>
      <c r="AR181" s="111"/>
      <c r="AS181" s="111"/>
      <c r="AT181" s="111"/>
      <c r="AU181" s="111"/>
      <c r="AV181" s="111"/>
      <c r="AW181" s="111"/>
      <c r="AX181" s="111"/>
      <c r="AY181" s="111"/>
      <c r="AZ181" s="111"/>
      <c r="BA181" s="111"/>
      <c r="BB181" s="111"/>
      <c r="BC181" s="111"/>
      <c r="BD181" s="111"/>
      <c r="BE181" s="111"/>
      <c r="BF181" s="111"/>
      <c r="BG181" s="111"/>
      <c r="BH181" s="111"/>
      <c r="BI181" s="111"/>
      <c r="BJ181" s="111"/>
      <c r="BK181" s="111"/>
      <c r="BL181" s="111"/>
      <c r="BM181" s="111"/>
      <c r="BN181" s="111"/>
      <c r="BO181" s="111"/>
      <c r="BP181" s="111"/>
      <c r="BQ181" s="111"/>
      <c r="BR181" s="111"/>
      <c r="BS181" s="111"/>
      <c r="BT181" s="111"/>
      <c r="BU181" s="111"/>
      <c r="BV181" s="111"/>
      <c r="BW181" s="111"/>
      <c r="BX181" s="111"/>
      <c r="BY181" s="111"/>
      <c r="BZ181" s="111"/>
      <c r="CA181" s="111"/>
      <c r="CB181" s="111"/>
      <c r="CC181" s="111"/>
      <c r="CD181" s="111"/>
      <c r="CE181" s="111"/>
      <c r="CF181" s="111"/>
      <c r="CG181" s="111"/>
      <c r="CH181" s="111"/>
      <c r="CI181" s="111"/>
      <c r="CJ181" s="111"/>
      <c r="CK181" s="111"/>
      <c r="CL181" s="111"/>
      <c r="CM181" s="111"/>
      <c r="CN181" s="111"/>
      <c r="CO181" s="111"/>
      <c r="CP181" s="111"/>
      <c r="CQ181" s="111"/>
      <c r="CR181" s="111"/>
      <c r="CS181" s="111"/>
      <c r="CT181" s="111"/>
    </row>
    <row r="182" spans="1:98" hidden="1" x14ac:dyDescent="0.2">
      <c r="A182" s="590"/>
      <c r="B182" s="1807" t="str">
        <f t="shared" si="71"/>
        <v xml:space="preserve">Festuca Semillero </v>
      </c>
      <c r="C182" s="590"/>
      <c r="D182" s="590"/>
      <c r="E182" s="590"/>
      <c r="F182" s="590"/>
      <c r="G182" s="590"/>
      <c r="H182" s="590"/>
      <c r="I182" s="590"/>
      <c r="J182" s="590"/>
      <c r="K182" s="590"/>
      <c r="L182" s="590"/>
      <c r="M182" s="111"/>
      <c r="N182" s="111"/>
      <c r="O182" s="111"/>
      <c r="P182" s="111"/>
      <c r="Q182" s="111"/>
      <c r="R182" s="111"/>
      <c r="S182" s="111"/>
      <c r="T182" s="111"/>
      <c r="U182" s="111"/>
      <c r="V182" s="111"/>
      <c r="W182" s="111"/>
      <c r="X182" s="111"/>
      <c r="Y182" s="111"/>
      <c r="Z182" s="111"/>
      <c r="AA182" s="111"/>
      <c r="AB182" s="111"/>
      <c r="AC182" s="111"/>
      <c r="AD182" s="111"/>
      <c r="AE182" s="111"/>
      <c r="AF182" s="111"/>
      <c r="AG182" s="111"/>
      <c r="AH182" s="111"/>
      <c r="AI182" s="111"/>
      <c r="AJ182" s="111"/>
      <c r="AK182" s="111"/>
      <c r="AL182" s="111"/>
      <c r="AM182" s="111"/>
      <c r="AN182" s="111"/>
      <c r="AO182" s="111"/>
      <c r="AP182" s="111"/>
      <c r="AQ182" s="111"/>
      <c r="AR182" s="111"/>
      <c r="AS182" s="111"/>
      <c r="AT182" s="111"/>
      <c r="AU182" s="111"/>
      <c r="AV182" s="111"/>
      <c r="AW182" s="111"/>
      <c r="AX182" s="111"/>
      <c r="AY182" s="111"/>
      <c r="AZ182" s="111"/>
      <c r="BA182" s="111"/>
      <c r="BB182" s="111"/>
      <c r="BC182" s="111"/>
      <c r="BD182" s="111"/>
      <c r="BE182" s="111"/>
      <c r="BF182" s="111"/>
      <c r="BG182" s="111"/>
      <c r="BH182" s="111"/>
      <c r="BI182" s="111"/>
      <c r="BJ182" s="111"/>
      <c r="BK182" s="111"/>
      <c r="BL182" s="111"/>
      <c r="BM182" s="111"/>
      <c r="BN182" s="111"/>
      <c r="BO182" s="111"/>
      <c r="BP182" s="111"/>
      <c r="BQ182" s="111"/>
      <c r="BR182" s="111"/>
      <c r="BS182" s="111"/>
      <c r="BT182" s="111"/>
      <c r="BU182" s="111"/>
      <c r="BV182" s="111"/>
      <c r="BW182" s="111"/>
      <c r="BX182" s="111"/>
      <c r="BY182" s="111"/>
      <c r="BZ182" s="111"/>
      <c r="CA182" s="111"/>
      <c r="CB182" s="111"/>
      <c r="CC182" s="111"/>
      <c r="CD182" s="111"/>
      <c r="CE182" s="111"/>
      <c r="CF182" s="111"/>
      <c r="CG182" s="111"/>
      <c r="CH182" s="111"/>
      <c r="CI182" s="111"/>
      <c r="CJ182" s="111"/>
      <c r="CK182" s="111"/>
      <c r="CL182" s="111"/>
      <c r="CM182" s="111"/>
      <c r="CN182" s="111"/>
      <c r="CO182" s="111"/>
      <c r="CP182" s="111"/>
      <c r="CQ182" s="111"/>
      <c r="CR182" s="111"/>
      <c r="CS182" s="111"/>
      <c r="CT182" s="111"/>
    </row>
    <row r="183" spans="1:98" hidden="1" x14ac:dyDescent="0.2">
      <c r="A183" s="590"/>
      <c r="B183" s="1807" t="str">
        <f t="shared" si="71"/>
        <v xml:space="preserve">Rg semillero </v>
      </c>
      <c r="C183" s="590"/>
      <c r="D183" s="590"/>
      <c r="E183" s="590"/>
      <c r="F183" s="590"/>
      <c r="G183" s="590"/>
      <c r="H183" s="590"/>
      <c r="I183" s="590"/>
      <c r="J183" s="590"/>
      <c r="K183" s="590"/>
      <c r="L183" s="590"/>
      <c r="M183" s="111"/>
      <c r="N183" s="111"/>
      <c r="O183" s="111"/>
      <c r="P183" s="111"/>
      <c r="Q183" s="111"/>
      <c r="R183" s="111"/>
      <c r="S183" s="111"/>
      <c r="T183" s="111"/>
      <c r="U183" s="111"/>
      <c r="V183" s="111"/>
      <c r="W183" s="111"/>
      <c r="X183" s="111"/>
      <c r="Y183" s="111"/>
      <c r="Z183" s="111"/>
      <c r="AA183" s="111"/>
      <c r="AB183" s="111"/>
      <c r="AC183" s="111"/>
      <c r="AD183" s="111"/>
      <c r="AE183" s="111"/>
      <c r="AF183" s="111"/>
      <c r="AG183" s="111"/>
      <c r="AH183" s="111"/>
      <c r="AI183" s="111"/>
      <c r="AJ183" s="111"/>
      <c r="AK183" s="111"/>
      <c r="AL183" s="111"/>
      <c r="AM183" s="111"/>
      <c r="AN183" s="111"/>
      <c r="AO183" s="111"/>
      <c r="AP183" s="111"/>
      <c r="AQ183" s="111"/>
      <c r="AR183" s="111"/>
      <c r="AS183" s="111"/>
      <c r="AT183" s="111"/>
      <c r="AU183" s="111"/>
      <c r="AV183" s="111"/>
      <c r="AW183" s="111"/>
      <c r="AX183" s="111"/>
      <c r="AY183" s="111"/>
      <c r="AZ183" s="111"/>
      <c r="BA183" s="111"/>
      <c r="BB183" s="111"/>
      <c r="BC183" s="111"/>
      <c r="BD183" s="111"/>
      <c r="BE183" s="111"/>
      <c r="BF183" s="111"/>
      <c r="BG183" s="111"/>
      <c r="BH183" s="111"/>
      <c r="BI183" s="111"/>
      <c r="BJ183" s="111"/>
      <c r="BK183" s="111"/>
      <c r="BL183" s="111"/>
      <c r="BM183" s="111"/>
      <c r="BN183" s="111"/>
      <c r="BO183" s="111"/>
      <c r="BP183" s="111"/>
      <c r="BQ183" s="111"/>
      <c r="BR183" s="111"/>
      <c r="BS183" s="111"/>
      <c r="BT183" s="111"/>
      <c r="BU183" s="111"/>
      <c r="BV183" s="111"/>
      <c r="BW183" s="111"/>
      <c r="BX183" s="111"/>
      <c r="BY183" s="111"/>
      <c r="BZ183" s="111"/>
      <c r="CA183" s="111"/>
      <c r="CB183" s="111"/>
      <c r="CC183" s="111"/>
      <c r="CD183" s="111"/>
      <c r="CE183" s="111"/>
      <c r="CF183" s="111"/>
      <c r="CG183" s="111"/>
      <c r="CH183" s="111"/>
      <c r="CI183" s="111"/>
      <c r="CJ183" s="111"/>
      <c r="CK183" s="111"/>
      <c r="CL183" s="111"/>
      <c r="CM183" s="111"/>
      <c r="CN183" s="111"/>
      <c r="CO183" s="111"/>
      <c r="CP183" s="111"/>
      <c r="CQ183" s="111"/>
      <c r="CR183" s="111"/>
      <c r="CS183" s="111"/>
      <c r="CT183" s="111"/>
    </row>
    <row r="184" spans="1:98" hidden="1" x14ac:dyDescent="0.2">
      <c r="A184" s="590"/>
      <c r="B184" s="1807">
        <f t="shared" si="71"/>
        <v>0</v>
      </c>
      <c r="C184" s="111"/>
      <c r="D184" s="590"/>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c r="AD184" s="111"/>
      <c r="AE184" s="111"/>
      <c r="AF184" s="111"/>
      <c r="AG184" s="111"/>
      <c r="AH184" s="111"/>
      <c r="AI184" s="111"/>
      <c r="AJ184" s="111"/>
      <c r="AK184" s="111"/>
      <c r="AL184" s="111"/>
      <c r="AM184" s="111"/>
      <c r="AN184" s="111"/>
      <c r="AO184" s="111"/>
      <c r="AP184" s="111"/>
      <c r="AQ184" s="111"/>
      <c r="AR184" s="111"/>
      <c r="AS184" s="111"/>
      <c r="AT184" s="111"/>
      <c r="AU184" s="111"/>
      <c r="AV184" s="111"/>
      <c r="AW184" s="111"/>
      <c r="AX184" s="111"/>
      <c r="AY184" s="111"/>
      <c r="AZ184" s="111"/>
      <c r="BA184" s="111"/>
      <c r="BB184" s="111"/>
      <c r="BC184" s="111"/>
      <c r="BD184" s="111"/>
      <c r="BE184" s="111"/>
      <c r="BF184" s="111"/>
      <c r="BG184" s="111"/>
      <c r="BH184" s="111"/>
      <c r="BI184" s="111"/>
      <c r="BJ184" s="111"/>
      <c r="BK184" s="111"/>
      <c r="BL184" s="111"/>
      <c r="BM184" s="111"/>
      <c r="BN184" s="111"/>
      <c r="BO184" s="111"/>
      <c r="BP184" s="111"/>
      <c r="BQ184" s="111"/>
      <c r="BR184" s="111"/>
      <c r="BS184" s="111"/>
      <c r="BT184" s="111"/>
      <c r="BU184" s="111"/>
      <c r="BV184" s="111"/>
      <c r="BW184" s="111"/>
      <c r="BX184" s="111"/>
      <c r="BY184" s="111"/>
      <c r="BZ184" s="111"/>
      <c r="CA184" s="111"/>
      <c r="CB184" s="111"/>
      <c r="CC184" s="111"/>
      <c r="CD184" s="111"/>
      <c r="CE184" s="111"/>
      <c r="CF184" s="111"/>
      <c r="CG184" s="111"/>
      <c r="CH184" s="111"/>
      <c r="CI184" s="111"/>
      <c r="CJ184" s="111"/>
      <c r="CK184" s="111"/>
      <c r="CL184" s="111"/>
      <c r="CM184" s="111"/>
      <c r="CN184" s="111"/>
      <c r="CO184" s="111"/>
      <c r="CP184" s="111"/>
      <c r="CQ184" s="111"/>
      <c r="CR184" s="111"/>
      <c r="CS184" s="111"/>
      <c r="CT184" s="111"/>
    </row>
    <row r="185" spans="1:98" hidden="1" x14ac:dyDescent="0.2">
      <c r="A185" s="590"/>
      <c r="B185" s="1807">
        <f t="shared" si="71"/>
        <v>0</v>
      </c>
      <c r="C185" s="111"/>
      <c r="D185" s="590"/>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c r="AD185" s="111"/>
      <c r="AE185" s="111"/>
      <c r="AF185" s="111"/>
      <c r="AG185" s="111"/>
      <c r="AH185" s="111"/>
      <c r="AI185" s="111"/>
      <c r="AJ185" s="111"/>
      <c r="AK185" s="111"/>
      <c r="AL185" s="111"/>
      <c r="AM185" s="111"/>
      <c r="AN185" s="111"/>
      <c r="AO185" s="111"/>
      <c r="AP185" s="111"/>
      <c r="AQ185" s="111"/>
      <c r="AR185" s="111"/>
      <c r="AS185" s="111"/>
      <c r="AT185" s="111"/>
      <c r="AU185" s="111"/>
      <c r="AV185" s="111"/>
      <c r="AW185" s="111"/>
      <c r="AX185" s="111"/>
      <c r="AY185" s="111"/>
      <c r="AZ185" s="111"/>
      <c r="BA185" s="111"/>
      <c r="BB185" s="111"/>
      <c r="BC185" s="111"/>
      <c r="BD185" s="111"/>
      <c r="BE185" s="111"/>
      <c r="BF185" s="111"/>
      <c r="BG185" s="111"/>
      <c r="BH185" s="111"/>
      <c r="BI185" s="111"/>
      <c r="BJ185" s="111"/>
      <c r="BK185" s="111"/>
      <c r="BL185" s="111"/>
      <c r="BM185" s="111"/>
      <c r="BN185" s="111"/>
      <c r="BO185" s="111"/>
      <c r="BP185" s="111"/>
      <c r="BQ185" s="111"/>
      <c r="BR185" s="111"/>
      <c r="BS185" s="111"/>
      <c r="BT185" s="111"/>
      <c r="BU185" s="111"/>
      <c r="BV185" s="111"/>
      <c r="BW185" s="111"/>
      <c r="BX185" s="111"/>
      <c r="BY185" s="111"/>
      <c r="BZ185" s="111"/>
      <c r="CA185" s="111"/>
      <c r="CB185" s="111"/>
      <c r="CC185" s="111"/>
      <c r="CD185" s="111"/>
      <c r="CE185" s="111"/>
      <c r="CF185" s="111"/>
      <c r="CG185" s="111"/>
      <c r="CH185" s="111"/>
      <c r="CI185" s="111"/>
      <c r="CJ185" s="111"/>
      <c r="CK185" s="111"/>
      <c r="CL185" s="111"/>
      <c r="CM185" s="111"/>
      <c r="CN185" s="111"/>
      <c r="CO185" s="111"/>
      <c r="CP185" s="111"/>
      <c r="CQ185" s="111"/>
      <c r="CR185" s="111"/>
      <c r="CS185" s="111"/>
      <c r="CT185" s="111"/>
    </row>
    <row r="186" spans="1:98" hidden="1" x14ac:dyDescent="0.2">
      <c r="A186" s="590"/>
      <c r="B186" s="1807">
        <f t="shared" si="71"/>
        <v>0</v>
      </c>
      <c r="C186" s="111"/>
      <c r="D186" s="590"/>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c r="AD186" s="111"/>
      <c r="AE186" s="111"/>
      <c r="AF186" s="111"/>
      <c r="AG186" s="111"/>
      <c r="AH186" s="111"/>
      <c r="AI186" s="111"/>
      <c r="AJ186" s="111"/>
      <c r="AK186" s="111"/>
      <c r="AL186" s="111"/>
      <c r="AM186" s="111"/>
      <c r="AN186" s="111"/>
      <c r="AO186" s="111"/>
      <c r="AP186" s="111"/>
      <c r="AQ186" s="111"/>
      <c r="AR186" s="111"/>
      <c r="AS186" s="111"/>
      <c r="AT186" s="111"/>
      <c r="AU186" s="111"/>
      <c r="AV186" s="111"/>
      <c r="AW186" s="111"/>
      <c r="AX186" s="111"/>
      <c r="AY186" s="111"/>
      <c r="AZ186" s="111"/>
      <c r="BA186" s="111"/>
      <c r="BB186" s="111"/>
      <c r="BC186" s="111"/>
      <c r="BD186" s="111"/>
      <c r="BE186" s="111"/>
      <c r="BF186" s="111"/>
      <c r="BG186" s="111"/>
      <c r="BH186" s="111"/>
      <c r="BI186" s="111"/>
      <c r="BJ186" s="111"/>
      <c r="BK186" s="111"/>
      <c r="BL186" s="111"/>
      <c r="BM186" s="111"/>
      <c r="BN186" s="111"/>
      <c r="BO186" s="111"/>
      <c r="BP186" s="111"/>
      <c r="BQ186" s="111"/>
      <c r="BR186" s="111"/>
      <c r="BS186" s="111"/>
      <c r="BT186" s="111"/>
      <c r="BU186" s="111"/>
      <c r="BV186" s="111"/>
      <c r="BW186" s="111"/>
      <c r="BX186" s="111"/>
      <c r="BY186" s="111"/>
      <c r="BZ186" s="111"/>
      <c r="CA186" s="111"/>
      <c r="CB186" s="111"/>
      <c r="CC186" s="111"/>
      <c r="CD186" s="111"/>
      <c r="CE186" s="111"/>
      <c r="CF186" s="111"/>
      <c r="CG186" s="111"/>
      <c r="CH186" s="111"/>
      <c r="CI186" s="111"/>
      <c r="CJ186" s="111"/>
      <c r="CK186" s="111"/>
      <c r="CL186" s="111"/>
      <c r="CM186" s="111"/>
      <c r="CN186" s="111"/>
      <c r="CO186" s="111"/>
      <c r="CP186" s="111"/>
      <c r="CQ186" s="111"/>
      <c r="CR186" s="111"/>
      <c r="CS186" s="111"/>
      <c r="CT186" s="111"/>
    </row>
    <row r="187" spans="1:98" hidden="1" x14ac:dyDescent="0.2">
      <c r="A187" s="590"/>
      <c r="B187" s="1807">
        <f t="shared" si="71"/>
        <v>0</v>
      </c>
      <c r="C187" s="111"/>
      <c r="D187" s="590"/>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c r="AD187" s="111"/>
      <c r="AE187" s="111"/>
      <c r="AF187" s="111"/>
      <c r="AG187" s="111"/>
      <c r="AH187" s="111"/>
      <c r="AI187" s="111"/>
      <c r="AJ187" s="111"/>
      <c r="AK187" s="111"/>
      <c r="AL187" s="111"/>
      <c r="AM187" s="111"/>
      <c r="AN187" s="111"/>
      <c r="AO187" s="111"/>
      <c r="AP187" s="111"/>
      <c r="AQ187" s="111"/>
      <c r="AR187" s="111"/>
      <c r="AS187" s="111"/>
      <c r="AT187" s="111"/>
      <c r="AU187" s="111"/>
      <c r="AV187" s="111"/>
      <c r="AW187" s="111"/>
      <c r="AX187" s="111"/>
      <c r="AY187" s="111"/>
      <c r="AZ187" s="111"/>
      <c r="BA187" s="111"/>
      <c r="BB187" s="111"/>
      <c r="BC187" s="111"/>
      <c r="BD187" s="111"/>
      <c r="BE187" s="111"/>
      <c r="BF187" s="111"/>
      <c r="BG187" s="111"/>
      <c r="BH187" s="111"/>
      <c r="BI187" s="111"/>
      <c r="BJ187" s="111"/>
      <c r="BK187" s="111"/>
      <c r="BL187" s="111"/>
      <c r="BM187" s="111"/>
      <c r="BN187" s="111"/>
      <c r="BO187" s="111"/>
      <c r="BP187" s="111"/>
      <c r="BQ187" s="111"/>
      <c r="BR187" s="111"/>
      <c r="BS187" s="111"/>
      <c r="BT187" s="111"/>
      <c r="BU187" s="111"/>
      <c r="BV187" s="111"/>
      <c r="BW187" s="111"/>
      <c r="BX187" s="111"/>
      <c r="BY187" s="111"/>
      <c r="BZ187" s="111"/>
      <c r="CA187" s="111"/>
      <c r="CB187" s="111"/>
      <c r="CC187" s="111"/>
      <c r="CD187" s="111"/>
      <c r="CE187" s="111"/>
      <c r="CF187" s="111"/>
      <c r="CG187" s="111"/>
      <c r="CH187" s="111"/>
      <c r="CI187" s="111"/>
      <c r="CJ187" s="111"/>
      <c r="CK187" s="111"/>
      <c r="CL187" s="111"/>
      <c r="CM187" s="111"/>
      <c r="CN187" s="111"/>
      <c r="CO187" s="111"/>
      <c r="CP187" s="111"/>
      <c r="CQ187" s="111"/>
      <c r="CR187" s="111"/>
      <c r="CS187" s="111"/>
      <c r="CT187" s="111"/>
    </row>
    <row r="188" spans="1:98" hidden="1" x14ac:dyDescent="0.2">
      <c r="A188" s="590"/>
      <c r="B188" s="1807">
        <f t="shared" si="71"/>
        <v>0</v>
      </c>
      <c r="C188" s="111"/>
      <c r="D188" s="590"/>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c r="AD188" s="111"/>
      <c r="AE188" s="111"/>
      <c r="AF188" s="111"/>
      <c r="AG188" s="111"/>
      <c r="AH188" s="111"/>
      <c r="AI188" s="111"/>
      <c r="AJ188" s="111"/>
      <c r="AK188" s="111"/>
      <c r="AL188" s="111"/>
      <c r="AM188" s="111"/>
      <c r="AN188" s="111"/>
      <c r="AO188" s="111"/>
      <c r="AP188" s="111"/>
      <c r="AQ188" s="111"/>
      <c r="AR188" s="111"/>
      <c r="AS188" s="111"/>
      <c r="AT188" s="111"/>
      <c r="AU188" s="111"/>
      <c r="AV188" s="111"/>
      <c r="AW188" s="111"/>
      <c r="AX188" s="111"/>
      <c r="AY188" s="111"/>
      <c r="AZ188" s="111"/>
      <c r="BA188" s="111"/>
      <c r="BB188" s="111"/>
      <c r="BC188" s="111"/>
      <c r="BD188" s="111"/>
      <c r="BE188" s="111"/>
      <c r="BF188" s="111"/>
      <c r="BG188" s="111"/>
      <c r="BH188" s="111"/>
      <c r="BI188" s="111"/>
      <c r="BJ188" s="111"/>
      <c r="BK188" s="111"/>
      <c r="BL188" s="111"/>
      <c r="BM188" s="111"/>
      <c r="BN188" s="111"/>
      <c r="BO188" s="111"/>
      <c r="BP188" s="111"/>
      <c r="BQ188" s="111"/>
      <c r="BR188" s="111"/>
      <c r="BS188" s="111"/>
      <c r="BT188" s="111"/>
      <c r="BU188" s="111"/>
      <c r="BV188" s="111"/>
      <c r="BW188" s="111"/>
      <c r="BX188" s="111"/>
      <c r="BY188" s="111"/>
      <c r="BZ188" s="111"/>
      <c r="CA188" s="111"/>
      <c r="CB188" s="111"/>
      <c r="CC188" s="111"/>
      <c r="CD188" s="111"/>
      <c r="CE188" s="111"/>
      <c r="CF188" s="111"/>
      <c r="CG188" s="111"/>
      <c r="CH188" s="111"/>
      <c r="CI188" s="111"/>
      <c r="CJ188" s="111"/>
      <c r="CK188" s="111"/>
      <c r="CL188" s="111"/>
      <c r="CM188" s="111"/>
      <c r="CN188" s="111"/>
      <c r="CO188" s="111"/>
      <c r="CP188" s="111"/>
      <c r="CQ188" s="111"/>
      <c r="CR188" s="111"/>
      <c r="CS188" s="111"/>
      <c r="CT188" s="111"/>
    </row>
    <row r="189" spans="1:98" hidden="1" x14ac:dyDescent="0.2">
      <c r="A189" s="590"/>
      <c r="B189" s="1807">
        <f t="shared" si="71"/>
        <v>0</v>
      </c>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1"/>
      <c r="BR189" s="111"/>
      <c r="BS189" s="111"/>
      <c r="BT189" s="111"/>
      <c r="BU189" s="111"/>
      <c r="BV189" s="111"/>
      <c r="BW189" s="111"/>
      <c r="BX189" s="111"/>
      <c r="BY189" s="111"/>
      <c r="BZ189" s="111"/>
      <c r="CA189" s="111"/>
      <c r="CB189" s="111"/>
      <c r="CC189" s="111"/>
      <c r="CD189" s="111"/>
      <c r="CE189" s="111"/>
      <c r="CF189" s="111"/>
      <c r="CG189" s="111"/>
      <c r="CH189" s="111"/>
      <c r="CI189" s="111"/>
      <c r="CJ189" s="111"/>
      <c r="CK189" s="111"/>
      <c r="CL189" s="111"/>
      <c r="CM189" s="111"/>
      <c r="CN189" s="111"/>
      <c r="CO189" s="111"/>
      <c r="CP189" s="111"/>
      <c r="CQ189" s="111"/>
      <c r="CR189" s="111"/>
      <c r="CS189" s="111"/>
      <c r="CT189" s="111"/>
    </row>
    <row r="190" spans="1:98" hidden="1" x14ac:dyDescent="0.2">
      <c r="A190" s="590"/>
      <c r="B190" s="1807" t="str">
        <f t="shared" ref="B190:B197" si="72">B98</f>
        <v>Barb SPL</v>
      </c>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c r="AD190" s="111"/>
      <c r="AE190" s="111"/>
      <c r="AF190" s="111"/>
      <c r="AG190" s="111"/>
      <c r="AH190" s="111"/>
      <c r="AI190" s="111"/>
      <c r="AJ190" s="111"/>
      <c r="AK190" s="111"/>
      <c r="AL190" s="111"/>
      <c r="AM190" s="111"/>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1"/>
      <c r="BR190" s="111"/>
      <c r="BS190" s="111"/>
      <c r="BT190" s="111"/>
      <c r="BU190" s="111"/>
      <c r="BV190" s="111"/>
      <c r="BW190" s="111"/>
      <c r="BX190" s="111"/>
      <c r="BY190" s="111"/>
      <c r="BZ190" s="111"/>
      <c r="CA190" s="111"/>
      <c r="CB190" s="111"/>
      <c r="CC190" s="111"/>
      <c r="CD190" s="111"/>
      <c r="CE190" s="111"/>
      <c r="CF190" s="111"/>
      <c r="CG190" s="111"/>
      <c r="CH190" s="111"/>
      <c r="CI190" s="111"/>
      <c r="CJ190" s="111"/>
      <c r="CK190" s="111"/>
      <c r="CL190" s="111"/>
      <c r="CM190" s="111"/>
      <c r="CN190" s="111"/>
      <c r="CO190" s="111"/>
      <c r="CP190" s="111"/>
      <c r="CQ190" s="111"/>
      <c r="CR190" s="111"/>
      <c r="CS190" s="111"/>
      <c r="CT190" s="111"/>
    </row>
    <row r="191" spans="1:98" hidden="1" x14ac:dyDescent="0.2">
      <c r="A191" s="590"/>
      <c r="B191" s="1807" t="str">
        <f t="shared" si="72"/>
        <v>Barb Agrícola</v>
      </c>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c r="AD191" s="111"/>
      <c r="AE191" s="111"/>
      <c r="AF191" s="111"/>
      <c r="AG191" s="111"/>
      <c r="AH191" s="111"/>
      <c r="AI191" s="111"/>
      <c r="AJ191" s="111"/>
      <c r="AK191" s="111"/>
      <c r="AL191" s="111"/>
      <c r="AM191" s="111"/>
      <c r="AN191" s="111"/>
      <c r="AO191" s="111"/>
      <c r="AP191" s="111"/>
      <c r="AQ191" s="111"/>
      <c r="AR191" s="111"/>
      <c r="AS191" s="111"/>
      <c r="AT191" s="111"/>
      <c r="AU191" s="111"/>
      <c r="AV191" s="111"/>
      <c r="AW191" s="111"/>
      <c r="AX191" s="111"/>
      <c r="AY191" s="111"/>
      <c r="AZ191" s="111"/>
      <c r="BA191" s="111"/>
      <c r="BB191" s="111"/>
      <c r="BC191" s="111"/>
      <c r="BD191" s="111"/>
      <c r="BE191" s="111"/>
      <c r="BF191" s="111"/>
      <c r="BG191" s="111"/>
      <c r="BH191" s="111"/>
      <c r="BI191" s="111"/>
      <c r="BJ191" s="111"/>
      <c r="BK191" s="111"/>
      <c r="BL191" s="111"/>
      <c r="BM191" s="111"/>
      <c r="BN191" s="111"/>
      <c r="BO191" s="111"/>
      <c r="BP191" s="111"/>
      <c r="BQ191" s="111"/>
      <c r="BR191" s="111"/>
      <c r="BS191" s="111"/>
      <c r="BT191" s="111"/>
      <c r="BU191" s="111"/>
      <c r="BV191" s="111"/>
      <c r="BW191" s="111"/>
      <c r="BX191" s="111"/>
      <c r="BY191" s="111"/>
      <c r="BZ191" s="111"/>
      <c r="CA191" s="111"/>
      <c r="CB191" s="111"/>
      <c r="CC191" s="111"/>
      <c r="CD191" s="111"/>
      <c r="CE191" s="111"/>
      <c r="CF191" s="111"/>
      <c r="CG191" s="111"/>
      <c r="CH191" s="111"/>
      <c r="CI191" s="111"/>
      <c r="CJ191" s="111"/>
      <c r="CK191" s="111"/>
      <c r="CL191" s="111"/>
      <c r="CM191" s="111"/>
      <c r="CN191" s="111"/>
      <c r="CO191" s="111"/>
      <c r="CP191" s="111"/>
      <c r="CQ191" s="111"/>
      <c r="CR191" s="111"/>
      <c r="CS191" s="111"/>
      <c r="CT191" s="111"/>
    </row>
    <row r="192" spans="1:98" hidden="1" x14ac:dyDescent="0.2">
      <c r="A192" s="590"/>
      <c r="B192" s="1807" t="str">
        <f t="shared" si="72"/>
        <v>Barb SPG</v>
      </c>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c r="AJ192" s="111"/>
      <c r="AK192" s="111"/>
      <c r="AL192" s="111"/>
      <c r="AM192" s="111"/>
      <c r="AN192" s="111"/>
      <c r="AO192" s="111"/>
      <c r="AP192" s="111"/>
      <c r="AQ192" s="111"/>
      <c r="AR192" s="111"/>
      <c r="AS192" s="111"/>
      <c r="AT192" s="111"/>
      <c r="AU192" s="111"/>
      <c r="AV192" s="111"/>
      <c r="AW192" s="111"/>
      <c r="AX192" s="111"/>
      <c r="AY192" s="111"/>
      <c r="AZ192" s="111"/>
      <c r="BA192" s="111"/>
      <c r="BB192" s="111"/>
      <c r="BC192" s="111"/>
      <c r="BD192" s="111"/>
      <c r="BE192" s="111"/>
      <c r="BF192" s="111"/>
      <c r="BG192" s="111"/>
      <c r="BH192" s="111"/>
      <c r="BI192" s="111"/>
      <c r="BJ192" s="111"/>
      <c r="BK192" s="111"/>
      <c r="BL192" s="111"/>
      <c r="BM192" s="111"/>
      <c r="BN192" s="111"/>
      <c r="BO192" s="111"/>
      <c r="BP192" s="111"/>
      <c r="BQ192" s="111"/>
      <c r="BR192" s="111"/>
      <c r="BS192" s="111"/>
      <c r="BT192" s="111"/>
      <c r="BU192" s="111"/>
      <c r="BV192" s="111"/>
      <c r="BW192" s="111"/>
      <c r="BX192" s="111"/>
      <c r="BY192" s="111"/>
      <c r="BZ192" s="111"/>
      <c r="CA192" s="111"/>
      <c r="CB192" s="111"/>
      <c r="CC192" s="111"/>
      <c r="CD192" s="111"/>
      <c r="CE192" s="111"/>
      <c r="CF192" s="111"/>
      <c r="CG192" s="111"/>
      <c r="CH192" s="111"/>
      <c r="CI192" s="111"/>
      <c r="CJ192" s="111"/>
      <c r="CK192" s="111"/>
      <c r="CL192" s="111"/>
      <c r="CM192" s="111"/>
      <c r="CN192" s="111"/>
      <c r="CO192" s="111"/>
      <c r="CP192" s="111"/>
      <c r="CQ192" s="111"/>
      <c r="CR192" s="111"/>
      <c r="CS192" s="111"/>
      <c r="CT192" s="111"/>
    </row>
    <row r="193" spans="1:98" hidden="1" x14ac:dyDescent="0.2">
      <c r="A193" s="590"/>
      <c r="B193" s="1807" t="str">
        <f t="shared" si="72"/>
        <v>Montes</v>
      </c>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c r="AP193" s="111"/>
      <c r="AQ193" s="111"/>
      <c r="AR193" s="111"/>
      <c r="AS193" s="111"/>
      <c r="AT193" s="111"/>
      <c r="AU193" s="111"/>
      <c r="AV193" s="111"/>
      <c r="AW193" s="111"/>
      <c r="AX193" s="111"/>
      <c r="AY193" s="111"/>
      <c r="AZ193" s="111"/>
      <c r="BA193" s="111"/>
      <c r="BB193" s="111"/>
      <c r="BC193" s="111"/>
      <c r="BD193" s="111"/>
      <c r="BE193" s="111"/>
      <c r="BF193" s="111"/>
      <c r="BG193" s="111"/>
      <c r="BH193" s="111"/>
      <c r="BI193" s="111"/>
      <c r="BJ193" s="111"/>
      <c r="BK193" s="111"/>
      <c r="BL193" s="111"/>
      <c r="BM193" s="111"/>
      <c r="BN193" s="111"/>
      <c r="BO193" s="111"/>
      <c r="BP193" s="111"/>
      <c r="BQ193" s="111"/>
      <c r="BR193" s="111"/>
      <c r="BS193" s="111"/>
      <c r="BT193" s="111"/>
      <c r="BU193" s="111"/>
      <c r="BV193" s="111"/>
      <c r="BW193" s="111"/>
      <c r="BX193" s="111"/>
      <c r="BY193" s="111"/>
      <c r="BZ193" s="111"/>
      <c r="CA193" s="111"/>
      <c r="CB193" s="111"/>
      <c r="CC193" s="111"/>
      <c r="CD193" s="111"/>
      <c r="CE193" s="111"/>
      <c r="CF193" s="111"/>
      <c r="CG193" s="111"/>
      <c r="CH193" s="111"/>
      <c r="CI193" s="111"/>
      <c r="CJ193" s="111"/>
      <c r="CK193" s="111"/>
      <c r="CL193" s="111"/>
      <c r="CM193" s="111"/>
      <c r="CN193" s="111"/>
      <c r="CO193" s="111"/>
      <c r="CP193" s="111"/>
      <c r="CQ193" s="111"/>
      <c r="CR193" s="111"/>
      <c r="CS193" s="111"/>
      <c r="CT193" s="111"/>
    </row>
    <row r="194" spans="1:98" hidden="1" x14ac:dyDescent="0.2">
      <c r="A194" s="590"/>
      <c r="B194" s="1807" t="str">
        <f t="shared" si="72"/>
        <v>Callejones, tambo</v>
      </c>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c r="AD194" s="111"/>
      <c r="AE194" s="111"/>
      <c r="AF194" s="111"/>
      <c r="AG194" s="111"/>
      <c r="AH194" s="111"/>
      <c r="AI194" s="111"/>
      <c r="AJ194" s="111"/>
      <c r="AK194" s="111"/>
      <c r="AL194" s="111"/>
      <c r="AM194" s="111"/>
      <c r="AN194" s="111"/>
      <c r="AO194" s="111"/>
      <c r="AP194" s="111"/>
      <c r="AQ194" s="111"/>
      <c r="AR194" s="111"/>
      <c r="AS194" s="111"/>
      <c r="AT194" s="111"/>
      <c r="AU194" s="111"/>
      <c r="AV194" s="111"/>
      <c r="AW194" s="111"/>
      <c r="AX194" s="111"/>
      <c r="AY194" s="111"/>
      <c r="AZ194" s="111"/>
      <c r="BA194" s="111"/>
      <c r="BB194" s="111"/>
      <c r="BC194" s="111"/>
      <c r="BD194" s="111"/>
      <c r="BE194" s="111"/>
      <c r="BF194" s="111"/>
      <c r="BG194" s="111"/>
      <c r="BH194" s="111"/>
      <c r="BI194" s="111"/>
      <c r="BJ194" s="111"/>
      <c r="BK194" s="111"/>
      <c r="BL194" s="111"/>
      <c r="BM194" s="111"/>
      <c r="BN194" s="111"/>
      <c r="BO194" s="111"/>
      <c r="BP194" s="111"/>
      <c r="BQ194" s="111"/>
      <c r="BR194" s="111"/>
      <c r="BS194" s="111"/>
      <c r="BT194" s="111"/>
      <c r="BU194" s="111"/>
      <c r="BV194" s="111"/>
      <c r="BW194" s="111"/>
      <c r="BX194" s="111"/>
      <c r="BY194" s="111"/>
      <c r="BZ194" s="111"/>
      <c r="CA194" s="111"/>
      <c r="CB194" s="111"/>
      <c r="CC194" s="111"/>
      <c r="CD194" s="111"/>
      <c r="CE194" s="111"/>
      <c r="CF194" s="111"/>
      <c r="CG194" s="111"/>
      <c r="CH194" s="111"/>
      <c r="CI194" s="111"/>
      <c r="CJ194" s="111"/>
      <c r="CK194" s="111"/>
      <c r="CL194" s="111"/>
      <c r="CM194" s="111"/>
      <c r="CN194" s="111"/>
      <c r="CO194" s="111"/>
      <c r="CP194" s="111"/>
      <c r="CQ194" s="111"/>
      <c r="CR194" s="111"/>
      <c r="CS194" s="111"/>
      <c r="CT194" s="111"/>
    </row>
    <row r="195" spans="1:98" hidden="1" x14ac:dyDescent="0.2">
      <c r="A195" s="590"/>
      <c r="B195" s="1807" t="str">
        <f t="shared" si="72"/>
        <v>Bañado</v>
      </c>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c r="AD195" s="111"/>
      <c r="AE195" s="111"/>
      <c r="AF195" s="111"/>
      <c r="AG195" s="111"/>
      <c r="AH195" s="111"/>
      <c r="AI195" s="111"/>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c r="CA195" s="111"/>
      <c r="CB195" s="111"/>
      <c r="CC195" s="111"/>
      <c r="CD195" s="111"/>
      <c r="CE195" s="111"/>
      <c r="CF195" s="111"/>
      <c r="CG195" s="111"/>
      <c r="CH195" s="111"/>
      <c r="CI195" s="111"/>
      <c r="CJ195" s="111"/>
      <c r="CK195" s="111"/>
      <c r="CL195" s="111"/>
      <c r="CM195" s="111"/>
      <c r="CN195" s="111"/>
      <c r="CO195" s="111"/>
      <c r="CP195" s="111"/>
      <c r="CQ195" s="111"/>
      <c r="CR195" s="111"/>
      <c r="CS195" s="111"/>
      <c r="CT195" s="111"/>
    </row>
    <row r="196" spans="1:98" hidden="1" x14ac:dyDescent="0.2">
      <c r="A196" s="590"/>
      <c r="B196" s="1807">
        <f t="shared" si="72"/>
        <v>0</v>
      </c>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c r="AD196" s="111"/>
      <c r="AE196" s="111"/>
      <c r="AF196" s="111"/>
      <c r="AG196" s="111"/>
      <c r="AH196" s="111"/>
      <c r="AI196" s="111"/>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2188">
        <v>1012</v>
      </c>
      <c r="BF196" s="111"/>
      <c r="BG196" s="111"/>
      <c r="BH196" s="111"/>
      <c r="BI196" s="111"/>
      <c r="BJ196" s="111"/>
      <c r="BK196" s="111"/>
      <c r="BL196" s="111"/>
      <c r="BM196" s="111"/>
      <c r="BN196" s="111"/>
      <c r="BO196" s="111"/>
      <c r="BP196" s="111"/>
      <c r="BQ196" s="111"/>
      <c r="BR196" s="111"/>
      <c r="BS196" s="2188">
        <v>1012</v>
      </c>
      <c r="BT196" s="111"/>
      <c r="BU196" s="111"/>
      <c r="BV196" s="111"/>
      <c r="BW196" s="111"/>
      <c r="BX196" s="111"/>
      <c r="BY196" s="111"/>
      <c r="BZ196" s="111"/>
      <c r="CA196" s="111"/>
      <c r="CB196" s="111"/>
      <c r="CC196" s="111"/>
      <c r="CD196" s="111"/>
      <c r="CE196" s="111"/>
      <c r="CF196" s="111"/>
      <c r="CG196" s="2188">
        <v>1012</v>
      </c>
      <c r="CH196" s="111"/>
      <c r="CI196" s="111"/>
      <c r="CJ196" s="111"/>
      <c r="CK196" s="111"/>
      <c r="CL196" s="111"/>
      <c r="CM196" s="111"/>
      <c r="CN196" s="111"/>
      <c r="CO196" s="111"/>
      <c r="CP196" s="111"/>
      <c r="CQ196" s="111"/>
      <c r="CR196" s="111"/>
      <c r="CS196" s="111"/>
      <c r="CT196" s="111"/>
    </row>
    <row r="197" spans="1:98" ht="15.05" hidden="1" thickBot="1" x14ac:dyDescent="0.25">
      <c r="A197" s="590"/>
      <c r="B197" s="1808" t="str">
        <f t="shared" si="72"/>
        <v>x</v>
      </c>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c r="AD197" s="111"/>
      <c r="AE197" s="111"/>
      <c r="AF197" s="111"/>
      <c r="AG197" s="111"/>
      <c r="AH197" s="111"/>
      <c r="AI197" s="111"/>
      <c r="AJ197" s="111"/>
      <c r="AK197" s="111"/>
      <c r="AL197" s="111"/>
      <c r="AM197" s="111"/>
      <c r="AN197" s="111"/>
      <c r="AO197" s="111"/>
      <c r="AP197" s="111"/>
      <c r="AQ197" s="111"/>
      <c r="AR197" s="111"/>
      <c r="AS197" s="111"/>
      <c r="AT197" s="111"/>
      <c r="AU197" s="111"/>
      <c r="AV197" s="111"/>
      <c r="AW197" s="111"/>
      <c r="AX197" s="111"/>
      <c r="AY197" s="111"/>
      <c r="AZ197" s="111"/>
      <c r="BA197" s="111"/>
      <c r="BB197" s="111"/>
      <c r="BC197" s="111"/>
      <c r="BD197" s="111"/>
      <c r="BE197" s="2188" t="s">
        <v>1866</v>
      </c>
      <c r="BF197" s="111"/>
      <c r="BG197" s="111"/>
      <c r="BH197" s="111"/>
      <c r="BI197" s="111"/>
      <c r="BJ197" s="111"/>
      <c r="BK197" s="111"/>
      <c r="BL197" s="111"/>
      <c r="BM197" s="111"/>
      <c r="BN197" s="111"/>
      <c r="BO197" s="111"/>
      <c r="BP197" s="111"/>
      <c r="BQ197" s="111"/>
      <c r="BR197" s="111"/>
      <c r="BS197" s="2188" t="s">
        <v>1867</v>
      </c>
      <c r="BT197" s="111"/>
      <c r="BU197" s="111"/>
      <c r="BV197" s="111"/>
      <c r="BW197" s="111"/>
      <c r="BX197" s="111"/>
      <c r="BY197" s="111"/>
      <c r="BZ197" s="111"/>
      <c r="CA197" s="111"/>
      <c r="CB197" s="111"/>
      <c r="CC197" s="111"/>
      <c r="CD197" s="111"/>
      <c r="CE197" s="111"/>
      <c r="CF197" s="111"/>
      <c r="CG197" s="2188" t="s">
        <v>1868</v>
      </c>
      <c r="CH197" s="111"/>
      <c r="CI197" s="111"/>
      <c r="CJ197" s="111"/>
      <c r="CK197" s="111"/>
      <c r="CL197" s="111"/>
      <c r="CM197" s="111"/>
      <c r="CN197" s="111"/>
      <c r="CO197" s="111"/>
      <c r="CP197" s="111"/>
      <c r="CQ197" s="111"/>
      <c r="CR197" s="111"/>
      <c r="CS197" s="111"/>
      <c r="CT197" s="111"/>
    </row>
    <row r="198" spans="1:98" hidden="1" x14ac:dyDescent="0.2">
      <c r="A198" s="232"/>
      <c r="B198" s="232"/>
      <c r="C198" s="232"/>
      <c r="D198" s="232"/>
      <c r="E198" s="232"/>
      <c r="F198" s="232"/>
      <c r="G198" s="232"/>
      <c r="H198" s="232"/>
      <c r="I198" s="232"/>
      <c r="J198" s="232"/>
      <c r="K198" s="232"/>
      <c r="L198" s="232"/>
      <c r="M198" s="232"/>
      <c r="N198" s="232"/>
      <c r="O198" s="232"/>
      <c r="P198" s="232"/>
      <c r="Q198" s="232"/>
      <c r="R198" s="232"/>
      <c r="S198" s="232"/>
      <c r="T198" s="232"/>
      <c r="U198" s="232"/>
      <c r="V198" s="232"/>
      <c r="W198" s="232"/>
      <c r="X198" s="232"/>
      <c r="Y198" s="232"/>
      <c r="Z198" s="232"/>
      <c r="AA198" s="232"/>
      <c r="AB198" s="590"/>
      <c r="AC198" s="590"/>
      <c r="AD198" s="590"/>
      <c r="AE198" s="590"/>
      <c r="AF198" s="590"/>
      <c r="AG198" s="590"/>
      <c r="AH198" s="590"/>
      <c r="AI198" s="590"/>
      <c r="AJ198" s="590"/>
      <c r="AK198" s="590"/>
      <c r="AL198" s="590"/>
      <c r="AM198" s="590"/>
      <c r="AN198" s="590"/>
      <c r="AO198" s="590"/>
      <c r="AP198" s="590"/>
      <c r="AQ198" s="590"/>
      <c r="AR198" s="590"/>
      <c r="AS198" s="590"/>
      <c r="AT198" s="590"/>
      <c r="AU198" s="590"/>
      <c r="AV198" s="590"/>
      <c r="AW198" s="590"/>
      <c r="AX198" s="590"/>
      <c r="AY198" s="590"/>
      <c r="AZ198" s="590"/>
      <c r="BA198" s="590"/>
      <c r="BB198" s="590"/>
      <c r="BC198" s="590"/>
      <c r="BD198" s="590"/>
      <c r="BE198" s="590" t="s">
        <v>1088</v>
      </c>
      <c r="BF198" s="590"/>
      <c r="BG198" s="590"/>
      <c r="BH198" s="590"/>
      <c r="BI198" s="590"/>
      <c r="BJ198" s="590"/>
      <c r="BK198" s="590"/>
      <c r="BL198" s="590"/>
      <c r="BM198" s="590"/>
      <c r="BN198" s="590"/>
      <c r="BO198" s="590"/>
      <c r="BP198" s="590"/>
      <c r="BQ198" s="254"/>
      <c r="BR198" s="254"/>
      <c r="BS198" s="254"/>
      <c r="BT198" s="254"/>
      <c r="BU198" s="254"/>
      <c r="BV198" s="254"/>
      <c r="BW198" s="254"/>
      <c r="BX198" s="254"/>
      <c r="BY198" s="254"/>
      <c r="BZ198" s="254"/>
      <c r="CA198" s="254"/>
      <c r="CB198" s="254"/>
      <c r="CC198" s="254"/>
      <c r="CD198" s="254"/>
      <c r="CE198" s="254"/>
      <c r="CF198" s="254"/>
      <c r="CG198" s="254"/>
      <c r="CH198" s="254"/>
      <c r="CI198" s="254"/>
      <c r="CJ198" s="254"/>
      <c r="CK198" s="254"/>
      <c r="CL198" s="254"/>
      <c r="CM198" s="254"/>
      <c r="CN198" s="254"/>
      <c r="CO198" s="254"/>
      <c r="CP198" s="254"/>
      <c r="CQ198" s="254"/>
      <c r="CR198" s="254"/>
      <c r="CS198" s="254"/>
      <c r="CT198" s="254"/>
    </row>
    <row r="199" spans="1:98" ht="15.05" hidden="1" thickBot="1" x14ac:dyDescent="0.25">
      <c r="B199" s="1663" t="s">
        <v>2039</v>
      </c>
      <c r="C199" s="1663"/>
      <c r="D199" s="1663"/>
      <c r="E199" s="1663"/>
      <c r="F199" s="1663"/>
      <c r="G199" s="1663"/>
      <c r="H199" s="1663"/>
      <c r="I199" s="1663"/>
      <c r="J199" s="1663"/>
      <c r="K199" s="1663"/>
      <c r="L199" s="1663"/>
      <c r="M199" s="1663"/>
      <c r="N199" s="1663"/>
      <c r="O199" s="1663"/>
      <c r="P199" s="1663"/>
      <c r="Q199" s="1663"/>
      <c r="R199" s="1663"/>
      <c r="S199" s="1663"/>
      <c r="T199" s="1663"/>
      <c r="U199" s="1663"/>
      <c r="V199" s="1663"/>
      <c r="W199" s="1663"/>
      <c r="X199" s="1663"/>
      <c r="Y199" s="1663"/>
      <c r="Z199" s="1663"/>
      <c r="AA199" s="1663"/>
      <c r="AB199" s="1853"/>
      <c r="AC199" s="1853"/>
      <c r="AD199" s="1853"/>
      <c r="AE199" s="1853"/>
      <c r="AF199" s="1853"/>
      <c r="AG199" s="1853"/>
      <c r="AH199" s="1853"/>
      <c r="AI199" s="1853"/>
      <c r="AJ199" s="1853"/>
      <c r="AK199" s="1853"/>
      <c r="AL199" s="1853"/>
      <c r="AM199" s="1853"/>
      <c r="AN199" s="1853"/>
      <c r="AO199" s="1853"/>
      <c r="AP199" s="1853"/>
      <c r="AQ199" s="1853"/>
      <c r="AR199" s="1853"/>
      <c r="AS199" s="1853"/>
      <c r="AT199" s="1853"/>
      <c r="AU199" s="1853"/>
      <c r="AV199" s="1853"/>
      <c r="AW199" s="1853"/>
      <c r="AX199" s="1853"/>
      <c r="AY199" s="1853"/>
      <c r="AZ199" s="1853"/>
      <c r="BA199" s="1853"/>
      <c r="BB199" s="1853"/>
      <c r="BC199" s="1853"/>
      <c r="BD199" s="1853"/>
      <c r="BE199" s="1854" t="s">
        <v>1509</v>
      </c>
      <c r="BF199" s="1853"/>
      <c r="BG199" s="1853"/>
      <c r="BH199" s="1853"/>
      <c r="BI199" s="1853"/>
      <c r="BJ199" s="1853"/>
      <c r="BK199" s="1853"/>
      <c r="BL199" s="1853"/>
      <c r="BM199" s="1853"/>
      <c r="BN199" s="1853"/>
      <c r="BO199" s="1853"/>
      <c r="BP199" s="1853"/>
      <c r="BQ199" s="1855"/>
      <c r="BR199" s="1855"/>
      <c r="BS199" s="1854" t="s">
        <v>1509</v>
      </c>
      <c r="BT199" s="1855"/>
      <c r="BU199" s="1855"/>
      <c r="BV199" s="1855"/>
      <c r="BW199" s="1855"/>
      <c r="BX199" s="1855"/>
      <c r="BY199" s="1855"/>
      <c r="BZ199" s="1855"/>
      <c r="CA199" s="1855"/>
      <c r="CB199" s="1855"/>
      <c r="CC199" s="1855"/>
      <c r="CD199" s="1855"/>
      <c r="CE199" s="1855"/>
      <c r="CF199" s="1855"/>
      <c r="CG199" s="1854" t="s">
        <v>1509</v>
      </c>
      <c r="CH199" s="1855"/>
      <c r="CI199" s="1855"/>
      <c r="CJ199" s="1855"/>
      <c r="CK199" s="1855"/>
      <c r="CL199" s="1855"/>
      <c r="CM199" s="1855"/>
      <c r="CN199" s="1855"/>
      <c r="CO199" s="1855"/>
      <c r="CP199" s="1855"/>
      <c r="CQ199" s="1855"/>
      <c r="CR199" s="1855"/>
      <c r="CS199" s="1855"/>
      <c r="CT199" s="1855"/>
    </row>
    <row r="200" spans="1:98" ht="15.75" hidden="1" thickBot="1" x14ac:dyDescent="0.25">
      <c r="A200" s="232"/>
      <c r="B200" s="1433" t="s">
        <v>1505</v>
      </c>
      <c r="C200" s="1323"/>
      <c r="D200" s="1323"/>
      <c r="E200" s="1323"/>
      <c r="F200" s="1323"/>
      <c r="G200" s="1323"/>
      <c r="H200" s="1323"/>
      <c r="I200" s="1323"/>
      <c r="J200" s="1323"/>
      <c r="K200" s="1323"/>
      <c r="L200" s="1323"/>
      <c r="M200" s="1323"/>
      <c r="N200" s="1323"/>
      <c r="O200" s="1323"/>
      <c r="P200" s="1323"/>
      <c r="Q200" s="1323"/>
      <c r="R200" s="1323"/>
      <c r="S200" s="1323"/>
      <c r="T200" s="1323"/>
      <c r="U200" s="1323"/>
      <c r="V200" s="1323"/>
      <c r="W200" s="1323"/>
      <c r="X200" s="1323"/>
      <c r="Y200" s="1809"/>
      <c r="Z200" s="232"/>
      <c r="AA200" s="232"/>
      <c r="AB200" s="232"/>
      <c r="AO200" s="232"/>
      <c r="AP200" s="232"/>
      <c r="AQ200" s="232"/>
      <c r="AR200" s="232"/>
      <c r="AS200" s="232"/>
      <c r="AT200" s="1806" t="s">
        <v>1165</v>
      </c>
      <c r="AU200" s="1810"/>
      <c r="AV200" s="1810"/>
      <c r="AW200" s="1810"/>
      <c r="AX200" s="1810"/>
      <c r="AY200" s="1810"/>
      <c r="AZ200" s="1810"/>
      <c r="BA200" s="1810"/>
      <c r="BB200" s="1810"/>
      <c r="BC200" s="1810"/>
      <c r="BD200" s="1811"/>
      <c r="BE200" s="1806" t="s">
        <v>1166</v>
      </c>
      <c r="BF200" s="1810"/>
      <c r="BG200" s="1810"/>
      <c r="BH200" s="1810"/>
      <c r="BI200" s="1810"/>
      <c r="BJ200" s="1810"/>
      <c r="BK200" s="1810"/>
      <c r="BL200" s="1810"/>
      <c r="BM200" s="1810"/>
      <c r="BN200" s="1810"/>
      <c r="BO200" s="1810"/>
      <c r="BP200" s="1810"/>
      <c r="BQ200" s="1810"/>
      <c r="BR200" s="1811"/>
      <c r="BS200" s="1806" t="s">
        <v>1167</v>
      </c>
      <c r="BT200" s="1810"/>
      <c r="BU200" s="1810"/>
      <c r="BV200" s="1810"/>
      <c r="BW200" s="1810"/>
      <c r="BX200" s="1810"/>
      <c r="BY200" s="1810"/>
      <c r="BZ200" s="1810"/>
      <c r="CA200" s="1810"/>
      <c r="CB200" s="1810"/>
      <c r="CC200" s="1810"/>
      <c r="CD200" s="1810"/>
      <c r="CE200" s="1810"/>
      <c r="CF200" s="1811"/>
      <c r="CG200" s="1529"/>
      <c r="CH200" s="1806" t="s">
        <v>1168</v>
      </c>
      <c r="CI200" s="1810"/>
      <c r="CJ200" s="1810"/>
      <c r="CK200" s="1810"/>
      <c r="CL200" s="1810"/>
      <c r="CM200" s="1810"/>
      <c r="CN200" s="1810"/>
      <c r="CO200" s="1810"/>
      <c r="CP200" s="1810"/>
      <c r="CQ200" s="1810"/>
      <c r="CR200" s="1810"/>
      <c r="CS200" s="1810"/>
      <c r="CT200" s="1811"/>
    </row>
    <row r="201" spans="1:98" ht="15.75" hidden="1" thickBot="1" x14ac:dyDescent="0.25">
      <c r="A201" s="2188">
        <v>1012</v>
      </c>
      <c r="B201" s="1851" t="s">
        <v>1503</v>
      </c>
      <c r="C201" s="254"/>
      <c r="D201" s="254"/>
      <c r="E201" s="254"/>
      <c r="F201" s="254"/>
      <c r="G201" s="254"/>
      <c r="H201" s="254"/>
      <c r="I201" s="254"/>
      <c r="J201" s="254"/>
      <c r="K201" s="254"/>
      <c r="L201" s="254"/>
      <c r="M201" s="254" t="s">
        <v>1508</v>
      </c>
      <c r="N201" s="254"/>
      <c r="O201" s="254"/>
      <c r="P201" s="254"/>
      <c r="Q201" s="254"/>
      <c r="R201" s="254"/>
      <c r="S201" s="254"/>
      <c r="T201" s="254"/>
      <c r="U201" s="254"/>
      <c r="V201" s="254"/>
      <c r="W201" s="254"/>
      <c r="X201" s="254"/>
      <c r="Y201" s="1170"/>
      <c r="Z201" s="232"/>
      <c r="AA201" s="232"/>
      <c r="AB201" s="2188">
        <v>1012</v>
      </c>
      <c r="AC201" s="2188"/>
      <c r="AD201" s="1806" t="s">
        <v>1164</v>
      </c>
      <c r="AE201" s="1810"/>
      <c r="AF201" s="1810"/>
      <c r="AG201" s="1810"/>
      <c r="AH201" s="1810"/>
      <c r="AI201" s="1810"/>
      <c r="AJ201" s="1810"/>
      <c r="AK201" s="1810"/>
      <c r="AL201" s="1810"/>
      <c r="AM201" s="1810"/>
      <c r="AN201" s="1811"/>
      <c r="AO201" s="232"/>
      <c r="AP201" s="232"/>
      <c r="AQ201" s="232"/>
      <c r="AR201" s="2188">
        <v>1012</v>
      </c>
      <c r="AS201" s="2188"/>
      <c r="AT201" s="232"/>
      <c r="AU201" s="232"/>
      <c r="AV201" s="232"/>
      <c r="AW201" s="232"/>
      <c r="AX201" s="232"/>
      <c r="AY201" s="232"/>
      <c r="AZ201" s="232"/>
      <c r="BA201" s="232"/>
      <c r="BB201" s="232"/>
      <c r="BC201" s="232"/>
      <c r="BD201" s="232"/>
      <c r="BE201" s="2445" t="s">
        <v>984</v>
      </c>
      <c r="BF201" s="1412"/>
      <c r="BG201" s="1812"/>
      <c r="BH201" s="1812"/>
      <c r="BI201" s="1812"/>
      <c r="BJ201" s="1812"/>
      <c r="BK201" s="2445"/>
      <c r="BL201" s="2445" t="s">
        <v>1171</v>
      </c>
      <c r="BM201" s="1812"/>
      <c r="BN201" s="1812"/>
      <c r="BO201" s="1812"/>
      <c r="BP201" s="1812"/>
      <c r="BQ201" s="1812"/>
      <c r="BR201" s="1813"/>
      <c r="BS201" s="2444" t="s">
        <v>984</v>
      </c>
      <c r="BT201" s="1411"/>
      <c r="BU201" s="1414"/>
      <c r="BV201" s="1414"/>
      <c r="BW201" s="1414"/>
      <c r="BX201" s="1414"/>
      <c r="BY201" s="1414"/>
      <c r="BZ201" s="2445" t="s">
        <v>1170</v>
      </c>
      <c r="CA201" s="1414"/>
      <c r="CB201" s="1414"/>
      <c r="CC201" s="1414"/>
      <c r="CD201" s="1414"/>
      <c r="CE201" s="1414"/>
      <c r="CF201" s="1415"/>
      <c r="CG201" s="1814" t="s">
        <v>984</v>
      </c>
      <c r="CH201" s="1411"/>
      <c r="CI201" s="2445"/>
      <c r="CJ201" s="2445"/>
      <c r="CK201" s="2445"/>
      <c r="CL201" s="2445"/>
      <c r="CM201" s="2445"/>
      <c r="CN201" s="2445" t="s">
        <v>1169</v>
      </c>
      <c r="CO201" s="2445"/>
      <c r="CP201" s="2445"/>
      <c r="CQ201" s="2445"/>
      <c r="CR201" s="2445"/>
      <c r="CS201" s="2445"/>
      <c r="CT201" s="2446"/>
    </row>
    <row r="202" spans="1:98" hidden="1" x14ac:dyDescent="0.2">
      <c r="A202" s="2188" t="s">
        <v>1695</v>
      </c>
      <c r="B202" s="789" t="s">
        <v>332</v>
      </c>
      <c r="C202" s="1816"/>
      <c r="D202" s="1816"/>
      <c r="E202" s="775"/>
      <c r="F202" s="111"/>
      <c r="G202" s="111"/>
      <c r="H202" s="111"/>
      <c r="I202" s="111"/>
      <c r="J202" s="111"/>
      <c r="K202" s="111"/>
      <c r="L202" s="817"/>
      <c r="M202" s="111" t="str">
        <f t="shared" ref="M202:X202" si="73">+M8</f>
        <v>Ene</v>
      </c>
      <c r="N202" s="111" t="str">
        <f t="shared" si="73"/>
        <v>Feb</v>
      </c>
      <c r="O202" s="111" t="str">
        <f t="shared" si="73"/>
        <v>Mar</v>
      </c>
      <c r="P202" s="111" t="str">
        <f t="shared" si="73"/>
        <v>Abr</v>
      </c>
      <c r="Q202" s="111" t="str">
        <f t="shared" si="73"/>
        <v>May</v>
      </c>
      <c r="R202" s="111" t="str">
        <f t="shared" si="73"/>
        <v>Jun</v>
      </c>
      <c r="S202" s="111" t="str">
        <f t="shared" si="73"/>
        <v>Jul</v>
      </c>
      <c r="T202" s="111" t="str">
        <f t="shared" si="73"/>
        <v>Ago</v>
      </c>
      <c r="U202" s="111" t="str">
        <f t="shared" si="73"/>
        <v>Set</v>
      </c>
      <c r="V202" s="111" t="str">
        <f t="shared" si="73"/>
        <v>Oct</v>
      </c>
      <c r="W202" s="111" t="str">
        <f t="shared" si="73"/>
        <v>Nov</v>
      </c>
      <c r="X202" s="111" t="str">
        <f t="shared" si="73"/>
        <v>Dic</v>
      </c>
      <c r="Y202" s="1817"/>
      <c r="Z202" s="810"/>
      <c r="AA202" s="810"/>
      <c r="AB202" s="2188" t="s">
        <v>1759</v>
      </c>
      <c r="AC202" s="1818" t="s">
        <v>0</v>
      </c>
      <c r="AD202" s="781" t="s">
        <v>1</v>
      </c>
      <c r="AE202" s="781" t="s">
        <v>2</v>
      </c>
      <c r="AF202" s="781" t="s">
        <v>3</v>
      </c>
      <c r="AG202" s="781" t="s">
        <v>4</v>
      </c>
      <c r="AH202" s="781" t="s">
        <v>5</v>
      </c>
      <c r="AI202" s="781" t="s">
        <v>6</v>
      </c>
      <c r="AJ202" s="781" t="s">
        <v>7</v>
      </c>
      <c r="AK202" s="781" t="s">
        <v>316</v>
      </c>
      <c r="AL202" s="781" t="s">
        <v>8</v>
      </c>
      <c r="AM202" s="781" t="s">
        <v>9</v>
      </c>
      <c r="AN202" s="1819" t="s">
        <v>10</v>
      </c>
      <c r="AO202" s="810"/>
      <c r="AP202" s="810"/>
      <c r="AQ202" s="810"/>
      <c r="AR202" s="2188" t="s">
        <v>1761</v>
      </c>
      <c r="AS202" s="1818" t="s">
        <v>0</v>
      </c>
      <c r="AT202" s="781" t="s">
        <v>1</v>
      </c>
      <c r="AU202" s="781" t="s">
        <v>2</v>
      </c>
      <c r="AV202" s="781" t="s">
        <v>3</v>
      </c>
      <c r="AW202" s="781" t="s">
        <v>4</v>
      </c>
      <c r="AX202" s="781" t="s">
        <v>5</v>
      </c>
      <c r="AY202" s="781" t="s">
        <v>6</v>
      </c>
      <c r="AZ202" s="781" t="s">
        <v>7</v>
      </c>
      <c r="BA202" s="781" t="s">
        <v>316</v>
      </c>
      <c r="BB202" s="781" t="s">
        <v>8</v>
      </c>
      <c r="BC202" s="781" t="s">
        <v>9</v>
      </c>
      <c r="BD202" s="1819" t="s">
        <v>10</v>
      </c>
      <c r="BE202" s="1820">
        <v>1</v>
      </c>
      <c r="BF202" s="1821"/>
      <c r="BG202" s="1821" t="str">
        <f>+UsoSuelo!G8</f>
        <v>Ene</v>
      </c>
      <c r="BH202" s="1821" t="str">
        <f>+UsoSuelo!H8</f>
        <v>Feb</v>
      </c>
      <c r="BI202" s="1821" t="str">
        <f>+UsoSuelo!I8</f>
        <v>Mar</v>
      </c>
      <c r="BJ202" s="1821" t="str">
        <f>+UsoSuelo!J8</f>
        <v>Abr</v>
      </c>
      <c r="BK202" s="1821" t="str">
        <f>+UsoSuelo!K8</f>
        <v>May</v>
      </c>
      <c r="BL202" s="1821" t="str">
        <f>+UsoSuelo!L8</f>
        <v>Jun</v>
      </c>
      <c r="BM202" s="1821" t="str">
        <f>+UsoSuelo!M8</f>
        <v>Jul</v>
      </c>
      <c r="BN202" s="1821" t="str">
        <f>+UsoSuelo!N8</f>
        <v>Ago</v>
      </c>
      <c r="BO202" s="1821" t="str">
        <f>+UsoSuelo!O8</f>
        <v>Set</v>
      </c>
      <c r="BP202" s="1821" t="str">
        <f>+UsoSuelo!P8</f>
        <v>Oct</v>
      </c>
      <c r="BQ202" s="1821" t="str">
        <f>+UsoSuelo!Q8</f>
        <v>Nov</v>
      </c>
      <c r="BR202" s="1822" t="str">
        <f>+UsoSuelo!R8</f>
        <v>Dic</v>
      </c>
      <c r="BS202" s="1820">
        <v>1</v>
      </c>
      <c r="BT202" s="1821"/>
      <c r="BU202" s="1821" t="str">
        <f>+UsoSuelo!G8</f>
        <v>Ene</v>
      </c>
      <c r="BV202" s="1821" t="str">
        <f>+UsoSuelo!H8</f>
        <v>Feb</v>
      </c>
      <c r="BW202" s="1821" t="str">
        <f>+UsoSuelo!I8</f>
        <v>Mar</v>
      </c>
      <c r="BX202" s="1821" t="str">
        <f>+UsoSuelo!J8</f>
        <v>Abr</v>
      </c>
      <c r="BY202" s="1821" t="str">
        <f>+UsoSuelo!K8</f>
        <v>May</v>
      </c>
      <c r="BZ202" s="1821" t="str">
        <f>+UsoSuelo!L8</f>
        <v>Jun</v>
      </c>
      <c r="CA202" s="1821" t="str">
        <f>+UsoSuelo!M8</f>
        <v>Jul</v>
      </c>
      <c r="CB202" s="1821" t="str">
        <f>+UsoSuelo!N8</f>
        <v>Ago</v>
      </c>
      <c r="CC202" s="1821" t="str">
        <f>+UsoSuelo!O8</f>
        <v>Set</v>
      </c>
      <c r="CD202" s="1821" t="str">
        <f>+UsoSuelo!P8</f>
        <v>Oct</v>
      </c>
      <c r="CE202" s="1821" t="str">
        <f>+UsoSuelo!Q8</f>
        <v>Nov</v>
      </c>
      <c r="CF202" s="1822" t="str">
        <f>+UsoSuelo!R8</f>
        <v>Dic</v>
      </c>
      <c r="CG202" s="1820">
        <v>1</v>
      </c>
      <c r="CH202" s="1821"/>
      <c r="CI202" s="1821" t="str">
        <f>+UsoSuelo!G8</f>
        <v>Ene</v>
      </c>
      <c r="CJ202" s="1821" t="str">
        <f>+UsoSuelo!H8</f>
        <v>Feb</v>
      </c>
      <c r="CK202" s="1821" t="str">
        <f>+UsoSuelo!I8</f>
        <v>Mar</v>
      </c>
      <c r="CL202" s="1821" t="str">
        <f>+UsoSuelo!J8</f>
        <v>Abr</v>
      </c>
      <c r="CM202" s="1821" t="str">
        <f>+UsoSuelo!K8</f>
        <v>May</v>
      </c>
      <c r="CN202" s="1821" t="str">
        <f>+UsoSuelo!L8</f>
        <v>Jun</v>
      </c>
      <c r="CO202" s="1821" t="str">
        <f>+UsoSuelo!M8</f>
        <v>Jul</v>
      </c>
      <c r="CP202" s="1821" t="str">
        <f>+UsoSuelo!N8</f>
        <v>Ago</v>
      </c>
      <c r="CQ202" s="1821" t="str">
        <f>+UsoSuelo!O8</f>
        <v>Set</v>
      </c>
      <c r="CR202" s="1821" t="str">
        <f>+UsoSuelo!P8</f>
        <v>Oct</v>
      </c>
      <c r="CS202" s="1821" t="str">
        <f>+UsoSuelo!Q8</f>
        <v>Nov</v>
      </c>
      <c r="CT202" s="1822" t="str">
        <f>+UsoSuelo!R8</f>
        <v>Dic</v>
      </c>
    </row>
    <row r="203" spans="1:98" hidden="1" x14ac:dyDescent="0.2">
      <c r="A203" s="590"/>
      <c r="B203" s="1823" t="str">
        <f t="shared" ref="B203:D208" si="74">+B52</f>
        <v>Maíz Silo</v>
      </c>
      <c r="C203" s="1823" t="str">
        <f t="shared" si="74"/>
        <v>Reserva</v>
      </c>
      <c r="D203" s="1823">
        <f t="shared" si="74"/>
        <v>10000</v>
      </c>
      <c r="E203" s="772"/>
      <c r="F203" s="773"/>
      <c r="G203" s="773"/>
      <c r="H203" s="773"/>
      <c r="I203" s="111"/>
      <c r="J203" s="111"/>
      <c r="K203" s="111"/>
      <c r="L203" s="111"/>
      <c r="M203" s="769">
        <f>+IF(M$8=UsoSuelo!$S259,$D203,0)</f>
        <v>0</v>
      </c>
      <c r="N203" s="782">
        <f>+IF(N$8=UsoSuelo!$S259,$D203,0)</f>
        <v>0</v>
      </c>
      <c r="O203" s="782">
        <f>+IF(O$8=UsoSuelo!$S259,$D203,0)</f>
        <v>0</v>
      </c>
      <c r="P203" s="782">
        <f>+IF(P$8=UsoSuelo!$S259,$D203,0)</f>
        <v>0</v>
      </c>
      <c r="Q203" s="782">
        <f>+IF(Q$8=UsoSuelo!$S259,$D203,0)</f>
        <v>0</v>
      </c>
      <c r="R203" s="782">
        <f>+IF(R$8=UsoSuelo!$S259,$D203,0)</f>
        <v>0</v>
      </c>
      <c r="S203" s="782">
        <f>+IF(S$8=UsoSuelo!$S259,$D203,0)</f>
        <v>0</v>
      </c>
      <c r="T203" s="782">
        <f>+IF(T$8=UsoSuelo!$S259,$D203,0)</f>
        <v>0</v>
      </c>
      <c r="U203" s="782">
        <f>+IF(U$8=UsoSuelo!$S259,$D203,0)</f>
        <v>0</v>
      </c>
      <c r="V203" s="782">
        <f>+IF(V$8=UsoSuelo!$S259,$D203,0)</f>
        <v>0</v>
      </c>
      <c r="W203" s="782">
        <f>+IF(W$8=UsoSuelo!$S259,$D203,0)</f>
        <v>0</v>
      </c>
      <c r="X203" s="783">
        <f>+IF(X$8=UsoSuelo!$S259,$D203,0)</f>
        <v>0</v>
      </c>
      <c r="Y203" s="1824"/>
      <c r="Z203" s="795"/>
      <c r="AA203" s="795"/>
      <c r="AB203" s="795"/>
      <c r="AC203" s="808">
        <f t="shared" ref="AC203:AC208" si="75">+AB52/100</f>
        <v>0.08</v>
      </c>
      <c r="AD203" s="795">
        <f>+$AC$203</f>
        <v>0.08</v>
      </c>
      <c r="AE203" s="795">
        <f t="shared" ref="AE203:AN203" si="76">+$AC$203</f>
        <v>0.08</v>
      </c>
      <c r="AF203" s="795">
        <f t="shared" si="76"/>
        <v>0.08</v>
      </c>
      <c r="AG203" s="795">
        <f t="shared" si="76"/>
        <v>0.08</v>
      </c>
      <c r="AH203" s="795">
        <f t="shared" si="76"/>
        <v>0.08</v>
      </c>
      <c r="AI203" s="795">
        <f t="shared" si="76"/>
        <v>0.08</v>
      </c>
      <c r="AJ203" s="795">
        <f t="shared" si="76"/>
        <v>0.08</v>
      </c>
      <c r="AK203" s="795">
        <f t="shared" si="76"/>
        <v>0.08</v>
      </c>
      <c r="AL203" s="795">
        <f t="shared" si="76"/>
        <v>0.08</v>
      </c>
      <c r="AM203" s="795">
        <f t="shared" si="76"/>
        <v>0.08</v>
      </c>
      <c r="AN203" s="796">
        <f t="shared" si="76"/>
        <v>0.08</v>
      </c>
      <c r="AO203" s="795"/>
      <c r="AP203" s="795"/>
      <c r="AQ203" s="795"/>
      <c r="AR203" s="795"/>
      <c r="AS203" s="808">
        <f t="shared" ref="AS203:AS208" si="77">+AR52</f>
        <v>2.39</v>
      </c>
      <c r="AT203" s="795">
        <f>+$AS$203</f>
        <v>2.39</v>
      </c>
      <c r="AU203" s="795">
        <f t="shared" ref="AU203:BD203" si="78">+$AS$203</f>
        <v>2.39</v>
      </c>
      <c r="AV203" s="795">
        <f t="shared" si="78"/>
        <v>2.39</v>
      </c>
      <c r="AW203" s="795">
        <f t="shared" si="78"/>
        <v>2.39</v>
      </c>
      <c r="AX203" s="795">
        <f t="shared" si="78"/>
        <v>2.39</v>
      </c>
      <c r="AY203" s="795">
        <f t="shared" si="78"/>
        <v>2.39</v>
      </c>
      <c r="AZ203" s="795">
        <f t="shared" si="78"/>
        <v>2.39</v>
      </c>
      <c r="BA203" s="795">
        <f t="shared" si="78"/>
        <v>2.39</v>
      </c>
      <c r="BB203" s="795">
        <f t="shared" si="78"/>
        <v>2.39</v>
      </c>
      <c r="BC203" s="795">
        <f t="shared" si="78"/>
        <v>2.39</v>
      </c>
      <c r="BD203" s="796">
        <f t="shared" si="78"/>
        <v>2.39</v>
      </c>
      <c r="BE203" s="1825">
        <v>2</v>
      </c>
      <c r="BF203" s="375"/>
      <c r="BG203" s="375">
        <f t="shared" ref="BG203:BR214" si="79">HLOOKUP(BG$202,$M$202:$X$214,$BE203,FALSE)</f>
        <v>0</v>
      </c>
      <c r="BH203" s="375">
        <f>HLOOKUP(BH$202,$M$202:$X$214,$BE203,FALSE)</f>
        <v>0</v>
      </c>
      <c r="BI203" s="375">
        <f t="shared" si="79"/>
        <v>0</v>
      </c>
      <c r="BJ203" s="375">
        <f t="shared" si="79"/>
        <v>0</v>
      </c>
      <c r="BK203" s="375">
        <f t="shared" si="79"/>
        <v>0</v>
      </c>
      <c r="BL203" s="375">
        <f t="shared" si="79"/>
        <v>0</v>
      </c>
      <c r="BM203" s="375">
        <f t="shared" si="79"/>
        <v>0</v>
      </c>
      <c r="BN203" s="375">
        <f t="shared" si="79"/>
        <v>0</v>
      </c>
      <c r="BO203" s="375">
        <f t="shared" si="79"/>
        <v>0</v>
      </c>
      <c r="BP203" s="375">
        <f t="shared" si="79"/>
        <v>0</v>
      </c>
      <c r="BQ203" s="375">
        <f t="shared" si="79"/>
        <v>0</v>
      </c>
      <c r="BR203" s="1826">
        <f>HLOOKUP(BR$202,$M$202:$X$214,$BE203,FALSE)</f>
        <v>0</v>
      </c>
      <c r="BS203" s="1825">
        <v>2</v>
      </c>
      <c r="BT203" s="375"/>
      <c r="BU203" s="375">
        <f t="shared" ref="BU203:CF214" si="80">HLOOKUP(BU$202,$AC$202:$AN$214,$BS203,FALSE)</f>
        <v>0.08</v>
      </c>
      <c r="BV203" s="375">
        <f t="shared" si="80"/>
        <v>0.08</v>
      </c>
      <c r="BW203" s="375">
        <f t="shared" si="80"/>
        <v>0.08</v>
      </c>
      <c r="BX203" s="375">
        <f t="shared" si="80"/>
        <v>0.08</v>
      </c>
      <c r="BY203" s="375">
        <f t="shared" si="80"/>
        <v>0.08</v>
      </c>
      <c r="BZ203" s="375">
        <f t="shared" si="80"/>
        <v>0.08</v>
      </c>
      <c r="CA203" s="375">
        <f t="shared" si="80"/>
        <v>0.08</v>
      </c>
      <c r="CB203" s="375">
        <f t="shared" si="80"/>
        <v>0.08</v>
      </c>
      <c r="CC203" s="375">
        <f t="shared" si="80"/>
        <v>0.08</v>
      </c>
      <c r="CD203" s="375">
        <f t="shared" si="80"/>
        <v>0.08</v>
      </c>
      <c r="CE203" s="375">
        <f t="shared" si="80"/>
        <v>0.08</v>
      </c>
      <c r="CF203" s="375">
        <f t="shared" si="80"/>
        <v>0.08</v>
      </c>
      <c r="CG203" s="1825">
        <v>2</v>
      </c>
      <c r="CH203" s="375"/>
      <c r="CI203" s="375">
        <f t="shared" ref="CI203:CT214" si="81">HLOOKUP(CI$202,$AS$202:$BD$214,$CG203,FALSE)</f>
        <v>2.39</v>
      </c>
      <c r="CJ203" s="375">
        <f t="shared" si="81"/>
        <v>2.39</v>
      </c>
      <c r="CK203" s="375">
        <f t="shared" si="81"/>
        <v>2.39</v>
      </c>
      <c r="CL203" s="375">
        <f t="shared" si="81"/>
        <v>2.39</v>
      </c>
      <c r="CM203" s="375">
        <f t="shared" si="81"/>
        <v>2.39</v>
      </c>
      <c r="CN203" s="375">
        <f t="shared" si="81"/>
        <v>2.39</v>
      </c>
      <c r="CO203" s="375">
        <f t="shared" si="81"/>
        <v>2.39</v>
      </c>
      <c r="CP203" s="375">
        <f t="shared" si="81"/>
        <v>2.39</v>
      </c>
      <c r="CQ203" s="375">
        <f t="shared" si="81"/>
        <v>2.39</v>
      </c>
      <c r="CR203" s="375">
        <f t="shared" si="81"/>
        <v>2.39</v>
      </c>
      <c r="CS203" s="375">
        <f t="shared" si="81"/>
        <v>2.39</v>
      </c>
      <c r="CT203" s="1826">
        <f t="shared" si="81"/>
        <v>2.39</v>
      </c>
    </row>
    <row r="204" spans="1:98" hidden="1" x14ac:dyDescent="0.2">
      <c r="A204" s="590"/>
      <c r="B204" s="1823" t="str">
        <f t="shared" si="74"/>
        <v>Sorgo silo</v>
      </c>
      <c r="C204" s="1823" t="str">
        <f t="shared" si="74"/>
        <v>Reserva</v>
      </c>
      <c r="D204" s="1823">
        <f t="shared" si="74"/>
        <v>9600</v>
      </c>
      <c r="E204" s="772"/>
      <c r="F204" s="773"/>
      <c r="G204" s="773"/>
      <c r="H204" s="773"/>
      <c r="I204" s="111"/>
      <c r="J204" s="111"/>
      <c r="K204" s="111"/>
      <c r="L204" s="111"/>
      <c r="M204" s="784">
        <f>+IF(M$8=UsoSuelo!$S260,$D204,0)</f>
        <v>0</v>
      </c>
      <c r="N204" s="111">
        <f>+IF(N$8=UsoSuelo!$S260,$D204,0)</f>
        <v>0</v>
      </c>
      <c r="O204" s="111">
        <f>+IF(O$8=UsoSuelo!$S260,$D204,0)</f>
        <v>0</v>
      </c>
      <c r="P204" s="111">
        <f>+IF(P$8=UsoSuelo!$S260,$D204,0)</f>
        <v>0</v>
      </c>
      <c r="Q204" s="111">
        <f>+IF(Q$8=UsoSuelo!$S260,$D204,0)</f>
        <v>0</v>
      </c>
      <c r="R204" s="111">
        <f>+IF(R$8=UsoSuelo!$S260,$D204,0)</f>
        <v>0</v>
      </c>
      <c r="S204" s="111">
        <f>+IF(S$8=UsoSuelo!$S260,$D204,0)</f>
        <v>0</v>
      </c>
      <c r="T204" s="111">
        <f>+IF(T$8=UsoSuelo!$S260,$D204,0)</f>
        <v>0</v>
      </c>
      <c r="U204" s="111">
        <f>+IF(U$8=UsoSuelo!$S260,$D204,0)</f>
        <v>0</v>
      </c>
      <c r="V204" s="111">
        <f>+IF(V$8=UsoSuelo!$S260,$D204,0)</f>
        <v>0</v>
      </c>
      <c r="W204" s="111">
        <f>+IF(W$8=UsoSuelo!$S260,$D204,0)</f>
        <v>0</v>
      </c>
      <c r="X204" s="785">
        <f>+IF(X$8=UsoSuelo!$S260,$D204,0)</f>
        <v>0</v>
      </c>
      <c r="Y204" s="1824"/>
      <c r="Z204" s="795"/>
      <c r="AA204" s="795"/>
      <c r="AB204" s="795"/>
      <c r="AC204" s="808">
        <f t="shared" si="75"/>
        <v>0.12</v>
      </c>
      <c r="AD204" s="795">
        <f>+$AC$204</f>
        <v>0.12</v>
      </c>
      <c r="AE204" s="795">
        <f t="shared" ref="AE204:AN204" si="82">+$AC$204</f>
        <v>0.12</v>
      </c>
      <c r="AF204" s="795">
        <f t="shared" si="82"/>
        <v>0.12</v>
      </c>
      <c r="AG204" s="795">
        <f t="shared" si="82"/>
        <v>0.12</v>
      </c>
      <c r="AH204" s="795">
        <f t="shared" si="82"/>
        <v>0.12</v>
      </c>
      <c r="AI204" s="795">
        <f t="shared" si="82"/>
        <v>0.12</v>
      </c>
      <c r="AJ204" s="795">
        <f t="shared" si="82"/>
        <v>0.12</v>
      </c>
      <c r="AK204" s="795">
        <f t="shared" si="82"/>
        <v>0.12</v>
      </c>
      <c r="AL204" s="795">
        <f t="shared" si="82"/>
        <v>0.12</v>
      </c>
      <c r="AM204" s="795">
        <f t="shared" si="82"/>
        <v>0.12</v>
      </c>
      <c r="AN204" s="796">
        <f t="shared" si="82"/>
        <v>0.12</v>
      </c>
      <c r="AO204" s="795"/>
      <c r="AP204" s="795"/>
      <c r="AQ204" s="795"/>
      <c r="AR204" s="795"/>
      <c r="AS204" s="808">
        <f t="shared" si="77"/>
        <v>1.91</v>
      </c>
      <c r="AT204" s="795">
        <f>+$AS$204</f>
        <v>1.91</v>
      </c>
      <c r="AU204" s="795">
        <f t="shared" ref="AU204:BD204" si="83">+$AS$204</f>
        <v>1.91</v>
      </c>
      <c r="AV204" s="795">
        <f t="shared" si="83"/>
        <v>1.91</v>
      </c>
      <c r="AW204" s="795">
        <f t="shared" si="83"/>
        <v>1.91</v>
      </c>
      <c r="AX204" s="795">
        <f t="shared" si="83"/>
        <v>1.91</v>
      </c>
      <c r="AY204" s="795">
        <f t="shared" si="83"/>
        <v>1.91</v>
      </c>
      <c r="AZ204" s="795">
        <f t="shared" si="83"/>
        <v>1.91</v>
      </c>
      <c r="BA204" s="795">
        <f t="shared" si="83"/>
        <v>1.91</v>
      </c>
      <c r="BB204" s="795">
        <f t="shared" si="83"/>
        <v>1.91</v>
      </c>
      <c r="BC204" s="795">
        <f t="shared" si="83"/>
        <v>1.91</v>
      </c>
      <c r="BD204" s="796">
        <f t="shared" si="83"/>
        <v>1.91</v>
      </c>
      <c r="BE204" s="1534">
        <v>3</v>
      </c>
      <c r="BF204" s="254"/>
      <c r="BG204" s="254">
        <f t="shared" si="79"/>
        <v>0</v>
      </c>
      <c r="BH204" s="254">
        <f t="shared" si="79"/>
        <v>0</v>
      </c>
      <c r="BI204" s="254">
        <f t="shared" si="79"/>
        <v>0</v>
      </c>
      <c r="BJ204" s="254">
        <f t="shared" si="79"/>
        <v>0</v>
      </c>
      <c r="BK204" s="254">
        <f t="shared" si="79"/>
        <v>0</v>
      </c>
      <c r="BL204" s="254">
        <f t="shared" si="79"/>
        <v>0</v>
      </c>
      <c r="BM204" s="254">
        <f t="shared" si="79"/>
        <v>0</v>
      </c>
      <c r="BN204" s="254">
        <f t="shared" si="79"/>
        <v>0</v>
      </c>
      <c r="BO204" s="254">
        <f t="shared" si="79"/>
        <v>0</v>
      </c>
      <c r="BP204" s="254">
        <f t="shared" si="79"/>
        <v>0</v>
      </c>
      <c r="BQ204" s="254">
        <f t="shared" si="79"/>
        <v>0</v>
      </c>
      <c r="BR204" s="1827">
        <f t="shared" si="79"/>
        <v>0</v>
      </c>
      <c r="BS204" s="1534">
        <v>3</v>
      </c>
      <c r="BT204" s="254"/>
      <c r="BU204" s="254">
        <f t="shared" si="80"/>
        <v>0.12</v>
      </c>
      <c r="BV204" s="254">
        <f t="shared" si="80"/>
        <v>0.12</v>
      </c>
      <c r="BW204" s="254">
        <f t="shared" si="80"/>
        <v>0.12</v>
      </c>
      <c r="BX204" s="254">
        <f t="shared" si="80"/>
        <v>0.12</v>
      </c>
      <c r="BY204" s="254">
        <f t="shared" si="80"/>
        <v>0.12</v>
      </c>
      <c r="BZ204" s="254">
        <f t="shared" si="80"/>
        <v>0.12</v>
      </c>
      <c r="CA204" s="254">
        <f t="shared" si="80"/>
        <v>0.12</v>
      </c>
      <c r="CB204" s="254">
        <f t="shared" si="80"/>
        <v>0.12</v>
      </c>
      <c r="CC204" s="254">
        <f t="shared" si="80"/>
        <v>0.12</v>
      </c>
      <c r="CD204" s="254">
        <f t="shared" si="80"/>
        <v>0.12</v>
      </c>
      <c r="CE204" s="254">
        <f t="shared" si="80"/>
        <v>0.12</v>
      </c>
      <c r="CF204" s="1827">
        <f t="shared" si="80"/>
        <v>0.12</v>
      </c>
      <c r="CG204" s="1534">
        <v>3</v>
      </c>
      <c r="CH204" s="254"/>
      <c r="CI204" s="254">
        <f t="shared" si="81"/>
        <v>1.91</v>
      </c>
      <c r="CJ204" s="254">
        <f t="shared" si="81"/>
        <v>1.91</v>
      </c>
      <c r="CK204" s="254">
        <f t="shared" si="81"/>
        <v>1.91</v>
      </c>
      <c r="CL204" s="254">
        <f t="shared" si="81"/>
        <v>1.91</v>
      </c>
      <c r="CM204" s="254">
        <f t="shared" si="81"/>
        <v>1.91</v>
      </c>
      <c r="CN204" s="254">
        <f t="shared" si="81"/>
        <v>1.91</v>
      </c>
      <c r="CO204" s="254">
        <f t="shared" si="81"/>
        <v>1.91</v>
      </c>
      <c r="CP204" s="254">
        <f t="shared" si="81"/>
        <v>1.91</v>
      </c>
      <c r="CQ204" s="254">
        <f t="shared" si="81"/>
        <v>1.91</v>
      </c>
      <c r="CR204" s="254">
        <f t="shared" si="81"/>
        <v>1.91</v>
      </c>
      <c r="CS204" s="254">
        <f t="shared" si="81"/>
        <v>1.91</v>
      </c>
      <c r="CT204" s="1827">
        <f t="shared" si="81"/>
        <v>1.91</v>
      </c>
    </row>
    <row r="205" spans="1:98" hidden="1" x14ac:dyDescent="0.2">
      <c r="A205" s="590"/>
      <c r="B205" s="1823" t="str">
        <f t="shared" si="74"/>
        <v>Moha</v>
      </c>
      <c r="C205" s="1823" t="str">
        <f t="shared" si="74"/>
        <v>Reserva</v>
      </c>
      <c r="D205" s="1823">
        <f t="shared" si="74"/>
        <v>3040</v>
      </c>
      <c r="E205" s="772"/>
      <c r="F205" s="773"/>
      <c r="G205" s="773"/>
      <c r="H205" s="773"/>
      <c r="I205" s="111"/>
      <c r="J205" s="111"/>
      <c r="K205" s="111"/>
      <c r="L205" s="111"/>
      <c r="M205" s="784">
        <f>+IF(M$8=UsoSuelo!$S261,$D205,0)</f>
        <v>0</v>
      </c>
      <c r="N205" s="111">
        <f>+IF(N$8=UsoSuelo!$S261,$D205,0)</f>
        <v>0</v>
      </c>
      <c r="O205" s="111">
        <f>+IF(O$8=UsoSuelo!$S261,$D205,0)</f>
        <v>0</v>
      </c>
      <c r="P205" s="111">
        <f>+IF(P$8=UsoSuelo!$S261,$D205,0)</f>
        <v>0</v>
      </c>
      <c r="Q205" s="111">
        <f>+IF(Q$8=UsoSuelo!$S261,$D205,0)</f>
        <v>0</v>
      </c>
      <c r="R205" s="111">
        <f>+IF(R$8=UsoSuelo!$S261,$D205,0)</f>
        <v>0</v>
      </c>
      <c r="S205" s="111">
        <f>+IF(S$8=UsoSuelo!$S261,$D205,0)</f>
        <v>0</v>
      </c>
      <c r="T205" s="111">
        <f>+IF(T$8=UsoSuelo!$S261,$D205,0)</f>
        <v>0</v>
      </c>
      <c r="U205" s="111">
        <f>+IF(U$8=UsoSuelo!$S261,$D205,0)</f>
        <v>0</v>
      </c>
      <c r="V205" s="111">
        <f>+IF(V$8=UsoSuelo!$S261,$D205,0)</f>
        <v>0</v>
      </c>
      <c r="W205" s="111">
        <f>+IF(W$8=UsoSuelo!$S261,$D205,0)</f>
        <v>0</v>
      </c>
      <c r="X205" s="785">
        <f>+IF(X$8=UsoSuelo!$S261,$D205,0)</f>
        <v>0</v>
      </c>
      <c r="Y205" s="1824"/>
      <c r="Z205" s="795"/>
      <c r="AA205" s="795"/>
      <c r="AB205" s="795"/>
      <c r="AC205" s="808">
        <f t="shared" si="75"/>
        <v>0.03</v>
      </c>
      <c r="AD205" s="795">
        <f>+$AC$205</f>
        <v>0.03</v>
      </c>
      <c r="AE205" s="795">
        <f t="shared" ref="AE205:AN205" si="84">+$AC$205</f>
        <v>0.03</v>
      </c>
      <c r="AF205" s="795">
        <f t="shared" si="84"/>
        <v>0.03</v>
      </c>
      <c r="AG205" s="795">
        <f t="shared" si="84"/>
        <v>0.03</v>
      </c>
      <c r="AH205" s="795">
        <f t="shared" si="84"/>
        <v>0.03</v>
      </c>
      <c r="AI205" s="795">
        <f t="shared" si="84"/>
        <v>0.03</v>
      </c>
      <c r="AJ205" s="795">
        <f t="shared" si="84"/>
        <v>0.03</v>
      </c>
      <c r="AK205" s="795">
        <f t="shared" si="84"/>
        <v>0.03</v>
      </c>
      <c r="AL205" s="795">
        <f t="shared" si="84"/>
        <v>0.03</v>
      </c>
      <c r="AM205" s="795">
        <f t="shared" si="84"/>
        <v>0.03</v>
      </c>
      <c r="AN205" s="796">
        <f t="shared" si="84"/>
        <v>0.03</v>
      </c>
      <c r="AO205" s="795"/>
      <c r="AP205" s="795"/>
      <c r="AQ205" s="795"/>
      <c r="AR205" s="795"/>
      <c r="AS205" s="808">
        <f t="shared" si="77"/>
        <v>1.44</v>
      </c>
      <c r="AT205" s="795">
        <f>+$AS$205</f>
        <v>1.44</v>
      </c>
      <c r="AU205" s="795">
        <f t="shared" ref="AU205:BD205" si="85">+$AS$205</f>
        <v>1.44</v>
      </c>
      <c r="AV205" s="795">
        <f t="shared" si="85"/>
        <v>1.44</v>
      </c>
      <c r="AW205" s="795">
        <f t="shared" si="85"/>
        <v>1.44</v>
      </c>
      <c r="AX205" s="795">
        <f t="shared" si="85"/>
        <v>1.44</v>
      </c>
      <c r="AY205" s="795">
        <f t="shared" si="85"/>
        <v>1.44</v>
      </c>
      <c r="AZ205" s="795">
        <f t="shared" si="85"/>
        <v>1.44</v>
      </c>
      <c r="BA205" s="795">
        <f t="shared" si="85"/>
        <v>1.44</v>
      </c>
      <c r="BB205" s="795">
        <f t="shared" si="85"/>
        <v>1.44</v>
      </c>
      <c r="BC205" s="795">
        <f t="shared" si="85"/>
        <v>1.44</v>
      </c>
      <c r="BD205" s="796">
        <f t="shared" si="85"/>
        <v>1.44</v>
      </c>
      <c r="BE205" s="595">
        <v>4</v>
      </c>
      <c r="BF205" s="254"/>
      <c r="BG205" s="254">
        <f t="shared" si="79"/>
        <v>0</v>
      </c>
      <c r="BH205" s="254">
        <f t="shared" si="79"/>
        <v>0</v>
      </c>
      <c r="BI205" s="254">
        <f t="shared" si="79"/>
        <v>0</v>
      </c>
      <c r="BJ205" s="254">
        <f t="shared" si="79"/>
        <v>0</v>
      </c>
      <c r="BK205" s="254">
        <f t="shared" si="79"/>
        <v>0</v>
      </c>
      <c r="BL205" s="254">
        <f t="shared" si="79"/>
        <v>0</v>
      </c>
      <c r="BM205" s="254">
        <f t="shared" si="79"/>
        <v>0</v>
      </c>
      <c r="BN205" s="254">
        <f t="shared" si="79"/>
        <v>0</v>
      </c>
      <c r="BO205" s="254">
        <f t="shared" si="79"/>
        <v>0</v>
      </c>
      <c r="BP205" s="254">
        <f t="shared" si="79"/>
        <v>0</v>
      </c>
      <c r="BQ205" s="254">
        <f t="shared" si="79"/>
        <v>0</v>
      </c>
      <c r="BR205" s="1827">
        <f t="shared" si="79"/>
        <v>0</v>
      </c>
      <c r="BS205" s="595">
        <v>4</v>
      </c>
      <c r="BT205" s="254"/>
      <c r="BU205" s="254">
        <f t="shared" si="80"/>
        <v>0.03</v>
      </c>
      <c r="BV205" s="254">
        <f t="shared" si="80"/>
        <v>0.03</v>
      </c>
      <c r="BW205" s="254">
        <f t="shared" si="80"/>
        <v>0.03</v>
      </c>
      <c r="BX205" s="254">
        <f t="shared" si="80"/>
        <v>0.03</v>
      </c>
      <c r="BY205" s="254">
        <f t="shared" si="80"/>
        <v>0.03</v>
      </c>
      <c r="BZ205" s="254">
        <f t="shared" si="80"/>
        <v>0.03</v>
      </c>
      <c r="CA205" s="254">
        <f t="shared" si="80"/>
        <v>0.03</v>
      </c>
      <c r="CB205" s="254">
        <f t="shared" si="80"/>
        <v>0.03</v>
      </c>
      <c r="CC205" s="254">
        <f t="shared" si="80"/>
        <v>0.03</v>
      </c>
      <c r="CD205" s="254">
        <f t="shared" si="80"/>
        <v>0.03</v>
      </c>
      <c r="CE205" s="254">
        <f t="shared" si="80"/>
        <v>0.03</v>
      </c>
      <c r="CF205" s="1827">
        <f t="shared" si="80"/>
        <v>0.03</v>
      </c>
      <c r="CG205" s="595">
        <v>4</v>
      </c>
      <c r="CH205" s="254"/>
      <c r="CI205" s="254">
        <f t="shared" si="81"/>
        <v>1.44</v>
      </c>
      <c r="CJ205" s="254">
        <f t="shared" si="81"/>
        <v>1.44</v>
      </c>
      <c r="CK205" s="254">
        <f t="shared" si="81"/>
        <v>1.44</v>
      </c>
      <c r="CL205" s="254">
        <f t="shared" si="81"/>
        <v>1.44</v>
      </c>
      <c r="CM205" s="254">
        <f t="shared" si="81"/>
        <v>1.44</v>
      </c>
      <c r="CN205" s="254">
        <f t="shared" si="81"/>
        <v>1.44</v>
      </c>
      <c r="CO205" s="254">
        <f t="shared" si="81"/>
        <v>1.44</v>
      </c>
      <c r="CP205" s="254">
        <f t="shared" si="81"/>
        <v>1.44</v>
      </c>
      <c r="CQ205" s="254">
        <f t="shared" si="81"/>
        <v>1.44</v>
      </c>
      <c r="CR205" s="254">
        <f t="shared" si="81"/>
        <v>1.44</v>
      </c>
      <c r="CS205" s="254">
        <f t="shared" si="81"/>
        <v>1.44</v>
      </c>
      <c r="CT205" s="1827">
        <f t="shared" si="81"/>
        <v>1.44</v>
      </c>
    </row>
    <row r="206" spans="1:98" hidden="1" x14ac:dyDescent="0.2">
      <c r="A206" s="590"/>
      <c r="B206" s="1823" t="str">
        <f t="shared" si="74"/>
        <v>Soja reserva</v>
      </c>
      <c r="C206" s="1823" t="str">
        <f t="shared" si="74"/>
        <v>Reserva</v>
      </c>
      <c r="D206" s="1823">
        <f t="shared" si="74"/>
        <v>6000</v>
      </c>
      <c r="E206" s="772"/>
      <c r="F206" s="773"/>
      <c r="G206" s="773"/>
      <c r="H206" s="773"/>
      <c r="I206" s="111"/>
      <c r="J206" s="111"/>
      <c r="K206" s="111"/>
      <c r="L206" s="111"/>
      <c r="M206" s="784">
        <f>+IF(M$8=UsoSuelo!$S262,$D206,0)</f>
        <v>0</v>
      </c>
      <c r="N206" s="111">
        <f>+IF(N$8=UsoSuelo!$S262,$D206,0)</f>
        <v>0</v>
      </c>
      <c r="O206" s="111">
        <f>+IF(O$8=UsoSuelo!$S262,$D206,0)</f>
        <v>0</v>
      </c>
      <c r="P206" s="111">
        <f>+IF(P$8=UsoSuelo!$S262,$D206,0)</f>
        <v>0</v>
      </c>
      <c r="Q206" s="111">
        <f>+IF(Q$8=UsoSuelo!$S262,$D206,0)</f>
        <v>0</v>
      </c>
      <c r="R206" s="111">
        <f>+IF(R$8=UsoSuelo!$S262,$D206,0)</f>
        <v>0</v>
      </c>
      <c r="S206" s="111">
        <f>+IF(S$8=UsoSuelo!$S262,$D206,0)</f>
        <v>0</v>
      </c>
      <c r="T206" s="111">
        <f>+IF(T$8=UsoSuelo!$S262,$D206,0)</f>
        <v>0</v>
      </c>
      <c r="U206" s="111">
        <f>+IF(U$8=UsoSuelo!$S262,$D206,0)</f>
        <v>0</v>
      </c>
      <c r="V206" s="111">
        <f>+IF(V$8=UsoSuelo!$S262,$D206,0)</f>
        <v>0</v>
      </c>
      <c r="W206" s="111">
        <f>+IF(W$8=UsoSuelo!$S262,$D206,0)</f>
        <v>0</v>
      </c>
      <c r="X206" s="785">
        <f>+IF(X$8=UsoSuelo!$S262,$D206,0)</f>
        <v>0</v>
      </c>
      <c r="Y206" s="1824"/>
      <c r="Z206" s="795"/>
      <c r="AA206" s="795"/>
      <c r="AB206" s="795"/>
      <c r="AC206" s="808">
        <f t="shared" si="75"/>
        <v>0.14000000000000001</v>
      </c>
      <c r="AD206" s="795">
        <f>+$AC$206</f>
        <v>0.14000000000000001</v>
      </c>
      <c r="AE206" s="795">
        <f t="shared" ref="AE206:AN206" si="86">+$AC$206</f>
        <v>0.14000000000000001</v>
      </c>
      <c r="AF206" s="795">
        <f t="shared" si="86"/>
        <v>0.14000000000000001</v>
      </c>
      <c r="AG206" s="795">
        <f t="shared" si="86"/>
        <v>0.14000000000000001</v>
      </c>
      <c r="AH206" s="795">
        <f t="shared" si="86"/>
        <v>0.14000000000000001</v>
      </c>
      <c r="AI206" s="795">
        <f t="shared" si="86"/>
        <v>0.14000000000000001</v>
      </c>
      <c r="AJ206" s="795">
        <f t="shared" si="86"/>
        <v>0.14000000000000001</v>
      </c>
      <c r="AK206" s="795">
        <f t="shared" si="86"/>
        <v>0.14000000000000001</v>
      </c>
      <c r="AL206" s="795">
        <f t="shared" si="86"/>
        <v>0.14000000000000001</v>
      </c>
      <c r="AM206" s="795">
        <f t="shared" si="86"/>
        <v>0.14000000000000001</v>
      </c>
      <c r="AN206" s="796">
        <f t="shared" si="86"/>
        <v>0.14000000000000001</v>
      </c>
      <c r="AO206" s="795"/>
      <c r="AP206" s="795"/>
      <c r="AQ206" s="795"/>
      <c r="AR206" s="795"/>
      <c r="AS206" s="808">
        <f t="shared" si="77"/>
        <v>2.2999999999999998</v>
      </c>
      <c r="AT206" s="795">
        <f>+$AS$206</f>
        <v>2.2999999999999998</v>
      </c>
      <c r="AU206" s="795">
        <f t="shared" ref="AU206:BD206" si="87">+$AS$206</f>
        <v>2.2999999999999998</v>
      </c>
      <c r="AV206" s="795">
        <f t="shared" si="87"/>
        <v>2.2999999999999998</v>
      </c>
      <c r="AW206" s="795">
        <f t="shared" si="87"/>
        <v>2.2999999999999998</v>
      </c>
      <c r="AX206" s="795">
        <f t="shared" si="87"/>
        <v>2.2999999999999998</v>
      </c>
      <c r="AY206" s="795">
        <f t="shared" si="87"/>
        <v>2.2999999999999998</v>
      </c>
      <c r="AZ206" s="795">
        <f t="shared" si="87"/>
        <v>2.2999999999999998</v>
      </c>
      <c r="BA206" s="795">
        <f t="shared" si="87"/>
        <v>2.2999999999999998</v>
      </c>
      <c r="BB206" s="795">
        <f t="shared" si="87"/>
        <v>2.2999999999999998</v>
      </c>
      <c r="BC206" s="795">
        <f t="shared" si="87"/>
        <v>2.2999999999999998</v>
      </c>
      <c r="BD206" s="796">
        <f t="shared" si="87"/>
        <v>2.2999999999999998</v>
      </c>
      <c r="BE206" s="1534">
        <v>5</v>
      </c>
      <c r="BF206" s="795"/>
      <c r="BG206" s="254">
        <f t="shared" si="79"/>
        <v>0</v>
      </c>
      <c r="BH206" s="254">
        <f t="shared" si="79"/>
        <v>0</v>
      </c>
      <c r="BI206" s="254">
        <f t="shared" si="79"/>
        <v>0</v>
      </c>
      <c r="BJ206" s="254">
        <f t="shared" si="79"/>
        <v>0</v>
      </c>
      <c r="BK206" s="254">
        <f t="shared" si="79"/>
        <v>0</v>
      </c>
      <c r="BL206" s="254">
        <f t="shared" si="79"/>
        <v>0</v>
      </c>
      <c r="BM206" s="254">
        <f t="shared" si="79"/>
        <v>0</v>
      </c>
      <c r="BN206" s="254">
        <f t="shared" si="79"/>
        <v>0</v>
      </c>
      <c r="BO206" s="254">
        <f t="shared" si="79"/>
        <v>0</v>
      </c>
      <c r="BP206" s="254">
        <f t="shared" si="79"/>
        <v>0</v>
      </c>
      <c r="BQ206" s="254">
        <f t="shared" si="79"/>
        <v>0</v>
      </c>
      <c r="BR206" s="1827">
        <f t="shared" si="79"/>
        <v>0</v>
      </c>
      <c r="BS206" s="1534">
        <v>5</v>
      </c>
      <c r="BT206" s="795"/>
      <c r="BU206" s="254">
        <f t="shared" si="80"/>
        <v>0.14000000000000001</v>
      </c>
      <c r="BV206" s="254">
        <f t="shared" si="80"/>
        <v>0.14000000000000001</v>
      </c>
      <c r="BW206" s="254">
        <f t="shared" si="80"/>
        <v>0.14000000000000001</v>
      </c>
      <c r="BX206" s="254">
        <f t="shared" si="80"/>
        <v>0.14000000000000001</v>
      </c>
      <c r="BY206" s="254">
        <f t="shared" si="80"/>
        <v>0.14000000000000001</v>
      </c>
      <c r="BZ206" s="254">
        <f t="shared" si="80"/>
        <v>0.14000000000000001</v>
      </c>
      <c r="CA206" s="254">
        <f t="shared" si="80"/>
        <v>0.14000000000000001</v>
      </c>
      <c r="CB206" s="254">
        <f t="shared" si="80"/>
        <v>0.14000000000000001</v>
      </c>
      <c r="CC206" s="254">
        <f t="shared" si="80"/>
        <v>0.14000000000000001</v>
      </c>
      <c r="CD206" s="254">
        <f t="shared" si="80"/>
        <v>0.14000000000000001</v>
      </c>
      <c r="CE206" s="254">
        <f t="shared" si="80"/>
        <v>0.14000000000000001</v>
      </c>
      <c r="CF206" s="1827">
        <f t="shared" si="80"/>
        <v>0.14000000000000001</v>
      </c>
      <c r="CG206" s="1534">
        <v>5</v>
      </c>
      <c r="CH206" s="795"/>
      <c r="CI206" s="254">
        <f t="shared" si="81"/>
        <v>2.2999999999999998</v>
      </c>
      <c r="CJ206" s="254">
        <f t="shared" si="81"/>
        <v>2.2999999999999998</v>
      </c>
      <c r="CK206" s="254">
        <f t="shared" si="81"/>
        <v>2.2999999999999998</v>
      </c>
      <c r="CL206" s="254">
        <f t="shared" si="81"/>
        <v>2.2999999999999998</v>
      </c>
      <c r="CM206" s="254">
        <f t="shared" si="81"/>
        <v>2.2999999999999998</v>
      </c>
      <c r="CN206" s="254">
        <f t="shared" si="81"/>
        <v>2.2999999999999998</v>
      </c>
      <c r="CO206" s="254">
        <f t="shared" si="81"/>
        <v>2.2999999999999998</v>
      </c>
      <c r="CP206" s="254">
        <f t="shared" si="81"/>
        <v>2.2999999999999998</v>
      </c>
      <c r="CQ206" s="254">
        <f t="shared" si="81"/>
        <v>2.2999999999999998</v>
      </c>
      <c r="CR206" s="254">
        <f t="shared" si="81"/>
        <v>2.2999999999999998</v>
      </c>
      <c r="CS206" s="254">
        <f t="shared" si="81"/>
        <v>2.2999999999999998</v>
      </c>
      <c r="CT206" s="1827">
        <f t="shared" si="81"/>
        <v>2.2999999999999998</v>
      </c>
    </row>
    <row r="207" spans="1:98" hidden="1" x14ac:dyDescent="0.2">
      <c r="A207" s="590"/>
      <c r="B207" s="1823">
        <f t="shared" si="74"/>
        <v>0</v>
      </c>
      <c r="C207" s="1823" t="str">
        <f t="shared" si="74"/>
        <v>Reserva</v>
      </c>
      <c r="D207" s="1823">
        <f t="shared" si="74"/>
        <v>0</v>
      </c>
      <c r="E207" s="772"/>
      <c r="F207" s="773"/>
      <c r="G207" s="773"/>
      <c r="H207" s="773"/>
      <c r="I207" s="111"/>
      <c r="J207" s="111"/>
      <c r="K207" s="111"/>
      <c r="L207" s="111"/>
      <c r="M207" s="784">
        <f>+IF(M$8=UsoSuelo!$S263,$D207,0)</f>
        <v>0</v>
      </c>
      <c r="N207" s="111">
        <f>+IF(N$8=UsoSuelo!$S263,$D207,0)</f>
        <v>0</v>
      </c>
      <c r="O207" s="111">
        <f>+IF(O$8=UsoSuelo!$S263,$D207,0)</f>
        <v>0</v>
      </c>
      <c r="P207" s="111">
        <f>+IF(P$8=UsoSuelo!$S263,$D207,0)</f>
        <v>0</v>
      </c>
      <c r="Q207" s="111">
        <f>+IF(Q$8=UsoSuelo!$S263,$D207,0)</f>
        <v>0</v>
      </c>
      <c r="R207" s="111">
        <f>+IF(R$8=UsoSuelo!$S263,$D207,0)</f>
        <v>0</v>
      </c>
      <c r="S207" s="111">
        <f>+IF(S$8=UsoSuelo!$S263,$D207,0)</f>
        <v>0</v>
      </c>
      <c r="T207" s="111">
        <f>+IF(T$8=UsoSuelo!$S263,$D207,0)</f>
        <v>0</v>
      </c>
      <c r="U207" s="111">
        <f>+IF(U$8=UsoSuelo!$S263,$D207,0)</f>
        <v>0</v>
      </c>
      <c r="V207" s="111">
        <f>+IF(V$8=UsoSuelo!$S263,$D207,0)</f>
        <v>0</v>
      </c>
      <c r="W207" s="111">
        <f>+IF(W$8=UsoSuelo!$S263,$D207,0)</f>
        <v>0</v>
      </c>
      <c r="X207" s="785">
        <f>+IF(X$8=UsoSuelo!$S263,$D207,0)</f>
        <v>0</v>
      </c>
      <c r="Y207" s="1824"/>
      <c r="Z207" s="795"/>
      <c r="AA207" s="795"/>
      <c r="AB207" s="795"/>
      <c r="AC207" s="808">
        <f t="shared" si="75"/>
        <v>0</v>
      </c>
      <c r="AD207" s="795">
        <f>+$AC$207</f>
        <v>0</v>
      </c>
      <c r="AE207" s="795">
        <f t="shared" ref="AE207:AN207" si="88">+$AC$207</f>
        <v>0</v>
      </c>
      <c r="AF207" s="795">
        <f t="shared" si="88"/>
        <v>0</v>
      </c>
      <c r="AG207" s="795">
        <f t="shared" si="88"/>
        <v>0</v>
      </c>
      <c r="AH207" s="795">
        <f t="shared" si="88"/>
        <v>0</v>
      </c>
      <c r="AI207" s="795">
        <f t="shared" si="88"/>
        <v>0</v>
      </c>
      <c r="AJ207" s="795">
        <f t="shared" si="88"/>
        <v>0</v>
      </c>
      <c r="AK207" s="795">
        <f t="shared" si="88"/>
        <v>0</v>
      </c>
      <c r="AL207" s="795">
        <f t="shared" si="88"/>
        <v>0</v>
      </c>
      <c r="AM207" s="795">
        <f t="shared" si="88"/>
        <v>0</v>
      </c>
      <c r="AN207" s="796">
        <f t="shared" si="88"/>
        <v>0</v>
      </c>
      <c r="AO207" s="795"/>
      <c r="AP207" s="795"/>
      <c r="AQ207" s="795"/>
      <c r="AR207" s="795"/>
      <c r="AS207" s="808">
        <f t="shared" si="77"/>
        <v>0</v>
      </c>
      <c r="AT207" s="795">
        <f>+$AS$207</f>
        <v>0</v>
      </c>
      <c r="AU207" s="795">
        <f t="shared" ref="AU207:BD207" si="89">+$AS$207</f>
        <v>0</v>
      </c>
      <c r="AV207" s="795">
        <f t="shared" si="89"/>
        <v>0</v>
      </c>
      <c r="AW207" s="795">
        <f t="shared" si="89"/>
        <v>0</v>
      </c>
      <c r="AX207" s="795">
        <f t="shared" si="89"/>
        <v>0</v>
      </c>
      <c r="AY207" s="795">
        <f t="shared" si="89"/>
        <v>0</v>
      </c>
      <c r="AZ207" s="795">
        <f t="shared" si="89"/>
        <v>0</v>
      </c>
      <c r="BA207" s="795">
        <f t="shared" si="89"/>
        <v>0</v>
      </c>
      <c r="BB207" s="795">
        <f t="shared" si="89"/>
        <v>0</v>
      </c>
      <c r="BC207" s="795">
        <f t="shared" si="89"/>
        <v>0</v>
      </c>
      <c r="BD207" s="796">
        <f t="shared" si="89"/>
        <v>0</v>
      </c>
      <c r="BE207" s="1534">
        <v>6</v>
      </c>
      <c r="BF207" s="795"/>
      <c r="BG207" s="254">
        <f t="shared" si="79"/>
        <v>0</v>
      </c>
      <c r="BH207" s="254">
        <f t="shared" si="79"/>
        <v>0</v>
      </c>
      <c r="BI207" s="254">
        <f t="shared" si="79"/>
        <v>0</v>
      </c>
      <c r="BJ207" s="254">
        <f t="shared" si="79"/>
        <v>0</v>
      </c>
      <c r="BK207" s="254">
        <f t="shared" si="79"/>
        <v>0</v>
      </c>
      <c r="BL207" s="254">
        <f t="shared" si="79"/>
        <v>0</v>
      </c>
      <c r="BM207" s="254">
        <f t="shared" si="79"/>
        <v>0</v>
      </c>
      <c r="BN207" s="254">
        <f t="shared" si="79"/>
        <v>0</v>
      </c>
      <c r="BO207" s="254">
        <f t="shared" si="79"/>
        <v>0</v>
      </c>
      <c r="BP207" s="254">
        <f t="shared" si="79"/>
        <v>0</v>
      </c>
      <c r="BQ207" s="254">
        <f t="shared" si="79"/>
        <v>0</v>
      </c>
      <c r="BR207" s="1827">
        <f t="shared" si="79"/>
        <v>0</v>
      </c>
      <c r="BS207" s="1534">
        <v>6</v>
      </c>
      <c r="BT207" s="795"/>
      <c r="BU207" s="254">
        <f t="shared" si="80"/>
        <v>0</v>
      </c>
      <c r="BV207" s="254">
        <f t="shared" si="80"/>
        <v>0</v>
      </c>
      <c r="BW207" s="254">
        <f t="shared" si="80"/>
        <v>0</v>
      </c>
      <c r="BX207" s="254">
        <f t="shared" si="80"/>
        <v>0</v>
      </c>
      <c r="BY207" s="254">
        <f t="shared" si="80"/>
        <v>0</v>
      </c>
      <c r="BZ207" s="254">
        <f t="shared" si="80"/>
        <v>0</v>
      </c>
      <c r="CA207" s="254">
        <f t="shared" si="80"/>
        <v>0</v>
      </c>
      <c r="CB207" s="254">
        <f t="shared" si="80"/>
        <v>0</v>
      </c>
      <c r="CC207" s="254">
        <f t="shared" si="80"/>
        <v>0</v>
      </c>
      <c r="CD207" s="254">
        <f t="shared" si="80"/>
        <v>0</v>
      </c>
      <c r="CE207" s="254">
        <f t="shared" si="80"/>
        <v>0</v>
      </c>
      <c r="CF207" s="1827">
        <f t="shared" si="80"/>
        <v>0</v>
      </c>
      <c r="CG207" s="1534">
        <v>6</v>
      </c>
      <c r="CH207" s="795"/>
      <c r="CI207" s="254">
        <f t="shared" si="81"/>
        <v>0</v>
      </c>
      <c r="CJ207" s="254">
        <f t="shared" si="81"/>
        <v>0</v>
      </c>
      <c r="CK207" s="254">
        <f t="shared" si="81"/>
        <v>0</v>
      </c>
      <c r="CL207" s="254">
        <f t="shared" si="81"/>
        <v>0</v>
      </c>
      <c r="CM207" s="254">
        <f t="shared" si="81"/>
        <v>0</v>
      </c>
      <c r="CN207" s="254">
        <f t="shared" si="81"/>
        <v>0</v>
      </c>
      <c r="CO207" s="254">
        <f t="shared" si="81"/>
        <v>0</v>
      </c>
      <c r="CP207" s="254">
        <f t="shared" si="81"/>
        <v>0</v>
      </c>
      <c r="CQ207" s="254">
        <f t="shared" si="81"/>
        <v>0</v>
      </c>
      <c r="CR207" s="254">
        <f t="shared" si="81"/>
        <v>0</v>
      </c>
      <c r="CS207" s="254">
        <f t="shared" si="81"/>
        <v>0</v>
      </c>
      <c r="CT207" s="1827">
        <f t="shared" si="81"/>
        <v>0</v>
      </c>
    </row>
    <row r="208" spans="1:98" hidden="1" x14ac:dyDescent="0.2">
      <c r="A208" s="590"/>
      <c r="B208" s="1823">
        <f t="shared" si="74"/>
        <v>0</v>
      </c>
      <c r="C208" s="1823" t="str">
        <f t="shared" si="74"/>
        <v>Reserva</v>
      </c>
      <c r="D208" s="1823">
        <f t="shared" si="74"/>
        <v>0</v>
      </c>
      <c r="E208" s="772"/>
      <c r="F208" s="773"/>
      <c r="G208" s="773"/>
      <c r="H208" s="773"/>
      <c r="I208" s="111"/>
      <c r="J208" s="111"/>
      <c r="K208" s="111"/>
      <c r="L208" s="111"/>
      <c r="M208" s="786">
        <f>+IF(M$8=UsoSuelo!$S264,$D208,0)</f>
        <v>0</v>
      </c>
      <c r="N208" s="780">
        <f>+IF(N$8=UsoSuelo!$S264,$D208,0)</f>
        <v>0</v>
      </c>
      <c r="O208" s="780">
        <f>+IF(O$8=UsoSuelo!$S264,$D208,0)</f>
        <v>0</v>
      </c>
      <c r="P208" s="780">
        <f>+IF(P$8=UsoSuelo!$S264,$D208,0)</f>
        <v>0</v>
      </c>
      <c r="Q208" s="780">
        <f>+IF(Q$8=UsoSuelo!$S264,$D208,0)</f>
        <v>0</v>
      </c>
      <c r="R208" s="780">
        <f>+IF(R$8=UsoSuelo!$S264,$D208,0)</f>
        <v>0</v>
      </c>
      <c r="S208" s="780">
        <f>+IF(S$8=UsoSuelo!$S264,$D208,0)</f>
        <v>0</v>
      </c>
      <c r="T208" s="780">
        <f>+IF(T$8=UsoSuelo!$S264,$D208,0)</f>
        <v>0</v>
      </c>
      <c r="U208" s="780">
        <f>+IF(U$8=UsoSuelo!$S264,$D208,0)</f>
        <v>0</v>
      </c>
      <c r="V208" s="780">
        <f>+IF(V$8=UsoSuelo!$S264,$D208,0)</f>
        <v>0</v>
      </c>
      <c r="W208" s="780">
        <f>+IF(W$8=UsoSuelo!$S264,$D208,0)</f>
        <v>0</v>
      </c>
      <c r="X208" s="787">
        <f>+IF(X$8=UsoSuelo!$S264,$D208,0)</f>
        <v>0</v>
      </c>
      <c r="Y208" s="1824"/>
      <c r="Z208" s="795"/>
      <c r="AA208" s="795"/>
      <c r="AB208" s="795"/>
      <c r="AC208" s="808">
        <f t="shared" si="75"/>
        <v>0</v>
      </c>
      <c r="AD208" s="795">
        <f>+$AC$208</f>
        <v>0</v>
      </c>
      <c r="AE208" s="795">
        <f>+$AC$208</f>
        <v>0</v>
      </c>
      <c r="AF208" s="795">
        <f t="shared" ref="AF208:AN208" si="90">+$AC$208</f>
        <v>0</v>
      </c>
      <c r="AG208" s="795">
        <f t="shared" si="90"/>
        <v>0</v>
      </c>
      <c r="AH208" s="795">
        <f t="shared" si="90"/>
        <v>0</v>
      </c>
      <c r="AI208" s="795">
        <f t="shared" si="90"/>
        <v>0</v>
      </c>
      <c r="AJ208" s="795">
        <f t="shared" si="90"/>
        <v>0</v>
      </c>
      <c r="AK208" s="795">
        <f t="shared" si="90"/>
        <v>0</v>
      </c>
      <c r="AL208" s="795">
        <f t="shared" si="90"/>
        <v>0</v>
      </c>
      <c r="AM208" s="795">
        <f t="shared" si="90"/>
        <v>0</v>
      </c>
      <c r="AN208" s="796">
        <f t="shared" si="90"/>
        <v>0</v>
      </c>
      <c r="AO208" s="795"/>
      <c r="AP208" s="795"/>
      <c r="AQ208" s="795"/>
      <c r="AR208" s="795"/>
      <c r="AS208" s="808">
        <f t="shared" si="77"/>
        <v>0</v>
      </c>
      <c r="AT208" s="795">
        <f>+$AS$208</f>
        <v>0</v>
      </c>
      <c r="AU208" s="795">
        <f t="shared" ref="AU208:BD208" si="91">+$AS$208</f>
        <v>0</v>
      </c>
      <c r="AV208" s="795">
        <f t="shared" si="91"/>
        <v>0</v>
      </c>
      <c r="AW208" s="795">
        <f t="shared" si="91"/>
        <v>0</v>
      </c>
      <c r="AX208" s="795">
        <f t="shared" si="91"/>
        <v>0</v>
      </c>
      <c r="AY208" s="795">
        <f t="shared" si="91"/>
        <v>0</v>
      </c>
      <c r="AZ208" s="795">
        <f t="shared" si="91"/>
        <v>0</v>
      </c>
      <c r="BA208" s="795">
        <f t="shared" si="91"/>
        <v>0</v>
      </c>
      <c r="BB208" s="795">
        <f t="shared" si="91"/>
        <v>0</v>
      </c>
      <c r="BC208" s="795">
        <f t="shared" si="91"/>
        <v>0</v>
      </c>
      <c r="BD208" s="796">
        <f t="shared" si="91"/>
        <v>0</v>
      </c>
      <c r="BE208" s="1828">
        <v>7</v>
      </c>
      <c r="BF208" s="801"/>
      <c r="BG208" s="1829">
        <f t="shared" si="79"/>
        <v>0</v>
      </c>
      <c r="BH208" s="1829">
        <f t="shared" si="79"/>
        <v>0</v>
      </c>
      <c r="BI208" s="1829">
        <f t="shared" si="79"/>
        <v>0</v>
      </c>
      <c r="BJ208" s="1829">
        <f t="shared" si="79"/>
        <v>0</v>
      </c>
      <c r="BK208" s="1829">
        <f t="shared" si="79"/>
        <v>0</v>
      </c>
      <c r="BL208" s="1829">
        <f t="shared" si="79"/>
        <v>0</v>
      </c>
      <c r="BM208" s="1829">
        <f t="shared" si="79"/>
        <v>0</v>
      </c>
      <c r="BN208" s="1829">
        <f t="shared" si="79"/>
        <v>0</v>
      </c>
      <c r="BO208" s="1829">
        <f t="shared" si="79"/>
        <v>0</v>
      </c>
      <c r="BP208" s="1829">
        <f t="shared" si="79"/>
        <v>0</v>
      </c>
      <c r="BQ208" s="1829">
        <f t="shared" si="79"/>
        <v>0</v>
      </c>
      <c r="BR208" s="1830">
        <f t="shared" si="79"/>
        <v>0</v>
      </c>
      <c r="BS208" s="1828">
        <v>7</v>
      </c>
      <c r="BT208" s="801"/>
      <c r="BU208" s="1829">
        <f t="shared" si="80"/>
        <v>0</v>
      </c>
      <c r="BV208" s="1829">
        <f t="shared" si="80"/>
        <v>0</v>
      </c>
      <c r="BW208" s="1829">
        <f t="shared" si="80"/>
        <v>0</v>
      </c>
      <c r="BX208" s="1829">
        <f t="shared" si="80"/>
        <v>0</v>
      </c>
      <c r="BY208" s="1829">
        <f t="shared" si="80"/>
        <v>0</v>
      </c>
      <c r="BZ208" s="1829">
        <f t="shared" si="80"/>
        <v>0</v>
      </c>
      <c r="CA208" s="1829">
        <f t="shared" si="80"/>
        <v>0</v>
      </c>
      <c r="CB208" s="1829">
        <f t="shared" si="80"/>
        <v>0</v>
      </c>
      <c r="CC208" s="1829">
        <f t="shared" si="80"/>
        <v>0</v>
      </c>
      <c r="CD208" s="1829">
        <f t="shared" si="80"/>
        <v>0</v>
      </c>
      <c r="CE208" s="1829">
        <f t="shared" si="80"/>
        <v>0</v>
      </c>
      <c r="CF208" s="1830">
        <f t="shared" si="80"/>
        <v>0</v>
      </c>
      <c r="CG208" s="1828">
        <v>7</v>
      </c>
      <c r="CH208" s="801"/>
      <c r="CI208" s="1829">
        <f t="shared" si="81"/>
        <v>0</v>
      </c>
      <c r="CJ208" s="1829">
        <f t="shared" si="81"/>
        <v>0</v>
      </c>
      <c r="CK208" s="1829">
        <f t="shared" si="81"/>
        <v>0</v>
      </c>
      <c r="CL208" s="1829">
        <f t="shared" si="81"/>
        <v>0</v>
      </c>
      <c r="CM208" s="1829">
        <f t="shared" si="81"/>
        <v>0</v>
      </c>
      <c r="CN208" s="1829">
        <f t="shared" si="81"/>
        <v>0</v>
      </c>
      <c r="CO208" s="1829">
        <f t="shared" si="81"/>
        <v>0</v>
      </c>
      <c r="CP208" s="1829">
        <f t="shared" si="81"/>
        <v>0</v>
      </c>
      <c r="CQ208" s="1829">
        <f t="shared" si="81"/>
        <v>0</v>
      </c>
      <c r="CR208" s="1829">
        <f t="shared" si="81"/>
        <v>0</v>
      </c>
      <c r="CS208" s="1829">
        <f t="shared" si="81"/>
        <v>0</v>
      </c>
      <c r="CT208" s="1830">
        <f t="shared" si="81"/>
        <v>0</v>
      </c>
    </row>
    <row r="209" spans="1:98" s="232" customFormat="1" hidden="1" x14ac:dyDescent="0.2">
      <c r="A209" s="1815"/>
      <c r="B209" s="788" t="s">
        <v>333</v>
      </c>
      <c r="C209" s="781"/>
      <c r="D209" s="781">
        <v>0</v>
      </c>
      <c r="E209" s="111"/>
      <c r="F209" s="111"/>
      <c r="G209" s="111"/>
      <c r="H209" s="111"/>
      <c r="I209" s="111"/>
      <c r="J209" s="111"/>
      <c r="K209" s="111"/>
      <c r="L209" s="111"/>
      <c r="M209" s="111"/>
      <c r="N209" s="111"/>
      <c r="O209" s="111"/>
      <c r="P209" s="111"/>
      <c r="Q209" s="111"/>
      <c r="R209" s="111"/>
      <c r="S209" s="111"/>
      <c r="T209" s="111"/>
      <c r="U209" s="111"/>
      <c r="V209" s="111"/>
      <c r="W209" s="111"/>
      <c r="X209" s="111"/>
      <c r="Y209" s="1817"/>
      <c r="Z209" s="810"/>
      <c r="AA209" s="810"/>
      <c r="AB209" s="810"/>
      <c r="AC209" s="1831"/>
      <c r="AD209" s="1832"/>
      <c r="AE209" s="1832"/>
      <c r="AF209" s="1832"/>
      <c r="AG209" s="1832"/>
      <c r="AH209" s="1832"/>
      <c r="AI209" s="1832"/>
      <c r="AJ209" s="1832"/>
      <c r="AK209" s="1832"/>
      <c r="AL209" s="1832"/>
      <c r="AM209" s="1832"/>
      <c r="AN209" s="1833"/>
      <c r="AO209" s="810"/>
      <c r="AP209" s="810"/>
      <c r="AQ209" s="810"/>
      <c r="AR209" s="810"/>
      <c r="AS209" s="1831"/>
      <c r="AT209" s="1832"/>
      <c r="AU209" s="1832"/>
      <c r="AV209" s="1832"/>
      <c r="AW209" s="1832"/>
      <c r="AX209" s="1832"/>
      <c r="AY209" s="1832"/>
      <c r="AZ209" s="1832"/>
      <c r="BA209" s="1832"/>
      <c r="BB209" s="1832"/>
      <c r="BC209" s="1832"/>
      <c r="BD209" s="1833"/>
      <c r="BE209" s="1534">
        <v>8</v>
      </c>
      <c r="BF209" s="810"/>
      <c r="BG209" s="254">
        <f t="shared" si="79"/>
        <v>0</v>
      </c>
      <c r="BH209" s="254">
        <f t="shared" si="79"/>
        <v>0</v>
      </c>
      <c r="BI209" s="254">
        <f t="shared" si="79"/>
        <v>0</v>
      </c>
      <c r="BJ209" s="254">
        <f t="shared" si="79"/>
        <v>0</v>
      </c>
      <c r="BK209" s="254">
        <f t="shared" si="79"/>
        <v>0</v>
      </c>
      <c r="BL209" s="254">
        <f t="shared" si="79"/>
        <v>0</v>
      </c>
      <c r="BM209" s="254">
        <f t="shared" si="79"/>
        <v>0</v>
      </c>
      <c r="BN209" s="254">
        <f t="shared" si="79"/>
        <v>0</v>
      </c>
      <c r="BO209" s="254">
        <f t="shared" si="79"/>
        <v>0</v>
      </c>
      <c r="BP209" s="254">
        <f t="shared" si="79"/>
        <v>0</v>
      </c>
      <c r="BQ209" s="254">
        <f t="shared" si="79"/>
        <v>0</v>
      </c>
      <c r="BR209" s="1827">
        <f t="shared" si="79"/>
        <v>0</v>
      </c>
      <c r="BS209" s="1534">
        <v>8</v>
      </c>
      <c r="BT209" s="810"/>
      <c r="BU209" s="254">
        <f t="shared" si="80"/>
        <v>0</v>
      </c>
      <c r="BV209" s="254">
        <f t="shared" si="80"/>
        <v>0</v>
      </c>
      <c r="BW209" s="254">
        <f t="shared" si="80"/>
        <v>0</v>
      </c>
      <c r="BX209" s="254">
        <f t="shared" si="80"/>
        <v>0</v>
      </c>
      <c r="BY209" s="254">
        <f t="shared" si="80"/>
        <v>0</v>
      </c>
      <c r="BZ209" s="254">
        <f t="shared" si="80"/>
        <v>0</v>
      </c>
      <c r="CA209" s="254">
        <f t="shared" si="80"/>
        <v>0</v>
      </c>
      <c r="CB209" s="254">
        <f t="shared" si="80"/>
        <v>0</v>
      </c>
      <c r="CC209" s="254">
        <f t="shared" si="80"/>
        <v>0</v>
      </c>
      <c r="CD209" s="254">
        <f t="shared" si="80"/>
        <v>0</v>
      </c>
      <c r="CE209" s="254">
        <f t="shared" si="80"/>
        <v>0</v>
      </c>
      <c r="CF209" s="1827">
        <f t="shared" si="80"/>
        <v>0</v>
      </c>
      <c r="CG209" s="1534">
        <v>8</v>
      </c>
      <c r="CH209" s="810"/>
      <c r="CI209" s="254">
        <f t="shared" si="81"/>
        <v>0</v>
      </c>
      <c r="CJ209" s="254">
        <f t="shared" si="81"/>
        <v>0</v>
      </c>
      <c r="CK209" s="254">
        <f t="shared" si="81"/>
        <v>0</v>
      </c>
      <c r="CL209" s="254">
        <f t="shared" si="81"/>
        <v>0</v>
      </c>
      <c r="CM209" s="254">
        <f t="shared" si="81"/>
        <v>0</v>
      </c>
      <c r="CN209" s="254">
        <f t="shared" si="81"/>
        <v>0</v>
      </c>
      <c r="CO209" s="254">
        <f t="shared" si="81"/>
        <v>0</v>
      </c>
      <c r="CP209" s="254">
        <f t="shared" si="81"/>
        <v>0</v>
      </c>
      <c r="CQ209" s="254">
        <f t="shared" si="81"/>
        <v>0</v>
      </c>
      <c r="CR209" s="254">
        <f t="shared" si="81"/>
        <v>0</v>
      </c>
      <c r="CS209" s="254">
        <f t="shared" si="81"/>
        <v>0</v>
      </c>
      <c r="CT209" s="1827">
        <f t="shared" si="81"/>
        <v>0</v>
      </c>
    </row>
    <row r="210" spans="1:98" hidden="1" x14ac:dyDescent="0.2">
      <c r="A210" s="590"/>
      <c r="B210" s="1823" t="str">
        <f t="shared" ref="B210:D214" si="92">+B59</f>
        <v>Avena silo</v>
      </c>
      <c r="C210" s="1823" t="str">
        <f t="shared" si="92"/>
        <v>Reserva</v>
      </c>
      <c r="D210" s="1823">
        <f t="shared" si="92"/>
        <v>4800</v>
      </c>
      <c r="E210" s="772"/>
      <c r="F210" s="773"/>
      <c r="G210" s="773"/>
      <c r="H210" s="773"/>
      <c r="I210" s="111"/>
      <c r="J210" s="111"/>
      <c r="K210" s="111"/>
      <c r="L210" s="111"/>
      <c r="M210" s="769">
        <f>+IF(M$8=UsoSuelo!$S265,$D210,0)</f>
        <v>0</v>
      </c>
      <c r="N210" s="782">
        <f>+IF(N$8=UsoSuelo!$S265,$D210,0)</f>
        <v>0</v>
      </c>
      <c r="O210" s="782">
        <f>+IF(O$8=UsoSuelo!$S265,$D210,0)</f>
        <v>0</v>
      </c>
      <c r="P210" s="782">
        <f>+IF(P$8=UsoSuelo!$S265,$D210,0)</f>
        <v>0</v>
      </c>
      <c r="Q210" s="782">
        <f>+IF(Q$8=UsoSuelo!$S265,$D210,0)</f>
        <v>0</v>
      </c>
      <c r="R210" s="782">
        <f>+IF(R$8=UsoSuelo!$S265,$D210,0)</f>
        <v>0</v>
      </c>
      <c r="S210" s="782">
        <f>+IF(S$8=UsoSuelo!$S265,$D210,0)</f>
        <v>0</v>
      </c>
      <c r="T210" s="782">
        <f>+IF(T$8=UsoSuelo!$S265,$D210,0)</f>
        <v>0</v>
      </c>
      <c r="U210" s="782">
        <f>+IF(U$8=UsoSuelo!$S265,$D210,0)</f>
        <v>0</v>
      </c>
      <c r="V210" s="782">
        <f>+IF(V$8=UsoSuelo!$S265,$D210,0)</f>
        <v>0</v>
      </c>
      <c r="W210" s="782">
        <f>+IF(W$8=UsoSuelo!$S265,$D210,0)</f>
        <v>0</v>
      </c>
      <c r="X210" s="783">
        <f>+IF(X$8=UsoSuelo!$S265,$D210,0)</f>
        <v>0</v>
      </c>
      <c r="Y210" s="1824"/>
      <c r="Z210" s="795"/>
      <c r="AA210" s="795"/>
      <c r="AB210" s="795"/>
      <c r="AC210" s="808">
        <f>+Z59/100</f>
        <v>0.13500000000000001</v>
      </c>
      <c r="AD210" s="795">
        <f>+$AC$210</f>
        <v>0.13500000000000001</v>
      </c>
      <c r="AE210" s="795">
        <f t="shared" ref="AE210:AN210" si="93">+$AC$210</f>
        <v>0.13500000000000001</v>
      </c>
      <c r="AF210" s="795">
        <f t="shared" si="93"/>
        <v>0.13500000000000001</v>
      </c>
      <c r="AG210" s="795">
        <f t="shared" si="93"/>
        <v>0.13500000000000001</v>
      </c>
      <c r="AH210" s="795">
        <f t="shared" si="93"/>
        <v>0.13500000000000001</v>
      </c>
      <c r="AI210" s="795">
        <f t="shared" si="93"/>
        <v>0.13500000000000001</v>
      </c>
      <c r="AJ210" s="795">
        <f t="shared" si="93"/>
        <v>0.13500000000000001</v>
      </c>
      <c r="AK210" s="795">
        <f t="shared" si="93"/>
        <v>0.13500000000000001</v>
      </c>
      <c r="AL210" s="795">
        <f t="shared" si="93"/>
        <v>0.13500000000000001</v>
      </c>
      <c r="AM210" s="795">
        <f t="shared" si="93"/>
        <v>0.13500000000000001</v>
      </c>
      <c r="AN210" s="796">
        <f t="shared" si="93"/>
        <v>0.13500000000000001</v>
      </c>
      <c r="AO210" s="795"/>
      <c r="AP210" s="795"/>
      <c r="AQ210" s="795"/>
      <c r="AR210" s="795"/>
      <c r="AS210" s="808">
        <f>+AP59</f>
        <v>1.95</v>
      </c>
      <c r="AT210" s="795">
        <f>+$AS$210</f>
        <v>1.95</v>
      </c>
      <c r="AU210" s="795">
        <f t="shared" ref="AU210:BD210" si="94">+$AS$210</f>
        <v>1.95</v>
      </c>
      <c r="AV210" s="795">
        <f t="shared" si="94"/>
        <v>1.95</v>
      </c>
      <c r="AW210" s="795">
        <f t="shared" si="94"/>
        <v>1.95</v>
      </c>
      <c r="AX210" s="795">
        <f t="shared" si="94"/>
        <v>1.95</v>
      </c>
      <c r="AY210" s="795">
        <f t="shared" si="94"/>
        <v>1.95</v>
      </c>
      <c r="AZ210" s="795">
        <f t="shared" si="94"/>
        <v>1.95</v>
      </c>
      <c r="BA210" s="795">
        <f t="shared" si="94"/>
        <v>1.95</v>
      </c>
      <c r="BB210" s="795">
        <f t="shared" si="94"/>
        <v>1.95</v>
      </c>
      <c r="BC210" s="795">
        <f t="shared" si="94"/>
        <v>1.95</v>
      </c>
      <c r="BD210" s="796">
        <f t="shared" si="94"/>
        <v>1.95</v>
      </c>
      <c r="BE210" s="1825">
        <v>9</v>
      </c>
      <c r="BF210" s="790"/>
      <c r="BG210" s="375">
        <f t="shared" si="79"/>
        <v>0</v>
      </c>
      <c r="BH210" s="375">
        <f t="shared" si="79"/>
        <v>0</v>
      </c>
      <c r="BI210" s="375">
        <f t="shared" si="79"/>
        <v>0</v>
      </c>
      <c r="BJ210" s="375">
        <f t="shared" si="79"/>
        <v>0</v>
      </c>
      <c r="BK210" s="375">
        <f t="shared" si="79"/>
        <v>0</v>
      </c>
      <c r="BL210" s="375">
        <f t="shared" si="79"/>
        <v>0</v>
      </c>
      <c r="BM210" s="375">
        <f t="shared" si="79"/>
        <v>0</v>
      </c>
      <c r="BN210" s="375">
        <f t="shared" si="79"/>
        <v>0</v>
      </c>
      <c r="BO210" s="375">
        <f t="shared" si="79"/>
        <v>0</v>
      </c>
      <c r="BP210" s="375">
        <f t="shared" si="79"/>
        <v>0</v>
      </c>
      <c r="BQ210" s="375">
        <f t="shared" si="79"/>
        <v>0</v>
      </c>
      <c r="BR210" s="1826">
        <f t="shared" si="79"/>
        <v>0</v>
      </c>
      <c r="BS210" s="1825">
        <v>9</v>
      </c>
      <c r="BT210" s="790"/>
      <c r="BU210" s="375">
        <f t="shared" si="80"/>
        <v>0.13500000000000001</v>
      </c>
      <c r="BV210" s="375">
        <f t="shared" si="80"/>
        <v>0.13500000000000001</v>
      </c>
      <c r="BW210" s="375">
        <f t="shared" si="80"/>
        <v>0.13500000000000001</v>
      </c>
      <c r="BX210" s="375">
        <f t="shared" si="80"/>
        <v>0.13500000000000001</v>
      </c>
      <c r="BY210" s="375">
        <f t="shared" si="80"/>
        <v>0.13500000000000001</v>
      </c>
      <c r="BZ210" s="375">
        <f t="shared" si="80"/>
        <v>0.13500000000000001</v>
      </c>
      <c r="CA210" s="375">
        <f t="shared" si="80"/>
        <v>0.13500000000000001</v>
      </c>
      <c r="CB210" s="375">
        <f t="shared" si="80"/>
        <v>0.13500000000000001</v>
      </c>
      <c r="CC210" s="375">
        <f t="shared" si="80"/>
        <v>0.13500000000000001</v>
      </c>
      <c r="CD210" s="375">
        <f t="shared" si="80"/>
        <v>0.13500000000000001</v>
      </c>
      <c r="CE210" s="375">
        <f t="shared" si="80"/>
        <v>0.13500000000000001</v>
      </c>
      <c r="CF210" s="1826">
        <f t="shared" si="80"/>
        <v>0.13500000000000001</v>
      </c>
      <c r="CG210" s="1825">
        <v>9</v>
      </c>
      <c r="CH210" s="790"/>
      <c r="CI210" s="375">
        <f t="shared" si="81"/>
        <v>1.95</v>
      </c>
      <c r="CJ210" s="375">
        <f t="shared" si="81"/>
        <v>1.95</v>
      </c>
      <c r="CK210" s="375">
        <f t="shared" si="81"/>
        <v>1.95</v>
      </c>
      <c r="CL210" s="375">
        <f t="shared" si="81"/>
        <v>1.95</v>
      </c>
      <c r="CM210" s="375">
        <f t="shared" si="81"/>
        <v>1.95</v>
      </c>
      <c r="CN210" s="375">
        <f t="shared" si="81"/>
        <v>1.95</v>
      </c>
      <c r="CO210" s="375">
        <f t="shared" si="81"/>
        <v>1.95</v>
      </c>
      <c r="CP210" s="375">
        <f t="shared" si="81"/>
        <v>1.95</v>
      </c>
      <c r="CQ210" s="375">
        <f t="shared" si="81"/>
        <v>1.95</v>
      </c>
      <c r="CR210" s="375">
        <f t="shared" si="81"/>
        <v>1.95</v>
      </c>
      <c r="CS210" s="375">
        <f t="shared" si="81"/>
        <v>1.95</v>
      </c>
      <c r="CT210" s="1826">
        <f t="shared" si="81"/>
        <v>1.95</v>
      </c>
    </row>
    <row r="211" spans="1:98" hidden="1" x14ac:dyDescent="0.2">
      <c r="A211" s="590"/>
      <c r="B211" s="1823" t="str">
        <f t="shared" si="92"/>
        <v>Raigrás Silo</v>
      </c>
      <c r="C211" s="1823" t="str">
        <f t="shared" si="92"/>
        <v>Reserva</v>
      </c>
      <c r="D211" s="1823">
        <f t="shared" si="92"/>
        <v>5600</v>
      </c>
      <c r="E211" s="772"/>
      <c r="F211" s="773"/>
      <c r="G211" s="773"/>
      <c r="H211" s="773"/>
      <c r="I211" s="111"/>
      <c r="J211" s="111"/>
      <c r="K211" s="111"/>
      <c r="L211" s="111"/>
      <c r="M211" s="784">
        <f>+IF(M$8=UsoSuelo!$S266,$D211,0)</f>
        <v>0</v>
      </c>
      <c r="N211" s="111">
        <f>+IF(N$8=UsoSuelo!$S266,$D211,0)</f>
        <v>0</v>
      </c>
      <c r="O211" s="111">
        <f>+IF(O$8=UsoSuelo!$S266,$D211,0)</f>
        <v>0</v>
      </c>
      <c r="P211" s="111">
        <f>+IF(P$8=UsoSuelo!$S266,$D211,0)</f>
        <v>0</v>
      </c>
      <c r="Q211" s="111">
        <f>+IF(Q$8=UsoSuelo!$S266,$D211,0)</f>
        <v>0</v>
      </c>
      <c r="R211" s="111">
        <f>+IF(R$8=UsoSuelo!$S266,$D211,0)</f>
        <v>0</v>
      </c>
      <c r="S211" s="111">
        <f>+IF(S$8=UsoSuelo!$S266,$D211,0)</f>
        <v>0</v>
      </c>
      <c r="T211" s="111">
        <f>+IF(T$8=UsoSuelo!$S266,$D211,0)</f>
        <v>0</v>
      </c>
      <c r="U211" s="111">
        <f>+IF(U$8=UsoSuelo!$S266,$D211,0)</f>
        <v>0</v>
      </c>
      <c r="V211" s="111">
        <f>+IF(V$8=UsoSuelo!$S266,$D211,0)</f>
        <v>0</v>
      </c>
      <c r="W211" s="111">
        <f>+IF(W$8=UsoSuelo!$S266,$D211,0)</f>
        <v>0</v>
      </c>
      <c r="X211" s="785">
        <f>+IF(X$8=UsoSuelo!$S266,$D211,0)</f>
        <v>0</v>
      </c>
      <c r="Y211" s="1824"/>
      <c r="Z211" s="795"/>
      <c r="AA211" s="795"/>
      <c r="AB211" s="795"/>
      <c r="AC211" s="808">
        <f>+Z60/100</f>
        <v>0.12</v>
      </c>
      <c r="AD211" s="795">
        <f>+$AC$211</f>
        <v>0.12</v>
      </c>
      <c r="AE211" s="795">
        <f t="shared" ref="AE211:AN211" si="95">+$AC$211</f>
        <v>0.12</v>
      </c>
      <c r="AF211" s="795">
        <f t="shared" si="95"/>
        <v>0.12</v>
      </c>
      <c r="AG211" s="795">
        <f t="shared" si="95"/>
        <v>0.12</v>
      </c>
      <c r="AH211" s="795">
        <f t="shared" si="95"/>
        <v>0.12</v>
      </c>
      <c r="AI211" s="795">
        <f t="shared" si="95"/>
        <v>0.12</v>
      </c>
      <c r="AJ211" s="795">
        <f t="shared" si="95"/>
        <v>0.12</v>
      </c>
      <c r="AK211" s="795">
        <f t="shared" si="95"/>
        <v>0.12</v>
      </c>
      <c r="AL211" s="795">
        <f t="shared" si="95"/>
        <v>0.12</v>
      </c>
      <c r="AM211" s="795">
        <f t="shared" si="95"/>
        <v>0.12</v>
      </c>
      <c r="AN211" s="796">
        <f t="shared" si="95"/>
        <v>0.12</v>
      </c>
      <c r="AO211" s="795"/>
      <c r="AP211" s="795"/>
      <c r="AQ211" s="795"/>
      <c r="AR211" s="795"/>
      <c r="AS211" s="808">
        <f>+AP60</f>
        <v>2.0099999999999998</v>
      </c>
      <c r="AT211" s="795">
        <f>+$AS$211</f>
        <v>2.0099999999999998</v>
      </c>
      <c r="AU211" s="795">
        <f t="shared" ref="AU211:BD211" si="96">+$AS$211</f>
        <v>2.0099999999999998</v>
      </c>
      <c r="AV211" s="795">
        <f t="shared" si="96"/>
        <v>2.0099999999999998</v>
      </c>
      <c r="AW211" s="795">
        <f t="shared" si="96"/>
        <v>2.0099999999999998</v>
      </c>
      <c r="AX211" s="795">
        <f t="shared" si="96"/>
        <v>2.0099999999999998</v>
      </c>
      <c r="AY211" s="795">
        <f t="shared" si="96"/>
        <v>2.0099999999999998</v>
      </c>
      <c r="AZ211" s="795">
        <f t="shared" si="96"/>
        <v>2.0099999999999998</v>
      </c>
      <c r="BA211" s="795">
        <f t="shared" si="96"/>
        <v>2.0099999999999998</v>
      </c>
      <c r="BB211" s="795">
        <f t="shared" si="96"/>
        <v>2.0099999999999998</v>
      </c>
      <c r="BC211" s="795">
        <f t="shared" si="96"/>
        <v>2.0099999999999998</v>
      </c>
      <c r="BD211" s="796">
        <f t="shared" si="96"/>
        <v>2.0099999999999998</v>
      </c>
      <c r="BE211" s="595">
        <v>10</v>
      </c>
      <c r="BF211" s="795"/>
      <c r="BG211" s="254">
        <f t="shared" si="79"/>
        <v>0</v>
      </c>
      <c r="BH211" s="254">
        <f t="shared" si="79"/>
        <v>0</v>
      </c>
      <c r="BI211" s="254">
        <f t="shared" si="79"/>
        <v>0</v>
      </c>
      <c r="BJ211" s="254">
        <f t="shared" si="79"/>
        <v>0</v>
      </c>
      <c r="BK211" s="254">
        <f t="shared" si="79"/>
        <v>0</v>
      </c>
      <c r="BL211" s="254">
        <f t="shared" si="79"/>
        <v>0</v>
      </c>
      <c r="BM211" s="254">
        <f t="shared" si="79"/>
        <v>0</v>
      </c>
      <c r="BN211" s="254">
        <f t="shared" si="79"/>
        <v>0</v>
      </c>
      <c r="BO211" s="254">
        <f t="shared" si="79"/>
        <v>0</v>
      </c>
      <c r="BP211" s="254">
        <f t="shared" si="79"/>
        <v>0</v>
      </c>
      <c r="BQ211" s="254">
        <f t="shared" si="79"/>
        <v>0</v>
      </c>
      <c r="BR211" s="1827">
        <f t="shared" si="79"/>
        <v>0</v>
      </c>
      <c r="BS211" s="595">
        <v>10</v>
      </c>
      <c r="BT211" s="795"/>
      <c r="BU211" s="254">
        <f t="shared" si="80"/>
        <v>0.12</v>
      </c>
      <c r="BV211" s="254">
        <f t="shared" si="80"/>
        <v>0.12</v>
      </c>
      <c r="BW211" s="254">
        <f t="shared" si="80"/>
        <v>0.12</v>
      </c>
      <c r="BX211" s="254">
        <f t="shared" si="80"/>
        <v>0.12</v>
      </c>
      <c r="BY211" s="254">
        <f t="shared" si="80"/>
        <v>0.12</v>
      </c>
      <c r="BZ211" s="254">
        <f t="shared" si="80"/>
        <v>0.12</v>
      </c>
      <c r="CA211" s="254">
        <f t="shared" si="80"/>
        <v>0.12</v>
      </c>
      <c r="CB211" s="254">
        <f t="shared" si="80"/>
        <v>0.12</v>
      </c>
      <c r="CC211" s="254">
        <f t="shared" si="80"/>
        <v>0.12</v>
      </c>
      <c r="CD211" s="254">
        <f t="shared" si="80"/>
        <v>0.12</v>
      </c>
      <c r="CE211" s="254">
        <f t="shared" si="80"/>
        <v>0.12</v>
      </c>
      <c r="CF211" s="1827">
        <f t="shared" si="80"/>
        <v>0.12</v>
      </c>
      <c r="CG211" s="595">
        <v>10</v>
      </c>
      <c r="CH211" s="795"/>
      <c r="CI211" s="254">
        <f t="shared" si="81"/>
        <v>2.0099999999999998</v>
      </c>
      <c r="CJ211" s="254">
        <f t="shared" si="81"/>
        <v>2.0099999999999998</v>
      </c>
      <c r="CK211" s="254">
        <f t="shared" si="81"/>
        <v>2.0099999999999998</v>
      </c>
      <c r="CL211" s="254">
        <f t="shared" si="81"/>
        <v>2.0099999999999998</v>
      </c>
      <c r="CM211" s="254">
        <f t="shared" si="81"/>
        <v>2.0099999999999998</v>
      </c>
      <c r="CN211" s="254">
        <f t="shared" si="81"/>
        <v>2.0099999999999998</v>
      </c>
      <c r="CO211" s="254">
        <f t="shared" si="81"/>
        <v>2.0099999999999998</v>
      </c>
      <c r="CP211" s="254">
        <f t="shared" si="81"/>
        <v>2.0099999999999998</v>
      </c>
      <c r="CQ211" s="254">
        <f t="shared" si="81"/>
        <v>2.0099999999999998</v>
      </c>
      <c r="CR211" s="254">
        <f t="shared" si="81"/>
        <v>2.0099999999999998</v>
      </c>
      <c r="CS211" s="254">
        <f t="shared" si="81"/>
        <v>2.0099999999999998</v>
      </c>
      <c r="CT211" s="1827">
        <f t="shared" si="81"/>
        <v>2.0099999999999998</v>
      </c>
    </row>
    <row r="212" spans="1:98" hidden="1" x14ac:dyDescent="0.2">
      <c r="A212" s="590"/>
      <c r="B212" s="1823" t="str">
        <f t="shared" si="92"/>
        <v>Ra Silo Cierre Ago</v>
      </c>
      <c r="C212" s="1823" t="str">
        <f t="shared" si="92"/>
        <v>Reserva</v>
      </c>
      <c r="D212" s="1823">
        <f t="shared" si="92"/>
        <v>3000</v>
      </c>
      <c r="E212" s="772"/>
      <c r="F212" s="773"/>
      <c r="G212" s="773"/>
      <c r="H212" s="773"/>
      <c r="I212" s="111"/>
      <c r="J212" s="111"/>
      <c r="K212" s="111"/>
      <c r="L212" s="111"/>
      <c r="M212" s="784">
        <f>+IF(M$8=UsoSuelo!$S267,$D212,0)</f>
        <v>0</v>
      </c>
      <c r="N212" s="111">
        <f>+IF(N$8=UsoSuelo!$S267,$D212,0)</f>
        <v>0</v>
      </c>
      <c r="O212" s="111">
        <f>+IF(O$8=UsoSuelo!$S267,$D212,0)</f>
        <v>0</v>
      </c>
      <c r="P212" s="111">
        <f>+IF(P$8=UsoSuelo!$S267,$D212,0)</f>
        <v>0</v>
      </c>
      <c r="Q212" s="111">
        <f>+IF(Q$8=UsoSuelo!$S267,$D212,0)</f>
        <v>0</v>
      </c>
      <c r="R212" s="111">
        <f>+IF(R$8=UsoSuelo!$S267,$D212,0)</f>
        <v>0</v>
      </c>
      <c r="S212" s="111">
        <f>+IF(S$8=UsoSuelo!$S267,$D212,0)</f>
        <v>0</v>
      </c>
      <c r="T212" s="111">
        <f>+IF(T$8=UsoSuelo!$S267,$D212,0)</f>
        <v>0</v>
      </c>
      <c r="U212" s="111">
        <f>+IF(U$8=UsoSuelo!$S267,$D212,0)</f>
        <v>0</v>
      </c>
      <c r="V212" s="111">
        <f>+IF(V$8=UsoSuelo!$S267,$D212,0)</f>
        <v>0</v>
      </c>
      <c r="W212" s="111">
        <f>+IF(W$8=UsoSuelo!$S267,$D212,0)</f>
        <v>0</v>
      </c>
      <c r="X212" s="785">
        <f>+IF(X$8=UsoSuelo!$S267,$D212,0)</f>
        <v>0</v>
      </c>
      <c r="Y212" s="1824"/>
      <c r="Z212" s="795"/>
      <c r="AA212" s="795"/>
      <c r="AB212" s="795"/>
      <c r="AC212" s="808">
        <f>+Z61/100</f>
        <v>0</v>
      </c>
      <c r="AD212" s="795">
        <f>+$AC$212</f>
        <v>0</v>
      </c>
      <c r="AE212" s="795">
        <f t="shared" ref="AE212:AN212" si="97">+$AC$212</f>
        <v>0</v>
      </c>
      <c r="AF212" s="795">
        <f t="shared" si="97"/>
        <v>0</v>
      </c>
      <c r="AG212" s="795">
        <f t="shared" si="97"/>
        <v>0</v>
      </c>
      <c r="AH212" s="795">
        <f t="shared" si="97"/>
        <v>0</v>
      </c>
      <c r="AI212" s="795">
        <f t="shared" si="97"/>
        <v>0</v>
      </c>
      <c r="AJ212" s="795">
        <f t="shared" si="97"/>
        <v>0</v>
      </c>
      <c r="AK212" s="795">
        <f t="shared" si="97"/>
        <v>0</v>
      </c>
      <c r="AL212" s="795">
        <f t="shared" si="97"/>
        <v>0</v>
      </c>
      <c r="AM212" s="795">
        <f t="shared" si="97"/>
        <v>0</v>
      </c>
      <c r="AN212" s="796">
        <f t="shared" si="97"/>
        <v>0</v>
      </c>
      <c r="AO212" s="795"/>
      <c r="AP212" s="795"/>
      <c r="AQ212" s="795"/>
      <c r="AR212" s="795"/>
      <c r="AS212" s="808">
        <f>+AP61</f>
        <v>0</v>
      </c>
      <c r="AT212" s="795">
        <f>+$AS$212</f>
        <v>0</v>
      </c>
      <c r="AU212" s="795">
        <f t="shared" ref="AU212:BD212" si="98">+$AS$212</f>
        <v>0</v>
      </c>
      <c r="AV212" s="795">
        <f t="shared" si="98"/>
        <v>0</v>
      </c>
      <c r="AW212" s="795">
        <f t="shared" si="98"/>
        <v>0</v>
      </c>
      <c r="AX212" s="795">
        <f t="shared" si="98"/>
        <v>0</v>
      </c>
      <c r="AY212" s="795">
        <f t="shared" si="98"/>
        <v>0</v>
      </c>
      <c r="AZ212" s="795">
        <f t="shared" si="98"/>
        <v>0</v>
      </c>
      <c r="BA212" s="795">
        <f t="shared" si="98"/>
        <v>0</v>
      </c>
      <c r="BB212" s="795">
        <f t="shared" si="98"/>
        <v>0</v>
      </c>
      <c r="BC212" s="795">
        <f t="shared" si="98"/>
        <v>0</v>
      </c>
      <c r="BD212" s="796">
        <f t="shared" si="98"/>
        <v>0</v>
      </c>
      <c r="BE212" s="1534">
        <v>11</v>
      </c>
      <c r="BF212" s="795"/>
      <c r="BG212" s="254">
        <f t="shared" si="79"/>
        <v>0</v>
      </c>
      <c r="BH212" s="254">
        <f t="shared" si="79"/>
        <v>0</v>
      </c>
      <c r="BI212" s="254">
        <f t="shared" si="79"/>
        <v>0</v>
      </c>
      <c r="BJ212" s="254">
        <f t="shared" si="79"/>
        <v>0</v>
      </c>
      <c r="BK212" s="254">
        <f t="shared" si="79"/>
        <v>0</v>
      </c>
      <c r="BL212" s="254">
        <f t="shared" si="79"/>
        <v>0</v>
      </c>
      <c r="BM212" s="254">
        <f t="shared" si="79"/>
        <v>0</v>
      </c>
      <c r="BN212" s="254">
        <f t="shared" si="79"/>
        <v>0</v>
      </c>
      <c r="BO212" s="254">
        <f t="shared" si="79"/>
        <v>0</v>
      </c>
      <c r="BP212" s="254">
        <f t="shared" si="79"/>
        <v>0</v>
      </c>
      <c r="BQ212" s="254">
        <f t="shared" si="79"/>
        <v>0</v>
      </c>
      <c r="BR212" s="1827">
        <f t="shared" si="79"/>
        <v>0</v>
      </c>
      <c r="BS212" s="1534">
        <v>11</v>
      </c>
      <c r="BT212" s="795"/>
      <c r="BU212" s="254">
        <f t="shared" si="80"/>
        <v>0</v>
      </c>
      <c r="BV212" s="254">
        <f t="shared" si="80"/>
        <v>0</v>
      </c>
      <c r="BW212" s="254">
        <f t="shared" si="80"/>
        <v>0</v>
      </c>
      <c r="BX212" s="254">
        <f t="shared" si="80"/>
        <v>0</v>
      </c>
      <c r="BY212" s="254">
        <f t="shared" si="80"/>
        <v>0</v>
      </c>
      <c r="BZ212" s="254">
        <f t="shared" si="80"/>
        <v>0</v>
      </c>
      <c r="CA212" s="254">
        <f t="shared" si="80"/>
        <v>0</v>
      </c>
      <c r="CB212" s="254">
        <f t="shared" si="80"/>
        <v>0</v>
      </c>
      <c r="CC212" s="254">
        <f t="shared" si="80"/>
        <v>0</v>
      </c>
      <c r="CD212" s="254">
        <f t="shared" si="80"/>
        <v>0</v>
      </c>
      <c r="CE212" s="254">
        <f t="shared" si="80"/>
        <v>0</v>
      </c>
      <c r="CF212" s="1827">
        <f t="shared" si="80"/>
        <v>0</v>
      </c>
      <c r="CG212" s="1534">
        <v>11</v>
      </c>
      <c r="CH212" s="795"/>
      <c r="CI212" s="254">
        <f t="shared" si="81"/>
        <v>0</v>
      </c>
      <c r="CJ212" s="254">
        <f t="shared" si="81"/>
        <v>0</v>
      </c>
      <c r="CK212" s="254">
        <f t="shared" si="81"/>
        <v>0</v>
      </c>
      <c r="CL212" s="254">
        <f t="shared" si="81"/>
        <v>0</v>
      </c>
      <c r="CM212" s="254">
        <f t="shared" si="81"/>
        <v>0</v>
      </c>
      <c r="CN212" s="254">
        <f t="shared" si="81"/>
        <v>0</v>
      </c>
      <c r="CO212" s="254">
        <f t="shared" si="81"/>
        <v>0</v>
      </c>
      <c r="CP212" s="254">
        <f t="shared" si="81"/>
        <v>0</v>
      </c>
      <c r="CQ212" s="254">
        <f t="shared" si="81"/>
        <v>0</v>
      </c>
      <c r="CR212" s="254">
        <f t="shared" si="81"/>
        <v>0</v>
      </c>
      <c r="CS212" s="254">
        <f t="shared" si="81"/>
        <v>0</v>
      </c>
      <c r="CT212" s="1827">
        <f t="shared" si="81"/>
        <v>0</v>
      </c>
    </row>
    <row r="213" spans="1:98" hidden="1" x14ac:dyDescent="0.2">
      <c r="A213" s="590"/>
      <c r="B213" s="1823">
        <f t="shared" si="92"/>
        <v>0</v>
      </c>
      <c r="C213" s="1823" t="str">
        <f t="shared" si="92"/>
        <v>Reserva</v>
      </c>
      <c r="D213" s="1823">
        <f t="shared" si="92"/>
        <v>0</v>
      </c>
      <c r="E213" s="772"/>
      <c r="F213" s="773"/>
      <c r="G213" s="773"/>
      <c r="H213" s="773"/>
      <c r="I213" s="111"/>
      <c r="J213" s="111"/>
      <c r="K213" s="111"/>
      <c r="L213" s="111"/>
      <c r="M213" s="784">
        <f>+IF(M$8=UsoSuelo!$S268,$D213,0)</f>
        <v>0</v>
      </c>
      <c r="N213" s="111">
        <f>+IF(N$8=UsoSuelo!$S268,$D213,0)</f>
        <v>0</v>
      </c>
      <c r="O213" s="111">
        <f>+IF(O$8=UsoSuelo!$S268,$D213,0)</f>
        <v>0</v>
      </c>
      <c r="P213" s="111">
        <f>+IF(P$8=UsoSuelo!$S268,$D213,0)</f>
        <v>0</v>
      </c>
      <c r="Q213" s="111">
        <f>+IF(Q$8=UsoSuelo!$S268,$D213,0)</f>
        <v>0</v>
      </c>
      <c r="R213" s="111">
        <f>+IF(R$8=UsoSuelo!$S268,$D213,0)</f>
        <v>0</v>
      </c>
      <c r="S213" s="111">
        <f>+IF(S$8=UsoSuelo!$S268,$D213,0)</f>
        <v>0</v>
      </c>
      <c r="T213" s="111">
        <f>+IF(T$8=UsoSuelo!$S268,$D213,0)</f>
        <v>0</v>
      </c>
      <c r="U213" s="111">
        <f>+IF(U$8=UsoSuelo!$S268,$D213,0)</f>
        <v>0</v>
      </c>
      <c r="V213" s="111">
        <f>+IF(V$8=UsoSuelo!$S268,$D213,0)</f>
        <v>0</v>
      </c>
      <c r="W213" s="111">
        <f>+IF(W$8=UsoSuelo!$S268,$D213,0)</f>
        <v>0</v>
      </c>
      <c r="X213" s="785">
        <f>+IF(X$8=UsoSuelo!$S268,$D213,0)</f>
        <v>0</v>
      </c>
      <c r="Y213" s="1824"/>
      <c r="Z213" s="795"/>
      <c r="AA213" s="795"/>
      <c r="AB213" s="795"/>
      <c r="AC213" s="808">
        <f>+Z62/100</f>
        <v>0</v>
      </c>
      <c r="AD213" s="795">
        <f>+$AC$213</f>
        <v>0</v>
      </c>
      <c r="AE213" s="795">
        <f t="shared" ref="AE213:AN213" si="99">+$AC$213</f>
        <v>0</v>
      </c>
      <c r="AF213" s="795">
        <f t="shared" si="99"/>
        <v>0</v>
      </c>
      <c r="AG213" s="795">
        <f t="shared" si="99"/>
        <v>0</v>
      </c>
      <c r="AH213" s="795">
        <f t="shared" si="99"/>
        <v>0</v>
      </c>
      <c r="AI213" s="795">
        <f t="shared" si="99"/>
        <v>0</v>
      </c>
      <c r="AJ213" s="795">
        <f t="shared" si="99"/>
        <v>0</v>
      </c>
      <c r="AK213" s="795">
        <f t="shared" si="99"/>
        <v>0</v>
      </c>
      <c r="AL213" s="795">
        <f t="shared" si="99"/>
        <v>0</v>
      </c>
      <c r="AM213" s="795">
        <f t="shared" si="99"/>
        <v>0</v>
      </c>
      <c r="AN213" s="796">
        <f t="shared" si="99"/>
        <v>0</v>
      </c>
      <c r="AO213" s="795"/>
      <c r="AP213" s="795"/>
      <c r="AQ213" s="795"/>
      <c r="AR213" s="795"/>
      <c r="AS213" s="808">
        <f>+AP62</f>
        <v>0</v>
      </c>
      <c r="AT213" s="795">
        <f>+$AS$213</f>
        <v>0</v>
      </c>
      <c r="AU213" s="795">
        <f t="shared" ref="AU213:BD213" si="100">+$AS$213</f>
        <v>0</v>
      </c>
      <c r="AV213" s="795">
        <f t="shared" si="100"/>
        <v>0</v>
      </c>
      <c r="AW213" s="795">
        <f t="shared" si="100"/>
        <v>0</v>
      </c>
      <c r="AX213" s="795">
        <f t="shared" si="100"/>
        <v>0</v>
      </c>
      <c r="AY213" s="795">
        <f t="shared" si="100"/>
        <v>0</v>
      </c>
      <c r="AZ213" s="795">
        <f t="shared" si="100"/>
        <v>0</v>
      </c>
      <c r="BA213" s="795">
        <f t="shared" si="100"/>
        <v>0</v>
      </c>
      <c r="BB213" s="795">
        <f t="shared" si="100"/>
        <v>0</v>
      </c>
      <c r="BC213" s="795">
        <f t="shared" si="100"/>
        <v>0</v>
      </c>
      <c r="BD213" s="796">
        <f t="shared" si="100"/>
        <v>0</v>
      </c>
      <c r="BE213" s="1534">
        <v>12</v>
      </c>
      <c r="BF213" s="795"/>
      <c r="BG213" s="254">
        <f t="shared" si="79"/>
        <v>0</v>
      </c>
      <c r="BH213" s="254">
        <f t="shared" si="79"/>
        <v>0</v>
      </c>
      <c r="BI213" s="254">
        <f t="shared" si="79"/>
        <v>0</v>
      </c>
      <c r="BJ213" s="254">
        <f t="shared" si="79"/>
        <v>0</v>
      </c>
      <c r="BK213" s="254">
        <f t="shared" si="79"/>
        <v>0</v>
      </c>
      <c r="BL213" s="254">
        <f t="shared" si="79"/>
        <v>0</v>
      </c>
      <c r="BM213" s="254">
        <f t="shared" si="79"/>
        <v>0</v>
      </c>
      <c r="BN213" s="254">
        <f t="shared" si="79"/>
        <v>0</v>
      </c>
      <c r="BO213" s="254">
        <f t="shared" si="79"/>
        <v>0</v>
      </c>
      <c r="BP213" s="254">
        <f t="shared" si="79"/>
        <v>0</v>
      </c>
      <c r="BQ213" s="254">
        <f t="shared" si="79"/>
        <v>0</v>
      </c>
      <c r="BR213" s="1827">
        <f t="shared" si="79"/>
        <v>0</v>
      </c>
      <c r="BS213" s="1534">
        <v>12</v>
      </c>
      <c r="BT213" s="795"/>
      <c r="BU213" s="254">
        <f t="shared" si="80"/>
        <v>0</v>
      </c>
      <c r="BV213" s="254">
        <f t="shared" si="80"/>
        <v>0</v>
      </c>
      <c r="BW213" s="254">
        <f t="shared" si="80"/>
        <v>0</v>
      </c>
      <c r="BX213" s="254">
        <f t="shared" si="80"/>
        <v>0</v>
      </c>
      <c r="BY213" s="254">
        <f t="shared" si="80"/>
        <v>0</v>
      </c>
      <c r="BZ213" s="254">
        <f t="shared" si="80"/>
        <v>0</v>
      </c>
      <c r="CA213" s="254">
        <f t="shared" si="80"/>
        <v>0</v>
      </c>
      <c r="CB213" s="254">
        <f t="shared" si="80"/>
        <v>0</v>
      </c>
      <c r="CC213" s="254">
        <f t="shared" si="80"/>
        <v>0</v>
      </c>
      <c r="CD213" s="254">
        <f t="shared" si="80"/>
        <v>0</v>
      </c>
      <c r="CE213" s="254">
        <f t="shared" si="80"/>
        <v>0</v>
      </c>
      <c r="CF213" s="1827">
        <f t="shared" si="80"/>
        <v>0</v>
      </c>
      <c r="CG213" s="1534">
        <v>12</v>
      </c>
      <c r="CH213" s="795"/>
      <c r="CI213" s="254">
        <f t="shared" si="81"/>
        <v>0</v>
      </c>
      <c r="CJ213" s="254">
        <f t="shared" si="81"/>
        <v>0</v>
      </c>
      <c r="CK213" s="254">
        <f t="shared" si="81"/>
        <v>0</v>
      </c>
      <c r="CL213" s="254">
        <f t="shared" si="81"/>
        <v>0</v>
      </c>
      <c r="CM213" s="254">
        <f t="shared" si="81"/>
        <v>0</v>
      </c>
      <c r="CN213" s="254">
        <f t="shared" si="81"/>
        <v>0</v>
      </c>
      <c r="CO213" s="254">
        <f t="shared" si="81"/>
        <v>0</v>
      </c>
      <c r="CP213" s="254">
        <f t="shared" si="81"/>
        <v>0</v>
      </c>
      <c r="CQ213" s="254">
        <f t="shared" si="81"/>
        <v>0</v>
      </c>
      <c r="CR213" s="254">
        <f t="shared" si="81"/>
        <v>0</v>
      </c>
      <c r="CS213" s="254">
        <f t="shared" si="81"/>
        <v>0</v>
      </c>
      <c r="CT213" s="1827">
        <f t="shared" si="81"/>
        <v>0</v>
      </c>
    </row>
    <row r="214" spans="1:98" ht="15.05" hidden="1" thickBot="1" x14ac:dyDescent="0.25">
      <c r="A214" s="590"/>
      <c r="B214" s="1834">
        <f t="shared" si="92"/>
        <v>0</v>
      </c>
      <c r="C214" s="1834" t="str">
        <f t="shared" si="92"/>
        <v>Reserva</v>
      </c>
      <c r="D214" s="1834">
        <f t="shared" si="92"/>
        <v>0</v>
      </c>
      <c r="E214" s="1835"/>
      <c r="F214" s="1836"/>
      <c r="G214" s="1836"/>
      <c r="H214" s="1836"/>
      <c r="I214" s="1838"/>
      <c r="J214" s="1838"/>
      <c r="K214" s="1838"/>
      <c r="L214" s="1838"/>
      <c r="M214" s="1839">
        <f>+IF(M$8=UsoSuelo!$S269,$D214,0)</f>
        <v>0</v>
      </c>
      <c r="N214" s="1838">
        <f>+IF(N$8=UsoSuelo!$S269,$D214,0)</f>
        <v>0</v>
      </c>
      <c r="O214" s="1838">
        <f>+IF(O$8=UsoSuelo!$S269,$D214,0)</f>
        <v>0</v>
      </c>
      <c r="P214" s="1838">
        <f>+IF(P$8=UsoSuelo!$S269,$D214,0)</f>
        <v>0</v>
      </c>
      <c r="Q214" s="1838">
        <f>+IF(Q$8=UsoSuelo!$S269,$D214,0)</f>
        <v>0</v>
      </c>
      <c r="R214" s="1838">
        <f>+IF(R$8=UsoSuelo!$S269,$D214,0)</f>
        <v>0</v>
      </c>
      <c r="S214" s="1838">
        <f>+IF(S$8=UsoSuelo!$S269,$D214,0)</f>
        <v>0</v>
      </c>
      <c r="T214" s="1838">
        <f>+IF(T$8=UsoSuelo!$S269,$D214,0)</f>
        <v>0</v>
      </c>
      <c r="U214" s="1838">
        <f>+IF(U$8=UsoSuelo!$S269,$D214,0)</f>
        <v>0</v>
      </c>
      <c r="V214" s="1838">
        <f>+IF(V$8=UsoSuelo!$S269,$D214,0)</f>
        <v>0</v>
      </c>
      <c r="W214" s="1838">
        <f>+IF(W$8=UsoSuelo!$S269,$D214,0)</f>
        <v>0</v>
      </c>
      <c r="X214" s="1840">
        <f>+IF(X$8=UsoSuelo!$S269,$D214,0)</f>
        <v>0</v>
      </c>
      <c r="Y214" s="1841"/>
      <c r="Z214" s="795"/>
      <c r="AA214" s="795"/>
      <c r="AB214" s="795"/>
      <c r="AC214" s="809">
        <f>+Z63/100</f>
        <v>0</v>
      </c>
      <c r="AD214" s="801">
        <f>+$AC$214</f>
        <v>0</v>
      </c>
      <c r="AE214" s="801">
        <f t="shared" ref="AE214:AN214" si="101">+$AC$214</f>
        <v>0</v>
      </c>
      <c r="AF214" s="801">
        <f t="shared" si="101"/>
        <v>0</v>
      </c>
      <c r="AG214" s="801">
        <f t="shared" si="101"/>
        <v>0</v>
      </c>
      <c r="AH214" s="801">
        <f t="shared" si="101"/>
        <v>0</v>
      </c>
      <c r="AI214" s="801">
        <f t="shared" si="101"/>
        <v>0</v>
      </c>
      <c r="AJ214" s="801">
        <f t="shared" si="101"/>
        <v>0</v>
      </c>
      <c r="AK214" s="801">
        <f t="shared" si="101"/>
        <v>0</v>
      </c>
      <c r="AL214" s="801">
        <f t="shared" si="101"/>
        <v>0</v>
      </c>
      <c r="AM214" s="801">
        <f t="shared" si="101"/>
        <v>0</v>
      </c>
      <c r="AN214" s="802">
        <f t="shared" si="101"/>
        <v>0</v>
      </c>
      <c r="AO214" s="795"/>
      <c r="AP214" s="795"/>
      <c r="AQ214" s="795"/>
      <c r="AR214" s="795"/>
      <c r="AS214" s="809">
        <f>+AP63</f>
        <v>0</v>
      </c>
      <c r="AT214" s="801">
        <f>+$AS$214</f>
        <v>0</v>
      </c>
      <c r="AU214" s="801">
        <f t="shared" ref="AU214:BD214" si="102">+$AS$214</f>
        <v>0</v>
      </c>
      <c r="AV214" s="801">
        <f t="shared" si="102"/>
        <v>0</v>
      </c>
      <c r="AW214" s="801">
        <f t="shared" si="102"/>
        <v>0</v>
      </c>
      <c r="AX214" s="801">
        <f t="shared" si="102"/>
        <v>0</v>
      </c>
      <c r="AY214" s="801">
        <f t="shared" si="102"/>
        <v>0</v>
      </c>
      <c r="AZ214" s="801">
        <f t="shared" si="102"/>
        <v>0</v>
      </c>
      <c r="BA214" s="801">
        <f t="shared" si="102"/>
        <v>0</v>
      </c>
      <c r="BB214" s="801">
        <f t="shared" si="102"/>
        <v>0</v>
      </c>
      <c r="BC214" s="801">
        <f t="shared" si="102"/>
        <v>0</v>
      </c>
      <c r="BD214" s="802">
        <f t="shared" si="102"/>
        <v>0</v>
      </c>
      <c r="BE214" s="1828">
        <v>13</v>
      </c>
      <c r="BF214" s="801"/>
      <c r="BG214" s="1829">
        <f t="shared" si="79"/>
        <v>0</v>
      </c>
      <c r="BH214" s="1829">
        <f t="shared" si="79"/>
        <v>0</v>
      </c>
      <c r="BI214" s="1829">
        <f t="shared" si="79"/>
        <v>0</v>
      </c>
      <c r="BJ214" s="1829">
        <f t="shared" si="79"/>
        <v>0</v>
      </c>
      <c r="BK214" s="1829">
        <f t="shared" si="79"/>
        <v>0</v>
      </c>
      <c r="BL214" s="1829">
        <f t="shared" si="79"/>
        <v>0</v>
      </c>
      <c r="BM214" s="1829">
        <f t="shared" si="79"/>
        <v>0</v>
      </c>
      <c r="BN214" s="1829">
        <f t="shared" si="79"/>
        <v>0</v>
      </c>
      <c r="BO214" s="1829">
        <f t="shared" si="79"/>
        <v>0</v>
      </c>
      <c r="BP214" s="1829">
        <f t="shared" si="79"/>
        <v>0</v>
      </c>
      <c r="BQ214" s="1829">
        <f t="shared" si="79"/>
        <v>0</v>
      </c>
      <c r="BR214" s="1830">
        <f t="shared" si="79"/>
        <v>0</v>
      </c>
      <c r="BS214" s="1828">
        <v>13</v>
      </c>
      <c r="BT214" s="801"/>
      <c r="BU214" s="1829">
        <f t="shared" si="80"/>
        <v>0</v>
      </c>
      <c r="BV214" s="1829">
        <f t="shared" si="80"/>
        <v>0</v>
      </c>
      <c r="BW214" s="1829">
        <f t="shared" si="80"/>
        <v>0</v>
      </c>
      <c r="BX214" s="1829">
        <f t="shared" si="80"/>
        <v>0</v>
      </c>
      <c r="BY214" s="1829">
        <f t="shared" si="80"/>
        <v>0</v>
      </c>
      <c r="BZ214" s="1829">
        <f t="shared" si="80"/>
        <v>0</v>
      </c>
      <c r="CA214" s="1829">
        <f t="shared" si="80"/>
        <v>0</v>
      </c>
      <c r="CB214" s="1829">
        <f t="shared" si="80"/>
        <v>0</v>
      </c>
      <c r="CC214" s="1829">
        <f t="shared" si="80"/>
        <v>0</v>
      </c>
      <c r="CD214" s="1829">
        <f t="shared" si="80"/>
        <v>0</v>
      </c>
      <c r="CE214" s="1829">
        <f t="shared" si="80"/>
        <v>0</v>
      </c>
      <c r="CF214" s="1830">
        <f t="shared" si="80"/>
        <v>0</v>
      </c>
      <c r="CG214" s="1828">
        <v>13</v>
      </c>
      <c r="CH214" s="801"/>
      <c r="CI214" s="1829">
        <f t="shared" si="81"/>
        <v>0</v>
      </c>
      <c r="CJ214" s="1829">
        <f t="shared" si="81"/>
        <v>0</v>
      </c>
      <c r="CK214" s="1829">
        <f t="shared" si="81"/>
        <v>0</v>
      </c>
      <c r="CL214" s="1829">
        <f t="shared" si="81"/>
        <v>0</v>
      </c>
      <c r="CM214" s="1829">
        <f t="shared" si="81"/>
        <v>0</v>
      </c>
      <c r="CN214" s="1829">
        <f t="shared" si="81"/>
        <v>0</v>
      </c>
      <c r="CO214" s="1829">
        <f t="shared" si="81"/>
        <v>0</v>
      </c>
      <c r="CP214" s="1829">
        <f t="shared" si="81"/>
        <v>0</v>
      </c>
      <c r="CQ214" s="1829">
        <f t="shared" si="81"/>
        <v>0</v>
      </c>
      <c r="CR214" s="1829">
        <f t="shared" si="81"/>
        <v>0</v>
      </c>
      <c r="CS214" s="1829">
        <f t="shared" si="81"/>
        <v>0</v>
      </c>
      <c r="CT214" s="1830">
        <f t="shared" si="81"/>
        <v>0</v>
      </c>
    </row>
    <row r="215" spans="1:98" hidden="1" x14ac:dyDescent="0.2">
      <c r="A215" s="590"/>
      <c r="B215" s="1842"/>
      <c r="C215" s="1842"/>
      <c r="D215" s="1842"/>
      <c r="E215" s="773"/>
      <c r="F215" s="773"/>
      <c r="G215" s="773"/>
      <c r="H215" s="773"/>
      <c r="I215" s="111"/>
      <c r="J215" s="111"/>
      <c r="K215" s="111"/>
      <c r="L215" s="111"/>
      <c r="M215" s="111"/>
      <c r="N215" s="111"/>
      <c r="O215" s="111"/>
      <c r="P215" s="111"/>
      <c r="Q215" s="111"/>
      <c r="R215" s="111"/>
      <c r="S215" s="111"/>
      <c r="T215" s="111"/>
      <c r="U215" s="111"/>
      <c r="V215" s="111"/>
      <c r="W215" s="111"/>
      <c r="X215" s="111"/>
      <c r="Y215" s="795"/>
      <c r="Z215" s="795"/>
      <c r="AA215" s="795"/>
      <c r="AB215" s="795"/>
      <c r="AC215" s="795"/>
      <c r="AD215" s="795"/>
      <c r="AE215" s="795"/>
      <c r="AF215" s="795"/>
      <c r="AG215" s="795"/>
      <c r="AH215" s="795"/>
      <c r="AI215" s="795"/>
      <c r="AJ215" s="795"/>
      <c r="AK215" s="795"/>
      <c r="AL215" s="795"/>
      <c r="AM215" s="795"/>
      <c r="AN215" s="795"/>
      <c r="AO215" s="795"/>
      <c r="AP215" s="795"/>
      <c r="AQ215" s="795"/>
      <c r="AR215" s="795"/>
      <c r="AS215" s="795"/>
      <c r="AT215" s="795"/>
      <c r="AU215" s="795"/>
      <c r="AV215" s="795"/>
      <c r="AW215" s="795"/>
      <c r="AX215" s="795"/>
      <c r="AY215" s="795"/>
      <c r="AZ215" s="795"/>
      <c r="BA215" s="795"/>
      <c r="BB215" s="795"/>
      <c r="BC215" s="795"/>
      <c r="BD215" s="795"/>
      <c r="BE215" s="2188"/>
      <c r="BF215" s="795"/>
      <c r="BG215" s="254"/>
      <c r="BH215" s="254"/>
      <c r="BI215" s="254"/>
      <c r="BJ215" s="254"/>
      <c r="BK215" s="254"/>
      <c r="BL215" s="254"/>
      <c r="BM215" s="254"/>
      <c r="BN215" s="254"/>
      <c r="BO215" s="254"/>
      <c r="BP215" s="254"/>
      <c r="BQ215" s="254"/>
      <c r="BR215" s="2188">
        <v>1012</v>
      </c>
      <c r="BS215" s="2188"/>
      <c r="BT215" s="795"/>
      <c r="BU215" s="254"/>
      <c r="BV215" s="254"/>
      <c r="BW215" s="254"/>
      <c r="BX215" s="254"/>
      <c r="BY215" s="254"/>
      <c r="BZ215" s="254"/>
      <c r="CA215" s="254"/>
      <c r="CB215" s="254"/>
      <c r="CC215" s="254"/>
      <c r="CD215" s="254"/>
      <c r="CE215" s="254"/>
      <c r="CF215" s="2188">
        <v>1012</v>
      </c>
      <c r="CG215" s="2188"/>
      <c r="CH215" s="795"/>
      <c r="CI215" s="254"/>
      <c r="CJ215" s="254"/>
      <c r="CK215" s="254"/>
      <c r="CL215" s="254"/>
      <c r="CM215" s="254"/>
      <c r="CN215" s="254"/>
      <c r="CO215" s="254"/>
      <c r="CP215" s="254"/>
      <c r="CQ215" s="254"/>
      <c r="CR215" s="254"/>
      <c r="CS215" s="254"/>
      <c r="CT215" s="254"/>
    </row>
    <row r="216" spans="1:98" ht="15.05" hidden="1" thickBot="1" x14ac:dyDescent="0.25">
      <c r="A216" s="590"/>
      <c r="B216" s="1842"/>
      <c r="C216" s="1842"/>
      <c r="D216" s="1842"/>
      <c r="E216" s="773"/>
      <c r="F216" s="773"/>
      <c r="G216" s="773"/>
      <c r="H216" s="773"/>
      <c r="I216" s="111"/>
      <c r="J216" s="111"/>
      <c r="K216" s="111"/>
      <c r="L216" s="111"/>
      <c r="M216" s="111"/>
      <c r="N216" s="111"/>
      <c r="O216" s="111"/>
      <c r="P216" s="111"/>
      <c r="Q216" s="111"/>
      <c r="R216" s="111"/>
      <c r="S216" s="111"/>
      <c r="T216" s="111"/>
      <c r="U216" s="111"/>
      <c r="V216" s="111"/>
      <c r="W216" s="111"/>
      <c r="X216" s="111"/>
      <c r="Y216" s="795"/>
      <c r="Z216" s="795"/>
      <c r="AA216" s="795"/>
      <c r="AB216" s="795"/>
      <c r="AC216" s="795"/>
      <c r="AD216" s="795"/>
      <c r="AE216" s="795"/>
      <c r="AF216" s="795"/>
      <c r="AG216" s="795"/>
      <c r="AH216" s="795"/>
      <c r="AI216" s="795"/>
      <c r="AJ216" s="795"/>
      <c r="AK216" s="795"/>
      <c r="AL216" s="795"/>
      <c r="AM216" s="795"/>
      <c r="AN216" s="795"/>
      <c r="AO216" s="795"/>
      <c r="AP216" s="795"/>
      <c r="AQ216" s="795"/>
      <c r="AR216" s="795"/>
      <c r="AS216" s="795"/>
      <c r="AT216" s="795"/>
      <c r="AU216" s="795"/>
      <c r="AV216" s="795"/>
      <c r="AW216" s="795"/>
      <c r="AX216" s="795"/>
      <c r="AY216" s="795"/>
      <c r="AZ216" s="795"/>
      <c r="BA216" s="795"/>
      <c r="BB216" s="795"/>
      <c r="BC216" s="795"/>
      <c r="BD216" s="2188">
        <v>1012</v>
      </c>
      <c r="BE216" s="597" t="s">
        <v>1510</v>
      </c>
      <c r="BF216" s="590"/>
      <c r="BG216" s="590"/>
      <c r="BH216" s="590"/>
      <c r="BI216" s="590"/>
      <c r="BJ216" s="590"/>
      <c r="BK216" s="590"/>
      <c r="BL216" s="590"/>
      <c r="BM216" s="590"/>
      <c r="BN216" s="590"/>
      <c r="BO216" s="590"/>
      <c r="BP216" s="590"/>
      <c r="BQ216" s="254"/>
      <c r="BR216" s="2188" t="s">
        <v>1987</v>
      </c>
      <c r="BS216" s="597" t="s">
        <v>1510</v>
      </c>
      <c r="BT216" s="254"/>
      <c r="BU216" s="254"/>
      <c r="BV216" s="254"/>
      <c r="BW216" s="254"/>
      <c r="BX216" s="254"/>
      <c r="BY216" s="254"/>
      <c r="BZ216" s="254"/>
      <c r="CA216" s="254"/>
      <c r="CB216" s="254"/>
      <c r="CC216" s="254"/>
      <c r="CD216" s="254"/>
      <c r="CE216" s="254"/>
      <c r="CF216" s="2188" t="s">
        <v>2214</v>
      </c>
      <c r="CG216" s="597" t="s">
        <v>1510</v>
      </c>
      <c r="CH216" s="254"/>
      <c r="CI216" s="254"/>
      <c r="CJ216" s="254"/>
      <c r="CK216" s="254"/>
      <c r="CL216" s="254"/>
      <c r="CM216" s="254"/>
      <c r="CN216" s="254"/>
      <c r="CO216" s="254"/>
      <c r="CP216" s="254"/>
      <c r="CQ216" s="254"/>
      <c r="CR216" s="254"/>
      <c r="CS216" s="254"/>
      <c r="CT216" s="254"/>
    </row>
    <row r="217" spans="1:98" ht="15.75" hidden="1" thickBot="1" x14ac:dyDescent="0.25">
      <c r="A217" s="232"/>
      <c r="B217" s="232"/>
      <c r="C217" s="232"/>
      <c r="D217" s="232"/>
      <c r="E217" s="232"/>
      <c r="F217" s="232"/>
      <c r="G217" s="232"/>
      <c r="H217" s="232"/>
      <c r="I217" s="232"/>
      <c r="J217" s="232"/>
      <c r="K217" s="232"/>
      <c r="L217" s="232"/>
      <c r="M217" s="232"/>
      <c r="N217" s="232"/>
      <c r="O217" s="232"/>
      <c r="P217" s="232"/>
      <c r="Q217" s="232"/>
      <c r="R217" s="232"/>
      <c r="S217" s="232"/>
      <c r="T217" s="232"/>
      <c r="U217" s="232"/>
      <c r="V217" s="232"/>
      <c r="W217" s="232"/>
      <c r="X217" s="232"/>
      <c r="Y217" s="254"/>
      <c r="Z217" s="254"/>
      <c r="AA217" s="254"/>
      <c r="AB217" s="254"/>
      <c r="AC217" s="254"/>
      <c r="AD217" s="254"/>
      <c r="AE217" s="254"/>
      <c r="AF217" s="254"/>
      <c r="AG217" s="254"/>
      <c r="AH217" s="254"/>
      <c r="AI217" s="254"/>
      <c r="AJ217" s="254"/>
      <c r="AK217" s="254"/>
      <c r="AL217" s="254"/>
      <c r="AM217" s="254"/>
      <c r="AN217" s="254"/>
      <c r="AO217" s="254"/>
      <c r="AP217" s="254"/>
      <c r="AQ217" s="254"/>
      <c r="AR217" s="254"/>
      <c r="AS217" s="254"/>
      <c r="AT217" s="254"/>
      <c r="AU217" s="254"/>
      <c r="AV217" s="254"/>
      <c r="AW217" s="254"/>
      <c r="AX217" s="254"/>
      <c r="AY217" s="254"/>
      <c r="AZ217" s="254"/>
      <c r="BA217" s="254"/>
      <c r="BB217" s="254"/>
      <c r="BC217" s="254"/>
      <c r="BD217" s="2188" t="s">
        <v>1871</v>
      </c>
      <c r="BE217" s="1806" t="s">
        <v>1166</v>
      </c>
      <c r="BF217" s="1810"/>
      <c r="BG217" s="1810"/>
      <c r="BH217" s="1810"/>
      <c r="BI217" s="1810"/>
      <c r="BJ217" s="1810"/>
      <c r="BK217" s="1810"/>
      <c r="BL217" s="1810"/>
      <c r="BM217" s="1810"/>
      <c r="BN217" s="1810"/>
      <c r="BO217" s="1810"/>
      <c r="BP217" s="1810"/>
      <c r="BQ217" s="1810"/>
      <c r="BR217" s="1811"/>
      <c r="BS217" s="1806" t="s">
        <v>1167</v>
      </c>
      <c r="BT217" s="1810"/>
      <c r="BU217" s="1810"/>
      <c r="BV217" s="1810"/>
      <c r="BW217" s="1810"/>
      <c r="BX217" s="1810"/>
      <c r="BY217" s="1810"/>
      <c r="BZ217" s="1810"/>
      <c r="CA217" s="1810"/>
      <c r="CB217" s="1810"/>
      <c r="CC217" s="1810"/>
      <c r="CD217" s="1810"/>
      <c r="CE217" s="1810"/>
      <c r="CF217" s="1811"/>
      <c r="CG217" s="1529"/>
      <c r="CH217" s="1806" t="s">
        <v>1168</v>
      </c>
      <c r="CI217" s="1810"/>
      <c r="CJ217" s="1810"/>
      <c r="CK217" s="1810"/>
      <c r="CL217" s="1810"/>
      <c r="CM217" s="1810"/>
      <c r="CN217" s="1810"/>
      <c r="CO217" s="1810"/>
      <c r="CP217" s="1810"/>
      <c r="CQ217" s="1810"/>
      <c r="CR217" s="1810"/>
      <c r="CS217" s="1810"/>
      <c r="CT217" s="1811"/>
    </row>
    <row r="218" spans="1:98" ht="15.75" hidden="1" thickBot="1" x14ac:dyDescent="0.25">
      <c r="A218" s="2188">
        <v>1012</v>
      </c>
      <c r="B218" s="1852" t="s">
        <v>1504</v>
      </c>
      <c r="C218" s="1323"/>
      <c r="D218" s="1323"/>
      <c r="E218" s="1323"/>
      <c r="F218" s="1323"/>
      <c r="G218" s="1323"/>
      <c r="H218" s="1323"/>
      <c r="I218" s="1323"/>
      <c r="J218" s="1323"/>
      <c r="K218" s="1323"/>
      <c r="L218" s="1323"/>
      <c r="M218" s="1323"/>
      <c r="N218" s="1323"/>
      <c r="O218" s="1323"/>
      <c r="P218" s="1323"/>
      <c r="Q218" s="1323"/>
      <c r="R218" s="1323"/>
      <c r="S218" s="1323"/>
      <c r="T218" s="1323"/>
      <c r="U218" s="1323"/>
      <c r="V218" s="1323"/>
      <c r="W218" s="1323"/>
      <c r="X218" s="1323"/>
      <c r="Y218" s="1809"/>
      <c r="Z218" s="254"/>
      <c r="AA218" s="254"/>
      <c r="AB218" s="2188">
        <v>1012</v>
      </c>
      <c r="AC218" s="2188"/>
      <c r="AD218" s="1806" t="s">
        <v>1164</v>
      </c>
      <c r="AE218" s="1810"/>
      <c r="AF218" s="1810"/>
      <c r="AG218" s="1810"/>
      <c r="AH218" s="1810"/>
      <c r="AI218" s="1810"/>
      <c r="AJ218" s="1810"/>
      <c r="AK218" s="1810"/>
      <c r="AL218" s="1810"/>
      <c r="AM218" s="1810"/>
      <c r="AN218" s="1811"/>
      <c r="AO218" s="254"/>
      <c r="AP218" s="254"/>
      <c r="AQ218" s="254"/>
      <c r="AR218" s="2188">
        <v>1012</v>
      </c>
      <c r="AS218" s="2188"/>
      <c r="AT218" s="254"/>
      <c r="AU218" s="254"/>
      <c r="AV218" s="254"/>
      <c r="AW218" s="254"/>
      <c r="AX218" s="254"/>
      <c r="AY218" s="254"/>
      <c r="AZ218" s="254"/>
      <c r="BA218" s="254"/>
      <c r="BB218" s="254"/>
      <c r="BC218" s="254"/>
      <c r="BD218" s="254"/>
      <c r="BE218" s="2445" t="s">
        <v>984</v>
      </c>
      <c r="BF218" s="1412"/>
      <c r="BG218" s="1812"/>
      <c r="BH218" s="1812"/>
      <c r="BI218" s="1812"/>
      <c r="BJ218" s="1812"/>
      <c r="BK218" s="2445"/>
      <c r="BL218" s="2445" t="s">
        <v>1171</v>
      </c>
      <c r="BM218" s="1812"/>
      <c r="BN218" s="1812"/>
      <c r="BO218" s="1812"/>
      <c r="BP218" s="1812"/>
      <c r="BQ218" s="1812"/>
      <c r="BR218" s="1813"/>
      <c r="BS218" s="2444" t="s">
        <v>984</v>
      </c>
      <c r="BT218" s="1411"/>
      <c r="BU218" s="1414"/>
      <c r="BV218" s="1414"/>
      <c r="BW218" s="1414"/>
      <c r="BX218" s="1414"/>
      <c r="BY218" s="1414"/>
      <c r="BZ218" s="2445" t="s">
        <v>1170</v>
      </c>
      <c r="CA218" s="1414"/>
      <c r="CB218" s="1414"/>
      <c r="CC218" s="1414"/>
      <c r="CD218" s="1414"/>
      <c r="CE218" s="1414"/>
      <c r="CF218" s="1415"/>
      <c r="CG218" s="1814" t="s">
        <v>984</v>
      </c>
      <c r="CH218" s="1411"/>
      <c r="CI218" s="2445"/>
      <c r="CJ218" s="2445"/>
      <c r="CK218" s="2445"/>
      <c r="CL218" s="2445"/>
      <c r="CM218" s="2445"/>
      <c r="CN218" s="2445" t="s">
        <v>1169</v>
      </c>
      <c r="CO218" s="2445"/>
      <c r="CP218" s="2445"/>
      <c r="CQ218" s="2445"/>
      <c r="CR218" s="2445"/>
      <c r="CS218" s="2445"/>
      <c r="CT218" s="2446"/>
    </row>
    <row r="219" spans="1:98" hidden="1" x14ac:dyDescent="0.2">
      <c r="A219" s="2188" t="s">
        <v>58</v>
      </c>
      <c r="B219" s="789" t="s">
        <v>332</v>
      </c>
      <c r="C219" s="1816"/>
      <c r="D219" s="1816"/>
      <c r="E219" s="775"/>
      <c r="F219" s="111"/>
      <c r="G219" s="111"/>
      <c r="H219" s="111"/>
      <c r="I219" s="111"/>
      <c r="J219" s="111"/>
      <c r="K219" s="111"/>
      <c r="L219" s="817"/>
      <c r="M219" s="111" t="str">
        <f t="shared" ref="M219:X219" si="103">+M8</f>
        <v>Ene</v>
      </c>
      <c r="N219" s="111" t="str">
        <f t="shared" si="103"/>
        <v>Feb</v>
      </c>
      <c r="O219" s="111" t="str">
        <f t="shared" si="103"/>
        <v>Mar</v>
      </c>
      <c r="P219" s="111" t="str">
        <f t="shared" si="103"/>
        <v>Abr</v>
      </c>
      <c r="Q219" s="111" t="str">
        <f t="shared" si="103"/>
        <v>May</v>
      </c>
      <c r="R219" s="111" t="str">
        <f t="shared" si="103"/>
        <v>Jun</v>
      </c>
      <c r="S219" s="111" t="str">
        <f t="shared" si="103"/>
        <v>Jul</v>
      </c>
      <c r="T219" s="111" t="str">
        <f t="shared" si="103"/>
        <v>Ago</v>
      </c>
      <c r="U219" s="111" t="str">
        <f t="shared" si="103"/>
        <v>Set</v>
      </c>
      <c r="V219" s="111" t="str">
        <f t="shared" si="103"/>
        <v>Oct</v>
      </c>
      <c r="W219" s="111" t="str">
        <f t="shared" si="103"/>
        <v>Nov</v>
      </c>
      <c r="X219" s="111" t="str">
        <f t="shared" si="103"/>
        <v>Dic</v>
      </c>
      <c r="Y219" s="1817"/>
      <c r="Z219" s="810"/>
      <c r="AA219" s="810"/>
      <c r="AB219" s="2188" t="s">
        <v>1869</v>
      </c>
      <c r="AC219" s="1818" t="s">
        <v>0</v>
      </c>
      <c r="AD219" s="781" t="s">
        <v>1</v>
      </c>
      <c r="AE219" s="781" t="s">
        <v>2</v>
      </c>
      <c r="AF219" s="781" t="s">
        <v>3</v>
      </c>
      <c r="AG219" s="781" t="s">
        <v>4</v>
      </c>
      <c r="AH219" s="781" t="s">
        <v>5</v>
      </c>
      <c r="AI219" s="781" t="s">
        <v>6</v>
      </c>
      <c r="AJ219" s="781" t="s">
        <v>7</v>
      </c>
      <c r="AK219" s="781" t="s">
        <v>316</v>
      </c>
      <c r="AL219" s="781" t="s">
        <v>8</v>
      </c>
      <c r="AM219" s="781" t="s">
        <v>9</v>
      </c>
      <c r="AN219" s="1819" t="s">
        <v>10</v>
      </c>
      <c r="AO219" s="810"/>
      <c r="AP219" s="810"/>
      <c r="AQ219" s="810"/>
      <c r="AR219" s="2188" t="s">
        <v>1873</v>
      </c>
      <c r="AS219" s="1818" t="s">
        <v>0</v>
      </c>
      <c r="AT219" s="781" t="s">
        <v>1</v>
      </c>
      <c r="AU219" s="781" t="s">
        <v>2</v>
      </c>
      <c r="AV219" s="781" t="s">
        <v>3</v>
      </c>
      <c r="AW219" s="781" t="s">
        <v>4</v>
      </c>
      <c r="AX219" s="781" t="s">
        <v>5</v>
      </c>
      <c r="AY219" s="781" t="s">
        <v>6</v>
      </c>
      <c r="AZ219" s="781" t="s">
        <v>7</v>
      </c>
      <c r="BA219" s="781" t="s">
        <v>316</v>
      </c>
      <c r="BB219" s="781" t="s">
        <v>8</v>
      </c>
      <c r="BC219" s="781" t="s">
        <v>9</v>
      </c>
      <c r="BD219" s="1819" t="s">
        <v>10</v>
      </c>
      <c r="BE219" s="1820">
        <v>1</v>
      </c>
      <c r="BF219" s="1821"/>
      <c r="BG219" s="1821" t="str">
        <f t="shared" ref="BG219:BR219" si="104">+BG8</f>
        <v>Ene</v>
      </c>
      <c r="BH219" s="1821" t="str">
        <f t="shared" si="104"/>
        <v>Feb</v>
      </c>
      <c r="BI219" s="1821" t="str">
        <f t="shared" si="104"/>
        <v>Mar</v>
      </c>
      <c r="BJ219" s="1821" t="str">
        <f t="shared" si="104"/>
        <v>Abr</v>
      </c>
      <c r="BK219" s="1821" t="str">
        <f t="shared" si="104"/>
        <v>May</v>
      </c>
      <c r="BL219" s="1821" t="str">
        <f t="shared" si="104"/>
        <v>Jun</v>
      </c>
      <c r="BM219" s="1821" t="str">
        <f t="shared" si="104"/>
        <v>Jul</v>
      </c>
      <c r="BN219" s="1821" t="str">
        <f t="shared" si="104"/>
        <v>Ago</v>
      </c>
      <c r="BO219" s="1821" t="str">
        <f t="shared" si="104"/>
        <v>Set</v>
      </c>
      <c r="BP219" s="1821" t="str">
        <f t="shared" si="104"/>
        <v>Oct</v>
      </c>
      <c r="BQ219" s="1821" t="str">
        <f t="shared" si="104"/>
        <v>Nov</v>
      </c>
      <c r="BR219" s="1821" t="str">
        <f t="shared" si="104"/>
        <v>Dic</v>
      </c>
      <c r="BS219" s="1820">
        <v>1</v>
      </c>
      <c r="BT219" s="1821"/>
      <c r="BU219" s="1821" t="str">
        <f t="shared" ref="BU219:CF219" si="105">+BU8</f>
        <v>Ene</v>
      </c>
      <c r="BV219" s="1821" t="str">
        <f t="shared" si="105"/>
        <v>Feb</v>
      </c>
      <c r="BW219" s="1821" t="str">
        <f t="shared" si="105"/>
        <v>Mar</v>
      </c>
      <c r="BX219" s="1821" t="str">
        <f t="shared" si="105"/>
        <v>Abr</v>
      </c>
      <c r="BY219" s="1821" t="str">
        <f t="shared" si="105"/>
        <v>May</v>
      </c>
      <c r="BZ219" s="1821" t="str">
        <f t="shared" si="105"/>
        <v>Jun</v>
      </c>
      <c r="CA219" s="1821" t="str">
        <f t="shared" si="105"/>
        <v>Jul</v>
      </c>
      <c r="CB219" s="1821" t="str">
        <f t="shared" si="105"/>
        <v>Ago</v>
      </c>
      <c r="CC219" s="1821" t="str">
        <f t="shared" si="105"/>
        <v>Set</v>
      </c>
      <c r="CD219" s="1821" t="str">
        <f t="shared" si="105"/>
        <v>Oct</v>
      </c>
      <c r="CE219" s="1821" t="str">
        <f t="shared" si="105"/>
        <v>Nov</v>
      </c>
      <c r="CF219" s="1821" t="str">
        <f t="shared" si="105"/>
        <v>Dic</v>
      </c>
      <c r="CG219" s="1820">
        <v>1</v>
      </c>
      <c r="CH219" s="1821"/>
      <c r="CI219" s="1821" t="str">
        <f t="shared" ref="CI219:CT219" si="106">+CI8</f>
        <v>Ene</v>
      </c>
      <c r="CJ219" s="1821" t="str">
        <f t="shared" si="106"/>
        <v>Feb</v>
      </c>
      <c r="CK219" s="1821" t="str">
        <f t="shared" si="106"/>
        <v>Mar</v>
      </c>
      <c r="CL219" s="1821" t="str">
        <f t="shared" si="106"/>
        <v>Abr</v>
      </c>
      <c r="CM219" s="1821" t="str">
        <f t="shared" si="106"/>
        <v>May</v>
      </c>
      <c r="CN219" s="1821" t="str">
        <f t="shared" si="106"/>
        <v>Jun</v>
      </c>
      <c r="CO219" s="1821" t="str">
        <f t="shared" si="106"/>
        <v>Jul</v>
      </c>
      <c r="CP219" s="1821" t="str">
        <f t="shared" si="106"/>
        <v>Ago</v>
      </c>
      <c r="CQ219" s="1821" t="str">
        <f t="shared" si="106"/>
        <v>Set</v>
      </c>
      <c r="CR219" s="1821" t="str">
        <f t="shared" si="106"/>
        <v>Oct</v>
      </c>
      <c r="CS219" s="1821" t="str">
        <f t="shared" si="106"/>
        <v>Nov</v>
      </c>
      <c r="CT219" s="1821" t="str">
        <f t="shared" si="106"/>
        <v>Dic</v>
      </c>
    </row>
    <row r="220" spans="1:98" hidden="1" x14ac:dyDescent="0.2">
      <c r="A220" s="590"/>
      <c r="B220" s="1823" t="str">
        <f t="shared" ref="B220:D225" si="107">+B203</f>
        <v>Maíz Silo</v>
      </c>
      <c r="C220" s="1823" t="str">
        <f t="shared" si="107"/>
        <v>Reserva</v>
      </c>
      <c r="D220" s="1823">
        <f t="shared" si="107"/>
        <v>10000</v>
      </c>
      <c r="E220" s="772"/>
      <c r="F220" s="773"/>
      <c r="G220" s="773"/>
      <c r="H220" s="773"/>
      <c r="I220" s="111"/>
      <c r="J220" s="111"/>
      <c r="K220" s="111"/>
      <c r="L220" s="111"/>
      <c r="M220" s="769">
        <f>+IF(M$8=UsoSuelo!$S275,$D220,0)</f>
        <v>0</v>
      </c>
      <c r="N220" s="782">
        <f>+IF(N$8=UsoSuelo!$S275,$D220,0)</f>
        <v>0</v>
      </c>
      <c r="O220" s="782">
        <f>+IF(O$8=UsoSuelo!$S275,$D220,0)</f>
        <v>0</v>
      </c>
      <c r="P220" s="782">
        <f>+IF(P$8=UsoSuelo!$S275,$D220,0)</f>
        <v>0</v>
      </c>
      <c r="Q220" s="782">
        <f>+IF(Q$8=UsoSuelo!$S275,$D220,0)</f>
        <v>0</v>
      </c>
      <c r="R220" s="782">
        <f>+IF(R$8=UsoSuelo!$S275,$D220,0)</f>
        <v>0</v>
      </c>
      <c r="S220" s="782">
        <f>+IF(S$8=UsoSuelo!$S275,$D220,0)</f>
        <v>0</v>
      </c>
      <c r="T220" s="782">
        <f>+IF(T$8=UsoSuelo!$S275,$D220,0)</f>
        <v>0</v>
      </c>
      <c r="U220" s="782">
        <f>+IF(U$8=UsoSuelo!$S275,$D220,0)</f>
        <v>0</v>
      </c>
      <c r="V220" s="782">
        <f>+IF(V$8=UsoSuelo!$S275,$D220,0)</f>
        <v>0</v>
      </c>
      <c r="W220" s="782">
        <f>+IF(W$8=UsoSuelo!$S275,$D220,0)</f>
        <v>0</v>
      </c>
      <c r="X220" s="783">
        <f>+IF(X$8=UsoSuelo!$S275,$D220,0)</f>
        <v>0</v>
      </c>
      <c r="Y220" s="1824"/>
      <c r="Z220" s="795"/>
      <c r="AA220" s="795"/>
      <c r="AB220" s="795"/>
      <c r="AC220" s="808">
        <f>+AC203</f>
        <v>0.08</v>
      </c>
      <c r="AD220" s="795">
        <f>+$AC$203</f>
        <v>0.08</v>
      </c>
      <c r="AE220" s="795">
        <f t="shared" ref="AE220:AN220" si="108">+$AC$203</f>
        <v>0.08</v>
      </c>
      <c r="AF220" s="795">
        <f t="shared" si="108"/>
        <v>0.08</v>
      </c>
      <c r="AG220" s="795">
        <f t="shared" si="108"/>
        <v>0.08</v>
      </c>
      <c r="AH220" s="795">
        <f t="shared" si="108"/>
        <v>0.08</v>
      </c>
      <c r="AI220" s="795">
        <f t="shared" si="108"/>
        <v>0.08</v>
      </c>
      <c r="AJ220" s="795">
        <f t="shared" si="108"/>
        <v>0.08</v>
      </c>
      <c r="AK220" s="795">
        <f t="shared" si="108"/>
        <v>0.08</v>
      </c>
      <c r="AL220" s="795">
        <f t="shared" si="108"/>
        <v>0.08</v>
      </c>
      <c r="AM220" s="795">
        <f t="shared" si="108"/>
        <v>0.08</v>
      </c>
      <c r="AN220" s="796">
        <f t="shared" si="108"/>
        <v>0.08</v>
      </c>
      <c r="AO220" s="795"/>
      <c r="AP220" s="795"/>
      <c r="AQ220" s="795"/>
      <c r="AR220" s="795"/>
      <c r="AS220" s="808">
        <f>+AS203</f>
        <v>2.39</v>
      </c>
      <c r="AT220" s="795">
        <f t="shared" ref="AT220:BD220" si="109">+AT203</f>
        <v>2.39</v>
      </c>
      <c r="AU220" s="795">
        <f t="shared" si="109"/>
        <v>2.39</v>
      </c>
      <c r="AV220" s="795">
        <f t="shared" si="109"/>
        <v>2.39</v>
      </c>
      <c r="AW220" s="795">
        <f t="shared" si="109"/>
        <v>2.39</v>
      </c>
      <c r="AX220" s="795">
        <f t="shared" si="109"/>
        <v>2.39</v>
      </c>
      <c r="AY220" s="795">
        <f t="shared" si="109"/>
        <v>2.39</v>
      </c>
      <c r="AZ220" s="795">
        <f t="shared" si="109"/>
        <v>2.39</v>
      </c>
      <c r="BA220" s="795">
        <f t="shared" si="109"/>
        <v>2.39</v>
      </c>
      <c r="BB220" s="795">
        <f t="shared" si="109"/>
        <v>2.39</v>
      </c>
      <c r="BC220" s="795">
        <f t="shared" si="109"/>
        <v>2.39</v>
      </c>
      <c r="BD220" s="796">
        <f t="shared" si="109"/>
        <v>2.39</v>
      </c>
      <c r="BE220" s="1825">
        <v>2</v>
      </c>
      <c r="BF220" s="375"/>
      <c r="BG220" s="375">
        <f t="shared" ref="BG220:BR231" si="110">HLOOKUP(BG$219,$M$219:$X$231,$BE220,FALSE)</f>
        <v>0</v>
      </c>
      <c r="BH220" s="375">
        <f t="shared" si="110"/>
        <v>0</v>
      </c>
      <c r="BI220" s="375">
        <f t="shared" si="110"/>
        <v>0</v>
      </c>
      <c r="BJ220" s="375">
        <f t="shared" si="110"/>
        <v>0</v>
      </c>
      <c r="BK220" s="375">
        <f t="shared" si="110"/>
        <v>0</v>
      </c>
      <c r="BL220" s="375">
        <f t="shared" si="110"/>
        <v>0</v>
      </c>
      <c r="BM220" s="375">
        <f t="shared" si="110"/>
        <v>0</v>
      </c>
      <c r="BN220" s="375">
        <f t="shared" si="110"/>
        <v>0</v>
      </c>
      <c r="BO220" s="375">
        <f t="shared" si="110"/>
        <v>0</v>
      </c>
      <c r="BP220" s="375">
        <f t="shared" si="110"/>
        <v>0</v>
      </c>
      <c r="BQ220" s="375">
        <f t="shared" si="110"/>
        <v>0</v>
      </c>
      <c r="BR220" s="1826">
        <f t="shared" si="110"/>
        <v>0</v>
      </c>
      <c r="BS220" s="1825">
        <v>2</v>
      </c>
      <c r="BT220" s="375"/>
      <c r="BU220" s="375">
        <f t="shared" ref="BU220:CF231" si="111">HLOOKUP(BU$202,$AC$202:$AN$214,$BS220,FALSE)</f>
        <v>0.08</v>
      </c>
      <c r="BV220" s="375">
        <f t="shared" si="111"/>
        <v>0.08</v>
      </c>
      <c r="BW220" s="375">
        <f t="shared" si="111"/>
        <v>0.08</v>
      </c>
      <c r="BX220" s="375">
        <f t="shared" si="111"/>
        <v>0.08</v>
      </c>
      <c r="BY220" s="375">
        <f t="shared" si="111"/>
        <v>0.08</v>
      </c>
      <c r="BZ220" s="375">
        <f t="shared" si="111"/>
        <v>0.08</v>
      </c>
      <c r="CA220" s="375">
        <f t="shared" si="111"/>
        <v>0.08</v>
      </c>
      <c r="CB220" s="375">
        <f t="shared" si="111"/>
        <v>0.08</v>
      </c>
      <c r="CC220" s="375">
        <f t="shared" si="111"/>
        <v>0.08</v>
      </c>
      <c r="CD220" s="375">
        <f t="shared" si="111"/>
        <v>0.08</v>
      </c>
      <c r="CE220" s="375">
        <f t="shared" si="111"/>
        <v>0.08</v>
      </c>
      <c r="CF220" s="375">
        <f t="shared" si="111"/>
        <v>0.08</v>
      </c>
      <c r="CG220" s="1825">
        <v>2</v>
      </c>
      <c r="CH220" s="375"/>
      <c r="CI220" s="375">
        <f t="shared" ref="CI220:CT231" si="112">HLOOKUP(CI$202,$AS$202:$BD$214,$CG220,FALSE)</f>
        <v>2.39</v>
      </c>
      <c r="CJ220" s="375">
        <f t="shared" si="112"/>
        <v>2.39</v>
      </c>
      <c r="CK220" s="375">
        <f t="shared" si="112"/>
        <v>2.39</v>
      </c>
      <c r="CL220" s="375">
        <f t="shared" si="112"/>
        <v>2.39</v>
      </c>
      <c r="CM220" s="375">
        <f t="shared" si="112"/>
        <v>2.39</v>
      </c>
      <c r="CN220" s="375">
        <f t="shared" si="112"/>
        <v>2.39</v>
      </c>
      <c r="CO220" s="375">
        <f t="shared" si="112"/>
        <v>2.39</v>
      </c>
      <c r="CP220" s="375">
        <f t="shared" si="112"/>
        <v>2.39</v>
      </c>
      <c r="CQ220" s="375">
        <f t="shared" si="112"/>
        <v>2.39</v>
      </c>
      <c r="CR220" s="375">
        <f t="shared" si="112"/>
        <v>2.39</v>
      </c>
      <c r="CS220" s="375">
        <f t="shared" si="112"/>
        <v>2.39</v>
      </c>
      <c r="CT220" s="1826">
        <f t="shared" si="112"/>
        <v>2.39</v>
      </c>
    </row>
    <row r="221" spans="1:98" hidden="1" x14ac:dyDescent="0.2">
      <c r="A221" s="590"/>
      <c r="B221" s="1823" t="str">
        <f t="shared" si="107"/>
        <v>Sorgo silo</v>
      </c>
      <c r="C221" s="1823" t="str">
        <f t="shared" si="107"/>
        <v>Reserva</v>
      </c>
      <c r="D221" s="1823">
        <f t="shared" si="107"/>
        <v>9600</v>
      </c>
      <c r="E221" s="772"/>
      <c r="F221" s="773"/>
      <c r="G221" s="773"/>
      <c r="H221" s="773"/>
      <c r="I221" s="111"/>
      <c r="J221" s="111"/>
      <c r="K221" s="111"/>
      <c r="L221" s="111"/>
      <c r="M221" s="784">
        <f>+IF(M$8=UsoSuelo!$S276,$D221,0)</f>
        <v>0</v>
      </c>
      <c r="N221" s="111">
        <f>+IF(N$8=UsoSuelo!$S276,$D221,0)</f>
        <v>0</v>
      </c>
      <c r="O221" s="111">
        <f>+IF(O$8=UsoSuelo!$S276,$D221,0)</f>
        <v>0</v>
      </c>
      <c r="P221" s="111">
        <f>+IF(P$8=UsoSuelo!$S276,$D221,0)</f>
        <v>0</v>
      </c>
      <c r="Q221" s="111">
        <f>+IF(Q$8=UsoSuelo!$S276,$D221,0)</f>
        <v>0</v>
      </c>
      <c r="R221" s="111">
        <f>+IF(R$8=UsoSuelo!$S276,$D221,0)</f>
        <v>0</v>
      </c>
      <c r="S221" s="111">
        <f>+IF(S$8=UsoSuelo!$S276,$D221,0)</f>
        <v>0</v>
      </c>
      <c r="T221" s="111">
        <f>+IF(T$8=UsoSuelo!$S276,$D221,0)</f>
        <v>0</v>
      </c>
      <c r="U221" s="111">
        <f>+IF(U$8=UsoSuelo!$S276,$D221,0)</f>
        <v>0</v>
      </c>
      <c r="V221" s="111">
        <f>+IF(V$8=UsoSuelo!$S276,$D221,0)</f>
        <v>0</v>
      </c>
      <c r="W221" s="111">
        <f>+IF(W$8=UsoSuelo!$S276,$D221,0)</f>
        <v>0</v>
      </c>
      <c r="X221" s="785">
        <f>+IF(X$8=UsoSuelo!$S276,$D221,0)</f>
        <v>0</v>
      </c>
      <c r="Y221" s="1824"/>
      <c r="Z221" s="795"/>
      <c r="AA221" s="795"/>
      <c r="AB221" s="795"/>
      <c r="AC221" s="808">
        <f t="shared" ref="AC221:AC228" si="113">+AC204</f>
        <v>0.12</v>
      </c>
      <c r="AD221" s="795">
        <f>+$AC$204</f>
        <v>0.12</v>
      </c>
      <c r="AE221" s="795">
        <f t="shared" ref="AE221:AN221" si="114">+$AC$204</f>
        <v>0.12</v>
      </c>
      <c r="AF221" s="795">
        <f t="shared" si="114"/>
        <v>0.12</v>
      </c>
      <c r="AG221" s="795">
        <f t="shared" si="114"/>
        <v>0.12</v>
      </c>
      <c r="AH221" s="795">
        <f t="shared" si="114"/>
        <v>0.12</v>
      </c>
      <c r="AI221" s="795">
        <f t="shared" si="114"/>
        <v>0.12</v>
      </c>
      <c r="AJ221" s="795">
        <f t="shared" si="114"/>
        <v>0.12</v>
      </c>
      <c r="AK221" s="795">
        <f t="shared" si="114"/>
        <v>0.12</v>
      </c>
      <c r="AL221" s="795">
        <f t="shared" si="114"/>
        <v>0.12</v>
      </c>
      <c r="AM221" s="795">
        <f t="shared" si="114"/>
        <v>0.12</v>
      </c>
      <c r="AN221" s="796">
        <f t="shared" si="114"/>
        <v>0.12</v>
      </c>
      <c r="AO221" s="795"/>
      <c r="AP221" s="795"/>
      <c r="AQ221" s="795"/>
      <c r="AR221" s="795"/>
      <c r="AS221" s="808">
        <f t="shared" ref="AS221:BD221" si="115">+AS204</f>
        <v>1.91</v>
      </c>
      <c r="AT221" s="795">
        <f t="shared" si="115"/>
        <v>1.91</v>
      </c>
      <c r="AU221" s="795">
        <f t="shared" si="115"/>
        <v>1.91</v>
      </c>
      <c r="AV221" s="795">
        <f t="shared" si="115"/>
        <v>1.91</v>
      </c>
      <c r="AW221" s="795">
        <f t="shared" si="115"/>
        <v>1.91</v>
      </c>
      <c r="AX221" s="795">
        <f t="shared" si="115"/>
        <v>1.91</v>
      </c>
      <c r="AY221" s="795">
        <f t="shared" si="115"/>
        <v>1.91</v>
      </c>
      <c r="AZ221" s="795">
        <f t="shared" si="115"/>
        <v>1.91</v>
      </c>
      <c r="BA221" s="795">
        <f t="shared" si="115"/>
        <v>1.91</v>
      </c>
      <c r="BB221" s="795">
        <f t="shared" si="115"/>
        <v>1.91</v>
      </c>
      <c r="BC221" s="795">
        <f t="shared" si="115"/>
        <v>1.91</v>
      </c>
      <c r="BD221" s="796">
        <f t="shared" si="115"/>
        <v>1.91</v>
      </c>
      <c r="BE221" s="1534">
        <v>3</v>
      </c>
      <c r="BF221" s="254"/>
      <c r="BG221" s="254">
        <f t="shared" si="110"/>
        <v>0</v>
      </c>
      <c r="BH221" s="254">
        <f t="shared" si="110"/>
        <v>0</v>
      </c>
      <c r="BI221" s="254">
        <f t="shared" si="110"/>
        <v>0</v>
      </c>
      <c r="BJ221" s="254">
        <f t="shared" si="110"/>
        <v>0</v>
      </c>
      <c r="BK221" s="254">
        <f t="shared" si="110"/>
        <v>0</v>
      </c>
      <c r="BL221" s="254">
        <f t="shared" si="110"/>
        <v>0</v>
      </c>
      <c r="BM221" s="254">
        <f t="shared" si="110"/>
        <v>0</v>
      </c>
      <c r="BN221" s="254">
        <f t="shared" si="110"/>
        <v>0</v>
      </c>
      <c r="BO221" s="254">
        <f t="shared" si="110"/>
        <v>0</v>
      </c>
      <c r="BP221" s="254">
        <f t="shared" si="110"/>
        <v>0</v>
      </c>
      <c r="BQ221" s="254">
        <f t="shared" si="110"/>
        <v>0</v>
      </c>
      <c r="BR221" s="1827">
        <f t="shared" si="110"/>
        <v>0</v>
      </c>
      <c r="BS221" s="1534">
        <v>3</v>
      </c>
      <c r="BT221" s="254"/>
      <c r="BU221" s="254">
        <f t="shared" si="111"/>
        <v>0.12</v>
      </c>
      <c r="BV221" s="254">
        <f t="shared" si="111"/>
        <v>0.12</v>
      </c>
      <c r="BW221" s="254">
        <f t="shared" si="111"/>
        <v>0.12</v>
      </c>
      <c r="BX221" s="254">
        <f t="shared" si="111"/>
        <v>0.12</v>
      </c>
      <c r="BY221" s="254">
        <f t="shared" si="111"/>
        <v>0.12</v>
      </c>
      <c r="BZ221" s="254">
        <f t="shared" si="111"/>
        <v>0.12</v>
      </c>
      <c r="CA221" s="254">
        <f t="shared" si="111"/>
        <v>0.12</v>
      </c>
      <c r="CB221" s="254">
        <f t="shared" si="111"/>
        <v>0.12</v>
      </c>
      <c r="CC221" s="254">
        <f t="shared" si="111"/>
        <v>0.12</v>
      </c>
      <c r="CD221" s="254">
        <f t="shared" si="111"/>
        <v>0.12</v>
      </c>
      <c r="CE221" s="254">
        <f t="shared" si="111"/>
        <v>0.12</v>
      </c>
      <c r="CF221" s="1827">
        <f t="shared" si="111"/>
        <v>0.12</v>
      </c>
      <c r="CG221" s="1534">
        <v>3</v>
      </c>
      <c r="CH221" s="254"/>
      <c r="CI221" s="254">
        <f t="shared" si="112"/>
        <v>1.91</v>
      </c>
      <c r="CJ221" s="254">
        <f t="shared" si="112"/>
        <v>1.91</v>
      </c>
      <c r="CK221" s="254">
        <f t="shared" si="112"/>
        <v>1.91</v>
      </c>
      <c r="CL221" s="254">
        <f t="shared" si="112"/>
        <v>1.91</v>
      </c>
      <c r="CM221" s="254">
        <f t="shared" si="112"/>
        <v>1.91</v>
      </c>
      <c r="CN221" s="254">
        <f t="shared" si="112"/>
        <v>1.91</v>
      </c>
      <c r="CO221" s="254">
        <f t="shared" si="112"/>
        <v>1.91</v>
      </c>
      <c r="CP221" s="254">
        <f t="shared" si="112"/>
        <v>1.91</v>
      </c>
      <c r="CQ221" s="254">
        <f t="shared" si="112"/>
        <v>1.91</v>
      </c>
      <c r="CR221" s="254">
        <f t="shared" si="112"/>
        <v>1.91</v>
      </c>
      <c r="CS221" s="254">
        <f t="shared" si="112"/>
        <v>1.91</v>
      </c>
      <c r="CT221" s="1827">
        <f t="shared" si="112"/>
        <v>1.91</v>
      </c>
    </row>
    <row r="222" spans="1:98" hidden="1" x14ac:dyDescent="0.2">
      <c r="A222" s="590"/>
      <c r="B222" s="1823" t="str">
        <f t="shared" si="107"/>
        <v>Moha</v>
      </c>
      <c r="C222" s="1823" t="str">
        <f t="shared" si="107"/>
        <v>Reserva</v>
      </c>
      <c r="D222" s="1823">
        <f t="shared" si="107"/>
        <v>3040</v>
      </c>
      <c r="E222" s="772"/>
      <c r="F222" s="773"/>
      <c r="G222" s="773"/>
      <c r="H222" s="773"/>
      <c r="I222" s="111"/>
      <c r="J222" s="111"/>
      <c r="K222" s="111"/>
      <c r="L222" s="111"/>
      <c r="M222" s="784">
        <f>+IF(M$8=UsoSuelo!$S277,$D222,0)</f>
        <v>0</v>
      </c>
      <c r="N222" s="111">
        <f>+IF(N$8=UsoSuelo!$S277,$D222,0)</f>
        <v>0</v>
      </c>
      <c r="O222" s="111">
        <f>+IF(O$8=UsoSuelo!$S277,$D222,0)</f>
        <v>0</v>
      </c>
      <c r="P222" s="111">
        <f>+IF(P$8=UsoSuelo!$S277,$D222,0)</f>
        <v>0</v>
      </c>
      <c r="Q222" s="111">
        <f>+IF(Q$8=UsoSuelo!$S277,$D222,0)</f>
        <v>0</v>
      </c>
      <c r="R222" s="111">
        <f>+IF(R$8=UsoSuelo!$S277,$D222,0)</f>
        <v>0</v>
      </c>
      <c r="S222" s="111">
        <f>+IF(S$8=UsoSuelo!$S277,$D222,0)</f>
        <v>0</v>
      </c>
      <c r="T222" s="111">
        <f>+IF(T$8=UsoSuelo!$S277,$D222,0)</f>
        <v>0</v>
      </c>
      <c r="U222" s="111">
        <f>+IF(U$8=UsoSuelo!$S277,$D222,0)</f>
        <v>0</v>
      </c>
      <c r="V222" s="111">
        <f>+IF(V$8=UsoSuelo!$S277,$D222,0)</f>
        <v>0</v>
      </c>
      <c r="W222" s="111">
        <f>+IF(W$8=UsoSuelo!$S277,$D222,0)</f>
        <v>0</v>
      </c>
      <c r="X222" s="785">
        <f>+IF(X$8=UsoSuelo!$S277,$D222,0)</f>
        <v>0</v>
      </c>
      <c r="Y222" s="1824"/>
      <c r="Z222" s="795"/>
      <c r="AA222" s="795"/>
      <c r="AB222" s="795"/>
      <c r="AC222" s="808">
        <f t="shared" si="113"/>
        <v>0.03</v>
      </c>
      <c r="AD222" s="795">
        <f>+$AC$205</f>
        <v>0.03</v>
      </c>
      <c r="AE222" s="795">
        <f t="shared" ref="AE222:AN222" si="116">+$AC$205</f>
        <v>0.03</v>
      </c>
      <c r="AF222" s="795">
        <f t="shared" si="116"/>
        <v>0.03</v>
      </c>
      <c r="AG222" s="795">
        <f t="shared" si="116"/>
        <v>0.03</v>
      </c>
      <c r="AH222" s="795">
        <f t="shared" si="116"/>
        <v>0.03</v>
      </c>
      <c r="AI222" s="795">
        <f t="shared" si="116"/>
        <v>0.03</v>
      </c>
      <c r="AJ222" s="795">
        <f t="shared" si="116"/>
        <v>0.03</v>
      </c>
      <c r="AK222" s="795">
        <f t="shared" si="116"/>
        <v>0.03</v>
      </c>
      <c r="AL222" s="795">
        <f t="shared" si="116"/>
        <v>0.03</v>
      </c>
      <c r="AM222" s="795">
        <f t="shared" si="116"/>
        <v>0.03</v>
      </c>
      <c r="AN222" s="796">
        <f t="shared" si="116"/>
        <v>0.03</v>
      </c>
      <c r="AO222" s="795"/>
      <c r="AP222" s="795"/>
      <c r="AQ222" s="795"/>
      <c r="AR222" s="795"/>
      <c r="AS222" s="808">
        <f t="shared" ref="AS222:BD222" si="117">+AS205</f>
        <v>1.44</v>
      </c>
      <c r="AT222" s="795">
        <f t="shared" si="117"/>
        <v>1.44</v>
      </c>
      <c r="AU222" s="795">
        <f t="shared" si="117"/>
        <v>1.44</v>
      </c>
      <c r="AV222" s="795">
        <f t="shared" si="117"/>
        <v>1.44</v>
      </c>
      <c r="AW222" s="795">
        <f t="shared" si="117"/>
        <v>1.44</v>
      </c>
      <c r="AX222" s="795">
        <f t="shared" si="117"/>
        <v>1.44</v>
      </c>
      <c r="AY222" s="795">
        <f t="shared" si="117"/>
        <v>1.44</v>
      </c>
      <c r="AZ222" s="795">
        <f t="shared" si="117"/>
        <v>1.44</v>
      </c>
      <c r="BA222" s="795">
        <f t="shared" si="117"/>
        <v>1.44</v>
      </c>
      <c r="BB222" s="795">
        <f t="shared" si="117"/>
        <v>1.44</v>
      </c>
      <c r="BC222" s="795">
        <f t="shared" si="117"/>
        <v>1.44</v>
      </c>
      <c r="BD222" s="796">
        <f t="shared" si="117"/>
        <v>1.44</v>
      </c>
      <c r="BE222" s="595">
        <v>4</v>
      </c>
      <c r="BF222" s="254"/>
      <c r="BG222" s="254">
        <f t="shared" si="110"/>
        <v>0</v>
      </c>
      <c r="BH222" s="254">
        <f t="shared" si="110"/>
        <v>0</v>
      </c>
      <c r="BI222" s="254">
        <f t="shared" si="110"/>
        <v>0</v>
      </c>
      <c r="BJ222" s="254">
        <f t="shared" si="110"/>
        <v>0</v>
      </c>
      <c r="BK222" s="254">
        <f t="shared" si="110"/>
        <v>0</v>
      </c>
      <c r="BL222" s="254">
        <f t="shared" si="110"/>
        <v>0</v>
      </c>
      <c r="BM222" s="254">
        <f t="shared" si="110"/>
        <v>0</v>
      </c>
      <c r="BN222" s="254">
        <f t="shared" si="110"/>
        <v>0</v>
      </c>
      <c r="BO222" s="254">
        <f t="shared" si="110"/>
        <v>0</v>
      </c>
      <c r="BP222" s="254">
        <f t="shared" si="110"/>
        <v>0</v>
      </c>
      <c r="BQ222" s="254">
        <f t="shared" si="110"/>
        <v>0</v>
      </c>
      <c r="BR222" s="1827">
        <f t="shared" si="110"/>
        <v>0</v>
      </c>
      <c r="BS222" s="595">
        <v>4</v>
      </c>
      <c r="BT222" s="254"/>
      <c r="BU222" s="254">
        <f t="shared" si="111"/>
        <v>0.03</v>
      </c>
      <c r="BV222" s="254">
        <f t="shared" si="111"/>
        <v>0.03</v>
      </c>
      <c r="BW222" s="254">
        <f t="shared" si="111"/>
        <v>0.03</v>
      </c>
      <c r="BX222" s="254">
        <f t="shared" si="111"/>
        <v>0.03</v>
      </c>
      <c r="BY222" s="254">
        <f t="shared" si="111"/>
        <v>0.03</v>
      </c>
      <c r="BZ222" s="254">
        <f t="shared" si="111"/>
        <v>0.03</v>
      </c>
      <c r="CA222" s="254">
        <f t="shared" si="111"/>
        <v>0.03</v>
      </c>
      <c r="CB222" s="254">
        <f t="shared" si="111"/>
        <v>0.03</v>
      </c>
      <c r="CC222" s="254">
        <f t="shared" si="111"/>
        <v>0.03</v>
      </c>
      <c r="CD222" s="254">
        <f t="shared" si="111"/>
        <v>0.03</v>
      </c>
      <c r="CE222" s="254">
        <f t="shared" si="111"/>
        <v>0.03</v>
      </c>
      <c r="CF222" s="1827">
        <f t="shared" si="111"/>
        <v>0.03</v>
      </c>
      <c r="CG222" s="595">
        <v>4</v>
      </c>
      <c r="CH222" s="254"/>
      <c r="CI222" s="254">
        <f t="shared" si="112"/>
        <v>1.44</v>
      </c>
      <c r="CJ222" s="254">
        <f t="shared" si="112"/>
        <v>1.44</v>
      </c>
      <c r="CK222" s="254">
        <f t="shared" si="112"/>
        <v>1.44</v>
      </c>
      <c r="CL222" s="254">
        <f t="shared" si="112"/>
        <v>1.44</v>
      </c>
      <c r="CM222" s="254">
        <f t="shared" si="112"/>
        <v>1.44</v>
      </c>
      <c r="CN222" s="254">
        <f t="shared" si="112"/>
        <v>1.44</v>
      </c>
      <c r="CO222" s="254">
        <f t="shared" si="112"/>
        <v>1.44</v>
      </c>
      <c r="CP222" s="254">
        <f t="shared" si="112"/>
        <v>1.44</v>
      </c>
      <c r="CQ222" s="254">
        <f t="shared" si="112"/>
        <v>1.44</v>
      </c>
      <c r="CR222" s="254">
        <f t="shared" si="112"/>
        <v>1.44</v>
      </c>
      <c r="CS222" s="254">
        <f t="shared" si="112"/>
        <v>1.44</v>
      </c>
      <c r="CT222" s="1827">
        <f t="shared" si="112"/>
        <v>1.44</v>
      </c>
    </row>
    <row r="223" spans="1:98" hidden="1" x14ac:dyDescent="0.2">
      <c r="A223" s="590"/>
      <c r="B223" s="1823" t="str">
        <f t="shared" si="107"/>
        <v>Soja reserva</v>
      </c>
      <c r="C223" s="1823" t="str">
        <f t="shared" si="107"/>
        <v>Reserva</v>
      </c>
      <c r="D223" s="1823">
        <f t="shared" si="107"/>
        <v>6000</v>
      </c>
      <c r="E223" s="772"/>
      <c r="F223" s="773"/>
      <c r="G223" s="773"/>
      <c r="H223" s="773"/>
      <c r="I223" s="111"/>
      <c r="J223" s="111"/>
      <c r="K223" s="111"/>
      <c r="L223" s="111"/>
      <c r="M223" s="784">
        <f>+IF(M$8=UsoSuelo!$S278,$D223,0)</f>
        <v>0</v>
      </c>
      <c r="N223" s="111">
        <f>+IF(N$8=UsoSuelo!$S278,$D223,0)</f>
        <v>0</v>
      </c>
      <c r="O223" s="111">
        <f>+IF(O$8=UsoSuelo!$S278,$D223,0)</f>
        <v>0</v>
      </c>
      <c r="P223" s="111">
        <f>+IF(P$8=UsoSuelo!$S278,$D223,0)</f>
        <v>0</v>
      </c>
      <c r="Q223" s="111">
        <f>+IF(Q$8=UsoSuelo!$S278,$D223,0)</f>
        <v>0</v>
      </c>
      <c r="R223" s="111">
        <f>+IF(R$8=UsoSuelo!$S278,$D223,0)</f>
        <v>0</v>
      </c>
      <c r="S223" s="111">
        <f>+IF(S$8=UsoSuelo!$S278,$D223,0)</f>
        <v>0</v>
      </c>
      <c r="T223" s="111">
        <f>+IF(T$8=UsoSuelo!$S278,$D223,0)</f>
        <v>0</v>
      </c>
      <c r="U223" s="111">
        <f>+IF(U$8=UsoSuelo!$S278,$D223,0)</f>
        <v>0</v>
      </c>
      <c r="V223" s="111">
        <f>+IF(V$8=UsoSuelo!$S278,$D223,0)</f>
        <v>0</v>
      </c>
      <c r="W223" s="111">
        <f>+IF(W$8=UsoSuelo!$S278,$D223,0)</f>
        <v>0</v>
      </c>
      <c r="X223" s="785">
        <f>+IF(X$8=UsoSuelo!$S278,$D223,0)</f>
        <v>0</v>
      </c>
      <c r="Y223" s="1824"/>
      <c r="Z223" s="795"/>
      <c r="AA223" s="795"/>
      <c r="AB223" s="795"/>
      <c r="AC223" s="808">
        <f t="shared" si="113"/>
        <v>0.14000000000000001</v>
      </c>
      <c r="AD223" s="795">
        <f>+$AC$206</f>
        <v>0.14000000000000001</v>
      </c>
      <c r="AE223" s="795">
        <f t="shared" ref="AE223:AN223" si="118">+$AC$206</f>
        <v>0.14000000000000001</v>
      </c>
      <c r="AF223" s="795">
        <f t="shared" si="118"/>
        <v>0.14000000000000001</v>
      </c>
      <c r="AG223" s="795">
        <f t="shared" si="118"/>
        <v>0.14000000000000001</v>
      </c>
      <c r="AH223" s="795">
        <f t="shared" si="118"/>
        <v>0.14000000000000001</v>
      </c>
      <c r="AI223" s="795">
        <f t="shared" si="118"/>
        <v>0.14000000000000001</v>
      </c>
      <c r="AJ223" s="795">
        <f t="shared" si="118"/>
        <v>0.14000000000000001</v>
      </c>
      <c r="AK223" s="795">
        <f t="shared" si="118"/>
        <v>0.14000000000000001</v>
      </c>
      <c r="AL223" s="795">
        <f t="shared" si="118"/>
        <v>0.14000000000000001</v>
      </c>
      <c r="AM223" s="795">
        <f t="shared" si="118"/>
        <v>0.14000000000000001</v>
      </c>
      <c r="AN223" s="796">
        <f t="shared" si="118"/>
        <v>0.14000000000000001</v>
      </c>
      <c r="AO223" s="795"/>
      <c r="AP223" s="795"/>
      <c r="AQ223" s="795"/>
      <c r="AR223" s="795"/>
      <c r="AS223" s="808">
        <f t="shared" ref="AS223:BD223" si="119">+AS206</f>
        <v>2.2999999999999998</v>
      </c>
      <c r="AT223" s="795">
        <f t="shared" si="119"/>
        <v>2.2999999999999998</v>
      </c>
      <c r="AU223" s="795">
        <f t="shared" si="119"/>
        <v>2.2999999999999998</v>
      </c>
      <c r="AV223" s="795">
        <f t="shared" si="119"/>
        <v>2.2999999999999998</v>
      </c>
      <c r="AW223" s="795">
        <f t="shared" si="119"/>
        <v>2.2999999999999998</v>
      </c>
      <c r="AX223" s="795">
        <f t="shared" si="119"/>
        <v>2.2999999999999998</v>
      </c>
      <c r="AY223" s="795">
        <f t="shared" si="119"/>
        <v>2.2999999999999998</v>
      </c>
      <c r="AZ223" s="795">
        <f t="shared" si="119"/>
        <v>2.2999999999999998</v>
      </c>
      <c r="BA223" s="795">
        <f t="shared" si="119"/>
        <v>2.2999999999999998</v>
      </c>
      <c r="BB223" s="795">
        <f t="shared" si="119"/>
        <v>2.2999999999999998</v>
      </c>
      <c r="BC223" s="795">
        <f t="shared" si="119"/>
        <v>2.2999999999999998</v>
      </c>
      <c r="BD223" s="796">
        <f t="shared" si="119"/>
        <v>2.2999999999999998</v>
      </c>
      <c r="BE223" s="1534">
        <v>5</v>
      </c>
      <c r="BF223" s="795"/>
      <c r="BG223" s="254">
        <f t="shared" si="110"/>
        <v>0</v>
      </c>
      <c r="BH223" s="254">
        <f t="shared" si="110"/>
        <v>0</v>
      </c>
      <c r="BI223" s="254">
        <f t="shared" si="110"/>
        <v>0</v>
      </c>
      <c r="BJ223" s="254">
        <f t="shared" si="110"/>
        <v>0</v>
      </c>
      <c r="BK223" s="254">
        <f t="shared" si="110"/>
        <v>0</v>
      </c>
      <c r="BL223" s="254">
        <f t="shared" si="110"/>
        <v>0</v>
      </c>
      <c r="BM223" s="254">
        <f t="shared" si="110"/>
        <v>0</v>
      </c>
      <c r="BN223" s="254">
        <f t="shared" si="110"/>
        <v>0</v>
      </c>
      <c r="BO223" s="254">
        <f t="shared" si="110"/>
        <v>0</v>
      </c>
      <c r="BP223" s="254">
        <f t="shared" si="110"/>
        <v>0</v>
      </c>
      <c r="BQ223" s="254">
        <f t="shared" si="110"/>
        <v>0</v>
      </c>
      <c r="BR223" s="1827">
        <f t="shared" si="110"/>
        <v>0</v>
      </c>
      <c r="BS223" s="1534">
        <v>5</v>
      </c>
      <c r="BT223" s="795"/>
      <c r="BU223" s="254">
        <f t="shared" si="111"/>
        <v>0.14000000000000001</v>
      </c>
      <c r="BV223" s="254">
        <f t="shared" si="111"/>
        <v>0.14000000000000001</v>
      </c>
      <c r="BW223" s="254">
        <f t="shared" si="111"/>
        <v>0.14000000000000001</v>
      </c>
      <c r="BX223" s="254">
        <f t="shared" si="111"/>
        <v>0.14000000000000001</v>
      </c>
      <c r="BY223" s="254">
        <f t="shared" si="111"/>
        <v>0.14000000000000001</v>
      </c>
      <c r="BZ223" s="254">
        <f t="shared" si="111"/>
        <v>0.14000000000000001</v>
      </c>
      <c r="CA223" s="254">
        <f t="shared" si="111"/>
        <v>0.14000000000000001</v>
      </c>
      <c r="CB223" s="254">
        <f t="shared" si="111"/>
        <v>0.14000000000000001</v>
      </c>
      <c r="CC223" s="254">
        <f t="shared" si="111"/>
        <v>0.14000000000000001</v>
      </c>
      <c r="CD223" s="254">
        <f t="shared" si="111"/>
        <v>0.14000000000000001</v>
      </c>
      <c r="CE223" s="254">
        <f t="shared" si="111"/>
        <v>0.14000000000000001</v>
      </c>
      <c r="CF223" s="1827">
        <f t="shared" si="111"/>
        <v>0.14000000000000001</v>
      </c>
      <c r="CG223" s="1534">
        <v>5</v>
      </c>
      <c r="CH223" s="795"/>
      <c r="CI223" s="254">
        <f t="shared" si="112"/>
        <v>2.2999999999999998</v>
      </c>
      <c r="CJ223" s="254">
        <f t="shared" si="112"/>
        <v>2.2999999999999998</v>
      </c>
      <c r="CK223" s="254">
        <f t="shared" si="112"/>
        <v>2.2999999999999998</v>
      </c>
      <c r="CL223" s="254">
        <f t="shared" si="112"/>
        <v>2.2999999999999998</v>
      </c>
      <c r="CM223" s="254">
        <f t="shared" si="112"/>
        <v>2.2999999999999998</v>
      </c>
      <c r="CN223" s="254">
        <f t="shared" si="112"/>
        <v>2.2999999999999998</v>
      </c>
      <c r="CO223" s="254">
        <f t="shared" si="112"/>
        <v>2.2999999999999998</v>
      </c>
      <c r="CP223" s="254">
        <f t="shared" si="112"/>
        <v>2.2999999999999998</v>
      </c>
      <c r="CQ223" s="254">
        <f t="shared" si="112"/>
        <v>2.2999999999999998</v>
      </c>
      <c r="CR223" s="254">
        <f t="shared" si="112"/>
        <v>2.2999999999999998</v>
      </c>
      <c r="CS223" s="254">
        <f t="shared" si="112"/>
        <v>2.2999999999999998</v>
      </c>
      <c r="CT223" s="1827">
        <f t="shared" si="112"/>
        <v>2.2999999999999998</v>
      </c>
    </row>
    <row r="224" spans="1:98" hidden="1" x14ac:dyDescent="0.2">
      <c r="A224" s="590"/>
      <c r="B224" s="1823">
        <f t="shared" si="107"/>
        <v>0</v>
      </c>
      <c r="C224" s="1823" t="str">
        <f t="shared" si="107"/>
        <v>Reserva</v>
      </c>
      <c r="D224" s="1823">
        <f t="shared" si="107"/>
        <v>0</v>
      </c>
      <c r="E224" s="772"/>
      <c r="F224" s="773"/>
      <c r="G224" s="773"/>
      <c r="H224" s="773"/>
      <c r="I224" s="111"/>
      <c r="J224" s="111"/>
      <c r="K224" s="111"/>
      <c r="L224" s="111"/>
      <c r="M224" s="784">
        <f>+IF(M$8=UsoSuelo!$S279,$D224,0)</f>
        <v>0</v>
      </c>
      <c r="N224" s="111">
        <f>+IF(N$8=UsoSuelo!$S279,$D224,0)</f>
        <v>0</v>
      </c>
      <c r="O224" s="111">
        <f>+IF(O$8=UsoSuelo!$S279,$D224,0)</f>
        <v>0</v>
      </c>
      <c r="P224" s="111">
        <f>+IF(P$8=UsoSuelo!$S279,$D224,0)</f>
        <v>0</v>
      </c>
      <c r="Q224" s="111">
        <f>+IF(Q$8=UsoSuelo!$S279,$D224,0)</f>
        <v>0</v>
      </c>
      <c r="R224" s="111">
        <f>+IF(R$8=UsoSuelo!$S279,$D224,0)</f>
        <v>0</v>
      </c>
      <c r="S224" s="111">
        <f>+IF(S$8=UsoSuelo!$S279,$D224,0)</f>
        <v>0</v>
      </c>
      <c r="T224" s="111">
        <f>+IF(T$8=UsoSuelo!$S279,$D224,0)</f>
        <v>0</v>
      </c>
      <c r="U224" s="111">
        <f>+IF(U$8=UsoSuelo!$S279,$D224,0)</f>
        <v>0</v>
      </c>
      <c r="V224" s="111">
        <f>+IF(V$8=UsoSuelo!$S279,$D224,0)</f>
        <v>0</v>
      </c>
      <c r="W224" s="111">
        <f>+IF(W$8=UsoSuelo!$S279,$D224,0)</f>
        <v>0</v>
      </c>
      <c r="X224" s="785">
        <f>+IF(X$8=UsoSuelo!$S279,$D224,0)</f>
        <v>0</v>
      </c>
      <c r="Y224" s="1824"/>
      <c r="Z224" s="795"/>
      <c r="AA224" s="795"/>
      <c r="AB224" s="795"/>
      <c r="AC224" s="808">
        <f t="shared" si="113"/>
        <v>0</v>
      </c>
      <c r="AD224" s="795">
        <f>+$AC$207</f>
        <v>0</v>
      </c>
      <c r="AE224" s="795">
        <f t="shared" ref="AE224:AN224" si="120">+$AC$207</f>
        <v>0</v>
      </c>
      <c r="AF224" s="795">
        <f t="shared" si="120"/>
        <v>0</v>
      </c>
      <c r="AG224" s="795">
        <f t="shared" si="120"/>
        <v>0</v>
      </c>
      <c r="AH224" s="795">
        <f t="shared" si="120"/>
        <v>0</v>
      </c>
      <c r="AI224" s="795">
        <f t="shared" si="120"/>
        <v>0</v>
      </c>
      <c r="AJ224" s="795">
        <f t="shared" si="120"/>
        <v>0</v>
      </c>
      <c r="AK224" s="795">
        <f t="shared" si="120"/>
        <v>0</v>
      </c>
      <c r="AL224" s="795">
        <f t="shared" si="120"/>
        <v>0</v>
      </c>
      <c r="AM224" s="795">
        <f t="shared" si="120"/>
        <v>0</v>
      </c>
      <c r="AN224" s="796">
        <f t="shared" si="120"/>
        <v>0</v>
      </c>
      <c r="AO224" s="795"/>
      <c r="AP224" s="795"/>
      <c r="AQ224" s="795"/>
      <c r="AR224" s="795"/>
      <c r="AS224" s="808">
        <f t="shared" ref="AS224:BD224" si="121">+AS207</f>
        <v>0</v>
      </c>
      <c r="AT224" s="795">
        <f t="shared" si="121"/>
        <v>0</v>
      </c>
      <c r="AU224" s="795">
        <f t="shared" si="121"/>
        <v>0</v>
      </c>
      <c r="AV224" s="795">
        <f t="shared" si="121"/>
        <v>0</v>
      </c>
      <c r="AW224" s="795">
        <f t="shared" si="121"/>
        <v>0</v>
      </c>
      <c r="AX224" s="795">
        <f t="shared" si="121"/>
        <v>0</v>
      </c>
      <c r="AY224" s="795">
        <f t="shared" si="121"/>
        <v>0</v>
      </c>
      <c r="AZ224" s="795">
        <f t="shared" si="121"/>
        <v>0</v>
      </c>
      <c r="BA224" s="795">
        <f t="shared" si="121"/>
        <v>0</v>
      </c>
      <c r="BB224" s="795">
        <f t="shared" si="121"/>
        <v>0</v>
      </c>
      <c r="BC224" s="795">
        <f t="shared" si="121"/>
        <v>0</v>
      </c>
      <c r="BD224" s="796">
        <f t="shared" si="121"/>
        <v>0</v>
      </c>
      <c r="BE224" s="1534">
        <v>6</v>
      </c>
      <c r="BF224" s="795"/>
      <c r="BG224" s="254">
        <f t="shared" si="110"/>
        <v>0</v>
      </c>
      <c r="BH224" s="254">
        <f t="shared" si="110"/>
        <v>0</v>
      </c>
      <c r="BI224" s="254">
        <f t="shared" si="110"/>
        <v>0</v>
      </c>
      <c r="BJ224" s="254">
        <f t="shared" si="110"/>
        <v>0</v>
      </c>
      <c r="BK224" s="254">
        <f t="shared" si="110"/>
        <v>0</v>
      </c>
      <c r="BL224" s="254">
        <f t="shared" si="110"/>
        <v>0</v>
      </c>
      <c r="BM224" s="254">
        <f t="shared" si="110"/>
        <v>0</v>
      </c>
      <c r="BN224" s="254">
        <f t="shared" si="110"/>
        <v>0</v>
      </c>
      <c r="BO224" s="254">
        <f t="shared" si="110"/>
        <v>0</v>
      </c>
      <c r="BP224" s="254">
        <f t="shared" si="110"/>
        <v>0</v>
      </c>
      <c r="BQ224" s="254">
        <f t="shared" si="110"/>
        <v>0</v>
      </c>
      <c r="BR224" s="1827">
        <f t="shared" si="110"/>
        <v>0</v>
      </c>
      <c r="BS224" s="1534">
        <v>6</v>
      </c>
      <c r="BT224" s="795"/>
      <c r="BU224" s="254">
        <f t="shared" si="111"/>
        <v>0</v>
      </c>
      <c r="BV224" s="254">
        <f t="shared" si="111"/>
        <v>0</v>
      </c>
      <c r="BW224" s="254">
        <f t="shared" si="111"/>
        <v>0</v>
      </c>
      <c r="BX224" s="254">
        <f t="shared" si="111"/>
        <v>0</v>
      </c>
      <c r="BY224" s="254">
        <f t="shared" si="111"/>
        <v>0</v>
      </c>
      <c r="BZ224" s="254">
        <f t="shared" si="111"/>
        <v>0</v>
      </c>
      <c r="CA224" s="254">
        <f t="shared" si="111"/>
        <v>0</v>
      </c>
      <c r="CB224" s="254">
        <f t="shared" si="111"/>
        <v>0</v>
      </c>
      <c r="CC224" s="254">
        <f t="shared" si="111"/>
        <v>0</v>
      </c>
      <c r="CD224" s="254">
        <f t="shared" si="111"/>
        <v>0</v>
      </c>
      <c r="CE224" s="254">
        <f t="shared" si="111"/>
        <v>0</v>
      </c>
      <c r="CF224" s="1827">
        <f t="shared" si="111"/>
        <v>0</v>
      </c>
      <c r="CG224" s="1534">
        <v>6</v>
      </c>
      <c r="CH224" s="795"/>
      <c r="CI224" s="254">
        <f t="shared" si="112"/>
        <v>0</v>
      </c>
      <c r="CJ224" s="254">
        <f t="shared" si="112"/>
        <v>0</v>
      </c>
      <c r="CK224" s="254">
        <f t="shared" si="112"/>
        <v>0</v>
      </c>
      <c r="CL224" s="254">
        <f t="shared" si="112"/>
        <v>0</v>
      </c>
      <c r="CM224" s="254">
        <f t="shared" si="112"/>
        <v>0</v>
      </c>
      <c r="CN224" s="254">
        <f t="shared" si="112"/>
        <v>0</v>
      </c>
      <c r="CO224" s="254">
        <f t="shared" si="112"/>
        <v>0</v>
      </c>
      <c r="CP224" s="254">
        <f t="shared" si="112"/>
        <v>0</v>
      </c>
      <c r="CQ224" s="254">
        <f t="shared" si="112"/>
        <v>0</v>
      </c>
      <c r="CR224" s="254">
        <f t="shared" si="112"/>
        <v>0</v>
      </c>
      <c r="CS224" s="254">
        <f t="shared" si="112"/>
        <v>0</v>
      </c>
      <c r="CT224" s="1827">
        <f t="shared" si="112"/>
        <v>0</v>
      </c>
    </row>
    <row r="225" spans="1:98" hidden="1" x14ac:dyDescent="0.2">
      <c r="A225" s="590"/>
      <c r="B225" s="1823">
        <f t="shared" si="107"/>
        <v>0</v>
      </c>
      <c r="C225" s="1823" t="str">
        <f t="shared" si="107"/>
        <v>Reserva</v>
      </c>
      <c r="D225" s="1823">
        <f t="shared" si="107"/>
        <v>0</v>
      </c>
      <c r="E225" s="772"/>
      <c r="F225" s="773"/>
      <c r="G225" s="773"/>
      <c r="H225" s="773"/>
      <c r="I225" s="111"/>
      <c r="J225" s="111"/>
      <c r="K225" s="111"/>
      <c r="L225" s="111"/>
      <c r="M225" s="786">
        <f>+IF(M$8=UsoSuelo!$S280,$D225,0)</f>
        <v>0</v>
      </c>
      <c r="N225" s="780">
        <f>+IF(N$8=UsoSuelo!$S280,$D225,0)</f>
        <v>0</v>
      </c>
      <c r="O225" s="780">
        <f>+IF(O$8=UsoSuelo!$S280,$D225,0)</f>
        <v>0</v>
      </c>
      <c r="P225" s="780">
        <f>+IF(P$8=UsoSuelo!$S280,$D225,0)</f>
        <v>0</v>
      </c>
      <c r="Q225" s="780">
        <f>+IF(Q$8=UsoSuelo!$S280,$D225,0)</f>
        <v>0</v>
      </c>
      <c r="R225" s="780">
        <f>+IF(R$8=UsoSuelo!$S280,$D225,0)</f>
        <v>0</v>
      </c>
      <c r="S225" s="780">
        <f>+IF(S$8=UsoSuelo!$S280,$D225,0)</f>
        <v>0</v>
      </c>
      <c r="T225" s="780">
        <f>+IF(T$8=UsoSuelo!$S280,$D225,0)</f>
        <v>0</v>
      </c>
      <c r="U225" s="780">
        <f>+IF(U$8=UsoSuelo!$S280,$D225,0)</f>
        <v>0</v>
      </c>
      <c r="V225" s="780">
        <f>+IF(V$8=UsoSuelo!$S280,$D225,0)</f>
        <v>0</v>
      </c>
      <c r="W225" s="780">
        <f>+IF(W$8=UsoSuelo!$S280,$D225,0)</f>
        <v>0</v>
      </c>
      <c r="X225" s="787">
        <f>+IF(X$8=UsoSuelo!$S280,$D225,0)</f>
        <v>0</v>
      </c>
      <c r="Y225" s="1824"/>
      <c r="Z225" s="795"/>
      <c r="AA225" s="795"/>
      <c r="AB225" s="795"/>
      <c r="AC225" s="808">
        <f t="shared" si="113"/>
        <v>0</v>
      </c>
      <c r="AD225" s="795">
        <f>+$AC$208</f>
        <v>0</v>
      </c>
      <c r="AE225" s="795">
        <f t="shared" ref="AE225:AN225" si="122">+$AC$208</f>
        <v>0</v>
      </c>
      <c r="AF225" s="795">
        <f t="shared" si="122"/>
        <v>0</v>
      </c>
      <c r="AG225" s="795">
        <f t="shared" si="122"/>
        <v>0</v>
      </c>
      <c r="AH225" s="795">
        <f t="shared" si="122"/>
        <v>0</v>
      </c>
      <c r="AI225" s="795">
        <f t="shared" si="122"/>
        <v>0</v>
      </c>
      <c r="AJ225" s="795">
        <f t="shared" si="122"/>
        <v>0</v>
      </c>
      <c r="AK225" s="795">
        <f t="shared" si="122"/>
        <v>0</v>
      </c>
      <c r="AL225" s="795">
        <f t="shared" si="122"/>
        <v>0</v>
      </c>
      <c r="AM225" s="795">
        <f t="shared" si="122"/>
        <v>0</v>
      </c>
      <c r="AN225" s="796">
        <f t="shared" si="122"/>
        <v>0</v>
      </c>
      <c r="AO225" s="795"/>
      <c r="AP225" s="795"/>
      <c r="AQ225" s="795"/>
      <c r="AR225" s="795"/>
      <c r="AS225" s="808">
        <f t="shared" ref="AS225:BD225" si="123">+AS208</f>
        <v>0</v>
      </c>
      <c r="AT225" s="795">
        <f t="shared" si="123"/>
        <v>0</v>
      </c>
      <c r="AU225" s="795">
        <f t="shared" si="123"/>
        <v>0</v>
      </c>
      <c r="AV225" s="795">
        <f t="shared" si="123"/>
        <v>0</v>
      </c>
      <c r="AW225" s="795">
        <f t="shared" si="123"/>
        <v>0</v>
      </c>
      <c r="AX225" s="795">
        <f t="shared" si="123"/>
        <v>0</v>
      </c>
      <c r="AY225" s="795">
        <f t="shared" si="123"/>
        <v>0</v>
      </c>
      <c r="AZ225" s="795">
        <f t="shared" si="123"/>
        <v>0</v>
      </c>
      <c r="BA225" s="795">
        <f t="shared" si="123"/>
        <v>0</v>
      </c>
      <c r="BB225" s="795">
        <f t="shared" si="123"/>
        <v>0</v>
      </c>
      <c r="BC225" s="795">
        <f t="shared" si="123"/>
        <v>0</v>
      </c>
      <c r="BD225" s="796">
        <f t="shared" si="123"/>
        <v>0</v>
      </c>
      <c r="BE225" s="1828">
        <v>7</v>
      </c>
      <c r="BF225" s="801"/>
      <c r="BG225" s="1829">
        <f t="shared" si="110"/>
        <v>0</v>
      </c>
      <c r="BH225" s="1829">
        <f t="shared" si="110"/>
        <v>0</v>
      </c>
      <c r="BI225" s="1829">
        <f t="shared" si="110"/>
        <v>0</v>
      </c>
      <c r="BJ225" s="1829">
        <f t="shared" si="110"/>
        <v>0</v>
      </c>
      <c r="BK225" s="1829">
        <f t="shared" si="110"/>
        <v>0</v>
      </c>
      <c r="BL225" s="1829">
        <f t="shared" si="110"/>
        <v>0</v>
      </c>
      <c r="BM225" s="1829">
        <f t="shared" si="110"/>
        <v>0</v>
      </c>
      <c r="BN225" s="1829">
        <f t="shared" si="110"/>
        <v>0</v>
      </c>
      <c r="BO225" s="1829">
        <f t="shared" si="110"/>
        <v>0</v>
      </c>
      <c r="BP225" s="1829">
        <f t="shared" si="110"/>
        <v>0</v>
      </c>
      <c r="BQ225" s="1829">
        <f t="shared" si="110"/>
        <v>0</v>
      </c>
      <c r="BR225" s="1830">
        <f t="shared" si="110"/>
        <v>0</v>
      </c>
      <c r="BS225" s="1828">
        <v>7</v>
      </c>
      <c r="BT225" s="801"/>
      <c r="BU225" s="1829">
        <f t="shared" si="111"/>
        <v>0</v>
      </c>
      <c r="BV225" s="1829">
        <f t="shared" si="111"/>
        <v>0</v>
      </c>
      <c r="BW225" s="1829">
        <f t="shared" si="111"/>
        <v>0</v>
      </c>
      <c r="BX225" s="1829">
        <f t="shared" si="111"/>
        <v>0</v>
      </c>
      <c r="BY225" s="1829">
        <f t="shared" si="111"/>
        <v>0</v>
      </c>
      <c r="BZ225" s="1829">
        <f t="shared" si="111"/>
        <v>0</v>
      </c>
      <c r="CA225" s="1829">
        <f t="shared" si="111"/>
        <v>0</v>
      </c>
      <c r="CB225" s="1829">
        <f t="shared" si="111"/>
        <v>0</v>
      </c>
      <c r="CC225" s="1829">
        <f t="shared" si="111"/>
        <v>0</v>
      </c>
      <c r="CD225" s="1829">
        <f t="shared" si="111"/>
        <v>0</v>
      </c>
      <c r="CE225" s="1829">
        <f t="shared" si="111"/>
        <v>0</v>
      </c>
      <c r="CF225" s="1830">
        <f t="shared" si="111"/>
        <v>0</v>
      </c>
      <c r="CG225" s="1828">
        <v>7</v>
      </c>
      <c r="CH225" s="801"/>
      <c r="CI225" s="1829">
        <f t="shared" si="112"/>
        <v>0</v>
      </c>
      <c r="CJ225" s="1829">
        <f t="shared" si="112"/>
        <v>0</v>
      </c>
      <c r="CK225" s="1829">
        <f t="shared" si="112"/>
        <v>0</v>
      </c>
      <c r="CL225" s="1829">
        <f t="shared" si="112"/>
        <v>0</v>
      </c>
      <c r="CM225" s="1829">
        <f t="shared" si="112"/>
        <v>0</v>
      </c>
      <c r="CN225" s="1829">
        <f t="shared" si="112"/>
        <v>0</v>
      </c>
      <c r="CO225" s="1829">
        <f t="shared" si="112"/>
        <v>0</v>
      </c>
      <c r="CP225" s="1829">
        <f t="shared" si="112"/>
        <v>0</v>
      </c>
      <c r="CQ225" s="1829">
        <f t="shared" si="112"/>
        <v>0</v>
      </c>
      <c r="CR225" s="1829">
        <f t="shared" si="112"/>
        <v>0</v>
      </c>
      <c r="CS225" s="1829">
        <f t="shared" si="112"/>
        <v>0</v>
      </c>
      <c r="CT225" s="1830">
        <f t="shared" si="112"/>
        <v>0</v>
      </c>
    </row>
    <row r="226" spans="1:98" hidden="1" x14ac:dyDescent="0.2">
      <c r="A226" s="1815"/>
      <c r="B226" s="788" t="s">
        <v>333</v>
      </c>
      <c r="C226" s="781"/>
      <c r="D226" s="781">
        <v>0</v>
      </c>
      <c r="E226" s="111"/>
      <c r="F226" s="111"/>
      <c r="G226" s="111"/>
      <c r="H226" s="111"/>
      <c r="I226" s="111"/>
      <c r="J226" s="111"/>
      <c r="K226" s="111"/>
      <c r="L226" s="111"/>
      <c r="M226" s="111"/>
      <c r="N226" s="111"/>
      <c r="O226" s="111"/>
      <c r="P226" s="111"/>
      <c r="Q226" s="111"/>
      <c r="R226" s="111"/>
      <c r="S226" s="111"/>
      <c r="T226" s="111"/>
      <c r="U226" s="111"/>
      <c r="V226" s="111"/>
      <c r="W226" s="111"/>
      <c r="X226" s="111"/>
      <c r="Y226" s="1817"/>
      <c r="Z226" s="810"/>
      <c r="AA226" s="810"/>
      <c r="AB226" s="810"/>
      <c r="AC226" s="1831"/>
      <c r="AD226" s="1832"/>
      <c r="AE226" s="1832"/>
      <c r="AF226" s="1832"/>
      <c r="AG226" s="1832"/>
      <c r="AH226" s="1832"/>
      <c r="AI226" s="1832"/>
      <c r="AJ226" s="1832"/>
      <c r="AK226" s="1832"/>
      <c r="AL226" s="1832"/>
      <c r="AM226" s="1832"/>
      <c r="AN226" s="1833"/>
      <c r="AO226" s="810"/>
      <c r="AP226" s="810"/>
      <c r="AQ226" s="810"/>
      <c r="AR226" s="810"/>
      <c r="AS226" s="1831">
        <f t="shared" ref="AS226:BD226" si="124">+AS209</f>
        <v>0</v>
      </c>
      <c r="AT226" s="1832">
        <f t="shared" si="124"/>
        <v>0</v>
      </c>
      <c r="AU226" s="1832">
        <f t="shared" si="124"/>
        <v>0</v>
      </c>
      <c r="AV226" s="1832">
        <f t="shared" si="124"/>
        <v>0</v>
      </c>
      <c r="AW226" s="1832">
        <f t="shared" si="124"/>
        <v>0</v>
      </c>
      <c r="AX226" s="1832">
        <f t="shared" si="124"/>
        <v>0</v>
      </c>
      <c r="AY226" s="1832">
        <f t="shared" si="124"/>
        <v>0</v>
      </c>
      <c r="AZ226" s="1832">
        <f t="shared" si="124"/>
        <v>0</v>
      </c>
      <c r="BA226" s="1832">
        <f t="shared" si="124"/>
        <v>0</v>
      </c>
      <c r="BB226" s="1832">
        <f t="shared" si="124"/>
        <v>0</v>
      </c>
      <c r="BC226" s="1832">
        <f t="shared" si="124"/>
        <v>0</v>
      </c>
      <c r="BD226" s="1833">
        <f t="shared" si="124"/>
        <v>0</v>
      </c>
      <c r="BE226" s="1534">
        <v>8</v>
      </c>
      <c r="BF226" s="810"/>
      <c r="BG226" s="254">
        <f t="shared" si="110"/>
        <v>0</v>
      </c>
      <c r="BH226" s="254">
        <f t="shared" si="110"/>
        <v>0</v>
      </c>
      <c r="BI226" s="254">
        <f t="shared" si="110"/>
        <v>0</v>
      </c>
      <c r="BJ226" s="254">
        <f t="shared" si="110"/>
        <v>0</v>
      </c>
      <c r="BK226" s="254">
        <f t="shared" si="110"/>
        <v>0</v>
      </c>
      <c r="BL226" s="254">
        <f t="shared" si="110"/>
        <v>0</v>
      </c>
      <c r="BM226" s="254">
        <f t="shared" si="110"/>
        <v>0</v>
      </c>
      <c r="BN226" s="254">
        <f t="shared" si="110"/>
        <v>0</v>
      </c>
      <c r="BO226" s="254">
        <f t="shared" si="110"/>
        <v>0</v>
      </c>
      <c r="BP226" s="254">
        <f t="shared" si="110"/>
        <v>0</v>
      </c>
      <c r="BQ226" s="254">
        <f t="shared" si="110"/>
        <v>0</v>
      </c>
      <c r="BR226" s="1827">
        <f t="shared" si="110"/>
        <v>0</v>
      </c>
      <c r="BS226" s="1534">
        <v>8</v>
      </c>
      <c r="BT226" s="810"/>
      <c r="BU226" s="254">
        <f t="shared" si="111"/>
        <v>0</v>
      </c>
      <c r="BV226" s="254">
        <f t="shared" si="111"/>
        <v>0</v>
      </c>
      <c r="BW226" s="254">
        <f t="shared" si="111"/>
        <v>0</v>
      </c>
      <c r="BX226" s="254">
        <f t="shared" si="111"/>
        <v>0</v>
      </c>
      <c r="BY226" s="254">
        <f t="shared" si="111"/>
        <v>0</v>
      </c>
      <c r="BZ226" s="254">
        <f t="shared" si="111"/>
        <v>0</v>
      </c>
      <c r="CA226" s="254">
        <f t="shared" si="111"/>
        <v>0</v>
      </c>
      <c r="CB226" s="254">
        <f t="shared" si="111"/>
        <v>0</v>
      </c>
      <c r="CC226" s="254">
        <f t="shared" si="111"/>
        <v>0</v>
      </c>
      <c r="CD226" s="254">
        <f t="shared" si="111"/>
        <v>0</v>
      </c>
      <c r="CE226" s="254">
        <f t="shared" si="111"/>
        <v>0</v>
      </c>
      <c r="CF226" s="1827">
        <f t="shared" si="111"/>
        <v>0</v>
      </c>
      <c r="CG226" s="1534">
        <v>8</v>
      </c>
      <c r="CH226" s="810"/>
      <c r="CI226" s="254">
        <f t="shared" si="112"/>
        <v>0</v>
      </c>
      <c r="CJ226" s="254">
        <f t="shared" si="112"/>
        <v>0</v>
      </c>
      <c r="CK226" s="254">
        <f t="shared" si="112"/>
        <v>0</v>
      </c>
      <c r="CL226" s="254">
        <f t="shared" si="112"/>
        <v>0</v>
      </c>
      <c r="CM226" s="254">
        <f t="shared" si="112"/>
        <v>0</v>
      </c>
      <c r="CN226" s="254">
        <f t="shared" si="112"/>
        <v>0</v>
      </c>
      <c r="CO226" s="254">
        <f t="shared" si="112"/>
        <v>0</v>
      </c>
      <c r="CP226" s="254">
        <f t="shared" si="112"/>
        <v>0</v>
      </c>
      <c r="CQ226" s="254">
        <f t="shared" si="112"/>
        <v>0</v>
      </c>
      <c r="CR226" s="254">
        <f t="shared" si="112"/>
        <v>0</v>
      </c>
      <c r="CS226" s="254">
        <f t="shared" si="112"/>
        <v>0</v>
      </c>
      <c r="CT226" s="1827">
        <f t="shared" si="112"/>
        <v>0</v>
      </c>
    </row>
    <row r="227" spans="1:98" hidden="1" x14ac:dyDescent="0.2">
      <c r="A227" s="590"/>
      <c r="B227" s="1823" t="str">
        <f t="shared" ref="B227:D231" si="125">+B210</f>
        <v>Avena silo</v>
      </c>
      <c r="C227" s="1823" t="str">
        <f t="shared" si="125"/>
        <v>Reserva</v>
      </c>
      <c r="D227" s="1823">
        <f t="shared" si="125"/>
        <v>4800</v>
      </c>
      <c r="E227" s="772"/>
      <c r="F227" s="773"/>
      <c r="G227" s="773"/>
      <c r="H227" s="773"/>
      <c r="I227" s="111"/>
      <c r="J227" s="111"/>
      <c r="K227" s="111"/>
      <c r="L227" s="111"/>
      <c r="M227" s="769">
        <f>+IF(M$8=UsoSuelo!$S281,$D227,0)</f>
        <v>0</v>
      </c>
      <c r="N227" s="782">
        <f>+IF(N$8=UsoSuelo!$S281,$D227,0)</f>
        <v>0</v>
      </c>
      <c r="O227" s="782">
        <f>+IF(O$8=UsoSuelo!$S281,$D227,0)</f>
        <v>0</v>
      </c>
      <c r="P227" s="782">
        <f>+IF(P$8=UsoSuelo!$S281,$D227,0)</f>
        <v>0</v>
      </c>
      <c r="Q227" s="782">
        <f>+IF(Q$8=UsoSuelo!$S281,$D227,0)</f>
        <v>0</v>
      </c>
      <c r="R227" s="782">
        <f>+IF(R$8=UsoSuelo!$S281,$D227,0)</f>
        <v>0</v>
      </c>
      <c r="S227" s="782">
        <f>+IF(S$8=UsoSuelo!$S281,$D227,0)</f>
        <v>0</v>
      </c>
      <c r="T227" s="782">
        <f>+IF(T$8=UsoSuelo!$S281,$D227,0)</f>
        <v>0</v>
      </c>
      <c r="U227" s="782">
        <f>+IF(U$8=UsoSuelo!$S281,$D227,0)</f>
        <v>0</v>
      </c>
      <c r="V227" s="782">
        <f>+IF(V$8=UsoSuelo!$S281,$D227,0)</f>
        <v>0</v>
      </c>
      <c r="W227" s="782">
        <f>+IF(W$8=UsoSuelo!$S281,$D227,0)</f>
        <v>0</v>
      </c>
      <c r="X227" s="783">
        <f>+IF(X$8=UsoSuelo!$S281,$D227,0)</f>
        <v>0</v>
      </c>
      <c r="Y227" s="1824"/>
      <c r="Z227" s="795"/>
      <c r="AA227" s="795"/>
      <c r="AB227" s="795"/>
      <c r="AC227" s="808">
        <f t="shared" si="113"/>
        <v>0.13500000000000001</v>
      </c>
      <c r="AD227" s="795">
        <f>+$AC$210</f>
        <v>0.13500000000000001</v>
      </c>
      <c r="AE227" s="795">
        <f t="shared" ref="AE227:AN227" si="126">+$AC$210</f>
        <v>0.13500000000000001</v>
      </c>
      <c r="AF227" s="795">
        <f t="shared" si="126"/>
        <v>0.13500000000000001</v>
      </c>
      <c r="AG227" s="795">
        <f t="shared" si="126"/>
        <v>0.13500000000000001</v>
      </c>
      <c r="AH227" s="795">
        <f t="shared" si="126"/>
        <v>0.13500000000000001</v>
      </c>
      <c r="AI227" s="795">
        <f t="shared" si="126"/>
        <v>0.13500000000000001</v>
      </c>
      <c r="AJ227" s="795">
        <f t="shared" si="126"/>
        <v>0.13500000000000001</v>
      </c>
      <c r="AK227" s="795">
        <f t="shared" si="126"/>
        <v>0.13500000000000001</v>
      </c>
      <c r="AL227" s="795">
        <f t="shared" si="126"/>
        <v>0.13500000000000001</v>
      </c>
      <c r="AM227" s="795">
        <f t="shared" si="126"/>
        <v>0.13500000000000001</v>
      </c>
      <c r="AN227" s="796">
        <f t="shared" si="126"/>
        <v>0.13500000000000001</v>
      </c>
      <c r="AO227" s="795"/>
      <c r="AP227" s="795"/>
      <c r="AQ227" s="795"/>
      <c r="AR227" s="795"/>
      <c r="AS227" s="808">
        <f t="shared" ref="AS227:BD227" si="127">+AS210</f>
        <v>1.95</v>
      </c>
      <c r="AT227" s="795">
        <f t="shared" si="127"/>
        <v>1.95</v>
      </c>
      <c r="AU227" s="795">
        <f t="shared" si="127"/>
        <v>1.95</v>
      </c>
      <c r="AV227" s="795">
        <f t="shared" si="127"/>
        <v>1.95</v>
      </c>
      <c r="AW227" s="795">
        <f t="shared" si="127"/>
        <v>1.95</v>
      </c>
      <c r="AX227" s="795">
        <f t="shared" si="127"/>
        <v>1.95</v>
      </c>
      <c r="AY227" s="795">
        <f t="shared" si="127"/>
        <v>1.95</v>
      </c>
      <c r="AZ227" s="795">
        <f t="shared" si="127"/>
        <v>1.95</v>
      </c>
      <c r="BA227" s="795">
        <f t="shared" si="127"/>
        <v>1.95</v>
      </c>
      <c r="BB227" s="795">
        <f t="shared" si="127"/>
        <v>1.95</v>
      </c>
      <c r="BC227" s="795">
        <f t="shared" si="127"/>
        <v>1.95</v>
      </c>
      <c r="BD227" s="796">
        <f t="shared" si="127"/>
        <v>1.95</v>
      </c>
      <c r="BE227" s="1825">
        <v>9</v>
      </c>
      <c r="BF227" s="790"/>
      <c r="BG227" s="375">
        <f t="shared" si="110"/>
        <v>0</v>
      </c>
      <c r="BH227" s="375">
        <f t="shared" si="110"/>
        <v>0</v>
      </c>
      <c r="BI227" s="375">
        <f t="shared" si="110"/>
        <v>0</v>
      </c>
      <c r="BJ227" s="375">
        <f t="shared" si="110"/>
        <v>0</v>
      </c>
      <c r="BK227" s="375">
        <f t="shared" si="110"/>
        <v>0</v>
      </c>
      <c r="BL227" s="375">
        <f t="shared" si="110"/>
        <v>0</v>
      </c>
      <c r="BM227" s="375">
        <f t="shared" si="110"/>
        <v>0</v>
      </c>
      <c r="BN227" s="375">
        <f t="shared" si="110"/>
        <v>0</v>
      </c>
      <c r="BO227" s="375">
        <f t="shared" si="110"/>
        <v>0</v>
      </c>
      <c r="BP227" s="375">
        <f t="shared" si="110"/>
        <v>0</v>
      </c>
      <c r="BQ227" s="375">
        <f t="shared" si="110"/>
        <v>0</v>
      </c>
      <c r="BR227" s="1826">
        <f t="shared" si="110"/>
        <v>0</v>
      </c>
      <c r="BS227" s="1825">
        <v>9</v>
      </c>
      <c r="BT227" s="790"/>
      <c r="BU227" s="375">
        <f t="shared" si="111"/>
        <v>0.13500000000000001</v>
      </c>
      <c r="BV227" s="375">
        <f t="shared" si="111"/>
        <v>0.13500000000000001</v>
      </c>
      <c r="BW227" s="375">
        <f t="shared" si="111"/>
        <v>0.13500000000000001</v>
      </c>
      <c r="BX227" s="375">
        <f t="shared" si="111"/>
        <v>0.13500000000000001</v>
      </c>
      <c r="BY227" s="375">
        <f t="shared" si="111"/>
        <v>0.13500000000000001</v>
      </c>
      <c r="BZ227" s="375">
        <f t="shared" si="111"/>
        <v>0.13500000000000001</v>
      </c>
      <c r="CA227" s="375">
        <f t="shared" si="111"/>
        <v>0.13500000000000001</v>
      </c>
      <c r="CB227" s="375">
        <f t="shared" si="111"/>
        <v>0.13500000000000001</v>
      </c>
      <c r="CC227" s="375">
        <f t="shared" si="111"/>
        <v>0.13500000000000001</v>
      </c>
      <c r="CD227" s="375">
        <f t="shared" si="111"/>
        <v>0.13500000000000001</v>
      </c>
      <c r="CE227" s="375">
        <f t="shared" si="111"/>
        <v>0.13500000000000001</v>
      </c>
      <c r="CF227" s="1826">
        <f t="shared" si="111"/>
        <v>0.13500000000000001</v>
      </c>
      <c r="CG227" s="1825">
        <v>9</v>
      </c>
      <c r="CH227" s="790"/>
      <c r="CI227" s="375">
        <f t="shared" si="112"/>
        <v>1.95</v>
      </c>
      <c r="CJ227" s="375">
        <f t="shared" si="112"/>
        <v>1.95</v>
      </c>
      <c r="CK227" s="375">
        <f t="shared" si="112"/>
        <v>1.95</v>
      </c>
      <c r="CL227" s="375">
        <f t="shared" si="112"/>
        <v>1.95</v>
      </c>
      <c r="CM227" s="375">
        <f t="shared" si="112"/>
        <v>1.95</v>
      </c>
      <c r="CN227" s="375">
        <f t="shared" si="112"/>
        <v>1.95</v>
      </c>
      <c r="CO227" s="375">
        <f t="shared" si="112"/>
        <v>1.95</v>
      </c>
      <c r="CP227" s="375">
        <f t="shared" si="112"/>
        <v>1.95</v>
      </c>
      <c r="CQ227" s="375">
        <f t="shared" si="112"/>
        <v>1.95</v>
      </c>
      <c r="CR227" s="375">
        <f t="shared" si="112"/>
        <v>1.95</v>
      </c>
      <c r="CS227" s="375">
        <f t="shared" si="112"/>
        <v>1.95</v>
      </c>
      <c r="CT227" s="1826">
        <f t="shared" si="112"/>
        <v>1.95</v>
      </c>
    </row>
    <row r="228" spans="1:98" hidden="1" x14ac:dyDescent="0.2">
      <c r="A228" s="590"/>
      <c r="B228" s="1823" t="str">
        <f t="shared" si="125"/>
        <v>Raigrás Silo</v>
      </c>
      <c r="C228" s="1823" t="str">
        <f t="shared" si="125"/>
        <v>Reserva</v>
      </c>
      <c r="D228" s="1823">
        <f t="shared" si="125"/>
        <v>5600</v>
      </c>
      <c r="E228" s="772"/>
      <c r="F228" s="773"/>
      <c r="G228" s="773"/>
      <c r="H228" s="773"/>
      <c r="I228" s="111"/>
      <c r="J228" s="111"/>
      <c r="K228" s="111"/>
      <c r="L228" s="111"/>
      <c r="M228" s="784">
        <f>+IF(M$8=UsoSuelo!$S282,$D228,0)</f>
        <v>0</v>
      </c>
      <c r="N228" s="111">
        <f>+IF(N$8=UsoSuelo!$S282,$D228,0)</f>
        <v>0</v>
      </c>
      <c r="O228" s="111">
        <f>+IF(O$8=UsoSuelo!$S282,$D228,0)</f>
        <v>0</v>
      </c>
      <c r="P228" s="111">
        <f>+IF(P$8=UsoSuelo!$S282,$D228,0)</f>
        <v>0</v>
      </c>
      <c r="Q228" s="111">
        <f>+IF(Q$8=UsoSuelo!$S282,$D228,0)</f>
        <v>0</v>
      </c>
      <c r="R228" s="111">
        <f>+IF(R$8=UsoSuelo!$S282,$D228,0)</f>
        <v>0</v>
      </c>
      <c r="S228" s="111">
        <f>+IF(S$8=UsoSuelo!$S282,$D228,0)</f>
        <v>0</v>
      </c>
      <c r="T228" s="111">
        <f>+IF(T$8=UsoSuelo!$S282,$D228,0)</f>
        <v>0</v>
      </c>
      <c r="U228" s="111">
        <f>+IF(U$8=UsoSuelo!$S282,$D228,0)</f>
        <v>0</v>
      </c>
      <c r="V228" s="111">
        <f>+IF(V$8=UsoSuelo!$S282,$D228,0)</f>
        <v>0</v>
      </c>
      <c r="W228" s="111">
        <f>+IF(W$8=UsoSuelo!$S282,$D228,0)</f>
        <v>0</v>
      </c>
      <c r="X228" s="785">
        <f>+IF(X$8=UsoSuelo!$S282,$D228,0)</f>
        <v>0</v>
      </c>
      <c r="Y228" s="1824"/>
      <c r="Z228" s="795"/>
      <c r="AA228" s="795"/>
      <c r="AB228" s="795"/>
      <c r="AC228" s="808">
        <f t="shared" si="113"/>
        <v>0.12</v>
      </c>
      <c r="AD228" s="795">
        <f>+$AC$211</f>
        <v>0.12</v>
      </c>
      <c r="AE228" s="795">
        <f t="shared" ref="AE228:AN228" si="128">+$AC$211</f>
        <v>0.12</v>
      </c>
      <c r="AF228" s="795">
        <f t="shared" si="128"/>
        <v>0.12</v>
      </c>
      <c r="AG228" s="795">
        <f t="shared" si="128"/>
        <v>0.12</v>
      </c>
      <c r="AH228" s="795">
        <f t="shared" si="128"/>
        <v>0.12</v>
      </c>
      <c r="AI228" s="795">
        <f t="shared" si="128"/>
        <v>0.12</v>
      </c>
      <c r="AJ228" s="795">
        <f t="shared" si="128"/>
        <v>0.12</v>
      </c>
      <c r="AK228" s="795">
        <f t="shared" si="128"/>
        <v>0.12</v>
      </c>
      <c r="AL228" s="795">
        <f t="shared" si="128"/>
        <v>0.12</v>
      </c>
      <c r="AM228" s="795">
        <f t="shared" si="128"/>
        <v>0.12</v>
      </c>
      <c r="AN228" s="796">
        <f t="shared" si="128"/>
        <v>0.12</v>
      </c>
      <c r="AO228" s="795"/>
      <c r="AP228" s="795"/>
      <c r="AQ228" s="795"/>
      <c r="AR228" s="795"/>
      <c r="AS228" s="808">
        <f t="shared" ref="AS228:BD228" si="129">+AS211</f>
        <v>2.0099999999999998</v>
      </c>
      <c r="AT228" s="795">
        <f t="shared" si="129"/>
        <v>2.0099999999999998</v>
      </c>
      <c r="AU228" s="795">
        <f t="shared" si="129"/>
        <v>2.0099999999999998</v>
      </c>
      <c r="AV228" s="795">
        <f t="shared" si="129"/>
        <v>2.0099999999999998</v>
      </c>
      <c r="AW228" s="795">
        <f t="shared" si="129"/>
        <v>2.0099999999999998</v>
      </c>
      <c r="AX228" s="795">
        <f t="shared" si="129"/>
        <v>2.0099999999999998</v>
      </c>
      <c r="AY228" s="795">
        <f t="shared" si="129"/>
        <v>2.0099999999999998</v>
      </c>
      <c r="AZ228" s="795">
        <f t="shared" si="129"/>
        <v>2.0099999999999998</v>
      </c>
      <c r="BA228" s="795">
        <f t="shared" si="129"/>
        <v>2.0099999999999998</v>
      </c>
      <c r="BB228" s="795">
        <f t="shared" si="129"/>
        <v>2.0099999999999998</v>
      </c>
      <c r="BC228" s="795">
        <f t="shared" si="129"/>
        <v>2.0099999999999998</v>
      </c>
      <c r="BD228" s="796">
        <f t="shared" si="129"/>
        <v>2.0099999999999998</v>
      </c>
      <c r="BE228" s="595">
        <v>10</v>
      </c>
      <c r="BF228" s="795"/>
      <c r="BG228" s="254">
        <f t="shared" si="110"/>
        <v>0</v>
      </c>
      <c r="BH228" s="254">
        <f t="shared" si="110"/>
        <v>0</v>
      </c>
      <c r="BI228" s="254">
        <f t="shared" si="110"/>
        <v>0</v>
      </c>
      <c r="BJ228" s="254">
        <f t="shared" si="110"/>
        <v>0</v>
      </c>
      <c r="BK228" s="254">
        <f t="shared" si="110"/>
        <v>0</v>
      </c>
      <c r="BL228" s="254">
        <f t="shared" si="110"/>
        <v>0</v>
      </c>
      <c r="BM228" s="254">
        <f t="shared" si="110"/>
        <v>0</v>
      </c>
      <c r="BN228" s="254">
        <f t="shared" si="110"/>
        <v>0</v>
      </c>
      <c r="BO228" s="254">
        <f t="shared" si="110"/>
        <v>0</v>
      </c>
      <c r="BP228" s="254">
        <f t="shared" si="110"/>
        <v>0</v>
      </c>
      <c r="BQ228" s="254">
        <f t="shared" si="110"/>
        <v>0</v>
      </c>
      <c r="BR228" s="1827">
        <f t="shared" si="110"/>
        <v>0</v>
      </c>
      <c r="BS228" s="595">
        <v>10</v>
      </c>
      <c r="BT228" s="795"/>
      <c r="BU228" s="254">
        <f t="shared" si="111"/>
        <v>0.12</v>
      </c>
      <c r="BV228" s="254">
        <f t="shared" si="111"/>
        <v>0.12</v>
      </c>
      <c r="BW228" s="254">
        <f t="shared" si="111"/>
        <v>0.12</v>
      </c>
      <c r="BX228" s="254">
        <f t="shared" si="111"/>
        <v>0.12</v>
      </c>
      <c r="BY228" s="254">
        <f t="shared" si="111"/>
        <v>0.12</v>
      </c>
      <c r="BZ228" s="254">
        <f t="shared" si="111"/>
        <v>0.12</v>
      </c>
      <c r="CA228" s="254">
        <f t="shared" si="111"/>
        <v>0.12</v>
      </c>
      <c r="CB228" s="254">
        <f t="shared" si="111"/>
        <v>0.12</v>
      </c>
      <c r="CC228" s="254">
        <f t="shared" si="111"/>
        <v>0.12</v>
      </c>
      <c r="CD228" s="254">
        <f t="shared" si="111"/>
        <v>0.12</v>
      </c>
      <c r="CE228" s="254">
        <f t="shared" si="111"/>
        <v>0.12</v>
      </c>
      <c r="CF228" s="1827">
        <f t="shared" si="111"/>
        <v>0.12</v>
      </c>
      <c r="CG228" s="595">
        <v>10</v>
      </c>
      <c r="CH228" s="795"/>
      <c r="CI228" s="254">
        <f t="shared" si="112"/>
        <v>2.0099999999999998</v>
      </c>
      <c r="CJ228" s="254">
        <f t="shared" si="112"/>
        <v>2.0099999999999998</v>
      </c>
      <c r="CK228" s="254">
        <f t="shared" si="112"/>
        <v>2.0099999999999998</v>
      </c>
      <c r="CL228" s="254">
        <f t="shared" si="112"/>
        <v>2.0099999999999998</v>
      </c>
      <c r="CM228" s="254">
        <f t="shared" si="112"/>
        <v>2.0099999999999998</v>
      </c>
      <c r="CN228" s="254">
        <f t="shared" si="112"/>
        <v>2.0099999999999998</v>
      </c>
      <c r="CO228" s="254">
        <f t="shared" si="112"/>
        <v>2.0099999999999998</v>
      </c>
      <c r="CP228" s="254">
        <f t="shared" si="112"/>
        <v>2.0099999999999998</v>
      </c>
      <c r="CQ228" s="254">
        <f t="shared" si="112"/>
        <v>2.0099999999999998</v>
      </c>
      <c r="CR228" s="254">
        <f t="shared" si="112"/>
        <v>2.0099999999999998</v>
      </c>
      <c r="CS228" s="254">
        <f t="shared" si="112"/>
        <v>2.0099999999999998</v>
      </c>
      <c r="CT228" s="1827">
        <f t="shared" si="112"/>
        <v>2.0099999999999998</v>
      </c>
    </row>
    <row r="229" spans="1:98" hidden="1" x14ac:dyDescent="0.2">
      <c r="A229" s="590"/>
      <c r="B229" s="1823" t="str">
        <f t="shared" si="125"/>
        <v>Ra Silo Cierre Ago</v>
      </c>
      <c r="C229" s="1823" t="str">
        <f t="shared" si="125"/>
        <v>Reserva</v>
      </c>
      <c r="D229" s="1823">
        <f t="shared" si="125"/>
        <v>3000</v>
      </c>
      <c r="E229" s="772"/>
      <c r="F229" s="773"/>
      <c r="G229" s="773"/>
      <c r="H229" s="773"/>
      <c r="I229" s="111"/>
      <c r="J229" s="111"/>
      <c r="K229" s="111"/>
      <c r="L229" s="111"/>
      <c r="M229" s="784">
        <f>+IF(M$8=UsoSuelo!$S283,$D229,0)</f>
        <v>0</v>
      </c>
      <c r="N229" s="111">
        <f>+IF(N$8=UsoSuelo!$S283,$D229,0)</f>
        <v>0</v>
      </c>
      <c r="O229" s="111">
        <f>+IF(O$8=UsoSuelo!$S283,$D229,0)</f>
        <v>0</v>
      </c>
      <c r="P229" s="111">
        <f>+IF(P$8=UsoSuelo!$S283,$D229,0)</f>
        <v>0</v>
      </c>
      <c r="Q229" s="111">
        <f>+IF(Q$8=UsoSuelo!$S283,$D229,0)</f>
        <v>0</v>
      </c>
      <c r="R229" s="111">
        <f>+IF(R$8=UsoSuelo!$S283,$D229,0)</f>
        <v>0</v>
      </c>
      <c r="S229" s="111">
        <f>+IF(S$8=UsoSuelo!$S283,$D229,0)</f>
        <v>0</v>
      </c>
      <c r="T229" s="111">
        <f>+IF(T$8=UsoSuelo!$S283,$D229,0)</f>
        <v>0</v>
      </c>
      <c r="U229" s="111">
        <f>+IF(U$8=UsoSuelo!$S283,$D229,0)</f>
        <v>0</v>
      </c>
      <c r="V229" s="111">
        <f>+IF(V$8=UsoSuelo!$S283,$D229,0)</f>
        <v>0</v>
      </c>
      <c r="W229" s="111">
        <f>+IF(W$8=UsoSuelo!$S283,$D229,0)</f>
        <v>0</v>
      </c>
      <c r="X229" s="785">
        <f>+IF(X$8=UsoSuelo!$S283,$D229,0)</f>
        <v>0</v>
      </c>
      <c r="Y229" s="1824"/>
      <c r="Z229" s="795"/>
      <c r="AA229" s="795"/>
      <c r="AB229" s="795"/>
      <c r="AC229" s="808">
        <f>+AC212</f>
        <v>0</v>
      </c>
      <c r="AD229" s="795">
        <f>+$AC$212</f>
        <v>0</v>
      </c>
      <c r="AE229" s="795">
        <f t="shared" ref="AE229:AN229" si="130">+$AC$212</f>
        <v>0</v>
      </c>
      <c r="AF229" s="795">
        <f t="shared" si="130"/>
        <v>0</v>
      </c>
      <c r="AG229" s="795">
        <f t="shared" si="130"/>
        <v>0</v>
      </c>
      <c r="AH229" s="795">
        <f t="shared" si="130"/>
        <v>0</v>
      </c>
      <c r="AI229" s="795">
        <f t="shared" si="130"/>
        <v>0</v>
      </c>
      <c r="AJ229" s="795">
        <f t="shared" si="130"/>
        <v>0</v>
      </c>
      <c r="AK229" s="795">
        <f t="shared" si="130"/>
        <v>0</v>
      </c>
      <c r="AL229" s="795">
        <f t="shared" si="130"/>
        <v>0</v>
      </c>
      <c r="AM229" s="795">
        <f t="shared" si="130"/>
        <v>0</v>
      </c>
      <c r="AN229" s="796">
        <f t="shared" si="130"/>
        <v>0</v>
      </c>
      <c r="AO229" s="795"/>
      <c r="AP229" s="795"/>
      <c r="AQ229" s="795"/>
      <c r="AR229" s="795"/>
      <c r="AS229" s="808">
        <f t="shared" ref="AS229:BD229" si="131">+AS212</f>
        <v>0</v>
      </c>
      <c r="AT229" s="795">
        <f t="shared" si="131"/>
        <v>0</v>
      </c>
      <c r="AU229" s="795">
        <f t="shared" si="131"/>
        <v>0</v>
      </c>
      <c r="AV229" s="795">
        <f t="shared" si="131"/>
        <v>0</v>
      </c>
      <c r="AW229" s="795">
        <f t="shared" si="131"/>
        <v>0</v>
      </c>
      <c r="AX229" s="795">
        <f t="shared" si="131"/>
        <v>0</v>
      </c>
      <c r="AY229" s="795">
        <f t="shared" si="131"/>
        <v>0</v>
      </c>
      <c r="AZ229" s="795">
        <f t="shared" si="131"/>
        <v>0</v>
      </c>
      <c r="BA229" s="795">
        <f t="shared" si="131"/>
        <v>0</v>
      </c>
      <c r="BB229" s="795">
        <f t="shared" si="131"/>
        <v>0</v>
      </c>
      <c r="BC229" s="795">
        <f t="shared" si="131"/>
        <v>0</v>
      </c>
      <c r="BD229" s="796">
        <f t="shared" si="131"/>
        <v>0</v>
      </c>
      <c r="BE229" s="1534">
        <v>11</v>
      </c>
      <c r="BF229" s="795"/>
      <c r="BG229" s="254">
        <f t="shared" si="110"/>
        <v>0</v>
      </c>
      <c r="BH229" s="254">
        <f t="shared" si="110"/>
        <v>0</v>
      </c>
      <c r="BI229" s="254">
        <f t="shared" si="110"/>
        <v>0</v>
      </c>
      <c r="BJ229" s="254">
        <f t="shared" si="110"/>
        <v>0</v>
      </c>
      <c r="BK229" s="254">
        <f t="shared" si="110"/>
        <v>0</v>
      </c>
      <c r="BL229" s="254">
        <f t="shared" si="110"/>
        <v>0</v>
      </c>
      <c r="BM229" s="254">
        <f t="shared" si="110"/>
        <v>0</v>
      </c>
      <c r="BN229" s="254">
        <f t="shared" si="110"/>
        <v>0</v>
      </c>
      <c r="BO229" s="254">
        <f t="shared" si="110"/>
        <v>0</v>
      </c>
      <c r="BP229" s="254">
        <f t="shared" si="110"/>
        <v>0</v>
      </c>
      <c r="BQ229" s="254">
        <f t="shared" si="110"/>
        <v>0</v>
      </c>
      <c r="BR229" s="1827">
        <f t="shared" si="110"/>
        <v>0</v>
      </c>
      <c r="BS229" s="1534">
        <v>11</v>
      </c>
      <c r="BT229" s="795"/>
      <c r="BU229" s="254">
        <f t="shared" si="111"/>
        <v>0</v>
      </c>
      <c r="BV229" s="254">
        <f t="shared" si="111"/>
        <v>0</v>
      </c>
      <c r="BW229" s="254">
        <f t="shared" si="111"/>
        <v>0</v>
      </c>
      <c r="BX229" s="254">
        <f t="shared" si="111"/>
        <v>0</v>
      </c>
      <c r="BY229" s="254">
        <f t="shared" si="111"/>
        <v>0</v>
      </c>
      <c r="BZ229" s="254">
        <f t="shared" si="111"/>
        <v>0</v>
      </c>
      <c r="CA229" s="254">
        <f t="shared" si="111"/>
        <v>0</v>
      </c>
      <c r="CB229" s="254">
        <f t="shared" si="111"/>
        <v>0</v>
      </c>
      <c r="CC229" s="254">
        <f t="shared" si="111"/>
        <v>0</v>
      </c>
      <c r="CD229" s="254">
        <f t="shared" si="111"/>
        <v>0</v>
      </c>
      <c r="CE229" s="254">
        <f t="shared" si="111"/>
        <v>0</v>
      </c>
      <c r="CF229" s="1827">
        <f t="shared" si="111"/>
        <v>0</v>
      </c>
      <c r="CG229" s="1534">
        <v>11</v>
      </c>
      <c r="CH229" s="795"/>
      <c r="CI229" s="254">
        <f t="shared" si="112"/>
        <v>0</v>
      </c>
      <c r="CJ229" s="254">
        <f t="shared" si="112"/>
        <v>0</v>
      </c>
      <c r="CK229" s="254">
        <f t="shared" si="112"/>
        <v>0</v>
      </c>
      <c r="CL229" s="254">
        <f t="shared" si="112"/>
        <v>0</v>
      </c>
      <c r="CM229" s="254">
        <f t="shared" si="112"/>
        <v>0</v>
      </c>
      <c r="CN229" s="254">
        <f t="shared" si="112"/>
        <v>0</v>
      </c>
      <c r="CO229" s="254">
        <f t="shared" si="112"/>
        <v>0</v>
      </c>
      <c r="CP229" s="254">
        <f t="shared" si="112"/>
        <v>0</v>
      </c>
      <c r="CQ229" s="254">
        <f t="shared" si="112"/>
        <v>0</v>
      </c>
      <c r="CR229" s="254">
        <f t="shared" si="112"/>
        <v>0</v>
      </c>
      <c r="CS229" s="254">
        <f t="shared" si="112"/>
        <v>0</v>
      </c>
      <c r="CT229" s="1827">
        <f t="shared" si="112"/>
        <v>0</v>
      </c>
    </row>
    <row r="230" spans="1:98" hidden="1" x14ac:dyDescent="0.2">
      <c r="A230" s="590"/>
      <c r="B230" s="1823">
        <f t="shared" si="125"/>
        <v>0</v>
      </c>
      <c r="C230" s="1823" t="str">
        <f t="shared" si="125"/>
        <v>Reserva</v>
      </c>
      <c r="D230" s="1823">
        <f t="shared" si="125"/>
        <v>0</v>
      </c>
      <c r="E230" s="772"/>
      <c r="F230" s="773"/>
      <c r="G230" s="773"/>
      <c r="H230" s="773"/>
      <c r="I230" s="111"/>
      <c r="J230" s="111"/>
      <c r="K230" s="111"/>
      <c r="L230" s="111"/>
      <c r="M230" s="784">
        <f>+IF(M$8=UsoSuelo!$S284,$D230,0)</f>
        <v>0</v>
      </c>
      <c r="N230" s="111">
        <f>+IF(N$8=UsoSuelo!$S284,$D230,0)</f>
        <v>0</v>
      </c>
      <c r="O230" s="111">
        <f>+IF(O$8=UsoSuelo!$S284,$D230,0)</f>
        <v>0</v>
      </c>
      <c r="P230" s="111">
        <f>+IF(P$8=UsoSuelo!$S284,$D230,0)</f>
        <v>0</v>
      </c>
      <c r="Q230" s="111">
        <f>+IF(Q$8=UsoSuelo!$S284,$D230,0)</f>
        <v>0</v>
      </c>
      <c r="R230" s="111">
        <f>+IF(R$8=UsoSuelo!$S284,$D230,0)</f>
        <v>0</v>
      </c>
      <c r="S230" s="111">
        <f>+IF(S$8=UsoSuelo!$S284,$D230,0)</f>
        <v>0</v>
      </c>
      <c r="T230" s="111">
        <f>+IF(T$8=UsoSuelo!$S284,$D230,0)</f>
        <v>0</v>
      </c>
      <c r="U230" s="111">
        <f>+IF(U$8=UsoSuelo!$S284,$D230,0)</f>
        <v>0</v>
      </c>
      <c r="V230" s="111">
        <f>+IF(V$8=UsoSuelo!$S284,$D230,0)</f>
        <v>0</v>
      </c>
      <c r="W230" s="111">
        <f>+IF(W$8=UsoSuelo!$S284,$D230,0)</f>
        <v>0</v>
      </c>
      <c r="X230" s="785">
        <f>+IF(X$8=UsoSuelo!$S284,$D230,0)</f>
        <v>0</v>
      </c>
      <c r="Y230" s="1824"/>
      <c r="Z230" s="795"/>
      <c r="AA230" s="795"/>
      <c r="AB230" s="795"/>
      <c r="AC230" s="808">
        <f>+AC213</f>
        <v>0</v>
      </c>
      <c r="AD230" s="795">
        <f>+$AC$213</f>
        <v>0</v>
      </c>
      <c r="AE230" s="795">
        <f t="shared" ref="AE230:AN230" si="132">+$AC$213</f>
        <v>0</v>
      </c>
      <c r="AF230" s="795">
        <f t="shared" si="132"/>
        <v>0</v>
      </c>
      <c r="AG230" s="795">
        <f t="shared" si="132"/>
        <v>0</v>
      </c>
      <c r="AH230" s="795">
        <f t="shared" si="132"/>
        <v>0</v>
      </c>
      <c r="AI230" s="795">
        <f t="shared" si="132"/>
        <v>0</v>
      </c>
      <c r="AJ230" s="795">
        <f t="shared" si="132"/>
        <v>0</v>
      </c>
      <c r="AK230" s="795">
        <f t="shared" si="132"/>
        <v>0</v>
      </c>
      <c r="AL230" s="795">
        <f t="shared" si="132"/>
        <v>0</v>
      </c>
      <c r="AM230" s="795">
        <f t="shared" si="132"/>
        <v>0</v>
      </c>
      <c r="AN230" s="796">
        <f t="shared" si="132"/>
        <v>0</v>
      </c>
      <c r="AO230" s="795"/>
      <c r="AP230" s="795"/>
      <c r="AQ230" s="795"/>
      <c r="AR230" s="795"/>
      <c r="AS230" s="808">
        <f t="shared" ref="AS230:BD230" si="133">+AS213</f>
        <v>0</v>
      </c>
      <c r="AT230" s="795">
        <f t="shared" si="133"/>
        <v>0</v>
      </c>
      <c r="AU230" s="795">
        <f t="shared" si="133"/>
        <v>0</v>
      </c>
      <c r="AV230" s="795">
        <f t="shared" si="133"/>
        <v>0</v>
      </c>
      <c r="AW230" s="795">
        <f t="shared" si="133"/>
        <v>0</v>
      </c>
      <c r="AX230" s="795">
        <f t="shared" si="133"/>
        <v>0</v>
      </c>
      <c r="AY230" s="795">
        <f t="shared" si="133"/>
        <v>0</v>
      </c>
      <c r="AZ230" s="795">
        <f t="shared" si="133"/>
        <v>0</v>
      </c>
      <c r="BA230" s="795">
        <f t="shared" si="133"/>
        <v>0</v>
      </c>
      <c r="BB230" s="795">
        <f t="shared" si="133"/>
        <v>0</v>
      </c>
      <c r="BC230" s="795">
        <f t="shared" si="133"/>
        <v>0</v>
      </c>
      <c r="BD230" s="796">
        <f t="shared" si="133"/>
        <v>0</v>
      </c>
      <c r="BE230" s="1534">
        <v>12</v>
      </c>
      <c r="BF230" s="795"/>
      <c r="BG230" s="254">
        <f t="shared" si="110"/>
        <v>0</v>
      </c>
      <c r="BH230" s="254">
        <f t="shared" si="110"/>
        <v>0</v>
      </c>
      <c r="BI230" s="254">
        <f t="shared" si="110"/>
        <v>0</v>
      </c>
      <c r="BJ230" s="254">
        <f t="shared" si="110"/>
        <v>0</v>
      </c>
      <c r="BK230" s="254">
        <f t="shared" si="110"/>
        <v>0</v>
      </c>
      <c r="BL230" s="254">
        <f t="shared" si="110"/>
        <v>0</v>
      </c>
      <c r="BM230" s="254">
        <f t="shared" si="110"/>
        <v>0</v>
      </c>
      <c r="BN230" s="254">
        <f t="shared" si="110"/>
        <v>0</v>
      </c>
      <c r="BO230" s="254">
        <f t="shared" si="110"/>
        <v>0</v>
      </c>
      <c r="BP230" s="254">
        <f t="shared" si="110"/>
        <v>0</v>
      </c>
      <c r="BQ230" s="254">
        <f t="shared" si="110"/>
        <v>0</v>
      </c>
      <c r="BR230" s="1827">
        <f t="shared" si="110"/>
        <v>0</v>
      </c>
      <c r="BS230" s="1534">
        <v>12</v>
      </c>
      <c r="BT230" s="795"/>
      <c r="BU230" s="254">
        <f t="shared" si="111"/>
        <v>0</v>
      </c>
      <c r="BV230" s="254">
        <f t="shared" si="111"/>
        <v>0</v>
      </c>
      <c r="BW230" s="254">
        <f t="shared" si="111"/>
        <v>0</v>
      </c>
      <c r="BX230" s="254">
        <f t="shared" si="111"/>
        <v>0</v>
      </c>
      <c r="BY230" s="254">
        <f t="shared" si="111"/>
        <v>0</v>
      </c>
      <c r="BZ230" s="254">
        <f t="shared" si="111"/>
        <v>0</v>
      </c>
      <c r="CA230" s="254">
        <f t="shared" si="111"/>
        <v>0</v>
      </c>
      <c r="CB230" s="254">
        <f t="shared" si="111"/>
        <v>0</v>
      </c>
      <c r="CC230" s="254">
        <f t="shared" si="111"/>
        <v>0</v>
      </c>
      <c r="CD230" s="254">
        <f t="shared" si="111"/>
        <v>0</v>
      </c>
      <c r="CE230" s="254">
        <f t="shared" si="111"/>
        <v>0</v>
      </c>
      <c r="CF230" s="1827">
        <f t="shared" si="111"/>
        <v>0</v>
      </c>
      <c r="CG230" s="1534">
        <v>12</v>
      </c>
      <c r="CH230" s="795"/>
      <c r="CI230" s="254">
        <f t="shared" si="112"/>
        <v>0</v>
      </c>
      <c r="CJ230" s="254">
        <f t="shared" si="112"/>
        <v>0</v>
      </c>
      <c r="CK230" s="254">
        <f t="shared" si="112"/>
        <v>0</v>
      </c>
      <c r="CL230" s="254">
        <f t="shared" si="112"/>
        <v>0</v>
      </c>
      <c r="CM230" s="254">
        <f t="shared" si="112"/>
        <v>0</v>
      </c>
      <c r="CN230" s="254">
        <f t="shared" si="112"/>
        <v>0</v>
      </c>
      <c r="CO230" s="254">
        <f t="shared" si="112"/>
        <v>0</v>
      </c>
      <c r="CP230" s="254">
        <f t="shared" si="112"/>
        <v>0</v>
      </c>
      <c r="CQ230" s="254">
        <f t="shared" si="112"/>
        <v>0</v>
      </c>
      <c r="CR230" s="254">
        <f t="shared" si="112"/>
        <v>0</v>
      </c>
      <c r="CS230" s="254">
        <f t="shared" si="112"/>
        <v>0</v>
      </c>
      <c r="CT230" s="1827">
        <f t="shared" si="112"/>
        <v>0</v>
      </c>
    </row>
    <row r="231" spans="1:98" ht="15.05" hidden="1" thickBot="1" x14ac:dyDescent="0.25">
      <c r="A231" s="590"/>
      <c r="B231" s="1834">
        <f t="shared" si="125"/>
        <v>0</v>
      </c>
      <c r="C231" s="1834" t="str">
        <f t="shared" si="125"/>
        <v>Reserva</v>
      </c>
      <c r="D231" s="1834">
        <f t="shared" si="125"/>
        <v>0</v>
      </c>
      <c r="E231" s="1835"/>
      <c r="F231" s="1836"/>
      <c r="G231" s="1836"/>
      <c r="H231" s="1836"/>
      <c r="I231" s="1838"/>
      <c r="J231" s="1838"/>
      <c r="K231" s="1838"/>
      <c r="L231" s="1838"/>
      <c r="M231" s="1839">
        <f>+IF(M$8=UsoSuelo!$S285,$D231,0)</f>
        <v>0</v>
      </c>
      <c r="N231" s="1838">
        <f>+IF(N$8=UsoSuelo!$S285,$D231,0)</f>
        <v>0</v>
      </c>
      <c r="O231" s="1838">
        <f>+IF(O$8=UsoSuelo!$S285,$D231,0)</f>
        <v>0</v>
      </c>
      <c r="P231" s="1838">
        <f>+IF(P$8=UsoSuelo!$S285,$D231,0)</f>
        <v>0</v>
      </c>
      <c r="Q231" s="1838">
        <f>+IF(Q$8=UsoSuelo!$S285,$D231,0)</f>
        <v>0</v>
      </c>
      <c r="R231" s="1838">
        <f>+IF(R$8=UsoSuelo!$S285,$D231,0)</f>
        <v>0</v>
      </c>
      <c r="S231" s="1838">
        <f>+IF(S$8=UsoSuelo!$S285,$D231,0)</f>
        <v>0</v>
      </c>
      <c r="T231" s="1838">
        <f>+IF(T$8=UsoSuelo!$S285,$D231,0)</f>
        <v>0</v>
      </c>
      <c r="U231" s="1838">
        <f>+IF(U$8=UsoSuelo!$S285,$D231,0)</f>
        <v>0</v>
      </c>
      <c r="V231" s="1838">
        <f>+IF(V$8=UsoSuelo!$S285,$D231,0)</f>
        <v>0</v>
      </c>
      <c r="W231" s="1838">
        <f>+IF(W$8=UsoSuelo!$S285,$D231,0)</f>
        <v>0</v>
      </c>
      <c r="X231" s="1840">
        <f>+IF(X$8=UsoSuelo!$S285,$D231,0)</f>
        <v>0</v>
      </c>
      <c r="Y231" s="1841"/>
      <c r="Z231" s="795"/>
      <c r="AA231" s="795"/>
      <c r="AB231" s="795"/>
      <c r="AC231" s="809">
        <f>+AC214</f>
        <v>0</v>
      </c>
      <c r="AD231" s="801">
        <f>+$AC$214</f>
        <v>0</v>
      </c>
      <c r="AE231" s="801">
        <f t="shared" ref="AE231:AN231" si="134">+$AC$214</f>
        <v>0</v>
      </c>
      <c r="AF231" s="801">
        <f t="shared" si="134"/>
        <v>0</v>
      </c>
      <c r="AG231" s="801">
        <f t="shared" si="134"/>
        <v>0</v>
      </c>
      <c r="AH231" s="801">
        <f t="shared" si="134"/>
        <v>0</v>
      </c>
      <c r="AI231" s="801">
        <f t="shared" si="134"/>
        <v>0</v>
      </c>
      <c r="AJ231" s="801">
        <f t="shared" si="134"/>
        <v>0</v>
      </c>
      <c r="AK231" s="801">
        <f t="shared" si="134"/>
        <v>0</v>
      </c>
      <c r="AL231" s="801">
        <f t="shared" si="134"/>
        <v>0</v>
      </c>
      <c r="AM231" s="801">
        <f t="shared" si="134"/>
        <v>0</v>
      </c>
      <c r="AN231" s="802">
        <f t="shared" si="134"/>
        <v>0</v>
      </c>
      <c r="AO231" s="795"/>
      <c r="AP231" s="795"/>
      <c r="AQ231" s="795"/>
      <c r="AR231" s="795"/>
      <c r="AS231" s="809">
        <f t="shared" ref="AS231:BD231" si="135">+AS214</f>
        <v>0</v>
      </c>
      <c r="AT231" s="801">
        <f t="shared" si="135"/>
        <v>0</v>
      </c>
      <c r="AU231" s="801">
        <f t="shared" si="135"/>
        <v>0</v>
      </c>
      <c r="AV231" s="801">
        <f t="shared" si="135"/>
        <v>0</v>
      </c>
      <c r="AW231" s="801">
        <f t="shared" si="135"/>
        <v>0</v>
      </c>
      <c r="AX231" s="801">
        <f t="shared" si="135"/>
        <v>0</v>
      </c>
      <c r="AY231" s="801">
        <f t="shared" si="135"/>
        <v>0</v>
      </c>
      <c r="AZ231" s="801">
        <f t="shared" si="135"/>
        <v>0</v>
      </c>
      <c r="BA231" s="801">
        <f t="shared" si="135"/>
        <v>0</v>
      </c>
      <c r="BB231" s="801">
        <f t="shared" si="135"/>
        <v>0</v>
      </c>
      <c r="BC231" s="801">
        <f t="shared" si="135"/>
        <v>0</v>
      </c>
      <c r="BD231" s="802">
        <f t="shared" si="135"/>
        <v>0</v>
      </c>
      <c r="BE231" s="1828">
        <v>13</v>
      </c>
      <c r="BF231" s="801"/>
      <c r="BG231" s="1829">
        <f t="shared" si="110"/>
        <v>0</v>
      </c>
      <c r="BH231" s="1829">
        <f t="shared" si="110"/>
        <v>0</v>
      </c>
      <c r="BI231" s="1829">
        <f t="shared" si="110"/>
        <v>0</v>
      </c>
      <c r="BJ231" s="1829">
        <f t="shared" si="110"/>
        <v>0</v>
      </c>
      <c r="BK231" s="1829">
        <f t="shared" si="110"/>
        <v>0</v>
      </c>
      <c r="BL231" s="1829">
        <f t="shared" si="110"/>
        <v>0</v>
      </c>
      <c r="BM231" s="1829">
        <f t="shared" si="110"/>
        <v>0</v>
      </c>
      <c r="BN231" s="1829">
        <f t="shared" si="110"/>
        <v>0</v>
      </c>
      <c r="BO231" s="1829">
        <f t="shared" si="110"/>
        <v>0</v>
      </c>
      <c r="BP231" s="1829">
        <f t="shared" si="110"/>
        <v>0</v>
      </c>
      <c r="BQ231" s="1829">
        <f t="shared" si="110"/>
        <v>0</v>
      </c>
      <c r="BR231" s="1830">
        <f t="shared" si="110"/>
        <v>0</v>
      </c>
      <c r="BS231" s="1828">
        <v>13</v>
      </c>
      <c r="BT231" s="801"/>
      <c r="BU231" s="1829">
        <f t="shared" si="111"/>
        <v>0</v>
      </c>
      <c r="BV231" s="1829">
        <f t="shared" si="111"/>
        <v>0</v>
      </c>
      <c r="BW231" s="1829">
        <f t="shared" si="111"/>
        <v>0</v>
      </c>
      <c r="BX231" s="1829">
        <f t="shared" si="111"/>
        <v>0</v>
      </c>
      <c r="BY231" s="1829">
        <f t="shared" si="111"/>
        <v>0</v>
      </c>
      <c r="BZ231" s="1829">
        <f t="shared" si="111"/>
        <v>0</v>
      </c>
      <c r="CA231" s="1829">
        <f t="shared" si="111"/>
        <v>0</v>
      </c>
      <c r="CB231" s="1829">
        <f t="shared" si="111"/>
        <v>0</v>
      </c>
      <c r="CC231" s="1829">
        <f t="shared" si="111"/>
        <v>0</v>
      </c>
      <c r="CD231" s="1829">
        <f t="shared" si="111"/>
        <v>0</v>
      </c>
      <c r="CE231" s="1829">
        <f t="shared" si="111"/>
        <v>0</v>
      </c>
      <c r="CF231" s="1830">
        <f t="shared" si="111"/>
        <v>0</v>
      </c>
      <c r="CG231" s="1828">
        <v>13</v>
      </c>
      <c r="CH231" s="801"/>
      <c r="CI231" s="1829">
        <f t="shared" si="112"/>
        <v>0</v>
      </c>
      <c r="CJ231" s="1829">
        <f t="shared" si="112"/>
        <v>0</v>
      </c>
      <c r="CK231" s="1829">
        <f t="shared" si="112"/>
        <v>0</v>
      </c>
      <c r="CL231" s="1829">
        <f t="shared" si="112"/>
        <v>0</v>
      </c>
      <c r="CM231" s="1829">
        <f t="shared" si="112"/>
        <v>0</v>
      </c>
      <c r="CN231" s="1829">
        <f t="shared" si="112"/>
        <v>0</v>
      </c>
      <c r="CO231" s="1829">
        <f t="shared" si="112"/>
        <v>0</v>
      </c>
      <c r="CP231" s="1829">
        <f t="shared" si="112"/>
        <v>0</v>
      </c>
      <c r="CQ231" s="1829">
        <f t="shared" si="112"/>
        <v>0</v>
      </c>
      <c r="CR231" s="1829">
        <f t="shared" si="112"/>
        <v>0</v>
      </c>
      <c r="CS231" s="1829">
        <f t="shared" si="112"/>
        <v>0</v>
      </c>
      <c r="CT231" s="1830">
        <f t="shared" si="112"/>
        <v>0</v>
      </c>
    </row>
    <row r="232" spans="1:98" hidden="1" x14ac:dyDescent="0.2">
      <c r="A232" s="232"/>
      <c r="B232" s="232"/>
      <c r="C232" s="232"/>
      <c r="D232" s="232"/>
      <c r="E232" s="232"/>
      <c r="F232" s="232"/>
      <c r="G232" s="232"/>
      <c r="H232" s="232"/>
      <c r="I232" s="232"/>
      <c r="J232" s="232"/>
      <c r="K232" s="232"/>
      <c r="L232" s="232"/>
      <c r="M232" s="232"/>
      <c r="N232" s="232"/>
      <c r="O232" s="232"/>
      <c r="P232" s="232"/>
      <c r="Q232" s="232"/>
      <c r="R232" s="232"/>
      <c r="S232" s="232"/>
      <c r="T232" s="232"/>
      <c r="U232" s="232"/>
      <c r="V232" s="232"/>
      <c r="W232" s="232"/>
      <c r="X232" s="232"/>
      <c r="Y232" s="232"/>
      <c r="Z232" s="232"/>
      <c r="AA232" s="232"/>
      <c r="AB232" s="232"/>
      <c r="AO232" s="232"/>
      <c r="AP232" s="232"/>
      <c r="AQ232" s="232"/>
      <c r="AR232" s="232"/>
      <c r="AS232" s="232"/>
      <c r="AT232" s="232"/>
      <c r="AU232" s="232"/>
      <c r="AV232" s="232"/>
      <c r="AW232" s="232"/>
      <c r="AX232" s="232"/>
      <c r="AY232" s="232"/>
      <c r="AZ232" s="232"/>
      <c r="BA232" s="232"/>
      <c r="BB232" s="232"/>
      <c r="BC232" s="232"/>
      <c r="BD232" s="232"/>
    </row>
  </sheetData>
  <sheetProtection password="CF72" sheet="1" objects="1" scenarios="1"/>
  <sortState ref="B119:J197">
    <sortCondition ref="B119:B197"/>
  </sortState>
  <mergeCells count="2">
    <mergeCell ref="E7:H7"/>
    <mergeCell ref="I7:L7"/>
  </mergeCells>
  <conditionalFormatting sqref="A2:AB5 B1:AB1 B6:AB6 A7:AB105 AO1:AR105">
    <cfRule type="cellIs" dxfId="8680" priority="35" operator="equal">
      <formula>0</formula>
    </cfRule>
  </conditionalFormatting>
  <conditionalFormatting sqref="A1">
    <cfRule type="cellIs" dxfId="8679" priority="1" operator="equal">
      <formula>0</formula>
    </cfRule>
  </conditionalFormatting>
  <dataValidations disablePrompts="1" count="4">
    <dataValidation allowBlank="1" showInputMessage="1" showErrorMessage="1" prompt="Alfalfa Pura " sqref="B14"/>
    <dataValidation allowBlank="1" showInputMessage="1" showErrorMessage="1" prompt="Mezclas de graminea perenne + leg" sqref="B15"/>
    <dataValidation allowBlank="1" showInputMessage="1" showErrorMessage="1" prompt="Mezclas de graminea annual/bianual + Leg (no AA)" sqref="B16"/>
    <dataValidation allowBlank="1" showInputMessage="1" showErrorMessage="1" prompt="Mezcla Achicoria + TR + cebadilla o similares_x000a_" sqref="B17"/>
  </dataValidations>
  <hyperlinks>
    <hyperlink ref="C2" location="Opcionesforrajeras!B10:B12" display="CN, CNM "/>
    <hyperlink ref="C3" location="Opcionesforrajeras!B15" display="Praderas nuevas "/>
    <hyperlink ref="C4" location="Opcionesforrajeras!B22" display="Praderas"/>
    <hyperlink ref="E2" location="Opcionesforrajeras!B37" display="Verdeos de Invierno "/>
    <hyperlink ref="E3" location="Opcionesforrajeras!B47" display="Verdes de Verano "/>
    <hyperlink ref="H2" location="Opcionesforrajeras!B53" display="Cultivos de Verano para Reserva"/>
    <hyperlink ref="H3" location="Opcionesforrajeras!B60" display="Cultivos de Invierno para Reserva"/>
    <hyperlink ref="L2" location="Opcionesforrajeras!B66" display="Cultivos Agrícolas"/>
    <hyperlink ref="L3" location="Opcionesforrajeras!B79" display="Semilleros leguminosas + otros "/>
    <hyperlink ref="L4" location="Opcionesforrajeras!B89" display="Semilleros gramíneas  "/>
    <hyperlink ref="P2" location="Opcionesforrajeras!B99" display="Barbechos y otros (SU)"/>
    <hyperlink ref="C3:D3" location="Opcionesforrajeras!B14:B19" display="Praderas nuevas "/>
    <hyperlink ref="C4:D4" location="Opcionesforrajeras!B21:B34" display="Praderas"/>
    <hyperlink ref="E2:F2" location="Opcionesforrajeras!B36:B45" display="Verdeos de Invierno "/>
    <hyperlink ref="E3:F3" location="Opcionesforrajeras!B46:B51" display="Verdes de Verano "/>
    <hyperlink ref="H3:I3" location="Opcionesforrajeras!B52:B58" display="Cultivos de Verano para Reserva"/>
    <hyperlink ref="C2:D2" location="Opcionesforrajeras!B10:B12" display="CN, CNM "/>
    <hyperlink ref="E2:G2" location="Opcionesforrajeras!B36:B44" display="Verdeos de Invierno "/>
    <hyperlink ref="E3:G3" location="Opcionesforrajeras!B46:B50" display="Verdes de Verano "/>
    <hyperlink ref="H3:K3" location="Opcionesforrajeras!B59:B63" display="Cultivos de Invierno para Reserva"/>
    <hyperlink ref="L2:O2" location="Opcionesforrajeras!B65:B76" display="Cultivos Agrícolas"/>
    <hyperlink ref="L3:O3" location="Opcionesforrajeras!B78:B86" display="Semilleros leguminosas + otros "/>
    <hyperlink ref="L4:O4" location="Opcionesforrajeras!B88:B96" display="Semilleros gramíneas  "/>
    <hyperlink ref="P2:S2" location="Opcionesforrajeras!B98:B105" display="Barbechos y otros (SU)"/>
    <hyperlink ref="H2:K2" location="Opcionesforrajeras!B52:B57" display="Cultivos de Verano para Reserva"/>
    <hyperlink ref="A1" location="ManualGlobal!B27:D43" display="◄"/>
  </hyperlinks>
  <pageMargins left="0.75" right="0.75" top="1" bottom="1" header="0" footer="0"/>
  <pageSetup paperSize="9" orientation="landscape" horizontalDpi="360" verticalDpi="360" r:id="rId1"/>
  <headerFooter alignWithMargins="0"/>
  <ignoredErrors>
    <ignoredError sqref="H10:H50"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AU3358"/>
  <sheetViews>
    <sheetView showGridLines="0" zoomScale="107" zoomScaleNormal="85" workbookViewId="0">
      <pane ySplit="9" topLeftCell="A584" activePane="bottomLeft" state="frozen"/>
      <selection pane="bottomLeft" activeCell="F560" sqref="F560"/>
    </sheetView>
  </sheetViews>
  <sheetFormatPr baseColWidth="10" defaultColWidth="11.375" defaultRowHeight="14.4" x14ac:dyDescent="0.2"/>
  <cols>
    <col min="1" max="1" width="5.375" style="232" customWidth="1"/>
    <col min="2" max="2" width="30.375" style="359" customWidth="1"/>
    <col min="3" max="3" width="9.875" style="141" customWidth="1"/>
    <col min="4" max="4" width="9.125" style="141" customWidth="1"/>
    <col min="5" max="5" width="9.25" style="141" customWidth="1"/>
    <col min="6" max="6" width="9.875" style="141" customWidth="1"/>
    <col min="7" max="7" width="8.25" style="141" customWidth="1"/>
    <col min="8" max="8" width="7.75" style="141" customWidth="1"/>
    <col min="9" max="21" width="7.875" style="141" customWidth="1"/>
    <col min="22" max="22" width="14.75" style="232" hidden="1" customWidth="1"/>
    <col min="23" max="23" width="17.125" style="232" hidden="1" customWidth="1"/>
    <col min="24" max="24" width="4.375" style="232" customWidth="1"/>
    <col min="25" max="25" width="35.625" style="232" bestFit="1" customWidth="1"/>
    <col min="26" max="26" width="10.375" style="141" customWidth="1"/>
    <col min="27" max="27" width="8.875" style="141" customWidth="1"/>
    <col min="28" max="28" width="9.375" style="141" customWidth="1"/>
    <col min="29" max="29" width="11.375" style="141" customWidth="1"/>
    <col min="30" max="30" width="10.375" style="141" customWidth="1"/>
    <col min="31" max="31" width="7.375" style="141" customWidth="1"/>
    <col min="32" max="36" width="7.625" style="141" customWidth="1"/>
    <col min="37" max="37" width="9.125" style="141" customWidth="1"/>
    <col min="38" max="43" width="7.625" style="141" customWidth="1"/>
    <col min="44" max="44" width="9.625" style="141" customWidth="1"/>
    <col min="45" max="45" width="22.625" style="232" hidden="1" customWidth="1"/>
    <col min="46" max="46" width="19.875" style="232" hidden="1" customWidth="1"/>
    <col min="47" max="16384" width="11.375" style="232"/>
  </cols>
  <sheetData>
    <row r="1" spans="1:46" s="1081" customFormat="1" ht="17.7" x14ac:dyDescent="0.3">
      <c r="A1" s="2443" t="s">
        <v>633</v>
      </c>
      <c r="B1" s="1520" t="s">
        <v>1874</v>
      </c>
      <c r="C1" s="1521"/>
      <c r="D1" s="1522"/>
      <c r="E1" s="1521"/>
      <c r="F1" s="1521"/>
      <c r="G1" s="1521"/>
      <c r="H1" s="1521"/>
      <c r="I1" s="1521"/>
      <c r="J1" s="1521"/>
      <c r="K1" s="1521"/>
      <c r="L1" s="1521"/>
      <c r="M1" s="1521"/>
      <c r="N1" s="1521"/>
      <c r="O1" s="1521"/>
      <c r="P1" s="1521"/>
      <c r="Q1" s="1521"/>
      <c r="R1" s="5514" t="s">
        <v>351</v>
      </c>
      <c r="S1" s="5514"/>
      <c r="T1" s="5514"/>
      <c r="U1" s="5514"/>
      <c r="V1" s="1573" t="s">
        <v>1985</v>
      </c>
      <c r="W1" s="1573" t="s">
        <v>1124</v>
      </c>
      <c r="Y1" s="1520" t="s">
        <v>1875</v>
      </c>
      <c r="Z1" s="1521"/>
      <c r="AA1" s="1522"/>
      <c r="AB1" s="1521"/>
      <c r="AC1" s="1521"/>
      <c r="AD1" s="1521"/>
      <c r="AE1" s="1521"/>
      <c r="AF1" s="1521"/>
      <c r="AG1" s="1521"/>
      <c r="AH1" s="1521"/>
      <c r="AI1" s="1521"/>
      <c r="AJ1" s="1521"/>
      <c r="AK1" s="1521"/>
      <c r="AL1" s="1521"/>
      <c r="AM1" s="1521"/>
      <c r="AN1" s="1521"/>
      <c r="AO1" s="5515" t="s">
        <v>686</v>
      </c>
      <c r="AP1" s="5515"/>
      <c r="AQ1" s="5515"/>
      <c r="AR1" s="5515"/>
      <c r="AS1" s="1573" t="s">
        <v>1985</v>
      </c>
      <c r="AT1" s="1573" t="s">
        <v>1124</v>
      </c>
    </row>
    <row r="2" spans="1:46" s="1081" customFormat="1" ht="11.95" customHeight="1" x14ac:dyDescent="0.2">
      <c r="B2" s="1520"/>
      <c r="C2" s="1521"/>
      <c r="D2" s="1521"/>
      <c r="E2" s="1521"/>
      <c r="F2" s="1521"/>
      <c r="G2" s="1521"/>
      <c r="H2" s="1521"/>
      <c r="I2" s="1521"/>
      <c r="J2" s="1521"/>
      <c r="K2" s="1521"/>
      <c r="L2" s="1521"/>
      <c r="M2" s="1521"/>
      <c r="N2" s="1521"/>
      <c r="O2" s="1521"/>
      <c r="P2" s="1521"/>
      <c r="Q2" s="1521"/>
      <c r="R2" s="1521"/>
      <c r="S2" s="1521"/>
      <c r="T2" s="1521"/>
      <c r="U2" s="1521"/>
      <c r="Y2" s="1520"/>
      <c r="Z2" s="1521"/>
      <c r="AA2" s="1521"/>
      <c r="AB2" s="1521"/>
      <c r="AC2" s="1521"/>
      <c r="AD2" s="1521"/>
      <c r="AE2" s="1521"/>
      <c r="AF2" s="1521"/>
      <c r="AG2" s="1521"/>
      <c r="AH2" s="1521"/>
      <c r="AI2" s="1521"/>
      <c r="AJ2" s="1521"/>
      <c r="AK2" s="1521"/>
      <c r="AL2" s="1521"/>
      <c r="AM2" s="1521"/>
      <c r="AN2" s="1521"/>
      <c r="AO2" s="1521"/>
      <c r="AP2" s="1521"/>
      <c r="AQ2" s="1521"/>
      <c r="AR2" s="1521"/>
    </row>
    <row r="3" spans="1:46" x14ac:dyDescent="0.3">
      <c r="B3" s="2447" t="s">
        <v>1986</v>
      </c>
      <c r="D3" s="5516" t="s">
        <v>655</v>
      </c>
      <c r="E3" s="5516"/>
      <c r="F3" s="5516"/>
      <c r="J3" s="5516" t="s">
        <v>657</v>
      </c>
      <c r="K3" s="5516"/>
      <c r="L3" s="5516"/>
      <c r="M3" s="2385"/>
      <c r="O3" s="5516" t="s">
        <v>1988</v>
      </c>
      <c r="P3" s="5516"/>
      <c r="Q3" s="5516"/>
      <c r="R3" s="2385"/>
      <c r="S3" s="2385"/>
      <c r="V3" s="2385"/>
      <c r="W3" s="141"/>
      <c r="X3" s="141"/>
      <c r="Y3" s="739" t="s">
        <v>1986</v>
      </c>
      <c r="AE3" s="232"/>
    </row>
    <row r="4" spans="1:46" x14ac:dyDescent="0.3">
      <c r="B4" s="2443" t="s">
        <v>533</v>
      </c>
      <c r="D4" s="5516" t="s">
        <v>656</v>
      </c>
      <c r="E4" s="5516"/>
      <c r="F4" s="5516"/>
      <c r="J4" s="5516" t="s">
        <v>658</v>
      </c>
      <c r="K4" s="5516"/>
      <c r="L4" s="5516"/>
      <c r="O4" s="5517" t="s">
        <v>1872</v>
      </c>
      <c r="P4" s="5517"/>
      <c r="Q4" s="5517"/>
      <c r="AE4" s="232"/>
    </row>
    <row r="5" spans="1:46" x14ac:dyDescent="0.2">
      <c r="B5" s="739"/>
      <c r="F5" s="739"/>
      <c r="G5" s="739"/>
      <c r="H5" s="739"/>
      <c r="I5" s="739"/>
      <c r="J5" s="739"/>
      <c r="K5" s="739"/>
      <c r="L5" s="232"/>
      <c r="M5" s="232"/>
      <c r="N5" s="1523"/>
      <c r="O5" s="1523"/>
      <c r="P5" s="1523"/>
      <c r="Q5" s="1523"/>
      <c r="R5" s="1523"/>
      <c r="S5" s="1523"/>
      <c r="AE5" s="232"/>
    </row>
    <row r="6" spans="1:46" x14ac:dyDescent="0.2">
      <c r="H6" s="1055" t="s">
        <v>883</v>
      </c>
      <c r="I6" s="1053" t="str">
        <f>+I41</f>
        <v>Ene</v>
      </c>
      <c r="J6" s="1053" t="str">
        <f t="shared" ref="J6:T6" si="0">+J41</f>
        <v>Feb</v>
      </c>
      <c r="K6" s="1053" t="str">
        <f t="shared" si="0"/>
        <v>Mar</v>
      </c>
      <c r="L6" s="1053" t="str">
        <f t="shared" si="0"/>
        <v>Abr</v>
      </c>
      <c r="M6" s="1053" t="str">
        <f t="shared" si="0"/>
        <v>May</v>
      </c>
      <c r="N6" s="1053" t="str">
        <f t="shared" si="0"/>
        <v>Jun</v>
      </c>
      <c r="O6" s="1053" t="str">
        <f t="shared" si="0"/>
        <v>Jul</v>
      </c>
      <c r="P6" s="1053" t="str">
        <f t="shared" si="0"/>
        <v>Ago</v>
      </c>
      <c r="Q6" s="1053" t="str">
        <f t="shared" si="0"/>
        <v>Set</v>
      </c>
      <c r="R6" s="1053" t="str">
        <f t="shared" si="0"/>
        <v>Oct</v>
      </c>
      <c r="S6" s="1053" t="str">
        <f t="shared" si="0"/>
        <v>Nov</v>
      </c>
      <c r="T6" s="1053" t="str">
        <f t="shared" si="0"/>
        <v>Dic</v>
      </c>
      <c r="U6" s="1054" t="s">
        <v>1106</v>
      </c>
      <c r="AD6" s="1055" t="s">
        <v>883</v>
      </c>
      <c r="AE6" s="140"/>
      <c r="AF6" s="1053" t="str">
        <f>+AF41</f>
        <v>Ene</v>
      </c>
      <c r="AG6" s="1053" t="str">
        <f t="shared" ref="AG6:AQ6" si="1">+AG41</f>
        <v>Feb</v>
      </c>
      <c r="AH6" s="1053" t="str">
        <f t="shared" si="1"/>
        <v>Mar</v>
      </c>
      <c r="AI6" s="1053" t="str">
        <f t="shared" si="1"/>
        <v>Abr</v>
      </c>
      <c r="AJ6" s="1053" t="str">
        <f t="shared" si="1"/>
        <v>May</v>
      </c>
      <c r="AK6" s="1053" t="str">
        <f t="shared" si="1"/>
        <v>Jun</v>
      </c>
      <c r="AL6" s="1053" t="str">
        <f t="shared" si="1"/>
        <v>Jul</v>
      </c>
      <c r="AM6" s="1053" t="str">
        <f t="shared" si="1"/>
        <v>Ago</v>
      </c>
      <c r="AN6" s="1053" t="str">
        <f t="shared" si="1"/>
        <v>Set</v>
      </c>
      <c r="AO6" s="1053" t="str">
        <f t="shared" si="1"/>
        <v>Oct</v>
      </c>
      <c r="AP6" s="1053" t="str">
        <f t="shared" si="1"/>
        <v>Nov</v>
      </c>
      <c r="AQ6" s="1053" t="str">
        <f t="shared" si="1"/>
        <v>Dic</v>
      </c>
      <c r="AR6" s="1054" t="s">
        <v>1106</v>
      </c>
    </row>
    <row r="7" spans="1:46" x14ac:dyDescent="0.2">
      <c r="B7" s="739"/>
      <c r="C7" s="621" t="s">
        <v>885</v>
      </c>
      <c r="D7" s="621"/>
      <c r="E7" s="621" t="s">
        <v>881</v>
      </c>
      <c r="F7" s="621" t="s">
        <v>23</v>
      </c>
      <c r="G7" s="622"/>
      <c r="H7" s="623"/>
      <c r="I7" s="297"/>
      <c r="J7" s="296"/>
      <c r="K7" s="296"/>
      <c r="L7" s="296"/>
      <c r="M7" s="296"/>
      <c r="N7" s="297"/>
      <c r="O7" s="297"/>
      <c r="P7" s="297"/>
      <c r="Q7" s="297"/>
      <c r="R7" s="297"/>
      <c r="S7" s="297"/>
      <c r="T7" s="297"/>
      <c r="U7" s="642" t="s">
        <v>881</v>
      </c>
      <c r="X7" s="205"/>
      <c r="Z7" s="621" t="s">
        <v>885</v>
      </c>
      <c r="AA7" s="621"/>
      <c r="AB7" s="621" t="s">
        <v>881</v>
      </c>
      <c r="AC7" s="621" t="s">
        <v>23</v>
      </c>
      <c r="AD7" s="622"/>
      <c r="AE7" s="623"/>
      <c r="AF7" s="297"/>
      <c r="AG7" s="296"/>
      <c r="AH7" s="296"/>
      <c r="AI7" s="296"/>
      <c r="AJ7" s="296"/>
      <c r="AK7" s="297"/>
      <c r="AL7" s="297"/>
      <c r="AM7" s="297"/>
      <c r="AN7" s="297"/>
      <c r="AO7" s="297"/>
      <c r="AP7" s="297"/>
      <c r="AQ7" s="297"/>
      <c r="AR7" s="642" t="s">
        <v>881</v>
      </c>
    </row>
    <row r="8" spans="1:46" x14ac:dyDescent="0.2">
      <c r="B8" s="1518"/>
      <c r="C8" s="3" t="s">
        <v>1105</v>
      </c>
      <c r="D8" s="3" t="s">
        <v>312</v>
      </c>
      <c r="E8" s="4" t="s">
        <v>882</v>
      </c>
      <c r="F8" s="3" t="s">
        <v>314</v>
      </c>
      <c r="G8" s="4" t="s">
        <v>313</v>
      </c>
      <c r="H8" s="299"/>
      <c r="I8" s="320"/>
      <c r="J8" s="319"/>
      <c r="K8" s="319"/>
      <c r="L8" s="319"/>
      <c r="M8" s="319" t="s">
        <v>349</v>
      </c>
      <c r="N8" s="320"/>
      <c r="O8" s="320"/>
      <c r="P8" s="320"/>
      <c r="Q8" s="320"/>
      <c r="R8" s="320"/>
      <c r="S8" s="320"/>
      <c r="T8" s="320"/>
      <c r="U8" s="643" t="s">
        <v>891</v>
      </c>
      <c r="X8" s="205"/>
      <c r="Z8" s="3" t="s">
        <v>1105</v>
      </c>
      <c r="AA8" s="3" t="s">
        <v>312</v>
      </c>
      <c r="AB8" s="4" t="s">
        <v>882</v>
      </c>
      <c r="AC8" s="3" t="s">
        <v>314</v>
      </c>
      <c r="AD8" s="4" t="s">
        <v>313</v>
      </c>
      <c r="AE8" s="299"/>
      <c r="AF8" s="320"/>
      <c r="AG8" s="319"/>
      <c r="AH8" s="319"/>
      <c r="AI8" s="319"/>
      <c r="AJ8" s="319" t="s">
        <v>349</v>
      </c>
      <c r="AK8" s="320"/>
      <c r="AL8" s="320"/>
      <c r="AM8" s="320"/>
      <c r="AN8" s="320"/>
      <c r="AO8" s="320"/>
      <c r="AP8" s="320"/>
      <c r="AQ8" s="320"/>
      <c r="AR8" s="643" t="s">
        <v>891</v>
      </c>
    </row>
    <row r="9" spans="1:46" ht="3.95" hidden="1" customHeight="1" x14ac:dyDescent="0.2">
      <c r="B9" s="1518"/>
      <c r="C9" s="335"/>
      <c r="D9" s="335"/>
      <c r="E9" s="335"/>
      <c r="F9" s="335"/>
      <c r="G9" s="335"/>
      <c r="H9" s="169"/>
      <c r="I9" s="336"/>
      <c r="J9" s="1051"/>
      <c r="K9" s="1051"/>
      <c r="L9" s="1051"/>
      <c r="M9" s="1051"/>
      <c r="N9" s="336"/>
      <c r="O9" s="336"/>
      <c r="P9" s="336"/>
      <c r="Q9" s="336"/>
      <c r="R9" s="336"/>
      <c r="S9" s="336"/>
      <c r="T9" s="336"/>
      <c r="U9" s="1052"/>
      <c r="X9" s="205"/>
      <c r="Y9" s="205"/>
      <c r="Z9" s="140"/>
      <c r="AA9" s="140"/>
      <c r="AB9" s="140"/>
      <c r="AC9" s="140"/>
      <c r="AD9" s="140"/>
      <c r="AE9" s="205"/>
      <c r="AF9" s="140"/>
      <c r="AG9" s="140"/>
      <c r="AH9" s="140"/>
      <c r="AI9" s="140"/>
      <c r="AJ9" s="140"/>
      <c r="AK9" s="140"/>
      <c r="AL9" s="140"/>
      <c r="AM9" s="140"/>
      <c r="AN9" s="140"/>
      <c r="AO9" s="140"/>
      <c r="AP9" s="140"/>
      <c r="AQ9" s="140"/>
      <c r="AR9" s="140"/>
    </row>
    <row r="10" spans="1:46" ht="15.05" thickBot="1" x14ac:dyDescent="0.25">
      <c r="B10" s="1518"/>
      <c r="C10" s="439"/>
      <c r="D10" s="439"/>
      <c r="E10" s="439"/>
      <c r="F10" s="439"/>
      <c r="G10" s="439"/>
      <c r="H10" s="372"/>
      <c r="I10" s="592"/>
      <c r="J10" s="591"/>
      <c r="K10" s="591"/>
      <c r="L10" s="591"/>
      <c r="M10" s="591"/>
      <c r="N10" s="592"/>
      <c r="O10" s="592"/>
      <c r="P10" s="592"/>
      <c r="Q10" s="592"/>
      <c r="R10" s="592"/>
      <c r="S10" s="592"/>
      <c r="T10" s="592"/>
      <c r="U10" s="1509"/>
      <c r="AE10" s="232"/>
    </row>
    <row r="11" spans="1:46" ht="15.05" thickBot="1" x14ac:dyDescent="0.25">
      <c r="A11" s="1344">
        <f>UsoSuelo!A288+1</f>
        <v>41</v>
      </c>
      <c r="B11" s="635" t="s">
        <v>1876</v>
      </c>
      <c r="C11" s="1279"/>
      <c r="D11" s="1279"/>
      <c r="E11" s="636"/>
      <c r="F11" s="637"/>
      <c r="G11" s="637"/>
      <c r="H11" s="637"/>
      <c r="I11" s="637"/>
      <c r="J11" s="637"/>
      <c r="K11" s="637"/>
      <c r="L11" s="637"/>
      <c r="M11" s="637"/>
      <c r="N11" s="637"/>
      <c r="O11" s="637"/>
      <c r="P11" s="637"/>
      <c r="Q11" s="637"/>
      <c r="R11" s="637"/>
      <c r="S11" s="637"/>
      <c r="T11" s="637"/>
      <c r="U11" s="638"/>
      <c r="X11" s="205"/>
      <c r="Y11" s="635" t="s">
        <v>2343</v>
      </c>
      <c r="Z11" s="1279"/>
      <c r="AA11" s="1279"/>
      <c r="AB11" s="636"/>
      <c r="AC11" s="637"/>
      <c r="AD11" s="637"/>
      <c r="AE11" s="637"/>
      <c r="AF11" s="637"/>
      <c r="AG11" s="637"/>
      <c r="AH11" s="637"/>
      <c r="AI11" s="637"/>
      <c r="AJ11" s="637"/>
      <c r="AK11" s="637"/>
      <c r="AL11" s="637"/>
      <c r="AM11" s="637"/>
      <c r="AN11" s="637"/>
      <c r="AO11" s="637"/>
      <c r="AP11" s="637"/>
      <c r="AQ11" s="637"/>
      <c r="AR11" s="638"/>
    </row>
    <row r="12" spans="1:46" x14ac:dyDescent="0.2">
      <c r="B12" s="1518"/>
      <c r="C12" s="439"/>
      <c r="D12" s="439"/>
      <c r="E12" s="439"/>
      <c r="F12" s="439"/>
      <c r="G12" s="439"/>
      <c r="H12" s="372"/>
      <c r="I12" s="592"/>
      <c r="J12" s="591"/>
      <c r="K12" s="591"/>
      <c r="L12" s="591"/>
      <c r="M12" s="591"/>
      <c r="N12" s="592"/>
      <c r="O12" s="592"/>
      <c r="P12" s="592"/>
      <c r="Q12" s="592"/>
      <c r="R12" s="592"/>
      <c r="S12" s="592"/>
      <c r="T12" s="592"/>
      <c r="U12" s="1509"/>
      <c r="Y12" s="1518"/>
      <c r="Z12" s="439"/>
      <c r="AA12" s="439"/>
      <c r="AB12" s="439"/>
      <c r="AC12" s="439"/>
      <c r="AD12" s="439"/>
      <c r="AE12" s="372"/>
      <c r="AF12" s="592"/>
      <c r="AG12" s="591"/>
      <c r="AH12" s="591"/>
      <c r="AI12" s="591"/>
      <c r="AJ12" s="591"/>
      <c r="AK12" s="592"/>
      <c r="AL12" s="592"/>
      <c r="AM12" s="592"/>
      <c r="AN12" s="592"/>
      <c r="AO12" s="592"/>
      <c r="AP12" s="592"/>
      <c r="AQ12" s="592"/>
      <c r="AR12" s="1509"/>
    </row>
    <row r="13" spans="1:46" x14ac:dyDescent="0.2">
      <c r="B13" s="732" t="s">
        <v>229</v>
      </c>
      <c r="C13" s="422" t="s">
        <v>247</v>
      </c>
      <c r="D13" s="422"/>
      <c r="E13" s="1272"/>
      <c r="F13" s="422"/>
      <c r="G13" s="439"/>
      <c r="H13" s="372"/>
      <c r="I13" s="592"/>
      <c r="J13" s="591"/>
      <c r="K13" s="591"/>
      <c r="L13" s="591"/>
      <c r="M13" s="591"/>
      <c r="N13" s="592"/>
      <c r="O13" s="592"/>
      <c r="P13" s="592"/>
      <c r="Q13" s="592"/>
      <c r="R13" s="592"/>
      <c r="S13" s="592"/>
      <c r="T13" s="592"/>
      <c r="U13" s="1509"/>
      <c r="Y13" s="732" t="s">
        <v>229</v>
      </c>
      <c r="Z13" s="422" t="s">
        <v>247</v>
      </c>
      <c r="AA13" s="422"/>
      <c r="AB13" s="1272"/>
      <c r="AC13" s="422"/>
      <c r="AD13" s="439"/>
      <c r="AE13" s="372"/>
      <c r="AF13" s="592"/>
      <c r="AG13" s="591"/>
      <c r="AH13" s="591"/>
      <c r="AI13" s="591"/>
      <c r="AJ13" s="591"/>
      <c r="AK13" s="592"/>
      <c r="AL13" s="592"/>
      <c r="AM13" s="592"/>
      <c r="AN13" s="592"/>
      <c r="AO13" s="592"/>
      <c r="AP13" s="592"/>
      <c r="AQ13" s="592"/>
      <c r="AR13" s="1509"/>
    </row>
    <row r="14" spans="1:46" ht="17.7" x14ac:dyDescent="0.2">
      <c r="B14" s="1524">
        <f>+C40</f>
        <v>0</v>
      </c>
      <c r="C14" s="1560">
        <f>+U42</f>
        <v>0</v>
      </c>
      <c r="D14" s="1273"/>
      <c r="E14" s="1525"/>
      <c r="F14" s="1509"/>
      <c r="G14" s="439"/>
      <c r="H14" s="372"/>
      <c r="I14" s="592"/>
      <c r="J14" s="591"/>
      <c r="K14" s="591"/>
      <c r="L14" s="591"/>
      <c r="M14" s="591"/>
      <c r="N14" s="592"/>
      <c r="O14" s="592"/>
      <c r="P14" s="592"/>
      <c r="Q14" s="592"/>
      <c r="R14" s="592"/>
      <c r="S14" s="592"/>
      <c r="T14" s="592"/>
      <c r="U14" s="1509"/>
      <c r="Y14" s="1524">
        <f>+Z40</f>
        <v>0</v>
      </c>
      <c r="Z14" s="1560">
        <f>+AR42</f>
        <v>0</v>
      </c>
      <c r="AA14" s="1273"/>
      <c r="AB14" s="1525"/>
      <c r="AC14" s="422"/>
      <c r="AD14" s="439"/>
      <c r="AE14" s="372"/>
      <c r="AF14" s="592"/>
      <c r="AG14" s="591"/>
      <c r="AH14" s="591"/>
      <c r="AI14" s="591"/>
      <c r="AJ14" s="591"/>
      <c r="AK14" s="592"/>
      <c r="AL14" s="592"/>
      <c r="AM14" s="592"/>
      <c r="AN14" s="592"/>
      <c r="AO14" s="592"/>
      <c r="AP14" s="592"/>
      <c r="AQ14" s="592"/>
      <c r="AR14" s="1509"/>
    </row>
    <row r="15" spans="1:46" s="254" customFormat="1" ht="4.75" customHeight="1" x14ac:dyDescent="0.2">
      <c r="B15" s="1280"/>
      <c r="C15" s="1561"/>
      <c r="D15" s="422"/>
      <c r="E15" s="1525"/>
      <c r="F15" s="422"/>
      <c r="G15" s="439"/>
      <c r="H15" s="372"/>
      <c r="I15" s="592"/>
      <c r="J15" s="591"/>
      <c r="K15" s="591"/>
      <c r="L15" s="591"/>
      <c r="M15" s="591"/>
      <c r="N15" s="592"/>
      <c r="O15" s="592"/>
      <c r="P15" s="592"/>
      <c r="Q15" s="592"/>
      <c r="R15" s="592"/>
      <c r="S15" s="592"/>
      <c r="T15" s="592"/>
      <c r="U15" s="1509"/>
      <c r="Y15" s="1280"/>
      <c r="Z15" s="1561"/>
      <c r="AA15" s="422"/>
      <c r="AB15" s="1525"/>
      <c r="AC15" s="422"/>
      <c r="AD15" s="439"/>
      <c r="AE15" s="372"/>
      <c r="AF15" s="592"/>
      <c r="AG15" s="591"/>
      <c r="AH15" s="591"/>
      <c r="AI15" s="591"/>
      <c r="AJ15" s="591"/>
      <c r="AK15" s="592"/>
      <c r="AL15" s="592"/>
      <c r="AM15" s="592"/>
      <c r="AN15" s="592"/>
      <c r="AO15" s="592"/>
      <c r="AP15" s="592"/>
      <c r="AQ15" s="592"/>
      <c r="AR15" s="1509"/>
    </row>
    <row r="16" spans="1:46" ht="17.7" x14ac:dyDescent="0.2">
      <c r="B16" s="1524">
        <f>+C81</f>
        <v>0</v>
      </c>
      <c r="C16" s="1560">
        <f>+U83</f>
        <v>0</v>
      </c>
      <c r="D16" s="1273"/>
      <c r="E16" s="1525"/>
      <c r="F16" s="422"/>
      <c r="G16" s="439"/>
      <c r="H16" s="372"/>
      <c r="I16" s="592"/>
      <c r="J16" s="591"/>
      <c r="K16" s="591"/>
      <c r="L16" s="591"/>
      <c r="M16" s="591"/>
      <c r="N16" s="592"/>
      <c r="O16" s="592"/>
      <c r="P16" s="592"/>
      <c r="Q16" s="592"/>
      <c r="R16" s="592"/>
      <c r="S16" s="592"/>
      <c r="T16" s="592"/>
      <c r="U16" s="1509"/>
      <c r="Y16" s="1524">
        <f>+Z81</f>
        <v>0</v>
      </c>
      <c r="Z16" s="1560">
        <f>+AR83</f>
        <v>0</v>
      </c>
      <c r="AA16" s="1273"/>
      <c r="AB16" s="1525"/>
      <c r="AC16" s="422"/>
      <c r="AD16" s="439"/>
      <c r="AE16" s="372"/>
      <c r="AF16" s="592"/>
      <c r="AG16" s="591"/>
      <c r="AH16" s="591"/>
      <c r="AI16" s="591"/>
      <c r="AJ16" s="591"/>
      <c r="AK16" s="592"/>
      <c r="AL16" s="592"/>
      <c r="AM16" s="592"/>
      <c r="AN16" s="592"/>
      <c r="AO16" s="592"/>
      <c r="AP16" s="592"/>
      <c r="AQ16" s="592"/>
      <c r="AR16" s="1509"/>
    </row>
    <row r="17" spans="2:44" s="254" customFormat="1" ht="4.75" customHeight="1" x14ac:dyDescent="0.2">
      <c r="B17" s="1280"/>
      <c r="C17" s="1561"/>
      <c r="D17" s="422"/>
      <c r="E17" s="1525"/>
      <c r="F17" s="422"/>
      <c r="G17" s="439"/>
      <c r="H17" s="372"/>
      <c r="I17" s="592"/>
      <c r="J17" s="591"/>
      <c r="K17" s="591"/>
      <c r="L17" s="591"/>
      <c r="M17" s="591"/>
      <c r="N17" s="592"/>
      <c r="O17" s="592"/>
      <c r="P17" s="592"/>
      <c r="Q17" s="592"/>
      <c r="R17" s="592"/>
      <c r="S17" s="592"/>
      <c r="T17" s="592"/>
      <c r="U17" s="1509"/>
      <c r="Y17" s="1280"/>
      <c r="Z17" s="1561"/>
      <c r="AA17" s="422"/>
      <c r="AB17" s="1525"/>
      <c r="AC17" s="422"/>
      <c r="AD17" s="439"/>
      <c r="AE17" s="372"/>
      <c r="AF17" s="592"/>
      <c r="AG17" s="591"/>
      <c r="AH17" s="591"/>
      <c r="AI17" s="591"/>
      <c r="AJ17" s="591"/>
      <c r="AK17" s="592"/>
      <c r="AL17" s="592"/>
      <c r="AM17" s="592"/>
      <c r="AN17" s="592"/>
      <c r="AO17" s="592"/>
      <c r="AP17" s="592"/>
      <c r="AQ17" s="592"/>
      <c r="AR17" s="1509"/>
    </row>
    <row r="18" spans="2:44" ht="17.7" x14ac:dyDescent="0.2">
      <c r="B18" s="1524">
        <f>+C122</f>
        <v>0</v>
      </c>
      <c r="C18" s="1560">
        <f>+U124</f>
        <v>0</v>
      </c>
      <c r="D18" s="1273"/>
      <c r="E18" s="1525"/>
      <c r="F18" s="422"/>
      <c r="G18" s="439"/>
      <c r="H18" s="372"/>
      <c r="I18" s="592"/>
      <c r="J18" s="591"/>
      <c r="K18" s="591"/>
      <c r="L18" s="591"/>
      <c r="M18" s="591"/>
      <c r="N18" s="592"/>
      <c r="O18" s="592"/>
      <c r="P18" s="592"/>
      <c r="Q18" s="592"/>
      <c r="R18" s="592"/>
      <c r="S18" s="592"/>
      <c r="T18" s="592"/>
      <c r="U18" s="1509"/>
      <c r="Y18" s="1524">
        <f>+Z122</f>
        <v>0</v>
      </c>
      <c r="Z18" s="1560">
        <f>+AR124</f>
        <v>0</v>
      </c>
      <c r="AA18" s="1273"/>
      <c r="AB18" s="1525"/>
      <c r="AC18" s="422"/>
      <c r="AD18" s="439"/>
      <c r="AE18" s="372"/>
      <c r="AF18" s="592"/>
      <c r="AG18" s="591"/>
      <c r="AH18" s="591"/>
      <c r="AI18" s="591"/>
      <c r="AJ18" s="591"/>
      <c r="AK18" s="592"/>
      <c r="AL18" s="592"/>
      <c r="AM18" s="592"/>
      <c r="AN18" s="592"/>
      <c r="AO18" s="592"/>
      <c r="AP18" s="592"/>
      <c r="AQ18" s="592"/>
      <c r="AR18" s="1509"/>
    </row>
    <row r="19" spans="2:44" s="254" customFormat="1" ht="4.75" customHeight="1" x14ac:dyDescent="0.2">
      <c r="B19" s="1280"/>
      <c r="C19" s="1561"/>
      <c r="D19" s="422"/>
      <c r="E19" s="1525"/>
      <c r="F19" s="422"/>
      <c r="G19" s="439"/>
      <c r="H19" s="372"/>
      <c r="I19" s="592"/>
      <c r="J19" s="591"/>
      <c r="K19" s="591"/>
      <c r="L19" s="591"/>
      <c r="M19" s="591"/>
      <c r="N19" s="592"/>
      <c r="O19" s="592"/>
      <c r="P19" s="592"/>
      <c r="Q19" s="592"/>
      <c r="R19" s="592"/>
      <c r="S19" s="592"/>
      <c r="T19" s="592"/>
      <c r="U19" s="1509"/>
      <c r="Y19" s="1280"/>
      <c r="Z19" s="1561"/>
      <c r="AA19" s="422"/>
      <c r="AB19" s="1525"/>
      <c r="AC19" s="422"/>
      <c r="AD19" s="439"/>
      <c r="AE19" s="372"/>
      <c r="AF19" s="592"/>
      <c r="AG19" s="591"/>
      <c r="AH19" s="591"/>
      <c r="AI19" s="591"/>
      <c r="AJ19" s="591"/>
      <c r="AK19" s="592"/>
      <c r="AL19" s="592"/>
      <c r="AM19" s="592"/>
      <c r="AN19" s="592"/>
      <c r="AO19" s="592"/>
      <c r="AP19" s="592"/>
      <c r="AQ19" s="592"/>
      <c r="AR19" s="1509"/>
    </row>
    <row r="20" spans="2:44" ht="17.7" x14ac:dyDescent="0.2">
      <c r="B20" s="1524">
        <f>+C163</f>
        <v>0</v>
      </c>
      <c r="C20" s="1560">
        <f>+U165</f>
        <v>0</v>
      </c>
      <c r="D20" s="1273"/>
      <c r="E20" s="1525"/>
      <c r="F20" s="422"/>
      <c r="G20" s="439"/>
      <c r="H20" s="372"/>
      <c r="I20" s="592"/>
      <c r="J20" s="591"/>
      <c r="K20" s="591"/>
      <c r="L20" s="591"/>
      <c r="M20" s="591"/>
      <c r="N20" s="592"/>
      <c r="O20" s="592"/>
      <c r="P20" s="592"/>
      <c r="Q20" s="592"/>
      <c r="R20" s="592"/>
      <c r="S20" s="592"/>
      <c r="T20" s="592"/>
      <c r="U20" s="1509"/>
      <c r="Y20" s="1524">
        <f>+Z163</f>
        <v>0</v>
      </c>
      <c r="Z20" s="1560">
        <f>+AR165</f>
        <v>0</v>
      </c>
      <c r="AA20" s="1273"/>
      <c r="AB20" s="1525"/>
      <c r="AC20" s="422"/>
      <c r="AD20" s="439"/>
      <c r="AE20" s="372"/>
      <c r="AF20" s="592"/>
      <c r="AG20" s="591"/>
      <c r="AH20" s="591"/>
      <c r="AI20" s="591"/>
      <c r="AJ20" s="591"/>
      <c r="AK20" s="592"/>
      <c r="AL20" s="592"/>
      <c r="AM20" s="592"/>
      <c r="AN20" s="592"/>
      <c r="AO20" s="592"/>
      <c r="AP20" s="592"/>
      <c r="AQ20" s="592"/>
      <c r="AR20" s="1509"/>
    </row>
    <row r="21" spans="2:44" s="254" customFormat="1" ht="4.75" customHeight="1" x14ac:dyDescent="0.2">
      <c r="B21" s="1280"/>
      <c r="C21" s="1561"/>
      <c r="D21" s="422"/>
      <c r="E21" s="1525"/>
      <c r="F21" s="422"/>
      <c r="G21" s="439"/>
      <c r="H21" s="372"/>
      <c r="I21" s="592"/>
      <c r="J21" s="591"/>
      <c r="K21" s="591"/>
      <c r="L21" s="591"/>
      <c r="M21" s="591"/>
      <c r="N21" s="592"/>
      <c r="O21" s="592"/>
      <c r="P21" s="592"/>
      <c r="Q21" s="592"/>
      <c r="R21" s="592"/>
      <c r="S21" s="592"/>
      <c r="T21" s="592"/>
      <c r="U21" s="1509"/>
      <c r="Y21" s="1280"/>
      <c r="Z21" s="1561"/>
      <c r="AA21" s="422"/>
      <c r="AB21" s="1525"/>
      <c r="AC21" s="422"/>
      <c r="AD21" s="439"/>
      <c r="AE21" s="372"/>
      <c r="AF21" s="592"/>
      <c r="AG21" s="591"/>
      <c r="AH21" s="591"/>
      <c r="AI21" s="591"/>
      <c r="AJ21" s="591"/>
      <c r="AK21" s="592"/>
      <c r="AL21" s="592"/>
      <c r="AM21" s="592"/>
      <c r="AN21" s="592"/>
      <c r="AO21" s="592"/>
      <c r="AP21" s="592"/>
      <c r="AQ21" s="592"/>
      <c r="AR21" s="1509"/>
    </row>
    <row r="22" spans="2:44" ht="17.7" x14ac:dyDescent="0.2">
      <c r="B22" s="1524">
        <f>+C204</f>
        <v>0</v>
      </c>
      <c r="C22" s="1560">
        <f>+U206</f>
        <v>0</v>
      </c>
      <c r="D22" s="1273"/>
      <c r="E22" s="1525"/>
      <c r="F22" s="422"/>
      <c r="G22" s="439"/>
      <c r="H22" s="372"/>
      <c r="I22" s="592"/>
      <c r="J22" s="591"/>
      <c r="K22" s="591"/>
      <c r="L22" s="591"/>
      <c r="M22" s="591"/>
      <c r="N22" s="592"/>
      <c r="O22" s="592"/>
      <c r="P22" s="592"/>
      <c r="Q22" s="592"/>
      <c r="R22" s="592"/>
      <c r="S22" s="592"/>
      <c r="T22" s="592"/>
      <c r="U22" s="1509"/>
      <c r="Y22" s="1524">
        <f>+Z204</f>
        <v>0</v>
      </c>
      <c r="Z22" s="1560">
        <f>+AR206</f>
        <v>0</v>
      </c>
      <c r="AA22" s="1273"/>
      <c r="AB22" s="1525"/>
      <c r="AC22" s="422"/>
      <c r="AD22" s="439"/>
      <c r="AE22" s="372"/>
      <c r="AF22" s="592"/>
      <c r="AG22" s="591"/>
      <c r="AH22" s="591"/>
      <c r="AI22" s="591"/>
      <c r="AJ22" s="591"/>
      <c r="AK22" s="592"/>
      <c r="AL22" s="592"/>
      <c r="AM22" s="592"/>
      <c r="AN22" s="592"/>
      <c r="AO22" s="592"/>
      <c r="AP22" s="592"/>
      <c r="AQ22" s="592"/>
      <c r="AR22" s="1509"/>
    </row>
    <row r="23" spans="2:44" s="254" customFormat="1" ht="4.75" customHeight="1" x14ac:dyDescent="0.2">
      <c r="B23" s="1280"/>
      <c r="C23" s="1561"/>
      <c r="D23" s="422"/>
      <c r="E23" s="1525"/>
      <c r="F23" s="422"/>
      <c r="G23" s="439"/>
      <c r="H23" s="372"/>
      <c r="I23" s="592"/>
      <c r="J23" s="591"/>
      <c r="K23" s="591"/>
      <c r="L23" s="591"/>
      <c r="M23" s="591"/>
      <c r="N23" s="592"/>
      <c r="O23" s="592"/>
      <c r="P23" s="592"/>
      <c r="Q23" s="592"/>
      <c r="R23" s="592"/>
      <c r="S23" s="592"/>
      <c r="T23" s="592"/>
      <c r="U23" s="1509"/>
      <c r="Y23" s="1280"/>
      <c r="Z23" s="1561"/>
      <c r="AA23" s="422"/>
      <c r="AB23" s="1525"/>
      <c r="AC23" s="422"/>
      <c r="AD23" s="439"/>
      <c r="AE23" s="372"/>
      <c r="AF23" s="592"/>
      <c r="AG23" s="591"/>
      <c r="AH23" s="591"/>
      <c r="AI23" s="591"/>
      <c r="AJ23" s="591"/>
      <c r="AK23" s="592"/>
      <c r="AL23" s="592"/>
      <c r="AM23" s="592"/>
      <c r="AN23" s="592"/>
      <c r="AO23" s="592"/>
      <c r="AP23" s="592"/>
      <c r="AQ23" s="592"/>
      <c r="AR23" s="1509"/>
    </row>
    <row r="24" spans="2:44" ht="17.7" x14ac:dyDescent="0.2">
      <c r="B24" s="1524">
        <f>+C245</f>
        <v>0</v>
      </c>
      <c r="C24" s="1560">
        <f>+U247</f>
        <v>0</v>
      </c>
      <c r="D24" s="1273"/>
      <c r="E24" s="1525"/>
      <c r="F24" s="422"/>
      <c r="G24" s="439"/>
      <c r="H24" s="372"/>
      <c r="I24" s="592"/>
      <c r="J24" s="591"/>
      <c r="K24" s="591"/>
      <c r="L24" s="591"/>
      <c r="M24" s="591"/>
      <c r="N24" s="592"/>
      <c r="O24" s="592"/>
      <c r="P24" s="592"/>
      <c r="Q24" s="592"/>
      <c r="R24" s="592"/>
      <c r="S24" s="592"/>
      <c r="T24" s="592"/>
      <c r="U24" s="1509"/>
      <c r="Y24" s="1524">
        <f>+Z245</f>
        <v>0</v>
      </c>
      <c r="Z24" s="1560">
        <f>+AR247</f>
        <v>0</v>
      </c>
      <c r="AA24" s="1273"/>
      <c r="AB24" s="1525"/>
      <c r="AC24" s="422"/>
      <c r="AD24" s="439"/>
      <c r="AE24" s="372"/>
      <c r="AF24" s="592"/>
      <c r="AG24" s="591"/>
      <c r="AH24" s="591"/>
      <c r="AI24" s="591"/>
      <c r="AJ24" s="591"/>
      <c r="AK24" s="592"/>
      <c r="AL24" s="592"/>
      <c r="AM24" s="592"/>
      <c r="AN24" s="592"/>
      <c r="AO24" s="592"/>
      <c r="AP24" s="592"/>
      <c r="AQ24" s="592"/>
      <c r="AR24" s="1509"/>
    </row>
    <row r="25" spans="2:44" s="254" customFormat="1" ht="4.75" customHeight="1" x14ac:dyDescent="0.2">
      <c r="B25" s="1280"/>
      <c r="C25" s="1561"/>
      <c r="D25" s="422"/>
      <c r="E25" s="1525"/>
      <c r="F25" s="422"/>
      <c r="G25" s="439"/>
      <c r="H25" s="372"/>
      <c r="I25" s="592"/>
      <c r="J25" s="591"/>
      <c r="K25" s="591"/>
      <c r="L25" s="591"/>
      <c r="M25" s="591"/>
      <c r="N25" s="592"/>
      <c r="O25" s="592"/>
      <c r="P25" s="592"/>
      <c r="Q25" s="592"/>
      <c r="R25" s="592"/>
      <c r="S25" s="592"/>
      <c r="T25" s="592"/>
      <c r="U25" s="1509"/>
      <c r="Y25" s="1280"/>
      <c r="Z25" s="1561"/>
      <c r="AA25" s="422"/>
      <c r="AB25" s="1525"/>
      <c r="AC25" s="422"/>
      <c r="AD25" s="439"/>
      <c r="AE25" s="372"/>
      <c r="AF25" s="592"/>
      <c r="AG25" s="591"/>
      <c r="AH25" s="591"/>
      <c r="AI25" s="591"/>
      <c r="AJ25" s="591"/>
      <c r="AK25" s="592"/>
      <c r="AL25" s="592"/>
      <c r="AM25" s="592"/>
      <c r="AN25" s="592"/>
      <c r="AO25" s="592"/>
      <c r="AP25" s="592"/>
      <c r="AQ25" s="592"/>
      <c r="AR25" s="1509"/>
    </row>
    <row r="26" spans="2:44" ht="17.7" x14ac:dyDescent="0.2">
      <c r="B26" s="1524">
        <f>+C286</f>
        <v>0</v>
      </c>
      <c r="C26" s="1560">
        <f>+U288</f>
        <v>0</v>
      </c>
      <c r="D26" s="1273"/>
      <c r="E26" s="1525"/>
      <c r="F26" s="422"/>
      <c r="G26" s="439"/>
      <c r="H26" s="372"/>
      <c r="I26" s="592"/>
      <c r="J26" s="591"/>
      <c r="K26" s="591"/>
      <c r="L26" s="591"/>
      <c r="M26" s="591"/>
      <c r="N26" s="592"/>
      <c r="O26" s="592"/>
      <c r="P26" s="592"/>
      <c r="Q26" s="592"/>
      <c r="R26" s="592"/>
      <c r="S26" s="592"/>
      <c r="T26" s="592"/>
      <c r="U26" s="1509"/>
      <c r="Y26" s="1524">
        <f>+Z286</f>
        <v>0</v>
      </c>
      <c r="Z26" s="1560">
        <f>+AR288</f>
        <v>0</v>
      </c>
      <c r="AA26" s="1273"/>
      <c r="AB26" s="1525"/>
      <c r="AC26" s="422"/>
      <c r="AD26" s="439"/>
      <c r="AE26" s="372"/>
      <c r="AF26" s="592"/>
      <c r="AG26" s="591"/>
      <c r="AH26" s="591"/>
      <c r="AI26" s="591"/>
      <c r="AJ26" s="591"/>
      <c r="AK26" s="592"/>
      <c r="AL26" s="592"/>
      <c r="AM26" s="592"/>
      <c r="AN26" s="592"/>
      <c r="AO26" s="592"/>
      <c r="AP26" s="592"/>
      <c r="AQ26" s="592"/>
      <c r="AR26" s="1509"/>
    </row>
    <row r="27" spans="2:44" s="254" customFormat="1" ht="4.75" customHeight="1" x14ac:dyDescent="0.2">
      <c r="B27" s="1280"/>
      <c r="C27" s="1561"/>
      <c r="D27" s="422"/>
      <c r="E27" s="1525"/>
      <c r="F27" s="422"/>
      <c r="G27" s="439"/>
      <c r="H27" s="372"/>
      <c r="I27" s="592"/>
      <c r="J27" s="591"/>
      <c r="K27" s="591"/>
      <c r="L27" s="591"/>
      <c r="M27" s="591"/>
      <c r="N27" s="592"/>
      <c r="O27" s="592"/>
      <c r="P27" s="592"/>
      <c r="Q27" s="592"/>
      <c r="R27" s="592"/>
      <c r="S27" s="592"/>
      <c r="T27" s="592"/>
      <c r="U27" s="1509"/>
      <c r="Y27" s="1280"/>
      <c r="Z27" s="1561"/>
      <c r="AA27" s="422"/>
      <c r="AB27" s="1525"/>
      <c r="AC27" s="422"/>
      <c r="AD27" s="439"/>
      <c r="AE27" s="372"/>
      <c r="AF27" s="592"/>
      <c r="AG27" s="591"/>
      <c r="AH27" s="591"/>
      <c r="AI27" s="591"/>
      <c r="AJ27" s="591"/>
      <c r="AK27" s="592"/>
      <c r="AL27" s="592"/>
      <c r="AM27" s="592"/>
      <c r="AN27" s="592"/>
      <c r="AO27" s="592"/>
      <c r="AP27" s="592"/>
      <c r="AQ27" s="592"/>
      <c r="AR27" s="1509"/>
    </row>
    <row r="28" spans="2:44" ht="17.7" x14ac:dyDescent="0.2">
      <c r="B28" s="1524">
        <f>+C327</f>
        <v>0</v>
      </c>
      <c r="C28" s="1560">
        <f>+U329</f>
        <v>0</v>
      </c>
      <c r="D28" s="1273"/>
      <c r="E28" s="1525"/>
      <c r="F28" s="422"/>
      <c r="G28" s="439"/>
      <c r="H28" s="372"/>
      <c r="I28" s="592"/>
      <c r="J28" s="591"/>
      <c r="K28" s="591"/>
      <c r="L28" s="591"/>
      <c r="M28" s="591"/>
      <c r="N28" s="592"/>
      <c r="O28" s="592"/>
      <c r="P28" s="592"/>
      <c r="Q28" s="592"/>
      <c r="R28" s="592"/>
      <c r="S28" s="592"/>
      <c r="T28" s="592"/>
      <c r="U28" s="1509"/>
      <c r="Y28" s="1524">
        <f>+Z327</f>
        <v>0</v>
      </c>
      <c r="Z28" s="1560">
        <f>+AR329</f>
        <v>0</v>
      </c>
      <c r="AA28" s="1273"/>
      <c r="AB28" s="1525"/>
      <c r="AC28" s="422"/>
      <c r="AD28" s="439"/>
      <c r="AE28" s="372"/>
      <c r="AF28" s="592"/>
      <c r="AG28" s="591"/>
      <c r="AH28" s="591"/>
      <c r="AI28" s="591"/>
      <c r="AJ28" s="591"/>
      <c r="AK28" s="592"/>
      <c r="AL28" s="592"/>
      <c r="AM28" s="592"/>
      <c r="AN28" s="592"/>
      <c r="AO28" s="592"/>
      <c r="AP28" s="592"/>
      <c r="AQ28" s="592"/>
      <c r="AR28" s="1509"/>
    </row>
    <row r="29" spans="2:44" s="254" customFormat="1" ht="4.75" customHeight="1" x14ac:dyDescent="0.2">
      <c r="B29" s="1280"/>
      <c r="C29" s="1561"/>
      <c r="D29" s="422"/>
      <c r="E29" s="1525"/>
      <c r="F29" s="422"/>
      <c r="G29" s="439"/>
      <c r="H29" s="372"/>
      <c r="I29" s="592"/>
      <c r="J29" s="591"/>
      <c r="K29" s="591"/>
      <c r="L29" s="591"/>
      <c r="M29" s="591"/>
      <c r="N29" s="592"/>
      <c r="O29" s="592"/>
      <c r="P29" s="592"/>
      <c r="Q29" s="592"/>
      <c r="R29" s="592"/>
      <c r="S29" s="592"/>
      <c r="T29" s="592"/>
      <c r="U29" s="1509"/>
      <c r="Y29" s="1280"/>
      <c r="Z29" s="1561"/>
      <c r="AA29" s="422"/>
      <c r="AB29" s="1525"/>
      <c r="AC29" s="422"/>
      <c r="AD29" s="439"/>
      <c r="AE29" s="372"/>
      <c r="AF29" s="592"/>
      <c r="AG29" s="591"/>
      <c r="AH29" s="591"/>
      <c r="AI29" s="591"/>
      <c r="AJ29" s="591"/>
      <c r="AK29" s="592"/>
      <c r="AL29" s="592"/>
      <c r="AM29" s="592"/>
      <c r="AN29" s="592"/>
      <c r="AO29" s="592"/>
      <c r="AP29" s="592"/>
      <c r="AQ29" s="592"/>
      <c r="AR29" s="1509"/>
    </row>
    <row r="30" spans="2:44" ht="17.7" x14ac:dyDescent="0.2">
      <c r="B30" s="1524">
        <f>+C368</f>
        <v>0</v>
      </c>
      <c r="C30" s="1560">
        <f>+U370</f>
        <v>0</v>
      </c>
      <c r="D30" s="1273"/>
      <c r="E30" s="1525"/>
      <c r="F30" s="422"/>
      <c r="G30" s="439"/>
      <c r="H30" s="372"/>
      <c r="I30" s="592"/>
      <c r="J30" s="591"/>
      <c r="K30" s="591"/>
      <c r="L30" s="591"/>
      <c r="M30" s="591"/>
      <c r="N30" s="592"/>
      <c r="O30" s="592"/>
      <c r="P30" s="592"/>
      <c r="Q30" s="592"/>
      <c r="R30" s="592"/>
      <c r="S30" s="592"/>
      <c r="T30" s="592"/>
      <c r="U30" s="1509"/>
      <c r="Y30" s="1524">
        <f>+Z368</f>
        <v>0</v>
      </c>
      <c r="Z30" s="1560">
        <f>+AR370</f>
        <v>0</v>
      </c>
      <c r="AA30" s="1273"/>
      <c r="AB30" s="1525"/>
      <c r="AC30" s="422"/>
      <c r="AD30" s="439"/>
      <c r="AE30" s="372"/>
      <c r="AF30" s="592"/>
      <c r="AG30" s="591"/>
      <c r="AH30" s="591"/>
      <c r="AI30" s="591"/>
      <c r="AJ30" s="591"/>
      <c r="AK30" s="592"/>
      <c r="AL30" s="592"/>
      <c r="AM30" s="592"/>
      <c r="AN30" s="592"/>
      <c r="AO30" s="592"/>
      <c r="AP30" s="592"/>
      <c r="AQ30" s="592"/>
      <c r="AR30" s="1509"/>
    </row>
    <row r="31" spans="2:44" s="254" customFormat="1" ht="4.75" customHeight="1" x14ac:dyDescent="0.2">
      <c r="B31" s="1280"/>
      <c r="C31" s="1561"/>
      <c r="D31" s="422"/>
      <c r="E31" s="1525"/>
      <c r="F31" s="422"/>
      <c r="G31" s="439"/>
      <c r="H31" s="372"/>
      <c r="I31" s="592"/>
      <c r="J31" s="591"/>
      <c r="K31" s="591"/>
      <c r="L31" s="591"/>
      <c r="M31" s="591"/>
      <c r="N31" s="592"/>
      <c r="O31" s="592"/>
      <c r="P31" s="592"/>
      <c r="Q31" s="592"/>
      <c r="R31" s="592"/>
      <c r="S31" s="592"/>
      <c r="T31" s="592"/>
      <c r="U31" s="1509"/>
      <c r="Y31" s="1280"/>
      <c r="Z31" s="1561"/>
      <c r="AA31" s="422"/>
      <c r="AB31" s="1525"/>
      <c r="AC31" s="422"/>
      <c r="AD31" s="439"/>
      <c r="AE31" s="372"/>
      <c r="AF31" s="592"/>
      <c r="AG31" s="591"/>
      <c r="AH31" s="591"/>
      <c r="AI31" s="591"/>
      <c r="AJ31" s="591"/>
      <c r="AK31" s="592"/>
      <c r="AL31" s="592"/>
      <c r="AM31" s="592"/>
      <c r="AN31" s="592"/>
      <c r="AO31" s="592"/>
      <c r="AP31" s="592"/>
      <c r="AQ31" s="592"/>
      <c r="AR31" s="1509"/>
    </row>
    <row r="32" spans="2:44" ht="17.7" x14ac:dyDescent="0.2">
      <c r="B32" s="1524">
        <f>+C409</f>
        <v>0</v>
      </c>
      <c r="C32" s="1560">
        <f>+U411</f>
        <v>0</v>
      </c>
      <c r="D32" s="1273"/>
      <c r="E32" s="1525"/>
      <c r="F32" s="422"/>
      <c r="G32" s="439"/>
      <c r="H32" s="372"/>
      <c r="I32" s="592"/>
      <c r="J32" s="591"/>
      <c r="K32" s="591"/>
      <c r="L32" s="591"/>
      <c r="M32" s="591"/>
      <c r="N32" s="592"/>
      <c r="O32" s="592"/>
      <c r="P32" s="592"/>
      <c r="Q32" s="592"/>
      <c r="R32" s="592"/>
      <c r="S32" s="592"/>
      <c r="T32" s="592"/>
      <c r="U32" s="1509"/>
      <c r="Y32" s="1524">
        <f>+Z409</f>
        <v>0</v>
      </c>
      <c r="Z32" s="1560">
        <f>+AR411</f>
        <v>0</v>
      </c>
      <c r="AA32" s="1273"/>
      <c r="AB32" s="1525"/>
      <c r="AC32" s="422"/>
      <c r="AD32" s="439"/>
      <c r="AE32" s="372"/>
      <c r="AF32" s="592"/>
      <c r="AG32" s="591"/>
      <c r="AH32" s="591"/>
      <c r="AI32" s="591"/>
      <c r="AJ32" s="591"/>
      <c r="AK32" s="592"/>
      <c r="AL32" s="592"/>
      <c r="AM32" s="592"/>
      <c r="AN32" s="592"/>
      <c r="AO32" s="592"/>
      <c r="AP32" s="592"/>
      <c r="AQ32" s="592"/>
      <c r="AR32" s="1509"/>
    </row>
    <row r="33" spans="1:47" s="254" customFormat="1" ht="4.75" customHeight="1" x14ac:dyDescent="0.2">
      <c r="B33" s="1280"/>
      <c r="C33" s="1561"/>
      <c r="D33" s="422"/>
      <c r="E33" s="1525"/>
      <c r="F33" s="422"/>
      <c r="G33" s="439"/>
      <c r="H33" s="372"/>
      <c r="I33" s="592"/>
      <c r="J33" s="591"/>
      <c r="K33" s="591"/>
      <c r="L33" s="591"/>
      <c r="M33" s="591"/>
      <c r="N33" s="592"/>
      <c r="O33" s="592"/>
      <c r="P33" s="592"/>
      <c r="Q33" s="592"/>
      <c r="R33" s="592"/>
      <c r="S33" s="592"/>
      <c r="T33" s="592"/>
      <c r="U33" s="1509"/>
      <c r="Y33" s="1280"/>
      <c r="Z33" s="1561"/>
      <c r="AA33" s="422"/>
      <c r="AB33" s="1525"/>
      <c r="AC33" s="422"/>
      <c r="AD33" s="439"/>
      <c r="AE33" s="372"/>
      <c r="AF33" s="592"/>
      <c r="AG33" s="591"/>
      <c r="AH33" s="591"/>
      <c r="AI33" s="591"/>
      <c r="AJ33" s="591"/>
      <c r="AK33" s="592"/>
      <c r="AL33" s="592"/>
      <c r="AM33" s="592"/>
      <c r="AN33" s="592"/>
      <c r="AO33" s="592"/>
      <c r="AP33" s="592"/>
      <c r="AQ33" s="592"/>
      <c r="AR33" s="1509"/>
    </row>
    <row r="34" spans="1:47" ht="17.7" x14ac:dyDescent="0.2">
      <c r="B34" s="1524">
        <f>+C450</f>
        <v>0</v>
      </c>
      <c r="C34" s="1560">
        <f>+U452</f>
        <v>0</v>
      </c>
      <c r="D34" s="1273"/>
      <c r="E34" s="1525"/>
      <c r="F34" s="422"/>
      <c r="G34" s="439"/>
      <c r="H34" s="372"/>
      <c r="I34" s="592"/>
      <c r="J34" s="591"/>
      <c r="K34" s="591"/>
      <c r="L34" s="591"/>
      <c r="M34" s="591"/>
      <c r="N34" s="592"/>
      <c r="O34" s="592"/>
      <c r="P34" s="592"/>
      <c r="Q34" s="592"/>
      <c r="R34" s="592"/>
      <c r="S34" s="592"/>
      <c r="T34" s="592"/>
      <c r="U34" s="1509"/>
      <c r="Y34" s="1524">
        <f>+Z450</f>
        <v>0</v>
      </c>
      <c r="Z34" s="1560">
        <f>+AR452</f>
        <v>0</v>
      </c>
      <c r="AA34" s="1273"/>
      <c r="AB34" s="1525"/>
      <c r="AC34" s="422"/>
      <c r="AD34" s="439"/>
      <c r="AE34" s="372"/>
      <c r="AF34" s="592"/>
      <c r="AG34" s="591"/>
      <c r="AH34" s="591"/>
      <c r="AI34" s="591"/>
      <c r="AJ34" s="591"/>
      <c r="AK34" s="592"/>
      <c r="AL34" s="592"/>
      <c r="AM34" s="592"/>
      <c r="AN34" s="592"/>
      <c r="AO34" s="592"/>
      <c r="AP34" s="592"/>
      <c r="AQ34" s="592"/>
      <c r="AR34" s="1509"/>
    </row>
    <row r="35" spans="1:47" s="254" customFormat="1" ht="4.75" customHeight="1" x14ac:dyDescent="0.2">
      <c r="B35" s="1280"/>
      <c r="C35" s="1561"/>
      <c r="D35" s="422"/>
      <c r="E35" s="1525"/>
      <c r="F35" s="422"/>
      <c r="G35" s="439"/>
      <c r="H35" s="372"/>
      <c r="I35" s="592"/>
      <c r="J35" s="591"/>
      <c r="K35" s="591"/>
      <c r="L35" s="591"/>
      <c r="M35" s="591"/>
      <c r="N35" s="592"/>
      <c r="O35" s="592"/>
      <c r="P35" s="592"/>
      <c r="Q35" s="592"/>
      <c r="R35" s="592"/>
      <c r="S35" s="592"/>
      <c r="T35" s="592"/>
      <c r="U35" s="1509"/>
      <c r="Y35" s="1280"/>
      <c r="Z35" s="1561"/>
      <c r="AA35" s="422"/>
      <c r="AB35" s="1525"/>
      <c r="AC35" s="422"/>
      <c r="AD35" s="439"/>
      <c r="AE35" s="372"/>
      <c r="AF35" s="592"/>
      <c r="AG35" s="591"/>
      <c r="AH35" s="591"/>
      <c r="AI35" s="591"/>
      <c r="AJ35" s="591"/>
      <c r="AK35" s="592"/>
      <c r="AL35" s="592"/>
      <c r="AM35" s="592"/>
      <c r="AN35" s="592"/>
      <c r="AO35" s="592"/>
      <c r="AP35" s="592"/>
      <c r="AQ35" s="592"/>
      <c r="AR35" s="1509"/>
    </row>
    <row r="36" spans="1:47" ht="17.7" x14ac:dyDescent="0.2">
      <c r="B36" s="1524">
        <f>+C491</f>
        <v>0</v>
      </c>
      <c r="C36" s="1560"/>
      <c r="D36" s="1273"/>
      <c r="E36" s="1525"/>
      <c r="F36" s="422"/>
      <c r="G36" s="439"/>
      <c r="H36" s="372"/>
      <c r="I36" s="592"/>
      <c r="J36" s="591"/>
      <c r="K36" s="591"/>
      <c r="L36" s="591"/>
      <c r="M36" s="591"/>
      <c r="N36" s="592"/>
      <c r="O36" s="592"/>
      <c r="P36" s="592"/>
      <c r="Q36" s="592"/>
      <c r="R36" s="592"/>
      <c r="S36" s="592"/>
      <c r="T36" s="592"/>
      <c r="U36" s="1509"/>
      <c r="Y36" s="1524">
        <f>+Z491</f>
        <v>0</v>
      </c>
      <c r="Z36" s="1560">
        <f>+AR493</f>
        <v>0</v>
      </c>
      <c r="AA36" s="1273"/>
      <c r="AB36" s="1525"/>
      <c r="AC36" s="422"/>
      <c r="AD36" s="439"/>
      <c r="AE36" s="372"/>
      <c r="AF36" s="592"/>
      <c r="AG36" s="591"/>
      <c r="AH36" s="591"/>
      <c r="AI36" s="591"/>
      <c r="AJ36" s="591"/>
      <c r="AK36" s="592"/>
      <c r="AL36" s="592"/>
      <c r="AM36" s="592"/>
      <c r="AN36" s="592"/>
      <c r="AO36" s="592"/>
      <c r="AP36" s="592"/>
      <c r="AQ36" s="592"/>
      <c r="AR36" s="1509"/>
    </row>
    <row r="37" spans="1:47" s="254" customFormat="1" ht="4.75" customHeight="1" x14ac:dyDescent="0.2">
      <c r="B37" s="1541"/>
      <c r="C37" s="1542"/>
      <c r="D37" s="422"/>
      <c r="E37" s="1525"/>
      <c r="F37" s="422"/>
      <c r="G37" s="439"/>
      <c r="H37" s="372"/>
      <c r="I37" s="592"/>
      <c r="J37" s="591"/>
      <c r="K37" s="591"/>
      <c r="L37" s="591"/>
      <c r="M37" s="591"/>
      <c r="N37" s="592"/>
      <c r="O37" s="592"/>
      <c r="P37" s="592"/>
      <c r="Q37" s="592"/>
      <c r="R37" s="592"/>
      <c r="S37" s="592"/>
      <c r="T37" s="592"/>
      <c r="U37" s="1509"/>
      <c r="Y37" s="1541"/>
      <c r="Z37" s="2351"/>
      <c r="AA37" s="422"/>
      <c r="AB37" s="1525"/>
      <c r="AC37" s="422"/>
      <c r="AD37" s="439"/>
      <c r="AE37" s="372"/>
      <c r="AF37" s="592"/>
      <c r="AG37" s="591"/>
      <c r="AH37" s="591"/>
      <c r="AI37" s="591"/>
      <c r="AJ37" s="591"/>
      <c r="AK37" s="592"/>
      <c r="AL37" s="592"/>
      <c r="AM37" s="592"/>
      <c r="AN37" s="592"/>
      <c r="AO37" s="592"/>
      <c r="AP37" s="592"/>
      <c r="AQ37" s="592"/>
      <c r="AR37" s="1509"/>
    </row>
    <row r="38" spans="1:47" s="254" customFormat="1" ht="7.85" customHeight="1" x14ac:dyDescent="0.2">
      <c r="B38" s="1543"/>
      <c r="C38" s="1544"/>
      <c r="D38" s="422"/>
      <c r="E38" s="1525"/>
      <c r="F38" s="422"/>
      <c r="G38" s="439"/>
      <c r="H38" s="372"/>
      <c r="I38" s="592"/>
      <c r="J38" s="591"/>
      <c r="K38" s="591"/>
      <c r="L38" s="591"/>
      <c r="M38" s="591"/>
      <c r="N38" s="592"/>
      <c r="O38" s="592"/>
      <c r="P38" s="592"/>
      <c r="Q38" s="592"/>
      <c r="R38" s="592"/>
      <c r="S38" s="592"/>
      <c r="T38" s="592"/>
      <c r="U38" s="1509"/>
      <c r="Y38" s="1545"/>
      <c r="Z38" s="1544"/>
      <c r="AA38" s="422"/>
      <c r="AB38" s="1525"/>
      <c r="AC38" s="422"/>
      <c r="AD38" s="439"/>
      <c r="AE38" s="372"/>
      <c r="AF38" s="592"/>
      <c r="AG38" s="591"/>
      <c r="AH38" s="591"/>
      <c r="AI38" s="591"/>
      <c r="AJ38" s="591"/>
      <c r="AK38" s="592"/>
      <c r="AL38" s="592"/>
      <c r="AM38" s="592"/>
      <c r="AN38" s="592"/>
      <c r="AO38" s="592"/>
      <c r="AP38" s="592"/>
      <c r="AQ38" s="592"/>
      <c r="AR38" s="1509"/>
    </row>
    <row r="39" spans="1:47" ht="7.85" customHeight="1" thickBot="1" x14ac:dyDescent="0.25">
      <c r="B39" s="1518"/>
      <c r="C39" s="439"/>
      <c r="D39" s="439"/>
      <c r="E39" s="439"/>
      <c r="F39" s="439"/>
      <c r="G39" s="439"/>
      <c r="H39" s="372"/>
      <c r="I39" s="592"/>
      <c r="J39" s="591"/>
      <c r="K39" s="591"/>
      <c r="L39" s="591"/>
      <c r="M39" s="591"/>
      <c r="N39" s="592"/>
      <c r="O39" s="592"/>
      <c r="P39" s="592"/>
      <c r="Q39" s="592"/>
      <c r="R39" s="592"/>
      <c r="S39" s="592"/>
      <c r="T39" s="592"/>
      <c r="U39" s="1519"/>
      <c r="AE39" s="232"/>
    </row>
    <row r="40" spans="1:47" ht="15.05" thickBot="1" x14ac:dyDescent="0.25">
      <c r="A40" s="1344">
        <f>+A11+1</f>
        <v>42</v>
      </c>
      <c r="B40" s="635" t="s">
        <v>878</v>
      </c>
      <c r="C40" s="898">
        <f>+UsoSuelo!D138</f>
        <v>0</v>
      </c>
      <c r="D40" s="898"/>
      <c r="E40" s="636"/>
      <c r="F40" s="637"/>
      <c r="G40" s="637"/>
      <c r="H40" s="637"/>
      <c r="I40" s="637"/>
      <c r="J40" s="637"/>
      <c r="K40" s="637"/>
      <c r="L40" s="637"/>
      <c r="M40" s="637"/>
      <c r="N40" s="637"/>
      <c r="O40" s="637"/>
      <c r="P40" s="637"/>
      <c r="Q40" s="637"/>
      <c r="R40" s="637"/>
      <c r="S40" s="637"/>
      <c r="T40" s="637"/>
      <c r="U40" s="638"/>
      <c r="X40" s="1344">
        <f>+A491+1</f>
        <v>54</v>
      </c>
      <c r="Y40" s="635" t="s">
        <v>878</v>
      </c>
      <c r="Z40" s="898">
        <f>+UsoSuelo!D155</f>
        <v>0</v>
      </c>
      <c r="AA40" s="898"/>
      <c r="AB40" s="636"/>
      <c r="AC40" s="637"/>
      <c r="AD40" s="637"/>
      <c r="AE40" s="637"/>
      <c r="AF40" s="637"/>
      <c r="AG40" s="637"/>
      <c r="AH40" s="637"/>
      <c r="AI40" s="637"/>
      <c r="AJ40" s="637"/>
      <c r="AK40" s="637"/>
      <c r="AL40" s="637"/>
      <c r="AM40" s="637"/>
      <c r="AN40" s="637"/>
      <c r="AO40" s="637"/>
      <c r="AP40" s="637"/>
      <c r="AQ40" s="637"/>
      <c r="AR40" s="638"/>
    </row>
    <row r="41" spans="1:47" s="254" customFormat="1" x14ac:dyDescent="0.2">
      <c r="A41" s="2388"/>
      <c r="B41" s="639">
        <f>+UsoSuelo!H138</f>
        <v>0</v>
      </c>
      <c r="C41" s="291"/>
      <c r="D41" s="291"/>
      <c r="E41" s="291"/>
      <c r="F41" s="291"/>
      <c r="G41" s="292" t="s">
        <v>883</v>
      </c>
      <c r="H41" s="222"/>
      <c r="I41" s="293" t="str">
        <f>UsoSuelo!G8</f>
        <v>Ene</v>
      </c>
      <c r="J41" s="293" t="str">
        <f>UsoSuelo!H8</f>
        <v>Feb</v>
      </c>
      <c r="K41" s="293" t="str">
        <f>UsoSuelo!I8</f>
        <v>Mar</v>
      </c>
      <c r="L41" s="293" t="str">
        <f>UsoSuelo!J8</f>
        <v>Abr</v>
      </c>
      <c r="M41" s="293" t="str">
        <f>UsoSuelo!K8</f>
        <v>May</v>
      </c>
      <c r="N41" s="293" t="str">
        <f>UsoSuelo!L8</f>
        <v>Jun</v>
      </c>
      <c r="O41" s="293" t="str">
        <f>UsoSuelo!M8</f>
        <v>Jul</v>
      </c>
      <c r="P41" s="293" t="str">
        <f>UsoSuelo!N8</f>
        <v>Ago</v>
      </c>
      <c r="Q41" s="293" t="str">
        <f>UsoSuelo!O8</f>
        <v>Set</v>
      </c>
      <c r="R41" s="293" t="str">
        <f>UsoSuelo!P8</f>
        <v>Oct</v>
      </c>
      <c r="S41" s="293" t="str">
        <f>UsoSuelo!Q8</f>
        <v>Nov</v>
      </c>
      <c r="T41" s="294" t="str">
        <f>UsoSuelo!R8</f>
        <v>Dic</v>
      </c>
      <c r="U41" s="640" t="s">
        <v>1106</v>
      </c>
      <c r="V41" s="1569"/>
      <c r="W41" s="1569"/>
      <c r="X41" s="1344">
        <f>+A41</f>
        <v>0</v>
      </c>
      <c r="Y41" s="639">
        <f>+UsoSuelo!H155</f>
        <v>0</v>
      </c>
      <c r="Z41" s="291"/>
      <c r="AA41" s="291"/>
      <c r="AB41" s="291"/>
      <c r="AC41" s="291"/>
      <c r="AD41" s="291" t="s">
        <v>883</v>
      </c>
      <c r="AE41" s="292"/>
      <c r="AF41" s="293" t="str">
        <f t="shared" ref="AF41:AQ41" si="2">+I41</f>
        <v>Ene</v>
      </c>
      <c r="AG41" s="293" t="str">
        <f t="shared" si="2"/>
        <v>Feb</v>
      </c>
      <c r="AH41" s="293" t="str">
        <f t="shared" si="2"/>
        <v>Mar</v>
      </c>
      <c r="AI41" s="293" t="str">
        <f t="shared" si="2"/>
        <v>Abr</v>
      </c>
      <c r="AJ41" s="293" t="str">
        <f t="shared" si="2"/>
        <v>May</v>
      </c>
      <c r="AK41" s="293" t="str">
        <f t="shared" si="2"/>
        <v>Jun</v>
      </c>
      <c r="AL41" s="293" t="str">
        <f t="shared" si="2"/>
        <v>Jul</v>
      </c>
      <c r="AM41" s="293" t="str">
        <f t="shared" si="2"/>
        <v>Ago</v>
      </c>
      <c r="AN41" s="293" t="str">
        <f t="shared" si="2"/>
        <v>Set</v>
      </c>
      <c r="AO41" s="293" t="str">
        <f t="shared" si="2"/>
        <v>Oct</v>
      </c>
      <c r="AP41" s="293" t="str">
        <f t="shared" si="2"/>
        <v>Nov</v>
      </c>
      <c r="AQ41" s="294" t="str">
        <f t="shared" si="2"/>
        <v>Dic</v>
      </c>
      <c r="AR41" s="640" t="s">
        <v>1106</v>
      </c>
      <c r="AS41" s="1569"/>
      <c r="AT41" s="1569"/>
      <c r="AU41" s="1436"/>
    </row>
    <row r="42" spans="1:47" x14ac:dyDescent="0.2">
      <c r="A42" s="145"/>
      <c r="B42" s="899" t="s">
        <v>884</v>
      </c>
      <c r="C42" s="900"/>
      <c r="D42" s="900"/>
      <c r="E42" s="900"/>
      <c r="F42" s="900"/>
      <c r="G42" s="900"/>
      <c r="H42" s="900"/>
      <c r="I42" s="901">
        <f>VLOOKUP($C40,UsoSuelo!$CQ$1127:$DC$1194,2,FALSE)</f>
        <v>0</v>
      </c>
      <c r="J42" s="901">
        <f>VLOOKUP($C40,UsoSuelo!$CQ$1127:$DC$1194,3,FALSE)</f>
        <v>0</v>
      </c>
      <c r="K42" s="901">
        <f>VLOOKUP($C40,UsoSuelo!$CQ$1127:$DC$1194,4,FALSE)</f>
        <v>0</v>
      </c>
      <c r="L42" s="901">
        <f>VLOOKUP($C40,UsoSuelo!$CQ$1127:$DC$1194,5,FALSE)</f>
        <v>0</v>
      </c>
      <c r="M42" s="901">
        <f>VLOOKUP($C40,UsoSuelo!$CQ$1127:$DC$1194,6,FALSE)</f>
        <v>0</v>
      </c>
      <c r="N42" s="901">
        <f>VLOOKUP($C40,UsoSuelo!$CQ$1127:$DC$1194,7,FALSE)</f>
        <v>0</v>
      </c>
      <c r="O42" s="901">
        <f>VLOOKUP($C40,UsoSuelo!$CQ$1127:$DC$1194,8,FALSE)</f>
        <v>0</v>
      </c>
      <c r="P42" s="901">
        <f>VLOOKUP($C40,UsoSuelo!$CQ$1127:$DC$1194,9,FALSE)</f>
        <v>0</v>
      </c>
      <c r="Q42" s="901">
        <f>VLOOKUP($C40,UsoSuelo!$CQ$1127:$DC$1194,10,FALSE)</f>
        <v>0</v>
      </c>
      <c r="R42" s="901">
        <f>VLOOKUP($C40,UsoSuelo!$CQ$1127:$DC$1194,11,FALSE)</f>
        <v>0</v>
      </c>
      <c r="S42" s="901">
        <f>VLOOKUP($C40,UsoSuelo!$CQ$1127:$DC$1194,12,FALSE)</f>
        <v>0</v>
      </c>
      <c r="T42" s="902">
        <f>VLOOKUP($C40,UsoSuelo!$CQ$1127:$DC$1194,13,FALSE)</f>
        <v>0</v>
      </c>
      <c r="U42" s="903">
        <f>SUM(I42:T42)</f>
        <v>0</v>
      </c>
      <c r="X42" s="205"/>
      <c r="Y42" s="899" t="s">
        <v>884</v>
      </c>
      <c r="Z42" s="900"/>
      <c r="AA42" s="900"/>
      <c r="AB42" s="900"/>
      <c r="AC42" s="900"/>
      <c r="AD42" s="900"/>
      <c r="AE42" s="900"/>
      <c r="AF42" s="901">
        <f>VLOOKUP($Z40,UsoSuelo!$DE$1054:$DQ$1120,2,FALSE)</f>
        <v>0</v>
      </c>
      <c r="AG42" s="901">
        <f>VLOOKUP($Z40,UsoSuelo!$DE$1054:$DQ$1120,3,FALSE)</f>
        <v>0</v>
      </c>
      <c r="AH42" s="901">
        <f>VLOOKUP($Z40,UsoSuelo!$DE$1054:$DQ$1120,4,FALSE)</f>
        <v>0</v>
      </c>
      <c r="AI42" s="901">
        <f>VLOOKUP($Z40,UsoSuelo!$DE$1054:$DQ$1120,5,FALSE)</f>
        <v>0</v>
      </c>
      <c r="AJ42" s="901">
        <f>VLOOKUP($Z40,UsoSuelo!$DE$1054:$DQ$1120,6,FALSE)</f>
        <v>0</v>
      </c>
      <c r="AK42" s="901">
        <f>VLOOKUP($Z40,UsoSuelo!$DE$1054:$DQ$1120,7,FALSE)</f>
        <v>0</v>
      </c>
      <c r="AL42" s="901">
        <f>VLOOKUP($Z40,UsoSuelo!$DE$1054:$DQ$1120,8,FALSE)</f>
        <v>0</v>
      </c>
      <c r="AM42" s="901">
        <f>VLOOKUP($Z40,UsoSuelo!$DE$1054:$DQ$1120,9,FALSE)</f>
        <v>0</v>
      </c>
      <c r="AN42" s="901">
        <f>VLOOKUP($Z40,UsoSuelo!$DE$1054:$DQ$1120,10,FALSE)</f>
        <v>0</v>
      </c>
      <c r="AO42" s="901">
        <f>VLOOKUP($Z40,UsoSuelo!$DE$1054:$DQ$1120,11,FALSE)</f>
        <v>0</v>
      </c>
      <c r="AP42" s="901">
        <f>VLOOKUP($Z40,UsoSuelo!$DE$1054:$DQ$1120,12,FALSE)</f>
        <v>0</v>
      </c>
      <c r="AQ42" s="902">
        <f>VLOOKUP($Z40,UsoSuelo!$DE$1054:$DQ$1120,13,FALSE)</f>
        <v>0</v>
      </c>
      <c r="AR42" s="903">
        <f>SUM(AF42:AQ42)</f>
        <v>0</v>
      </c>
    </row>
    <row r="43" spans="1:47" x14ac:dyDescent="0.2">
      <c r="A43" s="205"/>
      <c r="B43" s="641"/>
      <c r="C43" s="621" t="s">
        <v>885</v>
      </c>
      <c r="D43" s="621"/>
      <c r="E43" s="621" t="s">
        <v>881</v>
      </c>
      <c r="F43" s="621" t="s">
        <v>23</v>
      </c>
      <c r="G43" s="622"/>
      <c r="H43" s="623"/>
      <c r="I43" s="297"/>
      <c r="J43" s="296"/>
      <c r="K43" s="296"/>
      <c r="L43" s="296"/>
      <c r="M43" s="296"/>
      <c r="N43" s="297"/>
      <c r="O43" s="297"/>
      <c r="P43" s="297"/>
      <c r="Q43" s="297"/>
      <c r="R43" s="297"/>
      <c r="S43" s="297"/>
      <c r="T43" s="297"/>
      <c r="U43" s="642" t="s">
        <v>881</v>
      </c>
      <c r="X43" s="205"/>
      <c r="Y43" s="641"/>
      <c r="Z43" s="621" t="s">
        <v>885</v>
      </c>
      <c r="AA43" s="621"/>
      <c r="AB43" s="621" t="s">
        <v>881</v>
      </c>
      <c r="AC43" s="621" t="s">
        <v>23</v>
      </c>
      <c r="AD43" s="622"/>
      <c r="AE43" s="623"/>
      <c r="AF43" s="297"/>
      <c r="AG43" s="296"/>
      <c r="AH43" s="296"/>
      <c r="AI43" s="296"/>
      <c r="AJ43" s="296"/>
      <c r="AK43" s="297"/>
      <c r="AL43" s="297"/>
      <c r="AM43" s="297"/>
      <c r="AN43" s="297"/>
      <c r="AO43" s="297"/>
      <c r="AP43" s="297"/>
      <c r="AQ43" s="297"/>
      <c r="AR43" s="642" t="s">
        <v>881</v>
      </c>
    </row>
    <row r="44" spans="1:47" x14ac:dyDescent="0.2">
      <c r="A44" s="205"/>
      <c r="B44" s="199" t="s">
        <v>869</v>
      </c>
      <c r="C44" s="3" t="s">
        <v>1105</v>
      </c>
      <c r="D44" s="3" t="s">
        <v>312</v>
      </c>
      <c r="E44" s="4" t="s">
        <v>882</v>
      </c>
      <c r="F44" s="3" t="s">
        <v>314</v>
      </c>
      <c r="G44" s="4" t="s">
        <v>313</v>
      </c>
      <c r="H44" s="299"/>
      <c r="I44" s="320"/>
      <c r="J44" s="319"/>
      <c r="K44" s="319"/>
      <c r="L44" s="319"/>
      <c r="M44" s="319" t="s">
        <v>349</v>
      </c>
      <c r="N44" s="320"/>
      <c r="O44" s="320"/>
      <c r="P44" s="320"/>
      <c r="Q44" s="320"/>
      <c r="R44" s="320"/>
      <c r="S44" s="320"/>
      <c r="T44" s="320"/>
      <c r="U44" s="643" t="s">
        <v>891</v>
      </c>
      <c r="X44" s="205"/>
      <c r="Y44" s="199" t="s">
        <v>869</v>
      </c>
      <c r="Z44" s="3" t="s">
        <v>1105</v>
      </c>
      <c r="AA44" s="3" t="s">
        <v>312</v>
      </c>
      <c r="AB44" s="4" t="s">
        <v>882</v>
      </c>
      <c r="AC44" s="3" t="s">
        <v>314</v>
      </c>
      <c r="AD44" s="4" t="s">
        <v>313</v>
      </c>
      <c r="AE44" s="299"/>
      <c r="AF44" s="320"/>
      <c r="AG44" s="319"/>
      <c r="AH44" s="319"/>
      <c r="AI44" s="319"/>
      <c r="AJ44" s="319" t="s">
        <v>349</v>
      </c>
      <c r="AK44" s="320"/>
      <c r="AL44" s="320"/>
      <c r="AM44" s="320"/>
      <c r="AN44" s="320"/>
      <c r="AO44" s="320"/>
      <c r="AP44" s="320"/>
      <c r="AQ44" s="320"/>
      <c r="AR44" s="643" t="s">
        <v>891</v>
      </c>
    </row>
    <row r="45" spans="1:47" ht="15.05" thickBot="1" x14ac:dyDescent="0.35">
      <c r="A45" s="205"/>
      <c r="B45" s="5042"/>
      <c r="C45" s="1056">
        <f>IF(B45=0,0,U$42)</f>
        <v>0</v>
      </c>
      <c r="D45" s="1056">
        <f>IF(B45=0,0,VLOOKUP(B45,Precios!$B$216:$D$307,3,FALSE))</f>
        <v>0</v>
      </c>
      <c r="E45" s="5043"/>
      <c r="F45" s="300"/>
      <c r="G45" s="300"/>
      <c r="H45" s="309"/>
      <c r="I45" s="1072">
        <f>IF($C45&gt;0,I$42*$E45,0)</f>
        <v>0</v>
      </c>
      <c r="J45" s="1033">
        <f t="shared" ref="J45:T62" si="3">IF($C45&gt;0,J$42*$E45,0)</f>
        <v>0</v>
      </c>
      <c r="K45" s="1033">
        <f t="shared" si="3"/>
        <v>0</v>
      </c>
      <c r="L45" s="1033">
        <f t="shared" si="3"/>
        <v>0</v>
      </c>
      <c r="M45" s="1033">
        <f t="shared" si="3"/>
        <v>0</v>
      </c>
      <c r="N45" s="1033">
        <f t="shared" si="3"/>
        <v>0</v>
      </c>
      <c r="O45" s="1033">
        <f t="shared" si="3"/>
        <v>0</v>
      </c>
      <c r="P45" s="1033">
        <f t="shared" si="3"/>
        <v>0</v>
      </c>
      <c r="Q45" s="1033">
        <f t="shared" si="3"/>
        <v>0</v>
      </c>
      <c r="R45" s="1033">
        <f t="shared" si="3"/>
        <v>0</v>
      </c>
      <c r="S45" s="1033">
        <f t="shared" si="3"/>
        <v>0</v>
      </c>
      <c r="T45" s="1033">
        <f t="shared" si="3"/>
        <v>0</v>
      </c>
      <c r="U45" s="1073">
        <f t="shared" ref="U45:U56" si="4">SUM(I45:T45)</f>
        <v>0</v>
      </c>
      <c r="V45" s="232" t="str">
        <f>B45&amp;"propia"</f>
        <v>propia</v>
      </c>
      <c r="X45" s="301"/>
      <c r="Y45" s="5042"/>
      <c r="Z45" s="1056">
        <f>IF(Y45=0,0,AR$42)</f>
        <v>0</v>
      </c>
      <c r="AA45" s="1056">
        <f>IF(Y45=0,0,VLOOKUP(Y45,Precios!$B$216:$D$307,3,FALSE))</f>
        <v>0</v>
      </c>
      <c r="AB45" s="1069"/>
      <c r="AC45" s="300"/>
      <c r="AD45" s="300"/>
      <c r="AE45" s="309"/>
      <c r="AF45" s="1072">
        <f>IF($Z45&gt;0,AF$42*$AB45,0)</f>
        <v>0</v>
      </c>
      <c r="AG45" s="1033">
        <f t="shared" ref="AG45:AQ64" si="5">IF($Z45&gt;0,AG$42*$AB45,0)</f>
        <v>0</v>
      </c>
      <c r="AH45" s="1033">
        <f t="shared" si="5"/>
        <v>0</v>
      </c>
      <c r="AI45" s="1033">
        <f t="shared" si="5"/>
        <v>0</v>
      </c>
      <c r="AJ45" s="1033">
        <f t="shared" si="5"/>
        <v>0</v>
      </c>
      <c r="AK45" s="1033">
        <f t="shared" si="5"/>
        <v>0</v>
      </c>
      <c r="AL45" s="1033">
        <f t="shared" si="5"/>
        <v>0</v>
      </c>
      <c r="AM45" s="1033">
        <f t="shared" si="5"/>
        <v>0</v>
      </c>
      <c r="AN45" s="1033">
        <f t="shared" si="5"/>
        <v>0</v>
      </c>
      <c r="AO45" s="1033">
        <f t="shared" si="5"/>
        <v>0</v>
      </c>
      <c r="AP45" s="1033">
        <f t="shared" si="5"/>
        <v>0</v>
      </c>
      <c r="AQ45" s="1033">
        <f t="shared" si="5"/>
        <v>0</v>
      </c>
      <c r="AR45" s="1073">
        <f t="shared" ref="AR45:AR63" si="6">SUM(AF45:AQ45)</f>
        <v>0</v>
      </c>
      <c r="AS45" s="232" t="str">
        <f>Y45&amp;"propia"</f>
        <v>propia</v>
      </c>
    </row>
    <row r="46" spans="1:47" ht="15.05" thickBot="1" x14ac:dyDescent="0.35">
      <c r="A46" s="205"/>
      <c r="B46" s="5044"/>
      <c r="C46" s="985">
        <f t="shared" ref="C46:C76" si="7">IF(B46=0,0,U$42)</f>
        <v>0</v>
      </c>
      <c r="D46" s="985">
        <f>IF(B46=0,0,VLOOKUP(B46,Precios!$B$216:$D$307,3,FALSE))</f>
        <v>0</v>
      </c>
      <c r="E46" s="5045"/>
      <c r="F46" s="300"/>
      <c r="G46" s="300"/>
      <c r="H46" s="309"/>
      <c r="I46" s="1074">
        <f>IF($C46&gt;0,I$42*$E46,0)</f>
        <v>0</v>
      </c>
      <c r="J46" s="1005">
        <f t="shared" si="3"/>
        <v>0</v>
      </c>
      <c r="K46" s="1005">
        <f t="shared" si="3"/>
        <v>0</v>
      </c>
      <c r="L46" s="1005">
        <f t="shared" si="3"/>
        <v>0</v>
      </c>
      <c r="M46" s="1005">
        <f t="shared" si="3"/>
        <v>0</v>
      </c>
      <c r="N46" s="1005">
        <f t="shared" si="3"/>
        <v>0</v>
      </c>
      <c r="O46" s="1005">
        <f t="shared" si="3"/>
        <v>0</v>
      </c>
      <c r="P46" s="1005">
        <f t="shared" si="3"/>
        <v>0</v>
      </c>
      <c r="Q46" s="1005">
        <f t="shared" si="3"/>
        <v>0</v>
      </c>
      <c r="R46" s="1005">
        <f t="shared" si="3"/>
        <v>0</v>
      </c>
      <c r="S46" s="1005">
        <f t="shared" si="3"/>
        <v>0</v>
      </c>
      <c r="T46" s="1005">
        <f t="shared" si="3"/>
        <v>0</v>
      </c>
      <c r="U46" s="1075">
        <f t="shared" si="4"/>
        <v>0</v>
      </c>
      <c r="V46" s="232" t="str">
        <f>B46&amp;"propia"</f>
        <v>propia</v>
      </c>
      <c r="X46" s="301"/>
      <c r="Y46" s="5044"/>
      <c r="Z46" s="985">
        <f t="shared" ref="Z46:Z76" si="8">IF(Y46=0,0,AR$42)</f>
        <v>0</v>
      </c>
      <c r="AA46" s="985">
        <f>IF(Y46=0,0,VLOOKUP(Y46,Precios!$B$216:$D$307,3,FALSE))</f>
        <v>0</v>
      </c>
      <c r="AB46" s="1070"/>
      <c r="AC46" s="300"/>
      <c r="AD46" s="300"/>
      <c r="AE46" s="309"/>
      <c r="AF46" s="1074">
        <f>IF($Z46&gt;0,AF$42*$AB46,0)</f>
        <v>0</v>
      </c>
      <c r="AG46" s="1005">
        <f t="shared" si="5"/>
        <v>0</v>
      </c>
      <c r="AH46" s="1005">
        <f t="shared" si="5"/>
        <v>0</v>
      </c>
      <c r="AI46" s="1005">
        <f t="shared" si="5"/>
        <v>0</v>
      </c>
      <c r="AJ46" s="1005">
        <f t="shared" si="5"/>
        <v>0</v>
      </c>
      <c r="AK46" s="1005">
        <f t="shared" si="5"/>
        <v>0</v>
      </c>
      <c r="AL46" s="1005">
        <f t="shared" si="5"/>
        <v>0</v>
      </c>
      <c r="AM46" s="1005">
        <f t="shared" si="5"/>
        <v>0</v>
      </c>
      <c r="AN46" s="1005">
        <f t="shared" si="5"/>
        <v>0</v>
      </c>
      <c r="AO46" s="1005">
        <f t="shared" si="5"/>
        <v>0</v>
      </c>
      <c r="AP46" s="1005">
        <f t="shared" si="5"/>
        <v>0</v>
      </c>
      <c r="AQ46" s="1005">
        <f t="shared" si="5"/>
        <v>0</v>
      </c>
      <c r="AR46" s="1075">
        <f t="shared" si="6"/>
        <v>0</v>
      </c>
      <c r="AS46" s="232" t="str">
        <f>Y46&amp;"propia"</f>
        <v>propia</v>
      </c>
    </row>
    <row r="47" spans="1:47" ht="15.05" thickBot="1" x14ac:dyDescent="0.35">
      <c r="A47" s="205"/>
      <c r="B47" s="5044"/>
      <c r="C47" s="985">
        <f t="shared" si="7"/>
        <v>0</v>
      </c>
      <c r="D47" s="985">
        <f>IF(B47=0,0,VLOOKUP(B47,Precios!$B$216:$D$307,3,FALSE))</f>
        <v>0</v>
      </c>
      <c r="E47" s="5045"/>
      <c r="F47" s="300"/>
      <c r="G47" s="300"/>
      <c r="H47" s="309"/>
      <c r="I47" s="1074">
        <f>IF($C47&gt;0,I$42*$E47,0)</f>
        <v>0</v>
      </c>
      <c r="J47" s="1005">
        <f t="shared" si="3"/>
        <v>0</v>
      </c>
      <c r="K47" s="1005">
        <f t="shared" si="3"/>
        <v>0</v>
      </c>
      <c r="L47" s="1005">
        <f t="shared" si="3"/>
        <v>0</v>
      </c>
      <c r="M47" s="1005">
        <f t="shared" si="3"/>
        <v>0</v>
      </c>
      <c r="N47" s="1005">
        <f t="shared" si="3"/>
        <v>0</v>
      </c>
      <c r="O47" s="1005">
        <f t="shared" si="3"/>
        <v>0</v>
      </c>
      <c r="P47" s="1005">
        <f t="shared" si="3"/>
        <v>0</v>
      </c>
      <c r="Q47" s="1005">
        <f t="shared" si="3"/>
        <v>0</v>
      </c>
      <c r="R47" s="1005">
        <f t="shared" si="3"/>
        <v>0</v>
      </c>
      <c r="S47" s="1005">
        <f t="shared" si="3"/>
        <v>0</v>
      </c>
      <c r="T47" s="1005">
        <f t="shared" si="3"/>
        <v>0</v>
      </c>
      <c r="U47" s="1075">
        <f t="shared" si="4"/>
        <v>0</v>
      </c>
      <c r="V47" s="232" t="str">
        <f>B47&amp;"propia"</f>
        <v>propia</v>
      </c>
      <c r="X47" s="301"/>
      <c r="Y47" s="5044"/>
      <c r="Z47" s="985">
        <f t="shared" si="8"/>
        <v>0</v>
      </c>
      <c r="AA47" s="985">
        <f>IF(Y47=0,0,VLOOKUP(Y47,Precios!$B$216:$D$307,3,FALSE))</f>
        <v>0</v>
      </c>
      <c r="AB47" s="1070"/>
      <c r="AC47" s="300"/>
      <c r="AD47" s="300"/>
      <c r="AE47" s="309"/>
      <c r="AF47" s="1074">
        <f>IF($Z47&gt;0,AF$42*$AB47,0)</f>
        <v>0</v>
      </c>
      <c r="AG47" s="1005">
        <f t="shared" si="5"/>
        <v>0</v>
      </c>
      <c r="AH47" s="1005">
        <f t="shared" si="5"/>
        <v>0</v>
      </c>
      <c r="AI47" s="1005">
        <f t="shared" si="5"/>
        <v>0</v>
      </c>
      <c r="AJ47" s="1005">
        <f t="shared" si="5"/>
        <v>0</v>
      </c>
      <c r="AK47" s="1005">
        <f t="shared" si="5"/>
        <v>0</v>
      </c>
      <c r="AL47" s="1005">
        <f t="shared" si="5"/>
        <v>0</v>
      </c>
      <c r="AM47" s="1005">
        <f t="shared" si="5"/>
        <v>0</v>
      </c>
      <c r="AN47" s="1005">
        <f t="shared" si="5"/>
        <v>0</v>
      </c>
      <c r="AO47" s="1005">
        <f t="shared" si="5"/>
        <v>0</v>
      </c>
      <c r="AP47" s="1005">
        <f t="shared" si="5"/>
        <v>0</v>
      </c>
      <c r="AQ47" s="1005">
        <f t="shared" si="5"/>
        <v>0</v>
      </c>
      <c r="AR47" s="1075">
        <f t="shared" si="6"/>
        <v>0</v>
      </c>
      <c r="AS47" s="232" t="str">
        <f>Y47&amp;"propia"</f>
        <v>propia</v>
      </c>
    </row>
    <row r="48" spans="1:47" ht="15.05" thickBot="1" x14ac:dyDescent="0.35">
      <c r="A48" s="205"/>
      <c r="B48" s="5044"/>
      <c r="C48" s="985">
        <f t="shared" si="7"/>
        <v>0</v>
      </c>
      <c r="D48" s="985">
        <f>IF(B48=0,0,VLOOKUP(B48,Precios!$B$216:$D$307,3,FALSE))</f>
        <v>0</v>
      </c>
      <c r="E48" s="5045"/>
      <c r="F48" s="300"/>
      <c r="G48" s="300"/>
      <c r="H48" s="309"/>
      <c r="I48" s="1074">
        <f>IF($C48&gt;0,I$42*$E48,0)</f>
        <v>0</v>
      </c>
      <c r="J48" s="1005">
        <f t="shared" si="3"/>
        <v>0</v>
      </c>
      <c r="K48" s="1005">
        <f t="shared" si="3"/>
        <v>0</v>
      </c>
      <c r="L48" s="1005">
        <f t="shared" si="3"/>
        <v>0</v>
      </c>
      <c r="M48" s="1005">
        <f t="shared" si="3"/>
        <v>0</v>
      </c>
      <c r="N48" s="1005">
        <f t="shared" si="3"/>
        <v>0</v>
      </c>
      <c r="O48" s="1005">
        <f t="shared" si="3"/>
        <v>0</v>
      </c>
      <c r="P48" s="1005">
        <f t="shared" si="3"/>
        <v>0</v>
      </c>
      <c r="Q48" s="1005">
        <f t="shared" si="3"/>
        <v>0</v>
      </c>
      <c r="R48" s="1005">
        <f t="shared" si="3"/>
        <v>0</v>
      </c>
      <c r="S48" s="1005">
        <f t="shared" si="3"/>
        <v>0</v>
      </c>
      <c r="T48" s="1005">
        <f t="shared" si="3"/>
        <v>0</v>
      </c>
      <c r="U48" s="1075">
        <f t="shared" si="4"/>
        <v>0</v>
      </c>
      <c r="V48" s="232" t="str">
        <f>B48&amp;"propia"</f>
        <v>propia</v>
      </c>
      <c r="X48" s="301"/>
      <c r="Y48" s="5044"/>
      <c r="Z48" s="985">
        <f t="shared" si="8"/>
        <v>0</v>
      </c>
      <c r="AA48" s="985">
        <f>IF(Y48=0,0,VLOOKUP(Y48,Precios!$B$216:$D$307,3,FALSE))</f>
        <v>0</v>
      </c>
      <c r="AB48" s="1070"/>
      <c r="AC48" s="300"/>
      <c r="AD48" s="300"/>
      <c r="AE48" s="309"/>
      <c r="AF48" s="1074">
        <f>IF($Z48&gt;0,AF$42*$AB48,0)</f>
        <v>0</v>
      </c>
      <c r="AG48" s="1005">
        <f t="shared" si="5"/>
        <v>0</v>
      </c>
      <c r="AH48" s="1005">
        <f t="shared" si="5"/>
        <v>0</v>
      </c>
      <c r="AI48" s="1005">
        <f t="shared" si="5"/>
        <v>0</v>
      </c>
      <c r="AJ48" s="1005">
        <f t="shared" si="5"/>
        <v>0</v>
      </c>
      <c r="AK48" s="1005">
        <f t="shared" si="5"/>
        <v>0</v>
      </c>
      <c r="AL48" s="1005">
        <f t="shared" si="5"/>
        <v>0</v>
      </c>
      <c r="AM48" s="1005">
        <f t="shared" si="5"/>
        <v>0</v>
      </c>
      <c r="AN48" s="1005">
        <f t="shared" si="5"/>
        <v>0</v>
      </c>
      <c r="AO48" s="1005">
        <f t="shared" si="5"/>
        <v>0</v>
      </c>
      <c r="AP48" s="1005">
        <f t="shared" si="5"/>
        <v>0</v>
      </c>
      <c r="AQ48" s="1005">
        <f t="shared" si="5"/>
        <v>0</v>
      </c>
      <c r="AR48" s="1075">
        <f t="shared" si="6"/>
        <v>0</v>
      </c>
      <c r="AS48" s="232" t="str">
        <f>Y48&amp;"propia"</f>
        <v>propia</v>
      </c>
    </row>
    <row r="49" spans="1:46" x14ac:dyDescent="0.3">
      <c r="A49" s="205"/>
      <c r="B49" s="5046"/>
      <c r="C49" s="1057">
        <f t="shared" si="7"/>
        <v>0</v>
      </c>
      <c r="D49" s="1057">
        <f>IF(B49=0,0,VLOOKUP(B49,Precios!$B$216:$D$307,3,FALSE))</f>
        <v>0</v>
      </c>
      <c r="E49" s="5047"/>
      <c r="F49" s="300"/>
      <c r="G49" s="300"/>
      <c r="H49" s="309"/>
      <c r="I49" s="1076">
        <f>IF($C49&gt;0,I$42*$E49,0)</f>
        <v>0</v>
      </c>
      <c r="J49" s="1077">
        <f t="shared" si="3"/>
        <v>0</v>
      </c>
      <c r="K49" s="1077">
        <f t="shared" si="3"/>
        <v>0</v>
      </c>
      <c r="L49" s="1077">
        <f t="shared" si="3"/>
        <v>0</v>
      </c>
      <c r="M49" s="1077">
        <f t="shared" si="3"/>
        <v>0</v>
      </c>
      <c r="N49" s="1077">
        <f t="shared" si="3"/>
        <v>0</v>
      </c>
      <c r="O49" s="1077">
        <f t="shared" si="3"/>
        <v>0</v>
      </c>
      <c r="P49" s="1077">
        <f t="shared" si="3"/>
        <v>0</v>
      </c>
      <c r="Q49" s="1077">
        <f t="shared" si="3"/>
        <v>0</v>
      </c>
      <c r="R49" s="1077">
        <f t="shared" si="3"/>
        <v>0</v>
      </c>
      <c r="S49" s="1077">
        <f t="shared" si="3"/>
        <v>0</v>
      </c>
      <c r="T49" s="1077">
        <f t="shared" si="3"/>
        <v>0</v>
      </c>
      <c r="U49" s="1078">
        <f t="shared" si="4"/>
        <v>0</v>
      </c>
      <c r="V49" s="232" t="str">
        <f>B49&amp;"propia"</f>
        <v>propia</v>
      </c>
      <c r="X49" s="301"/>
      <c r="Y49" s="5046"/>
      <c r="Z49" s="1057">
        <f t="shared" si="8"/>
        <v>0</v>
      </c>
      <c r="AA49" s="1057">
        <f>IF(Y49=0,0,VLOOKUP(Y49,Precios!$B$216:$D$307,3,FALSE))</f>
        <v>0</v>
      </c>
      <c r="AB49" s="1071"/>
      <c r="AC49" s="300"/>
      <c r="AD49" s="300"/>
      <c r="AE49" s="309"/>
      <c r="AF49" s="1076">
        <f>IF($Z49&gt;0,AF$42*$AB49,0)</f>
        <v>0</v>
      </c>
      <c r="AG49" s="1077">
        <f t="shared" si="5"/>
        <v>0</v>
      </c>
      <c r="AH49" s="1077">
        <f t="shared" si="5"/>
        <v>0</v>
      </c>
      <c r="AI49" s="1077">
        <f t="shared" si="5"/>
        <v>0</v>
      </c>
      <c r="AJ49" s="1077">
        <f t="shared" si="5"/>
        <v>0</v>
      </c>
      <c r="AK49" s="1077">
        <f t="shared" si="5"/>
        <v>0</v>
      </c>
      <c r="AL49" s="1077">
        <f t="shared" si="5"/>
        <v>0</v>
      </c>
      <c r="AM49" s="1077">
        <f t="shared" si="5"/>
        <v>0</v>
      </c>
      <c r="AN49" s="1077">
        <f t="shared" si="5"/>
        <v>0</v>
      </c>
      <c r="AO49" s="1077">
        <f t="shared" si="5"/>
        <v>0</v>
      </c>
      <c r="AP49" s="1077">
        <f t="shared" si="5"/>
        <v>0</v>
      </c>
      <c r="AQ49" s="1077">
        <f t="shared" si="5"/>
        <v>0</v>
      </c>
      <c r="AR49" s="1078">
        <f t="shared" si="6"/>
        <v>0</v>
      </c>
      <c r="AS49" s="232" t="str">
        <f>Y49&amp;"propia"</f>
        <v>propia</v>
      </c>
    </row>
    <row r="50" spans="1:46" x14ac:dyDescent="0.3">
      <c r="A50" s="205"/>
      <c r="B50" s="645" t="s">
        <v>1083</v>
      </c>
      <c r="C50" s="305"/>
      <c r="D50" s="305"/>
      <c r="E50" s="305"/>
      <c r="F50" s="305"/>
      <c r="G50" s="305"/>
      <c r="H50" s="306"/>
      <c r="I50" s="904">
        <f t="shared" ref="I50:T50" si="9">SUM(I45:I49)</f>
        <v>0</v>
      </c>
      <c r="J50" s="904">
        <f t="shared" si="9"/>
        <v>0</v>
      </c>
      <c r="K50" s="904">
        <f t="shared" si="9"/>
        <v>0</v>
      </c>
      <c r="L50" s="904">
        <f t="shared" si="9"/>
        <v>0</v>
      </c>
      <c r="M50" s="904">
        <f t="shared" si="9"/>
        <v>0</v>
      </c>
      <c r="N50" s="904">
        <f t="shared" si="9"/>
        <v>0</v>
      </c>
      <c r="O50" s="904">
        <f t="shared" si="9"/>
        <v>0</v>
      </c>
      <c r="P50" s="904">
        <f t="shared" si="9"/>
        <v>0</v>
      </c>
      <c r="Q50" s="904">
        <f t="shared" si="9"/>
        <v>0</v>
      </c>
      <c r="R50" s="904">
        <f t="shared" si="9"/>
        <v>0</v>
      </c>
      <c r="S50" s="904">
        <f t="shared" si="9"/>
        <v>0</v>
      </c>
      <c r="T50" s="904">
        <f t="shared" si="9"/>
        <v>0</v>
      </c>
      <c r="U50" s="905">
        <f>SUM(I50:T50)</f>
        <v>0</v>
      </c>
      <c r="X50" s="301"/>
      <c r="Y50" s="645" t="s">
        <v>1083</v>
      </c>
      <c r="Z50" s="305"/>
      <c r="AA50" s="305"/>
      <c r="AB50" s="305"/>
      <c r="AC50" s="305"/>
      <c r="AD50" s="305"/>
      <c r="AE50" s="306"/>
      <c r="AF50" s="904">
        <f t="shared" ref="AF50:AQ50" si="10">SUM(AF45:AF49)</f>
        <v>0</v>
      </c>
      <c r="AG50" s="904">
        <f t="shared" si="10"/>
        <v>0</v>
      </c>
      <c r="AH50" s="904">
        <f t="shared" si="10"/>
        <v>0</v>
      </c>
      <c r="AI50" s="904">
        <f t="shared" si="10"/>
        <v>0</v>
      </c>
      <c r="AJ50" s="904">
        <f t="shared" si="10"/>
        <v>0</v>
      </c>
      <c r="AK50" s="904">
        <f t="shared" si="10"/>
        <v>0</v>
      </c>
      <c r="AL50" s="904">
        <f t="shared" si="10"/>
        <v>0</v>
      </c>
      <c r="AM50" s="904">
        <f t="shared" si="10"/>
        <v>0</v>
      </c>
      <c r="AN50" s="904">
        <f t="shared" si="10"/>
        <v>0</v>
      </c>
      <c r="AO50" s="904">
        <f t="shared" si="10"/>
        <v>0</v>
      </c>
      <c r="AP50" s="904">
        <f t="shared" si="10"/>
        <v>0</v>
      </c>
      <c r="AQ50" s="904">
        <f t="shared" si="10"/>
        <v>0</v>
      </c>
      <c r="AR50" s="905">
        <f>SUM(AF50:AQ50)</f>
        <v>0</v>
      </c>
    </row>
    <row r="51" spans="1:46" x14ac:dyDescent="0.2">
      <c r="A51" s="205"/>
      <c r="B51" s="197" t="s">
        <v>870</v>
      </c>
      <c r="C51" s="307"/>
      <c r="D51" s="307"/>
      <c r="E51" s="308"/>
      <c r="F51" s="308"/>
      <c r="G51" s="308"/>
      <c r="H51" s="307"/>
      <c r="I51" s="307"/>
      <c r="J51" s="307"/>
      <c r="K51" s="307"/>
      <c r="L51" s="307"/>
      <c r="M51" s="307"/>
      <c r="N51" s="307"/>
      <c r="O51" s="307"/>
      <c r="P51" s="307"/>
      <c r="Q51" s="307"/>
      <c r="R51" s="307"/>
      <c r="S51" s="307"/>
      <c r="T51" s="307"/>
      <c r="U51" s="646"/>
      <c r="X51" s="301"/>
      <c r="Y51" s="197" t="s">
        <v>870</v>
      </c>
      <c r="Z51" s="307"/>
      <c r="AA51" s="307"/>
      <c r="AB51" s="308"/>
      <c r="AC51" s="308"/>
      <c r="AD51" s="308"/>
      <c r="AE51" s="307"/>
      <c r="AF51" s="307"/>
      <c r="AG51" s="307"/>
      <c r="AH51" s="307"/>
      <c r="AI51" s="307"/>
      <c r="AJ51" s="307"/>
      <c r="AK51" s="307"/>
      <c r="AL51" s="307"/>
      <c r="AM51" s="307"/>
      <c r="AN51" s="307"/>
      <c r="AO51" s="307"/>
      <c r="AP51" s="307"/>
      <c r="AQ51" s="307"/>
      <c r="AR51" s="646"/>
    </row>
    <row r="52" spans="1:46" ht="15.05" thickBot="1" x14ac:dyDescent="0.35">
      <c r="A52" s="205"/>
      <c r="B52" s="5042"/>
      <c r="C52" s="1056">
        <f t="shared" si="7"/>
        <v>0</v>
      </c>
      <c r="D52" s="1056">
        <f>IF(B52=0,0,VLOOKUP(B52,Precios!$B$216:$D$307,3,FALSE))</f>
        <v>0</v>
      </c>
      <c r="E52" s="5048"/>
      <c r="F52" s="1249">
        <f>IF(B52=0,0,VLOOKUP(B52,Precios!$B$216:$D$307,2,FALSE))</f>
        <v>0</v>
      </c>
      <c r="G52" s="1066">
        <f>E52*F52</f>
        <v>0</v>
      </c>
      <c r="H52" s="309"/>
      <c r="I52" s="1072">
        <f>IF($C52&gt;0,I$42*$E52,0)</f>
        <v>0</v>
      </c>
      <c r="J52" s="1033">
        <f t="shared" si="3"/>
        <v>0</v>
      </c>
      <c r="K52" s="1033">
        <f t="shared" si="3"/>
        <v>0</v>
      </c>
      <c r="L52" s="1033">
        <f t="shared" si="3"/>
        <v>0</v>
      </c>
      <c r="M52" s="1033">
        <f t="shared" si="3"/>
        <v>0</v>
      </c>
      <c r="N52" s="1033">
        <f t="shared" si="3"/>
        <v>0</v>
      </c>
      <c r="O52" s="1033">
        <f t="shared" si="3"/>
        <v>0</v>
      </c>
      <c r="P52" s="1033">
        <f t="shared" si="3"/>
        <v>0</v>
      </c>
      <c r="Q52" s="1033">
        <f t="shared" si="3"/>
        <v>0</v>
      </c>
      <c r="R52" s="1033">
        <f t="shared" si="3"/>
        <v>0</v>
      </c>
      <c r="S52" s="1033">
        <f t="shared" si="3"/>
        <v>0</v>
      </c>
      <c r="T52" s="1033">
        <f t="shared" si="3"/>
        <v>0</v>
      </c>
      <c r="U52" s="1073">
        <f t="shared" si="4"/>
        <v>0</v>
      </c>
      <c r="V52" s="232" t="str">
        <f>B52&amp;"contratada"</f>
        <v>contratada</v>
      </c>
      <c r="X52" s="301"/>
      <c r="Y52" s="5042"/>
      <c r="Z52" s="1056">
        <f t="shared" si="8"/>
        <v>0</v>
      </c>
      <c r="AA52" s="1056">
        <f>IF(Y52=0,0,VLOOKUP(Y52,Precios!$B$216:$D$307,3,FALSE))</f>
        <v>0</v>
      </c>
      <c r="AB52" s="1058"/>
      <c r="AC52" s="1249">
        <f>IF(Y52=0,0,VLOOKUP(Y52,Precios!$B$216:$D$307,2,FALSE))</f>
        <v>0</v>
      </c>
      <c r="AD52" s="1066">
        <f>AB52*AC52</f>
        <v>0</v>
      </c>
      <c r="AE52" s="309"/>
      <c r="AF52" s="1072">
        <f>IF($Z52&gt;0,AF$42*$AB52,0)</f>
        <v>0</v>
      </c>
      <c r="AG52" s="1033">
        <f t="shared" si="5"/>
        <v>0</v>
      </c>
      <c r="AH52" s="1033">
        <f t="shared" si="5"/>
        <v>0</v>
      </c>
      <c r="AI52" s="1033">
        <f t="shared" si="5"/>
        <v>0</v>
      </c>
      <c r="AJ52" s="1033">
        <f t="shared" si="5"/>
        <v>0</v>
      </c>
      <c r="AK52" s="1033">
        <f t="shared" si="5"/>
        <v>0</v>
      </c>
      <c r="AL52" s="1033">
        <f t="shared" si="5"/>
        <v>0</v>
      </c>
      <c r="AM52" s="1033">
        <f t="shared" si="5"/>
        <v>0</v>
      </c>
      <c r="AN52" s="1033">
        <f t="shared" si="5"/>
        <v>0</v>
      </c>
      <c r="AO52" s="1033">
        <f t="shared" si="5"/>
        <v>0</v>
      </c>
      <c r="AP52" s="1033">
        <f t="shared" si="5"/>
        <v>0</v>
      </c>
      <c r="AQ52" s="1033">
        <f t="shared" si="5"/>
        <v>0</v>
      </c>
      <c r="AR52" s="1073">
        <f t="shared" si="6"/>
        <v>0</v>
      </c>
      <c r="AS52" s="232" t="str">
        <f>Y52&amp;"contratada"</f>
        <v>contratada</v>
      </c>
    </row>
    <row r="53" spans="1:46" ht="15.05" thickBot="1" x14ac:dyDescent="0.35">
      <c r="A53" s="205"/>
      <c r="B53" s="5044"/>
      <c r="C53" s="985">
        <f t="shared" si="7"/>
        <v>0</v>
      </c>
      <c r="D53" s="985">
        <f>IF(B53=0,0,VLOOKUP(B53,Precios!$B$216:$D$307,3,FALSE))</f>
        <v>0</v>
      </c>
      <c r="E53" s="5049"/>
      <c r="F53" s="2253">
        <f>IF(B53=0,0,VLOOKUP(B53,Precios!$B$216:$D$307,2,FALSE))</f>
        <v>0</v>
      </c>
      <c r="G53" s="1067">
        <f>E53*F53</f>
        <v>0</v>
      </c>
      <c r="H53" s="309"/>
      <c r="I53" s="1074">
        <f>IF($C53&gt;0,I$42*$E53,0)</f>
        <v>0</v>
      </c>
      <c r="J53" s="1005">
        <f t="shared" si="3"/>
        <v>0</v>
      </c>
      <c r="K53" s="1005">
        <f t="shared" si="3"/>
        <v>0</v>
      </c>
      <c r="L53" s="1005">
        <f t="shared" si="3"/>
        <v>0</v>
      </c>
      <c r="M53" s="1005">
        <f t="shared" si="3"/>
        <v>0</v>
      </c>
      <c r="N53" s="1005">
        <f t="shared" si="3"/>
        <v>0</v>
      </c>
      <c r="O53" s="1005">
        <f t="shared" si="3"/>
        <v>0</v>
      </c>
      <c r="P53" s="1005">
        <f t="shared" si="3"/>
        <v>0</v>
      </c>
      <c r="Q53" s="1005">
        <f t="shared" si="3"/>
        <v>0</v>
      </c>
      <c r="R53" s="1005">
        <f t="shared" si="3"/>
        <v>0</v>
      </c>
      <c r="S53" s="1005">
        <f t="shared" si="3"/>
        <v>0</v>
      </c>
      <c r="T53" s="1005">
        <f t="shared" si="3"/>
        <v>0</v>
      </c>
      <c r="U53" s="1075">
        <f t="shared" si="4"/>
        <v>0</v>
      </c>
      <c r="V53" s="232" t="str">
        <f>B53&amp;"contratada"</f>
        <v>contratada</v>
      </c>
      <c r="X53" s="301"/>
      <c r="Y53" s="5044"/>
      <c r="Z53" s="985">
        <f t="shared" si="8"/>
        <v>0</v>
      </c>
      <c r="AA53" s="985">
        <f>IF(Y53=0,0,VLOOKUP(Y53,Precios!$B$216:$D$307,3,FALSE))</f>
        <v>0</v>
      </c>
      <c r="AB53" s="986"/>
      <c r="AC53" s="2253">
        <f>IF(Y53=0,0,VLOOKUP(Y53,Precios!$B$216:$D$307,2,FALSE))</f>
        <v>0</v>
      </c>
      <c r="AD53" s="1067">
        <f>AB53*AC53</f>
        <v>0</v>
      </c>
      <c r="AE53" s="309"/>
      <c r="AF53" s="1074">
        <f>IF($Z53&gt;0,AF$42*$AB53,0)</f>
        <v>0</v>
      </c>
      <c r="AG53" s="1005">
        <f t="shared" si="5"/>
        <v>0</v>
      </c>
      <c r="AH53" s="1005">
        <f t="shared" si="5"/>
        <v>0</v>
      </c>
      <c r="AI53" s="1005">
        <f t="shared" si="5"/>
        <v>0</v>
      </c>
      <c r="AJ53" s="1005">
        <f t="shared" si="5"/>
        <v>0</v>
      </c>
      <c r="AK53" s="1005">
        <f t="shared" si="5"/>
        <v>0</v>
      </c>
      <c r="AL53" s="1005">
        <f t="shared" si="5"/>
        <v>0</v>
      </c>
      <c r="AM53" s="1005">
        <f t="shared" si="5"/>
        <v>0</v>
      </c>
      <c r="AN53" s="1005">
        <f t="shared" si="5"/>
        <v>0</v>
      </c>
      <c r="AO53" s="1005">
        <f t="shared" si="5"/>
        <v>0</v>
      </c>
      <c r="AP53" s="1005">
        <f t="shared" si="5"/>
        <v>0</v>
      </c>
      <c r="AQ53" s="1005">
        <f t="shared" si="5"/>
        <v>0</v>
      </c>
      <c r="AR53" s="1075">
        <f t="shared" si="6"/>
        <v>0</v>
      </c>
      <c r="AS53" s="232" t="str">
        <f>Y53&amp;"contratada"</f>
        <v>contratada</v>
      </c>
    </row>
    <row r="54" spans="1:46" ht="15.05" thickBot="1" x14ac:dyDescent="0.35">
      <c r="A54" s="205"/>
      <c r="B54" s="5044"/>
      <c r="C54" s="985">
        <f t="shared" si="7"/>
        <v>0</v>
      </c>
      <c r="D54" s="985">
        <f>IF(B54=0,0,VLOOKUP(B54,Precios!$B$216:$D$307,3,FALSE))</f>
        <v>0</v>
      </c>
      <c r="E54" s="5049"/>
      <c r="F54" s="2253">
        <f>IF(B54=0,0,VLOOKUP(B54,Precios!$B$216:$D$307,2,FALSE))</f>
        <v>0</v>
      </c>
      <c r="G54" s="1067">
        <f>E54*F54</f>
        <v>0</v>
      </c>
      <c r="H54" s="309"/>
      <c r="I54" s="1074">
        <f>IF($C54&gt;0,I$42*$E54,0)</f>
        <v>0</v>
      </c>
      <c r="J54" s="1005">
        <f t="shared" si="3"/>
        <v>0</v>
      </c>
      <c r="K54" s="1005">
        <f t="shared" si="3"/>
        <v>0</v>
      </c>
      <c r="L54" s="1005">
        <f t="shared" si="3"/>
        <v>0</v>
      </c>
      <c r="M54" s="1005">
        <f t="shared" si="3"/>
        <v>0</v>
      </c>
      <c r="N54" s="1005">
        <f t="shared" si="3"/>
        <v>0</v>
      </c>
      <c r="O54" s="1005">
        <f t="shared" si="3"/>
        <v>0</v>
      </c>
      <c r="P54" s="1005">
        <f t="shared" si="3"/>
        <v>0</v>
      </c>
      <c r="Q54" s="1005">
        <f t="shared" si="3"/>
        <v>0</v>
      </c>
      <c r="R54" s="1005">
        <f t="shared" si="3"/>
        <v>0</v>
      </c>
      <c r="S54" s="1005">
        <f t="shared" si="3"/>
        <v>0</v>
      </c>
      <c r="T54" s="1005">
        <f t="shared" si="3"/>
        <v>0</v>
      </c>
      <c r="U54" s="1075">
        <f t="shared" si="4"/>
        <v>0</v>
      </c>
      <c r="V54" s="232" t="str">
        <f>B54&amp;"contratada"</f>
        <v>contratada</v>
      </c>
      <c r="X54" s="301"/>
      <c r="Y54" s="5044"/>
      <c r="Z54" s="985">
        <f t="shared" si="8"/>
        <v>0</v>
      </c>
      <c r="AA54" s="985">
        <f>IF(Y54=0,0,VLOOKUP(Y54,Precios!$B$216:$D$307,3,FALSE))</f>
        <v>0</v>
      </c>
      <c r="AB54" s="986"/>
      <c r="AC54" s="2253">
        <f>IF(Y54=0,0,VLOOKUP(Y54,Precios!$B$216:$D$307,2,FALSE))</f>
        <v>0</v>
      </c>
      <c r="AD54" s="1067">
        <f>AB54*AC54</f>
        <v>0</v>
      </c>
      <c r="AE54" s="309"/>
      <c r="AF54" s="1074">
        <f>IF($Z54&gt;0,AF$42*$AB54,0)</f>
        <v>0</v>
      </c>
      <c r="AG54" s="1005">
        <f t="shared" si="5"/>
        <v>0</v>
      </c>
      <c r="AH54" s="1005">
        <f t="shared" si="5"/>
        <v>0</v>
      </c>
      <c r="AI54" s="1005">
        <f t="shared" si="5"/>
        <v>0</v>
      </c>
      <c r="AJ54" s="1005">
        <f t="shared" si="5"/>
        <v>0</v>
      </c>
      <c r="AK54" s="1005">
        <f t="shared" si="5"/>
        <v>0</v>
      </c>
      <c r="AL54" s="1005">
        <f t="shared" si="5"/>
        <v>0</v>
      </c>
      <c r="AM54" s="1005">
        <f t="shared" si="5"/>
        <v>0</v>
      </c>
      <c r="AN54" s="1005">
        <f t="shared" si="5"/>
        <v>0</v>
      </c>
      <c r="AO54" s="1005">
        <f t="shared" si="5"/>
        <v>0</v>
      </c>
      <c r="AP54" s="1005">
        <f t="shared" si="5"/>
        <v>0</v>
      </c>
      <c r="AQ54" s="1005">
        <f t="shared" si="5"/>
        <v>0</v>
      </c>
      <c r="AR54" s="1075">
        <f t="shared" si="6"/>
        <v>0</v>
      </c>
      <c r="AS54" s="232" t="str">
        <f>Y54&amp;"contratada"</f>
        <v>contratada</v>
      </c>
    </row>
    <row r="55" spans="1:46" ht="15.05" thickBot="1" x14ac:dyDescent="0.35">
      <c r="A55" s="205"/>
      <c r="B55" s="5044"/>
      <c r="C55" s="985">
        <f t="shared" si="7"/>
        <v>0</v>
      </c>
      <c r="D55" s="985">
        <f>IF(B55=0,0,VLOOKUP(B55,Precios!$B$216:$D$307,3,FALSE))</f>
        <v>0</v>
      </c>
      <c r="E55" s="5049"/>
      <c r="F55" s="2253">
        <f>IF(B55=0,0,VLOOKUP(B55,Precios!$B$216:$D$307,2,FALSE))</f>
        <v>0</v>
      </c>
      <c r="G55" s="1067">
        <f>E55*F55</f>
        <v>0</v>
      </c>
      <c r="H55" s="309"/>
      <c r="I55" s="1074">
        <f>IF($C55&gt;0,I$42*$E55,0)</f>
        <v>0</v>
      </c>
      <c r="J55" s="1005">
        <f t="shared" si="3"/>
        <v>0</v>
      </c>
      <c r="K55" s="1005">
        <f t="shared" si="3"/>
        <v>0</v>
      </c>
      <c r="L55" s="1005">
        <f t="shared" si="3"/>
        <v>0</v>
      </c>
      <c r="M55" s="1005">
        <f t="shared" si="3"/>
        <v>0</v>
      </c>
      <c r="N55" s="1005">
        <f t="shared" si="3"/>
        <v>0</v>
      </c>
      <c r="O55" s="1005">
        <f t="shared" si="3"/>
        <v>0</v>
      </c>
      <c r="P55" s="1005">
        <f t="shared" si="3"/>
        <v>0</v>
      </c>
      <c r="Q55" s="1005">
        <f t="shared" si="3"/>
        <v>0</v>
      </c>
      <c r="R55" s="1005">
        <f t="shared" si="3"/>
        <v>0</v>
      </c>
      <c r="S55" s="1005">
        <f t="shared" si="3"/>
        <v>0</v>
      </c>
      <c r="T55" s="1005">
        <f t="shared" si="3"/>
        <v>0</v>
      </c>
      <c r="U55" s="1075">
        <f t="shared" si="4"/>
        <v>0</v>
      </c>
      <c r="V55" s="232" t="str">
        <f>B55&amp;"contratada"</f>
        <v>contratada</v>
      </c>
      <c r="X55" s="301"/>
      <c r="Y55" s="5044"/>
      <c r="Z55" s="985">
        <f t="shared" si="8"/>
        <v>0</v>
      </c>
      <c r="AA55" s="985">
        <f>IF(Y55=0,0,VLOOKUP(Y55,Precios!$B$216:$D$307,3,FALSE))</f>
        <v>0</v>
      </c>
      <c r="AB55" s="986"/>
      <c r="AC55" s="2253">
        <f>IF(Y55=0,0,VLOOKUP(Y55,Precios!$B$216:$D$307,2,FALSE))</f>
        <v>0</v>
      </c>
      <c r="AD55" s="1067">
        <f>AB55*AC55</f>
        <v>0</v>
      </c>
      <c r="AE55" s="309"/>
      <c r="AF55" s="1074">
        <f>IF($Z55&gt;0,AF$42*$AB55,0)</f>
        <v>0</v>
      </c>
      <c r="AG55" s="1005">
        <f t="shared" si="5"/>
        <v>0</v>
      </c>
      <c r="AH55" s="1005">
        <f t="shared" si="5"/>
        <v>0</v>
      </c>
      <c r="AI55" s="1005">
        <f t="shared" si="5"/>
        <v>0</v>
      </c>
      <c r="AJ55" s="1005">
        <f t="shared" si="5"/>
        <v>0</v>
      </c>
      <c r="AK55" s="1005">
        <f t="shared" si="5"/>
        <v>0</v>
      </c>
      <c r="AL55" s="1005">
        <f t="shared" si="5"/>
        <v>0</v>
      </c>
      <c r="AM55" s="1005">
        <f t="shared" si="5"/>
        <v>0</v>
      </c>
      <c r="AN55" s="1005">
        <f t="shared" si="5"/>
        <v>0</v>
      </c>
      <c r="AO55" s="1005">
        <f t="shared" si="5"/>
        <v>0</v>
      </c>
      <c r="AP55" s="1005">
        <f t="shared" si="5"/>
        <v>0</v>
      </c>
      <c r="AQ55" s="1005">
        <f t="shared" si="5"/>
        <v>0</v>
      </c>
      <c r="AR55" s="1075">
        <f t="shared" si="6"/>
        <v>0</v>
      </c>
      <c r="AS55" s="232" t="str">
        <f>Y55&amp;"contratada"</f>
        <v>contratada</v>
      </c>
    </row>
    <row r="56" spans="1:46" x14ac:dyDescent="0.3">
      <c r="A56" s="205"/>
      <c r="B56" s="5046"/>
      <c r="C56" s="1057">
        <f t="shared" si="7"/>
        <v>0</v>
      </c>
      <c r="D56" s="1057">
        <f>IF(B56=0,0,VLOOKUP(B56,Precios!$B$216:$D$307,3,FALSE))</f>
        <v>0</v>
      </c>
      <c r="E56" s="5050"/>
      <c r="F56" s="2254">
        <f>IF(B56=0,0,VLOOKUP(B56,Precios!$B$216:$D$307,2,FALSE))</f>
        <v>0</v>
      </c>
      <c r="G56" s="1068">
        <f>E56*F56</f>
        <v>0</v>
      </c>
      <c r="H56" s="309"/>
      <c r="I56" s="1076">
        <f>IF($C56&gt;0,I$42*$E56,0)</f>
        <v>0</v>
      </c>
      <c r="J56" s="1077">
        <f t="shared" si="3"/>
        <v>0</v>
      </c>
      <c r="K56" s="1077">
        <f t="shared" si="3"/>
        <v>0</v>
      </c>
      <c r="L56" s="1077">
        <f t="shared" si="3"/>
        <v>0</v>
      </c>
      <c r="M56" s="1077">
        <f t="shared" si="3"/>
        <v>0</v>
      </c>
      <c r="N56" s="1077">
        <f t="shared" si="3"/>
        <v>0</v>
      </c>
      <c r="O56" s="1077">
        <f t="shared" si="3"/>
        <v>0</v>
      </c>
      <c r="P56" s="1077">
        <f t="shared" si="3"/>
        <v>0</v>
      </c>
      <c r="Q56" s="1077">
        <f t="shared" si="3"/>
        <v>0</v>
      </c>
      <c r="R56" s="1077">
        <f t="shared" si="3"/>
        <v>0</v>
      </c>
      <c r="S56" s="1077">
        <f t="shared" si="3"/>
        <v>0</v>
      </c>
      <c r="T56" s="1077">
        <f t="shared" si="3"/>
        <v>0</v>
      </c>
      <c r="U56" s="1078">
        <f t="shared" si="4"/>
        <v>0</v>
      </c>
      <c r="V56" s="232" t="str">
        <f>B56&amp;"contratada"</f>
        <v>contratada</v>
      </c>
      <c r="X56" s="301"/>
      <c r="Y56" s="5046"/>
      <c r="Z56" s="1057">
        <f t="shared" si="8"/>
        <v>0</v>
      </c>
      <c r="AA56" s="1057">
        <f>IF(Y56=0,0,VLOOKUP(Y56,Precios!$B$216:$D$307,3,FALSE))</f>
        <v>0</v>
      </c>
      <c r="AB56" s="1060"/>
      <c r="AC56" s="2254">
        <f>IF(Y56=0,0,VLOOKUP(Y56,Precios!$B$216:$D$307,2,FALSE))</f>
        <v>0</v>
      </c>
      <c r="AD56" s="1068">
        <f>AB56*AC56</f>
        <v>0</v>
      </c>
      <c r="AE56" s="309"/>
      <c r="AF56" s="1076">
        <f>IF($Z56&gt;0,AF$42*$AB56,0)</f>
        <v>0</v>
      </c>
      <c r="AG56" s="1077">
        <f t="shared" si="5"/>
        <v>0</v>
      </c>
      <c r="AH56" s="1077">
        <f t="shared" si="5"/>
        <v>0</v>
      </c>
      <c r="AI56" s="1077">
        <f t="shared" si="5"/>
        <v>0</v>
      </c>
      <c r="AJ56" s="1077">
        <f t="shared" si="5"/>
        <v>0</v>
      </c>
      <c r="AK56" s="1077">
        <f t="shared" si="5"/>
        <v>0</v>
      </c>
      <c r="AL56" s="1077">
        <f t="shared" si="5"/>
        <v>0</v>
      </c>
      <c r="AM56" s="1077">
        <f t="shared" si="5"/>
        <v>0</v>
      </c>
      <c r="AN56" s="1077">
        <f t="shared" si="5"/>
        <v>0</v>
      </c>
      <c r="AO56" s="1077">
        <f t="shared" si="5"/>
        <v>0</v>
      </c>
      <c r="AP56" s="1077">
        <f t="shared" si="5"/>
        <v>0</v>
      </c>
      <c r="AQ56" s="1077">
        <f t="shared" si="5"/>
        <v>0</v>
      </c>
      <c r="AR56" s="1078">
        <f t="shared" si="6"/>
        <v>0</v>
      </c>
      <c r="AS56" s="232" t="str">
        <f>Y56&amp;"contratada"</f>
        <v>contratada</v>
      </c>
    </row>
    <row r="57" spans="1:46" x14ac:dyDescent="0.3">
      <c r="A57" s="205"/>
      <c r="B57" s="647" t="s">
        <v>1084</v>
      </c>
      <c r="C57" s="305"/>
      <c r="D57" s="305"/>
      <c r="E57" s="305"/>
      <c r="F57" s="650"/>
      <c r="G57" s="305"/>
      <c r="H57" s="310"/>
      <c r="I57" s="904">
        <f t="shared" ref="I57:T57" si="11">SUM(I52:I56)</f>
        <v>0</v>
      </c>
      <c r="J57" s="904">
        <f t="shared" si="11"/>
        <v>0</v>
      </c>
      <c r="K57" s="904">
        <f t="shared" si="11"/>
        <v>0</v>
      </c>
      <c r="L57" s="904">
        <f t="shared" si="11"/>
        <v>0</v>
      </c>
      <c r="M57" s="904">
        <f t="shared" si="11"/>
        <v>0</v>
      </c>
      <c r="N57" s="904">
        <f t="shared" si="11"/>
        <v>0</v>
      </c>
      <c r="O57" s="904">
        <f t="shared" si="11"/>
        <v>0</v>
      </c>
      <c r="P57" s="904">
        <f t="shared" si="11"/>
        <v>0</v>
      </c>
      <c r="Q57" s="904">
        <f t="shared" si="11"/>
        <v>0</v>
      </c>
      <c r="R57" s="904">
        <f t="shared" si="11"/>
        <v>0</v>
      </c>
      <c r="S57" s="904">
        <f t="shared" si="11"/>
        <v>0</v>
      </c>
      <c r="T57" s="904">
        <f t="shared" si="11"/>
        <v>0</v>
      </c>
      <c r="U57" s="905">
        <f>SUM(I57:T57)</f>
        <v>0</v>
      </c>
      <c r="W57" s="1570" t="str">
        <f>+B51&amp;B41</f>
        <v>Labores con maquinaria contratada0</v>
      </c>
      <c r="X57" s="301"/>
      <c r="Y57" s="647" t="s">
        <v>1084</v>
      </c>
      <c r="Z57" s="305"/>
      <c r="AA57" s="305"/>
      <c r="AB57" s="305"/>
      <c r="AC57" s="650"/>
      <c r="AD57" s="305"/>
      <c r="AE57" s="310"/>
      <c r="AF57" s="904">
        <f t="shared" ref="AF57:AQ57" si="12">SUM(AF52:AF56)</f>
        <v>0</v>
      </c>
      <c r="AG57" s="904">
        <f t="shared" si="12"/>
        <v>0</v>
      </c>
      <c r="AH57" s="904">
        <f t="shared" si="12"/>
        <v>0</v>
      </c>
      <c r="AI57" s="904">
        <f t="shared" si="12"/>
        <v>0</v>
      </c>
      <c r="AJ57" s="904">
        <f t="shared" si="12"/>
        <v>0</v>
      </c>
      <c r="AK57" s="904">
        <f t="shared" si="12"/>
        <v>0</v>
      </c>
      <c r="AL57" s="904">
        <f t="shared" si="12"/>
        <v>0</v>
      </c>
      <c r="AM57" s="904">
        <f t="shared" si="12"/>
        <v>0</v>
      </c>
      <c r="AN57" s="904">
        <f t="shared" si="12"/>
        <v>0</v>
      </c>
      <c r="AO57" s="904">
        <f t="shared" si="12"/>
        <v>0</v>
      </c>
      <c r="AP57" s="904">
        <f t="shared" si="12"/>
        <v>0</v>
      </c>
      <c r="AQ57" s="904">
        <f t="shared" si="12"/>
        <v>0</v>
      </c>
      <c r="AR57" s="905">
        <f>SUM(AF57:AQ57)</f>
        <v>0</v>
      </c>
      <c r="AT57" s="1570" t="str">
        <f>+Y51&amp;Y41</f>
        <v>Labores con maquinaria contratada0</v>
      </c>
    </row>
    <row r="58" spans="1:46" x14ac:dyDescent="0.2">
      <c r="A58" s="205"/>
      <c r="B58" s="197" t="s">
        <v>85</v>
      </c>
      <c r="C58" s="307"/>
      <c r="D58" s="307"/>
      <c r="E58" s="308"/>
      <c r="F58" s="651"/>
      <c r="G58" s="308"/>
      <c r="H58" s="308"/>
      <c r="I58" s="311"/>
      <c r="J58" s="311"/>
      <c r="K58" s="311"/>
      <c r="L58" s="311"/>
      <c r="M58" s="311"/>
      <c r="N58" s="311"/>
      <c r="O58" s="311"/>
      <c r="P58" s="311"/>
      <c r="Q58" s="311"/>
      <c r="R58" s="311"/>
      <c r="S58" s="311"/>
      <c r="T58" s="311"/>
      <c r="U58" s="646"/>
      <c r="X58" s="301"/>
      <c r="Y58" s="197" t="s">
        <v>85</v>
      </c>
      <c r="Z58" s="307"/>
      <c r="AA58" s="307"/>
      <c r="AB58" s="308"/>
      <c r="AC58" s="651"/>
      <c r="AD58" s="308"/>
      <c r="AE58" s="308"/>
      <c r="AF58" s="311"/>
      <c r="AG58" s="311"/>
      <c r="AH58" s="311"/>
      <c r="AI58" s="311"/>
      <c r="AJ58" s="311"/>
      <c r="AK58" s="311"/>
      <c r="AL58" s="311"/>
      <c r="AM58" s="311"/>
      <c r="AN58" s="311"/>
      <c r="AO58" s="311"/>
      <c r="AP58" s="311"/>
      <c r="AQ58" s="311"/>
      <c r="AR58" s="646"/>
    </row>
    <row r="59" spans="1:46" ht="15.05" thickBot="1" x14ac:dyDescent="0.35">
      <c r="A59" s="205"/>
      <c r="B59" s="5042"/>
      <c r="C59" s="1056">
        <f t="shared" si="7"/>
        <v>0</v>
      </c>
      <c r="D59" s="1056">
        <f>IF(B59=0,0,VLOOKUP(B59,Precios!$B$216:$D$307,3,FALSE))</f>
        <v>0</v>
      </c>
      <c r="E59" s="5048"/>
      <c r="F59" s="1062">
        <f>IF(B59=0,0,VLOOKUP(B59,Precios!$B$216:$D$307,2,FALSE))</f>
        <v>0</v>
      </c>
      <c r="G59" s="1066">
        <f t="shared" ref="G59:G66" si="13">E59*F59</f>
        <v>0</v>
      </c>
      <c r="H59" s="309"/>
      <c r="I59" s="1072">
        <f t="shared" ref="I59:T66" si="14">IF($C59&gt;0,I$42*$E59,0)</f>
        <v>0</v>
      </c>
      <c r="J59" s="1033">
        <f t="shared" si="3"/>
        <v>0</v>
      </c>
      <c r="K59" s="1033">
        <f t="shared" si="3"/>
        <v>0</v>
      </c>
      <c r="L59" s="1033">
        <f t="shared" si="3"/>
        <v>0</v>
      </c>
      <c r="M59" s="1033">
        <f t="shared" si="3"/>
        <v>0</v>
      </c>
      <c r="N59" s="1033">
        <f t="shared" si="3"/>
        <v>0</v>
      </c>
      <c r="O59" s="1033">
        <f t="shared" si="3"/>
        <v>0</v>
      </c>
      <c r="P59" s="1033">
        <f t="shared" si="3"/>
        <v>0</v>
      </c>
      <c r="Q59" s="1033">
        <f t="shared" si="3"/>
        <v>0</v>
      </c>
      <c r="R59" s="1033">
        <f t="shared" si="3"/>
        <v>0</v>
      </c>
      <c r="S59" s="1033">
        <f t="shared" si="3"/>
        <v>0</v>
      </c>
      <c r="T59" s="1033">
        <f t="shared" si="3"/>
        <v>0</v>
      </c>
      <c r="U59" s="1073">
        <f t="shared" ref="U59:U66" si="15">SUM(I59:T59)</f>
        <v>0</v>
      </c>
      <c r="X59" s="301"/>
      <c r="Y59" s="5042"/>
      <c r="Z59" s="1056">
        <f t="shared" si="8"/>
        <v>0</v>
      </c>
      <c r="AA59" s="1056">
        <f>IF(Y59=0,0,VLOOKUP(Y59,Precios!$B$216:$D$307,3,FALSE))</f>
        <v>0</v>
      </c>
      <c r="AB59" s="1058"/>
      <c r="AC59" s="1062">
        <f>IF(Y59=0,0,VLOOKUP(Y59,Precios!$B$216:$D$307,2,FALSE))</f>
        <v>0</v>
      </c>
      <c r="AD59" s="1066">
        <f t="shared" ref="AD59:AD66" si="16">AB59*AC59</f>
        <v>0</v>
      </c>
      <c r="AE59" s="309"/>
      <c r="AF59" s="1072">
        <f t="shared" ref="AF59:AF66" si="17">IF($Z59&gt;0,AF$42*$AB59,0)</f>
        <v>0</v>
      </c>
      <c r="AG59" s="1033">
        <f t="shared" si="5"/>
        <v>0</v>
      </c>
      <c r="AH59" s="1033">
        <f t="shared" si="5"/>
        <v>0</v>
      </c>
      <c r="AI59" s="1033">
        <f t="shared" si="5"/>
        <v>0</v>
      </c>
      <c r="AJ59" s="1033">
        <f t="shared" si="5"/>
        <v>0</v>
      </c>
      <c r="AK59" s="1033">
        <f t="shared" si="5"/>
        <v>0</v>
      </c>
      <c r="AL59" s="1033">
        <f t="shared" si="5"/>
        <v>0</v>
      </c>
      <c r="AM59" s="1033">
        <f t="shared" si="5"/>
        <v>0</v>
      </c>
      <c r="AN59" s="1033">
        <f t="shared" si="5"/>
        <v>0</v>
      </c>
      <c r="AO59" s="1033">
        <f t="shared" si="5"/>
        <v>0</v>
      </c>
      <c r="AP59" s="1033">
        <f t="shared" si="5"/>
        <v>0</v>
      </c>
      <c r="AQ59" s="1033">
        <f t="shared" si="5"/>
        <v>0</v>
      </c>
      <c r="AR59" s="1073">
        <f t="shared" si="6"/>
        <v>0</v>
      </c>
    </row>
    <row r="60" spans="1:46" ht="15.05" thickBot="1" x14ac:dyDescent="0.35">
      <c r="A60" s="205"/>
      <c r="B60" s="5044"/>
      <c r="C60" s="985">
        <f t="shared" si="7"/>
        <v>0</v>
      </c>
      <c r="D60" s="985">
        <f>IF(B60=0,0,VLOOKUP(B60,Precios!$B$216:$D$307,3,FALSE))</f>
        <v>0</v>
      </c>
      <c r="E60" s="5049"/>
      <c r="F60" s="1059">
        <f>IF(B60=0,0,VLOOKUP(B60,Precios!$B$216:$D$307,2,FALSE))</f>
        <v>0</v>
      </c>
      <c r="G60" s="1067">
        <f t="shared" si="13"/>
        <v>0</v>
      </c>
      <c r="H60" s="309"/>
      <c r="I60" s="1074">
        <f t="shared" si="14"/>
        <v>0</v>
      </c>
      <c r="J60" s="1005">
        <f t="shared" si="3"/>
        <v>0</v>
      </c>
      <c r="K60" s="1005">
        <f t="shared" si="3"/>
        <v>0</v>
      </c>
      <c r="L60" s="1005">
        <f t="shared" si="3"/>
        <v>0</v>
      </c>
      <c r="M60" s="1005">
        <f t="shared" si="3"/>
        <v>0</v>
      </c>
      <c r="N60" s="1005">
        <f t="shared" si="3"/>
        <v>0</v>
      </c>
      <c r="O60" s="1005">
        <f t="shared" si="3"/>
        <v>0</v>
      </c>
      <c r="P60" s="1005">
        <f t="shared" si="3"/>
        <v>0</v>
      </c>
      <c r="Q60" s="1005">
        <f t="shared" si="3"/>
        <v>0</v>
      </c>
      <c r="R60" s="1005">
        <f t="shared" si="3"/>
        <v>0</v>
      </c>
      <c r="S60" s="1005">
        <f t="shared" si="3"/>
        <v>0</v>
      </c>
      <c r="T60" s="1005">
        <f t="shared" si="3"/>
        <v>0</v>
      </c>
      <c r="U60" s="1075">
        <f t="shared" si="15"/>
        <v>0</v>
      </c>
      <c r="X60" s="301"/>
      <c r="Y60" s="5044"/>
      <c r="Z60" s="985">
        <f t="shared" si="8"/>
        <v>0</v>
      </c>
      <c r="AA60" s="985">
        <f>IF(Y60=0,0,VLOOKUP(Y60,Precios!$B$216:$D$307,3,FALSE))</f>
        <v>0</v>
      </c>
      <c r="AB60" s="986"/>
      <c r="AC60" s="1059">
        <f>IF(Y60=0,0,VLOOKUP(Y60,Precios!$B$216:$D$307,2,FALSE))</f>
        <v>0</v>
      </c>
      <c r="AD60" s="1067">
        <f t="shared" si="16"/>
        <v>0</v>
      </c>
      <c r="AE60" s="309"/>
      <c r="AF60" s="1074">
        <f t="shared" si="17"/>
        <v>0</v>
      </c>
      <c r="AG60" s="1005">
        <f t="shared" si="5"/>
        <v>0</v>
      </c>
      <c r="AH60" s="1005">
        <f t="shared" si="5"/>
        <v>0</v>
      </c>
      <c r="AI60" s="1005">
        <f t="shared" si="5"/>
        <v>0</v>
      </c>
      <c r="AJ60" s="1005">
        <f t="shared" si="5"/>
        <v>0</v>
      </c>
      <c r="AK60" s="1005">
        <f t="shared" si="5"/>
        <v>0</v>
      </c>
      <c r="AL60" s="1005">
        <f t="shared" si="5"/>
        <v>0</v>
      </c>
      <c r="AM60" s="1005">
        <f t="shared" si="5"/>
        <v>0</v>
      </c>
      <c r="AN60" s="1005">
        <f t="shared" si="5"/>
        <v>0</v>
      </c>
      <c r="AO60" s="1005">
        <f t="shared" si="5"/>
        <v>0</v>
      </c>
      <c r="AP60" s="1005">
        <f t="shared" si="5"/>
        <v>0</v>
      </c>
      <c r="AQ60" s="1005">
        <f t="shared" si="5"/>
        <v>0</v>
      </c>
      <c r="AR60" s="1075">
        <f t="shared" si="6"/>
        <v>0</v>
      </c>
    </row>
    <row r="61" spans="1:46" ht="15.05" thickBot="1" x14ac:dyDescent="0.35">
      <c r="A61" s="205"/>
      <c r="B61" s="5044"/>
      <c r="C61" s="985">
        <f t="shared" si="7"/>
        <v>0</v>
      </c>
      <c r="D61" s="985">
        <f>IF(B61=0,0,VLOOKUP(B61,Precios!$B$216:$D$307,3,FALSE))</f>
        <v>0</v>
      </c>
      <c r="E61" s="5049"/>
      <c r="F61" s="1059">
        <f>IF(B61=0,0,VLOOKUP(B61,Precios!$B$216:$D$307,2,FALSE))</f>
        <v>0</v>
      </c>
      <c r="G61" s="1067">
        <f t="shared" si="13"/>
        <v>0</v>
      </c>
      <c r="H61" s="309"/>
      <c r="I61" s="1074">
        <f t="shared" si="14"/>
        <v>0</v>
      </c>
      <c r="J61" s="1005">
        <f t="shared" si="3"/>
        <v>0</v>
      </c>
      <c r="K61" s="1005">
        <f t="shared" si="3"/>
        <v>0</v>
      </c>
      <c r="L61" s="1005">
        <f t="shared" si="3"/>
        <v>0</v>
      </c>
      <c r="M61" s="1005">
        <f t="shared" si="3"/>
        <v>0</v>
      </c>
      <c r="N61" s="1005">
        <f t="shared" si="3"/>
        <v>0</v>
      </c>
      <c r="O61" s="1005">
        <f t="shared" si="3"/>
        <v>0</v>
      </c>
      <c r="P61" s="1005">
        <f t="shared" si="3"/>
        <v>0</v>
      </c>
      <c r="Q61" s="1005">
        <f t="shared" si="3"/>
        <v>0</v>
      </c>
      <c r="R61" s="1005">
        <f t="shared" si="3"/>
        <v>0</v>
      </c>
      <c r="S61" s="1005">
        <f t="shared" si="3"/>
        <v>0</v>
      </c>
      <c r="T61" s="1005">
        <f t="shared" si="3"/>
        <v>0</v>
      </c>
      <c r="U61" s="1075">
        <f t="shared" si="15"/>
        <v>0</v>
      </c>
      <c r="X61" s="301"/>
      <c r="Y61" s="5044"/>
      <c r="Z61" s="985">
        <f t="shared" si="8"/>
        <v>0</v>
      </c>
      <c r="AA61" s="985">
        <f>IF(Y61=0,0,VLOOKUP(Y61,Precios!$B$216:$D$307,3,FALSE))</f>
        <v>0</v>
      </c>
      <c r="AB61" s="986"/>
      <c r="AC61" s="1059">
        <f>IF(Y61=0,0,VLOOKUP(Y61,Precios!$B$216:$D$307,2,FALSE))</f>
        <v>0</v>
      </c>
      <c r="AD61" s="1067">
        <f t="shared" si="16"/>
        <v>0</v>
      </c>
      <c r="AE61" s="309"/>
      <c r="AF61" s="1074">
        <f t="shared" si="17"/>
        <v>0</v>
      </c>
      <c r="AG61" s="1005">
        <f t="shared" si="5"/>
        <v>0</v>
      </c>
      <c r="AH61" s="1005">
        <f t="shared" si="5"/>
        <v>0</v>
      </c>
      <c r="AI61" s="1005">
        <f t="shared" si="5"/>
        <v>0</v>
      </c>
      <c r="AJ61" s="1005">
        <f t="shared" si="5"/>
        <v>0</v>
      </c>
      <c r="AK61" s="1005">
        <f t="shared" si="5"/>
        <v>0</v>
      </c>
      <c r="AL61" s="1005">
        <f t="shared" si="5"/>
        <v>0</v>
      </c>
      <c r="AM61" s="1005">
        <f t="shared" si="5"/>
        <v>0</v>
      </c>
      <c r="AN61" s="1005">
        <f t="shared" si="5"/>
        <v>0</v>
      </c>
      <c r="AO61" s="1005">
        <f t="shared" si="5"/>
        <v>0</v>
      </c>
      <c r="AP61" s="1005">
        <f t="shared" si="5"/>
        <v>0</v>
      </c>
      <c r="AQ61" s="1005">
        <f t="shared" si="5"/>
        <v>0</v>
      </c>
      <c r="AR61" s="1075">
        <f t="shared" si="6"/>
        <v>0</v>
      </c>
    </row>
    <row r="62" spans="1:46" ht="15.05" thickBot="1" x14ac:dyDescent="0.35">
      <c r="A62" s="205"/>
      <c r="B62" s="5044"/>
      <c r="C62" s="985">
        <f t="shared" si="7"/>
        <v>0</v>
      </c>
      <c r="D62" s="985">
        <f>IF(B62=0,0,VLOOKUP(B62,Precios!$B$216:$D$307,3,FALSE))</f>
        <v>0</v>
      </c>
      <c r="E62" s="5049"/>
      <c r="F62" s="1059">
        <f>IF(B62=0,0,VLOOKUP(B62,Precios!$B$216:$D$307,2,FALSE))</f>
        <v>0</v>
      </c>
      <c r="G62" s="1067">
        <f t="shared" si="13"/>
        <v>0</v>
      </c>
      <c r="H62" s="309"/>
      <c r="I62" s="1074">
        <f t="shared" si="14"/>
        <v>0</v>
      </c>
      <c r="J62" s="1005">
        <f t="shared" si="3"/>
        <v>0</v>
      </c>
      <c r="K62" s="1005">
        <f t="shared" si="3"/>
        <v>0</v>
      </c>
      <c r="L62" s="1005">
        <f t="shared" si="3"/>
        <v>0</v>
      </c>
      <c r="M62" s="1005">
        <f t="shared" si="3"/>
        <v>0</v>
      </c>
      <c r="N62" s="1005">
        <f t="shared" si="3"/>
        <v>0</v>
      </c>
      <c r="O62" s="1005">
        <f t="shared" si="3"/>
        <v>0</v>
      </c>
      <c r="P62" s="1005">
        <f t="shared" si="3"/>
        <v>0</v>
      </c>
      <c r="Q62" s="1005">
        <f t="shared" si="3"/>
        <v>0</v>
      </c>
      <c r="R62" s="1005">
        <f t="shared" si="3"/>
        <v>0</v>
      </c>
      <c r="S62" s="1005">
        <f t="shared" si="3"/>
        <v>0</v>
      </c>
      <c r="T62" s="1005">
        <f t="shared" si="3"/>
        <v>0</v>
      </c>
      <c r="U62" s="1075">
        <f t="shared" si="15"/>
        <v>0</v>
      </c>
      <c r="X62" s="301"/>
      <c r="Y62" s="5044"/>
      <c r="Z62" s="985">
        <f t="shared" si="8"/>
        <v>0</v>
      </c>
      <c r="AA62" s="985">
        <f>IF(Y62=0,0,VLOOKUP(Y62,Precios!$B$216:$D$307,3,FALSE))</f>
        <v>0</v>
      </c>
      <c r="AB62" s="986"/>
      <c r="AC62" s="1059">
        <f>IF(Y62=0,0,VLOOKUP(Y62,Precios!$B$216:$D$307,2,FALSE))</f>
        <v>0</v>
      </c>
      <c r="AD62" s="1067">
        <f t="shared" si="16"/>
        <v>0</v>
      </c>
      <c r="AE62" s="309"/>
      <c r="AF62" s="1074">
        <f t="shared" si="17"/>
        <v>0</v>
      </c>
      <c r="AG62" s="1005">
        <f t="shared" si="5"/>
        <v>0</v>
      </c>
      <c r="AH62" s="1005">
        <f t="shared" si="5"/>
        <v>0</v>
      </c>
      <c r="AI62" s="1005">
        <f t="shared" si="5"/>
        <v>0</v>
      </c>
      <c r="AJ62" s="1005">
        <f t="shared" si="5"/>
        <v>0</v>
      </c>
      <c r="AK62" s="1005">
        <f t="shared" si="5"/>
        <v>0</v>
      </c>
      <c r="AL62" s="1005">
        <f t="shared" si="5"/>
        <v>0</v>
      </c>
      <c r="AM62" s="1005">
        <f t="shared" si="5"/>
        <v>0</v>
      </c>
      <c r="AN62" s="1005">
        <f t="shared" si="5"/>
        <v>0</v>
      </c>
      <c r="AO62" s="1005">
        <f t="shared" si="5"/>
        <v>0</v>
      </c>
      <c r="AP62" s="1005">
        <f t="shared" si="5"/>
        <v>0</v>
      </c>
      <c r="AQ62" s="1005">
        <f t="shared" si="5"/>
        <v>0</v>
      </c>
      <c r="AR62" s="1075">
        <f t="shared" si="6"/>
        <v>0</v>
      </c>
    </row>
    <row r="63" spans="1:46" ht="15.05" thickBot="1" x14ac:dyDescent="0.35">
      <c r="A63" s="205"/>
      <c r="B63" s="5044"/>
      <c r="C63" s="985">
        <f t="shared" si="7"/>
        <v>0</v>
      </c>
      <c r="D63" s="985">
        <f>IF(B63=0,0,VLOOKUP(B63,Precios!$B$216:$D$307,3,FALSE))</f>
        <v>0</v>
      </c>
      <c r="E63" s="5049"/>
      <c r="F63" s="1059">
        <f>IF(B63=0,0,VLOOKUP(B63,Precios!$B$216:$D$307,2,FALSE))</f>
        <v>0</v>
      </c>
      <c r="G63" s="1067">
        <f t="shared" si="13"/>
        <v>0</v>
      </c>
      <c r="H63" s="309"/>
      <c r="I63" s="1074">
        <f t="shared" si="14"/>
        <v>0</v>
      </c>
      <c r="J63" s="1005">
        <f t="shared" si="14"/>
        <v>0</v>
      </c>
      <c r="K63" s="1005">
        <f t="shared" si="14"/>
        <v>0</v>
      </c>
      <c r="L63" s="1005">
        <f t="shared" si="14"/>
        <v>0</v>
      </c>
      <c r="M63" s="1005">
        <f t="shared" si="14"/>
        <v>0</v>
      </c>
      <c r="N63" s="1005">
        <f t="shared" si="14"/>
        <v>0</v>
      </c>
      <c r="O63" s="1005">
        <f t="shared" si="14"/>
        <v>0</v>
      </c>
      <c r="P63" s="1005">
        <f t="shared" si="14"/>
        <v>0</v>
      </c>
      <c r="Q63" s="1005">
        <f t="shared" si="14"/>
        <v>0</v>
      </c>
      <c r="R63" s="1005">
        <f t="shared" si="14"/>
        <v>0</v>
      </c>
      <c r="S63" s="1005">
        <f t="shared" si="14"/>
        <v>0</v>
      </c>
      <c r="T63" s="1005">
        <f t="shared" si="14"/>
        <v>0</v>
      </c>
      <c r="U63" s="1075">
        <f t="shared" si="15"/>
        <v>0</v>
      </c>
      <c r="X63" s="301"/>
      <c r="Y63" s="5044"/>
      <c r="Z63" s="985">
        <f t="shared" si="8"/>
        <v>0</v>
      </c>
      <c r="AA63" s="985">
        <f>IF(Y63=0,0,VLOOKUP(Y63,Precios!$B$216:$D$307,3,FALSE))</f>
        <v>0</v>
      </c>
      <c r="AB63" s="986"/>
      <c r="AC63" s="1059">
        <f>IF(Y63=0,0,VLOOKUP(Y63,Precios!$B$216:$D$307,2,FALSE))</f>
        <v>0</v>
      </c>
      <c r="AD63" s="1067">
        <f t="shared" si="16"/>
        <v>0</v>
      </c>
      <c r="AE63" s="309"/>
      <c r="AF63" s="1074">
        <f t="shared" si="17"/>
        <v>0</v>
      </c>
      <c r="AG63" s="1005">
        <f t="shared" si="5"/>
        <v>0</v>
      </c>
      <c r="AH63" s="1005">
        <f t="shared" si="5"/>
        <v>0</v>
      </c>
      <c r="AI63" s="1005">
        <f t="shared" si="5"/>
        <v>0</v>
      </c>
      <c r="AJ63" s="1005">
        <f t="shared" si="5"/>
        <v>0</v>
      </c>
      <c r="AK63" s="1005">
        <f t="shared" si="5"/>
        <v>0</v>
      </c>
      <c r="AL63" s="1005">
        <f t="shared" si="5"/>
        <v>0</v>
      </c>
      <c r="AM63" s="1005">
        <f t="shared" si="5"/>
        <v>0</v>
      </c>
      <c r="AN63" s="1005">
        <f t="shared" si="5"/>
        <v>0</v>
      </c>
      <c r="AO63" s="1005">
        <f t="shared" si="5"/>
        <v>0</v>
      </c>
      <c r="AP63" s="1005">
        <f t="shared" si="5"/>
        <v>0</v>
      </c>
      <c r="AQ63" s="1005">
        <f t="shared" si="5"/>
        <v>0</v>
      </c>
      <c r="AR63" s="1075">
        <f t="shared" si="6"/>
        <v>0</v>
      </c>
    </row>
    <row r="64" spans="1:46" ht="15.05" thickBot="1" x14ac:dyDescent="0.35">
      <c r="A64" s="205"/>
      <c r="B64" s="5044"/>
      <c r="C64" s="985">
        <f t="shared" si="7"/>
        <v>0</v>
      </c>
      <c r="D64" s="985">
        <f>IF(B64=0,0,VLOOKUP(B64,Precios!$B$216:$D$307,3,FALSE))</f>
        <v>0</v>
      </c>
      <c r="E64" s="5049"/>
      <c r="F64" s="1059">
        <f>IF(B64=0,0,VLOOKUP(B64,Precios!$B$216:$D$307,2,FALSE))</f>
        <v>0</v>
      </c>
      <c r="G64" s="1067">
        <f t="shared" si="13"/>
        <v>0</v>
      </c>
      <c r="H64" s="309"/>
      <c r="I64" s="1074">
        <f t="shared" si="14"/>
        <v>0</v>
      </c>
      <c r="J64" s="1005">
        <f t="shared" si="14"/>
        <v>0</v>
      </c>
      <c r="K64" s="1005">
        <f t="shared" si="14"/>
        <v>0</v>
      </c>
      <c r="L64" s="1005">
        <f t="shared" si="14"/>
        <v>0</v>
      </c>
      <c r="M64" s="1005">
        <f t="shared" si="14"/>
        <v>0</v>
      </c>
      <c r="N64" s="1005">
        <f t="shared" si="14"/>
        <v>0</v>
      </c>
      <c r="O64" s="1005">
        <f t="shared" si="14"/>
        <v>0</v>
      </c>
      <c r="P64" s="1005">
        <f t="shared" si="14"/>
        <v>0</v>
      </c>
      <c r="Q64" s="1005">
        <f t="shared" si="14"/>
        <v>0</v>
      </c>
      <c r="R64" s="1005">
        <f t="shared" si="14"/>
        <v>0</v>
      </c>
      <c r="S64" s="1005">
        <f t="shared" si="14"/>
        <v>0</v>
      </c>
      <c r="T64" s="1005">
        <f t="shared" si="14"/>
        <v>0</v>
      </c>
      <c r="U64" s="1075">
        <f t="shared" si="15"/>
        <v>0</v>
      </c>
      <c r="X64" s="301"/>
      <c r="Y64" s="5044"/>
      <c r="Z64" s="985">
        <f t="shared" si="8"/>
        <v>0</v>
      </c>
      <c r="AA64" s="985">
        <f>IF(Y64=0,0,VLOOKUP(Y64,Precios!$B$216:$D$307,3,FALSE))</f>
        <v>0</v>
      </c>
      <c r="AB64" s="986"/>
      <c r="AC64" s="1059">
        <f>IF(Y64=0,0,VLOOKUP(Y64,Precios!$B$216:$D$307,2,FALSE))</f>
        <v>0</v>
      </c>
      <c r="AD64" s="1067">
        <f t="shared" si="16"/>
        <v>0</v>
      </c>
      <c r="AE64" s="309"/>
      <c r="AF64" s="1074">
        <f t="shared" si="17"/>
        <v>0</v>
      </c>
      <c r="AG64" s="1005">
        <f t="shared" si="5"/>
        <v>0</v>
      </c>
      <c r="AH64" s="1005">
        <f t="shared" si="5"/>
        <v>0</v>
      </c>
      <c r="AI64" s="1005">
        <f t="shared" si="5"/>
        <v>0</v>
      </c>
      <c r="AJ64" s="1005">
        <f t="shared" si="5"/>
        <v>0</v>
      </c>
      <c r="AK64" s="1005">
        <f t="shared" si="5"/>
        <v>0</v>
      </c>
      <c r="AL64" s="1005">
        <f t="shared" si="5"/>
        <v>0</v>
      </c>
      <c r="AM64" s="1005">
        <f t="shared" si="5"/>
        <v>0</v>
      </c>
      <c r="AN64" s="1005">
        <f t="shared" si="5"/>
        <v>0</v>
      </c>
      <c r="AO64" s="1005">
        <f t="shared" si="5"/>
        <v>0</v>
      </c>
      <c r="AP64" s="1005">
        <f t="shared" si="5"/>
        <v>0</v>
      </c>
      <c r="AQ64" s="1005">
        <f t="shared" si="5"/>
        <v>0</v>
      </c>
      <c r="AR64" s="1075">
        <f>SUM(AF64:AQ64)</f>
        <v>0</v>
      </c>
    </row>
    <row r="65" spans="1:46" ht="15.05" thickBot="1" x14ac:dyDescent="0.35">
      <c r="A65" s="205"/>
      <c r="B65" s="5044"/>
      <c r="C65" s="985">
        <f t="shared" si="7"/>
        <v>0</v>
      </c>
      <c r="D65" s="985">
        <f>IF(B65=0,0,VLOOKUP(B65,Precios!$B$216:$D$307,3,FALSE))</f>
        <v>0</v>
      </c>
      <c r="E65" s="5049"/>
      <c r="F65" s="1059">
        <f>IF(B65=0,0,VLOOKUP(B65,Precios!$B$216:$D$307,2,FALSE))</f>
        <v>0</v>
      </c>
      <c r="G65" s="1067">
        <f t="shared" si="13"/>
        <v>0</v>
      </c>
      <c r="H65" s="309"/>
      <c r="I65" s="1074">
        <f t="shared" si="14"/>
        <v>0</v>
      </c>
      <c r="J65" s="1005">
        <f t="shared" si="14"/>
        <v>0</v>
      </c>
      <c r="K65" s="1005">
        <f t="shared" si="14"/>
        <v>0</v>
      </c>
      <c r="L65" s="1005">
        <f t="shared" si="14"/>
        <v>0</v>
      </c>
      <c r="M65" s="1005">
        <f t="shared" si="14"/>
        <v>0</v>
      </c>
      <c r="N65" s="1005">
        <f t="shared" si="14"/>
        <v>0</v>
      </c>
      <c r="O65" s="1005">
        <f t="shared" si="14"/>
        <v>0</v>
      </c>
      <c r="P65" s="1005">
        <f t="shared" si="14"/>
        <v>0</v>
      </c>
      <c r="Q65" s="1005">
        <f t="shared" si="14"/>
        <v>0</v>
      </c>
      <c r="R65" s="1005">
        <f t="shared" si="14"/>
        <v>0</v>
      </c>
      <c r="S65" s="1005">
        <f t="shared" si="14"/>
        <v>0</v>
      </c>
      <c r="T65" s="1005">
        <f t="shared" si="14"/>
        <v>0</v>
      </c>
      <c r="U65" s="1075">
        <f t="shared" si="15"/>
        <v>0</v>
      </c>
      <c r="X65" s="301"/>
      <c r="Y65" s="5044"/>
      <c r="Z65" s="985">
        <f t="shared" si="8"/>
        <v>0</v>
      </c>
      <c r="AA65" s="985">
        <f>IF(Y65=0,0,VLOOKUP(Y65,Precios!$B$216:$D$307,3,FALSE))</f>
        <v>0</v>
      </c>
      <c r="AB65" s="986"/>
      <c r="AC65" s="1059">
        <f>IF(Y65=0,0,VLOOKUP(Y65,Precios!$B$216:$D$307,2,FALSE))</f>
        <v>0</v>
      </c>
      <c r="AD65" s="1067">
        <f t="shared" si="16"/>
        <v>0</v>
      </c>
      <c r="AE65" s="309"/>
      <c r="AF65" s="1074">
        <f t="shared" si="17"/>
        <v>0</v>
      </c>
      <c r="AG65" s="1005">
        <f t="shared" ref="AG65:AQ66" si="18">IF($Z65&gt;0,AG$42*$AB65,0)</f>
        <v>0</v>
      </c>
      <c r="AH65" s="1005">
        <f t="shared" si="18"/>
        <v>0</v>
      </c>
      <c r="AI65" s="1005">
        <f t="shared" si="18"/>
        <v>0</v>
      </c>
      <c r="AJ65" s="1005">
        <f t="shared" si="18"/>
        <v>0</v>
      </c>
      <c r="AK65" s="1005">
        <f t="shared" si="18"/>
        <v>0</v>
      </c>
      <c r="AL65" s="1005">
        <f t="shared" si="18"/>
        <v>0</v>
      </c>
      <c r="AM65" s="1005">
        <f t="shared" si="18"/>
        <v>0</v>
      </c>
      <c r="AN65" s="1005">
        <f t="shared" si="18"/>
        <v>0</v>
      </c>
      <c r="AO65" s="1005">
        <f t="shared" si="18"/>
        <v>0</v>
      </c>
      <c r="AP65" s="1005">
        <f t="shared" si="18"/>
        <v>0</v>
      </c>
      <c r="AQ65" s="1005">
        <f t="shared" si="18"/>
        <v>0</v>
      </c>
      <c r="AR65" s="1075">
        <f>SUM(AF65:AQ65)</f>
        <v>0</v>
      </c>
    </row>
    <row r="66" spans="1:46" x14ac:dyDescent="0.3">
      <c r="A66" s="205"/>
      <c r="B66" s="5046"/>
      <c r="C66" s="1057">
        <f t="shared" si="7"/>
        <v>0</v>
      </c>
      <c r="D66" s="1057">
        <f>IF(B66=0,0,VLOOKUP(B66,Precios!$B$216:$D$307,3,FALSE))</f>
        <v>0</v>
      </c>
      <c r="E66" s="5050"/>
      <c r="F66" s="1061">
        <f>IF(B66=0,0,VLOOKUP(B66,Precios!$B$216:$D$307,2,FALSE))</f>
        <v>0</v>
      </c>
      <c r="G66" s="1068">
        <f t="shared" si="13"/>
        <v>0</v>
      </c>
      <c r="H66" s="309"/>
      <c r="I66" s="1076">
        <f t="shared" si="14"/>
        <v>0</v>
      </c>
      <c r="J66" s="1077">
        <f t="shared" si="14"/>
        <v>0</v>
      </c>
      <c r="K66" s="1077">
        <f t="shared" si="14"/>
        <v>0</v>
      </c>
      <c r="L66" s="1077">
        <f t="shared" si="14"/>
        <v>0</v>
      </c>
      <c r="M66" s="1077">
        <f t="shared" si="14"/>
        <v>0</v>
      </c>
      <c r="N66" s="1077">
        <f t="shared" si="14"/>
        <v>0</v>
      </c>
      <c r="O66" s="1077">
        <f t="shared" si="14"/>
        <v>0</v>
      </c>
      <c r="P66" s="1077">
        <f t="shared" si="14"/>
        <v>0</v>
      </c>
      <c r="Q66" s="1077">
        <f t="shared" si="14"/>
        <v>0</v>
      </c>
      <c r="R66" s="1077">
        <f t="shared" si="14"/>
        <v>0</v>
      </c>
      <c r="S66" s="1077">
        <f t="shared" si="14"/>
        <v>0</v>
      </c>
      <c r="T66" s="1077">
        <f t="shared" si="14"/>
        <v>0</v>
      </c>
      <c r="U66" s="1078">
        <f t="shared" si="15"/>
        <v>0</v>
      </c>
      <c r="X66" s="301"/>
      <c r="Y66" s="5046"/>
      <c r="Z66" s="1057">
        <f t="shared" si="8"/>
        <v>0</v>
      </c>
      <c r="AA66" s="1057">
        <f>IF(Y66=0,0,VLOOKUP(Y66,Precios!$B$216:$D$307,3,FALSE))</f>
        <v>0</v>
      </c>
      <c r="AB66" s="1060"/>
      <c r="AC66" s="1061">
        <f>IF(Y66=0,0,VLOOKUP(Y66,Precios!$B$216:$D$307,2,FALSE))</f>
        <v>0</v>
      </c>
      <c r="AD66" s="1068">
        <f t="shared" si="16"/>
        <v>0</v>
      </c>
      <c r="AE66" s="309"/>
      <c r="AF66" s="1076">
        <f t="shared" si="17"/>
        <v>0</v>
      </c>
      <c r="AG66" s="1077">
        <f t="shared" si="18"/>
        <v>0</v>
      </c>
      <c r="AH66" s="1077">
        <f t="shared" si="18"/>
        <v>0</v>
      </c>
      <c r="AI66" s="1077">
        <f t="shared" si="18"/>
        <v>0</v>
      </c>
      <c r="AJ66" s="1077">
        <f t="shared" si="18"/>
        <v>0</v>
      </c>
      <c r="AK66" s="1077">
        <f t="shared" si="18"/>
        <v>0</v>
      </c>
      <c r="AL66" s="1077">
        <f t="shared" si="18"/>
        <v>0</v>
      </c>
      <c r="AM66" s="1077">
        <f t="shared" si="18"/>
        <v>0</v>
      </c>
      <c r="AN66" s="1077">
        <f t="shared" si="18"/>
        <v>0</v>
      </c>
      <c r="AO66" s="1077">
        <f t="shared" si="18"/>
        <v>0</v>
      </c>
      <c r="AP66" s="1077">
        <f t="shared" si="18"/>
        <v>0</v>
      </c>
      <c r="AQ66" s="1077">
        <f t="shared" si="18"/>
        <v>0</v>
      </c>
      <c r="AR66" s="1078">
        <f>SUM(AF66:AQ66)</f>
        <v>0</v>
      </c>
    </row>
    <row r="67" spans="1:46" x14ac:dyDescent="0.3">
      <c r="A67" s="205"/>
      <c r="B67" s="647" t="s">
        <v>1085</v>
      </c>
      <c r="C67" s="305"/>
      <c r="D67" s="305"/>
      <c r="E67" s="305"/>
      <c r="F67" s="650"/>
      <c r="G67" s="305"/>
      <c r="H67" s="310"/>
      <c r="I67" s="904">
        <f t="shared" ref="I67:T67" si="19">SUM(I59:I66)</f>
        <v>0</v>
      </c>
      <c r="J67" s="904">
        <f t="shared" si="19"/>
        <v>0</v>
      </c>
      <c r="K67" s="904">
        <f t="shared" si="19"/>
        <v>0</v>
      </c>
      <c r="L67" s="904">
        <f t="shared" si="19"/>
        <v>0</v>
      </c>
      <c r="M67" s="904">
        <f t="shared" si="19"/>
        <v>0</v>
      </c>
      <c r="N67" s="904">
        <f t="shared" si="19"/>
        <v>0</v>
      </c>
      <c r="O67" s="904">
        <f t="shared" si="19"/>
        <v>0</v>
      </c>
      <c r="P67" s="904">
        <f t="shared" si="19"/>
        <v>0</v>
      </c>
      <c r="Q67" s="904">
        <f t="shared" si="19"/>
        <v>0</v>
      </c>
      <c r="R67" s="904">
        <f t="shared" si="19"/>
        <v>0</v>
      </c>
      <c r="S67" s="904">
        <f t="shared" si="19"/>
        <v>0</v>
      </c>
      <c r="T67" s="904">
        <f t="shared" si="19"/>
        <v>0</v>
      </c>
      <c r="U67" s="905">
        <f>SUM(I67:T67)</f>
        <v>0</v>
      </c>
      <c r="X67" s="301"/>
      <c r="Y67" s="647" t="s">
        <v>1085</v>
      </c>
      <c r="Z67" s="305"/>
      <c r="AA67" s="305"/>
      <c r="AB67" s="305"/>
      <c r="AC67" s="650"/>
      <c r="AD67" s="305"/>
      <c r="AE67" s="310"/>
      <c r="AF67" s="904">
        <f t="shared" ref="AF67:AQ67" si="20">SUM(AF59:AF66)</f>
        <v>0</v>
      </c>
      <c r="AG67" s="904">
        <f t="shared" si="20"/>
        <v>0</v>
      </c>
      <c r="AH67" s="904">
        <f t="shared" si="20"/>
        <v>0</v>
      </c>
      <c r="AI67" s="904">
        <f t="shared" si="20"/>
        <v>0</v>
      </c>
      <c r="AJ67" s="904">
        <f t="shared" si="20"/>
        <v>0</v>
      </c>
      <c r="AK67" s="904">
        <f t="shared" si="20"/>
        <v>0</v>
      </c>
      <c r="AL67" s="904">
        <f t="shared" si="20"/>
        <v>0</v>
      </c>
      <c r="AM67" s="904">
        <f t="shared" si="20"/>
        <v>0</v>
      </c>
      <c r="AN67" s="904">
        <f t="shared" si="20"/>
        <v>0</v>
      </c>
      <c r="AO67" s="904">
        <f t="shared" si="20"/>
        <v>0</v>
      </c>
      <c r="AP67" s="904">
        <f t="shared" si="20"/>
        <v>0</v>
      </c>
      <c r="AQ67" s="904">
        <f t="shared" si="20"/>
        <v>0</v>
      </c>
      <c r="AR67" s="905">
        <f>SUM(AF67:AQ67)</f>
        <v>0</v>
      </c>
    </row>
    <row r="68" spans="1:46" x14ac:dyDescent="0.2">
      <c r="A68" s="205"/>
      <c r="B68" s="197" t="s">
        <v>339</v>
      </c>
      <c r="C68" s="307"/>
      <c r="D68" s="307"/>
      <c r="E68" s="308"/>
      <c r="F68" s="651"/>
      <c r="G68" s="308"/>
      <c r="H68" s="307"/>
      <c r="I68" s="307"/>
      <c r="J68" s="307"/>
      <c r="K68" s="307"/>
      <c r="L68" s="307"/>
      <c r="M68" s="307"/>
      <c r="N68" s="307"/>
      <c r="O68" s="307"/>
      <c r="P68" s="307"/>
      <c r="Q68" s="307"/>
      <c r="R68" s="307"/>
      <c r="S68" s="307"/>
      <c r="T68" s="307"/>
      <c r="U68" s="646"/>
      <c r="W68" s="232" t="str">
        <f>B58&amp;B41</f>
        <v>Semillas0</v>
      </c>
      <c r="X68" s="301"/>
      <c r="Y68" s="197" t="s">
        <v>339</v>
      </c>
      <c r="Z68" s="307"/>
      <c r="AA68" s="307"/>
      <c r="AB68" s="308"/>
      <c r="AC68" s="651"/>
      <c r="AD68" s="308"/>
      <c r="AE68" s="307"/>
      <c r="AF68" s="307"/>
      <c r="AG68" s="307"/>
      <c r="AH68" s="307"/>
      <c r="AI68" s="307"/>
      <c r="AJ68" s="307"/>
      <c r="AK68" s="307"/>
      <c r="AL68" s="307"/>
      <c r="AM68" s="307"/>
      <c r="AN68" s="307"/>
      <c r="AO68" s="307"/>
      <c r="AP68" s="307"/>
      <c r="AQ68" s="307"/>
      <c r="AR68" s="646"/>
      <c r="AT68" s="232" t="str">
        <f>Y58&amp;Y41</f>
        <v>Semillas0</v>
      </c>
    </row>
    <row r="69" spans="1:46" ht="15.05" thickBot="1" x14ac:dyDescent="0.35">
      <c r="A69" s="205"/>
      <c r="B69" s="5042"/>
      <c r="C69" s="1056">
        <f t="shared" si="7"/>
        <v>0</v>
      </c>
      <c r="D69" s="1056">
        <f>IF(B69=0,0,VLOOKUP(B69,Precios!$B$216:$D$307,3,FALSE))</f>
        <v>0</v>
      </c>
      <c r="E69" s="5048"/>
      <c r="F69" s="1063">
        <f>IF(B69=0,0,VLOOKUP(B69,Precios!$B$216:$D$307,2,FALSE))</f>
        <v>0</v>
      </c>
      <c r="G69" s="1066">
        <f>E69*F69</f>
        <v>0</v>
      </c>
      <c r="H69" s="309"/>
      <c r="I69" s="1072">
        <f t="shared" ref="I69:T71" si="21">IF($C69&gt;0,I$42*$E69,0)</f>
        <v>0</v>
      </c>
      <c r="J69" s="1033">
        <f t="shared" si="21"/>
        <v>0</v>
      </c>
      <c r="K69" s="1033">
        <f t="shared" si="21"/>
        <v>0</v>
      </c>
      <c r="L69" s="1033">
        <f t="shared" si="21"/>
        <v>0</v>
      </c>
      <c r="M69" s="1033">
        <f t="shared" si="21"/>
        <v>0</v>
      </c>
      <c r="N69" s="1033">
        <f t="shared" si="21"/>
        <v>0</v>
      </c>
      <c r="O69" s="1033">
        <f t="shared" si="21"/>
        <v>0</v>
      </c>
      <c r="P69" s="1033">
        <f t="shared" si="21"/>
        <v>0</v>
      </c>
      <c r="Q69" s="1033">
        <f t="shared" si="21"/>
        <v>0</v>
      </c>
      <c r="R69" s="1033">
        <f t="shared" si="21"/>
        <v>0</v>
      </c>
      <c r="S69" s="1033">
        <f t="shared" si="21"/>
        <v>0</v>
      </c>
      <c r="T69" s="1033">
        <f t="shared" si="21"/>
        <v>0</v>
      </c>
      <c r="U69" s="1073">
        <f t="shared" ref="U69:U78" si="22">SUM(I69:T69)</f>
        <v>0</v>
      </c>
      <c r="X69" s="301"/>
      <c r="Y69" s="5042"/>
      <c r="Z69" s="1056">
        <f t="shared" si="8"/>
        <v>0</v>
      </c>
      <c r="AA69" s="1056">
        <f>IF(Y69=0,0,VLOOKUP(Y69,Precios!$B$216:$D$307,3,FALSE))</f>
        <v>0</v>
      </c>
      <c r="AB69" s="1058"/>
      <c r="AC69" s="1063">
        <f>IF(Y69=0,0,VLOOKUP(Y69,Precios!$B$216:$D$307,2,FALSE))</f>
        <v>0</v>
      </c>
      <c r="AD69" s="1066">
        <f>AB69*AC69</f>
        <v>0</v>
      </c>
      <c r="AE69" s="309"/>
      <c r="AF69" s="1072">
        <f t="shared" ref="AF69:AQ71" si="23">IF($Z69&gt;0,AF$42*$AB69,0)</f>
        <v>0</v>
      </c>
      <c r="AG69" s="1033">
        <f t="shared" si="23"/>
        <v>0</v>
      </c>
      <c r="AH69" s="1033">
        <f t="shared" si="23"/>
        <v>0</v>
      </c>
      <c r="AI69" s="1033">
        <f t="shared" si="23"/>
        <v>0</v>
      </c>
      <c r="AJ69" s="1033">
        <f t="shared" si="23"/>
        <v>0</v>
      </c>
      <c r="AK69" s="1033">
        <f t="shared" si="23"/>
        <v>0</v>
      </c>
      <c r="AL69" s="1033">
        <f t="shared" si="23"/>
        <v>0</v>
      </c>
      <c r="AM69" s="1033">
        <f t="shared" si="23"/>
        <v>0</v>
      </c>
      <c r="AN69" s="1033">
        <f t="shared" si="23"/>
        <v>0</v>
      </c>
      <c r="AO69" s="1033">
        <f t="shared" si="23"/>
        <v>0</v>
      </c>
      <c r="AP69" s="1033">
        <f t="shared" si="23"/>
        <v>0</v>
      </c>
      <c r="AQ69" s="1033">
        <f t="shared" si="23"/>
        <v>0</v>
      </c>
      <c r="AR69" s="1073">
        <f t="shared" ref="AR69:AR76" si="24">SUM(AF69:AQ69)</f>
        <v>0</v>
      </c>
    </row>
    <row r="70" spans="1:46" ht="15.05" thickBot="1" x14ac:dyDescent="0.35">
      <c r="A70" s="205"/>
      <c r="B70" s="5044"/>
      <c r="C70" s="985">
        <f t="shared" si="7"/>
        <v>0</v>
      </c>
      <c r="D70" s="985">
        <f>IF(B70=0,0,VLOOKUP(B70,Precios!$B$216:$D$307,3,FALSE))</f>
        <v>0</v>
      </c>
      <c r="E70" s="5049"/>
      <c r="F70" s="1064">
        <f>IF(B70=0,0,VLOOKUP(B70,Precios!$B$216:$D$307,2,FALSE))</f>
        <v>0</v>
      </c>
      <c r="G70" s="1067">
        <f>E70*F70</f>
        <v>0</v>
      </c>
      <c r="H70" s="309"/>
      <c r="I70" s="1074">
        <f t="shared" si="21"/>
        <v>0</v>
      </c>
      <c r="J70" s="1005">
        <f t="shared" si="21"/>
        <v>0</v>
      </c>
      <c r="K70" s="1005">
        <f t="shared" si="21"/>
        <v>0</v>
      </c>
      <c r="L70" s="1005">
        <f t="shared" si="21"/>
        <v>0</v>
      </c>
      <c r="M70" s="1005">
        <f t="shared" si="21"/>
        <v>0</v>
      </c>
      <c r="N70" s="1005">
        <f t="shared" si="21"/>
        <v>0</v>
      </c>
      <c r="O70" s="1005">
        <f t="shared" si="21"/>
        <v>0</v>
      </c>
      <c r="P70" s="1005">
        <f t="shared" si="21"/>
        <v>0</v>
      </c>
      <c r="Q70" s="1005">
        <f t="shared" si="21"/>
        <v>0</v>
      </c>
      <c r="R70" s="1005">
        <f t="shared" si="21"/>
        <v>0</v>
      </c>
      <c r="S70" s="1005">
        <f t="shared" si="21"/>
        <v>0</v>
      </c>
      <c r="T70" s="1005">
        <f t="shared" si="21"/>
        <v>0</v>
      </c>
      <c r="U70" s="1075">
        <f t="shared" si="22"/>
        <v>0</v>
      </c>
      <c r="X70" s="301"/>
      <c r="Y70" s="5044"/>
      <c r="Z70" s="985">
        <f t="shared" si="8"/>
        <v>0</v>
      </c>
      <c r="AA70" s="985">
        <f>IF(Y70=0,0,VLOOKUP(Y70,Precios!$B$216:$D$307,3,FALSE))</f>
        <v>0</v>
      </c>
      <c r="AB70" s="986"/>
      <c r="AC70" s="1064">
        <f>IF(Y70=0,0,VLOOKUP(Y70,Precios!$B$216:$D$307,2,FALSE))</f>
        <v>0</v>
      </c>
      <c r="AD70" s="1067">
        <f>AB70*AC70</f>
        <v>0</v>
      </c>
      <c r="AE70" s="309"/>
      <c r="AF70" s="1074">
        <f t="shared" si="23"/>
        <v>0</v>
      </c>
      <c r="AG70" s="1005">
        <f t="shared" si="23"/>
        <v>0</v>
      </c>
      <c r="AH70" s="1005">
        <f t="shared" si="23"/>
        <v>0</v>
      </c>
      <c r="AI70" s="1005">
        <f t="shared" si="23"/>
        <v>0</v>
      </c>
      <c r="AJ70" s="1005">
        <f t="shared" si="23"/>
        <v>0</v>
      </c>
      <c r="AK70" s="1005">
        <f t="shared" si="23"/>
        <v>0</v>
      </c>
      <c r="AL70" s="1005">
        <f t="shared" si="23"/>
        <v>0</v>
      </c>
      <c r="AM70" s="1005">
        <f t="shared" si="23"/>
        <v>0</v>
      </c>
      <c r="AN70" s="1005">
        <f t="shared" si="23"/>
        <v>0</v>
      </c>
      <c r="AO70" s="1005">
        <f t="shared" si="23"/>
        <v>0</v>
      </c>
      <c r="AP70" s="1005">
        <f t="shared" si="23"/>
        <v>0</v>
      </c>
      <c r="AQ70" s="1005">
        <f t="shared" si="23"/>
        <v>0</v>
      </c>
      <c r="AR70" s="1075">
        <f t="shared" si="24"/>
        <v>0</v>
      </c>
    </row>
    <row r="71" spans="1:46" x14ac:dyDescent="0.3">
      <c r="A71" s="205"/>
      <c r="B71" s="5046"/>
      <c r="C71" s="1057">
        <f t="shared" si="7"/>
        <v>0</v>
      </c>
      <c r="D71" s="1057">
        <f>IF(B71=0,0,VLOOKUP(B71,Precios!$B$216:$D$307,3,FALSE))</f>
        <v>0</v>
      </c>
      <c r="E71" s="5050"/>
      <c r="F71" s="1065">
        <f>IF(B71=0,0,VLOOKUP(B71,Precios!$B$216:$D$307,2,FALSE))</f>
        <v>0</v>
      </c>
      <c r="G71" s="1068">
        <f>E71*F71</f>
        <v>0</v>
      </c>
      <c r="H71" s="309"/>
      <c r="I71" s="1079">
        <f t="shared" si="21"/>
        <v>0</v>
      </c>
      <c r="J71" s="1047">
        <f t="shared" si="21"/>
        <v>0</v>
      </c>
      <c r="K71" s="1047">
        <f t="shared" si="21"/>
        <v>0</v>
      </c>
      <c r="L71" s="1047">
        <f t="shared" si="21"/>
        <v>0</v>
      </c>
      <c r="M71" s="1047">
        <f t="shared" si="21"/>
        <v>0</v>
      </c>
      <c r="N71" s="1047">
        <f t="shared" si="21"/>
        <v>0</v>
      </c>
      <c r="O71" s="1047">
        <f t="shared" si="21"/>
        <v>0</v>
      </c>
      <c r="P71" s="1047">
        <f t="shared" si="21"/>
        <v>0</v>
      </c>
      <c r="Q71" s="1047">
        <f t="shared" si="21"/>
        <v>0</v>
      </c>
      <c r="R71" s="1047">
        <f t="shared" si="21"/>
        <v>0</v>
      </c>
      <c r="S71" s="1047">
        <f t="shared" si="21"/>
        <v>0</v>
      </c>
      <c r="T71" s="1047">
        <f t="shared" si="21"/>
        <v>0</v>
      </c>
      <c r="U71" s="1080">
        <f t="shared" si="22"/>
        <v>0</v>
      </c>
      <c r="X71" s="301"/>
      <c r="Y71" s="5046"/>
      <c r="Z71" s="1057">
        <f t="shared" si="8"/>
        <v>0</v>
      </c>
      <c r="AA71" s="1057">
        <f>IF(Y71=0,0,VLOOKUP(Y71,Precios!$B$216:$D$307,3,FALSE))</f>
        <v>0</v>
      </c>
      <c r="AB71" s="1060"/>
      <c r="AC71" s="1065">
        <f>IF(Y71=0,0,VLOOKUP(Y71,Precios!$B$216:$D$307,2,FALSE))</f>
        <v>0</v>
      </c>
      <c r="AD71" s="1068">
        <f>AB71*AC71</f>
        <v>0</v>
      </c>
      <c r="AE71" s="309"/>
      <c r="AF71" s="1079">
        <f t="shared" si="23"/>
        <v>0</v>
      </c>
      <c r="AG71" s="1047">
        <f t="shared" si="23"/>
        <v>0</v>
      </c>
      <c r="AH71" s="1047">
        <f t="shared" si="23"/>
        <v>0</v>
      </c>
      <c r="AI71" s="1047">
        <f t="shared" si="23"/>
        <v>0</v>
      </c>
      <c r="AJ71" s="1047">
        <f t="shared" si="23"/>
        <v>0</v>
      </c>
      <c r="AK71" s="1047">
        <f t="shared" si="23"/>
        <v>0</v>
      </c>
      <c r="AL71" s="1047">
        <f t="shared" si="23"/>
        <v>0</v>
      </c>
      <c r="AM71" s="1047">
        <f t="shared" si="23"/>
        <v>0</v>
      </c>
      <c r="AN71" s="1047">
        <f t="shared" si="23"/>
        <v>0</v>
      </c>
      <c r="AO71" s="1047">
        <f t="shared" si="23"/>
        <v>0</v>
      </c>
      <c r="AP71" s="1047">
        <f t="shared" si="23"/>
        <v>0</v>
      </c>
      <c r="AQ71" s="1047">
        <f t="shared" si="23"/>
        <v>0</v>
      </c>
      <c r="AR71" s="1080">
        <f t="shared" si="24"/>
        <v>0</v>
      </c>
    </row>
    <row r="72" spans="1:46" x14ac:dyDescent="0.3">
      <c r="A72" s="205"/>
      <c r="B72" s="647" t="s">
        <v>1086</v>
      </c>
      <c r="C72" s="305"/>
      <c r="D72" s="305"/>
      <c r="E72" s="305"/>
      <c r="F72" s="650"/>
      <c r="G72" s="305"/>
      <c r="H72" s="306"/>
      <c r="I72" s="906">
        <f t="shared" ref="I72:T72" si="25">SUM(I69:I71)</f>
        <v>0</v>
      </c>
      <c r="J72" s="906">
        <f t="shared" si="25"/>
        <v>0</v>
      </c>
      <c r="K72" s="906">
        <f t="shared" si="25"/>
        <v>0</v>
      </c>
      <c r="L72" s="906">
        <f t="shared" si="25"/>
        <v>0</v>
      </c>
      <c r="M72" s="906">
        <f t="shared" si="25"/>
        <v>0</v>
      </c>
      <c r="N72" s="906">
        <f t="shared" si="25"/>
        <v>0</v>
      </c>
      <c r="O72" s="906">
        <f t="shared" si="25"/>
        <v>0</v>
      </c>
      <c r="P72" s="906">
        <f t="shared" si="25"/>
        <v>0</v>
      </c>
      <c r="Q72" s="906">
        <f t="shared" si="25"/>
        <v>0</v>
      </c>
      <c r="R72" s="906">
        <f t="shared" si="25"/>
        <v>0</v>
      </c>
      <c r="S72" s="906">
        <f t="shared" si="25"/>
        <v>0</v>
      </c>
      <c r="T72" s="907">
        <f t="shared" si="25"/>
        <v>0</v>
      </c>
      <c r="U72" s="905">
        <f>SUM(I72:T72)</f>
        <v>0</v>
      </c>
      <c r="X72" s="301"/>
      <c r="Y72" s="647" t="s">
        <v>1086</v>
      </c>
      <c r="Z72" s="305"/>
      <c r="AA72" s="305"/>
      <c r="AB72" s="305"/>
      <c r="AC72" s="650"/>
      <c r="AD72" s="305"/>
      <c r="AE72" s="306"/>
      <c r="AF72" s="906">
        <f t="shared" ref="AF72:AQ72" si="26">SUM(AF69:AF71)</f>
        <v>0</v>
      </c>
      <c r="AG72" s="906">
        <f t="shared" si="26"/>
        <v>0</v>
      </c>
      <c r="AH72" s="906">
        <f t="shared" si="26"/>
        <v>0</v>
      </c>
      <c r="AI72" s="906">
        <f t="shared" si="26"/>
        <v>0</v>
      </c>
      <c r="AJ72" s="906">
        <f t="shared" si="26"/>
        <v>0</v>
      </c>
      <c r="AK72" s="906">
        <f t="shared" si="26"/>
        <v>0</v>
      </c>
      <c r="AL72" s="906">
        <f t="shared" si="26"/>
        <v>0</v>
      </c>
      <c r="AM72" s="906">
        <f t="shared" si="26"/>
        <v>0</v>
      </c>
      <c r="AN72" s="906">
        <f t="shared" si="26"/>
        <v>0</v>
      </c>
      <c r="AO72" s="906">
        <f t="shared" si="26"/>
        <v>0</v>
      </c>
      <c r="AP72" s="906">
        <f t="shared" si="26"/>
        <v>0</v>
      </c>
      <c r="AQ72" s="907">
        <f t="shared" si="26"/>
        <v>0</v>
      </c>
      <c r="AR72" s="905">
        <f>SUM(AF72:AQ72)</f>
        <v>0</v>
      </c>
    </row>
    <row r="73" spans="1:46" x14ac:dyDescent="0.2">
      <c r="A73" s="205"/>
      <c r="B73" s="197" t="s">
        <v>340</v>
      </c>
      <c r="C73" s="307"/>
      <c r="D73" s="307"/>
      <c r="E73" s="308"/>
      <c r="F73" s="651"/>
      <c r="G73" s="308"/>
      <c r="H73" s="307"/>
      <c r="I73" s="307"/>
      <c r="J73" s="307"/>
      <c r="K73" s="307"/>
      <c r="L73" s="307"/>
      <c r="M73" s="307"/>
      <c r="N73" s="307"/>
      <c r="O73" s="307"/>
      <c r="P73" s="307"/>
      <c r="Q73" s="307"/>
      <c r="R73" s="307"/>
      <c r="S73" s="307"/>
      <c r="T73" s="307"/>
      <c r="U73" s="646"/>
      <c r="W73" s="232" t="str">
        <f>B68&amp;B41</f>
        <v>Fertilizantes 0</v>
      </c>
      <c r="X73" s="301"/>
      <c r="Y73" s="197" t="s">
        <v>340</v>
      </c>
      <c r="Z73" s="307"/>
      <c r="AA73" s="307"/>
      <c r="AB73" s="308"/>
      <c r="AC73" s="651"/>
      <c r="AD73" s="308"/>
      <c r="AE73" s="307"/>
      <c r="AF73" s="307"/>
      <c r="AG73" s="307"/>
      <c r="AH73" s="307"/>
      <c r="AI73" s="307"/>
      <c r="AJ73" s="307"/>
      <c r="AK73" s="307"/>
      <c r="AL73" s="307"/>
      <c r="AM73" s="307"/>
      <c r="AN73" s="307"/>
      <c r="AO73" s="307"/>
      <c r="AP73" s="307"/>
      <c r="AQ73" s="307"/>
      <c r="AR73" s="646"/>
      <c r="AT73" s="232" t="str">
        <f>Y68&amp;Y41</f>
        <v>Fertilizantes 0</v>
      </c>
    </row>
    <row r="74" spans="1:46" ht="15.05" thickBot="1" x14ac:dyDescent="0.35">
      <c r="A74" s="205"/>
      <c r="B74" s="5042"/>
      <c r="C74" s="1056">
        <f t="shared" si="7"/>
        <v>0</v>
      </c>
      <c r="D74" s="1056">
        <f>IF(B74=0,0,VLOOKUP(B74,Precios!$B$216:$D$307,3,FALSE))</f>
        <v>0</v>
      </c>
      <c r="E74" s="5048"/>
      <c r="F74" s="1062">
        <f>IF(B74=0,0,VLOOKUP(B74,Precios!$B$216:$D$307,2,FALSE))</f>
        <v>0</v>
      </c>
      <c r="G74" s="1066">
        <f>E74*F74</f>
        <v>0</v>
      </c>
      <c r="H74" s="309"/>
      <c r="I74" s="1072">
        <f t="shared" ref="I74:T76" si="27">IF($C74&gt;0,I$42*$E74,0)</f>
        <v>0</v>
      </c>
      <c r="J74" s="1033">
        <f t="shared" si="27"/>
        <v>0</v>
      </c>
      <c r="K74" s="1033">
        <f t="shared" si="27"/>
        <v>0</v>
      </c>
      <c r="L74" s="1033">
        <f t="shared" si="27"/>
        <v>0</v>
      </c>
      <c r="M74" s="1033">
        <f t="shared" si="27"/>
        <v>0</v>
      </c>
      <c r="N74" s="1033">
        <f t="shared" si="27"/>
        <v>0</v>
      </c>
      <c r="O74" s="1033">
        <f t="shared" si="27"/>
        <v>0</v>
      </c>
      <c r="P74" s="1033">
        <f t="shared" si="27"/>
        <v>0</v>
      </c>
      <c r="Q74" s="1033">
        <f t="shared" si="27"/>
        <v>0</v>
      </c>
      <c r="R74" s="1033">
        <f t="shared" si="27"/>
        <v>0</v>
      </c>
      <c r="S74" s="1033">
        <f t="shared" si="27"/>
        <v>0</v>
      </c>
      <c r="T74" s="1033">
        <f t="shared" si="27"/>
        <v>0</v>
      </c>
      <c r="U74" s="1073">
        <f t="shared" si="22"/>
        <v>0</v>
      </c>
      <c r="X74" s="301"/>
      <c r="Y74" s="5042"/>
      <c r="Z74" s="1056">
        <f t="shared" si="8"/>
        <v>0</v>
      </c>
      <c r="AA74" s="1056">
        <f>IF(Y74=0,0,VLOOKUP(Y74,Precios!$B$216:$D$307,3,FALSE))</f>
        <v>0</v>
      </c>
      <c r="AB74" s="1058"/>
      <c r="AC74" s="1062">
        <f>IF(Y74=0,0,VLOOKUP(Y74,Precios!$B$216:$D$307,2,FALSE))</f>
        <v>0</v>
      </c>
      <c r="AD74" s="1066">
        <f>AB74*AC74</f>
        <v>0</v>
      </c>
      <c r="AE74" s="309"/>
      <c r="AF74" s="1072">
        <f t="shared" ref="AF74:AQ76" si="28">IF($Z74&gt;0,AF$42*$AB74,0)</f>
        <v>0</v>
      </c>
      <c r="AG74" s="1033">
        <f t="shared" si="28"/>
        <v>0</v>
      </c>
      <c r="AH74" s="1033">
        <f t="shared" si="28"/>
        <v>0</v>
      </c>
      <c r="AI74" s="1033">
        <f>IF($Z74&gt;0,AI$42*$AB74,0)</f>
        <v>0</v>
      </c>
      <c r="AJ74" s="1033">
        <f t="shared" si="28"/>
        <v>0</v>
      </c>
      <c r="AK74" s="1033">
        <f t="shared" si="28"/>
        <v>0</v>
      </c>
      <c r="AL74" s="1033">
        <f t="shared" si="28"/>
        <v>0</v>
      </c>
      <c r="AM74" s="1033">
        <f t="shared" si="28"/>
        <v>0</v>
      </c>
      <c r="AN74" s="1033">
        <f t="shared" si="28"/>
        <v>0</v>
      </c>
      <c r="AO74" s="1033">
        <f t="shared" si="28"/>
        <v>0</v>
      </c>
      <c r="AP74" s="1033">
        <f t="shared" si="28"/>
        <v>0</v>
      </c>
      <c r="AQ74" s="1033">
        <f t="shared" si="28"/>
        <v>0</v>
      </c>
      <c r="AR74" s="1073">
        <f t="shared" si="24"/>
        <v>0</v>
      </c>
    </row>
    <row r="75" spans="1:46" ht="15.05" thickBot="1" x14ac:dyDescent="0.35">
      <c r="A75" s="205"/>
      <c r="B75" s="5044"/>
      <c r="C75" s="985">
        <f t="shared" si="7"/>
        <v>0</v>
      </c>
      <c r="D75" s="985">
        <f>IF(B75=0,0,VLOOKUP(B75,Precios!$B$216:$D$307,3,FALSE))</f>
        <v>0</v>
      </c>
      <c r="E75" s="5049"/>
      <c r="F75" s="1059">
        <f>IF(B75=0,0,VLOOKUP(B75,Precios!$B$216:$D$307,2,FALSE))</f>
        <v>0</v>
      </c>
      <c r="G75" s="1067">
        <f>E75*F75</f>
        <v>0</v>
      </c>
      <c r="H75" s="309"/>
      <c r="I75" s="1074">
        <f t="shared" si="27"/>
        <v>0</v>
      </c>
      <c r="J75" s="1005">
        <f t="shared" si="27"/>
        <v>0</v>
      </c>
      <c r="K75" s="1005">
        <f t="shared" si="27"/>
        <v>0</v>
      </c>
      <c r="L75" s="1005">
        <f t="shared" si="27"/>
        <v>0</v>
      </c>
      <c r="M75" s="1005">
        <f t="shared" si="27"/>
        <v>0</v>
      </c>
      <c r="N75" s="1005">
        <f t="shared" si="27"/>
        <v>0</v>
      </c>
      <c r="O75" s="1005">
        <f t="shared" si="27"/>
        <v>0</v>
      </c>
      <c r="P75" s="1005">
        <f t="shared" si="27"/>
        <v>0</v>
      </c>
      <c r="Q75" s="1005">
        <f t="shared" si="27"/>
        <v>0</v>
      </c>
      <c r="R75" s="1005">
        <f t="shared" si="27"/>
        <v>0</v>
      </c>
      <c r="S75" s="1005">
        <f t="shared" si="27"/>
        <v>0</v>
      </c>
      <c r="T75" s="1005">
        <f t="shared" si="27"/>
        <v>0</v>
      </c>
      <c r="U75" s="1075">
        <f t="shared" si="22"/>
        <v>0</v>
      </c>
      <c r="X75" s="301"/>
      <c r="Y75" s="5044"/>
      <c r="Z75" s="985">
        <f t="shared" si="8"/>
        <v>0</v>
      </c>
      <c r="AA75" s="985">
        <f>IF(Y75=0,0,VLOOKUP(Y75,Precios!$B$216:$D$307,3,FALSE))</f>
        <v>0</v>
      </c>
      <c r="AB75" s="986"/>
      <c r="AC75" s="1059">
        <f>IF(Y75=0,0,VLOOKUP(Y75,Precios!$B$216:$D$307,2,FALSE))</f>
        <v>0</v>
      </c>
      <c r="AD75" s="1067">
        <f>AB75*AC75</f>
        <v>0</v>
      </c>
      <c r="AE75" s="309"/>
      <c r="AF75" s="1074">
        <f t="shared" si="28"/>
        <v>0</v>
      </c>
      <c r="AG75" s="1005">
        <f t="shared" si="28"/>
        <v>0</v>
      </c>
      <c r="AH75" s="1005">
        <f t="shared" si="28"/>
        <v>0</v>
      </c>
      <c r="AI75" s="1005">
        <f t="shared" si="28"/>
        <v>0</v>
      </c>
      <c r="AJ75" s="1005">
        <f t="shared" si="28"/>
        <v>0</v>
      </c>
      <c r="AK75" s="1005">
        <f t="shared" si="28"/>
        <v>0</v>
      </c>
      <c r="AL75" s="1005">
        <f t="shared" si="28"/>
        <v>0</v>
      </c>
      <c r="AM75" s="1005">
        <f t="shared" si="28"/>
        <v>0</v>
      </c>
      <c r="AN75" s="1005">
        <f t="shared" si="28"/>
        <v>0</v>
      </c>
      <c r="AO75" s="1005">
        <f t="shared" si="28"/>
        <v>0</v>
      </c>
      <c r="AP75" s="1005">
        <f t="shared" si="28"/>
        <v>0</v>
      </c>
      <c r="AQ75" s="1005">
        <f t="shared" si="28"/>
        <v>0</v>
      </c>
      <c r="AR75" s="1075">
        <f t="shared" si="24"/>
        <v>0</v>
      </c>
    </row>
    <row r="76" spans="1:46" x14ac:dyDescent="0.3">
      <c r="A76" s="205"/>
      <c r="B76" s="5046"/>
      <c r="C76" s="1057">
        <f t="shared" si="7"/>
        <v>0</v>
      </c>
      <c r="D76" s="1057">
        <f>IF(B76=0,0,VLOOKUP(B76,Precios!$B$216:$D$307,3,FALSE))</f>
        <v>0</v>
      </c>
      <c r="E76" s="5050"/>
      <c r="F76" s="1061">
        <f>IF(B76=0,0,VLOOKUP(B76,Precios!$B$216:$D$307,2,FALSE))</f>
        <v>0</v>
      </c>
      <c r="G76" s="1068">
        <f>E76*F76</f>
        <v>0</v>
      </c>
      <c r="H76" s="309"/>
      <c r="I76" s="1079">
        <f t="shared" si="27"/>
        <v>0</v>
      </c>
      <c r="J76" s="1047">
        <f t="shared" si="27"/>
        <v>0</v>
      </c>
      <c r="K76" s="1047">
        <f t="shared" si="27"/>
        <v>0</v>
      </c>
      <c r="L76" s="1047">
        <f t="shared" si="27"/>
        <v>0</v>
      </c>
      <c r="M76" s="1047">
        <f t="shared" si="27"/>
        <v>0</v>
      </c>
      <c r="N76" s="1047">
        <f t="shared" si="27"/>
        <v>0</v>
      </c>
      <c r="O76" s="1047">
        <f t="shared" si="27"/>
        <v>0</v>
      </c>
      <c r="P76" s="1047">
        <f t="shared" si="27"/>
        <v>0</v>
      </c>
      <c r="Q76" s="1047">
        <f t="shared" si="27"/>
        <v>0</v>
      </c>
      <c r="R76" s="1047">
        <f t="shared" si="27"/>
        <v>0</v>
      </c>
      <c r="S76" s="1047">
        <f t="shared" si="27"/>
        <v>0</v>
      </c>
      <c r="T76" s="1047">
        <f t="shared" si="27"/>
        <v>0</v>
      </c>
      <c r="U76" s="1080">
        <f t="shared" si="22"/>
        <v>0</v>
      </c>
      <c r="X76" s="301"/>
      <c r="Y76" s="5046"/>
      <c r="Z76" s="1057">
        <f t="shared" si="8"/>
        <v>0</v>
      </c>
      <c r="AA76" s="1057">
        <f>IF(Y76=0,0,VLOOKUP(Y76,Precios!$B$216:$D$307,3,FALSE))</f>
        <v>0</v>
      </c>
      <c r="AB76" s="1060"/>
      <c r="AC76" s="1061">
        <f>IF(Y76=0,0,VLOOKUP(Y76,Precios!$B$216:$D$307,2,FALSE))</f>
        <v>0</v>
      </c>
      <c r="AD76" s="1068">
        <f>AB76*AC76</f>
        <v>0</v>
      </c>
      <c r="AE76" s="309"/>
      <c r="AF76" s="1079">
        <f t="shared" si="28"/>
        <v>0</v>
      </c>
      <c r="AG76" s="1047">
        <f t="shared" si="28"/>
        <v>0</v>
      </c>
      <c r="AH76" s="1047">
        <f t="shared" si="28"/>
        <v>0</v>
      </c>
      <c r="AI76" s="1047">
        <f t="shared" si="28"/>
        <v>0</v>
      </c>
      <c r="AJ76" s="1047">
        <f t="shared" si="28"/>
        <v>0</v>
      </c>
      <c r="AK76" s="1047">
        <f t="shared" si="28"/>
        <v>0</v>
      </c>
      <c r="AL76" s="1047">
        <f t="shared" si="28"/>
        <v>0</v>
      </c>
      <c r="AM76" s="1047">
        <f t="shared" si="28"/>
        <v>0</v>
      </c>
      <c r="AN76" s="1047">
        <f t="shared" si="28"/>
        <v>0</v>
      </c>
      <c r="AO76" s="1047">
        <f t="shared" si="28"/>
        <v>0</v>
      </c>
      <c r="AP76" s="1047">
        <f t="shared" si="28"/>
        <v>0</v>
      </c>
      <c r="AQ76" s="1047">
        <f t="shared" si="28"/>
        <v>0</v>
      </c>
      <c r="AR76" s="1080">
        <f t="shared" si="24"/>
        <v>0</v>
      </c>
    </row>
    <row r="77" spans="1:46" ht="15.05" thickBot="1" x14ac:dyDescent="0.35">
      <c r="A77" s="205"/>
      <c r="B77" s="647" t="s">
        <v>1087</v>
      </c>
      <c r="C77" s="305"/>
      <c r="D77" s="305"/>
      <c r="E77" s="305"/>
      <c r="F77" s="650"/>
      <c r="G77" s="305"/>
      <c r="H77" s="306"/>
      <c r="I77" s="906">
        <f t="shared" ref="I77:T77" si="29">SUM(I74:I76)</f>
        <v>0</v>
      </c>
      <c r="J77" s="906">
        <f t="shared" si="29"/>
        <v>0</v>
      </c>
      <c r="K77" s="906">
        <f t="shared" si="29"/>
        <v>0</v>
      </c>
      <c r="L77" s="906">
        <f t="shared" si="29"/>
        <v>0</v>
      </c>
      <c r="M77" s="906">
        <f t="shared" si="29"/>
        <v>0</v>
      </c>
      <c r="N77" s="906">
        <f t="shared" si="29"/>
        <v>0</v>
      </c>
      <c r="O77" s="906">
        <f t="shared" si="29"/>
        <v>0</v>
      </c>
      <c r="P77" s="906">
        <f t="shared" si="29"/>
        <v>0</v>
      </c>
      <c r="Q77" s="906">
        <f t="shared" si="29"/>
        <v>0</v>
      </c>
      <c r="R77" s="906">
        <f t="shared" si="29"/>
        <v>0</v>
      </c>
      <c r="S77" s="906">
        <f t="shared" si="29"/>
        <v>0</v>
      </c>
      <c r="T77" s="907">
        <f t="shared" si="29"/>
        <v>0</v>
      </c>
      <c r="U77" s="905">
        <f t="shared" si="22"/>
        <v>0</v>
      </c>
      <c r="W77" s="232" t="str">
        <f>B73&amp;B41</f>
        <v>Agroquímicos 0</v>
      </c>
      <c r="X77" s="301"/>
      <c r="Y77" s="647" t="s">
        <v>1087</v>
      </c>
      <c r="Z77" s="305"/>
      <c r="AA77" s="305"/>
      <c r="AB77" s="305"/>
      <c r="AC77" s="650"/>
      <c r="AD77" s="305"/>
      <c r="AE77" s="306"/>
      <c r="AF77" s="906">
        <f t="shared" ref="AF77:AQ77" si="30">SUM(AF74:AF76)</f>
        <v>0</v>
      </c>
      <c r="AG77" s="906">
        <f t="shared" si="30"/>
        <v>0</v>
      </c>
      <c r="AH77" s="906">
        <f t="shared" si="30"/>
        <v>0</v>
      </c>
      <c r="AI77" s="906">
        <f>SUM(AI74:AI76)</f>
        <v>0</v>
      </c>
      <c r="AJ77" s="906">
        <f t="shared" si="30"/>
        <v>0</v>
      </c>
      <c r="AK77" s="906">
        <f t="shared" si="30"/>
        <v>0</v>
      </c>
      <c r="AL77" s="906">
        <f t="shared" si="30"/>
        <v>0</v>
      </c>
      <c r="AM77" s="906">
        <f t="shared" si="30"/>
        <v>0</v>
      </c>
      <c r="AN77" s="906">
        <f t="shared" si="30"/>
        <v>0</v>
      </c>
      <c r="AO77" s="906">
        <f t="shared" si="30"/>
        <v>0</v>
      </c>
      <c r="AP77" s="906">
        <f t="shared" si="30"/>
        <v>0</v>
      </c>
      <c r="AQ77" s="907">
        <f t="shared" si="30"/>
        <v>0</v>
      </c>
      <c r="AR77" s="905">
        <f>SUM(AF77:AQ77)</f>
        <v>0</v>
      </c>
      <c r="AT77" s="232" t="str">
        <f>Y73&amp;Y41</f>
        <v>Agroquímicos 0</v>
      </c>
    </row>
    <row r="78" spans="1:46" ht="15.05" thickBot="1" x14ac:dyDescent="0.25">
      <c r="A78" s="205"/>
      <c r="B78" s="648" t="s">
        <v>892</v>
      </c>
      <c r="C78" s="909">
        <f>+C40</f>
        <v>0</v>
      </c>
      <c r="D78" s="909"/>
      <c r="E78" s="312" t="s">
        <v>876</v>
      </c>
      <c r="F78" s="313"/>
      <c r="G78" s="289"/>
      <c r="H78" s="312"/>
      <c r="I78" s="314">
        <f>SUMPRODUCT($F45:$F76,I45:I76)</f>
        <v>0</v>
      </c>
      <c r="J78" s="314">
        <f t="shared" ref="J78:T78" si="31">SUMPRODUCT($F45:$F76,J45:J76)</f>
        <v>0</v>
      </c>
      <c r="K78" s="314">
        <f t="shared" si="31"/>
        <v>0</v>
      </c>
      <c r="L78" s="314">
        <f t="shared" si="31"/>
        <v>0</v>
      </c>
      <c r="M78" s="314">
        <f t="shared" si="31"/>
        <v>0</v>
      </c>
      <c r="N78" s="314">
        <f t="shared" si="31"/>
        <v>0</v>
      </c>
      <c r="O78" s="314">
        <f t="shared" si="31"/>
        <v>0</v>
      </c>
      <c r="P78" s="314">
        <f t="shared" si="31"/>
        <v>0</v>
      </c>
      <c r="Q78" s="314">
        <f t="shared" si="31"/>
        <v>0</v>
      </c>
      <c r="R78" s="314">
        <f t="shared" si="31"/>
        <v>0</v>
      </c>
      <c r="S78" s="314">
        <f t="shared" si="31"/>
        <v>0</v>
      </c>
      <c r="T78" s="314">
        <f t="shared" si="31"/>
        <v>0</v>
      </c>
      <c r="U78" s="908">
        <f t="shared" si="22"/>
        <v>0</v>
      </c>
      <c r="X78" s="301"/>
      <c r="Y78" s="648" t="s">
        <v>892</v>
      </c>
      <c r="Z78" s="909">
        <f>+Z40</f>
        <v>0</v>
      </c>
      <c r="AA78" s="909"/>
      <c r="AB78" s="312" t="s">
        <v>876</v>
      </c>
      <c r="AC78" s="313"/>
      <c r="AD78" s="289"/>
      <c r="AE78" s="312"/>
      <c r="AF78" s="314">
        <f t="shared" ref="AF78:AQ78" si="32">SUMPRODUCT($AC45:$AC76,AF45:AF76)</f>
        <v>0</v>
      </c>
      <c r="AG78" s="314">
        <f t="shared" si="32"/>
        <v>0</v>
      </c>
      <c r="AH78" s="314">
        <f t="shared" si="32"/>
        <v>0</v>
      </c>
      <c r="AI78" s="314">
        <f t="shared" si="32"/>
        <v>0</v>
      </c>
      <c r="AJ78" s="314">
        <f t="shared" si="32"/>
        <v>0</v>
      </c>
      <c r="AK78" s="314">
        <f t="shared" si="32"/>
        <v>0</v>
      </c>
      <c r="AL78" s="314">
        <f t="shared" si="32"/>
        <v>0</v>
      </c>
      <c r="AM78" s="314">
        <f t="shared" si="32"/>
        <v>0</v>
      </c>
      <c r="AN78" s="314">
        <f t="shared" si="32"/>
        <v>0</v>
      </c>
      <c r="AO78" s="314">
        <f t="shared" si="32"/>
        <v>0</v>
      </c>
      <c r="AP78" s="314">
        <f t="shared" si="32"/>
        <v>0</v>
      </c>
      <c r="AQ78" s="314">
        <f t="shared" si="32"/>
        <v>0</v>
      </c>
      <c r="AR78" s="908">
        <f>SUM(AF78:AQ78)</f>
        <v>0</v>
      </c>
    </row>
    <row r="79" spans="1:46" x14ac:dyDescent="0.2">
      <c r="A79" s="177"/>
      <c r="B79" s="177"/>
      <c r="C79" s="177"/>
      <c r="D79" s="177"/>
      <c r="E79" s="177"/>
      <c r="F79" s="315"/>
      <c r="G79" s="316"/>
      <c r="H79" s="177"/>
      <c r="I79" s="177"/>
      <c r="J79" s="177"/>
      <c r="K79" s="177"/>
      <c r="L79" s="177"/>
      <c r="M79" s="177"/>
      <c r="N79" s="177"/>
      <c r="O79" s="177"/>
      <c r="P79" s="177"/>
      <c r="Q79" s="177"/>
      <c r="R79" s="177"/>
      <c r="S79" s="177"/>
      <c r="T79" s="177"/>
      <c r="U79" s="649"/>
      <c r="X79" s="205"/>
      <c r="Y79" s="208"/>
      <c r="Z79" s="177"/>
      <c r="AA79" s="177"/>
      <c r="AB79" s="177"/>
      <c r="AC79" s="316"/>
      <c r="AD79" s="316"/>
      <c r="AE79" s="177"/>
      <c r="AF79" s="177"/>
      <c r="AG79" s="177"/>
      <c r="AH79" s="177"/>
      <c r="AI79" s="177"/>
      <c r="AJ79" s="177"/>
      <c r="AK79" s="177"/>
      <c r="AL79" s="177"/>
      <c r="AM79" s="177"/>
      <c r="AN79" s="177"/>
      <c r="AO79" s="177"/>
      <c r="AP79" s="177"/>
      <c r="AQ79" s="177"/>
      <c r="AR79" s="317"/>
    </row>
    <row r="80" spans="1:46" ht="15.05" thickBot="1" x14ac:dyDescent="0.25">
      <c r="A80" s="177"/>
      <c r="B80" s="177"/>
      <c r="C80" s="177"/>
      <c r="D80" s="177"/>
      <c r="E80" s="177"/>
      <c r="F80" s="315"/>
      <c r="G80" s="316"/>
      <c r="H80" s="177"/>
      <c r="I80" s="177"/>
      <c r="J80" s="177"/>
      <c r="K80" s="177"/>
      <c r="L80" s="177"/>
      <c r="M80" s="177"/>
      <c r="N80" s="177"/>
      <c r="O80" s="177"/>
      <c r="P80" s="177"/>
      <c r="Q80" s="177"/>
      <c r="R80" s="177"/>
      <c r="S80" s="177"/>
      <c r="T80" s="177"/>
      <c r="U80" s="649"/>
      <c r="X80" s="205"/>
      <c r="Y80" s="208"/>
      <c r="Z80" s="177"/>
      <c r="AA80" s="177"/>
      <c r="AB80" s="177"/>
      <c r="AC80" s="316"/>
      <c r="AD80" s="316"/>
      <c r="AE80" s="177"/>
      <c r="AF80" s="177"/>
      <c r="AG80" s="177"/>
      <c r="AH80" s="177"/>
      <c r="AI80" s="177"/>
      <c r="AJ80" s="177"/>
      <c r="AK80" s="177"/>
      <c r="AL80" s="177"/>
      <c r="AM80" s="177"/>
      <c r="AN80" s="177"/>
      <c r="AO80" s="177"/>
      <c r="AP80" s="177"/>
      <c r="AQ80" s="177"/>
      <c r="AR80" s="317"/>
    </row>
    <row r="81" spans="1:47" s="254" customFormat="1" ht="15.05" thickBot="1" x14ac:dyDescent="0.25">
      <c r="A81" s="1344">
        <f>+A40+1</f>
        <v>43</v>
      </c>
      <c r="B81" s="635" t="s">
        <v>878</v>
      </c>
      <c r="C81" s="898">
        <f>UsoSuelo!D139</f>
        <v>0</v>
      </c>
      <c r="D81" s="898"/>
      <c r="E81" s="636"/>
      <c r="F81" s="637"/>
      <c r="G81" s="637"/>
      <c r="H81" s="637"/>
      <c r="I81" s="637"/>
      <c r="J81" s="637"/>
      <c r="K81" s="637"/>
      <c r="L81" s="637"/>
      <c r="M81" s="637"/>
      <c r="N81" s="637"/>
      <c r="O81" s="637"/>
      <c r="P81" s="637"/>
      <c r="Q81" s="637"/>
      <c r="R81" s="637"/>
      <c r="S81" s="637"/>
      <c r="T81" s="637"/>
      <c r="U81" s="638"/>
      <c r="V81" s="1569"/>
      <c r="W81" s="1569"/>
      <c r="X81" s="1344">
        <f>+X40+1</f>
        <v>55</v>
      </c>
      <c r="Y81" s="635" t="s">
        <v>2342</v>
      </c>
      <c r="Z81" s="898">
        <f>+UsoSuelo!D156</f>
        <v>0</v>
      </c>
      <c r="AA81" s="898"/>
      <c r="AB81" s="636"/>
      <c r="AC81" s="637"/>
      <c r="AD81" s="637"/>
      <c r="AE81" s="637"/>
      <c r="AF81" s="637"/>
      <c r="AG81" s="637"/>
      <c r="AH81" s="637"/>
      <c r="AI81" s="637"/>
      <c r="AJ81" s="637"/>
      <c r="AK81" s="637"/>
      <c r="AL81" s="637"/>
      <c r="AM81" s="637"/>
      <c r="AN81" s="637"/>
      <c r="AO81" s="637"/>
      <c r="AP81" s="637"/>
      <c r="AQ81" s="637"/>
      <c r="AR81" s="638"/>
      <c r="AS81" s="1569"/>
      <c r="AT81" s="1569"/>
      <c r="AU81" s="1436"/>
    </row>
    <row r="82" spans="1:47" s="254" customFormat="1" x14ac:dyDescent="0.2">
      <c r="A82" s="1344" t="s">
        <v>1695</v>
      </c>
      <c r="B82" s="639">
        <f>+UsoSuelo!H139</f>
        <v>0</v>
      </c>
      <c r="C82" s="291"/>
      <c r="D82" s="291"/>
      <c r="E82" s="291"/>
      <c r="F82" s="291"/>
      <c r="G82" s="291" t="s">
        <v>883</v>
      </c>
      <c r="H82" s="292"/>
      <c r="I82" s="293" t="str">
        <f t="shared" ref="I82:T82" si="33">I41</f>
        <v>Ene</v>
      </c>
      <c r="J82" s="293" t="str">
        <f t="shared" si="33"/>
        <v>Feb</v>
      </c>
      <c r="K82" s="293" t="str">
        <f t="shared" si="33"/>
        <v>Mar</v>
      </c>
      <c r="L82" s="293" t="str">
        <f t="shared" si="33"/>
        <v>Abr</v>
      </c>
      <c r="M82" s="293" t="str">
        <f t="shared" si="33"/>
        <v>May</v>
      </c>
      <c r="N82" s="293" t="str">
        <f t="shared" si="33"/>
        <v>Jun</v>
      </c>
      <c r="O82" s="293" t="str">
        <f t="shared" si="33"/>
        <v>Jul</v>
      </c>
      <c r="P82" s="293" t="str">
        <f t="shared" si="33"/>
        <v>Ago</v>
      </c>
      <c r="Q82" s="293" t="str">
        <f t="shared" si="33"/>
        <v>Set</v>
      </c>
      <c r="R82" s="293" t="str">
        <f t="shared" si="33"/>
        <v>Oct</v>
      </c>
      <c r="S82" s="293" t="str">
        <f t="shared" si="33"/>
        <v>Nov</v>
      </c>
      <c r="T82" s="294" t="str">
        <f t="shared" si="33"/>
        <v>Dic</v>
      </c>
      <c r="U82" s="640" t="s">
        <v>1106</v>
      </c>
      <c r="V82" s="1569"/>
      <c r="W82" s="1569"/>
      <c r="X82" s="1344" t="str">
        <f>+A82</f>
        <v>B</v>
      </c>
      <c r="Y82" s="639">
        <f>+UsoSuelo!H156</f>
        <v>0</v>
      </c>
      <c r="Z82" s="291"/>
      <c r="AA82" s="291"/>
      <c r="AB82" s="291"/>
      <c r="AC82" s="291"/>
      <c r="AD82" s="291" t="s">
        <v>883</v>
      </c>
      <c r="AE82" s="292"/>
      <c r="AF82" s="293" t="str">
        <f t="shared" ref="AF82:AQ82" si="34">AF41</f>
        <v>Ene</v>
      </c>
      <c r="AG82" s="293" t="str">
        <f t="shared" si="34"/>
        <v>Feb</v>
      </c>
      <c r="AH82" s="293" t="str">
        <f t="shared" si="34"/>
        <v>Mar</v>
      </c>
      <c r="AI82" s="293" t="str">
        <f t="shared" si="34"/>
        <v>Abr</v>
      </c>
      <c r="AJ82" s="293" t="str">
        <f t="shared" si="34"/>
        <v>May</v>
      </c>
      <c r="AK82" s="293" t="str">
        <f t="shared" si="34"/>
        <v>Jun</v>
      </c>
      <c r="AL82" s="293" t="str">
        <f t="shared" si="34"/>
        <v>Jul</v>
      </c>
      <c r="AM82" s="293" t="str">
        <f t="shared" si="34"/>
        <v>Ago</v>
      </c>
      <c r="AN82" s="293" t="str">
        <f t="shared" si="34"/>
        <v>Set</v>
      </c>
      <c r="AO82" s="293" t="str">
        <f t="shared" si="34"/>
        <v>Oct</v>
      </c>
      <c r="AP82" s="293" t="str">
        <f t="shared" si="34"/>
        <v>Nov</v>
      </c>
      <c r="AQ82" s="294" t="str">
        <f t="shared" si="34"/>
        <v>Dic</v>
      </c>
      <c r="AR82" s="640" t="s">
        <v>1106</v>
      </c>
      <c r="AS82" s="1569"/>
      <c r="AT82" s="1569"/>
      <c r="AU82" s="1436"/>
    </row>
    <row r="83" spans="1:47" s="254" customFormat="1" x14ac:dyDescent="0.2">
      <c r="A83" s="205"/>
      <c r="B83" s="899" t="s">
        <v>884</v>
      </c>
      <c r="C83" s="900"/>
      <c r="D83" s="900"/>
      <c r="E83" s="900"/>
      <c r="F83" s="900"/>
      <c r="G83" s="900"/>
      <c r="H83" s="900"/>
      <c r="I83" s="901">
        <f>VLOOKUP($C81,UsoSuelo!$CQ$1127:$DC$1194,2,FALSE)</f>
        <v>0</v>
      </c>
      <c r="J83" s="901">
        <f>VLOOKUP($C81,UsoSuelo!$CQ$1127:$DC$1194,3,FALSE)</f>
        <v>0</v>
      </c>
      <c r="K83" s="901">
        <f>VLOOKUP($C81,UsoSuelo!$CQ$1127:$DC$1194,4,FALSE)</f>
        <v>0</v>
      </c>
      <c r="L83" s="901">
        <f>VLOOKUP($C81,UsoSuelo!$CQ$1127:$DC$1194,5,FALSE)</f>
        <v>0</v>
      </c>
      <c r="M83" s="901">
        <f>VLOOKUP($C81,UsoSuelo!$CQ$1127:$DC$1194,6,FALSE)</f>
        <v>0</v>
      </c>
      <c r="N83" s="901">
        <f>VLOOKUP($C81,UsoSuelo!$CQ$1127:$DC$1194,7,FALSE)</f>
        <v>0</v>
      </c>
      <c r="O83" s="901">
        <f>VLOOKUP($C81,UsoSuelo!$CQ$1127:$DC$1194,8,FALSE)</f>
        <v>0</v>
      </c>
      <c r="P83" s="901">
        <f>VLOOKUP($C81,UsoSuelo!$CQ$1127:$DC$1194,9,FALSE)</f>
        <v>0</v>
      </c>
      <c r="Q83" s="901">
        <f>VLOOKUP($C81,UsoSuelo!$CQ$1127:$DC$1194,10,FALSE)</f>
        <v>0</v>
      </c>
      <c r="R83" s="901">
        <f>VLOOKUP($C81,UsoSuelo!$CQ$1127:$DC$1194,11,FALSE)</f>
        <v>0</v>
      </c>
      <c r="S83" s="901">
        <f>VLOOKUP($C81,UsoSuelo!$CQ$1127:$DC$1194,12,FALSE)</f>
        <v>0</v>
      </c>
      <c r="T83" s="902">
        <f>VLOOKUP($C81,UsoSuelo!$CQ$1127:$DC$1194,13,FALSE)</f>
        <v>0</v>
      </c>
      <c r="U83" s="903">
        <f>SUM(I83:T83)</f>
        <v>0</v>
      </c>
      <c r="V83" s="1569"/>
      <c r="W83" s="1569"/>
      <c r="X83" s="16"/>
      <c r="Y83" s="899" t="s">
        <v>884</v>
      </c>
      <c r="Z83" s="900"/>
      <c r="AA83" s="900"/>
      <c r="AB83" s="900"/>
      <c r="AC83" s="900"/>
      <c r="AD83" s="900"/>
      <c r="AE83" s="900"/>
      <c r="AF83" s="901">
        <f>VLOOKUP($Z81,UsoSuelo!$DE$1054:$DQ$1120,2,FALSE)</f>
        <v>0</v>
      </c>
      <c r="AG83" s="901">
        <f>VLOOKUP($Z81,UsoSuelo!$DE$1054:$DQ$1120,3,FALSE)</f>
        <v>0</v>
      </c>
      <c r="AH83" s="901">
        <f>VLOOKUP($Z81,UsoSuelo!$DE$1054:$DQ$1120,4,FALSE)</f>
        <v>0</v>
      </c>
      <c r="AI83" s="901">
        <f>VLOOKUP($Z81,UsoSuelo!$DE$1054:$DQ$1120,5,FALSE)</f>
        <v>0</v>
      </c>
      <c r="AJ83" s="901">
        <f>VLOOKUP($Z81,UsoSuelo!$DE$1054:$DQ$1120,6,FALSE)</f>
        <v>0</v>
      </c>
      <c r="AK83" s="901">
        <f>VLOOKUP($Z81,UsoSuelo!$DE$1054:$DQ$1120,7,FALSE)</f>
        <v>0</v>
      </c>
      <c r="AL83" s="901">
        <f>VLOOKUP($Z81,UsoSuelo!$DE$1054:$DQ$1120,8,FALSE)</f>
        <v>0</v>
      </c>
      <c r="AM83" s="901">
        <f>VLOOKUP($Z81,UsoSuelo!$DE$1054:$DQ$1120,9,FALSE)</f>
        <v>0</v>
      </c>
      <c r="AN83" s="901">
        <f>VLOOKUP($Z81,UsoSuelo!$DE$1054:$DQ$1120,10,FALSE)</f>
        <v>0</v>
      </c>
      <c r="AO83" s="901">
        <f>VLOOKUP($Z81,UsoSuelo!$DE$1054:$DQ$1120,11,FALSE)</f>
        <v>0</v>
      </c>
      <c r="AP83" s="901">
        <f>VLOOKUP($Z81,UsoSuelo!$DE$1054:$DQ$1120,12,FALSE)</f>
        <v>0</v>
      </c>
      <c r="AQ83" s="902">
        <f>VLOOKUP($Z81,UsoSuelo!$DE$1054:$DQ$1120,13,FALSE)</f>
        <v>0</v>
      </c>
      <c r="AR83" s="903">
        <f>SUM(AF83:AQ83)</f>
        <v>0</v>
      </c>
      <c r="AS83" s="1569"/>
      <c r="AT83" s="1569"/>
      <c r="AU83" s="1436"/>
    </row>
    <row r="84" spans="1:47" s="254" customFormat="1" x14ac:dyDescent="0.2">
      <c r="A84" s="205"/>
      <c r="B84" s="641"/>
      <c r="C84" s="621" t="s">
        <v>885</v>
      </c>
      <c r="D84" s="621"/>
      <c r="E84" s="621" t="s">
        <v>881</v>
      </c>
      <c r="F84" s="621" t="s">
        <v>23</v>
      </c>
      <c r="G84" s="622"/>
      <c r="H84" s="623"/>
      <c r="I84" s="297"/>
      <c r="J84" s="296"/>
      <c r="K84" s="296"/>
      <c r="L84" s="296"/>
      <c r="M84" s="296"/>
      <c r="N84" s="297"/>
      <c r="O84" s="297"/>
      <c r="P84" s="297"/>
      <c r="Q84" s="297"/>
      <c r="R84" s="297"/>
      <c r="S84" s="297"/>
      <c r="T84" s="297"/>
      <c r="U84" s="642" t="s">
        <v>881</v>
      </c>
      <c r="V84" s="1569"/>
      <c r="W84" s="1569"/>
      <c r="X84" s="16"/>
      <c r="Y84" s="641"/>
      <c r="Z84" s="621" t="s">
        <v>885</v>
      </c>
      <c r="AA84" s="621"/>
      <c r="AB84" s="621" t="s">
        <v>881</v>
      </c>
      <c r="AC84" s="621" t="s">
        <v>23</v>
      </c>
      <c r="AD84" s="622"/>
      <c r="AE84" s="623"/>
      <c r="AF84" s="297"/>
      <c r="AG84" s="296"/>
      <c r="AH84" s="296"/>
      <c r="AI84" s="296"/>
      <c r="AJ84" s="296"/>
      <c r="AK84" s="297"/>
      <c r="AL84" s="297"/>
      <c r="AM84" s="297"/>
      <c r="AN84" s="297"/>
      <c r="AO84" s="297"/>
      <c r="AP84" s="297"/>
      <c r="AQ84" s="297"/>
      <c r="AR84" s="642" t="s">
        <v>881</v>
      </c>
      <c r="AS84" s="232"/>
      <c r="AT84" s="1569"/>
      <c r="AU84" s="232"/>
    </row>
    <row r="85" spans="1:47" x14ac:dyDescent="0.2">
      <c r="A85" s="145"/>
      <c r="B85" s="199" t="s">
        <v>869</v>
      </c>
      <c r="C85" s="3" t="s">
        <v>1105</v>
      </c>
      <c r="D85" s="3" t="s">
        <v>312</v>
      </c>
      <c r="E85" s="4" t="s">
        <v>882</v>
      </c>
      <c r="F85" s="3" t="s">
        <v>314</v>
      </c>
      <c r="G85" s="4" t="s">
        <v>313</v>
      </c>
      <c r="H85" s="299"/>
      <c r="I85" s="320"/>
      <c r="J85" s="319"/>
      <c r="K85" s="319"/>
      <c r="L85" s="319"/>
      <c r="M85" s="319" t="s">
        <v>349</v>
      </c>
      <c r="N85" s="320"/>
      <c r="O85" s="320"/>
      <c r="P85" s="320"/>
      <c r="Q85" s="320"/>
      <c r="R85" s="320"/>
      <c r="S85" s="320"/>
      <c r="T85" s="320"/>
      <c r="U85" s="643" t="s">
        <v>891</v>
      </c>
      <c r="X85" s="205"/>
      <c r="Y85" s="199" t="s">
        <v>869</v>
      </c>
      <c r="Z85" s="3" t="s">
        <v>1105</v>
      </c>
      <c r="AA85" s="3" t="s">
        <v>312</v>
      </c>
      <c r="AB85" s="4" t="s">
        <v>882</v>
      </c>
      <c r="AC85" s="3" t="s">
        <v>314</v>
      </c>
      <c r="AD85" s="4" t="s">
        <v>313</v>
      </c>
      <c r="AE85" s="299"/>
      <c r="AF85" s="320"/>
      <c r="AG85" s="319"/>
      <c r="AH85" s="319"/>
      <c r="AI85" s="319"/>
      <c r="AJ85" s="319" t="s">
        <v>349</v>
      </c>
      <c r="AK85" s="320"/>
      <c r="AL85" s="320"/>
      <c r="AM85" s="320"/>
      <c r="AN85" s="320"/>
      <c r="AO85" s="320"/>
      <c r="AP85" s="320"/>
      <c r="AQ85" s="320"/>
      <c r="AR85" s="643" t="s">
        <v>891</v>
      </c>
    </row>
    <row r="86" spans="1:47" ht="15.05" thickBot="1" x14ac:dyDescent="0.35">
      <c r="A86" s="205"/>
      <c r="B86" s="5042"/>
      <c r="C86" s="1056">
        <f>IF(B86=0,0,U$83)</f>
        <v>0</v>
      </c>
      <c r="D86" s="1056">
        <f>IF(B86=0,0,VLOOKUP(B86,Precios!$B$216:$D$307,3,FALSE))</f>
        <v>0</v>
      </c>
      <c r="E86" s="5043"/>
      <c r="F86" s="300"/>
      <c r="G86" s="300"/>
      <c r="H86" s="309"/>
      <c r="I86" s="1072">
        <f t="shared" ref="I86:T102" si="35">IF($C86&gt;0,I$83*$E86,0)</f>
        <v>0</v>
      </c>
      <c r="J86" s="1033">
        <f t="shared" si="35"/>
        <v>0</v>
      </c>
      <c r="K86" s="1033">
        <f t="shared" si="35"/>
        <v>0</v>
      </c>
      <c r="L86" s="1033">
        <f t="shared" si="35"/>
        <v>0</v>
      </c>
      <c r="M86" s="1033">
        <f t="shared" si="35"/>
        <v>0</v>
      </c>
      <c r="N86" s="1033">
        <f t="shared" si="35"/>
        <v>0</v>
      </c>
      <c r="O86" s="1033">
        <f t="shared" si="35"/>
        <v>0</v>
      </c>
      <c r="P86" s="1033">
        <f t="shared" si="35"/>
        <v>0</v>
      </c>
      <c r="Q86" s="1033">
        <f t="shared" si="35"/>
        <v>0</v>
      </c>
      <c r="R86" s="1033">
        <f t="shared" si="35"/>
        <v>0</v>
      </c>
      <c r="S86" s="1033">
        <f t="shared" si="35"/>
        <v>0</v>
      </c>
      <c r="T86" s="1033">
        <f t="shared" si="35"/>
        <v>0</v>
      </c>
      <c r="U86" s="1073">
        <f t="shared" ref="U86:U107" si="36">SUM(I86:T86)</f>
        <v>0</v>
      </c>
      <c r="V86" s="232" t="str">
        <f>B86&amp;"propia"</f>
        <v>propia</v>
      </c>
      <c r="X86" s="205"/>
      <c r="Y86" s="5042"/>
      <c r="Z86" s="1056">
        <f>IF(Y86=0,0,AR$83)</f>
        <v>0</v>
      </c>
      <c r="AA86" s="1056">
        <f>IF(Y86=0,0,VLOOKUP(Y86,Precios!$B$216:$D$307,3,FALSE))</f>
        <v>0</v>
      </c>
      <c r="AB86" s="1069"/>
      <c r="AC86" s="300"/>
      <c r="AD86" s="300"/>
      <c r="AE86" s="309"/>
      <c r="AF86" s="1072">
        <f t="shared" ref="AF86:AQ90" si="37">IF($Z86&gt;0,AF$83*$AB86,0)</f>
        <v>0</v>
      </c>
      <c r="AG86" s="1033">
        <f t="shared" si="37"/>
        <v>0</v>
      </c>
      <c r="AH86" s="1033">
        <f t="shared" si="37"/>
        <v>0</v>
      </c>
      <c r="AI86" s="1033">
        <f t="shared" si="37"/>
        <v>0</v>
      </c>
      <c r="AJ86" s="1033">
        <f t="shared" si="37"/>
        <v>0</v>
      </c>
      <c r="AK86" s="1033">
        <f t="shared" si="37"/>
        <v>0</v>
      </c>
      <c r="AL86" s="1033">
        <f t="shared" si="37"/>
        <v>0</v>
      </c>
      <c r="AM86" s="1033">
        <f t="shared" si="37"/>
        <v>0</v>
      </c>
      <c r="AN86" s="1033">
        <f t="shared" si="37"/>
        <v>0</v>
      </c>
      <c r="AO86" s="1033">
        <f t="shared" si="37"/>
        <v>0</v>
      </c>
      <c r="AP86" s="1033">
        <f t="shared" si="37"/>
        <v>0</v>
      </c>
      <c r="AQ86" s="1033">
        <f t="shared" si="37"/>
        <v>0</v>
      </c>
      <c r="AR86" s="1073">
        <f t="shared" ref="AR86:AR104" si="38">SUM(AF86:AQ86)</f>
        <v>0</v>
      </c>
      <c r="AS86" s="232" t="str">
        <f>Y86&amp;"propia"</f>
        <v>propia</v>
      </c>
    </row>
    <row r="87" spans="1:47" ht="15.05" thickBot="1" x14ac:dyDescent="0.35">
      <c r="A87" s="205"/>
      <c r="B87" s="5044"/>
      <c r="C87" s="985">
        <f>IF(B87=0,0,U$83)</f>
        <v>0</v>
      </c>
      <c r="D87" s="985">
        <f>IF(B87=0,0,VLOOKUP(B87,Precios!$B$216:$D$307,3,FALSE))</f>
        <v>0</v>
      </c>
      <c r="E87" s="5045"/>
      <c r="F87" s="300"/>
      <c r="G87" s="300"/>
      <c r="H87" s="309"/>
      <c r="I87" s="1074">
        <f t="shared" si="35"/>
        <v>0</v>
      </c>
      <c r="J87" s="1005">
        <f t="shared" si="35"/>
        <v>0</v>
      </c>
      <c r="K87" s="1005">
        <f t="shared" si="35"/>
        <v>0</v>
      </c>
      <c r="L87" s="1005">
        <f t="shared" si="35"/>
        <v>0</v>
      </c>
      <c r="M87" s="1005">
        <f t="shared" si="35"/>
        <v>0</v>
      </c>
      <c r="N87" s="1005">
        <f t="shared" si="35"/>
        <v>0</v>
      </c>
      <c r="O87" s="1005">
        <f t="shared" si="35"/>
        <v>0</v>
      </c>
      <c r="P87" s="1005">
        <f t="shared" si="35"/>
        <v>0</v>
      </c>
      <c r="Q87" s="1005">
        <f t="shared" si="35"/>
        <v>0</v>
      </c>
      <c r="R87" s="1005">
        <f t="shared" si="35"/>
        <v>0</v>
      </c>
      <c r="S87" s="1005">
        <f t="shared" si="35"/>
        <v>0</v>
      </c>
      <c r="T87" s="1005">
        <f t="shared" si="35"/>
        <v>0</v>
      </c>
      <c r="U87" s="1075">
        <f t="shared" si="36"/>
        <v>0</v>
      </c>
      <c r="V87" s="232" t="str">
        <f>B87&amp;"propia"</f>
        <v>propia</v>
      </c>
      <c r="X87" s="301"/>
      <c r="Y87" s="5044"/>
      <c r="Z87" s="985">
        <f>IF(Y87=0,0,AR$83)</f>
        <v>0</v>
      </c>
      <c r="AA87" s="985">
        <f>IF(Y87=0,0,VLOOKUP(Y87,Precios!$B$216:$D$307,3,FALSE))</f>
        <v>0</v>
      </c>
      <c r="AB87" s="1070"/>
      <c r="AC87" s="300"/>
      <c r="AD87" s="300"/>
      <c r="AE87" s="309"/>
      <c r="AF87" s="1074">
        <f t="shared" si="37"/>
        <v>0</v>
      </c>
      <c r="AG87" s="1005">
        <f t="shared" si="37"/>
        <v>0</v>
      </c>
      <c r="AH87" s="1005">
        <f t="shared" si="37"/>
        <v>0</v>
      </c>
      <c r="AI87" s="1005">
        <f t="shared" si="37"/>
        <v>0</v>
      </c>
      <c r="AJ87" s="1005">
        <f t="shared" si="37"/>
        <v>0</v>
      </c>
      <c r="AK87" s="1005">
        <f t="shared" si="37"/>
        <v>0</v>
      </c>
      <c r="AL87" s="1005">
        <f t="shared" si="37"/>
        <v>0</v>
      </c>
      <c r="AM87" s="1005">
        <f t="shared" si="37"/>
        <v>0</v>
      </c>
      <c r="AN87" s="1005">
        <f t="shared" si="37"/>
        <v>0</v>
      </c>
      <c r="AO87" s="1005">
        <f t="shared" si="37"/>
        <v>0</v>
      </c>
      <c r="AP87" s="1005">
        <f t="shared" si="37"/>
        <v>0</v>
      </c>
      <c r="AQ87" s="1005">
        <f t="shared" si="37"/>
        <v>0</v>
      </c>
      <c r="AR87" s="1075">
        <f t="shared" si="38"/>
        <v>0</v>
      </c>
      <c r="AS87" s="232" t="str">
        <f>Y87&amp;"propia"</f>
        <v>propia</v>
      </c>
    </row>
    <row r="88" spans="1:47" ht="15.05" thickBot="1" x14ac:dyDescent="0.35">
      <c r="A88" s="205"/>
      <c r="B88" s="5044"/>
      <c r="C88" s="985">
        <f>IF(B88=0,0,U$83)</f>
        <v>0</v>
      </c>
      <c r="D88" s="985">
        <f>IF(B88=0,0,VLOOKUP(B88,Precios!$B$216:$D$307,3,FALSE))</f>
        <v>0</v>
      </c>
      <c r="E88" s="5045"/>
      <c r="F88" s="300"/>
      <c r="G88" s="300"/>
      <c r="H88" s="309"/>
      <c r="I88" s="1074">
        <f t="shared" si="35"/>
        <v>0</v>
      </c>
      <c r="J88" s="1005">
        <f t="shared" si="35"/>
        <v>0</v>
      </c>
      <c r="K88" s="1005">
        <f t="shared" si="35"/>
        <v>0</v>
      </c>
      <c r="L88" s="1005">
        <f t="shared" si="35"/>
        <v>0</v>
      </c>
      <c r="M88" s="1005">
        <f t="shared" si="35"/>
        <v>0</v>
      </c>
      <c r="N88" s="1005">
        <f t="shared" si="35"/>
        <v>0</v>
      </c>
      <c r="O88" s="1005">
        <f t="shared" si="35"/>
        <v>0</v>
      </c>
      <c r="P88" s="1005">
        <f t="shared" si="35"/>
        <v>0</v>
      </c>
      <c r="Q88" s="1005">
        <f t="shared" si="35"/>
        <v>0</v>
      </c>
      <c r="R88" s="1005">
        <f t="shared" si="35"/>
        <v>0</v>
      </c>
      <c r="S88" s="1005">
        <f t="shared" si="35"/>
        <v>0</v>
      </c>
      <c r="T88" s="1005">
        <f t="shared" si="35"/>
        <v>0</v>
      </c>
      <c r="U88" s="1075">
        <f t="shared" si="36"/>
        <v>0</v>
      </c>
      <c r="V88" s="232" t="str">
        <f>B88&amp;"propia"</f>
        <v>propia</v>
      </c>
      <c r="X88" s="301"/>
      <c r="Y88" s="5044"/>
      <c r="Z88" s="985">
        <f>IF(Y88=0,0,AR$83)</f>
        <v>0</v>
      </c>
      <c r="AA88" s="985">
        <f>IF(Y88=0,0,VLOOKUP(Y88,Precios!$B$216:$D$307,3,FALSE))</f>
        <v>0</v>
      </c>
      <c r="AB88" s="1070"/>
      <c r="AC88" s="300"/>
      <c r="AD88" s="300"/>
      <c r="AE88" s="309"/>
      <c r="AF88" s="1074">
        <f t="shared" si="37"/>
        <v>0</v>
      </c>
      <c r="AG88" s="1005">
        <f t="shared" si="37"/>
        <v>0</v>
      </c>
      <c r="AH88" s="1005">
        <f t="shared" si="37"/>
        <v>0</v>
      </c>
      <c r="AI88" s="1005">
        <f t="shared" si="37"/>
        <v>0</v>
      </c>
      <c r="AJ88" s="1005">
        <f t="shared" si="37"/>
        <v>0</v>
      </c>
      <c r="AK88" s="1005">
        <f t="shared" si="37"/>
        <v>0</v>
      </c>
      <c r="AL88" s="1005">
        <f t="shared" si="37"/>
        <v>0</v>
      </c>
      <c r="AM88" s="1005">
        <f t="shared" si="37"/>
        <v>0</v>
      </c>
      <c r="AN88" s="1005">
        <f t="shared" si="37"/>
        <v>0</v>
      </c>
      <c r="AO88" s="1005">
        <f t="shared" si="37"/>
        <v>0</v>
      </c>
      <c r="AP88" s="1005">
        <f t="shared" si="37"/>
        <v>0</v>
      </c>
      <c r="AQ88" s="1005">
        <f t="shared" si="37"/>
        <v>0</v>
      </c>
      <c r="AR88" s="1075">
        <f t="shared" si="38"/>
        <v>0</v>
      </c>
      <c r="AS88" s="232" t="str">
        <f>Y88&amp;"propia"</f>
        <v>propia</v>
      </c>
    </row>
    <row r="89" spans="1:47" ht="15.05" thickBot="1" x14ac:dyDescent="0.35">
      <c r="A89" s="205"/>
      <c r="B89" s="5044"/>
      <c r="C89" s="985">
        <f>IF(B89=0,0,U$83)</f>
        <v>0</v>
      </c>
      <c r="D89" s="985">
        <f>IF(B89=0,0,VLOOKUP(B89,Precios!$B$216:$D$307,3,FALSE))</f>
        <v>0</v>
      </c>
      <c r="E89" s="5045"/>
      <c r="F89" s="300"/>
      <c r="G89" s="300"/>
      <c r="H89" s="309"/>
      <c r="I89" s="1074">
        <f t="shared" si="35"/>
        <v>0</v>
      </c>
      <c r="J89" s="1005">
        <f t="shared" si="35"/>
        <v>0</v>
      </c>
      <c r="K89" s="1005">
        <f t="shared" si="35"/>
        <v>0</v>
      </c>
      <c r="L89" s="1005">
        <f t="shared" si="35"/>
        <v>0</v>
      </c>
      <c r="M89" s="1005">
        <f t="shared" si="35"/>
        <v>0</v>
      </c>
      <c r="N89" s="1005">
        <f t="shared" si="35"/>
        <v>0</v>
      </c>
      <c r="O89" s="1005">
        <f t="shared" si="35"/>
        <v>0</v>
      </c>
      <c r="P89" s="1005">
        <f t="shared" si="35"/>
        <v>0</v>
      </c>
      <c r="Q89" s="1005">
        <f t="shared" si="35"/>
        <v>0</v>
      </c>
      <c r="R89" s="1005">
        <f t="shared" si="35"/>
        <v>0</v>
      </c>
      <c r="S89" s="1005">
        <f t="shared" si="35"/>
        <v>0</v>
      </c>
      <c r="T89" s="1005">
        <f t="shared" si="35"/>
        <v>0</v>
      </c>
      <c r="U89" s="1075">
        <f t="shared" si="36"/>
        <v>0</v>
      </c>
      <c r="V89" s="232" t="str">
        <f>B89&amp;"propia"</f>
        <v>propia</v>
      </c>
      <c r="X89" s="301"/>
      <c r="Y89" s="5044"/>
      <c r="Z89" s="985">
        <f>IF(Y89=0,0,AR$83)</f>
        <v>0</v>
      </c>
      <c r="AA89" s="985">
        <f>IF(Y89=0,0,VLOOKUP(Y89,Precios!$B$216:$D$307,3,FALSE))</f>
        <v>0</v>
      </c>
      <c r="AB89" s="1070"/>
      <c r="AC89" s="300"/>
      <c r="AD89" s="300"/>
      <c r="AE89" s="309"/>
      <c r="AF89" s="1074">
        <f t="shared" si="37"/>
        <v>0</v>
      </c>
      <c r="AG89" s="1005">
        <f t="shared" si="37"/>
        <v>0</v>
      </c>
      <c r="AH89" s="1005">
        <f t="shared" si="37"/>
        <v>0</v>
      </c>
      <c r="AI89" s="1005">
        <f t="shared" si="37"/>
        <v>0</v>
      </c>
      <c r="AJ89" s="1005">
        <f t="shared" si="37"/>
        <v>0</v>
      </c>
      <c r="AK89" s="1005">
        <f t="shared" si="37"/>
        <v>0</v>
      </c>
      <c r="AL89" s="1005">
        <f t="shared" si="37"/>
        <v>0</v>
      </c>
      <c r="AM89" s="1005">
        <f t="shared" si="37"/>
        <v>0</v>
      </c>
      <c r="AN89" s="1005">
        <f t="shared" si="37"/>
        <v>0</v>
      </c>
      <c r="AO89" s="1005">
        <f t="shared" si="37"/>
        <v>0</v>
      </c>
      <c r="AP89" s="1005">
        <f t="shared" si="37"/>
        <v>0</v>
      </c>
      <c r="AQ89" s="1005">
        <f t="shared" si="37"/>
        <v>0</v>
      </c>
      <c r="AR89" s="1075">
        <f t="shared" si="38"/>
        <v>0</v>
      </c>
      <c r="AS89" s="232" t="str">
        <f>Y89&amp;"propia"</f>
        <v>propia</v>
      </c>
    </row>
    <row r="90" spans="1:47" x14ac:dyDescent="0.3">
      <c r="A90" s="205"/>
      <c r="B90" s="5046"/>
      <c r="C90" s="1057">
        <f>IF(B90=0,0,U$83)</f>
        <v>0</v>
      </c>
      <c r="D90" s="1057">
        <f>IF(B90=0,0,VLOOKUP(B90,Precios!$B$216:$D$307,3,FALSE))</f>
        <v>0</v>
      </c>
      <c r="E90" s="5047"/>
      <c r="F90" s="300"/>
      <c r="G90" s="300"/>
      <c r="H90" s="309"/>
      <c r="I90" s="1076">
        <f t="shared" si="35"/>
        <v>0</v>
      </c>
      <c r="J90" s="1077">
        <f t="shared" si="35"/>
        <v>0</v>
      </c>
      <c r="K90" s="1077">
        <f t="shared" si="35"/>
        <v>0</v>
      </c>
      <c r="L90" s="1077">
        <f t="shared" si="35"/>
        <v>0</v>
      </c>
      <c r="M90" s="1077">
        <f t="shared" si="35"/>
        <v>0</v>
      </c>
      <c r="N90" s="1077">
        <f t="shared" si="35"/>
        <v>0</v>
      </c>
      <c r="O90" s="1077">
        <f t="shared" si="35"/>
        <v>0</v>
      </c>
      <c r="P90" s="1077">
        <f t="shared" si="35"/>
        <v>0</v>
      </c>
      <c r="Q90" s="1077">
        <f t="shared" si="35"/>
        <v>0</v>
      </c>
      <c r="R90" s="1077">
        <f t="shared" si="35"/>
        <v>0</v>
      </c>
      <c r="S90" s="1077">
        <f t="shared" si="35"/>
        <v>0</v>
      </c>
      <c r="T90" s="1077">
        <f t="shared" si="35"/>
        <v>0</v>
      </c>
      <c r="U90" s="1078">
        <f t="shared" si="36"/>
        <v>0</v>
      </c>
      <c r="V90" s="232" t="str">
        <f>B90&amp;"propia"</f>
        <v>propia</v>
      </c>
      <c r="X90" s="301"/>
      <c r="Y90" s="5046"/>
      <c r="Z90" s="1057">
        <f>IF(Y90=0,0,AR$83)</f>
        <v>0</v>
      </c>
      <c r="AA90" s="1057">
        <f>IF(Y90=0,0,VLOOKUP(Y90,Precios!$B$216:$D$307,3,FALSE))</f>
        <v>0</v>
      </c>
      <c r="AB90" s="1071"/>
      <c r="AC90" s="300"/>
      <c r="AD90" s="300"/>
      <c r="AE90" s="309"/>
      <c r="AF90" s="1076">
        <f t="shared" si="37"/>
        <v>0</v>
      </c>
      <c r="AG90" s="1077">
        <f t="shared" si="37"/>
        <v>0</v>
      </c>
      <c r="AH90" s="1077">
        <f t="shared" si="37"/>
        <v>0</v>
      </c>
      <c r="AI90" s="1077">
        <f t="shared" si="37"/>
        <v>0</v>
      </c>
      <c r="AJ90" s="1077">
        <f t="shared" si="37"/>
        <v>0</v>
      </c>
      <c r="AK90" s="1077">
        <f t="shared" si="37"/>
        <v>0</v>
      </c>
      <c r="AL90" s="1077">
        <f t="shared" si="37"/>
        <v>0</v>
      </c>
      <c r="AM90" s="1077">
        <f t="shared" si="37"/>
        <v>0</v>
      </c>
      <c r="AN90" s="1077">
        <f t="shared" si="37"/>
        <v>0</v>
      </c>
      <c r="AO90" s="1077">
        <f t="shared" si="37"/>
        <v>0</v>
      </c>
      <c r="AP90" s="1077">
        <f t="shared" si="37"/>
        <v>0</v>
      </c>
      <c r="AQ90" s="1077">
        <f t="shared" si="37"/>
        <v>0</v>
      </c>
      <c r="AR90" s="1078">
        <f t="shared" si="38"/>
        <v>0</v>
      </c>
      <c r="AS90" s="232" t="str">
        <f>Y90&amp;"propia"</f>
        <v>propia</v>
      </c>
    </row>
    <row r="91" spans="1:47" x14ac:dyDescent="0.3">
      <c r="A91" s="205"/>
      <c r="B91" s="645" t="s">
        <v>1083</v>
      </c>
      <c r="C91" s="305"/>
      <c r="D91" s="305"/>
      <c r="E91" s="305"/>
      <c r="F91" s="305"/>
      <c r="G91" s="305"/>
      <c r="H91" s="306"/>
      <c r="I91" s="904">
        <f>SUM(I86:I90)</f>
        <v>0</v>
      </c>
      <c r="J91" s="904">
        <f t="shared" ref="J91:T91" si="39">SUM(J86:J90)</f>
        <v>0</v>
      </c>
      <c r="K91" s="904">
        <f t="shared" si="39"/>
        <v>0</v>
      </c>
      <c r="L91" s="904">
        <f t="shared" si="39"/>
        <v>0</v>
      </c>
      <c r="M91" s="904">
        <f t="shared" si="39"/>
        <v>0</v>
      </c>
      <c r="N91" s="904">
        <f t="shared" si="39"/>
        <v>0</v>
      </c>
      <c r="O91" s="904">
        <f t="shared" si="39"/>
        <v>0</v>
      </c>
      <c r="P91" s="904">
        <f t="shared" si="39"/>
        <v>0</v>
      </c>
      <c r="Q91" s="904">
        <f t="shared" si="39"/>
        <v>0</v>
      </c>
      <c r="R91" s="904">
        <f t="shared" si="39"/>
        <v>0</v>
      </c>
      <c r="S91" s="904">
        <f t="shared" si="39"/>
        <v>0</v>
      </c>
      <c r="T91" s="904">
        <f t="shared" si="39"/>
        <v>0</v>
      </c>
      <c r="U91" s="905">
        <f>SUM(I91:T91)</f>
        <v>0</v>
      </c>
      <c r="X91" s="301"/>
      <c r="Y91" s="645" t="s">
        <v>1083</v>
      </c>
      <c r="Z91" s="305"/>
      <c r="AA91" s="305"/>
      <c r="AB91" s="305"/>
      <c r="AC91" s="305"/>
      <c r="AD91" s="305"/>
      <c r="AE91" s="306"/>
      <c r="AF91" s="904">
        <f t="shared" ref="AF91:AQ91" si="40">SUM(AF86:AF90)</f>
        <v>0</v>
      </c>
      <c r="AG91" s="904">
        <f t="shared" si="40"/>
        <v>0</v>
      </c>
      <c r="AH91" s="904">
        <f t="shared" si="40"/>
        <v>0</v>
      </c>
      <c r="AI91" s="904">
        <f t="shared" si="40"/>
        <v>0</v>
      </c>
      <c r="AJ91" s="904">
        <f t="shared" si="40"/>
        <v>0</v>
      </c>
      <c r="AK91" s="904">
        <f t="shared" si="40"/>
        <v>0</v>
      </c>
      <c r="AL91" s="904">
        <f t="shared" si="40"/>
        <v>0</v>
      </c>
      <c r="AM91" s="904">
        <f t="shared" si="40"/>
        <v>0</v>
      </c>
      <c r="AN91" s="904">
        <f t="shared" si="40"/>
        <v>0</v>
      </c>
      <c r="AO91" s="904">
        <f t="shared" si="40"/>
        <v>0</v>
      </c>
      <c r="AP91" s="904">
        <f t="shared" si="40"/>
        <v>0</v>
      </c>
      <c r="AQ91" s="904">
        <f t="shared" si="40"/>
        <v>0</v>
      </c>
      <c r="AR91" s="905">
        <f>SUM(AF91:AQ91)</f>
        <v>0</v>
      </c>
    </row>
    <row r="92" spans="1:47" x14ac:dyDescent="0.2">
      <c r="A92" s="205"/>
      <c r="B92" s="197" t="s">
        <v>870</v>
      </c>
      <c r="C92" s="307"/>
      <c r="D92" s="307"/>
      <c r="E92" s="308"/>
      <c r="F92" s="308"/>
      <c r="G92" s="308"/>
      <c r="H92" s="307"/>
      <c r="I92" s="307"/>
      <c r="J92" s="307"/>
      <c r="K92" s="307"/>
      <c r="L92" s="307"/>
      <c r="M92" s="307"/>
      <c r="N92" s="307"/>
      <c r="O92" s="307"/>
      <c r="P92" s="307"/>
      <c r="Q92" s="307"/>
      <c r="R92" s="307"/>
      <c r="S92" s="307"/>
      <c r="T92" s="307"/>
      <c r="U92" s="646"/>
      <c r="X92" s="301"/>
      <c r="Y92" s="197" t="s">
        <v>870</v>
      </c>
      <c r="Z92" s="307"/>
      <c r="AA92" s="307"/>
      <c r="AB92" s="308"/>
      <c r="AC92" s="308"/>
      <c r="AD92" s="308"/>
      <c r="AE92" s="307"/>
      <c r="AF92" s="307"/>
      <c r="AG92" s="307"/>
      <c r="AH92" s="307"/>
      <c r="AI92" s="307"/>
      <c r="AJ92" s="307"/>
      <c r="AK92" s="307"/>
      <c r="AL92" s="307"/>
      <c r="AM92" s="307"/>
      <c r="AN92" s="307"/>
      <c r="AO92" s="307"/>
      <c r="AP92" s="307"/>
      <c r="AQ92" s="307"/>
      <c r="AR92" s="646"/>
    </row>
    <row r="93" spans="1:47" ht="15.05" thickBot="1" x14ac:dyDescent="0.35">
      <c r="A93" s="205"/>
      <c r="B93" s="5042"/>
      <c r="C93" s="1056">
        <f>IF(B93=0,0,U$83)</f>
        <v>0</v>
      </c>
      <c r="D93" s="1056">
        <f>IF(B93=0,0,VLOOKUP(B93,Precios!$B$216:$D$307,3,FALSE))</f>
        <v>0</v>
      </c>
      <c r="E93" s="5048"/>
      <c r="F93" s="1249">
        <f>IF(B93=0,0,VLOOKUP(B93,Precios!$B$216:$D$307,2,FALSE))</f>
        <v>0</v>
      </c>
      <c r="G93" s="1066">
        <f>E93*F93</f>
        <v>0</v>
      </c>
      <c r="H93" s="309"/>
      <c r="I93" s="1072">
        <f t="shared" si="35"/>
        <v>0</v>
      </c>
      <c r="J93" s="1033">
        <f t="shared" si="35"/>
        <v>0</v>
      </c>
      <c r="K93" s="1033">
        <f t="shared" si="35"/>
        <v>0</v>
      </c>
      <c r="L93" s="1033">
        <f t="shared" si="35"/>
        <v>0</v>
      </c>
      <c r="M93" s="1033">
        <f t="shared" si="35"/>
        <v>0</v>
      </c>
      <c r="N93" s="1033">
        <f t="shared" si="35"/>
        <v>0</v>
      </c>
      <c r="O93" s="1033">
        <f t="shared" si="35"/>
        <v>0</v>
      </c>
      <c r="P93" s="1033">
        <f t="shared" si="35"/>
        <v>0</v>
      </c>
      <c r="Q93" s="1033">
        <f t="shared" si="35"/>
        <v>0</v>
      </c>
      <c r="R93" s="1033">
        <f t="shared" si="35"/>
        <v>0</v>
      </c>
      <c r="S93" s="1033">
        <f t="shared" si="35"/>
        <v>0</v>
      </c>
      <c r="T93" s="1033">
        <f t="shared" si="35"/>
        <v>0</v>
      </c>
      <c r="U93" s="1073">
        <f t="shared" si="36"/>
        <v>0</v>
      </c>
      <c r="V93" s="232" t="str">
        <f>B93&amp;"contratada"</f>
        <v>contratada</v>
      </c>
      <c r="X93" s="301"/>
      <c r="Y93" s="5042"/>
      <c r="Z93" s="1056">
        <f>IF(Y93=0,0,AR$83)</f>
        <v>0</v>
      </c>
      <c r="AA93" s="1056">
        <f>IF(Y93=0,0,VLOOKUP(Y93,Precios!$B$216:$D$307,3,FALSE))</f>
        <v>0</v>
      </c>
      <c r="AB93" s="1058"/>
      <c r="AC93" s="1249">
        <f>IF(Y93=0,0,VLOOKUP(Y93,Precios!$B$216:$D$307,2,FALSE))</f>
        <v>0</v>
      </c>
      <c r="AD93" s="1066">
        <f>AB93*AC93</f>
        <v>0</v>
      </c>
      <c r="AE93" s="309"/>
      <c r="AF93" s="1072">
        <f t="shared" ref="AF93:AQ97" si="41">IF($Z93&gt;0,AF$83*$AB93,0)</f>
        <v>0</v>
      </c>
      <c r="AG93" s="1033">
        <f t="shared" si="41"/>
        <v>0</v>
      </c>
      <c r="AH93" s="1033">
        <f t="shared" si="41"/>
        <v>0</v>
      </c>
      <c r="AI93" s="1033">
        <f t="shared" si="41"/>
        <v>0</v>
      </c>
      <c r="AJ93" s="1033">
        <f t="shared" si="41"/>
        <v>0</v>
      </c>
      <c r="AK93" s="1033">
        <f t="shared" si="41"/>
        <v>0</v>
      </c>
      <c r="AL93" s="1033">
        <f t="shared" si="41"/>
        <v>0</v>
      </c>
      <c r="AM93" s="1033">
        <f t="shared" si="41"/>
        <v>0</v>
      </c>
      <c r="AN93" s="1033">
        <f t="shared" si="41"/>
        <v>0</v>
      </c>
      <c r="AO93" s="1033">
        <f t="shared" si="41"/>
        <v>0</v>
      </c>
      <c r="AP93" s="1033">
        <f t="shared" si="41"/>
        <v>0</v>
      </c>
      <c r="AQ93" s="1033">
        <f t="shared" si="41"/>
        <v>0</v>
      </c>
      <c r="AR93" s="1073">
        <f t="shared" si="38"/>
        <v>0</v>
      </c>
      <c r="AS93" s="232" t="str">
        <f>Y93&amp;"contratada"</f>
        <v>contratada</v>
      </c>
    </row>
    <row r="94" spans="1:47" ht="15.05" thickBot="1" x14ac:dyDescent="0.35">
      <c r="A94" s="205"/>
      <c r="B94" s="5044"/>
      <c r="C94" s="985">
        <f>IF(B94=0,0,U$83)</f>
        <v>0</v>
      </c>
      <c r="D94" s="985">
        <f>IF(B94=0,0,VLOOKUP(B94,Precios!$B$216:$D$307,3,FALSE))</f>
        <v>0</v>
      </c>
      <c r="E94" s="5049"/>
      <c r="F94" s="2253">
        <f>IF(B94=0,0,VLOOKUP(B94,Precios!$B$216:$D$307,2,FALSE))</f>
        <v>0</v>
      </c>
      <c r="G94" s="1067">
        <f>E94*F94</f>
        <v>0</v>
      </c>
      <c r="H94" s="309"/>
      <c r="I94" s="1074">
        <f t="shared" si="35"/>
        <v>0</v>
      </c>
      <c r="J94" s="1005">
        <f t="shared" si="35"/>
        <v>0</v>
      </c>
      <c r="K94" s="1005">
        <f t="shared" si="35"/>
        <v>0</v>
      </c>
      <c r="L94" s="1005">
        <f t="shared" si="35"/>
        <v>0</v>
      </c>
      <c r="M94" s="1005">
        <f t="shared" si="35"/>
        <v>0</v>
      </c>
      <c r="N94" s="1005">
        <f t="shared" si="35"/>
        <v>0</v>
      </c>
      <c r="O94" s="1005">
        <f t="shared" si="35"/>
        <v>0</v>
      </c>
      <c r="P94" s="1005">
        <f t="shared" si="35"/>
        <v>0</v>
      </c>
      <c r="Q94" s="1005">
        <f t="shared" si="35"/>
        <v>0</v>
      </c>
      <c r="R94" s="1005">
        <f t="shared" si="35"/>
        <v>0</v>
      </c>
      <c r="S94" s="1005">
        <f t="shared" si="35"/>
        <v>0</v>
      </c>
      <c r="T94" s="1005">
        <f t="shared" si="35"/>
        <v>0</v>
      </c>
      <c r="U94" s="1075">
        <f t="shared" si="36"/>
        <v>0</v>
      </c>
      <c r="V94" s="232" t="str">
        <f>B94&amp;"contratada"</f>
        <v>contratada</v>
      </c>
      <c r="X94" s="301"/>
      <c r="Y94" s="5044"/>
      <c r="Z94" s="985">
        <f>IF(Y94=0,0,AR$83)</f>
        <v>0</v>
      </c>
      <c r="AA94" s="985">
        <f>IF(Y94=0,0,VLOOKUP(Y94,Precios!$B$216:$D$307,3,FALSE))</f>
        <v>0</v>
      </c>
      <c r="AB94" s="986"/>
      <c r="AC94" s="2253">
        <f>IF(Y94=0,0,VLOOKUP(Y94,Precios!$B$216:$D$307,2,FALSE))</f>
        <v>0</v>
      </c>
      <c r="AD94" s="1067">
        <f>AB94*AC94</f>
        <v>0</v>
      </c>
      <c r="AE94" s="309"/>
      <c r="AF94" s="1074">
        <f t="shared" si="41"/>
        <v>0</v>
      </c>
      <c r="AG94" s="1005">
        <f t="shared" si="41"/>
        <v>0</v>
      </c>
      <c r="AH94" s="1005">
        <f t="shared" si="41"/>
        <v>0</v>
      </c>
      <c r="AI94" s="1005">
        <f t="shared" si="41"/>
        <v>0</v>
      </c>
      <c r="AJ94" s="1005">
        <f t="shared" si="41"/>
        <v>0</v>
      </c>
      <c r="AK94" s="1005">
        <f t="shared" si="41"/>
        <v>0</v>
      </c>
      <c r="AL94" s="1005">
        <f t="shared" si="41"/>
        <v>0</v>
      </c>
      <c r="AM94" s="1005">
        <f t="shared" si="41"/>
        <v>0</v>
      </c>
      <c r="AN94" s="1005">
        <f t="shared" si="41"/>
        <v>0</v>
      </c>
      <c r="AO94" s="1005">
        <f t="shared" si="41"/>
        <v>0</v>
      </c>
      <c r="AP94" s="1005">
        <f t="shared" si="41"/>
        <v>0</v>
      </c>
      <c r="AQ94" s="1005">
        <f t="shared" si="41"/>
        <v>0</v>
      </c>
      <c r="AR94" s="1075">
        <f t="shared" si="38"/>
        <v>0</v>
      </c>
      <c r="AS94" s="232" t="str">
        <f>Y94&amp;"contratada"</f>
        <v>contratada</v>
      </c>
    </row>
    <row r="95" spans="1:47" ht="15.05" thickBot="1" x14ac:dyDescent="0.35">
      <c r="A95" s="205"/>
      <c r="B95" s="5044"/>
      <c r="C95" s="985">
        <f>IF(B95=0,0,U$83)</f>
        <v>0</v>
      </c>
      <c r="D95" s="985">
        <f>IF(B95=0,0,VLOOKUP(B95,Precios!$B$216:$D$307,3,FALSE))</f>
        <v>0</v>
      </c>
      <c r="E95" s="5049"/>
      <c r="F95" s="2253">
        <f>IF(B95=0,0,VLOOKUP(B95,Precios!$B$216:$D$307,2,FALSE))</f>
        <v>0</v>
      </c>
      <c r="G95" s="1067">
        <f>E95*F95</f>
        <v>0</v>
      </c>
      <c r="H95" s="309"/>
      <c r="I95" s="1074">
        <f t="shared" si="35"/>
        <v>0</v>
      </c>
      <c r="J95" s="1005">
        <f t="shared" si="35"/>
        <v>0</v>
      </c>
      <c r="K95" s="1005">
        <f t="shared" si="35"/>
        <v>0</v>
      </c>
      <c r="L95" s="1005">
        <f t="shared" si="35"/>
        <v>0</v>
      </c>
      <c r="M95" s="1005">
        <f t="shared" si="35"/>
        <v>0</v>
      </c>
      <c r="N95" s="1005">
        <f t="shared" si="35"/>
        <v>0</v>
      </c>
      <c r="O95" s="1005">
        <f t="shared" si="35"/>
        <v>0</v>
      </c>
      <c r="P95" s="1005">
        <f t="shared" si="35"/>
        <v>0</v>
      </c>
      <c r="Q95" s="1005">
        <f t="shared" si="35"/>
        <v>0</v>
      </c>
      <c r="R95" s="1005">
        <f t="shared" si="35"/>
        <v>0</v>
      </c>
      <c r="S95" s="1005">
        <f t="shared" si="35"/>
        <v>0</v>
      </c>
      <c r="T95" s="1005">
        <f t="shared" si="35"/>
        <v>0</v>
      </c>
      <c r="U95" s="1075">
        <f t="shared" si="36"/>
        <v>0</v>
      </c>
      <c r="V95" s="232" t="str">
        <f>B95&amp;"contratada"</f>
        <v>contratada</v>
      </c>
      <c r="X95" s="301"/>
      <c r="Y95" s="5044"/>
      <c r="Z95" s="985">
        <f>IF(Y95=0,0,AR$83)</f>
        <v>0</v>
      </c>
      <c r="AA95" s="985">
        <f>IF(Y95=0,0,VLOOKUP(Y95,Precios!$B$216:$D$307,3,FALSE))</f>
        <v>0</v>
      </c>
      <c r="AB95" s="986"/>
      <c r="AC95" s="2253">
        <f>IF(Y95=0,0,VLOOKUP(Y95,Precios!$B$216:$D$307,2,FALSE))</f>
        <v>0</v>
      </c>
      <c r="AD95" s="1067">
        <f>AB95*AC95</f>
        <v>0</v>
      </c>
      <c r="AE95" s="309"/>
      <c r="AF95" s="1074">
        <f t="shared" si="41"/>
        <v>0</v>
      </c>
      <c r="AG95" s="1005">
        <f t="shared" si="41"/>
        <v>0</v>
      </c>
      <c r="AH95" s="1005">
        <f t="shared" si="41"/>
        <v>0</v>
      </c>
      <c r="AI95" s="1005">
        <f t="shared" si="41"/>
        <v>0</v>
      </c>
      <c r="AJ95" s="1005">
        <f t="shared" si="41"/>
        <v>0</v>
      </c>
      <c r="AK95" s="1005">
        <f t="shared" si="41"/>
        <v>0</v>
      </c>
      <c r="AL95" s="1005">
        <f t="shared" si="41"/>
        <v>0</v>
      </c>
      <c r="AM95" s="1005">
        <f t="shared" si="41"/>
        <v>0</v>
      </c>
      <c r="AN95" s="1005">
        <f t="shared" si="41"/>
        <v>0</v>
      </c>
      <c r="AO95" s="1005">
        <f t="shared" si="41"/>
        <v>0</v>
      </c>
      <c r="AP95" s="1005">
        <f t="shared" si="41"/>
        <v>0</v>
      </c>
      <c r="AQ95" s="1005">
        <f t="shared" si="41"/>
        <v>0</v>
      </c>
      <c r="AR95" s="1075">
        <f t="shared" si="38"/>
        <v>0</v>
      </c>
      <c r="AS95" s="232" t="str">
        <f>Y95&amp;"contratada"</f>
        <v>contratada</v>
      </c>
    </row>
    <row r="96" spans="1:47" ht="15.05" thickBot="1" x14ac:dyDescent="0.35">
      <c r="A96" s="205"/>
      <c r="B96" s="5044"/>
      <c r="C96" s="985">
        <f>IF(B96=0,0,U$83)</f>
        <v>0</v>
      </c>
      <c r="D96" s="985">
        <f>IF(B96=0,0,VLOOKUP(B96,Precios!$B$216:$D$307,3,FALSE))</f>
        <v>0</v>
      </c>
      <c r="E96" s="5049"/>
      <c r="F96" s="2253">
        <f>IF(B96=0,0,VLOOKUP(B96,Precios!$B$216:$D$307,2,FALSE))</f>
        <v>0</v>
      </c>
      <c r="G96" s="1067">
        <f>E96*F96</f>
        <v>0</v>
      </c>
      <c r="H96" s="309"/>
      <c r="I96" s="1074">
        <f t="shared" si="35"/>
        <v>0</v>
      </c>
      <c r="J96" s="1005">
        <f t="shared" si="35"/>
        <v>0</v>
      </c>
      <c r="K96" s="1005">
        <f t="shared" si="35"/>
        <v>0</v>
      </c>
      <c r="L96" s="1005">
        <f t="shared" si="35"/>
        <v>0</v>
      </c>
      <c r="M96" s="1005">
        <f t="shared" si="35"/>
        <v>0</v>
      </c>
      <c r="N96" s="1005">
        <f t="shared" si="35"/>
        <v>0</v>
      </c>
      <c r="O96" s="1005">
        <f t="shared" si="35"/>
        <v>0</v>
      </c>
      <c r="P96" s="1005">
        <f t="shared" si="35"/>
        <v>0</v>
      </c>
      <c r="Q96" s="1005">
        <f t="shared" si="35"/>
        <v>0</v>
      </c>
      <c r="R96" s="1005">
        <f t="shared" si="35"/>
        <v>0</v>
      </c>
      <c r="S96" s="1005">
        <f t="shared" si="35"/>
        <v>0</v>
      </c>
      <c r="T96" s="1005">
        <f t="shared" si="35"/>
        <v>0</v>
      </c>
      <c r="U96" s="1075">
        <f t="shared" si="36"/>
        <v>0</v>
      </c>
      <c r="V96" s="232" t="str">
        <f>B96&amp;"contratada"</f>
        <v>contratada</v>
      </c>
      <c r="X96" s="301"/>
      <c r="Y96" s="5044"/>
      <c r="Z96" s="985">
        <f>IF(Y96=0,0,AR$83)</f>
        <v>0</v>
      </c>
      <c r="AA96" s="985">
        <f>IF(Y96=0,0,VLOOKUP(Y96,Precios!$B$216:$D$307,3,FALSE))</f>
        <v>0</v>
      </c>
      <c r="AB96" s="986"/>
      <c r="AC96" s="2253">
        <f>IF(Y96=0,0,VLOOKUP(Y96,Precios!$B$216:$D$307,2,FALSE))</f>
        <v>0</v>
      </c>
      <c r="AD96" s="1067">
        <f>AB96*AC96</f>
        <v>0</v>
      </c>
      <c r="AE96" s="309"/>
      <c r="AF96" s="1074">
        <f t="shared" si="41"/>
        <v>0</v>
      </c>
      <c r="AG96" s="1005">
        <f t="shared" si="41"/>
        <v>0</v>
      </c>
      <c r="AH96" s="1005">
        <f t="shared" si="41"/>
        <v>0</v>
      </c>
      <c r="AI96" s="1005">
        <f t="shared" si="41"/>
        <v>0</v>
      </c>
      <c r="AJ96" s="1005">
        <f t="shared" si="41"/>
        <v>0</v>
      </c>
      <c r="AK96" s="1005">
        <f t="shared" si="41"/>
        <v>0</v>
      </c>
      <c r="AL96" s="1005">
        <f t="shared" si="41"/>
        <v>0</v>
      </c>
      <c r="AM96" s="1005">
        <f t="shared" si="41"/>
        <v>0</v>
      </c>
      <c r="AN96" s="1005">
        <f t="shared" si="41"/>
        <v>0</v>
      </c>
      <c r="AO96" s="1005">
        <f t="shared" si="41"/>
        <v>0</v>
      </c>
      <c r="AP96" s="1005">
        <f t="shared" si="41"/>
        <v>0</v>
      </c>
      <c r="AQ96" s="1005">
        <f t="shared" si="41"/>
        <v>0</v>
      </c>
      <c r="AR96" s="1075">
        <f t="shared" si="38"/>
        <v>0</v>
      </c>
      <c r="AS96" s="232" t="str">
        <f>Y96&amp;"contratada"</f>
        <v>contratada</v>
      </c>
    </row>
    <row r="97" spans="1:46" x14ac:dyDescent="0.3">
      <c r="A97" s="205"/>
      <c r="B97" s="5046"/>
      <c r="C97" s="1057">
        <f>IF(B97=0,0,U$83)</f>
        <v>0</v>
      </c>
      <c r="D97" s="1057">
        <f>IF(B97=0,0,VLOOKUP(B97,Precios!$B$216:$D$307,3,FALSE))</f>
        <v>0</v>
      </c>
      <c r="E97" s="5050"/>
      <c r="F97" s="2254">
        <f>IF(B97=0,0,VLOOKUP(B97,Precios!$B$216:$D$307,2,FALSE))</f>
        <v>0</v>
      </c>
      <c r="G97" s="1068">
        <f>E97*F97</f>
        <v>0</v>
      </c>
      <c r="H97" s="309"/>
      <c r="I97" s="1076">
        <f t="shared" si="35"/>
        <v>0</v>
      </c>
      <c r="J97" s="1077">
        <f t="shared" si="35"/>
        <v>0</v>
      </c>
      <c r="K97" s="1077">
        <f t="shared" si="35"/>
        <v>0</v>
      </c>
      <c r="L97" s="1077">
        <f t="shared" si="35"/>
        <v>0</v>
      </c>
      <c r="M97" s="1077">
        <f t="shared" si="35"/>
        <v>0</v>
      </c>
      <c r="N97" s="1077">
        <f t="shared" si="35"/>
        <v>0</v>
      </c>
      <c r="O97" s="1077">
        <f t="shared" si="35"/>
        <v>0</v>
      </c>
      <c r="P97" s="1077">
        <f t="shared" si="35"/>
        <v>0</v>
      </c>
      <c r="Q97" s="1077">
        <f t="shared" si="35"/>
        <v>0</v>
      </c>
      <c r="R97" s="1077">
        <f t="shared" si="35"/>
        <v>0</v>
      </c>
      <c r="S97" s="1077">
        <f t="shared" si="35"/>
        <v>0</v>
      </c>
      <c r="T97" s="1077">
        <f t="shared" si="35"/>
        <v>0</v>
      </c>
      <c r="U97" s="1078">
        <f t="shared" si="36"/>
        <v>0</v>
      </c>
      <c r="V97" s="232" t="str">
        <f>B97&amp;"contratada"</f>
        <v>contratada</v>
      </c>
      <c r="X97" s="301"/>
      <c r="Y97" s="5046"/>
      <c r="Z97" s="1057">
        <f>IF(Y97=0,0,AR$83)</f>
        <v>0</v>
      </c>
      <c r="AA97" s="1057">
        <f>IF(Y97=0,0,VLOOKUP(Y97,Precios!$B$216:$D$307,3,FALSE))</f>
        <v>0</v>
      </c>
      <c r="AB97" s="1060"/>
      <c r="AC97" s="2254">
        <f>IF(Y97=0,0,VLOOKUP(Y97,Precios!$B$216:$D$307,2,FALSE))</f>
        <v>0</v>
      </c>
      <c r="AD97" s="1068">
        <f>AB97*AC97</f>
        <v>0</v>
      </c>
      <c r="AE97" s="309"/>
      <c r="AF97" s="1076">
        <f t="shared" si="41"/>
        <v>0</v>
      </c>
      <c r="AG97" s="1077">
        <f t="shared" si="41"/>
        <v>0</v>
      </c>
      <c r="AH97" s="1077">
        <f t="shared" si="41"/>
        <v>0</v>
      </c>
      <c r="AI97" s="1077">
        <f t="shared" si="41"/>
        <v>0</v>
      </c>
      <c r="AJ97" s="1077">
        <f t="shared" si="41"/>
        <v>0</v>
      </c>
      <c r="AK97" s="1077">
        <f t="shared" si="41"/>
        <v>0</v>
      </c>
      <c r="AL97" s="1077">
        <f t="shared" si="41"/>
        <v>0</v>
      </c>
      <c r="AM97" s="1077">
        <f t="shared" si="41"/>
        <v>0</v>
      </c>
      <c r="AN97" s="1077">
        <f t="shared" si="41"/>
        <v>0</v>
      </c>
      <c r="AO97" s="1077">
        <f t="shared" si="41"/>
        <v>0</v>
      </c>
      <c r="AP97" s="1077">
        <f t="shared" si="41"/>
        <v>0</v>
      </c>
      <c r="AQ97" s="1077">
        <f t="shared" si="41"/>
        <v>0</v>
      </c>
      <c r="AR97" s="1078">
        <f t="shared" si="38"/>
        <v>0</v>
      </c>
      <c r="AS97" s="232" t="str">
        <f>Y97&amp;"contratada"</f>
        <v>contratada</v>
      </c>
    </row>
    <row r="98" spans="1:46" x14ac:dyDescent="0.3">
      <c r="A98" s="205"/>
      <c r="B98" s="647" t="s">
        <v>1084</v>
      </c>
      <c r="C98" s="305"/>
      <c r="D98" s="305"/>
      <c r="E98" s="305"/>
      <c r="F98" s="650"/>
      <c r="G98" s="305"/>
      <c r="H98" s="310"/>
      <c r="I98" s="904">
        <f t="shared" ref="I98:T98" si="42">SUM(I93:I97)</f>
        <v>0</v>
      </c>
      <c r="J98" s="904">
        <f t="shared" si="42"/>
        <v>0</v>
      </c>
      <c r="K98" s="904">
        <f t="shared" si="42"/>
        <v>0</v>
      </c>
      <c r="L98" s="904">
        <f t="shared" si="42"/>
        <v>0</v>
      </c>
      <c r="M98" s="904">
        <f t="shared" si="42"/>
        <v>0</v>
      </c>
      <c r="N98" s="904">
        <f t="shared" si="42"/>
        <v>0</v>
      </c>
      <c r="O98" s="904">
        <f t="shared" si="42"/>
        <v>0</v>
      </c>
      <c r="P98" s="904">
        <f t="shared" si="42"/>
        <v>0</v>
      </c>
      <c r="Q98" s="904">
        <f t="shared" si="42"/>
        <v>0</v>
      </c>
      <c r="R98" s="904">
        <f t="shared" si="42"/>
        <v>0</v>
      </c>
      <c r="S98" s="904">
        <f t="shared" si="42"/>
        <v>0</v>
      </c>
      <c r="T98" s="904">
        <f t="shared" si="42"/>
        <v>0</v>
      </c>
      <c r="U98" s="905">
        <f>SUM(I98:T98)</f>
        <v>0</v>
      </c>
      <c r="W98" s="232" t="str">
        <f>B92&amp;B82</f>
        <v>Labores con maquinaria contratada0</v>
      </c>
      <c r="X98" s="301"/>
      <c r="Y98" s="647" t="s">
        <v>1084</v>
      </c>
      <c r="Z98" s="305"/>
      <c r="AA98" s="305"/>
      <c r="AB98" s="305"/>
      <c r="AC98" s="650"/>
      <c r="AD98" s="305"/>
      <c r="AE98" s="310"/>
      <c r="AF98" s="904">
        <f t="shared" ref="AF98:AQ98" si="43">SUM(AF93:AF97)</f>
        <v>0</v>
      </c>
      <c r="AG98" s="904">
        <f t="shared" si="43"/>
        <v>0</v>
      </c>
      <c r="AH98" s="904">
        <f t="shared" si="43"/>
        <v>0</v>
      </c>
      <c r="AI98" s="904">
        <f t="shared" si="43"/>
        <v>0</v>
      </c>
      <c r="AJ98" s="904">
        <f t="shared" si="43"/>
        <v>0</v>
      </c>
      <c r="AK98" s="904">
        <f t="shared" si="43"/>
        <v>0</v>
      </c>
      <c r="AL98" s="904">
        <f t="shared" si="43"/>
        <v>0</v>
      </c>
      <c r="AM98" s="904">
        <f t="shared" si="43"/>
        <v>0</v>
      </c>
      <c r="AN98" s="904">
        <f t="shared" si="43"/>
        <v>0</v>
      </c>
      <c r="AO98" s="904">
        <f t="shared" si="43"/>
        <v>0</v>
      </c>
      <c r="AP98" s="904">
        <f t="shared" si="43"/>
        <v>0</v>
      </c>
      <c r="AQ98" s="904">
        <f t="shared" si="43"/>
        <v>0</v>
      </c>
      <c r="AR98" s="905">
        <f>SUM(AF98:AQ98)</f>
        <v>0</v>
      </c>
      <c r="AT98" s="232" t="str">
        <f>Y92&amp;Y82</f>
        <v>Labores con maquinaria contratada0</v>
      </c>
    </row>
    <row r="99" spans="1:46" x14ac:dyDescent="0.2">
      <c r="A99" s="205"/>
      <c r="B99" s="197" t="s">
        <v>85</v>
      </c>
      <c r="C99" s="307"/>
      <c r="D99" s="307"/>
      <c r="E99" s="308"/>
      <c r="F99" s="651"/>
      <c r="G99" s="308"/>
      <c r="H99" s="308"/>
      <c r="I99" s="311"/>
      <c r="J99" s="311"/>
      <c r="K99" s="311"/>
      <c r="L99" s="311"/>
      <c r="M99" s="311"/>
      <c r="N99" s="311"/>
      <c r="O99" s="311"/>
      <c r="P99" s="311"/>
      <c r="Q99" s="311"/>
      <c r="R99" s="311"/>
      <c r="S99" s="311"/>
      <c r="T99" s="311"/>
      <c r="U99" s="646"/>
      <c r="X99" s="301"/>
      <c r="Y99" s="197" t="s">
        <v>85</v>
      </c>
      <c r="Z99" s="307"/>
      <c r="AA99" s="307"/>
      <c r="AB99" s="308"/>
      <c r="AC99" s="651"/>
      <c r="AD99" s="308"/>
      <c r="AE99" s="308"/>
      <c r="AF99" s="311"/>
      <c r="AG99" s="311"/>
      <c r="AH99" s="311"/>
      <c r="AI99" s="311"/>
      <c r="AJ99" s="311"/>
      <c r="AK99" s="311"/>
      <c r="AL99" s="311"/>
      <c r="AM99" s="311"/>
      <c r="AN99" s="311"/>
      <c r="AO99" s="311"/>
      <c r="AP99" s="311"/>
      <c r="AQ99" s="311"/>
      <c r="AR99" s="646"/>
    </row>
    <row r="100" spans="1:46" ht="15.05" thickBot="1" x14ac:dyDescent="0.35">
      <c r="A100" s="205"/>
      <c r="B100" s="5042"/>
      <c r="C100" s="1056">
        <f t="shared" ref="C100:C107" si="44">IF(B100=0,0,U$83)</f>
        <v>0</v>
      </c>
      <c r="D100" s="1056">
        <f>IF(B100=0,0,VLOOKUP(B100,Precios!$B$216:$D$307,3,FALSE))</f>
        <v>0</v>
      </c>
      <c r="E100" s="5048"/>
      <c r="F100" s="1062">
        <f>IF(B100=0,0,VLOOKUP(B100,Precios!$B$216:$D$307,2,FALSE))</f>
        <v>0</v>
      </c>
      <c r="G100" s="1066">
        <f t="shared" ref="G100:G107" si="45">E100*F100</f>
        <v>0</v>
      </c>
      <c r="H100" s="309"/>
      <c r="I100" s="1072">
        <f t="shared" si="35"/>
        <v>0</v>
      </c>
      <c r="J100" s="1033">
        <f t="shared" si="35"/>
        <v>0</v>
      </c>
      <c r="K100" s="1033">
        <f t="shared" si="35"/>
        <v>0</v>
      </c>
      <c r="L100" s="1033">
        <f t="shared" si="35"/>
        <v>0</v>
      </c>
      <c r="M100" s="1033">
        <f t="shared" si="35"/>
        <v>0</v>
      </c>
      <c r="N100" s="1033">
        <f t="shared" si="35"/>
        <v>0</v>
      </c>
      <c r="O100" s="1033">
        <f t="shared" si="35"/>
        <v>0</v>
      </c>
      <c r="P100" s="1033">
        <f t="shared" si="35"/>
        <v>0</v>
      </c>
      <c r="Q100" s="1033">
        <f t="shared" si="35"/>
        <v>0</v>
      </c>
      <c r="R100" s="1033">
        <f t="shared" si="35"/>
        <v>0</v>
      </c>
      <c r="S100" s="1033">
        <f t="shared" si="35"/>
        <v>0</v>
      </c>
      <c r="T100" s="1033">
        <f t="shared" si="35"/>
        <v>0</v>
      </c>
      <c r="U100" s="1073">
        <f t="shared" si="36"/>
        <v>0</v>
      </c>
      <c r="X100" s="301"/>
      <c r="Y100" s="5042"/>
      <c r="Z100" s="1056">
        <f t="shared" ref="Z100:Z107" si="46">IF(Y100=0,0,AR$83)</f>
        <v>0</v>
      </c>
      <c r="AA100" s="1056">
        <f>IF(Y100=0,0,VLOOKUP(Y100,Precios!$B$217:$D$307,3,FALSE))</f>
        <v>0</v>
      </c>
      <c r="AB100" s="1058"/>
      <c r="AC100" s="1062">
        <f>IF(Y100=0,0,VLOOKUP(Y100,Precios!$B$216:$D$307,2,FALSE))</f>
        <v>0</v>
      </c>
      <c r="AD100" s="1066">
        <f t="shared" ref="AD100:AD107" si="47">AB100*AC100</f>
        <v>0</v>
      </c>
      <c r="AE100" s="309"/>
      <c r="AF100" s="1072">
        <f t="shared" ref="AF100:AQ107" si="48">IF($Z100&gt;0,AF$83*$AB100,0)</f>
        <v>0</v>
      </c>
      <c r="AG100" s="1033">
        <f t="shared" si="48"/>
        <v>0</v>
      </c>
      <c r="AH100" s="1033">
        <f t="shared" si="48"/>
        <v>0</v>
      </c>
      <c r="AI100" s="1033">
        <f t="shared" si="48"/>
        <v>0</v>
      </c>
      <c r="AJ100" s="1033">
        <f t="shared" si="48"/>
        <v>0</v>
      </c>
      <c r="AK100" s="1033">
        <f t="shared" si="48"/>
        <v>0</v>
      </c>
      <c r="AL100" s="1033">
        <f t="shared" si="48"/>
        <v>0</v>
      </c>
      <c r="AM100" s="1033">
        <f t="shared" si="48"/>
        <v>0</v>
      </c>
      <c r="AN100" s="1033">
        <f t="shared" si="48"/>
        <v>0</v>
      </c>
      <c r="AO100" s="1033">
        <f t="shared" si="48"/>
        <v>0</v>
      </c>
      <c r="AP100" s="1033">
        <f t="shared" si="48"/>
        <v>0</v>
      </c>
      <c r="AQ100" s="1033">
        <f t="shared" si="48"/>
        <v>0</v>
      </c>
      <c r="AR100" s="1073">
        <f t="shared" si="38"/>
        <v>0</v>
      </c>
    </row>
    <row r="101" spans="1:46" ht="15.05" thickBot="1" x14ac:dyDescent="0.35">
      <c r="A101" s="205"/>
      <c r="B101" s="5044"/>
      <c r="C101" s="985">
        <f t="shared" si="44"/>
        <v>0</v>
      </c>
      <c r="D101" s="985">
        <f>IF(B101=0,0,VLOOKUP(B101,Precios!$B$216:$D$307,3,FALSE))</f>
        <v>0</v>
      </c>
      <c r="E101" s="5049"/>
      <c r="F101" s="1059">
        <f>IF(B101=0,0,VLOOKUP(B101,Precios!$B$216:$D$307,2,FALSE))</f>
        <v>0</v>
      </c>
      <c r="G101" s="1067">
        <f t="shared" si="45"/>
        <v>0</v>
      </c>
      <c r="H101" s="309"/>
      <c r="I101" s="1074">
        <f t="shared" si="35"/>
        <v>0</v>
      </c>
      <c r="J101" s="1005">
        <f t="shared" si="35"/>
        <v>0</v>
      </c>
      <c r="K101" s="1005">
        <f t="shared" si="35"/>
        <v>0</v>
      </c>
      <c r="L101" s="1005">
        <f t="shared" si="35"/>
        <v>0</v>
      </c>
      <c r="M101" s="1005">
        <f t="shared" si="35"/>
        <v>0</v>
      </c>
      <c r="N101" s="1005">
        <f t="shared" si="35"/>
        <v>0</v>
      </c>
      <c r="O101" s="1005">
        <f t="shared" si="35"/>
        <v>0</v>
      </c>
      <c r="P101" s="1005">
        <f t="shared" si="35"/>
        <v>0</v>
      </c>
      <c r="Q101" s="1005">
        <f t="shared" si="35"/>
        <v>0</v>
      </c>
      <c r="R101" s="1005">
        <f t="shared" si="35"/>
        <v>0</v>
      </c>
      <c r="S101" s="1005">
        <f t="shared" si="35"/>
        <v>0</v>
      </c>
      <c r="T101" s="1005">
        <f t="shared" si="35"/>
        <v>0</v>
      </c>
      <c r="U101" s="1075">
        <f t="shared" si="36"/>
        <v>0</v>
      </c>
      <c r="X101" s="301"/>
      <c r="Y101" s="5044"/>
      <c r="Z101" s="985">
        <f t="shared" si="46"/>
        <v>0</v>
      </c>
      <c r="AA101" s="985">
        <f>IF(Y101=0,0,VLOOKUP(Y101,Precios!$B$216:$D$307,3,FALSE))</f>
        <v>0</v>
      </c>
      <c r="AB101" s="986"/>
      <c r="AC101" s="1059">
        <f>IF(Y101=0,0,VLOOKUP(Y101,Precios!$B$216:$D$307,2,FALSE))</f>
        <v>0</v>
      </c>
      <c r="AD101" s="1067">
        <f t="shared" si="47"/>
        <v>0</v>
      </c>
      <c r="AE101" s="309"/>
      <c r="AF101" s="1074">
        <f t="shared" si="48"/>
        <v>0</v>
      </c>
      <c r="AG101" s="1005">
        <f t="shared" si="48"/>
        <v>0</v>
      </c>
      <c r="AH101" s="1005">
        <f t="shared" si="48"/>
        <v>0</v>
      </c>
      <c r="AI101" s="1005">
        <f t="shared" si="48"/>
        <v>0</v>
      </c>
      <c r="AJ101" s="1005">
        <f t="shared" si="48"/>
        <v>0</v>
      </c>
      <c r="AK101" s="1005">
        <f t="shared" si="48"/>
        <v>0</v>
      </c>
      <c r="AL101" s="1005">
        <f t="shared" si="48"/>
        <v>0</v>
      </c>
      <c r="AM101" s="1005">
        <f t="shared" si="48"/>
        <v>0</v>
      </c>
      <c r="AN101" s="1005">
        <f t="shared" si="48"/>
        <v>0</v>
      </c>
      <c r="AO101" s="1005">
        <f t="shared" si="48"/>
        <v>0</v>
      </c>
      <c r="AP101" s="1005">
        <f t="shared" si="48"/>
        <v>0</v>
      </c>
      <c r="AQ101" s="1005">
        <f t="shared" si="48"/>
        <v>0</v>
      </c>
      <c r="AR101" s="1075">
        <f t="shared" si="38"/>
        <v>0</v>
      </c>
    </row>
    <row r="102" spans="1:46" ht="15.05" thickBot="1" x14ac:dyDescent="0.35">
      <c r="A102" s="205"/>
      <c r="B102" s="5044"/>
      <c r="C102" s="985">
        <f t="shared" si="44"/>
        <v>0</v>
      </c>
      <c r="D102" s="985">
        <f>IF(B102=0,0,VLOOKUP(B102,Precios!$B$216:$D$307,3,FALSE))</f>
        <v>0</v>
      </c>
      <c r="E102" s="5049"/>
      <c r="F102" s="1059">
        <f>IF(B102=0,0,VLOOKUP(B102,Precios!$B$216:$D$307,2,FALSE))</f>
        <v>0</v>
      </c>
      <c r="G102" s="1067">
        <f t="shared" si="45"/>
        <v>0</v>
      </c>
      <c r="H102" s="309"/>
      <c r="I102" s="1074">
        <f t="shared" si="35"/>
        <v>0</v>
      </c>
      <c r="J102" s="1005">
        <f t="shared" si="35"/>
        <v>0</v>
      </c>
      <c r="K102" s="1005">
        <f t="shared" si="35"/>
        <v>0</v>
      </c>
      <c r="L102" s="1005">
        <f t="shared" si="35"/>
        <v>0</v>
      </c>
      <c r="M102" s="1005">
        <f t="shared" si="35"/>
        <v>0</v>
      </c>
      <c r="N102" s="1005">
        <f t="shared" si="35"/>
        <v>0</v>
      </c>
      <c r="O102" s="1005">
        <f t="shared" si="35"/>
        <v>0</v>
      </c>
      <c r="P102" s="1005">
        <f t="shared" si="35"/>
        <v>0</v>
      </c>
      <c r="Q102" s="1005">
        <f t="shared" si="35"/>
        <v>0</v>
      </c>
      <c r="R102" s="1005">
        <f t="shared" si="35"/>
        <v>0</v>
      </c>
      <c r="S102" s="1005">
        <f t="shared" si="35"/>
        <v>0</v>
      </c>
      <c r="T102" s="1005">
        <f t="shared" si="35"/>
        <v>0</v>
      </c>
      <c r="U102" s="1075">
        <f t="shared" si="36"/>
        <v>0</v>
      </c>
      <c r="X102" s="301"/>
      <c r="Y102" s="5044"/>
      <c r="Z102" s="985">
        <f t="shared" si="46"/>
        <v>0</v>
      </c>
      <c r="AA102" s="985">
        <f>IF(Y102=0,0,VLOOKUP(Y102,Precios!$B$216:$D$307,3,FALSE))</f>
        <v>0</v>
      </c>
      <c r="AB102" s="986"/>
      <c r="AC102" s="1059">
        <f>IF(Y102=0,0,VLOOKUP(Y102,Precios!$B$216:$D$307,2,FALSE))</f>
        <v>0</v>
      </c>
      <c r="AD102" s="1067">
        <f t="shared" si="47"/>
        <v>0</v>
      </c>
      <c r="AE102" s="309"/>
      <c r="AF102" s="1074">
        <f t="shared" si="48"/>
        <v>0</v>
      </c>
      <c r="AG102" s="1005">
        <f t="shared" si="48"/>
        <v>0</v>
      </c>
      <c r="AH102" s="1005">
        <f t="shared" si="48"/>
        <v>0</v>
      </c>
      <c r="AI102" s="1005">
        <f t="shared" si="48"/>
        <v>0</v>
      </c>
      <c r="AJ102" s="1005">
        <f t="shared" si="48"/>
        <v>0</v>
      </c>
      <c r="AK102" s="1005">
        <f t="shared" si="48"/>
        <v>0</v>
      </c>
      <c r="AL102" s="1005">
        <f t="shared" si="48"/>
        <v>0</v>
      </c>
      <c r="AM102" s="1005">
        <f t="shared" si="48"/>
        <v>0</v>
      </c>
      <c r="AN102" s="1005">
        <f t="shared" si="48"/>
        <v>0</v>
      </c>
      <c r="AO102" s="1005">
        <f t="shared" si="48"/>
        <v>0</v>
      </c>
      <c r="AP102" s="1005">
        <f t="shared" si="48"/>
        <v>0</v>
      </c>
      <c r="AQ102" s="1005">
        <f t="shared" si="48"/>
        <v>0</v>
      </c>
      <c r="AR102" s="1075">
        <f t="shared" si="38"/>
        <v>0</v>
      </c>
    </row>
    <row r="103" spans="1:46" ht="15.05" thickBot="1" x14ac:dyDescent="0.35">
      <c r="A103" s="205"/>
      <c r="B103" s="5044"/>
      <c r="C103" s="985">
        <f t="shared" si="44"/>
        <v>0</v>
      </c>
      <c r="D103" s="985">
        <f>IF(B103=0,0,VLOOKUP(B103,Precios!$B$216:$D$307,3,FALSE))</f>
        <v>0</v>
      </c>
      <c r="E103" s="5049"/>
      <c r="F103" s="1059">
        <f>IF(B103=0,0,VLOOKUP(B103,Precios!$B$216:$D$307,2,FALSE))</f>
        <v>0</v>
      </c>
      <c r="G103" s="1067">
        <f t="shared" si="45"/>
        <v>0</v>
      </c>
      <c r="H103" s="309"/>
      <c r="I103" s="1074">
        <f t="shared" ref="I103:T117" si="49">IF($C103&gt;0,I$83*$E103,0)</f>
        <v>0</v>
      </c>
      <c r="J103" s="1005">
        <f t="shared" si="49"/>
        <v>0</v>
      </c>
      <c r="K103" s="1005">
        <f t="shared" si="49"/>
        <v>0</v>
      </c>
      <c r="L103" s="1005">
        <f t="shared" si="49"/>
        <v>0</v>
      </c>
      <c r="M103" s="1005">
        <f t="shared" si="49"/>
        <v>0</v>
      </c>
      <c r="N103" s="1005">
        <f t="shared" si="49"/>
        <v>0</v>
      </c>
      <c r="O103" s="1005">
        <f t="shared" si="49"/>
        <v>0</v>
      </c>
      <c r="P103" s="1005">
        <f t="shared" si="49"/>
        <v>0</v>
      </c>
      <c r="Q103" s="1005">
        <f t="shared" si="49"/>
        <v>0</v>
      </c>
      <c r="R103" s="1005">
        <f t="shared" si="49"/>
        <v>0</v>
      </c>
      <c r="S103" s="1005">
        <f t="shared" si="49"/>
        <v>0</v>
      </c>
      <c r="T103" s="1005">
        <f t="shared" si="49"/>
        <v>0</v>
      </c>
      <c r="U103" s="1075">
        <f t="shared" si="36"/>
        <v>0</v>
      </c>
      <c r="X103" s="301"/>
      <c r="Y103" s="5044"/>
      <c r="Z103" s="985">
        <f t="shared" si="46"/>
        <v>0</v>
      </c>
      <c r="AA103" s="985">
        <f>IF(Y103=0,0,VLOOKUP(Y103,Precios!$B$216:$D$307,3,FALSE))</f>
        <v>0</v>
      </c>
      <c r="AB103" s="986"/>
      <c r="AC103" s="1059">
        <f>IF(Y103=0,0,VLOOKUP(Y103,Precios!$B$216:$D$307,2,FALSE))</f>
        <v>0</v>
      </c>
      <c r="AD103" s="1067">
        <f t="shared" si="47"/>
        <v>0</v>
      </c>
      <c r="AE103" s="309"/>
      <c r="AF103" s="1074">
        <f t="shared" si="48"/>
        <v>0</v>
      </c>
      <c r="AG103" s="1005">
        <f t="shared" si="48"/>
        <v>0</v>
      </c>
      <c r="AH103" s="1005">
        <f t="shared" si="48"/>
        <v>0</v>
      </c>
      <c r="AI103" s="1005">
        <f t="shared" si="48"/>
        <v>0</v>
      </c>
      <c r="AJ103" s="1005">
        <f t="shared" si="48"/>
        <v>0</v>
      </c>
      <c r="AK103" s="1005">
        <f t="shared" si="48"/>
        <v>0</v>
      </c>
      <c r="AL103" s="1005">
        <f t="shared" si="48"/>
        <v>0</v>
      </c>
      <c r="AM103" s="1005">
        <f t="shared" si="48"/>
        <v>0</v>
      </c>
      <c r="AN103" s="1005">
        <f t="shared" si="48"/>
        <v>0</v>
      </c>
      <c r="AO103" s="1005">
        <f t="shared" si="48"/>
        <v>0</v>
      </c>
      <c r="AP103" s="1005">
        <f t="shared" si="48"/>
        <v>0</v>
      </c>
      <c r="AQ103" s="1005">
        <f t="shared" si="48"/>
        <v>0</v>
      </c>
      <c r="AR103" s="1075">
        <f t="shared" si="38"/>
        <v>0</v>
      </c>
    </row>
    <row r="104" spans="1:46" ht="15.05" thickBot="1" x14ac:dyDescent="0.35">
      <c r="A104" s="205"/>
      <c r="B104" s="5044"/>
      <c r="C104" s="985">
        <f t="shared" si="44"/>
        <v>0</v>
      </c>
      <c r="D104" s="985">
        <f>IF(B104=0,0,VLOOKUP(B104,Precios!$B$216:$D$307,3,FALSE))</f>
        <v>0</v>
      </c>
      <c r="E104" s="5049"/>
      <c r="F104" s="1059">
        <f>IF(B104=0,0,VLOOKUP(B104,Precios!$B$216:$D$307,2,FALSE))</f>
        <v>0</v>
      </c>
      <c r="G104" s="1067">
        <f t="shared" si="45"/>
        <v>0</v>
      </c>
      <c r="H104" s="309"/>
      <c r="I104" s="1074">
        <f t="shared" si="49"/>
        <v>0</v>
      </c>
      <c r="J104" s="1005">
        <f t="shared" si="49"/>
        <v>0</v>
      </c>
      <c r="K104" s="1005">
        <f t="shared" si="49"/>
        <v>0</v>
      </c>
      <c r="L104" s="1005">
        <f t="shared" si="49"/>
        <v>0</v>
      </c>
      <c r="M104" s="1005">
        <f t="shared" si="49"/>
        <v>0</v>
      </c>
      <c r="N104" s="1005">
        <f t="shared" si="49"/>
        <v>0</v>
      </c>
      <c r="O104" s="1005">
        <f t="shared" si="49"/>
        <v>0</v>
      </c>
      <c r="P104" s="1005">
        <f t="shared" si="49"/>
        <v>0</v>
      </c>
      <c r="Q104" s="1005">
        <f t="shared" si="49"/>
        <v>0</v>
      </c>
      <c r="R104" s="1005">
        <f t="shared" si="49"/>
        <v>0</v>
      </c>
      <c r="S104" s="1005">
        <f t="shared" si="49"/>
        <v>0</v>
      </c>
      <c r="T104" s="1005">
        <f t="shared" si="49"/>
        <v>0</v>
      </c>
      <c r="U104" s="1075">
        <f t="shared" si="36"/>
        <v>0</v>
      </c>
      <c r="X104" s="301"/>
      <c r="Y104" s="5044"/>
      <c r="Z104" s="985">
        <f t="shared" si="46"/>
        <v>0</v>
      </c>
      <c r="AA104" s="985">
        <f>IF(Y104=0,0,VLOOKUP(Y104,Precios!$B$216:$D$307,3,FALSE))</f>
        <v>0</v>
      </c>
      <c r="AB104" s="986"/>
      <c r="AC104" s="1059">
        <f>IF(Y104=0,0,VLOOKUP(Y104,Precios!$B$216:$D$307,2,FALSE))</f>
        <v>0</v>
      </c>
      <c r="AD104" s="1067">
        <f t="shared" si="47"/>
        <v>0</v>
      </c>
      <c r="AE104" s="309"/>
      <c r="AF104" s="1074">
        <f t="shared" si="48"/>
        <v>0</v>
      </c>
      <c r="AG104" s="1005">
        <f t="shared" si="48"/>
        <v>0</v>
      </c>
      <c r="AH104" s="1005">
        <f t="shared" si="48"/>
        <v>0</v>
      </c>
      <c r="AI104" s="1005">
        <f t="shared" si="48"/>
        <v>0</v>
      </c>
      <c r="AJ104" s="1005">
        <f t="shared" si="48"/>
        <v>0</v>
      </c>
      <c r="AK104" s="1005">
        <f t="shared" si="48"/>
        <v>0</v>
      </c>
      <c r="AL104" s="1005">
        <f t="shared" si="48"/>
        <v>0</v>
      </c>
      <c r="AM104" s="1005">
        <f t="shared" si="48"/>
        <v>0</v>
      </c>
      <c r="AN104" s="1005">
        <f t="shared" si="48"/>
        <v>0</v>
      </c>
      <c r="AO104" s="1005">
        <f t="shared" si="48"/>
        <v>0</v>
      </c>
      <c r="AP104" s="1005">
        <f t="shared" si="48"/>
        <v>0</v>
      </c>
      <c r="AQ104" s="1005">
        <f t="shared" si="48"/>
        <v>0</v>
      </c>
      <c r="AR104" s="1075">
        <f t="shared" si="38"/>
        <v>0</v>
      </c>
    </row>
    <row r="105" spans="1:46" ht="15.05" thickBot="1" x14ac:dyDescent="0.35">
      <c r="A105" s="205"/>
      <c r="B105" s="5044"/>
      <c r="C105" s="985">
        <f t="shared" si="44"/>
        <v>0</v>
      </c>
      <c r="D105" s="985">
        <f>IF(B105=0,0,VLOOKUP(B105,Precios!$B$216:$D$307,3,FALSE))</f>
        <v>0</v>
      </c>
      <c r="E105" s="5049"/>
      <c r="F105" s="1059">
        <f>IF(B105=0,0,VLOOKUP(B105,Precios!$B$216:$D$307,2,FALSE))</f>
        <v>0</v>
      </c>
      <c r="G105" s="1067">
        <f t="shared" si="45"/>
        <v>0</v>
      </c>
      <c r="H105" s="309"/>
      <c r="I105" s="1074">
        <f t="shared" si="49"/>
        <v>0</v>
      </c>
      <c r="J105" s="1005">
        <f t="shared" si="49"/>
        <v>0</v>
      </c>
      <c r="K105" s="1005">
        <f t="shared" si="49"/>
        <v>0</v>
      </c>
      <c r="L105" s="1005">
        <f t="shared" si="49"/>
        <v>0</v>
      </c>
      <c r="M105" s="1005">
        <f t="shared" si="49"/>
        <v>0</v>
      </c>
      <c r="N105" s="1005">
        <f t="shared" si="49"/>
        <v>0</v>
      </c>
      <c r="O105" s="1005">
        <f t="shared" si="49"/>
        <v>0</v>
      </c>
      <c r="P105" s="1005">
        <f t="shared" si="49"/>
        <v>0</v>
      </c>
      <c r="Q105" s="1005">
        <f t="shared" si="49"/>
        <v>0</v>
      </c>
      <c r="R105" s="1005">
        <f t="shared" si="49"/>
        <v>0</v>
      </c>
      <c r="S105" s="1005">
        <f t="shared" si="49"/>
        <v>0</v>
      </c>
      <c r="T105" s="1005">
        <f t="shared" si="49"/>
        <v>0</v>
      </c>
      <c r="U105" s="1075">
        <f t="shared" si="36"/>
        <v>0</v>
      </c>
      <c r="X105" s="301"/>
      <c r="Y105" s="5044"/>
      <c r="Z105" s="985">
        <f t="shared" si="46"/>
        <v>0</v>
      </c>
      <c r="AA105" s="985">
        <f>IF(Y105=0,0,VLOOKUP(Y105,Precios!$B$216:$D$307,3,FALSE))</f>
        <v>0</v>
      </c>
      <c r="AB105" s="986"/>
      <c r="AC105" s="1059">
        <f>IF(Y105=0,0,VLOOKUP(Y105,Precios!$B$216:$D$307,2,FALSE))</f>
        <v>0</v>
      </c>
      <c r="AD105" s="1067">
        <f t="shared" si="47"/>
        <v>0</v>
      </c>
      <c r="AE105" s="309"/>
      <c r="AF105" s="1074">
        <f t="shared" si="48"/>
        <v>0</v>
      </c>
      <c r="AG105" s="1005">
        <f t="shared" si="48"/>
        <v>0</v>
      </c>
      <c r="AH105" s="1005">
        <f t="shared" si="48"/>
        <v>0</v>
      </c>
      <c r="AI105" s="1005">
        <f t="shared" si="48"/>
        <v>0</v>
      </c>
      <c r="AJ105" s="1005">
        <f t="shared" si="48"/>
        <v>0</v>
      </c>
      <c r="AK105" s="1005">
        <f t="shared" si="48"/>
        <v>0</v>
      </c>
      <c r="AL105" s="1005">
        <f t="shared" si="48"/>
        <v>0</v>
      </c>
      <c r="AM105" s="1005">
        <f t="shared" si="48"/>
        <v>0</v>
      </c>
      <c r="AN105" s="1005">
        <f t="shared" si="48"/>
        <v>0</v>
      </c>
      <c r="AO105" s="1005">
        <f t="shared" si="48"/>
        <v>0</v>
      </c>
      <c r="AP105" s="1005">
        <f t="shared" si="48"/>
        <v>0</v>
      </c>
      <c r="AQ105" s="1005">
        <f t="shared" si="48"/>
        <v>0</v>
      </c>
      <c r="AR105" s="1075">
        <f t="shared" ref="AR105:AR118" si="50">SUM(AF105:AQ105)</f>
        <v>0</v>
      </c>
    </row>
    <row r="106" spans="1:46" ht="15.05" thickBot="1" x14ac:dyDescent="0.35">
      <c r="A106" s="205"/>
      <c r="B106" s="5044"/>
      <c r="C106" s="985">
        <f t="shared" si="44"/>
        <v>0</v>
      </c>
      <c r="D106" s="985">
        <f>IF(B106=0,0,VLOOKUP(B106,Precios!$B$216:$D$307,3,FALSE))</f>
        <v>0</v>
      </c>
      <c r="E106" s="5049"/>
      <c r="F106" s="1059">
        <f>IF(B106=0,0,VLOOKUP(B106,Precios!$B$216:$D$307,2,FALSE))</f>
        <v>0</v>
      </c>
      <c r="G106" s="1067">
        <f t="shared" si="45"/>
        <v>0</v>
      </c>
      <c r="H106" s="309"/>
      <c r="I106" s="1074">
        <f t="shared" si="49"/>
        <v>0</v>
      </c>
      <c r="J106" s="1005">
        <f t="shared" si="49"/>
        <v>0</v>
      </c>
      <c r="K106" s="1005">
        <f t="shared" si="49"/>
        <v>0</v>
      </c>
      <c r="L106" s="1005">
        <f t="shared" si="49"/>
        <v>0</v>
      </c>
      <c r="M106" s="1005">
        <f t="shared" si="49"/>
        <v>0</v>
      </c>
      <c r="N106" s="1005">
        <f t="shared" si="49"/>
        <v>0</v>
      </c>
      <c r="O106" s="1005">
        <f t="shared" si="49"/>
        <v>0</v>
      </c>
      <c r="P106" s="1005">
        <f t="shared" si="49"/>
        <v>0</v>
      </c>
      <c r="Q106" s="1005">
        <f t="shared" si="49"/>
        <v>0</v>
      </c>
      <c r="R106" s="1005">
        <f t="shared" si="49"/>
        <v>0</v>
      </c>
      <c r="S106" s="1005">
        <f t="shared" si="49"/>
        <v>0</v>
      </c>
      <c r="T106" s="1005">
        <f t="shared" si="49"/>
        <v>0</v>
      </c>
      <c r="U106" s="1075">
        <f t="shared" si="36"/>
        <v>0</v>
      </c>
      <c r="X106" s="301"/>
      <c r="Y106" s="5044"/>
      <c r="Z106" s="985">
        <f t="shared" si="46"/>
        <v>0</v>
      </c>
      <c r="AA106" s="985">
        <f>IF(Y106=0,0,VLOOKUP(Y106,Precios!$B$216:$D$307,3,FALSE))</f>
        <v>0</v>
      </c>
      <c r="AB106" s="986"/>
      <c r="AC106" s="1059">
        <f>IF(Y106=0,0,VLOOKUP(Y106,Precios!$B$216:$D$307,2,FALSE))</f>
        <v>0</v>
      </c>
      <c r="AD106" s="1067">
        <f t="shared" si="47"/>
        <v>0</v>
      </c>
      <c r="AE106" s="309"/>
      <c r="AF106" s="1074">
        <f t="shared" si="48"/>
        <v>0</v>
      </c>
      <c r="AG106" s="1005">
        <f t="shared" si="48"/>
        <v>0</v>
      </c>
      <c r="AH106" s="1005">
        <f t="shared" si="48"/>
        <v>0</v>
      </c>
      <c r="AI106" s="1005">
        <f t="shared" si="48"/>
        <v>0</v>
      </c>
      <c r="AJ106" s="1005">
        <f t="shared" si="48"/>
        <v>0</v>
      </c>
      <c r="AK106" s="1005">
        <f t="shared" si="48"/>
        <v>0</v>
      </c>
      <c r="AL106" s="1005">
        <f t="shared" si="48"/>
        <v>0</v>
      </c>
      <c r="AM106" s="1005">
        <f t="shared" si="48"/>
        <v>0</v>
      </c>
      <c r="AN106" s="1005">
        <f t="shared" si="48"/>
        <v>0</v>
      </c>
      <c r="AO106" s="1005">
        <f t="shared" si="48"/>
        <v>0</v>
      </c>
      <c r="AP106" s="1005">
        <f t="shared" si="48"/>
        <v>0</v>
      </c>
      <c r="AQ106" s="1005">
        <f t="shared" si="48"/>
        <v>0</v>
      </c>
      <c r="AR106" s="1075">
        <f t="shared" si="50"/>
        <v>0</v>
      </c>
    </row>
    <row r="107" spans="1:46" x14ac:dyDescent="0.3">
      <c r="A107" s="205"/>
      <c r="B107" s="5046"/>
      <c r="C107" s="1057">
        <f t="shared" si="44"/>
        <v>0</v>
      </c>
      <c r="D107" s="1057">
        <f>IF(B107=0,0,VLOOKUP(B107,Precios!$B$216:$D$307,3,FALSE))</f>
        <v>0</v>
      </c>
      <c r="E107" s="5050"/>
      <c r="F107" s="1061">
        <f>IF(B107=0,0,VLOOKUP(B107,Precios!$B$216:$D$307,2,FALSE))</f>
        <v>0</v>
      </c>
      <c r="G107" s="1068">
        <f t="shared" si="45"/>
        <v>0</v>
      </c>
      <c r="H107" s="309"/>
      <c r="I107" s="1076">
        <f t="shared" si="49"/>
        <v>0</v>
      </c>
      <c r="J107" s="1077">
        <f t="shared" si="49"/>
        <v>0</v>
      </c>
      <c r="K107" s="1077">
        <f t="shared" si="49"/>
        <v>0</v>
      </c>
      <c r="L107" s="1077">
        <f t="shared" si="49"/>
        <v>0</v>
      </c>
      <c r="M107" s="1077">
        <f t="shared" si="49"/>
        <v>0</v>
      </c>
      <c r="N107" s="1077">
        <f t="shared" si="49"/>
        <v>0</v>
      </c>
      <c r="O107" s="1077">
        <f t="shared" si="49"/>
        <v>0</v>
      </c>
      <c r="P107" s="1077">
        <f t="shared" si="49"/>
        <v>0</v>
      </c>
      <c r="Q107" s="1077">
        <f t="shared" si="49"/>
        <v>0</v>
      </c>
      <c r="R107" s="1077">
        <f t="shared" si="49"/>
        <v>0</v>
      </c>
      <c r="S107" s="1077">
        <f t="shared" si="49"/>
        <v>0</v>
      </c>
      <c r="T107" s="1077">
        <f t="shared" si="49"/>
        <v>0</v>
      </c>
      <c r="U107" s="1078">
        <f t="shared" si="36"/>
        <v>0</v>
      </c>
      <c r="X107" s="301"/>
      <c r="Y107" s="5046"/>
      <c r="Z107" s="1057">
        <f t="shared" si="46"/>
        <v>0</v>
      </c>
      <c r="AA107" s="1057">
        <f>IF(Y107=0,0,VLOOKUP(Y107,Precios!$B$216:$D$307,3,FALSE))</f>
        <v>0</v>
      </c>
      <c r="AB107" s="1060"/>
      <c r="AC107" s="1061">
        <f>IF(Y107=0,0,VLOOKUP(Y107,Precios!$B$216:$D$307,2,FALSE))</f>
        <v>0</v>
      </c>
      <c r="AD107" s="1068">
        <f t="shared" si="47"/>
        <v>0</v>
      </c>
      <c r="AE107" s="309"/>
      <c r="AF107" s="1076">
        <f t="shared" si="48"/>
        <v>0</v>
      </c>
      <c r="AG107" s="1077">
        <f t="shared" si="48"/>
        <v>0</v>
      </c>
      <c r="AH107" s="1077">
        <f t="shared" si="48"/>
        <v>0</v>
      </c>
      <c r="AI107" s="1077">
        <f t="shared" si="48"/>
        <v>0</v>
      </c>
      <c r="AJ107" s="1077">
        <f t="shared" si="48"/>
        <v>0</v>
      </c>
      <c r="AK107" s="1077">
        <f t="shared" si="48"/>
        <v>0</v>
      </c>
      <c r="AL107" s="1077">
        <f t="shared" si="48"/>
        <v>0</v>
      </c>
      <c r="AM107" s="1077">
        <f t="shared" si="48"/>
        <v>0</v>
      </c>
      <c r="AN107" s="1077">
        <f t="shared" si="48"/>
        <v>0</v>
      </c>
      <c r="AO107" s="1077">
        <f t="shared" si="48"/>
        <v>0</v>
      </c>
      <c r="AP107" s="1077">
        <f t="shared" si="48"/>
        <v>0</v>
      </c>
      <c r="AQ107" s="1077">
        <f t="shared" si="48"/>
        <v>0</v>
      </c>
      <c r="AR107" s="1078">
        <f t="shared" si="50"/>
        <v>0</v>
      </c>
    </row>
    <row r="108" spans="1:46" x14ac:dyDescent="0.3">
      <c r="A108" s="205"/>
      <c r="B108" s="647" t="s">
        <v>1085</v>
      </c>
      <c r="C108" s="305"/>
      <c r="D108" s="305"/>
      <c r="E108" s="305"/>
      <c r="F108" s="650"/>
      <c r="G108" s="305"/>
      <c r="H108" s="310"/>
      <c r="I108" s="904">
        <f t="shared" ref="I108:T108" si="51">SUM(I100:I107)</f>
        <v>0</v>
      </c>
      <c r="J108" s="904">
        <f t="shared" si="51"/>
        <v>0</v>
      </c>
      <c r="K108" s="904">
        <f t="shared" si="51"/>
        <v>0</v>
      </c>
      <c r="L108" s="904">
        <f t="shared" si="51"/>
        <v>0</v>
      </c>
      <c r="M108" s="904">
        <f t="shared" si="51"/>
        <v>0</v>
      </c>
      <c r="N108" s="904">
        <f t="shared" si="51"/>
        <v>0</v>
      </c>
      <c r="O108" s="904">
        <f t="shared" si="51"/>
        <v>0</v>
      </c>
      <c r="P108" s="904">
        <f t="shared" si="51"/>
        <v>0</v>
      </c>
      <c r="Q108" s="904">
        <f t="shared" si="51"/>
        <v>0</v>
      </c>
      <c r="R108" s="904">
        <f t="shared" si="51"/>
        <v>0</v>
      </c>
      <c r="S108" s="904">
        <f t="shared" si="51"/>
        <v>0</v>
      </c>
      <c r="T108" s="904">
        <f t="shared" si="51"/>
        <v>0</v>
      </c>
      <c r="U108" s="905">
        <f>SUM(I108:T108)</f>
        <v>0</v>
      </c>
      <c r="W108" s="232" t="str">
        <f>B99&amp;B82</f>
        <v>Semillas0</v>
      </c>
      <c r="X108" s="301"/>
      <c r="Y108" s="647" t="s">
        <v>1085</v>
      </c>
      <c r="Z108" s="305"/>
      <c r="AA108" s="305"/>
      <c r="AB108" s="305"/>
      <c r="AC108" s="650"/>
      <c r="AD108" s="305"/>
      <c r="AE108" s="310"/>
      <c r="AF108" s="904">
        <f t="shared" ref="AF108:AQ108" si="52">SUM(AF100:AF107)</f>
        <v>0</v>
      </c>
      <c r="AG108" s="904">
        <f t="shared" si="52"/>
        <v>0</v>
      </c>
      <c r="AH108" s="904">
        <f t="shared" si="52"/>
        <v>0</v>
      </c>
      <c r="AI108" s="904">
        <f t="shared" si="52"/>
        <v>0</v>
      </c>
      <c r="AJ108" s="904">
        <f t="shared" si="52"/>
        <v>0</v>
      </c>
      <c r="AK108" s="904">
        <f t="shared" si="52"/>
        <v>0</v>
      </c>
      <c r="AL108" s="904">
        <f t="shared" si="52"/>
        <v>0</v>
      </c>
      <c r="AM108" s="904">
        <f t="shared" si="52"/>
        <v>0</v>
      </c>
      <c r="AN108" s="904">
        <f t="shared" si="52"/>
        <v>0</v>
      </c>
      <c r="AO108" s="904">
        <f t="shared" si="52"/>
        <v>0</v>
      </c>
      <c r="AP108" s="904">
        <f t="shared" si="52"/>
        <v>0</v>
      </c>
      <c r="AQ108" s="904">
        <f t="shared" si="52"/>
        <v>0</v>
      </c>
      <c r="AR108" s="905">
        <f>SUM(AF108:AQ108)</f>
        <v>0</v>
      </c>
      <c r="AT108" s="232" t="str">
        <f>Y99&amp;Y82</f>
        <v>Semillas0</v>
      </c>
    </row>
    <row r="109" spans="1:46" x14ac:dyDescent="0.2">
      <c r="A109" s="205"/>
      <c r="B109" s="197" t="s">
        <v>339</v>
      </c>
      <c r="C109" s="307"/>
      <c r="D109" s="307"/>
      <c r="E109" s="308"/>
      <c r="F109" s="651"/>
      <c r="G109" s="308"/>
      <c r="H109" s="307"/>
      <c r="I109" s="307"/>
      <c r="J109" s="307"/>
      <c r="K109" s="307"/>
      <c r="L109" s="307"/>
      <c r="M109" s="307"/>
      <c r="N109" s="307"/>
      <c r="O109" s="307"/>
      <c r="P109" s="307"/>
      <c r="Q109" s="307"/>
      <c r="R109" s="307"/>
      <c r="S109" s="307"/>
      <c r="T109" s="307"/>
      <c r="U109" s="646"/>
      <c r="X109" s="301"/>
      <c r="Y109" s="197" t="s">
        <v>339</v>
      </c>
      <c r="Z109" s="307"/>
      <c r="AA109" s="307"/>
      <c r="AB109" s="308"/>
      <c r="AC109" s="651"/>
      <c r="AD109" s="308"/>
      <c r="AE109" s="307"/>
      <c r="AF109" s="307"/>
      <c r="AG109" s="307"/>
      <c r="AH109" s="307"/>
      <c r="AI109" s="307"/>
      <c r="AJ109" s="307"/>
      <c r="AK109" s="307"/>
      <c r="AL109" s="307"/>
      <c r="AM109" s="307"/>
      <c r="AN109" s="307"/>
      <c r="AO109" s="307"/>
      <c r="AP109" s="307"/>
      <c r="AQ109" s="307"/>
      <c r="AR109" s="646"/>
    </row>
    <row r="110" spans="1:46" ht="15.05" thickBot="1" x14ac:dyDescent="0.35">
      <c r="A110" s="205"/>
      <c r="B110" s="5042"/>
      <c r="C110" s="1056">
        <f>IF(B110=0,0,U$83)</f>
        <v>0</v>
      </c>
      <c r="D110" s="1056">
        <f>IF(B110=0,0,VLOOKUP(B110,Precios!$B$216:$D$307,3,FALSE))</f>
        <v>0</v>
      </c>
      <c r="E110" s="5048"/>
      <c r="F110" s="1063">
        <f>IF(B110=0,0,VLOOKUP(B110,Precios!$B$216:$D$307,2,FALSE))</f>
        <v>0</v>
      </c>
      <c r="G110" s="1066">
        <f>E110*F110</f>
        <v>0</v>
      </c>
      <c r="H110" s="309"/>
      <c r="I110" s="1072">
        <f t="shared" si="49"/>
        <v>0</v>
      </c>
      <c r="J110" s="1033">
        <f t="shared" si="49"/>
        <v>0</v>
      </c>
      <c r="K110" s="1033">
        <f t="shared" si="49"/>
        <v>0</v>
      </c>
      <c r="L110" s="1033">
        <f t="shared" si="49"/>
        <v>0</v>
      </c>
      <c r="M110" s="1033">
        <f t="shared" si="49"/>
        <v>0</v>
      </c>
      <c r="N110" s="1033">
        <f t="shared" si="49"/>
        <v>0</v>
      </c>
      <c r="O110" s="1033">
        <f t="shared" si="49"/>
        <v>0</v>
      </c>
      <c r="P110" s="1033">
        <f t="shared" si="49"/>
        <v>0</v>
      </c>
      <c r="Q110" s="1033">
        <f t="shared" si="49"/>
        <v>0</v>
      </c>
      <c r="R110" s="1033">
        <f t="shared" si="49"/>
        <v>0</v>
      </c>
      <c r="S110" s="1033">
        <f t="shared" si="49"/>
        <v>0</v>
      </c>
      <c r="T110" s="1033">
        <f t="shared" si="49"/>
        <v>0</v>
      </c>
      <c r="U110" s="1073">
        <f t="shared" ref="U110:U118" si="53">SUM(I110:T110)</f>
        <v>0</v>
      </c>
      <c r="X110" s="301"/>
      <c r="Y110" s="5042"/>
      <c r="Z110" s="1056">
        <f>IF(Y110=0,0,AR$83)</f>
        <v>0</v>
      </c>
      <c r="AA110" s="1056">
        <f>IF(Y110=0,0,VLOOKUP(Y110,Precios!$B$216:$D$307,3,FALSE))</f>
        <v>0</v>
      </c>
      <c r="AB110" s="1058"/>
      <c r="AC110" s="1063">
        <f>IF(Y110=0,0,VLOOKUP(Y110,Precios!$B$216:$D$307,2,FALSE))</f>
        <v>0</v>
      </c>
      <c r="AD110" s="1066">
        <f>AB110*AC110</f>
        <v>0</v>
      </c>
      <c r="AE110" s="309"/>
      <c r="AF110" s="1072">
        <f t="shared" ref="AF110:AQ112" si="54">IF($Z110&gt;0,AF$83*$AB110,0)</f>
        <v>0</v>
      </c>
      <c r="AG110" s="1033">
        <f t="shared" si="54"/>
        <v>0</v>
      </c>
      <c r="AH110" s="1033">
        <f t="shared" si="54"/>
        <v>0</v>
      </c>
      <c r="AI110" s="1033">
        <f t="shared" si="54"/>
        <v>0</v>
      </c>
      <c r="AJ110" s="1033">
        <f t="shared" si="54"/>
        <v>0</v>
      </c>
      <c r="AK110" s="1033">
        <f t="shared" si="54"/>
        <v>0</v>
      </c>
      <c r="AL110" s="1033">
        <f t="shared" si="54"/>
        <v>0</v>
      </c>
      <c r="AM110" s="1033">
        <f t="shared" si="54"/>
        <v>0</v>
      </c>
      <c r="AN110" s="1033">
        <f t="shared" si="54"/>
        <v>0</v>
      </c>
      <c r="AO110" s="1033">
        <f t="shared" si="54"/>
        <v>0</v>
      </c>
      <c r="AP110" s="1033">
        <f t="shared" si="54"/>
        <v>0</v>
      </c>
      <c r="AQ110" s="1033">
        <f t="shared" si="54"/>
        <v>0</v>
      </c>
      <c r="AR110" s="1073">
        <f t="shared" si="50"/>
        <v>0</v>
      </c>
    </row>
    <row r="111" spans="1:46" ht="15.05" thickBot="1" x14ac:dyDescent="0.35">
      <c r="A111" s="205"/>
      <c r="B111" s="5044"/>
      <c r="C111" s="985">
        <f>IF(B111=0,0,U$83)</f>
        <v>0</v>
      </c>
      <c r="D111" s="985">
        <f>IF(B111=0,0,VLOOKUP(B111,Precios!$B$216:$D$307,3,FALSE))</f>
        <v>0</v>
      </c>
      <c r="E111" s="5049"/>
      <c r="F111" s="1064">
        <f>IF(B111=0,0,VLOOKUP(B111,Precios!$B$216:$D$307,2,FALSE))</f>
        <v>0</v>
      </c>
      <c r="G111" s="1067">
        <f>E111*F111</f>
        <v>0</v>
      </c>
      <c r="H111" s="309"/>
      <c r="I111" s="1074">
        <f t="shared" si="49"/>
        <v>0</v>
      </c>
      <c r="J111" s="1005">
        <f t="shared" si="49"/>
        <v>0</v>
      </c>
      <c r="K111" s="1005">
        <f t="shared" si="49"/>
        <v>0</v>
      </c>
      <c r="L111" s="1005">
        <f t="shared" si="49"/>
        <v>0</v>
      </c>
      <c r="M111" s="1005">
        <f t="shared" si="49"/>
        <v>0</v>
      </c>
      <c r="N111" s="1005">
        <f t="shared" si="49"/>
        <v>0</v>
      </c>
      <c r="O111" s="1005">
        <f t="shared" si="49"/>
        <v>0</v>
      </c>
      <c r="P111" s="1005">
        <f t="shared" si="49"/>
        <v>0</v>
      </c>
      <c r="Q111" s="1005">
        <f t="shared" si="49"/>
        <v>0</v>
      </c>
      <c r="R111" s="1005">
        <f t="shared" si="49"/>
        <v>0</v>
      </c>
      <c r="S111" s="1005">
        <f t="shared" si="49"/>
        <v>0</v>
      </c>
      <c r="T111" s="1005">
        <f t="shared" si="49"/>
        <v>0</v>
      </c>
      <c r="U111" s="1075">
        <f t="shared" si="53"/>
        <v>0</v>
      </c>
      <c r="X111" s="301"/>
      <c r="Y111" s="5044"/>
      <c r="Z111" s="985">
        <f>IF(Y111=0,0,AR$83)</f>
        <v>0</v>
      </c>
      <c r="AA111" s="985">
        <f>IF(Y111=0,0,VLOOKUP(Y111,Precios!$B$216:$D$307,3,FALSE))</f>
        <v>0</v>
      </c>
      <c r="AB111" s="986"/>
      <c r="AC111" s="1064">
        <f>IF(Y111=0,0,VLOOKUP(Y111,Precios!$B$216:$D$307,2,FALSE))</f>
        <v>0</v>
      </c>
      <c r="AD111" s="1067">
        <f>AB111*AC111</f>
        <v>0</v>
      </c>
      <c r="AE111" s="309"/>
      <c r="AF111" s="1074">
        <f t="shared" si="54"/>
        <v>0</v>
      </c>
      <c r="AG111" s="1005">
        <f t="shared" si="54"/>
        <v>0</v>
      </c>
      <c r="AH111" s="1005">
        <f t="shared" si="54"/>
        <v>0</v>
      </c>
      <c r="AI111" s="1005">
        <f t="shared" si="54"/>
        <v>0</v>
      </c>
      <c r="AJ111" s="1005">
        <f t="shared" si="54"/>
        <v>0</v>
      </c>
      <c r="AK111" s="1005">
        <f t="shared" si="54"/>
        <v>0</v>
      </c>
      <c r="AL111" s="1005">
        <f t="shared" si="54"/>
        <v>0</v>
      </c>
      <c r="AM111" s="1005">
        <f t="shared" si="54"/>
        <v>0</v>
      </c>
      <c r="AN111" s="1005">
        <f t="shared" si="54"/>
        <v>0</v>
      </c>
      <c r="AO111" s="1005">
        <f t="shared" si="54"/>
        <v>0</v>
      </c>
      <c r="AP111" s="1005">
        <f t="shared" si="54"/>
        <v>0</v>
      </c>
      <c r="AQ111" s="1005">
        <f t="shared" si="54"/>
        <v>0</v>
      </c>
      <c r="AR111" s="1075">
        <f t="shared" si="50"/>
        <v>0</v>
      </c>
    </row>
    <row r="112" spans="1:46" x14ac:dyDescent="0.3">
      <c r="A112" s="205"/>
      <c r="B112" s="5046"/>
      <c r="C112" s="1057">
        <f>IF(B112=0,0,U$83)</f>
        <v>0</v>
      </c>
      <c r="D112" s="1057">
        <f>IF(B112=0,0,VLOOKUP(B112,Precios!$B$216:$D$307,3,FALSE))</f>
        <v>0</v>
      </c>
      <c r="E112" s="5050"/>
      <c r="F112" s="1065">
        <f>IF(B112=0,0,VLOOKUP(B112,Precios!$B$216:$D$307,2,FALSE))</f>
        <v>0</v>
      </c>
      <c r="G112" s="1068">
        <f>E112*F112</f>
        <v>0</v>
      </c>
      <c r="H112" s="309"/>
      <c r="I112" s="1079">
        <f t="shared" si="49"/>
        <v>0</v>
      </c>
      <c r="J112" s="1047">
        <f t="shared" si="49"/>
        <v>0</v>
      </c>
      <c r="K112" s="1047">
        <f t="shared" si="49"/>
        <v>0</v>
      </c>
      <c r="L112" s="1047">
        <f t="shared" si="49"/>
        <v>0</v>
      </c>
      <c r="M112" s="1047">
        <f t="shared" si="49"/>
        <v>0</v>
      </c>
      <c r="N112" s="1047">
        <f t="shared" si="49"/>
        <v>0</v>
      </c>
      <c r="O112" s="1047">
        <f t="shared" si="49"/>
        <v>0</v>
      </c>
      <c r="P112" s="1047">
        <f t="shared" si="49"/>
        <v>0</v>
      </c>
      <c r="Q112" s="1047">
        <f t="shared" si="49"/>
        <v>0</v>
      </c>
      <c r="R112" s="1047">
        <f t="shared" si="49"/>
        <v>0</v>
      </c>
      <c r="S112" s="1047">
        <f t="shared" si="49"/>
        <v>0</v>
      </c>
      <c r="T112" s="1047">
        <f t="shared" si="49"/>
        <v>0</v>
      </c>
      <c r="U112" s="1080">
        <f t="shared" si="53"/>
        <v>0</v>
      </c>
      <c r="X112" s="301"/>
      <c r="Y112" s="5046"/>
      <c r="Z112" s="1057">
        <f>IF(Y112=0,0,AR$83)</f>
        <v>0</v>
      </c>
      <c r="AA112" s="1057">
        <f>IF(Y112=0,0,VLOOKUP(Y112,Precios!$B$216:$D$307,3,FALSE))</f>
        <v>0</v>
      </c>
      <c r="AB112" s="1060"/>
      <c r="AC112" s="1065">
        <f>IF(Y112=0,0,VLOOKUP(Y112,Precios!$B$216:$D$307,2,FALSE))</f>
        <v>0</v>
      </c>
      <c r="AD112" s="1068">
        <f>AB112*AC112</f>
        <v>0</v>
      </c>
      <c r="AE112" s="309"/>
      <c r="AF112" s="1079">
        <f>IF($Z112&gt;0,AF$83*$AB112,0)</f>
        <v>0</v>
      </c>
      <c r="AG112" s="1047">
        <f t="shared" si="54"/>
        <v>0</v>
      </c>
      <c r="AH112" s="1047">
        <f t="shared" si="54"/>
        <v>0</v>
      </c>
      <c r="AI112" s="1047">
        <f t="shared" si="54"/>
        <v>0</v>
      </c>
      <c r="AJ112" s="1047">
        <f t="shared" si="54"/>
        <v>0</v>
      </c>
      <c r="AK112" s="1047">
        <f t="shared" si="54"/>
        <v>0</v>
      </c>
      <c r="AL112" s="1047">
        <f t="shared" si="54"/>
        <v>0</v>
      </c>
      <c r="AM112" s="1047">
        <f t="shared" si="54"/>
        <v>0</v>
      </c>
      <c r="AN112" s="1047">
        <f t="shared" si="54"/>
        <v>0</v>
      </c>
      <c r="AO112" s="1047">
        <f t="shared" si="54"/>
        <v>0</v>
      </c>
      <c r="AP112" s="1047">
        <f t="shared" si="54"/>
        <v>0</v>
      </c>
      <c r="AQ112" s="1047">
        <f t="shared" si="54"/>
        <v>0</v>
      </c>
      <c r="AR112" s="1080">
        <f t="shared" si="50"/>
        <v>0</v>
      </c>
    </row>
    <row r="113" spans="1:47" x14ac:dyDescent="0.3">
      <c r="A113" s="205"/>
      <c r="B113" s="647" t="s">
        <v>1086</v>
      </c>
      <c r="C113" s="305"/>
      <c r="D113" s="305"/>
      <c r="E113" s="305"/>
      <c r="F113" s="650"/>
      <c r="G113" s="305"/>
      <c r="H113" s="306"/>
      <c r="I113" s="906">
        <f t="shared" ref="I113:T113" si="55">SUM(I110:I112)</f>
        <v>0</v>
      </c>
      <c r="J113" s="906">
        <f t="shared" si="55"/>
        <v>0</v>
      </c>
      <c r="K113" s="906">
        <f t="shared" si="55"/>
        <v>0</v>
      </c>
      <c r="L113" s="906">
        <f t="shared" si="55"/>
        <v>0</v>
      </c>
      <c r="M113" s="906">
        <f t="shared" si="55"/>
        <v>0</v>
      </c>
      <c r="N113" s="906">
        <f t="shared" si="55"/>
        <v>0</v>
      </c>
      <c r="O113" s="906">
        <f t="shared" si="55"/>
        <v>0</v>
      </c>
      <c r="P113" s="906">
        <f t="shared" si="55"/>
        <v>0</v>
      </c>
      <c r="Q113" s="906">
        <f t="shared" si="55"/>
        <v>0</v>
      </c>
      <c r="R113" s="906">
        <f t="shared" si="55"/>
        <v>0</v>
      </c>
      <c r="S113" s="906">
        <f t="shared" si="55"/>
        <v>0</v>
      </c>
      <c r="T113" s="907">
        <f t="shared" si="55"/>
        <v>0</v>
      </c>
      <c r="U113" s="905">
        <f>SUM(I113:T113)</f>
        <v>0</v>
      </c>
      <c r="W113" s="232" t="str">
        <f>B109&amp;B82</f>
        <v>Fertilizantes 0</v>
      </c>
      <c r="X113" s="301"/>
      <c r="Y113" s="647" t="s">
        <v>1086</v>
      </c>
      <c r="Z113" s="305"/>
      <c r="AA113" s="305"/>
      <c r="AB113" s="305"/>
      <c r="AC113" s="650"/>
      <c r="AD113" s="305"/>
      <c r="AE113" s="306"/>
      <c r="AF113" s="906">
        <f t="shared" ref="AF113:AQ113" si="56">SUM(AF110:AF112)</f>
        <v>0</v>
      </c>
      <c r="AG113" s="906">
        <f t="shared" si="56"/>
        <v>0</v>
      </c>
      <c r="AH113" s="906">
        <f t="shared" si="56"/>
        <v>0</v>
      </c>
      <c r="AI113" s="906">
        <f t="shared" si="56"/>
        <v>0</v>
      </c>
      <c r="AJ113" s="906">
        <f t="shared" si="56"/>
        <v>0</v>
      </c>
      <c r="AK113" s="906">
        <f t="shared" si="56"/>
        <v>0</v>
      </c>
      <c r="AL113" s="906">
        <f t="shared" si="56"/>
        <v>0</v>
      </c>
      <c r="AM113" s="906">
        <f t="shared" si="56"/>
        <v>0</v>
      </c>
      <c r="AN113" s="906">
        <f t="shared" si="56"/>
        <v>0</v>
      </c>
      <c r="AO113" s="906">
        <f t="shared" si="56"/>
        <v>0</v>
      </c>
      <c r="AP113" s="906">
        <f t="shared" si="56"/>
        <v>0</v>
      </c>
      <c r="AQ113" s="907">
        <f t="shared" si="56"/>
        <v>0</v>
      </c>
      <c r="AR113" s="905">
        <f>SUM(AF113:AQ113)</f>
        <v>0</v>
      </c>
      <c r="AT113" s="232" t="str">
        <f>Y109&amp;Y82</f>
        <v>Fertilizantes 0</v>
      </c>
    </row>
    <row r="114" spans="1:47" x14ac:dyDescent="0.2">
      <c r="A114" s="205"/>
      <c r="B114" s="197" t="s">
        <v>340</v>
      </c>
      <c r="C114" s="307"/>
      <c r="D114" s="307"/>
      <c r="E114" s="308"/>
      <c r="F114" s="651"/>
      <c r="G114" s="308"/>
      <c r="H114" s="307"/>
      <c r="I114" s="307"/>
      <c r="J114" s="307"/>
      <c r="K114" s="307"/>
      <c r="L114" s="307"/>
      <c r="M114" s="307"/>
      <c r="N114" s="307"/>
      <c r="O114" s="307"/>
      <c r="P114" s="307"/>
      <c r="Q114" s="307"/>
      <c r="R114" s="307"/>
      <c r="S114" s="307"/>
      <c r="T114" s="307"/>
      <c r="U114" s="646"/>
      <c r="X114" s="301"/>
      <c r="Y114" s="197" t="s">
        <v>340</v>
      </c>
      <c r="Z114" s="307"/>
      <c r="AA114" s="307"/>
      <c r="AB114" s="308"/>
      <c r="AC114" s="651"/>
      <c r="AD114" s="308"/>
      <c r="AE114" s="307"/>
      <c r="AF114" s="307"/>
      <c r="AG114" s="307"/>
      <c r="AH114" s="307"/>
      <c r="AI114" s="307"/>
      <c r="AJ114" s="307"/>
      <c r="AK114" s="307"/>
      <c r="AL114" s="307"/>
      <c r="AM114" s="307"/>
      <c r="AN114" s="307"/>
      <c r="AO114" s="307"/>
      <c r="AP114" s="307"/>
      <c r="AQ114" s="307"/>
      <c r="AR114" s="646"/>
    </row>
    <row r="115" spans="1:47" ht="15.05" thickBot="1" x14ac:dyDescent="0.35">
      <c r="A115" s="205"/>
      <c r="B115" s="5042"/>
      <c r="C115" s="1056">
        <f>IF(B115=0,0,U$83)</f>
        <v>0</v>
      </c>
      <c r="D115" s="1056">
        <f>IF(B115=0,0,VLOOKUP(B115,Precios!$B$216:$D$307,3,FALSE))</f>
        <v>0</v>
      </c>
      <c r="E115" s="5048"/>
      <c r="F115" s="1062">
        <f>IF(B115=0,0,VLOOKUP(B115,Precios!$B$216:$D$307,2,FALSE))</f>
        <v>0</v>
      </c>
      <c r="G115" s="1066">
        <f>E115*F115</f>
        <v>0</v>
      </c>
      <c r="H115" s="309"/>
      <c r="I115" s="1072">
        <f t="shared" si="49"/>
        <v>0</v>
      </c>
      <c r="J115" s="1033">
        <f t="shared" si="49"/>
        <v>0</v>
      </c>
      <c r="K115" s="1033">
        <f t="shared" si="49"/>
        <v>0</v>
      </c>
      <c r="L115" s="1033">
        <f t="shared" si="49"/>
        <v>0</v>
      </c>
      <c r="M115" s="1033">
        <f t="shared" si="49"/>
        <v>0</v>
      </c>
      <c r="N115" s="1033">
        <f t="shared" si="49"/>
        <v>0</v>
      </c>
      <c r="O115" s="1033">
        <f t="shared" si="49"/>
        <v>0</v>
      </c>
      <c r="P115" s="1033">
        <f t="shared" si="49"/>
        <v>0</v>
      </c>
      <c r="Q115" s="1033">
        <f t="shared" si="49"/>
        <v>0</v>
      </c>
      <c r="R115" s="1033">
        <f t="shared" si="49"/>
        <v>0</v>
      </c>
      <c r="S115" s="1033">
        <f t="shared" si="49"/>
        <v>0</v>
      </c>
      <c r="T115" s="1033">
        <f t="shared" si="49"/>
        <v>0</v>
      </c>
      <c r="U115" s="1073">
        <f t="shared" si="53"/>
        <v>0</v>
      </c>
      <c r="X115" s="301"/>
      <c r="Y115" s="5042"/>
      <c r="Z115" s="1056">
        <f>IF(Y115=0,0,AR$83)</f>
        <v>0</v>
      </c>
      <c r="AA115" s="1056">
        <f>IF(Y115=0,0,VLOOKUP(Y115,Precios!$B$216:$D$307,3,FALSE))</f>
        <v>0</v>
      </c>
      <c r="AB115" s="1058"/>
      <c r="AC115" s="1062">
        <f>IF(Y115=0,0,VLOOKUP(Y115,Precios!$B$216:$D$307,2,FALSE))</f>
        <v>0</v>
      </c>
      <c r="AD115" s="1066">
        <f>AB115*AC115</f>
        <v>0</v>
      </c>
      <c r="AE115" s="309"/>
      <c r="AF115" s="1072">
        <f>IF($Z115&gt;0,AF$83*$AB115,0)</f>
        <v>0</v>
      </c>
      <c r="AG115" s="1033">
        <f t="shared" ref="AG115:AQ117" si="57">IF($Z115&gt;0,AG$83*$AB115,0)</f>
        <v>0</v>
      </c>
      <c r="AH115" s="1033">
        <f t="shared" si="57"/>
        <v>0</v>
      </c>
      <c r="AI115" s="1033">
        <f t="shared" si="57"/>
        <v>0</v>
      </c>
      <c r="AJ115" s="1033">
        <f t="shared" si="57"/>
        <v>0</v>
      </c>
      <c r="AK115" s="1033">
        <f t="shared" si="57"/>
        <v>0</v>
      </c>
      <c r="AL115" s="1033">
        <f t="shared" si="57"/>
        <v>0</v>
      </c>
      <c r="AM115" s="1033">
        <f t="shared" si="57"/>
        <v>0</v>
      </c>
      <c r="AN115" s="1033">
        <f t="shared" si="57"/>
        <v>0</v>
      </c>
      <c r="AO115" s="1033">
        <f t="shared" si="57"/>
        <v>0</v>
      </c>
      <c r="AP115" s="1033">
        <f t="shared" si="57"/>
        <v>0</v>
      </c>
      <c r="AQ115" s="1033">
        <f t="shared" si="57"/>
        <v>0</v>
      </c>
      <c r="AR115" s="1073">
        <f t="shared" si="50"/>
        <v>0</v>
      </c>
    </row>
    <row r="116" spans="1:47" ht="15.05" thickBot="1" x14ac:dyDescent="0.35">
      <c r="A116" s="205"/>
      <c r="B116" s="5044"/>
      <c r="C116" s="985">
        <f>IF(B116=0,0,U$83)</f>
        <v>0</v>
      </c>
      <c r="D116" s="985">
        <f>IF(B116=0,0,VLOOKUP(B116,Precios!$B$216:$D$307,3,FALSE))</f>
        <v>0</v>
      </c>
      <c r="E116" s="5049"/>
      <c r="F116" s="1059">
        <f>IF(B116=0,0,VLOOKUP(B116,Precios!$B$216:$D$307,2,FALSE))</f>
        <v>0</v>
      </c>
      <c r="G116" s="1067">
        <f>E116*F116</f>
        <v>0</v>
      </c>
      <c r="H116" s="309"/>
      <c r="I116" s="1074">
        <f t="shared" si="49"/>
        <v>0</v>
      </c>
      <c r="J116" s="1005">
        <f t="shared" si="49"/>
        <v>0</v>
      </c>
      <c r="K116" s="1005">
        <f t="shared" si="49"/>
        <v>0</v>
      </c>
      <c r="L116" s="1005">
        <f t="shared" si="49"/>
        <v>0</v>
      </c>
      <c r="M116" s="1005">
        <f t="shared" si="49"/>
        <v>0</v>
      </c>
      <c r="N116" s="1005">
        <f t="shared" si="49"/>
        <v>0</v>
      </c>
      <c r="O116" s="1005">
        <f t="shared" si="49"/>
        <v>0</v>
      </c>
      <c r="P116" s="1005">
        <f t="shared" si="49"/>
        <v>0</v>
      </c>
      <c r="Q116" s="1005">
        <f t="shared" si="49"/>
        <v>0</v>
      </c>
      <c r="R116" s="1005">
        <f t="shared" si="49"/>
        <v>0</v>
      </c>
      <c r="S116" s="1005">
        <f t="shared" si="49"/>
        <v>0</v>
      </c>
      <c r="T116" s="1005">
        <f t="shared" si="49"/>
        <v>0</v>
      </c>
      <c r="U116" s="1075">
        <f t="shared" si="53"/>
        <v>0</v>
      </c>
      <c r="X116" s="301"/>
      <c r="Y116" s="5044"/>
      <c r="Z116" s="985">
        <f>IF(Y116=0,0,AR$83)</f>
        <v>0</v>
      </c>
      <c r="AA116" s="985">
        <f>IF(Y116=0,0,VLOOKUP(Y116,Precios!$B$216:$D$307,3,FALSE))</f>
        <v>0</v>
      </c>
      <c r="AB116" s="986"/>
      <c r="AC116" s="1059">
        <f>IF(Y116=0,0,VLOOKUP(Y116,Precios!$B$216:$D$307,2,FALSE))</f>
        <v>0</v>
      </c>
      <c r="AD116" s="1067">
        <f>AB116*AC116</f>
        <v>0</v>
      </c>
      <c r="AE116" s="309"/>
      <c r="AF116" s="1074">
        <f>IF($Z116&gt;0,AF$83*$AB116,0)</f>
        <v>0</v>
      </c>
      <c r="AG116" s="1005">
        <f t="shared" si="57"/>
        <v>0</v>
      </c>
      <c r="AH116" s="1005">
        <f t="shared" si="57"/>
        <v>0</v>
      </c>
      <c r="AI116" s="1005">
        <f t="shared" si="57"/>
        <v>0</v>
      </c>
      <c r="AJ116" s="1005">
        <f t="shared" si="57"/>
        <v>0</v>
      </c>
      <c r="AK116" s="1005">
        <f t="shared" si="57"/>
        <v>0</v>
      </c>
      <c r="AL116" s="1005">
        <f t="shared" si="57"/>
        <v>0</v>
      </c>
      <c r="AM116" s="1005">
        <f t="shared" si="57"/>
        <v>0</v>
      </c>
      <c r="AN116" s="1005">
        <f t="shared" si="57"/>
        <v>0</v>
      </c>
      <c r="AO116" s="1005">
        <f t="shared" si="57"/>
        <v>0</v>
      </c>
      <c r="AP116" s="1005">
        <f t="shared" si="57"/>
        <v>0</v>
      </c>
      <c r="AQ116" s="1005">
        <f t="shared" si="57"/>
        <v>0</v>
      </c>
      <c r="AR116" s="1075">
        <f t="shared" si="50"/>
        <v>0</v>
      </c>
    </row>
    <row r="117" spans="1:47" x14ac:dyDescent="0.3">
      <c r="A117" s="205"/>
      <c r="B117" s="5046"/>
      <c r="C117" s="1057">
        <f>IF(B117=0,0,U$83)</f>
        <v>0</v>
      </c>
      <c r="D117" s="1057">
        <f>IF(B117=0,0,VLOOKUP(B117,Precios!$B$216:$D$307,3,FALSE))</f>
        <v>0</v>
      </c>
      <c r="E117" s="5050"/>
      <c r="F117" s="1061">
        <f>IF(B117=0,0,VLOOKUP(B117,Precios!$B$216:$D$307,2,FALSE))</f>
        <v>0</v>
      </c>
      <c r="G117" s="1068">
        <f>E117*F117</f>
        <v>0</v>
      </c>
      <c r="H117" s="309"/>
      <c r="I117" s="1079">
        <f t="shared" si="49"/>
        <v>0</v>
      </c>
      <c r="J117" s="1047">
        <f t="shared" si="49"/>
        <v>0</v>
      </c>
      <c r="K117" s="1047">
        <f t="shared" si="49"/>
        <v>0</v>
      </c>
      <c r="L117" s="1047">
        <f t="shared" si="49"/>
        <v>0</v>
      </c>
      <c r="M117" s="1047">
        <f t="shared" si="49"/>
        <v>0</v>
      </c>
      <c r="N117" s="1047">
        <f t="shared" si="49"/>
        <v>0</v>
      </c>
      <c r="O117" s="1047">
        <f t="shared" si="49"/>
        <v>0</v>
      </c>
      <c r="P117" s="1047">
        <f t="shared" si="49"/>
        <v>0</v>
      </c>
      <c r="Q117" s="1047">
        <f t="shared" si="49"/>
        <v>0</v>
      </c>
      <c r="R117" s="1047">
        <f t="shared" si="49"/>
        <v>0</v>
      </c>
      <c r="S117" s="1047">
        <f t="shared" si="49"/>
        <v>0</v>
      </c>
      <c r="T117" s="1047">
        <f t="shared" si="49"/>
        <v>0</v>
      </c>
      <c r="U117" s="1080">
        <f t="shared" si="53"/>
        <v>0</v>
      </c>
      <c r="X117" s="301"/>
      <c r="Y117" s="5046"/>
      <c r="Z117" s="1057">
        <f>IF(Y117=0,0,AR$83)</f>
        <v>0</v>
      </c>
      <c r="AA117" s="1057">
        <f>IF(Y117=0,0,VLOOKUP(Y117,Precios!$B$216:$D$307,3,FALSE))</f>
        <v>0</v>
      </c>
      <c r="AB117" s="1060"/>
      <c r="AC117" s="1061">
        <f>IF(Y117=0,0,VLOOKUP(Y117,Precios!$B$216:$D$307,2,FALSE))</f>
        <v>0</v>
      </c>
      <c r="AD117" s="1068">
        <f>AB117*AC117</f>
        <v>0</v>
      </c>
      <c r="AE117" s="309"/>
      <c r="AF117" s="1079">
        <f>IF($Z117&gt;0,AF$83*$AB117,0)</f>
        <v>0</v>
      </c>
      <c r="AG117" s="1047">
        <f t="shared" si="57"/>
        <v>0</v>
      </c>
      <c r="AH117" s="1047">
        <f t="shared" si="57"/>
        <v>0</v>
      </c>
      <c r="AI117" s="1047">
        <f t="shared" si="57"/>
        <v>0</v>
      </c>
      <c r="AJ117" s="1047">
        <f t="shared" si="57"/>
        <v>0</v>
      </c>
      <c r="AK117" s="1047">
        <f t="shared" si="57"/>
        <v>0</v>
      </c>
      <c r="AL117" s="1047">
        <f t="shared" si="57"/>
        <v>0</v>
      </c>
      <c r="AM117" s="1047">
        <f t="shared" si="57"/>
        <v>0</v>
      </c>
      <c r="AN117" s="1047">
        <f t="shared" si="57"/>
        <v>0</v>
      </c>
      <c r="AO117" s="1047">
        <f t="shared" si="57"/>
        <v>0</v>
      </c>
      <c r="AP117" s="1047">
        <f t="shared" si="57"/>
        <v>0</v>
      </c>
      <c r="AQ117" s="1047">
        <f t="shared" si="57"/>
        <v>0</v>
      </c>
      <c r="AR117" s="1080">
        <f t="shared" si="50"/>
        <v>0</v>
      </c>
    </row>
    <row r="118" spans="1:47" ht="15.05" thickBot="1" x14ac:dyDescent="0.35">
      <c r="A118" s="205"/>
      <c r="B118" s="647" t="s">
        <v>1087</v>
      </c>
      <c r="C118" s="305"/>
      <c r="D118" s="305"/>
      <c r="E118" s="305"/>
      <c r="F118" s="650"/>
      <c r="G118" s="305"/>
      <c r="H118" s="306"/>
      <c r="I118" s="906">
        <f t="shared" ref="I118:T118" si="58">SUM(I115:I117)</f>
        <v>0</v>
      </c>
      <c r="J118" s="906">
        <f t="shared" si="58"/>
        <v>0</v>
      </c>
      <c r="K118" s="906">
        <f t="shared" si="58"/>
        <v>0</v>
      </c>
      <c r="L118" s="906">
        <f t="shared" si="58"/>
        <v>0</v>
      </c>
      <c r="M118" s="906">
        <f t="shared" si="58"/>
        <v>0</v>
      </c>
      <c r="N118" s="906">
        <f t="shared" si="58"/>
        <v>0</v>
      </c>
      <c r="O118" s="906">
        <f t="shared" si="58"/>
        <v>0</v>
      </c>
      <c r="P118" s="906">
        <f t="shared" si="58"/>
        <v>0</v>
      </c>
      <c r="Q118" s="906">
        <f t="shared" si="58"/>
        <v>0</v>
      </c>
      <c r="R118" s="906">
        <f t="shared" si="58"/>
        <v>0</v>
      </c>
      <c r="S118" s="906">
        <f t="shared" si="58"/>
        <v>0</v>
      </c>
      <c r="T118" s="907">
        <f t="shared" si="58"/>
        <v>0</v>
      </c>
      <c r="U118" s="905">
        <f t="shared" si="53"/>
        <v>0</v>
      </c>
      <c r="W118" s="232" t="str">
        <f>B114&amp;B82</f>
        <v>Agroquímicos 0</v>
      </c>
      <c r="X118" s="301"/>
      <c r="Y118" s="647"/>
      <c r="Z118" s="305"/>
      <c r="AA118" s="305"/>
      <c r="AB118" s="305"/>
      <c r="AC118" s="650"/>
      <c r="AD118" s="305"/>
      <c r="AE118" s="306"/>
      <c r="AF118" s="906">
        <f t="shared" ref="AF118:AQ118" si="59">SUM(AF115:AF117)</f>
        <v>0</v>
      </c>
      <c r="AG118" s="906">
        <f t="shared" si="59"/>
        <v>0</v>
      </c>
      <c r="AH118" s="906">
        <f t="shared" si="59"/>
        <v>0</v>
      </c>
      <c r="AI118" s="906">
        <f t="shared" si="59"/>
        <v>0</v>
      </c>
      <c r="AJ118" s="906">
        <f t="shared" si="59"/>
        <v>0</v>
      </c>
      <c r="AK118" s="906">
        <f t="shared" si="59"/>
        <v>0</v>
      </c>
      <c r="AL118" s="906">
        <f t="shared" si="59"/>
        <v>0</v>
      </c>
      <c r="AM118" s="906">
        <f t="shared" si="59"/>
        <v>0</v>
      </c>
      <c r="AN118" s="906">
        <f t="shared" si="59"/>
        <v>0</v>
      </c>
      <c r="AO118" s="906">
        <f t="shared" si="59"/>
        <v>0</v>
      </c>
      <c r="AP118" s="906">
        <f t="shared" si="59"/>
        <v>0</v>
      </c>
      <c r="AQ118" s="907">
        <f t="shared" si="59"/>
        <v>0</v>
      </c>
      <c r="AR118" s="905">
        <f t="shared" si="50"/>
        <v>0</v>
      </c>
      <c r="AT118" s="232" t="str">
        <f>Y114&amp;Y82</f>
        <v>Agroquímicos 0</v>
      </c>
    </row>
    <row r="119" spans="1:47" ht="15.05" thickBot="1" x14ac:dyDescent="0.25">
      <c r="A119" s="205"/>
      <c r="B119" s="648" t="s">
        <v>892</v>
      </c>
      <c r="C119" s="909">
        <f>+C81</f>
        <v>0</v>
      </c>
      <c r="D119" s="909"/>
      <c r="E119" s="312" t="s">
        <v>876</v>
      </c>
      <c r="F119" s="313"/>
      <c r="G119" s="289"/>
      <c r="H119" s="312"/>
      <c r="I119" s="314">
        <f>SUMPRODUCT($F86:$F117,I86:I117)</f>
        <v>0</v>
      </c>
      <c r="J119" s="314">
        <f t="shared" ref="J119:T119" si="60">SUMPRODUCT($F86:$F117,J86:J117)</f>
        <v>0</v>
      </c>
      <c r="K119" s="314">
        <f t="shared" si="60"/>
        <v>0</v>
      </c>
      <c r="L119" s="314">
        <f t="shared" si="60"/>
        <v>0</v>
      </c>
      <c r="M119" s="314">
        <f t="shared" si="60"/>
        <v>0</v>
      </c>
      <c r="N119" s="314">
        <f t="shared" si="60"/>
        <v>0</v>
      </c>
      <c r="O119" s="314">
        <f t="shared" si="60"/>
        <v>0</v>
      </c>
      <c r="P119" s="314">
        <f t="shared" si="60"/>
        <v>0</v>
      </c>
      <c r="Q119" s="314">
        <f t="shared" si="60"/>
        <v>0</v>
      </c>
      <c r="R119" s="314">
        <f t="shared" si="60"/>
        <v>0</v>
      </c>
      <c r="S119" s="314">
        <f t="shared" si="60"/>
        <v>0</v>
      </c>
      <c r="T119" s="314">
        <f t="shared" si="60"/>
        <v>0</v>
      </c>
      <c r="U119" s="908">
        <f>SUM(I119:T119)</f>
        <v>0</v>
      </c>
      <c r="X119" s="301"/>
      <c r="Y119" s="648" t="s">
        <v>892</v>
      </c>
      <c r="Z119" s="909">
        <f>+Z81</f>
        <v>0</v>
      </c>
      <c r="AA119" s="909"/>
      <c r="AB119" s="312" t="s">
        <v>876</v>
      </c>
      <c r="AC119" s="313"/>
      <c r="AD119" s="289"/>
      <c r="AE119" s="312"/>
      <c r="AF119" s="314">
        <f>SUMPRODUCT($AC86:$AC117,AF86:AF117)</f>
        <v>0</v>
      </c>
      <c r="AG119" s="314">
        <f t="shared" ref="AG119:AQ119" si="61">SUMPRODUCT($AC86:$AC117,AG86:AG117)</f>
        <v>0</v>
      </c>
      <c r="AH119" s="314">
        <f t="shared" si="61"/>
        <v>0</v>
      </c>
      <c r="AI119" s="314">
        <f t="shared" si="61"/>
        <v>0</v>
      </c>
      <c r="AJ119" s="314">
        <f t="shared" si="61"/>
        <v>0</v>
      </c>
      <c r="AK119" s="314">
        <f t="shared" si="61"/>
        <v>0</v>
      </c>
      <c r="AL119" s="314">
        <f t="shared" si="61"/>
        <v>0</v>
      </c>
      <c r="AM119" s="314">
        <f t="shared" si="61"/>
        <v>0</v>
      </c>
      <c r="AN119" s="314">
        <f t="shared" si="61"/>
        <v>0</v>
      </c>
      <c r="AO119" s="314">
        <f t="shared" si="61"/>
        <v>0</v>
      </c>
      <c r="AP119" s="314">
        <f t="shared" si="61"/>
        <v>0</v>
      </c>
      <c r="AQ119" s="314">
        <f t="shared" si="61"/>
        <v>0</v>
      </c>
      <c r="AR119" s="908">
        <f>SUM(AF119:AQ119)</f>
        <v>0</v>
      </c>
    </row>
    <row r="120" spans="1:47" x14ac:dyDescent="0.2">
      <c r="A120" s="205"/>
      <c r="B120" s="208"/>
      <c r="C120" s="177"/>
      <c r="D120" s="177"/>
      <c r="E120" s="177"/>
      <c r="F120" s="315"/>
      <c r="G120" s="316"/>
      <c r="H120" s="177"/>
      <c r="I120" s="177"/>
      <c r="J120" s="177"/>
      <c r="K120" s="177"/>
      <c r="L120" s="177"/>
      <c r="M120" s="177"/>
      <c r="N120" s="177"/>
      <c r="O120" s="177"/>
      <c r="P120" s="177"/>
      <c r="Q120" s="177"/>
      <c r="R120" s="177"/>
      <c r="S120" s="177"/>
      <c r="T120" s="177"/>
      <c r="U120" s="317"/>
      <c r="X120" s="205"/>
      <c r="Y120" s="208"/>
      <c r="Z120" s="177"/>
      <c r="AA120" s="177"/>
      <c r="AB120" s="177"/>
      <c r="AC120" s="316"/>
      <c r="AD120" s="316"/>
      <c r="AE120" s="177"/>
      <c r="AF120" s="177"/>
      <c r="AG120" s="177"/>
      <c r="AH120" s="177"/>
      <c r="AI120" s="177"/>
      <c r="AJ120" s="177"/>
      <c r="AK120" s="177"/>
      <c r="AL120" s="177"/>
      <c r="AM120" s="177"/>
      <c r="AN120" s="177"/>
      <c r="AO120" s="177"/>
      <c r="AP120" s="177"/>
      <c r="AQ120" s="177"/>
      <c r="AR120" s="317"/>
    </row>
    <row r="121" spans="1:47" ht="15.05" thickBot="1" x14ac:dyDescent="0.25">
      <c r="A121" s="205"/>
      <c r="B121" s="208"/>
      <c r="C121" s="177"/>
      <c r="D121" s="177"/>
      <c r="E121" s="177"/>
      <c r="F121" s="315"/>
      <c r="G121" s="316"/>
      <c r="H121" s="177"/>
      <c r="I121" s="177"/>
      <c r="J121" s="177"/>
      <c r="K121" s="177"/>
      <c r="L121" s="177"/>
      <c r="M121" s="177"/>
      <c r="N121" s="177"/>
      <c r="O121" s="177"/>
      <c r="P121" s="177"/>
      <c r="Q121" s="177"/>
      <c r="R121" s="177"/>
      <c r="S121" s="177"/>
      <c r="T121" s="177"/>
      <c r="U121" s="317"/>
      <c r="X121" s="205"/>
      <c r="Y121" s="208"/>
      <c r="Z121" s="177"/>
      <c r="AA121" s="177"/>
      <c r="AB121" s="177"/>
      <c r="AC121" s="316"/>
      <c r="AD121" s="316"/>
      <c r="AE121" s="177"/>
      <c r="AF121" s="177"/>
      <c r="AG121" s="177"/>
      <c r="AH121" s="177"/>
      <c r="AI121" s="177"/>
      <c r="AJ121" s="177"/>
      <c r="AK121" s="177"/>
      <c r="AL121" s="177"/>
      <c r="AM121" s="177"/>
      <c r="AN121" s="177"/>
      <c r="AO121" s="177"/>
      <c r="AP121" s="177"/>
      <c r="AQ121" s="177"/>
      <c r="AR121" s="317"/>
    </row>
    <row r="122" spans="1:47" s="254" customFormat="1" ht="15.05" thickBot="1" x14ac:dyDescent="0.25">
      <c r="A122" s="1344">
        <f>+A81+1</f>
        <v>44</v>
      </c>
      <c r="B122" s="635" t="s">
        <v>878</v>
      </c>
      <c r="C122" s="898">
        <f>+UsoSuelo!D140</f>
        <v>0</v>
      </c>
      <c r="D122" s="898"/>
      <c r="E122" s="636"/>
      <c r="F122" s="637"/>
      <c r="G122" s="637"/>
      <c r="H122" s="637"/>
      <c r="I122" s="637"/>
      <c r="J122" s="637"/>
      <c r="K122" s="637"/>
      <c r="L122" s="637"/>
      <c r="M122" s="637"/>
      <c r="N122" s="637"/>
      <c r="O122" s="637"/>
      <c r="P122" s="637"/>
      <c r="Q122" s="637"/>
      <c r="R122" s="637"/>
      <c r="S122" s="637"/>
      <c r="T122" s="637"/>
      <c r="U122" s="638"/>
      <c r="V122" s="1569"/>
      <c r="W122" s="1569"/>
      <c r="X122" s="1344">
        <f>+X81+1</f>
        <v>56</v>
      </c>
      <c r="Y122" s="635" t="s">
        <v>878</v>
      </c>
      <c r="Z122" s="898">
        <f>+UsoSuelo!D157</f>
        <v>0</v>
      </c>
      <c r="AA122" s="898"/>
      <c r="AB122" s="636"/>
      <c r="AC122" s="637"/>
      <c r="AD122" s="637"/>
      <c r="AE122" s="637"/>
      <c r="AF122" s="637"/>
      <c r="AG122" s="637"/>
      <c r="AH122" s="637"/>
      <c r="AI122" s="637"/>
      <c r="AJ122" s="637"/>
      <c r="AK122" s="637"/>
      <c r="AL122" s="637"/>
      <c r="AM122" s="637"/>
      <c r="AN122" s="637"/>
      <c r="AO122" s="637"/>
      <c r="AP122" s="637"/>
      <c r="AQ122" s="637"/>
      <c r="AR122" s="638"/>
      <c r="AS122" s="1569"/>
      <c r="AT122" s="1569"/>
      <c r="AU122" s="1436"/>
    </row>
    <row r="123" spans="1:47" s="254" customFormat="1" x14ac:dyDescent="0.2">
      <c r="A123" s="1344" t="s">
        <v>1759</v>
      </c>
      <c r="B123" s="639">
        <f>+UsoSuelo!H140</f>
        <v>0</v>
      </c>
      <c r="C123" s="291"/>
      <c r="D123" s="291"/>
      <c r="E123" s="291"/>
      <c r="F123" s="291"/>
      <c r="G123" s="291" t="s">
        <v>883</v>
      </c>
      <c r="H123" s="292"/>
      <c r="I123" s="293" t="str">
        <f t="shared" ref="I123:T123" si="62">+I41</f>
        <v>Ene</v>
      </c>
      <c r="J123" s="293" t="str">
        <f t="shared" si="62"/>
        <v>Feb</v>
      </c>
      <c r="K123" s="293" t="str">
        <f t="shared" si="62"/>
        <v>Mar</v>
      </c>
      <c r="L123" s="293" t="str">
        <f t="shared" si="62"/>
        <v>Abr</v>
      </c>
      <c r="M123" s="293" t="str">
        <f t="shared" si="62"/>
        <v>May</v>
      </c>
      <c r="N123" s="293" t="str">
        <f t="shared" si="62"/>
        <v>Jun</v>
      </c>
      <c r="O123" s="293" t="str">
        <f t="shared" si="62"/>
        <v>Jul</v>
      </c>
      <c r="P123" s="293" t="str">
        <f t="shared" si="62"/>
        <v>Ago</v>
      </c>
      <c r="Q123" s="293" t="str">
        <f t="shared" si="62"/>
        <v>Set</v>
      </c>
      <c r="R123" s="293" t="str">
        <f t="shared" si="62"/>
        <v>Oct</v>
      </c>
      <c r="S123" s="293" t="str">
        <f t="shared" si="62"/>
        <v>Nov</v>
      </c>
      <c r="T123" s="294" t="str">
        <f t="shared" si="62"/>
        <v>Dic</v>
      </c>
      <c r="U123" s="640" t="s">
        <v>1106</v>
      </c>
      <c r="V123" s="1569"/>
      <c r="W123" s="1569"/>
      <c r="X123" s="1344" t="str">
        <f>+A123</f>
        <v>C</v>
      </c>
      <c r="Y123" s="639">
        <f>+UsoSuelo!H157</f>
        <v>0</v>
      </c>
      <c r="Z123" s="291"/>
      <c r="AA123" s="291"/>
      <c r="AB123" s="291"/>
      <c r="AC123" s="291"/>
      <c r="AD123" s="291" t="s">
        <v>883</v>
      </c>
      <c r="AE123" s="292"/>
      <c r="AF123" s="293" t="str">
        <f t="shared" ref="AF123:AQ123" si="63">+AF41</f>
        <v>Ene</v>
      </c>
      <c r="AG123" s="293" t="str">
        <f t="shared" si="63"/>
        <v>Feb</v>
      </c>
      <c r="AH123" s="293" t="str">
        <f t="shared" si="63"/>
        <v>Mar</v>
      </c>
      <c r="AI123" s="293" t="str">
        <f t="shared" si="63"/>
        <v>Abr</v>
      </c>
      <c r="AJ123" s="293" t="str">
        <f t="shared" si="63"/>
        <v>May</v>
      </c>
      <c r="AK123" s="293" t="str">
        <f t="shared" si="63"/>
        <v>Jun</v>
      </c>
      <c r="AL123" s="293" t="str">
        <f t="shared" si="63"/>
        <v>Jul</v>
      </c>
      <c r="AM123" s="293" t="str">
        <f t="shared" si="63"/>
        <v>Ago</v>
      </c>
      <c r="AN123" s="293" t="str">
        <f t="shared" si="63"/>
        <v>Set</v>
      </c>
      <c r="AO123" s="293" t="str">
        <f t="shared" si="63"/>
        <v>Oct</v>
      </c>
      <c r="AP123" s="293" t="str">
        <f t="shared" si="63"/>
        <v>Nov</v>
      </c>
      <c r="AQ123" s="294" t="str">
        <f t="shared" si="63"/>
        <v>Dic</v>
      </c>
      <c r="AR123" s="640" t="s">
        <v>1106</v>
      </c>
      <c r="AS123" s="1569"/>
      <c r="AT123" s="1569"/>
      <c r="AU123" s="1436"/>
    </row>
    <row r="124" spans="1:47" s="254" customFormat="1" x14ac:dyDescent="0.2">
      <c r="A124" s="205"/>
      <c r="B124" s="899" t="s">
        <v>884</v>
      </c>
      <c r="C124" s="900"/>
      <c r="D124" s="900"/>
      <c r="E124" s="900"/>
      <c r="F124" s="900"/>
      <c r="G124" s="900"/>
      <c r="H124" s="900"/>
      <c r="I124" s="901">
        <f>VLOOKUP($C122,UsoSuelo!$CQ$1127:$DC$1194,2,FALSE)</f>
        <v>0</v>
      </c>
      <c r="J124" s="901">
        <f>VLOOKUP($C122,UsoSuelo!$CQ$1127:$DC$1194,3,FALSE)</f>
        <v>0</v>
      </c>
      <c r="K124" s="901">
        <f>VLOOKUP($C122,UsoSuelo!$CQ$1127:$DC$1194,4,FALSE)</f>
        <v>0</v>
      </c>
      <c r="L124" s="901">
        <f>VLOOKUP($C122,UsoSuelo!$CQ$1127:$DC$1194,5,FALSE)</f>
        <v>0</v>
      </c>
      <c r="M124" s="901">
        <f>VLOOKUP($C122,UsoSuelo!$CQ$1127:$DC$1194,6,FALSE)</f>
        <v>0</v>
      </c>
      <c r="N124" s="901">
        <f>VLOOKUP($C122,UsoSuelo!$CQ$1127:$DC$1194,7,FALSE)</f>
        <v>0</v>
      </c>
      <c r="O124" s="901">
        <f>VLOOKUP($C122,UsoSuelo!$CQ$1127:$DC$1194,8,FALSE)</f>
        <v>0</v>
      </c>
      <c r="P124" s="901">
        <f>VLOOKUP($C122,UsoSuelo!$CQ$1127:$DC$1194,9,FALSE)</f>
        <v>0</v>
      </c>
      <c r="Q124" s="901">
        <f>VLOOKUP($C122,UsoSuelo!$CQ$1127:$DC$1194,10,FALSE)</f>
        <v>0</v>
      </c>
      <c r="R124" s="901">
        <f>VLOOKUP($C122,UsoSuelo!$CQ$1127:$DC$1194,11,FALSE)</f>
        <v>0</v>
      </c>
      <c r="S124" s="901">
        <f>VLOOKUP($C122,UsoSuelo!$CQ$1127:$DC$1194,12,FALSE)</f>
        <v>0</v>
      </c>
      <c r="T124" s="902">
        <f>VLOOKUP($C122,UsoSuelo!$CQ$1127:$DC$1194,13,FALSE)</f>
        <v>0</v>
      </c>
      <c r="U124" s="903">
        <f>SUM(I124:T124)</f>
        <v>0</v>
      </c>
      <c r="V124" s="1569"/>
      <c r="W124" s="1569"/>
      <c r="X124" s="16"/>
      <c r="Y124" s="899" t="s">
        <v>884</v>
      </c>
      <c r="Z124" s="900"/>
      <c r="AA124" s="900"/>
      <c r="AB124" s="900"/>
      <c r="AC124" s="900"/>
      <c r="AD124" s="900"/>
      <c r="AE124" s="900"/>
      <c r="AF124" s="901">
        <f>VLOOKUP($Z122,UsoSuelo!$DE$1054:$DQ$1120,2,FALSE)</f>
        <v>0</v>
      </c>
      <c r="AG124" s="901">
        <f>VLOOKUP($Z122,UsoSuelo!$DE$1054:$DQ$1120,3,FALSE)</f>
        <v>0</v>
      </c>
      <c r="AH124" s="901">
        <f>VLOOKUP($Z122,UsoSuelo!$DE$1054:$DQ$1120,4,FALSE)</f>
        <v>0</v>
      </c>
      <c r="AI124" s="901">
        <f>VLOOKUP($Z122,UsoSuelo!$DE$1054:$DQ$1120,5,FALSE)</f>
        <v>0</v>
      </c>
      <c r="AJ124" s="901">
        <f>VLOOKUP($Z122,UsoSuelo!$DE$1054:$DQ$1120,6,FALSE)</f>
        <v>0</v>
      </c>
      <c r="AK124" s="901">
        <f>VLOOKUP($Z122,UsoSuelo!$DE$1054:$DQ$1120,7,FALSE)</f>
        <v>0</v>
      </c>
      <c r="AL124" s="901">
        <f>VLOOKUP($Z122,UsoSuelo!$DE$1054:$DQ$1120,8,FALSE)</f>
        <v>0</v>
      </c>
      <c r="AM124" s="901">
        <f>VLOOKUP($Z122,UsoSuelo!$DE$1054:$DQ$1120,9,FALSE)</f>
        <v>0</v>
      </c>
      <c r="AN124" s="901">
        <f>VLOOKUP($Z122,UsoSuelo!$DE$1054:$DQ$1120,10,FALSE)</f>
        <v>0</v>
      </c>
      <c r="AO124" s="901">
        <f>VLOOKUP($Z122,UsoSuelo!$DE$1054:$DQ$1120,11,FALSE)</f>
        <v>0</v>
      </c>
      <c r="AP124" s="901">
        <f>VLOOKUP($Z122,UsoSuelo!$DE$1054:$DQ$1120,12,FALSE)</f>
        <v>0</v>
      </c>
      <c r="AQ124" s="902">
        <f>VLOOKUP($Z122,UsoSuelo!$DE$1054:$DQ$1120,13,FALSE)</f>
        <v>0</v>
      </c>
      <c r="AR124" s="903">
        <f>SUM(AF124:AQ124)</f>
        <v>0</v>
      </c>
      <c r="AS124" s="1569"/>
      <c r="AT124" s="1569"/>
      <c r="AU124" s="1436"/>
    </row>
    <row r="125" spans="1:47" x14ac:dyDescent="0.2">
      <c r="A125" s="205"/>
      <c r="B125" s="641"/>
      <c r="C125" s="621" t="s">
        <v>885</v>
      </c>
      <c r="D125" s="621"/>
      <c r="E125" s="621" t="s">
        <v>881</v>
      </c>
      <c r="F125" s="621" t="s">
        <v>23</v>
      </c>
      <c r="G125" s="622"/>
      <c r="H125" s="623"/>
      <c r="I125" s="297"/>
      <c r="J125" s="296"/>
      <c r="K125" s="296"/>
      <c r="L125" s="296"/>
      <c r="M125" s="296"/>
      <c r="N125" s="297"/>
      <c r="O125" s="297"/>
      <c r="P125" s="297"/>
      <c r="Q125" s="297"/>
      <c r="R125" s="297"/>
      <c r="S125" s="297"/>
      <c r="T125" s="297"/>
      <c r="U125" s="642" t="s">
        <v>881</v>
      </c>
      <c r="W125" s="1569"/>
      <c r="X125" s="16"/>
      <c r="Y125" s="641"/>
      <c r="Z125" s="621" t="s">
        <v>885</v>
      </c>
      <c r="AA125" s="621"/>
      <c r="AB125" s="621" t="s">
        <v>881</v>
      </c>
      <c r="AC125" s="621" t="s">
        <v>23</v>
      </c>
      <c r="AD125" s="622"/>
      <c r="AE125" s="623"/>
      <c r="AF125" s="297"/>
      <c r="AG125" s="296"/>
      <c r="AH125" s="296"/>
      <c r="AI125" s="296"/>
      <c r="AJ125" s="296"/>
      <c r="AK125" s="297"/>
      <c r="AL125" s="297"/>
      <c r="AM125" s="297"/>
      <c r="AN125" s="297"/>
      <c r="AO125" s="297"/>
      <c r="AP125" s="297"/>
      <c r="AQ125" s="297"/>
      <c r="AR125" s="642" t="s">
        <v>881</v>
      </c>
      <c r="AT125" s="1569"/>
    </row>
    <row r="126" spans="1:47" x14ac:dyDescent="0.2">
      <c r="A126" s="145"/>
      <c r="B126" s="199" t="s">
        <v>869</v>
      </c>
      <c r="C126" s="3" t="s">
        <v>1105</v>
      </c>
      <c r="D126" s="3" t="s">
        <v>312</v>
      </c>
      <c r="E126" s="4" t="s">
        <v>882</v>
      </c>
      <c r="F126" s="3" t="s">
        <v>314</v>
      </c>
      <c r="G126" s="4" t="s">
        <v>313</v>
      </c>
      <c r="H126" s="299"/>
      <c r="I126" s="320"/>
      <c r="J126" s="319"/>
      <c r="K126" s="319"/>
      <c r="L126" s="319"/>
      <c r="M126" s="319" t="s">
        <v>349</v>
      </c>
      <c r="N126" s="320"/>
      <c r="O126" s="320"/>
      <c r="P126" s="320"/>
      <c r="Q126" s="320"/>
      <c r="R126" s="320"/>
      <c r="S126" s="320"/>
      <c r="T126" s="320"/>
      <c r="U126" s="643" t="s">
        <v>891</v>
      </c>
      <c r="X126" s="205"/>
      <c r="Y126" s="199" t="s">
        <v>869</v>
      </c>
      <c r="Z126" s="3" t="s">
        <v>1105</v>
      </c>
      <c r="AA126" s="3" t="s">
        <v>312</v>
      </c>
      <c r="AB126" s="4" t="s">
        <v>882</v>
      </c>
      <c r="AC126" s="3" t="s">
        <v>314</v>
      </c>
      <c r="AD126" s="4" t="s">
        <v>313</v>
      </c>
      <c r="AE126" s="299"/>
      <c r="AF126" s="320"/>
      <c r="AG126" s="319"/>
      <c r="AH126" s="319"/>
      <c r="AI126" s="319"/>
      <c r="AJ126" s="319" t="s">
        <v>349</v>
      </c>
      <c r="AK126" s="320"/>
      <c r="AL126" s="320"/>
      <c r="AM126" s="320"/>
      <c r="AN126" s="320"/>
      <c r="AO126" s="320"/>
      <c r="AP126" s="320"/>
      <c r="AQ126" s="320"/>
      <c r="AR126" s="643" t="s">
        <v>891</v>
      </c>
    </row>
    <row r="127" spans="1:47" ht="15.05" thickBot="1" x14ac:dyDescent="0.35">
      <c r="A127" s="205"/>
      <c r="B127" s="5042"/>
      <c r="C127" s="1056">
        <f>IF(B127=0,0,U$124)</f>
        <v>0</v>
      </c>
      <c r="D127" s="1056">
        <f>IF(B127=0,0,VLOOKUP(B127,Precios!$B$216:$D$307,3,FALSE))</f>
        <v>0</v>
      </c>
      <c r="E127" s="5043"/>
      <c r="F127" s="300"/>
      <c r="G127" s="300"/>
      <c r="H127" s="309"/>
      <c r="I127" s="1072">
        <f>IF($C127&gt;0,I$124*$E127,0)</f>
        <v>0</v>
      </c>
      <c r="J127" s="1033">
        <f t="shared" ref="J127:T144" si="64">IF($C127&gt;0,J$124*$E127,0)</f>
        <v>0</v>
      </c>
      <c r="K127" s="1033">
        <f t="shared" si="64"/>
        <v>0</v>
      </c>
      <c r="L127" s="1033">
        <f t="shared" si="64"/>
        <v>0</v>
      </c>
      <c r="M127" s="1033">
        <f t="shared" si="64"/>
        <v>0</v>
      </c>
      <c r="N127" s="1033">
        <f t="shared" si="64"/>
        <v>0</v>
      </c>
      <c r="O127" s="1033">
        <f t="shared" si="64"/>
        <v>0</v>
      </c>
      <c r="P127" s="1033">
        <f t="shared" si="64"/>
        <v>0</v>
      </c>
      <c r="Q127" s="1033">
        <f t="shared" si="64"/>
        <v>0</v>
      </c>
      <c r="R127" s="1033">
        <f t="shared" si="64"/>
        <v>0</v>
      </c>
      <c r="S127" s="1033">
        <f t="shared" si="64"/>
        <v>0</v>
      </c>
      <c r="T127" s="1033">
        <f t="shared" si="64"/>
        <v>0</v>
      </c>
      <c r="U127" s="1073">
        <f t="shared" ref="U127:U148" si="65">SUM(I127:T127)</f>
        <v>0</v>
      </c>
      <c r="V127" s="232" t="str">
        <f>B127&amp;"propia"</f>
        <v>propia</v>
      </c>
      <c r="X127" s="205"/>
      <c r="Y127" s="5042"/>
      <c r="Z127" s="1056">
        <f>IF(Y127=0,0,AR$124)</f>
        <v>0</v>
      </c>
      <c r="AA127" s="1056">
        <f>IF(Y127=0,0,VLOOKUP(Y127,Precios!$B$216:$D$307,3,FALSE))</f>
        <v>0</v>
      </c>
      <c r="AB127" s="1069"/>
      <c r="AC127" s="300"/>
      <c r="AD127" s="300"/>
      <c r="AE127" s="309"/>
      <c r="AF127" s="1072">
        <f>IF($Z127&gt;0,AF$124*$AB127,0)</f>
        <v>0</v>
      </c>
      <c r="AG127" s="1033">
        <f t="shared" ref="AG127:AQ144" si="66">IF($Z127&gt;0,AG$124*$AB127,0)</f>
        <v>0</v>
      </c>
      <c r="AH127" s="1033">
        <f t="shared" si="66"/>
        <v>0</v>
      </c>
      <c r="AI127" s="1033">
        <f t="shared" si="66"/>
        <v>0</v>
      </c>
      <c r="AJ127" s="1033">
        <f t="shared" si="66"/>
        <v>0</v>
      </c>
      <c r="AK127" s="1033">
        <f t="shared" si="66"/>
        <v>0</v>
      </c>
      <c r="AL127" s="1033">
        <f t="shared" si="66"/>
        <v>0</v>
      </c>
      <c r="AM127" s="1033">
        <f t="shared" si="66"/>
        <v>0</v>
      </c>
      <c r="AN127" s="1033">
        <f t="shared" si="66"/>
        <v>0</v>
      </c>
      <c r="AO127" s="1033">
        <f t="shared" si="66"/>
        <v>0</v>
      </c>
      <c r="AP127" s="1033">
        <f t="shared" si="66"/>
        <v>0</v>
      </c>
      <c r="AQ127" s="1033">
        <f t="shared" si="66"/>
        <v>0</v>
      </c>
      <c r="AR127" s="1073">
        <f t="shared" ref="AR127:AR145" si="67">SUM(AF127:AQ127)</f>
        <v>0</v>
      </c>
      <c r="AS127" s="232" t="str">
        <f>Y127&amp;"propia"</f>
        <v>propia</v>
      </c>
    </row>
    <row r="128" spans="1:47" ht="15.05" thickBot="1" x14ac:dyDescent="0.35">
      <c r="A128" s="205"/>
      <c r="B128" s="5044"/>
      <c r="C128" s="985">
        <f t="shared" ref="C128:C158" si="68">IF(B128=0,0,U$124)</f>
        <v>0</v>
      </c>
      <c r="D128" s="985">
        <f>IF(B128=0,0,VLOOKUP(B128,Precios!$B$216:$D$307,3,FALSE))</f>
        <v>0</v>
      </c>
      <c r="E128" s="5045"/>
      <c r="F128" s="300"/>
      <c r="G128" s="300"/>
      <c r="H128" s="309"/>
      <c r="I128" s="1074">
        <f>IF($C128&gt;0,I$124*$E128,0)</f>
        <v>0</v>
      </c>
      <c r="J128" s="1005">
        <f t="shared" si="64"/>
        <v>0</v>
      </c>
      <c r="K128" s="1005">
        <f t="shared" si="64"/>
        <v>0</v>
      </c>
      <c r="L128" s="1005">
        <f t="shared" si="64"/>
        <v>0</v>
      </c>
      <c r="M128" s="1005">
        <f t="shared" si="64"/>
        <v>0</v>
      </c>
      <c r="N128" s="1005">
        <f t="shared" si="64"/>
        <v>0</v>
      </c>
      <c r="O128" s="1005">
        <f t="shared" si="64"/>
        <v>0</v>
      </c>
      <c r="P128" s="1005">
        <f t="shared" si="64"/>
        <v>0</v>
      </c>
      <c r="Q128" s="1005">
        <f t="shared" si="64"/>
        <v>0</v>
      </c>
      <c r="R128" s="1005">
        <f t="shared" si="64"/>
        <v>0</v>
      </c>
      <c r="S128" s="1005">
        <f t="shared" si="64"/>
        <v>0</v>
      </c>
      <c r="T128" s="1005">
        <f t="shared" si="64"/>
        <v>0</v>
      </c>
      <c r="U128" s="1075">
        <f t="shared" si="65"/>
        <v>0</v>
      </c>
      <c r="V128" s="232" t="str">
        <f>B128&amp;"propia"</f>
        <v>propia</v>
      </c>
      <c r="X128" s="301"/>
      <c r="Y128" s="5044"/>
      <c r="Z128" s="985">
        <f>IF(Y128=0,0,AR$124)</f>
        <v>0</v>
      </c>
      <c r="AA128" s="985">
        <f>IF(Y128=0,0,VLOOKUP(Y128,Precios!$B$216:$D$307,3,FALSE))</f>
        <v>0</v>
      </c>
      <c r="AB128" s="1070"/>
      <c r="AC128" s="300"/>
      <c r="AD128" s="300"/>
      <c r="AE128" s="309"/>
      <c r="AF128" s="1074">
        <f>IF($Z128&gt;0,AF$124*$AB128,0)</f>
        <v>0</v>
      </c>
      <c r="AG128" s="1005">
        <f t="shared" si="66"/>
        <v>0</v>
      </c>
      <c r="AH128" s="1005">
        <f t="shared" si="66"/>
        <v>0</v>
      </c>
      <c r="AI128" s="1005">
        <f t="shared" si="66"/>
        <v>0</v>
      </c>
      <c r="AJ128" s="1005">
        <f t="shared" si="66"/>
        <v>0</v>
      </c>
      <c r="AK128" s="1005">
        <f t="shared" si="66"/>
        <v>0</v>
      </c>
      <c r="AL128" s="1005">
        <f t="shared" si="66"/>
        <v>0</v>
      </c>
      <c r="AM128" s="1005">
        <f t="shared" si="66"/>
        <v>0</v>
      </c>
      <c r="AN128" s="1005">
        <f t="shared" si="66"/>
        <v>0</v>
      </c>
      <c r="AO128" s="1005">
        <f t="shared" si="66"/>
        <v>0</v>
      </c>
      <c r="AP128" s="1005">
        <f t="shared" si="66"/>
        <v>0</v>
      </c>
      <c r="AQ128" s="1005">
        <f t="shared" si="66"/>
        <v>0</v>
      </c>
      <c r="AR128" s="1075">
        <f t="shared" si="67"/>
        <v>0</v>
      </c>
      <c r="AS128" s="232" t="str">
        <f>Y128&amp;"propia"</f>
        <v>propia</v>
      </c>
    </row>
    <row r="129" spans="1:46" ht="15.05" thickBot="1" x14ac:dyDescent="0.35">
      <c r="A129" s="205"/>
      <c r="B129" s="5044"/>
      <c r="C129" s="985">
        <f t="shared" si="68"/>
        <v>0</v>
      </c>
      <c r="D129" s="985">
        <f>IF(B129=0,0,VLOOKUP(B129,Precios!$B$216:$D$307,3,FALSE))</f>
        <v>0</v>
      </c>
      <c r="E129" s="5045"/>
      <c r="F129" s="300"/>
      <c r="G129" s="300"/>
      <c r="H129" s="309"/>
      <c r="I129" s="1074">
        <f>IF($C129&gt;0,I$124*$E129,0)</f>
        <v>0</v>
      </c>
      <c r="J129" s="1005">
        <f t="shared" si="64"/>
        <v>0</v>
      </c>
      <c r="K129" s="1005">
        <f t="shared" si="64"/>
        <v>0</v>
      </c>
      <c r="L129" s="1005">
        <f t="shared" si="64"/>
        <v>0</v>
      </c>
      <c r="M129" s="1005">
        <f t="shared" si="64"/>
        <v>0</v>
      </c>
      <c r="N129" s="1005">
        <f t="shared" si="64"/>
        <v>0</v>
      </c>
      <c r="O129" s="1005">
        <f t="shared" si="64"/>
        <v>0</v>
      </c>
      <c r="P129" s="1005">
        <f t="shared" si="64"/>
        <v>0</v>
      </c>
      <c r="Q129" s="1005">
        <f t="shared" si="64"/>
        <v>0</v>
      </c>
      <c r="R129" s="1005">
        <f t="shared" si="64"/>
        <v>0</v>
      </c>
      <c r="S129" s="1005">
        <f t="shared" si="64"/>
        <v>0</v>
      </c>
      <c r="T129" s="1005">
        <f t="shared" si="64"/>
        <v>0</v>
      </c>
      <c r="U129" s="1075">
        <f t="shared" si="65"/>
        <v>0</v>
      </c>
      <c r="V129" s="232" t="str">
        <f>B129&amp;"propia"</f>
        <v>propia</v>
      </c>
      <c r="X129" s="301"/>
      <c r="Y129" s="5044"/>
      <c r="Z129" s="985">
        <f>IF(Y129=0,0,AR$124)</f>
        <v>0</v>
      </c>
      <c r="AA129" s="985">
        <f>IF(Y129=0,0,VLOOKUP(Y129,Precios!$B$216:$D$307,3,FALSE))</f>
        <v>0</v>
      </c>
      <c r="AB129" s="1070"/>
      <c r="AC129" s="300"/>
      <c r="AD129" s="300"/>
      <c r="AE129" s="309"/>
      <c r="AF129" s="1074">
        <f>IF($Z129&gt;0,AF$124*$AB129,0)</f>
        <v>0</v>
      </c>
      <c r="AG129" s="1005">
        <f t="shared" si="66"/>
        <v>0</v>
      </c>
      <c r="AH129" s="1005">
        <f t="shared" si="66"/>
        <v>0</v>
      </c>
      <c r="AI129" s="1005">
        <f t="shared" si="66"/>
        <v>0</v>
      </c>
      <c r="AJ129" s="1005">
        <f t="shared" si="66"/>
        <v>0</v>
      </c>
      <c r="AK129" s="1005">
        <f t="shared" si="66"/>
        <v>0</v>
      </c>
      <c r="AL129" s="1005">
        <f t="shared" si="66"/>
        <v>0</v>
      </c>
      <c r="AM129" s="1005">
        <f t="shared" si="66"/>
        <v>0</v>
      </c>
      <c r="AN129" s="1005">
        <f t="shared" si="66"/>
        <v>0</v>
      </c>
      <c r="AO129" s="1005">
        <f t="shared" si="66"/>
        <v>0</v>
      </c>
      <c r="AP129" s="1005">
        <f t="shared" si="66"/>
        <v>0</v>
      </c>
      <c r="AQ129" s="1005">
        <f t="shared" si="66"/>
        <v>0</v>
      </c>
      <c r="AR129" s="1075">
        <f t="shared" si="67"/>
        <v>0</v>
      </c>
      <c r="AS129" s="232" t="str">
        <f>Y129&amp;"propia"</f>
        <v>propia</v>
      </c>
    </row>
    <row r="130" spans="1:46" ht="15.05" thickBot="1" x14ac:dyDescent="0.35">
      <c r="A130" s="205"/>
      <c r="B130" s="5044"/>
      <c r="C130" s="985">
        <f t="shared" si="68"/>
        <v>0</v>
      </c>
      <c r="D130" s="985">
        <f>IF(B130=0,0,VLOOKUP(B130,Precios!$B$216:$D$307,3,FALSE))</f>
        <v>0</v>
      </c>
      <c r="E130" s="5045"/>
      <c r="F130" s="300"/>
      <c r="G130" s="300"/>
      <c r="H130" s="309"/>
      <c r="I130" s="1074">
        <f>IF($C130&gt;0,I$124*$E130,0)</f>
        <v>0</v>
      </c>
      <c r="J130" s="1005">
        <f t="shared" si="64"/>
        <v>0</v>
      </c>
      <c r="K130" s="1005">
        <f t="shared" si="64"/>
        <v>0</v>
      </c>
      <c r="L130" s="1005">
        <f t="shared" si="64"/>
        <v>0</v>
      </c>
      <c r="M130" s="1005">
        <f t="shared" si="64"/>
        <v>0</v>
      </c>
      <c r="N130" s="1005">
        <f t="shared" si="64"/>
        <v>0</v>
      </c>
      <c r="O130" s="1005">
        <f t="shared" si="64"/>
        <v>0</v>
      </c>
      <c r="P130" s="1005">
        <f t="shared" si="64"/>
        <v>0</v>
      </c>
      <c r="Q130" s="1005">
        <f t="shared" si="64"/>
        <v>0</v>
      </c>
      <c r="R130" s="1005">
        <f t="shared" si="64"/>
        <v>0</v>
      </c>
      <c r="S130" s="1005">
        <f t="shared" si="64"/>
        <v>0</v>
      </c>
      <c r="T130" s="1005">
        <f t="shared" si="64"/>
        <v>0</v>
      </c>
      <c r="U130" s="1075">
        <f t="shared" si="65"/>
        <v>0</v>
      </c>
      <c r="V130" s="232" t="str">
        <f>B130&amp;"propia"</f>
        <v>propia</v>
      </c>
      <c r="X130" s="301"/>
      <c r="Y130" s="5044"/>
      <c r="Z130" s="985">
        <f>IF(Y130=0,0,AR$124)</f>
        <v>0</v>
      </c>
      <c r="AA130" s="985">
        <f>IF(Y130=0,0,VLOOKUP(Y130,Precios!$B$216:$D$307,3,FALSE))</f>
        <v>0</v>
      </c>
      <c r="AB130" s="1070"/>
      <c r="AC130" s="300"/>
      <c r="AD130" s="300"/>
      <c r="AE130" s="309"/>
      <c r="AF130" s="1074">
        <f>IF($Z130&gt;0,AF$124*$AB130,0)</f>
        <v>0</v>
      </c>
      <c r="AG130" s="1005">
        <f t="shared" si="66"/>
        <v>0</v>
      </c>
      <c r="AH130" s="1005">
        <f t="shared" si="66"/>
        <v>0</v>
      </c>
      <c r="AI130" s="1005">
        <f t="shared" si="66"/>
        <v>0</v>
      </c>
      <c r="AJ130" s="1005">
        <f t="shared" si="66"/>
        <v>0</v>
      </c>
      <c r="AK130" s="1005">
        <f t="shared" si="66"/>
        <v>0</v>
      </c>
      <c r="AL130" s="1005">
        <f t="shared" si="66"/>
        <v>0</v>
      </c>
      <c r="AM130" s="1005">
        <f t="shared" si="66"/>
        <v>0</v>
      </c>
      <c r="AN130" s="1005">
        <f t="shared" si="66"/>
        <v>0</v>
      </c>
      <c r="AO130" s="1005">
        <f t="shared" si="66"/>
        <v>0</v>
      </c>
      <c r="AP130" s="1005">
        <f t="shared" si="66"/>
        <v>0</v>
      </c>
      <c r="AQ130" s="1005">
        <f t="shared" si="66"/>
        <v>0</v>
      </c>
      <c r="AR130" s="1075">
        <f t="shared" si="67"/>
        <v>0</v>
      </c>
      <c r="AS130" s="232" t="str">
        <f>Y130&amp;"propia"</f>
        <v>propia</v>
      </c>
    </row>
    <row r="131" spans="1:46" x14ac:dyDescent="0.3">
      <c r="A131" s="205"/>
      <c r="B131" s="5046"/>
      <c r="C131" s="1057">
        <f t="shared" si="68"/>
        <v>0</v>
      </c>
      <c r="D131" s="1057">
        <f>IF(B131=0,0,VLOOKUP(B131,Precios!$B$216:$D$307,3,FALSE))</f>
        <v>0</v>
      </c>
      <c r="E131" s="5047"/>
      <c r="F131" s="300"/>
      <c r="G131" s="300"/>
      <c r="H131" s="309"/>
      <c r="I131" s="1076">
        <f>IF($C131&gt;0,I$124*$E131,0)</f>
        <v>0</v>
      </c>
      <c r="J131" s="1077">
        <f t="shared" si="64"/>
        <v>0</v>
      </c>
      <c r="K131" s="1077">
        <f t="shared" si="64"/>
        <v>0</v>
      </c>
      <c r="L131" s="1077">
        <f t="shared" si="64"/>
        <v>0</v>
      </c>
      <c r="M131" s="1077">
        <f t="shared" si="64"/>
        <v>0</v>
      </c>
      <c r="N131" s="1077">
        <f t="shared" si="64"/>
        <v>0</v>
      </c>
      <c r="O131" s="1077">
        <f t="shared" si="64"/>
        <v>0</v>
      </c>
      <c r="P131" s="1077">
        <f t="shared" si="64"/>
        <v>0</v>
      </c>
      <c r="Q131" s="1077">
        <f t="shared" si="64"/>
        <v>0</v>
      </c>
      <c r="R131" s="1077">
        <f t="shared" si="64"/>
        <v>0</v>
      </c>
      <c r="S131" s="1077">
        <f t="shared" si="64"/>
        <v>0</v>
      </c>
      <c r="T131" s="1077">
        <f t="shared" si="64"/>
        <v>0</v>
      </c>
      <c r="U131" s="1078">
        <f t="shared" si="65"/>
        <v>0</v>
      </c>
      <c r="V131" s="232" t="str">
        <f>B131&amp;"propia"</f>
        <v>propia</v>
      </c>
      <c r="X131" s="301"/>
      <c r="Y131" s="5046"/>
      <c r="Z131" s="1057">
        <f>IF(Y131=0,0,AR$124)</f>
        <v>0</v>
      </c>
      <c r="AA131" s="1057">
        <f>IF(Y131=0,0,VLOOKUP(Y131,Precios!$B$216:$D$307,3,FALSE))</f>
        <v>0</v>
      </c>
      <c r="AB131" s="1071"/>
      <c r="AC131" s="300"/>
      <c r="AD131" s="300"/>
      <c r="AE131" s="309"/>
      <c r="AF131" s="1076">
        <f>IF($Z131&gt;0,AF$124*$AB131,0)</f>
        <v>0</v>
      </c>
      <c r="AG131" s="1077">
        <f t="shared" si="66"/>
        <v>0</v>
      </c>
      <c r="AH131" s="1077">
        <f t="shared" si="66"/>
        <v>0</v>
      </c>
      <c r="AI131" s="1077">
        <f t="shared" si="66"/>
        <v>0</v>
      </c>
      <c r="AJ131" s="1077">
        <f t="shared" si="66"/>
        <v>0</v>
      </c>
      <c r="AK131" s="1077">
        <f t="shared" si="66"/>
        <v>0</v>
      </c>
      <c r="AL131" s="1077">
        <f t="shared" si="66"/>
        <v>0</v>
      </c>
      <c r="AM131" s="1077">
        <f t="shared" si="66"/>
        <v>0</v>
      </c>
      <c r="AN131" s="1077">
        <f t="shared" si="66"/>
        <v>0</v>
      </c>
      <c r="AO131" s="1077">
        <f t="shared" si="66"/>
        <v>0</v>
      </c>
      <c r="AP131" s="1077">
        <f t="shared" si="66"/>
        <v>0</v>
      </c>
      <c r="AQ131" s="1077">
        <f t="shared" si="66"/>
        <v>0</v>
      </c>
      <c r="AR131" s="1078">
        <f t="shared" si="67"/>
        <v>0</v>
      </c>
      <c r="AS131" s="232" t="str">
        <f>Y131&amp;"propia"</f>
        <v>propia</v>
      </c>
    </row>
    <row r="132" spans="1:46" x14ac:dyDescent="0.3">
      <c r="A132" s="205"/>
      <c r="B132" s="645" t="s">
        <v>1083</v>
      </c>
      <c r="C132" s="305"/>
      <c r="D132" s="305"/>
      <c r="E132" s="305"/>
      <c r="F132" s="305"/>
      <c r="G132" s="305"/>
      <c r="H132" s="306"/>
      <c r="I132" s="904">
        <f>+SUM(I127:I131)</f>
        <v>0</v>
      </c>
      <c r="J132" s="904">
        <f t="shared" ref="J132:T132" si="69">+SUM(J127:J131)</f>
        <v>0</v>
      </c>
      <c r="K132" s="904">
        <f t="shared" si="69"/>
        <v>0</v>
      </c>
      <c r="L132" s="904">
        <f t="shared" si="69"/>
        <v>0</v>
      </c>
      <c r="M132" s="904">
        <f t="shared" si="69"/>
        <v>0</v>
      </c>
      <c r="N132" s="904">
        <f t="shared" si="69"/>
        <v>0</v>
      </c>
      <c r="O132" s="904">
        <f t="shared" si="69"/>
        <v>0</v>
      </c>
      <c r="P132" s="904">
        <f t="shared" si="69"/>
        <v>0</v>
      </c>
      <c r="Q132" s="904">
        <f t="shared" si="69"/>
        <v>0</v>
      </c>
      <c r="R132" s="904">
        <f t="shared" si="69"/>
        <v>0</v>
      </c>
      <c r="S132" s="904">
        <f t="shared" si="69"/>
        <v>0</v>
      </c>
      <c r="T132" s="904">
        <f t="shared" si="69"/>
        <v>0</v>
      </c>
      <c r="U132" s="905">
        <f>SUM(I132:T132)</f>
        <v>0</v>
      </c>
      <c r="X132" s="301"/>
      <c r="Y132" s="645" t="s">
        <v>1083</v>
      </c>
      <c r="Z132" s="305"/>
      <c r="AA132" s="305"/>
      <c r="AB132" s="305"/>
      <c r="AC132" s="305"/>
      <c r="AD132" s="305"/>
      <c r="AE132" s="306"/>
      <c r="AF132" s="904">
        <f t="shared" ref="AF132:AQ132" si="70">SUM(AF127:AF131)</f>
        <v>0</v>
      </c>
      <c r="AG132" s="904">
        <f t="shared" si="70"/>
        <v>0</v>
      </c>
      <c r="AH132" s="904">
        <f t="shared" si="70"/>
        <v>0</v>
      </c>
      <c r="AI132" s="904">
        <f t="shared" si="70"/>
        <v>0</v>
      </c>
      <c r="AJ132" s="904">
        <f t="shared" si="70"/>
        <v>0</v>
      </c>
      <c r="AK132" s="904">
        <f t="shared" si="70"/>
        <v>0</v>
      </c>
      <c r="AL132" s="904">
        <f t="shared" si="70"/>
        <v>0</v>
      </c>
      <c r="AM132" s="904">
        <f t="shared" si="70"/>
        <v>0</v>
      </c>
      <c r="AN132" s="904">
        <f t="shared" si="70"/>
        <v>0</v>
      </c>
      <c r="AO132" s="904">
        <f t="shared" si="70"/>
        <v>0</v>
      </c>
      <c r="AP132" s="904">
        <f t="shared" si="70"/>
        <v>0</v>
      </c>
      <c r="AQ132" s="904">
        <f t="shared" si="70"/>
        <v>0</v>
      </c>
      <c r="AR132" s="905">
        <f>SUM(AF132:AQ132)</f>
        <v>0</v>
      </c>
    </row>
    <row r="133" spans="1:46" x14ac:dyDescent="0.2">
      <c r="A133" s="205"/>
      <c r="B133" s="197" t="s">
        <v>870</v>
      </c>
      <c r="C133" s="307"/>
      <c r="D133" s="307"/>
      <c r="E133" s="308"/>
      <c r="F133" s="308"/>
      <c r="G133" s="308"/>
      <c r="H133" s="307"/>
      <c r="I133" s="307"/>
      <c r="J133" s="307"/>
      <c r="K133" s="307"/>
      <c r="L133" s="307"/>
      <c r="M133" s="307"/>
      <c r="N133" s="307"/>
      <c r="O133" s="307"/>
      <c r="P133" s="307"/>
      <c r="Q133" s="307"/>
      <c r="R133" s="307"/>
      <c r="S133" s="307"/>
      <c r="T133" s="307"/>
      <c r="U133" s="646"/>
      <c r="X133" s="301"/>
      <c r="Y133" s="197" t="s">
        <v>870</v>
      </c>
      <c r="Z133" s="307"/>
      <c r="AA133" s="307"/>
      <c r="AB133" s="308"/>
      <c r="AC133" s="308"/>
      <c r="AD133" s="308"/>
      <c r="AE133" s="307"/>
      <c r="AF133" s="307"/>
      <c r="AG133" s="307"/>
      <c r="AH133" s="307"/>
      <c r="AI133" s="307"/>
      <c r="AJ133" s="307"/>
      <c r="AK133" s="307"/>
      <c r="AL133" s="307"/>
      <c r="AM133" s="307"/>
      <c r="AN133" s="307"/>
      <c r="AO133" s="307"/>
      <c r="AP133" s="307"/>
      <c r="AQ133" s="307"/>
      <c r="AR133" s="646"/>
    </row>
    <row r="134" spans="1:46" ht="15.05" thickBot="1" x14ac:dyDescent="0.35">
      <c r="A134" s="205"/>
      <c r="B134" s="5042"/>
      <c r="C134" s="1056">
        <f t="shared" si="68"/>
        <v>0</v>
      </c>
      <c r="D134" s="1056">
        <f>IF(B134=0,0,VLOOKUP(B134,Precios!$B$216:$D$307,3,FALSE))</f>
        <v>0</v>
      </c>
      <c r="E134" s="5048"/>
      <c r="F134" s="1249">
        <f>IF(B134=0,0,VLOOKUP(B134,Precios!$B$216:$D$307,2,FALSE))</f>
        <v>0</v>
      </c>
      <c r="G134" s="1066">
        <f>E134*F134</f>
        <v>0</v>
      </c>
      <c r="H134" s="309"/>
      <c r="I134" s="1072">
        <f>IF($C134&gt;0,I$124*$E134,0)</f>
        <v>0</v>
      </c>
      <c r="J134" s="1033">
        <f t="shared" si="64"/>
        <v>0</v>
      </c>
      <c r="K134" s="1033">
        <f t="shared" si="64"/>
        <v>0</v>
      </c>
      <c r="L134" s="1033">
        <f t="shared" si="64"/>
        <v>0</v>
      </c>
      <c r="M134" s="1033">
        <f t="shared" si="64"/>
        <v>0</v>
      </c>
      <c r="N134" s="1033">
        <f t="shared" si="64"/>
        <v>0</v>
      </c>
      <c r="O134" s="1033">
        <f t="shared" si="64"/>
        <v>0</v>
      </c>
      <c r="P134" s="1033">
        <f t="shared" si="64"/>
        <v>0</v>
      </c>
      <c r="Q134" s="1033">
        <f t="shared" si="64"/>
        <v>0</v>
      </c>
      <c r="R134" s="1033">
        <f t="shared" si="64"/>
        <v>0</v>
      </c>
      <c r="S134" s="1033">
        <f t="shared" si="64"/>
        <v>0</v>
      </c>
      <c r="T134" s="1033">
        <f t="shared" si="64"/>
        <v>0</v>
      </c>
      <c r="U134" s="1073">
        <f t="shared" si="65"/>
        <v>0</v>
      </c>
      <c r="V134" s="232" t="str">
        <f>B134&amp;"contratada"</f>
        <v>contratada</v>
      </c>
      <c r="X134" s="301"/>
      <c r="Y134" s="5042"/>
      <c r="Z134" s="1056">
        <f>IF(Y134=0,0,AR$124)</f>
        <v>0</v>
      </c>
      <c r="AA134" s="1056">
        <f>IF(Y134=0,0,VLOOKUP(Y134,Precios!$B$216:$D$307,3,FALSE))</f>
        <v>0</v>
      </c>
      <c r="AB134" s="1058"/>
      <c r="AC134" s="1249">
        <f>IF(Y134=0,0,VLOOKUP(Y134,Precios!$B$216:$D$307,2,FALSE))</f>
        <v>0</v>
      </c>
      <c r="AD134" s="1066">
        <f>AB134*AC134</f>
        <v>0</v>
      </c>
      <c r="AE134" s="309"/>
      <c r="AF134" s="1072">
        <f>IF($Z134&gt;0,AF$124*$AB134,0)</f>
        <v>0</v>
      </c>
      <c r="AG134" s="1033">
        <f t="shared" si="66"/>
        <v>0</v>
      </c>
      <c r="AH134" s="1033">
        <f t="shared" si="66"/>
        <v>0</v>
      </c>
      <c r="AI134" s="1033">
        <f t="shared" si="66"/>
        <v>0</v>
      </c>
      <c r="AJ134" s="1033">
        <f t="shared" si="66"/>
        <v>0</v>
      </c>
      <c r="AK134" s="1033">
        <f t="shared" si="66"/>
        <v>0</v>
      </c>
      <c r="AL134" s="1033">
        <f t="shared" si="66"/>
        <v>0</v>
      </c>
      <c r="AM134" s="1033">
        <f t="shared" si="66"/>
        <v>0</v>
      </c>
      <c r="AN134" s="1033">
        <f t="shared" si="66"/>
        <v>0</v>
      </c>
      <c r="AO134" s="1033">
        <f t="shared" si="66"/>
        <v>0</v>
      </c>
      <c r="AP134" s="1033">
        <f t="shared" si="66"/>
        <v>0</v>
      </c>
      <c r="AQ134" s="1033">
        <f t="shared" si="66"/>
        <v>0</v>
      </c>
      <c r="AR134" s="1073">
        <f t="shared" si="67"/>
        <v>0</v>
      </c>
      <c r="AS134" s="232" t="str">
        <f>Y134&amp;"contratada"</f>
        <v>contratada</v>
      </c>
    </row>
    <row r="135" spans="1:46" ht="15.05" thickBot="1" x14ac:dyDescent="0.35">
      <c r="A135" s="205"/>
      <c r="B135" s="5044"/>
      <c r="C135" s="985">
        <f t="shared" si="68"/>
        <v>0</v>
      </c>
      <c r="D135" s="985">
        <f>IF(B135=0,0,VLOOKUP(B135,Precios!$B$216:$D$307,3,FALSE))</f>
        <v>0</v>
      </c>
      <c r="E135" s="5049"/>
      <c r="F135" s="2253">
        <f>IF(B135=0,0,VLOOKUP(B135,Precios!$B$216:$D$307,2,FALSE))</f>
        <v>0</v>
      </c>
      <c r="G135" s="1067">
        <f>E135*F135</f>
        <v>0</v>
      </c>
      <c r="H135" s="309"/>
      <c r="I135" s="1074">
        <f>IF($C135&gt;0,I$124*$E135,0)</f>
        <v>0</v>
      </c>
      <c r="J135" s="1005">
        <f t="shared" si="64"/>
        <v>0</v>
      </c>
      <c r="K135" s="1005">
        <f t="shared" si="64"/>
        <v>0</v>
      </c>
      <c r="L135" s="1005">
        <f t="shared" si="64"/>
        <v>0</v>
      </c>
      <c r="M135" s="1005">
        <f t="shared" si="64"/>
        <v>0</v>
      </c>
      <c r="N135" s="1005">
        <f t="shared" si="64"/>
        <v>0</v>
      </c>
      <c r="O135" s="1005">
        <f t="shared" si="64"/>
        <v>0</v>
      </c>
      <c r="P135" s="1005">
        <f t="shared" si="64"/>
        <v>0</v>
      </c>
      <c r="Q135" s="1005">
        <f t="shared" si="64"/>
        <v>0</v>
      </c>
      <c r="R135" s="1005">
        <f t="shared" si="64"/>
        <v>0</v>
      </c>
      <c r="S135" s="1005">
        <f t="shared" si="64"/>
        <v>0</v>
      </c>
      <c r="T135" s="1005">
        <f t="shared" si="64"/>
        <v>0</v>
      </c>
      <c r="U135" s="1075">
        <f t="shared" si="65"/>
        <v>0</v>
      </c>
      <c r="V135" s="232" t="str">
        <f>B135&amp;"contratada"</f>
        <v>contratada</v>
      </c>
      <c r="X135" s="301"/>
      <c r="Y135" s="5044"/>
      <c r="Z135" s="985">
        <f>IF(Y135=0,0,AR$124)</f>
        <v>0</v>
      </c>
      <c r="AA135" s="985">
        <f>IF(Y135=0,0,VLOOKUP(Y135,Precios!$B$216:$D$307,3,FALSE))</f>
        <v>0</v>
      </c>
      <c r="AB135" s="986"/>
      <c r="AC135" s="2253">
        <f>IF(Y135=0,0,VLOOKUP(Y135,Precios!$B$216:$D$307,2,FALSE))</f>
        <v>0</v>
      </c>
      <c r="AD135" s="1067">
        <f>AB135*AC135</f>
        <v>0</v>
      </c>
      <c r="AE135" s="309"/>
      <c r="AF135" s="1074">
        <f>IF($Z135&gt;0,AF$124*$AB135,0)</f>
        <v>0</v>
      </c>
      <c r="AG135" s="1005">
        <f t="shared" si="66"/>
        <v>0</v>
      </c>
      <c r="AH135" s="1005">
        <f t="shared" si="66"/>
        <v>0</v>
      </c>
      <c r="AI135" s="1005">
        <f t="shared" si="66"/>
        <v>0</v>
      </c>
      <c r="AJ135" s="1005">
        <f t="shared" si="66"/>
        <v>0</v>
      </c>
      <c r="AK135" s="1005">
        <f t="shared" si="66"/>
        <v>0</v>
      </c>
      <c r="AL135" s="1005">
        <f t="shared" si="66"/>
        <v>0</v>
      </c>
      <c r="AM135" s="1005">
        <f t="shared" si="66"/>
        <v>0</v>
      </c>
      <c r="AN135" s="1005">
        <f t="shared" si="66"/>
        <v>0</v>
      </c>
      <c r="AO135" s="1005">
        <f t="shared" si="66"/>
        <v>0</v>
      </c>
      <c r="AP135" s="1005">
        <f t="shared" si="66"/>
        <v>0</v>
      </c>
      <c r="AQ135" s="1005">
        <f t="shared" si="66"/>
        <v>0</v>
      </c>
      <c r="AR135" s="1075">
        <f t="shared" si="67"/>
        <v>0</v>
      </c>
      <c r="AS135" s="232" t="str">
        <f>Y135&amp;"contratada"</f>
        <v>contratada</v>
      </c>
    </row>
    <row r="136" spans="1:46" ht="15.05" thickBot="1" x14ac:dyDescent="0.35">
      <c r="A136" s="205"/>
      <c r="B136" s="5044"/>
      <c r="C136" s="985">
        <f t="shared" si="68"/>
        <v>0</v>
      </c>
      <c r="D136" s="985">
        <f>IF(B136=0,0,VLOOKUP(B136,Precios!$B$216:$D$307,3,FALSE))</f>
        <v>0</v>
      </c>
      <c r="E136" s="5049"/>
      <c r="F136" s="2253">
        <f>IF(B136=0,0,VLOOKUP(B136,Precios!$B$216:$D$307,2,FALSE))</f>
        <v>0</v>
      </c>
      <c r="G136" s="1067">
        <f>E136*F136</f>
        <v>0</v>
      </c>
      <c r="H136" s="309"/>
      <c r="I136" s="1074">
        <f>IF($C136&gt;0,I$124*$E136,0)</f>
        <v>0</v>
      </c>
      <c r="J136" s="1005">
        <f t="shared" si="64"/>
        <v>0</v>
      </c>
      <c r="K136" s="1005">
        <f t="shared" si="64"/>
        <v>0</v>
      </c>
      <c r="L136" s="1005">
        <f t="shared" si="64"/>
        <v>0</v>
      </c>
      <c r="M136" s="1005">
        <f t="shared" si="64"/>
        <v>0</v>
      </c>
      <c r="N136" s="1005">
        <f t="shared" si="64"/>
        <v>0</v>
      </c>
      <c r="O136" s="1005">
        <f t="shared" si="64"/>
        <v>0</v>
      </c>
      <c r="P136" s="1005">
        <f t="shared" si="64"/>
        <v>0</v>
      </c>
      <c r="Q136" s="1005">
        <f t="shared" si="64"/>
        <v>0</v>
      </c>
      <c r="R136" s="1005">
        <f t="shared" si="64"/>
        <v>0</v>
      </c>
      <c r="S136" s="1005">
        <f t="shared" si="64"/>
        <v>0</v>
      </c>
      <c r="T136" s="1005">
        <f t="shared" si="64"/>
        <v>0</v>
      </c>
      <c r="U136" s="1075">
        <f t="shared" si="65"/>
        <v>0</v>
      </c>
      <c r="V136" s="232" t="str">
        <f>B136&amp;"contratada"</f>
        <v>contratada</v>
      </c>
      <c r="X136" s="301"/>
      <c r="Y136" s="5044"/>
      <c r="Z136" s="985">
        <f>IF(Y136=0,0,AR$124)</f>
        <v>0</v>
      </c>
      <c r="AA136" s="985">
        <f>IF(Y136=0,0,VLOOKUP(Y136,Precios!$B$216:$D$307,3,FALSE))</f>
        <v>0</v>
      </c>
      <c r="AB136" s="986"/>
      <c r="AC136" s="2253">
        <f>IF(Y136=0,0,VLOOKUP(Y136,Precios!$B$216:$D$307,2,FALSE))</f>
        <v>0</v>
      </c>
      <c r="AD136" s="1067">
        <f>AB136*AC136</f>
        <v>0</v>
      </c>
      <c r="AE136" s="309"/>
      <c r="AF136" s="1074">
        <f>IF($Z136&gt;0,AF$124*$AB136,0)</f>
        <v>0</v>
      </c>
      <c r="AG136" s="1005">
        <f t="shared" si="66"/>
        <v>0</v>
      </c>
      <c r="AH136" s="1005">
        <f t="shared" si="66"/>
        <v>0</v>
      </c>
      <c r="AI136" s="1005">
        <f t="shared" si="66"/>
        <v>0</v>
      </c>
      <c r="AJ136" s="1005">
        <f t="shared" si="66"/>
        <v>0</v>
      </c>
      <c r="AK136" s="1005">
        <f t="shared" si="66"/>
        <v>0</v>
      </c>
      <c r="AL136" s="1005">
        <f t="shared" si="66"/>
        <v>0</v>
      </c>
      <c r="AM136" s="1005">
        <f t="shared" si="66"/>
        <v>0</v>
      </c>
      <c r="AN136" s="1005">
        <f t="shared" si="66"/>
        <v>0</v>
      </c>
      <c r="AO136" s="1005">
        <f t="shared" si="66"/>
        <v>0</v>
      </c>
      <c r="AP136" s="1005">
        <f t="shared" si="66"/>
        <v>0</v>
      </c>
      <c r="AQ136" s="1005">
        <f t="shared" si="66"/>
        <v>0</v>
      </c>
      <c r="AR136" s="1075">
        <f t="shared" si="67"/>
        <v>0</v>
      </c>
      <c r="AS136" s="232" t="str">
        <f>Y136&amp;"contratada"</f>
        <v>contratada</v>
      </c>
    </row>
    <row r="137" spans="1:46" ht="15.05" thickBot="1" x14ac:dyDescent="0.35">
      <c r="A137" s="205"/>
      <c r="B137" s="5044"/>
      <c r="C137" s="985">
        <f t="shared" si="68"/>
        <v>0</v>
      </c>
      <c r="D137" s="985">
        <f>IF(B137=0,0,VLOOKUP(B137,Precios!$B$216:$D$307,3,FALSE))</f>
        <v>0</v>
      </c>
      <c r="E137" s="5049"/>
      <c r="F137" s="2253">
        <f>IF(B137=0,0,VLOOKUP(B137,Precios!$B$216:$D$307,2,FALSE))</f>
        <v>0</v>
      </c>
      <c r="G137" s="1067">
        <f>E137*F137</f>
        <v>0</v>
      </c>
      <c r="H137" s="309"/>
      <c r="I137" s="1074">
        <f>IF($C137&gt;0,I$124*$E137,0)</f>
        <v>0</v>
      </c>
      <c r="J137" s="1005">
        <f t="shared" si="64"/>
        <v>0</v>
      </c>
      <c r="K137" s="1005">
        <f t="shared" si="64"/>
        <v>0</v>
      </c>
      <c r="L137" s="1005">
        <f t="shared" si="64"/>
        <v>0</v>
      </c>
      <c r="M137" s="1005">
        <f t="shared" si="64"/>
        <v>0</v>
      </c>
      <c r="N137" s="1005">
        <f t="shared" si="64"/>
        <v>0</v>
      </c>
      <c r="O137" s="1005">
        <f t="shared" si="64"/>
        <v>0</v>
      </c>
      <c r="P137" s="1005">
        <f t="shared" si="64"/>
        <v>0</v>
      </c>
      <c r="Q137" s="1005">
        <f t="shared" si="64"/>
        <v>0</v>
      </c>
      <c r="R137" s="1005">
        <f t="shared" si="64"/>
        <v>0</v>
      </c>
      <c r="S137" s="1005">
        <f t="shared" si="64"/>
        <v>0</v>
      </c>
      <c r="T137" s="1005">
        <f t="shared" si="64"/>
        <v>0</v>
      </c>
      <c r="U137" s="1075">
        <f t="shared" si="65"/>
        <v>0</v>
      </c>
      <c r="V137" s="232" t="str">
        <f>B137&amp;"contratada"</f>
        <v>contratada</v>
      </c>
      <c r="X137" s="301"/>
      <c r="Y137" s="5044"/>
      <c r="Z137" s="985">
        <f>IF(Y137=0,0,AR$124)</f>
        <v>0</v>
      </c>
      <c r="AA137" s="985">
        <f>IF(Y137=0,0,VLOOKUP(Y137,Precios!$B$216:$D$307,3,FALSE))</f>
        <v>0</v>
      </c>
      <c r="AB137" s="986"/>
      <c r="AC137" s="2253">
        <f>IF(Y137=0,0,VLOOKUP(Y137,Precios!$B$216:$D$307,2,FALSE))</f>
        <v>0</v>
      </c>
      <c r="AD137" s="1067">
        <f>AB137*AC137</f>
        <v>0</v>
      </c>
      <c r="AE137" s="309"/>
      <c r="AF137" s="1074">
        <f>IF($Z137&gt;0,AF$124*$AB137,0)</f>
        <v>0</v>
      </c>
      <c r="AG137" s="1005">
        <f t="shared" si="66"/>
        <v>0</v>
      </c>
      <c r="AH137" s="1005">
        <f t="shared" si="66"/>
        <v>0</v>
      </c>
      <c r="AI137" s="1005">
        <f t="shared" si="66"/>
        <v>0</v>
      </c>
      <c r="AJ137" s="1005">
        <f t="shared" si="66"/>
        <v>0</v>
      </c>
      <c r="AK137" s="1005">
        <f t="shared" si="66"/>
        <v>0</v>
      </c>
      <c r="AL137" s="1005">
        <f t="shared" si="66"/>
        <v>0</v>
      </c>
      <c r="AM137" s="1005">
        <f t="shared" si="66"/>
        <v>0</v>
      </c>
      <c r="AN137" s="1005">
        <f t="shared" si="66"/>
        <v>0</v>
      </c>
      <c r="AO137" s="1005">
        <f t="shared" si="66"/>
        <v>0</v>
      </c>
      <c r="AP137" s="1005">
        <f t="shared" si="66"/>
        <v>0</v>
      </c>
      <c r="AQ137" s="1005">
        <f t="shared" si="66"/>
        <v>0</v>
      </c>
      <c r="AR137" s="1075">
        <f t="shared" si="67"/>
        <v>0</v>
      </c>
      <c r="AS137" s="232" t="str">
        <f>Y137&amp;"contratada"</f>
        <v>contratada</v>
      </c>
    </row>
    <row r="138" spans="1:46" x14ac:dyDescent="0.3">
      <c r="A138" s="205"/>
      <c r="B138" s="5046"/>
      <c r="C138" s="1057">
        <f t="shared" si="68"/>
        <v>0</v>
      </c>
      <c r="D138" s="1057">
        <f>IF(B138=0,0,VLOOKUP(B138,Precios!$B$216:$D$307,3,FALSE))</f>
        <v>0</v>
      </c>
      <c r="E138" s="5050"/>
      <c r="F138" s="2254">
        <f>IF(B138=0,0,VLOOKUP(B138,Precios!$B$216:$D$307,2,FALSE))</f>
        <v>0</v>
      </c>
      <c r="G138" s="1068">
        <f>E138*F138</f>
        <v>0</v>
      </c>
      <c r="H138" s="309"/>
      <c r="I138" s="1076">
        <f>IF($C138&gt;0,I$124*$E138,0)</f>
        <v>0</v>
      </c>
      <c r="J138" s="1077">
        <f t="shared" si="64"/>
        <v>0</v>
      </c>
      <c r="K138" s="1077">
        <f t="shared" si="64"/>
        <v>0</v>
      </c>
      <c r="L138" s="1077">
        <f t="shared" si="64"/>
        <v>0</v>
      </c>
      <c r="M138" s="1077">
        <f t="shared" si="64"/>
        <v>0</v>
      </c>
      <c r="N138" s="1077">
        <f t="shared" si="64"/>
        <v>0</v>
      </c>
      <c r="O138" s="1077">
        <f t="shared" si="64"/>
        <v>0</v>
      </c>
      <c r="P138" s="1077">
        <f t="shared" si="64"/>
        <v>0</v>
      </c>
      <c r="Q138" s="1077">
        <f t="shared" si="64"/>
        <v>0</v>
      </c>
      <c r="R138" s="1077">
        <f t="shared" si="64"/>
        <v>0</v>
      </c>
      <c r="S138" s="1077">
        <f t="shared" si="64"/>
        <v>0</v>
      </c>
      <c r="T138" s="1077">
        <f t="shared" si="64"/>
        <v>0</v>
      </c>
      <c r="U138" s="1078">
        <f t="shared" si="65"/>
        <v>0</v>
      </c>
      <c r="V138" s="232" t="str">
        <f>B138&amp;"contratada"</f>
        <v>contratada</v>
      </c>
      <c r="X138" s="301"/>
      <c r="Y138" s="5046"/>
      <c r="Z138" s="1057">
        <f>IF(Y138=0,0,AR$124)</f>
        <v>0</v>
      </c>
      <c r="AA138" s="1057">
        <f>IF(Y138=0,0,VLOOKUP(Y138,Precios!$B$216:$D$307,3,FALSE))</f>
        <v>0</v>
      </c>
      <c r="AB138" s="1060"/>
      <c r="AC138" s="2254">
        <f>IF(Y138=0,0,VLOOKUP(Y138,Precios!$B$216:$D$307,2,FALSE))</f>
        <v>0</v>
      </c>
      <c r="AD138" s="1068">
        <f>AB138*AC138</f>
        <v>0</v>
      </c>
      <c r="AE138" s="309"/>
      <c r="AF138" s="1076">
        <f>IF($Z138&gt;0,AF$124*$AB138,0)</f>
        <v>0</v>
      </c>
      <c r="AG138" s="1077">
        <f t="shared" si="66"/>
        <v>0</v>
      </c>
      <c r="AH138" s="1077">
        <f t="shared" si="66"/>
        <v>0</v>
      </c>
      <c r="AI138" s="1077">
        <f t="shared" si="66"/>
        <v>0</v>
      </c>
      <c r="AJ138" s="1077">
        <f t="shared" si="66"/>
        <v>0</v>
      </c>
      <c r="AK138" s="1077">
        <f t="shared" si="66"/>
        <v>0</v>
      </c>
      <c r="AL138" s="1077">
        <f t="shared" si="66"/>
        <v>0</v>
      </c>
      <c r="AM138" s="1077">
        <f t="shared" si="66"/>
        <v>0</v>
      </c>
      <c r="AN138" s="1077">
        <f t="shared" si="66"/>
        <v>0</v>
      </c>
      <c r="AO138" s="1077">
        <f t="shared" si="66"/>
        <v>0</v>
      </c>
      <c r="AP138" s="1077">
        <f t="shared" si="66"/>
        <v>0</v>
      </c>
      <c r="AQ138" s="1077">
        <f t="shared" si="66"/>
        <v>0</v>
      </c>
      <c r="AR138" s="1078">
        <f t="shared" si="67"/>
        <v>0</v>
      </c>
      <c r="AS138" s="232" t="str">
        <f>Y138&amp;"contratada"</f>
        <v>contratada</v>
      </c>
    </row>
    <row r="139" spans="1:46" x14ac:dyDescent="0.3">
      <c r="A139" s="205"/>
      <c r="B139" s="647" t="s">
        <v>1084</v>
      </c>
      <c r="C139" s="305"/>
      <c r="D139" s="305"/>
      <c r="E139" s="305"/>
      <c r="F139" s="650"/>
      <c r="G139" s="305"/>
      <c r="H139" s="310"/>
      <c r="I139" s="904">
        <f t="shared" ref="I139:T139" si="71">SUM(I134:I138)</f>
        <v>0</v>
      </c>
      <c r="J139" s="904">
        <f t="shared" si="71"/>
        <v>0</v>
      </c>
      <c r="K139" s="904">
        <f t="shared" si="71"/>
        <v>0</v>
      </c>
      <c r="L139" s="904">
        <f t="shared" si="71"/>
        <v>0</v>
      </c>
      <c r="M139" s="904">
        <f t="shared" si="71"/>
        <v>0</v>
      </c>
      <c r="N139" s="904">
        <f t="shared" si="71"/>
        <v>0</v>
      </c>
      <c r="O139" s="904">
        <f t="shared" si="71"/>
        <v>0</v>
      </c>
      <c r="P139" s="904">
        <f t="shared" si="71"/>
        <v>0</v>
      </c>
      <c r="Q139" s="904">
        <f t="shared" si="71"/>
        <v>0</v>
      </c>
      <c r="R139" s="904">
        <f t="shared" si="71"/>
        <v>0</v>
      </c>
      <c r="S139" s="904">
        <f t="shared" si="71"/>
        <v>0</v>
      </c>
      <c r="T139" s="904">
        <f t="shared" si="71"/>
        <v>0</v>
      </c>
      <c r="U139" s="905">
        <f>SUM(I139:T139)</f>
        <v>0</v>
      </c>
      <c r="W139" s="232" t="str">
        <f>B133&amp;B123</f>
        <v>Labores con maquinaria contratada0</v>
      </c>
      <c r="X139" s="301"/>
      <c r="Y139" s="647" t="s">
        <v>1084</v>
      </c>
      <c r="Z139" s="305"/>
      <c r="AA139" s="305"/>
      <c r="AB139" s="305"/>
      <c r="AC139" s="650"/>
      <c r="AD139" s="305"/>
      <c r="AE139" s="310"/>
      <c r="AF139" s="904">
        <f t="shared" ref="AF139:AQ139" si="72">SUM(AF134:AF138)</f>
        <v>0</v>
      </c>
      <c r="AG139" s="904">
        <f t="shared" si="72"/>
        <v>0</v>
      </c>
      <c r="AH139" s="904">
        <f t="shared" si="72"/>
        <v>0</v>
      </c>
      <c r="AI139" s="904">
        <f t="shared" si="72"/>
        <v>0</v>
      </c>
      <c r="AJ139" s="904">
        <f t="shared" si="72"/>
        <v>0</v>
      </c>
      <c r="AK139" s="904">
        <f t="shared" si="72"/>
        <v>0</v>
      </c>
      <c r="AL139" s="904">
        <f t="shared" si="72"/>
        <v>0</v>
      </c>
      <c r="AM139" s="904">
        <f t="shared" si="72"/>
        <v>0</v>
      </c>
      <c r="AN139" s="904">
        <f t="shared" si="72"/>
        <v>0</v>
      </c>
      <c r="AO139" s="904">
        <f t="shared" si="72"/>
        <v>0</v>
      </c>
      <c r="AP139" s="904">
        <f t="shared" si="72"/>
        <v>0</v>
      </c>
      <c r="AQ139" s="904">
        <f t="shared" si="72"/>
        <v>0</v>
      </c>
      <c r="AR139" s="905">
        <f>SUM(AF139:AQ139)</f>
        <v>0</v>
      </c>
      <c r="AT139" s="232" t="str">
        <f>Y133&amp;Y123</f>
        <v>Labores con maquinaria contratada0</v>
      </c>
    </row>
    <row r="140" spans="1:46" x14ac:dyDescent="0.2">
      <c r="A140" s="205"/>
      <c r="B140" s="197" t="s">
        <v>85</v>
      </c>
      <c r="C140" s="307"/>
      <c r="D140" s="307"/>
      <c r="E140" s="308"/>
      <c r="F140" s="651"/>
      <c r="G140" s="308"/>
      <c r="H140" s="308"/>
      <c r="I140" s="311"/>
      <c r="J140" s="311"/>
      <c r="K140" s="311"/>
      <c r="L140" s="311"/>
      <c r="M140" s="311"/>
      <c r="N140" s="311"/>
      <c r="O140" s="311"/>
      <c r="P140" s="311"/>
      <c r="Q140" s="311"/>
      <c r="R140" s="311"/>
      <c r="S140" s="311"/>
      <c r="T140" s="311"/>
      <c r="U140" s="646"/>
      <c r="X140" s="301"/>
      <c r="Y140" s="197" t="s">
        <v>85</v>
      </c>
      <c r="Z140" s="307"/>
      <c r="AA140" s="307"/>
      <c r="AB140" s="308"/>
      <c r="AC140" s="651"/>
      <c r="AD140" s="308"/>
      <c r="AE140" s="308"/>
      <c r="AF140" s="311"/>
      <c r="AG140" s="311"/>
      <c r="AH140" s="311"/>
      <c r="AI140" s="311"/>
      <c r="AJ140" s="311"/>
      <c r="AK140" s="311"/>
      <c r="AL140" s="311"/>
      <c r="AM140" s="311"/>
      <c r="AN140" s="311"/>
      <c r="AO140" s="311"/>
      <c r="AP140" s="311"/>
      <c r="AQ140" s="311"/>
      <c r="AR140" s="646"/>
    </row>
    <row r="141" spans="1:46" ht="15.05" thickBot="1" x14ac:dyDescent="0.35">
      <c r="A141" s="205"/>
      <c r="B141" s="5042"/>
      <c r="C141" s="1056">
        <f t="shared" si="68"/>
        <v>0</v>
      </c>
      <c r="D141" s="1056">
        <f>IF(B141=0,0,VLOOKUP(B141,Precios!$B$216:$D$307,3,FALSE))</f>
        <v>0</v>
      </c>
      <c r="E141" s="5048"/>
      <c r="F141" s="1062">
        <f>IF(B141=0,0,VLOOKUP(B141,Precios!$B$216:$D$307,2,FALSE))</f>
        <v>0</v>
      </c>
      <c r="G141" s="1066">
        <f t="shared" ref="G141:G148" si="73">E141*F141</f>
        <v>0</v>
      </c>
      <c r="H141" s="309"/>
      <c r="I141" s="1072">
        <f t="shared" ref="I141:T158" si="74">IF($C141&gt;0,I$124*$E141,0)</f>
        <v>0</v>
      </c>
      <c r="J141" s="1033">
        <f t="shared" si="64"/>
        <v>0</v>
      </c>
      <c r="K141" s="1033">
        <f t="shared" si="64"/>
        <v>0</v>
      </c>
      <c r="L141" s="1033">
        <f t="shared" si="64"/>
        <v>0</v>
      </c>
      <c r="M141" s="1033">
        <f t="shared" si="64"/>
        <v>0</v>
      </c>
      <c r="N141" s="1033">
        <f t="shared" si="64"/>
        <v>0</v>
      </c>
      <c r="O141" s="1033">
        <f t="shared" si="64"/>
        <v>0</v>
      </c>
      <c r="P141" s="1033">
        <f t="shared" si="64"/>
        <v>0</v>
      </c>
      <c r="Q141" s="1033">
        <f t="shared" si="64"/>
        <v>0</v>
      </c>
      <c r="R141" s="1033">
        <f t="shared" si="64"/>
        <v>0</v>
      </c>
      <c r="S141" s="1033">
        <f t="shared" si="64"/>
        <v>0</v>
      </c>
      <c r="T141" s="1033">
        <f t="shared" si="64"/>
        <v>0</v>
      </c>
      <c r="U141" s="1073">
        <f t="shared" si="65"/>
        <v>0</v>
      </c>
      <c r="X141" s="301"/>
      <c r="Y141" s="5042"/>
      <c r="Z141" s="1056">
        <f>IF(Y141=0,0,AR$124)</f>
        <v>0</v>
      </c>
      <c r="AA141" s="1056">
        <f>IF(Y141=0,0,VLOOKUP(Y141,Precios!$B$216:$D$307,3,FALSE))</f>
        <v>0</v>
      </c>
      <c r="AB141" s="1058"/>
      <c r="AC141" s="1062">
        <f>IF(Y141=0,0,VLOOKUP(Y141,Precios!$B$216:$D$307,2,FALSE))</f>
        <v>0</v>
      </c>
      <c r="AD141" s="1066">
        <f t="shared" ref="AD141:AD148" si="75">AB141*AC141</f>
        <v>0</v>
      </c>
      <c r="AE141" s="309"/>
      <c r="AF141" s="1072">
        <f>IF($Z141&gt;0,AF$124*$AB141,0)</f>
        <v>0</v>
      </c>
      <c r="AG141" s="1033">
        <f t="shared" si="66"/>
        <v>0</v>
      </c>
      <c r="AH141" s="1033">
        <f t="shared" si="66"/>
        <v>0</v>
      </c>
      <c r="AI141" s="1033">
        <f t="shared" si="66"/>
        <v>0</v>
      </c>
      <c r="AJ141" s="1033">
        <f t="shared" si="66"/>
        <v>0</v>
      </c>
      <c r="AK141" s="1033">
        <f t="shared" si="66"/>
        <v>0</v>
      </c>
      <c r="AL141" s="1033">
        <f t="shared" si="66"/>
        <v>0</v>
      </c>
      <c r="AM141" s="1033">
        <f t="shared" si="66"/>
        <v>0</v>
      </c>
      <c r="AN141" s="1033">
        <f t="shared" si="66"/>
        <v>0</v>
      </c>
      <c r="AO141" s="1033">
        <f t="shared" si="66"/>
        <v>0</v>
      </c>
      <c r="AP141" s="1033">
        <f t="shared" si="66"/>
        <v>0</v>
      </c>
      <c r="AQ141" s="1033">
        <f t="shared" si="66"/>
        <v>0</v>
      </c>
      <c r="AR141" s="1073">
        <f t="shared" si="67"/>
        <v>0</v>
      </c>
    </row>
    <row r="142" spans="1:46" ht="15.05" thickBot="1" x14ac:dyDescent="0.35">
      <c r="A142" s="205"/>
      <c r="B142" s="5044"/>
      <c r="C142" s="985">
        <f t="shared" si="68"/>
        <v>0</v>
      </c>
      <c r="D142" s="985">
        <f>IF(B142=0,0,VLOOKUP(B142,Precios!$B$216:$D$307,3,FALSE))</f>
        <v>0</v>
      </c>
      <c r="E142" s="5049"/>
      <c r="F142" s="1059">
        <f>IF(B142=0,0,VLOOKUP(B142,Precios!$B$216:$D$307,2,FALSE))</f>
        <v>0</v>
      </c>
      <c r="G142" s="1067">
        <f t="shared" si="73"/>
        <v>0</v>
      </c>
      <c r="H142" s="309"/>
      <c r="I142" s="1074">
        <f t="shared" si="74"/>
        <v>0</v>
      </c>
      <c r="J142" s="1005">
        <f t="shared" si="64"/>
        <v>0</v>
      </c>
      <c r="K142" s="1005">
        <f t="shared" si="64"/>
        <v>0</v>
      </c>
      <c r="L142" s="1005">
        <f t="shared" si="64"/>
        <v>0</v>
      </c>
      <c r="M142" s="1005">
        <f t="shared" si="64"/>
        <v>0</v>
      </c>
      <c r="N142" s="1005">
        <f t="shared" si="64"/>
        <v>0</v>
      </c>
      <c r="O142" s="1005">
        <f t="shared" si="64"/>
        <v>0</v>
      </c>
      <c r="P142" s="1005">
        <f t="shared" si="64"/>
        <v>0</v>
      </c>
      <c r="Q142" s="1005">
        <f t="shared" si="64"/>
        <v>0</v>
      </c>
      <c r="R142" s="1005">
        <f t="shared" si="64"/>
        <v>0</v>
      </c>
      <c r="S142" s="1005">
        <f t="shared" si="64"/>
        <v>0</v>
      </c>
      <c r="T142" s="1005">
        <f t="shared" si="64"/>
        <v>0</v>
      </c>
      <c r="U142" s="1075">
        <f t="shared" si="65"/>
        <v>0</v>
      </c>
      <c r="X142" s="301"/>
      <c r="Y142" s="5044"/>
      <c r="Z142" s="985">
        <f t="shared" ref="Z142:Z158" si="76">IF(Y142=0,0,AR$124)</f>
        <v>0</v>
      </c>
      <c r="AA142" s="985">
        <f>IF(Y142=0,0,VLOOKUP(Y142,Precios!$B$216:$D$307,3,FALSE))</f>
        <v>0</v>
      </c>
      <c r="AB142" s="986"/>
      <c r="AC142" s="1059">
        <f>IF(Y142=0,0,VLOOKUP(Y142,Precios!$B$216:$D$307,2,FALSE))</f>
        <v>0</v>
      </c>
      <c r="AD142" s="1067">
        <f t="shared" si="75"/>
        <v>0</v>
      </c>
      <c r="AE142" s="309"/>
      <c r="AF142" s="1074">
        <f t="shared" ref="AF142:AQ158" si="77">IF($Z142&gt;0,AF$124*$AB142,0)</f>
        <v>0</v>
      </c>
      <c r="AG142" s="1005">
        <f t="shared" si="66"/>
        <v>0</v>
      </c>
      <c r="AH142" s="1005">
        <f t="shared" si="66"/>
        <v>0</v>
      </c>
      <c r="AI142" s="1005">
        <f t="shared" si="66"/>
        <v>0</v>
      </c>
      <c r="AJ142" s="1005">
        <f t="shared" si="66"/>
        <v>0</v>
      </c>
      <c r="AK142" s="1005">
        <f t="shared" si="66"/>
        <v>0</v>
      </c>
      <c r="AL142" s="1005">
        <f t="shared" si="66"/>
        <v>0</v>
      </c>
      <c r="AM142" s="1005">
        <f t="shared" si="66"/>
        <v>0</v>
      </c>
      <c r="AN142" s="1005">
        <f t="shared" si="66"/>
        <v>0</v>
      </c>
      <c r="AO142" s="1005">
        <f t="shared" si="66"/>
        <v>0</v>
      </c>
      <c r="AP142" s="1005">
        <f t="shared" si="66"/>
        <v>0</v>
      </c>
      <c r="AQ142" s="1005">
        <f t="shared" si="66"/>
        <v>0</v>
      </c>
      <c r="AR142" s="1075">
        <f t="shared" si="67"/>
        <v>0</v>
      </c>
    </row>
    <row r="143" spans="1:46" ht="15.05" thickBot="1" x14ac:dyDescent="0.35">
      <c r="A143" s="205"/>
      <c r="B143" s="5044"/>
      <c r="C143" s="985">
        <f t="shared" si="68"/>
        <v>0</v>
      </c>
      <c r="D143" s="985">
        <f>IF(B143=0,0,VLOOKUP(B143,Precios!$B$216:$D$307,3,FALSE))</f>
        <v>0</v>
      </c>
      <c r="E143" s="5049"/>
      <c r="F143" s="1059">
        <f>IF(B143=0,0,VLOOKUP(B143,Precios!$B$216:$D$307,2,FALSE))</f>
        <v>0</v>
      </c>
      <c r="G143" s="1067">
        <f t="shared" si="73"/>
        <v>0</v>
      </c>
      <c r="H143" s="309"/>
      <c r="I143" s="1074">
        <f t="shared" si="74"/>
        <v>0</v>
      </c>
      <c r="J143" s="1005">
        <f t="shared" si="64"/>
        <v>0</v>
      </c>
      <c r="K143" s="1005">
        <f t="shared" si="64"/>
        <v>0</v>
      </c>
      <c r="L143" s="1005">
        <f t="shared" si="64"/>
        <v>0</v>
      </c>
      <c r="M143" s="1005">
        <f t="shared" si="64"/>
        <v>0</v>
      </c>
      <c r="N143" s="1005">
        <f t="shared" si="64"/>
        <v>0</v>
      </c>
      <c r="O143" s="1005">
        <f t="shared" si="64"/>
        <v>0</v>
      </c>
      <c r="P143" s="1005">
        <f t="shared" si="64"/>
        <v>0</v>
      </c>
      <c r="Q143" s="1005">
        <f t="shared" si="64"/>
        <v>0</v>
      </c>
      <c r="R143" s="1005">
        <f t="shared" si="64"/>
        <v>0</v>
      </c>
      <c r="S143" s="1005">
        <f t="shared" si="64"/>
        <v>0</v>
      </c>
      <c r="T143" s="1005">
        <f t="shared" si="64"/>
        <v>0</v>
      </c>
      <c r="U143" s="1075">
        <f t="shared" si="65"/>
        <v>0</v>
      </c>
      <c r="X143" s="301"/>
      <c r="Y143" s="5044"/>
      <c r="Z143" s="985">
        <f t="shared" si="76"/>
        <v>0</v>
      </c>
      <c r="AA143" s="985">
        <f>IF(Y143=0,0,VLOOKUP(Y143,Precios!$B$216:$D$307,3,FALSE))</f>
        <v>0</v>
      </c>
      <c r="AB143" s="986"/>
      <c r="AC143" s="1059">
        <f>IF(Y143=0,0,VLOOKUP(Y143,Precios!$B$216:$D$307,2,FALSE))</f>
        <v>0</v>
      </c>
      <c r="AD143" s="1067">
        <f t="shared" si="75"/>
        <v>0</v>
      </c>
      <c r="AE143" s="309"/>
      <c r="AF143" s="1074">
        <f t="shared" si="77"/>
        <v>0</v>
      </c>
      <c r="AG143" s="1005">
        <f t="shared" si="66"/>
        <v>0</v>
      </c>
      <c r="AH143" s="1005">
        <f t="shared" si="66"/>
        <v>0</v>
      </c>
      <c r="AI143" s="1005">
        <f t="shared" si="66"/>
        <v>0</v>
      </c>
      <c r="AJ143" s="1005">
        <f t="shared" si="66"/>
        <v>0</v>
      </c>
      <c r="AK143" s="1005">
        <f t="shared" si="66"/>
        <v>0</v>
      </c>
      <c r="AL143" s="1005">
        <f t="shared" si="66"/>
        <v>0</v>
      </c>
      <c r="AM143" s="1005">
        <f t="shared" si="66"/>
        <v>0</v>
      </c>
      <c r="AN143" s="1005">
        <f t="shared" si="66"/>
        <v>0</v>
      </c>
      <c r="AO143" s="1005">
        <f t="shared" si="66"/>
        <v>0</v>
      </c>
      <c r="AP143" s="1005">
        <f t="shared" si="66"/>
        <v>0</v>
      </c>
      <c r="AQ143" s="1005">
        <f t="shared" si="66"/>
        <v>0</v>
      </c>
      <c r="AR143" s="1075">
        <f t="shared" si="67"/>
        <v>0</v>
      </c>
    </row>
    <row r="144" spans="1:46" ht="15.05" thickBot="1" x14ac:dyDescent="0.35">
      <c r="A144" s="205"/>
      <c r="B144" s="5044"/>
      <c r="C144" s="985">
        <f t="shared" si="68"/>
        <v>0</v>
      </c>
      <c r="D144" s="985">
        <f>IF(B144=0,0,VLOOKUP(B144,Precios!$B$216:$D$307,3,FALSE))</f>
        <v>0</v>
      </c>
      <c r="E144" s="5049"/>
      <c r="F144" s="1059">
        <f>IF(B144=0,0,VLOOKUP(B144,Precios!$B$216:$D$307,2,FALSE))</f>
        <v>0</v>
      </c>
      <c r="G144" s="1067">
        <f t="shared" si="73"/>
        <v>0</v>
      </c>
      <c r="H144" s="309"/>
      <c r="I144" s="1074">
        <f t="shared" si="74"/>
        <v>0</v>
      </c>
      <c r="J144" s="1005">
        <f t="shared" si="64"/>
        <v>0</v>
      </c>
      <c r="K144" s="1005">
        <f t="shared" si="64"/>
        <v>0</v>
      </c>
      <c r="L144" s="1005">
        <f t="shared" si="64"/>
        <v>0</v>
      </c>
      <c r="M144" s="1005">
        <f t="shared" si="64"/>
        <v>0</v>
      </c>
      <c r="N144" s="1005">
        <f t="shared" si="64"/>
        <v>0</v>
      </c>
      <c r="O144" s="1005">
        <f t="shared" si="64"/>
        <v>0</v>
      </c>
      <c r="P144" s="1005">
        <f t="shared" si="64"/>
        <v>0</v>
      </c>
      <c r="Q144" s="1005">
        <f t="shared" si="64"/>
        <v>0</v>
      </c>
      <c r="R144" s="1005">
        <f t="shared" si="64"/>
        <v>0</v>
      </c>
      <c r="S144" s="1005">
        <f t="shared" si="64"/>
        <v>0</v>
      </c>
      <c r="T144" s="1005">
        <f t="shared" si="64"/>
        <v>0</v>
      </c>
      <c r="U144" s="1075">
        <f t="shared" si="65"/>
        <v>0</v>
      </c>
      <c r="X144" s="301"/>
      <c r="Y144" s="5044"/>
      <c r="Z144" s="985">
        <f t="shared" si="76"/>
        <v>0</v>
      </c>
      <c r="AA144" s="985">
        <f>IF(Y144=0,0,VLOOKUP(Y144,Precios!$B$216:$D$307,3,FALSE))</f>
        <v>0</v>
      </c>
      <c r="AB144" s="986"/>
      <c r="AC144" s="1059">
        <f>IF(Y144=0,0,VLOOKUP(Y144,Precios!$B$216:$D$307,2,FALSE))</f>
        <v>0</v>
      </c>
      <c r="AD144" s="1067">
        <f t="shared" si="75"/>
        <v>0</v>
      </c>
      <c r="AE144" s="309"/>
      <c r="AF144" s="1074">
        <f t="shared" si="77"/>
        <v>0</v>
      </c>
      <c r="AG144" s="1005">
        <f t="shared" si="66"/>
        <v>0</v>
      </c>
      <c r="AH144" s="1005">
        <f t="shared" si="66"/>
        <v>0</v>
      </c>
      <c r="AI144" s="1005">
        <f t="shared" si="66"/>
        <v>0</v>
      </c>
      <c r="AJ144" s="1005">
        <f t="shared" si="66"/>
        <v>0</v>
      </c>
      <c r="AK144" s="1005">
        <f t="shared" si="66"/>
        <v>0</v>
      </c>
      <c r="AL144" s="1005">
        <f t="shared" si="66"/>
        <v>0</v>
      </c>
      <c r="AM144" s="1005">
        <f t="shared" si="66"/>
        <v>0</v>
      </c>
      <c r="AN144" s="1005">
        <f t="shared" si="66"/>
        <v>0</v>
      </c>
      <c r="AO144" s="1005">
        <f t="shared" si="66"/>
        <v>0</v>
      </c>
      <c r="AP144" s="1005">
        <f t="shared" si="66"/>
        <v>0</v>
      </c>
      <c r="AQ144" s="1005">
        <f t="shared" si="66"/>
        <v>0</v>
      </c>
      <c r="AR144" s="1075">
        <f t="shared" si="67"/>
        <v>0</v>
      </c>
    </row>
    <row r="145" spans="1:46" ht="15.05" thickBot="1" x14ac:dyDescent="0.35">
      <c r="A145" s="205"/>
      <c r="B145" s="5044"/>
      <c r="C145" s="985">
        <f t="shared" si="68"/>
        <v>0</v>
      </c>
      <c r="D145" s="985">
        <f>IF(B145=0,0,VLOOKUP(B145,Precios!$B$216:$D$307,3,FALSE))</f>
        <v>0</v>
      </c>
      <c r="E145" s="5049"/>
      <c r="F145" s="1059">
        <f>IF(B145=0,0,VLOOKUP(B145,Precios!$B$216:$D$307,2,FALSE))</f>
        <v>0</v>
      </c>
      <c r="G145" s="1067">
        <f t="shared" si="73"/>
        <v>0</v>
      </c>
      <c r="H145" s="309"/>
      <c r="I145" s="1074">
        <f t="shared" si="74"/>
        <v>0</v>
      </c>
      <c r="J145" s="1005">
        <f t="shared" si="74"/>
        <v>0</v>
      </c>
      <c r="K145" s="1005">
        <f t="shared" si="74"/>
        <v>0</v>
      </c>
      <c r="L145" s="1005">
        <f t="shared" si="74"/>
        <v>0</v>
      </c>
      <c r="M145" s="1005">
        <f t="shared" si="74"/>
        <v>0</v>
      </c>
      <c r="N145" s="1005">
        <f t="shared" si="74"/>
        <v>0</v>
      </c>
      <c r="O145" s="1005">
        <f t="shared" si="74"/>
        <v>0</v>
      </c>
      <c r="P145" s="1005">
        <f t="shared" si="74"/>
        <v>0</v>
      </c>
      <c r="Q145" s="1005">
        <f t="shared" si="74"/>
        <v>0</v>
      </c>
      <c r="R145" s="1005">
        <f t="shared" si="74"/>
        <v>0</v>
      </c>
      <c r="S145" s="1005">
        <f t="shared" si="74"/>
        <v>0</v>
      </c>
      <c r="T145" s="1005">
        <f t="shared" si="74"/>
        <v>0</v>
      </c>
      <c r="U145" s="1075">
        <f t="shared" si="65"/>
        <v>0</v>
      </c>
      <c r="X145" s="301"/>
      <c r="Y145" s="5044"/>
      <c r="Z145" s="985">
        <f t="shared" si="76"/>
        <v>0</v>
      </c>
      <c r="AA145" s="985">
        <f>IF(Y145=0,0,VLOOKUP(Y145,Precios!$B$216:$D$307,3,FALSE))</f>
        <v>0</v>
      </c>
      <c r="AB145" s="986"/>
      <c r="AC145" s="1059">
        <f>IF(Y145=0,0,VLOOKUP(Y145,Precios!$B$216:$D$307,2,FALSE))</f>
        <v>0</v>
      </c>
      <c r="AD145" s="1067">
        <f t="shared" si="75"/>
        <v>0</v>
      </c>
      <c r="AE145" s="309"/>
      <c r="AF145" s="1074">
        <f t="shared" si="77"/>
        <v>0</v>
      </c>
      <c r="AG145" s="1005">
        <f t="shared" si="77"/>
        <v>0</v>
      </c>
      <c r="AH145" s="1005">
        <f t="shared" si="77"/>
        <v>0</v>
      </c>
      <c r="AI145" s="1005">
        <f t="shared" si="77"/>
        <v>0</v>
      </c>
      <c r="AJ145" s="1005">
        <f t="shared" si="77"/>
        <v>0</v>
      </c>
      <c r="AK145" s="1005">
        <f t="shared" si="77"/>
        <v>0</v>
      </c>
      <c r="AL145" s="1005">
        <f t="shared" si="77"/>
        <v>0</v>
      </c>
      <c r="AM145" s="1005">
        <f t="shared" si="77"/>
        <v>0</v>
      </c>
      <c r="AN145" s="1005">
        <f t="shared" si="77"/>
        <v>0</v>
      </c>
      <c r="AO145" s="1005">
        <f t="shared" si="77"/>
        <v>0</v>
      </c>
      <c r="AP145" s="1005">
        <f t="shared" si="77"/>
        <v>0</v>
      </c>
      <c r="AQ145" s="1005">
        <f t="shared" si="77"/>
        <v>0</v>
      </c>
      <c r="AR145" s="1075">
        <f t="shared" si="67"/>
        <v>0</v>
      </c>
    </row>
    <row r="146" spans="1:46" ht="15.05" thickBot="1" x14ac:dyDescent="0.35">
      <c r="A146" s="205"/>
      <c r="B146" s="5044"/>
      <c r="C146" s="985">
        <f t="shared" si="68"/>
        <v>0</v>
      </c>
      <c r="D146" s="985">
        <f>IF(B146=0,0,VLOOKUP(B146,Precios!$B$216:$D$307,3,FALSE))</f>
        <v>0</v>
      </c>
      <c r="E146" s="5049"/>
      <c r="F146" s="1059">
        <f>IF(B146=0,0,VLOOKUP(B146,Precios!$B$216:$D$307,2,FALSE))</f>
        <v>0</v>
      </c>
      <c r="G146" s="1067">
        <f t="shared" si="73"/>
        <v>0</v>
      </c>
      <c r="H146" s="309"/>
      <c r="I146" s="1074">
        <f t="shared" si="74"/>
        <v>0</v>
      </c>
      <c r="J146" s="1005">
        <f t="shared" si="74"/>
        <v>0</v>
      </c>
      <c r="K146" s="1005">
        <f t="shared" si="74"/>
        <v>0</v>
      </c>
      <c r="L146" s="1005">
        <f t="shared" si="74"/>
        <v>0</v>
      </c>
      <c r="M146" s="1005">
        <f t="shared" si="74"/>
        <v>0</v>
      </c>
      <c r="N146" s="1005">
        <f t="shared" si="74"/>
        <v>0</v>
      </c>
      <c r="O146" s="1005">
        <f t="shared" si="74"/>
        <v>0</v>
      </c>
      <c r="P146" s="1005">
        <f t="shared" si="74"/>
        <v>0</v>
      </c>
      <c r="Q146" s="1005">
        <f t="shared" si="74"/>
        <v>0</v>
      </c>
      <c r="R146" s="1005">
        <f t="shared" si="74"/>
        <v>0</v>
      </c>
      <c r="S146" s="1005">
        <f t="shared" si="74"/>
        <v>0</v>
      </c>
      <c r="T146" s="1005">
        <f t="shared" si="74"/>
        <v>0</v>
      </c>
      <c r="U146" s="1075">
        <f t="shared" si="65"/>
        <v>0</v>
      </c>
      <c r="X146" s="301"/>
      <c r="Y146" s="5044"/>
      <c r="Z146" s="985">
        <f t="shared" si="76"/>
        <v>0</v>
      </c>
      <c r="AA146" s="985">
        <f>IF(Y146=0,0,VLOOKUP(Y146,Precios!$B$216:$D$307,3,FALSE))</f>
        <v>0</v>
      </c>
      <c r="AB146" s="986"/>
      <c r="AC146" s="1059">
        <f>IF(Y146=0,0,VLOOKUP(Y146,Precios!$B$216:$D$307,2,FALSE))</f>
        <v>0</v>
      </c>
      <c r="AD146" s="1067">
        <f t="shared" si="75"/>
        <v>0</v>
      </c>
      <c r="AE146" s="309"/>
      <c r="AF146" s="1074">
        <f t="shared" si="77"/>
        <v>0</v>
      </c>
      <c r="AG146" s="1005">
        <f t="shared" si="77"/>
        <v>0</v>
      </c>
      <c r="AH146" s="1005">
        <f t="shared" si="77"/>
        <v>0</v>
      </c>
      <c r="AI146" s="1005">
        <f t="shared" si="77"/>
        <v>0</v>
      </c>
      <c r="AJ146" s="1005">
        <f t="shared" si="77"/>
        <v>0</v>
      </c>
      <c r="AK146" s="1005">
        <f t="shared" si="77"/>
        <v>0</v>
      </c>
      <c r="AL146" s="1005">
        <f t="shared" si="77"/>
        <v>0</v>
      </c>
      <c r="AM146" s="1005">
        <f t="shared" si="77"/>
        <v>0</v>
      </c>
      <c r="AN146" s="1005">
        <f t="shared" si="77"/>
        <v>0</v>
      </c>
      <c r="AO146" s="1005">
        <f t="shared" si="77"/>
        <v>0</v>
      </c>
      <c r="AP146" s="1005">
        <f t="shared" si="77"/>
        <v>0</v>
      </c>
      <c r="AQ146" s="1005">
        <f t="shared" si="77"/>
        <v>0</v>
      </c>
      <c r="AR146" s="1075">
        <f t="shared" ref="AR146:AR159" si="78">SUM(AF146:AQ146)</f>
        <v>0</v>
      </c>
    </row>
    <row r="147" spans="1:46" ht="15.05" thickBot="1" x14ac:dyDescent="0.35">
      <c r="A147" s="205"/>
      <c r="B147" s="5044"/>
      <c r="C147" s="985">
        <f t="shared" si="68"/>
        <v>0</v>
      </c>
      <c r="D147" s="985">
        <f>IF(B147=0,0,VLOOKUP(B147,Precios!$B$216:$D$307,3,FALSE))</f>
        <v>0</v>
      </c>
      <c r="E147" s="5049"/>
      <c r="F147" s="1059">
        <f>IF(B147=0,0,VLOOKUP(B147,Precios!$B$216:$D$307,2,FALSE))</f>
        <v>0</v>
      </c>
      <c r="G147" s="1067">
        <f t="shared" si="73"/>
        <v>0</v>
      </c>
      <c r="H147" s="309"/>
      <c r="I147" s="1074">
        <f t="shared" si="74"/>
        <v>0</v>
      </c>
      <c r="J147" s="1005">
        <f t="shared" si="74"/>
        <v>0</v>
      </c>
      <c r="K147" s="1005">
        <f t="shared" si="74"/>
        <v>0</v>
      </c>
      <c r="L147" s="1005">
        <f t="shared" si="74"/>
        <v>0</v>
      </c>
      <c r="M147" s="1005">
        <f t="shared" si="74"/>
        <v>0</v>
      </c>
      <c r="N147" s="1005">
        <f t="shared" si="74"/>
        <v>0</v>
      </c>
      <c r="O147" s="1005">
        <f t="shared" si="74"/>
        <v>0</v>
      </c>
      <c r="P147" s="1005">
        <f t="shared" si="74"/>
        <v>0</v>
      </c>
      <c r="Q147" s="1005">
        <f t="shared" si="74"/>
        <v>0</v>
      </c>
      <c r="R147" s="1005">
        <f t="shared" si="74"/>
        <v>0</v>
      </c>
      <c r="S147" s="1005">
        <f t="shared" si="74"/>
        <v>0</v>
      </c>
      <c r="T147" s="1005">
        <f t="shared" si="74"/>
        <v>0</v>
      </c>
      <c r="U147" s="1075">
        <f t="shared" si="65"/>
        <v>0</v>
      </c>
      <c r="X147" s="301"/>
      <c r="Y147" s="5044"/>
      <c r="Z147" s="985">
        <f t="shared" si="76"/>
        <v>0</v>
      </c>
      <c r="AA147" s="985">
        <f>IF(Y147=0,0,VLOOKUP(Y147,Precios!$B$216:$D$307,3,FALSE))</f>
        <v>0</v>
      </c>
      <c r="AB147" s="986"/>
      <c r="AC147" s="1059">
        <f>IF(Y147=0,0,VLOOKUP(Y147,Precios!$B$216:$D$307,2,FALSE))</f>
        <v>0</v>
      </c>
      <c r="AD147" s="1067">
        <f t="shared" si="75"/>
        <v>0</v>
      </c>
      <c r="AE147" s="309"/>
      <c r="AF147" s="1074">
        <f t="shared" si="77"/>
        <v>0</v>
      </c>
      <c r="AG147" s="1005">
        <f t="shared" si="77"/>
        <v>0</v>
      </c>
      <c r="AH147" s="1005">
        <f t="shared" si="77"/>
        <v>0</v>
      </c>
      <c r="AI147" s="1005">
        <f t="shared" si="77"/>
        <v>0</v>
      </c>
      <c r="AJ147" s="1005">
        <f t="shared" si="77"/>
        <v>0</v>
      </c>
      <c r="AK147" s="1005">
        <f t="shared" si="77"/>
        <v>0</v>
      </c>
      <c r="AL147" s="1005">
        <f t="shared" si="77"/>
        <v>0</v>
      </c>
      <c r="AM147" s="1005">
        <f t="shared" si="77"/>
        <v>0</v>
      </c>
      <c r="AN147" s="1005">
        <f t="shared" si="77"/>
        <v>0</v>
      </c>
      <c r="AO147" s="1005">
        <f t="shared" si="77"/>
        <v>0</v>
      </c>
      <c r="AP147" s="1005">
        <f t="shared" si="77"/>
        <v>0</v>
      </c>
      <c r="AQ147" s="1005">
        <f t="shared" si="77"/>
        <v>0</v>
      </c>
      <c r="AR147" s="1075">
        <f t="shared" si="78"/>
        <v>0</v>
      </c>
    </row>
    <row r="148" spans="1:46" x14ac:dyDescent="0.3">
      <c r="A148" s="205"/>
      <c r="B148" s="5046"/>
      <c r="C148" s="1057">
        <f t="shared" si="68"/>
        <v>0</v>
      </c>
      <c r="D148" s="1057">
        <f>IF(B148=0,0,VLOOKUP(B148,Precios!$B$216:$D$307,3,FALSE))</f>
        <v>0</v>
      </c>
      <c r="E148" s="5050"/>
      <c r="F148" s="1061">
        <f>IF(B148=0,0,VLOOKUP(B148,Precios!$B$216:$D$307,2,FALSE))</f>
        <v>0</v>
      </c>
      <c r="G148" s="1068">
        <f t="shared" si="73"/>
        <v>0</v>
      </c>
      <c r="H148" s="309"/>
      <c r="I148" s="1076">
        <f t="shared" si="74"/>
        <v>0</v>
      </c>
      <c r="J148" s="1077">
        <f t="shared" si="74"/>
        <v>0</v>
      </c>
      <c r="K148" s="1077">
        <f t="shared" si="74"/>
        <v>0</v>
      </c>
      <c r="L148" s="1077">
        <f t="shared" si="74"/>
        <v>0</v>
      </c>
      <c r="M148" s="1077">
        <f t="shared" si="74"/>
        <v>0</v>
      </c>
      <c r="N148" s="1077">
        <f t="shared" si="74"/>
        <v>0</v>
      </c>
      <c r="O148" s="1077">
        <f t="shared" si="74"/>
        <v>0</v>
      </c>
      <c r="P148" s="1077">
        <f t="shared" si="74"/>
        <v>0</v>
      </c>
      <c r="Q148" s="1077">
        <f t="shared" si="74"/>
        <v>0</v>
      </c>
      <c r="R148" s="1077">
        <f t="shared" si="74"/>
        <v>0</v>
      </c>
      <c r="S148" s="1077">
        <f t="shared" si="74"/>
        <v>0</v>
      </c>
      <c r="T148" s="1077">
        <f t="shared" si="74"/>
        <v>0</v>
      </c>
      <c r="U148" s="1078">
        <f t="shared" si="65"/>
        <v>0</v>
      </c>
      <c r="X148" s="301"/>
      <c r="Y148" s="5046"/>
      <c r="Z148" s="1057">
        <f t="shared" si="76"/>
        <v>0</v>
      </c>
      <c r="AA148" s="1057">
        <f>IF(Y148=0,0,VLOOKUP(Y148,Precios!$B$216:$D$307,3,FALSE))</f>
        <v>0</v>
      </c>
      <c r="AB148" s="1060"/>
      <c r="AC148" s="1061">
        <f>IF(Y148=0,0,VLOOKUP(Y148,Precios!$B$216:$D$307,2,FALSE))</f>
        <v>0</v>
      </c>
      <c r="AD148" s="1068">
        <f t="shared" si="75"/>
        <v>0</v>
      </c>
      <c r="AE148" s="309"/>
      <c r="AF148" s="1076">
        <f t="shared" si="77"/>
        <v>0</v>
      </c>
      <c r="AG148" s="1077">
        <f t="shared" si="77"/>
        <v>0</v>
      </c>
      <c r="AH148" s="1077">
        <f t="shared" si="77"/>
        <v>0</v>
      </c>
      <c r="AI148" s="1077">
        <f t="shared" si="77"/>
        <v>0</v>
      </c>
      <c r="AJ148" s="1077">
        <f t="shared" si="77"/>
        <v>0</v>
      </c>
      <c r="AK148" s="1077">
        <f t="shared" si="77"/>
        <v>0</v>
      </c>
      <c r="AL148" s="1077">
        <f t="shared" si="77"/>
        <v>0</v>
      </c>
      <c r="AM148" s="1077">
        <f t="shared" si="77"/>
        <v>0</v>
      </c>
      <c r="AN148" s="1077">
        <f t="shared" si="77"/>
        <v>0</v>
      </c>
      <c r="AO148" s="1077">
        <f t="shared" si="77"/>
        <v>0</v>
      </c>
      <c r="AP148" s="1077">
        <f t="shared" si="77"/>
        <v>0</v>
      </c>
      <c r="AQ148" s="1077">
        <f t="shared" si="77"/>
        <v>0</v>
      </c>
      <c r="AR148" s="1078">
        <f t="shared" si="78"/>
        <v>0</v>
      </c>
    </row>
    <row r="149" spans="1:46" x14ac:dyDescent="0.3">
      <c r="A149" s="205"/>
      <c r="B149" s="647" t="s">
        <v>1085</v>
      </c>
      <c r="C149" s="305"/>
      <c r="D149" s="305"/>
      <c r="E149" s="305"/>
      <c r="F149" s="650"/>
      <c r="G149" s="305"/>
      <c r="H149" s="310"/>
      <c r="I149" s="904">
        <f t="shared" ref="I149:T149" si="79">IF($C150&gt;0,I$124*$E150,0)</f>
        <v>0</v>
      </c>
      <c r="J149" s="904">
        <f t="shared" si="79"/>
        <v>0</v>
      </c>
      <c r="K149" s="904">
        <f t="shared" si="79"/>
        <v>0</v>
      </c>
      <c r="L149" s="904">
        <f t="shared" si="79"/>
        <v>0</v>
      </c>
      <c r="M149" s="904">
        <f t="shared" si="79"/>
        <v>0</v>
      </c>
      <c r="N149" s="904">
        <f t="shared" si="79"/>
        <v>0</v>
      </c>
      <c r="O149" s="904">
        <f t="shared" si="79"/>
        <v>0</v>
      </c>
      <c r="P149" s="904">
        <f t="shared" si="79"/>
        <v>0</v>
      </c>
      <c r="Q149" s="904">
        <f t="shared" si="79"/>
        <v>0</v>
      </c>
      <c r="R149" s="904">
        <f t="shared" si="79"/>
        <v>0</v>
      </c>
      <c r="S149" s="904">
        <f t="shared" si="79"/>
        <v>0</v>
      </c>
      <c r="T149" s="904">
        <f t="shared" si="79"/>
        <v>0</v>
      </c>
      <c r="U149" s="905">
        <f>SUM(I149:T149)</f>
        <v>0</v>
      </c>
      <c r="W149" s="232" t="str">
        <f>B140&amp;B123</f>
        <v>Semillas0</v>
      </c>
      <c r="X149" s="301"/>
      <c r="Y149" s="647" t="s">
        <v>1085</v>
      </c>
      <c r="Z149" s="305"/>
      <c r="AA149" s="305"/>
      <c r="AB149" s="305"/>
      <c r="AC149" s="650"/>
      <c r="AD149" s="305"/>
      <c r="AE149" s="310"/>
      <c r="AF149" s="904">
        <f t="shared" ref="AF149:AQ149" si="80">SUM(AF141:AF148)</f>
        <v>0</v>
      </c>
      <c r="AG149" s="904">
        <f t="shared" si="80"/>
        <v>0</v>
      </c>
      <c r="AH149" s="904">
        <f t="shared" si="80"/>
        <v>0</v>
      </c>
      <c r="AI149" s="904">
        <f t="shared" si="80"/>
        <v>0</v>
      </c>
      <c r="AJ149" s="904">
        <f t="shared" si="80"/>
        <v>0</v>
      </c>
      <c r="AK149" s="904">
        <f t="shared" si="80"/>
        <v>0</v>
      </c>
      <c r="AL149" s="904">
        <f t="shared" si="80"/>
        <v>0</v>
      </c>
      <c r="AM149" s="904">
        <f t="shared" si="80"/>
        <v>0</v>
      </c>
      <c r="AN149" s="904">
        <f t="shared" si="80"/>
        <v>0</v>
      </c>
      <c r="AO149" s="904">
        <f t="shared" si="80"/>
        <v>0</v>
      </c>
      <c r="AP149" s="904">
        <f t="shared" si="80"/>
        <v>0</v>
      </c>
      <c r="AQ149" s="904">
        <f t="shared" si="80"/>
        <v>0</v>
      </c>
      <c r="AR149" s="905">
        <f>SUM(AF149:AQ149)</f>
        <v>0</v>
      </c>
      <c r="AT149" s="232" t="str">
        <f>Y140&amp;Y123</f>
        <v>Semillas0</v>
      </c>
    </row>
    <row r="150" spans="1:46" x14ac:dyDescent="0.2">
      <c r="A150" s="205"/>
      <c r="B150" s="197" t="s">
        <v>339</v>
      </c>
      <c r="C150" s="307"/>
      <c r="D150" s="307"/>
      <c r="E150" s="308"/>
      <c r="F150" s="651"/>
      <c r="G150" s="308"/>
      <c r="H150" s="307"/>
      <c r="I150" s="307"/>
      <c r="J150" s="307"/>
      <c r="K150" s="307"/>
      <c r="L150" s="307"/>
      <c r="M150" s="307"/>
      <c r="N150" s="307"/>
      <c r="O150" s="307"/>
      <c r="P150" s="307"/>
      <c r="Q150" s="307"/>
      <c r="R150" s="307"/>
      <c r="S150" s="307"/>
      <c r="T150" s="307"/>
      <c r="U150" s="646"/>
      <c r="X150" s="301"/>
      <c r="Y150" s="197" t="s">
        <v>339</v>
      </c>
      <c r="Z150" s="307"/>
      <c r="AA150" s="307"/>
      <c r="AB150" s="308"/>
      <c r="AC150" s="651"/>
      <c r="AD150" s="308"/>
      <c r="AE150" s="307"/>
      <c r="AF150" s="307"/>
      <c r="AG150" s="307"/>
      <c r="AH150" s="307"/>
      <c r="AI150" s="307"/>
      <c r="AJ150" s="307"/>
      <c r="AK150" s="307"/>
      <c r="AL150" s="307"/>
      <c r="AM150" s="307"/>
      <c r="AN150" s="307"/>
      <c r="AO150" s="307"/>
      <c r="AP150" s="307"/>
      <c r="AQ150" s="307"/>
      <c r="AR150" s="646"/>
    </row>
    <row r="151" spans="1:46" ht="15.05" thickBot="1" x14ac:dyDescent="0.35">
      <c r="A151" s="205"/>
      <c r="B151" s="5042"/>
      <c r="C151" s="1056">
        <f t="shared" si="68"/>
        <v>0</v>
      </c>
      <c r="D151" s="1056">
        <f>IF(B151=0,0,VLOOKUP(B151,Precios!$B$216:$D$307,3,FALSE))</f>
        <v>0</v>
      </c>
      <c r="E151" s="5048"/>
      <c r="F151" s="1063">
        <f>IF(B151=0,0,VLOOKUP(B151,Precios!$B$216:$D$307,2,FALSE))</f>
        <v>0</v>
      </c>
      <c r="G151" s="1066">
        <f>E151*F151</f>
        <v>0</v>
      </c>
      <c r="H151" s="309"/>
      <c r="I151" s="1072">
        <f t="shared" si="74"/>
        <v>0</v>
      </c>
      <c r="J151" s="1033">
        <f t="shared" si="74"/>
        <v>0</v>
      </c>
      <c r="K151" s="1033">
        <f t="shared" si="74"/>
        <v>0</v>
      </c>
      <c r="L151" s="1033">
        <f t="shared" si="74"/>
        <v>0</v>
      </c>
      <c r="M151" s="1033">
        <f t="shared" si="74"/>
        <v>0</v>
      </c>
      <c r="N151" s="1033">
        <f t="shared" si="74"/>
        <v>0</v>
      </c>
      <c r="O151" s="1033">
        <f t="shared" si="74"/>
        <v>0</v>
      </c>
      <c r="P151" s="1033">
        <f t="shared" si="74"/>
        <v>0</v>
      </c>
      <c r="Q151" s="1033">
        <f t="shared" si="74"/>
        <v>0</v>
      </c>
      <c r="R151" s="1033">
        <f t="shared" si="74"/>
        <v>0</v>
      </c>
      <c r="S151" s="1033">
        <f t="shared" si="74"/>
        <v>0</v>
      </c>
      <c r="T151" s="1033">
        <f t="shared" si="74"/>
        <v>0</v>
      </c>
      <c r="U151" s="1073">
        <f t="shared" ref="U151:U159" si="81">SUM(I151:T151)</f>
        <v>0</v>
      </c>
      <c r="X151" s="301"/>
      <c r="Y151" s="5042"/>
      <c r="Z151" s="1056">
        <f t="shared" si="76"/>
        <v>0</v>
      </c>
      <c r="AA151" s="1056">
        <f>IF(Y151=0,0,VLOOKUP(Y151,Precios!$B$216:$D$307,3,FALSE))</f>
        <v>0</v>
      </c>
      <c r="AB151" s="1058"/>
      <c r="AC151" s="1063">
        <f>IF(Y151=0,0,VLOOKUP(Y151,Precios!$B$216:$D$307,2,FALSE))</f>
        <v>0</v>
      </c>
      <c r="AD151" s="1066">
        <f>AB151*AC151</f>
        <v>0</v>
      </c>
      <c r="AE151" s="309"/>
      <c r="AF151" s="1072">
        <f t="shared" si="77"/>
        <v>0</v>
      </c>
      <c r="AG151" s="1033">
        <f t="shared" si="77"/>
        <v>0</v>
      </c>
      <c r="AH151" s="1033">
        <f t="shared" si="77"/>
        <v>0</v>
      </c>
      <c r="AI151" s="1033">
        <f t="shared" si="77"/>
        <v>0</v>
      </c>
      <c r="AJ151" s="1033">
        <f t="shared" si="77"/>
        <v>0</v>
      </c>
      <c r="AK151" s="1033">
        <f t="shared" si="77"/>
        <v>0</v>
      </c>
      <c r="AL151" s="1033">
        <f t="shared" si="77"/>
        <v>0</v>
      </c>
      <c r="AM151" s="1033">
        <f t="shared" si="77"/>
        <v>0</v>
      </c>
      <c r="AN151" s="1033">
        <f t="shared" si="77"/>
        <v>0</v>
      </c>
      <c r="AO151" s="1033">
        <f t="shared" si="77"/>
        <v>0</v>
      </c>
      <c r="AP151" s="1033">
        <f t="shared" si="77"/>
        <v>0</v>
      </c>
      <c r="AQ151" s="1033">
        <f t="shared" si="77"/>
        <v>0</v>
      </c>
      <c r="AR151" s="1073">
        <f t="shared" si="78"/>
        <v>0</v>
      </c>
    </row>
    <row r="152" spans="1:46" ht="15.05" thickBot="1" x14ac:dyDescent="0.35">
      <c r="A152" s="205"/>
      <c r="B152" s="5044"/>
      <c r="C152" s="985">
        <f t="shared" si="68"/>
        <v>0</v>
      </c>
      <c r="D152" s="985">
        <f>IF(B152=0,0,VLOOKUP(B152,Precios!$B$216:$D$307,3,FALSE))</f>
        <v>0</v>
      </c>
      <c r="E152" s="5049"/>
      <c r="F152" s="1064">
        <f>IF(B152=0,0,VLOOKUP(B152,Precios!$B$216:$D$307,2,FALSE))</f>
        <v>0</v>
      </c>
      <c r="G152" s="1067">
        <f>E152*F152</f>
        <v>0</v>
      </c>
      <c r="H152" s="309"/>
      <c r="I152" s="1074">
        <f t="shared" si="74"/>
        <v>0</v>
      </c>
      <c r="J152" s="1005">
        <f t="shared" si="74"/>
        <v>0</v>
      </c>
      <c r="K152" s="1005">
        <f t="shared" si="74"/>
        <v>0</v>
      </c>
      <c r="L152" s="1005">
        <f t="shared" si="74"/>
        <v>0</v>
      </c>
      <c r="M152" s="1005">
        <f t="shared" si="74"/>
        <v>0</v>
      </c>
      <c r="N152" s="1005">
        <f t="shared" si="74"/>
        <v>0</v>
      </c>
      <c r="O152" s="1005">
        <f t="shared" si="74"/>
        <v>0</v>
      </c>
      <c r="P152" s="1005">
        <f t="shared" si="74"/>
        <v>0</v>
      </c>
      <c r="Q152" s="1005">
        <f t="shared" si="74"/>
        <v>0</v>
      </c>
      <c r="R152" s="1005">
        <f t="shared" si="74"/>
        <v>0</v>
      </c>
      <c r="S152" s="1005">
        <f t="shared" si="74"/>
        <v>0</v>
      </c>
      <c r="T152" s="1005">
        <f t="shared" si="74"/>
        <v>0</v>
      </c>
      <c r="U152" s="1075">
        <f t="shared" si="81"/>
        <v>0</v>
      </c>
      <c r="X152" s="301"/>
      <c r="Y152" s="5044"/>
      <c r="Z152" s="985">
        <f t="shared" si="76"/>
        <v>0</v>
      </c>
      <c r="AA152" s="985">
        <f>IF(Y152=0,0,VLOOKUP(Y152,Precios!$B$216:$D$307,3,FALSE))</f>
        <v>0</v>
      </c>
      <c r="AB152" s="986"/>
      <c r="AC152" s="1064">
        <f>IF(Y152=0,0,VLOOKUP(Y152,Precios!$B$216:$D$307,2,FALSE))</f>
        <v>0</v>
      </c>
      <c r="AD152" s="1067">
        <f>AB152*AC152</f>
        <v>0</v>
      </c>
      <c r="AE152" s="309"/>
      <c r="AF152" s="1074">
        <f t="shared" si="77"/>
        <v>0</v>
      </c>
      <c r="AG152" s="1005">
        <f t="shared" si="77"/>
        <v>0</v>
      </c>
      <c r="AH152" s="1005">
        <f t="shared" si="77"/>
        <v>0</v>
      </c>
      <c r="AI152" s="1005">
        <f t="shared" si="77"/>
        <v>0</v>
      </c>
      <c r="AJ152" s="1005">
        <f t="shared" si="77"/>
        <v>0</v>
      </c>
      <c r="AK152" s="1005">
        <f t="shared" si="77"/>
        <v>0</v>
      </c>
      <c r="AL152" s="1005">
        <f t="shared" si="77"/>
        <v>0</v>
      </c>
      <c r="AM152" s="1005">
        <f t="shared" si="77"/>
        <v>0</v>
      </c>
      <c r="AN152" s="1005">
        <f t="shared" si="77"/>
        <v>0</v>
      </c>
      <c r="AO152" s="1005">
        <f t="shared" si="77"/>
        <v>0</v>
      </c>
      <c r="AP152" s="1005">
        <f t="shared" si="77"/>
        <v>0</v>
      </c>
      <c r="AQ152" s="1005">
        <f t="shared" si="77"/>
        <v>0</v>
      </c>
      <c r="AR152" s="1075">
        <f t="shared" si="78"/>
        <v>0</v>
      </c>
    </row>
    <row r="153" spans="1:46" x14ac:dyDescent="0.3">
      <c r="A153" s="205"/>
      <c r="B153" s="5046"/>
      <c r="C153" s="1057">
        <f t="shared" si="68"/>
        <v>0</v>
      </c>
      <c r="D153" s="1057">
        <f>IF(B153=0,0,VLOOKUP(B153,Precios!$B$216:$D$307,3,FALSE))</f>
        <v>0</v>
      </c>
      <c r="E153" s="5050"/>
      <c r="F153" s="1065">
        <f>IF(B153=0,0,VLOOKUP(B153,Precios!$B$216:$D$307,2,FALSE))</f>
        <v>0</v>
      </c>
      <c r="G153" s="1068">
        <f>E153*F153</f>
        <v>0</v>
      </c>
      <c r="H153" s="309"/>
      <c r="I153" s="1079">
        <f t="shared" si="74"/>
        <v>0</v>
      </c>
      <c r="J153" s="1047">
        <f t="shared" si="74"/>
        <v>0</v>
      </c>
      <c r="K153" s="1047">
        <f t="shared" si="74"/>
        <v>0</v>
      </c>
      <c r="L153" s="1047">
        <f t="shared" si="74"/>
        <v>0</v>
      </c>
      <c r="M153" s="1047">
        <f t="shared" si="74"/>
        <v>0</v>
      </c>
      <c r="N153" s="1047">
        <f t="shared" si="74"/>
        <v>0</v>
      </c>
      <c r="O153" s="1047">
        <f t="shared" si="74"/>
        <v>0</v>
      </c>
      <c r="P153" s="1047">
        <f t="shared" si="74"/>
        <v>0</v>
      </c>
      <c r="Q153" s="1047">
        <f t="shared" si="74"/>
        <v>0</v>
      </c>
      <c r="R153" s="1047">
        <f t="shared" si="74"/>
        <v>0</v>
      </c>
      <c r="S153" s="1047">
        <f t="shared" si="74"/>
        <v>0</v>
      </c>
      <c r="T153" s="1047">
        <f t="shared" si="74"/>
        <v>0</v>
      </c>
      <c r="U153" s="1080">
        <f t="shared" si="81"/>
        <v>0</v>
      </c>
      <c r="X153" s="301"/>
      <c r="Y153" s="5046"/>
      <c r="Z153" s="1057">
        <f t="shared" si="76"/>
        <v>0</v>
      </c>
      <c r="AA153" s="1057">
        <f>IF(Y153=0,0,VLOOKUP(Y153,Precios!$B$216:$D$307,3,FALSE))</f>
        <v>0</v>
      </c>
      <c r="AB153" s="1060"/>
      <c r="AC153" s="1065">
        <f>IF(Y153=0,0,VLOOKUP(Y153,Precios!$B$216:$D$307,2,FALSE))</f>
        <v>0</v>
      </c>
      <c r="AD153" s="1068">
        <f>AB153*AC153</f>
        <v>0</v>
      </c>
      <c r="AE153" s="309"/>
      <c r="AF153" s="1079">
        <f t="shared" si="77"/>
        <v>0</v>
      </c>
      <c r="AG153" s="1047">
        <f t="shared" si="77"/>
        <v>0</v>
      </c>
      <c r="AH153" s="1047">
        <f t="shared" si="77"/>
        <v>0</v>
      </c>
      <c r="AI153" s="1047">
        <f t="shared" si="77"/>
        <v>0</v>
      </c>
      <c r="AJ153" s="1047">
        <f t="shared" si="77"/>
        <v>0</v>
      </c>
      <c r="AK153" s="1047">
        <f t="shared" si="77"/>
        <v>0</v>
      </c>
      <c r="AL153" s="1047">
        <f t="shared" si="77"/>
        <v>0</v>
      </c>
      <c r="AM153" s="1047">
        <f t="shared" si="77"/>
        <v>0</v>
      </c>
      <c r="AN153" s="1047">
        <f t="shared" si="77"/>
        <v>0</v>
      </c>
      <c r="AO153" s="1047">
        <f t="shared" si="77"/>
        <v>0</v>
      </c>
      <c r="AP153" s="1047">
        <f t="shared" si="77"/>
        <v>0</v>
      </c>
      <c r="AQ153" s="1047">
        <f t="shared" si="77"/>
        <v>0</v>
      </c>
      <c r="AR153" s="1080">
        <f t="shared" si="78"/>
        <v>0</v>
      </c>
    </row>
    <row r="154" spans="1:46" x14ac:dyDescent="0.3">
      <c r="A154" s="205"/>
      <c r="B154" s="647" t="s">
        <v>1086</v>
      </c>
      <c r="C154" s="305"/>
      <c r="D154" s="305"/>
      <c r="E154" s="305"/>
      <c r="F154" s="650"/>
      <c r="G154" s="305"/>
      <c r="H154" s="306"/>
      <c r="I154" s="906">
        <f t="shared" ref="I154:T154" si="82">SUM(I151:I153)</f>
        <v>0</v>
      </c>
      <c r="J154" s="906">
        <f t="shared" si="82"/>
        <v>0</v>
      </c>
      <c r="K154" s="906">
        <f t="shared" si="82"/>
        <v>0</v>
      </c>
      <c r="L154" s="906">
        <f t="shared" si="82"/>
        <v>0</v>
      </c>
      <c r="M154" s="906">
        <f t="shared" si="82"/>
        <v>0</v>
      </c>
      <c r="N154" s="906">
        <f t="shared" si="82"/>
        <v>0</v>
      </c>
      <c r="O154" s="906">
        <f t="shared" si="82"/>
        <v>0</v>
      </c>
      <c r="P154" s="906">
        <f t="shared" si="82"/>
        <v>0</v>
      </c>
      <c r="Q154" s="906">
        <f t="shared" si="82"/>
        <v>0</v>
      </c>
      <c r="R154" s="906">
        <f t="shared" si="82"/>
        <v>0</v>
      </c>
      <c r="S154" s="906">
        <f t="shared" si="82"/>
        <v>0</v>
      </c>
      <c r="T154" s="907">
        <f t="shared" si="82"/>
        <v>0</v>
      </c>
      <c r="U154" s="905">
        <f>SUM(I154:T154)</f>
        <v>0</v>
      </c>
      <c r="W154" s="232" t="str">
        <f>B150&amp;B123</f>
        <v>Fertilizantes 0</v>
      </c>
      <c r="X154" s="301"/>
      <c r="Y154" s="647" t="s">
        <v>1086</v>
      </c>
      <c r="Z154" s="305"/>
      <c r="AA154" s="305"/>
      <c r="AB154" s="305"/>
      <c r="AC154" s="650"/>
      <c r="AD154" s="305"/>
      <c r="AE154" s="306"/>
      <c r="AF154" s="906">
        <f t="shared" ref="AF154:AQ154" si="83">SUM(AF151:AF153)</f>
        <v>0</v>
      </c>
      <c r="AG154" s="906">
        <f t="shared" si="83"/>
        <v>0</v>
      </c>
      <c r="AH154" s="906">
        <f t="shared" si="83"/>
        <v>0</v>
      </c>
      <c r="AI154" s="906">
        <f t="shared" si="83"/>
        <v>0</v>
      </c>
      <c r="AJ154" s="906">
        <f t="shared" si="83"/>
        <v>0</v>
      </c>
      <c r="AK154" s="906">
        <f t="shared" si="83"/>
        <v>0</v>
      </c>
      <c r="AL154" s="906">
        <f t="shared" si="83"/>
        <v>0</v>
      </c>
      <c r="AM154" s="906">
        <f t="shared" si="83"/>
        <v>0</v>
      </c>
      <c r="AN154" s="906">
        <f t="shared" si="83"/>
        <v>0</v>
      </c>
      <c r="AO154" s="906">
        <f t="shared" si="83"/>
        <v>0</v>
      </c>
      <c r="AP154" s="906">
        <f t="shared" si="83"/>
        <v>0</v>
      </c>
      <c r="AQ154" s="907">
        <f t="shared" si="83"/>
        <v>0</v>
      </c>
      <c r="AR154" s="905">
        <f>SUM(AF154:AQ154)</f>
        <v>0</v>
      </c>
      <c r="AT154" s="232" t="str">
        <f>Y150&amp;Y123</f>
        <v>Fertilizantes 0</v>
      </c>
    </row>
    <row r="155" spans="1:46" x14ac:dyDescent="0.2">
      <c r="A155" s="205"/>
      <c r="B155" s="197" t="s">
        <v>340</v>
      </c>
      <c r="C155" s="307"/>
      <c r="D155" s="307"/>
      <c r="E155" s="308"/>
      <c r="F155" s="651"/>
      <c r="G155" s="308"/>
      <c r="H155" s="307"/>
      <c r="I155" s="307"/>
      <c r="J155" s="307"/>
      <c r="K155" s="307"/>
      <c r="L155" s="307"/>
      <c r="M155" s="307"/>
      <c r="N155" s="307"/>
      <c r="O155" s="307"/>
      <c r="P155" s="307"/>
      <c r="Q155" s="307"/>
      <c r="R155" s="307"/>
      <c r="S155" s="307"/>
      <c r="T155" s="307"/>
      <c r="U155" s="646"/>
      <c r="X155" s="301"/>
      <c r="Y155" s="197" t="s">
        <v>340</v>
      </c>
      <c r="Z155" s="307"/>
      <c r="AA155" s="307"/>
      <c r="AB155" s="308"/>
      <c r="AC155" s="651"/>
      <c r="AD155" s="308"/>
      <c r="AE155" s="307"/>
      <c r="AF155" s="307"/>
      <c r="AG155" s="307"/>
      <c r="AH155" s="307"/>
      <c r="AI155" s="307"/>
      <c r="AJ155" s="307"/>
      <c r="AK155" s="307"/>
      <c r="AL155" s="307"/>
      <c r="AM155" s="307"/>
      <c r="AN155" s="307"/>
      <c r="AO155" s="307"/>
      <c r="AP155" s="307"/>
      <c r="AQ155" s="307"/>
      <c r="AR155" s="646"/>
    </row>
    <row r="156" spans="1:46" ht="15.05" thickBot="1" x14ac:dyDescent="0.35">
      <c r="A156" s="205"/>
      <c r="B156" s="5042"/>
      <c r="C156" s="1056">
        <f t="shared" si="68"/>
        <v>0</v>
      </c>
      <c r="D156" s="1056">
        <f>IF(B156=0,0,VLOOKUP(B156,Precios!$B$216:$D$307,3,FALSE))</f>
        <v>0</v>
      </c>
      <c r="E156" s="5048"/>
      <c r="F156" s="1062">
        <f>IF(B156=0,0,VLOOKUP(B156,Precios!$B$216:$D$307,2,FALSE))</f>
        <v>0</v>
      </c>
      <c r="G156" s="1066">
        <f>E156*F156</f>
        <v>0</v>
      </c>
      <c r="H156" s="309"/>
      <c r="I156" s="1072">
        <f t="shared" si="74"/>
        <v>0</v>
      </c>
      <c r="J156" s="1033">
        <f t="shared" si="74"/>
        <v>0</v>
      </c>
      <c r="K156" s="1033">
        <f t="shared" si="74"/>
        <v>0</v>
      </c>
      <c r="L156" s="1033">
        <f t="shared" si="74"/>
        <v>0</v>
      </c>
      <c r="M156" s="1033">
        <f t="shared" si="74"/>
        <v>0</v>
      </c>
      <c r="N156" s="1033">
        <f t="shared" si="74"/>
        <v>0</v>
      </c>
      <c r="O156" s="1033">
        <f t="shared" si="74"/>
        <v>0</v>
      </c>
      <c r="P156" s="1033">
        <f t="shared" si="74"/>
        <v>0</v>
      </c>
      <c r="Q156" s="1033">
        <f t="shared" si="74"/>
        <v>0</v>
      </c>
      <c r="R156" s="1033">
        <f t="shared" si="74"/>
        <v>0</v>
      </c>
      <c r="S156" s="1033">
        <f t="shared" si="74"/>
        <v>0</v>
      </c>
      <c r="T156" s="1033">
        <f t="shared" si="74"/>
        <v>0</v>
      </c>
      <c r="U156" s="1073">
        <f t="shared" si="81"/>
        <v>0</v>
      </c>
      <c r="X156" s="301"/>
      <c r="Y156" s="5042"/>
      <c r="Z156" s="1056">
        <f t="shared" si="76"/>
        <v>0</v>
      </c>
      <c r="AA156" s="1056">
        <f>IF(Y156=0,0,VLOOKUP(Y156,Precios!$B$216:$D$307,3,FALSE))</f>
        <v>0</v>
      </c>
      <c r="AB156" s="1058"/>
      <c r="AC156" s="1062">
        <f>IF(Y156=0,0,VLOOKUP(Y156,Precios!$B$216:$D$307,2,FALSE))</f>
        <v>0</v>
      </c>
      <c r="AD156" s="1066">
        <f>AB156*AC156</f>
        <v>0</v>
      </c>
      <c r="AE156" s="309"/>
      <c r="AF156" s="1072">
        <f t="shared" si="77"/>
        <v>0</v>
      </c>
      <c r="AG156" s="1033">
        <f t="shared" si="77"/>
        <v>0</v>
      </c>
      <c r="AH156" s="1033">
        <f t="shared" si="77"/>
        <v>0</v>
      </c>
      <c r="AI156" s="1033">
        <f t="shared" si="77"/>
        <v>0</v>
      </c>
      <c r="AJ156" s="1033">
        <f t="shared" si="77"/>
        <v>0</v>
      </c>
      <c r="AK156" s="1033">
        <f t="shared" si="77"/>
        <v>0</v>
      </c>
      <c r="AL156" s="1033">
        <f t="shared" si="77"/>
        <v>0</v>
      </c>
      <c r="AM156" s="1033">
        <f t="shared" si="77"/>
        <v>0</v>
      </c>
      <c r="AN156" s="1033">
        <f t="shared" si="77"/>
        <v>0</v>
      </c>
      <c r="AO156" s="1033">
        <f t="shared" si="77"/>
        <v>0</v>
      </c>
      <c r="AP156" s="1033">
        <f t="shared" si="77"/>
        <v>0</v>
      </c>
      <c r="AQ156" s="1033">
        <f t="shared" si="77"/>
        <v>0</v>
      </c>
      <c r="AR156" s="1073">
        <f t="shared" si="78"/>
        <v>0</v>
      </c>
    </row>
    <row r="157" spans="1:46" ht="15.05" thickBot="1" x14ac:dyDescent="0.35">
      <c r="A157" s="205"/>
      <c r="B157" s="5044"/>
      <c r="C157" s="985">
        <f t="shared" si="68"/>
        <v>0</v>
      </c>
      <c r="D157" s="985">
        <f>IF(B157=0,0,VLOOKUP(B157,Precios!$B$216:$D$307,3,FALSE))</f>
        <v>0</v>
      </c>
      <c r="E157" s="5049"/>
      <c r="F157" s="1059">
        <f>IF(B157=0,0,VLOOKUP(B157,Precios!$B$216:$D$307,2,FALSE))</f>
        <v>0</v>
      </c>
      <c r="G157" s="1067">
        <f>E157*F157</f>
        <v>0</v>
      </c>
      <c r="H157" s="309"/>
      <c r="I157" s="1074">
        <f t="shared" si="74"/>
        <v>0</v>
      </c>
      <c r="J157" s="1005">
        <f t="shared" si="74"/>
        <v>0</v>
      </c>
      <c r="K157" s="1005">
        <f t="shared" si="74"/>
        <v>0</v>
      </c>
      <c r="L157" s="1005">
        <f t="shared" si="74"/>
        <v>0</v>
      </c>
      <c r="M157" s="1005">
        <f t="shared" si="74"/>
        <v>0</v>
      </c>
      <c r="N157" s="1005">
        <f t="shared" si="74"/>
        <v>0</v>
      </c>
      <c r="O157" s="1005">
        <f t="shared" si="74"/>
        <v>0</v>
      </c>
      <c r="P157" s="1005">
        <f t="shared" si="74"/>
        <v>0</v>
      </c>
      <c r="Q157" s="1005">
        <f t="shared" si="74"/>
        <v>0</v>
      </c>
      <c r="R157" s="1005">
        <f t="shared" si="74"/>
        <v>0</v>
      </c>
      <c r="S157" s="1005">
        <f t="shared" si="74"/>
        <v>0</v>
      </c>
      <c r="T157" s="1005">
        <f t="shared" si="74"/>
        <v>0</v>
      </c>
      <c r="U157" s="1075">
        <f t="shared" si="81"/>
        <v>0</v>
      </c>
      <c r="X157" s="301"/>
      <c r="Y157" s="5044"/>
      <c r="Z157" s="985">
        <f t="shared" si="76"/>
        <v>0</v>
      </c>
      <c r="AA157" s="985">
        <f>IF(Y157=0,0,VLOOKUP(Y157,Precios!$B$216:$D$307,3,FALSE))</f>
        <v>0</v>
      </c>
      <c r="AB157" s="986"/>
      <c r="AC157" s="1059">
        <f>IF(Y157=0,0,VLOOKUP(Y157,Precios!$B$216:$D$307,2,FALSE))</f>
        <v>0</v>
      </c>
      <c r="AD157" s="1067">
        <f>AB157*AC157</f>
        <v>0</v>
      </c>
      <c r="AE157" s="309"/>
      <c r="AF157" s="1074">
        <f t="shared" si="77"/>
        <v>0</v>
      </c>
      <c r="AG157" s="1005">
        <f t="shared" si="77"/>
        <v>0</v>
      </c>
      <c r="AH157" s="1005">
        <f t="shared" si="77"/>
        <v>0</v>
      </c>
      <c r="AI157" s="1005">
        <f t="shared" si="77"/>
        <v>0</v>
      </c>
      <c r="AJ157" s="1005">
        <f t="shared" si="77"/>
        <v>0</v>
      </c>
      <c r="AK157" s="1005">
        <f t="shared" si="77"/>
        <v>0</v>
      </c>
      <c r="AL157" s="1005">
        <f t="shared" si="77"/>
        <v>0</v>
      </c>
      <c r="AM157" s="1005">
        <f t="shared" si="77"/>
        <v>0</v>
      </c>
      <c r="AN157" s="1005">
        <f t="shared" si="77"/>
        <v>0</v>
      </c>
      <c r="AO157" s="1005">
        <f t="shared" si="77"/>
        <v>0</v>
      </c>
      <c r="AP157" s="1005">
        <f t="shared" si="77"/>
        <v>0</v>
      </c>
      <c r="AQ157" s="1005">
        <f t="shared" si="77"/>
        <v>0</v>
      </c>
      <c r="AR157" s="1075">
        <f t="shared" si="78"/>
        <v>0</v>
      </c>
    </row>
    <row r="158" spans="1:46" x14ac:dyDescent="0.3">
      <c r="A158" s="205"/>
      <c r="B158" s="5046"/>
      <c r="C158" s="1057">
        <f t="shared" si="68"/>
        <v>0</v>
      </c>
      <c r="D158" s="1057">
        <f>IF(B158=0,0,VLOOKUP(B158,Precios!$B$216:$D$307,3,FALSE))</f>
        <v>0</v>
      </c>
      <c r="E158" s="5050"/>
      <c r="F158" s="1061">
        <f>IF(B158=0,0,VLOOKUP(B158,Precios!$B$216:$D$307,2,FALSE))</f>
        <v>0</v>
      </c>
      <c r="G158" s="1068">
        <f>E158*F158</f>
        <v>0</v>
      </c>
      <c r="H158" s="309"/>
      <c r="I158" s="1079">
        <f t="shared" si="74"/>
        <v>0</v>
      </c>
      <c r="J158" s="1047">
        <f t="shared" si="74"/>
        <v>0</v>
      </c>
      <c r="K158" s="1047">
        <f t="shared" si="74"/>
        <v>0</v>
      </c>
      <c r="L158" s="1047">
        <f t="shared" si="74"/>
        <v>0</v>
      </c>
      <c r="M158" s="1047">
        <f t="shared" si="74"/>
        <v>0</v>
      </c>
      <c r="N158" s="1047">
        <f t="shared" si="74"/>
        <v>0</v>
      </c>
      <c r="O158" s="1047">
        <f t="shared" si="74"/>
        <v>0</v>
      </c>
      <c r="P158" s="1047">
        <f t="shared" si="74"/>
        <v>0</v>
      </c>
      <c r="Q158" s="1047">
        <f t="shared" si="74"/>
        <v>0</v>
      </c>
      <c r="R158" s="1047">
        <f t="shared" si="74"/>
        <v>0</v>
      </c>
      <c r="S158" s="1047">
        <f t="shared" si="74"/>
        <v>0</v>
      </c>
      <c r="T158" s="1047">
        <f t="shared" si="74"/>
        <v>0</v>
      </c>
      <c r="U158" s="1080">
        <f t="shared" si="81"/>
        <v>0</v>
      </c>
      <c r="X158" s="301"/>
      <c r="Y158" s="5046"/>
      <c r="Z158" s="1057">
        <f t="shared" si="76"/>
        <v>0</v>
      </c>
      <c r="AA158" s="1057">
        <f>IF(Y158=0,0,VLOOKUP(Y158,Precios!$B$216:$D$307,3,FALSE))</f>
        <v>0</v>
      </c>
      <c r="AB158" s="1060"/>
      <c r="AC158" s="1061">
        <f>IF(Y158=0,0,VLOOKUP(Y158,Precios!$B$216:$D$307,2,FALSE))</f>
        <v>0</v>
      </c>
      <c r="AD158" s="1068">
        <f>AB158*AC158</f>
        <v>0</v>
      </c>
      <c r="AE158" s="309"/>
      <c r="AF158" s="1079">
        <f t="shared" si="77"/>
        <v>0</v>
      </c>
      <c r="AG158" s="1047">
        <f t="shared" si="77"/>
        <v>0</v>
      </c>
      <c r="AH158" s="1047">
        <f t="shared" si="77"/>
        <v>0</v>
      </c>
      <c r="AI158" s="1047">
        <f t="shared" si="77"/>
        <v>0</v>
      </c>
      <c r="AJ158" s="1047">
        <f t="shared" si="77"/>
        <v>0</v>
      </c>
      <c r="AK158" s="1047">
        <f t="shared" si="77"/>
        <v>0</v>
      </c>
      <c r="AL158" s="1047">
        <f t="shared" si="77"/>
        <v>0</v>
      </c>
      <c r="AM158" s="1047">
        <f t="shared" si="77"/>
        <v>0</v>
      </c>
      <c r="AN158" s="1047">
        <f t="shared" si="77"/>
        <v>0</v>
      </c>
      <c r="AO158" s="1047">
        <f t="shared" si="77"/>
        <v>0</v>
      </c>
      <c r="AP158" s="1047">
        <f t="shared" si="77"/>
        <v>0</v>
      </c>
      <c r="AQ158" s="1047">
        <f t="shared" si="77"/>
        <v>0</v>
      </c>
      <c r="AR158" s="1080">
        <f t="shared" si="78"/>
        <v>0</v>
      </c>
    </row>
    <row r="159" spans="1:46" ht="15.05" thickBot="1" x14ac:dyDescent="0.35">
      <c r="A159" s="205"/>
      <c r="B159" s="647" t="s">
        <v>1087</v>
      </c>
      <c r="C159" s="305"/>
      <c r="D159" s="305"/>
      <c r="E159" s="305"/>
      <c r="F159" s="650"/>
      <c r="G159" s="305"/>
      <c r="H159" s="306"/>
      <c r="I159" s="906">
        <f t="shared" ref="I159:T159" si="84">SUM(I156:I158)</f>
        <v>0</v>
      </c>
      <c r="J159" s="906">
        <f t="shared" si="84"/>
        <v>0</v>
      </c>
      <c r="K159" s="906">
        <f t="shared" si="84"/>
        <v>0</v>
      </c>
      <c r="L159" s="906">
        <f t="shared" si="84"/>
        <v>0</v>
      </c>
      <c r="M159" s="906">
        <f t="shared" si="84"/>
        <v>0</v>
      </c>
      <c r="N159" s="906">
        <f t="shared" si="84"/>
        <v>0</v>
      </c>
      <c r="O159" s="906">
        <f t="shared" si="84"/>
        <v>0</v>
      </c>
      <c r="P159" s="906">
        <f t="shared" si="84"/>
        <v>0</v>
      </c>
      <c r="Q159" s="906">
        <f t="shared" si="84"/>
        <v>0</v>
      </c>
      <c r="R159" s="906">
        <f t="shared" si="84"/>
        <v>0</v>
      </c>
      <c r="S159" s="906">
        <f t="shared" si="84"/>
        <v>0</v>
      </c>
      <c r="T159" s="907">
        <f t="shared" si="84"/>
        <v>0</v>
      </c>
      <c r="U159" s="905">
        <f t="shared" si="81"/>
        <v>0</v>
      </c>
      <c r="W159" s="232" t="str">
        <f>B155&amp;B123</f>
        <v>Agroquímicos 0</v>
      </c>
      <c r="X159" s="301"/>
      <c r="Y159" s="647" t="s">
        <v>1087</v>
      </c>
      <c r="Z159" s="305"/>
      <c r="AA159" s="305"/>
      <c r="AB159" s="305"/>
      <c r="AC159" s="650"/>
      <c r="AD159" s="305"/>
      <c r="AE159" s="306"/>
      <c r="AF159" s="906">
        <f t="shared" ref="AF159:AQ159" si="85">SUM(AF156:AF158)</f>
        <v>0</v>
      </c>
      <c r="AG159" s="906">
        <f t="shared" si="85"/>
        <v>0</v>
      </c>
      <c r="AH159" s="906">
        <f t="shared" si="85"/>
        <v>0</v>
      </c>
      <c r="AI159" s="906">
        <f t="shared" si="85"/>
        <v>0</v>
      </c>
      <c r="AJ159" s="906">
        <f t="shared" si="85"/>
        <v>0</v>
      </c>
      <c r="AK159" s="906">
        <f t="shared" si="85"/>
        <v>0</v>
      </c>
      <c r="AL159" s="906">
        <f t="shared" si="85"/>
        <v>0</v>
      </c>
      <c r="AM159" s="906">
        <f t="shared" si="85"/>
        <v>0</v>
      </c>
      <c r="AN159" s="906">
        <f t="shared" si="85"/>
        <v>0</v>
      </c>
      <c r="AO159" s="906">
        <f t="shared" si="85"/>
        <v>0</v>
      </c>
      <c r="AP159" s="906">
        <f t="shared" si="85"/>
        <v>0</v>
      </c>
      <c r="AQ159" s="907">
        <f t="shared" si="85"/>
        <v>0</v>
      </c>
      <c r="AR159" s="905">
        <f t="shared" si="78"/>
        <v>0</v>
      </c>
      <c r="AT159" s="232" t="str">
        <f>Y155&amp;Y123</f>
        <v>Agroquímicos 0</v>
      </c>
    </row>
    <row r="160" spans="1:46" ht="15.05" thickBot="1" x14ac:dyDescent="0.25">
      <c r="A160" s="205"/>
      <c r="B160" s="648" t="s">
        <v>892</v>
      </c>
      <c r="C160" s="909">
        <f>+C122</f>
        <v>0</v>
      </c>
      <c r="D160" s="909"/>
      <c r="E160" s="312" t="s">
        <v>876</v>
      </c>
      <c r="F160" s="313"/>
      <c r="G160" s="289"/>
      <c r="H160" s="312"/>
      <c r="I160" s="314">
        <f>SUMPRODUCT($F127:$F158,I127:I158)</f>
        <v>0</v>
      </c>
      <c r="J160" s="314">
        <f t="shared" ref="J160:T160" si="86">SUMPRODUCT($F127:$F158,J127:J158)</f>
        <v>0</v>
      </c>
      <c r="K160" s="314">
        <f t="shared" si="86"/>
        <v>0</v>
      </c>
      <c r="L160" s="314">
        <f t="shared" si="86"/>
        <v>0</v>
      </c>
      <c r="M160" s="314">
        <f t="shared" si="86"/>
        <v>0</v>
      </c>
      <c r="N160" s="314">
        <f t="shared" si="86"/>
        <v>0</v>
      </c>
      <c r="O160" s="314">
        <f t="shared" si="86"/>
        <v>0</v>
      </c>
      <c r="P160" s="314">
        <f t="shared" si="86"/>
        <v>0</v>
      </c>
      <c r="Q160" s="314">
        <f t="shared" si="86"/>
        <v>0</v>
      </c>
      <c r="R160" s="314">
        <f t="shared" si="86"/>
        <v>0</v>
      </c>
      <c r="S160" s="314">
        <f t="shared" si="86"/>
        <v>0</v>
      </c>
      <c r="T160" s="314">
        <f t="shared" si="86"/>
        <v>0</v>
      </c>
      <c r="U160" s="908">
        <f>SUM(I160:T160)</f>
        <v>0</v>
      </c>
      <c r="X160" s="301"/>
      <c r="Y160" s="648" t="s">
        <v>892</v>
      </c>
      <c r="Z160" s="909">
        <f>+Z122</f>
        <v>0</v>
      </c>
      <c r="AA160" s="909"/>
      <c r="AB160" s="312" t="s">
        <v>876</v>
      </c>
      <c r="AC160" s="313"/>
      <c r="AD160" s="289"/>
      <c r="AE160" s="312"/>
      <c r="AF160" s="314">
        <f t="shared" ref="AF160:AQ160" si="87">SUMPRODUCT($AC127:$AC158,AF127:AF158)</f>
        <v>0</v>
      </c>
      <c r="AG160" s="314">
        <f t="shared" si="87"/>
        <v>0</v>
      </c>
      <c r="AH160" s="314">
        <f t="shared" si="87"/>
        <v>0</v>
      </c>
      <c r="AI160" s="314">
        <f t="shared" si="87"/>
        <v>0</v>
      </c>
      <c r="AJ160" s="314">
        <f t="shared" si="87"/>
        <v>0</v>
      </c>
      <c r="AK160" s="314">
        <f t="shared" si="87"/>
        <v>0</v>
      </c>
      <c r="AL160" s="314">
        <f t="shared" si="87"/>
        <v>0</v>
      </c>
      <c r="AM160" s="314">
        <f t="shared" si="87"/>
        <v>0</v>
      </c>
      <c r="AN160" s="314">
        <f t="shared" si="87"/>
        <v>0</v>
      </c>
      <c r="AO160" s="314">
        <f t="shared" si="87"/>
        <v>0</v>
      </c>
      <c r="AP160" s="314">
        <f t="shared" si="87"/>
        <v>0</v>
      </c>
      <c r="AQ160" s="314">
        <f t="shared" si="87"/>
        <v>0</v>
      </c>
      <c r="AR160" s="908">
        <f>SUM(AF160:AQ160)</f>
        <v>0</v>
      </c>
    </row>
    <row r="161" spans="1:47" x14ac:dyDescent="0.2">
      <c r="A161" s="205"/>
      <c r="B161" s="177"/>
      <c r="C161" s="177"/>
      <c r="D161" s="177"/>
      <c r="E161" s="177"/>
      <c r="F161" s="315"/>
      <c r="G161" s="316"/>
      <c r="H161" s="177"/>
      <c r="I161" s="177"/>
      <c r="J161" s="177"/>
      <c r="K161" s="177"/>
      <c r="L161" s="177"/>
      <c r="M161" s="177"/>
      <c r="N161" s="177"/>
      <c r="O161" s="177"/>
      <c r="P161" s="177"/>
      <c r="Q161" s="177"/>
      <c r="R161" s="177"/>
      <c r="S161" s="177"/>
      <c r="T161" s="177"/>
      <c r="U161" s="649"/>
      <c r="X161" s="205"/>
      <c r="Y161" s="208"/>
      <c r="Z161" s="177"/>
      <c r="AA161" s="177"/>
      <c r="AB161" s="177"/>
      <c r="AC161" s="316"/>
      <c r="AD161" s="316"/>
      <c r="AE161" s="177"/>
      <c r="AF161" s="177"/>
      <c r="AG161" s="177"/>
      <c r="AH161" s="177"/>
      <c r="AI161" s="177"/>
      <c r="AJ161" s="177"/>
      <c r="AK161" s="177"/>
      <c r="AL161" s="177"/>
      <c r="AM161" s="177"/>
      <c r="AN161" s="177"/>
      <c r="AO161" s="177"/>
      <c r="AP161" s="177"/>
      <c r="AQ161" s="177"/>
      <c r="AR161" s="317"/>
    </row>
    <row r="162" spans="1:47" ht="15.05" thickBot="1" x14ac:dyDescent="0.25">
      <c r="A162" s="205"/>
      <c r="B162" s="177"/>
      <c r="C162" s="177"/>
      <c r="D162" s="177"/>
      <c r="E162" s="177"/>
      <c r="F162" s="315"/>
      <c r="G162" s="316"/>
      <c r="H162" s="177"/>
      <c r="I162" s="177"/>
      <c r="J162" s="177"/>
      <c r="K162" s="177"/>
      <c r="L162" s="177"/>
      <c r="M162" s="177"/>
      <c r="N162" s="177"/>
      <c r="O162" s="177"/>
      <c r="P162" s="177"/>
      <c r="Q162" s="177"/>
      <c r="R162" s="177"/>
      <c r="S162" s="177"/>
      <c r="T162" s="177"/>
      <c r="U162" s="649"/>
      <c r="X162" s="205"/>
      <c r="Y162" s="208"/>
      <c r="Z162" s="177"/>
      <c r="AA162" s="177"/>
      <c r="AB162" s="177"/>
      <c r="AC162" s="316"/>
      <c r="AD162" s="316"/>
      <c r="AE162" s="177"/>
      <c r="AF162" s="177"/>
      <c r="AG162" s="177"/>
      <c r="AH162" s="177"/>
      <c r="AI162" s="177"/>
      <c r="AJ162" s="177"/>
      <c r="AK162" s="177"/>
      <c r="AL162" s="177"/>
      <c r="AM162" s="177"/>
      <c r="AN162" s="177"/>
      <c r="AO162" s="177"/>
      <c r="AP162" s="177"/>
      <c r="AQ162" s="177"/>
      <c r="AR162" s="317"/>
    </row>
    <row r="163" spans="1:47" s="254" customFormat="1" ht="15.05" thickBot="1" x14ac:dyDescent="0.25">
      <c r="A163" s="1344">
        <f>+A122+1</f>
        <v>45</v>
      </c>
      <c r="B163" s="635" t="s">
        <v>878</v>
      </c>
      <c r="C163" s="898">
        <f>UsoSuelo!D141</f>
        <v>0</v>
      </c>
      <c r="D163" s="898"/>
      <c r="E163" s="636"/>
      <c r="F163" s="637"/>
      <c r="G163" s="637"/>
      <c r="H163" s="637"/>
      <c r="I163" s="637"/>
      <c r="J163" s="637"/>
      <c r="K163" s="637"/>
      <c r="L163" s="637"/>
      <c r="M163" s="637"/>
      <c r="N163" s="637"/>
      <c r="O163" s="637"/>
      <c r="P163" s="637"/>
      <c r="Q163" s="637"/>
      <c r="R163" s="637"/>
      <c r="S163" s="637"/>
      <c r="T163" s="637"/>
      <c r="U163" s="638"/>
      <c r="V163" s="1569"/>
      <c r="W163" s="1569"/>
      <c r="X163" s="1344">
        <f>+X122+1</f>
        <v>57</v>
      </c>
      <c r="Y163" s="635" t="s">
        <v>878</v>
      </c>
      <c r="Z163" s="898">
        <f>+UsoSuelo!D158</f>
        <v>0</v>
      </c>
      <c r="AA163" s="898"/>
      <c r="AB163" s="636"/>
      <c r="AC163" s="637"/>
      <c r="AD163" s="637"/>
      <c r="AE163" s="637"/>
      <c r="AF163" s="637"/>
      <c r="AG163" s="637"/>
      <c r="AH163" s="637"/>
      <c r="AI163" s="637"/>
      <c r="AJ163" s="637"/>
      <c r="AK163" s="637"/>
      <c r="AL163" s="637"/>
      <c r="AM163" s="637"/>
      <c r="AN163" s="637"/>
      <c r="AO163" s="637"/>
      <c r="AP163" s="637"/>
      <c r="AQ163" s="637"/>
      <c r="AR163" s="638"/>
      <c r="AS163" s="1569"/>
      <c r="AT163" s="1569"/>
      <c r="AU163" s="1436"/>
    </row>
    <row r="164" spans="1:47" s="254" customFormat="1" x14ac:dyDescent="0.2">
      <c r="A164" s="1344" t="s">
        <v>1760</v>
      </c>
      <c r="B164" s="639">
        <f>+UsoSuelo!H141</f>
        <v>0</v>
      </c>
      <c r="C164" s="291"/>
      <c r="D164" s="291"/>
      <c r="E164" s="291"/>
      <c r="F164" s="291"/>
      <c r="G164" s="291" t="s">
        <v>883</v>
      </c>
      <c r="H164" s="292"/>
      <c r="I164" s="293" t="str">
        <f t="shared" ref="I164:T164" si="88">+I41</f>
        <v>Ene</v>
      </c>
      <c r="J164" s="293" t="str">
        <f t="shared" si="88"/>
        <v>Feb</v>
      </c>
      <c r="K164" s="293" t="str">
        <f t="shared" si="88"/>
        <v>Mar</v>
      </c>
      <c r="L164" s="293" t="str">
        <f t="shared" si="88"/>
        <v>Abr</v>
      </c>
      <c r="M164" s="293" t="str">
        <f t="shared" si="88"/>
        <v>May</v>
      </c>
      <c r="N164" s="293" t="str">
        <f t="shared" si="88"/>
        <v>Jun</v>
      </c>
      <c r="O164" s="293" t="str">
        <f t="shared" si="88"/>
        <v>Jul</v>
      </c>
      <c r="P164" s="293" t="str">
        <f t="shared" si="88"/>
        <v>Ago</v>
      </c>
      <c r="Q164" s="293" t="str">
        <f t="shared" si="88"/>
        <v>Set</v>
      </c>
      <c r="R164" s="293" t="str">
        <f t="shared" si="88"/>
        <v>Oct</v>
      </c>
      <c r="S164" s="293" t="str">
        <f t="shared" si="88"/>
        <v>Nov</v>
      </c>
      <c r="T164" s="294" t="str">
        <f t="shared" si="88"/>
        <v>Dic</v>
      </c>
      <c r="U164" s="640" t="s">
        <v>1106</v>
      </c>
      <c r="V164" s="1569"/>
      <c r="W164" s="1569"/>
      <c r="X164" s="1344" t="str">
        <f>+A164</f>
        <v>D</v>
      </c>
      <c r="Y164" s="639">
        <f>+UsoSuelo!H158</f>
        <v>0</v>
      </c>
      <c r="Z164" s="291"/>
      <c r="AA164" s="291"/>
      <c r="AB164" s="291"/>
      <c r="AC164" s="291"/>
      <c r="AD164" s="291" t="s">
        <v>883</v>
      </c>
      <c r="AE164" s="292"/>
      <c r="AF164" s="293" t="str">
        <f t="shared" ref="AF164:AQ164" si="89">AF123</f>
        <v>Ene</v>
      </c>
      <c r="AG164" s="293" t="str">
        <f t="shared" si="89"/>
        <v>Feb</v>
      </c>
      <c r="AH164" s="293" t="str">
        <f t="shared" si="89"/>
        <v>Mar</v>
      </c>
      <c r="AI164" s="293" t="str">
        <f t="shared" si="89"/>
        <v>Abr</v>
      </c>
      <c r="AJ164" s="293" t="str">
        <f t="shared" si="89"/>
        <v>May</v>
      </c>
      <c r="AK164" s="293" t="str">
        <f t="shared" si="89"/>
        <v>Jun</v>
      </c>
      <c r="AL164" s="293" t="str">
        <f t="shared" si="89"/>
        <v>Jul</v>
      </c>
      <c r="AM164" s="293" t="str">
        <f t="shared" si="89"/>
        <v>Ago</v>
      </c>
      <c r="AN164" s="293" t="str">
        <f t="shared" si="89"/>
        <v>Set</v>
      </c>
      <c r="AO164" s="293" t="str">
        <f t="shared" si="89"/>
        <v>Oct</v>
      </c>
      <c r="AP164" s="293" t="str">
        <f t="shared" si="89"/>
        <v>Nov</v>
      </c>
      <c r="AQ164" s="294" t="str">
        <f t="shared" si="89"/>
        <v>Dic</v>
      </c>
      <c r="AR164" s="640" t="s">
        <v>1106</v>
      </c>
      <c r="AS164" s="1569"/>
      <c r="AT164" s="1569"/>
      <c r="AU164" s="1436"/>
    </row>
    <row r="165" spans="1:47" s="254" customFormat="1" x14ac:dyDescent="0.2">
      <c r="A165" s="205"/>
      <c r="B165" s="899" t="s">
        <v>884</v>
      </c>
      <c r="C165" s="900"/>
      <c r="D165" s="900"/>
      <c r="E165" s="900"/>
      <c r="F165" s="900"/>
      <c r="G165" s="900"/>
      <c r="H165" s="900"/>
      <c r="I165" s="901">
        <f>VLOOKUP($C163,UsoSuelo!$CQ$1127:$DC$1194,2,FALSE)</f>
        <v>0</v>
      </c>
      <c r="J165" s="901">
        <f>VLOOKUP($C163,UsoSuelo!$CQ$1127:$DC$1194,3,FALSE)</f>
        <v>0</v>
      </c>
      <c r="K165" s="901">
        <f>VLOOKUP($C163,UsoSuelo!$CQ$1127:$DC$1194,4,FALSE)</f>
        <v>0</v>
      </c>
      <c r="L165" s="901">
        <f>VLOOKUP($C163,UsoSuelo!$CQ$1127:$DC$1194,5,FALSE)</f>
        <v>0</v>
      </c>
      <c r="M165" s="901">
        <f>VLOOKUP($C163,UsoSuelo!$CQ$1127:$DC$1194,6,FALSE)</f>
        <v>0</v>
      </c>
      <c r="N165" s="901">
        <f>VLOOKUP($C163,UsoSuelo!$CQ$1127:$DC$1194,7,FALSE)</f>
        <v>0</v>
      </c>
      <c r="O165" s="901">
        <f>VLOOKUP($C163,UsoSuelo!$CQ$1127:$DC$1194,8,FALSE)</f>
        <v>0</v>
      </c>
      <c r="P165" s="901">
        <f>VLOOKUP($C163,UsoSuelo!$CQ$1127:$DC$1194,9,FALSE)</f>
        <v>0</v>
      </c>
      <c r="Q165" s="901">
        <f>VLOOKUP($C163,UsoSuelo!$CQ$1127:$DC$1194,10,FALSE)</f>
        <v>0</v>
      </c>
      <c r="R165" s="901">
        <f>VLOOKUP($C163,UsoSuelo!$CQ$1127:$DC$1194,11,FALSE)</f>
        <v>0</v>
      </c>
      <c r="S165" s="901">
        <f>VLOOKUP($C163,UsoSuelo!$CQ$1127:$DC$1194,12,FALSE)</f>
        <v>0</v>
      </c>
      <c r="T165" s="902">
        <f>VLOOKUP($C163,UsoSuelo!$CQ$1127:$DC$1194,13,FALSE)</f>
        <v>0</v>
      </c>
      <c r="U165" s="903">
        <f>SUM(I165:T165)</f>
        <v>0</v>
      </c>
      <c r="V165" s="1569"/>
      <c r="W165" s="1569"/>
      <c r="X165" s="16"/>
      <c r="Y165" s="899" t="s">
        <v>884</v>
      </c>
      <c r="Z165" s="900"/>
      <c r="AA165" s="900"/>
      <c r="AB165" s="900"/>
      <c r="AC165" s="900"/>
      <c r="AD165" s="900"/>
      <c r="AE165" s="900"/>
      <c r="AF165" s="901">
        <f>VLOOKUP($Z163,UsoSuelo!$DE$1054:$DQ$1120,2,FALSE)</f>
        <v>0</v>
      </c>
      <c r="AG165" s="901">
        <f>VLOOKUP($Z163,UsoSuelo!$DE$1054:$DQ$1120,3,FALSE)</f>
        <v>0</v>
      </c>
      <c r="AH165" s="901">
        <f>VLOOKUP($Z163,UsoSuelo!$DE$1054:$DQ$1120,4,FALSE)</f>
        <v>0</v>
      </c>
      <c r="AI165" s="901">
        <f>VLOOKUP($Z163,UsoSuelo!$DE$1054:$DQ$1120,5,FALSE)</f>
        <v>0</v>
      </c>
      <c r="AJ165" s="901">
        <f>VLOOKUP($Z163,UsoSuelo!$DE$1054:$DQ$1120,6,FALSE)</f>
        <v>0</v>
      </c>
      <c r="AK165" s="901">
        <f>VLOOKUP($Z163,UsoSuelo!$DE$1054:$DQ$1120,7,FALSE)</f>
        <v>0</v>
      </c>
      <c r="AL165" s="901">
        <f>VLOOKUP($Z163,UsoSuelo!$DE$1054:$DQ$1120,8,FALSE)</f>
        <v>0</v>
      </c>
      <c r="AM165" s="901">
        <f>VLOOKUP($Z163,UsoSuelo!$DE$1054:$DQ$1120,9,FALSE)</f>
        <v>0</v>
      </c>
      <c r="AN165" s="901">
        <f>VLOOKUP($Z163,UsoSuelo!$DE$1054:$DQ$1120,10,FALSE)</f>
        <v>0</v>
      </c>
      <c r="AO165" s="901">
        <f>VLOOKUP($Z163,UsoSuelo!$DE$1054:$DQ$1120,11,FALSE)</f>
        <v>0</v>
      </c>
      <c r="AP165" s="901">
        <f>VLOOKUP($Z163,UsoSuelo!$DE$1054:$DQ$1120,12,FALSE)</f>
        <v>0</v>
      </c>
      <c r="AQ165" s="902">
        <f>VLOOKUP($Z163,UsoSuelo!$DE$1054:$DQ$1120,13,FALSE)</f>
        <v>0</v>
      </c>
      <c r="AR165" s="903">
        <f>SUM(AF165:AQ165)</f>
        <v>0</v>
      </c>
      <c r="AS165" s="1569"/>
      <c r="AT165" s="1569"/>
      <c r="AU165" s="1436"/>
    </row>
    <row r="166" spans="1:47" s="254" customFormat="1" x14ac:dyDescent="0.2">
      <c r="A166" s="205"/>
      <c r="B166" s="641"/>
      <c r="C166" s="621" t="s">
        <v>885</v>
      </c>
      <c r="D166" s="621"/>
      <c r="E166" s="621" t="s">
        <v>881</v>
      </c>
      <c r="F166" s="621" t="s">
        <v>23</v>
      </c>
      <c r="G166" s="622"/>
      <c r="H166" s="623"/>
      <c r="I166" s="297"/>
      <c r="J166" s="296"/>
      <c r="K166" s="296"/>
      <c r="L166" s="296"/>
      <c r="M166" s="296"/>
      <c r="N166" s="297"/>
      <c r="O166" s="297"/>
      <c r="P166" s="297"/>
      <c r="Q166" s="297"/>
      <c r="R166" s="297"/>
      <c r="S166" s="297"/>
      <c r="T166" s="297"/>
      <c r="U166" s="642" t="s">
        <v>881</v>
      </c>
      <c r="V166" s="232"/>
      <c r="W166" s="1569"/>
      <c r="X166" s="16"/>
      <c r="Y166" s="641"/>
      <c r="Z166" s="621" t="s">
        <v>885</v>
      </c>
      <c r="AA166" s="621"/>
      <c r="AB166" s="621" t="s">
        <v>881</v>
      </c>
      <c r="AC166" s="621" t="s">
        <v>23</v>
      </c>
      <c r="AD166" s="622"/>
      <c r="AE166" s="623"/>
      <c r="AF166" s="297"/>
      <c r="AG166" s="296"/>
      <c r="AH166" s="296"/>
      <c r="AI166" s="296"/>
      <c r="AJ166" s="296"/>
      <c r="AK166" s="297"/>
      <c r="AL166" s="297"/>
      <c r="AM166" s="297"/>
      <c r="AN166" s="297"/>
      <c r="AO166" s="297"/>
      <c r="AP166" s="297"/>
      <c r="AQ166" s="297"/>
      <c r="AR166" s="642" t="s">
        <v>881</v>
      </c>
      <c r="AS166" s="232"/>
      <c r="AT166" s="1569"/>
      <c r="AU166" s="232"/>
    </row>
    <row r="167" spans="1:47" x14ac:dyDescent="0.2">
      <c r="A167" s="145"/>
      <c r="B167" s="199" t="s">
        <v>869</v>
      </c>
      <c r="C167" s="3" t="s">
        <v>1105</v>
      </c>
      <c r="D167" s="3" t="s">
        <v>312</v>
      </c>
      <c r="E167" s="4" t="s">
        <v>882</v>
      </c>
      <c r="F167" s="3" t="s">
        <v>314</v>
      </c>
      <c r="G167" s="4" t="s">
        <v>313</v>
      </c>
      <c r="H167" s="299"/>
      <c r="I167" s="320"/>
      <c r="J167" s="319"/>
      <c r="K167" s="319"/>
      <c r="L167" s="319"/>
      <c r="M167" s="319" t="s">
        <v>349</v>
      </c>
      <c r="N167" s="320"/>
      <c r="O167" s="320"/>
      <c r="P167" s="320"/>
      <c r="Q167" s="320"/>
      <c r="R167" s="320"/>
      <c r="S167" s="320"/>
      <c r="T167" s="320"/>
      <c r="U167" s="643" t="s">
        <v>891</v>
      </c>
      <c r="X167" s="205"/>
      <c r="Y167" s="199" t="s">
        <v>869</v>
      </c>
      <c r="Z167" s="3" t="s">
        <v>1105</v>
      </c>
      <c r="AA167" s="3" t="s">
        <v>312</v>
      </c>
      <c r="AB167" s="4" t="s">
        <v>882</v>
      </c>
      <c r="AC167" s="3" t="s">
        <v>314</v>
      </c>
      <c r="AD167" s="4" t="s">
        <v>313</v>
      </c>
      <c r="AE167" s="299"/>
      <c r="AF167" s="320"/>
      <c r="AG167" s="319"/>
      <c r="AH167" s="319"/>
      <c r="AI167" s="319"/>
      <c r="AJ167" s="319" t="s">
        <v>349</v>
      </c>
      <c r="AK167" s="320"/>
      <c r="AL167" s="320"/>
      <c r="AM167" s="320"/>
      <c r="AN167" s="320"/>
      <c r="AO167" s="320"/>
      <c r="AP167" s="320"/>
      <c r="AQ167" s="320"/>
      <c r="AR167" s="643" t="s">
        <v>891</v>
      </c>
    </row>
    <row r="168" spans="1:47" ht="15.05" thickBot="1" x14ac:dyDescent="0.35">
      <c r="A168" s="205"/>
      <c r="B168" s="5042"/>
      <c r="C168" s="1056">
        <f>IF(B168=0,0,U$165)</f>
        <v>0</v>
      </c>
      <c r="D168" s="1056">
        <f>IF(B168=0,0,VLOOKUP(B168,Precios!$B$216:$D$307,3,FALSE))</f>
        <v>0</v>
      </c>
      <c r="E168" s="5043"/>
      <c r="F168" s="300"/>
      <c r="G168" s="300"/>
      <c r="H168" s="309"/>
      <c r="I168" s="1072">
        <f>IF($C168&gt;0,I$165*$E168,0)</f>
        <v>0</v>
      </c>
      <c r="J168" s="1033">
        <f t="shared" ref="J168:T185" si="90">IF($C168&gt;0,J$165*$E168,0)</f>
        <v>0</v>
      </c>
      <c r="K168" s="1033">
        <f t="shared" si="90"/>
        <v>0</v>
      </c>
      <c r="L168" s="1033">
        <f t="shared" si="90"/>
        <v>0</v>
      </c>
      <c r="M168" s="1033">
        <f t="shared" si="90"/>
        <v>0</v>
      </c>
      <c r="N168" s="1033">
        <f t="shared" si="90"/>
        <v>0</v>
      </c>
      <c r="O168" s="1033">
        <f t="shared" si="90"/>
        <v>0</v>
      </c>
      <c r="P168" s="1033">
        <f t="shared" si="90"/>
        <v>0</v>
      </c>
      <c r="Q168" s="1033">
        <f t="shared" si="90"/>
        <v>0</v>
      </c>
      <c r="R168" s="1033">
        <f t="shared" si="90"/>
        <v>0</v>
      </c>
      <c r="S168" s="1033">
        <f t="shared" si="90"/>
        <v>0</v>
      </c>
      <c r="T168" s="1033">
        <f t="shared" si="90"/>
        <v>0</v>
      </c>
      <c r="U168" s="1073">
        <f t="shared" ref="U168:U189" si="91">SUM(I168:T168)</f>
        <v>0</v>
      </c>
      <c r="V168" s="232" t="str">
        <f>B168&amp;"propia"</f>
        <v>propia</v>
      </c>
      <c r="X168" s="205"/>
      <c r="Y168" s="5042"/>
      <c r="Z168" s="1056">
        <f>IF(Y168=0,0,AR$165)</f>
        <v>0</v>
      </c>
      <c r="AA168" s="1056">
        <f>IF(Y168=0,0,VLOOKUP(Y168,Precios!$B$216:$D$307,3,FALSE))</f>
        <v>0</v>
      </c>
      <c r="AB168" s="1069"/>
      <c r="AC168" s="300"/>
      <c r="AD168" s="300"/>
      <c r="AE168" s="309"/>
      <c r="AF168" s="1072">
        <f>IF($Z168&gt;0,AF$165*$AB168,0)</f>
        <v>0</v>
      </c>
      <c r="AG168" s="1033">
        <f t="shared" ref="AG168:AQ185" si="92">IF($Z168&gt;0,AG$165*$AB168,0)</f>
        <v>0</v>
      </c>
      <c r="AH168" s="1033">
        <f t="shared" si="92"/>
        <v>0</v>
      </c>
      <c r="AI168" s="1033">
        <f t="shared" si="92"/>
        <v>0</v>
      </c>
      <c r="AJ168" s="1033">
        <f t="shared" si="92"/>
        <v>0</v>
      </c>
      <c r="AK168" s="1033">
        <f t="shared" si="92"/>
        <v>0</v>
      </c>
      <c r="AL168" s="1033">
        <f t="shared" si="92"/>
        <v>0</v>
      </c>
      <c r="AM168" s="1033">
        <f t="shared" si="92"/>
        <v>0</v>
      </c>
      <c r="AN168" s="1033">
        <f t="shared" si="92"/>
        <v>0</v>
      </c>
      <c r="AO168" s="1033">
        <f t="shared" si="92"/>
        <v>0</v>
      </c>
      <c r="AP168" s="1033">
        <f t="shared" si="92"/>
        <v>0</v>
      </c>
      <c r="AQ168" s="1033">
        <f t="shared" si="92"/>
        <v>0</v>
      </c>
      <c r="AR168" s="1073">
        <f t="shared" ref="AR168:AR186" si="93">SUM(AF168:AQ168)</f>
        <v>0</v>
      </c>
      <c r="AS168" s="232" t="str">
        <f>Y168&amp;"propia"</f>
        <v>propia</v>
      </c>
    </row>
    <row r="169" spans="1:47" ht="15.05" thickBot="1" x14ac:dyDescent="0.35">
      <c r="A169" s="205"/>
      <c r="B169" s="5044"/>
      <c r="C169" s="985">
        <f t="shared" ref="C169:C199" si="94">IF(B169=0,0,U$165)</f>
        <v>0</v>
      </c>
      <c r="D169" s="985">
        <f>IF(B169=0,0,VLOOKUP(B169,Precios!$B$216:$D$307,3,FALSE))</f>
        <v>0</v>
      </c>
      <c r="E169" s="5045"/>
      <c r="F169" s="300"/>
      <c r="G169" s="300"/>
      <c r="H169" s="309"/>
      <c r="I169" s="1074">
        <f>IF($C169&gt;0,I$165*$E169,0)</f>
        <v>0</v>
      </c>
      <c r="J169" s="1005">
        <f t="shared" si="90"/>
        <v>0</v>
      </c>
      <c r="K169" s="1005">
        <f t="shared" si="90"/>
        <v>0</v>
      </c>
      <c r="L169" s="1005">
        <f t="shared" si="90"/>
        <v>0</v>
      </c>
      <c r="M169" s="1005">
        <f t="shared" si="90"/>
        <v>0</v>
      </c>
      <c r="N169" s="1005">
        <f t="shared" si="90"/>
        <v>0</v>
      </c>
      <c r="O169" s="1005">
        <f t="shared" si="90"/>
        <v>0</v>
      </c>
      <c r="P169" s="1005">
        <f t="shared" si="90"/>
        <v>0</v>
      </c>
      <c r="Q169" s="1005">
        <f t="shared" si="90"/>
        <v>0</v>
      </c>
      <c r="R169" s="1005">
        <f t="shared" si="90"/>
        <v>0</v>
      </c>
      <c r="S169" s="1005">
        <f t="shared" si="90"/>
        <v>0</v>
      </c>
      <c r="T169" s="1005">
        <f t="shared" si="90"/>
        <v>0</v>
      </c>
      <c r="U169" s="1075">
        <f t="shared" si="91"/>
        <v>0</v>
      </c>
      <c r="V169" s="232" t="str">
        <f>B169&amp;"propia"</f>
        <v>propia</v>
      </c>
      <c r="X169" s="301"/>
      <c r="Y169" s="5044"/>
      <c r="Z169" s="985">
        <f>IF(Y169=0,0,AR$165)</f>
        <v>0</v>
      </c>
      <c r="AA169" s="985">
        <f>IF(Y169=0,0,VLOOKUP(Y169,Precios!$B$216:$D$307,3,FALSE))</f>
        <v>0</v>
      </c>
      <c r="AB169" s="1070"/>
      <c r="AC169" s="300"/>
      <c r="AD169" s="300"/>
      <c r="AE169" s="309"/>
      <c r="AF169" s="1074">
        <f>IF($Z169&gt;0,AF$165*$AB169,0)</f>
        <v>0</v>
      </c>
      <c r="AG169" s="1005">
        <f t="shared" si="92"/>
        <v>0</v>
      </c>
      <c r="AH169" s="1005">
        <f t="shared" si="92"/>
        <v>0</v>
      </c>
      <c r="AI169" s="1005">
        <f t="shared" si="92"/>
        <v>0</v>
      </c>
      <c r="AJ169" s="1005">
        <f t="shared" si="92"/>
        <v>0</v>
      </c>
      <c r="AK169" s="1005">
        <f t="shared" si="92"/>
        <v>0</v>
      </c>
      <c r="AL169" s="1005">
        <f t="shared" si="92"/>
        <v>0</v>
      </c>
      <c r="AM169" s="1005">
        <f t="shared" si="92"/>
        <v>0</v>
      </c>
      <c r="AN169" s="1005">
        <f t="shared" si="92"/>
        <v>0</v>
      </c>
      <c r="AO169" s="1005">
        <f t="shared" si="92"/>
        <v>0</v>
      </c>
      <c r="AP169" s="1005">
        <f t="shared" si="92"/>
        <v>0</v>
      </c>
      <c r="AQ169" s="1005">
        <f t="shared" si="92"/>
        <v>0</v>
      </c>
      <c r="AR169" s="1075">
        <f t="shared" si="93"/>
        <v>0</v>
      </c>
      <c r="AS169" s="232" t="str">
        <f>Y169&amp;"propia"</f>
        <v>propia</v>
      </c>
    </row>
    <row r="170" spans="1:47" ht="15.05" thickBot="1" x14ac:dyDescent="0.35">
      <c r="A170" s="205"/>
      <c r="B170" s="5044"/>
      <c r="C170" s="985">
        <f t="shared" si="94"/>
        <v>0</v>
      </c>
      <c r="D170" s="985">
        <f>IF(B170=0,0,VLOOKUP(B170,Precios!$B$216:$D$307,3,FALSE))</f>
        <v>0</v>
      </c>
      <c r="E170" s="5045"/>
      <c r="F170" s="300"/>
      <c r="G170" s="300"/>
      <c r="H170" s="309"/>
      <c r="I170" s="1074">
        <f>IF($C170&gt;0,I$165*$E170,0)</f>
        <v>0</v>
      </c>
      <c r="J170" s="1005">
        <f t="shared" si="90"/>
        <v>0</v>
      </c>
      <c r="K170" s="1005">
        <f t="shared" si="90"/>
        <v>0</v>
      </c>
      <c r="L170" s="1005">
        <f t="shared" si="90"/>
        <v>0</v>
      </c>
      <c r="M170" s="1005">
        <f t="shared" si="90"/>
        <v>0</v>
      </c>
      <c r="N170" s="1005">
        <f t="shared" si="90"/>
        <v>0</v>
      </c>
      <c r="O170" s="1005">
        <f t="shared" si="90"/>
        <v>0</v>
      </c>
      <c r="P170" s="1005">
        <f t="shared" si="90"/>
        <v>0</v>
      </c>
      <c r="Q170" s="1005">
        <f t="shared" si="90"/>
        <v>0</v>
      </c>
      <c r="R170" s="1005">
        <f t="shared" si="90"/>
        <v>0</v>
      </c>
      <c r="S170" s="1005">
        <f t="shared" si="90"/>
        <v>0</v>
      </c>
      <c r="T170" s="1005">
        <f t="shared" si="90"/>
        <v>0</v>
      </c>
      <c r="U170" s="1075">
        <f t="shared" si="91"/>
        <v>0</v>
      </c>
      <c r="V170" s="232" t="str">
        <f>B170&amp;"propia"</f>
        <v>propia</v>
      </c>
      <c r="X170" s="301"/>
      <c r="Y170" s="5044"/>
      <c r="Z170" s="985">
        <f>IF(Y170=0,0,AR$165)</f>
        <v>0</v>
      </c>
      <c r="AA170" s="985">
        <f>IF(Y170=0,0,VLOOKUP(Y170,Precios!$B$216:$D$307,3,FALSE))</f>
        <v>0</v>
      </c>
      <c r="AB170" s="1070"/>
      <c r="AC170" s="300"/>
      <c r="AD170" s="300"/>
      <c r="AE170" s="309"/>
      <c r="AF170" s="1074">
        <f>IF($Z170&gt;0,AF$165*$AB170,0)</f>
        <v>0</v>
      </c>
      <c r="AG170" s="1005">
        <f t="shared" si="92"/>
        <v>0</v>
      </c>
      <c r="AH170" s="1005">
        <f t="shared" si="92"/>
        <v>0</v>
      </c>
      <c r="AI170" s="1005">
        <f t="shared" si="92"/>
        <v>0</v>
      </c>
      <c r="AJ170" s="1005">
        <f t="shared" si="92"/>
        <v>0</v>
      </c>
      <c r="AK170" s="1005">
        <f t="shared" si="92"/>
        <v>0</v>
      </c>
      <c r="AL170" s="1005">
        <f t="shared" si="92"/>
        <v>0</v>
      </c>
      <c r="AM170" s="1005">
        <f t="shared" si="92"/>
        <v>0</v>
      </c>
      <c r="AN170" s="1005">
        <f t="shared" si="92"/>
        <v>0</v>
      </c>
      <c r="AO170" s="1005">
        <f t="shared" si="92"/>
        <v>0</v>
      </c>
      <c r="AP170" s="1005">
        <f t="shared" si="92"/>
        <v>0</v>
      </c>
      <c r="AQ170" s="1005">
        <f t="shared" si="92"/>
        <v>0</v>
      </c>
      <c r="AR170" s="1075">
        <f t="shared" si="93"/>
        <v>0</v>
      </c>
      <c r="AS170" s="232" t="str">
        <f>Y170&amp;"propia"</f>
        <v>propia</v>
      </c>
    </row>
    <row r="171" spans="1:47" ht="15.05" thickBot="1" x14ac:dyDescent="0.35">
      <c r="A171" s="205"/>
      <c r="B171" s="5044"/>
      <c r="C171" s="985">
        <f t="shared" si="94"/>
        <v>0</v>
      </c>
      <c r="D171" s="985">
        <f>IF(B171=0,0,VLOOKUP(B171,Precios!$B$216:$D$307,3,FALSE))</f>
        <v>0</v>
      </c>
      <c r="E171" s="5045"/>
      <c r="F171" s="300"/>
      <c r="G171" s="300"/>
      <c r="H171" s="309"/>
      <c r="I171" s="1074">
        <f>IF($C171&gt;0,I$165*$E171,0)</f>
        <v>0</v>
      </c>
      <c r="J171" s="1005">
        <f t="shared" si="90"/>
        <v>0</v>
      </c>
      <c r="K171" s="1005">
        <f t="shared" si="90"/>
        <v>0</v>
      </c>
      <c r="L171" s="1005">
        <f t="shared" si="90"/>
        <v>0</v>
      </c>
      <c r="M171" s="1005">
        <f t="shared" si="90"/>
        <v>0</v>
      </c>
      <c r="N171" s="1005">
        <f t="shared" si="90"/>
        <v>0</v>
      </c>
      <c r="O171" s="1005">
        <f t="shared" si="90"/>
        <v>0</v>
      </c>
      <c r="P171" s="1005">
        <f t="shared" si="90"/>
        <v>0</v>
      </c>
      <c r="Q171" s="1005">
        <f t="shared" si="90"/>
        <v>0</v>
      </c>
      <c r="R171" s="1005">
        <f t="shared" si="90"/>
        <v>0</v>
      </c>
      <c r="S171" s="1005">
        <f t="shared" si="90"/>
        <v>0</v>
      </c>
      <c r="T171" s="1005">
        <f t="shared" si="90"/>
        <v>0</v>
      </c>
      <c r="U171" s="1075">
        <f t="shared" si="91"/>
        <v>0</v>
      </c>
      <c r="V171" s="232" t="str">
        <f>B171&amp;"propia"</f>
        <v>propia</v>
      </c>
      <c r="X171" s="301"/>
      <c r="Y171" s="5044"/>
      <c r="Z171" s="985">
        <f>IF(Y171=0,0,AR$165)</f>
        <v>0</v>
      </c>
      <c r="AA171" s="985">
        <f>IF(Y171=0,0,VLOOKUP(Y171,Precios!$B$216:$D$307,3,FALSE))</f>
        <v>0</v>
      </c>
      <c r="AB171" s="1070"/>
      <c r="AC171" s="300"/>
      <c r="AD171" s="300"/>
      <c r="AE171" s="309"/>
      <c r="AF171" s="1074">
        <f>IF($Z171&gt;0,AF$165*$AB171,0)</f>
        <v>0</v>
      </c>
      <c r="AG171" s="1005">
        <f t="shared" si="92"/>
        <v>0</v>
      </c>
      <c r="AH171" s="1005">
        <f t="shared" si="92"/>
        <v>0</v>
      </c>
      <c r="AI171" s="1005">
        <f t="shared" si="92"/>
        <v>0</v>
      </c>
      <c r="AJ171" s="1005">
        <f t="shared" si="92"/>
        <v>0</v>
      </c>
      <c r="AK171" s="1005">
        <f t="shared" si="92"/>
        <v>0</v>
      </c>
      <c r="AL171" s="1005">
        <f t="shared" si="92"/>
        <v>0</v>
      </c>
      <c r="AM171" s="1005">
        <f t="shared" si="92"/>
        <v>0</v>
      </c>
      <c r="AN171" s="1005">
        <f t="shared" si="92"/>
        <v>0</v>
      </c>
      <c r="AO171" s="1005">
        <f t="shared" si="92"/>
        <v>0</v>
      </c>
      <c r="AP171" s="1005">
        <f t="shared" si="92"/>
        <v>0</v>
      </c>
      <c r="AQ171" s="1005">
        <f t="shared" si="92"/>
        <v>0</v>
      </c>
      <c r="AR171" s="1075">
        <f t="shared" si="93"/>
        <v>0</v>
      </c>
      <c r="AS171" s="232" t="str">
        <f>Y171&amp;"propia"</f>
        <v>propia</v>
      </c>
    </row>
    <row r="172" spans="1:47" x14ac:dyDescent="0.3">
      <c r="A172" s="205"/>
      <c r="B172" s="5046"/>
      <c r="C172" s="1057">
        <f t="shared" si="94"/>
        <v>0</v>
      </c>
      <c r="D172" s="1057">
        <f>IF(B172=0,0,VLOOKUP(B172,Precios!$B$216:$D$307,3,FALSE))</f>
        <v>0</v>
      </c>
      <c r="E172" s="5047"/>
      <c r="F172" s="300"/>
      <c r="G172" s="300"/>
      <c r="H172" s="309"/>
      <c r="I172" s="1076">
        <f>IF($C172&gt;0,I$165*$E172,0)</f>
        <v>0</v>
      </c>
      <c r="J172" s="1077">
        <f t="shared" si="90"/>
        <v>0</v>
      </c>
      <c r="K172" s="1077">
        <f t="shared" si="90"/>
        <v>0</v>
      </c>
      <c r="L172" s="1077">
        <f t="shared" si="90"/>
        <v>0</v>
      </c>
      <c r="M172" s="1077">
        <f t="shared" si="90"/>
        <v>0</v>
      </c>
      <c r="N172" s="1077">
        <f t="shared" si="90"/>
        <v>0</v>
      </c>
      <c r="O172" s="1077">
        <f t="shared" si="90"/>
        <v>0</v>
      </c>
      <c r="P172" s="1077">
        <f t="shared" si="90"/>
        <v>0</v>
      </c>
      <c r="Q172" s="1077">
        <f t="shared" si="90"/>
        <v>0</v>
      </c>
      <c r="R172" s="1077">
        <f t="shared" si="90"/>
        <v>0</v>
      </c>
      <c r="S172" s="1077">
        <f t="shared" si="90"/>
        <v>0</v>
      </c>
      <c r="T172" s="1077">
        <f t="shared" si="90"/>
        <v>0</v>
      </c>
      <c r="U172" s="1078">
        <f t="shared" si="91"/>
        <v>0</v>
      </c>
      <c r="V172" s="232" t="str">
        <f>B172&amp;"propia"</f>
        <v>propia</v>
      </c>
      <c r="X172" s="301"/>
      <c r="Y172" s="5046"/>
      <c r="Z172" s="1057">
        <f>IF(Y172=0,0,AR$165)</f>
        <v>0</v>
      </c>
      <c r="AA172" s="1057">
        <f>IF(Y172=0,0,VLOOKUP(Y172,Precios!$B$216:$D$307,3,FALSE))</f>
        <v>0</v>
      </c>
      <c r="AB172" s="1071"/>
      <c r="AC172" s="300"/>
      <c r="AD172" s="300"/>
      <c r="AE172" s="309"/>
      <c r="AF172" s="1076">
        <f>IF($Z172&gt;0,AF$165*$AB172,0)</f>
        <v>0</v>
      </c>
      <c r="AG172" s="1077">
        <f t="shared" si="92"/>
        <v>0</v>
      </c>
      <c r="AH172" s="1077">
        <f t="shared" si="92"/>
        <v>0</v>
      </c>
      <c r="AI172" s="1077">
        <f t="shared" si="92"/>
        <v>0</v>
      </c>
      <c r="AJ172" s="1077">
        <f t="shared" si="92"/>
        <v>0</v>
      </c>
      <c r="AK172" s="1077">
        <f t="shared" si="92"/>
        <v>0</v>
      </c>
      <c r="AL172" s="1077">
        <f t="shared" si="92"/>
        <v>0</v>
      </c>
      <c r="AM172" s="1077">
        <f t="shared" si="92"/>
        <v>0</v>
      </c>
      <c r="AN172" s="1077">
        <f t="shared" si="92"/>
        <v>0</v>
      </c>
      <c r="AO172" s="1077">
        <f t="shared" si="92"/>
        <v>0</v>
      </c>
      <c r="AP172" s="1077">
        <f t="shared" si="92"/>
        <v>0</v>
      </c>
      <c r="AQ172" s="1077">
        <f t="shared" si="92"/>
        <v>0</v>
      </c>
      <c r="AR172" s="1078">
        <f t="shared" si="93"/>
        <v>0</v>
      </c>
      <c r="AS172" s="232" t="str">
        <f>Y172&amp;"propia"</f>
        <v>propia</v>
      </c>
    </row>
    <row r="173" spans="1:47" x14ac:dyDescent="0.3">
      <c r="A173" s="205"/>
      <c r="B173" s="645" t="s">
        <v>1083</v>
      </c>
      <c r="C173" s="305"/>
      <c r="D173" s="305"/>
      <c r="E173" s="305"/>
      <c r="F173" s="305"/>
      <c r="G173" s="305"/>
      <c r="H173" s="306"/>
      <c r="I173" s="904">
        <f>+SUM(I168:I172)</f>
        <v>0</v>
      </c>
      <c r="J173" s="904">
        <f t="shared" ref="J173:T173" si="95">+SUM(J168:J172)</f>
        <v>0</v>
      </c>
      <c r="K173" s="904">
        <f t="shared" si="95"/>
        <v>0</v>
      </c>
      <c r="L173" s="904">
        <f t="shared" si="95"/>
        <v>0</v>
      </c>
      <c r="M173" s="904">
        <f t="shared" si="95"/>
        <v>0</v>
      </c>
      <c r="N173" s="904">
        <f t="shared" si="95"/>
        <v>0</v>
      </c>
      <c r="O173" s="904">
        <f t="shared" si="95"/>
        <v>0</v>
      </c>
      <c r="P173" s="904">
        <f t="shared" si="95"/>
        <v>0</v>
      </c>
      <c r="Q173" s="904">
        <f t="shared" si="95"/>
        <v>0</v>
      </c>
      <c r="R173" s="904">
        <f t="shared" si="95"/>
        <v>0</v>
      </c>
      <c r="S173" s="904">
        <f t="shared" si="95"/>
        <v>0</v>
      </c>
      <c r="T173" s="904">
        <f t="shared" si="95"/>
        <v>0</v>
      </c>
      <c r="U173" s="905">
        <f>SUM(I173:T173)</f>
        <v>0</v>
      </c>
      <c r="X173" s="301"/>
      <c r="Y173" s="645" t="s">
        <v>1083</v>
      </c>
      <c r="Z173" s="305"/>
      <c r="AA173" s="305"/>
      <c r="AB173" s="305"/>
      <c r="AC173" s="305"/>
      <c r="AD173" s="305"/>
      <c r="AE173" s="306"/>
      <c r="AF173" s="904">
        <f t="shared" ref="AF173:AQ173" si="96">SUM(AF168:AF172)</f>
        <v>0</v>
      </c>
      <c r="AG173" s="904">
        <f t="shared" si="96"/>
        <v>0</v>
      </c>
      <c r="AH173" s="904">
        <f t="shared" si="96"/>
        <v>0</v>
      </c>
      <c r="AI173" s="904">
        <f t="shared" si="96"/>
        <v>0</v>
      </c>
      <c r="AJ173" s="904">
        <f t="shared" si="96"/>
        <v>0</v>
      </c>
      <c r="AK173" s="904">
        <f t="shared" si="96"/>
        <v>0</v>
      </c>
      <c r="AL173" s="904">
        <f t="shared" si="96"/>
        <v>0</v>
      </c>
      <c r="AM173" s="904">
        <f t="shared" si="96"/>
        <v>0</v>
      </c>
      <c r="AN173" s="904">
        <f t="shared" si="96"/>
        <v>0</v>
      </c>
      <c r="AO173" s="904">
        <f t="shared" si="96"/>
        <v>0</v>
      </c>
      <c r="AP173" s="904">
        <f t="shared" si="96"/>
        <v>0</v>
      </c>
      <c r="AQ173" s="904">
        <f t="shared" si="96"/>
        <v>0</v>
      </c>
      <c r="AR173" s="905">
        <f>SUM(AF173:AQ173)</f>
        <v>0</v>
      </c>
    </row>
    <row r="174" spans="1:47" x14ac:dyDescent="0.2">
      <c r="A174" s="205"/>
      <c r="B174" s="197" t="s">
        <v>870</v>
      </c>
      <c r="C174" s="307"/>
      <c r="D174" s="307"/>
      <c r="E174" s="308"/>
      <c r="F174" s="308"/>
      <c r="G174" s="308"/>
      <c r="H174" s="307"/>
      <c r="I174" s="307"/>
      <c r="J174" s="307"/>
      <c r="K174" s="307"/>
      <c r="L174" s="307"/>
      <c r="M174" s="307"/>
      <c r="N174" s="307"/>
      <c r="O174" s="307"/>
      <c r="P174" s="307"/>
      <c r="Q174" s="307"/>
      <c r="R174" s="307"/>
      <c r="S174" s="307"/>
      <c r="T174" s="307"/>
      <c r="U174" s="646"/>
      <c r="X174" s="301"/>
      <c r="Y174" s="197" t="s">
        <v>870</v>
      </c>
      <c r="Z174" s="307"/>
      <c r="AA174" s="307"/>
      <c r="AB174" s="308"/>
      <c r="AC174" s="308"/>
      <c r="AD174" s="308"/>
      <c r="AE174" s="307"/>
      <c r="AF174" s="307"/>
      <c r="AG174" s="307"/>
      <c r="AH174" s="307"/>
      <c r="AI174" s="307"/>
      <c r="AJ174" s="307"/>
      <c r="AK174" s="307"/>
      <c r="AL174" s="307"/>
      <c r="AM174" s="307"/>
      <c r="AN174" s="307"/>
      <c r="AO174" s="307"/>
      <c r="AP174" s="307"/>
      <c r="AQ174" s="307"/>
      <c r="AR174" s="646"/>
    </row>
    <row r="175" spans="1:47" ht="15.05" thickBot="1" x14ac:dyDescent="0.35">
      <c r="A175" s="205"/>
      <c r="B175" s="5042"/>
      <c r="C175" s="1056">
        <f t="shared" si="94"/>
        <v>0</v>
      </c>
      <c r="D175" s="1056">
        <f>IF(B175=0,0,VLOOKUP(B175,Precios!$B$216:$D$307,3,FALSE))</f>
        <v>0</v>
      </c>
      <c r="E175" s="5048"/>
      <c r="F175" s="1249">
        <f>IF(B175=0,0,VLOOKUP(B175,Precios!$B$216:$D$307,2,FALSE))</f>
        <v>0</v>
      </c>
      <c r="G175" s="1066">
        <f>E175*F175</f>
        <v>0</v>
      </c>
      <c r="H175" s="309"/>
      <c r="I175" s="1072">
        <f>IF($C175&gt;0,I$165*$E175,0)</f>
        <v>0</v>
      </c>
      <c r="J175" s="1033">
        <f t="shared" si="90"/>
        <v>0</v>
      </c>
      <c r="K175" s="1033">
        <f t="shared" si="90"/>
        <v>0</v>
      </c>
      <c r="L175" s="1033">
        <f t="shared" si="90"/>
        <v>0</v>
      </c>
      <c r="M175" s="1033">
        <f t="shared" si="90"/>
        <v>0</v>
      </c>
      <c r="N175" s="1033">
        <f t="shared" si="90"/>
        <v>0</v>
      </c>
      <c r="O175" s="1033">
        <f t="shared" si="90"/>
        <v>0</v>
      </c>
      <c r="P175" s="1033">
        <f t="shared" si="90"/>
        <v>0</v>
      </c>
      <c r="Q175" s="1033">
        <f t="shared" si="90"/>
        <v>0</v>
      </c>
      <c r="R175" s="1033">
        <f t="shared" si="90"/>
        <v>0</v>
      </c>
      <c r="S175" s="1033">
        <f t="shared" si="90"/>
        <v>0</v>
      </c>
      <c r="T175" s="1033">
        <f t="shared" si="90"/>
        <v>0</v>
      </c>
      <c r="U175" s="1073">
        <f t="shared" si="91"/>
        <v>0</v>
      </c>
      <c r="V175" s="232" t="str">
        <f>B175&amp;"contratada"</f>
        <v>contratada</v>
      </c>
      <c r="X175" s="301"/>
      <c r="Y175" s="5042"/>
      <c r="Z175" s="1056">
        <f>IF(Y175=0,0,AR$165)</f>
        <v>0</v>
      </c>
      <c r="AA175" s="1056">
        <f>IF(Y175=0,0,VLOOKUP(Y175,Precios!$B$216:$D$307,3,FALSE))</f>
        <v>0</v>
      </c>
      <c r="AB175" s="1058"/>
      <c r="AC175" s="1249">
        <f>IF(Y175=0,0,VLOOKUP(Y175,Precios!$B$216:$D$307,2,FALSE))</f>
        <v>0</v>
      </c>
      <c r="AD175" s="1066">
        <f>AB175*AC175</f>
        <v>0</v>
      </c>
      <c r="AE175" s="309"/>
      <c r="AF175" s="1072">
        <f>IF($Z175&gt;0,AF$165*$AB175,0)</f>
        <v>0</v>
      </c>
      <c r="AG175" s="1033">
        <f t="shared" si="92"/>
        <v>0</v>
      </c>
      <c r="AH175" s="1033">
        <f t="shared" si="92"/>
        <v>0</v>
      </c>
      <c r="AI175" s="1033">
        <f t="shared" si="92"/>
        <v>0</v>
      </c>
      <c r="AJ175" s="1033">
        <f t="shared" si="92"/>
        <v>0</v>
      </c>
      <c r="AK175" s="1033">
        <f t="shared" si="92"/>
        <v>0</v>
      </c>
      <c r="AL175" s="1033">
        <f t="shared" si="92"/>
        <v>0</v>
      </c>
      <c r="AM175" s="1033">
        <f t="shared" si="92"/>
        <v>0</v>
      </c>
      <c r="AN175" s="1033">
        <f t="shared" si="92"/>
        <v>0</v>
      </c>
      <c r="AO175" s="1033">
        <f t="shared" si="92"/>
        <v>0</v>
      </c>
      <c r="AP175" s="1033">
        <f t="shared" si="92"/>
        <v>0</v>
      </c>
      <c r="AQ175" s="1033">
        <f t="shared" si="92"/>
        <v>0</v>
      </c>
      <c r="AR175" s="1073">
        <f t="shared" si="93"/>
        <v>0</v>
      </c>
      <c r="AS175" s="232" t="str">
        <f>Y175&amp;"contratada"</f>
        <v>contratada</v>
      </c>
    </row>
    <row r="176" spans="1:47" ht="15.05" thickBot="1" x14ac:dyDescent="0.35">
      <c r="A176" s="205"/>
      <c r="B176" s="5044"/>
      <c r="C176" s="985">
        <f t="shared" si="94"/>
        <v>0</v>
      </c>
      <c r="D176" s="985">
        <f>IF(B176=0,0,VLOOKUP(B176,Precios!$B$216:$D$307,3,FALSE))</f>
        <v>0</v>
      </c>
      <c r="E176" s="5049"/>
      <c r="F176" s="2253">
        <f>IF(B176=0,0,VLOOKUP(B176,Precios!$B$216:$D$307,2,FALSE))</f>
        <v>0</v>
      </c>
      <c r="G176" s="1067">
        <f>E176*F176</f>
        <v>0</v>
      </c>
      <c r="H176" s="309"/>
      <c r="I176" s="1074">
        <f>IF($C176&gt;0,I$165*$E176,0)</f>
        <v>0</v>
      </c>
      <c r="J176" s="1005">
        <f t="shared" si="90"/>
        <v>0</v>
      </c>
      <c r="K176" s="1005">
        <f t="shared" si="90"/>
        <v>0</v>
      </c>
      <c r="L176" s="1005">
        <f t="shared" si="90"/>
        <v>0</v>
      </c>
      <c r="M176" s="1005">
        <f t="shared" si="90"/>
        <v>0</v>
      </c>
      <c r="N176" s="1005">
        <f t="shared" si="90"/>
        <v>0</v>
      </c>
      <c r="O176" s="1005">
        <f t="shared" si="90"/>
        <v>0</v>
      </c>
      <c r="P176" s="1005">
        <f t="shared" si="90"/>
        <v>0</v>
      </c>
      <c r="Q176" s="1005">
        <f t="shared" si="90"/>
        <v>0</v>
      </c>
      <c r="R176" s="1005">
        <f t="shared" si="90"/>
        <v>0</v>
      </c>
      <c r="S176" s="1005">
        <f t="shared" si="90"/>
        <v>0</v>
      </c>
      <c r="T176" s="1005">
        <f t="shared" si="90"/>
        <v>0</v>
      </c>
      <c r="U176" s="1075">
        <f t="shared" si="91"/>
        <v>0</v>
      </c>
      <c r="V176" s="232" t="str">
        <f>B176&amp;"contratada"</f>
        <v>contratada</v>
      </c>
      <c r="X176" s="301"/>
      <c r="Y176" s="5044"/>
      <c r="Z176" s="985">
        <f>IF(Y176=0,0,AR$165)</f>
        <v>0</v>
      </c>
      <c r="AA176" s="985">
        <f>IF(Y176=0,0,VLOOKUP(Y176,Precios!$B$216:$D$307,3,FALSE))</f>
        <v>0</v>
      </c>
      <c r="AB176" s="986"/>
      <c r="AC176" s="2253">
        <f>IF(Y176=0,0,VLOOKUP(Y176,Precios!$B$216:$D$307,2,FALSE))</f>
        <v>0</v>
      </c>
      <c r="AD176" s="1067">
        <f>AB176*AC176</f>
        <v>0</v>
      </c>
      <c r="AE176" s="309"/>
      <c r="AF176" s="1074">
        <f>IF($Z176&gt;0,AF$165*$AB176,0)</f>
        <v>0</v>
      </c>
      <c r="AG176" s="1005">
        <f t="shared" si="92"/>
        <v>0</v>
      </c>
      <c r="AH176" s="1005">
        <f t="shared" si="92"/>
        <v>0</v>
      </c>
      <c r="AI176" s="1005">
        <f t="shared" si="92"/>
        <v>0</v>
      </c>
      <c r="AJ176" s="1005">
        <f t="shared" si="92"/>
        <v>0</v>
      </c>
      <c r="AK176" s="1005">
        <f t="shared" si="92"/>
        <v>0</v>
      </c>
      <c r="AL176" s="1005">
        <f t="shared" si="92"/>
        <v>0</v>
      </c>
      <c r="AM176" s="1005">
        <f t="shared" si="92"/>
        <v>0</v>
      </c>
      <c r="AN176" s="1005">
        <f t="shared" si="92"/>
        <v>0</v>
      </c>
      <c r="AO176" s="1005">
        <f t="shared" si="92"/>
        <v>0</v>
      </c>
      <c r="AP176" s="1005">
        <f t="shared" si="92"/>
        <v>0</v>
      </c>
      <c r="AQ176" s="1005">
        <f t="shared" si="92"/>
        <v>0</v>
      </c>
      <c r="AR176" s="1075">
        <f t="shared" si="93"/>
        <v>0</v>
      </c>
      <c r="AS176" s="232" t="str">
        <f>Y176&amp;"contratada"</f>
        <v>contratada</v>
      </c>
    </row>
    <row r="177" spans="1:46" ht="15.05" thickBot="1" x14ac:dyDescent="0.35">
      <c r="A177" s="205"/>
      <c r="B177" s="5044"/>
      <c r="C177" s="985">
        <f t="shared" si="94"/>
        <v>0</v>
      </c>
      <c r="D177" s="985">
        <f>IF(B177=0,0,VLOOKUP(B177,Precios!$B$216:$D$307,3,FALSE))</f>
        <v>0</v>
      </c>
      <c r="E177" s="5049"/>
      <c r="F177" s="2253">
        <f>IF(B177=0,0,VLOOKUP(B177,Precios!$B$216:$D$307,2,FALSE))</f>
        <v>0</v>
      </c>
      <c r="G177" s="1067">
        <f>E177*F177</f>
        <v>0</v>
      </c>
      <c r="H177" s="309"/>
      <c r="I177" s="1074">
        <f>IF($C177&gt;0,I$165*$E177,0)</f>
        <v>0</v>
      </c>
      <c r="J177" s="1005">
        <f t="shared" si="90"/>
        <v>0</v>
      </c>
      <c r="K177" s="1005">
        <f t="shared" si="90"/>
        <v>0</v>
      </c>
      <c r="L177" s="1005">
        <f t="shared" si="90"/>
        <v>0</v>
      </c>
      <c r="M177" s="1005">
        <f t="shared" si="90"/>
        <v>0</v>
      </c>
      <c r="N177" s="1005">
        <f t="shared" si="90"/>
        <v>0</v>
      </c>
      <c r="O177" s="1005">
        <f t="shared" si="90"/>
        <v>0</v>
      </c>
      <c r="P177" s="1005">
        <f t="shared" si="90"/>
        <v>0</v>
      </c>
      <c r="Q177" s="1005">
        <f t="shared" si="90"/>
        <v>0</v>
      </c>
      <c r="R177" s="1005">
        <f t="shared" si="90"/>
        <v>0</v>
      </c>
      <c r="S177" s="1005">
        <f t="shared" si="90"/>
        <v>0</v>
      </c>
      <c r="T177" s="1005">
        <f t="shared" si="90"/>
        <v>0</v>
      </c>
      <c r="U177" s="1075">
        <f t="shared" si="91"/>
        <v>0</v>
      </c>
      <c r="V177" s="232" t="str">
        <f>B177&amp;"contratada"</f>
        <v>contratada</v>
      </c>
      <c r="X177" s="301"/>
      <c r="Y177" s="5044"/>
      <c r="Z177" s="985">
        <f>IF(Y177=0,0,AR$165)</f>
        <v>0</v>
      </c>
      <c r="AA177" s="985">
        <f>IF(Y177=0,0,VLOOKUP(Y177,Precios!$B$216:$D$307,3,FALSE))</f>
        <v>0</v>
      </c>
      <c r="AB177" s="986"/>
      <c r="AC177" s="2253">
        <f>IF(Y177=0,0,VLOOKUP(Y177,Precios!$B$216:$D$307,2,FALSE))</f>
        <v>0</v>
      </c>
      <c r="AD177" s="1067">
        <f>AB177*AC177</f>
        <v>0</v>
      </c>
      <c r="AE177" s="309"/>
      <c r="AF177" s="1074">
        <f>IF($Z177&gt;0,AF$165*$AB177,0)</f>
        <v>0</v>
      </c>
      <c r="AG177" s="1005">
        <f t="shared" si="92"/>
        <v>0</v>
      </c>
      <c r="AH177" s="1005">
        <f t="shared" si="92"/>
        <v>0</v>
      </c>
      <c r="AI177" s="1005">
        <f t="shared" si="92"/>
        <v>0</v>
      </c>
      <c r="AJ177" s="1005">
        <f t="shared" si="92"/>
        <v>0</v>
      </c>
      <c r="AK177" s="1005">
        <f t="shared" si="92"/>
        <v>0</v>
      </c>
      <c r="AL177" s="1005">
        <f t="shared" si="92"/>
        <v>0</v>
      </c>
      <c r="AM177" s="1005">
        <f t="shared" si="92"/>
        <v>0</v>
      </c>
      <c r="AN177" s="1005">
        <f t="shared" si="92"/>
        <v>0</v>
      </c>
      <c r="AO177" s="1005">
        <f t="shared" si="92"/>
        <v>0</v>
      </c>
      <c r="AP177" s="1005">
        <f t="shared" si="92"/>
        <v>0</v>
      </c>
      <c r="AQ177" s="1005">
        <f t="shared" si="92"/>
        <v>0</v>
      </c>
      <c r="AR177" s="1075">
        <f t="shared" si="93"/>
        <v>0</v>
      </c>
      <c r="AS177" s="232" t="str">
        <f>Y177&amp;"contratada"</f>
        <v>contratada</v>
      </c>
    </row>
    <row r="178" spans="1:46" ht="15.05" thickBot="1" x14ac:dyDescent="0.35">
      <c r="A178" s="205"/>
      <c r="B178" s="5044"/>
      <c r="C178" s="985">
        <f t="shared" si="94"/>
        <v>0</v>
      </c>
      <c r="D178" s="985">
        <f>IF(B178=0,0,VLOOKUP(B178,Precios!$B$216:$D$307,3,FALSE))</f>
        <v>0</v>
      </c>
      <c r="E178" s="5049"/>
      <c r="F178" s="2253">
        <f>IF(B178=0,0,VLOOKUP(B178,Precios!$B$216:$D$307,2,FALSE))</f>
        <v>0</v>
      </c>
      <c r="G178" s="1067">
        <f>E178*F178</f>
        <v>0</v>
      </c>
      <c r="H178" s="309"/>
      <c r="I178" s="1074">
        <f>IF($C178&gt;0,I$165*$E178,0)</f>
        <v>0</v>
      </c>
      <c r="J178" s="1005">
        <f t="shared" si="90"/>
        <v>0</v>
      </c>
      <c r="K178" s="1005">
        <f t="shared" si="90"/>
        <v>0</v>
      </c>
      <c r="L178" s="1005">
        <f t="shared" si="90"/>
        <v>0</v>
      </c>
      <c r="M178" s="1005">
        <f t="shared" si="90"/>
        <v>0</v>
      </c>
      <c r="N178" s="1005">
        <f t="shared" si="90"/>
        <v>0</v>
      </c>
      <c r="O178" s="1005">
        <f t="shared" si="90"/>
        <v>0</v>
      </c>
      <c r="P178" s="1005">
        <f t="shared" si="90"/>
        <v>0</v>
      </c>
      <c r="Q178" s="1005">
        <f t="shared" si="90"/>
        <v>0</v>
      </c>
      <c r="R178" s="1005">
        <f t="shared" si="90"/>
        <v>0</v>
      </c>
      <c r="S178" s="1005">
        <f t="shared" si="90"/>
        <v>0</v>
      </c>
      <c r="T178" s="1005">
        <f t="shared" si="90"/>
        <v>0</v>
      </c>
      <c r="U178" s="1075">
        <f t="shared" si="91"/>
        <v>0</v>
      </c>
      <c r="V178" s="232" t="str">
        <f>B178&amp;"contratada"</f>
        <v>contratada</v>
      </c>
      <c r="X178" s="301"/>
      <c r="Y178" s="5044"/>
      <c r="Z178" s="985">
        <f>IF(Y178=0,0,AR$165)</f>
        <v>0</v>
      </c>
      <c r="AA178" s="985">
        <f>IF(Y178=0,0,VLOOKUP(Y178,Precios!$B$216:$D$307,3,FALSE))</f>
        <v>0</v>
      </c>
      <c r="AB178" s="986"/>
      <c r="AC178" s="2253">
        <f>IF(Y178=0,0,VLOOKUP(Y178,Precios!$B$216:$D$307,2,FALSE))</f>
        <v>0</v>
      </c>
      <c r="AD178" s="1067">
        <f>AB178*AC178</f>
        <v>0</v>
      </c>
      <c r="AE178" s="309"/>
      <c r="AF178" s="1074">
        <f>IF($Z178&gt;0,AF$165*$AB178,0)</f>
        <v>0</v>
      </c>
      <c r="AG178" s="1005">
        <f t="shared" si="92"/>
        <v>0</v>
      </c>
      <c r="AH178" s="1005">
        <f t="shared" si="92"/>
        <v>0</v>
      </c>
      <c r="AI178" s="1005">
        <f t="shared" si="92"/>
        <v>0</v>
      </c>
      <c r="AJ178" s="1005">
        <f t="shared" si="92"/>
        <v>0</v>
      </c>
      <c r="AK178" s="1005">
        <f t="shared" si="92"/>
        <v>0</v>
      </c>
      <c r="AL178" s="1005">
        <f t="shared" si="92"/>
        <v>0</v>
      </c>
      <c r="AM178" s="1005">
        <f t="shared" si="92"/>
        <v>0</v>
      </c>
      <c r="AN178" s="1005">
        <f t="shared" si="92"/>
        <v>0</v>
      </c>
      <c r="AO178" s="1005">
        <f t="shared" si="92"/>
        <v>0</v>
      </c>
      <c r="AP178" s="1005">
        <f t="shared" si="92"/>
        <v>0</v>
      </c>
      <c r="AQ178" s="1005">
        <f t="shared" si="92"/>
        <v>0</v>
      </c>
      <c r="AR178" s="1075">
        <f t="shared" si="93"/>
        <v>0</v>
      </c>
      <c r="AS178" s="232" t="str">
        <f>Y178&amp;"contratada"</f>
        <v>contratada</v>
      </c>
    </row>
    <row r="179" spans="1:46" x14ac:dyDescent="0.3">
      <c r="A179" s="205"/>
      <c r="B179" s="5046"/>
      <c r="C179" s="1057">
        <f t="shared" si="94"/>
        <v>0</v>
      </c>
      <c r="D179" s="1057">
        <f>IF(B179=0,0,VLOOKUP(B179,Precios!$B$216:$D$307,3,FALSE))</f>
        <v>0</v>
      </c>
      <c r="E179" s="5050"/>
      <c r="F179" s="2254">
        <f>IF(B179=0,0,VLOOKUP(B179,Precios!$B$216:$D$307,2,FALSE))</f>
        <v>0</v>
      </c>
      <c r="G179" s="1068">
        <f>E179*F179</f>
        <v>0</v>
      </c>
      <c r="H179" s="309"/>
      <c r="I179" s="1076">
        <f>IF($C179&gt;0,I$165*$E179,0)</f>
        <v>0</v>
      </c>
      <c r="J179" s="1077">
        <f t="shared" si="90"/>
        <v>0</v>
      </c>
      <c r="K179" s="1077">
        <f t="shared" si="90"/>
        <v>0</v>
      </c>
      <c r="L179" s="1077">
        <f t="shared" si="90"/>
        <v>0</v>
      </c>
      <c r="M179" s="1077">
        <f t="shared" si="90"/>
        <v>0</v>
      </c>
      <c r="N179" s="1077">
        <f t="shared" si="90"/>
        <v>0</v>
      </c>
      <c r="O179" s="1077">
        <f t="shared" si="90"/>
        <v>0</v>
      </c>
      <c r="P179" s="1077">
        <f t="shared" si="90"/>
        <v>0</v>
      </c>
      <c r="Q179" s="1077">
        <f t="shared" si="90"/>
        <v>0</v>
      </c>
      <c r="R179" s="1077">
        <f t="shared" si="90"/>
        <v>0</v>
      </c>
      <c r="S179" s="1077">
        <f t="shared" si="90"/>
        <v>0</v>
      </c>
      <c r="T179" s="1077">
        <f t="shared" si="90"/>
        <v>0</v>
      </c>
      <c r="U179" s="1078">
        <f t="shared" si="91"/>
        <v>0</v>
      </c>
      <c r="V179" s="232" t="str">
        <f>B179&amp;"contratada"</f>
        <v>contratada</v>
      </c>
      <c r="X179" s="301"/>
      <c r="Y179" s="5046"/>
      <c r="Z179" s="1057">
        <f>IF(Y179=0,0,AR$165)</f>
        <v>0</v>
      </c>
      <c r="AA179" s="1057">
        <f>IF(Y179=0,0,VLOOKUP(Y179,Precios!$B$216:$D$307,3,FALSE))</f>
        <v>0</v>
      </c>
      <c r="AB179" s="1060"/>
      <c r="AC179" s="2254">
        <f>IF(Y179=0,0,VLOOKUP(Y179,Precios!$B$216:$D$307,2,FALSE))</f>
        <v>0</v>
      </c>
      <c r="AD179" s="1068">
        <f>AB179*AC179</f>
        <v>0</v>
      </c>
      <c r="AE179" s="309"/>
      <c r="AF179" s="1076">
        <f>IF($Z179&gt;0,AF$165*$AB179,0)</f>
        <v>0</v>
      </c>
      <c r="AG179" s="1077">
        <f t="shared" si="92"/>
        <v>0</v>
      </c>
      <c r="AH179" s="1077">
        <f t="shared" si="92"/>
        <v>0</v>
      </c>
      <c r="AI179" s="1077">
        <f t="shared" si="92"/>
        <v>0</v>
      </c>
      <c r="AJ179" s="1077">
        <f t="shared" si="92"/>
        <v>0</v>
      </c>
      <c r="AK179" s="1077">
        <f t="shared" si="92"/>
        <v>0</v>
      </c>
      <c r="AL179" s="1077">
        <f t="shared" si="92"/>
        <v>0</v>
      </c>
      <c r="AM179" s="1077">
        <f t="shared" si="92"/>
        <v>0</v>
      </c>
      <c r="AN179" s="1077">
        <f t="shared" si="92"/>
        <v>0</v>
      </c>
      <c r="AO179" s="1077">
        <f t="shared" si="92"/>
        <v>0</v>
      </c>
      <c r="AP179" s="1077">
        <f t="shared" si="92"/>
        <v>0</v>
      </c>
      <c r="AQ179" s="1077">
        <f t="shared" si="92"/>
        <v>0</v>
      </c>
      <c r="AR179" s="1078">
        <f t="shared" si="93"/>
        <v>0</v>
      </c>
      <c r="AS179" s="232" t="str">
        <f>Y179&amp;"contratada"</f>
        <v>contratada</v>
      </c>
    </row>
    <row r="180" spans="1:46" x14ac:dyDescent="0.3">
      <c r="A180" s="205"/>
      <c r="B180" s="647" t="s">
        <v>1084</v>
      </c>
      <c r="C180" s="305"/>
      <c r="D180" s="305"/>
      <c r="E180" s="305"/>
      <c r="F180" s="650"/>
      <c r="G180" s="305"/>
      <c r="H180" s="310"/>
      <c r="I180" s="904">
        <f t="shared" ref="I180:T180" si="97">SUM(I175:I179)</f>
        <v>0</v>
      </c>
      <c r="J180" s="904">
        <f t="shared" si="97"/>
        <v>0</v>
      </c>
      <c r="K180" s="904">
        <f t="shared" si="97"/>
        <v>0</v>
      </c>
      <c r="L180" s="904">
        <f t="shared" si="97"/>
        <v>0</v>
      </c>
      <c r="M180" s="904">
        <f t="shared" si="97"/>
        <v>0</v>
      </c>
      <c r="N180" s="904">
        <f t="shared" si="97"/>
        <v>0</v>
      </c>
      <c r="O180" s="904">
        <f t="shared" si="97"/>
        <v>0</v>
      </c>
      <c r="P180" s="904">
        <f t="shared" si="97"/>
        <v>0</v>
      </c>
      <c r="Q180" s="904">
        <f t="shared" si="97"/>
        <v>0</v>
      </c>
      <c r="R180" s="904">
        <f t="shared" si="97"/>
        <v>0</v>
      </c>
      <c r="S180" s="904">
        <f t="shared" si="97"/>
        <v>0</v>
      </c>
      <c r="T180" s="904">
        <f t="shared" si="97"/>
        <v>0</v>
      </c>
      <c r="U180" s="905">
        <f>SUM(I180:T180)</f>
        <v>0</v>
      </c>
      <c r="W180" s="232" t="str">
        <f>B174&amp;B164</f>
        <v>Labores con maquinaria contratada0</v>
      </c>
      <c r="X180" s="301"/>
      <c r="Y180" s="647" t="s">
        <v>1084</v>
      </c>
      <c r="Z180" s="305"/>
      <c r="AA180" s="305"/>
      <c r="AB180" s="305"/>
      <c r="AC180" s="650"/>
      <c r="AD180" s="305"/>
      <c r="AE180" s="310"/>
      <c r="AF180" s="904">
        <f t="shared" ref="AF180:AQ180" si="98">SUM(AF175:AF179)</f>
        <v>0</v>
      </c>
      <c r="AG180" s="904">
        <f t="shared" si="98"/>
        <v>0</v>
      </c>
      <c r="AH180" s="904">
        <f t="shared" si="98"/>
        <v>0</v>
      </c>
      <c r="AI180" s="904">
        <f t="shared" si="98"/>
        <v>0</v>
      </c>
      <c r="AJ180" s="904">
        <f t="shared" si="98"/>
        <v>0</v>
      </c>
      <c r="AK180" s="904">
        <f t="shared" si="98"/>
        <v>0</v>
      </c>
      <c r="AL180" s="904">
        <f t="shared" si="98"/>
        <v>0</v>
      </c>
      <c r="AM180" s="904">
        <f t="shared" si="98"/>
        <v>0</v>
      </c>
      <c r="AN180" s="904">
        <f t="shared" si="98"/>
        <v>0</v>
      </c>
      <c r="AO180" s="904">
        <f t="shared" si="98"/>
        <v>0</v>
      </c>
      <c r="AP180" s="904">
        <f t="shared" si="98"/>
        <v>0</v>
      </c>
      <c r="AQ180" s="904">
        <f t="shared" si="98"/>
        <v>0</v>
      </c>
      <c r="AR180" s="905">
        <f>SUM(AF180:AQ180)</f>
        <v>0</v>
      </c>
      <c r="AT180" s="232" t="str">
        <f>Y174&amp;Y164</f>
        <v>Labores con maquinaria contratada0</v>
      </c>
    </row>
    <row r="181" spans="1:46" x14ac:dyDescent="0.2">
      <c r="A181" s="205"/>
      <c r="B181" s="197" t="s">
        <v>85</v>
      </c>
      <c r="C181" s="307"/>
      <c r="D181" s="307"/>
      <c r="E181" s="308"/>
      <c r="F181" s="651"/>
      <c r="G181" s="308"/>
      <c r="H181" s="308"/>
      <c r="I181" s="311"/>
      <c r="J181" s="311"/>
      <c r="K181" s="311"/>
      <c r="L181" s="311"/>
      <c r="M181" s="311"/>
      <c r="N181" s="311"/>
      <c r="O181" s="311"/>
      <c r="P181" s="311"/>
      <c r="Q181" s="311"/>
      <c r="R181" s="311"/>
      <c r="S181" s="311"/>
      <c r="T181" s="311"/>
      <c r="U181" s="646"/>
      <c r="X181" s="301"/>
      <c r="Y181" s="197" t="s">
        <v>85</v>
      </c>
      <c r="Z181" s="307"/>
      <c r="AA181" s="307"/>
      <c r="AB181" s="308"/>
      <c r="AC181" s="651"/>
      <c r="AD181" s="308"/>
      <c r="AE181" s="308"/>
      <c r="AF181" s="311"/>
      <c r="AG181" s="311"/>
      <c r="AH181" s="311"/>
      <c r="AI181" s="311"/>
      <c r="AJ181" s="311"/>
      <c r="AK181" s="311"/>
      <c r="AL181" s="311"/>
      <c r="AM181" s="311"/>
      <c r="AN181" s="311"/>
      <c r="AO181" s="311"/>
      <c r="AP181" s="311"/>
      <c r="AQ181" s="311"/>
      <c r="AR181" s="646"/>
    </row>
    <row r="182" spans="1:46" ht="15.05" thickBot="1" x14ac:dyDescent="0.35">
      <c r="A182" s="205"/>
      <c r="B182" s="5042"/>
      <c r="C182" s="1056">
        <f t="shared" si="94"/>
        <v>0</v>
      </c>
      <c r="D182" s="1056">
        <f>IF(B182=0,0,VLOOKUP(B182,Precios!$B$216:$D$307,3,FALSE))</f>
        <v>0</v>
      </c>
      <c r="E182" s="5048"/>
      <c r="F182" s="1062">
        <f>IF(B182=0,0,VLOOKUP(B182,Precios!$B$216:$D$307,2,FALSE))</f>
        <v>0</v>
      </c>
      <c r="G182" s="1066">
        <f t="shared" ref="G182:G189" si="99">E182*F182</f>
        <v>0</v>
      </c>
      <c r="H182" s="309"/>
      <c r="I182" s="1072">
        <f t="shared" ref="I182:T189" si="100">IF($C182&gt;0,I$165*$E182,0)</f>
        <v>0</v>
      </c>
      <c r="J182" s="1033">
        <f t="shared" si="90"/>
        <v>0</v>
      </c>
      <c r="K182" s="1033">
        <f t="shared" si="90"/>
        <v>0</v>
      </c>
      <c r="L182" s="1033">
        <f t="shared" si="90"/>
        <v>0</v>
      </c>
      <c r="M182" s="1033">
        <f t="shared" si="90"/>
        <v>0</v>
      </c>
      <c r="N182" s="1033">
        <f t="shared" si="90"/>
        <v>0</v>
      </c>
      <c r="O182" s="1033">
        <f t="shared" si="90"/>
        <v>0</v>
      </c>
      <c r="P182" s="1033">
        <f t="shared" si="90"/>
        <v>0</v>
      </c>
      <c r="Q182" s="1033">
        <f t="shared" si="90"/>
        <v>0</v>
      </c>
      <c r="R182" s="1033">
        <f t="shared" si="90"/>
        <v>0</v>
      </c>
      <c r="S182" s="1033">
        <f t="shared" si="90"/>
        <v>0</v>
      </c>
      <c r="T182" s="1033">
        <f t="shared" si="90"/>
        <v>0</v>
      </c>
      <c r="U182" s="1073">
        <f t="shared" si="91"/>
        <v>0</v>
      </c>
      <c r="X182" s="301"/>
      <c r="Y182" s="5042"/>
      <c r="Z182" s="1056">
        <f>IF(Y182=0,0,AR$165)</f>
        <v>0</v>
      </c>
      <c r="AA182" s="1056">
        <f>IF(Y182=0,0,VLOOKUP(Y182,Precios!$B$216:$D$307,3,FALSE))</f>
        <v>0</v>
      </c>
      <c r="AB182" s="1058"/>
      <c r="AC182" s="1062">
        <f>IF(Y182=0,0,VLOOKUP(Y182,Precios!$B$216:$D$307,2,FALSE))</f>
        <v>0</v>
      </c>
      <c r="AD182" s="1066">
        <f t="shared" ref="AD182:AD189" si="101">AB182*AC182</f>
        <v>0</v>
      </c>
      <c r="AE182" s="309"/>
      <c r="AF182" s="1072">
        <f>IF($Z182&gt;0,AF$165*$AB182,0)</f>
        <v>0</v>
      </c>
      <c r="AG182" s="1033">
        <f t="shared" si="92"/>
        <v>0</v>
      </c>
      <c r="AH182" s="1033">
        <f t="shared" si="92"/>
        <v>0</v>
      </c>
      <c r="AI182" s="1033">
        <f t="shared" si="92"/>
        <v>0</v>
      </c>
      <c r="AJ182" s="1033">
        <f t="shared" si="92"/>
        <v>0</v>
      </c>
      <c r="AK182" s="1033">
        <f t="shared" si="92"/>
        <v>0</v>
      </c>
      <c r="AL182" s="1033">
        <f t="shared" si="92"/>
        <v>0</v>
      </c>
      <c r="AM182" s="1033">
        <f t="shared" si="92"/>
        <v>0</v>
      </c>
      <c r="AN182" s="1033">
        <f t="shared" si="92"/>
        <v>0</v>
      </c>
      <c r="AO182" s="1033">
        <f t="shared" si="92"/>
        <v>0</v>
      </c>
      <c r="AP182" s="1033">
        <f t="shared" si="92"/>
        <v>0</v>
      </c>
      <c r="AQ182" s="1033">
        <f t="shared" si="92"/>
        <v>0</v>
      </c>
      <c r="AR182" s="1073">
        <f t="shared" si="93"/>
        <v>0</v>
      </c>
    </row>
    <row r="183" spans="1:46" ht="15.05" thickBot="1" x14ac:dyDescent="0.35">
      <c r="A183" s="205"/>
      <c r="B183" s="5044"/>
      <c r="C183" s="985">
        <f t="shared" si="94"/>
        <v>0</v>
      </c>
      <c r="D183" s="985">
        <f>IF(B183=0,0,VLOOKUP(B183,Precios!$B$216:$D$307,3,FALSE))</f>
        <v>0</v>
      </c>
      <c r="E183" s="5049"/>
      <c r="F183" s="1059">
        <f>IF(B183=0,0,VLOOKUP(B183,Precios!$B$216:$D$307,2,FALSE))</f>
        <v>0</v>
      </c>
      <c r="G183" s="1067">
        <f t="shared" si="99"/>
        <v>0</v>
      </c>
      <c r="H183" s="309"/>
      <c r="I183" s="1074">
        <f t="shared" si="100"/>
        <v>0</v>
      </c>
      <c r="J183" s="1005">
        <f t="shared" si="90"/>
        <v>0</v>
      </c>
      <c r="K183" s="1005">
        <f t="shared" si="90"/>
        <v>0</v>
      </c>
      <c r="L183" s="1005">
        <f t="shared" si="90"/>
        <v>0</v>
      </c>
      <c r="M183" s="1005">
        <f t="shared" si="90"/>
        <v>0</v>
      </c>
      <c r="N183" s="1005">
        <f t="shared" si="90"/>
        <v>0</v>
      </c>
      <c r="O183" s="1005">
        <f t="shared" si="90"/>
        <v>0</v>
      </c>
      <c r="P183" s="1005">
        <f t="shared" si="90"/>
        <v>0</v>
      </c>
      <c r="Q183" s="1005">
        <f t="shared" si="90"/>
        <v>0</v>
      </c>
      <c r="R183" s="1005">
        <f t="shared" si="90"/>
        <v>0</v>
      </c>
      <c r="S183" s="1005">
        <f t="shared" si="90"/>
        <v>0</v>
      </c>
      <c r="T183" s="1005">
        <f t="shared" si="90"/>
        <v>0</v>
      </c>
      <c r="U183" s="1075">
        <f t="shared" si="91"/>
        <v>0</v>
      </c>
      <c r="X183" s="301"/>
      <c r="Y183" s="5044"/>
      <c r="Z183" s="985">
        <f t="shared" ref="Z183:Z199" si="102">IF(Y183=0,0,AR$165)</f>
        <v>0</v>
      </c>
      <c r="AA183" s="985">
        <f>IF(Y183=0,0,VLOOKUP(Y183,Precios!$B$216:$D$307,3,FALSE))</f>
        <v>0</v>
      </c>
      <c r="AB183" s="986"/>
      <c r="AC183" s="1059">
        <f>IF(Y183=0,0,VLOOKUP(Y183,Precios!$B$216:$D$307,2,FALSE))</f>
        <v>0</v>
      </c>
      <c r="AD183" s="1067">
        <f t="shared" si="101"/>
        <v>0</v>
      </c>
      <c r="AE183" s="309"/>
      <c r="AF183" s="1074">
        <f t="shared" ref="AF183:AQ199" si="103">IF($Z183&gt;0,AF$165*$AB183,0)</f>
        <v>0</v>
      </c>
      <c r="AG183" s="1005">
        <f t="shared" si="92"/>
        <v>0</v>
      </c>
      <c r="AH183" s="1005">
        <f t="shared" si="92"/>
        <v>0</v>
      </c>
      <c r="AI183" s="1005">
        <f t="shared" si="92"/>
        <v>0</v>
      </c>
      <c r="AJ183" s="1005">
        <f t="shared" si="92"/>
        <v>0</v>
      </c>
      <c r="AK183" s="1005">
        <f t="shared" si="92"/>
        <v>0</v>
      </c>
      <c r="AL183" s="1005">
        <f t="shared" si="92"/>
        <v>0</v>
      </c>
      <c r="AM183" s="1005">
        <f t="shared" si="92"/>
        <v>0</v>
      </c>
      <c r="AN183" s="1005">
        <f t="shared" si="92"/>
        <v>0</v>
      </c>
      <c r="AO183" s="1005">
        <f t="shared" si="92"/>
        <v>0</v>
      </c>
      <c r="AP183" s="1005">
        <f t="shared" si="92"/>
        <v>0</v>
      </c>
      <c r="AQ183" s="1005">
        <f t="shared" si="92"/>
        <v>0</v>
      </c>
      <c r="AR183" s="1075">
        <f t="shared" si="93"/>
        <v>0</v>
      </c>
    </row>
    <row r="184" spans="1:46" ht="15.05" thickBot="1" x14ac:dyDescent="0.35">
      <c r="A184" s="205"/>
      <c r="B184" s="5044"/>
      <c r="C184" s="985">
        <f t="shared" si="94"/>
        <v>0</v>
      </c>
      <c r="D184" s="985">
        <f>IF(B184=0,0,VLOOKUP(B184,Precios!$B$216:$D$307,3,FALSE))</f>
        <v>0</v>
      </c>
      <c r="E184" s="5049"/>
      <c r="F184" s="1059">
        <f>IF(B184=0,0,VLOOKUP(B184,Precios!$B$216:$D$307,2,FALSE))</f>
        <v>0</v>
      </c>
      <c r="G184" s="1067">
        <f t="shared" si="99"/>
        <v>0</v>
      </c>
      <c r="H184" s="309"/>
      <c r="I184" s="1074">
        <f t="shared" si="100"/>
        <v>0</v>
      </c>
      <c r="J184" s="1005">
        <f t="shared" si="90"/>
        <v>0</v>
      </c>
      <c r="K184" s="1005">
        <f t="shared" si="90"/>
        <v>0</v>
      </c>
      <c r="L184" s="1005">
        <f t="shared" si="90"/>
        <v>0</v>
      </c>
      <c r="M184" s="1005">
        <f t="shared" si="90"/>
        <v>0</v>
      </c>
      <c r="N184" s="1005">
        <f t="shared" si="90"/>
        <v>0</v>
      </c>
      <c r="O184" s="1005">
        <f t="shared" si="90"/>
        <v>0</v>
      </c>
      <c r="P184" s="1005">
        <f t="shared" si="90"/>
        <v>0</v>
      </c>
      <c r="Q184" s="1005">
        <f t="shared" si="90"/>
        <v>0</v>
      </c>
      <c r="R184" s="1005">
        <f t="shared" si="90"/>
        <v>0</v>
      </c>
      <c r="S184" s="1005">
        <f t="shared" si="90"/>
        <v>0</v>
      </c>
      <c r="T184" s="1005">
        <f t="shared" si="90"/>
        <v>0</v>
      </c>
      <c r="U184" s="1075">
        <f t="shared" si="91"/>
        <v>0</v>
      </c>
      <c r="X184" s="301"/>
      <c r="Y184" s="5044"/>
      <c r="Z184" s="985">
        <f t="shared" si="102"/>
        <v>0</v>
      </c>
      <c r="AA184" s="985">
        <f>IF(Y184=0,0,VLOOKUP(Y184,Precios!$B$216:$D$307,3,FALSE))</f>
        <v>0</v>
      </c>
      <c r="AB184" s="986"/>
      <c r="AC184" s="1059">
        <f>IF(Y184=0,0,VLOOKUP(Y184,Precios!$B$216:$D$307,2,FALSE))</f>
        <v>0</v>
      </c>
      <c r="AD184" s="1067">
        <f t="shared" si="101"/>
        <v>0</v>
      </c>
      <c r="AE184" s="309"/>
      <c r="AF184" s="1074">
        <f t="shared" si="103"/>
        <v>0</v>
      </c>
      <c r="AG184" s="1005">
        <f t="shared" si="92"/>
        <v>0</v>
      </c>
      <c r="AH184" s="1005">
        <f t="shared" si="92"/>
        <v>0</v>
      </c>
      <c r="AI184" s="1005">
        <f t="shared" si="92"/>
        <v>0</v>
      </c>
      <c r="AJ184" s="1005">
        <f t="shared" si="92"/>
        <v>0</v>
      </c>
      <c r="AK184" s="1005">
        <f t="shared" si="92"/>
        <v>0</v>
      </c>
      <c r="AL184" s="1005">
        <f t="shared" si="92"/>
        <v>0</v>
      </c>
      <c r="AM184" s="1005">
        <f t="shared" si="92"/>
        <v>0</v>
      </c>
      <c r="AN184" s="1005">
        <f t="shared" si="92"/>
        <v>0</v>
      </c>
      <c r="AO184" s="1005">
        <f t="shared" si="92"/>
        <v>0</v>
      </c>
      <c r="AP184" s="1005">
        <f t="shared" si="92"/>
        <v>0</v>
      </c>
      <c r="AQ184" s="1005">
        <f t="shared" si="92"/>
        <v>0</v>
      </c>
      <c r="AR184" s="1075">
        <f t="shared" si="93"/>
        <v>0</v>
      </c>
    </row>
    <row r="185" spans="1:46" ht="15.05" thickBot="1" x14ac:dyDescent="0.35">
      <c r="A185" s="205"/>
      <c r="B185" s="5044"/>
      <c r="C185" s="985">
        <f t="shared" si="94"/>
        <v>0</v>
      </c>
      <c r="D185" s="985">
        <f>IF(B185=0,0,VLOOKUP(B185,Precios!$B$216:$D$307,3,FALSE))</f>
        <v>0</v>
      </c>
      <c r="E185" s="5049"/>
      <c r="F185" s="1059">
        <f>IF(B185=0,0,VLOOKUP(B185,Precios!$B$216:$D$307,2,FALSE))</f>
        <v>0</v>
      </c>
      <c r="G185" s="1067">
        <f t="shared" si="99"/>
        <v>0</v>
      </c>
      <c r="H185" s="309"/>
      <c r="I185" s="1074">
        <f t="shared" si="100"/>
        <v>0</v>
      </c>
      <c r="J185" s="1005">
        <f t="shared" si="90"/>
        <v>0</v>
      </c>
      <c r="K185" s="1005">
        <f t="shared" si="90"/>
        <v>0</v>
      </c>
      <c r="L185" s="1005">
        <f t="shared" si="90"/>
        <v>0</v>
      </c>
      <c r="M185" s="1005">
        <f t="shared" si="90"/>
        <v>0</v>
      </c>
      <c r="N185" s="1005">
        <f t="shared" si="90"/>
        <v>0</v>
      </c>
      <c r="O185" s="1005">
        <f t="shared" si="90"/>
        <v>0</v>
      </c>
      <c r="P185" s="1005">
        <f t="shared" si="90"/>
        <v>0</v>
      </c>
      <c r="Q185" s="1005">
        <f t="shared" si="90"/>
        <v>0</v>
      </c>
      <c r="R185" s="1005">
        <f t="shared" si="90"/>
        <v>0</v>
      </c>
      <c r="S185" s="1005">
        <f t="shared" si="90"/>
        <v>0</v>
      </c>
      <c r="T185" s="1005">
        <f t="shared" si="90"/>
        <v>0</v>
      </c>
      <c r="U185" s="1075">
        <f t="shared" si="91"/>
        <v>0</v>
      </c>
      <c r="X185" s="301"/>
      <c r="Y185" s="5044"/>
      <c r="Z185" s="985">
        <f t="shared" si="102"/>
        <v>0</v>
      </c>
      <c r="AA185" s="985">
        <f>IF(Y185=0,0,VLOOKUP(Y185,Precios!$B$216:$D$307,3,FALSE))</f>
        <v>0</v>
      </c>
      <c r="AB185" s="986"/>
      <c r="AC185" s="1059">
        <f>IF(Y185=0,0,VLOOKUP(Y185,Precios!$B$216:$D$307,2,FALSE))</f>
        <v>0</v>
      </c>
      <c r="AD185" s="1067">
        <f t="shared" si="101"/>
        <v>0</v>
      </c>
      <c r="AE185" s="309"/>
      <c r="AF185" s="1074">
        <f t="shared" si="103"/>
        <v>0</v>
      </c>
      <c r="AG185" s="1005">
        <f t="shared" si="92"/>
        <v>0</v>
      </c>
      <c r="AH185" s="1005">
        <f t="shared" si="92"/>
        <v>0</v>
      </c>
      <c r="AI185" s="1005">
        <f t="shared" si="92"/>
        <v>0</v>
      </c>
      <c r="AJ185" s="1005">
        <f t="shared" si="92"/>
        <v>0</v>
      </c>
      <c r="AK185" s="1005">
        <f t="shared" si="92"/>
        <v>0</v>
      </c>
      <c r="AL185" s="1005">
        <f t="shared" si="92"/>
        <v>0</v>
      </c>
      <c r="AM185" s="1005">
        <f t="shared" si="92"/>
        <v>0</v>
      </c>
      <c r="AN185" s="1005">
        <f t="shared" si="92"/>
        <v>0</v>
      </c>
      <c r="AO185" s="1005">
        <f t="shared" si="92"/>
        <v>0</v>
      </c>
      <c r="AP185" s="1005">
        <f t="shared" si="92"/>
        <v>0</v>
      </c>
      <c r="AQ185" s="1005">
        <f t="shared" si="92"/>
        <v>0</v>
      </c>
      <c r="AR185" s="1075">
        <f t="shared" si="93"/>
        <v>0</v>
      </c>
    </row>
    <row r="186" spans="1:46" ht="15.05" thickBot="1" x14ac:dyDescent="0.35">
      <c r="A186" s="205"/>
      <c r="B186" s="5044"/>
      <c r="C186" s="985">
        <f t="shared" si="94"/>
        <v>0</v>
      </c>
      <c r="D186" s="985">
        <f>IF(B186=0,0,VLOOKUP(B186,Precios!$B$216:$D$307,3,FALSE))</f>
        <v>0</v>
      </c>
      <c r="E186" s="5049"/>
      <c r="F186" s="1059">
        <f>IF(B186=0,0,VLOOKUP(B186,Precios!$B$216:$D$307,2,FALSE))</f>
        <v>0</v>
      </c>
      <c r="G186" s="1067">
        <f t="shared" si="99"/>
        <v>0</v>
      </c>
      <c r="H186" s="309"/>
      <c r="I186" s="1074">
        <f t="shared" si="100"/>
        <v>0</v>
      </c>
      <c r="J186" s="1005">
        <f t="shared" si="100"/>
        <v>0</v>
      </c>
      <c r="K186" s="1005">
        <f t="shared" si="100"/>
        <v>0</v>
      </c>
      <c r="L186" s="1005">
        <f t="shared" si="100"/>
        <v>0</v>
      </c>
      <c r="M186" s="1005">
        <f t="shared" si="100"/>
        <v>0</v>
      </c>
      <c r="N186" s="1005">
        <f t="shared" si="100"/>
        <v>0</v>
      </c>
      <c r="O186" s="1005">
        <f t="shared" si="100"/>
        <v>0</v>
      </c>
      <c r="P186" s="1005">
        <f t="shared" si="100"/>
        <v>0</v>
      </c>
      <c r="Q186" s="1005">
        <f t="shared" si="100"/>
        <v>0</v>
      </c>
      <c r="R186" s="1005">
        <f t="shared" si="100"/>
        <v>0</v>
      </c>
      <c r="S186" s="1005">
        <f t="shared" si="100"/>
        <v>0</v>
      </c>
      <c r="T186" s="1005">
        <f t="shared" si="100"/>
        <v>0</v>
      </c>
      <c r="U186" s="1075">
        <f t="shared" si="91"/>
        <v>0</v>
      </c>
      <c r="X186" s="301"/>
      <c r="Y186" s="5044"/>
      <c r="Z186" s="985">
        <f t="shared" si="102"/>
        <v>0</v>
      </c>
      <c r="AA186" s="985">
        <f>IF(Y186=0,0,VLOOKUP(Y186,Precios!$B$216:$D$307,3,FALSE))</f>
        <v>0</v>
      </c>
      <c r="AB186" s="986"/>
      <c r="AC186" s="1059">
        <f>IF(Y186=0,0,VLOOKUP(Y186,Precios!$B$216:$D$307,2,FALSE))</f>
        <v>0</v>
      </c>
      <c r="AD186" s="1067">
        <f t="shared" si="101"/>
        <v>0</v>
      </c>
      <c r="AE186" s="309"/>
      <c r="AF186" s="1074">
        <f t="shared" si="103"/>
        <v>0</v>
      </c>
      <c r="AG186" s="1005">
        <f t="shared" si="103"/>
        <v>0</v>
      </c>
      <c r="AH186" s="1005">
        <f t="shared" si="103"/>
        <v>0</v>
      </c>
      <c r="AI186" s="1005">
        <f t="shared" si="103"/>
        <v>0</v>
      </c>
      <c r="AJ186" s="1005">
        <f t="shared" si="103"/>
        <v>0</v>
      </c>
      <c r="AK186" s="1005">
        <f t="shared" si="103"/>
        <v>0</v>
      </c>
      <c r="AL186" s="1005">
        <f t="shared" si="103"/>
        <v>0</v>
      </c>
      <c r="AM186" s="1005">
        <f t="shared" si="103"/>
        <v>0</v>
      </c>
      <c r="AN186" s="1005">
        <f t="shared" si="103"/>
        <v>0</v>
      </c>
      <c r="AO186" s="1005">
        <f t="shared" si="103"/>
        <v>0</v>
      </c>
      <c r="AP186" s="1005">
        <f t="shared" si="103"/>
        <v>0</v>
      </c>
      <c r="AQ186" s="1005">
        <f t="shared" si="103"/>
        <v>0</v>
      </c>
      <c r="AR186" s="1075">
        <f t="shared" si="93"/>
        <v>0</v>
      </c>
    </row>
    <row r="187" spans="1:46" ht="15.05" thickBot="1" x14ac:dyDescent="0.35">
      <c r="A187" s="205"/>
      <c r="B187" s="5044"/>
      <c r="C187" s="985">
        <f t="shared" si="94"/>
        <v>0</v>
      </c>
      <c r="D187" s="985">
        <f>IF(B187=0,0,VLOOKUP(B187,Precios!$B$216:$D$307,3,FALSE))</f>
        <v>0</v>
      </c>
      <c r="E187" s="5049"/>
      <c r="F187" s="1059">
        <f>IF(B187=0,0,VLOOKUP(B187,Precios!$B$216:$D$307,2,FALSE))</f>
        <v>0</v>
      </c>
      <c r="G187" s="1067">
        <f t="shared" si="99"/>
        <v>0</v>
      </c>
      <c r="H187" s="309"/>
      <c r="I187" s="1074">
        <f t="shared" si="100"/>
        <v>0</v>
      </c>
      <c r="J187" s="1005">
        <f t="shared" si="100"/>
        <v>0</v>
      </c>
      <c r="K187" s="1005">
        <f t="shared" si="100"/>
        <v>0</v>
      </c>
      <c r="L187" s="1005">
        <f t="shared" si="100"/>
        <v>0</v>
      </c>
      <c r="M187" s="1005">
        <f t="shared" si="100"/>
        <v>0</v>
      </c>
      <c r="N187" s="1005">
        <f t="shared" si="100"/>
        <v>0</v>
      </c>
      <c r="O187" s="1005">
        <f t="shared" si="100"/>
        <v>0</v>
      </c>
      <c r="P187" s="1005">
        <f t="shared" si="100"/>
        <v>0</v>
      </c>
      <c r="Q187" s="1005">
        <f t="shared" si="100"/>
        <v>0</v>
      </c>
      <c r="R187" s="1005">
        <f t="shared" si="100"/>
        <v>0</v>
      </c>
      <c r="S187" s="1005">
        <f t="shared" si="100"/>
        <v>0</v>
      </c>
      <c r="T187" s="1005">
        <f t="shared" si="100"/>
        <v>0</v>
      </c>
      <c r="U187" s="1075">
        <f t="shared" si="91"/>
        <v>0</v>
      </c>
      <c r="X187" s="301"/>
      <c r="Y187" s="5044"/>
      <c r="Z187" s="985">
        <f t="shared" si="102"/>
        <v>0</v>
      </c>
      <c r="AA187" s="985">
        <f>IF(Y187=0,0,VLOOKUP(Y187,Precios!$B$216:$D$307,3,FALSE))</f>
        <v>0</v>
      </c>
      <c r="AB187" s="986"/>
      <c r="AC187" s="1059">
        <f>IF(Y187=0,0,VLOOKUP(Y187,Precios!$B$216:$D$307,2,FALSE))</f>
        <v>0</v>
      </c>
      <c r="AD187" s="1067">
        <f t="shared" si="101"/>
        <v>0</v>
      </c>
      <c r="AE187" s="309"/>
      <c r="AF187" s="1074">
        <f t="shared" si="103"/>
        <v>0</v>
      </c>
      <c r="AG187" s="1005">
        <f t="shared" si="103"/>
        <v>0</v>
      </c>
      <c r="AH187" s="1005">
        <f t="shared" si="103"/>
        <v>0</v>
      </c>
      <c r="AI187" s="1005">
        <f t="shared" si="103"/>
        <v>0</v>
      </c>
      <c r="AJ187" s="1005">
        <f t="shared" si="103"/>
        <v>0</v>
      </c>
      <c r="AK187" s="1005">
        <f t="shared" si="103"/>
        <v>0</v>
      </c>
      <c r="AL187" s="1005">
        <f t="shared" si="103"/>
        <v>0</v>
      </c>
      <c r="AM187" s="1005">
        <f t="shared" si="103"/>
        <v>0</v>
      </c>
      <c r="AN187" s="1005">
        <f t="shared" si="103"/>
        <v>0</v>
      </c>
      <c r="AO187" s="1005">
        <f t="shared" si="103"/>
        <v>0</v>
      </c>
      <c r="AP187" s="1005">
        <f t="shared" si="103"/>
        <v>0</v>
      </c>
      <c r="AQ187" s="1005">
        <f t="shared" si="103"/>
        <v>0</v>
      </c>
      <c r="AR187" s="1075">
        <f t="shared" ref="AR187:AR200" si="104">SUM(AF187:AQ187)</f>
        <v>0</v>
      </c>
    </row>
    <row r="188" spans="1:46" ht="15.05" thickBot="1" x14ac:dyDescent="0.35">
      <c r="A188" s="205"/>
      <c r="B188" s="5044"/>
      <c r="C188" s="985">
        <f t="shared" si="94"/>
        <v>0</v>
      </c>
      <c r="D188" s="985">
        <f>IF(B188=0,0,VLOOKUP(B188,Precios!$B$216:$D$307,3,FALSE))</f>
        <v>0</v>
      </c>
      <c r="E188" s="5049"/>
      <c r="F188" s="1059">
        <f>IF(B188=0,0,VLOOKUP(B188,Precios!$B$216:$D$307,2,FALSE))</f>
        <v>0</v>
      </c>
      <c r="G188" s="1067">
        <f t="shared" si="99"/>
        <v>0</v>
      </c>
      <c r="H188" s="309"/>
      <c r="I188" s="1074">
        <f t="shared" si="100"/>
        <v>0</v>
      </c>
      <c r="J188" s="1005">
        <f t="shared" si="100"/>
        <v>0</v>
      </c>
      <c r="K188" s="1005">
        <f t="shared" si="100"/>
        <v>0</v>
      </c>
      <c r="L188" s="1005">
        <f t="shared" si="100"/>
        <v>0</v>
      </c>
      <c r="M188" s="1005">
        <f t="shared" si="100"/>
        <v>0</v>
      </c>
      <c r="N188" s="1005">
        <f t="shared" si="100"/>
        <v>0</v>
      </c>
      <c r="O188" s="1005">
        <f t="shared" si="100"/>
        <v>0</v>
      </c>
      <c r="P188" s="1005">
        <f t="shared" si="100"/>
        <v>0</v>
      </c>
      <c r="Q188" s="1005">
        <f t="shared" si="100"/>
        <v>0</v>
      </c>
      <c r="R188" s="1005">
        <f t="shared" si="100"/>
        <v>0</v>
      </c>
      <c r="S188" s="1005">
        <f t="shared" si="100"/>
        <v>0</v>
      </c>
      <c r="T188" s="1005">
        <f t="shared" si="100"/>
        <v>0</v>
      </c>
      <c r="U188" s="1075">
        <f t="shared" si="91"/>
        <v>0</v>
      </c>
      <c r="X188" s="301"/>
      <c r="Y188" s="5044"/>
      <c r="Z188" s="985">
        <f t="shared" si="102"/>
        <v>0</v>
      </c>
      <c r="AA188" s="985">
        <f>IF(Y188=0,0,VLOOKUP(Y188,Precios!$B$216:$D$307,3,FALSE))</f>
        <v>0</v>
      </c>
      <c r="AB188" s="986"/>
      <c r="AC188" s="1059">
        <f>IF(Y188=0,0,VLOOKUP(Y188,Precios!$B$216:$D$307,2,FALSE))</f>
        <v>0</v>
      </c>
      <c r="AD188" s="1067">
        <f t="shared" si="101"/>
        <v>0</v>
      </c>
      <c r="AE188" s="309"/>
      <c r="AF188" s="1074">
        <f t="shared" si="103"/>
        <v>0</v>
      </c>
      <c r="AG188" s="1005">
        <f t="shared" si="103"/>
        <v>0</v>
      </c>
      <c r="AH188" s="1005">
        <f t="shared" si="103"/>
        <v>0</v>
      </c>
      <c r="AI188" s="1005">
        <f t="shared" si="103"/>
        <v>0</v>
      </c>
      <c r="AJ188" s="1005">
        <f t="shared" si="103"/>
        <v>0</v>
      </c>
      <c r="AK188" s="1005">
        <f t="shared" si="103"/>
        <v>0</v>
      </c>
      <c r="AL188" s="1005">
        <f t="shared" si="103"/>
        <v>0</v>
      </c>
      <c r="AM188" s="1005">
        <f t="shared" si="103"/>
        <v>0</v>
      </c>
      <c r="AN188" s="1005">
        <f t="shared" si="103"/>
        <v>0</v>
      </c>
      <c r="AO188" s="1005">
        <f t="shared" si="103"/>
        <v>0</v>
      </c>
      <c r="AP188" s="1005">
        <f t="shared" si="103"/>
        <v>0</v>
      </c>
      <c r="AQ188" s="1005">
        <f t="shared" si="103"/>
        <v>0</v>
      </c>
      <c r="AR188" s="1075">
        <f t="shared" si="104"/>
        <v>0</v>
      </c>
    </row>
    <row r="189" spans="1:46" x14ac:dyDescent="0.3">
      <c r="A189" s="205"/>
      <c r="B189" s="5046"/>
      <c r="C189" s="1057">
        <f t="shared" si="94"/>
        <v>0</v>
      </c>
      <c r="D189" s="1057">
        <f>IF(B189=0,0,VLOOKUP(B189,Precios!$B$216:$D$307,3,FALSE))</f>
        <v>0</v>
      </c>
      <c r="E189" s="5050"/>
      <c r="F189" s="1061">
        <f>IF(B189=0,0,VLOOKUP(B189,Precios!$B$216:$D$307,2,FALSE))</f>
        <v>0</v>
      </c>
      <c r="G189" s="1068">
        <f t="shared" si="99"/>
        <v>0</v>
      </c>
      <c r="H189" s="309"/>
      <c r="I189" s="1076">
        <f t="shared" si="100"/>
        <v>0</v>
      </c>
      <c r="J189" s="1077">
        <f t="shared" si="100"/>
        <v>0</v>
      </c>
      <c r="K189" s="1077">
        <f t="shared" si="100"/>
        <v>0</v>
      </c>
      <c r="L189" s="1077">
        <f t="shared" si="100"/>
        <v>0</v>
      </c>
      <c r="M189" s="1077">
        <f t="shared" si="100"/>
        <v>0</v>
      </c>
      <c r="N189" s="1077">
        <f t="shared" si="100"/>
        <v>0</v>
      </c>
      <c r="O189" s="1077">
        <f t="shared" si="100"/>
        <v>0</v>
      </c>
      <c r="P189" s="1077">
        <f t="shared" si="100"/>
        <v>0</v>
      </c>
      <c r="Q189" s="1077">
        <f t="shared" si="100"/>
        <v>0</v>
      </c>
      <c r="R189" s="1077">
        <f t="shared" si="100"/>
        <v>0</v>
      </c>
      <c r="S189" s="1077">
        <f t="shared" si="100"/>
        <v>0</v>
      </c>
      <c r="T189" s="1077">
        <f t="shared" si="100"/>
        <v>0</v>
      </c>
      <c r="U189" s="1078">
        <f t="shared" si="91"/>
        <v>0</v>
      </c>
      <c r="X189" s="301"/>
      <c r="Y189" s="5046"/>
      <c r="Z189" s="1057">
        <f t="shared" si="102"/>
        <v>0</v>
      </c>
      <c r="AA189" s="1057">
        <f>IF(Y189=0,0,VLOOKUP(Y189,Precios!$B$216:$D$307,3,FALSE))</f>
        <v>0</v>
      </c>
      <c r="AB189" s="1060"/>
      <c r="AC189" s="1061">
        <f>IF(Y189=0,0,VLOOKUP(Y189,Precios!$B$216:$D$307,2,FALSE))</f>
        <v>0</v>
      </c>
      <c r="AD189" s="1068">
        <f t="shared" si="101"/>
        <v>0</v>
      </c>
      <c r="AE189" s="309"/>
      <c r="AF189" s="1076">
        <f t="shared" si="103"/>
        <v>0</v>
      </c>
      <c r="AG189" s="1077">
        <f t="shared" si="103"/>
        <v>0</v>
      </c>
      <c r="AH189" s="1077">
        <f t="shared" si="103"/>
        <v>0</v>
      </c>
      <c r="AI189" s="1077">
        <f t="shared" si="103"/>
        <v>0</v>
      </c>
      <c r="AJ189" s="1077">
        <f t="shared" si="103"/>
        <v>0</v>
      </c>
      <c r="AK189" s="1077">
        <f t="shared" si="103"/>
        <v>0</v>
      </c>
      <c r="AL189" s="1077">
        <f t="shared" si="103"/>
        <v>0</v>
      </c>
      <c r="AM189" s="1077">
        <f t="shared" si="103"/>
        <v>0</v>
      </c>
      <c r="AN189" s="1077">
        <f t="shared" si="103"/>
        <v>0</v>
      </c>
      <c r="AO189" s="1077">
        <f t="shared" si="103"/>
        <v>0</v>
      </c>
      <c r="AP189" s="1077">
        <f t="shared" si="103"/>
        <v>0</v>
      </c>
      <c r="AQ189" s="1077">
        <f t="shared" si="103"/>
        <v>0</v>
      </c>
      <c r="AR189" s="1078">
        <f t="shared" si="104"/>
        <v>0</v>
      </c>
    </row>
    <row r="190" spans="1:46" x14ac:dyDescent="0.3">
      <c r="A190" s="205"/>
      <c r="B190" s="647" t="s">
        <v>1085</v>
      </c>
      <c r="C190" s="305"/>
      <c r="D190" s="305"/>
      <c r="E190" s="305"/>
      <c r="F190" s="650"/>
      <c r="G190" s="305"/>
      <c r="H190" s="310"/>
      <c r="I190" s="904">
        <f t="shared" ref="I190:T190" si="105">SUM(I182:I189)</f>
        <v>0</v>
      </c>
      <c r="J190" s="904">
        <f t="shared" si="105"/>
        <v>0</v>
      </c>
      <c r="K190" s="904">
        <f t="shared" si="105"/>
        <v>0</v>
      </c>
      <c r="L190" s="904">
        <f t="shared" si="105"/>
        <v>0</v>
      </c>
      <c r="M190" s="904">
        <f t="shared" si="105"/>
        <v>0</v>
      </c>
      <c r="N190" s="904">
        <f t="shared" si="105"/>
        <v>0</v>
      </c>
      <c r="O190" s="904">
        <f t="shared" si="105"/>
        <v>0</v>
      </c>
      <c r="P190" s="904">
        <f t="shared" si="105"/>
        <v>0</v>
      </c>
      <c r="Q190" s="904">
        <f t="shared" si="105"/>
        <v>0</v>
      </c>
      <c r="R190" s="904">
        <f t="shared" si="105"/>
        <v>0</v>
      </c>
      <c r="S190" s="904">
        <f t="shared" si="105"/>
        <v>0</v>
      </c>
      <c r="T190" s="904">
        <f t="shared" si="105"/>
        <v>0</v>
      </c>
      <c r="U190" s="905">
        <f>SUM(I190:T190)</f>
        <v>0</v>
      </c>
      <c r="W190" s="232" t="str">
        <f>B181&amp;B164</f>
        <v>Semillas0</v>
      </c>
      <c r="X190" s="301"/>
      <c r="Y190" s="647" t="s">
        <v>1085</v>
      </c>
      <c r="Z190" s="305"/>
      <c r="AA190" s="305"/>
      <c r="AB190" s="305"/>
      <c r="AC190" s="650"/>
      <c r="AD190" s="305"/>
      <c r="AE190" s="310"/>
      <c r="AF190" s="904">
        <f t="shared" ref="AF190:AQ190" si="106">SUM(AF182:AF189)</f>
        <v>0</v>
      </c>
      <c r="AG190" s="904">
        <f t="shared" si="106"/>
        <v>0</v>
      </c>
      <c r="AH190" s="904">
        <f t="shared" si="106"/>
        <v>0</v>
      </c>
      <c r="AI190" s="904">
        <f t="shared" si="106"/>
        <v>0</v>
      </c>
      <c r="AJ190" s="904">
        <f t="shared" si="106"/>
        <v>0</v>
      </c>
      <c r="AK190" s="904">
        <f t="shared" si="106"/>
        <v>0</v>
      </c>
      <c r="AL190" s="904">
        <f t="shared" si="106"/>
        <v>0</v>
      </c>
      <c r="AM190" s="904">
        <f t="shared" si="106"/>
        <v>0</v>
      </c>
      <c r="AN190" s="904">
        <f t="shared" si="106"/>
        <v>0</v>
      </c>
      <c r="AO190" s="904">
        <f t="shared" si="106"/>
        <v>0</v>
      </c>
      <c r="AP190" s="904">
        <f t="shared" si="106"/>
        <v>0</v>
      </c>
      <c r="AQ190" s="904">
        <f t="shared" si="106"/>
        <v>0</v>
      </c>
      <c r="AR190" s="905">
        <f>SUM(AF190:AQ190)</f>
        <v>0</v>
      </c>
      <c r="AT190" s="232" t="str">
        <f>Y181&amp;Y164</f>
        <v>Semillas0</v>
      </c>
    </row>
    <row r="191" spans="1:46" x14ac:dyDescent="0.2">
      <c r="A191" s="205"/>
      <c r="B191" s="197" t="s">
        <v>339</v>
      </c>
      <c r="C191" s="307"/>
      <c r="D191" s="307"/>
      <c r="E191" s="308"/>
      <c r="F191" s="651"/>
      <c r="G191" s="308"/>
      <c r="H191" s="307"/>
      <c r="I191" s="307"/>
      <c r="J191" s="307"/>
      <c r="K191" s="307"/>
      <c r="L191" s="307"/>
      <c r="M191" s="307"/>
      <c r="N191" s="307"/>
      <c r="O191" s="307"/>
      <c r="P191" s="307"/>
      <c r="Q191" s="307"/>
      <c r="R191" s="307"/>
      <c r="S191" s="307"/>
      <c r="T191" s="307"/>
      <c r="U191" s="646"/>
      <c r="X191" s="301"/>
      <c r="Y191" s="197" t="s">
        <v>339</v>
      </c>
      <c r="Z191" s="307"/>
      <c r="AA191" s="307"/>
      <c r="AB191" s="308"/>
      <c r="AC191" s="651"/>
      <c r="AD191" s="308"/>
      <c r="AE191" s="307"/>
      <c r="AF191" s="307"/>
      <c r="AG191" s="307"/>
      <c r="AH191" s="307"/>
      <c r="AI191" s="307"/>
      <c r="AJ191" s="307"/>
      <c r="AK191" s="307"/>
      <c r="AL191" s="307"/>
      <c r="AM191" s="307"/>
      <c r="AN191" s="307"/>
      <c r="AO191" s="307"/>
      <c r="AP191" s="307"/>
      <c r="AQ191" s="307"/>
      <c r="AR191" s="646"/>
    </row>
    <row r="192" spans="1:46" ht="15.05" thickBot="1" x14ac:dyDescent="0.35">
      <c r="A192" s="205"/>
      <c r="B192" s="5042"/>
      <c r="C192" s="1056">
        <f t="shared" si="94"/>
        <v>0</v>
      </c>
      <c r="D192" s="1056">
        <f>IF(B192=0,0,VLOOKUP(B192,Precios!$B$216:$D$307,3,FALSE))</f>
        <v>0</v>
      </c>
      <c r="E192" s="5048"/>
      <c r="F192" s="1063">
        <f>IF(B192=0,0,VLOOKUP(B192,Precios!$B$216:$D$307,2,FALSE))</f>
        <v>0</v>
      </c>
      <c r="G192" s="1066">
        <f>E192*F192</f>
        <v>0</v>
      </c>
      <c r="H192" s="309"/>
      <c r="I192" s="1072">
        <f t="shared" ref="I192:T194" si="107">IF($C192&gt;0,I$165*$E192,0)</f>
        <v>0</v>
      </c>
      <c r="J192" s="1033">
        <f t="shared" si="107"/>
        <v>0</v>
      </c>
      <c r="K192" s="1033">
        <f t="shared" si="107"/>
        <v>0</v>
      </c>
      <c r="L192" s="1033">
        <f t="shared" si="107"/>
        <v>0</v>
      </c>
      <c r="M192" s="1033">
        <f t="shared" si="107"/>
        <v>0</v>
      </c>
      <c r="N192" s="1033">
        <f t="shared" si="107"/>
        <v>0</v>
      </c>
      <c r="O192" s="1033">
        <f t="shared" si="107"/>
        <v>0</v>
      </c>
      <c r="P192" s="1033">
        <f t="shared" si="107"/>
        <v>0</v>
      </c>
      <c r="Q192" s="1033">
        <f t="shared" si="107"/>
        <v>0</v>
      </c>
      <c r="R192" s="1033">
        <f t="shared" si="107"/>
        <v>0</v>
      </c>
      <c r="S192" s="1033">
        <f t="shared" si="107"/>
        <v>0</v>
      </c>
      <c r="T192" s="1033">
        <f t="shared" si="107"/>
        <v>0</v>
      </c>
      <c r="U192" s="1073">
        <f t="shared" ref="U192:U200" si="108">SUM(I192:T192)</f>
        <v>0</v>
      </c>
      <c r="X192" s="301"/>
      <c r="Y192" s="5042"/>
      <c r="Z192" s="1056">
        <f t="shared" si="102"/>
        <v>0</v>
      </c>
      <c r="AA192" s="1056">
        <f>IF(Y192=0,0,VLOOKUP(Y192,Precios!$B$216:$D$307,3,FALSE))</f>
        <v>0</v>
      </c>
      <c r="AB192" s="1058"/>
      <c r="AC192" s="1063">
        <f>IF(Y192=0,0,VLOOKUP(Y192,Precios!$B$216:$D$307,2,FALSE))</f>
        <v>0</v>
      </c>
      <c r="AD192" s="1066">
        <f>AB192*AC192</f>
        <v>0</v>
      </c>
      <c r="AE192" s="309"/>
      <c r="AF192" s="1072">
        <f t="shared" si="103"/>
        <v>0</v>
      </c>
      <c r="AG192" s="1033">
        <f t="shared" si="103"/>
        <v>0</v>
      </c>
      <c r="AH192" s="1033">
        <f t="shared" si="103"/>
        <v>0</v>
      </c>
      <c r="AI192" s="1033">
        <f t="shared" si="103"/>
        <v>0</v>
      </c>
      <c r="AJ192" s="1033">
        <f t="shared" si="103"/>
        <v>0</v>
      </c>
      <c r="AK192" s="1033">
        <f t="shared" si="103"/>
        <v>0</v>
      </c>
      <c r="AL192" s="1033">
        <f t="shared" si="103"/>
        <v>0</v>
      </c>
      <c r="AM192" s="1033">
        <f t="shared" si="103"/>
        <v>0</v>
      </c>
      <c r="AN192" s="1033">
        <f t="shared" si="103"/>
        <v>0</v>
      </c>
      <c r="AO192" s="1033">
        <f t="shared" si="103"/>
        <v>0</v>
      </c>
      <c r="AP192" s="1033">
        <f t="shared" si="103"/>
        <v>0</v>
      </c>
      <c r="AQ192" s="1033">
        <f t="shared" si="103"/>
        <v>0</v>
      </c>
      <c r="AR192" s="1073">
        <f t="shared" si="104"/>
        <v>0</v>
      </c>
    </row>
    <row r="193" spans="1:47" ht="15.05" thickBot="1" x14ac:dyDescent="0.35">
      <c r="A193" s="205"/>
      <c r="B193" s="5044"/>
      <c r="C193" s="985">
        <f t="shared" si="94"/>
        <v>0</v>
      </c>
      <c r="D193" s="985">
        <f>IF(B193=0,0,VLOOKUP(B193,Precios!$B$216:$D$307,3,FALSE))</f>
        <v>0</v>
      </c>
      <c r="E193" s="5049"/>
      <c r="F193" s="1064">
        <f>IF(B193=0,0,VLOOKUP(B193,Precios!$B$216:$D$307,2,FALSE))</f>
        <v>0</v>
      </c>
      <c r="G193" s="1067">
        <f>E193*F193</f>
        <v>0</v>
      </c>
      <c r="H193" s="309"/>
      <c r="I193" s="1074">
        <f t="shared" si="107"/>
        <v>0</v>
      </c>
      <c r="J193" s="1005">
        <f t="shared" si="107"/>
        <v>0</v>
      </c>
      <c r="K193" s="1005">
        <f t="shared" si="107"/>
        <v>0</v>
      </c>
      <c r="L193" s="1005">
        <f t="shared" si="107"/>
        <v>0</v>
      </c>
      <c r="M193" s="1005">
        <f t="shared" si="107"/>
        <v>0</v>
      </c>
      <c r="N193" s="1005">
        <f t="shared" si="107"/>
        <v>0</v>
      </c>
      <c r="O193" s="1005">
        <f t="shared" si="107"/>
        <v>0</v>
      </c>
      <c r="P193" s="1005">
        <f t="shared" si="107"/>
        <v>0</v>
      </c>
      <c r="Q193" s="1005">
        <f t="shared" si="107"/>
        <v>0</v>
      </c>
      <c r="R193" s="1005">
        <f t="shared" si="107"/>
        <v>0</v>
      </c>
      <c r="S193" s="1005">
        <f t="shared" si="107"/>
        <v>0</v>
      </c>
      <c r="T193" s="1005">
        <f t="shared" si="107"/>
        <v>0</v>
      </c>
      <c r="U193" s="1075">
        <f t="shared" si="108"/>
        <v>0</v>
      </c>
      <c r="X193" s="301"/>
      <c r="Y193" s="5044"/>
      <c r="Z193" s="985">
        <f t="shared" si="102"/>
        <v>0</v>
      </c>
      <c r="AA193" s="985">
        <f>IF(Y193=0,0,VLOOKUP(Y193,Precios!$B$216:$D$307,3,FALSE))</f>
        <v>0</v>
      </c>
      <c r="AB193" s="986"/>
      <c r="AC193" s="1064">
        <f>IF(Y193=0,0,VLOOKUP(Y193,Precios!$B$216:$D$307,2,FALSE))</f>
        <v>0</v>
      </c>
      <c r="AD193" s="1067">
        <f>AB193*AC193</f>
        <v>0</v>
      </c>
      <c r="AE193" s="309"/>
      <c r="AF193" s="1074">
        <f t="shared" si="103"/>
        <v>0</v>
      </c>
      <c r="AG193" s="1005">
        <f t="shared" si="103"/>
        <v>0</v>
      </c>
      <c r="AH193" s="1005">
        <f t="shared" si="103"/>
        <v>0</v>
      </c>
      <c r="AI193" s="1005">
        <f t="shared" si="103"/>
        <v>0</v>
      </c>
      <c r="AJ193" s="1005">
        <f t="shared" si="103"/>
        <v>0</v>
      </c>
      <c r="AK193" s="1005">
        <f t="shared" si="103"/>
        <v>0</v>
      </c>
      <c r="AL193" s="1005">
        <f t="shared" si="103"/>
        <v>0</v>
      </c>
      <c r="AM193" s="1005">
        <f t="shared" si="103"/>
        <v>0</v>
      </c>
      <c r="AN193" s="1005">
        <f t="shared" si="103"/>
        <v>0</v>
      </c>
      <c r="AO193" s="1005">
        <f t="shared" si="103"/>
        <v>0</v>
      </c>
      <c r="AP193" s="1005">
        <f t="shared" si="103"/>
        <v>0</v>
      </c>
      <c r="AQ193" s="1005">
        <f t="shared" si="103"/>
        <v>0</v>
      </c>
      <c r="AR193" s="1075">
        <f t="shared" si="104"/>
        <v>0</v>
      </c>
    </row>
    <row r="194" spans="1:47" x14ac:dyDescent="0.3">
      <c r="A194" s="205"/>
      <c r="B194" s="5046"/>
      <c r="C194" s="1057">
        <f t="shared" si="94"/>
        <v>0</v>
      </c>
      <c r="D194" s="1057">
        <f>IF(B194=0,0,VLOOKUP(B194,Precios!$B$216:$D$307,3,FALSE))</f>
        <v>0</v>
      </c>
      <c r="E194" s="5050"/>
      <c r="F194" s="1065">
        <f>IF(B194=0,0,VLOOKUP(B194,Precios!$B$216:$D$307,2,FALSE))</f>
        <v>0</v>
      </c>
      <c r="G194" s="1068">
        <f>E194*F194</f>
        <v>0</v>
      </c>
      <c r="H194" s="309"/>
      <c r="I194" s="1079">
        <f t="shared" si="107"/>
        <v>0</v>
      </c>
      <c r="J194" s="1047">
        <f t="shared" si="107"/>
        <v>0</v>
      </c>
      <c r="K194" s="1047">
        <f t="shared" si="107"/>
        <v>0</v>
      </c>
      <c r="L194" s="1047">
        <f t="shared" si="107"/>
        <v>0</v>
      </c>
      <c r="M194" s="1047">
        <f t="shared" si="107"/>
        <v>0</v>
      </c>
      <c r="N194" s="1047">
        <f t="shared" si="107"/>
        <v>0</v>
      </c>
      <c r="O194" s="1047">
        <f t="shared" si="107"/>
        <v>0</v>
      </c>
      <c r="P194" s="1047">
        <f t="shared" si="107"/>
        <v>0</v>
      </c>
      <c r="Q194" s="1047">
        <f t="shared" si="107"/>
        <v>0</v>
      </c>
      <c r="R194" s="1047">
        <f t="shared" si="107"/>
        <v>0</v>
      </c>
      <c r="S194" s="1047">
        <f t="shared" si="107"/>
        <v>0</v>
      </c>
      <c r="T194" s="1047">
        <f t="shared" si="107"/>
        <v>0</v>
      </c>
      <c r="U194" s="1080">
        <f t="shared" si="108"/>
        <v>0</v>
      </c>
      <c r="X194" s="301"/>
      <c r="Y194" s="5046"/>
      <c r="Z194" s="1057">
        <f t="shared" si="102"/>
        <v>0</v>
      </c>
      <c r="AA194" s="1057">
        <f>IF(Y194=0,0,VLOOKUP(Y194,Precios!$B$216:$D$307,3,FALSE))</f>
        <v>0</v>
      </c>
      <c r="AB194" s="1060"/>
      <c r="AC194" s="1065">
        <f>IF(Y194=0,0,VLOOKUP(Y194,Precios!$B$216:$D$307,2,FALSE))</f>
        <v>0</v>
      </c>
      <c r="AD194" s="1068">
        <f>AB194*AC194</f>
        <v>0</v>
      </c>
      <c r="AE194" s="309"/>
      <c r="AF194" s="1079">
        <f t="shared" si="103"/>
        <v>0</v>
      </c>
      <c r="AG194" s="1047">
        <f t="shared" si="103"/>
        <v>0</v>
      </c>
      <c r="AH194" s="1047">
        <f t="shared" si="103"/>
        <v>0</v>
      </c>
      <c r="AI194" s="1047">
        <f t="shared" si="103"/>
        <v>0</v>
      </c>
      <c r="AJ194" s="1047">
        <f t="shared" si="103"/>
        <v>0</v>
      </c>
      <c r="AK194" s="1047">
        <f t="shared" si="103"/>
        <v>0</v>
      </c>
      <c r="AL194" s="1047">
        <f t="shared" si="103"/>
        <v>0</v>
      </c>
      <c r="AM194" s="1047">
        <f t="shared" si="103"/>
        <v>0</v>
      </c>
      <c r="AN194" s="1047">
        <f t="shared" si="103"/>
        <v>0</v>
      </c>
      <c r="AO194" s="1047">
        <f t="shared" si="103"/>
        <v>0</v>
      </c>
      <c r="AP194" s="1047">
        <f t="shared" si="103"/>
        <v>0</v>
      </c>
      <c r="AQ194" s="1047">
        <f t="shared" si="103"/>
        <v>0</v>
      </c>
      <c r="AR194" s="1080">
        <f t="shared" si="104"/>
        <v>0</v>
      </c>
    </row>
    <row r="195" spans="1:47" x14ac:dyDescent="0.3">
      <c r="A195" s="205"/>
      <c r="B195" s="647" t="s">
        <v>1086</v>
      </c>
      <c r="C195" s="305"/>
      <c r="D195" s="305"/>
      <c r="E195" s="305"/>
      <c r="F195" s="650"/>
      <c r="G195" s="305"/>
      <c r="H195" s="306"/>
      <c r="I195" s="906">
        <f t="shared" ref="I195:T195" si="109">SUM(I192:I194)</f>
        <v>0</v>
      </c>
      <c r="J195" s="906">
        <f t="shared" si="109"/>
        <v>0</v>
      </c>
      <c r="K195" s="906">
        <f t="shared" si="109"/>
        <v>0</v>
      </c>
      <c r="L195" s="906">
        <f t="shared" si="109"/>
        <v>0</v>
      </c>
      <c r="M195" s="906">
        <f t="shared" si="109"/>
        <v>0</v>
      </c>
      <c r="N195" s="906">
        <f t="shared" si="109"/>
        <v>0</v>
      </c>
      <c r="O195" s="906">
        <f t="shared" si="109"/>
        <v>0</v>
      </c>
      <c r="P195" s="906">
        <f t="shared" si="109"/>
        <v>0</v>
      </c>
      <c r="Q195" s="906">
        <f t="shared" si="109"/>
        <v>0</v>
      </c>
      <c r="R195" s="906">
        <f t="shared" si="109"/>
        <v>0</v>
      </c>
      <c r="S195" s="906">
        <f t="shared" si="109"/>
        <v>0</v>
      </c>
      <c r="T195" s="907">
        <f t="shared" si="109"/>
        <v>0</v>
      </c>
      <c r="U195" s="905">
        <f>SUM(I195:T195)</f>
        <v>0</v>
      </c>
      <c r="W195" s="232" t="str">
        <f>B191&amp;B164</f>
        <v>Fertilizantes 0</v>
      </c>
      <c r="X195" s="301"/>
      <c r="Y195" s="647" t="s">
        <v>1086</v>
      </c>
      <c r="Z195" s="305"/>
      <c r="AA195" s="305"/>
      <c r="AB195" s="305"/>
      <c r="AC195" s="650"/>
      <c r="AD195" s="305"/>
      <c r="AE195" s="306"/>
      <c r="AF195" s="906">
        <f t="shared" ref="AF195:AQ195" si="110">SUM(AF192:AF194)</f>
        <v>0</v>
      </c>
      <c r="AG195" s="906">
        <f t="shared" si="110"/>
        <v>0</v>
      </c>
      <c r="AH195" s="906">
        <f t="shared" si="110"/>
        <v>0</v>
      </c>
      <c r="AI195" s="906">
        <f t="shared" si="110"/>
        <v>0</v>
      </c>
      <c r="AJ195" s="906">
        <f t="shared" si="110"/>
        <v>0</v>
      </c>
      <c r="AK195" s="906">
        <f t="shared" si="110"/>
        <v>0</v>
      </c>
      <c r="AL195" s="906">
        <f t="shared" si="110"/>
        <v>0</v>
      </c>
      <c r="AM195" s="906">
        <f t="shared" si="110"/>
        <v>0</v>
      </c>
      <c r="AN195" s="906">
        <f t="shared" si="110"/>
        <v>0</v>
      </c>
      <c r="AO195" s="906">
        <f t="shared" si="110"/>
        <v>0</v>
      </c>
      <c r="AP195" s="906">
        <f t="shared" si="110"/>
        <v>0</v>
      </c>
      <c r="AQ195" s="907">
        <f t="shared" si="110"/>
        <v>0</v>
      </c>
      <c r="AR195" s="905">
        <f>SUM(AF195:AQ195)</f>
        <v>0</v>
      </c>
      <c r="AT195" s="232" t="str">
        <f>Y191&amp;Y164</f>
        <v>Fertilizantes 0</v>
      </c>
    </row>
    <row r="196" spans="1:47" x14ac:dyDescent="0.2">
      <c r="A196" s="205"/>
      <c r="B196" s="197" t="s">
        <v>340</v>
      </c>
      <c r="C196" s="307"/>
      <c r="D196" s="307"/>
      <c r="E196" s="308"/>
      <c r="F196" s="651"/>
      <c r="G196" s="308"/>
      <c r="H196" s="307"/>
      <c r="I196" s="307"/>
      <c r="J196" s="307"/>
      <c r="K196" s="307"/>
      <c r="L196" s="307"/>
      <c r="M196" s="307"/>
      <c r="N196" s="307"/>
      <c r="O196" s="307"/>
      <c r="P196" s="307"/>
      <c r="Q196" s="307"/>
      <c r="R196" s="307"/>
      <c r="S196" s="307"/>
      <c r="T196" s="307"/>
      <c r="U196" s="646"/>
      <c r="X196" s="301"/>
      <c r="Y196" s="197" t="s">
        <v>340</v>
      </c>
      <c r="Z196" s="307"/>
      <c r="AA196" s="307"/>
      <c r="AB196" s="308"/>
      <c r="AC196" s="651"/>
      <c r="AD196" s="308"/>
      <c r="AE196" s="307"/>
      <c r="AF196" s="307"/>
      <c r="AG196" s="307"/>
      <c r="AH196" s="307"/>
      <c r="AI196" s="307"/>
      <c r="AJ196" s="307"/>
      <c r="AK196" s="307"/>
      <c r="AL196" s="307"/>
      <c r="AM196" s="307"/>
      <c r="AN196" s="307"/>
      <c r="AO196" s="307"/>
      <c r="AP196" s="307"/>
      <c r="AQ196" s="307"/>
      <c r="AR196" s="646"/>
    </row>
    <row r="197" spans="1:47" ht="15.05" thickBot="1" x14ac:dyDescent="0.35">
      <c r="A197" s="205"/>
      <c r="B197" s="5042"/>
      <c r="C197" s="1056">
        <f t="shared" si="94"/>
        <v>0</v>
      </c>
      <c r="D197" s="1056">
        <f>IF(B197=0,0,VLOOKUP(B197,Precios!$B$216:$D$307,3,FALSE))</f>
        <v>0</v>
      </c>
      <c r="E197" s="5048"/>
      <c r="F197" s="1062">
        <f>IF(B197=0,0,VLOOKUP(B197,Precios!$B$216:$D$307,2,FALSE))</f>
        <v>0</v>
      </c>
      <c r="G197" s="1066">
        <f>E197*F197</f>
        <v>0</v>
      </c>
      <c r="H197" s="309"/>
      <c r="I197" s="1072">
        <f t="shared" ref="I197:T199" si="111">IF($C197&gt;0,I$165*$E197,0)</f>
        <v>0</v>
      </c>
      <c r="J197" s="1033">
        <f t="shared" si="111"/>
        <v>0</v>
      </c>
      <c r="K197" s="1033">
        <f t="shared" si="111"/>
        <v>0</v>
      </c>
      <c r="L197" s="1033">
        <f t="shared" si="111"/>
        <v>0</v>
      </c>
      <c r="M197" s="1033">
        <f t="shared" si="111"/>
        <v>0</v>
      </c>
      <c r="N197" s="1033">
        <f t="shared" si="111"/>
        <v>0</v>
      </c>
      <c r="O197" s="1033">
        <f t="shared" si="111"/>
        <v>0</v>
      </c>
      <c r="P197" s="1033">
        <f t="shared" si="111"/>
        <v>0</v>
      </c>
      <c r="Q197" s="1033">
        <f t="shared" si="111"/>
        <v>0</v>
      </c>
      <c r="R197" s="1033">
        <f t="shared" si="111"/>
        <v>0</v>
      </c>
      <c r="S197" s="1033">
        <f t="shared" si="111"/>
        <v>0</v>
      </c>
      <c r="T197" s="1033">
        <f t="shared" si="111"/>
        <v>0</v>
      </c>
      <c r="U197" s="1073">
        <f t="shared" si="108"/>
        <v>0</v>
      </c>
      <c r="X197" s="301"/>
      <c r="Y197" s="5042"/>
      <c r="Z197" s="1056">
        <f t="shared" si="102"/>
        <v>0</v>
      </c>
      <c r="AA197" s="1056">
        <f>IF(Y197=0,0,VLOOKUP(Y197,Precios!$B$216:$D$307,3,FALSE))</f>
        <v>0</v>
      </c>
      <c r="AB197" s="1058"/>
      <c r="AC197" s="1062">
        <f>IF(Y197=0,0,VLOOKUP(Y197,Precios!$B$216:$D$307,2,FALSE))</f>
        <v>0</v>
      </c>
      <c r="AD197" s="1066">
        <f>AB197*AC197</f>
        <v>0</v>
      </c>
      <c r="AE197" s="309"/>
      <c r="AF197" s="1072">
        <f t="shared" si="103"/>
        <v>0</v>
      </c>
      <c r="AG197" s="1033">
        <f t="shared" si="103"/>
        <v>0</v>
      </c>
      <c r="AH197" s="1033">
        <f t="shared" si="103"/>
        <v>0</v>
      </c>
      <c r="AI197" s="1033">
        <f t="shared" si="103"/>
        <v>0</v>
      </c>
      <c r="AJ197" s="1033">
        <f t="shared" si="103"/>
        <v>0</v>
      </c>
      <c r="AK197" s="1033">
        <f t="shared" si="103"/>
        <v>0</v>
      </c>
      <c r="AL197" s="1033">
        <f t="shared" si="103"/>
        <v>0</v>
      </c>
      <c r="AM197" s="1033">
        <f t="shared" si="103"/>
        <v>0</v>
      </c>
      <c r="AN197" s="1033">
        <f t="shared" si="103"/>
        <v>0</v>
      </c>
      <c r="AO197" s="1033">
        <f t="shared" si="103"/>
        <v>0</v>
      </c>
      <c r="AP197" s="1033">
        <f t="shared" si="103"/>
        <v>0</v>
      </c>
      <c r="AQ197" s="1033">
        <f t="shared" si="103"/>
        <v>0</v>
      </c>
      <c r="AR197" s="1073">
        <f t="shared" si="104"/>
        <v>0</v>
      </c>
    </row>
    <row r="198" spans="1:47" ht="15.05" thickBot="1" x14ac:dyDescent="0.35">
      <c r="A198" s="205"/>
      <c r="B198" s="5044"/>
      <c r="C198" s="985">
        <f t="shared" si="94"/>
        <v>0</v>
      </c>
      <c r="D198" s="985">
        <f>IF(B198=0,0,VLOOKUP(B198,Precios!$B$216:$D$307,3,FALSE))</f>
        <v>0</v>
      </c>
      <c r="E198" s="5049"/>
      <c r="F198" s="1059">
        <f>IF(B198=0,0,VLOOKUP(B198,Precios!$B$216:$D$307,2,FALSE))</f>
        <v>0</v>
      </c>
      <c r="G198" s="1067">
        <f>E198*F198</f>
        <v>0</v>
      </c>
      <c r="H198" s="309"/>
      <c r="I198" s="1074">
        <f t="shared" si="111"/>
        <v>0</v>
      </c>
      <c r="J198" s="1005">
        <f t="shared" si="111"/>
        <v>0</v>
      </c>
      <c r="K198" s="1005">
        <f t="shared" si="111"/>
        <v>0</v>
      </c>
      <c r="L198" s="1005">
        <f t="shared" si="111"/>
        <v>0</v>
      </c>
      <c r="M198" s="1005">
        <f t="shared" si="111"/>
        <v>0</v>
      </c>
      <c r="N198" s="1005">
        <f t="shared" si="111"/>
        <v>0</v>
      </c>
      <c r="O198" s="1005">
        <f t="shared" si="111"/>
        <v>0</v>
      </c>
      <c r="P198" s="1005">
        <f t="shared" si="111"/>
        <v>0</v>
      </c>
      <c r="Q198" s="1005">
        <f t="shared" si="111"/>
        <v>0</v>
      </c>
      <c r="R198" s="1005">
        <f t="shared" si="111"/>
        <v>0</v>
      </c>
      <c r="S198" s="1005">
        <f t="shared" si="111"/>
        <v>0</v>
      </c>
      <c r="T198" s="1005">
        <f t="shared" si="111"/>
        <v>0</v>
      </c>
      <c r="U198" s="1075">
        <f t="shared" si="108"/>
        <v>0</v>
      </c>
      <c r="X198" s="301"/>
      <c r="Y198" s="5044"/>
      <c r="Z198" s="985">
        <f t="shared" si="102"/>
        <v>0</v>
      </c>
      <c r="AA198" s="985">
        <f>IF(Y198=0,0,VLOOKUP(Y198,Precios!$B$216:$D$307,3,FALSE))</f>
        <v>0</v>
      </c>
      <c r="AB198" s="986"/>
      <c r="AC198" s="1059">
        <f>IF(Y198=0,0,VLOOKUP(Y198,Precios!$B$216:$D$307,2,FALSE))</f>
        <v>0</v>
      </c>
      <c r="AD198" s="1067">
        <f>AB198*AC198</f>
        <v>0</v>
      </c>
      <c r="AE198" s="309"/>
      <c r="AF198" s="1074">
        <f t="shared" si="103"/>
        <v>0</v>
      </c>
      <c r="AG198" s="1005">
        <f t="shared" si="103"/>
        <v>0</v>
      </c>
      <c r="AH198" s="1005">
        <f t="shared" si="103"/>
        <v>0</v>
      </c>
      <c r="AI198" s="1005">
        <f t="shared" si="103"/>
        <v>0</v>
      </c>
      <c r="AJ198" s="1005">
        <f t="shared" si="103"/>
        <v>0</v>
      </c>
      <c r="AK198" s="1005">
        <f t="shared" si="103"/>
        <v>0</v>
      </c>
      <c r="AL198" s="1005">
        <f t="shared" si="103"/>
        <v>0</v>
      </c>
      <c r="AM198" s="1005">
        <f t="shared" si="103"/>
        <v>0</v>
      </c>
      <c r="AN198" s="1005">
        <f t="shared" si="103"/>
        <v>0</v>
      </c>
      <c r="AO198" s="1005">
        <f t="shared" si="103"/>
        <v>0</v>
      </c>
      <c r="AP198" s="1005">
        <f t="shared" si="103"/>
        <v>0</v>
      </c>
      <c r="AQ198" s="1005">
        <f t="shared" si="103"/>
        <v>0</v>
      </c>
      <c r="AR198" s="1075">
        <f t="shared" si="104"/>
        <v>0</v>
      </c>
    </row>
    <row r="199" spans="1:47" x14ac:dyDescent="0.3">
      <c r="A199" s="205"/>
      <c r="B199" s="5046"/>
      <c r="C199" s="1057">
        <f t="shared" si="94"/>
        <v>0</v>
      </c>
      <c r="D199" s="1057">
        <f>IF(B199=0,0,VLOOKUP(B199,Precios!$B$216:$D$307,3,FALSE))</f>
        <v>0</v>
      </c>
      <c r="E199" s="5050"/>
      <c r="F199" s="1061">
        <f>IF(B199=0,0,VLOOKUP(B199,Precios!$B$216:$D$307,2,FALSE))</f>
        <v>0</v>
      </c>
      <c r="G199" s="1068">
        <f>E199*F199</f>
        <v>0</v>
      </c>
      <c r="H199" s="309"/>
      <c r="I199" s="1079">
        <f t="shared" si="111"/>
        <v>0</v>
      </c>
      <c r="J199" s="1047">
        <f t="shared" si="111"/>
        <v>0</v>
      </c>
      <c r="K199" s="1047">
        <f t="shared" si="111"/>
        <v>0</v>
      </c>
      <c r="L199" s="1047">
        <f t="shared" si="111"/>
        <v>0</v>
      </c>
      <c r="M199" s="1047">
        <f t="shared" si="111"/>
        <v>0</v>
      </c>
      <c r="N199" s="1047">
        <f t="shared" si="111"/>
        <v>0</v>
      </c>
      <c r="O199" s="1047">
        <f t="shared" si="111"/>
        <v>0</v>
      </c>
      <c r="P199" s="1047">
        <f t="shared" si="111"/>
        <v>0</v>
      </c>
      <c r="Q199" s="1047">
        <f t="shared" si="111"/>
        <v>0</v>
      </c>
      <c r="R199" s="1047">
        <f t="shared" si="111"/>
        <v>0</v>
      </c>
      <c r="S199" s="1047">
        <f t="shared" si="111"/>
        <v>0</v>
      </c>
      <c r="T199" s="1047">
        <f t="shared" si="111"/>
        <v>0</v>
      </c>
      <c r="U199" s="1080">
        <f t="shared" si="108"/>
        <v>0</v>
      </c>
      <c r="X199" s="301"/>
      <c r="Y199" s="5046"/>
      <c r="Z199" s="1057">
        <f t="shared" si="102"/>
        <v>0</v>
      </c>
      <c r="AA199" s="1057">
        <f>IF(Y199=0,0,VLOOKUP(Y199,Precios!$B$216:$D$307,3,FALSE))</f>
        <v>0</v>
      </c>
      <c r="AB199" s="1060"/>
      <c r="AC199" s="1061">
        <f>IF(Y199=0,0,VLOOKUP(Y199,Precios!$B$216:$D$307,2,FALSE))</f>
        <v>0</v>
      </c>
      <c r="AD199" s="1068">
        <f>AB199*AC199</f>
        <v>0</v>
      </c>
      <c r="AE199" s="309"/>
      <c r="AF199" s="1079">
        <f t="shared" si="103"/>
        <v>0</v>
      </c>
      <c r="AG199" s="1047">
        <f t="shared" si="103"/>
        <v>0</v>
      </c>
      <c r="AH199" s="1047">
        <f t="shared" si="103"/>
        <v>0</v>
      </c>
      <c r="AI199" s="1047">
        <f t="shared" si="103"/>
        <v>0</v>
      </c>
      <c r="AJ199" s="1047">
        <f t="shared" si="103"/>
        <v>0</v>
      </c>
      <c r="AK199" s="1047">
        <f t="shared" si="103"/>
        <v>0</v>
      </c>
      <c r="AL199" s="1047">
        <f t="shared" si="103"/>
        <v>0</v>
      </c>
      <c r="AM199" s="1047">
        <f t="shared" si="103"/>
        <v>0</v>
      </c>
      <c r="AN199" s="1047">
        <f t="shared" si="103"/>
        <v>0</v>
      </c>
      <c r="AO199" s="1047">
        <f t="shared" si="103"/>
        <v>0</v>
      </c>
      <c r="AP199" s="1047">
        <f t="shared" si="103"/>
        <v>0</v>
      </c>
      <c r="AQ199" s="1047">
        <f t="shared" si="103"/>
        <v>0</v>
      </c>
      <c r="AR199" s="1080">
        <f t="shared" si="104"/>
        <v>0</v>
      </c>
    </row>
    <row r="200" spans="1:47" ht="15.05" thickBot="1" x14ac:dyDescent="0.35">
      <c r="A200" s="205"/>
      <c r="B200" s="647" t="s">
        <v>1087</v>
      </c>
      <c r="C200" s="305"/>
      <c r="D200" s="305"/>
      <c r="E200" s="305"/>
      <c r="F200" s="650"/>
      <c r="G200" s="305"/>
      <c r="H200" s="306"/>
      <c r="I200" s="906">
        <f t="shared" ref="I200:T200" si="112">SUM(I197:I199)</f>
        <v>0</v>
      </c>
      <c r="J200" s="906">
        <f t="shared" si="112"/>
        <v>0</v>
      </c>
      <c r="K200" s="906">
        <f t="shared" si="112"/>
        <v>0</v>
      </c>
      <c r="L200" s="906">
        <f t="shared" si="112"/>
        <v>0</v>
      </c>
      <c r="M200" s="906">
        <f t="shared" si="112"/>
        <v>0</v>
      </c>
      <c r="N200" s="906">
        <f t="shared" si="112"/>
        <v>0</v>
      </c>
      <c r="O200" s="906">
        <f t="shared" si="112"/>
        <v>0</v>
      </c>
      <c r="P200" s="906">
        <f t="shared" si="112"/>
        <v>0</v>
      </c>
      <c r="Q200" s="906">
        <f t="shared" si="112"/>
        <v>0</v>
      </c>
      <c r="R200" s="906">
        <f t="shared" si="112"/>
        <v>0</v>
      </c>
      <c r="S200" s="906">
        <f t="shared" si="112"/>
        <v>0</v>
      </c>
      <c r="T200" s="907">
        <f t="shared" si="112"/>
        <v>0</v>
      </c>
      <c r="U200" s="905">
        <f t="shared" si="108"/>
        <v>0</v>
      </c>
      <c r="W200" s="232" t="str">
        <f>B196&amp;B164</f>
        <v>Agroquímicos 0</v>
      </c>
      <c r="X200" s="301"/>
      <c r="Y200" s="647" t="s">
        <v>1087</v>
      </c>
      <c r="Z200" s="305"/>
      <c r="AA200" s="305"/>
      <c r="AB200" s="305"/>
      <c r="AC200" s="650"/>
      <c r="AD200" s="305"/>
      <c r="AE200" s="306"/>
      <c r="AF200" s="906">
        <f t="shared" ref="AF200:AQ200" si="113">SUM(AF197:AF199)</f>
        <v>0</v>
      </c>
      <c r="AG200" s="906">
        <f t="shared" si="113"/>
        <v>0</v>
      </c>
      <c r="AH200" s="906">
        <f t="shared" si="113"/>
        <v>0</v>
      </c>
      <c r="AI200" s="906">
        <f t="shared" si="113"/>
        <v>0</v>
      </c>
      <c r="AJ200" s="906">
        <f t="shared" si="113"/>
        <v>0</v>
      </c>
      <c r="AK200" s="906">
        <f t="shared" si="113"/>
        <v>0</v>
      </c>
      <c r="AL200" s="906">
        <f t="shared" si="113"/>
        <v>0</v>
      </c>
      <c r="AM200" s="906">
        <f t="shared" si="113"/>
        <v>0</v>
      </c>
      <c r="AN200" s="906">
        <f t="shared" si="113"/>
        <v>0</v>
      </c>
      <c r="AO200" s="906">
        <f t="shared" si="113"/>
        <v>0</v>
      </c>
      <c r="AP200" s="906">
        <f t="shared" si="113"/>
        <v>0</v>
      </c>
      <c r="AQ200" s="907">
        <f t="shared" si="113"/>
        <v>0</v>
      </c>
      <c r="AR200" s="905">
        <f t="shared" si="104"/>
        <v>0</v>
      </c>
      <c r="AT200" s="232" t="str">
        <f>Y196&amp;Y164</f>
        <v>Agroquímicos 0</v>
      </c>
    </row>
    <row r="201" spans="1:47" ht="15.05" thickBot="1" x14ac:dyDescent="0.25">
      <c r="A201" s="205"/>
      <c r="B201" s="648" t="s">
        <v>892</v>
      </c>
      <c r="C201" s="909">
        <f>+C163</f>
        <v>0</v>
      </c>
      <c r="D201" s="909"/>
      <c r="E201" s="312" t="s">
        <v>623</v>
      </c>
      <c r="F201" s="313"/>
      <c r="G201" s="289"/>
      <c r="H201" s="312"/>
      <c r="I201" s="314">
        <f>SUMPRODUCT($F168:$F199,I168:I199)</f>
        <v>0</v>
      </c>
      <c r="J201" s="314">
        <f t="shared" ref="J201:T201" si="114">SUMPRODUCT($F168:$F199,J168:J199)</f>
        <v>0</v>
      </c>
      <c r="K201" s="314">
        <f t="shared" si="114"/>
        <v>0</v>
      </c>
      <c r="L201" s="314">
        <f t="shared" si="114"/>
        <v>0</v>
      </c>
      <c r="M201" s="314">
        <f t="shared" si="114"/>
        <v>0</v>
      </c>
      <c r="N201" s="314">
        <f t="shared" si="114"/>
        <v>0</v>
      </c>
      <c r="O201" s="314">
        <f t="shared" si="114"/>
        <v>0</v>
      </c>
      <c r="P201" s="314">
        <f t="shared" si="114"/>
        <v>0</v>
      </c>
      <c r="Q201" s="314">
        <f t="shared" si="114"/>
        <v>0</v>
      </c>
      <c r="R201" s="314">
        <f t="shared" si="114"/>
        <v>0</v>
      </c>
      <c r="S201" s="314">
        <f t="shared" si="114"/>
        <v>0</v>
      </c>
      <c r="T201" s="314">
        <f t="shared" si="114"/>
        <v>0</v>
      </c>
      <c r="U201" s="908">
        <f>SUM(I201:T201)</f>
        <v>0</v>
      </c>
      <c r="X201" s="301"/>
      <c r="Y201" s="648" t="s">
        <v>892</v>
      </c>
      <c r="Z201" s="909">
        <f>+Z163</f>
        <v>0</v>
      </c>
      <c r="AA201" s="909"/>
      <c r="AB201" s="312" t="s">
        <v>876</v>
      </c>
      <c r="AC201" s="313"/>
      <c r="AD201" s="289"/>
      <c r="AE201" s="312"/>
      <c r="AF201" s="314">
        <f t="shared" ref="AF201:AQ201" si="115">SUMPRODUCT($AC168:$AC199,AF168:AF199)</f>
        <v>0</v>
      </c>
      <c r="AG201" s="314">
        <f t="shared" si="115"/>
        <v>0</v>
      </c>
      <c r="AH201" s="314">
        <f t="shared" si="115"/>
        <v>0</v>
      </c>
      <c r="AI201" s="314">
        <f t="shared" si="115"/>
        <v>0</v>
      </c>
      <c r="AJ201" s="314">
        <f t="shared" si="115"/>
        <v>0</v>
      </c>
      <c r="AK201" s="314">
        <f t="shared" si="115"/>
        <v>0</v>
      </c>
      <c r="AL201" s="314">
        <f t="shared" si="115"/>
        <v>0</v>
      </c>
      <c r="AM201" s="314">
        <f t="shared" si="115"/>
        <v>0</v>
      </c>
      <c r="AN201" s="314">
        <f t="shared" si="115"/>
        <v>0</v>
      </c>
      <c r="AO201" s="314">
        <f t="shared" si="115"/>
        <v>0</v>
      </c>
      <c r="AP201" s="314">
        <f t="shared" si="115"/>
        <v>0</v>
      </c>
      <c r="AQ201" s="314">
        <f t="shared" si="115"/>
        <v>0</v>
      </c>
      <c r="AR201" s="908">
        <f>SUM(AF201:AQ201)</f>
        <v>0</v>
      </c>
    </row>
    <row r="202" spans="1:47" x14ac:dyDescent="0.2">
      <c r="A202" s="205"/>
      <c r="B202" s="208"/>
      <c r="C202" s="177"/>
      <c r="D202" s="177"/>
      <c r="E202" s="177"/>
      <c r="F202" s="315"/>
      <c r="G202" s="316"/>
      <c r="H202" s="177"/>
      <c r="I202" s="177"/>
      <c r="J202" s="177"/>
      <c r="K202" s="177"/>
      <c r="L202" s="177"/>
      <c r="M202" s="177"/>
      <c r="N202" s="177"/>
      <c r="O202" s="177"/>
      <c r="P202" s="177"/>
      <c r="Q202" s="177"/>
      <c r="R202" s="177"/>
      <c r="S202" s="177"/>
      <c r="T202" s="177"/>
      <c r="U202" s="317"/>
      <c r="X202" s="205"/>
      <c r="Y202" s="208"/>
      <c r="Z202" s="177"/>
      <c r="AA202" s="177"/>
      <c r="AB202" s="177"/>
      <c r="AC202" s="316"/>
      <c r="AD202" s="316"/>
      <c r="AE202" s="177"/>
      <c r="AF202" s="177"/>
      <c r="AG202" s="177"/>
      <c r="AH202" s="177"/>
      <c r="AI202" s="177"/>
      <c r="AJ202" s="177"/>
      <c r="AK202" s="177"/>
      <c r="AL202" s="177"/>
      <c r="AM202" s="177"/>
      <c r="AN202" s="177"/>
      <c r="AO202" s="177"/>
      <c r="AP202" s="177"/>
      <c r="AQ202" s="177"/>
      <c r="AR202" s="317"/>
    </row>
    <row r="203" spans="1:47" ht="15.05" thickBot="1" x14ac:dyDescent="0.25">
      <c r="A203" s="205"/>
      <c r="B203" s="208"/>
      <c r="C203" s="177"/>
      <c r="D203" s="177"/>
      <c r="E203" s="177"/>
      <c r="F203" s="315"/>
      <c r="G203" s="316"/>
      <c r="H203" s="177"/>
      <c r="I203" s="177"/>
      <c r="J203" s="177"/>
      <c r="K203" s="177"/>
      <c r="L203" s="177"/>
      <c r="M203" s="177"/>
      <c r="N203" s="177"/>
      <c r="O203" s="177"/>
      <c r="P203" s="177"/>
      <c r="Q203" s="177"/>
      <c r="R203" s="177"/>
      <c r="S203" s="177"/>
      <c r="T203" s="177"/>
      <c r="U203" s="317"/>
      <c r="X203" s="205"/>
      <c r="Y203" s="208"/>
      <c r="Z203" s="177"/>
      <c r="AA203" s="177"/>
      <c r="AB203" s="177"/>
      <c r="AC203" s="316"/>
      <c r="AD203" s="316"/>
      <c r="AE203" s="177"/>
      <c r="AF203" s="177"/>
      <c r="AG203" s="177"/>
      <c r="AH203" s="177"/>
      <c r="AI203" s="177"/>
      <c r="AJ203" s="177"/>
      <c r="AK203" s="177"/>
      <c r="AL203" s="177"/>
      <c r="AM203" s="177"/>
      <c r="AN203" s="177"/>
      <c r="AO203" s="177"/>
      <c r="AP203" s="177"/>
      <c r="AQ203" s="177"/>
      <c r="AR203" s="317"/>
    </row>
    <row r="204" spans="1:47" s="254" customFormat="1" ht="15.05" thickBot="1" x14ac:dyDescent="0.25">
      <c r="A204" s="1344">
        <f>+A163+1</f>
        <v>46</v>
      </c>
      <c r="B204" s="635" t="s">
        <v>878</v>
      </c>
      <c r="C204" s="898">
        <f>UsoSuelo!D142</f>
        <v>0</v>
      </c>
      <c r="D204" s="898"/>
      <c r="E204" s="636"/>
      <c r="F204" s="637"/>
      <c r="G204" s="637"/>
      <c r="H204" s="637"/>
      <c r="I204" s="637"/>
      <c r="J204" s="637"/>
      <c r="K204" s="637"/>
      <c r="L204" s="637"/>
      <c r="M204" s="637"/>
      <c r="N204" s="637"/>
      <c r="O204" s="637"/>
      <c r="P204" s="637"/>
      <c r="Q204" s="637"/>
      <c r="R204" s="637"/>
      <c r="S204" s="637"/>
      <c r="T204" s="637"/>
      <c r="U204" s="638"/>
      <c r="V204" s="1569"/>
      <c r="W204" s="1569"/>
      <c r="X204" s="1344">
        <f>+X163+1</f>
        <v>58</v>
      </c>
      <c r="Y204" s="635" t="s">
        <v>878</v>
      </c>
      <c r="Z204" s="898">
        <f>+UsoSuelo!D159</f>
        <v>0</v>
      </c>
      <c r="AA204" s="898"/>
      <c r="AB204" s="636"/>
      <c r="AC204" s="637"/>
      <c r="AD204" s="637"/>
      <c r="AE204" s="637"/>
      <c r="AF204" s="637"/>
      <c r="AG204" s="637"/>
      <c r="AH204" s="637"/>
      <c r="AI204" s="637"/>
      <c r="AJ204" s="637"/>
      <c r="AK204" s="637"/>
      <c r="AL204" s="637"/>
      <c r="AM204" s="637"/>
      <c r="AN204" s="637"/>
      <c r="AO204" s="637"/>
      <c r="AP204" s="637"/>
      <c r="AQ204" s="637"/>
      <c r="AR204" s="638"/>
      <c r="AS204" s="1569"/>
      <c r="AT204" s="1569"/>
      <c r="AU204" s="1436"/>
    </row>
    <row r="205" spans="1:47" s="254" customFormat="1" x14ac:dyDescent="0.2">
      <c r="A205" s="1344" t="s">
        <v>1866</v>
      </c>
      <c r="B205" s="639">
        <f>+UsoSuelo!H142</f>
        <v>0</v>
      </c>
      <c r="C205" s="291"/>
      <c r="D205" s="291"/>
      <c r="E205" s="291"/>
      <c r="F205" s="291"/>
      <c r="G205" s="291" t="s">
        <v>883</v>
      </c>
      <c r="H205" s="292"/>
      <c r="I205" s="293" t="str">
        <f t="shared" ref="I205:T205" si="116">+I41</f>
        <v>Ene</v>
      </c>
      <c r="J205" s="293" t="str">
        <f t="shared" si="116"/>
        <v>Feb</v>
      </c>
      <c r="K205" s="293" t="str">
        <f t="shared" si="116"/>
        <v>Mar</v>
      </c>
      <c r="L205" s="293" t="str">
        <f t="shared" si="116"/>
        <v>Abr</v>
      </c>
      <c r="M205" s="293" t="str">
        <f t="shared" si="116"/>
        <v>May</v>
      </c>
      <c r="N205" s="293" t="str">
        <f t="shared" si="116"/>
        <v>Jun</v>
      </c>
      <c r="O205" s="293" t="str">
        <f t="shared" si="116"/>
        <v>Jul</v>
      </c>
      <c r="P205" s="293" t="str">
        <f t="shared" si="116"/>
        <v>Ago</v>
      </c>
      <c r="Q205" s="293" t="str">
        <f t="shared" si="116"/>
        <v>Set</v>
      </c>
      <c r="R205" s="293" t="str">
        <f t="shared" si="116"/>
        <v>Oct</v>
      </c>
      <c r="S205" s="293" t="str">
        <f t="shared" si="116"/>
        <v>Nov</v>
      </c>
      <c r="T205" s="294" t="str">
        <f t="shared" si="116"/>
        <v>Dic</v>
      </c>
      <c r="U205" s="640" t="s">
        <v>1106</v>
      </c>
      <c r="V205" s="1569"/>
      <c r="W205" s="1569"/>
      <c r="X205" s="1344" t="str">
        <f>+A205</f>
        <v>F</v>
      </c>
      <c r="Y205" s="639">
        <f>+UsoSuelo!H159</f>
        <v>0</v>
      </c>
      <c r="Z205" s="291"/>
      <c r="AA205" s="291"/>
      <c r="AB205" s="291"/>
      <c r="AC205" s="291"/>
      <c r="AD205" s="291" t="s">
        <v>883</v>
      </c>
      <c r="AE205" s="292"/>
      <c r="AF205" s="293" t="str">
        <f t="shared" ref="AF205:AQ205" si="117">+AF41</f>
        <v>Ene</v>
      </c>
      <c r="AG205" s="293" t="str">
        <f t="shared" si="117"/>
        <v>Feb</v>
      </c>
      <c r="AH205" s="293" t="str">
        <f t="shared" si="117"/>
        <v>Mar</v>
      </c>
      <c r="AI205" s="293" t="str">
        <f t="shared" si="117"/>
        <v>Abr</v>
      </c>
      <c r="AJ205" s="293" t="str">
        <f t="shared" si="117"/>
        <v>May</v>
      </c>
      <c r="AK205" s="293" t="str">
        <f t="shared" si="117"/>
        <v>Jun</v>
      </c>
      <c r="AL205" s="293" t="str">
        <f t="shared" si="117"/>
        <v>Jul</v>
      </c>
      <c r="AM205" s="293" t="str">
        <f t="shared" si="117"/>
        <v>Ago</v>
      </c>
      <c r="AN205" s="293" t="str">
        <f t="shared" si="117"/>
        <v>Set</v>
      </c>
      <c r="AO205" s="293" t="str">
        <f t="shared" si="117"/>
        <v>Oct</v>
      </c>
      <c r="AP205" s="293" t="str">
        <f t="shared" si="117"/>
        <v>Nov</v>
      </c>
      <c r="AQ205" s="294" t="str">
        <f t="shared" si="117"/>
        <v>Dic</v>
      </c>
      <c r="AR205" s="640" t="s">
        <v>1106</v>
      </c>
      <c r="AS205" s="1569"/>
      <c r="AT205" s="1569"/>
      <c r="AU205" s="1436"/>
    </row>
    <row r="206" spans="1:47" s="254" customFormat="1" x14ac:dyDescent="0.2">
      <c r="A206" s="205"/>
      <c r="B206" s="899" t="s">
        <v>884</v>
      </c>
      <c r="C206" s="900"/>
      <c r="D206" s="900"/>
      <c r="E206" s="900"/>
      <c r="F206" s="900"/>
      <c r="G206" s="900"/>
      <c r="H206" s="900"/>
      <c r="I206" s="901">
        <f>VLOOKUP($C204,UsoSuelo!$CQ$1127:$DC$1194,2,FALSE)</f>
        <v>0</v>
      </c>
      <c r="J206" s="901">
        <f>VLOOKUP($C204,UsoSuelo!$CQ$1127:$DC$1194,3,FALSE)</f>
        <v>0</v>
      </c>
      <c r="K206" s="901">
        <f>VLOOKUP($C204,UsoSuelo!$CQ$1127:$DC$1194,4,FALSE)</f>
        <v>0</v>
      </c>
      <c r="L206" s="901">
        <f>VLOOKUP($C204,UsoSuelo!$CQ$1127:$DC$1194,5,FALSE)</f>
        <v>0</v>
      </c>
      <c r="M206" s="901">
        <f>VLOOKUP($C204,UsoSuelo!$CQ$1127:$DC$1194,6,FALSE)</f>
        <v>0</v>
      </c>
      <c r="N206" s="901">
        <f>VLOOKUP($C204,UsoSuelo!$CQ$1127:$DC$1194,7,FALSE)</f>
        <v>0</v>
      </c>
      <c r="O206" s="901">
        <f>VLOOKUP($C204,UsoSuelo!$CQ$1127:$DC$1194,8,FALSE)</f>
        <v>0</v>
      </c>
      <c r="P206" s="901">
        <f>VLOOKUP($C204,UsoSuelo!$CQ$1127:$DC$1194,9,FALSE)</f>
        <v>0</v>
      </c>
      <c r="Q206" s="901">
        <f>VLOOKUP($C204,UsoSuelo!$CQ$1127:$DC$1194,10,FALSE)</f>
        <v>0</v>
      </c>
      <c r="R206" s="901">
        <f>VLOOKUP($C204,UsoSuelo!$CQ$1127:$DC$1194,11,FALSE)</f>
        <v>0</v>
      </c>
      <c r="S206" s="901">
        <f>VLOOKUP($C204,UsoSuelo!$CQ$1127:$DC$1194,12,FALSE)</f>
        <v>0</v>
      </c>
      <c r="T206" s="902">
        <f>VLOOKUP($C204,UsoSuelo!$CQ$1127:$DC$1194,13,FALSE)</f>
        <v>0</v>
      </c>
      <c r="U206" s="903">
        <f>SUM(I206:T206)</f>
        <v>0</v>
      </c>
      <c r="V206" s="1569"/>
      <c r="W206" s="1569"/>
      <c r="X206" s="16"/>
      <c r="Y206" s="899" t="s">
        <v>884</v>
      </c>
      <c r="Z206" s="900"/>
      <c r="AA206" s="900"/>
      <c r="AB206" s="900"/>
      <c r="AC206" s="900"/>
      <c r="AD206" s="900"/>
      <c r="AE206" s="900"/>
      <c r="AF206" s="901">
        <f>VLOOKUP($Z204,UsoSuelo!$DE$1054:$DQ$1120,2,FALSE)</f>
        <v>0</v>
      </c>
      <c r="AG206" s="901">
        <f>VLOOKUP($Z204,UsoSuelo!$DE$1054:$DQ$1120,3,FALSE)</f>
        <v>0</v>
      </c>
      <c r="AH206" s="901">
        <f>VLOOKUP($Z204,UsoSuelo!$DE$1054:$DQ$1120,4,FALSE)</f>
        <v>0</v>
      </c>
      <c r="AI206" s="901">
        <f>VLOOKUP($Z204,UsoSuelo!$DE$1054:$DQ$1120,5,FALSE)</f>
        <v>0</v>
      </c>
      <c r="AJ206" s="901">
        <f>VLOOKUP($Z204,UsoSuelo!$DE$1054:$DQ$1120,6,FALSE)</f>
        <v>0</v>
      </c>
      <c r="AK206" s="901">
        <f>VLOOKUP($Z204,UsoSuelo!$DE$1054:$DQ$1120,7,FALSE)</f>
        <v>0</v>
      </c>
      <c r="AL206" s="901">
        <f>VLOOKUP($Z204,UsoSuelo!$DE$1054:$DQ$1120,8,FALSE)</f>
        <v>0</v>
      </c>
      <c r="AM206" s="901">
        <f>VLOOKUP($Z204,UsoSuelo!$DE$1054:$DQ$1120,9,FALSE)</f>
        <v>0</v>
      </c>
      <c r="AN206" s="901">
        <f>VLOOKUP($Z204,UsoSuelo!$DE$1054:$DQ$1120,10,FALSE)</f>
        <v>0</v>
      </c>
      <c r="AO206" s="901">
        <f>VLOOKUP($Z204,UsoSuelo!$DE$1054:$DQ$1120,11,FALSE)</f>
        <v>0</v>
      </c>
      <c r="AP206" s="901">
        <f>VLOOKUP($Z204,UsoSuelo!$DE$1054:$DQ$1120,12,FALSE)</f>
        <v>0</v>
      </c>
      <c r="AQ206" s="902">
        <f>VLOOKUP($Z204,UsoSuelo!$DE$1054:$DQ$1120,13,FALSE)</f>
        <v>0</v>
      </c>
      <c r="AR206" s="903">
        <f>SUM(AF206:AQ206)</f>
        <v>0</v>
      </c>
      <c r="AS206" s="1569"/>
      <c r="AT206" s="1569"/>
      <c r="AU206" s="1436"/>
    </row>
    <row r="207" spans="1:47" x14ac:dyDescent="0.2">
      <c r="A207" s="205"/>
      <c r="B207" s="641"/>
      <c r="C207" s="621" t="s">
        <v>885</v>
      </c>
      <c r="D207" s="621"/>
      <c r="E207" s="621" t="s">
        <v>881</v>
      </c>
      <c r="F207" s="621" t="s">
        <v>23</v>
      </c>
      <c r="G207" s="622"/>
      <c r="H207" s="623"/>
      <c r="I207" s="297"/>
      <c r="J207" s="296"/>
      <c r="K207" s="296"/>
      <c r="L207" s="296"/>
      <c r="M207" s="296"/>
      <c r="N207" s="297"/>
      <c r="O207" s="297"/>
      <c r="P207" s="297"/>
      <c r="Q207" s="297"/>
      <c r="R207" s="297"/>
      <c r="S207" s="297"/>
      <c r="T207" s="297"/>
      <c r="U207" s="642" t="s">
        <v>881</v>
      </c>
      <c r="W207" s="1569"/>
      <c r="X207" s="16"/>
      <c r="Y207" s="641"/>
      <c r="Z207" s="621" t="s">
        <v>885</v>
      </c>
      <c r="AA207" s="621"/>
      <c r="AB207" s="621" t="s">
        <v>881</v>
      </c>
      <c r="AC207" s="621" t="s">
        <v>23</v>
      </c>
      <c r="AD207" s="622"/>
      <c r="AE207" s="623"/>
      <c r="AF207" s="297"/>
      <c r="AG207" s="296"/>
      <c r="AH207" s="296"/>
      <c r="AI207" s="296"/>
      <c r="AJ207" s="296"/>
      <c r="AK207" s="297"/>
      <c r="AL207" s="297"/>
      <c r="AM207" s="297"/>
      <c r="AN207" s="297"/>
      <c r="AO207" s="297"/>
      <c r="AP207" s="297"/>
      <c r="AQ207" s="297"/>
      <c r="AR207" s="642" t="s">
        <v>881</v>
      </c>
      <c r="AT207" s="1569"/>
    </row>
    <row r="208" spans="1:47" x14ac:dyDescent="0.2">
      <c r="A208" s="145"/>
      <c r="B208" s="199" t="s">
        <v>869</v>
      </c>
      <c r="C208" s="3" t="s">
        <v>1105</v>
      </c>
      <c r="D208" s="3" t="s">
        <v>312</v>
      </c>
      <c r="E208" s="4" t="s">
        <v>882</v>
      </c>
      <c r="F208" s="3" t="s">
        <v>314</v>
      </c>
      <c r="G208" s="4" t="s">
        <v>313</v>
      </c>
      <c r="H208" s="299"/>
      <c r="I208" s="320"/>
      <c r="J208" s="319"/>
      <c r="K208" s="319"/>
      <c r="L208" s="319"/>
      <c r="M208" s="319" t="s">
        <v>349</v>
      </c>
      <c r="N208" s="320"/>
      <c r="O208" s="320"/>
      <c r="P208" s="320"/>
      <c r="Q208" s="320"/>
      <c r="R208" s="320"/>
      <c r="S208" s="320"/>
      <c r="T208" s="320"/>
      <c r="U208" s="643" t="s">
        <v>891</v>
      </c>
      <c r="X208" s="205"/>
      <c r="Y208" s="199" t="s">
        <v>869</v>
      </c>
      <c r="Z208" s="3" t="s">
        <v>1105</v>
      </c>
      <c r="AA208" s="3" t="s">
        <v>312</v>
      </c>
      <c r="AB208" s="4" t="s">
        <v>882</v>
      </c>
      <c r="AC208" s="3" t="s">
        <v>314</v>
      </c>
      <c r="AD208" s="4" t="s">
        <v>313</v>
      </c>
      <c r="AE208" s="299"/>
      <c r="AF208" s="320"/>
      <c r="AG208" s="319"/>
      <c r="AH208" s="319"/>
      <c r="AI208" s="319"/>
      <c r="AJ208" s="319" t="s">
        <v>349</v>
      </c>
      <c r="AK208" s="320"/>
      <c r="AL208" s="320"/>
      <c r="AM208" s="320"/>
      <c r="AN208" s="320"/>
      <c r="AO208" s="320"/>
      <c r="AP208" s="320"/>
      <c r="AQ208" s="320"/>
      <c r="AR208" s="643" t="s">
        <v>891</v>
      </c>
    </row>
    <row r="209" spans="1:46" ht="15.05" thickBot="1" x14ac:dyDescent="0.35">
      <c r="A209" s="205"/>
      <c r="B209" s="5042"/>
      <c r="C209" s="1056">
        <f>IF(B209=0,0,U$206)</f>
        <v>0</v>
      </c>
      <c r="D209" s="1056">
        <f>IF(B209=0,0,VLOOKUP(B209,Precios!$B$216:$D$307,3,FALSE))</f>
        <v>0</v>
      </c>
      <c r="E209" s="5043"/>
      <c r="F209" s="300"/>
      <c r="G209" s="300"/>
      <c r="H209" s="309"/>
      <c r="I209" s="1072">
        <f>IF($C209&gt;0,I$206*$E209,0)</f>
        <v>0</v>
      </c>
      <c r="J209" s="1033">
        <f t="shared" ref="J209:T226" si="118">IF($C209&gt;0,J$206*$E209,0)</f>
        <v>0</v>
      </c>
      <c r="K209" s="1033">
        <f t="shared" si="118"/>
        <v>0</v>
      </c>
      <c r="L209" s="1033">
        <f t="shared" si="118"/>
        <v>0</v>
      </c>
      <c r="M209" s="1033">
        <f t="shared" si="118"/>
        <v>0</v>
      </c>
      <c r="N209" s="1033">
        <f t="shared" si="118"/>
        <v>0</v>
      </c>
      <c r="O209" s="1033">
        <f t="shared" si="118"/>
        <v>0</v>
      </c>
      <c r="P209" s="1033">
        <f t="shared" si="118"/>
        <v>0</v>
      </c>
      <c r="Q209" s="1033">
        <f t="shared" si="118"/>
        <v>0</v>
      </c>
      <c r="R209" s="1033">
        <f t="shared" si="118"/>
        <v>0</v>
      </c>
      <c r="S209" s="1033">
        <f t="shared" si="118"/>
        <v>0</v>
      </c>
      <c r="T209" s="1033">
        <f t="shared" si="118"/>
        <v>0</v>
      </c>
      <c r="U209" s="1073">
        <f t="shared" ref="U209:U230" si="119">SUM(I209:T209)</f>
        <v>0</v>
      </c>
      <c r="V209" s="232" t="str">
        <f>B209&amp;"propia"</f>
        <v>propia</v>
      </c>
      <c r="X209" s="205"/>
      <c r="Y209" s="5042"/>
      <c r="Z209" s="1056">
        <f>IF(Y209=0,0,AR$206)</f>
        <v>0</v>
      </c>
      <c r="AA209" s="1056">
        <f>IF(Y209=0,0,VLOOKUP(Y209,Precios!$B$216:$D$307,3,FALSE))</f>
        <v>0</v>
      </c>
      <c r="AB209" s="1069"/>
      <c r="AC209" s="300"/>
      <c r="AD209" s="300"/>
      <c r="AE209" s="309"/>
      <c r="AF209" s="1072">
        <f>IF($Z209&gt;0,AF$206*$AB209,0)</f>
        <v>0</v>
      </c>
      <c r="AG209" s="1033">
        <f t="shared" ref="AG209:AQ226" si="120">IF($Z209&gt;0,AG$206*$AB209,0)</f>
        <v>0</v>
      </c>
      <c r="AH209" s="1033">
        <f t="shared" si="120"/>
        <v>0</v>
      </c>
      <c r="AI209" s="1033">
        <f t="shared" si="120"/>
        <v>0</v>
      </c>
      <c r="AJ209" s="1033">
        <f t="shared" si="120"/>
        <v>0</v>
      </c>
      <c r="AK209" s="1033">
        <f t="shared" si="120"/>
        <v>0</v>
      </c>
      <c r="AL209" s="1033">
        <f t="shared" si="120"/>
        <v>0</v>
      </c>
      <c r="AM209" s="1033">
        <f t="shared" si="120"/>
        <v>0</v>
      </c>
      <c r="AN209" s="1033">
        <f t="shared" si="120"/>
        <v>0</v>
      </c>
      <c r="AO209" s="1033">
        <f t="shared" si="120"/>
        <v>0</v>
      </c>
      <c r="AP209" s="1033">
        <f t="shared" si="120"/>
        <v>0</v>
      </c>
      <c r="AQ209" s="1033">
        <f t="shared" si="120"/>
        <v>0</v>
      </c>
      <c r="AR209" s="1073">
        <f t="shared" ref="AR209:AR227" si="121">SUM(AF209:AQ209)</f>
        <v>0</v>
      </c>
      <c r="AS209" s="232" t="str">
        <f>Y209&amp;"propia"</f>
        <v>propia</v>
      </c>
    </row>
    <row r="210" spans="1:46" ht="15.05" thickBot="1" x14ac:dyDescent="0.35">
      <c r="A210" s="205"/>
      <c r="B210" s="5044"/>
      <c r="C210" s="985">
        <f t="shared" ref="C210:C240" si="122">IF(B210=0,0,U$206)</f>
        <v>0</v>
      </c>
      <c r="D210" s="985">
        <f>IF(B210=0,0,VLOOKUP(B210,Precios!$B$216:$D$307,3,FALSE))</f>
        <v>0</v>
      </c>
      <c r="E210" s="5045"/>
      <c r="F210" s="300"/>
      <c r="G210" s="300"/>
      <c r="H210" s="309"/>
      <c r="I210" s="1074">
        <f>IF($C210&gt;0,I$206*$E210,0)</f>
        <v>0</v>
      </c>
      <c r="J210" s="1005">
        <f t="shared" si="118"/>
        <v>0</v>
      </c>
      <c r="K210" s="1005">
        <f t="shared" si="118"/>
        <v>0</v>
      </c>
      <c r="L210" s="1005">
        <f t="shared" si="118"/>
        <v>0</v>
      </c>
      <c r="M210" s="1005">
        <f t="shared" si="118"/>
        <v>0</v>
      </c>
      <c r="N210" s="1005">
        <f t="shared" si="118"/>
        <v>0</v>
      </c>
      <c r="O210" s="1005">
        <f t="shared" si="118"/>
        <v>0</v>
      </c>
      <c r="P210" s="1005">
        <f t="shared" si="118"/>
        <v>0</v>
      </c>
      <c r="Q210" s="1005">
        <f t="shared" si="118"/>
        <v>0</v>
      </c>
      <c r="R210" s="1005">
        <f t="shared" si="118"/>
        <v>0</v>
      </c>
      <c r="S210" s="1005">
        <f t="shared" si="118"/>
        <v>0</v>
      </c>
      <c r="T210" s="1005">
        <f t="shared" si="118"/>
        <v>0</v>
      </c>
      <c r="U210" s="1075">
        <f t="shared" si="119"/>
        <v>0</v>
      </c>
      <c r="V210" s="232" t="str">
        <f>B210&amp;"propia"</f>
        <v>propia</v>
      </c>
      <c r="X210" s="301"/>
      <c r="Y210" s="5044"/>
      <c r="Z210" s="985">
        <f>IF(Y210=0,0,AR$206)</f>
        <v>0</v>
      </c>
      <c r="AA210" s="985">
        <f>IF(Y210=0,0,VLOOKUP(Y210,Precios!$B$216:$D$307,3,FALSE))</f>
        <v>0</v>
      </c>
      <c r="AB210" s="1070"/>
      <c r="AC210" s="300"/>
      <c r="AD210" s="300"/>
      <c r="AE210" s="309"/>
      <c r="AF210" s="1074">
        <f>IF($Z210&gt;0,AF$206*$AB210,0)</f>
        <v>0</v>
      </c>
      <c r="AG210" s="1005">
        <f t="shared" si="120"/>
        <v>0</v>
      </c>
      <c r="AH210" s="1005">
        <f t="shared" si="120"/>
        <v>0</v>
      </c>
      <c r="AI210" s="1005">
        <f t="shared" si="120"/>
        <v>0</v>
      </c>
      <c r="AJ210" s="1005">
        <f t="shared" si="120"/>
        <v>0</v>
      </c>
      <c r="AK210" s="1005">
        <f t="shared" si="120"/>
        <v>0</v>
      </c>
      <c r="AL210" s="1005">
        <f t="shared" si="120"/>
        <v>0</v>
      </c>
      <c r="AM210" s="1005">
        <f t="shared" si="120"/>
        <v>0</v>
      </c>
      <c r="AN210" s="1005">
        <f t="shared" si="120"/>
        <v>0</v>
      </c>
      <c r="AO210" s="1005">
        <f t="shared" si="120"/>
        <v>0</v>
      </c>
      <c r="AP210" s="1005">
        <f t="shared" si="120"/>
        <v>0</v>
      </c>
      <c r="AQ210" s="1005">
        <f t="shared" si="120"/>
        <v>0</v>
      </c>
      <c r="AR210" s="1075">
        <f t="shared" si="121"/>
        <v>0</v>
      </c>
      <c r="AS210" s="232" t="str">
        <f>Y210&amp;"propia"</f>
        <v>propia</v>
      </c>
    </row>
    <row r="211" spans="1:46" ht="15.05" thickBot="1" x14ac:dyDescent="0.35">
      <c r="A211" s="205"/>
      <c r="B211" s="5044"/>
      <c r="C211" s="985">
        <f t="shared" si="122"/>
        <v>0</v>
      </c>
      <c r="D211" s="985">
        <f>IF(B211=0,0,VLOOKUP(B211,Precios!$B$216:$D$307,3,FALSE))</f>
        <v>0</v>
      </c>
      <c r="E211" s="5045"/>
      <c r="F211" s="300"/>
      <c r="G211" s="300"/>
      <c r="H211" s="309"/>
      <c r="I211" s="1074">
        <f>IF($C211&gt;0,I$206*$E211,0)</f>
        <v>0</v>
      </c>
      <c r="J211" s="1005">
        <f t="shared" si="118"/>
        <v>0</v>
      </c>
      <c r="K211" s="1005">
        <f t="shared" si="118"/>
        <v>0</v>
      </c>
      <c r="L211" s="1005">
        <f t="shared" si="118"/>
        <v>0</v>
      </c>
      <c r="M211" s="1005">
        <f t="shared" si="118"/>
        <v>0</v>
      </c>
      <c r="N211" s="1005">
        <f t="shared" si="118"/>
        <v>0</v>
      </c>
      <c r="O211" s="1005">
        <f t="shared" si="118"/>
        <v>0</v>
      </c>
      <c r="P211" s="1005">
        <f t="shared" si="118"/>
        <v>0</v>
      </c>
      <c r="Q211" s="1005">
        <f t="shared" si="118"/>
        <v>0</v>
      </c>
      <c r="R211" s="1005">
        <f t="shared" si="118"/>
        <v>0</v>
      </c>
      <c r="S211" s="1005">
        <f t="shared" si="118"/>
        <v>0</v>
      </c>
      <c r="T211" s="1005">
        <f t="shared" si="118"/>
        <v>0</v>
      </c>
      <c r="U211" s="1075">
        <f t="shared" si="119"/>
        <v>0</v>
      </c>
      <c r="V211" s="232" t="str">
        <f>B211&amp;"propia"</f>
        <v>propia</v>
      </c>
      <c r="X211" s="301"/>
      <c r="Y211" s="5044"/>
      <c r="Z211" s="985">
        <f>IF(Y211=0,0,AR$206)</f>
        <v>0</v>
      </c>
      <c r="AA211" s="985">
        <f>IF(Y211=0,0,VLOOKUP(Y211,Precios!$B$216:$D$307,3,FALSE))</f>
        <v>0</v>
      </c>
      <c r="AB211" s="1070"/>
      <c r="AC211" s="300"/>
      <c r="AD211" s="300"/>
      <c r="AE211" s="309"/>
      <c r="AF211" s="1074">
        <f>IF($Z211&gt;0,AF$206*$AB211,0)</f>
        <v>0</v>
      </c>
      <c r="AG211" s="1005">
        <f t="shared" si="120"/>
        <v>0</v>
      </c>
      <c r="AH211" s="1005">
        <f t="shared" si="120"/>
        <v>0</v>
      </c>
      <c r="AI211" s="1005">
        <f t="shared" si="120"/>
        <v>0</v>
      </c>
      <c r="AJ211" s="1005">
        <f t="shared" si="120"/>
        <v>0</v>
      </c>
      <c r="AK211" s="1005">
        <f t="shared" si="120"/>
        <v>0</v>
      </c>
      <c r="AL211" s="1005">
        <f t="shared" si="120"/>
        <v>0</v>
      </c>
      <c r="AM211" s="1005">
        <f t="shared" si="120"/>
        <v>0</v>
      </c>
      <c r="AN211" s="1005">
        <f t="shared" si="120"/>
        <v>0</v>
      </c>
      <c r="AO211" s="1005">
        <f t="shared" si="120"/>
        <v>0</v>
      </c>
      <c r="AP211" s="1005">
        <f t="shared" si="120"/>
        <v>0</v>
      </c>
      <c r="AQ211" s="1005">
        <f t="shared" si="120"/>
        <v>0</v>
      </c>
      <c r="AR211" s="1075">
        <f t="shared" si="121"/>
        <v>0</v>
      </c>
      <c r="AS211" s="232" t="str">
        <f>Y211&amp;"propia"</f>
        <v>propia</v>
      </c>
    </row>
    <row r="212" spans="1:46" ht="15.05" thickBot="1" x14ac:dyDescent="0.35">
      <c r="A212" s="205"/>
      <c r="B212" s="5044"/>
      <c r="C212" s="985">
        <f t="shared" si="122"/>
        <v>0</v>
      </c>
      <c r="D212" s="985">
        <f>IF(B212=0,0,VLOOKUP(B212,Precios!$B$216:$D$307,3,FALSE))</f>
        <v>0</v>
      </c>
      <c r="E212" s="5045"/>
      <c r="F212" s="300"/>
      <c r="G212" s="300"/>
      <c r="H212" s="309"/>
      <c r="I212" s="1074">
        <f>IF($C212&gt;0,I$206*$E212,0)</f>
        <v>0</v>
      </c>
      <c r="J212" s="1005">
        <f t="shared" si="118"/>
        <v>0</v>
      </c>
      <c r="K212" s="1005">
        <f t="shared" si="118"/>
        <v>0</v>
      </c>
      <c r="L212" s="1005">
        <f t="shared" si="118"/>
        <v>0</v>
      </c>
      <c r="M212" s="1005">
        <f t="shared" si="118"/>
        <v>0</v>
      </c>
      <c r="N212" s="1005">
        <f t="shared" si="118"/>
        <v>0</v>
      </c>
      <c r="O212" s="1005">
        <f t="shared" si="118"/>
        <v>0</v>
      </c>
      <c r="P212" s="1005">
        <f t="shared" si="118"/>
        <v>0</v>
      </c>
      <c r="Q212" s="1005">
        <f t="shared" si="118"/>
        <v>0</v>
      </c>
      <c r="R212" s="1005">
        <f t="shared" si="118"/>
        <v>0</v>
      </c>
      <c r="S212" s="1005">
        <f t="shared" si="118"/>
        <v>0</v>
      </c>
      <c r="T212" s="1005">
        <f t="shared" si="118"/>
        <v>0</v>
      </c>
      <c r="U212" s="1075">
        <f t="shared" si="119"/>
        <v>0</v>
      </c>
      <c r="V212" s="232" t="str">
        <f>B212&amp;"propia"</f>
        <v>propia</v>
      </c>
      <c r="X212" s="301"/>
      <c r="Y212" s="5044"/>
      <c r="Z212" s="985">
        <f>IF(Y212=0,0,AR$206)</f>
        <v>0</v>
      </c>
      <c r="AA212" s="985">
        <f>IF(Y212=0,0,VLOOKUP(Y212,Precios!$B$216:$D$307,3,FALSE))</f>
        <v>0</v>
      </c>
      <c r="AB212" s="1070"/>
      <c r="AC212" s="300"/>
      <c r="AD212" s="300"/>
      <c r="AE212" s="309"/>
      <c r="AF212" s="1074">
        <f>IF($Z212&gt;0,AF$206*$AB212,0)</f>
        <v>0</v>
      </c>
      <c r="AG212" s="1005">
        <f t="shared" si="120"/>
        <v>0</v>
      </c>
      <c r="AH212" s="1005">
        <f t="shared" si="120"/>
        <v>0</v>
      </c>
      <c r="AI212" s="1005">
        <f t="shared" si="120"/>
        <v>0</v>
      </c>
      <c r="AJ212" s="1005">
        <f t="shared" si="120"/>
        <v>0</v>
      </c>
      <c r="AK212" s="1005">
        <f t="shared" si="120"/>
        <v>0</v>
      </c>
      <c r="AL212" s="1005">
        <f t="shared" si="120"/>
        <v>0</v>
      </c>
      <c r="AM212" s="1005">
        <f t="shared" si="120"/>
        <v>0</v>
      </c>
      <c r="AN212" s="1005">
        <f t="shared" si="120"/>
        <v>0</v>
      </c>
      <c r="AO212" s="1005">
        <f t="shared" si="120"/>
        <v>0</v>
      </c>
      <c r="AP212" s="1005">
        <f t="shared" si="120"/>
        <v>0</v>
      </c>
      <c r="AQ212" s="1005">
        <f t="shared" si="120"/>
        <v>0</v>
      </c>
      <c r="AR212" s="1075">
        <f t="shared" si="121"/>
        <v>0</v>
      </c>
      <c r="AS212" s="232" t="str">
        <f>Y212&amp;"propia"</f>
        <v>propia</v>
      </c>
    </row>
    <row r="213" spans="1:46" x14ac:dyDescent="0.3">
      <c r="A213" s="205"/>
      <c r="B213" s="5046"/>
      <c r="C213" s="1057">
        <f t="shared" si="122"/>
        <v>0</v>
      </c>
      <c r="D213" s="1057">
        <f>IF(B213=0,0,VLOOKUP(B213,Precios!$B$216:$D$307,3,FALSE))</f>
        <v>0</v>
      </c>
      <c r="E213" s="5047"/>
      <c r="F213" s="300"/>
      <c r="G213" s="300"/>
      <c r="H213" s="309"/>
      <c r="I213" s="1076">
        <f>IF($C213&gt;0,I$206*$E213,0)</f>
        <v>0</v>
      </c>
      <c r="J213" s="1077">
        <f t="shared" si="118"/>
        <v>0</v>
      </c>
      <c r="K213" s="1077">
        <f t="shared" si="118"/>
        <v>0</v>
      </c>
      <c r="L213" s="1077">
        <f t="shared" si="118"/>
        <v>0</v>
      </c>
      <c r="M213" s="1077">
        <f t="shared" si="118"/>
        <v>0</v>
      </c>
      <c r="N213" s="1077">
        <f t="shared" si="118"/>
        <v>0</v>
      </c>
      <c r="O213" s="1077">
        <f t="shared" si="118"/>
        <v>0</v>
      </c>
      <c r="P213" s="1077">
        <f t="shared" si="118"/>
        <v>0</v>
      </c>
      <c r="Q213" s="1077">
        <f t="shared" si="118"/>
        <v>0</v>
      </c>
      <c r="R213" s="1077">
        <f t="shared" si="118"/>
        <v>0</v>
      </c>
      <c r="S213" s="1077">
        <f t="shared" si="118"/>
        <v>0</v>
      </c>
      <c r="T213" s="1077">
        <f t="shared" si="118"/>
        <v>0</v>
      </c>
      <c r="U213" s="1078">
        <f t="shared" si="119"/>
        <v>0</v>
      </c>
      <c r="V213" s="232" t="str">
        <f>B213&amp;"propia"</f>
        <v>propia</v>
      </c>
      <c r="X213" s="301"/>
      <c r="Y213" s="5046"/>
      <c r="Z213" s="1057">
        <f>IF(Y213=0,0,AR$206)</f>
        <v>0</v>
      </c>
      <c r="AA213" s="1057">
        <f>IF(Y213=0,0,VLOOKUP(Y213,Precios!$B$216:$D$307,3,FALSE))</f>
        <v>0</v>
      </c>
      <c r="AB213" s="1071"/>
      <c r="AC213" s="300"/>
      <c r="AD213" s="300"/>
      <c r="AE213" s="309"/>
      <c r="AF213" s="1076">
        <f>IF($Z213&gt;0,AF$206*$AB213,0)</f>
        <v>0</v>
      </c>
      <c r="AG213" s="1077">
        <f t="shared" si="120"/>
        <v>0</v>
      </c>
      <c r="AH213" s="1077">
        <f t="shared" si="120"/>
        <v>0</v>
      </c>
      <c r="AI213" s="1077">
        <f t="shared" si="120"/>
        <v>0</v>
      </c>
      <c r="AJ213" s="1077">
        <f t="shared" si="120"/>
        <v>0</v>
      </c>
      <c r="AK213" s="1077">
        <f t="shared" si="120"/>
        <v>0</v>
      </c>
      <c r="AL213" s="1077">
        <f t="shared" si="120"/>
        <v>0</v>
      </c>
      <c r="AM213" s="1077">
        <f t="shared" si="120"/>
        <v>0</v>
      </c>
      <c r="AN213" s="1077">
        <f t="shared" si="120"/>
        <v>0</v>
      </c>
      <c r="AO213" s="1077">
        <f t="shared" si="120"/>
        <v>0</v>
      </c>
      <c r="AP213" s="1077">
        <f t="shared" si="120"/>
        <v>0</v>
      </c>
      <c r="AQ213" s="1077">
        <f t="shared" si="120"/>
        <v>0</v>
      </c>
      <c r="AR213" s="1078">
        <f t="shared" si="121"/>
        <v>0</v>
      </c>
      <c r="AS213" s="232" t="str">
        <f>Y213&amp;"propia"</f>
        <v>propia</v>
      </c>
    </row>
    <row r="214" spans="1:46" x14ac:dyDescent="0.3">
      <c r="A214" s="205"/>
      <c r="B214" s="645" t="s">
        <v>1083</v>
      </c>
      <c r="C214" s="305"/>
      <c r="D214" s="305"/>
      <c r="E214" s="305"/>
      <c r="F214" s="305"/>
      <c r="G214" s="305"/>
      <c r="H214" s="306"/>
      <c r="I214" s="904">
        <f>SUM(I209:I213)</f>
        <v>0</v>
      </c>
      <c r="J214" s="904">
        <f t="shared" ref="J214:T214" si="123">SUM(J209:J213)</f>
        <v>0</v>
      </c>
      <c r="K214" s="904">
        <f t="shared" si="123"/>
        <v>0</v>
      </c>
      <c r="L214" s="904">
        <f t="shared" si="123"/>
        <v>0</v>
      </c>
      <c r="M214" s="904">
        <f t="shared" si="123"/>
        <v>0</v>
      </c>
      <c r="N214" s="904">
        <f t="shared" si="123"/>
        <v>0</v>
      </c>
      <c r="O214" s="904">
        <f t="shared" si="123"/>
        <v>0</v>
      </c>
      <c r="P214" s="904">
        <f t="shared" si="123"/>
        <v>0</v>
      </c>
      <c r="Q214" s="904">
        <f t="shared" si="123"/>
        <v>0</v>
      </c>
      <c r="R214" s="904">
        <f t="shared" si="123"/>
        <v>0</v>
      </c>
      <c r="S214" s="904">
        <f t="shared" si="123"/>
        <v>0</v>
      </c>
      <c r="T214" s="904">
        <f t="shared" si="123"/>
        <v>0</v>
      </c>
      <c r="U214" s="905">
        <f>SUM(I214:T214)</f>
        <v>0</v>
      </c>
      <c r="X214" s="301"/>
      <c r="Y214" s="645" t="s">
        <v>1083</v>
      </c>
      <c r="Z214" s="305"/>
      <c r="AA214" s="305"/>
      <c r="AB214" s="305"/>
      <c r="AC214" s="305"/>
      <c r="AD214" s="305"/>
      <c r="AE214" s="306"/>
      <c r="AF214" s="904">
        <f t="shared" ref="AF214:AQ214" si="124">SUM(AF209:AF213)</f>
        <v>0</v>
      </c>
      <c r="AG214" s="904">
        <f t="shared" si="124"/>
        <v>0</v>
      </c>
      <c r="AH214" s="904">
        <f t="shared" si="124"/>
        <v>0</v>
      </c>
      <c r="AI214" s="904">
        <f t="shared" si="124"/>
        <v>0</v>
      </c>
      <c r="AJ214" s="904">
        <f t="shared" si="124"/>
        <v>0</v>
      </c>
      <c r="AK214" s="904">
        <f t="shared" si="124"/>
        <v>0</v>
      </c>
      <c r="AL214" s="904">
        <f t="shared" si="124"/>
        <v>0</v>
      </c>
      <c r="AM214" s="904">
        <f t="shared" si="124"/>
        <v>0</v>
      </c>
      <c r="AN214" s="904">
        <f t="shared" si="124"/>
        <v>0</v>
      </c>
      <c r="AO214" s="904">
        <f t="shared" si="124"/>
        <v>0</v>
      </c>
      <c r="AP214" s="904">
        <f t="shared" si="124"/>
        <v>0</v>
      </c>
      <c r="AQ214" s="904">
        <f t="shared" si="124"/>
        <v>0</v>
      </c>
      <c r="AR214" s="905">
        <f>SUM(AF214:AQ214)</f>
        <v>0</v>
      </c>
    </row>
    <row r="215" spans="1:46" x14ac:dyDescent="0.2">
      <c r="A215" s="205"/>
      <c r="B215" s="197" t="s">
        <v>870</v>
      </c>
      <c r="C215" s="307"/>
      <c r="D215" s="307"/>
      <c r="E215" s="308"/>
      <c r="F215" s="308"/>
      <c r="G215" s="308"/>
      <c r="H215" s="307"/>
      <c r="I215" s="307"/>
      <c r="J215" s="307"/>
      <c r="K215" s="307"/>
      <c r="L215" s="307"/>
      <c r="M215" s="307"/>
      <c r="N215" s="307"/>
      <c r="O215" s="307"/>
      <c r="P215" s="307"/>
      <c r="Q215" s="307"/>
      <c r="R215" s="307"/>
      <c r="S215" s="307"/>
      <c r="T215" s="307"/>
      <c r="U215" s="646"/>
      <c r="X215" s="301"/>
      <c r="Y215" s="197" t="s">
        <v>870</v>
      </c>
      <c r="Z215" s="307"/>
      <c r="AA215" s="307"/>
      <c r="AB215" s="308"/>
      <c r="AC215" s="308"/>
      <c r="AD215" s="308"/>
      <c r="AE215" s="307"/>
      <c r="AF215" s="307"/>
      <c r="AG215" s="307"/>
      <c r="AH215" s="307"/>
      <c r="AI215" s="307"/>
      <c r="AJ215" s="307"/>
      <c r="AK215" s="307"/>
      <c r="AL215" s="307"/>
      <c r="AM215" s="307"/>
      <c r="AN215" s="307"/>
      <c r="AO215" s="307"/>
      <c r="AP215" s="307"/>
      <c r="AQ215" s="307"/>
      <c r="AR215" s="646"/>
    </row>
    <row r="216" spans="1:46" ht="15.05" thickBot="1" x14ac:dyDescent="0.35">
      <c r="A216" s="205"/>
      <c r="B216" s="5042"/>
      <c r="C216" s="1056">
        <f t="shared" si="122"/>
        <v>0</v>
      </c>
      <c r="D216" s="1056">
        <f>IF(B216=0,0,VLOOKUP(B216,Precios!$B$216:$D$307,3,FALSE))</f>
        <v>0</v>
      </c>
      <c r="E216" s="5048"/>
      <c r="F216" s="1249">
        <f>IF(B216=0,0,VLOOKUP(B216,Precios!$B$216:$D$307,2,FALSE))</f>
        <v>0</v>
      </c>
      <c r="G216" s="1066">
        <f>E216*F216</f>
        <v>0</v>
      </c>
      <c r="H216" s="309"/>
      <c r="I216" s="1072">
        <f>IF($C216&gt;0,I$206*$E216,0)</f>
        <v>0</v>
      </c>
      <c r="J216" s="1033">
        <f t="shared" si="118"/>
        <v>0</v>
      </c>
      <c r="K216" s="1033">
        <f t="shared" si="118"/>
        <v>0</v>
      </c>
      <c r="L216" s="1033">
        <f t="shared" si="118"/>
        <v>0</v>
      </c>
      <c r="M216" s="1033">
        <f t="shared" si="118"/>
        <v>0</v>
      </c>
      <c r="N216" s="1033">
        <f t="shared" si="118"/>
        <v>0</v>
      </c>
      <c r="O216" s="1033">
        <f t="shared" si="118"/>
        <v>0</v>
      </c>
      <c r="P216" s="1033">
        <f t="shared" si="118"/>
        <v>0</v>
      </c>
      <c r="Q216" s="1033">
        <f t="shared" si="118"/>
        <v>0</v>
      </c>
      <c r="R216" s="1033">
        <f t="shared" si="118"/>
        <v>0</v>
      </c>
      <c r="S216" s="1033">
        <f t="shared" si="118"/>
        <v>0</v>
      </c>
      <c r="T216" s="1033">
        <f t="shared" si="118"/>
        <v>0</v>
      </c>
      <c r="U216" s="1073">
        <f t="shared" si="119"/>
        <v>0</v>
      </c>
      <c r="V216" s="232" t="str">
        <f>B216&amp;"contratada"</f>
        <v>contratada</v>
      </c>
      <c r="X216" s="301"/>
      <c r="Y216" s="5042"/>
      <c r="Z216" s="1056">
        <f>IF(Y216=0,0,AR$206)</f>
        <v>0</v>
      </c>
      <c r="AA216" s="1056">
        <f>IF(Y216=0,0,VLOOKUP(Y216,Precios!$B$216:$D$307,3,FALSE))</f>
        <v>0</v>
      </c>
      <c r="AB216" s="1058"/>
      <c r="AC216" s="1249">
        <f>IF(Y216=0,0,VLOOKUP(Y216,Precios!$B$216:$D$307,2,FALSE))</f>
        <v>0</v>
      </c>
      <c r="AD216" s="1066">
        <f>AB216*AC216</f>
        <v>0</v>
      </c>
      <c r="AE216" s="309"/>
      <c r="AF216" s="1072">
        <f>IF($Z216&gt;0,AF$206*$AB216,0)</f>
        <v>0</v>
      </c>
      <c r="AG216" s="1033">
        <f t="shared" si="120"/>
        <v>0</v>
      </c>
      <c r="AH216" s="1033">
        <f t="shared" si="120"/>
        <v>0</v>
      </c>
      <c r="AI216" s="1033">
        <f t="shared" si="120"/>
        <v>0</v>
      </c>
      <c r="AJ216" s="1033">
        <f t="shared" si="120"/>
        <v>0</v>
      </c>
      <c r="AK216" s="1033">
        <f t="shared" si="120"/>
        <v>0</v>
      </c>
      <c r="AL216" s="1033">
        <f t="shared" si="120"/>
        <v>0</v>
      </c>
      <c r="AM216" s="1033">
        <f t="shared" si="120"/>
        <v>0</v>
      </c>
      <c r="AN216" s="1033">
        <f t="shared" si="120"/>
        <v>0</v>
      </c>
      <c r="AO216" s="1033">
        <f t="shared" si="120"/>
        <v>0</v>
      </c>
      <c r="AP216" s="1033">
        <f t="shared" si="120"/>
        <v>0</v>
      </c>
      <c r="AQ216" s="1033">
        <f t="shared" si="120"/>
        <v>0</v>
      </c>
      <c r="AR216" s="1073">
        <f t="shared" si="121"/>
        <v>0</v>
      </c>
      <c r="AS216" s="232" t="str">
        <f>Y216&amp;"contratada"</f>
        <v>contratada</v>
      </c>
    </row>
    <row r="217" spans="1:46" ht="15.05" thickBot="1" x14ac:dyDescent="0.35">
      <c r="A217" s="205"/>
      <c r="B217" s="5044"/>
      <c r="C217" s="985">
        <f t="shared" si="122"/>
        <v>0</v>
      </c>
      <c r="D217" s="985">
        <f>IF(B217=0,0,VLOOKUP(B217,Precios!$B$216:$D$307,3,FALSE))</f>
        <v>0</v>
      </c>
      <c r="E217" s="5049"/>
      <c r="F217" s="2253">
        <f>IF(B217=0,0,VLOOKUP(B217,Precios!$B$216:$D$307,2,FALSE))</f>
        <v>0</v>
      </c>
      <c r="G217" s="1067">
        <f>E217*F217</f>
        <v>0</v>
      </c>
      <c r="H217" s="309"/>
      <c r="I217" s="1074">
        <f>IF($C217&gt;0,I$206*$E217,0)</f>
        <v>0</v>
      </c>
      <c r="J217" s="1005">
        <f t="shared" si="118"/>
        <v>0</v>
      </c>
      <c r="K217" s="1005">
        <f t="shared" si="118"/>
        <v>0</v>
      </c>
      <c r="L217" s="1005">
        <f t="shared" si="118"/>
        <v>0</v>
      </c>
      <c r="M217" s="1005">
        <f t="shared" si="118"/>
        <v>0</v>
      </c>
      <c r="N217" s="1005">
        <f t="shared" si="118"/>
        <v>0</v>
      </c>
      <c r="O217" s="1005">
        <f t="shared" si="118"/>
        <v>0</v>
      </c>
      <c r="P217" s="1005">
        <f t="shared" si="118"/>
        <v>0</v>
      </c>
      <c r="Q217" s="1005">
        <f t="shared" si="118"/>
        <v>0</v>
      </c>
      <c r="R217" s="1005">
        <f t="shared" si="118"/>
        <v>0</v>
      </c>
      <c r="S217" s="1005">
        <f t="shared" si="118"/>
        <v>0</v>
      </c>
      <c r="T217" s="1005">
        <f t="shared" si="118"/>
        <v>0</v>
      </c>
      <c r="U217" s="1075">
        <f t="shared" si="119"/>
        <v>0</v>
      </c>
      <c r="V217" s="232" t="str">
        <f>B217&amp;"contratada"</f>
        <v>contratada</v>
      </c>
      <c r="X217" s="301"/>
      <c r="Y217" s="5044"/>
      <c r="Z217" s="985">
        <f>IF(Y217=0,0,AR$206)</f>
        <v>0</v>
      </c>
      <c r="AA217" s="985">
        <f>IF(Y217=0,0,VLOOKUP(Y217,Precios!$B$216:$D$307,3,FALSE))</f>
        <v>0</v>
      </c>
      <c r="AB217" s="986"/>
      <c r="AC217" s="2253">
        <f>IF(Y217=0,0,VLOOKUP(Y217,Precios!$B$216:$D$307,2,FALSE))</f>
        <v>0</v>
      </c>
      <c r="AD217" s="1067">
        <f>AB217*AC217</f>
        <v>0</v>
      </c>
      <c r="AE217" s="309"/>
      <c r="AF217" s="1074">
        <f>IF($Z217&gt;0,AF$206*$AB217,0)</f>
        <v>0</v>
      </c>
      <c r="AG217" s="1005">
        <f t="shared" si="120"/>
        <v>0</v>
      </c>
      <c r="AH217" s="1005">
        <f t="shared" si="120"/>
        <v>0</v>
      </c>
      <c r="AI217" s="1005">
        <f t="shared" si="120"/>
        <v>0</v>
      </c>
      <c r="AJ217" s="1005">
        <f t="shared" si="120"/>
        <v>0</v>
      </c>
      <c r="AK217" s="1005">
        <f t="shared" si="120"/>
        <v>0</v>
      </c>
      <c r="AL217" s="1005">
        <f t="shared" si="120"/>
        <v>0</v>
      </c>
      <c r="AM217" s="1005">
        <f t="shared" si="120"/>
        <v>0</v>
      </c>
      <c r="AN217" s="1005">
        <f t="shared" si="120"/>
        <v>0</v>
      </c>
      <c r="AO217" s="1005">
        <f t="shared" si="120"/>
        <v>0</v>
      </c>
      <c r="AP217" s="1005">
        <f t="shared" si="120"/>
        <v>0</v>
      </c>
      <c r="AQ217" s="1005">
        <f t="shared" si="120"/>
        <v>0</v>
      </c>
      <c r="AR217" s="1075">
        <f t="shared" si="121"/>
        <v>0</v>
      </c>
      <c r="AS217" s="232" t="str">
        <f>Y217&amp;"contratada"</f>
        <v>contratada</v>
      </c>
    </row>
    <row r="218" spans="1:46" ht="15.05" thickBot="1" x14ac:dyDescent="0.35">
      <c r="A218" s="205"/>
      <c r="B218" s="5044"/>
      <c r="C218" s="985">
        <f t="shared" si="122"/>
        <v>0</v>
      </c>
      <c r="D218" s="985">
        <f>IF(B218=0,0,VLOOKUP(B218,Precios!$B$216:$D$307,3,FALSE))</f>
        <v>0</v>
      </c>
      <c r="E218" s="5049"/>
      <c r="F218" s="2253">
        <f>IF(B218=0,0,VLOOKUP(B218,Precios!$B$216:$D$307,2,FALSE))</f>
        <v>0</v>
      </c>
      <c r="G218" s="1067">
        <f>E218*F218</f>
        <v>0</v>
      </c>
      <c r="H218" s="309"/>
      <c r="I218" s="1074">
        <f>IF($C218&gt;0,I$206*$E218,0)</f>
        <v>0</v>
      </c>
      <c r="J218" s="1005">
        <f t="shared" si="118"/>
        <v>0</v>
      </c>
      <c r="K218" s="1005">
        <f t="shared" si="118"/>
        <v>0</v>
      </c>
      <c r="L218" s="1005">
        <f t="shared" si="118"/>
        <v>0</v>
      </c>
      <c r="M218" s="1005">
        <f t="shared" si="118"/>
        <v>0</v>
      </c>
      <c r="N218" s="1005">
        <f t="shared" si="118"/>
        <v>0</v>
      </c>
      <c r="O218" s="1005">
        <f t="shared" si="118"/>
        <v>0</v>
      </c>
      <c r="P218" s="1005">
        <f t="shared" si="118"/>
        <v>0</v>
      </c>
      <c r="Q218" s="1005">
        <f t="shared" si="118"/>
        <v>0</v>
      </c>
      <c r="R218" s="1005">
        <f t="shared" si="118"/>
        <v>0</v>
      </c>
      <c r="S218" s="1005">
        <f t="shared" si="118"/>
        <v>0</v>
      </c>
      <c r="T218" s="1005">
        <f t="shared" si="118"/>
        <v>0</v>
      </c>
      <c r="U218" s="1075">
        <f t="shared" si="119"/>
        <v>0</v>
      </c>
      <c r="V218" s="232" t="str">
        <f>B218&amp;"contratada"</f>
        <v>contratada</v>
      </c>
      <c r="X218" s="301"/>
      <c r="Y218" s="5044"/>
      <c r="Z218" s="985">
        <f>IF(Y218=0,0,AR$206)</f>
        <v>0</v>
      </c>
      <c r="AA218" s="985">
        <f>IF(Y218=0,0,VLOOKUP(Y218,Precios!$B$216:$D$307,3,FALSE))</f>
        <v>0</v>
      </c>
      <c r="AB218" s="986"/>
      <c r="AC218" s="2253">
        <f>IF(Y218=0,0,VLOOKUP(Y218,Precios!$B$216:$D$307,2,FALSE))</f>
        <v>0</v>
      </c>
      <c r="AD218" s="1067">
        <f>AB218*AC218</f>
        <v>0</v>
      </c>
      <c r="AE218" s="309"/>
      <c r="AF218" s="1074">
        <f>IF($Z218&gt;0,AF$206*$AB218,0)</f>
        <v>0</v>
      </c>
      <c r="AG218" s="1005">
        <f t="shared" si="120"/>
        <v>0</v>
      </c>
      <c r="AH218" s="1005">
        <f t="shared" si="120"/>
        <v>0</v>
      </c>
      <c r="AI218" s="1005">
        <f t="shared" si="120"/>
        <v>0</v>
      </c>
      <c r="AJ218" s="1005">
        <f t="shared" si="120"/>
        <v>0</v>
      </c>
      <c r="AK218" s="1005">
        <f t="shared" si="120"/>
        <v>0</v>
      </c>
      <c r="AL218" s="1005">
        <f t="shared" si="120"/>
        <v>0</v>
      </c>
      <c r="AM218" s="1005">
        <f t="shared" si="120"/>
        <v>0</v>
      </c>
      <c r="AN218" s="1005">
        <f t="shared" si="120"/>
        <v>0</v>
      </c>
      <c r="AO218" s="1005">
        <f t="shared" si="120"/>
        <v>0</v>
      </c>
      <c r="AP218" s="1005">
        <f t="shared" si="120"/>
        <v>0</v>
      </c>
      <c r="AQ218" s="1005">
        <f t="shared" si="120"/>
        <v>0</v>
      </c>
      <c r="AR218" s="1075">
        <f t="shared" si="121"/>
        <v>0</v>
      </c>
      <c r="AS218" s="232" t="str">
        <f>Y218&amp;"contratada"</f>
        <v>contratada</v>
      </c>
    </row>
    <row r="219" spans="1:46" ht="15.05" thickBot="1" x14ac:dyDescent="0.35">
      <c r="A219" s="205"/>
      <c r="B219" s="5044"/>
      <c r="C219" s="985">
        <f t="shared" si="122"/>
        <v>0</v>
      </c>
      <c r="D219" s="985">
        <f>IF(B219=0,0,VLOOKUP(B219,Precios!$B$216:$D$307,3,FALSE))</f>
        <v>0</v>
      </c>
      <c r="E219" s="5049"/>
      <c r="F219" s="2253">
        <f>IF(B219=0,0,VLOOKUP(B219,Precios!$B$216:$D$307,2,FALSE))</f>
        <v>0</v>
      </c>
      <c r="G219" s="1067">
        <f>E219*F219</f>
        <v>0</v>
      </c>
      <c r="H219" s="309"/>
      <c r="I219" s="1074">
        <f>IF($C219&gt;0,I$206*$E219,0)</f>
        <v>0</v>
      </c>
      <c r="J219" s="1005">
        <f t="shared" si="118"/>
        <v>0</v>
      </c>
      <c r="K219" s="1005">
        <f t="shared" si="118"/>
        <v>0</v>
      </c>
      <c r="L219" s="1005">
        <f t="shared" si="118"/>
        <v>0</v>
      </c>
      <c r="M219" s="1005">
        <f t="shared" si="118"/>
        <v>0</v>
      </c>
      <c r="N219" s="1005">
        <f t="shared" si="118"/>
        <v>0</v>
      </c>
      <c r="O219" s="1005">
        <f t="shared" si="118"/>
        <v>0</v>
      </c>
      <c r="P219" s="1005">
        <f t="shared" si="118"/>
        <v>0</v>
      </c>
      <c r="Q219" s="1005">
        <f t="shared" si="118"/>
        <v>0</v>
      </c>
      <c r="R219" s="1005">
        <f t="shared" si="118"/>
        <v>0</v>
      </c>
      <c r="S219" s="1005">
        <f t="shared" si="118"/>
        <v>0</v>
      </c>
      <c r="T219" s="1005">
        <f t="shared" si="118"/>
        <v>0</v>
      </c>
      <c r="U219" s="1075">
        <f t="shared" si="119"/>
        <v>0</v>
      </c>
      <c r="V219" s="232" t="str">
        <f>B219&amp;"contratada"</f>
        <v>contratada</v>
      </c>
      <c r="X219" s="301"/>
      <c r="Y219" s="5044"/>
      <c r="Z219" s="985">
        <f>IF(Y219=0,0,AR$206)</f>
        <v>0</v>
      </c>
      <c r="AA219" s="985">
        <f>IF(Y219=0,0,VLOOKUP(Y219,Precios!$B$216:$D$307,3,FALSE))</f>
        <v>0</v>
      </c>
      <c r="AB219" s="986"/>
      <c r="AC219" s="2253">
        <f>IF(Y219=0,0,VLOOKUP(Y219,Precios!$B$216:$D$307,2,FALSE))</f>
        <v>0</v>
      </c>
      <c r="AD219" s="1067">
        <f>AB219*AC219</f>
        <v>0</v>
      </c>
      <c r="AE219" s="309"/>
      <c r="AF219" s="1074">
        <f>IF($Z219&gt;0,AF$206*$AB219,0)</f>
        <v>0</v>
      </c>
      <c r="AG219" s="1005">
        <f t="shared" si="120"/>
        <v>0</v>
      </c>
      <c r="AH219" s="1005">
        <f t="shared" si="120"/>
        <v>0</v>
      </c>
      <c r="AI219" s="1005">
        <f t="shared" si="120"/>
        <v>0</v>
      </c>
      <c r="AJ219" s="1005">
        <f t="shared" si="120"/>
        <v>0</v>
      </c>
      <c r="AK219" s="1005">
        <f t="shared" si="120"/>
        <v>0</v>
      </c>
      <c r="AL219" s="1005">
        <f t="shared" si="120"/>
        <v>0</v>
      </c>
      <c r="AM219" s="1005">
        <f t="shared" si="120"/>
        <v>0</v>
      </c>
      <c r="AN219" s="1005">
        <f t="shared" si="120"/>
        <v>0</v>
      </c>
      <c r="AO219" s="1005">
        <f t="shared" si="120"/>
        <v>0</v>
      </c>
      <c r="AP219" s="1005">
        <f t="shared" si="120"/>
        <v>0</v>
      </c>
      <c r="AQ219" s="1005">
        <f t="shared" si="120"/>
        <v>0</v>
      </c>
      <c r="AR219" s="1075">
        <f t="shared" si="121"/>
        <v>0</v>
      </c>
      <c r="AS219" s="232" t="str">
        <f>Y219&amp;"contratada"</f>
        <v>contratada</v>
      </c>
    </row>
    <row r="220" spans="1:46" x14ac:dyDescent="0.3">
      <c r="A220" s="205"/>
      <c r="B220" s="5046"/>
      <c r="C220" s="1057">
        <f t="shared" si="122"/>
        <v>0</v>
      </c>
      <c r="D220" s="1057">
        <f>IF(B220=0,0,VLOOKUP(B220,Precios!$B$216:$D$307,3,FALSE))</f>
        <v>0</v>
      </c>
      <c r="E220" s="5050"/>
      <c r="F220" s="2254">
        <f>IF(B220=0,0,VLOOKUP(B220,Precios!$B$216:$D$307,2,FALSE))</f>
        <v>0</v>
      </c>
      <c r="G220" s="1068">
        <f>E220*F220</f>
        <v>0</v>
      </c>
      <c r="H220" s="309"/>
      <c r="I220" s="1076">
        <f>IF($C220&gt;0,I$206*$E220,0)</f>
        <v>0</v>
      </c>
      <c r="J220" s="1077">
        <f t="shared" si="118"/>
        <v>0</v>
      </c>
      <c r="K220" s="1077">
        <f t="shared" si="118"/>
        <v>0</v>
      </c>
      <c r="L220" s="1077">
        <f t="shared" si="118"/>
        <v>0</v>
      </c>
      <c r="M220" s="1077">
        <f t="shared" si="118"/>
        <v>0</v>
      </c>
      <c r="N220" s="1077">
        <f t="shared" si="118"/>
        <v>0</v>
      </c>
      <c r="O220" s="1077">
        <f t="shared" si="118"/>
        <v>0</v>
      </c>
      <c r="P220" s="1077">
        <f t="shared" si="118"/>
        <v>0</v>
      </c>
      <c r="Q220" s="1077">
        <f t="shared" si="118"/>
        <v>0</v>
      </c>
      <c r="R220" s="1077">
        <f t="shared" si="118"/>
        <v>0</v>
      </c>
      <c r="S220" s="1077">
        <f t="shared" si="118"/>
        <v>0</v>
      </c>
      <c r="T220" s="1077">
        <f t="shared" si="118"/>
        <v>0</v>
      </c>
      <c r="U220" s="1078">
        <f t="shared" si="119"/>
        <v>0</v>
      </c>
      <c r="V220" s="232" t="str">
        <f>B220&amp;"contratada"</f>
        <v>contratada</v>
      </c>
      <c r="X220" s="301"/>
      <c r="Y220" s="5046"/>
      <c r="Z220" s="1057">
        <f>IF(Y220=0,0,AR$206)</f>
        <v>0</v>
      </c>
      <c r="AA220" s="1057">
        <f>IF(Y220=0,0,VLOOKUP(Y220,Precios!$B$216:$D$307,3,FALSE))</f>
        <v>0</v>
      </c>
      <c r="AB220" s="1060"/>
      <c r="AC220" s="2254">
        <f>IF(Y220=0,0,VLOOKUP(Y220,Precios!$B$216:$D$307,2,FALSE))</f>
        <v>0</v>
      </c>
      <c r="AD220" s="1068">
        <f>AB220*AC220</f>
        <v>0</v>
      </c>
      <c r="AE220" s="309"/>
      <c r="AF220" s="1076">
        <f>IF($Z220&gt;0,AF$206*$AB220,0)</f>
        <v>0</v>
      </c>
      <c r="AG220" s="1077">
        <f t="shared" si="120"/>
        <v>0</v>
      </c>
      <c r="AH220" s="1077">
        <f t="shared" si="120"/>
        <v>0</v>
      </c>
      <c r="AI220" s="1077">
        <f t="shared" si="120"/>
        <v>0</v>
      </c>
      <c r="AJ220" s="1077">
        <f t="shared" si="120"/>
        <v>0</v>
      </c>
      <c r="AK220" s="1077">
        <f t="shared" si="120"/>
        <v>0</v>
      </c>
      <c r="AL220" s="1077">
        <f t="shared" si="120"/>
        <v>0</v>
      </c>
      <c r="AM220" s="1077">
        <f t="shared" si="120"/>
        <v>0</v>
      </c>
      <c r="AN220" s="1077">
        <f t="shared" si="120"/>
        <v>0</v>
      </c>
      <c r="AO220" s="1077">
        <f t="shared" si="120"/>
        <v>0</v>
      </c>
      <c r="AP220" s="1077">
        <f t="shared" si="120"/>
        <v>0</v>
      </c>
      <c r="AQ220" s="1077">
        <f t="shared" si="120"/>
        <v>0</v>
      </c>
      <c r="AR220" s="1078">
        <f t="shared" si="121"/>
        <v>0</v>
      </c>
      <c r="AS220" s="232" t="str">
        <f>Y220&amp;"contratada"</f>
        <v>contratada</v>
      </c>
    </row>
    <row r="221" spans="1:46" x14ac:dyDescent="0.3">
      <c r="A221" s="205"/>
      <c r="B221" s="647" t="s">
        <v>1084</v>
      </c>
      <c r="C221" s="305"/>
      <c r="D221" s="305"/>
      <c r="E221" s="305"/>
      <c r="F221" s="650"/>
      <c r="G221" s="305"/>
      <c r="H221" s="310"/>
      <c r="I221" s="904">
        <f t="shared" ref="I221:T221" si="125">SUM(I216:I220)</f>
        <v>0</v>
      </c>
      <c r="J221" s="904">
        <f t="shared" si="125"/>
        <v>0</v>
      </c>
      <c r="K221" s="904">
        <f t="shared" si="125"/>
        <v>0</v>
      </c>
      <c r="L221" s="904">
        <f t="shared" si="125"/>
        <v>0</v>
      </c>
      <c r="M221" s="904">
        <f t="shared" si="125"/>
        <v>0</v>
      </c>
      <c r="N221" s="904">
        <f t="shared" si="125"/>
        <v>0</v>
      </c>
      <c r="O221" s="904">
        <f t="shared" si="125"/>
        <v>0</v>
      </c>
      <c r="P221" s="904">
        <f t="shared" si="125"/>
        <v>0</v>
      </c>
      <c r="Q221" s="904">
        <f t="shared" si="125"/>
        <v>0</v>
      </c>
      <c r="R221" s="904">
        <f t="shared" si="125"/>
        <v>0</v>
      </c>
      <c r="S221" s="904">
        <f t="shared" si="125"/>
        <v>0</v>
      </c>
      <c r="T221" s="904">
        <f t="shared" si="125"/>
        <v>0</v>
      </c>
      <c r="U221" s="905">
        <f>SUM(I221:T221)</f>
        <v>0</v>
      </c>
      <c r="W221" s="232" t="str">
        <f>B215&amp;B205</f>
        <v>Labores con maquinaria contratada0</v>
      </c>
      <c r="X221" s="301"/>
      <c r="Y221" s="647" t="s">
        <v>1084</v>
      </c>
      <c r="Z221" s="305"/>
      <c r="AA221" s="305"/>
      <c r="AB221" s="305"/>
      <c r="AC221" s="650"/>
      <c r="AD221" s="305"/>
      <c r="AE221" s="310"/>
      <c r="AF221" s="904">
        <f t="shared" ref="AF221:AQ221" si="126">SUM(AF216:AF220)</f>
        <v>0</v>
      </c>
      <c r="AG221" s="904">
        <f t="shared" si="126"/>
        <v>0</v>
      </c>
      <c r="AH221" s="904">
        <f t="shared" si="126"/>
        <v>0</v>
      </c>
      <c r="AI221" s="904">
        <f t="shared" si="126"/>
        <v>0</v>
      </c>
      <c r="AJ221" s="904">
        <f t="shared" si="126"/>
        <v>0</v>
      </c>
      <c r="AK221" s="904">
        <f t="shared" si="126"/>
        <v>0</v>
      </c>
      <c r="AL221" s="904">
        <f t="shared" si="126"/>
        <v>0</v>
      </c>
      <c r="AM221" s="904">
        <f t="shared" si="126"/>
        <v>0</v>
      </c>
      <c r="AN221" s="904">
        <f t="shared" si="126"/>
        <v>0</v>
      </c>
      <c r="AO221" s="904">
        <f t="shared" si="126"/>
        <v>0</v>
      </c>
      <c r="AP221" s="904">
        <f t="shared" si="126"/>
        <v>0</v>
      </c>
      <c r="AQ221" s="904">
        <f t="shared" si="126"/>
        <v>0</v>
      </c>
      <c r="AR221" s="905">
        <f>SUM(AF221:AQ221)</f>
        <v>0</v>
      </c>
      <c r="AT221" s="232" t="str">
        <f>Y215&amp;Y205</f>
        <v>Labores con maquinaria contratada0</v>
      </c>
    </row>
    <row r="222" spans="1:46" x14ac:dyDescent="0.2">
      <c r="A222" s="205"/>
      <c r="B222" s="197" t="s">
        <v>85</v>
      </c>
      <c r="C222" s="307"/>
      <c r="D222" s="307"/>
      <c r="E222" s="308"/>
      <c r="F222" s="651"/>
      <c r="G222" s="308"/>
      <c r="H222" s="308"/>
      <c r="I222" s="311"/>
      <c r="J222" s="311"/>
      <c r="K222" s="311"/>
      <c r="L222" s="311"/>
      <c r="M222" s="311"/>
      <c r="N222" s="311"/>
      <c r="O222" s="311"/>
      <c r="P222" s="311"/>
      <c r="Q222" s="311"/>
      <c r="R222" s="311"/>
      <c r="S222" s="311"/>
      <c r="T222" s="311"/>
      <c r="U222" s="646"/>
      <c r="X222" s="301"/>
      <c r="Y222" s="197" t="s">
        <v>85</v>
      </c>
      <c r="Z222" s="307"/>
      <c r="AA222" s="307"/>
      <c r="AB222" s="308"/>
      <c r="AC222" s="651"/>
      <c r="AD222" s="308"/>
      <c r="AE222" s="308"/>
      <c r="AF222" s="311"/>
      <c r="AG222" s="311"/>
      <c r="AH222" s="311"/>
      <c r="AI222" s="311"/>
      <c r="AJ222" s="311"/>
      <c r="AK222" s="311"/>
      <c r="AL222" s="311"/>
      <c r="AM222" s="311"/>
      <c r="AN222" s="311"/>
      <c r="AO222" s="311"/>
      <c r="AP222" s="311"/>
      <c r="AQ222" s="311"/>
      <c r="AR222" s="646"/>
    </row>
    <row r="223" spans="1:46" ht="15.05" thickBot="1" x14ac:dyDescent="0.35">
      <c r="A223" s="205"/>
      <c r="B223" s="5042"/>
      <c r="C223" s="1056">
        <f t="shared" si="122"/>
        <v>0</v>
      </c>
      <c r="D223" s="1056">
        <f>IF(B223=0,0,VLOOKUP(B223,Precios!$B$216:$D$307,3,FALSE))</f>
        <v>0</v>
      </c>
      <c r="E223" s="5048"/>
      <c r="F223" s="1062">
        <f>IF(B223=0,0,VLOOKUP(B223,Precios!$B$216:$D$307,2,FALSE))</f>
        <v>0</v>
      </c>
      <c r="G223" s="1066">
        <f t="shared" ref="G223:G230" si="127">E223*F223</f>
        <v>0</v>
      </c>
      <c r="H223" s="309"/>
      <c r="I223" s="1072">
        <f>IF($C223&gt;0,I$206*$E223,0)</f>
        <v>0</v>
      </c>
      <c r="J223" s="1033">
        <f t="shared" si="118"/>
        <v>0</v>
      </c>
      <c r="K223" s="1033">
        <f t="shared" si="118"/>
        <v>0</v>
      </c>
      <c r="L223" s="1033">
        <f t="shared" si="118"/>
        <v>0</v>
      </c>
      <c r="M223" s="1033">
        <f t="shared" si="118"/>
        <v>0</v>
      </c>
      <c r="N223" s="1033">
        <f t="shared" si="118"/>
        <v>0</v>
      </c>
      <c r="O223" s="1033">
        <f t="shared" si="118"/>
        <v>0</v>
      </c>
      <c r="P223" s="1033">
        <f t="shared" si="118"/>
        <v>0</v>
      </c>
      <c r="Q223" s="1033">
        <f t="shared" si="118"/>
        <v>0</v>
      </c>
      <c r="R223" s="1033">
        <f t="shared" si="118"/>
        <v>0</v>
      </c>
      <c r="S223" s="1033">
        <f t="shared" si="118"/>
        <v>0</v>
      </c>
      <c r="T223" s="1033">
        <f t="shared" si="118"/>
        <v>0</v>
      </c>
      <c r="U223" s="1073">
        <f t="shared" si="119"/>
        <v>0</v>
      </c>
      <c r="X223" s="301"/>
      <c r="Y223" s="5042"/>
      <c r="Z223" s="1056">
        <f>IF(Y223=0,0,AR$206)</f>
        <v>0</v>
      </c>
      <c r="AA223" s="1056">
        <f>IF(Y223=0,0,VLOOKUP(Y223,Precios!$B$216:$D$307,3,FALSE))</f>
        <v>0</v>
      </c>
      <c r="AB223" s="1058"/>
      <c r="AC223" s="1062">
        <f>IF(Y223=0,0,VLOOKUP(Y223,Precios!$B$216:$D$307,2,FALSE))</f>
        <v>0</v>
      </c>
      <c r="AD223" s="1066">
        <f t="shared" ref="AD223:AD230" si="128">AB223*AC223</f>
        <v>0</v>
      </c>
      <c r="AE223" s="309"/>
      <c r="AF223" s="1072">
        <f t="shared" ref="AF223:AQ230" si="129">IF($Z223&gt;0,AF$206*$AB223,0)</f>
        <v>0</v>
      </c>
      <c r="AG223" s="1033">
        <f t="shared" si="120"/>
        <v>0</v>
      </c>
      <c r="AH223" s="1033">
        <f t="shared" si="120"/>
        <v>0</v>
      </c>
      <c r="AI223" s="1033">
        <f t="shared" si="120"/>
        <v>0</v>
      </c>
      <c r="AJ223" s="1033">
        <f t="shared" si="120"/>
        <v>0</v>
      </c>
      <c r="AK223" s="1033">
        <f t="shared" si="120"/>
        <v>0</v>
      </c>
      <c r="AL223" s="1033">
        <f t="shared" si="120"/>
        <v>0</v>
      </c>
      <c r="AM223" s="1033">
        <f t="shared" si="120"/>
        <v>0</v>
      </c>
      <c r="AN223" s="1033">
        <f t="shared" si="120"/>
        <v>0</v>
      </c>
      <c r="AO223" s="1033">
        <f t="shared" si="120"/>
        <v>0</v>
      </c>
      <c r="AP223" s="1033">
        <f t="shared" si="120"/>
        <v>0</v>
      </c>
      <c r="AQ223" s="1033">
        <f t="shared" si="120"/>
        <v>0</v>
      </c>
      <c r="AR223" s="1073">
        <f t="shared" si="121"/>
        <v>0</v>
      </c>
    </row>
    <row r="224" spans="1:46" ht="15.05" thickBot="1" x14ac:dyDescent="0.35">
      <c r="A224" s="205"/>
      <c r="B224" s="5044"/>
      <c r="C224" s="985">
        <f t="shared" si="122"/>
        <v>0</v>
      </c>
      <c r="D224" s="985">
        <f>IF(B224=0,0,VLOOKUP(B224,Precios!$B$216:$D$307,3,FALSE))</f>
        <v>0</v>
      </c>
      <c r="E224" s="5049"/>
      <c r="F224" s="1059">
        <f>IF(B224=0,0,VLOOKUP(B224,Precios!$B$216:$D$307,2,FALSE))</f>
        <v>0</v>
      </c>
      <c r="G224" s="1067">
        <f t="shared" si="127"/>
        <v>0</v>
      </c>
      <c r="H224" s="309"/>
      <c r="I224" s="1074">
        <f t="shared" ref="I224:T240" si="130">IF($C224&gt;0,I$206*$E224,0)</f>
        <v>0</v>
      </c>
      <c r="J224" s="1005">
        <f t="shared" si="118"/>
        <v>0</v>
      </c>
      <c r="K224" s="1005">
        <f t="shared" si="118"/>
        <v>0</v>
      </c>
      <c r="L224" s="1005">
        <f t="shared" si="118"/>
        <v>0</v>
      </c>
      <c r="M224" s="1005">
        <f t="shared" si="118"/>
        <v>0</v>
      </c>
      <c r="N224" s="1005">
        <f t="shared" si="118"/>
        <v>0</v>
      </c>
      <c r="O224" s="1005">
        <f t="shared" si="118"/>
        <v>0</v>
      </c>
      <c r="P224" s="1005">
        <f t="shared" si="118"/>
        <v>0</v>
      </c>
      <c r="Q224" s="1005">
        <f t="shared" si="118"/>
        <v>0</v>
      </c>
      <c r="R224" s="1005">
        <f t="shared" si="118"/>
        <v>0</v>
      </c>
      <c r="S224" s="1005">
        <f t="shared" si="118"/>
        <v>0</v>
      </c>
      <c r="T224" s="1005">
        <f t="shared" si="118"/>
        <v>0</v>
      </c>
      <c r="U224" s="1075">
        <f t="shared" si="119"/>
        <v>0</v>
      </c>
      <c r="X224" s="301"/>
      <c r="Y224" s="5044"/>
      <c r="Z224" s="985">
        <f t="shared" ref="Z224:Z240" si="131">IF(Y224=0,0,AR$206)</f>
        <v>0</v>
      </c>
      <c r="AA224" s="985">
        <f>IF(Y224=0,0,VLOOKUP(Y224,Precios!$B$216:$D$307,3,FALSE))</f>
        <v>0</v>
      </c>
      <c r="AB224" s="986"/>
      <c r="AC224" s="1059">
        <f>IF(Y224=0,0,VLOOKUP(Y224,Precios!$B$216:$D$307,2,FALSE))</f>
        <v>0</v>
      </c>
      <c r="AD224" s="1067">
        <f t="shared" si="128"/>
        <v>0</v>
      </c>
      <c r="AE224" s="309"/>
      <c r="AF224" s="1074">
        <f t="shared" si="129"/>
        <v>0</v>
      </c>
      <c r="AG224" s="1005">
        <f t="shared" si="120"/>
        <v>0</v>
      </c>
      <c r="AH224" s="1005">
        <f t="shared" si="120"/>
        <v>0</v>
      </c>
      <c r="AI224" s="1005">
        <f t="shared" si="120"/>
        <v>0</v>
      </c>
      <c r="AJ224" s="1005">
        <f t="shared" si="120"/>
        <v>0</v>
      </c>
      <c r="AK224" s="1005">
        <f t="shared" si="120"/>
        <v>0</v>
      </c>
      <c r="AL224" s="1005">
        <f t="shared" si="120"/>
        <v>0</v>
      </c>
      <c r="AM224" s="1005">
        <f t="shared" si="120"/>
        <v>0</v>
      </c>
      <c r="AN224" s="1005">
        <f t="shared" si="120"/>
        <v>0</v>
      </c>
      <c r="AO224" s="1005">
        <f t="shared" si="120"/>
        <v>0</v>
      </c>
      <c r="AP224" s="1005">
        <f t="shared" si="120"/>
        <v>0</v>
      </c>
      <c r="AQ224" s="1005">
        <f t="shared" si="120"/>
        <v>0</v>
      </c>
      <c r="AR224" s="1075">
        <f t="shared" si="121"/>
        <v>0</v>
      </c>
    </row>
    <row r="225" spans="1:46" ht="15.05" thickBot="1" x14ac:dyDescent="0.35">
      <c r="A225" s="205"/>
      <c r="B225" s="5044"/>
      <c r="C225" s="985">
        <f t="shared" si="122"/>
        <v>0</v>
      </c>
      <c r="D225" s="985">
        <f>IF(B225=0,0,VLOOKUP(B225,Precios!$B$216:$D$307,3,FALSE))</f>
        <v>0</v>
      </c>
      <c r="E225" s="5049"/>
      <c r="F225" s="1059">
        <f>IF(B225=0,0,VLOOKUP(B225,Precios!$B$216:$D$307,2,FALSE))</f>
        <v>0</v>
      </c>
      <c r="G225" s="1067">
        <f t="shared" si="127"/>
        <v>0</v>
      </c>
      <c r="H225" s="309"/>
      <c r="I225" s="1074">
        <f t="shared" si="130"/>
        <v>0</v>
      </c>
      <c r="J225" s="1005">
        <f t="shared" si="118"/>
        <v>0</v>
      </c>
      <c r="K225" s="1005">
        <f t="shared" si="118"/>
        <v>0</v>
      </c>
      <c r="L225" s="1005">
        <f t="shared" si="118"/>
        <v>0</v>
      </c>
      <c r="M225" s="1005">
        <f t="shared" si="118"/>
        <v>0</v>
      </c>
      <c r="N225" s="1005">
        <f t="shared" si="118"/>
        <v>0</v>
      </c>
      <c r="O225" s="1005">
        <f t="shared" si="118"/>
        <v>0</v>
      </c>
      <c r="P225" s="1005">
        <f t="shared" si="118"/>
        <v>0</v>
      </c>
      <c r="Q225" s="1005">
        <f t="shared" si="118"/>
        <v>0</v>
      </c>
      <c r="R225" s="1005">
        <f t="shared" si="118"/>
        <v>0</v>
      </c>
      <c r="S225" s="1005">
        <f t="shared" si="118"/>
        <v>0</v>
      </c>
      <c r="T225" s="1005">
        <f t="shared" si="118"/>
        <v>0</v>
      </c>
      <c r="U225" s="1075">
        <f t="shared" si="119"/>
        <v>0</v>
      </c>
      <c r="X225" s="301"/>
      <c r="Y225" s="5044"/>
      <c r="Z225" s="985">
        <f t="shared" si="131"/>
        <v>0</v>
      </c>
      <c r="AA225" s="985">
        <f>IF(Y225=0,0,VLOOKUP(Y225,Precios!$B$216:$D$307,3,FALSE))</f>
        <v>0</v>
      </c>
      <c r="AB225" s="986"/>
      <c r="AC225" s="1059">
        <f>IF(Y225=0,0,VLOOKUP(Y225,Precios!$B$216:$D$307,2,FALSE))</f>
        <v>0</v>
      </c>
      <c r="AD225" s="1067">
        <f t="shared" si="128"/>
        <v>0</v>
      </c>
      <c r="AE225" s="309"/>
      <c r="AF225" s="1074">
        <f t="shared" si="129"/>
        <v>0</v>
      </c>
      <c r="AG225" s="1005">
        <f t="shared" si="120"/>
        <v>0</v>
      </c>
      <c r="AH225" s="1005">
        <f t="shared" si="120"/>
        <v>0</v>
      </c>
      <c r="AI225" s="1005">
        <f t="shared" si="120"/>
        <v>0</v>
      </c>
      <c r="AJ225" s="1005">
        <f t="shared" si="120"/>
        <v>0</v>
      </c>
      <c r="AK225" s="1005">
        <f t="shared" si="120"/>
        <v>0</v>
      </c>
      <c r="AL225" s="1005">
        <f t="shared" si="120"/>
        <v>0</v>
      </c>
      <c r="AM225" s="1005">
        <f t="shared" si="120"/>
        <v>0</v>
      </c>
      <c r="AN225" s="1005">
        <f t="shared" si="120"/>
        <v>0</v>
      </c>
      <c r="AO225" s="1005">
        <f t="shared" si="120"/>
        <v>0</v>
      </c>
      <c r="AP225" s="1005">
        <f t="shared" si="120"/>
        <v>0</v>
      </c>
      <c r="AQ225" s="1005">
        <f t="shared" si="120"/>
        <v>0</v>
      </c>
      <c r="AR225" s="1075">
        <f t="shared" si="121"/>
        <v>0</v>
      </c>
    </row>
    <row r="226" spans="1:46" ht="15.05" thickBot="1" x14ac:dyDescent="0.35">
      <c r="A226" s="205"/>
      <c r="B226" s="5044"/>
      <c r="C226" s="985">
        <f t="shared" si="122"/>
        <v>0</v>
      </c>
      <c r="D226" s="985">
        <f>IF(B226=0,0,VLOOKUP(B226,Precios!$B$216:$D$307,3,FALSE))</f>
        <v>0</v>
      </c>
      <c r="E226" s="5049"/>
      <c r="F226" s="1059">
        <f>IF(B226=0,0,VLOOKUP(B226,Precios!$B$216:$D$307,2,FALSE))</f>
        <v>0</v>
      </c>
      <c r="G226" s="1067">
        <f t="shared" si="127"/>
        <v>0</v>
      </c>
      <c r="H226" s="309"/>
      <c r="I226" s="1074">
        <f t="shared" si="130"/>
        <v>0</v>
      </c>
      <c r="J226" s="1005">
        <f t="shared" si="118"/>
        <v>0</v>
      </c>
      <c r="K226" s="1005">
        <f t="shared" si="118"/>
        <v>0</v>
      </c>
      <c r="L226" s="1005">
        <f t="shared" si="118"/>
        <v>0</v>
      </c>
      <c r="M226" s="1005">
        <f t="shared" si="118"/>
        <v>0</v>
      </c>
      <c r="N226" s="1005">
        <f t="shared" si="118"/>
        <v>0</v>
      </c>
      <c r="O226" s="1005">
        <f t="shared" si="118"/>
        <v>0</v>
      </c>
      <c r="P226" s="1005">
        <f t="shared" si="118"/>
        <v>0</v>
      </c>
      <c r="Q226" s="1005">
        <f t="shared" si="118"/>
        <v>0</v>
      </c>
      <c r="R226" s="1005">
        <f t="shared" si="118"/>
        <v>0</v>
      </c>
      <c r="S226" s="1005">
        <f t="shared" si="118"/>
        <v>0</v>
      </c>
      <c r="T226" s="1005">
        <f t="shared" si="118"/>
        <v>0</v>
      </c>
      <c r="U226" s="1075">
        <f t="shared" si="119"/>
        <v>0</v>
      </c>
      <c r="X226" s="301"/>
      <c r="Y226" s="5044"/>
      <c r="Z226" s="985">
        <f t="shared" si="131"/>
        <v>0</v>
      </c>
      <c r="AA226" s="985">
        <f>IF(Y226=0,0,VLOOKUP(Y226,Precios!$B$216:$D$307,3,FALSE))</f>
        <v>0</v>
      </c>
      <c r="AB226" s="986"/>
      <c r="AC226" s="1059">
        <f>IF(Y226=0,0,VLOOKUP(Y226,Precios!$B$216:$D$307,2,FALSE))</f>
        <v>0</v>
      </c>
      <c r="AD226" s="1067">
        <f t="shared" si="128"/>
        <v>0</v>
      </c>
      <c r="AE226" s="309"/>
      <c r="AF226" s="1074">
        <f t="shared" si="129"/>
        <v>0</v>
      </c>
      <c r="AG226" s="1005">
        <f t="shared" si="120"/>
        <v>0</v>
      </c>
      <c r="AH226" s="1005">
        <f t="shared" si="120"/>
        <v>0</v>
      </c>
      <c r="AI226" s="1005">
        <f t="shared" si="120"/>
        <v>0</v>
      </c>
      <c r="AJ226" s="1005">
        <f t="shared" si="120"/>
        <v>0</v>
      </c>
      <c r="AK226" s="1005">
        <f t="shared" si="120"/>
        <v>0</v>
      </c>
      <c r="AL226" s="1005">
        <f t="shared" si="120"/>
        <v>0</v>
      </c>
      <c r="AM226" s="1005">
        <f t="shared" si="120"/>
        <v>0</v>
      </c>
      <c r="AN226" s="1005">
        <f t="shared" si="120"/>
        <v>0</v>
      </c>
      <c r="AO226" s="1005">
        <f t="shared" si="120"/>
        <v>0</v>
      </c>
      <c r="AP226" s="1005">
        <f t="shared" si="120"/>
        <v>0</v>
      </c>
      <c r="AQ226" s="1005">
        <f t="shared" si="120"/>
        <v>0</v>
      </c>
      <c r="AR226" s="1075">
        <f t="shared" si="121"/>
        <v>0</v>
      </c>
    </row>
    <row r="227" spans="1:46" ht="15.05" thickBot="1" x14ac:dyDescent="0.35">
      <c r="A227" s="205"/>
      <c r="B227" s="5044"/>
      <c r="C227" s="985">
        <f t="shared" si="122"/>
        <v>0</v>
      </c>
      <c r="D227" s="985">
        <f>IF(B227=0,0,VLOOKUP(B227,Precios!$B$216:$D$307,3,FALSE))</f>
        <v>0</v>
      </c>
      <c r="E227" s="5049"/>
      <c r="F227" s="1059">
        <f>IF(B227=0,0,VLOOKUP(B227,Precios!$B$216:$D$307,2,FALSE))</f>
        <v>0</v>
      </c>
      <c r="G227" s="1067">
        <f t="shared" si="127"/>
        <v>0</v>
      </c>
      <c r="H227" s="309"/>
      <c r="I227" s="1074">
        <f t="shared" si="130"/>
        <v>0</v>
      </c>
      <c r="J227" s="1005">
        <f t="shared" si="130"/>
        <v>0</v>
      </c>
      <c r="K227" s="1005">
        <f t="shared" si="130"/>
        <v>0</v>
      </c>
      <c r="L227" s="1005">
        <f t="shared" si="130"/>
        <v>0</v>
      </c>
      <c r="M227" s="1005">
        <f t="shared" si="130"/>
        <v>0</v>
      </c>
      <c r="N227" s="1005">
        <f t="shared" si="130"/>
        <v>0</v>
      </c>
      <c r="O227" s="1005">
        <f t="shared" si="130"/>
        <v>0</v>
      </c>
      <c r="P227" s="1005">
        <f t="shared" si="130"/>
        <v>0</v>
      </c>
      <c r="Q227" s="1005">
        <f t="shared" si="130"/>
        <v>0</v>
      </c>
      <c r="R227" s="1005">
        <f t="shared" si="130"/>
        <v>0</v>
      </c>
      <c r="S227" s="1005">
        <f t="shared" si="130"/>
        <v>0</v>
      </c>
      <c r="T227" s="1005">
        <f t="shared" si="130"/>
        <v>0</v>
      </c>
      <c r="U227" s="1075">
        <f t="shared" si="119"/>
        <v>0</v>
      </c>
      <c r="X227" s="301"/>
      <c r="Y227" s="5044"/>
      <c r="Z227" s="985">
        <f t="shared" si="131"/>
        <v>0</v>
      </c>
      <c r="AA227" s="985">
        <f>IF(Y227=0,0,VLOOKUP(Y227,Precios!$B$216:$D$307,3,FALSE))</f>
        <v>0</v>
      </c>
      <c r="AB227" s="986"/>
      <c r="AC227" s="1059">
        <f>IF(Y227=0,0,VLOOKUP(Y227,Precios!$B$216:$D$307,2,FALSE))</f>
        <v>0</v>
      </c>
      <c r="AD227" s="1067">
        <f t="shared" si="128"/>
        <v>0</v>
      </c>
      <c r="AE227" s="309"/>
      <c r="AF227" s="1074">
        <f t="shared" si="129"/>
        <v>0</v>
      </c>
      <c r="AG227" s="1005">
        <f t="shared" si="129"/>
        <v>0</v>
      </c>
      <c r="AH227" s="1005">
        <f t="shared" si="129"/>
        <v>0</v>
      </c>
      <c r="AI227" s="1005">
        <f t="shared" si="129"/>
        <v>0</v>
      </c>
      <c r="AJ227" s="1005">
        <f t="shared" si="129"/>
        <v>0</v>
      </c>
      <c r="AK227" s="1005">
        <f t="shared" si="129"/>
        <v>0</v>
      </c>
      <c r="AL227" s="1005">
        <f t="shared" si="129"/>
        <v>0</v>
      </c>
      <c r="AM227" s="1005">
        <f t="shared" si="129"/>
        <v>0</v>
      </c>
      <c r="AN227" s="1005">
        <f t="shared" si="129"/>
        <v>0</v>
      </c>
      <c r="AO227" s="1005">
        <f t="shared" si="129"/>
        <v>0</v>
      </c>
      <c r="AP227" s="1005">
        <f t="shared" si="129"/>
        <v>0</v>
      </c>
      <c r="AQ227" s="1005">
        <f t="shared" si="129"/>
        <v>0</v>
      </c>
      <c r="AR227" s="1075">
        <f t="shared" si="121"/>
        <v>0</v>
      </c>
    </row>
    <row r="228" spans="1:46" ht="15.05" thickBot="1" x14ac:dyDescent="0.35">
      <c r="A228" s="205"/>
      <c r="B228" s="5044"/>
      <c r="C228" s="985">
        <f t="shared" si="122"/>
        <v>0</v>
      </c>
      <c r="D228" s="985">
        <f>IF(B228=0,0,VLOOKUP(B228,Precios!$B$216:$D$307,3,FALSE))</f>
        <v>0</v>
      </c>
      <c r="E228" s="5049"/>
      <c r="F228" s="1059">
        <f>IF(B228=0,0,VLOOKUP(B228,Precios!$B$216:$D$307,2,FALSE))</f>
        <v>0</v>
      </c>
      <c r="G228" s="1067">
        <f t="shared" si="127"/>
        <v>0</v>
      </c>
      <c r="H228" s="309"/>
      <c r="I228" s="1074">
        <f t="shared" si="130"/>
        <v>0</v>
      </c>
      <c r="J228" s="1005">
        <f t="shared" si="130"/>
        <v>0</v>
      </c>
      <c r="K228" s="1005">
        <f t="shared" si="130"/>
        <v>0</v>
      </c>
      <c r="L228" s="1005">
        <f t="shared" si="130"/>
        <v>0</v>
      </c>
      <c r="M228" s="1005">
        <f t="shared" si="130"/>
        <v>0</v>
      </c>
      <c r="N228" s="1005">
        <f t="shared" si="130"/>
        <v>0</v>
      </c>
      <c r="O228" s="1005">
        <f t="shared" si="130"/>
        <v>0</v>
      </c>
      <c r="P228" s="1005">
        <f t="shared" si="130"/>
        <v>0</v>
      </c>
      <c r="Q228" s="1005">
        <f t="shared" si="130"/>
        <v>0</v>
      </c>
      <c r="R228" s="1005">
        <f t="shared" si="130"/>
        <v>0</v>
      </c>
      <c r="S228" s="1005">
        <f t="shared" si="130"/>
        <v>0</v>
      </c>
      <c r="T228" s="1005">
        <f t="shared" si="130"/>
        <v>0</v>
      </c>
      <c r="U228" s="1075">
        <f t="shared" si="119"/>
        <v>0</v>
      </c>
      <c r="X228" s="301"/>
      <c r="Y228" s="5044"/>
      <c r="Z228" s="985">
        <f t="shared" si="131"/>
        <v>0</v>
      </c>
      <c r="AA228" s="985">
        <f>IF(Y228=0,0,VLOOKUP(Y228,Precios!$B$216:$D$307,3,FALSE))</f>
        <v>0</v>
      </c>
      <c r="AB228" s="986"/>
      <c r="AC228" s="1059">
        <f>IF(Y228=0,0,VLOOKUP(Y228,Precios!$B$216:$D$307,2,FALSE))</f>
        <v>0</v>
      </c>
      <c r="AD228" s="1067">
        <f t="shared" si="128"/>
        <v>0</v>
      </c>
      <c r="AE228" s="309"/>
      <c r="AF228" s="1074">
        <f t="shared" si="129"/>
        <v>0</v>
      </c>
      <c r="AG228" s="1005">
        <f t="shared" si="129"/>
        <v>0</v>
      </c>
      <c r="AH228" s="1005">
        <f t="shared" si="129"/>
        <v>0</v>
      </c>
      <c r="AI228" s="1005">
        <f t="shared" si="129"/>
        <v>0</v>
      </c>
      <c r="AJ228" s="1005">
        <f t="shared" si="129"/>
        <v>0</v>
      </c>
      <c r="AK228" s="1005">
        <f t="shared" si="129"/>
        <v>0</v>
      </c>
      <c r="AL228" s="1005">
        <f t="shared" si="129"/>
        <v>0</v>
      </c>
      <c r="AM228" s="1005">
        <f t="shared" si="129"/>
        <v>0</v>
      </c>
      <c r="AN228" s="1005">
        <f t="shared" si="129"/>
        <v>0</v>
      </c>
      <c r="AO228" s="1005">
        <f t="shared" si="129"/>
        <v>0</v>
      </c>
      <c r="AP228" s="1005">
        <f t="shared" si="129"/>
        <v>0</v>
      </c>
      <c r="AQ228" s="1005">
        <f t="shared" si="129"/>
        <v>0</v>
      </c>
      <c r="AR228" s="1075">
        <f t="shared" ref="AR228:AR241" si="132">SUM(AF228:AQ228)</f>
        <v>0</v>
      </c>
    </row>
    <row r="229" spans="1:46" ht="15.05" thickBot="1" x14ac:dyDescent="0.35">
      <c r="A229" s="205"/>
      <c r="B229" s="5044"/>
      <c r="C229" s="985">
        <f t="shared" si="122"/>
        <v>0</v>
      </c>
      <c r="D229" s="985">
        <f>IF(B229=0,0,VLOOKUP(B229,Precios!$B$216:$D$307,3,FALSE))</f>
        <v>0</v>
      </c>
      <c r="E229" s="5049"/>
      <c r="F229" s="1059">
        <f>IF(B229=0,0,VLOOKUP(B229,Precios!$B$216:$D$307,2,FALSE))</f>
        <v>0</v>
      </c>
      <c r="G229" s="1067">
        <f t="shared" si="127"/>
        <v>0</v>
      </c>
      <c r="H229" s="309"/>
      <c r="I229" s="1074">
        <f t="shared" si="130"/>
        <v>0</v>
      </c>
      <c r="J229" s="1005">
        <f t="shared" si="130"/>
        <v>0</v>
      </c>
      <c r="K229" s="1005">
        <f t="shared" si="130"/>
        <v>0</v>
      </c>
      <c r="L229" s="1005">
        <f t="shared" si="130"/>
        <v>0</v>
      </c>
      <c r="M229" s="1005">
        <f t="shared" si="130"/>
        <v>0</v>
      </c>
      <c r="N229" s="1005">
        <f t="shared" si="130"/>
        <v>0</v>
      </c>
      <c r="O229" s="1005">
        <f t="shared" si="130"/>
        <v>0</v>
      </c>
      <c r="P229" s="1005">
        <f t="shared" si="130"/>
        <v>0</v>
      </c>
      <c r="Q229" s="1005">
        <f t="shared" si="130"/>
        <v>0</v>
      </c>
      <c r="R229" s="1005">
        <f t="shared" si="130"/>
        <v>0</v>
      </c>
      <c r="S229" s="1005">
        <f t="shared" si="130"/>
        <v>0</v>
      </c>
      <c r="T229" s="1005">
        <f t="shared" si="130"/>
        <v>0</v>
      </c>
      <c r="U229" s="1075">
        <f t="shared" si="119"/>
        <v>0</v>
      </c>
      <c r="X229" s="301"/>
      <c r="Y229" s="5044"/>
      <c r="Z229" s="985">
        <f t="shared" si="131"/>
        <v>0</v>
      </c>
      <c r="AA229" s="985">
        <f>IF(Y229=0,0,VLOOKUP(Y229,Precios!$B$216:$D$307,3,FALSE))</f>
        <v>0</v>
      </c>
      <c r="AB229" s="986"/>
      <c r="AC229" s="1059">
        <f>IF(Y229=0,0,VLOOKUP(Y229,Precios!$B$216:$D$307,2,FALSE))</f>
        <v>0</v>
      </c>
      <c r="AD229" s="1067">
        <f t="shared" si="128"/>
        <v>0</v>
      </c>
      <c r="AE229" s="309"/>
      <c r="AF229" s="1074">
        <f t="shared" si="129"/>
        <v>0</v>
      </c>
      <c r="AG229" s="1005">
        <f t="shared" si="129"/>
        <v>0</v>
      </c>
      <c r="AH229" s="1005">
        <f t="shared" si="129"/>
        <v>0</v>
      </c>
      <c r="AI229" s="1005">
        <f t="shared" si="129"/>
        <v>0</v>
      </c>
      <c r="AJ229" s="1005">
        <f t="shared" si="129"/>
        <v>0</v>
      </c>
      <c r="AK229" s="1005">
        <f t="shared" si="129"/>
        <v>0</v>
      </c>
      <c r="AL229" s="1005">
        <f t="shared" si="129"/>
        <v>0</v>
      </c>
      <c r="AM229" s="1005">
        <f t="shared" si="129"/>
        <v>0</v>
      </c>
      <c r="AN229" s="1005">
        <f t="shared" si="129"/>
        <v>0</v>
      </c>
      <c r="AO229" s="1005">
        <f t="shared" si="129"/>
        <v>0</v>
      </c>
      <c r="AP229" s="1005">
        <f t="shared" si="129"/>
        <v>0</v>
      </c>
      <c r="AQ229" s="1005">
        <f t="shared" si="129"/>
        <v>0</v>
      </c>
      <c r="AR229" s="1075">
        <f t="shared" si="132"/>
        <v>0</v>
      </c>
    </row>
    <row r="230" spans="1:46" x14ac:dyDescent="0.3">
      <c r="A230" s="205"/>
      <c r="B230" s="5046"/>
      <c r="C230" s="1057">
        <f t="shared" si="122"/>
        <v>0</v>
      </c>
      <c r="D230" s="1057">
        <f>IF(B230=0,0,VLOOKUP(B230,Precios!$B$216:$D$307,3,FALSE))</f>
        <v>0</v>
      </c>
      <c r="E230" s="5050"/>
      <c r="F230" s="1061">
        <f>IF(B230=0,0,VLOOKUP(B230,Precios!$B$216:$D$307,2,FALSE))</f>
        <v>0</v>
      </c>
      <c r="G230" s="1068">
        <f t="shared" si="127"/>
        <v>0</v>
      </c>
      <c r="H230" s="309"/>
      <c r="I230" s="1076">
        <f t="shared" si="130"/>
        <v>0</v>
      </c>
      <c r="J230" s="1077">
        <f t="shared" si="130"/>
        <v>0</v>
      </c>
      <c r="K230" s="1077">
        <f t="shared" si="130"/>
        <v>0</v>
      </c>
      <c r="L230" s="1077">
        <f t="shared" si="130"/>
        <v>0</v>
      </c>
      <c r="M230" s="1077">
        <f t="shared" si="130"/>
        <v>0</v>
      </c>
      <c r="N230" s="1077">
        <f t="shared" si="130"/>
        <v>0</v>
      </c>
      <c r="O230" s="1077">
        <f t="shared" si="130"/>
        <v>0</v>
      </c>
      <c r="P230" s="1077">
        <f t="shared" si="130"/>
        <v>0</v>
      </c>
      <c r="Q230" s="1077">
        <f t="shared" si="130"/>
        <v>0</v>
      </c>
      <c r="R230" s="1077">
        <f t="shared" si="130"/>
        <v>0</v>
      </c>
      <c r="S230" s="1077">
        <f t="shared" si="130"/>
        <v>0</v>
      </c>
      <c r="T230" s="1077">
        <f t="shared" si="130"/>
        <v>0</v>
      </c>
      <c r="U230" s="1078">
        <f t="shared" si="119"/>
        <v>0</v>
      </c>
      <c r="X230" s="301"/>
      <c r="Y230" s="5046"/>
      <c r="Z230" s="1057">
        <f t="shared" si="131"/>
        <v>0</v>
      </c>
      <c r="AA230" s="1057">
        <f>IF(Y230=0,0,VLOOKUP(Y230,Precios!$B$216:$D$307,3,FALSE))</f>
        <v>0</v>
      </c>
      <c r="AB230" s="1060"/>
      <c r="AC230" s="1061">
        <f>IF(Y230=0,0,VLOOKUP(Y230,Precios!$B$216:$D$307,2,FALSE))</f>
        <v>0</v>
      </c>
      <c r="AD230" s="1068">
        <f t="shared" si="128"/>
        <v>0</v>
      </c>
      <c r="AE230" s="309"/>
      <c r="AF230" s="1076">
        <f t="shared" si="129"/>
        <v>0</v>
      </c>
      <c r="AG230" s="1077">
        <f t="shared" si="129"/>
        <v>0</v>
      </c>
      <c r="AH230" s="1077">
        <f t="shared" si="129"/>
        <v>0</v>
      </c>
      <c r="AI230" s="1077">
        <f t="shared" si="129"/>
        <v>0</v>
      </c>
      <c r="AJ230" s="1077">
        <f t="shared" si="129"/>
        <v>0</v>
      </c>
      <c r="AK230" s="1077">
        <f t="shared" si="129"/>
        <v>0</v>
      </c>
      <c r="AL230" s="1077">
        <f t="shared" si="129"/>
        <v>0</v>
      </c>
      <c r="AM230" s="1077">
        <f t="shared" si="129"/>
        <v>0</v>
      </c>
      <c r="AN230" s="1077">
        <f t="shared" si="129"/>
        <v>0</v>
      </c>
      <c r="AO230" s="1077">
        <f t="shared" si="129"/>
        <v>0</v>
      </c>
      <c r="AP230" s="1077">
        <f t="shared" si="129"/>
        <v>0</v>
      </c>
      <c r="AQ230" s="1077">
        <f t="shared" si="129"/>
        <v>0</v>
      </c>
      <c r="AR230" s="1078">
        <f t="shared" si="132"/>
        <v>0</v>
      </c>
    </row>
    <row r="231" spans="1:46" x14ac:dyDescent="0.3">
      <c r="A231" s="205"/>
      <c r="B231" s="647" t="s">
        <v>1085</v>
      </c>
      <c r="C231" s="305"/>
      <c r="D231" s="305"/>
      <c r="E231" s="305"/>
      <c r="F231" s="650"/>
      <c r="G231" s="305"/>
      <c r="H231" s="310"/>
      <c r="I231" s="904">
        <f t="shared" ref="I231:T231" si="133">SUM(I223:I230)</f>
        <v>0</v>
      </c>
      <c r="J231" s="904">
        <f t="shared" si="133"/>
        <v>0</v>
      </c>
      <c r="K231" s="904">
        <f t="shared" si="133"/>
        <v>0</v>
      </c>
      <c r="L231" s="904">
        <f t="shared" si="133"/>
        <v>0</v>
      </c>
      <c r="M231" s="904">
        <f t="shared" si="133"/>
        <v>0</v>
      </c>
      <c r="N231" s="904">
        <f t="shared" si="133"/>
        <v>0</v>
      </c>
      <c r="O231" s="904">
        <f t="shared" si="133"/>
        <v>0</v>
      </c>
      <c r="P231" s="904">
        <f t="shared" si="133"/>
        <v>0</v>
      </c>
      <c r="Q231" s="904">
        <f t="shared" si="133"/>
        <v>0</v>
      </c>
      <c r="R231" s="904">
        <f t="shared" si="133"/>
        <v>0</v>
      </c>
      <c r="S231" s="904">
        <f t="shared" si="133"/>
        <v>0</v>
      </c>
      <c r="T231" s="904">
        <f t="shared" si="133"/>
        <v>0</v>
      </c>
      <c r="U231" s="905">
        <f>SUM(I231:T231)</f>
        <v>0</v>
      </c>
      <c r="W231" s="232" t="str">
        <f>B222&amp;B205</f>
        <v>Semillas0</v>
      </c>
      <c r="X231" s="301"/>
      <c r="Y231" s="647" t="s">
        <v>1085</v>
      </c>
      <c r="Z231" s="305"/>
      <c r="AA231" s="305"/>
      <c r="AB231" s="305"/>
      <c r="AC231" s="650"/>
      <c r="AD231" s="305"/>
      <c r="AE231" s="310"/>
      <c r="AF231" s="904">
        <f t="shared" ref="AF231:AQ231" si="134">SUM(AF223:AF230)</f>
        <v>0</v>
      </c>
      <c r="AG231" s="904">
        <f t="shared" si="134"/>
        <v>0</v>
      </c>
      <c r="AH231" s="904">
        <f t="shared" si="134"/>
        <v>0</v>
      </c>
      <c r="AI231" s="904">
        <f t="shared" si="134"/>
        <v>0</v>
      </c>
      <c r="AJ231" s="904">
        <f t="shared" si="134"/>
        <v>0</v>
      </c>
      <c r="AK231" s="904">
        <f t="shared" si="134"/>
        <v>0</v>
      </c>
      <c r="AL231" s="904">
        <f t="shared" si="134"/>
        <v>0</v>
      </c>
      <c r="AM231" s="904">
        <f t="shared" si="134"/>
        <v>0</v>
      </c>
      <c r="AN231" s="904">
        <f t="shared" si="134"/>
        <v>0</v>
      </c>
      <c r="AO231" s="904">
        <f t="shared" si="134"/>
        <v>0</v>
      </c>
      <c r="AP231" s="904">
        <f t="shared" si="134"/>
        <v>0</v>
      </c>
      <c r="AQ231" s="904">
        <f t="shared" si="134"/>
        <v>0</v>
      </c>
      <c r="AR231" s="905">
        <f>SUM(AF231:AQ231)</f>
        <v>0</v>
      </c>
      <c r="AT231" s="232" t="str">
        <f>Y222&amp;Y205</f>
        <v>Semillas0</v>
      </c>
    </row>
    <row r="232" spans="1:46" x14ac:dyDescent="0.2">
      <c r="A232" s="205"/>
      <c r="B232" s="197" t="s">
        <v>339</v>
      </c>
      <c r="C232" s="307"/>
      <c r="D232" s="307"/>
      <c r="E232" s="308"/>
      <c r="F232" s="651"/>
      <c r="G232" s="308"/>
      <c r="H232" s="307"/>
      <c r="I232" s="307"/>
      <c r="J232" s="307"/>
      <c r="K232" s="307"/>
      <c r="L232" s="307"/>
      <c r="M232" s="307"/>
      <c r="N232" s="307"/>
      <c r="O232" s="307"/>
      <c r="P232" s="307"/>
      <c r="Q232" s="307"/>
      <c r="R232" s="307"/>
      <c r="S232" s="307"/>
      <c r="T232" s="307"/>
      <c r="U232" s="646"/>
      <c r="X232" s="301"/>
      <c r="Y232" s="197" t="s">
        <v>339</v>
      </c>
      <c r="Z232" s="307"/>
      <c r="AA232" s="307"/>
      <c r="AB232" s="308"/>
      <c r="AC232" s="651"/>
      <c r="AD232" s="308"/>
      <c r="AE232" s="307"/>
      <c r="AF232" s="307"/>
      <c r="AG232" s="307"/>
      <c r="AH232" s="307"/>
      <c r="AI232" s="307"/>
      <c r="AJ232" s="307"/>
      <c r="AK232" s="307"/>
      <c r="AL232" s="307"/>
      <c r="AM232" s="307"/>
      <c r="AN232" s="307"/>
      <c r="AO232" s="307"/>
      <c r="AP232" s="307"/>
      <c r="AQ232" s="307"/>
      <c r="AR232" s="646"/>
    </row>
    <row r="233" spans="1:46" ht="15.05" thickBot="1" x14ac:dyDescent="0.35">
      <c r="A233" s="205"/>
      <c r="B233" s="5042"/>
      <c r="C233" s="1056">
        <f t="shared" si="122"/>
        <v>0</v>
      </c>
      <c r="D233" s="1056">
        <f>IF(B233=0,0,VLOOKUP(B233,Precios!$B$216:$D$307,3,FALSE))</f>
        <v>0</v>
      </c>
      <c r="E233" s="5048"/>
      <c r="F233" s="1063">
        <f>IF(B233=0,0,VLOOKUP(B233,Precios!$B$216:$D$307,2,FALSE))</f>
        <v>0</v>
      </c>
      <c r="G233" s="1066">
        <f>E233*F233</f>
        <v>0</v>
      </c>
      <c r="H233" s="309"/>
      <c r="I233" s="1072">
        <f t="shared" si="130"/>
        <v>0</v>
      </c>
      <c r="J233" s="1033">
        <f t="shared" si="130"/>
        <v>0</v>
      </c>
      <c r="K233" s="1033">
        <f t="shared" si="130"/>
        <v>0</v>
      </c>
      <c r="L233" s="1033">
        <f t="shared" si="130"/>
        <v>0</v>
      </c>
      <c r="M233" s="1033">
        <f t="shared" si="130"/>
        <v>0</v>
      </c>
      <c r="N233" s="1033">
        <f t="shared" si="130"/>
        <v>0</v>
      </c>
      <c r="O233" s="1033">
        <f t="shared" si="130"/>
        <v>0</v>
      </c>
      <c r="P233" s="1033">
        <f t="shared" si="130"/>
        <v>0</v>
      </c>
      <c r="Q233" s="1033">
        <f t="shared" si="130"/>
        <v>0</v>
      </c>
      <c r="R233" s="1033">
        <f t="shared" si="130"/>
        <v>0</v>
      </c>
      <c r="S233" s="1033">
        <f t="shared" si="130"/>
        <v>0</v>
      </c>
      <c r="T233" s="1033">
        <f t="shared" si="130"/>
        <v>0</v>
      </c>
      <c r="U233" s="1073">
        <f t="shared" ref="U233:U241" si="135">SUM(I233:T233)</f>
        <v>0</v>
      </c>
      <c r="X233" s="301"/>
      <c r="Y233" s="5042"/>
      <c r="Z233" s="1056">
        <f t="shared" si="131"/>
        <v>0</v>
      </c>
      <c r="AA233" s="1056">
        <f>IF(Y233=0,0,VLOOKUP(Y233,Precios!$B$216:$D$307,3,FALSE))</f>
        <v>0</v>
      </c>
      <c r="AB233" s="1058"/>
      <c r="AC233" s="1063">
        <f>IF(Y233=0,0,VLOOKUP(Y233,Precios!$B$216:$D$307,2,FALSE))</f>
        <v>0</v>
      </c>
      <c r="AD233" s="1066">
        <f>AB233*AC233</f>
        <v>0</v>
      </c>
      <c r="AE233" s="309"/>
      <c r="AF233" s="1072">
        <f t="shared" ref="AF233:AQ240" si="136">IF($Z233&gt;0,AF$206*$AB233,0)</f>
        <v>0</v>
      </c>
      <c r="AG233" s="1033">
        <f t="shared" si="136"/>
        <v>0</v>
      </c>
      <c r="AH233" s="1033">
        <f t="shared" si="136"/>
        <v>0</v>
      </c>
      <c r="AI233" s="1033">
        <f t="shared" si="136"/>
        <v>0</v>
      </c>
      <c r="AJ233" s="1033">
        <f t="shared" si="136"/>
        <v>0</v>
      </c>
      <c r="AK233" s="1033">
        <f t="shared" si="136"/>
        <v>0</v>
      </c>
      <c r="AL233" s="1033">
        <f t="shared" si="136"/>
        <v>0</v>
      </c>
      <c r="AM233" s="1033">
        <f t="shared" si="136"/>
        <v>0</v>
      </c>
      <c r="AN233" s="1033">
        <f t="shared" si="136"/>
        <v>0</v>
      </c>
      <c r="AO233" s="1033">
        <f t="shared" si="136"/>
        <v>0</v>
      </c>
      <c r="AP233" s="1033">
        <f t="shared" si="136"/>
        <v>0</v>
      </c>
      <c r="AQ233" s="1033">
        <f t="shared" si="136"/>
        <v>0</v>
      </c>
      <c r="AR233" s="1073">
        <f t="shared" si="132"/>
        <v>0</v>
      </c>
    </row>
    <row r="234" spans="1:46" ht="15.05" thickBot="1" x14ac:dyDescent="0.35">
      <c r="A234" s="205"/>
      <c r="B234" s="5044"/>
      <c r="C234" s="985">
        <f t="shared" si="122"/>
        <v>0</v>
      </c>
      <c r="D234" s="985">
        <f>IF(B234=0,0,VLOOKUP(B234,Precios!$B$216:$D$307,3,FALSE))</f>
        <v>0</v>
      </c>
      <c r="E234" s="5049"/>
      <c r="F234" s="1064">
        <f>IF(B234=0,0,VLOOKUP(B234,Precios!$B$216:$D$307,2,FALSE))</f>
        <v>0</v>
      </c>
      <c r="G234" s="1067">
        <f>E234*F234</f>
        <v>0</v>
      </c>
      <c r="H234" s="309"/>
      <c r="I234" s="1074">
        <f t="shared" si="130"/>
        <v>0</v>
      </c>
      <c r="J234" s="1005">
        <f t="shared" si="130"/>
        <v>0</v>
      </c>
      <c r="K234" s="1005">
        <f t="shared" si="130"/>
        <v>0</v>
      </c>
      <c r="L234" s="1005">
        <f t="shared" si="130"/>
        <v>0</v>
      </c>
      <c r="M234" s="1005">
        <f t="shared" si="130"/>
        <v>0</v>
      </c>
      <c r="N234" s="1005">
        <f t="shared" si="130"/>
        <v>0</v>
      </c>
      <c r="O234" s="1005">
        <f t="shared" si="130"/>
        <v>0</v>
      </c>
      <c r="P234" s="1005">
        <f t="shared" si="130"/>
        <v>0</v>
      </c>
      <c r="Q234" s="1005">
        <f t="shared" si="130"/>
        <v>0</v>
      </c>
      <c r="R234" s="1005">
        <f t="shared" si="130"/>
        <v>0</v>
      </c>
      <c r="S234" s="1005">
        <f t="shared" si="130"/>
        <v>0</v>
      </c>
      <c r="T234" s="1005">
        <f t="shared" si="130"/>
        <v>0</v>
      </c>
      <c r="U234" s="1075">
        <f t="shared" si="135"/>
        <v>0</v>
      </c>
      <c r="X234" s="301"/>
      <c r="Y234" s="5044"/>
      <c r="Z234" s="985">
        <f t="shared" si="131"/>
        <v>0</v>
      </c>
      <c r="AA234" s="985">
        <f>IF(Y234=0,0,VLOOKUP(Y234,Precios!$B$216:$D$307,3,FALSE))</f>
        <v>0</v>
      </c>
      <c r="AB234" s="986"/>
      <c r="AC234" s="1064">
        <f>IF(Y234=0,0,VLOOKUP(Y234,Precios!$B$216:$D$307,2,FALSE))</f>
        <v>0</v>
      </c>
      <c r="AD234" s="1067">
        <f>AB234*AC234</f>
        <v>0</v>
      </c>
      <c r="AE234" s="309"/>
      <c r="AF234" s="1074">
        <f t="shared" si="136"/>
        <v>0</v>
      </c>
      <c r="AG234" s="1005">
        <f t="shared" si="136"/>
        <v>0</v>
      </c>
      <c r="AH234" s="1005">
        <f t="shared" si="136"/>
        <v>0</v>
      </c>
      <c r="AI234" s="1005">
        <f t="shared" si="136"/>
        <v>0</v>
      </c>
      <c r="AJ234" s="1005">
        <f t="shared" si="136"/>
        <v>0</v>
      </c>
      <c r="AK234" s="1005">
        <f t="shared" si="136"/>
        <v>0</v>
      </c>
      <c r="AL234" s="1005">
        <f t="shared" si="136"/>
        <v>0</v>
      </c>
      <c r="AM234" s="1005">
        <f t="shared" si="136"/>
        <v>0</v>
      </c>
      <c r="AN234" s="1005">
        <f t="shared" si="136"/>
        <v>0</v>
      </c>
      <c r="AO234" s="1005">
        <f t="shared" si="136"/>
        <v>0</v>
      </c>
      <c r="AP234" s="1005">
        <f t="shared" si="136"/>
        <v>0</v>
      </c>
      <c r="AQ234" s="1005">
        <f t="shared" si="136"/>
        <v>0</v>
      </c>
      <c r="AR234" s="1075">
        <f t="shared" si="132"/>
        <v>0</v>
      </c>
    </row>
    <row r="235" spans="1:46" x14ac:dyDescent="0.3">
      <c r="A235" s="205"/>
      <c r="B235" s="5046"/>
      <c r="C235" s="1057">
        <f t="shared" si="122"/>
        <v>0</v>
      </c>
      <c r="D235" s="1057">
        <f>IF(B235=0,0,VLOOKUP(B235,Precios!$B$216:$D$307,3,FALSE))</f>
        <v>0</v>
      </c>
      <c r="E235" s="5050"/>
      <c r="F235" s="1065">
        <f>IF(B235=0,0,VLOOKUP(B235,Precios!$B$216:$D$307,2,FALSE))</f>
        <v>0</v>
      </c>
      <c r="G235" s="1068">
        <f>E235*F235</f>
        <v>0</v>
      </c>
      <c r="H235" s="309"/>
      <c r="I235" s="1079">
        <f t="shared" si="130"/>
        <v>0</v>
      </c>
      <c r="J235" s="1047">
        <f t="shared" si="130"/>
        <v>0</v>
      </c>
      <c r="K235" s="1047">
        <f t="shared" si="130"/>
        <v>0</v>
      </c>
      <c r="L235" s="1047">
        <f t="shared" si="130"/>
        <v>0</v>
      </c>
      <c r="M235" s="1047">
        <f t="shared" si="130"/>
        <v>0</v>
      </c>
      <c r="N235" s="1047">
        <f t="shared" si="130"/>
        <v>0</v>
      </c>
      <c r="O235" s="1047">
        <f t="shared" si="130"/>
        <v>0</v>
      </c>
      <c r="P235" s="1047">
        <f t="shared" si="130"/>
        <v>0</v>
      </c>
      <c r="Q235" s="1047">
        <f t="shared" si="130"/>
        <v>0</v>
      </c>
      <c r="R235" s="1047">
        <f t="shared" si="130"/>
        <v>0</v>
      </c>
      <c r="S235" s="1047">
        <f t="shared" si="130"/>
        <v>0</v>
      </c>
      <c r="T235" s="1047">
        <f t="shared" si="130"/>
        <v>0</v>
      </c>
      <c r="U235" s="1080">
        <f t="shared" si="135"/>
        <v>0</v>
      </c>
      <c r="X235" s="301"/>
      <c r="Y235" s="5046"/>
      <c r="Z235" s="1057">
        <f t="shared" si="131"/>
        <v>0</v>
      </c>
      <c r="AA235" s="1057">
        <f>IF(Y235=0,0,VLOOKUP(Y235,Precios!$B$216:$D$307,3,FALSE))</f>
        <v>0</v>
      </c>
      <c r="AB235" s="1060"/>
      <c r="AC235" s="1065">
        <f>IF(Y235=0,0,VLOOKUP(Y235,Precios!$B$216:$D$307,2,FALSE))</f>
        <v>0</v>
      </c>
      <c r="AD235" s="1068">
        <f>AB235*AC235</f>
        <v>0</v>
      </c>
      <c r="AE235" s="309"/>
      <c r="AF235" s="1079">
        <f t="shared" si="136"/>
        <v>0</v>
      </c>
      <c r="AG235" s="1047">
        <f t="shared" si="136"/>
        <v>0</v>
      </c>
      <c r="AH235" s="1047">
        <f t="shared" si="136"/>
        <v>0</v>
      </c>
      <c r="AI235" s="1047">
        <f t="shared" si="136"/>
        <v>0</v>
      </c>
      <c r="AJ235" s="1047">
        <f t="shared" si="136"/>
        <v>0</v>
      </c>
      <c r="AK235" s="1047">
        <f t="shared" si="136"/>
        <v>0</v>
      </c>
      <c r="AL235" s="1047">
        <f t="shared" si="136"/>
        <v>0</v>
      </c>
      <c r="AM235" s="1047">
        <f t="shared" si="136"/>
        <v>0</v>
      </c>
      <c r="AN235" s="1047">
        <f t="shared" si="136"/>
        <v>0</v>
      </c>
      <c r="AO235" s="1047">
        <f t="shared" si="136"/>
        <v>0</v>
      </c>
      <c r="AP235" s="1047">
        <f t="shared" si="136"/>
        <v>0</v>
      </c>
      <c r="AQ235" s="1047">
        <f t="shared" si="136"/>
        <v>0</v>
      </c>
      <c r="AR235" s="1080">
        <f t="shared" si="132"/>
        <v>0</v>
      </c>
    </row>
    <row r="236" spans="1:46" x14ac:dyDescent="0.3">
      <c r="A236" s="205"/>
      <c r="B236" s="647" t="s">
        <v>1086</v>
      </c>
      <c r="C236" s="305"/>
      <c r="D236" s="305"/>
      <c r="E236" s="305"/>
      <c r="F236" s="650"/>
      <c r="G236" s="305"/>
      <c r="H236" s="306"/>
      <c r="I236" s="906">
        <f t="shared" ref="I236:T236" si="137">SUM(I233:I235)</f>
        <v>0</v>
      </c>
      <c r="J236" s="906">
        <f t="shared" si="137"/>
        <v>0</v>
      </c>
      <c r="K236" s="906">
        <f t="shared" si="137"/>
        <v>0</v>
      </c>
      <c r="L236" s="906">
        <f t="shared" si="137"/>
        <v>0</v>
      </c>
      <c r="M236" s="906">
        <f t="shared" si="137"/>
        <v>0</v>
      </c>
      <c r="N236" s="906">
        <f t="shared" si="137"/>
        <v>0</v>
      </c>
      <c r="O236" s="906">
        <f t="shared" si="137"/>
        <v>0</v>
      </c>
      <c r="P236" s="906">
        <f t="shared" si="137"/>
        <v>0</v>
      </c>
      <c r="Q236" s="906">
        <f t="shared" si="137"/>
        <v>0</v>
      </c>
      <c r="R236" s="906">
        <f t="shared" si="137"/>
        <v>0</v>
      </c>
      <c r="S236" s="906">
        <f t="shared" si="137"/>
        <v>0</v>
      </c>
      <c r="T236" s="907">
        <f t="shared" si="137"/>
        <v>0</v>
      </c>
      <c r="U236" s="905">
        <f>SUM(I236:T236)</f>
        <v>0</v>
      </c>
      <c r="W236" s="232" t="str">
        <f>B232&amp;B205</f>
        <v>Fertilizantes 0</v>
      </c>
      <c r="X236" s="301"/>
      <c r="Y236" s="647" t="s">
        <v>1086</v>
      </c>
      <c r="Z236" s="305"/>
      <c r="AA236" s="305"/>
      <c r="AB236" s="305"/>
      <c r="AC236" s="650"/>
      <c r="AD236" s="305"/>
      <c r="AE236" s="306"/>
      <c r="AF236" s="906">
        <f t="shared" ref="AF236:AQ236" si="138">SUM(AF233:AF235)</f>
        <v>0</v>
      </c>
      <c r="AG236" s="906">
        <f t="shared" si="138"/>
        <v>0</v>
      </c>
      <c r="AH236" s="906">
        <f t="shared" si="138"/>
        <v>0</v>
      </c>
      <c r="AI236" s="906">
        <f t="shared" si="138"/>
        <v>0</v>
      </c>
      <c r="AJ236" s="906">
        <f t="shared" si="138"/>
        <v>0</v>
      </c>
      <c r="AK236" s="906">
        <f t="shared" si="138"/>
        <v>0</v>
      </c>
      <c r="AL236" s="906">
        <f t="shared" si="138"/>
        <v>0</v>
      </c>
      <c r="AM236" s="906">
        <f t="shared" si="138"/>
        <v>0</v>
      </c>
      <c r="AN236" s="906">
        <f t="shared" si="138"/>
        <v>0</v>
      </c>
      <c r="AO236" s="906">
        <f t="shared" si="138"/>
        <v>0</v>
      </c>
      <c r="AP236" s="906">
        <f t="shared" si="138"/>
        <v>0</v>
      </c>
      <c r="AQ236" s="907">
        <f t="shared" si="138"/>
        <v>0</v>
      </c>
      <c r="AR236" s="905">
        <f>SUM(AF236:AQ236)</f>
        <v>0</v>
      </c>
      <c r="AT236" s="232" t="str">
        <f>Y232&amp;Y205</f>
        <v>Fertilizantes 0</v>
      </c>
    </row>
    <row r="237" spans="1:46" x14ac:dyDescent="0.2">
      <c r="A237" s="205"/>
      <c r="B237" s="197" t="s">
        <v>340</v>
      </c>
      <c r="C237" s="307"/>
      <c r="D237" s="307"/>
      <c r="E237" s="308"/>
      <c r="F237" s="651"/>
      <c r="G237" s="308"/>
      <c r="H237" s="307"/>
      <c r="I237" s="307"/>
      <c r="J237" s="307"/>
      <c r="K237" s="307"/>
      <c r="L237" s="307"/>
      <c r="M237" s="307"/>
      <c r="N237" s="307"/>
      <c r="O237" s="307"/>
      <c r="P237" s="307"/>
      <c r="Q237" s="307"/>
      <c r="R237" s="307"/>
      <c r="S237" s="307"/>
      <c r="T237" s="307"/>
      <c r="U237" s="646"/>
      <c r="X237" s="301"/>
      <c r="Y237" s="197" t="s">
        <v>340</v>
      </c>
      <c r="Z237" s="307"/>
      <c r="AA237" s="307"/>
      <c r="AB237" s="308"/>
      <c r="AC237" s="651"/>
      <c r="AD237" s="308"/>
      <c r="AE237" s="307"/>
      <c r="AF237" s="307"/>
      <c r="AG237" s="307"/>
      <c r="AH237" s="307"/>
      <c r="AI237" s="307"/>
      <c r="AJ237" s="307"/>
      <c r="AK237" s="307"/>
      <c r="AL237" s="307"/>
      <c r="AM237" s="307"/>
      <c r="AN237" s="307"/>
      <c r="AO237" s="307"/>
      <c r="AP237" s="307"/>
      <c r="AQ237" s="307"/>
      <c r="AR237" s="646"/>
    </row>
    <row r="238" spans="1:46" ht="15.05" thickBot="1" x14ac:dyDescent="0.35">
      <c r="A238" s="205"/>
      <c r="B238" s="5042"/>
      <c r="C238" s="1056">
        <f t="shared" si="122"/>
        <v>0</v>
      </c>
      <c r="D238" s="1056">
        <f>IF(B238=0,0,VLOOKUP(B238,Precios!$B$216:$D$307,3,FALSE))</f>
        <v>0</v>
      </c>
      <c r="E238" s="5048"/>
      <c r="F238" s="1062">
        <f>IF(B238=0,0,VLOOKUP(B238,Precios!$B$216:$D$307,2,FALSE))</f>
        <v>0</v>
      </c>
      <c r="G238" s="1066">
        <f>E238*F238</f>
        <v>0</v>
      </c>
      <c r="H238" s="309"/>
      <c r="I238" s="1072">
        <f t="shared" si="130"/>
        <v>0</v>
      </c>
      <c r="J238" s="1033">
        <f t="shared" si="130"/>
        <v>0</v>
      </c>
      <c r="K238" s="1033">
        <f t="shared" si="130"/>
        <v>0</v>
      </c>
      <c r="L238" s="1033">
        <f t="shared" si="130"/>
        <v>0</v>
      </c>
      <c r="M238" s="1033">
        <f t="shared" si="130"/>
        <v>0</v>
      </c>
      <c r="N238" s="1033">
        <f t="shared" si="130"/>
        <v>0</v>
      </c>
      <c r="O238" s="1033">
        <f t="shared" si="130"/>
        <v>0</v>
      </c>
      <c r="P238" s="1033">
        <f t="shared" si="130"/>
        <v>0</v>
      </c>
      <c r="Q238" s="1033">
        <f t="shared" si="130"/>
        <v>0</v>
      </c>
      <c r="R238" s="1033">
        <f t="shared" si="130"/>
        <v>0</v>
      </c>
      <c r="S238" s="1033">
        <f t="shared" si="130"/>
        <v>0</v>
      </c>
      <c r="T238" s="1033">
        <f t="shared" si="130"/>
        <v>0</v>
      </c>
      <c r="U238" s="1073">
        <f t="shared" si="135"/>
        <v>0</v>
      </c>
      <c r="X238" s="301"/>
      <c r="Y238" s="5042"/>
      <c r="Z238" s="1056">
        <f t="shared" si="131"/>
        <v>0</v>
      </c>
      <c r="AA238" s="1056">
        <f>IF(Y238=0,0,VLOOKUP(Y238,Precios!$B$216:$D$307,3,FALSE))</f>
        <v>0</v>
      </c>
      <c r="AB238" s="1058"/>
      <c r="AC238" s="1062">
        <f>IF(Y238=0,0,VLOOKUP(Y238,Precios!$B$216:$D$307,2,FALSE))</f>
        <v>0</v>
      </c>
      <c r="AD238" s="1066">
        <f>AB238*AC238</f>
        <v>0</v>
      </c>
      <c r="AE238" s="309"/>
      <c r="AF238" s="1072">
        <f t="shared" si="136"/>
        <v>0</v>
      </c>
      <c r="AG238" s="1033">
        <f t="shared" si="136"/>
        <v>0</v>
      </c>
      <c r="AH238" s="1033">
        <f t="shared" si="136"/>
        <v>0</v>
      </c>
      <c r="AI238" s="1033">
        <f t="shared" si="136"/>
        <v>0</v>
      </c>
      <c r="AJ238" s="1033">
        <f t="shared" si="136"/>
        <v>0</v>
      </c>
      <c r="AK238" s="1033">
        <f t="shared" si="136"/>
        <v>0</v>
      </c>
      <c r="AL238" s="1033">
        <f t="shared" si="136"/>
        <v>0</v>
      </c>
      <c r="AM238" s="1033">
        <f t="shared" si="136"/>
        <v>0</v>
      </c>
      <c r="AN238" s="1033">
        <f t="shared" si="136"/>
        <v>0</v>
      </c>
      <c r="AO238" s="1033">
        <f t="shared" si="136"/>
        <v>0</v>
      </c>
      <c r="AP238" s="1033">
        <f t="shared" si="136"/>
        <v>0</v>
      </c>
      <c r="AQ238" s="1033">
        <f t="shared" si="136"/>
        <v>0</v>
      </c>
      <c r="AR238" s="1073">
        <f t="shared" si="132"/>
        <v>0</v>
      </c>
    </row>
    <row r="239" spans="1:46" ht="15.05" thickBot="1" x14ac:dyDescent="0.35">
      <c r="A239" s="205"/>
      <c r="B239" s="5044"/>
      <c r="C239" s="985">
        <f t="shared" si="122"/>
        <v>0</v>
      </c>
      <c r="D239" s="985">
        <f>IF(B239=0,0,VLOOKUP(B239,Precios!$B$216:$D$307,3,FALSE))</f>
        <v>0</v>
      </c>
      <c r="E239" s="5049"/>
      <c r="F239" s="1059">
        <f>IF(B239=0,0,VLOOKUP(B239,Precios!$B$216:$D$307,2,FALSE))</f>
        <v>0</v>
      </c>
      <c r="G239" s="1067">
        <f>E239*F239</f>
        <v>0</v>
      </c>
      <c r="H239" s="309"/>
      <c r="I239" s="1074">
        <f t="shared" si="130"/>
        <v>0</v>
      </c>
      <c r="J239" s="1005">
        <f t="shared" si="130"/>
        <v>0</v>
      </c>
      <c r="K239" s="1005">
        <f t="shared" si="130"/>
        <v>0</v>
      </c>
      <c r="L239" s="1005">
        <f t="shared" si="130"/>
        <v>0</v>
      </c>
      <c r="M239" s="1005">
        <f t="shared" si="130"/>
        <v>0</v>
      </c>
      <c r="N239" s="1005">
        <f t="shared" si="130"/>
        <v>0</v>
      </c>
      <c r="O239" s="1005">
        <f t="shared" si="130"/>
        <v>0</v>
      </c>
      <c r="P239" s="1005">
        <f t="shared" si="130"/>
        <v>0</v>
      </c>
      <c r="Q239" s="1005">
        <f t="shared" si="130"/>
        <v>0</v>
      </c>
      <c r="R239" s="1005">
        <f t="shared" si="130"/>
        <v>0</v>
      </c>
      <c r="S239" s="1005">
        <f t="shared" si="130"/>
        <v>0</v>
      </c>
      <c r="T239" s="1005">
        <f t="shared" si="130"/>
        <v>0</v>
      </c>
      <c r="U239" s="1075">
        <f t="shared" si="135"/>
        <v>0</v>
      </c>
      <c r="X239" s="301"/>
      <c r="Y239" s="5044"/>
      <c r="Z239" s="985">
        <f t="shared" si="131"/>
        <v>0</v>
      </c>
      <c r="AA239" s="985">
        <f>IF(Y239=0,0,VLOOKUP(Y239,Precios!$B$216:$D$307,3,FALSE))</f>
        <v>0</v>
      </c>
      <c r="AB239" s="986"/>
      <c r="AC239" s="1059">
        <f>IF(Y239=0,0,VLOOKUP(Y239,Precios!$B$216:$D$307,2,FALSE))</f>
        <v>0</v>
      </c>
      <c r="AD239" s="1067">
        <f>AB239*AC239</f>
        <v>0</v>
      </c>
      <c r="AE239" s="309"/>
      <c r="AF239" s="1074">
        <f t="shared" si="136"/>
        <v>0</v>
      </c>
      <c r="AG239" s="1005">
        <f t="shared" si="136"/>
        <v>0</v>
      </c>
      <c r="AH239" s="1005">
        <f t="shared" si="136"/>
        <v>0</v>
      </c>
      <c r="AI239" s="1005">
        <f t="shared" si="136"/>
        <v>0</v>
      </c>
      <c r="AJ239" s="1005">
        <f t="shared" si="136"/>
        <v>0</v>
      </c>
      <c r="AK239" s="1005">
        <f t="shared" si="136"/>
        <v>0</v>
      </c>
      <c r="AL239" s="1005">
        <f t="shared" si="136"/>
        <v>0</v>
      </c>
      <c r="AM239" s="1005">
        <f t="shared" si="136"/>
        <v>0</v>
      </c>
      <c r="AN239" s="1005">
        <f t="shared" si="136"/>
        <v>0</v>
      </c>
      <c r="AO239" s="1005">
        <f t="shared" si="136"/>
        <v>0</v>
      </c>
      <c r="AP239" s="1005">
        <f t="shared" si="136"/>
        <v>0</v>
      </c>
      <c r="AQ239" s="1005">
        <f t="shared" si="136"/>
        <v>0</v>
      </c>
      <c r="AR239" s="1075">
        <f t="shared" si="132"/>
        <v>0</v>
      </c>
    </row>
    <row r="240" spans="1:46" x14ac:dyDescent="0.3">
      <c r="A240" s="205"/>
      <c r="B240" s="5046"/>
      <c r="C240" s="1057">
        <f t="shared" si="122"/>
        <v>0</v>
      </c>
      <c r="D240" s="1057">
        <f>IF(B240=0,0,VLOOKUP(B240,Precios!$B$216:$D$307,3,FALSE))</f>
        <v>0</v>
      </c>
      <c r="E240" s="5050"/>
      <c r="F240" s="1061">
        <f>IF(B240=0,0,VLOOKUP(B240,Precios!$B$216:$D$307,2,FALSE))</f>
        <v>0</v>
      </c>
      <c r="G240" s="1068">
        <f>E240*F240</f>
        <v>0</v>
      </c>
      <c r="H240" s="309"/>
      <c r="I240" s="1079">
        <f t="shared" si="130"/>
        <v>0</v>
      </c>
      <c r="J240" s="1047">
        <f t="shared" si="130"/>
        <v>0</v>
      </c>
      <c r="K240" s="1047">
        <f t="shared" si="130"/>
        <v>0</v>
      </c>
      <c r="L240" s="1047">
        <f t="shared" si="130"/>
        <v>0</v>
      </c>
      <c r="M240" s="1047">
        <f t="shared" si="130"/>
        <v>0</v>
      </c>
      <c r="N240" s="1047">
        <f t="shared" si="130"/>
        <v>0</v>
      </c>
      <c r="O240" s="1047">
        <f t="shared" si="130"/>
        <v>0</v>
      </c>
      <c r="P240" s="1047">
        <f t="shared" si="130"/>
        <v>0</v>
      </c>
      <c r="Q240" s="1047">
        <f t="shared" si="130"/>
        <v>0</v>
      </c>
      <c r="R240" s="1047">
        <f t="shared" si="130"/>
        <v>0</v>
      </c>
      <c r="S240" s="1047">
        <f t="shared" si="130"/>
        <v>0</v>
      </c>
      <c r="T240" s="1047">
        <f t="shared" si="130"/>
        <v>0</v>
      </c>
      <c r="U240" s="1080">
        <f t="shared" si="135"/>
        <v>0</v>
      </c>
      <c r="X240" s="301"/>
      <c r="Y240" s="5046"/>
      <c r="Z240" s="1057">
        <f t="shared" si="131"/>
        <v>0</v>
      </c>
      <c r="AA240" s="1057">
        <f>IF(Y240=0,0,VLOOKUP(Y240,Precios!$B$216:$D$307,3,FALSE))</f>
        <v>0</v>
      </c>
      <c r="AB240" s="1060"/>
      <c r="AC240" s="1061">
        <f>IF(Y240=0,0,VLOOKUP(Y240,Precios!$B$216:$D$307,2,FALSE))</f>
        <v>0</v>
      </c>
      <c r="AD240" s="1068">
        <f>AB240*AC240</f>
        <v>0</v>
      </c>
      <c r="AE240" s="309"/>
      <c r="AF240" s="1079">
        <f t="shared" si="136"/>
        <v>0</v>
      </c>
      <c r="AG240" s="1047">
        <f t="shared" si="136"/>
        <v>0</v>
      </c>
      <c r="AH240" s="1047">
        <f t="shared" si="136"/>
        <v>0</v>
      </c>
      <c r="AI240" s="1047">
        <f t="shared" si="136"/>
        <v>0</v>
      </c>
      <c r="AJ240" s="1047">
        <f t="shared" si="136"/>
        <v>0</v>
      </c>
      <c r="AK240" s="1047">
        <f t="shared" si="136"/>
        <v>0</v>
      </c>
      <c r="AL240" s="1047">
        <f t="shared" si="136"/>
        <v>0</v>
      </c>
      <c r="AM240" s="1047">
        <f t="shared" si="136"/>
        <v>0</v>
      </c>
      <c r="AN240" s="1047">
        <f t="shared" si="136"/>
        <v>0</v>
      </c>
      <c r="AO240" s="1047">
        <f t="shared" si="136"/>
        <v>0</v>
      </c>
      <c r="AP240" s="1047">
        <f t="shared" si="136"/>
        <v>0</v>
      </c>
      <c r="AQ240" s="1047">
        <f t="shared" si="136"/>
        <v>0</v>
      </c>
      <c r="AR240" s="1080">
        <f t="shared" si="132"/>
        <v>0</v>
      </c>
    </row>
    <row r="241" spans="1:47" ht="15.05" thickBot="1" x14ac:dyDescent="0.35">
      <c r="A241" s="205"/>
      <c r="B241" s="647" t="s">
        <v>1087</v>
      </c>
      <c r="C241" s="305"/>
      <c r="D241" s="305"/>
      <c r="E241" s="305"/>
      <c r="F241" s="650"/>
      <c r="G241" s="305"/>
      <c r="H241" s="306"/>
      <c r="I241" s="906">
        <f t="shared" ref="I241:T241" si="139">SUM(I238:I240)</f>
        <v>0</v>
      </c>
      <c r="J241" s="906">
        <f t="shared" si="139"/>
        <v>0</v>
      </c>
      <c r="K241" s="906">
        <f t="shared" si="139"/>
        <v>0</v>
      </c>
      <c r="L241" s="906">
        <f t="shared" si="139"/>
        <v>0</v>
      </c>
      <c r="M241" s="906">
        <f t="shared" si="139"/>
        <v>0</v>
      </c>
      <c r="N241" s="906">
        <f t="shared" si="139"/>
        <v>0</v>
      </c>
      <c r="O241" s="906">
        <f t="shared" si="139"/>
        <v>0</v>
      </c>
      <c r="P241" s="906">
        <f t="shared" si="139"/>
        <v>0</v>
      </c>
      <c r="Q241" s="906">
        <f t="shared" si="139"/>
        <v>0</v>
      </c>
      <c r="R241" s="906">
        <f t="shared" si="139"/>
        <v>0</v>
      </c>
      <c r="S241" s="906">
        <f t="shared" si="139"/>
        <v>0</v>
      </c>
      <c r="T241" s="907">
        <f t="shared" si="139"/>
        <v>0</v>
      </c>
      <c r="U241" s="905">
        <f t="shared" si="135"/>
        <v>0</v>
      </c>
      <c r="W241" s="232" t="str">
        <f>B237&amp;B205</f>
        <v>Agroquímicos 0</v>
      </c>
      <c r="X241" s="301"/>
      <c r="Y241" s="647"/>
      <c r="Z241" s="305"/>
      <c r="AA241" s="305"/>
      <c r="AB241" s="305"/>
      <c r="AC241" s="650"/>
      <c r="AD241" s="305"/>
      <c r="AE241" s="306"/>
      <c r="AF241" s="906">
        <f t="shared" ref="AF241:AQ241" si="140">SUM(AF238:AF240)</f>
        <v>0</v>
      </c>
      <c r="AG241" s="906">
        <f t="shared" si="140"/>
        <v>0</v>
      </c>
      <c r="AH241" s="906">
        <f t="shared" si="140"/>
        <v>0</v>
      </c>
      <c r="AI241" s="906">
        <f t="shared" si="140"/>
        <v>0</v>
      </c>
      <c r="AJ241" s="906">
        <f t="shared" si="140"/>
        <v>0</v>
      </c>
      <c r="AK241" s="906">
        <f t="shared" si="140"/>
        <v>0</v>
      </c>
      <c r="AL241" s="906">
        <f t="shared" si="140"/>
        <v>0</v>
      </c>
      <c r="AM241" s="906">
        <f t="shared" si="140"/>
        <v>0</v>
      </c>
      <c r="AN241" s="906">
        <f t="shared" si="140"/>
        <v>0</v>
      </c>
      <c r="AO241" s="906">
        <f t="shared" si="140"/>
        <v>0</v>
      </c>
      <c r="AP241" s="906">
        <f t="shared" si="140"/>
        <v>0</v>
      </c>
      <c r="AQ241" s="907">
        <f t="shared" si="140"/>
        <v>0</v>
      </c>
      <c r="AR241" s="905">
        <f t="shared" si="132"/>
        <v>0</v>
      </c>
      <c r="AT241" s="232" t="str">
        <f>Y237&amp;Y205</f>
        <v>Agroquímicos 0</v>
      </c>
    </row>
    <row r="242" spans="1:47" ht="15.05" thickBot="1" x14ac:dyDescent="0.25">
      <c r="A242" s="205"/>
      <c r="B242" s="648" t="s">
        <v>892</v>
      </c>
      <c r="C242" s="909">
        <f>+C204</f>
        <v>0</v>
      </c>
      <c r="D242" s="909"/>
      <c r="E242" s="312" t="s">
        <v>876</v>
      </c>
      <c r="F242" s="313"/>
      <c r="G242" s="289"/>
      <c r="H242" s="312"/>
      <c r="I242" s="314">
        <f>SUMPRODUCT($F209:$F240,I209:I240)</f>
        <v>0</v>
      </c>
      <c r="J242" s="314">
        <f t="shared" ref="J242:T242" si="141">SUMPRODUCT($F209:$F240,J209:J240)</f>
        <v>0</v>
      </c>
      <c r="K242" s="314">
        <f t="shared" si="141"/>
        <v>0</v>
      </c>
      <c r="L242" s="314">
        <f t="shared" si="141"/>
        <v>0</v>
      </c>
      <c r="M242" s="314">
        <f t="shared" si="141"/>
        <v>0</v>
      </c>
      <c r="N242" s="314">
        <f t="shared" si="141"/>
        <v>0</v>
      </c>
      <c r="O242" s="314">
        <f t="shared" si="141"/>
        <v>0</v>
      </c>
      <c r="P242" s="314">
        <f t="shared" si="141"/>
        <v>0</v>
      </c>
      <c r="Q242" s="314">
        <f t="shared" si="141"/>
        <v>0</v>
      </c>
      <c r="R242" s="314">
        <f t="shared" si="141"/>
        <v>0</v>
      </c>
      <c r="S242" s="314">
        <f t="shared" si="141"/>
        <v>0</v>
      </c>
      <c r="T242" s="314">
        <f t="shared" si="141"/>
        <v>0</v>
      </c>
      <c r="U242" s="908">
        <f>SUM(I242:T242)</f>
        <v>0</v>
      </c>
      <c r="X242" s="301"/>
      <c r="Y242" s="648" t="s">
        <v>892</v>
      </c>
      <c r="Z242" s="909">
        <f>+Z204</f>
        <v>0</v>
      </c>
      <c r="AA242" s="909"/>
      <c r="AB242" s="312" t="s">
        <v>876</v>
      </c>
      <c r="AC242" s="313"/>
      <c r="AD242" s="289"/>
      <c r="AE242" s="312"/>
      <c r="AF242" s="314">
        <f t="shared" ref="AF242:AQ242" si="142">SUMPRODUCT($AC209:$AC240,AF209:AF240)</f>
        <v>0</v>
      </c>
      <c r="AG242" s="314">
        <f t="shared" si="142"/>
        <v>0</v>
      </c>
      <c r="AH242" s="314">
        <f t="shared" si="142"/>
        <v>0</v>
      </c>
      <c r="AI242" s="314">
        <f t="shared" si="142"/>
        <v>0</v>
      </c>
      <c r="AJ242" s="314">
        <f t="shared" si="142"/>
        <v>0</v>
      </c>
      <c r="AK242" s="314">
        <f t="shared" si="142"/>
        <v>0</v>
      </c>
      <c r="AL242" s="314">
        <f t="shared" si="142"/>
        <v>0</v>
      </c>
      <c r="AM242" s="314">
        <f t="shared" si="142"/>
        <v>0</v>
      </c>
      <c r="AN242" s="314">
        <f t="shared" si="142"/>
        <v>0</v>
      </c>
      <c r="AO242" s="314">
        <f t="shared" si="142"/>
        <v>0</v>
      </c>
      <c r="AP242" s="314">
        <f t="shared" si="142"/>
        <v>0</v>
      </c>
      <c r="AQ242" s="314">
        <f t="shared" si="142"/>
        <v>0</v>
      </c>
      <c r="AR242" s="908">
        <f>SUM(AF242:AQ242)</f>
        <v>0</v>
      </c>
    </row>
    <row r="243" spans="1:47" x14ac:dyDescent="0.2">
      <c r="A243" s="205"/>
      <c r="B243" s="177"/>
      <c r="C243" s="177"/>
      <c r="D243" s="177"/>
      <c r="E243" s="177"/>
      <c r="F243" s="315"/>
      <c r="G243" s="316"/>
      <c r="H243" s="177"/>
      <c r="I243" s="177"/>
      <c r="J243" s="177"/>
      <c r="K243" s="177"/>
      <c r="L243" s="177"/>
      <c r="M243" s="177"/>
      <c r="N243" s="177"/>
      <c r="O243" s="177"/>
      <c r="P243" s="177"/>
      <c r="Q243" s="177"/>
      <c r="R243" s="177"/>
      <c r="S243" s="177"/>
      <c r="T243" s="177"/>
      <c r="U243" s="649"/>
      <c r="X243" s="205"/>
      <c r="Y243" s="208"/>
      <c r="Z243" s="177"/>
      <c r="AA243" s="177"/>
      <c r="AB243" s="177"/>
      <c r="AC243" s="316"/>
      <c r="AD243" s="316"/>
      <c r="AE243" s="177"/>
      <c r="AF243" s="177"/>
      <c r="AG243" s="177"/>
      <c r="AH243" s="177"/>
      <c r="AI243" s="177"/>
      <c r="AJ243" s="177"/>
      <c r="AK243" s="177"/>
      <c r="AL243" s="177"/>
      <c r="AM243" s="177"/>
      <c r="AN243" s="177"/>
      <c r="AO243" s="177"/>
      <c r="AP243" s="177"/>
      <c r="AQ243" s="177"/>
      <c r="AR243" s="317"/>
    </row>
    <row r="244" spans="1:47" ht="15.05" thickBot="1" x14ac:dyDescent="0.25">
      <c r="A244" s="205"/>
      <c r="B244" s="177"/>
      <c r="C244" s="177"/>
      <c r="D244" s="177"/>
      <c r="E244" s="177"/>
      <c r="F244" s="315"/>
      <c r="G244" s="316"/>
      <c r="H244" s="177"/>
      <c r="I244" s="177"/>
      <c r="J244" s="177"/>
      <c r="K244" s="177"/>
      <c r="L244" s="177"/>
      <c r="M244" s="177"/>
      <c r="N244" s="177"/>
      <c r="O244" s="177"/>
      <c r="P244" s="177"/>
      <c r="Q244" s="177"/>
      <c r="R244" s="177"/>
      <c r="S244" s="177"/>
      <c r="T244" s="177"/>
      <c r="U244" s="649"/>
      <c r="X244" s="205"/>
      <c r="Y244" s="208"/>
      <c r="Z244" s="177"/>
      <c r="AA244" s="177"/>
      <c r="AB244" s="177"/>
      <c r="AC244" s="316"/>
      <c r="AD244" s="316"/>
      <c r="AE244" s="177"/>
      <c r="AF244" s="177"/>
      <c r="AG244" s="177"/>
      <c r="AH244" s="177"/>
      <c r="AI244" s="177"/>
      <c r="AJ244" s="177"/>
      <c r="AK244" s="177"/>
      <c r="AL244" s="177"/>
      <c r="AM244" s="177"/>
      <c r="AN244" s="177"/>
      <c r="AO244" s="177"/>
      <c r="AP244" s="177"/>
      <c r="AQ244" s="177"/>
      <c r="AR244" s="317"/>
    </row>
    <row r="245" spans="1:47" s="254" customFormat="1" ht="15.05" thickBot="1" x14ac:dyDescent="0.25">
      <c r="A245" s="1344">
        <f>+A204+1</f>
        <v>47</v>
      </c>
      <c r="B245" s="635" t="s">
        <v>878</v>
      </c>
      <c r="C245" s="898">
        <f>UsoSuelo!D143</f>
        <v>0</v>
      </c>
      <c r="D245" s="898"/>
      <c r="E245" s="636"/>
      <c r="F245" s="637"/>
      <c r="G245" s="637"/>
      <c r="H245" s="637"/>
      <c r="I245" s="637"/>
      <c r="J245" s="637"/>
      <c r="K245" s="637"/>
      <c r="L245" s="637"/>
      <c r="M245" s="637"/>
      <c r="N245" s="637"/>
      <c r="O245" s="637"/>
      <c r="P245" s="637"/>
      <c r="Q245" s="637"/>
      <c r="R245" s="637"/>
      <c r="S245" s="637"/>
      <c r="T245" s="637"/>
      <c r="U245" s="638"/>
      <c r="V245" s="1569"/>
      <c r="W245" s="1569"/>
      <c r="X245" s="1344">
        <f>+X204+1</f>
        <v>59</v>
      </c>
      <c r="Y245" s="635" t="s">
        <v>878</v>
      </c>
      <c r="Z245" s="898">
        <f>+UsoSuelo!D160</f>
        <v>0</v>
      </c>
      <c r="AA245" s="898"/>
      <c r="AB245" s="636"/>
      <c r="AC245" s="637"/>
      <c r="AD245" s="637"/>
      <c r="AE245" s="637"/>
      <c r="AF245" s="637"/>
      <c r="AG245" s="637"/>
      <c r="AH245" s="637"/>
      <c r="AI245" s="637"/>
      <c r="AJ245" s="637"/>
      <c r="AK245" s="637"/>
      <c r="AL245" s="637"/>
      <c r="AM245" s="637"/>
      <c r="AN245" s="637"/>
      <c r="AO245" s="637"/>
      <c r="AP245" s="637"/>
      <c r="AQ245" s="637"/>
      <c r="AR245" s="638"/>
      <c r="AS245" s="1569"/>
      <c r="AT245" s="1569"/>
      <c r="AU245" s="1436"/>
    </row>
    <row r="246" spans="1:47" s="254" customFormat="1" x14ac:dyDescent="0.2">
      <c r="A246" s="1344" t="s">
        <v>1867</v>
      </c>
      <c r="B246" s="639">
        <f>+UsoSuelo!H143</f>
        <v>0</v>
      </c>
      <c r="C246" s="291"/>
      <c r="D246" s="291"/>
      <c r="E246" s="291"/>
      <c r="F246" s="291"/>
      <c r="G246" s="291" t="s">
        <v>883</v>
      </c>
      <c r="H246" s="292"/>
      <c r="I246" s="293" t="str">
        <f t="shared" ref="I246:T246" si="143">+I41</f>
        <v>Ene</v>
      </c>
      <c r="J246" s="293" t="str">
        <f t="shared" si="143"/>
        <v>Feb</v>
      </c>
      <c r="K246" s="293" t="str">
        <f t="shared" si="143"/>
        <v>Mar</v>
      </c>
      <c r="L246" s="293" t="str">
        <f t="shared" si="143"/>
        <v>Abr</v>
      </c>
      <c r="M246" s="293" t="str">
        <f t="shared" si="143"/>
        <v>May</v>
      </c>
      <c r="N246" s="293" t="str">
        <f t="shared" si="143"/>
        <v>Jun</v>
      </c>
      <c r="O246" s="293" t="str">
        <f t="shared" si="143"/>
        <v>Jul</v>
      </c>
      <c r="P246" s="293" t="str">
        <f t="shared" si="143"/>
        <v>Ago</v>
      </c>
      <c r="Q246" s="293" t="str">
        <f t="shared" si="143"/>
        <v>Set</v>
      </c>
      <c r="R246" s="293" t="str">
        <f t="shared" si="143"/>
        <v>Oct</v>
      </c>
      <c r="S246" s="293" t="str">
        <f t="shared" si="143"/>
        <v>Nov</v>
      </c>
      <c r="T246" s="294" t="str">
        <f t="shared" si="143"/>
        <v>Dic</v>
      </c>
      <c r="U246" s="640" t="s">
        <v>1106</v>
      </c>
      <c r="V246" s="1569"/>
      <c r="W246" s="1569"/>
      <c r="X246" s="1344" t="str">
        <f>+A246</f>
        <v>G</v>
      </c>
      <c r="Y246" s="639">
        <f>+UsoSuelo!H160</f>
        <v>0</v>
      </c>
      <c r="Z246" s="291"/>
      <c r="AA246" s="291"/>
      <c r="AB246" s="291"/>
      <c r="AC246" s="291"/>
      <c r="AD246" s="291" t="s">
        <v>883</v>
      </c>
      <c r="AE246" s="292"/>
      <c r="AF246" s="293" t="str">
        <f t="shared" ref="AF246:AQ246" si="144">+AF41</f>
        <v>Ene</v>
      </c>
      <c r="AG246" s="293" t="str">
        <f t="shared" si="144"/>
        <v>Feb</v>
      </c>
      <c r="AH246" s="293" t="str">
        <f t="shared" si="144"/>
        <v>Mar</v>
      </c>
      <c r="AI246" s="293" t="str">
        <f t="shared" si="144"/>
        <v>Abr</v>
      </c>
      <c r="AJ246" s="293" t="str">
        <f t="shared" si="144"/>
        <v>May</v>
      </c>
      <c r="AK246" s="293" t="str">
        <f t="shared" si="144"/>
        <v>Jun</v>
      </c>
      <c r="AL246" s="293" t="str">
        <f t="shared" si="144"/>
        <v>Jul</v>
      </c>
      <c r="AM246" s="293" t="str">
        <f t="shared" si="144"/>
        <v>Ago</v>
      </c>
      <c r="AN246" s="293" t="str">
        <f t="shared" si="144"/>
        <v>Set</v>
      </c>
      <c r="AO246" s="293" t="str">
        <f t="shared" si="144"/>
        <v>Oct</v>
      </c>
      <c r="AP246" s="293" t="str">
        <f t="shared" si="144"/>
        <v>Nov</v>
      </c>
      <c r="AQ246" s="294" t="str">
        <f t="shared" si="144"/>
        <v>Dic</v>
      </c>
      <c r="AR246" s="640" t="s">
        <v>1106</v>
      </c>
      <c r="AS246" s="1569"/>
      <c r="AT246" s="1569"/>
      <c r="AU246" s="1436"/>
    </row>
    <row r="247" spans="1:47" s="254" customFormat="1" x14ac:dyDescent="0.2">
      <c r="A247" s="205"/>
      <c r="B247" s="899" t="s">
        <v>884</v>
      </c>
      <c r="C247" s="900"/>
      <c r="D247" s="900"/>
      <c r="E247" s="900"/>
      <c r="F247" s="900"/>
      <c r="G247" s="900"/>
      <c r="H247" s="900"/>
      <c r="I247" s="901">
        <f>VLOOKUP($C245,UsoSuelo!$CQ$1127:$DC$1194,2,FALSE)</f>
        <v>0</v>
      </c>
      <c r="J247" s="901">
        <f>VLOOKUP($C245,UsoSuelo!$CQ$1127:$DC$1194,3,FALSE)</f>
        <v>0</v>
      </c>
      <c r="K247" s="901">
        <f>VLOOKUP($C245,UsoSuelo!$CQ$1127:$DC$1194,4,FALSE)</f>
        <v>0</v>
      </c>
      <c r="L247" s="901">
        <f>VLOOKUP($C245,UsoSuelo!$CQ$1127:$DC$1194,5,FALSE)</f>
        <v>0</v>
      </c>
      <c r="M247" s="901">
        <f>VLOOKUP($C245,UsoSuelo!$CQ$1127:$DC$1194,6,FALSE)</f>
        <v>0</v>
      </c>
      <c r="N247" s="901">
        <f>VLOOKUP($C245,UsoSuelo!$CQ$1127:$DC$1194,7,FALSE)</f>
        <v>0</v>
      </c>
      <c r="O247" s="901">
        <f>VLOOKUP($C245,UsoSuelo!$CQ$1127:$DC$1194,8,FALSE)</f>
        <v>0</v>
      </c>
      <c r="P247" s="901">
        <f>VLOOKUP($C245,UsoSuelo!$CQ$1127:$DC$1194,9,FALSE)</f>
        <v>0</v>
      </c>
      <c r="Q247" s="901">
        <f>VLOOKUP($C245,UsoSuelo!$CQ$1127:$DC$1194,10,FALSE)</f>
        <v>0</v>
      </c>
      <c r="R247" s="901">
        <f>VLOOKUP($C245,UsoSuelo!$CQ$1127:$DC$1194,11,FALSE)</f>
        <v>0</v>
      </c>
      <c r="S247" s="901">
        <f>VLOOKUP($C245,UsoSuelo!$CQ$1127:$DC$1194,12,FALSE)</f>
        <v>0</v>
      </c>
      <c r="T247" s="902">
        <f>VLOOKUP($C245,UsoSuelo!$CQ$1127:$DC$1194,13,FALSE)</f>
        <v>0</v>
      </c>
      <c r="U247" s="903">
        <f>SUM(I247:T247)</f>
        <v>0</v>
      </c>
      <c r="V247" s="1569"/>
      <c r="W247" s="1569"/>
      <c r="X247" s="16"/>
      <c r="Y247" s="899" t="s">
        <v>884</v>
      </c>
      <c r="Z247" s="900"/>
      <c r="AA247" s="900"/>
      <c r="AB247" s="900"/>
      <c r="AC247" s="900"/>
      <c r="AD247" s="900"/>
      <c r="AE247" s="900"/>
      <c r="AF247" s="901">
        <f>VLOOKUP($Z245,UsoSuelo!$DE$1054:$DQ$1120,2,FALSE)</f>
        <v>0</v>
      </c>
      <c r="AG247" s="901">
        <f>VLOOKUP($Z245,UsoSuelo!$DE$1054:$DQ$1120,3,FALSE)</f>
        <v>0</v>
      </c>
      <c r="AH247" s="901">
        <f>VLOOKUP($Z245,UsoSuelo!$DE$1054:$DQ$1120,4,FALSE)</f>
        <v>0</v>
      </c>
      <c r="AI247" s="901">
        <f>VLOOKUP($Z245,UsoSuelo!$DE$1054:$DQ$1120,5,FALSE)</f>
        <v>0</v>
      </c>
      <c r="AJ247" s="901">
        <f>VLOOKUP($Z245,UsoSuelo!$DE$1054:$DQ$1120,6,FALSE)</f>
        <v>0</v>
      </c>
      <c r="AK247" s="901">
        <f>VLOOKUP($Z245,UsoSuelo!$DE$1054:$DQ$1120,7,FALSE)</f>
        <v>0</v>
      </c>
      <c r="AL247" s="901">
        <f>VLOOKUP($Z245,UsoSuelo!$DE$1054:$DQ$1120,8,FALSE)</f>
        <v>0</v>
      </c>
      <c r="AM247" s="901">
        <f>VLOOKUP($Z245,UsoSuelo!$DE$1054:$DQ$1120,9,FALSE)</f>
        <v>0</v>
      </c>
      <c r="AN247" s="901">
        <f>VLOOKUP($Z245,UsoSuelo!$DE$1054:$DQ$1120,10,FALSE)</f>
        <v>0</v>
      </c>
      <c r="AO247" s="901">
        <f>VLOOKUP($Z245,UsoSuelo!$DE$1054:$DQ$1120,11,FALSE)</f>
        <v>0</v>
      </c>
      <c r="AP247" s="901">
        <f>VLOOKUP($Z245,UsoSuelo!$DE$1054:$DQ$1120,12,FALSE)</f>
        <v>0</v>
      </c>
      <c r="AQ247" s="902">
        <f>VLOOKUP($Z245,UsoSuelo!$DE$1054:$DQ$1120,13,FALSE)</f>
        <v>0</v>
      </c>
      <c r="AR247" s="903">
        <f>SUM(AF247:AQ247)</f>
        <v>0</v>
      </c>
      <c r="AS247" s="1569"/>
      <c r="AT247" s="1569"/>
      <c r="AU247" s="1436"/>
    </row>
    <row r="248" spans="1:47" x14ac:dyDescent="0.2">
      <c r="A248" s="205"/>
      <c r="B248" s="641"/>
      <c r="C248" s="621" t="s">
        <v>885</v>
      </c>
      <c r="D248" s="621"/>
      <c r="E248" s="621" t="s">
        <v>881</v>
      </c>
      <c r="F248" s="621" t="s">
        <v>23</v>
      </c>
      <c r="G248" s="622"/>
      <c r="H248" s="623"/>
      <c r="I248" s="297"/>
      <c r="J248" s="296"/>
      <c r="K248" s="296"/>
      <c r="L248" s="296"/>
      <c r="M248" s="296"/>
      <c r="N248" s="297"/>
      <c r="O248" s="297"/>
      <c r="P248" s="297"/>
      <c r="Q248" s="297"/>
      <c r="R248" s="297"/>
      <c r="S248" s="297"/>
      <c r="T248" s="297"/>
      <c r="U248" s="642" t="s">
        <v>881</v>
      </c>
      <c r="W248" s="1569"/>
      <c r="X248" s="16"/>
      <c r="Y248" s="641"/>
      <c r="Z248" s="621" t="s">
        <v>885</v>
      </c>
      <c r="AA248" s="621"/>
      <c r="AB248" s="621" t="s">
        <v>881</v>
      </c>
      <c r="AC248" s="621" t="s">
        <v>23</v>
      </c>
      <c r="AD248" s="622"/>
      <c r="AE248" s="623"/>
      <c r="AF248" s="297"/>
      <c r="AG248" s="296"/>
      <c r="AH248" s="296"/>
      <c r="AI248" s="296"/>
      <c r="AJ248" s="296"/>
      <c r="AK248" s="297"/>
      <c r="AL248" s="297"/>
      <c r="AM248" s="297"/>
      <c r="AN248" s="297"/>
      <c r="AO248" s="297"/>
      <c r="AP248" s="297"/>
      <c r="AQ248" s="297"/>
      <c r="AR248" s="642" t="s">
        <v>881</v>
      </c>
      <c r="AT248" s="1569"/>
    </row>
    <row r="249" spans="1:47" x14ac:dyDescent="0.2">
      <c r="A249" s="145"/>
      <c r="B249" s="199" t="s">
        <v>869</v>
      </c>
      <c r="C249" s="3" t="s">
        <v>1105</v>
      </c>
      <c r="D249" s="3" t="s">
        <v>312</v>
      </c>
      <c r="E249" s="4" t="s">
        <v>882</v>
      </c>
      <c r="F249" s="3" t="s">
        <v>314</v>
      </c>
      <c r="G249" s="4" t="s">
        <v>313</v>
      </c>
      <c r="H249" s="299"/>
      <c r="I249" s="320"/>
      <c r="J249" s="319"/>
      <c r="K249" s="319"/>
      <c r="L249" s="319"/>
      <c r="M249" s="319" t="s">
        <v>349</v>
      </c>
      <c r="N249" s="320"/>
      <c r="O249" s="320"/>
      <c r="P249" s="320"/>
      <c r="Q249" s="320"/>
      <c r="R249" s="320"/>
      <c r="S249" s="320"/>
      <c r="T249" s="320"/>
      <c r="U249" s="643" t="s">
        <v>891</v>
      </c>
      <c r="X249" s="205"/>
      <c r="Y249" s="199" t="s">
        <v>869</v>
      </c>
      <c r="Z249" s="3" t="s">
        <v>1105</v>
      </c>
      <c r="AA249" s="3" t="s">
        <v>312</v>
      </c>
      <c r="AB249" s="4" t="s">
        <v>882</v>
      </c>
      <c r="AC249" s="3" t="s">
        <v>314</v>
      </c>
      <c r="AD249" s="4" t="s">
        <v>313</v>
      </c>
      <c r="AE249" s="299"/>
      <c r="AF249" s="320"/>
      <c r="AG249" s="319"/>
      <c r="AH249" s="319"/>
      <c r="AI249" s="319"/>
      <c r="AJ249" s="319" t="s">
        <v>349</v>
      </c>
      <c r="AK249" s="320"/>
      <c r="AL249" s="320"/>
      <c r="AM249" s="320"/>
      <c r="AN249" s="320"/>
      <c r="AO249" s="320"/>
      <c r="AP249" s="320"/>
      <c r="AQ249" s="320"/>
      <c r="AR249" s="643" t="s">
        <v>891</v>
      </c>
    </row>
    <row r="250" spans="1:47" ht="15.05" thickBot="1" x14ac:dyDescent="0.35">
      <c r="A250" s="205"/>
      <c r="B250" s="5042"/>
      <c r="C250" s="1056">
        <f>IF(B250=0,0,U$247)</f>
        <v>0</v>
      </c>
      <c r="D250" s="1056">
        <f>IF(B250=0,0,VLOOKUP(B250,Precios!$B$216:$D$307,3,FALSE))</f>
        <v>0</v>
      </c>
      <c r="E250" s="5043"/>
      <c r="F250" s="300"/>
      <c r="G250" s="300"/>
      <c r="H250" s="309"/>
      <c r="I250" s="1072">
        <f>IF($C250&gt;0,I$247*$E250,0)</f>
        <v>0</v>
      </c>
      <c r="J250" s="1033">
        <f t="shared" ref="J250:T267" si="145">IF($C250&gt;0,J$247*$E250,0)</f>
        <v>0</v>
      </c>
      <c r="K250" s="1033">
        <f t="shared" si="145"/>
        <v>0</v>
      </c>
      <c r="L250" s="1033">
        <f t="shared" si="145"/>
        <v>0</v>
      </c>
      <c r="M250" s="1033">
        <f t="shared" si="145"/>
        <v>0</v>
      </c>
      <c r="N250" s="1033">
        <f t="shared" si="145"/>
        <v>0</v>
      </c>
      <c r="O250" s="1033">
        <f t="shared" si="145"/>
        <v>0</v>
      </c>
      <c r="P250" s="1033">
        <f t="shared" si="145"/>
        <v>0</v>
      </c>
      <c r="Q250" s="1033">
        <f t="shared" si="145"/>
        <v>0</v>
      </c>
      <c r="R250" s="1033">
        <f t="shared" si="145"/>
        <v>0</v>
      </c>
      <c r="S250" s="1033">
        <f t="shared" si="145"/>
        <v>0</v>
      </c>
      <c r="T250" s="1033">
        <f t="shared" si="145"/>
        <v>0</v>
      </c>
      <c r="U250" s="1073">
        <f t="shared" ref="U250:U271" si="146">SUM(I250:T250)</f>
        <v>0</v>
      </c>
      <c r="V250" s="232" t="str">
        <f>B250&amp;"propia"</f>
        <v>propia</v>
      </c>
      <c r="X250" s="205"/>
      <c r="Y250" s="5042"/>
      <c r="Z250" s="1056">
        <f>IF(Y250=0,0,AR$247)</f>
        <v>0</v>
      </c>
      <c r="AA250" s="1056">
        <f>IF(Y250=0,0,VLOOKUP(Y250,Precios!$B$216:$D$307,3,FALSE))</f>
        <v>0</v>
      </c>
      <c r="AB250" s="1069"/>
      <c r="AC250" s="300"/>
      <c r="AD250" s="300"/>
      <c r="AE250" s="309"/>
      <c r="AF250" s="1072">
        <f>IF($Z250&gt;0,AF$247*$AB250,0)</f>
        <v>0</v>
      </c>
      <c r="AG250" s="1033">
        <f t="shared" ref="AG250:AQ261" si="147">IF($Z250&gt;0,AG$247*$AB250,0)</f>
        <v>0</v>
      </c>
      <c r="AH250" s="1033">
        <f t="shared" si="147"/>
        <v>0</v>
      </c>
      <c r="AI250" s="1033">
        <f t="shared" si="147"/>
        <v>0</v>
      </c>
      <c r="AJ250" s="1033">
        <f t="shared" si="147"/>
        <v>0</v>
      </c>
      <c r="AK250" s="1033">
        <f t="shared" si="147"/>
        <v>0</v>
      </c>
      <c r="AL250" s="1033">
        <f t="shared" si="147"/>
        <v>0</v>
      </c>
      <c r="AM250" s="1033">
        <f t="shared" si="147"/>
        <v>0</v>
      </c>
      <c r="AN250" s="1033">
        <f t="shared" si="147"/>
        <v>0</v>
      </c>
      <c r="AO250" s="1033">
        <f t="shared" si="147"/>
        <v>0</v>
      </c>
      <c r="AP250" s="1033">
        <f t="shared" si="147"/>
        <v>0</v>
      </c>
      <c r="AQ250" s="1033">
        <f t="shared" si="147"/>
        <v>0</v>
      </c>
      <c r="AR250" s="1073">
        <f t="shared" ref="AR250:AR261" si="148">SUM(AF250:AQ250)</f>
        <v>0</v>
      </c>
      <c r="AS250" s="232" t="str">
        <f>Y250&amp;"propia"</f>
        <v>propia</v>
      </c>
    </row>
    <row r="251" spans="1:47" ht="15.05" thickBot="1" x14ac:dyDescent="0.35">
      <c r="A251" s="205"/>
      <c r="B251" s="5044"/>
      <c r="C251" s="985">
        <f>IF(B251=0,0,U$247)</f>
        <v>0</v>
      </c>
      <c r="D251" s="985">
        <f>IF(B251=0,0,VLOOKUP(B251,Precios!$B$216:$D$307,3,FALSE))</f>
        <v>0</v>
      </c>
      <c r="E251" s="5045"/>
      <c r="F251" s="300"/>
      <c r="G251" s="300"/>
      <c r="H251" s="309"/>
      <c r="I251" s="1074">
        <f>IF($C251&gt;0,I$247*$E251,0)</f>
        <v>0</v>
      </c>
      <c r="J251" s="1005">
        <f t="shared" si="145"/>
        <v>0</v>
      </c>
      <c r="K251" s="1005">
        <f t="shared" si="145"/>
        <v>0</v>
      </c>
      <c r="L251" s="1005">
        <f t="shared" si="145"/>
        <v>0</v>
      </c>
      <c r="M251" s="1005">
        <f t="shared" si="145"/>
        <v>0</v>
      </c>
      <c r="N251" s="1005">
        <f t="shared" si="145"/>
        <v>0</v>
      </c>
      <c r="O251" s="1005">
        <f t="shared" si="145"/>
        <v>0</v>
      </c>
      <c r="P251" s="1005">
        <f t="shared" si="145"/>
        <v>0</v>
      </c>
      <c r="Q251" s="1005">
        <f t="shared" si="145"/>
        <v>0</v>
      </c>
      <c r="R251" s="1005">
        <f t="shared" si="145"/>
        <v>0</v>
      </c>
      <c r="S251" s="1005">
        <f t="shared" si="145"/>
        <v>0</v>
      </c>
      <c r="T251" s="1005">
        <f t="shared" si="145"/>
        <v>0</v>
      </c>
      <c r="U251" s="1075">
        <f t="shared" si="146"/>
        <v>0</v>
      </c>
      <c r="V251" s="232" t="str">
        <f>B251&amp;"propia"</f>
        <v>propia</v>
      </c>
      <c r="X251" s="301"/>
      <c r="Y251" s="5044"/>
      <c r="Z251" s="985">
        <f>IF(Y251=0,0,AR$247)</f>
        <v>0</v>
      </c>
      <c r="AA251" s="985">
        <f>IF(Y251=0,0,VLOOKUP(Y251,Precios!$B$216:$D$307,3,FALSE))</f>
        <v>0</v>
      </c>
      <c r="AB251" s="1070"/>
      <c r="AC251" s="300"/>
      <c r="AD251" s="300"/>
      <c r="AE251" s="309"/>
      <c r="AF251" s="1074">
        <f>IF($Z251&gt;0,AF$247*$AB251,0)</f>
        <v>0</v>
      </c>
      <c r="AG251" s="1005">
        <f t="shared" si="147"/>
        <v>0</v>
      </c>
      <c r="AH251" s="1005">
        <f t="shared" si="147"/>
        <v>0</v>
      </c>
      <c r="AI251" s="1005">
        <f t="shared" si="147"/>
        <v>0</v>
      </c>
      <c r="AJ251" s="1005">
        <f t="shared" si="147"/>
        <v>0</v>
      </c>
      <c r="AK251" s="1005">
        <f t="shared" si="147"/>
        <v>0</v>
      </c>
      <c r="AL251" s="1005">
        <f t="shared" si="147"/>
        <v>0</v>
      </c>
      <c r="AM251" s="1005">
        <f t="shared" si="147"/>
        <v>0</v>
      </c>
      <c r="AN251" s="1005">
        <f t="shared" si="147"/>
        <v>0</v>
      </c>
      <c r="AO251" s="1005">
        <f t="shared" si="147"/>
        <v>0</v>
      </c>
      <c r="AP251" s="1005">
        <f t="shared" si="147"/>
        <v>0</v>
      </c>
      <c r="AQ251" s="1005">
        <f t="shared" si="147"/>
        <v>0</v>
      </c>
      <c r="AR251" s="1075">
        <f t="shared" si="148"/>
        <v>0</v>
      </c>
      <c r="AS251" s="232" t="str">
        <f>Y251&amp;"propia"</f>
        <v>propia</v>
      </c>
    </row>
    <row r="252" spans="1:47" ht="15.05" thickBot="1" x14ac:dyDescent="0.35">
      <c r="A252" s="205"/>
      <c r="B252" s="5044"/>
      <c r="C252" s="985">
        <f>IF(B252=0,0,U$247)</f>
        <v>0</v>
      </c>
      <c r="D252" s="985">
        <f>IF(B252=0,0,VLOOKUP(B252,Precios!$B$216:$D$307,3,FALSE))</f>
        <v>0</v>
      </c>
      <c r="E252" s="5045"/>
      <c r="F252" s="300"/>
      <c r="G252" s="300"/>
      <c r="H252" s="309"/>
      <c r="I252" s="1074">
        <f>IF($C252&gt;0,I$247*$E252,0)</f>
        <v>0</v>
      </c>
      <c r="J252" s="1005">
        <f t="shared" si="145"/>
        <v>0</v>
      </c>
      <c r="K252" s="1005">
        <f t="shared" si="145"/>
        <v>0</v>
      </c>
      <c r="L252" s="1005">
        <f t="shared" si="145"/>
        <v>0</v>
      </c>
      <c r="M252" s="1005">
        <f t="shared" si="145"/>
        <v>0</v>
      </c>
      <c r="N252" s="1005">
        <f t="shared" si="145"/>
        <v>0</v>
      </c>
      <c r="O252" s="1005">
        <f t="shared" si="145"/>
        <v>0</v>
      </c>
      <c r="P252" s="1005">
        <f t="shared" si="145"/>
        <v>0</v>
      </c>
      <c r="Q252" s="1005">
        <f t="shared" si="145"/>
        <v>0</v>
      </c>
      <c r="R252" s="1005">
        <f t="shared" si="145"/>
        <v>0</v>
      </c>
      <c r="S252" s="1005">
        <f t="shared" si="145"/>
        <v>0</v>
      </c>
      <c r="T252" s="1005">
        <f t="shared" si="145"/>
        <v>0</v>
      </c>
      <c r="U252" s="1075">
        <f t="shared" si="146"/>
        <v>0</v>
      </c>
      <c r="V252" s="232" t="str">
        <f>B252&amp;"propia"</f>
        <v>propia</v>
      </c>
      <c r="X252" s="301"/>
      <c r="Y252" s="5044"/>
      <c r="Z252" s="985">
        <f>IF(Y252=0,0,AR$247)</f>
        <v>0</v>
      </c>
      <c r="AA252" s="985">
        <f>IF(Y252=0,0,VLOOKUP(Y252,Precios!$B$216:$D$307,3,FALSE))</f>
        <v>0</v>
      </c>
      <c r="AB252" s="1070"/>
      <c r="AC252" s="300"/>
      <c r="AD252" s="300"/>
      <c r="AE252" s="309"/>
      <c r="AF252" s="1074">
        <f>IF($Z252&gt;0,AF$247*$AB252,0)</f>
        <v>0</v>
      </c>
      <c r="AG252" s="1005">
        <f t="shared" si="147"/>
        <v>0</v>
      </c>
      <c r="AH252" s="1005">
        <f t="shared" si="147"/>
        <v>0</v>
      </c>
      <c r="AI252" s="1005">
        <f t="shared" si="147"/>
        <v>0</v>
      </c>
      <c r="AJ252" s="1005">
        <f t="shared" si="147"/>
        <v>0</v>
      </c>
      <c r="AK252" s="1005">
        <f t="shared" si="147"/>
        <v>0</v>
      </c>
      <c r="AL252" s="1005">
        <f t="shared" si="147"/>
        <v>0</v>
      </c>
      <c r="AM252" s="1005">
        <f t="shared" si="147"/>
        <v>0</v>
      </c>
      <c r="AN252" s="1005">
        <f t="shared" si="147"/>
        <v>0</v>
      </c>
      <c r="AO252" s="1005">
        <f t="shared" si="147"/>
        <v>0</v>
      </c>
      <c r="AP252" s="1005">
        <f t="shared" si="147"/>
        <v>0</v>
      </c>
      <c r="AQ252" s="1005">
        <f t="shared" si="147"/>
        <v>0</v>
      </c>
      <c r="AR252" s="1075">
        <f t="shared" si="148"/>
        <v>0</v>
      </c>
      <c r="AS252" s="232" t="str">
        <f>Y252&amp;"propia"</f>
        <v>propia</v>
      </c>
    </row>
    <row r="253" spans="1:47" ht="15.05" thickBot="1" x14ac:dyDescent="0.35">
      <c r="A253" s="205"/>
      <c r="B253" s="5044"/>
      <c r="C253" s="985">
        <f>IF(B253=0,0,U$247)</f>
        <v>0</v>
      </c>
      <c r="D253" s="985">
        <f>IF(B253=0,0,VLOOKUP(B253,Precios!$B$216:$D$307,3,FALSE))</f>
        <v>0</v>
      </c>
      <c r="E253" s="5045"/>
      <c r="F253" s="300"/>
      <c r="G253" s="300"/>
      <c r="H253" s="309"/>
      <c r="I253" s="1074">
        <f>IF($C253&gt;0,I$247*$E253,0)</f>
        <v>0</v>
      </c>
      <c r="J253" s="1005">
        <f t="shared" si="145"/>
        <v>0</v>
      </c>
      <c r="K253" s="1005">
        <f t="shared" si="145"/>
        <v>0</v>
      </c>
      <c r="L253" s="1005">
        <f t="shared" si="145"/>
        <v>0</v>
      </c>
      <c r="M253" s="1005">
        <f t="shared" si="145"/>
        <v>0</v>
      </c>
      <c r="N253" s="1005">
        <f t="shared" si="145"/>
        <v>0</v>
      </c>
      <c r="O253" s="1005">
        <f t="shared" si="145"/>
        <v>0</v>
      </c>
      <c r="P253" s="1005">
        <f t="shared" si="145"/>
        <v>0</v>
      </c>
      <c r="Q253" s="1005">
        <f t="shared" si="145"/>
        <v>0</v>
      </c>
      <c r="R253" s="1005">
        <f t="shared" si="145"/>
        <v>0</v>
      </c>
      <c r="S253" s="1005">
        <f t="shared" si="145"/>
        <v>0</v>
      </c>
      <c r="T253" s="1005">
        <f t="shared" si="145"/>
        <v>0</v>
      </c>
      <c r="U253" s="1075">
        <f t="shared" si="146"/>
        <v>0</v>
      </c>
      <c r="V253" s="232" t="str">
        <f>B253&amp;"propia"</f>
        <v>propia</v>
      </c>
      <c r="X253" s="301"/>
      <c r="Y253" s="5044"/>
      <c r="Z253" s="985">
        <f>IF(Y253=0,0,AR$247)</f>
        <v>0</v>
      </c>
      <c r="AA253" s="985">
        <f>IF(Y253=0,0,VLOOKUP(Y253,Precios!$B$216:$D$307,3,FALSE))</f>
        <v>0</v>
      </c>
      <c r="AB253" s="1070"/>
      <c r="AC253" s="300"/>
      <c r="AD253" s="300"/>
      <c r="AE253" s="309"/>
      <c r="AF253" s="1074">
        <f>IF($Z253&gt;0,AF$247*$AB253,0)</f>
        <v>0</v>
      </c>
      <c r="AG253" s="1005">
        <f t="shared" si="147"/>
        <v>0</v>
      </c>
      <c r="AH253" s="1005">
        <f t="shared" si="147"/>
        <v>0</v>
      </c>
      <c r="AI253" s="1005">
        <f t="shared" si="147"/>
        <v>0</v>
      </c>
      <c r="AJ253" s="1005">
        <f t="shared" si="147"/>
        <v>0</v>
      </c>
      <c r="AK253" s="1005">
        <f t="shared" si="147"/>
        <v>0</v>
      </c>
      <c r="AL253" s="1005">
        <f t="shared" si="147"/>
        <v>0</v>
      </c>
      <c r="AM253" s="1005">
        <f t="shared" si="147"/>
        <v>0</v>
      </c>
      <c r="AN253" s="1005">
        <f t="shared" si="147"/>
        <v>0</v>
      </c>
      <c r="AO253" s="1005">
        <f t="shared" si="147"/>
        <v>0</v>
      </c>
      <c r="AP253" s="1005">
        <f t="shared" si="147"/>
        <v>0</v>
      </c>
      <c r="AQ253" s="1005">
        <f t="shared" si="147"/>
        <v>0</v>
      </c>
      <c r="AR253" s="1075">
        <f t="shared" si="148"/>
        <v>0</v>
      </c>
      <c r="AS253" s="232" t="str">
        <f>Y253&amp;"propia"</f>
        <v>propia</v>
      </c>
    </row>
    <row r="254" spans="1:47" x14ac:dyDescent="0.3">
      <c r="A254" s="205"/>
      <c r="B254" s="5046"/>
      <c r="C254" s="1057">
        <f>IF(B254=0,0,U$247)</f>
        <v>0</v>
      </c>
      <c r="D254" s="1057">
        <f>IF(B254=0,0,VLOOKUP(B254,Precios!$B$216:$D$307,3,FALSE))</f>
        <v>0</v>
      </c>
      <c r="E254" s="5047"/>
      <c r="F254" s="300"/>
      <c r="G254" s="300"/>
      <c r="H254" s="309"/>
      <c r="I254" s="1076">
        <f>IF($C254&gt;0,I$247*$E254,0)</f>
        <v>0</v>
      </c>
      <c r="J254" s="1077">
        <f t="shared" si="145"/>
        <v>0</v>
      </c>
      <c r="K254" s="1077">
        <f t="shared" si="145"/>
        <v>0</v>
      </c>
      <c r="L254" s="1077">
        <f t="shared" si="145"/>
        <v>0</v>
      </c>
      <c r="M254" s="1077">
        <f t="shared" si="145"/>
        <v>0</v>
      </c>
      <c r="N254" s="1077">
        <f t="shared" si="145"/>
        <v>0</v>
      </c>
      <c r="O254" s="1077">
        <f t="shared" si="145"/>
        <v>0</v>
      </c>
      <c r="P254" s="1077">
        <f t="shared" si="145"/>
        <v>0</v>
      </c>
      <c r="Q254" s="1077">
        <f t="shared" si="145"/>
        <v>0</v>
      </c>
      <c r="R254" s="1077">
        <f t="shared" si="145"/>
        <v>0</v>
      </c>
      <c r="S254" s="1077">
        <f t="shared" si="145"/>
        <v>0</v>
      </c>
      <c r="T254" s="1077">
        <f t="shared" si="145"/>
        <v>0</v>
      </c>
      <c r="U254" s="1078">
        <f t="shared" si="146"/>
        <v>0</v>
      </c>
      <c r="V254" s="232" t="str">
        <f>B254&amp;"propia"</f>
        <v>propia</v>
      </c>
      <c r="X254" s="301"/>
      <c r="Y254" s="5046"/>
      <c r="Z254" s="1057">
        <f>IF(Y254=0,0,AR$247)</f>
        <v>0</v>
      </c>
      <c r="AA254" s="1057">
        <f>IF(Y254=0,0,VLOOKUP(Y254,Precios!$B$216:$D$307,3,FALSE))</f>
        <v>0</v>
      </c>
      <c r="AB254" s="1071"/>
      <c r="AC254" s="300"/>
      <c r="AD254" s="300"/>
      <c r="AE254" s="309"/>
      <c r="AF254" s="1076">
        <f>IF($Z254&gt;0,AF$247*$AB254,0)</f>
        <v>0</v>
      </c>
      <c r="AG254" s="1077">
        <f t="shared" si="147"/>
        <v>0</v>
      </c>
      <c r="AH254" s="1077">
        <f t="shared" si="147"/>
        <v>0</v>
      </c>
      <c r="AI254" s="1077">
        <f t="shared" si="147"/>
        <v>0</v>
      </c>
      <c r="AJ254" s="1077">
        <f t="shared" si="147"/>
        <v>0</v>
      </c>
      <c r="AK254" s="1077">
        <f t="shared" si="147"/>
        <v>0</v>
      </c>
      <c r="AL254" s="1077">
        <f t="shared" si="147"/>
        <v>0</v>
      </c>
      <c r="AM254" s="1077">
        <f t="shared" si="147"/>
        <v>0</v>
      </c>
      <c r="AN254" s="1077">
        <f t="shared" si="147"/>
        <v>0</v>
      </c>
      <c r="AO254" s="1077">
        <f t="shared" si="147"/>
        <v>0</v>
      </c>
      <c r="AP254" s="1077">
        <f t="shared" si="147"/>
        <v>0</v>
      </c>
      <c r="AQ254" s="1077">
        <f t="shared" si="147"/>
        <v>0</v>
      </c>
      <c r="AR254" s="1078">
        <f t="shared" si="148"/>
        <v>0</v>
      </c>
      <c r="AS254" s="232" t="str">
        <f>Y254&amp;"propia"</f>
        <v>propia</v>
      </c>
    </row>
    <row r="255" spans="1:47" x14ac:dyDescent="0.3">
      <c r="A255" s="205"/>
      <c r="B255" s="645" t="s">
        <v>1083</v>
      </c>
      <c r="C255" s="305"/>
      <c r="D255" s="305"/>
      <c r="E255" s="305"/>
      <c r="F255" s="305"/>
      <c r="G255" s="305"/>
      <c r="H255" s="306"/>
      <c r="I255" s="904">
        <f>+SUM(I250:I254)</f>
        <v>0</v>
      </c>
      <c r="J255" s="904">
        <f t="shared" ref="J255:T255" si="149">+SUM(J250:J254)</f>
        <v>0</v>
      </c>
      <c r="K255" s="904">
        <f t="shared" si="149"/>
        <v>0</v>
      </c>
      <c r="L255" s="904">
        <f t="shared" si="149"/>
        <v>0</v>
      </c>
      <c r="M255" s="904">
        <f t="shared" si="149"/>
        <v>0</v>
      </c>
      <c r="N255" s="904">
        <f t="shared" si="149"/>
        <v>0</v>
      </c>
      <c r="O255" s="904">
        <f t="shared" si="149"/>
        <v>0</v>
      </c>
      <c r="P255" s="904">
        <f t="shared" si="149"/>
        <v>0</v>
      </c>
      <c r="Q255" s="904">
        <f t="shared" si="149"/>
        <v>0</v>
      </c>
      <c r="R255" s="904">
        <f t="shared" si="149"/>
        <v>0</v>
      </c>
      <c r="S255" s="904">
        <f t="shared" si="149"/>
        <v>0</v>
      </c>
      <c r="T255" s="904">
        <f t="shared" si="149"/>
        <v>0</v>
      </c>
      <c r="U255" s="905">
        <f>SUM(I255:T255)</f>
        <v>0</v>
      </c>
      <c r="X255" s="301"/>
      <c r="Y255" s="645" t="s">
        <v>1083</v>
      </c>
      <c r="Z255" s="305"/>
      <c r="AA255" s="305"/>
      <c r="AB255" s="305"/>
      <c r="AC255" s="305"/>
      <c r="AD255" s="305"/>
      <c r="AE255" s="306"/>
      <c r="AF255" s="904">
        <f t="shared" ref="AF255:AQ255" si="150">SUM(AF250:AF254)</f>
        <v>0</v>
      </c>
      <c r="AG255" s="904">
        <f t="shared" si="150"/>
        <v>0</v>
      </c>
      <c r="AH255" s="904">
        <f t="shared" si="150"/>
        <v>0</v>
      </c>
      <c r="AI255" s="904">
        <f t="shared" si="150"/>
        <v>0</v>
      </c>
      <c r="AJ255" s="904">
        <f t="shared" si="150"/>
        <v>0</v>
      </c>
      <c r="AK255" s="904">
        <f t="shared" si="150"/>
        <v>0</v>
      </c>
      <c r="AL255" s="904">
        <f t="shared" si="150"/>
        <v>0</v>
      </c>
      <c r="AM255" s="904">
        <f t="shared" si="150"/>
        <v>0</v>
      </c>
      <c r="AN255" s="904">
        <f t="shared" si="150"/>
        <v>0</v>
      </c>
      <c r="AO255" s="904">
        <f t="shared" si="150"/>
        <v>0</v>
      </c>
      <c r="AP255" s="904">
        <f t="shared" si="150"/>
        <v>0</v>
      </c>
      <c r="AQ255" s="904">
        <f t="shared" si="150"/>
        <v>0</v>
      </c>
      <c r="AR255" s="905">
        <f>SUM(AF255:AQ255)</f>
        <v>0</v>
      </c>
    </row>
    <row r="256" spans="1:47" x14ac:dyDescent="0.2">
      <c r="A256" s="205"/>
      <c r="B256" s="197" t="s">
        <v>870</v>
      </c>
      <c r="C256" s="307"/>
      <c r="D256" s="307"/>
      <c r="E256" s="308"/>
      <c r="F256" s="308"/>
      <c r="G256" s="308"/>
      <c r="H256" s="307"/>
      <c r="I256" s="307"/>
      <c r="J256" s="307"/>
      <c r="K256" s="307"/>
      <c r="L256" s="307"/>
      <c r="M256" s="307"/>
      <c r="N256" s="307"/>
      <c r="O256" s="307"/>
      <c r="P256" s="307"/>
      <c r="Q256" s="307"/>
      <c r="R256" s="307"/>
      <c r="S256" s="307"/>
      <c r="T256" s="307"/>
      <c r="U256" s="646"/>
      <c r="X256" s="301"/>
      <c r="Y256" s="197" t="s">
        <v>870</v>
      </c>
      <c r="Z256" s="307"/>
      <c r="AA256" s="307"/>
      <c r="AB256" s="308"/>
      <c r="AC256" s="308"/>
      <c r="AD256" s="308"/>
      <c r="AE256" s="307"/>
      <c r="AF256" s="307"/>
      <c r="AG256" s="307"/>
      <c r="AH256" s="307"/>
      <c r="AI256" s="307"/>
      <c r="AJ256" s="307"/>
      <c r="AK256" s="307"/>
      <c r="AL256" s="307"/>
      <c r="AM256" s="307"/>
      <c r="AN256" s="307"/>
      <c r="AO256" s="307"/>
      <c r="AP256" s="307"/>
      <c r="AQ256" s="307"/>
      <c r="AR256" s="646"/>
    </row>
    <row r="257" spans="1:46" ht="15.05" thickBot="1" x14ac:dyDescent="0.35">
      <c r="A257" s="205"/>
      <c r="B257" s="5042"/>
      <c r="C257" s="1056">
        <f>IF(B257=0,0,U$247)</f>
        <v>0</v>
      </c>
      <c r="D257" s="1056">
        <f>IF(B257=0,0,VLOOKUP(B257,Precios!$B$216:$D$307,3,FALSE))</f>
        <v>0</v>
      </c>
      <c r="E257" s="5048"/>
      <c r="F257" s="1249">
        <f>IF(B257=0,0,VLOOKUP(B257,Precios!$B$216:$D$307,2,FALSE))</f>
        <v>0</v>
      </c>
      <c r="G257" s="1066">
        <f>E257*F257</f>
        <v>0</v>
      </c>
      <c r="H257" s="309"/>
      <c r="I257" s="1072">
        <f>IF($C257&gt;0,I$247*$E257,0)</f>
        <v>0</v>
      </c>
      <c r="J257" s="1033">
        <f t="shared" si="145"/>
        <v>0</v>
      </c>
      <c r="K257" s="1033">
        <f t="shared" si="145"/>
        <v>0</v>
      </c>
      <c r="L257" s="1033">
        <f t="shared" si="145"/>
        <v>0</v>
      </c>
      <c r="M257" s="1033">
        <f t="shared" si="145"/>
        <v>0</v>
      </c>
      <c r="N257" s="1033">
        <f t="shared" si="145"/>
        <v>0</v>
      </c>
      <c r="O257" s="1033">
        <f t="shared" si="145"/>
        <v>0</v>
      </c>
      <c r="P257" s="1033">
        <f t="shared" si="145"/>
        <v>0</v>
      </c>
      <c r="Q257" s="1033">
        <f t="shared" si="145"/>
        <v>0</v>
      </c>
      <c r="R257" s="1033">
        <f t="shared" si="145"/>
        <v>0</v>
      </c>
      <c r="S257" s="1033">
        <f t="shared" si="145"/>
        <v>0</v>
      </c>
      <c r="T257" s="1033">
        <f t="shared" si="145"/>
        <v>0</v>
      </c>
      <c r="U257" s="1073">
        <f t="shared" si="146"/>
        <v>0</v>
      </c>
      <c r="V257" s="232" t="str">
        <f>B257&amp;"contratada"</f>
        <v>contratada</v>
      </c>
      <c r="X257" s="301"/>
      <c r="Y257" s="5042"/>
      <c r="Z257" s="1056">
        <f>IF(Y257=0,0,AR$247)</f>
        <v>0</v>
      </c>
      <c r="AA257" s="1056">
        <f>IF(Y257=0,0,VLOOKUP(Y257,Precios!$B$216:$D$307,3,FALSE))</f>
        <v>0</v>
      </c>
      <c r="AB257" s="1058"/>
      <c r="AC257" s="1249">
        <f>IF(Y257=0,0,VLOOKUP(Y257,Precios!$B$216:$D$307,2,FALSE))</f>
        <v>0</v>
      </c>
      <c r="AD257" s="1066">
        <f>AB257*AC257</f>
        <v>0</v>
      </c>
      <c r="AE257" s="309"/>
      <c r="AF257" s="1072">
        <f>IF($Z257&gt;0,AF$247*$AB257,0)</f>
        <v>0</v>
      </c>
      <c r="AG257" s="1033">
        <f t="shared" si="147"/>
        <v>0</v>
      </c>
      <c r="AH257" s="1033">
        <f t="shared" si="147"/>
        <v>0</v>
      </c>
      <c r="AI257" s="1033">
        <f t="shared" si="147"/>
        <v>0</v>
      </c>
      <c r="AJ257" s="1033">
        <f t="shared" si="147"/>
        <v>0</v>
      </c>
      <c r="AK257" s="1033">
        <f t="shared" si="147"/>
        <v>0</v>
      </c>
      <c r="AL257" s="1033">
        <f t="shared" si="147"/>
        <v>0</v>
      </c>
      <c r="AM257" s="1033">
        <f t="shared" si="147"/>
        <v>0</v>
      </c>
      <c r="AN257" s="1033">
        <f t="shared" si="147"/>
        <v>0</v>
      </c>
      <c r="AO257" s="1033">
        <f t="shared" si="147"/>
        <v>0</v>
      </c>
      <c r="AP257" s="1033">
        <f t="shared" si="147"/>
        <v>0</v>
      </c>
      <c r="AQ257" s="1033">
        <f t="shared" si="147"/>
        <v>0</v>
      </c>
      <c r="AR257" s="1073">
        <f t="shared" si="148"/>
        <v>0</v>
      </c>
      <c r="AS257" s="232" t="str">
        <f>Y257&amp;"contratada"</f>
        <v>contratada</v>
      </c>
    </row>
    <row r="258" spans="1:46" ht="15.05" thickBot="1" x14ac:dyDescent="0.35">
      <c r="A258" s="205"/>
      <c r="B258" s="5044"/>
      <c r="C258" s="985">
        <f t="shared" ref="C258:C281" si="151">IF(B258=0,0,U$247)</f>
        <v>0</v>
      </c>
      <c r="D258" s="985">
        <f>IF(B258=0,0,VLOOKUP(B258,Precios!$B$216:$D$307,3,FALSE))</f>
        <v>0</v>
      </c>
      <c r="E258" s="5049"/>
      <c r="F258" s="2253">
        <f>IF(B258=0,0,VLOOKUP(B258,Precios!$B$216:$D$307,2,FALSE))</f>
        <v>0</v>
      </c>
      <c r="G258" s="1067">
        <f>E258*F258</f>
        <v>0</v>
      </c>
      <c r="H258" s="309"/>
      <c r="I258" s="1074">
        <f>IF($C258&gt;0,I$247*$E258,0)</f>
        <v>0</v>
      </c>
      <c r="J258" s="1005">
        <f t="shared" si="145"/>
        <v>0</v>
      </c>
      <c r="K258" s="1005">
        <f t="shared" si="145"/>
        <v>0</v>
      </c>
      <c r="L258" s="1005">
        <f t="shared" si="145"/>
        <v>0</v>
      </c>
      <c r="M258" s="1005">
        <f t="shared" si="145"/>
        <v>0</v>
      </c>
      <c r="N258" s="1005">
        <f t="shared" si="145"/>
        <v>0</v>
      </c>
      <c r="O258" s="1005">
        <f t="shared" si="145"/>
        <v>0</v>
      </c>
      <c r="P258" s="1005">
        <f t="shared" si="145"/>
        <v>0</v>
      </c>
      <c r="Q258" s="1005">
        <f t="shared" si="145"/>
        <v>0</v>
      </c>
      <c r="R258" s="1005">
        <f t="shared" si="145"/>
        <v>0</v>
      </c>
      <c r="S258" s="1005">
        <f t="shared" si="145"/>
        <v>0</v>
      </c>
      <c r="T258" s="1005">
        <f t="shared" si="145"/>
        <v>0</v>
      </c>
      <c r="U258" s="1075">
        <f t="shared" si="146"/>
        <v>0</v>
      </c>
      <c r="V258" s="232" t="str">
        <f>B258&amp;"contratada"</f>
        <v>contratada</v>
      </c>
      <c r="X258" s="301"/>
      <c r="Y258" s="5044"/>
      <c r="Z258" s="985">
        <f>IF(Y258=0,0,AR$247)</f>
        <v>0</v>
      </c>
      <c r="AA258" s="985">
        <f>IF(Y258=0,0,VLOOKUP(Y258,Precios!$B$216:$D$307,3,FALSE))</f>
        <v>0</v>
      </c>
      <c r="AB258" s="986"/>
      <c r="AC258" s="2253">
        <f>IF(Y258=0,0,VLOOKUP(Y258,Precios!$B$216:$D$307,2,FALSE))</f>
        <v>0</v>
      </c>
      <c r="AD258" s="1067">
        <f>AB258*AC258</f>
        <v>0</v>
      </c>
      <c r="AE258" s="309"/>
      <c r="AF258" s="1074">
        <f>IF($Z258&gt;0,AF$247*$AB258,0)</f>
        <v>0</v>
      </c>
      <c r="AG258" s="1005">
        <f t="shared" si="147"/>
        <v>0</v>
      </c>
      <c r="AH258" s="1005">
        <f t="shared" si="147"/>
        <v>0</v>
      </c>
      <c r="AI258" s="1005">
        <f t="shared" si="147"/>
        <v>0</v>
      </c>
      <c r="AJ258" s="1005">
        <f t="shared" si="147"/>
        <v>0</v>
      </c>
      <c r="AK258" s="1005">
        <f t="shared" si="147"/>
        <v>0</v>
      </c>
      <c r="AL258" s="1005">
        <f t="shared" si="147"/>
        <v>0</v>
      </c>
      <c r="AM258" s="1005">
        <f t="shared" si="147"/>
        <v>0</v>
      </c>
      <c r="AN258" s="1005">
        <f t="shared" si="147"/>
        <v>0</v>
      </c>
      <c r="AO258" s="1005">
        <f t="shared" si="147"/>
        <v>0</v>
      </c>
      <c r="AP258" s="1005">
        <f t="shared" si="147"/>
        <v>0</v>
      </c>
      <c r="AQ258" s="1005">
        <f t="shared" si="147"/>
        <v>0</v>
      </c>
      <c r="AR258" s="1075">
        <f t="shared" si="148"/>
        <v>0</v>
      </c>
      <c r="AS258" s="232" t="str">
        <f>Y258&amp;"contratada"</f>
        <v>contratada</v>
      </c>
    </row>
    <row r="259" spans="1:46" ht="15.05" thickBot="1" x14ac:dyDescent="0.35">
      <c r="A259" s="205"/>
      <c r="B259" s="5044"/>
      <c r="C259" s="985">
        <f t="shared" si="151"/>
        <v>0</v>
      </c>
      <c r="D259" s="985">
        <f>IF(B259=0,0,VLOOKUP(B259,Precios!$B$216:$D$307,3,FALSE))</f>
        <v>0</v>
      </c>
      <c r="E259" s="5049"/>
      <c r="F259" s="2253">
        <f>IF(B259=0,0,VLOOKUP(B259,Precios!$B$216:$D$307,2,FALSE))</f>
        <v>0</v>
      </c>
      <c r="G259" s="1067">
        <f>E259*F259</f>
        <v>0</v>
      </c>
      <c r="H259" s="309"/>
      <c r="I259" s="1074">
        <f>IF($C259&gt;0,I$247*$E259,0)</f>
        <v>0</v>
      </c>
      <c r="J259" s="1005">
        <f t="shared" si="145"/>
        <v>0</v>
      </c>
      <c r="K259" s="1005">
        <f t="shared" si="145"/>
        <v>0</v>
      </c>
      <c r="L259" s="1005">
        <f t="shared" si="145"/>
        <v>0</v>
      </c>
      <c r="M259" s="1005">
        <f t="shared" si="145"/>
        <v>0</v>
      </c>
      <c r="N259" s="1005">
        <f t="shared" si="145"/>
        <v>0</v>
      </c>
      <c r="O259" s="1005">
        <f t="shared" si="145"/>
        <v>0</v>
      </c>
      <c r="P259" s="1005">
        <f t="shared" si="145"/>
        <v>0</v>
      </c>
      <c r="Q259" s="1005">
        <f t="shared" si="145"/>
        <v>0</v>
      </c>
      <c r="R259" s="1005">
        <f t="shared" si="145"/>
        <v>0</v>
      </c>
      <c r="S259" s="1005">
        <f t="shared" si="145"/>
        <v>0</v>
      </c>
      <c r="T259" s="1005">
        <f t="shared" si="145"/>
        <v>0</v>
      </c>
      <c r="U259" s="1075">
        <f t="shared" si="146"/>
        <v>0</v>
      </c>
      <c r="V259" s="232" t="str">
        <f>B259&amp;"contratada"</f>
        <v>contratada</v>
      </c>
      <c r="X259" s="301"/>
      <c r="Y259" s="5044"/>
      <c r="Z259" s="985">
        <f>IF(Y259=0,0,AR$247)</f>
        <v>0</v>
      </c>
      <c r="AA259" s="985">
        <f>IF(Y259=0,0,VLOOKUP(Y259,Precios!$B$216:$D$307,3,FALSE))</f>
        <v>0</v>
      </c>
      <c r="AB259" s="986"/>
      <c r="AC259" s="2253">
        <f>IF(Y259=0,0,VLOOKUP(Y259,Precios!$B$216:$D$307,2,FALSE))</f>
        <v>0</v>
      </c>
      <c r="AD259" s="1067">
        <f>AB259*AC259</f>
        <v>0</v>
      </c>
      <c r="AE259" s="309"/>
      <c r="AF259" s="1074">
        <f>IF($Z259&gt;0,AF$247*$AB259,0)</f>
        <v>0</v>
      </c>
      <c r="AG259" s="1005">
        <f t="shared" si="147"/>
        <v>0</v>
      </c>
      <c r="AH259" s="1005">
        <f t="shared" si="147"/>
        <v>0</v>
      </c>
      <c r="AI259" s="1005">
        <f t="shared" si="147"/>
        <v>0</v>
      </c>
      <c r="AJ259" s="1005">
        <f t="shared" si="147"/>
        <v>0</v>
      </c>
      <c r="AK259" s="1005">
        <f t="shared" si="147"/>
        <v>0</v>
      </c>
      <c r="AL259" s="1005">
        <f t="shared" si="147"/>
        <v>0</v>
      </c>
      <c r="AM259" s="1005">
        <f t="shared" si="147"/>
        <v>0</v>
      </c>
      <c r="AN259" s="1005">
        <f t="shared" si="147"/>
        <v>0</v>
      </c>
      <c r="AO259" s="1005">
        <f t="shared" si="147"/>
        <v>0</v>
      </c>
      <c r="AP259" s="1005">
        <f t="shared" si="147"/>
        <v>0</v>
      </c>
      <c r="AQ259" s="1005">
        <f t="shared" si="147"/>
        <v>0</v>
      </c>
      <c r="AR259" s="1075">
        <f t="shared" si="148"/>
        <v>0</v>
      </c>
      <c r="AS259" s="232" t="str">
        <f>Y259&amp;"contratada"</f>
        <v>contratada</v>
      </c>
    </row>
    <row r="260" spans="1:46" ht="15.05" thickBot="1" x14ac:dyDescent="0.35">
      <c r="A260" s="205"/>
      <c r="B260" s="5044"/>
      <c r="C260" s="985">
        <f t="shared" si="151"/>
        <v>0</v>
      </c>
      <c r="D260" s="985">
        <f>IF(B260=0,0,VLOOKUP(B260,Precios!$B$216:$D$307,3,FALSE))</f>
        <v>0</v>
      </c>
      <c r="E260" s="5049"/>
      <c r="F260" s="2253">
        <f>IF(B260=0,0,VLOOKUP(B260,Precios!$B$216:$D$307,2,FALSE))</f>
        <v>0</v>
      </c>
      <c r="G260" s="1067">
        <f>E260*F260</f>
        <v>0</v>
      </c>
      <c r="H260" s="309"/>
      <c r="I260" s="1074">
        <f>IF($C260&gt;0,I$247*$E260,0)</f>
        <v>0</v>
      </c>
      <c r="J260" s="1005">
        <f t="shared" si="145"/>
        <v>0</v>
      </c>
      <c r="K260" s="1005">
        <f t="shared" si="145"/>
        <v>0</v>
      </c>
      <c r="L260" s="1005">
        <f t="shared" si="145"/>
        <v>0</v>
      </c>
      <c r="M260" s="1005">
        <f t="shared" si="145"/>
        <v>0</v>
      </c>
      <c r="N260" s="1005">
        <f t="shared" si="145"/>
        <v>0</v>
      </c>
      <c r="O260" s="1005">
        <f t="shared" si="145"/>
        <v>0</v>
      </c>
      <c r="P260" s="1005">
        <f t="shared" si="145"/>
        <v>0</v>
      </c>
      <c r="Q260" s="1005">
        <f t="shared" si="145"/>
        <v>0</v>
      </c>
      <c r="R260" s="1005">
        <f t="shared" si="145"/>
        <v>0</v>
      </c>
      <c r="S260" s="1005">
        <f t="shared" si="145"/>
        <v>0</v>
      </c>
      <c r="T260" s="1005">
        <f t="shared" si="145"/>
        <v>0</v>
      </c>
      <c r="U260" s="1075">
        <f t="shared" si="146"/>
        <v>0</v>
      </c>
      <c r="V260" s="232" t="str">
        <f>B260&amp;"contratada"</f>
        <v>contratada</v>
      </c>
      <c r="X260" s="301"/>
      <c r="Y260" s="5044"/>
      <c r="Z260" s="985">
        <f>IF(Y260=0,0,AR$247)</f>
        <v>0</v>
      </c>
      <c r="AA260" s="985">
        <f>IF(Y260=0,0,VLOOKUP(Y260,Precios!$B$216:$D$307,3,FALSE))</f>
        <v>0</v>
      </c>
      <c r="AB260" s="986"/>
      <c r="AC260" s="2253">
        <f>IF(Y260=0,0,VLOOKUP(Y260,Precios!$B$216:$D$307,2,FALSE))</f>
        <v>0</v>
      </c>
      <c r="AD260" s="1067">
        <f>AB260*AC260</f>
        <v>0</v>
      </c>
      <c r="AE260" s="309"/>
      <c r="AF260" s="1074">
        <f>IF($Z260&gt;0,AF$247*$AB260,0)</f>
        <v>0</v>
      </c>
      <c r="AG260" s="1005">
        <f t="shared" si="147"/>
        <v>0</v>
      </c>
      <c r="AH260" s="1005">
        <f t="shared" si="147"/>
        <v>0</v>
      </c>
      <c r="AI260" s="1005">
        <f t="shared" si="147"/>
        <v>0</v>
      </c>
      <c r="AJ260" s="1005">
        <f t="shared" si="147"/>
        <v>0</v>
      </c>
      <c r="AK260" s="1005">
        <f t="shared" si="147"/>
        <v>0</v>
      </c>
      <c r="AL260" s="1005">
        <f t="shared" si="147"/>
        <v>0</v>
      </c>
      <c r="AM260" s="1005">
        <f t="shared" si="147"/>
        <v>0</v>
      </c>
      <c r="AN260" s="1005">
        <f t="shared" si="147"/>
        <v>0</v>
      </c>
      <c r="AO260" s="1005">
        <f t="shared" si="147"/>
        <v>0</v>
      </c>
      <c r="AP260" s="1005">
        <f t="shared" si="147"/>
        <v>0</v>
      </c>
      <c r="AQ260" s="1005">
        <f t="shared" si="147"/>
        <v>0</v>
      </c>
      <c r="AR260" s="1075">
        <f t="shared" si="148"/>
        <v>0</v>
      </c>
      <c r="AS260" s="232" t="str">
        <f>Y260&amp;"contratada"</f>
        <v>contratada</v>
      </c>
    </row>
    <row r="261" spans="1:46" x14ac:dyDescent="0.3">
      <c r="A261" s="205"/>
      <c r="B261" s="5046"/>
      <c r="C261" s="1057">
        <f t="shared" si="151"/>
        <v>0</v>
      </c>
      <c r="D261" s="1057">
        <f>IF(B261=0,0,VLOOKUP(B261,Precios!$B$216:$D$307,3,FALSE))</f>
        <v>0</v>
      </c>
      <c r="E261" s="5050"/>
      <c r="F261" s="2254">
        <f>IF(B261=0,0,VLOOKUP(B261,Precios!$B$216:$D$307,2,FALSE))</f>
        <v>0</v>
      </c>
      <c r="G261" s="1068">
        <f>E261*F261</f>
        <v>0</v>
      </c>
      <c r="H261" s="309"/>
      <c r="I261" s="1076">
        <f>IF($C261&gt;0,I$247*$E261,0)</f>
        <v>0</v>
      </c>
      <c r="J261" s="1077">
        <f t="shared" si="145"/>
        <v>0</v>
      </c>
      <c r="K261" s="1077">
        <f t="shared" si="145"/>
        <v>0</v>
      </c>
      <c r="L261" s="1077">
        <f t="shared" si="145"/>
        <v>0</v>
      </c>
      <c r="M261" s="1077">
        <f t="shared" si="145"/>
        <v>0</v>
      </c>
      <c r="N261" s="1077">
        <f t="shared" si="145"/>
        <v>0</v>
      </c>
      <c r="O261" s="1077">
        <f t="shared" si="145"/>
        <v>0</v>
      </c>
      <c r="P261" s="1077">
        <f t="shared" si="145"/>
        <v>0</v>
      </c>
      <c r="Q261" s="1077">
        <f t="shared" si="145"/>
        <v>0</v>
      </c>
      <c r="R261" s="1077">
        <f t="shared" si="145"/>
        <v>0</v>
      </c>
      <c r="S261" s="1077">
        <f t="shared" si="145"/>
        <v>0</v>
      </c>
      <c r="T261" s="1077">
        <f t="shared" si="145"/>
        <v>0</v>
      </c>
      <c r="U261" s="1078">
        <f t="shared" si="146"/>
        <v>0</v>
      </c>
      <c r="V261" s="232" t="str">
        <f>B261&amp;"contratada"</f>
        <v>contratada</v>
      </c>
      <c r="X261" s="301"/>
      <c r="Y261" s="5046"/>
      <c r="Z261" s="1057">
        <f>IF(Y261=0,0,AR$247)</f>
        <v>0</v>
      </c>
      <c r="AA261" s="1057">
        <f>IF(Y261=0,0,VLOOKUP(Y261,Precios!$B$216:$D$307,3,FALSE))</f>
        <v>0</v>
      </c>
      <c r="AB261" s="1060"/>
      <c r="AC261" s="2254">
        <f>IF(Y261=0,0,VLOOKUP(Y261,Precios!$B$216:$D$307,2,FALSE))</f>
        <v>0</v>
      </c>
      <c r="AD261" s="1068">
        <f>AB261*AC261</f>
        <v>0</v>
      </c>
      <c r="AE261" s="309"/>
      <c r="AF261" s="1076">
        <f>IF($Z261&gt;0,AF$247*$AB261,0)</f>
        <v>0</v>
      </c>
      <c r="AG261" s="1077">
        <f t="shared" si="147"/>
        <v>0</v>
      </c>
      <c r="AH261" s="1077">
        <f t="shared" si="147"/>
        <v>0</v>
      </c>
      <c r="AI261" s="1077">
        <f t="shared" si="147"/>
        <v>0</v>
      </c>
      <c r="AJ261" s="1077">
        <f t="shared" si="147"/>
        <v>0</v>
      </c>
      <c r="AK261" s="1077">
        <f t="shared" si="147"/>
        <v>0</v>
      </c>
      <c r="AL261" s="1077">
        <f t="shared" si="147"/>
        <v>0</v>
      </c>
      <c r="AM261" s="1077">
        <f t="shared" si="147"/>
        <v>0</v>
      </c>
      <c r="AN261" s="1077">
        <f t="shared" si="147"/>
        <v>0</v>
      </c>
      <c r="AO261" s="1077">
        <f t="shared" si="147"/>
        <v>0</v>
      </c>
      <c r="AP261" s="1077">
        <f t="shared" si="147"/>
        <v>0</v>
      </c>
      <c r="AQ261" s="1077">
        <f t="shared" si="147"/>
        <v>0</v>
      </c>
      <c r="AR261" s="1078">
        <f t="shared" si="148"/>
        <v>0</v>
      </c>
      <c r="AS261" s="232" t="str">
        <f>Y261&amp;"contratada"</f>
        <v>contratada</v>
      </c>
    </row>
    <row r="262" spans="1:46" x14ac:dyDescent="0.3">
      <c r="A262" s="205"/>
      <c r="B262" s="647" t="s">
        <v>1084</v>
      </c>
      <c r="C262" s="305"/>
      <c r="D262" s="305"/>
      <c r="E262" s="305"/>
      <c r="F262" s="650"/>
      <c r="G262" s="305"/>
      <c r="H262" s="310"/>
      <c r="I262" s="904">
        <f t="shared" ref="I262:T262" si="152">SUM(I257:I261)</f>
        <v>0</v>
      </c>
      <c r="J262" s="904">
        <f t="shared" si="152"/>
        <v>0</v>
      </c>
      <c r="K262" s="904">
        <f t="shared" si="152"/>
        <v>0</v>
      </c>
      <c r="L262" s="904">
        <f t="shared" si="152"/>
        <v>0</v>
      </c>
      <c r="M262" s="904">
        <f t="shared" si="152"/>
        <v>0</v>
      </c>
      <c r="N262" s="904">
        <f t="shared" si="152"/>
        <v>0</v>
      </c>
      <c r="O262" s="904">
        <f t="shared" si="152"/>
        <v>0</v>
      </c>
      <c r="P262" s="904">
        <f t="shared" si="152"/>
        <v>0</v>
      </c>
      <c r="Q262" s="904">
        <f t="shared" si="152"/>
        <v>0</v>
      </c>
      <c r="R262" s="904">
        <f t="shared" si="152"/>
        <v>0</v>
      </c>
      <c r="S262" s="904">
        <f t="shared" si="152"/>
        <v>0</v>
      </c>
      <c r="T262" s="904">
        <f t="shared" si="152"/>
        <v>0</v>
      </c>
      <c r="U262" s="905">
        <f>SUM(I262:T262)</f>
        <v>0</v>
      </c>
      <c r="W262" s="232" t="str">
        <f>B256&amp;B246</f>
        <v>Labores con maquinaria contratada0</v>
      </c>
      <c r="X262" s="301"/>
      <c r="Y262" s="647" t="s">
        <v>1084</v>
      </c>
      <c r="Z262" s="305"/>
      <c r="AA262" s="305"/>
      <c r="AB262" s="305"/>
      <c r="AC262" s="650"/>
      <c r="AD262" s="305"/>
      <c r="AE262" s="310"/>
      <c r="AF262" s="904">
        <f t="shared" ref="AF262:AQ262" si="153">SUM(AF257:AF261)</f>
        <v>0</v>
      </c>
      <c r="AG262" s="904">
        <f t="shared" si="153"/>
        <v>0</v>
      </c>
      <c r="AH262" s="904">
        <f t="shared" si="153"/>
        <v>0</v>
      </c>
      <c r="AI262" s="904">
        <f t="shared" si="153"/>
        <v>0</v>
      </c>
      <c r="AJ262" s="904">
        <f t="shared" si="153"/>
        <v>0</v>
      </c>
      <c r="AK262" s="904">
        <f t="shared" si="153"/>
        <v>0</v>
      </c>
      <c r="AL262" s="904">
        <f t="shared" si="153"/>
        <v>0</v>
      </c>
      <c r="AM262" s="904">
        <f t="shared" si="153"/>
        <v>0</v>
      </c>
      <c r="AN262" s="904">
        <f t="shared" si="153"/>
        <v>0</v>
      </c>
      <c r="AO262" s="904">
        <f t="shared" si="153"/>
        <v>0</v>
      </c>
      <c r="AP262" s="904">
        <f t="shared" si="153"/>
        <v>0</v>
      </c>
      <c r="AQ262" s="904">
        <f t="shared" si="153"/>
        <v>0</v>
      </c>
      <c r="AR262" s="905">
        <f>SUM(AF262:AQ262)</f>
        <v>0</v>
      </c>
      <c r="AT262" s="232" t="str">
        <f>Y256&amp;Y246</f>
        <v>Labores con maquinaria contratada0</v>
      </c>
    </row>
    <row r="263" spans="1:46" x14ac:dyDescent="0.2">
      <c r="A263" s="205"/>
      <c r="B263" s="197" t="s">
        <v>85</v>
      </c>
      <c r="C263" s="307"/>
      <c r="D263" s="307"/>
      <c r="E263" s="308"/>
      <c r="F263" s="651"/>
      <c r="G263" s="308"/>
      <c r="H263" s="308"/>
      <c r="I263" s="311"/>
      <c r="J263" s="311"/>
      <c r="K263" s="311"/>
      <c r="L263" s="311"/>
      <c r="M263" s="311"/>
      <c r="N263" s="311"/>
      <c r="O263" s="311"/>
      <c r="P263" s="311"/>
      <c r="Q263" s="311"/>
      <c r="R263" s="311"/>
      <c r="S263" s="311"/>
      <c r="T263" s="311"/>
      <c r="U263" s="646"/>
      <c r="X263" s="301"/>
      <c r="Y263" s="197" t="s">
        <v>85</v>
      </c>
      <c r="Z263" s="307"/>
      <c r="AA263" s="307"/>
      <c r="AB263" s="308"/>
      <c r="AC263" s="651"/>
      <c r="AD263" s="308"/>
      <c r="AE263" s="308"/>
      <c r="AF263" s="311"/>
      <c r="AG263" s="311"/>
      <c r="AH263" s="311"/>
      <c r="AI263" s="311"/>
      <c r="AJ263" s="311"/>
      <c r="AK263" s="311"/>
      <c r="AL263" s="311"/>
      <c r="AM263" s="311"/>
      <c r="AN263" s="311"/>
      <c r="AO263" s="311"/>
      <c r="AP263" s="311"/>
      <c r="AQ263" s="311"/>
      <c r="AR263" s="646"/>
    </row>
    <row r="264" spans="1:46" ht="15.05" thickBot="1" x14ac:dyDescent="0.35">
      <c r="A264" s="205"/>
      <c r="B264" s="5042"/>
      <c r="C264" s="1056">
        <f t="shared" si="151"/>
        <v>0</v>
      </c>
      <c r="D264" s="1056">
        <f>IF(B264=0,0,VLOOKUP(B264,Precios!$B$216:$D$307,3,FALSE))</f>
        <v>0</v>
      </c>
      <c r="E264" s="5048"/>
      <c r="F264" s="1062">
        <f>IF(B264=0,0,VLOOKUP(B264,Precios!$B$216:$D$307,2,FALSE))</f>
        <v>0</v>
      </c>
      <c r="G264" s="1066">
        <f t="shared" ref="G264:G271" si="154">E264*F264</f>
        <v>0</v>
      </c>
      <c r="H264" s="309"/>
      <c r="I264" s="1072">
        <f>IF($C264&gt;0,I$247*$E264,0)</f>
        <v>0</v>
      </c>
      <c r="J264" s="1033">
        <f t="shared" si="145"/>
        <v>0</v>
      </c>
      <c r="K264" s="1033">
        <f t="shared" si="145"/>
        <v>0</v>
      </c>
      <c r="L264" s="1033">
        <f t="shared" si="145"/>
        <v>0</v>
      </c>
      <c r="M264" s="1033">
        <f t="shared" si="145"/>
        <v>0</v>
      </c>
      <c r="N264" s="1033">
        <f t="shared" si="145"/>
        <v>0</v>
      </c>
      <c r="O264" s="1033">
        <f t="shared" si="145"/>
        <v>0</v>
      </c>
      <c r="P264" s="1033">
        <f t="shared" si="145"/>
        <v>0</v>
      </c>
      <c r="Q264" s="1033">
        <f t="shared" si="145"/>
        <v>0</v>
      </c>
      <c r="R264" s="1033">
        <f t="shared" si="145"/>
        <v>0</v>
      </c>
      <c r="S264" s="1033">
        <f t="shared" si="145"/>
        <v>0</v>
      </c>
      <c r="T264" s="1033">
        <f t="shared" si="145"/>
        <v>0</v>
      </c>
      <c r="U264" s="1073">
        <f t="shared" si="146"/>
        <v>0</v>
      </c>
      <c r="X264" s="301"/>
      <c r="Y264" s="5042"/>
      <c r="Z264" s="1056">
        <f t="shared" ref="Z264:Z281" si="155">IF(Y264=0,0,AR$247)</f>
        <v>0</v>
      </c>
      <c r="AA264" s="1056">
        <f>IF(Y264=0,0,VLOOKUP(Y264,Precios!$B$216:$D$307,3,FALSE))</f>
        <v>0</v>
      </c>
      <c r="AB264" s="1058"/>
      <c r="AC264" s="1062">
        <f>IF(Y264=0,0,VLOOKUP(Y264,Precios!$B$216:$D$307,2,FALSE))</f>
        <v>0</v>
      </c>
      <c r="AD264" s="1066">
        <f t="shared" ref="AD264:AD271" si="156">AB264*AC264</f>
        <v>0</v>
      </c>
      <c r="AE264" s="309"/>
      <c r="AF264" s="1072">
        <f>IF($Z264&gt;0,AF$247*$AB264,0)</f>
        <v>0</v>
      </c>
      <c r="AG264" s="1033">
        <f t="shared" ref="AG264:AQ267" si="157">IF($Z264&gt;0,AG$247*$AB264,0)</f>
        <v>0</v>
      </c>
      <c r="AH264" s="1033">
        <f t="shared" si="157"/>
        <v>0</v>
      </c>
      <c r="AI264" s="1033">
        <f t="shared" si="157"/>
        <v>0</v>
      </c>
      <c r="AJ264" s="1033">
        <f t="shared" si="157"/>
        <v>0</v>
      </c>
      <c r="AK264" s="1033">
        <f t="shared" si="157"/>
        <v>0</v>
      </c>
      <c r="AL264" s="1033">
        <f t="shared" si="157"/>
        <v>0</v>
      </c>
      <c r="AM264" s="1033">
        <f t="shared" si="157"/>
        <v>0</v>
      </c>
      <c r="AN264" s="1033">
        <f t="shared" si="157"/>
        <v>0</v>
      </c>
      <c r="AO264" s="1033">
        <f t="shared" si="157"/>
        <v>0</v>
      </c>
      <c r="AP264" s="1033">
        <f t="shared" si="157"/>
        <v>0</v>
      </c>
      <c r="AQ264" s="1033">
        <f t="shared" si="157"/>
        <v>0</v>
      </c>
      <c r="AR264" s="1073">
        <f>SUM(AF264:AQ264)</f>
        <v>0</v>
      </c>
    </row>
    <row r="265" spans="1:46" ht="15.05" thickBot="1" x14ac:dyDescent="0.35">
      <c r="A265" s="205"/>
      <c r="B265" s="5044"/>
      <c r="C265" s="985">
        <f t="shared" si="151"/>
        <v>0</v>
      </c>
      <c r="D265" s="985">
        <f>IF(B265=0,0,VLOOKUP(B265,Precios!$B$216:$D$307,3,FALSE))</f>
        <v>0</v>
      </c>
      <c r="E265" s="5049"/>
      <c r="F265" s="1059">
        <f>IF(B265=0,0,VLOOKUP(B265,Precios!$B$216:$D$307,2,FALSE))</f>
        <v>0</v>
      </c>
      <c r="G265" s="1067">
        <f t="shared" si="154"/>
        <v>0</v>
      </c>
      <c r="H265" s="309"/>
      <c r="I265" s="1074">
        <f t="shared" ref="I265:T281" si="158">IF($C265&gt;0,I$247*$E265,0)</f>
        <v>0</v>
      </c>
      <c r="J265" s="1005">
        <f t="shared" si="145"/>
        <v>0</v>
      </c>
      <c r="K265" s="1005">
        <f t="shared" si="145"/>
        <v>0</v>
      </c>
      <c r="L265" s="1005">
        <f t="shared" si="145"/>
        <v>0</v>
      </c>
      <c r="M265" s="1005">
        <f t="shared" si="145"/>
        <v>0</v>
      </c>
      <c r="N265" s="1005">
        <f t="shared" si="145"/>
        <v>0</v>
      </c>
      <c r="O265" s="1005">
        <f t="shared" si="145"/>
        <v>0</v>
      </c>
      <c r="P265" s="1005">
        <f t="shared" si="145"/>
        <v>0</v>
      </c>
      <c r="Q265" s="1005">
        <f t="shared" si="145"/>
        <v>0</v>
      </c>
      <c r="R265" s="1005">
        <f t="shared" si="145"/>
        <v>0</v>
      </c>
      <c r="S265" s="1005">
        <f t="shared" si="145"/>
        <v>0</v>
      </c>
      <c r="T265" s="1005">
        <f t="shared" si="145"/>
        <v>0</v>
      </c>
      <c r="U265" s="1075">
        <f t="shared" si="146"/>
        <v>0</v>
      </c>
      <c r="X265" s="301"/>
      <c r="Y265" s="5044"/>
      <c r="Z265" s="985">
        <f t="shared" si="155"/>
        <v>0</v>
      </c>
      <c r="AA265" s="985">
        <f>IF(Y265=0,0,VLOOKUP(Y265,Precios!$B$216:$D$307,3,FALSE))</f>
        <v>0</v>
      </c>
      <c r="AB265" s="986"/>
      <c r="AC265" s="1059">
        <f>IF(Y265=0,0,VLOOKUP(Y265,Precios!$B$216:$D$307,2,FALSE))</f>
        <v>0</v>
      </c>
      <c r="AD265" s="1067">
        <f t="shared" si="156"/>
        <v>0</v>
      </c>
      <c r="AE265" s="309"/>
      <c r="AF265" s="1074">
        <f t="shared" ref="AF265:AQ281" si="159">IF($Z265&gt;0,AF$247*$AB265,0)</f>
        <v>0</v>
      </c>
      <c r="AG265" s="1005">
        <f t="shared" si="157"/>
        <v>0</v>
      </c>
      <c r="AH265" s="1005">
        <f t="shared" si="157"/>
        <v>0</v>
      </c>
      <c r="AI265" s="1005">
        <f t="shared" si="157"/>
        <v>0</v>
      </c>
      <c r="AJ265" s="1005">
        <f t="shared" si="157"/>
        <v>0</v>
      </c>
      <c r="AK265" s="1005">
        <f t="shared" si="157"/>
        <v>0</v>
      </c>
      <c r="AL265" s="1005">
        <f t="shared" si="157"/>
        <v>0</v>
      </c>
      <c r="AM265" s="1005">
        <f t="shared" si="157"/>
        <v>0</v>
      </c>
      <c r="AN265" s="1005">
        <f t="shared" si="157"/>
        <v>0</v>
      </c>
      <c r="AO265" s="1005">
        <f t="shared" si="157"/>
        <v>0</v>
      </c>
      <c r="AP265" s="1005">
        <f t="shared" si="157"/>
        <v>0</v>
      </c>
      <c r="AQ265" s="1005">
        <f t="shared" si="157"/>
        <v>0</v>
      </c>
      <c r="AR265" s="1075">
        <f>SUM(AF265:AQ265)</f>
        <v>0</v>
      </c>
    </row>
    <row r="266" spans="1:46" ht="15.05" thickBot="1" x14ac:dyDescent="0.35">
      <c r="A266" s="205"/>
      <c r="B266" s="5044"/>
      <c r="C266" s="985">
        <f t="shared" si="151"/>
        <v>0</v>
      </c>
      <c r="D266" s="985">
        <f>IF(B266=0,0,VLOOKUP(B266,Precios!$B$216:$D$307,3,FALSE))</f>
        <v>0</v>
      </c>
      <c r="E266" s="5049"/>
      <c r="F266" s="1059">
        <f>IF(B266=0,0,VLOOKUP(B266,Precios!$B$216:$D$307,2,FALSE))</f>
        <v>0</v>
      </c>
      <c r="G266" s="1067">
        <f t="shared" si="154"/>
        <v>0</v>
      </c>
      <c r="H266" s="309"/>
      <c r="I266" s="1074">
        <f t="shared" si="158"/>
        <v>0</v>
      </c>
      <c r="J266" s="1005">
        <f t="shared" si="145"/>
        <v>0</v>
      </c>
      <c r="K266" s="1005">
        <f t="shared" si="145"/>
        <v>0</v>
      </c>
      <c r="L266" s="1005">
        <f t="shared" si="145"/>
        <v>0</v>
      </c>
      <c r="M266" s="1005">
        <f t="shared" si="145"/>
        <v>0</v>
      </c>
      <c r="N266" s="1005">
        <f t="shared" si="145"/>
        <v>0</v>
      </c>
      <c r="O266" s="1005">
        <f t="shared" si="145"/>
        <v>0</v>
      </c>
      <c r="P266" s="1005">
        <f t="shared" si="145"/>
        <v>0</v>
      </c>
      <c r="Q266" s="1005">
        <f t="shared" si="145"/>
        <v>0</v>
      </c>
      <c r="R266" s="1005">
        <f t="shared" si="145"/>
        <v>0</v>
      </c>
      <c r="S266" s="1005">
        <f t="shared" si="145"/>
        <v>0</v>
      </c>
      <c r="T266" s="1005">
        <f t="shared" si="145"/>
        <v>0</v>
      </c>
      <c r="U266" s="1075">
        <f t="shared" si="146"/>
        <v>0</v>
      </c>
      <c r="X266" s="301"/>
      <c r="Y266" s="5044"/>
      <c r="Z266" s="985">
        <f t="shared" si="155"/>
        <v>0</v>
      </c>
      <c r="AA266" s="985">
        <f>IF(Y266=0,0,VLOOKUP(Y266,Precios!$B$216:$D$307,3,FALSE))</f>
        <v>0</v>
      </c>
      <c r="AB266" s="986"/>
      <c r="AC266" s="1059">
        <f>IF(Y266=0,0,VLOOKUP(Y266,Precios!$B$216:$D$307,2,FALSE))</f>
        <v>0</v>
      </c>
      <c r="AD266" s="1067">
        <f t="shared" si="156"/>
        <v>0</v>
      </c>
      <c r="AE266" s="309"/>
      <c r="AF266" s="1074">
        <f t="shared" si="159"/>
        <v>0</v>
      </c>
      <c r="AG266" s="1005">
        <f t="shared" si="157"/>
        <v>0</v>
      </c>
      <c r="AH266" s="1005">
        <f t="shared" si="157"/>
        <v>0</v>
      </c>
      <c r="AI266" s="1005">
        <f t="shared" si="157"/>
        <v>0</v>
      </c>
      <c r="AJ266" s="1005">
        <f t="shared" si="157"/>
        <v>0</v>
      </c>
      <c r="AK266" s="1005">
        <f t="shared" si="157"/>
        <v>0</v>
      </c>
      <c r="AL266" s="1005">
        <f t="shared" si="157"/>
        <v>0</v>
      </c>
      <c r="AM266" s="1005">
        <f t="shared" si="157"/>
        <v>0</v>
      </c>
      <c r="AN266" s="1005">
        <f t="shared" si="157"/>
        <v>0</v>
      </c>
      <c r="AO266" s="1005">
        <f t="shared" si="157"/>
        <v>0</v>
      </c>
      <c r="AP266" s="1005">
        <f t="shared" si="157"/>
        <v>0</v>
      </c>
      <c r="AQ266" s="1005">
        <f t="shared" si="157"/>
        <v>0</v>
      </c>
      <c r="AR266" s="1075">
        <f>SUM(AF266:AQ266)</f>
        <v>0</v>
      </c>
    </row>
    <row r="267" spans="1:46" ht="15.05" thickBot="1" x14ac:dyDescent="0.35">
      <c r="A267" s="205"/>
      <c r="B267" s="5044"/>
      <c r="C267" s="985">
        <f t="shared" si="151"/>
        <v>0</v>
      </c>
      <c r="D267" s="985">
        <f>IF(B267=0,0,VLOOKUP(B267,Precios!$B$216:$D$307,3,FALSE))</f>
        <v>0</v>
      </c>
      <c r="E267" s="5049"/>
      <c r="F267" s="1059">
        <f>IF(B267=0,0,VLOOKUP(B267,Precios!$B$216:$D$307,2,FALSE))</f>
        <v>0</v>
      </c>
      <c r="G267" s="1067">
        <f t="shared" si="154"/>
        <v>0</v>
      </c>
      <c r="H267" s="309"/>
      <c r="I267" s="1074">
        <f t="shared" si="158"/>
        <v>0</v>
      </c>
      <c r="J267" s="1005">
        <f t="shared" si="145"/>
        <v>0</v>
      </c>
      <c r="K267" s="1005">
        <f t="shared" si="145"/>
        <v>0</v>
      </c>
      <c r="L267" s="1005">
        <f t="shared" si="145"/>
        <v>0</v>
      </c>
      <c r="M267" s="1005">
        <f t="shared" si="145"/>
        <v>0</v>
      </c>
      <c r="N267" s="1005">
        <f t="shared" si="145"/>
        <v>0</v>
      </c>
      <c r="O267" s="1005">
        <f t="shared" si="145"/>
        <v>0</v>
      </c>
      <c r="P267" s="1005">
        <f t="shared" si="145"/>
        <v>0</v>
      </c>
      <c r="Q267" s="1005">
        <f t="shared" si="145"/>
        <v>0</v>
      </c>
      <c r="R267" s="1005">
        <f t="shared" si="145"/>
        <v>0</v>
      </c>
      <c r="S267" s="1005">
        <f t="shared" si="145"/>
        <v>0</v>
      </c>
      <c r="T267" s="1005">
        <f t="shared" si="145"/>
        <v>0</v>
      </c>
      <c r="U267" s="1075">
        <f t="shared" si="146"/>
        <v>0</v>
      </c>
      <c r="X267" s="301"/>
      <c r="Y267" s="5044"/>
      <c r="Z267" s="985">
        <f t="shared" si="155"/>
        <v>0</v>
      </c>
      <c r="AA267" s="985">
        <f>IF(Y267=0,0,VLOOKUP(Y267,Precios!$B$216:$D$307,3,FALSE))</f>
        <v>0</v>
      </c>
      <c r="AB267" s="986"/>
      <c r="AC267" s="1059">
        <f>IF(Y267=0,0,VLOOKUP(Y267,Precios!$B$216:$D$307,2,FALSE))</f>
        <v>0</v>
      </c>
      <c r="AD267" s="1067">
        <f t="shared" si="156"/>
        <v>0</v>
      </c>
      <c r="AE267" s="309"/>
      <c r="AF267" s="1074">
        <f t="shared" si="159"/>
        <v>0</v>
      </c>
      <c r="AG267" s="1005">
        <f t="shared" si="157"/>
        <v>0</v>
      </c>
      <c r="AH267" s="1005">
        <f t="shared" si="157"/>
        <v>0</v>
      </c>
      <c r="AI267" s="1005">
        <f t="shared" si="157"/>
        <v>0</v>
      </c>
      <c r="AJ267" s="1005">
        <f t="shared" si="157"/>
        <v>0</v>
      </c>
      <c r="AK267" s="1005">
        <f t="shared" si="157"/>
        <v>0</v>
      </c>
      <c r="AL267" s="1005">
        <f t="shared" si="157"/>
        <v>0</v>
      </c>
      <c r="AM267" s="1005">
        <f t="shared" si="157"/>
        <v>0</v>
      </c>
      <c r="AN267" s="1005">
        <f t="shared" si="157"/>
        <v>0</v>
      </c>
      <c r="AO267" s="1005">
        <f t="shared" si="157"/>
        <v>0</v>
      </c>
      <c r="AP267" s="1005">
        <f t="shared" si="157"/>
        <v>0</v>
      </c>
      <c r="AQ267" s="1005">
        <f t="shared" si="157"/>
        <v>0</v>
      </c>
      <c r="AR267" s="1075">
        <f>SUM(AF267:AQ267)</f>
        <v>0</v>
      </c>
    </row>
    <row r="268" spans="1:46" ht="15.05" thickBot="1" x14ac:dyDescent="0.35">
      <c r="A268" s="205"/>
      <c r="B268" s="5044"/>
      <c r="C268" s="985">
        <f t="shared" si="151"/>
        <v>0</v>
      </c>
      <c r="D268" s="985">
        <f>IF(B268=0,0,VLOOKUP(B268,Precios!$B$216:$D$307,3,FALSE))</f>
        <v>0</v>
      </c>
      <c r="E268" s="5049"/>
      <c r="F268" s="1059">
        <f>IF(B268=0,0,VLOOKUP(B268,Precios!$B$216:$D$307,2,FALSE))</f>
        <v>0</v>
      </c>
      <c r="G268" s="1067">
        <f t="shared" si="154"/>
        <v>0</v>
      </c>
      <c r="H268" s="309"/>
      <c r="I268" s="1074">
        <f t="shared" si="158"/>
        <v>0</v>
      </c>
      <c r="J268" s="1005">
        <f t="shared" si="158"/>
        <v>0</v>
      </c>
      <c r="K268" s="1005">
        <f t="shared" si="158"/>
        <v>0</v>
      </c>
      <c r="L268" s="1005">
        <f t="shared" si="158"/>
        <v>0</v>
      </c>
      <c r="M268" s="1005">
        <f t="shared" si="158"/>
        <v>0</v>
      </c>
      <c r="N268" s="1005">
        <f t="shared" si="158"/>
        <v>0</v>
      </c>
      <c r="O268" s="1005">
        <f t="shared" si="158"/>
        <v>0</v>
      </c>
      <c r="P268" s="1005">
        <f t="shared" si="158"/>
        <v>0</v>
      </c>
      <c r="Q268" s="1005">
        <f t="shared" si="158"/>
        <v>0</v>
      </c>
      <c r="R268" s="1005">
        <f t="shared" si="158"/>
        <v>0</v>
      </c>
      <c r="S268" s="1005">
        <f t="shared" si="158"/>
        <v>0</v>
      </c>
      <c r="T268" s="1005">
        <f t="shared" si="158"/>
        <v>0</v>
      </c>
      <c r="U268" s="1075">
        <f t="shared" si="146"/>
        <v>0</v>
      </c>
      <c r="X268" s="301"/>
      <c r="Y268" s="5044"/>
      <c r="Z268" s="985">
        <f t="shared" si="155"/>
        <v>0</v>
      </c>
      <c r="AA268" s="985">
        <f>IF(Y268=0,0,VLOOKUP(Y268,Precios!$B$216:$D$307,3,FALSE))</f>
        <v>0</v>
      </c>
      <c r="AB268" s="986"/>
      <c r="AC268" s="1059">
        <f>IF(Y268=0,0,VLOOKUP(Y268,Precios!$B$216:$D$307,2,FALSE))</f>
        <v>0</v>
      </c>
      <c r="AD268" s="1067">
        <f t="shared" si="156"/>
        <v>0</v>
      </c>
      <c r="AE268" s="309"/>
      <c r="AF268" s="1074">
        <f t="shared" si="159"/>
        <v>0</v>
      </c>
      <c r="AG268" s="1005">
        <f t="shared" si="159"/>
        <v>0</v>
      </c>
      <c r="AH268" s="1005">
        <f t="shared" si="159"/>
        <v>0</v>
      </c>
      <c r="AI268" s="1005">
        <f t="shared" si="159"/>
        <v>0</v>
      </c>
      <c r="AJ268" s="1005">
        <f t="shared" si="159"/>
        <v>0</v>
      </c>
      <c r="AK268" s="1005">
        <f t="shared" si="159"/>
        <v>0</v>
      </c>
      <c r="AL268" s="1005">
        <f t="shared" si="159"/>
        <v>0</v>
      </c>
      <c r="AM268" s="1005">
        <f t="shared" si="159"/>
        <v>0</v>
      </c>
      <c r="AN268" s="1005">
        <f t="shared" si="159"/>
        <v>0</v>
      </c>
      <c r="AO268" s="1005">
        <f t="shared" si="159"/>
        <v>0</v>
      </c>
      <c r="AP268" s="1005">
        <f t="shared" si="159"/>
        <v>0</v>
      </c>
      <c r="AQ268" s="1005">
        <f t="shared" si="159"/>
        <v>0</v>
      </c>
      <c r="AR268" s="1075">
        <f>SUM(AF268:AQ268)</f>
        <v>0</v>
      </c>
    </row>
    <row r="269" spans="1:46" ht="15.05" thickBot="1" x14ac:dyDescent="0.35">
      <c r="A269" s="205"/>
      <c r="B269" s="5044"/>
      <c r="C269" s="985">
        <f t="shared" si="151"/>
        <v>0</v>
      </c>
      <c r="D269" s="985">
        <f>IF(B269=0,0,VLOOKUP(B269,Precios!$B$216:$D$307,3,FALSE))</f>
        <v>0</v>
      </c>
      <c r="E269" s="5049"/>
      <c r="F269" s="1059">
        <f>IF(B269=0,0,VLOOKUP(B269,Precios!$B$216:$D$307,2,FALSE))</f>
        <v>0</v>
      </c>
      <c r="G269" s="1067">
        <f t="shared" si="154"/>
        <v>0</v>
      </c>
      <c r="H269" s="309"/>
      <c r="I269" s="1074">
        <f t="shared" si="158"/>
        <v>0</v>
      </c>
      <c r="J269" s="1005">
        <f t="shared" si="158"/>
        <v>0</v>
      </c>
      <c r="K269" s="1005">
        <f t="shared" si="158"/>
        <v>0</v>
      </c>
      <c r="L269" s="1005">
        <f t="shared" si="158"/>
        <v>0</v>
      </c>
      <c r="M269" s="1005">
        <f t="shared" si="158"/>
        <v>0</v>
      </c>
      <c r="N269" s="1005">
        <f t="shared" si="158"/>
        <v>0</v>
      </c>
      <c r="O269" s="1005">
        <f t="shared" si="158"/>
        <v>0</v>
      </c>
      <c r="P269" s="1005">
        <f t="shared" si="158"/>
        <v>0</v>
      </c>
      <c r="Q269" s="1005">
        <f t="shared" si="158"/>
        <v>0</v>
      </c>
      <c r="R269" s="1005">
        <f t="shared" si="158"/>
        <v>0</v>
      </c>
      <c r="S269" s="1005">
        <f t="shared" si="158"/>
        <v>0</v>
      </c>
      <c r="T269" s="1005">
        <f t="shared" si="158"/>
        <v>0</v>
      </c>
      <c r="U269" s="1075">
        <f t="shared" si="146"/>
        <v>0</v>
      </c>
      <c r="X269" s="301"/>
      <c r="Y269" s="5044"/>
      <c r="Z269" s="985">
        <f t="shared" si="155"/>
        <v>0</v>
      </c>
      <c r="AA269" s="985">
        <f>IF(Y269=0,0,VLOOKUP(Y269,Precios!$B$216:$D$307,3,FALSE))</f>
        <v>0</v>
      </c>
      <c r="AB269" s="986"/>
      <c r="AC269" s="1059">
        <f>IF(Y269=0,0,VLOOKUP(Y269,Precios!$B$216:$D$307,2,FALSE))</f>
        <v>0</v>
      </c>
      <c r="AD269" s="1067">
        <f t="shared" si="156"/>
        <v>0</v>
      </c>
      <c r="AE269" s="309"/>
      <c r="AF269" s="1074">
        <f t="shared" si="159"/>
        <v>0</v>
      </c>
      <c r="AG269" s="1005">
        <f t="shared" si="159"/>
        <v>0</v>
      </c>
      <c r="AH269" s="1005">
        <f t="shared" si="159"/>
        <v>0</v>
      </c>
      <c r="AI269" s="1005">
        <f t="shared" si="159"/>
        <v>0</v>
      </c>
      <c r="AJ269" s="1005">
        <f t="shared" si="159"/>
        <v>0</v>
      </c>
      <c r="AK269" s="1005">
        <f t="shared" si="159"/>
        <v>0</v>
      </c>
      <c r="AL269" s="1005">
        <f t="shared" si="159"/>
        <v>0</v>
      </c>
      <c r="AM269" s="1005">
        <f t="shared" si="159"/>
        <v>0</v>
      </c>
      <c r="AN269" s="1005">
        <f t="shared" si="159"/>
        <v>0</v>
      </c>
      <c r="AO269" s="1005">
        <f t="shared" si="159"/>
        <v>0</v>
      </c>
      <c r="AP269" s="1005">
        <f t="shared" si="159"/>
        <v>0</v>
      </c>
      <c r="AQ269" s="1005">
        <f t="shared" si="159"/>
        <v>0</v>
      </c>
      <c r="AR269" s="1075">
        <f t="shared" ref="AR269:AR282" si="160">SUM(AF269:AQ269)</f>
        <v>0</v>
      </c>
    </row>
    <row r="270" spans="1:46" ht="15.05" thickBot="1" x14ac:dyDescent="0.35">
      <c r="A270" s="205"/>
      <c r="B270" s="5044"/>
      <c r="C270" s="985">
        <f t="shared" si="151"/>
        <v>0</v>
      </c>
      <c r="D270" s="985">
        <f>IF(B270=0,0,VLOOKUP(B270,Precios!$B$216:$D$307,3,FALSE))</f>
        <v>0</v>
      </c>
      <c r="E270" s="5049"/>
      <c r="F270" s="1059">
        <f>IF(B270=0,0,VLOOKUP(B270,Precios!$B$216:$D$307,2,FALSE))</f>
        <v>0</v>
      </c>
      <c r="G270" s="1067">
        <f t="shared" si="154"/>
        <v>0</v>
      </c>
      <c r="H270" s="309"/>
      <c r="I270" s="1074">
        <f t="shared" si="158"/>
        <v>0</v>
      </c>
      <c r="J270" s="1005">
        <f t="shared" si="158"/>
        <v>0</v>
      </c>
      <c r="K270" s="1005">
        <f t="shared" si="158"/>
        <v>0</v>
      </c>
      <c r="L270" s="1005">
        <f t="shared" si="158"/>
        <v>0</v>
      </c>
      <c r="M270" s="1005">
        <f t="shared" si="158"/>
        <v>0</v>
      </c>
      <c r="N270" s="1005">
        <f t="shared" si="158"/>
        <v>0</v>
      </c>
      <c r="O270" s="1005">
        <f t="shared" si="158"/>
        <v>0</v>
      </c>
      <c r="P270" s="1005">
        <f t="shared" si="158"/>
        <v>0</v>
      </c>
      <c r="Q270" s="1005">
        <f t="shared" si="158"/>
        <v>0</v>
      </c>
      <c r="R270" s="1005">
        <f t="shared" si="158"/>
        <v>0</v>
      </c>
      <c r="S270" s="1005">
        <f t="shared" si="158"/>
        <v>0</v>
      </c>
      <c r="T270" s="1005">
        <f t="shared" si="158"/>
        <v>0</v>
      </c>
      <c r="U270" s="1075">
        <f t="shared" si="146"/>
        <v>0</v>
      </c>
      <c r="X270" s="301"/>
      <c r="Y270" s="5044"/>
      <c r="Z270" s="985">
        <f t="shared" si="155"/>
        <v>0</v>
      </c>
      <c r="AA270" s="985">
        <f>IF(Y270=0,0,VLOOKUP(Y270,Precios!$B$216:$D$307,3,FALSE))</f>
        <v>0</v>
      </c>
      <c r="AB270" s="986"/>
      <c r="AC270" s="1059">
        <f>IF(Y270=0,0,VLOOKUP(Y270,Precios!$B$216:$D$307,2,FALSE))</f>
        <v>0</v>
      </c>
      <c r="AD270" s="1067">
        <f t="shared" si="156"/>
        <v>0</v>
      </c>
      <c r="AE270" s="309"/>
      <c r="AF270" s="1074">
        <f t="shared" si="159"/>
        <v>0</v>
      </c>
      <c r="AG270" s="1005">
        <f t="shared" si="159"/>
        <v>0</v>
      </c>
      <c r="AH270" s="1005">
        <f t="shared" si="159"/>
        <v>0</v>
      </c>
      <c r="AI270" s="1005">
        <f t="shared" si="159"/>
        <v>0</v>
      </c>
      <c r="AJ270" s="1005">
        <f t="shared" si="159"/>
        <v>0</v>
      </c>
      <c r="AK270" s="1005">
        <f t="shared" si="159"/>
        <v>0</v>
      </c>
      <c r="AL270" s="1005">
        <f t="shared" si="159"/>
        <v>0</v>
      </c>
      <c r="AM270" s="1005">
        <f t="shared" si="159"/>
        <v>0</v>
      </c>
      <c r="AN270" s="1005">
        <f t="shared" si="159"/>
        <v>0</v>
      </c>
      <c r="AO270" s="1005">
        <f t="shared" si="159"/>
        <v>0</v>
      </c>
      <c r="AP270" s="1005">
        <f t="shared" si="159"/>
        <v>0</v>
      </c>
      <c r="AQ270" s="1005">
        <f t="shared" si="159"/>
        <v>0</v>
      </c>
      <c r="AR270" s="1075">
        <f t="shared" si="160"/>
        <v>0</v>
      </c>
    </row>
    <row r="271" spans="1:46" x14ac:dyDescent="0.3">
      <c r="A271" s="205"/>
      <c r="B271" s="5046"/>
      <c r="C271" s="1057">
        <f t="shared" si="151"/>
        <v>0</v>
      </c>
      <c r="D271" s="1057">
        <f>IF(B271=0,0,VLOOKUP(B271,Precios!$B$216:$D$307,3,FALSE))</f>
        <v>0</v>
      </c>
      <c r="E271" s="5050"/>
      <c r="F271" s="1061">
        <f>IF(B271=0,0,VLOOKUP(B271,Precios!$B$216:$D$307,2,FALSE))</f>
        <v>0</v>
      </c>
      <c r="G271" s="1068">
        <f t="shared" si="154"/>
        <v>0</v>
      </c>
      <c r="H271" s="309"/>
      <c r="I271" s="1076">
        <f t="shared" si="158"/>
        <v>0</v>
      </c>
      <c r="J271" s="1077">
        <f t="shared" si="158"/>
        <v>0</v>
      </c>
      <c r="K271" s="1077">
        <f t="shared" si="158"/>
        <v>0</v>
      </c>
      <c r="L271" s="1077">
        <f t="shared" si="158"/>
        <v>0</v>
      </c>
      <c r="M271" s="1077">
        <f t="shared" si="158"/>
        <v>0</v>
      </c>
      <c r="N271" s="1077">
        <f t="shared" si="158"/>
        <v>0</v>
      </c>
      <c r="O271" s="1077">
        <f t="shared" si="158"/>
        <v>0</v>
      </c>
      <c r="P271" s="1077">
        <f t="shared" si="158"/>
        <v>0</v>
      </c>
      <c r="Q271" s="1077">
        <f t="shared" si="158"/>
        <v>0</v>
      </c>
      <c r="R271" s="1077">
        <f t="shared" si="158"/>
        <v>0</v>
      </c>
      <c r="S271" s="1077">
        <f t="shared" si="158"/>
        <v>0</v>
      </c>
      <c r="T271" s="1077">
        <f t="shared" si="158"/>
        <v>0</v>
      </c>
      <c r="U271" s="1078">
        <f t="shared" si="146"/>
        <v>0</v>
      </c>
      <c r="X271" s="301"/>
      <c r="Y271" s="5046"/>
      <c r="Z271" s="1057">
        <f t="shared" si="155"/>
        <v>0</v>
      </c>
      <c r="AA271" s="1057">
        <f>IF(Y271=0,0,VLOOKUP(Y271,Precios!$B$216:$D$307,3,FALSE))</f>
        <v>0</v>
      </c>
      <c r="AB271" s="1060"/>
      <c r="AC271" s="1061">
        <f>IF(Y271=0,0,VLOOKUP(Y271,Precios!$B$216:$D$307,2,FALSE))</f>
        <v>0</v>
      </c>
      <c r="AD271" s="1068">
        <f t="shared" si="156"/>
        <v>0</v>
      </c>
      <c r="AE271" s="309"/>
      <c r="AF271" s="1076">
        <f t="shared" si="159"/>
        <v>0</v>
      </c>
      <c r="AG271" s="1077">
        <f t="shared" si="159"/>
        <v>0</v>
      </c>
      <c r="AH271" s="1077">
        <f t="shared" si="159"/>
        <v>0</v>
      </c>
      <c r="AI271" s="1077">
        <f t="shared" si="159"/>
        <v>0</v>
      </c>
      <c r="AJ271" s="1077">
        <f t="shared" si="159"/>
        <v>0</v>
      </c>
      <c r="AK271" s="1077">
        <f t="shared" si="159"/>
        <v>0</v>
      </c>
      <c r="AL271" s="1077">
        <f t="shared" si="159"/>
        <v>0</v>
      </c>
      <c r="AM271" s="1077">
        <f t="shared" si="159"/>
        <v>0</v>
      </c>
      <c r="AN271" s="1077">
        <f t="shared" si="159"/>
        <v>0</v>
      </c>
      <c r="AO271" s="1077">
        <f t="shared" si="159"/>
        <v>0</v>
      </c>
      <c r="AP271" s="1077">
        <f t="shared" si="159"/>
        <v>0</v>
      </c>
      <c r="AQ271" s="1077">
        <f t="shared" si="159"/>
        <v>0</v>
      </c>
      <c r="AR271" s="1078">
        <f t="shared" si="160"/>
        <v>0</v>
      </c>
    </row>
    <row r="272" spans="1:46" x14ac:dyDescent="0.3">
      <c r="A272" s="205"/>
      <c r="B272" s="647" t="s">
        <v>1085</v>
      </c>
      <c r="C272" s="305"/>
      <c r="D272" s="305"/>
      <c r="E272" s="305"/>
      <c r="F272" s="650"/>
      <c r="G272" s="305"/>
      <c r="H272" s="310"/>
      <c r="I272" s="904">
        <f t="shared" ref="I272:T272" si="161">SUM(I264:I271)</f>
        <v>0</v>
      </c>
      <c r="J272" s="904">
        <f t="shared" si="161"/>
        <v>0</v>
      </c>
      <c r="K272" s="904">
        <f t="shared" si="161"/>
        <v>0</v>
      </c>
      <c r="L272" s="904">
        <f t="shared" si="161"/>
        <v>0</v>
      </c>
      <c r="M272" s="904">
        <f t="shared" si="161"/>
        <v>0</v>
      </c>
      <c r="N272" s="904">
        <f t="shared" si="161"/>
        <v>0</v>
      </c>
      <c r="O272" s="904">
        <f t="shared" si="161"/>
        <v>0</v>
      </c>
      <c r="P272" s="904">
        <f t="shared" si="161"/>
        <v>0</v>
      </c>
      <c r="Q272" s="904">
        <f t="shared" si="161"/>
        <v>0</v>
      </c>
      <c r="R272" s="904">
        <f t="shared" si="161"/>
        <v>0</v>
      </c>
      <c r="S272" s="904">
        <f t="shared" si="161"/>
        <v>0</v>
      </c>
      <c r="T272" s="904">
        <f t="shared" si="161"/>
        <v>0</v>
      </c>
      <c r="U272" s="905">
        <f>SUM(I272:T272)</f>
        <v>0</v>
      </c>
      <c r="W272" s="232" t="str">
        <f>B263&amp;B246</f>
        <v>Semillas0</v>
      </c>
      <c r="X272" s="301"/>
      <c r="Y272" s="647" t="s">
        <v>1085</v>
      </c>
      <c r="Z272" s="305"/>
      <c r="AA272" s="305"/>
      <c r="AB272" s="305"/>
      <c r="AC272" s="650"/>
      <c r="AD272" s="305"/>
      <c r="AE272" s="310"/>
      <c r="AF272" s="904">
        <f t="shared" ref="AF272:AQ272" si="162">SUM(AF264:AF271)</f>
        <v>0</v>
      </c>
      <c r="AG272" s="904">
        <f t="shared" si="162"/>
        <v>0</v>
      </c>
      <c r="AH272" s="904">
        <f t="shared" si="162"/>
        <v>0</v>
      </c>
      <c r="AI272" s="904">
        <f t="shared" si="162"/>
        <v>0</v>
      </c>
      <c r="AJ272" s="904">
        <f t="shared" si="162"/>
        <v>0</v>
      </c>
      <c r="AK272" s="904">
        <f t="shared" si="162"/>
        <v>0</v>
      </c>
      <c r="AL272" s="904">
        <f t="shared" si="162"/>
        <v>0</v>
      </c>
      <c r="AM272" s="904">
        <f t="shared" si="162"/>
        <v>0</v>
      </c>
      <c r="AN272" s="904">
        <f t="shared" si="162"/>
        <v>0</v>
      </c>
      <c r="AO272" s="904">
        <f t="shared" si="162"/>
        <v>0</v>
      </c>
      <c r="AP272" s="904">
        <f t="shared" si="162"/>
        <v>0</v>
      </c>
      <c r="AQ272" s="904">
        <f t="shared" si="162"/>
        <v>0</v>
      </c>
      <c r="AR272" s="905">
        <f>SUM(AF272:AQ272)</f>
        <v>0</v>
      </c>
      <c r="AT272" s="232" t="str">
        <f>Y263&amp;Y246</f>
        <v>Semillas0</v>
      </c>
    </row>
    <row r="273" spans="1:47" x14ac:dyDescent="0.2">
      <c r="A273" s="205"/>
      <c r="B273" s="197" t="s">
        <v>339</v>
      </c>
      <c r="C273" s="307"/>
      <c r="D273" s="307"/>
      <c r="E273" s="308"/>
      <c r="F273" s="651"/>
      <c r="G273" s="308"/>
      <c r="H273" s="307"/>
      <c r="I273" s="307"/>
      <c r="J273" s="307"/>
      <c r="K273" s="307"/>
      <c r="L273" s="307"/>
      <c r="M273" s="307"/>
      <c r="N273" s="307"/>
      <c r="O273" s="307"/>
      <c r="P273" s="307"/>
      <c r="Q273" s="307"/>
      <c r="R273" s="307"/>
      <c r="S273" s="307"/>
      <c r="T273" s="307"/>
      <c r="U273" s="646"/>
      <c r="X273" s="301"/>
      <c r="Y273" s="197" t="s">
        <v>339</v>
      </c>
      <c r="Z273" s="307"/>
      <c r="AA273" s="307"/>
      <c r="AB273" s="308"/>
      <c r="AC273" s="651"/>
      <c r="AD273" s="308"/>
      <c r="AE273" s="307"/>
      <c r="AF273" s="307"/>
      <c r="AG273" s="307"/>
      <c r="AH273" s="307"/>
      <c r="AI273" s="307"/>
      <c r="AJ273" s="307"/>
      <c r="AK273" s="307"/>
      <c r="AL273" s="307"/>
      <c r="AM273" s="307"/>
      <c r="AN273" s="307"/>
      <c r="AO273" s="307"/>
      <c r="AP273" s="307"/>
      <c r="AQ273" s="307"/>
      <c r="AR273" s="646"/>
    </row>
    <row r="274" spans="1:47" ht="15.05" thickBot="1" x14ac:dyDescent="0.35">
      <c r="A274" s="205"/>
      <c r="B274" s="5042"/>
      <c r="C274" s="1056">
        <f t="shared" si="151"/>
        <v>0</v>
      </c>
      <c r="D274" s="1056">
        <f>IF(B274=0,0,VLOOKUP(B274,Precios!$B$216:$D$307,3,FALSE))</f>
        <v>0</v>
      </c>
      <c r="E274" s="5048"/>
      <c r="F274" s="1063">
        <f>IF(B274=0,0,VLOOKUP(B274,Precios!$B$216:$D$307,2,FALSE))</f>
        <v>0</v>
      </c>
      <c r="G274" s="1066">
        <f>E274*F274</f>
        <v>0</v>
      </c>
      <c r="H274" s="309"/>
      <c r="I274" s="1072">
        <f t="shared" si="158"/>
        <v>0</v>
      </c>
      <c r="J274" s="1033">
        <f t="shared" si="158"/>
        <v>0</v>
      </c>
      <c r="K274" s="1033">
        <f t="shared" si="158"/>
        <v>0</v>
      </c>
      <c r="L274" s="1033">
        <f t="shared" si="158"/>
        <v>0</v>
      </c>
      <c r="M274" s="1033">
        <f t="shared" si="158"/>
        <v>0</v>
      </c>
      <c r="N274" s="1033">
        <f t="shared" si="158"/>
        <v>0</v>
      </c>
      <c r="O274" s="1033">
        <f t="shared" si="158"/>
        <v>0</v>
      </c>
      <c r="P274" s="1033">
        <f t="shared" si="158"/>
        <v>0</v>
      </c>
      <c r="Q274" s="1033">
        <f t="shared" si="158"/>
        <v>0</v>
      </c>
      <c r="R274" s="1033">
        <f t="shared" si="158"/>
        <v>0</v>
      </c>
      <c r="S274" s="1033">
        <f t="shared" si="158"/>
        <v>0</v>
      </c>
      <c r="T274" s="1033">
        <f t="shared" si="158"/>
        <v>0</v>
      </c>
      <c r="U274" s="1073">
        <f t="shared" ref="U274:U282" si="163">SUM(I274:T274)</f>
        <v>0</v>
      </c>
      <c r="X274" s="301"/>
      <c r="Y274" s="5042"/>
      <c r="Z274" s="1056">
        <f t="shared" si="155"/>
        <v>0</v>
      </c>
      <c r="AA274" s="1056">
        <f>IF(Y274=0,0,VLOOKUP(Y274,Precios!$B$216:$D$307,3,FALSE))</f>
        <v>0</v>
      </c>
      <c r="AB274" s="1058"/>
      <c r="AC274" s="1063">
        <f>IF(Y274=0,0,VLOOKUP(Y274,Precios!$B$216:$D$307,2,FALSE))</f>
        <v>0</v>
      </c>
      <c r="AD274" s="1066">
        <f>AB274*AC274</f>
        <v>0</v>
      </c>
      <c r="AE274" s="309"/>
      <c r="AF274" s="1072">
        <f t="shared" si="159"/>
        <v>0</v>
      </c>
      <c r="AG274" s="1033">
        <f t="shared" si="159"/>
        <v>0</v>
      </c>
      <c r="AH274" s="1033">
        <f t="shared" si="159"/>
        <v>0</v>
      </c>
      <c r="AI274" s="1033">
        <f t="shared" si="159"/>
        <v>0</v>
      </c>
      <c r="AJ274" s="1033">
        <f t="shared" si="159"/>
        <v>0</v>
      </c>
      <c r="AK274" s="1033">
        <f t="shared" si="159"/>
        <v>0</v>
      </c>
      <c r="AL274" s="1033">
        <f t="shared" si="159"/>
        <v>0</v>
      </c>
      <c r="AM274" s="1033">
        <f t="shared" si="159"/>
        <v>0</v>
      </c>
      <c r="AN274" s="1033">
        <f t="shared" si="159"/>
        <v>0</v>
      </c>
      <c r="AO274" s="1033">
        <f t="shared" si="159"/>
        <v>0</v>
      </c>
      <c r="AP274" s="1033">
        <f t="shared" si="159"/>
        <v>0</v>
      </c>
      <c r="AQ274" s="1033">
        <f t="shared" si="159"/>
        <v>0</v>
      </c>
      <c r="AR274" s="1073">
        <f t="shared" si="160"/>
        <v>0</v>
      </c>
    </row>
    <row r="275" spans="1:47" ht="15.05" thickBot="1" x14ac:dyDescent="0.35">
      <c r="A275" s="205"/>
      <c r="B275" s="5044"/>
      <c r="C275" s="985">
        <f t="shared" si="151"/>
        <v>0</v>
      </c>
      <c r="D275" s="985">
        <f>IF(B275=0,0,VLOOKUP(B275,Precios!$B$216:$D$307,3,FALSE))</f>
        <v>0</v>
      </c>
      <c r="E275" s="5049"/>
      <c r="F275" s="1064">
        <f>IF(B275=0,0,VLOOKUP(B275,Precios!$B$216:$D$307,2,FALSE))</f>
        <v>0</v>
      </c>
      <c r="G275" s="1067">
        <f>E275*F275</f>
        <v>0</v>
      </c>
      <c r="H275" s="309"/>
      <c r="I275" s="1074">
        <f t="shared" si="158"/>
        <v>0</v>
      </c>
      <c r="J275" s="1005">
        <f t="shared" si="158"/>
        <v>0</v>
      </c>
      <c r="K275" s="1005">
        <f t="shared" si="158"/>
        <v>0</v>
      </c>
      <c r="L275" s="1005">
        <f t="shared" si="158"/>
        <v>0</v>
      </c>
      <c r="M275" s="1005">
        <f t="shared" si="158"/>
        <v>0</v>
      </c>
      <c r="N275" s="1005">
        <f t="shared" si="158"/>
        <v>0</v>
      </c>
      <c r="O275" s="1005">
        <f t="shared" si="158"/>
        <v>0</v>
      </c>
      <c r="P275" s="1005">
        <f t="shared" si="158"/>
        <v>0</v>
      </c>
      <c r="Q275" s="1005">
        <f t="shared" si="158"/>
        <v>0</v>
      </c>
      <c r="R275" s="1005">
        <f t="shared" si="158"/>
        <v>0</v>
      </c>
      <c r="S275" s="1005">
        <f t="shared" si="158"/>
        <v>0</v>
      </c>
      <c r="T275" s="1005">
        <f t="shared" si="158"/>
        <v>0</v>
      </c>
      <c r="U275" s="1075">
        <f t="shared" si="163"/>
        <v>0</v>
      </c>
      <c r="X275" s="301"/>
      <c r="Y275" s="5044"/>
      <c r="Z275" s="985">
        <f t="shared" si="155"/>
        <v>0</v>
      </c>
      <c r="AA275" s="985">
        <f>IF(Y275=0,0,VLOOKUP(Y275,Precios!$B$216:$D$307,3,FALSE))</f>
        <v>0</v>
      </c>
      <c r="AB275" s="986"/>
      <c r="AC275" s="1064">
        <f>IF(Y275=0,0,VLOOKUP(Y275,Precios!$B$216:$D$307,2,FALSE))</f>
        <v>0</v>
      </c>
      <c r="AD275" s="1067">
        <f>AB275*AC275</f>
        <v>0</v>
      </c>
      <c r="AE275" s="309"/>
      <c r="AF275" s="1074">
        <f t="shared" si="159"/>
        <v>0</v>
      </c>
      <c r="AG275" s="1005">
        <f t="shared" si="159"/>
        <v>0</v>
      </c>
      <c r="AH275" s="1005">
        <f t="shared" si="159"/>
        <v>0</v>
      </c>
      <c r="AI275" s="1005">
        <f t="shared" si="159"/>
        <v>0</v>
      </c>
      <c r="AJ275" s="1005">
        <f t="shared" si="159"/>
        <v>0</v>
      </c>
      <c r="AK275" s="1005">
        <f t="shared" si="159"/>
        <v>0</v>
      </c>
      <c r="AL275" s="1005">
        <f t="shared" si="159"/>
        <v>0</v>
      </c>
      <c r="AM275" s="1005">
        <f t="shared" si="159"/>
        <v>0</v>
      </c>
      <c r="AN275" s="1005">
        <f t="shared" si="159"/>
        <v>0</v>
      </c>
      <c r="AO275" s="1005">
        <f t="shared" si="159"/>
        <v>0</v>
      </c>
      <c r="AP275" s="1005">
        <f t="shared" si="159"/>
        <v>0</v>
      </c>
      <c r="AQ275" s="1005">
        <f t="shared" si="159"/>
        <v>0</v>
      </c>
      <c r="AR275" s="1075">
        <f t="shared" si="160"/>
        <v>0</v>
      </c>
    </row>
    <row r="276" spans="1:47" x14ac:dyDescent="0.3">
      <c r="A276" s="205"/>
      <c r="B276" s="5046"/>
      <c r="C276" s="1057">
        <f t="shared" si="151"/>
        <v>0</v>
      </c>
      <c r="D276" s="1057">
        <f>IF(B276=0,0,VLOOKUP(B276,Precios!$B$216:$D$307,3,FALSE))</f>
        <v>0</v>
      </c>
      <c r="E276" s="5050"/>
      <c r="F276" s="1065">
        <f>IF(B276=0,0,VLOOKUP(B276,Precios!$B$216:$D$307,2,FALSE))</f>
        <v>0</v>
      </c>
      <c r="G276" s="1068">
        <f>E276*F276</f>
        <v>0</v>
      </c>
      <c r="H276" s="309"/>
      <c r="I276" s="1079">
        <f t="shared" si="158"/>
        <v>0</v>
      </c>
      <c r="J276" s="1047">
        <f t="shared" si="158"/>
        <v>0</v>
      </c>
      <c r="K276" s="1047">
        <f t="shared" si="158"/>
        <v>0</v>
      </c>
      <c r="L276" s="1047">
        <f t="shared" si="158"/>
        <v>0</v>
      </c>
      <c r="M276" s="1047">
        <f t="shared" si="158"/>
        <v>0</v>
      </c>
      <c r="N276" s="1047">
        <f t="shared" si="158"/>
        <v>0</v>
      </c>
      <c r="O276" s="1047">
        <f t="shared" si="158"/>
        <v>0</v>
      </c>
      <c r="P276" s="1047">
        <f t="shared" si="158"/>
        <v>0</v>
      </c>
      <c r="Q276" s="1047">
        <f t="shared" si="158"/>
        <v>0</v>
      </c>
      <c r="R276" s="1047">
        <f t="shared" si="158"/>
        <v>0</v>
      </c>
      <c r="S276" s="1047">
        <f t="shared" si="158"/>
        <v>0</v>
      </c>
      <c r="T276" s="1047">
        <f t="shared" si="158"/>
        <v>0</v>
      </c>
      <c r="U276" s="1080">
        <f t="shared" si="163"/>
        <v>0</v>
      </c>
      <c r="X276" s="301"/>
      <c r="Y276" s="5046"/>
      <c r="Z276" s="1057">
        <f t="shared" si="155"/>
        <v>0</v>
      </c>
      <c r="AA276" s="1057">
        <f>IF(Y276=0,0,VLOOKUP(Y276,Precios!$B$216:$D$307,3,FALSE))</f>
        <v>0</v>
      </c>
      <c r="AB276" s="1060"/>
      <c r="AC276" s="1065">
        <f>IF(Y276=0,0,VLOOKUP(Y276,Precios!$B$216:$D$307,2,FALSE))</f>
        <v>0</v>
      </c>
      <c r="AD276" s="1068">
        <f>AB276*AC276</f>
        <v>0</v>
      </c>
      <c r="AE276" s="309"/>
      <c r="AF276" s="1079">
        <f t="shared" si="159"/>
        <v>0</v>
      </c>
      <c r="AG276" s="1047">
        <f t="shared" si="159"/>
        <v>0</v>
      </c>
      <c r="AH276" s="1047">
        <f t="shared" si="159"/>
        <v>0</v>
      </c>
      <c r="AI276" s="1047">
        <f t="shared" si="159"/>
        <v>0</v>
      </c>
      <c r="AJ276" s="1047">
        <f t="shared" si="159"/>
        <v>0</v>
      </c>
      <c r="AK276" s="1047">
        <f t="shared" si="159"/>
        <v>0</v>
      </c>
      <c r="AL276" s="1047">
        <f t="shared" si="159"/>
        <v>0</v>
      </c>
      <c r="AM276" s="1047">
        <f t="shared" si="159"/>
        <v>0</v>
      </c>
      <c r="AN276" s="1047">
        <f t="shared" si="159"/>
        <v>0</v>
      </c>
      <c r="AO276" s="1047">
        <f t="shared" si="159"/>
        <v>0</v>
      </c>
      <c r="AP276" s="1047">
        <f t="shared" si="159"/>
        <v>0</v>
      </c>
      <c r="AQ276" s="1047">
        <f t="shared" si="159"/>
        <v>0</v>
      </c>
      <c r="AR276" s="1080">
        <f t="shared" si="160"/>
        <v>0</v>
      </c>
    </row>
    <row r="277" spans="1:47" x14ac:dyDescent="0.3">
      <c r="A277" s="205"/>
      <c r="B277" s="647" t="s">
        <v>1086</v>
      </c>
      <c r="C277" s="305"/>
      <c r="D277" s="305"/>
      <c r="E277" s="305"/>
      <c r="F277" s="650"/>
      <c r="G277" s="305"/>
      <c r="H277" s="306"/>
      <c r="I277" s="906">
        <f t="shared" ref="I277:T277" si="164">SUM(I274:I276)</f>
        <v>0</v>
      </c>
      <c r="J277" s="906">
        <f t="shared" si="164"/>
        <v>0</v>
      </c>
      <c r="K277" s="906">
        <f t="shared" si="164"/>
        <v>0</v>
      </c>
      <c r="L277" s="906">
        <f t="shared" si="164"/>
        <v>0</v>
      </c>
      <c r="M277" s="906">
        <f t="shared" si="164"/>
        <v>0</v>
      </c>
      <c r="N277" s="906">
        <f t="shared" si="164"/>
        <v>0</v>
      </c>
      <c r="O277" s="906">
        <f t="shared" si="164"/>
        <v>0</v>
      </c>
      <c r="P277" s="906">
        <f t="shared" si="164"/>
        <v>0</v>
      </c>
      <c r="Q277" s="906">
        <f t="shared" si="164"/>
        <v>0</v>
      </c>
      <c r="R277" s="906">
        <f t="shared" si="164"/>
        <v>0</v>
      </c>
      <c r="S277" s="906">
        <f t="shared" si="164"/>
        <v>0</v>
      </c>
      <c r="T277" s="907">
        <f t="shared" si="164"/>
        <v>0</v>
      </c>
      <c r="U277" s="905">
        <f>SUM(I277:T277)</f>
        <v>0</v>
      </c>
      <c r="W277" s="232" t="str">
        <f>B273&amp;B246</f>
        <v>Fertilizantes 0</v>
      </c>
      <c r="X277" s="301"/>
      <c r="Y277" s="647" t="s">
        <v>1086</v>
      </c>
      <c r="Z277" s="305"/>
      <c r="AA277" s="305"/>
      <c r="AB277" s="305"/>
      <c r="AC277" s="650"/>
      <c r="AD277" s="305"/>
      <c r="AE277" s="306"/>
      <c r="AF277" s="906">
        <f t="shared" ref="AF277:AQ277" si="165">SUM(AF274:AF276)</f>
        <v>0</v>
      </c>
      <c r="AG277" s="906">
        <f t="shared" si="165"/>
        <v>0</v>
      </c>
      <c r="AH277" s="906">
        <f t="shared" si="165"/>
        <v>0</v>
      </c>
      <c r="AI277" s="906">
        <f t="shared" si="165"/>
        <v>0</v>
      </c>
      <c r="AJ277" s="906">
        <f t="shared" si="165"/>
        <v>0</v>
      </c>
      <c r="AK277" s="906">
        <f t="shared" si="165"/>
        <v>0</v>
      </c>
      <c r="AL277" s="906">
        <f t="shared" si="165"/>
        <v>0</v>
      </c>
      <c r="AM277" s="906">
        <f t="shared" si="165"/>
        <v>0</v>
      </c>
      <c r="AN277" s="906">
        <f t="shared" si="165"/>
        <v>0</v>
      </c>
      <c r="AO277" s="906">
        <f t="shared" si="165"/>
        <v>0</v>
      </c>
      <c r="AP277" s="906">
        <f t="shared" si="165"/>
        <v>0</v>
      </c>
      <c r="AQ277" s="907">
        <f t="shared" si="165"/>
        <v>0</v>
      </c>
      <c r="AR277" s="905">
        <f>SUM(AF277:AQ277)</f>
        <v>0</v>
      </c>
      <c r="AT277" s="232" t="str">
        <f>Y273&amp;Y246</f>
        <v>Fertilizantes 0</v>
      </c>
    </row>
    <row r="278" spans="1:47" x14ac:dyDescent="0.2">
      <c r="A278" s="205"/>
      <c r="B278" s="197" t="s">
        <v>340</v>
      </c>
      <c r="C278" s="307"/>
      <c r="D278" s="307"/>
      <c r="E278" s="308"/>
      <c r="F278" s="651"/>
      <c r="G278" s="308"/>
      <c r="H278" s="307"/>
      <c r="I278" s="307"/>
      <c r="J278" s="307"/>
      <c r="K278" s="307"/>
      <c r="L278" s="307"/>
      <c r="M278" s="307"/>
      <c r="N278" s="307"/>
      <c r="O278" s="307"/>
      <c r="P278" s="307"/>
      <c r="Q278" s="307"/>
      <c r="R278" s="307"/>
      <c r="S278" s="307"/>
      <c r="T278" s="307"/>
      <c r="U278" s="646"/>
      <c r="X278" s="301"/>
      <c r="Y278" s="197" t="s">
        <v>340</v>
      </c>
      <c r="Z278" s="307"/>
      <c r="AA278" s="307"/>
      <c r="AB278" s="308"/>
      <c r="AC278" s="651"/>
      <c r="AD278" s="308"/>
      <c r="AE278" s="307"/>
      <c r="AF278" s="307"/>
      <c r="AG278" s="307"/>
      <c r="AH278" s="307"/>
      <c r="AI278" s="307"/>
      <c r="AJ278" s="307"/>
      <c r="AK278" s="307"/>
      <c r="AL278" s="307"/>
      <c r="AM278" s="307"/>
      <c r="AN278" s="307"/>
      <c r="AO278" s="307"/>
      <c r="AP278" s="307"/>
      <c r="AQ278" s="307"/>
      <c r="AR278" s="646"/>
    </row>
    <row r="279" spans="1:47" ht="15.05" thickBot="1" x14ac:dyDescent="0.35">
      <c r="A279" s="205"/>
      <c r="B279" s="5042"/>
      <c r="C279" s="1056">
        <f t="shared" si="151"/>
        <v>0</v>
      </c>
      <c r="D279" s="1056">
        <f>IF(B279=0,0,VLOOKUP(B279,Precios!$B$216:$D$307,3,FALSE))</f>
        <v>0</v>
      </c>
      <c r="E279" s="5048"/>
      <c r="F279" s="1062">
        <f>IF(B279=0,0,VLOOKUP(B279,Precios!$B$216:$D$307,2,FALSE))</f>
        <v>0</v>
      </c>
      <c r="G279" s="1066">
        <f>E279*F279</f>
        <v>0</v>
      </c>
      <c r="H279" s="309"/>
      <c r="I279" s="1072">
        <f t="shared" si="158"/>
        <v>0</v>
      </c>
      <c r="J279" s="1033">
        <f t="shared" si="158"/>
        <v>0</v>
      </c>
      <c r="K279" s="1033">
        <f t="shared" si="158"/>
        <v>0</v>
      </c>
      <c r="L279" s="1033">
        <f t="shared" si="158"/>
        <v>0</v>
      </c>
      <c r="M279" s="1033">
        <f t="shared" si="158"/>
        <v>0</v>
      </c>
      <c r="N279" s="1033">
        <f t="shared" si="158"/>
        <v>0</v>
      </c>
      <c r="O279" s="1033">
        <f t="shared" si="158"/>
        <v>0</v>
      </c>
      <c r="P279" s="1033">
        <f t="shared" si="158"/>
        <v>0</v>
      </c>
      <c r="Q279" s="1033">
        <f t="shared" si="158"/>
        <v>0</v>
      </c>
      <c r="R279" s="1033">
        <f t="shared" si="158"/>
        <v>0</v>
      </c>
      <c r="S279" s="1033">
        <f t="shared" si="158"/>
        <v>0</v>
      </c>
      <c r="T279" s="1033">
        <f t="shared" si="158"/>
        <v>0</v>
      </c>
      <c r="U279" s="1073">
        <f t="shared" si="163"/>
        <v>0</v>
      </c>
      <c r="X279" s="301"/>
      <c r="Y279" s="5042"/>
      <c r="Z279" s="1056">
        <f t="shared" si="155"/>
        <v>0</v>
      </c>
      <c r="AA279" s="1056">
        <f>IF(Y279=0,0,VLOOKUP(Y279,Precios!$B$216:$D$307,3,FALSE))</f>
        <v>0</v>
      </c>
      <c r="AB279" s="1058"/>
      <c r="AC279" s="1062">
        <f>IF(Y279=0,0,VLOOKUP(Y279,Precios!$B$216:$D$307,2,FALSE))</f>
        <v>0</v>
      </c>
      <c r="AD279" s="1066">
        <f>AB279*AC279</f>
        <v>0</v>
      </c>
      <c r="AE279" s="309"/>
      <c r="AF279" s="1072">
        <f t="shared" si="159"/>
        <v>0</v>
      </c>
      <c r="AG279" s="1033">
        <f t="shared" si="159"/>
        <v>0</v>
      </c>
      <c r="AH279" s="1033">
        <f t="shared" si="159"/>
        <v>0</v>
      </c>
      <c r="AI279" s="1033">
        <f t="shared" si="159"/>
        <v>0</v>
      </c>
      <c r="AJ279" s="1033">
        <f t="shared" si="159"/>
        <v>0</v>
      </c>
      <c r="AK279" s="1033">
        <f t="shared" si="159"/>
        <v>0</v>
      </c>
      <c r="AL279" s="1033">
        <f t="shared" si="159"/>
        <v>0</v>
      </c>
      <c r="AM279" s="1033">
        <f t="shared" si="159"/>
        <v>0</v>
      </c>
      <c r="AN279" s="1033">
        <f t="shared" si="159"/>
        <v>0</v>
      </c>
      <c r="AO279" s="1033">
        <f t="shared" si="159"/>
        <v>0</v>
      </c>
      <c r="AP279" s="1033">
        <f t="shared" si="159"/>
        <v>0</v>
      </c>
      <c r="AQ279" s="1033">
        <f t="shared" si="159"/>
        <v>0</v>
      </c>
      <c r="AR279" s="1073">
        <f t="shared" si="160"/>
        <v>0</v>
      </c>
    </row>
    <row r="280" spans="1:47" ht="15.05" thickBot="1" x14ac:dyDescent="0.35">
      <c r="A280" s="205"/>
      <c r="B280" s="5044"/>
      <c r="C280" s="985">
        <f t="shared" si="151"/>
        <v>0</v>
      </c>
      <c r="D280" s="985">
        <f>IF(B280=0,0,VLOOKUP(B280,Precios!$B$216:$D$307,3,FALSE))</f>
        <v>0</v>
      </c>
      <c r="E280" s="5049"/>
      <c r="F280" s="1059">
        <f>IF(B280=0,0,VLOOKUP(B280,Precios!$B$216:$D$307,2,FALSE))</f>
        <v>0</v>
      </c>
      <c r="G280" s="1067">
        <f>E280*F280</f>
        <v>0</v>
      </c>
      <c r="H280" s="309"/>
      <c r="I280" s="1074">
        <f t="shared" si="158"/>
        <v>0</v>
      </c>
      <c r="J280" s="1005">
        <f t="shared" si="158"/>
        <v>0</v>
      </c>
      <c r="K280" s="1005">
        <f t="shared" si="158"/>
        <v>0</v>
      </c>
      <c r="L280" s="1005">
        <f t="shared" si="158"/>
        <v>0</v>
      </c>
      <c r="M280" s="1005">
        <f t="shared" si="158"/>
        <v>0</v>
      </c>
      <c r="N280" s="1005">
        <f t="shared" si="158"/>
        <v>0</v>
      </c>
      <c r="O280" s="1005">
        <f t="shared" si="158"/>
        <v>0</v>
      </c>
      <c r="P280" s="1005">
        <f t="shared" si="158"/>
        <v>0</v>
      </c>
      <c r="Q280" s="1005">
        <f t="shared" si="158"/>
        <v>0</v>
      </c>
      <c r="R280" s="1005">
        <f t="shared" si="158"/>
        <v>0</v>
      </c>
      <c r="S280" s="1005">
        <f t="shared" si="158"/>
        <v>0</v>
      </c>
      <c r="T280" s="1005">
        <f t="shared" si="158"/>
        <v>0</v>
      </c>
      <c r="U280" s="1075">
        <f t="shared" si="163"/>
        <v>0</v>
      </c>
      <c r="X280" s="301"/>
      <c r="Y280" s="5044"/>
      <c r="Z280" s="985">
        <f t="shared" si="155"/>
        <v>0</v>
      </c>
      <c r="AA280" s="985">
        <f>IF(Y280=0,0,VLOOKUP(Y280,Precios!$B$216:$D$307,3,FALSE))</f>
        <v>0</v>
      </c>
      <c r="AB280" s="986"/>
      <c r="AC280" s="1059">
        <f>IF(Y280=0,0,VLOOKUP(Y280,Precios!$B$216:$D$307,2,FALSE))</f>
        <v>0</v>
      </c>
      <c r="AD280" s="1067">
        <f>AB280*AC280</f>
        <v>0</v>
      </c>
      <c r="AE280" s="309"/>
      <c r="AF280" s="1074">
        <f t="shared" si="159"/>
        <v>0</v>
      </c>
      <c r="AG280" s="1005">
        <f t="shared" si="159"/>
        <v>0</v>
      </c>
      <c r="AH280" s="1005">
        <f t="shared" si="159"/>
        <v>0</v>
      </c>
      <c r="AI280" s="1005">
        <f t="shared" si="159"/>
        <v>0</v>
      </c>
      <c r="AJ280" s="1005">
        <f t="shared" si="159"/>
        <v>0</v>
      </c>
      <c r="AK280" s="1005">
        <f t="shared" si="159"/>
        <v>0</v>
      </c>
      <c r="AL280" s="1005">
        <f t="shared" si="159"/>
        <v>0</v>
      </c>
      <c r="AM280" s="1005">
        <f t="shared" si="159"/>
        <v>0</v>
      </c>
      <c r="AN280" s="1005">
        <f t="shared" si="159"/>
        <v>0</v>
      </c>
      <c r="AO280" s="1005">
        <f t="shared" si="159"/>
        <v>0</v>
      </c>
      <c r="AP280" s="1005">
        <f t="shared" si="159"/>
        <v>0</v>
      </c>
      <c r="AQ280" s="1005">
        <f t="shared" si="159"/>
        <v>0</v>
      </c>
      <c r="AR280" s="1075">
        <f t="shared" si="160"/>
        <v>0</v>
      </c>
    </row>
    <row r="281" spans="1:47" x14ac:dyDescent="0.3">
      <c r="A281" s="205"/>
      <c r="B281" s="5046"/>
      <c r="C281" s="1057">
        <f t="shared" si="151"/>
        <v>0</v>
      </c>
      <c r="D281" s="1057">
        <f>IF(B281=0,0,VLOOKUP(B281,Precios!$B$216:$D$307,3,FALSE))</f>
        <v>0</v>
      </c>
      <c r="E281" s="5050"/>
      <c r="F281" s="1061">
        <f>IF(B281=0,0,VLOOKUP(B281,Precios!$B$216:$D$307,2,FALSE))</f>
        <v>0</v>
      </c>
      <c r="G281" s="1068">
        <f>E281*F281</f>
        <v>0</v>
      </c>
      <c r="H281" s="309"/>
      <c r="I281" s="1079">
        <f t="shared" si="158"/>
        <v>0</v>
      </c>
      <c r="J281" s="1047">
        <f t="shared" si="158"/>
        <v>0</v>
      </c>
      <c r="K281" s="1047">
        <f t="shared" si="158"/>
        <v>0</v>
      </c>
      <c r="L281" s="1047">
        <f t="shared" si="158"/>
        <v>0</v>
      </c>
      <c r="M281" s="1047">
        <f t="shared" si="158"/>
        <v>0</v>
      </c>
      <c r="N281" s="1047">
        <f t="shared" si="158"/>
        <v>0</v>
      </c>
      <c r="O281" s="1047">
        <f t="shared" si="158"/>
        <v>0</v>
      </c>
      <c r="P281" s="1047">
        <f t="shared" si="158"/>
        <v>0</v>
      </c>
      <c r="Q281" s="1047">
        <f t="shared" si="158"/>
        <v>0</v>
      </c>
      <c r="R281" s="1047">
        <f t="shared" si="158"/>
        <v>0</v>
      </c>
      <c r="S281" s="1047">
        <f t="shared" si="158"/>
        <v>0</v>
      </c>
      <c r="T281" s="1047">
        <f t="shared" si="158"/>
        <v>0</v>
      </c>
      <c r="U281" s="1080">
        <f t="shared" si="163"/>
        <v>0</v>
      </c>
      <c r="X281" s="301"/>
      <c r="Y281" s="5046"/>
      <c r="Z281" s="1057">
        <f t="shared" si="155"/>
        <v>0</v>
      </c>
      <c r="AA281" s="1057">
        <f>IF(Y281=0,0,VLOOKUP(Y281,Precios!$B$216:$D$307,3,FALSE))</f>
        <v>0</v>
      </c>
      <c r="AB281" s="1060"/>
      <c r="AC281" s="1061">
        <f>IF(Y281=0,0,VLOOKUP(Y281,Precios!$B$216:$D$307,2,FALSE))</f>
        <v>0</v>
      </c>
      <c r="AD281" s="1068">
        <f>AB281*AC281</f>
        <v>0</v>
      </c>
      <c r="AE281" s="309"/>
      <c r="AF281" s="1079">
        <f t="shared" si="159"/>
        <v>0</v>
      </c>
      <c r="AG281" s="1047">
        <f t="shared" si="159"/>
        <v>0</v>
      </c>
      <c r="AH281" s="1047">
        <f t="shared" si="159"/>
        <v>0</v>
      </c>
      <c r="AI281" s="1047">
        <f t="shared" si="159"/>
        <v>0</v>
      </c>
      <c r="AJ281" s="1047">
        <f t="shared" si="159"/>
        <v>0</v>
      </c>
      <c r="AK281" s="1047">
        <f t="shared" si="159"/>
        <v>0</v>
      </c>
      <c r="AL281" s="1047">
        <f t="shared" si="159"/>
        <v>0</v>
      </c>
      <c r="AM281" s="1047">
        <f t="shared" si="159"/>
        <v>0</v>
      </c>
      <c r="AN281" s="1047">
        <f t="shared" si="159"/>
        <v>0</v>
      </c>
      <c r="AO281" s="1047">
        <f t="shared" si="159"/>
        <v>0</v>
      </c>
      <c r="AP281" s="1047">
        <f t="shared" si="159"/>
        <v>0</v>
      </c>
      <c r="AQ281" s="1047">
        <f t="shared" si="159"/>
        <v>0</v>
      </c>
      <c r="AR281" s="1080">
        <f t="shared" si="160"/>
        <v>0</v>
      </c>
    </row>
    <row r="282" spans="1:47" ht="15.05" thickBot="1" x14ac:dyDescent="0.35">
      <c r="A282" s="205"/>
      <c r="B282" s="647" t="s">
        <v>1087</v>
      </c>
      <c r="C282" s="305"/>
      <c r="D282" s="305"/>
      <c r="E282" s="305"/>
      <c r="F282" s="650"/>
      <c r="G282" s="305"/>
      <c r="H282" s="306"/>
      <c r="I282" s="906">
        <f t="shared" ref="I282:T282" si="166">SUM(I279:I281)</f>
        <v>0</v>
      </c>
      <c r="J282" s="906">
        <f t="shared" si="166"/>
        <v>0</v>
      </c>
      <c r="K282" s="906">
        <f t="shared" si="166"/>
        <v>0</v>
      </c>
      <c r="L282" s="906">
        <f t="shared" si="166"/>
        <v>0</v>
      </c>
      <c r="M282" s="906">
        <f t="shared" si="166"/>
        <v>0</v>
      </c>
      <c r="N282" s="906">
        <f t="shared" si="166"/>
        <v>0</v>
      </c>
      <c r="O282" s="906">
        <f t="shared" si="166"/>
        <v>0</v>
      </c>
      <c r="P282" s="906">
        <f t="shared" si="166"/>
        <v>0</v>
      </c>
      <c r="Q282" s="906">
        <f t="shared" si="166"/>
        <v>0</v>
      </c>
      <c r="R282" s="906">
        <f t="shared" si="166"/>
        <v>0</v>
      </c>
      <c r="S282" s="906">
        <f t="shared" si="166"/>
        <v>0</v>
      </c>
      <c r="T282" s="907">
        <f t="shared" si="166"/>
        <v>0</v>
      </c>
      <c r="U282" s="905">
        <f t="shared" si="163"/>
        <v>0</v>
      </c>
      <c r="W282" s="232" t="str">
        <f>B278&amp;B246</f>
        <v>Agroquímicos 0</v>
      </c>
      <c r="X282" s="301"/>
      <c r="Y282" s="647" t="s">
        <v>1087</v>
      </c>
      <c r="Z282" s="305"/>
      <c r="AA282" s="305"/>
      <c r="AB282" s="305"/>
      <c r="AC282" s="650"/>
      <c r="AD282" s="305"/>
      <c r="AE282" s="306"/>
      <c r="AF282" s="906">
        <f t="shared" ref="AF282:AQ282" si="167">SUM(AF279:AF281)</f>
        <v>0</v>
      </c>
      <c r="AG282" s="906">
        <f t="shared" si="167"/>
        <v>0</v>
      </c>
      <c r="AH282" s="906">
        <f t="shared" si="167"/>
        <v>0</v>
      </c>
      <c r="AI282" s="906">
        <f t="shared" si="167"/>
        <v>0</v>
      </c>
      <c r="AJ282" s="906">
        <f t="shared" si="167"/>
        <v>0</v>
      </c>
      <c r="AK282" s="906">
        <f t="shared" si="167"/>
        <v>0</v>
      </c>
      <c r="AL282" s="906">
        <f t="shared" si="167"/>
        <v>0</v>
      </c>
      <c r="AM282" s="906">
        <f t="shared" si="167"/>
        <v>0</v>
      </c>
      <c r="AN282" s="906">
        <f t="shared" si="167"/>
        <v>0</v>
      </c>
      <c r="AO282" s="906">
        <f t="shared" si="167"/>
        <v>0</v>
      </c>
      <c r="AP282" s="906">
        <f t="shared" si="167"/>
        <v>0</v>
      </c>
      <c r="AQ282" s="907">
        <f t="shared" si="167"/>
        <v>0</v>
      </c>
      <c r="AR282" s="905">
        <f t="shared" si="160"/>
        <v>0</v>
      </c>
      <c r="AT282" s="232" t="str">
        <f>Y278&amp;Y246</f>
        <v>Agroquímicos 0</v>
      </c>
    </row>
    <row r="283" spans="1:47" ht="15.05" thickBot="1" x14ac:dyDescent="0.25">
      <c r="A283" s="205"/>
      <c r="B283" s="648" t="s">
        <v>892</v>
      </c>
      <c r="C283" s="909">
        <f>+C245</f>
        <v>0</v>
      </c>
      <c r="D283" s="909"/>
      <c r="E283" s="312" t="s">
        <v>876</v>
      </c>
      <c r="F283" s="313"/>
      <c r="G283" s="289"/>
      <c r="H283" s="312"/>
      <c r="I283" s="314">
        <f t="shared" ref="I283:T283" si="168">SUMPRODUCT($F250:$F281,I250:I281)</f>
        <v>0</v>
      </c>
      <c r="J283" s="314">
        <f t="shared" si="168"/>
        <v>0</v>
      </c>
      <c r="K283" s="314">
        <f t="shared" si="168"/>
        <v>0</v>
      </c>
      <c r="L283" s="314">
        <f t="shared" si="168"/>
        <v>0</v>
      </c>
      <c r="M283" s="314">
        <f t="shared" si="168"/>
        <v>0</v>
      </c>
      <c r="N283" s="314">
        <f t="shared" si="168"/>
        <v>0</v>
      </c>
      <c r="O283" s="314">
        <f t="shared" si="168"/>
        <v>0</v>
      </c>
      <c r="P283" s="314">
        <f t="shared" si="168"/>
        <v>0</v>
      </c>
      <c r="Q283" s="314">
        <f t="shared" si="168"/>
        <v>0</v>
      </c>
      <c r="R283" s="314">
        <f t="shared" si="168"/>
        <v>0</v>
      </c>
      <c r="S283" s="314">
        <f t="shared" si="168"/>
        <v>0</v>
      </c>
      <c r="T283" s="314">
        <f t="shared" si="168"/>
        <v>0</v>
      </c>
      <c r="U283" s="908">
        <f>SUM(I283:T283)</f>
        <v>0</v>
      </c>
      <c r="X283" s="301"/>
      <c r="Y283" s="648" t="s">
        <v>892</v>
      </c>
      <c r="Z283" s="909">
        <f>+Z245</f>
        <v>0</v>
      </c>
      <c r="AA283" s="909"/>
      <c r="AB283" s="312" t="s">
        <v>876</v>
      </c>
      <c r="AC283" s="313"/>
      <c r="AD283" s="289"/>
      <c r="AE283" s="312"/>
      <c r="AF283" s="314">
        <f t="shared" ref="AF283:AQ283" si="169">SUMPRODUCT($AC250:$AC281,AF250:AF281)</f>
        <v>0</v>
      </c>
      <c r="AG283" s="314">
        <f t="shared" si="169"/>
        <v>0</v>
      </c>
      <c r="AH283" s="314">
        <f t="shared" si="169"/>
        <v>0</v>
      </c>
      <c r="AI283" s="314">
        <f t="shared" si="169"/>
        <v>0</v>
      </c>
      <c r="AJ283" s="314">
        <f t="shared" si="169"/>
        <v>0</v>
      </c>
      <c r="AK283" s="314">
        <f t="shared" si="169"/>
        <v>0</v>
      </c>
      <c r="AL283" s="314">
        <f t="shared" si="169"/>
        <v>0</v>
      </c>
      <c r="AM283" s="314">
        <f t="shared" si="169"/>
        <v>0</v>
      </c>
      <c r="AN283" s="314">
        <f t="shared" si="169"/>
        <v>0</v>
      </c>
      <c r="AO283" s="314">
        <f t="shared" si="169"/>
        <v>0</v>
      </c>
      <c r="AP283" s="314">
        <f t="shared" si="169"/>
        <v>0</v>
      </c>
      <c r="AQ283" s="314">
        <f t="shared" si="169"/>
        <v>0</v>
      </c>
      <c r="AR283" s="908">
        <f>SUM(AF283:AQ283)</f>
        <v>0</v>
      </c>
    </row>
    <row r="284" spans="1:47" x14ac:dyDescent="0.2">
      <c r="A284" s="205"/>
      <c r="B284" s="208"/>
      <c r="C284" s="177"/>
      <c r="D284" s="177"/>
      <c r="E284" s="177"/>
      <c r="F284" s="315"/>
      <c r="G284" s="316"/>
      <c r="H284" s="177"/>
      <c r="I284" s="177"/>
      <c r="J284" s="177"/>
      <c r="K284" s="177"/>
      <c r="L284" s="177"/>
      <c r="M284" s="177"/>
      <c r="N284" s="177"/>
      <c r="O284" s="177"/>
      <c r="P284" s="177"/>
      <c r="Q284" s="177"/>
      <c r="R284" s="177"/>
      <c r="S284" s="177"/>
      <c r="T284" s="177"/>
      <c r="U284" s="317"/>
      <c r="X284" s="205"/>
      <c r="Y284" s="208"/>
      <c r="Z284" s="177"/>
      <c r="AA284" s="177"/>
      <c r="AB284" s="177"/>
      <c r="AC284" s="316"/>
      <c r="AD284" s="316"/>
      <c r="AE284" s="177"/>
      <c r="AF284" s="177"/>
      <c r="AG284" s="177"/>
      <c r="AH284" s="177"/>
      <c r="AI284" s="177"/>
      <c r="AJ284" s="177"/>
      <c r="AK284" s="177"/>
      <c r="AL284" s="177"/>
      <c r="AM284" s="177"/>
      <c r="AN284" s="177"/>
      <c r="AO284" s="177"/>
      <c r="AP284" s="177"/>
      <c r="AQ284" s="177"/>
      <c r="AR284" s="317"/>
    </row>
    <row r="285" spans="1:47" ht="15.05" thickBot="1" x14ac:dyDescent="0.25">
      <c r="A285" s="205"/>
      <c r="B285" s="208"/>
      <c r="C285" s="177"/>
      <c r="D285" s="177"/>
      <c r="E285" s="177"/>
      <c r="F285" s="315"/>
      <c r="G285" s="316"/>
      <c r="H285" s="177"/>
      <c r="I285" s="177"/>
      <c r="J285" s="177"/>
      <c r="K285" s="177"/>
      <c r="L285" s="177"/>
      <c r="M285" s="177"/>
      <c r="N285" s="177"/>
      <c r="O285" s="177"/>
      <c r="P285" s="177"/>
      <c r="Q285" s="177"/>
      <c r="R285" s="177"/>
      <c r="S285" s="177"/>
      <c r="T285" s="177"/>
      <c r="U285" s="317"/>
      <c r="X285" s="205"/>
      <c r="Y285" s="208"/>
      <c r="Z285" s="177"/>
      <c r="AA285" s="177"/>
      <c r="AB285" s="177"/>
      <c r="AC285" s="316"/>
      <c r="AD285" s="316"/>
      <c r="AE285" s="177"/>
      <c r="AF285" s="177"/>
      <c r="AG285" s="177"/>
      <c r="AH285" s="177"/>
      <c r="AI285" s="177"/>
      <c r="AJ285" s="177"/>
      <c r="AK285" s="177"/>
      <c r="AL285" s="177"/>
      <c r="AM285" s="177"/>
      <c r="AN285" s="177"/>
      <c r="AO285" s="177"/>
      <c r="AP285" s="177"/>
      <c r="AQ285" s="177"/>
      <c r="AR285" s="317"/>
    </row>
    <row r="286" spans="1:47" s="254" customFormat="1" ht="15.05" thickBot="1" x14ac:dyDescent="0.25">
      <c r="A286" s="1344">
        <f>+A245+1</f>
        <v>48</v>
      </c>
      <c r="B286" s="635" t="s">
        <v>878</v>
      </c>
      <c r="C286" s="898">
        <f>UsoSuelo!D144</f>
        <v>0</v>
      </c>
      <c r="D286" s="898"/>
      <c r="E286" s="636"/>
      <c r="F286" s="637"/>
      <c r="G286" s="637"/>
      <c r="H286" s="637"/>
      <c r="I286" s="637"/>
      <c r="J286" s="637"/>
      <c r="K286" s="637"/>
      <c r="L286" s="637"/>
      <c r="M286" s="637"/>
      <c r="N286" s="637"/>
      <c r="O286" s="637"/>
      <c r="P286" s="637"/>
      <c r="Q286" s="637"/>
      <c r="R286" s="637"/>
      <c r="S286" s="637"/>
      <c r="T286" s="637"/>
      <c r="U286" s="638"/>
      <c r="V286" s="1569"/>
      <c r="W286" s="1569"/>
      <c r="X286" s="1344">
        <f>+X245+1</f>
        <v>60</v>
      </c>
      <c r="Y286" s="635" t="s">
        <v>878</v>
      </c>
      <c r="Z286" s="898">
        <f>+UsoSuelo!D161</f>
        <v>0</v>
      </c>
      <c r="AA286" s="898"/>
      <c r="AB286" s="636"/>
      <c r="AC286" s="637"/>
      <c r="AD286" s="637"/>
      <c r="AE286" s="637"/>
      <c r="AF286" s="637"/>
      <c r="AG286" s="637"/>
      <c r="AH286" s="637"/>
      <c r="AI286" s="637"/>
      <c r="AJ286" s="637"/>
      <c r="AK286" s="637"/>
      <c r="AL286" s="637"/>
      <c r="AM286" s="637"/>
      <c r="AN286" s="637"/>
      <c r="AO286" s="637"/>
      <c r="AP286" s="637"/>
      <c r="AQ286" s="637"/>
      <c r="AR286" s="638"/>
      <c r="AS286" s="1569"/>
      <c r="AT286" s="1569"/>
      <c r="AU286" s="1436"/>
    </row>
    <row r="287" spans="1:47" s="254" customFormat="1" x14ac:dyDescent="0.2">
      <c r="A287" s="1344" t="s">
        <v>1868</v>
      </c>
      <c r="B287" s="639">
        <f>+UsoSuelo!H144</f>
        <v>0</v>
      </c>
      <c r="C287" s="291"/>
      <c r="D287" s="291"/>
      <c r="E287" s="291"/>
      <c r="F287" s="291"/>
      <c r="G287" s="291" t="s">
        <v>883</v>
      </c>
      <c r="H287" s="292"/>
      <c r="I287" s="293" t="str">
        <f t="shared" ref="I287:T287" si="170">+I41</f>
        <v>Ene</v>
      </c>
      <c r="J287" s="293" t="str">
        <f t="shared" si="170"/>
        <v>Feb</v>
      </c>
      <c r="K287" s="293" t="str">
        <f t="shared" si="170"/>
        <v>Mar</v>
      </c>
      <c r="L287" s="293" t="str">
        <f t="shared" si="170"/>
        <v>Abr</v>
      </c>
      <c r="M287" s="293" t="str">
        <f t="shared" si="170"/>
        <v>May</v>
      </c>
      <c r="N287" s="293" t="str">
        <f t="shared" si="170"/>
        <v>Jun</v>
      </c>
      <c r="O287" s="293" t="str">
        <f t="shared" si="170"/>
        <v>Jul</v>
      </c>
      <c r="P287" s="293" t="str">
        <f t="shared" si="170"/>
        <v>Ago</v>
      </c>
      <c r="Q287" s="293" t="str">
        <f t="shared" si="170"/>
        <v>Set</v>
      </c>
      <c r="R287" s="293" t="str">
        <f t="shared" si="170"/>
        <v>Oct</v>
      </c>
      <c r="S287" s="293" t="str">
        <f t="shared" si="170"/>
        <v>Nov</v>
      </c>
      <c r="T287" s="294" t="str">
        <f t="shared" si="170"/>
        <v>Dic</v>
      </c>
      <c r="U287" s="640" t="s">
        <v>1106</v>
      </c>
      <c r="V287" s="1569"/>
      <c r="W287" s="1569"/>
      <c r="X287" s="1344" t="str">
        <f>+A287</f>
        <v>H</v>
      </c>
      <c r="Y287" s="639">
        <f>+UsoSuelo!H161</f>
        <v>0</v>
      </c>
      <c r="Z287" s="291"/>
      <c r="AA287" s="291"/>
      <c r="AB287" s="291"/>
      <c r="AC287" s="291"/>
      <c r="AD287" s="291" t="s">
        <v>883</v>
      </c>
      <c r="AE287" s="292"/>
      <c r="AF287" s="293" t="str">
        <f t="shared" ref="AF287:AQ287" si="171">+AF41</f>
        <v>Ene</v>
      </c>
      <c r="AG287" s="293" t="str">
        <f t="shared" si="171"/>
        <v>Feb</v>
      </c>
      <c r="AH287" s="293" t="str">
        <f t="shared" si="171"/>
        <v>Mar</v>
      </c>
      <c r="AI287" s="293" t="str">
        <f t="shared" si="171"/>
        <v>Abr</v>
      </c>
      <c r="AJ287" s="293" t="str">
        <f t="shared" si="171"/>
        <v>May</v>
      </c>
      <c r="AK287" s="293" t="str">
        <f t="shared" si="171"/>
        <v>Jun</v>
      </c>
      <c r="AL287" s="293" t="str">
        <f t="shared" si="171"/>
        <v>Jul</v>
      </c>
      <c r="AM287" s="293" t="str">
        <f t="shared" si="171"/>
        <v>Ago</v>
      </c>
      <c r="AN287" s="293" t="str">
        <f t="shared" si="171"/>
        <v>Set</v>
      </c>
      <c r="AO287" s="293" t="str">
        <f t="shared" si="171"/>
        <v>Oct</v>
      </c>
      <c r="AP287" s="293" t="str">
        <f t="shared" si="171"/>
        <v>Nov</v>
      </c>
      <c r="AQ287" s="294" t="str">
        <f t="shared" si="171"/>
        <v>Dic</v>
      </c>
      <c r="AR287" s="640" t="s">
        <v>1106</v>
      </c>
      <c r="AS287" s="1569"/>
      <c r="AT287" s="1569"/>
      <c r="AU287" s="1436"/>
    </row>
    <row r="288" spans="1:47" s="254" customFormat="1" x14ac:dyDescent="0.2">
      <c r="A288" s="205"/>
      <c r="B288" s="899" t="s">
        <v>884</v>
      </c>
      <c r="C288" s="900"/>
      <c r="D288" s="900"/>
      <c r="E288" s="900"/>
      <c r="F288" s="900"/>
      <c r="G288" s="900"/>
      <c r="H288" s="900"/>
      <c r="I288" s="901">
        <f>VLOOKUP($C286,UsoSuelo!$CQ$1127:$DC$1194,2,FALSE)</f>
        <v>0</v>
      </c>
      <c r="J288" s="901">
        <f>VLOOKUP($C286,UsoSuelo!$CQ$1127:$DC$1194,3,FALSE)</f>
        <v>0</v>
      </c>
      <c r="K288" s="901">
        <f>VLOOKUP($C286,UsoSuelo!$CQ$1127:$DC$1194,4,FALSE)</f>
        <v>0</v>
      </c>
      <c r="L288" s="901">
        <f>VLOOKUP($C286,UsoSuelo!$CQ$1127:$DC$1194,5,FALSE)</f>
        <v>0</v>
      </c>
      <c r="M288" s="901">
        <f>VLOOKUP($C286,UsoSuelo!$CQ$1127:$DC$1194,6,FALSE)</f>
        <v>0</v>
      </c>
      <c r="N288" s="901">
        <f>VLOOKUP($C286,UsoSuelo!$CQ$1127:$DC$1194,7,FALSE)</f>
        <v>0</v>
      </c>
      <c r="O288" s="901">
        <f>VLOOKUP($C286,UsoSuelo!$CQ$1127:$DC$1194,8,FALSE)</f>
        <v>0</v>
      </c>
      <c r="P288" s="901">
        <f>VLOOKUP($C286,UsoSuelo!$CQ$1127:$DC$1194,9,FALSE)</f>
        <v>0</v>
      </c>
      <c r="Q288" s="901">
        <f>VLOOKUP($C286,UsoSuelo!$CQ$1127:$DC$1194,10,FALSE)</f>
        <v>0</v>
      </c>
      <c r="R288" s="901">
        <f>VLOOKUP($C286,UsoSuelo!$CQ$1127:$DC$1194,11,FALSE)</f>
        <v>0</v>
      </c>
      <c r="S288" s="901">
        <f>VLOOKUP($C286,UsoSuelo!$CQ$1127:$DC$1194,12,FALSE)</f>
        <v>0</v>
      </c>
      <c r="T288" s="902">
        <f>VLOOKUP($C286,UsoSuelo!$CQ$1127:$DC$1194,13,FALSE)</f>
        <v>0</v>
      </c>
      <c r="U288" s="903">
        <f>SUM(I288:T288)</f>
        <v>0</v>
      </c>
      <c r="V288" s="1569"/>
      <c r="W288" s="1569"/>
      <c r="X288" s="16"/>
      <c r="Y288" s="899" t="s">
        <v>884</v>
      </c>
      <c r="Z288" s="900"/>
      <c r="AA288" s="900"/>
      <c r="AB288" s="900"/>
      <c r="AC288" s="900"/>
      <c r="AD288" s="900"/>
      <c r="AE288" s="900"/>
      <c r="AF288" s="901">
        <f>VLOOKUP($Z286,UsoSuelo!$DE$1054:$DQ$1120,2,FALSE)</f>
        <v>0</v>
      </c>
      <c r="AG288" s="901">
        <f>VLOOKUP($Z286,UsoSuelo!$DE$1054:$DQ$1120,3,FALSE)</f>
        <v>0</v>
      </c>
      <c r="AH288" s="901">
        <f>VLOOKUP($Z286,UsoSuelo!$DE$1054:$DQ$1120,4,FALSE)</f>
        <v>0</v>
      </c>
      <c r="AI288" s="901">
        <f>VLOOKUP($Z286,UsoSuelo!$DE$1054:$DQ$1120,5,FALSE)</f>
        <v>0</v>
      </c>
      <c r="AJ288" s="901">
        <f>VLOOKUP($Z286,UsoSuelo!$DE$1054:$DQ$1120,6,FALSE)</f>
        <v>0</v>
      </c>
      <c r="AK288" s="901">
        <f>VLOOKUP($Z286,UsoSuelo!$DE$1054:$DQ$1120,7,FALSE)</f>
        <v>0</v>
      </c>
      <c r="AL288" s="901">
        <f>VLOOKUP($Z286,UsoSuelo!$DE$1054:$DQ$1120,8,FALSE)</f>
        <v>0</v>
      </c>
      <c r="AM288" s="901">
        <f>VLOOKUP($Z286,UsoSuelo!$DE$1054:$DQ$1120,9,FALSE)</f>
        <v>0</v>
      </c>
      <c r="AN288" s="901">
        <f>VLOOKUP($Z286,UsoSuelo!$DE$1054:$DQ$1120,10,FALSE)</f>
        <v>0</v>
      </c>
      <c r="AO288" s="901">
        <f>VLOOKUP($Z286,UsoSuelo!$DE$1054:$DQ$1120,11,FALSE)</f>
        <v>0</v>
      </c>
      <c r="AP288" s="901">
        <f>VLOOKUP($Z286,UsoSuelo!$DE$1054:$DQ$1120,12,FALSE)</f>
        <v>0</v>
      </c>
      <c r="AQ288" s="902">
        <f>VLOOKUP($Z286,UsoSuelo!$DE$1054:$DQ$1120,13,FALSE)</f>
        <v>0</v>
      </c>
      <c r="AR288" s="903">
        <f>SUM(AF288:AQ288)</f>
        <v>0</v>
      </c>
      <c r="AS288" s="1569"/>
      <c r="AT288" s="1569"/>
      <c r="AU288" s="1436"/>
    </row>
    <row r="289" spans="1:46" x14ac:dyDescent="0.2">
      <c r="A289" s="205"/>
      <c r="B289" s="641"/>
      <c r="C289" s="621" t="s">
        <v>885</v>
      </c>
      <c r="D289" s="621"/>
      <c r="E289" s="621" t="s">
        <v>881</v>
      </c>
      <c r="F289" s="621" t="s">
        <v>23</v>
      </c>
      <c r="G289" s="622"/>
      <c r="H289" s="623"/>
      <c r="I289" s="297"/>
      <c r="J289" s="296"/>
      <c r="K289" s="296"/>
      <c r="L289" s="296"/>
      <c r="M289" s="296"/>
      <c r="N289" s="297"/>
      <c r="O289" s="297"/>
      <c r="P289" s="297"/>
      <c r="Q289" s="297"/>
      <c r="R289" s="297"/>
      <c r="S289" s="297"/>
      <c r="T289" s="297"/>
      <c r="U289" s="642" t="s">
        <v>881</v>
      </c>
      <c r="W289" s="1569"/>
      <c r="X289" s="16"/>
      <c r="Y289" s="641"/>
      <c r="Z289" s="621" t="s">
        <v>885</v>
      </c>
      <c r="AA289" s="621"/>
      <c r="AB289" s="621" t="s">
        <v>881</v>
      </c>
      <c r="AC289" s="621" t="s">
        <v>23</v>
      </c>
      <c r="AD289" s="622"/>
      <c r="AE289" s="623"/>
      <c r="AF289" s="297"/>
      <c r="AG289" s="296"/>
      <c r="AH289" s="296"/>
      <c r="AI289" s="296"/>
      <c r="AJ289" s="296"/>
      <c r="AK289" s="297"/>
      <c r="AL289" s="297"/>
      <c r="AM289" s="297"/>
      <c r="AN289" s="297"/>
      <c r="AO289" s="297"/>
      <c r="AP289" s="297"/>
      <c r="AQ289" s="297"/>
      <c r="AR289" s="642" t="s">
        <v>881</v>
      </c>
      <c r="AT289" s="1569"/>
    </row>
    <row r="290" spans="1:46" x14ac:dyDescent="0.2">
      <c r="A290" s="145"/>
      <c r="B290" s="199" t="s">
        <v>869</v>
      </c>
      <c r="C290" s="3" t="s">
        <v>1105</v>
      </c>
      <c r="D290" s="3" t="s">
        <v>312</v>
      </c>
      <c r="E290" s="4" t="s">
        <v>882</v>
      </c>
      <c r="F290" s="3" t="s">
        <v>314</v>
      </c>
      <c r="G290" s="4" t="s">
        <v>313</v>
      </c>
      <c r="H290" s="299"/>
      <c r="I290" s="320"/>
      <c r="J290" s="319"/>
      <c r="K290" s="319"/>
      <c r="L290" s="319"/>
      <c r="M290" s="319" t="s">
        <v>349</v>
      </c>
      <c r="N290" s="320"/>
      <c r="O290" s="320"/>
      <c r="P290" s="320"/>
      <c r="Q290" s="320"/>
      <c r="R290" s="320"/>
      <c r="S290" s="320"/>
      <c r="T290" s="320"/>
      <c r="U290" s="643" t="s">
        <v>891</v>
      </c>
      <c r="X290" s="205"/>
      <c r="Y290" s="199" t="s">
        <v>869</v>
      </c>
      <c r="Z290" s="3" t="s">
        <v>1105</v>
      </c>
      <c r="AA290" s="3" t="s">
        <v>312</v>
      </c>
      <c r="AB290" s="4" t="s">
        <v>882</v>
      </c>
      <c r="AC290" s="3" t="s">
        <v>314</v>
      </c>
      <c r="AD290" s="4" t="s">
        <v>313</v>
      </c>
      <c r="AE290" s="299"/>
      <c r="AF290" s="320"/>
      <c r="AG290" s="319"/>
      <c r="AH290" s="319"/>
      <c r="AI290" s="319"/>
      <c r="AJ290" s="319" t="s">
        <v>349</v>
      </c>
      <c r="AK290" s="320"/>
      <c r="AL290" s="320"/>
      <c r="AM290" s="320"/>
      <c r="AN290" s="320"/>
      <c r="AO290" s="320"/>
      <c r="AP290" s="320"/>
      <c r="AQ290" s="320"/>
      <c r="AR290" s="643" t="s">
        <v>891</v>
      </c>
    </row>
    <row r="291" spans="1:46" ht="15.05" thickBot="1" x14ac:dyDescent="0.35">
      <c r="A291" s="205"/>
      <c r="B291" s="5042"/>
      <c r="C291" s="1056">
        <f>IF(B291=0,0,U$277)</f>
        <v>0</v>
      </c>
      <c r="D291" s="1056">
        <f>IF(B291=0,0,VLOOKUP(B291,Precios!$B$216:$D$307,3,FALSE))</f>
        <v>0</v>
      </c>
      <c r="E291" s="5043"/>
      <c r="F291" s="300"/>
      <c r="G291" s="300"/>
      <c r="H291" s="309"/>
      <c r="I291" s="1072">
        <f>IF($C291&gt;0,I$288*$E291,0)</f>
        <v>0</v>
      </c>
      <c r="J291" s="1033">
        <f t="shared" ref="J291:T310" si="172">IF($C291&gt;0,J$288*$E291,0)</f>
        <v>0</v>
      </c>
      <c r="K291" s="1033">
        <f t="shared" si="172"/>
        <v>0</v>
      </c>
      <c r="L291" s="1033">
        <f t="shared" si="172"/>
        <v>0</v>
      </c>
      <c r="M291" s="1033">
        <f t="shared" si="172"/>
        <v>0</v>
      </c>
      <c r="N291" s="1033">
        <f t="shared" si="172"/>
        <v>0</v>
      </c>
      <c r="O291" s="1033">
        <f t="shared" si="172"/>
        <v>0</v>
      </c>
      <c r="P291" s="1033">
        <f t="shared" si="172"/>
        <v>0</v>
      </c>
      <c r="Q291" s="1033">
        <f t="shared" si="172"/>
        <v>0</v>
      </c>
      <c r="R291" s="1033">
        <f t="shared" si="172"/>
        <v>0</v>
      </c>
      <c r="S291" s="1033">
        <f t="shared" si="172"/>
        <v>0</v>
      </c>
      <c r="T291" s="1033">
        <f t="shared" si="172"/>
        <v>0</v>
      </c>
      <c r="U291" s="1073">
        <f t="shared" ref="U291:U312" si="173">SUM(I291:T291)</f>
        <v>0</v>
      </c>
      <c r="V291" s="232" t="str">
        <f>B291&amp;"propia"</f>
        <v>propia</v>
      </c>
      <c r="X291" s="205"/>
      <c r="Y291" s="5042"/>
      <c r="Z291" s="1056">
        <f>IF(Y291=0,0,AR$277)</f>
        <v>0</v>
      </c>
      <c r="AA291" s="1056">
        <f>IF(Y291=0,0,VLOOKUP(Y291,Precios!$B$216:$D$307,3,FALSE))</f>
        <v>0</v>
      </c>
      <c r="AB291" s="1069"/>
      <c r="AC291" s="300"/>
      <c r="AD291" s="300"/>
      <c r="AE291" s="309"/>
      <c r="AF291" s="1072">
        <f>IF($Z291&gt;0,AF$288*$AB291,0)</f>
        <v>0</v>
      </c>
      <c r="AG291" s="1033">
        <f t="shared" ref="AG291:AQ308" si="174">IF($Z291&gt;0,AG$288*$AB291,0)</f>
        <v>0</v>
      </c>
      <c r="AH291" s="1033">
        <f t="shared" si="174"/>
        <v>0</v>
      </c>
      <c r="AI291" s="1033">
        <f t="shared" si="174"/>
        <v>0</v>
      </c>
      <c r="AJ291" s="1033">
        <f t="shared" si="174"/>
        <v>0</v>
      </c>
      <c r="AK291" s="1033">
        <f t="shared" si="174"/>
        <v>0</v>
      </c>
      <c r="AL291" s="1033">
        <f t="shared" si="174"/>
        <v>0</v>
      </c>
      <c r="AM291" s="1033">
        <f t="shared" si="174"/>
        <v>0</v>
      </c>
      <c r="AN291" s="1033">
        <f t="shared" si="174"/>
        <v>0</v>
      </c>
      <c r="AO291" s="1033">
        <f t="shared" si="174"/>
        <v>0</v>
      </c>
      <c r="AP291" s="1033">
        <f t="shared" si="174"/>
        <v>0</v>
      </c>
      <c r="AQ291" s="1033">
        <f t="shared" si="174"/>
        <v>0</v>
      </c>
      <c r="AR291" s="1073">
        <f t="shared" ref="AR291:AR309" si="175">SUM(AF291:AQ291)</f>
        <v>0</v>
      </c>
      <c r="AS291" s="232" t="str">
        <f>Y291&amp;"propia"</f>
        <v>propia</v>
      </c>
    </row>
    <row r="292" spans="1:46" ht="15.05" thickBot="1" x14ac:dyDescent="0.35">
      <c r="A292" s="205"/>
      <c r="B292" s="5044"/>
      <c r="C292" s="985">
        <f>IF(B292=0,0,U$277)</f>
        <v>0</v>
      </c>
      <c r="D292" s="985">
        <f>IF(B292=0,0,VLOOKUP(B292,Precios!$B$216:$D$307,3,FALSE))</f>
        <v>0</v>
      </c>
      <c r="E292" s="5045"/>
      <c r="F292" s="300"/>
      <c r="G292" s="300"/>
      <c r="H292" s="309"/>
      <c r="I292" s="1074">
        <f>IF($C292&gt;0,I$288*$E292,0)</f>
        <v>0</v>
      </c>
      <c r="J292" s="1005">
        <f t="shared" si="172"/>
        <v>0</v>
      </c>
      <c r="K292" s="1005">
        <f t="shared" si="172"/>
        <v>0</v>
      </c>
      <c r="L292" s="1005">
        <f t="shared" si="172"/>
        <v>0</v>
      </c>
      <c r="M292" s="1005">
        <f t="shared" si="172"/>
        <v>0</v>
      </c>
      <c r="N292" s="1005">
        <f t="shared" si="172"/>
        <v>0</v>
      </c>
      <c r="O292" s="1005">
        <f t="shared" si="172"/>
        <v>0</v>
      </c>
      <c r="P292" s="1005">
        <f t="shared" si="172"/>
        <v>0</v>
      </c>
      <c r="Q292" s="1005">
        <f t="shared" si="172"/>
        <v>0</v>
      </c>
      <c r="R292" s="1005">
        <f t="shared" si="172"/>
        <v>0</v>
      </c>
      <c r="S292" s="1005">
        <f t="shared" si="172"/>
        <v>0</v>
      </c>
      <c r="T292" s="1005">
        <f t="shared" si="172"/>
        <v>0</v>
      </c>
      <c r="U292" s="1075">
        <f t="shared" si="173"/>
        <v>0</v>
      </c>
      <c r="V292" s="232" t="str">
        <f>B292&amp;"propia"</f>
        <v>propia</v>
      </c>
      <c r="X292" s="301"/>
      <c r="Y292" s="5044"/>
      <c r="Z292" s="985">
        <f>IF(Y292=0,0,AR$277)</f>
        <v>0</v>
      </c>
      <c r="AA292" s="985">
        <f>IF(Y292=0,0,VLOOKUP(Y292,Precios!$B$216:$D$307,3,FALSE))</f>
        <v>0</v>
      </c>
      <c r="AB292" s="1070"/>
      <c r="AC292" s="300"/>
      <c r="AD292" s="300"/>
      <c r="AE292" s="309"/>
      <c r="AF292" s="1074">
        <f>IF($Z292&gt;0,AF$288*$AB292,0)</f>
        <v>0</v>
      </c>
      <c r="AG292" s="1005">
        <f t="shared" si="174"/>
        <v>0</v>
      </c>
      <c r="AH292" s="1005">
        <f t="shared" si="174"/>
        <v>0</v>
      </c>
      <c r="AI292" s="1005">
        <f t="shared" si="174"/>
        <v>0</v>
      </c>
      <c r="AJ292" s="1005">
        <f t="shared" si="174"/>
        <v>0</v>
      </c>
      <c r="AK292" s="1005">
        <f t="shared" si="174"/>
        <v>0</v>
      </c>
      <c r="AL292" s="1005">
        <f t="shared" si="174"/>
        <v>0</v>
      </c>
      <c r="AM292" s="1005">
        <f t="shared" si="174"/>
        <v>0</v>
      </c>
      <c r="AN292" s="1005">
        <f t="shared" si="174"/>
        <v>0</v>
      </c>
      <c r="AO292" s="1005">
        <f t="shared" si="174"/>
        <v>0</v>
      </c>
      <c r="AP292" s="1005">
        <f t="shared" si="174"/>
        <v>0</v>
      </c>
      <c r="AQ292" s="1005">
        <f t="shared" si="174"/>
        <v>0</v>
      </c>
      <c r="AR292" s="1075">
        <f t="shared" si="175"/>
        <v>0</v>
      </c>
      <c r="AS292" s="232" t="str">
        <f>Y292&amp;"propia"</f>
        <v>propia</v>
      </c>
    </row>
    <row r="293" spans="1:46" ht="15.05" thickBot="1" x14ac:dyDescent="0.35">
      <c r="A293" s="205"/>
      <c r="B293" s="5044"/>
      <c r="C293" s="985">
        <f>IF(B293=0,0,U$277)</f>
        <v>0</v>
      </c>
      <c r="D293" s="985">
        <f>IF(B293=0,0,VLOOKUP(B293,Precios!$B$216:$D$307,3,FALSE))</f>
        <v>0</v>
      </c>
      <c r="E293" s="5045"/>
      <c r="F293" s="300"/>
      <c r="G293" s="300"/>
      <c r="H293" s="309"/>
      <c r="I293" s="1074">
        <f>IF($C293&gt;0,I$288*$E293,0)</f>
        <v>0</v>
      </c>
      <c r="J293" s="1005">
        <f t="shared" si="172"/>
        <v>0</v>
      </c>
      <c r="K293" s="1005">
        <f t="shared" si="172"/>
        <v>0</v>
      </c>
      <c r="L293" s="1005">
        <f t="shared" si="172"/>
        <v>0</v>
      </c>
      <c r="M293" s="1005">
        <f t="shared" si="172"/>
        <v>0</v>
      </c>
      <c r="N293" s="1005">
        <f t="shared" si="172"/>
        <v>0</v>
      </c>
      <c r="O293" s="1005">
        <f t="shared" si="172"/>
        <v>0</v>
      </c>
      <c r="P293" s="1005">
        <f t="shared" si="172"/>
        <v>0</v>
      </c>
      <c r="Q293" s="1005">
        <f t="shared" si="172"/>
        <v>0</v>
      </c>
      <c r="R293" s="1005">
        <f t="shared" si="172"/>
        <v>0</v>
      </c>
      <c r="S293" s="1005">
        <f t="shared" si="172"/>
        <v>0</v>
      </c>
      <c r="T293" s="1005">
        <f t="shared" si="172"/>
        <v>0</v>
      </c>
      <c r="U293" s="1075">
        <f t="shared" si="173"/>
        <v>0</v>
      </c>
      <c r="V293" s="232" t="str">
        <f>B293&amp;"propia"</f>
        <v>propia</v>
      </c>
      <c r="X293" s="301"/>
      <c r="Y293" s="5044"/>
      <c r="Z293" s="985">
        <f>IF(Y293=0,0,AR$277)</f>
        <v>0</v>
      </c>
      <c r="AA293" s="985">
        <f>IF(Y293=0,0,VLOOKUP(Y293,Precios!$B$216:$D$307,3,FALSE))</f>
        <v>0</v>
      </c>
      <c r="AB293" s="1070"/>
      <c r="AC293" s="300"/>
      <c r="AD293" s="300"/>
      <c r="AE293" s="309"/>
      <c r="AF293" s="1074">
        <f>IF($Z293&gt;0,AF$288*$AB293,0)</f>
        <v>0</v>
      </c>
      <c r="AG293" s="1005">
        <f t="shared" si="174"/>
        <v>0</v>
      </c>
      <c r="AH293" s="1005">
        <f t="shared" si="174"/>
        <v>0</v>
      </c>
      <c r="AI293" s="1005">
        <f t="shared" si="174"/>
        <v>0</v>
      </c>
      <c r="AJ293" s="1005">
        <f t="shared" si="174"/>
        <v>0</v>
      </c>
      <c r="AK293" s="1005">
        <f t="shared" si="174"/>
        <v>0</v>
      </c>
      <c r="AL293" s="1005">
        <f t="shared" si="174"/>
        <v>0</v>
      </c>
      <c r="AM293" s="1005">
        <f t="shared" si="174"/>
        <v>0</v>
      </c>
      <c r="AN293" s="1005">
        <f t="shared" si="174"/>
        <v>0</v>
      </c>
      <c r="AO293" s="1005">
        <f t="shared" si="174"/>
        <v>0</v>
      </c>
      <c r="AP293" s="1005">
        <f t="shared" si="174"/>
        <v>0</v>
      </c>
      <c r="AQ293" s="1005">
        <f t="shared" si="174"/>
        <v>0</v>
      </c>
      <c r="AR293" s="1075">
        <f t="shared" si="175"/>
        <v>0</v>
      </c>
      <c r="AS293" s="232" t="str">
        <f>Y293&amp;"propia"</f>
        <v>propia</v>
      </c>
    </row>
    <row r="294" spans="1:46" ht="15.05" thickBot="1" x14ac:dyDescent="0.35">
      <c r="A294" s="205"/>
      <c r="B294" s="5044"/>
      <c r="C294" s="985">
        <f>IF(B294=0,0,U$277)</f>
        <v>0</v>
      </c>
      <c r="D294" s="985">
        <f>IF(B294=0,0,VLOOKUP(B294,Precios!$B$216:$D$307,3,FALSE))</f>
        <v>0</v>
      </c>
      <c r="E294" s="5045"/>
      <c r="F294" s="300"/>
      <c r="G294" s="300"/>
      <c r="H294" s="309"/>
      <c r="I294" s="1074">
        <f>IF($C294&gt;0,I$288*$E294,0)</f>
        <v>0</v>
      </c>
      <c r="J294" s="1005">
        <f t="shared" si="172"/>
        <v>0</v>
      </c>
      <c r="K294" s="1005">
        <f t="shared" si="172"/>
        <v>0</v>
      </c>
      <c r="L294" s="1005">
        <f t="shared" si="172"/>
        <v>0</v>
      </c>
      <c r="M294" s="1005">
        <f t="shared" si="172"/>
        <v>0</v>
      </c>
      <c r="N294" s="1005">
        <f t="shared" si="172"/>
        <v>0</v>
      </c>
      <c r="O294" s="1005">
        <f t="shared" si="172"/>
        <v>0</v>
      </c>
      <c r="P294" s="1005">
        <f t="shared" si="172"/>
        <v>0</v>
      </c>
      <c r="Q294" s="1005">
        <f t="shared" si="172"/>
        <v>0</v>
      </c>
      <c r="R294" s="1005">
        <f t="shared" si="172"/>
        <v>0</v>
      </c>
      <c r="S294" s="1005">
        <f t="shared" si="172"/>
        <v>0</v>
      </c>
      <c r="T294" s="1005">
        <f t="shared" si="172"/>
        <v>0</v>
      </c>
      <c r="U294" s="1075">
        <f t="shared" si="173"/>
        <v>0</v>
      </c>
      <c r="V294" s="232" t="str">
        <f>B294&amp;"propia"</f>
        <v>propia</v>
      </c>
      <c r="X294" s="301"/>
      <c r="Y294" s="5044"/>
      <c r="Z294" s="985">
        <f>IF(Y294=0,0,AR$277)</f>
        <v>0</v>
      </c>
      <c r="AA294" s="985">
        <f>IF(Y294=0,0,VLOOKUP(Y294,Precios!$B$216:$D$307,3,FALSE))</f>
        <v>0</v>
      </c>
      <c r="AB294" s="1070"/>
      <c r="AC294" s="300"/>
      <c r="AD294" s="300"/>
      <c r="AE294" s="309"/>
      <c r="AF294" s="1074">
        <f>IF($Z294&gt;0,AF$288*$AB294,0)</f>
        <v>0</v>
      </c>
      <c r="AG294" s="1005">
        <f t="shared" si="174"/>
        <v>0</v>
      </c>
      <c r="AH294" s="1005">
        <f t="shared" si="174"/>
        <v>0</v>
      </c>
      <c r="AI294" s="1005">
        <f t="shared" si="174"/>
        <v>0</v>
      </c>
      <c r="AJ294" s="1005">
        <f t="shared" si="174"/>
        <v>0</v>
      </c>
      <c r="AK294" s="1005">
        <f t="shared" si="174"/>
        <v>0</v>
      </c>
      <c r="AL294" s="1005">
        <f t="shared" si="174"/>
        <v>0</v>
      </c>
      <c r="AM294" s="1005">
        <f t="shared" si="174"/>
        <v>0</v>
      </c>
      <c r="AN294" s="1005">
        <f t="shared" si="174"/>
        <v>0</v>
      </c>
      <c r="AO294" s="1005">
        <f t="shared" si="174"/>
        <v>0</v>
      </c>
      <c r="AP294" s="1005">
        <f t="shared" si="174"/>
        <v>0</v>
      </c>
      <c r="AQ294" s="1005">
        <f t="shared" si="174"/>
        <v>0</v>
      </c>
      <c r="AR294" s="1075">
        <f t="shared" si="175"/>
        <v>0</v>
      </c>
      <c r="AS294" s="232" t="str">
        <f>Y294&amp;"propia"</f>
        <v>propia</v>
      </c>
    </row>
    <row r="295" spans="1:46" x14ac:dyDescent="0.3">
      <c r="A295" s="205"/>
      <c r="B295" s="5046"/>
      <c r="C295" s="1057">
        <f>IF(B295=0,0,U$277)</f>
        <v>0</v>
      </c>
      <c r="D295" s="1057">
        <f>IF(B295=0,0,VLOOKUP(B295,Precios!$B$216:$D$307,3,FALSE))</f>
        <v>0</v>
      </c>
      <c r="E295" s="5047"/>
      <c r="F295" s="300"/>
      <c r="G295" s="300"/>
      <c r="H295" s="309"/>
      <c r="I295" s="1076">
        <f>IF($C295&gt;0,I$288*$E295,0)</f>
        <v>0</v>
      </c>
      <c r="J295" s="1077">
        <f t="shared" si="172"/>
        <v>0</v>
      </c>
      <c r="K295" s="1077">
        <f t="shared" si="172"/>
        <v>0</v>
      </c>
      <c r="L295" s="1077">
        <f t="shared" si="172"/>
        <v>0</v>
      </c>
      <c r="M295" s="1077">
        <f t="shared" si="172"/>
        <v>0</v>
      </c>
      <c r="N295" s="1077">
        <f t="shared" si="172"/>
        <v>0</v>
      </c>
      <c r="O295" s="1077">
        <f t="shared" si="172"/>
        <v>0</v>
      </c>
      <c r="P295" s="1077">
        <f t="shared" si="172"/>
        <v>0</v>
      </c>
      <c r="Q295" s="1077">
        <f t="shared" si="172"/>
        <v>0</v>
      </c>
      <c r="R295" s="1077">
        <f t="shared" si="172"/>
        <v>0</v>
      </c>
      <c r="S295" s="1077">
        <f t="shared" si="172"/>
        <v>0</v>
      </c>
      <c r="T295" s="1077">
        <f t="shared" si="172"/>
        <v>0</v>
      </c>
      <c r="U295" s="1078">
        <f t="shared" si="173"/>
        <v>0</v>
      </c>
      <c r="V295" s="232" t="str">
        <f>B295&amp;"propia"</f>
        <v>propia</v>
      </c>
      <c r="X295" s="301"/>
      <c r="Y295" s="5046"/>
      <c r="Z295" s="1057">
        <f>IF(Y295=0,0,AR$277)</f>
        <v>0</v>
      </c>
      <c r="AA295" s="1057">
        <f>IF(Y295=0,0,VLOOKUP(Y295,Precios!$B$216:$D$307,3,FALSE))</f>
        <v>0</v>
      </c>
      <c r="AB295" s="1071"/>
      <c r="AC295" s="300"/>
      <c r="AD295" s="300"/>
      <c r="AE295" s="309"/>
      <c r="AF295" s="1076">
        <f>IF($Z295&gt;0,AF$288*$AB295,0)</f>
        <v>0</v>
      </c>
      <c r="AG295" s="1077">
        <f t="shared" si="174"/>
        <v>0</v>
      </c>
      <c r="AH295" s="1077">
        <f t="shared" si="174"/>
        <v>0</v>
      </c>
      <c r="AI295" s="1077">
        <f t="shared" si="174"/>
        <v>0</v>
      </c>
      <c r="AJ295" s="1077">
        <f t="shared" si="174"/>
        <v>0</v>
      </c>
      <c r="AK295" s="1077">
        <f t="shared" si="174"/>
        <v>0</v>
      </c>
      <c r="AL295" s="1077">
        <f t="shared" si="174"/>
        <v>0</v>
      </c>
      <c r="AM295" s="1077">
        <f t="shared" si="174"/>
        <v>0</v>
      </c>
      <c r="AN295" s="1077">
        <f t="shared" si="174"/>
        <v>0</v>
      </c>
      <c r="AO295" s="1077">
        <f t="shared" si="174"/>
        <v>0</v>
      </c>
      <c r="AP295" s="1077">
        <f t="shared" si="174"/>
        <v>0</v>
      </c>
      <c r="AQ295" s="1077">
        <f t="shared" si="174"/>
        <v>0</v>
      </c>
      <c r="AR295" s="1078">
        <f t="shared" si="175"/>
        <v>0</v>
      </c>
      <c r="AS295" s="232" t="str">
        <f>Y295&amp;"propia"</f>
        <v>propia</v>
      </c>
    </row>
    <row r="296" spans="1:46" x14ac:dyDescent="0.3">
      <c r="A296" s="205"/>
      <c r="B296" s="645" t="s">
        <v>1083</v>
      </c>
      <c r="C296" s="305"/>
      <c r="D296" s="305"/>
      <c r="E296" s="305"/>
      <c r="F296" s="305"/>
      <c r="G296" s="305"/>
      <c r="H296" s="306"/>
      <c r="I296" s="904">
        <f>+SUM(I291:I295)</f>
        <v>0</v>
      </c>
      <c r="J296" s="904">
        <f t="shared" ref="J296:T296" si="176">+SUM(J291:J295)</f>
        <v>0</v>
      </c>
      <c r="K296" s="904">
        <f t="shared" si="176"/>
        <v>0</v>
      </c>
      <c r="L296" s="904">
        <f t="shared" si="176"/>
        <v>0</v>
      </c>
      <c r="M296" s="904">
        <f t="shared" si="176"/>
        <v>0</v>
      </c>
      <c r="N296" s="904">
        <f t="shared" si="176"/>
        <v>0</v>
      </c>
      <c r="O296" s="904">
        <f t="shared" si="176"/>
        <v>0</v>
      </c>
      <c r="P296" s="904">
        <f t="shared" si="176"/>
        <v>0</v>
      </c>
      <c r="Q296" s="904">
        <f t="shared" si="176"/>
        <v>0</v>
      </c>
      <c r="R296" s="904">
        <f t="shared" si="176"/>
        <v>0</v>
      </c>
      <c r="S296" s="904">
        <f t="shared" si="176"/>
        <v>0</v>
      </c>
      <c r="T296" s="904">
        <f t="shared" si="176"/>
        <v>0</v>
      </c>
      <c r="U296" s="905">
        <f>SUM(I296:T296)</f>
        <v>0</v>
      </c>
      <c r="X296" s="301"/>
      <c r="Y296" s="645" t="s">
        <v>1083</v>
      </c>
      <c r="Z296" s="305"/>
      <c r="AA296" s="305"/>
      <c r="AB296" s="305"/>
      <c r="AC296" s="305"/>
      <c r="AD296" s="305"/>
      <c r="AE296" s="306"/>
      <c r="AF296" s="904">
        <f t="shared" ref="AF296:AQ296" si="177">SUM(AF291:AF295)</f>
        <v>0</v>
      </c>
      <c r="AG296" s="904">
        <f t="shared" si="177"/>
        <v>0</v>
      </c>
      <c r="AH296" s="904">
        <f t="shared" si="177"/>
        <v>0</v>
      </c>
      <c r="AI296" s="904">
        <f t="shared" si="177"/>
        <v>0</v>
      </c>
      <c r="AJ296" s="904">
        <f t="shared" si="177"/>
        <v>0</v>
      </c>
      <c r="AK296" s="904">
        <f t="shared" si="177"/>
        <v>0</v>
      </c>
      <c r="AL296" s="904">
        <f t="shared" si="177"/>
        <v>0</v>
      </c>
      <c r="AM296" s="904">
        <f t="shared" si="177"/>
        <v>0</v>
      </c>
      <c r="AN296" s="904">
        <f t="shared" si="177"/>
        <v>0</v>
      </c>
      <c r="AO296" s="904">
        <f t="shared" si="177"/>
        <v>0</v>
      </c>
      <c r="AP296" s="904">
        <f t="shared" si="177"/>
        <v>0</v>
      </c>
      <c r="AQ296" s="904">
        <f t="shared" si="177"/>
        <v>0</v>
      </c>
      <c r="AR296" s="905">
        <f>SUM(AF296:AQ296)</f>
        <v>0</v>
      </c>
    </row>
    <row r="297" spans="1:46" x14ac:dyDescent="0.2">
      <c r="A297" s="205"/>
      <c r="B297" s="197" t="s">
        <v>870</v>
      </c>
      <c r="C297" s="307"/>
      <c r="D297" s="307"/>
      <c r="E297" s="308"/>
      <c r="F297" s="308"/>
      <c r="G297" s="308"/>
      <c r="H297" s="307"/>
      <c r="I297" s="307"/>
      <c r="J297" s="307"/>
      <c r="K297" s="307"/>
      <c r="L297" s="307"/>
      <c r="M297" s="307"/>
      <c r="N297" s="307"/>
      <c r="O297" s="307"/>
      <c r="P297" s="307"/>
      <c r="Q297" s="307"/>
      <c r="R297" s="307"/>
      <c r="S297" s="307"/>
      <c r="T297" s="307"/>
      <c r="U297" s="646"/>
      <c r="X297" s="301"/>
      <c r="Y297" s="197" t="s">
        <v>870</v>
      </c>
      <c r="Z297" s="307"/>
      <c r="AA297" s="307"/>
      <c r="AB297" s="308"/>
      <c r="AC297" s="308"/>
      <c r="AD297" s="308"/>
      <c r="AE297" s="307"/>
      <c r="AF297" s="307"/>
      <c r="AG297" s="307"/>
      <c r="AH297" s="307"/>
      <c r="AI297" s="307"/>
      <c r="AJ297" s="307"/>
      <c r="AK297" s="307"/>
      <c r="AL297" s="307"/>
      <c r="AM297" s="307"/>
      <c r="AN297" s="307"/>
      <c r="AO297" s="307"/>
      <c r="AP297" s="307"/>
      <c r="AQ297" s="307"/>
      <c r="AR297" s="646"/>
    </row>
    <row r="298" spans="1:46" ht="15.05" thickBot="1" x14ac:dyDescent="0.35">
      <c r="A298" s="205"/>
      <c r="B298" s="5042"/>
      <c r="C298" s="1056">
        <f>IF(B298=0,0,U$277)</f>
        <v>0</v>
      </c>
      <c r="D298" s="1056">
        <f>IF(B298=0,0,VLOOKUP(B298,Precios!$B$216:$D$307,3,FALSE))</f>
        <v>0</v>
      </c>
      <c r="E298" s="5048"/>
      <c r="F298" s="1249">
        <f>IF(B298=0,0,VLOOKUP(B298,Precios!$B$216:$D$307,2,FALSE))</f>
        <v>0</v>
      </c>
      <c r="G298" s="1066">
        <f>E298*F298</f>
        <v>0</v>
      </c>
      <c r="H298" s="309"/>
      <c r="I298" s="1072">
        <f>IF($C298&gt;0,I$288*$E298,0)</f>
        <v>0</v>
      </c>
      <c r="J298" s="1033">
        <f t="shared" si="172"/>
        <v>0</v>
      </c>
      <c r="K298" s="1033">
        <f t="shared" si="172"/>
        <v>0</v>
      </c>
      <c r="L298" s="1033">
        <f t="shared" si="172"/>
        <v>0</v>
      </c>
      <c r="M298" s="1033">
        <f t="shared" si="172"/>
        <v>0</v>
      </c>
      <c r="N298" s="1033">
        <f t="shared" si="172"/>
        <v>0</v>
      </c>
      <c r="O298" s="1033">
        <f t="shared" si="172"/>
        <v>0</v>
      </c>
      <c r="P298" s="1033">
        <f t="shared" si="172"/>
        <v>0</v>
      </c>
      <c r="Q298" s="1033">
        <f t="shared" si="172"/>
        <v>0</v>
      </c>
      <c r="R298" s="1033">
        <f t="shared" si="172"/>
        <v>0</v>
      </c>
      <c r="S298" s="1033">
        <f t="shared" si="172"/>
        <v>0</v>
      </c>
      <c r="T298" s="1033">
        <f t="shared" si="172"/>
        <v>0</v>
      </c>
      <c r="U298" s="1073">
        <f t="shared" si="173"/>
        <v>0</v>
      </c>
      <c r="V298" s="232" t="str">
        <f>B298&amp;"contratada"</f>
        <v>contratada</v>
      </c>
      <c r="X298" s="301"/>
      <c r="Y298" s="5042"/>
      <c r="Z298" s="1056">
        <f>IF(Y298=0,0,AR$277)</f>
        <v>0</v>
      </c>
      <c r="AA298" s="1056">
        <f>IF(Y298=0,0,VLOOKUP(Y298,Precios!$B$216:$D$307,3,FALSE))</f>
        <v>0</v>
      </c>
      <c r="AB298" s="1058"/>
      <c r="AC298" s="1249">
        <f>IF(Y298=0,0,VLOOKUP(Y298,Precios!$B$216:$D$307,2,FALSE))</f>
        <v>0</v>
      </c>
      <c r="AD298" s="1066">
        <f>AB298*AC298</f>
        <v>0</v>
      </c>
      <c r="AE298" s="309"/>
      <c r="AF298" s="1072">
        <f>IF($Z298&gt;0,AF$288*$AB298,0)</f>
        <v>0</v>
      </c>
      <c r="AG298" s="1033">
        <f t="shared" si="174"/>
        <v>0</v>
      </c>
      <c r="AH298" s="1033">
        <f t="shared" si="174"/>
        <v>0</v>
      </c>
      <c r="AI298" s="1033">
        <f t="shared" si="174"/>
        <v>0</v>
      </c>
      <c r="AJ298" s="1033">
        <f t="shared" si="174"/>
        <v>0</v>
      </c>
      <c r="AK298" s="1033">
        <f t="shared" si="174"/>
        <v>0</v>
      </c>
      <c r="AL298" s="1033">
        <f t="shared" si="174"/>
        <v>0</v>
      </c>
      <c r="AM298" s="1033">
        <f t="shared" si="174"/>
        <v>0</v>
      </c>
      <c r="AN298" s="1033">
        <f t="shared" si="174"/>
        <v>0</v>
      </c>
      <c r="AO298" s="1033">
        <f t="shared" si="174"/>
        <v>0</v>
      </c>
      <c r="AP298" s="1033">
        <f t="shared" si="174"/>
        <v>0</v>
      </c>
      <c r="AQ298" s="1033">
        <f t="shared" si="174"/>
        <v>0</v>
      </c>
      <c r="AR298" s="1073">
        <f t="shared" si="175"/>
        <v>0</v>
      </c>
      <c r="AS298" s="232" t="str">
        <f>Y298&amp;"contratada"</f>
        <v>contratada</v>
      </c>
    </row>
    <row r="299" spans="1:46" ht="15.05" thickBot="1" x14ac:dyDescent="0.35">
      <c r="A299" s="205"/>
      <c r="B299" s="5044"/>
      <c r="C299" s="985">
        <f>IF(B299=0,0,U$277)</f>
        <v>0</v>
      </c>
      <c r="D299" s="985">
        <f>IF(B299=0,0,VLOOKUP(B299,Precios!$B$216:$D$307,3,FALSE))</f>
        <v>0</v>
      </c>
      <c r="E299" s="5049"/>
      <c r="F299" s="2253">
        <f>IF(B299=0,0,VLOOKUP(B299,Precios!$B$216:$D$307,2,FALSE))</f>
        <v>0</v>
      </c>
      <c r="G299" s="1067">
        <f>E299*F299</f>
        <v>0</v>
      </c>
      <c r="H299" s="309"/>
      <c r="I299" s="1074">
        <f>IF($C299&gt;0,I$288*$E299,0)</f>
        <v>0</v>
      </c>
      <c r="J299" s="1005">
        <f t="shared" si="172"/>
        <v>0</v>
      </c>
      <c r="K299" s="1005">
        <f t="shared" si="172"/>
        <v>0</v>
      </c>
      <c r="L299" s="1005">
        <f t="shared" si="172"/>
        <v>0</v>
      </c>
      <c r="M299" s="1005">
        <f t="shared" si="172"/>
        <v>0</v>
      </c>
      <c r="N299" s="1005">
        <f t="shared" si="172"/>
        <v>0</v>
      </c>
      <c r="O299" s="1005">
        <f t="shared" si="172"/>
        <v>0</v>
      </c>
      <c r="P299" s="1005">
        <f t="shared" si="172"/>
        <v>0</v>
      </c>
      <c r="Q299" s="1005">
        <f t="shared" si="172"/>
        <v>0</v>
      </c>
      <c r="R299" s="1005">
        <f t="shared" si="172"/>
        <v>0</v>
      </c>
      <c r="S299" s="1005">
        <f t="shared" si="172"/>
        <v>0</v>
      </c>
      <c r="T299" s="1005">
        <f t="shared" si="172"/>
        <v>0</v>
      </c>
      <c r="U299" s="1075">
        <f t="shared" si="173"/>
        <v>0</v>
      </c>
      <c r="V299" s="232" t="str">
        <f>B299&amp;"contratada"</f>
        <v>contratada</v>
      </c>
      <c r="X299" s="301"/>
      <c r="Y299" s="5044"/>
      <c r="Z299" s="985">
        <f>IF(Y299=0,0,AR$277)</f>
        <v>0</v>
      </c>
      <c r="AA299" s="985">
        <f>IF(Y299=0,0,VLOOKUP(Y299,Precios!$B$216:$D$307,3,FALSE))</f>
        <v>0</v>
      </c>
      <c r="AB299" s="986"/>
      <c r="AC299" s="2253">
        <f>IF(Y299=0,0,VLOOKUP(Y299,Precios!$B$216:$D$307,2,FALSE))</f>
        <v>0</v>
      </c>
      <c r="AD299" s="1067">
        <f>AB299*AC299</f>
        <v>0</v>
      </c>
      <c r="AE299" s="309"/>
      <c r="AF299" s="1074">
        <f>IF($Z299&gt;0,AF$288*$AB299,0)</f>
        <v>0</v>
      </c>
      <c r="AG299" s="1005">
        <f t="shared" si="174"/>
        <v>0</v>
      </c>
      <c r="AH299" s="1005">
        <f t="shared" si="174"/>
        <v>0</v>
      </c>
      <c r="AI299" s="1005">
        <f t="shared" si="174"/>
        <v>0</v>
      </c>
      <c r="AJ299" s="1005">
        <f t="shared" si="174"/>
        <v>0</v>
      </c>
      <c r="AK299" s="1005">
        <f t="shared" si="174"/>
        <v>0</v>
      </c>
      <c r="AL299" s="1005">
        <f t="shared" si="174"/>
        <v>0</v>
      </c>
      <c r="AM299" s="1005">
        <f t="shared" si="174"/>
        <v>0</v>
      </c>
      <c r="AN299" s="1005">
        <f t="shared" si="174"/>
        <v>0</v>
      </c>
      <c r="AO299" s="1005">
        <f t="shared" si="174"/>
        <v>0</v>
      </c>
      <c r="AP299" s="1005">
        <f t="shared" si="174"/>
        <v>0</v>
      </c>
      <c r="AQ299" s="1005">
        <f t="shared" si="174"/>
        <v>0</v>
      </c>
      <c r="AR299" s="1075">
        <f t="shared" si="175"/>
        <v>0</v>
      </c>
      <c r="AS299" s="232" t="str">
        <f>Y299&amp;"contratada"</f>
        <v>contratada</v>
      </c>
    </row>
    <row r="300" spans="1:46" ht="15.05" thickBot="1" x14ac:dyDescent="0.35">
      <c r="A300" s="205"/>
      <c r="B300" s="5044"/>
      <c r="C300" s="985">
        <f>IF(B300=0,0,U$277)</f>
        <v>0</v>
      </c>
      <c r="D300" s="985">
        <f>IF(B300=0,0,VLOOKUP(B300,Precios!$B$216:$D$307,3,FALSE))</f>
        <v>0</v>
      </c>
      <c r="E300" s="5049"/>
      <c r="F300" s="2253">
        <f>IF(B300=0,0,VLOOKUP(B300,Precios!$B$216:$D$307,2,FALSE))</f>
        <v>0</v>
      </c>
      <c r="G300" s="1067">
        <f>E300*F300</f>
        <v>0</v>
      </c>
      <c r="H300" s="309"/>
      <c r="I300" s="1074">
        <f>IF($C300&gt;0,I$288*$E300,0)</f>
        <v>0</v>
      </c>
      <c r="J300" s="1005">
        <f t="shared" si="172"/>
        <v>0</v>
      </c>
      <c r="K300" s="1005">
        <f t="shared" si="172"/>
        <v>0</v>
      </c>
      <c r="L300" s="1005">
        <f t="shared" si="172"/>
        <v>0</v>
      </c>
      <c r="M300" s="1005">
        <f t="shared" si="172"/>
        <v>0</v>
      </c>
      <c r="N300" s="1005">
        <f t="shared" si="172"/>
        <v>0</v>
      </c>
      <c r="O300" s="1005">
        <f t="shared" si="172"/>
        <v>0</v>
      </c>
      <c r="P300" s="1005">
        <f t="shared" si="172"/>
        <v>0</v>
      </c>
      <c r="Q300" s="1005">
        <f t="shared" si="172"/>
        <v>0</v>
      </c>
      <c r="R300" s="1005">
        <f t="shared" si="172"/>
        <v>0</v>
      </c>
      <c r="S300" s="1005">
        <f t="shared" si="172"/>
        <v>0</v>
      </c>
      <c r="T300" s="1005">
        <f t="shared" si="172"/>
        <v>0</v>
      </c>
      <c r="U300" s="1075">
        <f t="shared" si="173"/>
        <v>0</v>
      </c>
      <c r="V300" s="232" t="str">
        <f>B300&amp;"contratada"</f>
        <v>contratada</v>
      </c>
      <c r="X300" s="301"/>
      <c r="Y300" s="5044"/>
      <c r="Z300" s="985">
        <f>IF(Y300=0,0,AR$277)</f>
        <v>0</v>
      </c>
      <c r="AA300" s="985">
        <f>IF(Y300=0,0,VLOOKUP(Y300,Precios!$B$216:$D$307,3,FALSE))</f>
        <v>0</v>
      </c>
      <c r="AB300" s="986"/>
      <c r="AC300" s="2253">
        <f>IF(Y300=0,0,VLOOKUP(Y300,Precios!$B$216:$D$307,2,FALSE))</f>
        <v>0</v>
      </c>
      <c r="AD300" s="1067">
        <f>AB300*AC300</f>
        <v>0</v>
      </c>
      <c r="AE300" s="309"/>
      <c r="AF300" s="1074">
        <f>IF($Z300&gt;0,AF$288*$AB300,0)</f>
        <v>0</v>
      </c>
      <c r="AG300" s="1005">
        <f t="shared" si="174"/>
        <v>0</v>
      </c>
      <c r="AH300" s="1005">
        <f t="shared" si="174"/>
        <v>0</v>
      </c>
      <c r="AI300" s="1005">
        <f t="shared" si="174"/>
        <v>0</v>
      </c>
      <c r="AJ300" s="1005">
        <f t="shared" si="174"/>
        <v>0</v>
      </c>
      <c r="AK300" s="1005">
        <f t="shared" si="174"/>
        <v>0</v>
      </c>
      <c r="AL300" s="1005">
        <f t="shared" si="174"/>
        <v>0</v>
      </c>
      <c r="AM300" s="1005">
        <f t="shared" si="174"/>
        <v>0</v>
      </c>
      <c r="AN300" s="1005">
        <f t="shared" si="174"/>
        <v>0</v>
      </c>
      <c r="AO300" s="1005">
        <f t="shared" si="174"/>
        <v>0</v>
      </c>
      <c r="AP300" s="1005">
        <f t="shared" si="174"/>
        <v>0</v>
      </c>
      <c r="AQ300" s="1005">
        <f t="shared" si="174"/>
        <v>0</v>
      </c>
      <c r="AR300" s="1075">
        <f t="shared" si="175"/>
        <v>0</v>
      </c>
      <c r="AS300" s="232" t="str">
        <f>Y300&amp;"contratada"</f>
        <v>contratada</v>
      </c>
    </row>
    <row r="301" spans="1:46" ht="15.05" thickBot="1" x14ac:dyDescent="0.35">
      <c r="A301" s="205"/>
      <c r="B301" s="5044"/>
      <c r="C301" s="985">
        <f>IF(B301=0,0,U$277)</f>
        <v>0</v>
      </c>
      <c r="D301" s="985">
        <f>IF(B301=0,0,VLOOKUP(B301,Precios!$B$216:$D$307,3,FALSE))</f>
        <v>0</v>
      </c>
      <c r="E301" s="5049"/>
      <c r="F301" s="2253">
        <f>IF(B301=0,0,VLOOKUP(B301,Precios!$B$216:$D$307,2,FALSE))</f>
        <v>0</v>
      </c>
      <c r="G301" s="1067">
        <f>E301*F301</f>
        <v>0</v>
      </c>
      <c r="H301" s="309"/>
      <c r="I301" s="1074">
        <f>IF($C301&gt;0,I$288*$E301,0)</f>
        <v>0</v>
      </c>
      <c r="J301" s="1005">
        <f t="shared" si="172"/>
        <v>0</v>
      </c>
      <c r="K301" s="1005">
        <f t="shared" si="172"/>
        <v>0</v>
      </c>
      <c r="L301" s="1005">
        <f t="shared" si="172"/>
        <v>0</v>
      </c>
      <c r="M301" s="1005">
        <f t="shared" si="172"/>
        <v>0</v>
      </c>
      <c r="N301" s="1005">
        <f t="shared" si="172"/>
        <v>0</v>
      </c>
      <c r="O301" s="1005">
        <f t="shared" si="172"/>
        <v>0</v>
      </c>
      <c r="P301" s="1005">
        <f t="shared" si="172"/>
        <v>0</v>
      </c>
      <c r="Q301" s="1005">
        <f t="shared" si="172"/>
        <v>0</v>
      </c>
      <c r="R301" s="1005">
        <f t="shared" si="172"/>
        <v>0</v>
      </c>
      <c r="S301" s="1005">
        <f t="shared" si="172"/>
        <v>0</v>
      </c>
      <c r="T301" s="1005">
        <f t="shared" si="172"/>
        <v>0</v>
      </c>
      <c r="U301" s="1075">
        <f t="shared" si="173"/>
        <v>0</v>
      </c>
      <c r="V301" s="232" t="str">
        <f>B301&amp;"contratada"</f>
        <v>contratada</v>
      </c>
      <c r="X301" s="301"/>
      <c r="Y301" s="5044"/>
      <c r="Z301" s="985">
        <f>IF(Y301=0,0,AR$277)</f>
        <v>0</v>
      </c>
      <c r="AA301" s="985">
        <f>IF(Y301=0,0,VLOOKUP(Y301,Precios!$B$216:$D$307,3,FALSE))</f>
        <v>0</v>
      </c>
      <c r="AB301" s="986"/>
      <c r="AC301" s="2253">
        <f>IF(Y301=0,0,VLOOKUP(Y301,Precios!$B$216:$D$307,2,FALSE))</f>
        <v>0</v>
      </c>
      <c r="AD301" s="1067">
        <f>AB301*AC301</f>
        <v>0</v>
      </c>
      <c r="AE301" s="309"/>
      <c r="AF301" s="1074">
        <f>IF($Z301&gt;0,AF$288*$AB301,0)</f>
        <v>0</v>
      </c>
      <c r="AG301" s="1005">
        <f t="shared" si="174"/>
        <v>0</v>
      </c>
      <c r="AH301" s="1005">
        <f t="shared" si="174"/>
        <v>0</v>
      </c>
      <c r="AI301" s="1005">
        <f t="shared" si="174"/>
        <v>0</v>
      </c>
      <c r="AJ301" s="1005">
        <f t="shared" si="174"/>
        <v>0</v>
      </c>
      <c r="AK301" s="1005">
        <f t="shared" si="174"/>
        <v>0</v>
      </c>
      <c r="AL301" s="1005">
        <f t="shared" si="174"/>
        <v>0</v>
      </c>
      <c r="AM301" s="1005">
        <f t="shared" si="174"/>
        <v>0</v>
      </c>
      <c r="AN301" s="1005">
        <f t="shared" si="174"/>
        <v>0</v>
      </c>
      <c r="AO301" s="1005">
        <f t="shared" si="174"/>
        <v>0</v>
      </c>
      <c r="AP301" s="1005">
        <f t="shared" si="174"/>
        <v>0</v>
      </c>
      <c r="AQ301" s="1005">
        <f t="shared" si="174"/>
        <v>0</v>
      </c>
      <c r="AR301" s="1075">
        <f t="shared" si="175"/>
        <v>0</v>
      </c>
      <c r="AS301" s="232" t="str">
        <f>Y301&amp;"contratada"</f>
        <v>contratada</v>
      </c>
    </row>
    <row r="302" spans="1:46" x14ac:dyDescent="0.3">
      <c r="A302" s="205"/>
      <c r="B302" s="5046"/>
      <c r="C302" s="1057">
        <f>IF(B302=0,0,U$277)</f>
        <v>0</v>
      </c>
      <c r="D302" s="1057">
        <f>IF(B302=0,0,VLOOKUP(B302,Precios!$B$216:$D$307,3,FALSE))</f>
        <v>0</v>
      </c>
      <c r="E302" s="5050"/>
      <c r="F302" s="2254">
        <f>IF(B302=0,0,VLOOKUP(B302,Precios!$B$216:$D$307,2,FALSE))</f>
        <v>0</v>
      </c>
      <c r="G302" s="1068">
        <f>E302*F302</f>
        <v>0</v>
      </c>
      <c r="H302" s="309"/>
      <c r="I302" s="1076">
        <f>IF($C302&gt;0,I$288*$E302,0)</f>
        <v>0</v>
      </c>
      <c r="J302" s="1077">
        <f t="shared" si="172"/>
        <v>0</v>
      </c>
      <c r="K302" s="1077">
        <f t="shared" si="172"/>
        <v>0</v>
      </c>
      <c r="L302" s="1077">
        <f t="shared" si="172"/>
        <v>0</v>
      </c>
      <c r="M302" s="1077">
        <f t="shared" si="172"/>
        <v>0</v>
      </c>
      <c r="N302" s="1077">
        <f t="shared" si="172"/>
        <v>0</v>
      </c>
      <c r="O302" s="1077">
        <f t="shared" si="172"/>
        <v>0</v>
      </c>
      <c r="P302" s="1077">
        <f t="shared" si="172"/>
        <v>0</v>
      </c>
      <c r="Q302" s="1077">
        <f t="shared" si="172"/>
        <v>0</v>
      </c>
      <c r="R302" s="1077">
        <f t="shared" si="172"/>
        <v>0</v>
      </c>
      <c r="S302" s="1077">
        <f t="shared" si="172"/>
        <v>0</v>
      </c>
      <c r="T302" s="1077">
        <f t="shared" si="172"/>
        <v>0</v>
      </c>
      <c r="U302" s="1078">
        <f t="shared" si="173"/>
        <v>0</v>
      </c>
      <c r="V302" s="232" t="str">
        <f>B302&amp;"contratada"</f>
        <v>contratada</v>
      </c>
      <c r="X302" s="301"/>
      <c r="Y302" s="5046"/>
      <c r="Z302" s="1057">
        <f>IF(Y302=0,0,AR$277)</f>
        <v>0</v>
      </c>
      <c r="AA302" s="1057">
        <f>IF(Y302=0,0,VLOOKUP(Y302,Precios!$B$216:$D$307,3,FALSE))</f>
        <v>0</v>
      </c>
      <c r="AB302" s="1060"/>
      <c r="AC302" s="2254">
        <f>IF(Y302=0,0,VLOOKUP(Y302,Precios!$B$216:$D$307,2,FALSE))</f>
        <v>0</v>
      </c>
      <c r="AD302" s="1068">
        <f>AB302*AC302</f>
        <v>0</v>
      </c>
      <c r="AE302" s="309"/>
      <c r="AF302" s="1076">
        <f>IF($Z302&gt;0,AF$288*$AB302,0)</f>
        <v>0</v>
      </c>
      <c r="AG302" s="1077">
        <f t="shared" si="174"/>
        <v>0</v>
      </c>
      <c r="AH302" s="1077">
        <f t="shared" si="174"/>
        <v>0</v>
      </c>
      <c r="AI302" s="1077">
        <f t="shared" si="174"/>
        <v>0</v>
      </c>
      <c r="AJ302" s="1077">
        <f t="shared" si="174"/>
        <v>0</v>
      </c>
      <c r="AK302" s="1077">
        <f t="shared" si="174"/>
        <v>0</v>
      </c>
      <c r="AL302" s="1077">
        <f t="shared" si="174"/>
        <v>0</v>
      </c>
      <c r="AM302" s="1077">
        <f t="shared" si="174"/>
        <v>0</v>
      </c>
      <c r="AN302" s="1077">
        <f t="shared" si="174"/>
        <v>0</v>
      </c>
      <c r="AO302" s="1077">
        <f t="shared" si="174"/>
        <v>0</v>
      </c>
      <c r="AP302" s="1077">
        <f t="shared" si="174"/>
        <v>0</v>
      </c>
      <c r="AQ302" s="1077">
        <f t="shared" si="174"/>
        <v>0</v>
      </c>
      <c r="AR302" s="1078">
        <f t="shared" si="175"/>
        <v>0</v>
      </c>
      <c r="AS302" s="232" t="str">
        <f>Y302&amp;"contratada"</f>
        <v>contratada</v>
      </c>
    </row>
    <row r="303" spans="1:46" x14ac:dyDescent="0.3">
      <c r="A303" s="205"/>
      <c r="B303" s="647" t="s">
        <v>1084</v>
      </c>
      <c r="C303" s="305"/>
      <c r="D303" s="305"/>
      <c r="E303" s="305"/>
      <c r="F303" s="650"/>
      <c r="G303" s="305"/>
      <c r="H303" s="310"/>
      <c r="I303" s="904">
        <f t="shared" ref="I303:T303" si="178">SUM(I298:I302)</f>
        <v>0</v>
      </c>
      <c r="J303" s="904">
        <f t="shared" si="178"/>
        <v>0</v>
      </c>
      <c r="K303" s="904">
        <f t="shared" si="178"/>
        <v>0</v>
      </c>
      <c r="L303" s="904">
        <f t="shared" si="178"/>
        <v>0</v>
      </c>
      <c r="M303" s="904">
        <f t="shared" si="178"/>
        <v>0</v>
      </c>
      <c r="N303" s="904">
        <f t="shared" si="178"/>
        <v>0</v>
      </c>
      <c r="O303" s="904">
        <f t="shared" si="178"/>
        <v>0</v>
      </c>
      <c r="P303" s="904">
        <f t="shared" si="178"/>
        <v>0</v>
      </c>
      <c r="Q303" s="904">
        <f t="shared" si="178"/>
        <v>0</v>
      </c>
      <c r="R303" s="904">
        <f t="shared" si="178"/>
        <v>0</v>
      </c>
      <c r="S303" s="904">
        <f t="shared" si="178"/>
        <v>0</v>
      </c>
      <c r="T303" s="904">
        <f t="shared" si="178"/>
        <v>0</v>
      </c>
      <c r="U303" s="905">
        <f>SUM(I303:T303)</f>
        <v>0</v>
      </c>
      <c r="W303" s="232" t="str">
        <f>B297&amp;B287</f>
        <v>Labores con maquinaria contratada0</v>
      </c>
      <c r="X303" s="301"/>
      <c r="Y303" s="647" t="s">
        <v>1084</v>
      </c>
      <c r="Z303" s="305"/>
      <c r="AA303" s="305"/>
      <c r="AB303" s="305"/>
      <c r="AC303" s="650"/>
      <c r="AD303" s="305"/>
      <c r="AE303" s="310"/>
      <c r="AF303" s="904">
        <f t="shared" ref="AF303:AQ303" si="179">SUM(AF298:AF302)</f>
        <v>0</v>
      </c>
      <c r="AG303" s="904">
        <f t="shared" si="179"/>
        <v>0</v>
      </c>
      <c r="AH303" s="904">
        <f t="shared" si="179"/>
        <v>0</v>
      </c>
      <c r="AI303" s="904">
        <f t="shared" si="179"/>
        <v>0</v>
      </c>
      <c r="AJ303" s="904">
        <f t="shared" si="179"/>
        <v>0</v>
      </c>
      <c r="AK303" s="904">
        <f t="shared" si="179"/>
        <v>0</v>
      </c>
      <c r="AL303" s="904">
        <f t="shared" si="179"/>
        <v>0</v>
      </c>
      <c r="AM303" s="904">
        <f t="shared" si="179"/>
        <v>0</v>
      </c>
      <c r="AN303" s="904">
        <f t="shared" si="179"/>
        <v>0</v>
      </c>
      <c r="AO303" s="904">
        <f t="shared" si="179"/>
        <v>0</v>
      </c>
      <c r="AP303" s="904">
        <f t="shared" si="179"/>
        <v>0</v>
      </c>
      <c r="AQ303" s="904">
        <f t="shared" si="179"/>
        <v>0</v>
      </c>
      <c r="AR303" s="905">
        <f>SUM(AF303:AQ303)</f>
        <v>0</v>
      </c>
      <c r="AT303" s="232" t="str">
        <f>Y297&amp;Y287</f>
        <v>Labores con maquinaria contratada0</v>
      </c>
    </row>
    <row r="304" spans="1:46" x14ac:dyDescent="0.2">
      <c r="A304" s="205"/>
      <c r="B304" s="197" t="s">
        <v>85</v>
      </c>
      <c r="C304" s="307"/>
      <c r="D304" s="307"/>
      <c r="E304" s="308"/>
      <c r="F304" s="651"/>
      <c r="G304" s="308"/>
      <c r="H304" s="308"/>
      <c r="I304" s="311"/>
      <c r="J304" s="311"/>
      <c r="K304" s="311"/>
      <c r="L304" s="311"/>
      <c r="M304" s="311"/>
      <c r="N304" s="311"/>
      <c r="O304" s="311"/>
      <c r="P304" s="311"/>
      <c r="Q304" s="311"/>
      <c r="R304" s="311"/>
      <c r="S304" s="311"/>
      <c r="T304" s="311"/>
      <c r="U304" s="646"/>
      <c r="X304" s="301"/>
      <c r="Y304" s="197" t="s">
        <v>85</v>
      </c>
      <c r="Z304" s="307"/>
      <c r="AA304" s="307"/>
      <c r="AB304" s="308"/>
      <c r="AC304" s="651"/>
      <c r="AD304" s="308"/>
      <c r="AE304" s="308"/>
      <c r="AF304" s="311"/>
      <c r="AG304" s="311"/>
      <c r="AH304" s="311"/>
      <c r="AI304" s="311"/>
      <c r="AJ304" s="311"/>
      <c r="AK304" s="311"/>
      <c r="AL304" s="311"/>
      <c r="AM304" s="311"/>
      <c r="AN304" s="311"/>
      <c r="AO304" s="311"/>
      <c r="AP304" s="311"/>
      <c r="AQ304" s="311"/>
      <c r="AR304" s="646"/>
    </row>
    <row r="305" spans="1:46" ht="15.05" thickBot="1" x14ac:dyDescent="0.35">
      <c r="A305" s="205"/>
      <c r="B305" s="5042"/>
      <c r="C305" s="1056">
        <f t="shared" ref="C305:C312" si="180">IF(B305=0,0,U$277)</f>
        <v>0</v>
      </c>
      <c r="D305" s="1056">
        <f>IF(B305=0,0,VLOOKUP(B305,Precios!$B$216:$D$307,3,FALSE))</f>
        <v>0</v>
      </c>
      <c r="E305" s="5048"/>
      <c r="F305" s="1062">
        <f>IF(B305=0,0,VLOOKUP(B305,Precios!$B$216:$D$307,2,FALSE))</f>
        <v>0</v>
      </c>
      <c r="G305" s="1066">
        <f t="shared" ref="G305:G312" si="181">E305*F305</f>
        <v>0</v>
      </c>
      <c r="H305" s="309"/>
      <c r="I305" s="1072">
        <f t="shared" ref="I305:I312" si="182">IF($C305&gt;0,I$288*$E305,0)</f>
        <v>0</v>
      </c>
      <c r="J305" s="1033">
        <f t="shared" si="172"/>
        <v>0</v>
      </c>
      <c r="K305" s="1033">
        <f t="shared" si="172"/>
        <v>0</v>
      </c>
      <c r="L305" s="1033">
        <f t="shared" si="172"/>
        <v>0</v>
      </c>
      <c r="M305" s="1033">
        <f t="shared" si="172"/>
        <v>0</v>
      </c>
      <c r="N305" s="1033">
        <f t="shared" si="172"/>
        <v>0</v>
      </c>
      <c r="O305" s="1033">
        <f t="shared" si="172"/>
        <v>0</v>
      </c>
      <c r="P305" s="1033">
        <f t="shared" si="172"/>
        <v>0</v>
      </c>
      <c r="Q305" s="1033">
        <f t="shared" si="172"/>
        <v>0</v>
      </c>
      <c r="R305" s="1033">
        <f t="shared" si="172"/>
        <v>0</v>
      </c>
      <c r="S305" s="1033">
        <f t="shared" si="172"/>
        <v>0</v>
      </c>
      <c r="T305" s="1033">
        <f t="shared" si="172"/>
        <v>0</v>
      </c>
      <c r="U305" s="1073">
        <f t="shared" si="173"/>
        <v>0</v>
      </c>
      <c r="X305" s="301"/>
      <c r="Y305" s="5042"/>
      <c r="Z305" s="1056">
        <f t="shared" ref="Z305:Z312" si="183">IF(Y305=0,0,AR$277)</f>
        <v>0</v>
      </c>
      <c r="AA305" s="1056">
        <f>IF(Y305=0,0,VLOOKUP(Y305,Precios!$B$216:$D$307,3,FALSE))</f>
        <v>0</v>
      </c>
      <c r="AB305" s="1058"/>
      <c r="AC305" s="1062">
        <f>IF(Y305=0,0,VLOOKUP(Y305,Precios!$B$216:$D$307,2,FALSE))</f>
        <v>0</v>
      </c>
      <c r="AD305" s="1066">
        <f t="shared" ref="AD305:AD312" si="184">AB305*AC305</f>
        <v>0</v>
      </c>
      <c r="AE305" s="309"/>
      <c r="AF305" s="1072">
        <f>IF($Z305&gt;0,AF$288*$AB305,0)</f>
        <v>0</v>
      </c>
      <c r="AG305" s="1033">
        <f t="shared" si="174"/>
        <v>0</v>
      </c>
      <c r="AH305" s="1033">
        <f t="shared" si="174"/>
        <v>0</v>
      </c>
      <c r="AI305" s="1033">
        <f t="shared" si="174"/>
        <v>0</v>
      </c>
      <c r="AJ305" s="1033">
        <f t="shared" si="174"/>
        <v>0</v>
      </c>
      <c r="AK305" s="1033">
        <f t="shared" si="174"/>
        <v>0</v>
      </c>
      <c r="AL305" s="1033">
        <f t="shared" si="174"/>
        <v>0</v>
      </c>
      <c r="AM305" s="1033">
        <f t="shared" si="174"/>
        <v>0</v>
      </c>
      <c r="AN305" s="1033">
        <f t="shared" si="174"/>
        <v>0</v>
      </c>
      <c r="AO305" s="1033">
        <f t="shared" si="174"/>
        <v>0</v>
      </c>
      <c r="AP305" s="1033">
        <f t="shared" si="174"/>
        <v>0</v>
      </c>
      <c r="AQ305" s="1033">
        <f t="shared" si="174"/>
        <v>0</v>
      </c>
      <c r="AR305" s="1073">
        <f t="shared" si="175"/>
        <v>0</v>
      </c>
    </row>
    <row r="306" spans="1:46" ht="15.05" thickBot="1" x14ac:dyDescent="0.35">
      <c r="A306" s="205"/>
      <c r="B306" s="5044"/>
      <c r="C306" s="985">
        <f t="shared" si="180"/>
        <v>0</v>
      </c>
      <c r="D306" s="985">
        <f>IF(B306=0,0,VLOOKUP(B306,Precios!$B$216:$D$307,3,FALSE))</f>
        <v>0</v>
      </c>
      <c r="E306" s="5049"/>
      <c r="F306" s="1059">
        <f>IF(B306=0,0,VLOOKUP(B306,Precios!$B$216:$D$307,2,FALSE))</f>
        <v>0</v>
      </c>
      <c r="G306" s="1067">
        <f t="shared" si="181"/>
        <v>0</v>
      </c>
      <c r="H306" s="309"/>
      <c r="I306" s="1074">
        <f t="shared" si="182"/>
        <v>0</v>
      </c>
      <c r="J306" s="1005">
        <f t="shared" si="172"/>
        <v>0</v>
      </c>
      <c r="K306" s="1005">
        <f t="shared" si="172"/>
        <v>0</v>
      </c>
      <c r="L306" s="1005">
        <f t="shared" si="172"/>
        <v>0</v>
      </c>
      <c r="M306" s="1005">
        <f t="shared" si="172"/>
        <v>0</v>
      </c>
      <c r="N306" s="1005">
        <f t="shared" si="172"/>
        <v>0</v>
      </c>
      <c r="O306" s="1005">
        <f t="shared" si="172"/>
        <v>0</v>
      </c>
      <c r="P306" s="1005">
        <f t="shared" si="172"/>
        <v>0</v>
      </c>
      <c r="Q306" s="1005">
        <f t="shared" si="172"/>
        <v>0</v>
      </c>
      <c r="R306" s="1005">
        <f t="shared" si="172"/>
        <v>0</v>
      </c>
      <c r="S306" s="1005">
        <f t="shared" si="172"/>
        <v>0</v>
      </c>
      <c r="T306" s="1005">
        <f t="shared" si="172"/>
        <v>0</v>
      </c>
      <c r="U306" s="1075">
        <f t="shared" si="173"/>
        <v>0</v>
      </c>
      <c r="X306" s="301"/>
      <c r="Y306" s="5044"/>
      <c r="Z306" s="985">
        <f t="shared" si="183"/>
        <v>0</v>
      </c>
      <c r="AA306" s="985">
        <f>IF(Y306=0,0,VLOOKUP(Y306,Precios!$B$216:$D$307,3,FALSE))</f>
        <v>0</v>
      </c>
      <c r="AB306" s="986"/>
      <c r="AC306" s="1059">
        <f>IF(Y306=0,0,VLOOKUP(Y306,Precios!$B$216:$D$307,2,FALSE))</f>
        <v>0</v>
      </c>
      <c r="AD306" s="1067">
        <f t="shared" si="184"/>
        <v>0</v>
      </c>
      <c r="AE306" s="309"/>
      <c r="AF306" s="1074">
        <f t="shared" ref="AF306:AQ322" si="185">IF($Z306&gt;0,AF$288*$AB306,0)</f>
        <v>0</v>
      </c>
      <c r="AG306" s="1005">
        <f t="shared" si="174"/>
        <v>0</v>
      </c>
      <c r="AH306" s="1005">
        <f t="shared" si="174"/>
        <v>0</v>
      </c>
      <c r="AI306" s="1005">
        <f t="shared" si="174"/>
        <v>0</v>
      </c>
      <c r="AJ306" s="1005">
        <f t="shared" si="174"/>
        <v>0</v>
      </c>
      <c r="AK306" s="1005">
        <f t="shared" si="174"/>
        <v>0</v>
      </c>
      <c r="AL306" s="1005">
        <f t="shared" si="174"/>
        <v>0</v>
      </c>
      <c r="AM306" s="1005">
        <f t="shared" si="174"/>
        <v>0</v>
      </c>
      <c r="AN306" s="1005">
        <f t="shared" si="174"/>
        <v>0</v>
      </c>
      <c r="AO306" s="1005">
        <f t="shared" si="174"/>
        <v>0</v>
      </c>
      <c r="AP306" s="1005">
        <f t="shared" si="174"/>
        <v>0</v>
      </c>
      <c r="AQ306" s="1005">
        <f t="shared" si="174"/>
        <v>0</v>
      </c>
      <c r="AR306" s="1075">
        <f t="shared" si="175"/>
        <v>0</v>
      </c>
    </row>
    <row r="307" spans="1:46" ht="15.05" thickBot="1" x14ac:dyDescent="0.35">
      <c r="A307" s="205"/>
      <c r="B307" s="5044"/>
      <c r="C307" s="985">
        <f t="shared" si="180"/>
        <v>0</v>
      </c>
      <c r="D307" s="985">
        <f>IF(B307=0,0,VLOOKUP(B307,Precios!$B$216:$D$307,3,FALSE))</f>
        <v>0</v>
      </c>
      <c r="E307" s="5049"/>
      <c r="F307" s="1059">
        <f>IF(B307=0,0,VLOOKUP(B307,Precios!$B$216:$D$307,2,FALSE))</f>
        <v>0</v>
      </c>
      <c r="G307" s="1067">
        <f t="shared" si="181"/>
        <v>0</v>
      </c>
      <c r="H307" s="309"/>
      <c r="I307" s="1074">
        <f t="shared" si="182"/>
        <v>0</v>
      </c>
      <c r="J307" s="1005">
        <f t="shared" si="172"/>
        <v>0</v>
      </c>
      <c r="K307" s="1005">
        <f t="shared" si="172"/>
        <v>0</v>
      </c>
      <c r="L307" s="1005">
        <f t="shared" si="172"/>
        <v>0</v>
      </c>
      <c r="M307" s="1005">
        <f t="shared" si="172"/>
        <v>0</v>
      </c>
      <c r="N307" s="1005">
        <f t="shared" si="172"/>
        <v>0</v>
      </c>
      <c r="O307" s="1005">
        <f t="shared" si="172"/>
        <v>0</v>
      </c>
      <c r="P307" s="1005">
        <f t="shared" si="172"/>
        <v>0</v>
      </c>
      <c r="Q307" s="1005">
        <f t="shared" si="172"/>
        <v>0</v>
      </c>
      <c r="R307" s="1005">
        <f t="shared" si="172"/>
        <v>0</v>
      </c>
      <c r="S307" s="1005">
        <f t="shared" si="172"/>
        <v>0</v>
      </c>
      <c r="T307" s="1005">
        <f t="shared" si="172"/>
        <v>0</v>
      </c>
      <c r="U307" s="1075">
        <f t="shared" si="173"/>
        <v>0</v>
      </c>
      <c r="X307" s="301"/>
      <c r="Y307" s="5044"/>
      <c r="Z307" s="985">
        <f t="shared" si="183"/>
        <v>0</v>
      </c>
      <c r="AA307" s="985">
        <f>IF(Y307=0,0,VLOOKUP(Y307,Precios!$B$216:$D$307,3,FALSE))</f>
        <v>0</v>
      </c>
      <c r="AB307" s="986"/>
      <c r="AC307" s="1059">
        <f>IF(Y307=0,0,VLOOKUP(Y307,Precios!$B$216:$D$307,2,FALSE))</f>
        <v>0</v>
      </c>
      <c r="AD307" s="1067">
        <f t="shared" si="184"/>
        <v>0</v>
      </c>
      <c r="AE307" s="309"/>
      <c r="AF307" s="1074">
        <f t="shared" si="185"/>
        <v>0</v>
      </c>
      <c r="AG307" s="1005">
        <f t="shared" si="174"/>
        <v>0</v>
      </c>
      <c r="AH307" s="1005">
        <f t="shared" si="174"/>
        <v>0</v>
      </c>
      <c r="AI307" s="1005">
        <f t="shared" si="174"/>
        <v>0</v>
      </c>
      <c r="AJ307" s="1005">
        <f t="shared" si="174"/>
        <v>0</v>
      </c>
      <c r="AK307" s="1005">
        <f t="shared" si="174"/>
        <v>0</v>
      </c>
      <c r="AL307" s="1005">
        <f t="shared" si="174"/>
        <v>0</v>
      </c>
      <c r="AM307" s="1005">
        <f t="shared" si="174"/>
        <v>0</v>
      </c>
      <c r="AN307" s="1005">
        <f t="shared" si="174"/>
        <v>0</v>
      </c>
      <c r="AO307" s="1005">
        <f t="shared" si="174"/>
        <v>0</v>
      </c>
      <c r="AP307" s="1005">
        <f t="shared" si="174"/>
        <v>0</v>
      </c>
      <c r="AQ307" s="1005">
        <f t="shared" si="174"/>
        <v>0</v>
      </c>
      <c r="AR307" s="1075">
        <f t="shared" si="175"/>
        <v>0</v>
      </c>
    </row>
    <row r="308" spans="1:46" ht="15.05" thickBot="1" x14ac:dyDescent="0.35">
      <c r="A308" s="205"/>
      <c r="B308" s="5044"/>
      <c r="C308" s="985">
        <f t="shared" si="180"/>
        <v>0</v>
      </c>
      <c r="D308" s="985">
        <f>IF(B308=0,0,VLOOKUP(B308,Precios!$B$216:$D$307,3,FALSE))</f>
        <v>0</v>
      </c>
      <c r="E308" s="5049"/>
      <c r="F308" s="1059">
        <f>IF(B308=0,0,VLOOKUP(B308,Precios!$B$216:$D$307,2,FALSE))</f>
        <v>0</v>
      </c>
      <c r="G308" s="1067">
        <f t="shared" si="181"/>
        <v>0</v>
      </c>
      <c r="H308" s="309"/>
      <c r="I308" s="1074">
        <f t="shared" si="182"/>
        <v>0</v>
      </c>
      <c r="J308" s="1005">
        <f t="shared" si="172"/>
        <v>0</v>
      </c>
      <c r="K308" s="1005">
        <f t="shared" si="172"/>
        <v>0</v>
      </c>
      <c r="L308" s="1005">
        <f t="shared" si="172"/>
        <v>0</v>
      </c>
      <c r="M308" s="1005">
        <f t="shared" si="172"/>
        <v>0</v>
      </c>
      <c r="N308" s="1005">
        <f t="shared" si="172"/>
        <v>0</v>
      </c>
      <c r="O308" s="1005">
        <f t="shared" si="172"/>
        <v>0</v>
      </c>
      <c r="P308" s="1005">
        <f t="shared" si="172"/>
        <v>0</v>
      </c>
      <c r="Q308" s="1005">
        <f t="shared" si="172"/>
        <v>0</v>
      </c>
      <c r="R308" s="1005">
        <f t="shared" si="172"/>
        <v>0</v>
      </c>
      <c r="S308" s="1005">
        <f t="shared" si="172"/>
        <v>0</v>
      </c>
      <c r="T308" s="1005">
        <f t="shared" si="172"/>
        <v>0</v>
      </c>
      <c r="U308" s="1075">
        <f t="shared" si="173"/>
        <v>0</v>
      </c>
      <c r="X308" s="301"/>
      <c r="Y308" s="5044"/>
      <c r="Z308" s="985">
        <f t="shared" si="183"/>
        <v>0</v>
      </c>
      <c r="AA308" s="985">
        <f>IF(Y308=0,0,VLOOKUP(Y308,Precios!$B$216:$D$307,3,FALSE))</f>
        <v>0</v>
      </c>
      <c r="AB308" s="986"/>
      <c r="AC308" s="1059">
        <f>IF(Y308=0,0,VLOOKUP(Y308,Precios!$B$216:$D$307,2,FALSE))</f>
        <v>0</v>
      </c>
      <c r="AD308" s="1067">
        <f t="shared" si="184"/>
        <v>0</v>
      </c>
      <c r="AE308" s="309"/>
      <c r="AF308" s="1074">
        <f t="shared" si="185"/>
        <v>0</v>
      </c>
      <c r="AG308" s="1005">
        <f t="shared" si="174"/>
        <v>0</v>
      </c>
      <c r="AH308" s="1005">
        <f t="shared" si="174"/>
        <v>0</v>
      </c>
      <c r="AI308" s="1005">
        <f t="shared" si="174"/>
        <v>0</v>
      </c>
      <c r="AJ308" s="1005">
        <f t="shared" si="174"/>
        <v>0</v>
      </c>
      <c r="AK308" s="1005">
        <f t="shared" si="174"/>
        <v>0</v>
      </c>
      <c r="AL308" s="1005">
        <f t="shared" si="174"/>
        <v>0</v>
      </c>
      <c r="AM308" s="1005">
        <f t="shared" si="174"/>
        <v>0</v>
      </c>
      <c r="AN308" s="1005">
        <f t="shared" si="174"/>
        <v>0</v>
      </c>
      <c r="AO308" s="1005">
        <f t="shared" si="174"/>
        <v>0</v>
      </c>
      <c r="AP308" s="1005">
        <f t="shared" si="174"/>
        <v>0</v>
      </c>
      <c r="AQ308" s="1005">
        <f t="shared" si="174"/>
        <v>0</v>
      </c>
      <c r="AR308" s="1075">
        <f t="shared" si="175"/>
        <v>0</v>
      </c>
    </row>
    <row r="309" spans="1:46" ht="15.05" thickBot="1" x14ac:dyDescent="0.35">
      <c r="A309" s="205"/>
      <c r="B309" s="5044"/>
      <c r="C309" s="985">
        <f t="shared" si="180"/>
        <v>0</v>
      </c>
      <c r="D309" s="985">
        <f>IF(B309=0,0,VLOOKUP(B309,Precios!$B$216:$D$307,3,FALSE))</f>
        <v>0</v>
      </c>
      <c r="E309" s="5049"/>
      <c r="F309" s="1059">
        <f>IF(B309=0,0,VLOOKUP(B309,Precios!$B$216:$D$307,2,FALSE))</f>
        <v>0</v>
      </c>
      <c r="G309" s="1067">
        <f t="shared" si="181"/>
        <v>0</v>
      </c>
      <c r="H309" s="309"/>
      <c r="I309" s="1074">
        <f t="shared" si="182"/>
        <v>0</v>
      </c>
      <c r="J309" s="1005">
        <f t="shared" si="172"/>
        <v>0</v>
      </c>
      <c r="K309" s="1005">
        <f t="shared" si="172"/>
        <v>0</v>
      </c>
      <c r="L309" s="1005">
        <f t="shared" si="172"/>
        <v>0</v>
      </c>
      <c r="M309" s="1005">
        <f t="shared" si="172"/>
        <v>0</v>
      </c>
      <c r="N309" s="1005">
        <f t="shared" si="172"/>
        <v>0</v>
      </c>
      <c r="O309" s="1005">
        <f t="shared" si="172"/>
        <v>0</v>
      </c>
      <c r="P309" s="1005">
        <f t="shared" si="172"/>
        <v>0</v>
      </c>
      <c r="Q309" s="1005">
        <f t="shared" si="172"/>
        <v>0</v>
      </c>
      <c r="R309" s="1005">
        <f t="shared" si="172"/>
        <v>0</v>
      </c>
      <c r="S309" s="1005">
        <f t="shared" si="172"/>
        <v>0</v>
      </c>
      <c r="T309" s="1005">
        <f t="shared" si="172"/>
        <v>0</v>
      </c>
      <c r="U309" s="1075">
        <f t="shared" si="173"/>
        <v>0</v>
      </c>
      <c r="X309" s="301"/>
      <c r="Y309" s="5044"/>
      <c r="Z309" s="985">
        <f t="shared" si="183"/>
        <v>0</v>
      </c>
      <c r="AA309" s="985">
        <f>IF(Y309=0,0,VLOOKUP(Y309,Precios!$B$216:$D$307,3,FALSE))</f>
        <v>0</v>
      </c>
      <c r="AB309" s="986"/>
      <c r="AC309" s="1059">
        <f>IF(Y309=0,0,VLOOKUP(Y309,Precios!$B$216:$D$307,2,FALSE))</f>
        <v>0</v>
      </c>
      <c r="AD309" s="1067">
        <f t="shared" si="184"/>
        <v>0</v>
      </c>
      <c r="AE309" s="309"/>
      <c r="AF309" s="1074">
        <f t="shared" si="185"/>
        <v>0</v>
      </c>
      <c r="AG309" s="1005">
        <f t="shared" si="185"/>
        <v>0</v>
      </c>
      <c r="AH309" s="1005">
        <f t="shared" si="185"/>
        <v>0</v>
      </c>
      <c r="AI309" s="1005">
        <f t="shared" si="185"/>
        <v>0</v>
      </c>
      <c r="AJ309" s="1005">
        <f t="shared" si="185"/>
        <v>0</v>
      </c>
      <c r="AK309" s="1005">
        <f t="shared" si="185"/>
        <v>0</v>
      </c>
      <c r="AL309" s="1005">
        <f t="shared" si="185"/>
        <v>0</v>
      </c>
      <c r="AM309" s="1005">
        <f t="shared" si="185"/>
        <v>0</v>
      </c>
      <c r="AN309" s="1005">
        <f t="shared" si="185"/>
        <v>0</v>
      </c>
      <c r="AO309" s="1005">
        <f t="shared" si="185"/>
        <v>0</v>
      </c>
      <c r="AP309" s="1005">
        <f t="shared" si="185"/>
        <v>0</v>
      </c>
      <c r="AQ309" s="1005">
        <f t="shared" si="185"/>
        <v>0</v>
      </c>
      <c r="AR309" s="1075">
        <f t="shared" si="175"/>
        <v>0</v>
      </c>
    </row>
    <row r="310" spans="1:46" ht="15.05" thickBot="1" x14ac:dyDescent="0.35">
      <c r="A310" s="205"/>
      <c r="B310" s="5044"/>
      <c r="C310" s="985">
        <f t="shared" si="180"/>
        <v>0</v>
      </c>
      <c r="D310" s="985">
        <f>IF(B310=0,0,VLOOKUP(B310,Precios!$B$216:$D$307,3,FALSE))</f>
        <v>0</v>
      </c>
      <c r="E310" s="5049"/>
      <c r="F310" s="1059">
        <f>IF(B310=0,0,VLOOKUP(B310,Precios!$B$216:$D$307,2,FALSE))</f>
        <v>0</v>
      </c>
      <c r="G310" s="1067">
        <f t="shared" si="181"/>
        <v>0</v>
      </c>
      <c r="H310" s="309"/>
      <c r="I310" s="1074">
        <f t="shared" si="182"/>
        <v>0</v>
      </c>
      <c r="J310" s="1005">
        <f t="shared" si="172"/>
        <v>0</v>
      </c>
      <c r="K310" s="1005">
        <f t="shared" si="172"/>
        <v>0</v>
      </c>
      <c r="L310" s="1005">
        <f t="shared" si="172"/>
        <v>0</v>
      </c>
      <c r="M310" s="1005">
        <f t="shared" si="172"/>
        <v>0</v>
      </c>
      <c r="N310" s="1005">
        <f t="shared" si="172"/>
        <v>0</v>
      </c>
      <c r="O310" s="1005">
        <f t="shared" si="172"/>
        <v>0</v>
      </c>
      <c r="P310" s="1005">
        <f t="shared" si="172"/>
        <v>0</v>
      </c>
      <c r="Q310" s="1005">
        <f t="shared" si="172"/>
        <v>0</v>
      </c>
      <c r="R310" s="1005">
        <f t="shared" si="172"/>
        <v>0</v>
      </c>
      <c r="S310" s="1005">
        <f t="shared" si="172"/>
        <v>0</v>
      </c>
      <c r="T310" s="1005">
        <f t="shared" si="172"/>
        <v>0</v>
      </c>
      <c r="U310" s="1075">
        <f t="shared" si="173"/>
        <v>0</v>
      </c>
      <c r="X310" s="301"/>
      <c r="Y310" s="5044"/>
      <c r="Z310" s="985">
        <f t="shared" si="183"/>
        <v>0</v>
      </c>
      <c r="AA310" s="985">
        <f>IF(Y310=0,0,VLOOKUP(Y310,Precios!$B$216:$D$307,3,FALSE))</f>
        <v>0</v>
      </c>
      <c r="AB310" s="986"/>
      <c r="AC310" s="1059">
        <f>IF(Y310=0,0,VLOOKUP(Y310,Precios!$B$216:$D$307,2,FALSE))</f>
        <v>0</v>
      </c>
      <c r="AD310" s="1067">
        <f t="shared" si="184"/>
        <v>0</v>
      </c>
      <c r="AE310" s="309"/>
      <c r="AF310" s="1074">
        <f t="shared" si="185"/>
        <v>0</v>
      </c>
      <c r="AG310" s="1005">
        <f t="shared" si="185"/>
        <v>0</v>
      </c>
      <c r="AH310" s="1005">
        <f t="shared" si="185"/>
        <v>0</v>
      </c>
      <c r="AI310" s="1005">
        <f t="shared" si="185"/>
        <v>0</v>
      </c>
      <c r="AJ310" s="1005">
        <f t="shared" si="185"/>
        <v>0</v>
      </c>
      <c r="AK310" s="1005">
        <f t="shared" si="185"/>
        <v>0</v>
      </c>
      <c r="AL310" s="1005">
        <f t="shared" si="185"/>
        <v>0</v>
      </c>
      <c r="AM310" s="1005">
        <f t="shared" si="185"/>
        <v>0</v>
      </c>
      <c r="AN310" s="1005">
        <f t="shared" si="185"/>
        <v>0</v>
      </c>
      <c r="AO310" s="1005">
        <f t="shared" si="185"/>
        <v>0</v>
      </c>
      <c r="AP310" s="1005">
        <f t="shared" si="185"/>
        <v>0</v>
      </c>
      <c r="AQ310" s="1005">
        <f t="shared" si="185"/>
        <v>0</v>
      </c>
      <c r="AR310" s="1075">
        <f t="shared" ref="AR310:AR323" si="186">SUM(AF310:AQ310)</f>
        <v>0</v>
      </c>
    </row>
    <row r="311" spans="1:46" ht="15.05" thickBot="1" x14ac:dyDescent="0.35">
      <c r="A311" s="205"/>
      <c r="B311" s="5044"/>
      <c r="C311" s="985">
        <f t="shared" si="180"/>
        <v>0</v>
      </c>
      <c r="D311" s="985">
        <f>IF(B311=0,0,VLOOKUP(B311,Precios!$B$216:$D$307,3,FALSE))</f>
        <v>0</v>
      </c>
      <c r="E311" s="5049"/>
      <c r="F311" s="1059">
        <f>IF(B311=0,0,VLOOKUP(B311,Precios!$B$216:$D$307,2,FALSE))</f>
        <v>0</v>
      </c>
      <c r="G311" s="1067">
        <f t="shared" si="181"/>
        <v>0</v>
      </c>
      <c r="H311" s="309"/>
      <c r="I311" s="1074">
        <f t="shared" si="182"/>
        <v>0</v>
      </c>
      <c r="J311" s="1005">
        <f t="shared" ref="J311:T312" si="187">IF($C311&gt;0,J$288*$E311,0)</f>
        <v>0</v>
      </c>
      <c r="K311" s="1005">
        <f t="shared" si="187"/>
        <v>0</v>
      </c>
      <c r="L311" s="1005">
        <f t="shared" si="187"/>
        <v>0</v>
      </c>
      <c r="M311" s="1005">
        <f t="shared" si="187"/>
        <v>0</v>
      </c>
      <c r="N311" s="1005">
        <f t="shared" si="187"/>
        <v>0</v>
      </c>
      <c r="O311" s="1005">
        <f t="shared" si="187"/>
        <v>0</v>
      </c>
      <c r="P311" s="1005">
        <f t="shared" si="187"/>
        <v>0</v>
      </c>
      <c r="Q311" s="1005">
        <f t="shared" si="187"/>
        <v>0</v>
      </c>
      <c r="R311" s="1005">
        <f t="shared" si="187"/>
        <v>0</v>
      </c>
      <c r="S311" s="1005">
        <f t="shared" si="187"/>
        <v>0</v>
      </c>
      <c r="T311" s="1005">
        <f t="shared" si="187"/>
        <v>0</v>
      </c>
      <c r="U311" s="1075">
        <f t="shared" si="173"/>
        <v>0</v>
      </c>
      <c r="X311" s="301"/>
      <c r="Y311" s="5044"/>
      <c r="Z311" s="985">
        <f t="shared" si="183"/>
        <v>0</v>
      </c>
      <c r="AA311" s="985">
        <f>IF(Y311=0,0,VLOOKUP(Y311,Precios!$B$216:$D$307,3,FALSE))</f>
        <v>0</v>
      </c>
      <c r="AB311" s="986"/>
      <c r="AC311" s="1059">
        <f>IF(Y311=0,0,VLOOKUP(Y311,Precios!$B$216:$D$307,2,FALSE))</f>
        <v>0</v>
      </c>
      <c r="AD311" s="1067">
        <f t="shared" si="184"/>
        <v>0</v>
      </c>
      <c r="AE311" s="309"/>
      <c r="AF311" s="1074">
        <f t="shared" si="185"/>
        <v>0</v>
      </c>
      <c r="AG311" s="1005">
        <f t="shared" si="185"/>
        <v>0</v>
      </c>
      <c r="AH311" s="1005">
        <f t="shared" si="185"/>
        <v>0</v>
      </c>
      <c r="AI311" s="1005">
        <f t="shared" si="185"/>
        <v>0</v>
      </c>
      <c r="AJ311" s="1005">
        <f t="shared" si="185"/>
        <v>0</v>
      </c>
      <c r="AK311" s="1005">
        <f t="shared" si="185"/>
        <v>0</v>
      </c>
      <c r="AL311" s="1005">
        <f t="shared" si="185"/>
        <v>0</v>
      </c>
      <c r="AM311" s="1005">
        <f t="shared" si="185"/>
        <v>0</v>
      </c>
      <c r="AN311" s="1005">
        <f t="shared" si="185"/>
        <v>0</v>
      </c>
      <c r="AO311" s="1005">
        <f t="shared" si="185"/>
        <v>0</v>
      </c>
      <c r="AP311" s="1005">
        <f t="shared" si="185"/>
        <v>0</v>
      </c>
      <c r="AQ311" s="1005">
        <f t="shared" si="185"/>
        <v>0</v>
      </c>
      <c r="AR311" s="1075">
        <f t="shared" si="186"/>
        <v>0</v>
      </c>
    </row>
    <row r="312" spans="1:46" x14ac:dyDescent="0.3">
      <c r="A312" s="205"/>
      <c r="B312" s="5046"/>
      <c r="C312" s="1057">
        <f t="shared" si="180"/>
        <v>0</v>
      </c>
      <c r="D312" s="1057">
        <f>IF(B312=0,0,VLOOKUP(B312,Precios!$B$216:$D$307,3,FALSE))</f>
        <v>0</v>
      </c>
      <c r="E312" s="5050"/>
      <c r="F312" s="1061">
        <f>IF(B312=0,0,VLOOKUP(B312,Precios!$B$216:$D$307,2,FALSE))</f>
        <v>0</v>
      </c>
      <c r="G312" s="1068">
        <f t="shared" si="181"/>
        <v>0</v>
      </c>
      <c r="H312" s="309"/>
      <c r="I312" s="1076">
        <f t="shared" si="182"/>
        <v>0</v>
      </c>
      <c r="J312" s="1077">
        <f t="shared" si="187"/>
        <v>0</v>
      </c>
      <c r="K312" s="1077">
        <f t="shared" si="187"/>
        <v>0</v>
      </c>
      <c r="L312" s="1077">
        <f t="shared" si="187"/>
        <v>0</v>
      </c>
      <c r="M312" s="1077">
        <f t="shared" si="187"/>
        <v>0</v>
      </c>
      <c r="N312" s="1077">
        <f t="shared" si="187"/>
        <v>0</v>
      </c>
      <c r="O312" s="1077">
        <f t="shared" si="187"/>
        <v>0</v>
      </c>
      <c r="P312" s="1077">
        <f t="shared" si="187"/>
        <v>0</v>
      </c>
      <c r="Q312" s="1077">
        <f t="shared" si="187"/>
        <v>0</v>
      </c>
      <c r="R312" s="1077">
        <f t="shared" si="187"/>
        <v>0</v>
      </c>
      <c r="S312" s="1077">
        <f t="shared" si="187"/>
        <v>0</v>
      </c>
      <c r="T312" s="1077">
        <f t="shared" si="187"/>
        <v>0</v>
      </c>
      <c r="U312" s="1078">
        <f t="shared" si="173"/>
        <v>0</v>
      </c>
      <c r="X312" s="301"/>
      <c r="Y312" s="5046"/>
      <c r="Z312" s="1057">
        <f t="shared" si="183"/>
        <v>0</v>
      </c>
      <c r="AA312" s="1057">
        <f>IF(Y312=0,0,VLOOKUP(Y312,Precios!$B$216:$D$307,3,FALSE))</f>
        <v>0</v>
      </c>
      <c r="AB312" s="1060"/>
      <c r="AC312" s="1061">
        <f>IF(Y312=0,0,VLOOKUP(Y312,Precios!$B$216:$D$307,2,FALSE))</f>
        <v>0</v>
      </c>
      <c r="AD312" s="1068">
        <f t="shared" si="184"/>
        <v>0</v>
      </c>
      <c r="AE312" s="309"/>
      <c r="AF312" s="1076">
        <f t="shared" si="185"/>
        <v>0</v>
      </c>
      <c r="AG312" s="1077">
        <f t="shared" si="185"/>
        <v>0</v>
      </c>
      <c r="AH312" s="1077">
        <f t="shared" si="185"/>
        <v>0</v>
      </c>
      <c r="AI312" s="1077">
        <f t="shared" si="185"/>
        <v>0</v>
      </c>
      <c r="AJ312" s="1077">
        <f t="shared" si="185"/>
        <v>0</v>
      </c>
      <c r="AK312" s="1077">
        <f t="shared" si="185"/>
        <v>0</v>
      </c>
      <c r="AL312" s="1077">
        <f t="shared" si="185"/>
        <v>0</v>
      </c>
      <c r="AM312" s="1077">
        <f t="shared" si="185"/>
        <v>0</v>
      </c>
      <c r="AN312" s="1077">
        <f t="shared" si="185"/>
        <v>0</v>
      </c>
      <c r="AO312" s="1077">
        <f t="shared" si="185"/>
        <v>0</v>
      </c>
      <c r="AP312" s="1077">
        <f t="shared" si="185"/>
        <v>0</v>
      </c>
      <c r="AQ312" s="1077">
        <f t="shared" si="185"/>
        <v>0</v>
      </c>
      <c r="AR312" s="1078">
        <f t="shared" si="186"/>
        <v>0</v>
      </c>
    </row>
    <row r="313" spans="1:46" x14ac:dyDescent="0.3">
      <c r="A313" s="205"/>
      <c r="B313" s="647" t="s">
        <v>1085</v>
      </c>
      <c r="C313" s="305"/>
      <c r="D313" s="305"/>
      <c r="E313" s="305"/>
      <c r="F313" s="650"/>
      <c r="G313" s="305"/>
      <c r="H313" s="310"/>
      <c r="I313" s="904">
        <f t="shared" ref="I313:T313" si="188">SUM(I305:I312)</f>
        <v>0</v>
      </c>
      <c r="J313" s="904">
        <f t="shared" si="188"/>
        <v>0</v>
      </c>
      <c r="K313" s="904">
        <f t="shared" si="188"/>
        <v>0</v>
      </c>
      <c r="L313" s="904">
        <f t="shared" si="188"/>
        <v>0</v>
      </c>
      <c r="M313" s="904">
        <f t="shared" si="188"/>
        <v>0</v>
      </c>
      <c r="N313" s="904">
        <f t="shared" si="188"/>
        <v>0</v>
      </c>
      <c r="O313" s="904">
        <f t="shared" si="188"/>
        <v>0</v>
      </c>
      <c r="P313" s="904">
        <f t="shared" si="188"/>
        <v>0</v>
      </c>
      <c r="Q313" s="904">
        <f t="shared" si="188"/>
        <v>0</v>
      </c>
      <c r="R313" s="904">
        <f t="shared" si="188"/>
        <v>0</v>
      </c>
      <c r="S313" s="904">
        <f t="shared" si="188"/>
        <v>0</v>
      </c>
      <c r="T313" s="904">
        <f t="shared" si="188"/>
        <v>0</v>
      </c>
      <c r="U313" s="905">
        <f>SUM(I313:T313)</f>
        <v>0</v>
      </c>
      <c r="W313" s="232" t="str">
        <f>B304&amp;B287</f>
        <v>Semillas0</v>
      </c>
      <c r="X313" s="301"/>
      <c r="Y313" s="647" t="s">
        <v>1085</v>
      </c>
      <c r="Z313" s="305"/>
      <c r="AA313" s="305"/>
      <c r="AB313" s="305"/>
      <c r="AC313" s="650"/>
      <c r="AD313" s="305"/>
      <c r="AE313" s="310"/>
      <c r="AF313" s="904">
        <f t="shared" ref="AF313:AQ313" si="189">SUM(AF305:AF312)</f>
        <v>0</v>
      </c>
      <c r="AG313" s="904">
        <f t="shared" si="189"/>
        <v>0</v>
      </c>
      <c r="AH313" s="904">
        <f t="shared" si="189"/>
        <v>0</v>
      </c>
      <c r="AI313" s="904">
        <f t="shared" si="189"/>
        <v>0</v>
      </c>
      <c r="AJ313" s="904">
        <f t="shared" si="189"/>
        <v>0</v>
      </c>
      <c r="AK313" s="904">
        <f t="shared" si="189"/>
        <v>0</v>
      </c>
      <c r="AL313" s="904">
        <f t="shared" si="189"/>
        <v>0</v>
      </c>
      <c r="AM313" s="904">
        <f t="shared" si="189"/>
        <v>0</v>
      </c>
      <c r="AN313" s="904">
        <f t="shared" si="189"/>
        <v>0</v>
      </c>
      <c r="AO313" s="904">
        <f t="shared" si="189"/>
        <v>0</v>
      </c>
      <c r="AP313" s="904">
        <f t="shared" si="189"/>
        <v>0</v>
      </c>
      <c r="AQ313" s="904">
        <f t="shared" si="189"/>
        <v>0</v>
      </c>
      <c r="AR313" s="905">
        <f>SUM(AF313:AQ313)</f>
        <v>0</v>
      </c>
      <c r="AT313" s="232" t="str">
        <f>Y304&amp;Y287</f>
        <v>Semillas0</v>
      </c>
    </row>
    <row r="314" spans="1:46" x14ac:dyDescent="0.2">
      <c r="A314" s="205"/>
      <c r="B314" s="197" t="s">
        <v>339</v>
      </c>
      <c r="C314" s="307"/>
      <c r="D314" s="307"/>
      <c r="E314" s="308"/>
      <c r="F314" s="651"/>
      <c r="G314" s="308"/>
      <c r="H314" s="307"/>
      <c r="I314" s="307"/>
      <c r="J314" s="307"/>
      <c r="K314" s="307"/>
      <c r="L314" s="307"/>
      <c r="M314" s="307"/>
      <c r="N314" s="307"/>
      <c r="O314" s="307"/>
      <c r="P314" s="307"/>
      <c r="Q314" s="307"/>
      <c r="R314" s="307"/>
      <c r="S314" s="307"/>
      <c r="T314" s="307"/>
      <c r="U314" s="646"/>
      <c r="X314" s="301"/>
      <c r="Y314" s="197" t="s">
        <v>339</v>
      </c>
      <c r="Z314" s="307"/>
      <c r="AA314" s="307"/>
      <c r="AB314" s="308"/>
      <c r="AC314" s="651"/>
      <c r="AD314" s="308"/>
      <c r="AE314" s="307"/>
      <c r="AF314" s="307"/>
      <c r="AG314" s="307"/>
      <c r="AH314" s="307"/>
      <c r="AI314" s="307"/>
      <c r="AJ314" s="307"/>
      <c r="AK314" s="307"/>
      <c r="AL314" s="307"/>
      <c r="AM314" s="307"/>
      <c r="AN314" s="307"/>
      <c r="AO314" s="307"/>
      <c r="AP314" s="307"/>
      <c r="AQ314" s="307"/>
      <c r="AR314" s="646"/>
    </row>
    <row r="315" spans="1:46" ht="15.05" thickBot="1" x14ac:dyDescent="0.35">
      <c r="A315" s="205"/>
      <c r="B315" s="5042"/>
      <c r="C315" s="1056">
        <f>IF(B315=0,0,U$277)</f>
        <v>0</v>
      </c>
      <c r="D315" s="1056">
        <f>IF(B315=0,0,VLOOKUP(B315,Precios!$B$216:$D$307,3,FALSE))</f>
        <v>0</v>
      </c>
      <c r="E315" s="5048"/>
      <c r="F315" s="1063">
        <f>IF(B315=0,0,VLOOKUP(B315,Precios!$B$216:$D$307,2,FALSE))</f>
        <v>0</v>
      </c>
      <c r="G315" s="1066">
        <f>E315*F315</f>
        <v>0</v>
      </c>
      <c r="H315" s="309"/>
      <c r="I315" s="1072">
        <f t="shared" ref="I315:T317" si="190">IF($C315&gt;0,I$288*$E315,0)</f>
        <v>0</v>
      </c>
      <c r="J315" s="1033">
        <f t="shared" si="190"/>
        <v>0</v>
      </c>
      <c r="K315" s="1033">
        <f t="shared" si="190"/>
        <v>0</v>
      </c>
      <c r="L315" s="1033">
        <f t="shared" si="190"/>
        <v>0</v>
      </c>
      <c r="M315" s="1033">
        <f t="shared" si="190"/>
        <v>0</v>
      </c>
      <c r="N315" s="1033">
        <f t="shared" si="190"/>
        <v>0</v>
      </c>
      <c r="O315" s="1033">
        <f t="shared" si="190"/>
        <v>0</v>
      </c>
      <c r="P315" s="1033">
        <f t="shared" si="190"/>
        <v>0</v>
      </c>
      <c r="Q315" s="1033">
        <f t="shared" si="190"/>
        <v>0</v>
      </c>
      <c r="R315" s="1033">
        <f t="shared" si="190"/>
        <v>0</v>
      </c>
      <c r="S315" s="1033">
        <f t="shared" si="190"/>
        <v>0</v>
      </c>
      <c r="T315" s="1033">
        <f t="shared" si="190"/>
        <v>0</v>
      </c>
      <c r="U315" s="1073">
        <f t="shared" ref="U315:U323" si="191">SUM(I315:T315)</f>
        <v>0</v>
      </c>
      <c r="X315" s="301"/>
      <c r="Y315" s="5042"/>
      <c r="Z315" s="1056">
        <f>IF(Y315=0,0,AR$277)</f>
        <v>0</v>
      </c>
      <c r="AA315" s="1056">
        <f>IF(Y315=0,0,VLOOKUP(Y315,Precios!$B$216:$D$307,3,FALSE))</f>
        <v>0</v>
      </c>
      <c r="AB315" s="1058"/>
      <c r="AC315" s="1063">
        <f>IF(Y315=0,0,VLOOKUP(Y315,Precios!$B$216:$D$307,2,FALSE))</f>
        <v>0</v>
      </c>
      <c r="AD315" s="1066">
        <f>AB315*AC315</f>
        <v>0</v>
      </c>
      <c r="AE315" s="309"/>
      <c r="AF315" s="1072">
        <f t="shared" si="185"/>
        <v>0</v>
      </c>
      <c r="AG315" s="1033">
        <f t="shared" si="185"/>
        <v>0</v>
      </c>
      <c r="AH315" s="1033">
        <f t="shared" si="185"/>
        <v>0</v>
      </c>
      <c r="AI315" s="1033">
        <f t="shared" si="185"/>
        <v>0</v>
      </c>
      <c r="AJ315" s="1033">
        <f t="shared" si="185"/>
        <v>0</v>
      </c>
      <c r="AK315" s="1033">
        <f t="shared" si="185"/>
        <v>0</v>
      </c>
      <c r="AL315" s="1033">
        <f t="shared" si="185"/>
        <v>0</v>
      </c>
      <c r="AM315" s="1033">
        <f t="shared" si="185"/>
        <v>0</v>
      </c>
      <c r="AN315" s="1033">
        <f t="shared" si="185"/>
        <v>0</v>
      </c>
      <c r="AO315" s="1033">
        <f t="shared" si="185"/>
        <v>0</v>
      </c>
      <c r="AP315" s="1033">
        <f t="shared" si="185"/>
        <v>0</v>
      </c>
      <c r="AQ315" s="1033">
        <f t="shared" si="185"/>
        <v>0</v>
      </c>
      <c r="AR315" s="1073">
        <f t="shared" si="186"/>
        <v>0</v>
      </c>
    </row>
    <row r="316" spans="1:46" ht="15.05" thickBot="1" x14ac:dyDescent="0.35">
      <c r="A316" s="205"/>
      <c r="B316" s="5044"/>
      <c r="C316" s="985">
        <f>IF(B316=0,0,U$277)</f>
        <v>0</v>
      </c>
      <c r="D316" s="985">
        <f>IF(B316=0,0,VLOOKUP(B316,Precios!$B$216:$D$307,3,FALSE))</f>
        <v>0</v>
      </c>
      <c r="E316" s="5049"/>
      <c r="F316" s="1064">
        <f>IF(B316=0,0,VLOOKUP(B316,Precios!$B$216:$D$307,2,FALSE))</f>
        <v>0</v>
      </c>
      <c r="G316" s="1067">
        <f>E316*F316</f>
        <v>0</v>
      </c>
      <c r="H316" s="309"/>
      <c r="I316" s="1074">
        <f t="shared" si="190"/>
        <v>0</v>
      </c>
      <c r="J316" s="1005">
        <f t="shared" si="190"/>
        <v>0</v>
      </c>
      <c r="K316" s="1005">
        <f t="shared" si="190"/>
        <v>0</v>
      </c>
      <c r="L316" s="1005">
        <f t="shared" si="190"/>
        <v>0</v>
      </c>
      <c r="M316" s="1005">
        <f t="shared" si="190"/>
        <v>0</v>
      </c>
      <c r="N316" s="1005">
        <f t="shared" si="190"/>
        <v>0</v>
      </c>
      <c r="O316" s="1005">
        <f t="shared" si="190"/>
        <v>0</v>
      </c>
      <c r="P316" s="1005">
        <f t="shared" si="190"/>
        <v>0</v>
      </c>
      <c r="Q316" s="1005">
        <f t="shared" si="190"/>
        <v>0</v>
      </c>
      <c r="R316" s="1005">
        <f t="shared" si="190"/>
        <v>0</v>
      </c>
      <c r="S316" s="1005">
        <f t="shared" si="190"/>
        <v>0</v>
      </c>
      <c r="T316" s="1005">
        <f t="shared" si="190"/>
        <v>0</v>
      </c>
      <c r="U316" s="1075">
        <f t="shared" si="191"/>
        <v>0</v>
      </c>
      <c r="X316" s="301"/>
      <c r="Y316" s="5044"/>
      <c r="Z316" s="985">
        <f>IF(Y316=0,0,AR$277)</f>
        <v>0</v>
      </c>
      <c r="AA316" s="985">
        <f>IF(Y316=0,0,VLOOKUP(Y316,Precios!$B$216:$D$307,3,FALSE))</f>
        <v>0</v>
      </c>
      <c r="AB316" s="986"/>
      <c r="AC316" s="1064">
        <f>IF(Y316=0,0,VLOOKUP(Y316,Precios!$B$216:$D$307,2,FALSE))</f>
        <v>0</v>
      </c>
      <c r="AD316" s="1067">
        <f>AB316*AC316</f>
        <v>0</v>
      </c>
      <c r="AE316" s="309"/>
      <c r="AF316" s="1074">
        <f t="shared" si="185"/>
        <v>0</v>
      </c>
      <c r="AG316" s="1005">
        <f t="shared" si="185"/>
        <v>0</v>
      </c>
      <c r="AH316" s="1005">
        <f t="shared" si="185"/>
        <v>0</v>
      </c>
      <c r="AI316" s="1005">
        <f t="shared" si="185"/>
        <v>0</v>
      </c>
      <c r="AJ316" s="1005">
        <f t="shared" si="185"/>
        <v>0</v>
      </c>
      <c r="AK316" s="1005">
        <f t="shared" si="185"/>
        <v>0</v>
      </c>
      <c r="AL316" s="1005">
        <f t="shared" si="185"/>
        <v>0</v>
      </c>
      <c r="AM316" s="1005">
        <f t="shared" si="185"/>
        <v>0</v>
      </c>
      <c r="AN316" s="1005">
        <f t="shared" si="185"/>
        <v>0</v>
      </c>
      <c r="AO316" s="1005">
        <f t="shared" si="185"/>
        <v>0</v>
      </c>
      <c r="AP316" s="1005">
        <f t="shared" si="185"/>
        <v>0</v>
      </c>
      <c r="AQ316" s="1005">
        <f t="shared" si="185"/>
        <v>0</v>
      </c>
      <c r="AR316" s="1075">
        <f t="shared" si="186"/>
        <v>0</v>
      </c>
    </row>
    <row r="317" spans="1:46" x14ac:dyDescent="0.3">
      <c r="A317" s="205"/>
      <c r="B317" s="5046"/>
      <c r="C317" s="1057">
        <f>IF(B317=0,0,U$277)</f>
        <v>0</v>
      </c>
      <c r="D317" s="1057">
        <f>IF(B317=0,0,VLOOKUP(B317,Precios!$B$216:$D$307,3,FALSE))</f>
        <v>0</v>
      </c>
      <c r="E317" s="5050"/>
      <c r="F317" s="1065">
        <f>IF(B317=0,0,VLOOKUP(B317,Precios!$B$216:$D$307,2,FALSE))</f>
        <v>0</v>
      </c>
      <c r="G317" s="1068">
        <f>E317*F317</f>
        <v>0</v>
      </c>
      <c r="H317" s="309"/>
      <c r="I317" s="1079">
        <f t="shared" si="190"/>
        <v>0</v>
      </c>
      <c r="J317" s="1047">
        <f t="shared" si="190"/>
        <v>0</v>
      </c>
      <c r="K317" s="1047">
        <f t="shared" si="190"/>
        <v>0</v>
      </c>
      <c r="L317" s="1047">
        <f t="shared" si="190"/>
        <v>0</v>
      </c>
      <c r="M317" s="1047">
        <f t="shared" si="190"/>
        <v>0</v>
      </c>
      <c r="N317" s="1047">
        <f t="shared" si="190"/>
        <v>0</v>
      </c>
      <c r="O317" s="1047">
        <f t="shared" si="190"/>
        <v>0</v>
      </c>
      <c r="P317" s="1047">
        <f t="shared" si="190"/>
        <v>0</v>
      </c>
      <c r="Q317" s="1047">
        <f t="shared" si="190"/>
        <v>0</v>
      </c>
      <c r="R317" s="1047">
        <f t="shared" si="190"/>
        <v>0</v>
      </c>
      <c r="S317" s="1047">
        <f t="shared" si="190"/>
        <v>0</v>
      </c>
      <c r="T317" s="1047">
        <f t="shared" si="190"/>
        <v>0</v>
      </c>
      <c r="U317" s="1080">
        <f t="shared" si="191"/>
        <v>0</v>
      </c>
      <c r="X317" s="301"/>
      <c r="Y317" s="5046"/>
      <c r="Z317" s="1057">
        <f>IF(Y317=0,0,AR$277)</f>
        <v>0</v>
      </c>
      <c r="AA317" s="1057">
        <f>IF(Y317=0,0,VLOOKUP(Y317,Precios!$B$216:$D$307,3,FALSE))</f>
        <v>0</v>
      </c>
      <c r="AB317" s="1060"/>
      <c r="AC317" s="1065">
        <f>IF(Y317=0,0,VLOOKUP(Y317,Precios!$B$216:$D$307,2,FALSE))</f>
        <v>0</v>
      </c>
      <c r="AD317" s="1068">
        <f>AB317*AC317</f>
        <v>0</v>
      </c>
      <c r="AE317" s="309"/>
      <c r="AF317" s="1079">
        <f t="shared" si="185"/>
        <v>0</v>
      </c>
      <c r="AG317" s="1047">
        <f t="shared" si="185"/>
        <v>0</v>
      </c>
      <c r="AH317" s="1047">
        <f t="shared" si="185"/>
        <v>0</v>
      </c>
      <c r="AI317" s="1047">
        <f t="shared" si="185"/>
        <v>0</v>
      </c>
      <c r="AJ317" s="1047">
        <f t="shared" si="185"/>
        <v>0</v>
      </c>
      <c r="AK317" s="1047">
        <f t="shared" si="185"/>
        <v>0</v>
      </c>
      <c r="AL317" s="1047">
        <f t="shared" si="185"/>
        <v>0</v>
      </c>
      <c r="AM317" s="1047">
        <f t="shared" si="185"/>
        <v>0</v>
      </c>
      <c r="AN317" s="1047">
        <f t="shared" si="185"/>
        <v>0</v>
      </c>
      <c r="AO317" s="1047">
        <f t="shared" si="185"/>
        <v>0</v>
      </c>
      <c r="AP317" s="1047">
        <f t="shared" si="185"/>
        <v>0</v>
      </c>
      <c r="AQ317" s="1047">
        <f t="shared" si="185"/>
        <v>0</v>
      </c>
      <c r="AR317" s="1080">
        <f t="shared" si="186"/>
        <v>0</v>
      </c>
    </row>
    <row r="318" spans="1:46" x14ac:dyDescent="0.3">
      <c r="A318" s="205"/>
      <c r="B318" s="647" t="s">
        <v>1086</v>
      </c>
      <c r="C318" s="305"/>
      <c r="D318" s="305"/>
      <c r="E318" s="305"/>
      <c r="F318" s="650"/>
      <c r="G318" s="305"/>
      <c r="H318" s="306"/>
      <c r="I318" s="906">
        <f t="shared" ref="I318:T318" si="192">SUM(I315:I317)</f>
        <v>0</v>
      </c>
      <c r="J318" s="906">
        <f t="shared" si="192"/>
        <v>0</v>
      </c>
      <c r="K318" s="906">
        <f t="shared" si="192"/>
        <v>0</v>
      </c>
      <c r="L318" s="906">
        <f t="shared" si="192"/>
        <v>0</v>
      </c>
      <c r="M318" s="906">
        <f t="shared" si="192"/>
        <v>0</v>
      </c>
      <c r="N318" s="906">
        <f t="shared" si="192"/>
        <v>0</v>
      </c>
      <c r="O318" s="906">
        <f t="shared" si="192"/>
        <v>0</v>
      </c>
      <c r="P318" s="906">
        <f t="shared" si="192"/>
        <v>0</v>
      </c>
      <c r="Q318" s="906">
        <f t="shared" si="192"/>
        <v>0</v>
      </c>
      <c r="R318" s="906">
        <f t="shared" si="192"/>
        <v>0</v>
      </c>
      <c r="S318" s="906">
        <f t="shared" si="192"/>
        <v>0</v>
      </c>
      <c r="T318" s="907">
        <f t="shared" si="192"/>
        <v>0</v>
      </c>
      <c r="U318" s="905">
        <f>SUM(I318:T318)</f>
        <v>0</v>
      </c>
      <c r="W318" s="232" t="str">
        <f>B314&amp;B287</f>
        <v>Fertilizantes 0</v>
      </c>
      <c r="X318" s="301"/>
      <c r="Y318" s="647" t="s">
        <v>1086</v>
      </c>
      <c r="Z318" s="305"/>
      <c r="AA318" s="305"/>
      <c r="AB318" s="305"/>
      <c r="AC318" s="650"/>
      <c r="AD318" s="305"/>
      <c r="AE318" s="306"/>
      <c r="AF318" s="906">
        <f t="shared" ref="AF318:AQ318" si="193">SUM(AF315:AF317)</f>
        <v>0</v>
      </c>
      <c r="AG318" s="906">
        <f t="shared" si="193"/>
        <v>0</v>
      </c>
      <c r="AH318" s="906">
        <f t="shared" si="193"/>
        <v>0</v>
      </c>
      <c r="AI318" s="906">
        <f t="shared" si="193"/>
        <v>0</v>
      </c>
      <c r="AJ318" s="906">
        <f t="shared" si="193"/>
        <v>0</v>
      </c>
      <c r="AK318" s="906">
        <f t="shared" si="193"/>
        <v>0</v>
      </c>
      <c r="AL318" s="906">
        <f t="shared" si="193"/>
        <v>0</v>
      </c>
      <c r="AM318" s="906">
        <f t="shared" si="193"/>
        <v>0</v>
      </c>
      <c r="AN318" s="906">
        <f t="shared" si="193"/>
        <v>0</v>
      </c>
      <c r="AO318" s="906">
        <f t="shared" si="193"/>
        <v>0</v>
      </c>
      <c r="AP318" s="906">
        <f t="shared" si="193"/>
        <v>0</v>
      </c>
      <c r="AQ318" s="907">
        <f t="shared" si="193"/>
        <v>0</v>
      </c>
      <c r="AR318" s="905">
        <f>SUM(AF318:AQ318)</f>
        <v>0</v>
      </c>
      <c r="AT318" s="232" t="str">
        <f>Y314&amp;Y287</f>
        <v>Fertilizantes 0</v>
      </c>
    </row>
    <row r="319" spans="1:46" x14ac:dyDescent="0.2">
      <c r="A319" s="205"/>
      <c r="B319" s="197" t="s">
        <v>340</v>
      </c>
      <c r="C319" s="307"/>
      <c r="D319" s="307"/>
      <c r="E319" s="308"/>
      <c r="F319" s="651"/>
      <c r="G319" s="308"/>
      <c r="H319" s="307"/>
      <c r="I319" s="307"/>
      <c r="J319" s="307"/>
      <c r="K319" s="307"/>
      <c r="L319" s="307"/>
      <c r="M319" s="307"/>
      <c r="N319" s="307"/>
      <c r="O319" s="307"/>
      <c r="P319" s="307"/>
      <c r="Q319" s="307"/>
      <c r="R319" s="307"/>
      <c r="S319" s="307"/>
      <c r="T319" s="307"/>
      <c r="U319" s="646"/>
      <c r="X319" s="301"/>
      <c r="Y319" s="197" t="s">
        <v>340</v>
      </c>
      <c r="Z319" s="307"/>
      <c r="AA319" s="307"/>
      <c r="AB319" s="308"/>
      <c r="AC319" s="651"/>
      <c r="AD319" s="308"/>
      <c r="AE319" s="307"/>
      <c r="AF319" s="307"/>
      <c r="AG319" s="307"/>
      <c r="AH319" s="307"/>
      <c r="AI319" s="307"/>
      <c r="AJ319" s="307"/>
      <c r="AK319" s="307"/>
      <c r="AL319" s="307"/>
      <c r="AM319" s="307"/>
      <c r="AN319" s="307"/>
      <c r="AO319" s="307"/>
      <c r="AP319" s="307"/>
      <c r="AQ319" s="307"/>
      <c r="AR319" s="646"/>
    </row>
    <row r="320" spans="1:46" ht="15.05" thickBot="1" x14ac:dyDescent="0.35">
      <c r="A320" s="205"/>
      <c r="B320" s="5042"/>
      <c r="C320" s="1056">
        <f>IF(B320=0,0,U$277)</f>
        <v>0</v>
      </c>
      <c r="D320" s="1056">
        <f>IF(B320=0,0,VLOOKUP(B320,Precios!$B$216:$D$307,3,FALSE))</f>
        <v>0</v>
      </c>
      <c r="E320" s="5048"/>
      <c r="F320" s="1062">
        <f>IF(B320=0,0,VLOOKUP(B320,Precios!$B$216:$D$307,2,FALSE))</f>
        <v>0</v>
      </c>
      <c r="G320" s="1066">
        <f>E320*F320</f>
        <v>0</v>
      </c>
      <c r="H320" s="309"/>
      <c r="I320" s="1072">
        <f t="shared" ref="I320:T322" si="194">IF($C320&gt;0,I$288*$E320,0)</f>
        <v>0</v>
      </c>
      <c r="J320" s="1033">
        <f t="shared" si="194"/>
        <v>0</v>
      </c>
      <c r="K320" s="1033">
        <f t="shared" si="194"/>
        <v>0</v>
      </c>
      <c r="L320" s="1033">
        <f t="shared" si="194"/>
        <v>0</v>
      </c>
      <c r="M320" s="1033">
        <f t="shared" si="194"/>
        <v>0</v>
      </c>
      <c r="N320" s="1033">
        <f t="shared" si="194"/>
        <v>0</v>
      </c>
      <c r="O320" s="1033">
        <f t="shared" si="194"/>
        <v>0</v>
      </c>
      <c r="P320" s="1033">
        <f t="shared" si="194"/>
        <v>0</v>
      </c>
      <c r="Q320" s="1033">
        <f t="shared" si="194"/>
        <v>0</v>
      </c>
      <c r="R320" s="1033">
        <f t="shared" si="194"/>
        <v>0</v>
      </c>
      <c r="S320" s="1033">
        <f t="shared" si="194"/>
        <v>0</v>
      </c>
      <c r="T320" s="1033">
        <f t="shared" si="194"/>
        <v>0</v>
      </c>
      <c r="U320" s="1073">
        <f t="shared" si="191"/>
        <v>0</v>
      </c>
      <c r="X320" s="301"/>
      <c r="Y320" s="5042"/>
      <c r="Z320" s="1056">
        <f>IF(Y320=0,0,AR$277)</f>
        <v>0</v>
      </c>
      <c r="AA320" s="1056">
        <f>IF(Y320=0,0,VLOOKUP(Y320,Precios!$B$216:$D$307,3,FALSE))</f>
        <v>0</v>
      </c>
      <c r="AB320" s="1058"/>
      <c r="AC320" s="1062">
        <f>IF(Y320=0,0,VLOOKUP(Y320,Precios!$B$216:$D$307,2,FALSE))</f>
        <v>0</v>
      </c>
      <c r="AD320" s="1066">
        <f>AB320*AC320</f>
        <v>0</v>
      </c>
      <c r="AE320" s="309"/>
      <c r="AF320" s="1072">
        <f t="shared" si="185"/>
        <v>0</v>
      </c>
      <c r="AG320" s="1033">
        <f t="shared" si="185"/>
        <v>0</v>
      </c>
      <c r="AH320" s="1033">
        <f t="shared" si="185"/>
        <v>0</v>
      </c>
      <c r="AI320" s="1033">
        <f t="shared" si="185"/>
        <v>0</v>
      </c>
      <c r="AJ320" s="1033">
        <f t="shared" si="185"/>
        <v>0</v>
      </c>
      <c r="AK320" s="1033">
        <f t="shared" si="185"/>
        <v>0</v>
      </c>
      <c r="AL320" s="1033">
        <f t="shared" si="185"/>
        <v>0</v>
      </c>
      <c r="AM320" s="1033">
        <f t="shared" si="185"/>
        <v>0</v>
      </c>
      <c r="AN320" s="1033">
        <f t="shared" si="185"/>
        <v>0</v>
      </c>
      <c r="AO320" s="1033">
        <f t="shared" si="185"/>
        <v>0</v>
      </c>
      <c r="AP320" s="1033">
        <f t="shared" si="185"/>
        <v>0</v>
      </c>
      <c r="AQ320" s="1033">
        <f t="shared" si="185"/>
        <v>0</v>
      </c>
      <c r="AR320" s="1073">
        <f t="shared" si="186"/>
        <v>0</v>
      </c>
    </row>
    <row r="321" spans="1:47" ht="15.05" thickBot="1" x14ac:dyDescent="0.35">
      <c r="A321" s="205"/>
      <c r="B321" s="5044"/>
      <c r="C321" s="985">
        <f>IF(B321=0,0,U$277)</f>
        <v>0</v>
      </c>
      <c r="D321" s="985">
        <f>IF(B321=0,0,VLOOKUP(B321,Precios!$B$216:$D$307,3,FALSE))</f>
        <v>0</v>
      </c>
      <c r="E321" s="5049"/>
      <c r="F321" s="1059">
        <f>IF(B321=0,0,VLOOKUP(B321,Precios!$B$216:$D$307,2,FALSE))</f>
        <v>0</v>
      </c>
      <c r="G321" s="1067">
        <f>E321*F321</f>
        <v>0</v>
      </c>
      <c r="H321" s="309"/>
      <c r="I321" s="1074">
        <f t="shared" si="194"/>
        <v>0</v>
      </c>
      <c r="J321" s="1005">
        <f t="shared" si="194"/>
        <v>0</v>
      </c>
      <c r="K321" s="1005">
        <f t="shared" si="194"/>
        <v>0</v>
      </c>
      <c r="L321" s="1005">
        <f t="shared" si="194"/>
        <v>0</v>
      </c>
      <c r="M321" s="1005">
        <f t="shared" si="194"/>
        <v>0</v>
      </c>
      <c r="N321" s="1005">
        <f t="shared" si="194"/>
        <v>0</v>
      </c>
      <c r="O321" s="1005">
        <f t="shared" si="194"/>
        <v>0</v>
      </c>
      <c r="P321" s="1005">
        <f t="shared" si="194"/>
        <v>0</v>
      </c>
      <c r="Q321" s="1005">
        <f t="shared" si="194"/>
        <v>0</v>
      </c>
      <c r="R321" s="1005">
        <f t="shared" si="194"/>
        <v>0</v>
      </c>
      <c r="S321" s="1005">
        <f t="shared" si="194"/>
        <v>0</v>
      </c>
      <c r="T321" s="1005">
        <f t="shared" si="194"/>
        <v>0</v>
      </c>
      <c r="U321" s="1075">
        <f t="shared" si="191"/>
        <v>0</v>
      </c>
      <c r="X321" s="301"/>
      <c r="Y321" s="5044"/>
      <c r="Z321" s="985">
        <f>IF(Y321=0,0,AR$277)</f>
        <v>0</v>
      </c>
      <c r="AA321" s="985">
        <f>IF(Y321=0,0,VLOOKUP(Y321,Precios!$B$216:$D$307,3,FALSE))</f>
        <v>0</v>
      </c>
      <c r="AB321" s="986"/>
      <c r="AC321" s="1059">
        <f>IF(Y321=0,0,VLOOKUP(Y321,Precios!$B$216:$D$307,2,FALSE))</f>
        <v>0</v>
      </c>
      <c r="AD321" s="1067">
        <f>AB321*AC321</f>
        <v>0</v>
      </c>
      <c r="AE321" s="309"/>
      <c r="AF321" s="1074">
        <f t="shared" si="185"/>
        <v>0</v>
      </c>
      <c r="AG321" s="1005">
        <f t="shared" si="185"/>
        <v>0</v>
      </c>
      <c r="AH321" s="1005">
        <f t="shared" si="185"/>
        <v>0</v>
      </c>
      <c r="AI321" s="1005">
        <f t="shared" si="185"/>
        <v>0</v>
      </c>
      <c r="AJ321" s="1005">
        <f t="shared" si="185"/>
        <v>0</v>
      </c>
      <c r="AK321" s="1005">
        <f t="shared" si="185"/>
        <v>0</v>
      </c>
      <c r="AL321" s="1005">
        <f t="shared" si="185"/>
        <v>0</v>
      </c>
      <c r="AM321" s="1005">
        <f t="shared" si="185"/>
        <v>0</v>
      </c>
      <c r="AN321" s="1005">
        <f t="shared" si="185"/>
        <v>0</v>
      </c>
      <c r="AO321" s="1005">
        <f t="shared" si="185"/>
        <v>0</v>
      </c>
      <c r="AP321" s="1005">
        <f t="shared" si="185"/>
        <v>0</v>
      </c>
      <c r="AQ321" s="1005">
        <f t="shared" si="185"/>
        <v>0</v>
      </c>
      <c r="AR321" s="1075">
        <f t="shared" si="186"/>
        <v>0</v>
      </c>
    </row>
    <row r="322" spans="1:47" x14ac:dyDescent="0.3">
      <c r="A322" s="205"/>
      <c r="B322" s="5046"/>
      <c r="C322" s="1057">
        <f>IF(B322=0,0,U$277)</f>
        <v>0</v>
      </c>
      <c r="D322" s="1057">
        <f>IF(B322=0,0,VLOOKUP(B322,Precios!$B$216:$D$307,3,FALSE))</f>
        <v>0</v>
      </c>
      <c r="E322" s="5050"/>
      <c r="F322" s="1061">
        <f>IF(B322=0,0,VLOOKUP(B322,Precios!$B$216:$D$307,2,FALSE))</f>
        <v>0</v>
      </c>
      <c r="G322" s="1068">
        <f>E322*F322</f>
        <v>0</v>
      </c>
      <c r="H322" s="309"/>
      <c r="I322" s="1079">
        <f t="shared" si="194"/>
        <v>0</v>
      </c>
      <c r="J322" s="1047">
        <f t="shared" si="194"/>
        <v>0</v>
      </c>
      <c r="K322" s="1047">
        <f t="shared" si="194"/>
        <v>0</v>
      </c>
      <c r="L322" s="1047">
        <f t="shared" si="194"/>
        <v>0</v>
      </c>
      <c r="M322" s="1047">
        <f t="shared" si="194"/>
        <v>0</v>
      </c>
      <c r="N322" s="1047">
        <f t="shared" si="194"/>
        <v>0</v>
      </c>
      <c r="O322" s="1047">
        <f t="shared" si="194"/>
        <v>0</v>
      </c>
      <c r="P322" s="1047">
        <f t="shared" si="194"/>
        <v>0</v>
      </c>
      <c r="Q322" s="1047">
        <f t="shared" si="194"/>
        <v>0</v>
      </c>
      <c r="R322" s="1047">
        <f t="shared" si="194"/>
        <v>0</v>
      </c>
      <c r="S322" s="1047">
        <f t="shared" si="194"/>
        <v>0</v>
      </c>
      <c r="T322" s="1047">
        <f t="shared" si="194"/>
        <v>0</v>
      </c>
      <c r="U322" s="1080">
        <f t="shared" si="191"/>
        <v>0</v>
      </c>
      <c r="X322" s="301"/>
      <c r="Y322" s="5046"/>
      <c r="Z322" s="1057">
        <f>IF(Y322=0,0,AR$277)</f>
        <v>0</v>
      </c>
      <c r="AA322" s="1057">
        <f>IF(Y322=0,0,VLOOKUP(Y322,Precios!$B$216:$D$307,3,FALSE))</f>
        <v>0</v>
      </c>
      <c r="AB322" s="1060"/>
      <c r="AC322" s="1061">
        <f>IF(Y322=0,0,VLOOKUP(Y322,Precios!$B$216:$D$307,2,FALSE))</f>
        <v>0</v>
      </c>
      <c r="AD322" s="1068">
        <f>AB322*AC322</f>
        <v>0</v>
      </c>
      <c r="AE322" s="309"/>
      <c r="AF322" s="1079">
        <f t="shared" si="185"/>
        <v>0</v>
      </c>
      <c r="AG322" s="1047">
        <f t="shared" si="185"/>
        <v>0</v>
      </c>
      <c r="AH322" s="1047">
        <f t="shared" si="185"/>
        <v>0</v>
      </c>
      <c r="AI322" s="1047">
        <f t="shared" si="185"/>
        <v>0</v>
      </c>
      <c r="AJ322" s="1047">
        <f t="shared" si="185"/>
        <v>0</v>
      </c>
      <c r="AK322" s="1047">
        <f t="shared" si="185"/>
        <v>0</v>
      </c>
      <c r="AL322" s="1047">
        <f t="shared" si="185"/>
        <v>0</v>
      </c>
      <c r="AM322" s="1047">
        <f t="shared" si="185"/>
        <v>0</v>
      </c>
      <c r="AN322" s="1047">
        <f t="shared" si="185"/>
        <v>0</v>
      </c>
      <c r="AO322" s="1047">
        <f t="shared" si="185"/>
        <v>0</v>
      </c>
      <c r="AP322" s="1047">
        <f t="shared" si="185"/>
        <v>0</v>
      </c>
      <c r="AQ322" s="1047">
        <f t="shared" si="185"/>
        <v>0</v>
      </c>
      <c r="AR322" s="1080">
        <f t="shared" si="186"/>
        <v>0</v>
      </c>
    </row>
    <row r="323" spans="1:47" ht="15.05" thickBot="1" x14ac:dyDescent="0.35">
      <c r="A323" s="205"/>
      <c r="B323" s="647" t="s">
        <v>1087</v>
      </c>
      <c r="C323" s="305"/>
      <c r="D323" s="305"/>
      <c r="E323" s="305"/>
      <c r="F323" s="650"/>
      <c r="G323" s="305"/>
      <c r="H323" s="306"/>
      <c r="I323" s="906">
        <f t="shared" ref="I323:T323" si="195">SUM(I320:I322)</f>
        <v>0</v>
      </c>
      <c r="J323" s="906">
        <f t="shared" si="195"/>
        <v>0</v>
      </c>
      <c r="K323" s="906">
        <f t="shared" si="195"/>
        <v>0</v>
      </c>
      <c r="L323" s="906">
        <f t="shared" si="195"/>
        <v>0</v>
      </c>
      <c r="M323" s="906">
        <f t="shared" si="195"/>
        <v>0</v>
      </c>
      <c r="N323" s="906">
        <f t="shared" si="195"/>
        <v>0</v>
      </c>
      <c r="O323" s="906">
        <f t="shared" si="195"/>
        <v>0</v>
      </c>
      <c r="P323" s="906">
        <f t="shared" si="195"/>
        <v>0</v>
      </c>
      <c r="Q323" s="906">
        <f t="shared" si="195"/>
        <v>0</v>
      </c>
      <c r="R323" s="906">
        <f t="shared" si="195"/>
        <v>0</v>
      </c>
      <c r="S323" s="906">
        <f t="shared" si="195"/>
        <v>0</v>
      </c>
      <c r="T323" s="907">
        <f t="shared" si="195"/>
        <v>0</v>
      </c>
      <c r="U323" s="905">
        <f t="shared" si="191"/>
        <v>0</v>
      </c>
      <c r="W323" s="232" t="str">
        <f>B319&amp;B287</f>
        <v>Agroquímicos 0</v>
      </c>
      <c r="X323" s="301"/>
      <c r="Y323" s="647" t="s">
        <v>1087</v>
      </c>
      <c r="Z323" s="305"/>
      <c r="AA323" s="305"/>
      <c r="AB323" s="305"/>
      <c r="AC323" s="650"/>
      <c r="AD323" s="305"/>
      <c r="AE323" s="306"/>
      <c r="AF323" s="906">
        <f t="shared" ref="AF323:AQ323" si="196">SUM(AF320:AF322)</f>
        <v>0</v>
      </c>
      <c r="AG323" s="906">
        <f t="shared" si="196"/>
        <v>0</v>
      </c>
      <c r="AH323" s="906">
        <f t="shared" si="196"/>
        <v>0</v>
      </c>
      <c r="AI323" s="906">
        <f t="shared" si="196"/>
        <v>0</v>
      </c>
      <c r="AJ323" s="906">
        <f t="shared" si="196"/>
        <v>0</v>
      </c>
      <c r="AK323" s="906">
        <f t="shared" si="196"/>
        <v>0</v>
      </c>
      <c r="AL323" s="906">
        <f t="shared" si="196"/>
        <v>0</v>
      </c>
      <c r="AM323" s="906">
        <f t="shared" si="196"/>
        <v>0</v>
      </c>
      <c r="AN323" s="906">
        <f t="shared" si="196"/>
        <v>0</v>
      </c>
      <c r="AO323" s="906">
        <f t="shared" si="196"/>
        <v>0</v>
      </c>
      <c r="AP323" s="906">
        <f t="shared" si="196"/>
        <v>0</v>
      </c>
      <c r="AQ323" s="907">
        <f t="shared" si="196"/>
        <v>0</v>
      </c>
      <c r="AR323" s="905">
        <f t="shared" si="186"/>
        <v>0</v>
      </c>
      <c r="AT323" s="232" t="str">
        <f>Y319&amp;Y287</f>
        <v>Agroquímicos 0</v>
      </c>
    </row>
    <row r="324" spans="1:47" ht="15.05" thickBot="1" x14ac:dyDescent="0.25">
      <c r="A324" s="205"/>
      <c r="B324" s="648" t="s">
        <v>892</v>
      </c>
      <c r="C324" s="909">
        <f>+C286</f>
        <v>0</v>
      </c>
      <c r="D324" s="909"/>
      <c r="E324" s="312" t="s">
        <v>876</v>
      </c>
      <c r="F324" s="313"/>
      <c r="G324" s="289"/>
      <c r="H324" s="312"/>
      <c r="I324" s="314">
        <f>SUMPRODUCT($F291:$F322,I291:I322)</f>
        <v>0</v>
      </c>
      <c r="J324" s="314">
        <f t="shared" ref="J324:T324" si="197">SUMPRODUCT($F291:$F322,J291:J322)</f>
        <v>0</v>
      </c>
      <c r="K324" s="314">
        <f t="shared" si="197"/>
        <v>0</v>
      </c>
      <c r="L324" s="314">
        <f t="shared" si="197"/>
        <v>0</v>
      </c>
      <c r="M324" s="314">
        <f t="shared" si="197"/>
        <v>0</v>
      </c>
      <c r="N324" s="314">
        <f t="shared" si="197"/>
        <v>0</v>
      </c>
      <c r="O324" s="314">
        <f t="shared" si="197"/>
        <v>0</v>
      </c>
      <c r="P324" s="314">
        <f t="shared" si="197"/>
        <v>0</v>
      </c>
      <c r="Q324" s="314">
        <f t="shared" si="197"/>
        <v>0</v>
      </c>
      <c r="R324" s="314">
        <f t="shared" si="197"/>
        <v>0</v>
      </c>
      <c r="S324" s="314">
        <f t="shared" si="197"/>
        <v>0</v>
      </c>
      <c r="T324" s="314">
        <f t="shared" si="197"/>
        <v>0</v>
      </c>
      <c r="U324" s="908">
        <f>SUM(I324:T324)</f>
        <v>0</v>
      </c>
      <c r="X324" s="301"/>
      <c r="Y324" s="648" t="s">
        <v>892</v>
      </c>
      <c r="Z324" s="909">
        <f>+Z286</f>
        <v>0</v>
      </c>
      <c r="AA324" s="909"/>
      <c r="AB324" s="312" t="s">
        <v>876</v>
      </c>
      <c r="AC324" s="313"/>
      <c r="AD324" s="289"/>
      <c r="AE324" s="312"/>
      <c r="AF324" s="314">
        <f t="shared" ref="AF324:AQ324" si="198">SUMPRODUCT($AC291:$AC322,AF291:AF322)</f>
        <v>0</v>
      </c>
      <c r="AG324" s="314">
        <f t="shared" si="198"/>
        <v>0</v>
      </c>
      <c r="AH324" s="314">
        <f t="shared" si="198"/>
        <v>0</v>
      </c>
      <c r="AI324" s="314">
        <f t="shared" si="198"/>
        <v>0</v>
      </c>
      <c r="AJ324" s="314">
        <f t="shared" si="198"/>
        <v>0</v>
      </c>
      <c r="AK324" s="314">
        <f t="shared" si="198"/>
        <v>0</v>
      </c>
      <c r="AL324" s="314">
        <f t="shared" si="198"/>
        <v>0</v>
      </c>
      <c r="AM324" s="314">
        <f t="shared" si="198"/>
        <v>0</v>
      </c>
      <c r="AN324" s="314">
        <f t="shared" si="198"/>
        <v>0</v>
      </c>
      <c r="AO324" s="314">
        <f t="shared" si="198"/>
        <v>0</v>
      </c>
      <c r="AP324" s="314">
        <f t="shared" si="198"/>
        <v>0</v>
      </c>
      <c r="AQ324" s="314">
        <f t="shared" si="198"/>
        <v>0</v>
      </c>
      <c r="AR324" s="908">
        <f>SUM(AF324:AQ324)</f>
        <v>0</v>
      </c>
    </row>
    <row r="325" spans="1:47" x14ac:dyDescent="0.2">
      <c r="A325" s="205"/>
      <c r="B325" s="177"/>
      <c r="C325" s="177"/>
      <c r="D325" s="177"/>
      <c r="E325" s="177"/>
      <c r="F325" s="315"/>
      <c r="G325" s="316"/>
      <c r="H325" s="177"/>
      <c r="I325" s="177"/>
      <c r="J325" s="177"/>
      <c r="K325" s="177"/>
      <c r="L325" s="177"/>
      <c r="M325" s="177"/>
      <c r="N325" s="177"/>
      <c r="O325" s="177"/>
      <c r="P325" s="177"/>
      <c r="Q325" s="177"/>
      <c r="R325" s="177"/>
      <c r="S325" s="177"/>
      <c r="T325" s="177"/>
      <c r="U325" s="649"/>
      <c r="X325" s="205"/>
      <c r="Y325" s="208"/>
      <c r="Z325" s="177"/>
      <c r="AA325" s="177"/>
      <c r="AB325" s="177"/>
      <c r="AC325" s="316"/>
      <c r="AD325" s="316"/>
      <c r="AE325" s="177"/>
      <c r="AF325" s="177"/>
      <c r="AG325" s="177"/>
      <c r="AH325" s="177"/>
      <c r="AI325" s="177"/>
      <c r="AJ325" s="177"/>
      <c r="AK325" s="177"/>
      <c r="AL325" s="177"/>
      <c r="AM325" s="177"/>
      <c r="AN325" s="177"/>
      <c r="AO325" s="177"/>
      <c r="AP325" s="177"/>
      <c r="AQ325" s="177"/>
      <c r="AR325" s="317"/>
    </row>
    <row r="326" spans="1:47" ht="15.05" thickBot="1" x14ac:dyDescent="0.25">
      <c r="A326" s="205"/>
      <c r="B326" s="177"/>
      <c r="C326" s="177"/>
      <c r="D326" s="177"/>
      <c r="E326" s="177"/>
      <c r="F326" s="315"/>
      <c r="G326" s="316"/>
      <c r="H326" s="177"/>
      <c r="I326" s="177"/>
      <c r="J326" s="177"/>
      <c r="K326" s="177"/>
      <c r="L326" s="177"/>
      <c r="M326" s="177"/>
      <c r="N326" s="177"/>
      <c r="O326" s="177"/>
      <c r="P326" s="177"/>
      <c r="Q326" s="177"/>
      <c r="R326" s="177"/>
      <c r="S326" s="177"/>
      <c r="T326" s="177"/>
      <c r="U326" s="649"/>
      <c r="X326" s="205"/>
      <c r="Y326" s="208"/>
      <c r="Z326" s="177"/>
      <c r="AA326" s="177"/>
      <c r="AB326" s="177"/>
      <c r="AC326" s="316"/>
      <c r="AD326" s="316"/>
      <c r="AE326" s="177"/>
      <c r="AF326" s="177"/>
      <c r="AG326" s="177"/>
      <c r="AH326" s="177"/>
      <c r="AI326" s="177"/>
      <c r="AJ326" s="177"/>
      <c r="AK326" s="177"/>
      <c r="AL326" s="177"/>
      <c r="AM326" s="177"/>
      <c r="AN326" s="177"/>
      <c r="AO326" s="177"/>
      <c r="AP326" s="177"/>
      <c r="AQ326" s="177"/>
      <c r="AR326" s="317"/>
    </row>
    <row r="327" spans="1:47" s="254" customFormat="1" ht="15.05" thickBot="1" x14ac:dyDescent="0.25">
      <c r="A327" s="1344">
        <f>+A286+1</f>
        <v>49</v>
      </c>
      <c r="B327" s="635" t="s">
        <v>878</v>
      </c>
      <c r="C327" s="898">
        <f>UsoSuelo!D145</f>
        <v>0</v>
      </c>
      <c r="D327" s="898"/>
      <c r="E327" s="636"/>
      <c r="F327" s="637"/>
      <c r="G327" s="637"/>
      <c r="H327" s="637"/>
      <c r="I327" s="637"/>
      <c r="J327" s="637"/>
      <c r="K327" s="637"/>
      <c r="L327" s="637"/>
      <c r="M327" s="637"/>
      <c r="N327" s="637"/>
      <c r="O327" s="637"/>
      <c r="P327" s="637"/>
      <c r="Q327" s="637"/>
      <c r="R327" s="637"/>
      <c r="S327" s="637"/>
      <c r="T327" s="637"/>
      <c r="U327" s="638"/>
      <c r="V327" s="1569"/>
      <c r="W327" s="1569"/>
      <c r="X327" s="1344">
        <f>+X286+1</f>
        <v>61</v>
      </c>
      <c r="Y327" s="635" t="s">
        <v>878</v>
      </c>
      <c r="Z327" s="898">
        <f>+UsoSuelo!D162</f>
        <v>0</v>
      </c>
      <c r="AA327" s="898"/>
      <c r="AB327" s="636"/>
      <c r="AC327" s="637"/>
      <c r="AD327" s="637"/>
      <c r="AE327" s="637"/>
      <c r="AF327" s="637"/>
      <c r="AG327" s="637"/>
      <c r="AH327" s="637"/>
      <c r="AI327" s="637"/>
      <c r="AJ327" s="637"/>
      <c r="AK327" s="637"/>
      <c r="AL327" s="637"/>
      <c r="AM327" s="637"/>
      <c r="AN327" s="637"/>
      <c r="AO327" s="637"/>
      <c r="AP327" s="637"/>
      <c r="AQ327" s="637"/>
      <c r="AR327" s="638"/>
      <c r="AS327" s="1569"/>
      <c r="AT327" s="1569"/>
      <c r="AU327" s="1436"/>
    </row>
    <row r="328" spans="1:47" s="254" customFormat="1" x14ac:dyDescent="0.2">
      <c r="A328" s="1344" t="s">
        <v>58</v>
      </c>
      <c r="B328" s="639">
        <f>+UsoSuelo!H145</f>
        <v>0</v>
      </c>
      <c r="C328" s="291"/>
      <c r="D328" s="291"/>
      <c r="E328" s="291"/>
      <c r="F328" s="291"/>
      <c r="G328" s="291" t="s">
        <v>883</v>
      </c>
      <c r="H328" s="292"/>
      <c r="I328" s="293" t="str">
        <f t="shared" ref="I328:T328" si="199">+I41</f>
        <v>Ene</v>
      </c>
      <c r="J328" s="293" t="str">
        <f t="shared" si="199"/>
        <v>Feb</v>
      </c>
      <c r="K328" s="293" t="str">
        <f t="shared" si="199"/>
        <v>Mar</v>
      </c>
      <c r="L328" s="293" t="str">
        <f t="shared" si="199"/>
        <v>Abr</v>
      </c>
      <c r="M328" s="293" t="str">
        <f t="shared" si="199"/>
        <v>May</v>
      </c>
      <c r="N328" s="293" t="str">
        <f t="shared" si="199"/>
        <v>Jun</v>
      </c>
      <c r="O328" s="293" t="str">
        <f t="shared" si="199"/>
        <v>Jul</v>
      </c>
      <c r="P328" s="293" t="str">
        <f t="shared" si="199"/>
        <v>Ago</v>
      </c>
      <c r="Q328" s="293" t="str">
        <f t="shared" si="199"/>
        <v>Set</v>
      </c>
      <c r="R328" s="293" t="str">
        <f t="shared" si="199"/>
        <v>Oct</v>
      </c>
      <c r="S328" s="293" t="str">
        <f t="shared" si="199"/>
        <v>Nov</v>
      </c>
      <c r="T328" s="294" t="str">
        <f t="shared" si="199"/>
        <v>Dic</v>
      </c>
      <c r="U328" s="640" t="s">
        <v>1106</v>
      </c>
      <c r="V328" s="1569"/>
      <c r="W328" s="1569"/>
      <c r="X328" s="1344" t="str">
        <f>+A328</f>
        <v>I</v>
      </c>
      <c r="Y328" s="639">
        <f>+UsoSuelo!H162</f>
        <v>0</v>
      </c>
      <c r="Z328" s="291"/>
      <c r="AA328" s="291"/>
      <c r="AB328" s="291"/>
      <c r="AC328" s="291"/>
      <c r="AD328" s="291" t="s">
        <v>883</v>
      </c>
      <c r="AE328" s="292"/>
      <c r="AF328" s="293" t="str">
        <f t="shared" ref="AF328:AQ328" si="200">+AF41</f>
        <v>Ene</v>
      </c>
      <c r="AG328" s="293" t="str">
        <f t="shared" si="200"/>
        <v>Feb</v>
      </c>
      <c r="AH328" s="293" t="str">
        <f t="shared" si="200"/>
        <v>Mar</v>
      </c>
      <c r="AI328" s="293" t="str">
        <f t="shared" si="200"/>
        <v>Abr</v>
      </c>
      <c r="AJ328" s="293" t="str">
        <f t="shared" si="200"/>
        <v>May</v>
      </c>
      <c r="AK328" s="293" t="str">
        <f t="shared" si="200"/>
        <v>Jun</v>
      </c>
      <c r="AL328" s="293" t="str">
        <f t="shared" si="200"/>
        <v>Jul</v>
      </c>
      <c r="AM328" s="293" t="str">
        <f t="shared" si="200"/>
        <v>Ago</v>
      </c>
      <c r="AN328" s="293" t="str">
        <f t="shared" si="200"/>
        <v>Set</v>
      </c>
      <c r="AO328" s="293" t="str">
        <f t="shared" si="200"/>
        <v>Oct</v>
      </c>
      <c r="AP328" s="293" t="str">
        <f t="shared" si="200"/>
        <v>Nov</v>
      </c>
      <c r="AQ328" s="294" t="str">
        <f t="shared" si="200"/>
        <v>Dic</v>
      </c>
      <c r="AR328" s="640" t="s">
        <v>1106</v>
      </c>
      <c r="AS328" s="1569"/>
      <c r="AT328" s="1569"/>
      <c r="AU328" s="1436"/>
    </row>
    <row r="329" spans="1:47" s="254" customFormat="1" x14ac:dyDescent="0.2">
      <c r="A329" s="205"/>
      <c r="B329" s="899" t="s">
        <v>884</v>
      </c>
      <c r="C329" s="900"/>
      <c r="D329" s="900"/>
      <c r="E329" s="900"/>
      <c r="F329" s="900"/>
      <c r="G329" s="900"/>
      <c r="H329" s="900"/>
      <c r="I329" s="901">
        <f>VLOOKUP($C327,UsoSuelo!$CQ$1127:$DC$1194,2,FALSE)</f>
        <v>0</v>
      </c>
      <c r="J329" s="901">
        <f>VLOOKUP($C327,UsoSuelo!$CQ$1127:$DC$1194,3,FALSE)</f>
        <v>0</v>
      </c>
      <c r="K329" s="901">
        <f>VLOOKUP($C327,UsoSuelo!$CQ$1127:$DC$1194,4,FALSE)</f>
        <v>0</v>
      </c>
      <c r="L329" s="901">
        <f>VLOOKUP($C327,UsoSuelo!$CQ$1127:$DC$1194,5,FALSE)</f>
        <v>0</v>
      </c>
      <c r="M329" s="901">
        <f>VLOOKUP($C327,UsoSuelo!$CQ$1127:$DC$1194,6,FALSE)</f>
        <v>0</v>
      </c>
      <c r="N329" s="901">
        <f>VLOOKUP($C327,UsoSuelo!$CQ$1127:$DC$1194,7,FALSE)</f>
        <v>0</v>
      </c>
      <c r="O329" s="901">
        <f>VLOOKUP($C327,UsoSuelo!$CQ$1127:$DC$1194,8,FALSE)</f>
        <v>0</v>
      </c>
      <c r="P329" s="901">
        <f>VLOOKUP($C327,UsoSuelo!$CQ$1127:$DC$1194,9,FALSE)</f>
        <v>0</v>
      </c>
      <c r="Q329" s="901">
        <f>VLOOKUP($C327,UsoSuelo!$CQ$1127:$DC$1194,10,FALSE)</f>
        <v>0</v>
      </c>
      <c r="R329" s="901">
        <f>VLOOKUP($C327,UsoSuelo!$CQ$1127:$DC$1194,11,FALSE)</f>
        <v>0</v>
      </c>
      <c r="S329" s="901">
        <f>VLOOKUP($C327,UsoSuelo!$CQ$1127:$DC$1194,12,FALSE)</f>
        <v>0</v>
      </c>
      <c r="T329" s="902">
        <f>VLOOKUP($C327,UsoSuelo!$CQ$1127:$DC$1194,13,FALSE)</f>
        <v>0</v>
      </c>
      <c r="U329" s="903">
        <f>SUM(I329:T329)</f>
        <v>0</v>
      </c>
      <c r="V329" s="1569"/>
      <c r="W329" s="1569"/>
      <c r="X329" s="16"/>
      <c r="Y329" s="899" t="s">
        <v>884</v>
      </c>
      <c r="Z329" s="900"/>
      <c r="AA329" s="900"/>
      <c r="AB329" s="900"/>
      <c r="AC329" s="900"/>
      <c r="AD329" s="900"/>
      <c r="AE329" s="900"/>
      <c r="AF329" s="901">
        <f>VLOOKUP($Z327,UsoSuelo!$DE$1054:$DQ$1120,2,FALSE)</f>
        <v>0</v>
      </c>
      <c r="AG329" s="901">
        <f>VLOOKUP($Z327,UsoSuelo!$DE$1054:$DQ$1120,3,FALSE)</f>
        <v>0</v>
      </c>
      <c r="AH329" s="901">
        <f>VLOOKUP($Z327,UsoSuelo!$DE$1054:$DQ$1120,4,FALSE)</f>
        <v>0</v>
      </c>
      <c r="AI329" s="901">
        <f>VLOOKUP($Z327,UsoSuelo!$DE$1054:$DQ$1120,5,FALSE)</f>
        <v>0</v>
      </c>
      <c r="AJ329" s="901">
        <f>VLOOKUP($Z327,UsoSuelo!$DE$1054:$DQ$1120,6,FALSE)</f>
        <v>0</v>
      </c>
      <c r="AK329" s="901">
        <f>VLOOKUP($Z327,UsoSuelo!$DE$1054:$DQ$1120,7,FALSE)</f>
        <v>0</v>
      </c>
      <c r="AL329" s="901">
        <f>VLOOKUP($Z327,UsoSuelo!$DE$1054:$DQ$1120,8,FALSE)</f>
        <v>0</v>
      </c>
      <c r="AM329" s="901">
        <f>VLOOKUP($Z327,UsoSuelo!$DE$1054:$DQ$1120,9,FALSE)</f>
        <v>0</v>
      </c>
      <c r="AN329" s="901">
        <f>VLOOKUP($Z327,UsoSuelo!$DE$1054:$DQ$1120,10,FALSE)</f>
        <v>0</v>
      </c>
      <c r="AO329" s="901">
        <f>VLOOKUP($Z327,UsoSuelo!$DE$1054:$DQ$1120,11,FALSE)</f>
        <v>0</v>
      </c>
      <c r="AP329" s="901">
        <f>VLOOKUP($Z327,UsoSuelo!$DE$1054:$DQ$1120,12,FALSE)</f>
        <v>0</v>
      </c>
      <c r="AQ329" s="902">
        <f>VLOOKUP($Z327,UsoSuelo!$DE$1054:$DQ$1120,13,FALSE)</f>
        <v>0</v>
      </c>
      <c r="AR329" s="903">
        <f>SUM(AF329:AQ329)</f>
        <v>0</v>
      </c>
      <c r="AS329" s="1569"/>
      <c r="AT329" s="1569"/>
      <c r="AU329" s="1436"/>
    </row>
    <row r="330" spans="1:47" x14ac:dyDescent="0.2">
      <c r="A330" s="205"/>
      <c r="B330" s="641"/>
      <c r="C330" s="621" t="s">
        <v>885</v>
      </c>
      <c r="D330" s="621"/>
      <c r="E330" s="621" t="s">
        <v>881</v>
      </c>
      <c r="F330" s="621" t="s">
        <v>23</v>
      </c>
      <c r="G330" s="622"/>
      <c r="H330" s="623"/>
      <c r="I330" s="297"/>
      <c r="J330" s="296"/>
      <c r="K330" s="296"/>
      <c r="L330" s="296"/>
      <c r="M330" s="296"/>
      <c r="N330" s="297"/>
      <c r="O330" s="297"/>
      <c r="P330" s="297"/>
      <c r="Q330" s="297"/>
      <c r="R330" s="297"/>
      <c r="S330" s="297"/>
      <c r="T330" s="297"/>
      <c r="U330" s="642" t="s">
        <v>881</v>
      </c>
      <c r="W330" s="1569"/>
      <c r="X330" s="16"/>
      <c r="Y330" s="641"/>
      <c r="Z330" s="621" t="s">
        <v>885</v>
      </c>
      <c r="AA330" s="621"/>
      <c r="AB330" s="621" t="s">
        <v>881</v>
      </c>
      <c r="AC330" s="621" t="s">
        <v>23</v>
      </c>
      <c r="AD330" s="622"/>
      <c r="AE330" s="623"/>
      <c r="AF330" s="297"/>
      <c r="AG330" s="296"/>
      <c r="AH330" s="296"/>
      <c r="AI330" s="296"/>
      <c r="AJ330" s="296"/>
      <c r="AK330" s="297"/>
      <c r="AL330" s="297"/>
      <c r="AM330" s="297"/>
      <c r="AN330" s="297"/>
      <c r="AO330" s="297"/>
      <c r="AP330" s="297"/>
      <c r="AQ330" s="297"/>
      <c r="AR330" s="642" t="s">
        <v>881</v>
      </c>
      <c r="AT330" s="1569"/>
    </row>
    <row r="331" spans="1:47" x14ac:dyDescent="0.2">
      <c r="A331" s="145"/>
      <c r="B331" s="199" t="s">
        <v>869</v>
      </c>
      <c r="C331" s="3" t="s">
        <v>1105</v>
      </c>
      <c r="D331" s="3" t="s">
        <v>312</v>
      </c>
      <c r="E331" s="4" t="s">
        <v>882</v>
      </c>
      <c r="F331" s="3" t="s">
        <v>314</v>
      </c>
      <c r="G331" s="4" t="s">
        <v>313</v>
      </c>
      <c r="H331" s="299"/>
      <c r="I331" s="320"/>
      <c r="J331" s="319"/>
      <c r="K331" s="319"/>
      <c r="L331" s="319"/>
      <c r="M331" s="319" t="s">
        <v>349</v>
      </c>
      <c r="N331" s="320"/>
      <c r="O331" s="320"/>
      <c r="P331" s="320"/>
      <c r="Q331" s="320"/>
      <c r="R331" s="320"/>
      <c r="S331" s="320"/>
      <c r="T331" s="320"/>
      <c r="U331" s="643" t="s">
        <v>891</v>
      </c>
      <c r="X331" s="205"/>
      <c r="Y331" s="199" t="s">
        <v>869</v>
      </c>
      <c r="Z331" s="3" t="s">
        <v>1105</v>
      </c>
      <c r="AA331" s="3" t="s">
        <v>312</v>
      </c>
      <c r="AB331" s="4" t="s">
        <v>882</v>
      </c>
      <c r="AC331" s="3" t="s">
        <v>314</v>
      </c>
      <c r="AD331" s="4" t="s">
        <v>313</v>
      </c>
      <c r="AE331" s="299"/>
      <c r="AF331" s="320"/>
      <c r="AG331" s="319"/>
      <c r="AH331" s="319"/>
      <c r="AI331" s="319"/>
      <c r="AJ331" s="319" t="s">
        <v>349</v>
      </c>
      <c r="AK331" s="320"/>
      <c r="AL331" s="320"/>
      <c r="AM331" s="320"/>
      <c r="AN331" s="320"/>
      <c r="AO331" s="320"/>
      <c r="AP331" s="320"/>
      <c r="AQ331" s="320"/>
      <c r="AR331" s="643" t="s">
        <v>891</v>
      </c>
    </row>
    <row r="332" spans="1:47" ht="15.05" thickBot="1" x14ac:dyDescent="0.35">
      <c r="A332" s="205"/>
      <c r="B332" s="5042"/>
      <c r="C332" s="1056">
        <f>IF(B332=0,0,U$329)</f>
        <v>0</v>
      </c>
      <c r="D332" s="1056">
        <f>IF(B332=0,0,VLOOKUP(B332,Precios!$B$216:$D$307,3,FALSE))</f>
        <v>0</v>
      </c>
      <c r="E332" s="5043"/>
      <c r="F332" s="300"/>
      <c r="G332" s="300"/>
      <c r="H332" s="309"/>
      <c r="I332" s="1072">
        <f>IF($C332&gt;0,I$329*$E332,0)</f>
        <v>0</v>
      </c>
      <c r="J332" s="1033">
        <f t="shared" ref="J332:T349" si="201">IF($C332&gt;0,J$329*$E332,0)</f>
        <v>0</v>
      </c>
      <c r="K332" s="1033">
        <f t="shared" si="201"/>
        <v>0</v>
      </c>
      <c r="L332" s="1033">
        <f t="shared" si="201"/>
        <v>0</v>
      </c>
      <c r="M332" s="1033">
        <f t="shared" si="201"/>
        <v>0</v>
      </c>
      <c r="N332" s="1033">
        <f t="shared" si="201"/>
        <v>0</v>
      </c>
      <c r="O332" s="1033">
        <f t="shared" si="201"/>
        <v>0</v>
      </c>
      <c r="P332" s="1033">
        <f t="shared" si="201"/>
        <v>0</v>
      </c>
      <c r="Q332" s="1033">
        <f t="shared" si="201"/>
        <v>0</v>
      </c>
      <c r="R332" s="1033">
        <f t="shared" si="201"/>
        <v>0</v>
      </c>
      <c r="S332" s="1033">
        <f t="shared" si="201"/>
        <v>0</v>
      </c>
      <c r="T332" s="1033">
        <f t="shared" si="201"/>
        <v>0</v>
      </c>
      <c r="U332" s="1073">
        <f t="shared" ref="U332:U353" si="202">SUM(I332:T332)</f>
        <v>0</v>
      </c>
      <c r="V332" s="232" t="str">
        <f>B332&amp;"propia"</f>
        <v>propia</v>
      </c>
      <c r="X332" s="205"/>
      <c r="Y332" s="5042"/>
      <c r="Z332" s="1056">
        <f>IF(Y332=0,0,AR$329)</f>
        <v>0</v>
      </c>
      <c r="AA332" s="1056">
        <f>IF(Y332=0,0,VLOOKUP(Y332,Precios!$B$216:$D$307,3,FALSE))</f>
        <v>0</v>
      </c>
      <c r="AB332" s="1069"/>
      <c r="AC332" s="300"/>
      <c r="AD332" s="300"/>
      <c r="AE332" s="309"/>
      <c r="AF332" s="1072">
        <f>IF($Z332&gt;0,AF$329*$AB332,0)</f>
        <v>0</v>
      </c>
      <c r="AG332" s="1033">
        <f t="shared" ref="AG332:AQ349" si="203">IF($Z332&gt;0,AG$329*$AB332,0)</f>
        <v>0</v>
      </c>
      <c r="AH332" s="1033">
        <f t="shared" si="203"/>
        <v>0</v>
      </c>
      <c r="AI332" s="1033">
        <f t="shared" si="203"/>
        <v>0</v>
      </c>
      <c r="AJ332" s="1033">
        <f t="shared" si="203"/>
        <v>0</v>
      </c>
      <c r="AK332" s="1033">
        <f t="shared" si="203"/>
        <v>0</v>
      </c>
      <c r="AL332" s="1033">
        <f t="shared" si="203"/>
        <v>0</v>
      </c>
      <c r="AM332" s="1033">
        <f t="shared" si="203"/>
        <v>0</v>
      </c>
      <c r="AN332" s="1033">
        <f t="shared" si="203"/>
        <v>0</v>
      </c>
      <c r="AO332" s="1033">
        <f t="shared" si="203"/>
        <v>0</v>
      </c>
      <c r="AP332" s="1033">
        <f t="shared" si="203"/>
        <v>0</v>
      </c>
      <c r="AQ332" s="1033">
        <f t="shared" si="203"/>
        <v>0</v>
      </c>
      <c r="AR332" s="1073">
        <f t="shared" ref="AR332:AR350" si="204">SUM(AF332:AQ332)</f>
        <v>0</v>
      </c>
      <c r="AS332" s="232" t="str">
        <f>Y332&amp;"propia"</f>
        <v>propia</v>
      </c>
    </row>
    <row r="333" spans="1:47" ht="15.05" thickBot="1" x14ac:dyDescent="0.35">
      <c r="A333" s="205"/>
      <c r="B333" s="5044"/>
      <c r="C333" s="985">
        <f>IF(B333=0,0,U$329)</f>
        <v>0</v>
      </c>
      <c r="D333" s="985">
        <f>IF(B333=0,0,VLOOKUP(B333,Precios!$B$216:$D$307,3,FALSE))</f>
        <v>0</v>
      </c>
      <c r="E333" s="5045"/>
      <c r="F333" s="300"/>
      <c r="G333" s="300"/>
      <c r="H333" s="309"/>
      <c r="I333" s="1074">
        <f>IF($C333&gt;0,I$329*$E333,0)</f>
        <v>0</v>
      </c>
      <c r="J333" s="1005">
        <f t="shared" si="201"/>
        <v>0</v>
      </c>
      <c r="K333" s="1005">
        <f t="shared" si="201"/>
        <v>0</v>
      </c>
      <c r="L333" s="1005">
        <f t="shared" si="201"/>
        <v>0</v>
      </c>
      <c r="M333" s="1005">
        <f t="shared" si="201"/>
        <v>0</v>
      </c>
      <c r="N333" s="1005">
        <f t="shared" si="201"/>
        <v>0</v>
      </c>
      <c r="O333" s="1005">
        <f t="shared" si="201"/>
        <v>0</v>
      </c>
      <c r="P333" s="1005">
        <f t="shared" si="201"/>
        <v>0</v>
      </c>
      <c r="Q333" s="1005">
        <f t="shared" si="201"/>
        <v>0</v>
      </c>
      <c r="R333" s="1005">
        <f t="shared" si="201"/>
        <v>0</v>
      </c>
      <c r="S333" s="1005">
        <f t="shared" si="201"/>
        <v>0</v>
      </c>
      <c r="T333" s="1005">
        <f t="shared" si="201"/>
        <v>0</v>
      </c>
      <c r="U333" s="1075">
        <f t="shared" si="202"/>
        <v>0</v>
      </c>
      <c r="V333" s="232" t="str">
        <f>B333&amp;"propia"</f>
        <v>propia</v>
      </c>
      <c r="X333" s="301"/>
      <c r="Y333" s="5044"/>
      <c r="Z333" s="985">
        <f>IF(Y333=0,0,AR$329)</f>
        <v>0</v>
      </c>
      <c r="AA333" s="985">
        <f>IF(Y333=0,0,VLOOKUP(Y333,Precios!$B$216:$D$307,3,FALSE))</f>
        <v>0</v>
      </c>
      <c r="AB333" s="1070"/>
      <c r="AC333" s="300"/>
      <c r="AD333" s="300"/>
      <c r="AE333" s="309"/>
      <c r="AF333" s="1074">
        <f>IF($Z333&gt;0,AF$329*$AB333,0)</f>
        <v>0</v>
      </c>
      <c r="AG333" s="1005">
        <f t="shared" si="203"/>
        <v>0</v>
      </c>
      <c r="AH333" s="1005">
        <f t="shared" si="203"/>
        <v>0</v>
      </c>
      <c r="AI333" s="1005">
        <f t="shared" si="203"/>
        <v>0</v>
      </c>
      <c r="AJ333" s="1005">
        <f t="shared" si="203"/>
        <v>0</v>
      </c>
      <c r="AK333" s="1005">
        <f t="shared" si="203"/>
        <v>0</v>
      </c>
      <c r="AL333" s="1005">
        <f t="shared" si="203"/>
        <v>0</v>
      </c>
      <c r="AM333" s="1005">
        <f t="shared" si="203"/>
        <v>0</v>
      </c>
      <c r="AN333" s="1005">
        <f t="shared" si="203"/>
        <v>0</v>
      </c>
      <c r="AO333" s="1005">
        <f t="shared" si="203"/>
        <v>0</v>
      </c>
      <c r="AP333" s="1005">
        <f t="shared" si="203"/>
        <v>0</v>
      </c>
      <c r="AQ333" s="1005">
        <f t="shared" si="203"/>
        <v>0</v>
      </c>
      <c r="AR333" s="1075">
        <f t="shared" si="204"/>
        <v>0</v>
      </c>
      <c r="AS333" s="232" t="str">
        <f>Y333&amp;"propia"</f>
        <v>propia</v>
      </c>
    </row>
    <row r="334" spans="1:47" ht="15.05" thickBot="1" x14ac:dyDescent="0.35">
      <c r="A334" s="205"/>
      <c r="B334" s="5044"/>
      <c r="C334" s="985">
        <f>IF(B334=0,0,U$329)</f>
        <v>0</v>
      </c>
      <c r="D334" s="985">
        <f>IF(B334=0,0,VLOOKUP(B334,Precios!$B$216:$D$307,3,FALSE))</f>
        <v>0</v>
      </c>
      <c r="E334" s="5045"/>
      <c r="F334" s="300"/>
      <c r="G334" s="300"/>
      <c r="H334" s="309"/>
      <c r="I334" s="1074">
        <f>IF($C334&gt;0,I$329*$E334,0)</f>
        <v>0</v>
      </c>
      <c r="J334" s="1005">
        <f t="shared" si="201"/>
        <v>0</v>
      </c>
      <c r="K334" s="1005">
        <f t="shared" si="201"/>
        <v>0</v>
      </c>
      <c r="L334" s="1005">
        <f t="shared" si="201"/>
        <v>0</v>
      </c>
      <c r="M334" s="1005">
        <f t="shared" si="201"/>
        <v>0</v>
      </c>
      <c r="N334" s="1005">
        <f t="shared" si="201"/>
        <v>0</v>
      </c>
      <c r="O334" s="1005">
        <f t="shared" si="201"/>
        <v>0</v>
      </c>
      <c r="P334" s="1005">
        <f t="shared" si="201"/>
        <v>0</v>
      </c>
      <c r="Q334" s="1005">
        <f t="shared" si="201"/>
        <v>0</v>
      </c>
      <c r="R334" s="1005">
        <f t="shared" si="201"/>
        <v>0</v>
      </c>
      <c r="S334" s="1005">
        <f t="shared" si="201"/>
        <v>0</v>
      </c>
      <c r="T334" s="1005">
        <f t="shared" si="201"/>
        <v>0</v>
      </c>
      <c r="U334" s="1075">
        <f t="shared" si="202"/>
        <v>0</v>
      </c>
      <c r="V334" s="232" t="str">
        <f>B334&amp;"propia"</f>
        <v>propia</v>
      </c>
      <c r="X334" s="301"/>
      <c r="Y334" s="5044"/>
      <c r="Z334" s="985">
        <f>IF(Y334=0,0,AR$329)</f>
        <v>0</v>
      </c>
      <c r="AA334" s="985">
        <f>IF(Y334=0,0,VLOOKUP(Y334,Precios!$B$216:$D$307,3,FALSE))</f>
        <v>0</v>
      </c>
      <c r="AB334" s="1070"/>
      <c r="AC334" s="300"/>
      <c r="AD334" s="300"/>
      <c r="AE334" s="309"/>
      <c r="AF334" s="1074">
        <f>IF($Z334&gt;0,AF$329*$AB334,0)</f>
        <v>0</v>
      </c>
      <c r="AG334" s="1005">
        <f t="shared" si="203"/>
        <v>0</v>
      </c>
      <c r="AH334" s="1005">
        <f t="shared" si="203"/>
        <v>0</v>
      </c>
      <c r="AI334" s="1005">
        <f t="shared" si="203"/>
        <v>0</v>
      </c>
      <c r="AJ334" s="1005">
        <f t="shared" si="203"/>
        <v>0</v>
      </c>
      <c r="AK334" s="1005">
        <f t="shared" si="203"/>
        <v>0</v>
      </c>
      <c r="AL334" s="1005">
        <f t="shared" si="203"/>
        <v>0</v>
      </c>
      <c r="AM334" s="1005">
        <f t="shared" si="203"/>
        <v>0</v>
      </c>
      <c r="AN334" s="1005">
        <f t="shared" si="203"/>
        <v>0</v>
      </c>
      <c r="AO334" s="1005">
        <f t="shared" si="203"/>
        <v>0</v>
      </c>
      <c r="AP334" s="1005">
        <f t="shared" si="203"/>
        <v>0</v>
      </c>
      <c r="AQ334" s="1005">
        <f t="shared" si="203"/>
        <v>0</v>
      </c>
      <c r="AR334" s="1075">
        <f t="shared" si="204"/>
        <v>0</v>
      </c>
      <c r="AS334" s="232" t="str">
        <f>Y334&amp;"propia"</f>
        <v>propia</v>
      </c>
    </row>
    <row r="335" spans="1:47" ht="15.05" thickBot="1" x14ac:dyDescent="0.35">
      <c r="A335" s="205"/>
      <c r="B335" s="5044"/>
      <c r="C335" s="985">
        <f>IF(B335=0,0,U$329)</f>
        <v>0</v>
      </c>
      <c r="D335" s="985">
        <f>IF(B335=0,0,VLOOKUP(B335,Precios!$B$216:$D$307,3,FALSE))</f>
        <v>0</v>
      </c>
      <c r="E335" s="5045"/>
      <c r="F335" s="300"/>
      <c r="G335" s="300"/>
      <c r="H335" s="309"/>
      <c r="I335" s="1074">
        <f>IF($C335&gt;0,I$329*$E335,0)</f>
        <v>0</v>
      </c>
      <c r="J335" s="1005">
        <f t="shared" si="201"/>
        <v>0</v>
      </c>
      <c r="K335" s="1005">
        <f t="shared" si="201"/>
        <v>0</v>
      </c>
      <c r="L335" s="1005">
        <f t="shared" si="201"/>
        <v>0</v>
      </c>
      <c r="M335" s="1005">
        <f t="shared" si="201"/>
        <v>0</v>
      </c>
      <c r="N335" s="1005">
        <f t="shared" si="201"/>
        <v>0</v>
      </c>
      <c r="O335" s="1005">
        <f t="shared" si="201"/>
        <v>0</v>
      </c>
      <c r="P335" s="1005">
        <f t="shared" si="201"/>
        <v>0</v>
      </c>
      <c r="Q335" s="1005">
        <f t="shared" si="201"/>
        <v>0</v>
      </c>
      <c r="R335" s="1005">
        <f t="shared" si="201"/>
        <v>0</v>
      </c>
      <c r="S335" s="1005">
        <f t="shared" si="201"/>
        <v>0</v>
      </c>
      <c r="T335" s="1005">
        <f t="shared" si="201"/>
        <v>0</v>
      </c>
      <c r="U335" s="1075">
        <f t="shared" si="202"/>
        <v>0</v>
      </c>
      <c r="V335" s="232" t="str">
        <f>B335&amp;"propia"</f>
        <v>propia</v>
      </c>
      <c r="X335" s="301"/>
      <c r="Y335" s="5044"/>
      <c r="Z335" s="985">
        <f>IF(Y335=0,0,AR$329)</f>
        <v>0</v>
      </c>
      <c r="AA335" s="985">
        <f>IF(Y335=0,0,VLOOKUP(Y335,Precios!$B$216:$D$307,3,FALSE))</f>
        <v>0</v>
      </c>
      <c r="AB335" s="1070"/>
      <c r="AC335" s="300"/>
      <c r="AD335" s="300"/>
      <c r="AE335" s="309"/>
      <c r="AF335" s="1074">
        <f>IF($Z335&gt;0,AF$329*$AB335,0)</f>
        <v>0</v>
      </c>
      <c r="AG335" s="1005">
        <f t="shared" si="203"/>
        <v>0</v>
      </c>
      <c r="AH335" s="1005">
        <f t="shared" si="203"/>
        <v>0</v>
      </c>
      <c r="AI335" s="1005">
        <f t="shared" si="203"/>
        <v>0</v>
      </c>
      <c r="AJ335" s="1005">
        <f t="shared" si="203"/>
        <v>0</v>
      </c>
      <c r="AK335" s="1005">
        <f t="shared" si="203"/>
        <v>0</v>
      </c>
      <c r="AL335" s="1005">
        <f t="shared" si="203"/>
        <v>0</v>
      </c>
      <c r="AM335" s="1005">
        <f t="shared" si="203"/>
        <v>0</v>
      </c>
      <c r="AN335" s="1005">
        <f t="shared" si="203"/>
        <v>0</v>
      </c>
      <c r="AO335" s="1005">
        <f t="shared" si="203"/>
        <v>0</v>
      </c>
      <c r="AP335" s="1005">
        <f t="shared" si="203"/>
        <v>0</v>
      </c>
      <c r="AQ335" s="1005">
        <f t="shared" si="203"/>
        <v>0</v>
      </c>
      <c r="AR335" s="1075">
        <f t="shared" si="204"/>
        <v>0</v>
      </c>
      <c r="AS335" s="232" t="str">
        <f>Y335&amp;"propia"</f>
        <v>propia</v>
      </c>
    </row>
    <row r="336" spans="1:47" x14ac:dyDescent="0.3">
      <c r="A336" s="205"/>
      <c r="B336" s="5046"/>
      <c r="C336" s="1057">
        <f>IF(B336=0,0,U$329)</f>
        <v>0</v>
      </c>
      <c r="D336" s="1057">
        <f>IF(B336=0,0,VLOOKUP(B336,Precios!$B$216:$D$307,3,FALSE))</f>
        <v>0</v>
      </c>
      <c r="E336" s="5047"/>
      <c r="F336" s="300"/>
      <c r="G336" s="300"/>
      <c r="H336" s="309"/>
      <c r="I336" s="1076">
        <f>IF($C336&gt;0,I$329*$E336,0)</f>
        <v>0</v>
      </c>
      <c r="J336" s="1077">
        <f t="shared" si="201"/>
        <v>0</v>
      </c>
      <c r="K336" s="1077">
        <f t="shared" si="201"/>
        <v>0</v>
      </c>
      <c r="L336" s="1077">
        <f t="shared" si="201"/>
        <v>0</v>
      </c>
      <c r="M336" s="1077">
        <f t="shared" si="201"/>
        <v>0</v>
      </c>
      <c r="N336" s="1077">
        <f t="shared" si="201"/>
        <v>0</v>
      </c>
      <c r="O336" s="1077">
        <f t="shared" si="201"/>
        <v>0</v>
      </c>
      <c r="P336" s="1077">
        <f t="shared" si="201"/>
        <v>0</v>
      </c>
      <c r="Q336" s="1077">
        <f t="shared" si="201"/>
        <v>0</v>
      </c>
      <c r="R336" s="1077">
        <f t="shared" si="201"/>
        <v>0</v>
      </c>
      <c r="S336" s="1077">
        <f t="shared" si="201"/>
        <v>0</v>
      </c>
      <c r="T336" s="1077">
        <f t="shared" si="201"/>
        <v>0</v>
      </c>
      <c r="U336" s="1078">
        <f t="shared" si="202"/>
        <v>0</v>
      </c>
      <c r="V336" s="232" t="str">
        <f>B336&amp;"propia"</f>
        <v>propia</v>
      </c>
      <c r="X336" s="301"/>
      <c r="Y336" s="5046"/>
      <c r="Z336" s="1057">
        <f>IF(Y336=0,0,AR$329)</f>
        <v>0</v>
      </c>
      <c r="AA336" s="1057">
        <f>IF(Y336=0,0,VLOOKUP(Y336,Precios!$B$216:$D$307,3,FALSE))</f>
        <v>0</v>
      </c>
      <c r="AB336" s="1071"/>
      <c r="AC336" s="300"/>
      <c r="AD336" s="300"/>
      <c r="AE336" s="309"/>
      <c r="AF336" s="1076">
        <f>IF($Z336&gt;0,AF$329*$AB336,0)</f>
        <v>0</v>
      </c>
      <c r="AG336" s="1077">
        <f t="shared" si="203"/>
        <v>0</v>
      </c>
      <c r="AH336" s="1077">
        <f t="shared" si="203"/>
        <v>0</v>
      </c>
      <c r="AI336" s="1077">
        <f t="shared" si="203"/>
        <v>0</v>
      </c>
      <c r="AJ336" s="1077">
        <f t="shared" si="203"/>
        <v>0</v>
      </c>
      <c r="AK336" s="1077">
        <f t="shared" si="203"/>
        <v>0</v>
      </c>
      <c r="AL336" s="1077">
        <f t="shared" si="203"/>
        <v>0</v>
      </c>
      <c r="AM336" s="1077">
        <f t="shared" si="203"/>
        <v>0</v>
      </c>
      <c r="AN336" s="1077">
        <f t="shared" si="203"/>
        <v>0</v>
      </c>
      <c r="AO336" s="1077">
        <f t="shared" si="203"/>
        <v>0</v>
      </c>
      <c r="AP336" s="1077">
        <f t="shared" si="203"/>
        <v>0</v>
      </c>
      <c r="AQ336" s="1077">
        <f t="shared" si="203"/>
        <v>0</v>
      </c>
      <c r="AR336" s="1078">
        <f t="shared" si="204"/>
        <v>0</v>
      </c>
      <c r="AS336" s="232" t="str">
        <f>Y336&amp;"propia"</f>
        <v>propia</v>
      </c>
    </row>
    <row r="337" spans="1:46" x14ac:dyDescent="0.3">
      <c r="A337" s="205"/>
      <c r="B337" s="645" t="s">
        <v>1083</v>
      </c>
      <c r="C337" s="305"/>
      <c r="D337" s="305"/>
      <c r="E337" s="305"/>
      <c r="F337" s="305"/>
      <c r="G337" s="305"/>
      <c r="H337" s="306"/>
      <c r="I337" s="904">
        <f>+SUM(I332:I336)</f>
        <v>0</v>
      </c>
      <c r="J337" s="904">
        <f t="shared" ref="J337:T337" si="205">+SUM(J332:J336)</f>
        <v>0</v>
      </c>
      <c r="K337" s="904">
        <f t="shared" si="205"/>
        <v>0</v>
      </c>
      <c r="L337" s="904">
        <f t="shared" si="205"/>
        <v>0</v>
      </c>
      <c r="M337" s="904">
        <f t="shared" si="205"/>
        <v>0</v>
      </c>
      <c r="N337" s="904">
        <f t="shared" si="205"/>
        <v>0</v>
      </c>
      <c r="O337" s="904">
        <f t="shared" si="205"/>
        <v>0</v>
      </c>
      <c r="P337" s="904">
        <f t="shared" si="205"/>
        <v>0</v>
      </c>
      <c r="Q337" s="904">
        <f t="shared" si="205"/>
        <v>0</v>
      </c>
      <c r="R337" s="904">
        <f t="shared" si="205"/>
        <v>0</v>
      </c>
      <c r="S337" s="904">
        <f t="shared" si="205"/>
        <v>0</v>
      </c>
      <c r="T337" s="904">
        <f t="shared" si="205"/>
        <v>0</v>
      </c>
      <c r="U337" s="905"/>
      <c r="X337" s="301"/>
      <c r="Y337" s="645" t="s">
        <v>1083</v>
      </c>
      <c r="Z337" s="305"/>
      <c r="AA337" s="305"/>
      <c r="AB337" s="305"/>
      <c r="AC337" s="305"/>
      <c r="AD337" s="305"/>
      <c r="AE337" s="306"/>
      <c r="AF337" s="904">
        <f t="shared" ref="AF337:AQ337" si="206">SUM(AF332:AF336)</f>
        <v>0</v>
      </c>
      <c r="AG337" s="904">
        <f t="shared" si="206"/>
        <v>0</v>
      </c>
      <c r="AH337" s="904">
        <f t="shared" si="206"/>
        <v>0</v>
      </c>
      <c r="AI337" s="904">
        <f t="shared" si="206"/>
        <v>0</v>
      </c>
      <c r="AJ337" s="904">
        <f t="shared" si="206"/>
        <v>0</v>
      </c>
      <c r="AK337" s="904">
        <f t="shared" si="206"/>
        <v>0</v>
      </c>
      <c r="AL337" s="904">
        <f t="shared" si="206"/>
        <v>0</v>
      </c>
      <c r="AM337" s="904">
        <f t="shared" si="206"/>
        <v>0</v>
      </c>
      <c r="AN337" s="904">
        <f t="shared" si="206"/>
        <v>0</v>
      </c>
      <c r="AO337" s="904">
        <f t="shared" si="206"/>
        <v>0</v>
      </c>
      <c r="AP337" s="904">
        <f t="shared" si="206"/>
        <v>0</v>
      </c>
      <c r="AQ337" s="904">
        <f t="shared" si="206"/>
        <v>0</v>
      </c>
      <c r="AR337" s="905">
        <f>SUM(AF337:AQ337)</f>
        <v>0</v>
      </c>
    </row>
    <row r="338" spans="1:46" x14ac:dyDescent="0.2">
      <c r="A338" s="205"/>
      <c r="B338" s="197" t="s">
        <v>870</v>
      </c>
      <c r="C338" s="307"/>
      <c r="D338" s="307"/>
      <c r="E338" s="308"/>
      <c r="F338" s="308"/>
      <c r="G338" s="308"/>
      <c r="H338" s="307"/>
      <c r="I338" s="307"/>
      <c r="J338" s="307"/>
      <c r="K338" s="307"/>
      <c r="L338" s="307"/>
      <c r="M338" s="307"/>
      <c r="N338" s="307"/>
      <c r="O338" s="307"/>
      <c r="P338" s="307"/>
      <c r="Q338" s="307"/>
      <c r="R338" s="307"/>
      <c r="S338" s="307"/>
      <c r="T338" s="307"/>
      <c r="U338" s="646">
        <f t="shared" si="202"/>
        <v>0</v>
      </c>
      <c r="X338" s="301"/>
      <c r="Y338" s="197" t="s">
        <v>870</v>
      </c>
      <c r="Z338" s="307"/>
      <c r="AA338" s="307"/>
      <c r="AB338" s="308"/>
      <c r="AC338" s="308"/>
      <c r="AD338" s="308"/>
      <c r="AE338" s="307"/>
      <c r="AF338" s="307"/>
      <c r="AG338" s="307"/>
      <c r="AH338" s="307"/>
      <c r="AI338" s="307"/>
      <c r="AJ338" s="307"/>
      <c r="AK338" s="307"/>
      <c r="AL338" s="307"/>
      <c r="AM338" s="307"/>
      <c r="AN338" s="307"/>
      <c r="AO338" s="307"/>
      <c r="AP338" s="307"/>
      <c r="AQ338" s="307"/>
      <c r="AR338" s="646"/>
    </row>
    <row r="339" spans="1:46" ht="15.05" thickBot="1" x14ac:dyDescent="0.35">
      <c r="A339" s="205"/>
      <c r="B339" s="5042"/>
      <c r="C339" s="1056">
        <f>IF(B339=0,0,U$329)</f>
        <v>0</v>
      </c>
      <c r="D339" s="1056">
        <f>IF(B339=0,0,VLOOKUP(B339,Precios!$B$216:$D$307,3,FALSE))</f>
        <v>0</v>
      </c>
      <c r="E339" s="5048"/>
      <c r="F339" s="1249">
        <f>IF(B339=0,0,VLOOKUP(B339,Precios!$B$216:$D$307,2,FALSE))</f>
        <v>0</v>
      </c>
      <c r="G339" s="1066">
        <f>E339*F339</f>
        <v>0</v>
      </c>
      <c r="H339" s="309"/>
      <c r="I339" s="1072">
        <f>IF($C339&gt;0,I$329*$E339,0)</f>
        <v>0</v>
      </c>
      <c r="J339" s="1033">
        <f t="shared" si="201"/>
        <v>0</v>
      </c>
      <c r="K339" s="1033">
        <f t="shared" si="201"/>
        <v>0</v>
      </c>
      <c r="L339" s="1033">
        <f t="shared" si="201"/>
        <v>0</v>
      </c>
      <c r="M339" s="1033">
        <f t="shared" si="201"/>
        <v>0</v>
      </c>
      <c r="N339" s="1033">
        <f t="shared" si="201"/>
        <v>0</v>
      </c>
      <c r="O339" s="1033">
        <f t="shared" si="201"/>
        <v>0</v>
      </c>
      <c r="P339" s="1033">
        <f t="shared" si="201"/>
        <v>0</v>
      </c>
      <c r="Q339" s="1033">
        <f t="shared" si="201"/>
        <v>0</v>
      </c>
      <c r="R339" s="1033">
        <f t="shared" si="201"/>
        <v>0</v>
      </c>
      <c r="S339" s="1033">
        <f t="shared" si="201"/>
        <v>0</v>
      </c>
      <c r="T339" s="1033">
        <f t="shared" si="201"/>
        <v>0</v>
      </c>
      <c r="U339" s="1073">
        <f t="shared" si="202"/>
        <v>0</v>
      </c>
      <c r="V339" s="232" t="str">
        <f>B339&amp;"contratada"</f>
        <v>contratada</v>
      </c>
      <c r="X339" s="301"/>
      <c r="Y339" s="5042"/>
      <c r="Z339" s="1056">
        <f>IF(Y339=0,0,AR$329)</f>
        <v>0</v>
      </c>
      <c r="AA339" s="1056">
        <f>IF(Y339=0,0,VLOOKUP(Y339,Precios!$B$216:$D$307,3,FALSE))</f>
        <v>0</v>
      </c>
      <c r="AB339" s="1058"/>
      <c r="AC339" s="1249">
        <f>IF(Y339=0,0,VLOOKUP(Y339,Precios!$B$216:$D$307,2,FALSE))</f>
        <v>0</v>
      </c>
      <c r="AD339" s="1066">
        <f>AB339*AC339</f>
        <v>0</v>
      </c>
      <c r="AE339" s="309"/>
      <c r="AF339" s="1072">
        <f>IF($Z339&gt;0,AF$329*$AB339,0)</f>
        <v>0</v>
      </c>
      <c r="AG339" s="1033">
        <f t="shared" si="203"/>
        <v>0</v>
      </c>
      <c r="AH339" s="1033">
        <f t="shared" si="203"/>
        <v>0</v>
      </c>
      <c r="AI339" s="1033">
        <f t="shared" si="203"/>
        <v>0</v>
      </c>
      <c r="AJ339" s="1033">
        <f t="shared" si="203"/>
        <v>0</v>
      </c>
      <c r="AK339" s="1033">
        <f t="shared" si="203"/>
        <v>0</v>
      </c>
      <c r="AL339" s="1033">
        <f t="shared" si="203"/>
        <v>0</v>
      </c>
      <c r="AM339" s="1033">
        <f t="shared" si="203"/>
        <v>0</v>
      </c>
      <c r="AN339" s="1033">
        <f t="shared" si="203"/>
        <v>0</v>
      </c>
      <c r="AO339" s="1033">
        <f t="shared" si="203"/>
        <v>0</v>
      </c>
      <c r="AP339" s="1033">
        <f t="shared" si="203"/>
        <v>0</v>
      </c>
      <c r="AQ339" s="1033">
        <f t="shared" si="203"/>
        <v>0</v>
      </c>
      <c r="AR339" s="1073">
        <f t="shared" si="204"/>
        <v>0</v>
      </c>
      <c r="AS339" s="232" t="str">
        <f>Y339&amp;"contratada"</f>
        <v>contratada</v>
      </c>
    </row>
    <row r="340" spans="1:46" ht="15.05" thickBot="1" x14ac:dyDescent="0.35">
      <c r="A340" s="205"/>
      <c r="B340" s="5044"/>
      <c r="C340" s="985">
        <f t="shared" ref="C340:C363" si="207">IF(B340=0,0,U$329)</f>
        <v>0</v>
      </c>
      <c r="D340" s="985">
        <f>IF(B340=0,0,VLOOKUP(B340,Precios!$B$216:$D$307,3,FALSE))</f>
        <v>0</v>
      </c>
      <c r="E340" s="5049"/>
      <c r="F340" s="2253">
        <f>IF(B340=0,0,VLOOKUP(B340,Precios!$B$216:$D$307,2,FALSE))</f>
        <v>0</v>
      </c>
      <c r="G340" s="1067">
        <f>E340*F340</f>
        <v>0</v>
      </c>
      <c r="H340" s="309"/>
      <c r="I340" s="1074">
        <f>IF($C340&gt;0,I$329*$E340,0)</f>
        <v>0</v>
      </c>
      <c r="J340" s="1005">
        <f t="shared" si="201"/>
        <v>0</v>
      </c>
      <c r="K340" s="1005">
        <f t="shared" si="201"/>
        <v>0</v>
      </c>
      <c r="L340" s="1005">
        <f t="shared" si="201"/>
        <v>0</v>
      </c>
      <c r="M340" s="1005">
        <f t="shared" si="201"/>
        <v>0</v>
      </c>
      <c r="N340" s="1005">
        <f t="shared" si="201"/>
        <v>0</v>
      </c>
      <c r="O340" s="1005">
        <f t="shared" si="201"/>
        <v>0</v>
      </c>
      <c r="P340" s="1005">
        <f t="shared" si="201"/>
        <v>0</v>
      </c>
      <c r="Q340" s="1005">
        <f t="shared" si="201"/>
        <v>0</v>
      </c>
      <c r="R340" s="1005">
        <f t="shared" si="201"/>
        <v>0</v>
      </c>
      <c r="S340" s="1005">
        <f t="shared" si="201"/>
        <v>0</v>
      </c>
      <c r="T340" s="1005">
        <f t="shared" si="201"/>
        <v>0</v>
      </c>
      <c r="U340" s="1075">
        <f t="shared" si="202"/>
        <v>0</v>
      </c>
      <c r="V340" s="232" t="str">
        <f>B340&amp;"contratada"</f>
        <v>contratada</v>
      </c>
      <c r="X340" s="301"/>
      <c r="Y340" s="5044"/>
      <c r="Z340" s="985">
        <f t="shared" ref="Z340:Z363" si="208">IF(Y340=0,0,AR$329)</f>
        <v>0</v>
      </c>
      <c r="AA340" s="985">
        <f>IF(Y340=0,0,VLOOKUP(Y340,Precios!$B$216:$D$307,3,FALSE))</f>
        <v>0</v>
      </c>
      <c r="AB340" s="986"/>
      <c r="AC340" s="2253">
        <f>IF(Y340=0,0,VLOOKUP(Y340,Precios!$B$216:$D$307,2,FALSE))</f>
        <v>0</v>
      </c>
      <c r="AD340" s="1067">
        <f>AB340*AC340</f>
        <v>0</v>
      </c>
      <c r="AE340" s="309"/>
      <c r="AF340" s="1074">
        <f>IF($Z340&gt;0,AF$329*$AB340,0)</f>
        <v>0</v>
      </c>
      <c r="AG340" s="1005">
        <f t="shared" si="203"/>
        <v>0</v>
      </c>
      <c r="AH340" s="1005">
        <f t="shared" si="203"/>
        <v>0</v>
      </c>
      <c r="AI340" s="1005">
        <f t="shared" si="203"/>
        <v>0</v>
      </c>
      <c r="AJ340" s="1005">
        <f t="shared" si="203"/>
        <v>0</v>
      </c>
      <c r="AK340" s="1005">
        <f t="shared" si="203"/>
        <v>0</v>
      </c>
      <c r="AL340" s="1005">
        <f t="shared" si="203"/>
        <v>0</v>
      </c>
      <c r="AM340" s="1005">
        <f t="shared" si="203"/>
        <v>0</v>
      </c>
      <c r="AN340" s="1005">
        <f t="shared" si="203"/>
        <v>0</v>
      </c>
      <c r="AO340" s="1005">
        <f t="shared" si="203"/>
        <v>0</v>
      </c>
      <c r="AP340" s="1005">
        <f t="shared" si="203"/>
        <v>0</v>
      </c>
      <c r="AQ340" s="1005">
        <f t="shared" si="203"/>
        <v>0</v>
      </c>
      <c r="AR340" s="1075">
        <f t="shared" si="204"/>
        <v>0</v>
      </c>
      <c r="AS340" s="232" t="str">
        <f>Y340&amp;"contratada"</f>
        <v>contratada</v>
      </c>
    </row>
    <row r="341" spans="1:46" ht="15.05" thickBot="1" x14ac:dyDescent="0.35">
      <c r="A341" s="205"/>
      <c r="B341" s="5044"/>
      <c r="C341" s="985">
        <f t="shared" si="207"/>
        <v>0</v>
      </c>
      <c r="D341" s="985">
        <f>IF(B341=0,0,VLOOKUP(B341,Precios!$B$216:$D$307,3,FALSE))</f>
        <v>0</v>
      </c>
      <c r="E341" s="5049"/>
      <c r="F341" s="2253">
        <f>IF(B341=0,0,VLOOKUP(B341,Precios!$B$216:$D$307,2,FALSE))</f>
        <v>0</v>
      </c>
      <c r="G341" s="1067">
        <f>E341*F341</f>
        <v>0</v>
      </c>
      <c r="H341" s="309"/>
      <c r="I341" s="1074">
        <f>IF($C341&gt;0,I$329*$E341,0)</f>
        <v>0</v>
      </c>
      <c r="J341" s="1005">
        <f t="shared" si="201"/>
        <v>0</v>
      </c>
      <c r="K341" s="1005">
        <f t="shared" si="201"/>
        <v>0</v>
      </c>
      <c r="L341" s="1005">
        <f t="shared" si="201"/>
        <v>0</v>
      </c>
      <c r="M341" s="1005">
        <f t="shared" si="201"/>
        <v>0</v>
      </c>
      <c r="N341" s="1005">
        <f t="shared" si="201"/>
        <v>0</v>
      </c>
      <c r="O341" s="1005">
        <f t="shared" si="201"/>
        <v>0</v>
      </c>
      <c r="P341" s="1005">
        <f t="shared" si="201"/>
        <v>0</v>
      </c>
      <c r="Q341" s="1005">
        <f t="shared" si="201"/>
        <v>0</v>
      </c>
      <c r="R341" s="1005">
        <f t="shared" si="201"/>
        <v>0</v>
      </c>
      <c r="S341" s="1005">
        <f t="shared" si="201"/>
        <v>0</v>
      </c>
      <c r="T341" s="1005">
        <f t="shared" si="201"/>
        <v>0</v>
      </c>
      <c r="U341" s="1075">
        <f t="shared" si="202"/>
        <v>0</v>
      </c>
      <c r="V341" s="232" t="str">
        <f>B341&amp;"contratada"</f>
        <v>contratada</v>
      </c>
      <c r="X341" s="301"/>
      <c r="Y341" s="5044"/>
      <c r="Z341" s="985">
        <f t="shared" si="208"/>
        <v>0</v>
      </c>
      <c r="AA341" s="985">
        <f>IF(Y341=0,0,VLOOKUP(Y341,Precios!$B$216:$D$307,3,FALSE))</f>
        <v>0</v>
      </c>
      <c r="AB341" s="986"/>
      <c r="AC341" s="2253">
        <f>IF(Y341=0,0,VLOOKUP(Y341,Precios!$B$216:$D$307,2,FALSE))</f>
        <v>0</v>
      </c>
      <c r="AD341" s="1067">
        <f>AB341*AC341</f>
        <v>0</v>
      </c>
      <c r="AE341" s="309"/>
      <c r="AF341" s="1074">
        <f>IF($Z341&gt;0,AF$329*$AB341,0)</f>
        <v>0</v>
      </c>
      <c r="AG341" s="1005">
        <f t="shared" si="203"/>
        <v>0</v>
      </c>
      <c r="AH341" s="1005">
        <f t="shared" si="203"/>
        <v>0</v>
      </c>
      <c r="AI341" s="1005">
        <f t="shared" si="203"/>
        <v>0</v>
      </c>
      <c r="AJ341" s="1005">
        <f t="shared" si="203"/>
        <v>0</v>
      </c>
      <c r="AK341" s="1005">
        <f t="shared" si="203"/>
        <v>0</v>
      </c>
      <c r="AL341" s="1005">
        <f t="shared" si="203"/>
        <v>0</v>
      </c>
      <c r="AM341" s="1005">
        <f t="shared" si="203"/>
        <v>0</v>
      </c>
      <c r="AN341" s="1005">
        <f t="shared" si="203"/>
        <v>0</v>
      </c>
      <c r="AO341" s="1005">
        <f t="shared" si="203"/>
        <v>0</v>
      </c>
      <c r="AP341" s="1005">
        <f t="shared" si="203"/>
        <v>0</v>
      </c>
      <c r="AQ341" s="1005">
        <f t="shared" si="203"/>
        <v>0</v>
      </c>
      <c r="AR341" s="1075">
        <f t="shared" si="204"/>
        <v>0</v>
      </c>
      <c r="AS341" s="232" t="str">
        <f>Y341&amp;"contratada"</f>
        <v>contratada</v>
      </c>
    </row>
    <row r="342" spans="1:46" ht="15.05" thickBot="1" x14ac:dyDescent="0.35">
      <c r="A342" s="205"/>
      <c r="B342" s="5044"/>
      <c r="C342" s="985">
        <f t="shared" si="207"/>
        <v>0</v>
      </c>
      <c r="D342" s="985">
        <f>IF(B342=0,0,VLOOKUP(B342,Precios!$B$216:$D$307,3,FALSE))</f>
        <v>0</v>
      </c>
      <c r="E342" s="5049"/>
      <c r="F342" s="2253">
        <f>IF(B342=0,0,VLOOKUP(B342,Precios!$B$216:$D$307,2,FALSE))</f>
        <v>0</v>
      </c>
      <c r="G342" s="1067">
        <f>E342*F342</f>
        <v>0</v>
      </c>
      <c r="H342" s="309"/>
      <c r="I342" s="1074">
        <f>IF($C342&gt;0,I$329*$E342,0)</f>
        <v>0</v>
      </c>
      <c r="J342" s="1005">
        <f t="shared" si="201"/>
        <v>0</v>
      </c>
      <c r="K342" s="1005">
        <f t="shared" si="201"/>
        <v>0</v>
      </c>
      <c r="L342" s="1005">
        <f t="shared" si="201"/>
        <v>0</v>
      </c>
      <c r="M342" s="1005">
        <f t="shared" si="201"/>
        <v>0</v>
      </c>
      <c r="N342" s="1005">
        <f t="shared" si="201"/>
        <v>0</v>
      </c>
      <c r="O342" s="1005">
        <f t="shared" si="201"/>
        <v>0</v>
      </c>
      <c r="P342" s="1005">
        <f t="shared" si="201"/>
        <v>0</v>
      </c>
      <c r="Q342" s="1005">
        <f t="shared" si="201"/>
        <v>0</v>
      </c>
      <c r="R342" s="1005">
        <f t="shared" si="201"/>
        <v>0</v>
      </c>
      <c r="S342" s="1005">
        <f t="shared" si="201"/>
        <v>0</v>
      </c>
      <c r="T342" s="1005">
        <f t="shared" si="201"/>
        <v>0</v>
      </c>
      <c r="U342" s="1075">
        <f t="shared" si="202"/>
        <v>0</v>
      </c>
      <c r="V342" s="232" t="str">
        <f>B342&amp;"contratada"</f>
        <v>contratada</v>
      </c>
      <c r="X342" s="301"/>
      <c r="Y342" s="5044"/>
      <c r="Z342" s="985">
        <f t="shared" si="208"/>
        <v>0</v>
      </c>
      <c r="AA342" s="985">
        <f>IF(Y342=0,0,VLOOKUP(Y342,Precios!$B$216:$D$307,3,FALSE))</f>
        <v>0</v>
      </c>
      <c r="AB342" s="986"/>
      <c r="AC342" s="2253">
        <f>IF(Y342=0,0,VLOOKUP(Y342,Precios!$B$216:$D$307,2,FALSE))</f>
        <v>0</v>
      </c>
      <c r="AD342" s="1067">
        <f>AB342*AC342</f>
        <v>0</v>
      </c>
      <c r="AE342" s="309"/>
      <c r="AF342" s="1074">
        <f>IF($Z342&gt;0,AF$329*$AB342,0)</f>
        <v>0</v>
      </c>
      <c r="AG342" s="1005">
        <f t="shared" si="203"/>
        <v>0</v>
      </c>
      <c r="AH342" s="1005">
        <f t="shared" si="203"/>
        <v>0</v>
      </c>
      <c r="AI342" s="1005">
        <f t="shared" si="203"/>
        <v>0</v>
      </c>
      <c r="AJ342" s="1005">
        <f t="shared" si="203"/>
        <v>0</v>
      </c>
      <c r="AK342" s="1005">
        <f t="shared" si="203"/>
        <v>0</v>
      </c>
      <c r="AL342" s="1005">
        <f t="shared" si="203"/>
        <v>0</v>
      </c>
      <c r="AM342" s="1005">
        <f t="shared" si="203"/>
        <v>0</v>
      </c>
      <c r="AN342" s="1005">
        <f t="shared" si="203"/>
        <v>0</v>
      </c>
      <c r="AO342" s="1005">
        <f t="shared" si="203"/>
        <v>0</v>
      </c>
      <c r="AP342" s="1005">
        <f t="shared" si="203"/>
        <v>0</v>
      </c>
      <c r="AQ342" s="1005">
        <f t="shared" si="203"/>
        <v>0</v>
      </c>
      <c r="AR342" s="1075">
        <f t="shared" si="204"/>
        <v>0</v>
      </c>
      <c r="AS342" s="232" t="str">
        <f>Y342&amp;"contratada"</f>
        <v>contratada</v>
      </c>
    </row>
    <row r="343" spans="1:46" x14ac:dyDescent="0.3">
      <c r="A343" s="205"/>
      <c r="B343" s="5046"/>
      <c r="C343" s="1057">
        <f t="shared" si="207"/>
        <v>0</v>
      </c>
      <c r="D343" s="1057">
        <f>IF(B343=0,0,VLOOKUP(B343,Precios!$B$216:$D$307,3,FALSE))</f>
        <v>0</v>
      </c>
      <c r="E343" s="5050"/>
      <c r="F343" s="2254">
        <f>IF(B343=0,0,VLOOKUP(B343,Precios!$B$216:$D$307,2,FALSE))</f>
        <v>0</v>
      </c>
      <c r="G343" s="1068">
        <f>E343*F343</f>
        <v>0</v>
      </c>
      <c r="H343" s="309"/>
      <c r="I343" s="1076">
        <f>IF($C343&gt;0,I$329*$E343,0)</f>
        <v>0</v>
      </c>
      <c r="J343" s="1077">
        <f t="shared" si="201"/>
        <v>0</v>
      </c>
      <c r="K343" s="1077">
        <f t="shared" si="201"/>
        <v>0</v>
      </c>
      <c r="L343" s="1077">
        <f t="shared" si="201"/>
        <v>0</v>
      </c>
      <c r="M343" s="1077">
        <f t="shared" si="201"/>
        <v>0</v>
      </c>
      <c r="N343" s="1077">
        <f t="shared" si="201"/>
        <v>0</v>
      </c>
      <c r="O343" s="1077">
        <f t="shared" si="201"/>
        <v>0</v>
      </c>
      <c r="P343" s="1077">
        <f t="shared" si="201"/>
        <v>0</v>
      </c>
      <c r="Q343" s="1077">
        <f t="shared" si="201"/>
        <v>0</v>
      </c>
      <c r="R343" s="1077">
        <f t="shared" si="201"/>
        <v>0</v>
      </c>
      <c r="S343" s="1077">
        <f t="shared" si="201"/>
        <v>0</v>
      </c>
      <c r="T343" s="1077">
        <f t="shared" si="201"/>
        <v>0</v>
      </c>
      <c r="U343" s="1078">
        <f t="shared" si="202"/>
        <v>0</v>
      </c>
      <c r="V343" s="232" t="str">
        <f>B343&amp;"contratada"</f>
        <v>contratada</v>
      </c>
      <c r="X343" s="301"/>
      <c r="Y343" s="5046"/>
      <c r="Z343" s="1057">
        <f t="shared" si="208"/>
        <v>0</v>
      </c>
      <c r="AA343" s="1057">
        <f>IF(Y343=0,0,VLOOKUP(Y343,Precios!$B$216:$D$307,3,FALSE))</f>
        <v>0</v>
      </c>
      <c r="AB343" s="1060"/>
      <c r="AC343" s="2254">
        <f>IF(Y343=0,0,VLOOKUP(Y343,Precios!$B$216:$D$307,2,FALSE))</f>
        <v>0</v>
      </c>
      <c r="AD343" s="1068">
        <f>AB343*AC343</f>
        <v>0</v>
      </c>
      <c r="AE343" s="309"/>
      <c r="AF343" s="1076">
        <f>IF($Z343&gt;0,AF$329*$AB343,0)</f>
        <v>0</v>
      </c>
      <c r="AG343" s="1077">
        <f t="shared" si="203"/>
        <v>0</v>
      </c>
      <c r="AH343" s="1077">
        <f t="shared" si="203"/>
        <v>0</v>
      </c>
      <c r="AI343" s="1077">
        <f t="shared" si="203"/>
        <v>0</v>
      </c>
      <c r="AJ343" s="1077">
        <f t="shared" si="203"/>
        <v>0</v>
      </c>
      <c r="AK343" s="1077">
        <f t="shared" si="203"/>
        <v>0</v>
      </c>
      <c r="AL343" s="1077">
        <f t="shared" si="203"/>
        <v>0</v>
      </c>
      <c r="AM343" s="1077">
        <f t="shared" si="203"/>
        <v>0</v>
      </c>
      <c r="AN343" s="1077">
        <f t="shared" si="203"/>
        <v>0</v>
      </c>
      <c r="AO343" s="1077">
        <f t="shared" si="203"/>
        <v>0</v>
      </c>
      <c r="AP343" s="1077">
        <f t="shared" si="203"/>
        <v>0</v>
      </c>
      <c r="AQ343" s="1077">
        <f t="shared" si="203"/>
        <v>0</v>
      </c>
      <c r="AR343" s="1078">
        <f t="shared" si="204"/>
        <v>0</v>
      </c>
      <c r="AS343" s="232" t="str">
        <f>Y343&amp;"contratada"</f>
        <v>contratada</v>
      </c>
    </row>
    <row r="344" spans="1:46" x14ac:dyDescent="0.3">
      <c r="A344" s="205"/>
      <c r="B344" s="647" t="s">
        <v>1084</v>
      </c>
      <c r="C344" s="305"/>
      <c r="D344" s="305"/>
      <c r="E344" s="305"/>
      <c r="F344" s="650"/>
      <c r="G344" s="305"/>
      <c r="H344" s="310"/>
      <c r="I344" s="904">
        <f t="shared" ref="I344:T344" si="209">SUM(I339:I343)</f>
        <v>0</v>
      </c>
      <c r="J344" s="904">
        <f t="shared" si="209"/>
        <v>0</v>
      </c>
      <c r="K344" s="904">
        <f t="shared" si="209"/>
        <v>0</v>
      </c>
      <c r="L344" s="904">
        <f t="shared" si="209"/>
        <v>0</v>
      </c>
      <c r="M344" s="904">
        <f t="shared" si="209"/>
        <v>0</v>
      </c>
      <c r="N344" s="904">
        <f t="shared" si="209"/>
        <v>0</v>
      </c>
      <c r="O344" s="904">
        <f t="shared" si="209"/>
        <v>0</v>
      </c>
      <c r="P344" s="904">
        <f t="shared" si="209"/>
        <v>0</v>
      </c>
      <c r="Q344" s="904">
        <f t="shared" si="209"/>
        <v>0</v>
      </c>
      <c r="R344" s="904">
        <f t="shared" si="209"/>
        <v>0</v>
      </c>
      <c r="S344" s="904">
        <f t="shared" si="209"/>
        <v>0</v>
      </c>
      <c r="T344" s="904">
        <f t="shared" si="209"/>
        <v>0</v>
      </c>
      <c r="U344" s="905">
        <f>SUM(I344:T344)</f>
        <v>0</v>
      </c>
      <c r="W344" s="232" t="str">
        <f>B338&amp;B328</f>
        <v>Labores con maquinaria contratada0</v>
      </c>
      <c r="X344" s="301"/>
      <c r="Y344" s="647" t="s">
        <v>1084</v>
      </c>
      <c r="Z344" s="305"/>
      <c r="AA344" s="305"/>
      <c r="AB344" s="305"/>
      <c r="AC344" s="650"/>
      <c r="AD344" s="305"/>
      <c r="AE344" s="310"/>
      <c r="AF344" s="904">
        <f t="shared" ref="AF344:AQ344" si="210">SUM(AF339:AF343)</f>
        <v>0</v>
      </c>
      <c r="AG344" s="904">
        <f t="shared" si="210"/>
        <v>0</v>
      </c>
      <c r="AH344" s="904">
        <f t="shared" si="210"/>
        <v>0</v>
      </c>
      <c r="AI344" s="904">
        <f t="shared" si="210"/>
        <v>0</v>
      </c>
      <c r="AJ344" s="904">
        <f t="shared" si="210"/>
        <v>0</v>
      </c>
      <c r="AK344" s="904">
        <f t="shared" si="210"/>
        <v>0</v>
      </c>
      <c r="AL344" s="904">
        <f t="shared" si="210"/>
        <v>0</v>
      </c>
      <c r="AM344" s="904">
        <f t="shared" si="210"/>
        <v>0</v>
      </c>
      <c r="AN344" s="904">
        <f t="shared" si="210"/>
        <v>0</v>
      </c>
      <c r="AO344" s="904">
        <f t="shared" si="210"/>
        <v>0</v>
      </c>
      <c r="AP344" s="904">
        <f t="shared" si="210"/>
        <v>0</v>
      </c>
      <c r="AQ344" s="904">
        <f t="shared" si="210"/>
        <v>0</v>
      </c>
      <c r="AR344" s="905">
        <f>SUM(AF344:AQ344)</f>
        <v>0</v>
      </c>
      <c r="AT344" s="232" t="str">
        <f>Y338&amp;Y328</f>
        <v>Labores con maquinaria contratada0</v>
      </c>
    </row>
    <row r="345" spans="1:46" x14ac:dyDescent="0.2">
      <c r="A345" s="205"/>
      <c r="B345" s="197" t="s">
        <v>85</v>
      </c>
      <c r="C345" s="307"/>
      <c r="D345" s="307"/>
      <c r="E345" s="308"/>
      <c r="F345" s="651"/>
      <c r="G345" s="308"/>
      <c r="H345" s="308"/>
      <c r="I345" s="311"/>
      <c r="J345" s="311"/>
      <c r="K345" s="311"/>
      <c r="L345" s="311"/>
      <c r="M345" s="311"/>
      <c r="N345" s="311"/>
      <c r="O345" s="311"/>
      <c r="P345" s="311"/>
      <c r="Q345" s="311"/>
      <c r="R345" s="311"/>
      <c r="S345" s="311"/>
      <c r="T345" s="311"/>
      <c r="U345" s="646"/>
      <c r="X345" s="301"/>
      <c r="Y345" s="197" t="s">
        <v>85</v>
      </c>
      <c r="Z345" s="307"/>
      <c r="AA345" s="307"/>
      <c r="AB345" s="308"/>
      <c r="AC345" s="651"/>
      <c r="AD345" s="308"/>
      <c r="AE345" s="308"/>
      <c r="AF345" s="311"/>
      <c r="AG345" s="311"/>
      <c r="AH345" s="311"/>
      <c r="AI345" s="311"/>
      <c r="AJ345" s="311"/>
      <c r="AK345" s="311"/>
      <c r="AL345" s="311"/>
      <c r="AM345" s="311"/>
      <c r="AN345" s="311"/>
      <c r="AO345" s="311"/>
      <c r="AP345" s="311"/>
      <c r="AQ345" s="311"/>
      <c r="AR345" s="646"/>
    </row>
    <row r="346" spans="1:46" ht="15.05" thickBot="1" x14ac:dyDescent="0.35">
      <c r="A346" s="205"/>
      <c r="B346" s="5042"/>
      <c r="C346" s="1056">
        <f t="shared" si="207"/>
        <v>0</v>
      </c>
      <c r="D346" s="1056">
        <f>IF(B346=0,0,VLOOKUP(B346,Precios!$B$216:$D$307,3,FALSE))</f>
        <v>0</v>
      </c>
      <c r="E346" s="5048"/>
      <c r="F346" s="1062">
        <f>IF(B346=0,0,VLOOKUP(B346,Precios!$B$216:$D$307,2,FALSE))</f>
        <v>0</v>
      </c>
      <c r="G346" s="1066">
        <f t="shared" ref="G346:G353" si="211">E346*F346</f>
        <v>0</v>
      </c>
      <c r="H346" s="309"/>
      <c r="I346" s="1072">
        <f>IF($C346&gt;0,I$329*$E346,0)</f>
        <v>0</v>
      </c>
      <c r="J346" s="1033">
        <f t="shared" si="201"/>
        <v>0</v>
      </c>
      <c r="K346" s="1033">
        <f t="shared" si="201"/>
        <v>0</v>
      </c>
      <c r="L346" s="1033">
        <f t="shared" si="201"/>
        <v>0</v>
      </c>
      <c r="M346" s="1033">
        <f t="shared" si="201"/>
        <v>0</v>
      </c>
      <c r="N346" s="1033">
        <f t="shared" si="201"/>
        <v>0</v>
      </c>
      <c r="O346" s="1033">
        <f t="shared" si="201"/>
        <v>0</v>
      </c>
      <c r="P346" s="1033">
        <f t="shared" si="201"/>
        <v>0</v>
      </c>
      <c r="Q346" s="1033">
        <f t="shared" si="201"/>
        <v>0</v>
      </c>
      <c r="R346" s="1033">
        <f t="shared" si="201"/>
        <v>0</v>
      </c>
      <c r="S346" s="1033">
        <f t="shared" si="201"/>
        <v>0</v>
      </c>
      <c r="T346" s="1033">
        <f t="shared" si="201"/>
        <v>0</v>
      </c>
      <c r="U346" s="1073">
        <f t="shared" si="202"/>
        <v>0</v>
      </c>
      <c r="X346" s="301"/>
      <c r="Y346" s="5042"/>
      <c r="Z346" s="1056">
        <f t="shared" si="208"/>
        <v>0</v>
      </c>
      <c r="AA346" s="1056">
        <f>IF(Y346=0,0,VLOOKUP(Y346,Precios!$B$216:$D$307,3,FALSE))</f>
        <v>0</v>
      </c>
      <c r="AB346" s="1058"/>
      <c r="AC346" s="1062">
        <f>IF(Y346=0,0,VLOOKUP(Y346,Precios!$B$216:$D$307,2,FALSE))</f>
        <v>0</v>
      </c>
      <c r="AD346" s="1066">
        <f t="shared" ref="AD346:AD353" si="212">AB346*AC346</f>
        <v>0</v>
      </c>
      <c r="AE346" s="309"/>
      <c r="AF346" s="1072">
        <f>IF($Z346&gt;0,AF$329*$AB346,0)</f>
        <v>0</v>
      </c>
      <c r="AG346" s="1033">
        <f t="shared" si="203"/>
        <v>0</v>
      </c>
      <c r="AH346" s="1033">
        <f t="shared" si="203"/>
        <v>0</v>
      </c>
      <c r="AI346" s="1033">
        <f t="shared" si="203"/>
        <v>0</v>
      </c>
      <c r="AJ346" s="1033">
        <f t="shared" si="203"/>
        <v>0</v>
      </c>
      <c r="AK346" s="1033">
        <f t="shared" si="203"/>
        <v>0</v>
      </c>
      <c r="AL346" s="1033">
        <f t="shared" si="203"/>
        <v>0</v>
      </c>
      <c r="AM346" s="1033">
        <f t="shared" si="203"/>
        <v>0</v>
      </c>
      <c r="AN346" s="1033">
        <f t="shared" si="203"/>
        <v>0</v>
      </c>
      <c r="AO346" s="1033">
        <f t="shared" si="203"/>
        <v>0</v>
      </c>
      <c r="AP346" s="1033">
        <f t="shared" si="203"/>
        <v>0</v>
      </c>
      <c r="AQ346" s="1033">
        <f t="shared" si="203"/>
        <v>0</v>
      </c>
      <c r="AR346" s="1073">
        <f t="shared" si="204"/>
        <v>0</v>
      </c>
    </row>
    <row r="347" spans="1:46" ht="15.05" thickBot="1" x14ac:dyDescent="0.35">
      <c r="A347" s="205"/>
      <c r="B347" s="5044"/>
      <c r="C347" s="985">
        <f t="shared" si="207"/>
        <v>0</v>
      </c>
      <c r="D347" s="985">
        <f>IF(B347=0,0,VLOOKUP(B347,Precios!$B$216:$D$307,3,FALSE))</f>
        <v>0</v>
      </c>
      <c r="E347" s="5049"/>
      <c r="F347" s="1059">
        <f>IF(B347=0,0,VLOOKUP(B347,Precios!$B$216:$D$307,2,FALSE))</f>
        <v>0</v>
      </c>
      <c r="G347" s="1067">
        <f t="shared" si="211"/>
        <v>0</v>
      </c>
      <c r="H347" s="309"/>
      <c r="I347" s="1074">
        <f t="shared" ref="I347:T363" si="213">IF($C347&gt;0,I$329*$E347,0)</f>
        <v>0</v>
      </c>
      <c r="J347" s="1005">
        <f t="shared" si="201"/>
        <v>0</v>
      </c>
      <c r="K347" s="1005">
        <f t="shared" si="201"/>
        <v>0</v>
      </c>
      <c r="L347" s="1005">
        <f t="shared" si="201"/>
        <v>0</v>
      </c>
      <c r="M347" s="1005">
        <f t="shared" si="201"/>
        <v>0</v>
      </c>
      <c r="N347" s="1005">
        <f t="shared" si="201"/>
        <v>0</v>
      </c>
      <c r="O347" s="1005">
        <f t="shared" si="201"/>
        <v>0</v>
      </c>
      <c r="P347" s="1005">
        <f t="shared" si="201"/>
        <v>0</v>
      </c>
      <c r="Q347" s="1005">
        <f t="shared" si="201"/>
        <v>0</v>
      </c>
      <c r="R347" s="1005">
        <f t="shared" si="201"/>
        <v>0</v>
      </c>
      <c r="S347" s="1005">
        <f t="shared" si="201"/>
        <v>0</v>
      </c>
      <c r="T347" s="1005">
        <f t="shared" si="201"/>
        <v>0</v>
      </c>
      <c r="U347" s="1075">
        <f t="shared" si="202"/>
        <v>0</v>
      </c>
      <c r="X347" s="301"/>
      <c r="Y347" s="5044"/>
      <c r="Z347" s="985">
        <f t="shared" si="208"/>
        <v>0</v>
      </c>
      <c r="AA347" s="985">
        <f>IF(Y347=0,0,VLOOKUP(Y347,Precios!$B$216:$D$307,3,FALSE))</f>
        <v>0</v>
      </c>
      <c r="AB347" s="986"/>
      <c r="AC347" s="1059">
        <f>IF(Y347=0,0,VLOOKUP(Y347,Precios!$B$216:$D$307,2,FALSE))</f>
        <v>0</v>
      </c>
      <c r="AD347" s="1067">
        <f t="shared" si="212"/>
        <v>0</v>
      </c>
      <c r="AE347" s="309"/>
      <c r="AF347" s="1074">
        <f t="shared" ref="AF347:AQ363" si="214">IF($Z347&gt;0,AF$329*$AB347,0)</f>
        <v>0</v>
      </c>
      <c r="AG347" s="1005">
        <f t="shared" si="203"/>
        <v>0</v>
      </c>
      <c r="AH347" s="1005">
        <f t="shared" si="203"/>
        <v>0</v>
      </c>
      <c r="AI347" s="1005">
        <f t="shared" si="203"/>
        <v>0</v>
      </c>
      <c r="AJ347" s="1005">
        <f t="shared" si="203"/>
        <v>0</v>
      </c>
      <c r="AK347" s="1005">
        <f t="shared" si="203"/>
        <v>0</v>
      </c>
      <c r="AL347" s="1005">
        <f t="shared" si="203"/>
        <v>0</v>
      </c>
      <c r="AM347" s="1005">
        <f t="shared" si="203"/>
        <v>0</v>
      </c>
      <c r="AN347" s="1005">
        <f t="shared" si="203"/>
        <v>0</v>
      </c>
      <c r="AO347" s="1005">
        <f t="shared" si="203"/>
        <v>0</v>
      </c>
      <c r="AP347" s="1005">
        <f t="shared" si="203"/>
        <v>0</v>
      </c>
      <c r="AQ347" s="1005">
        <f t="shared" si="203"/>
        <v>0</v>
      </c>
      <c r="AR347" s="1075">
        <f t="shared" si="204"/>
        <v>0</v>
      </c>
    </row>
    <row r="348" spans="1:46" ht="15.05" thickBot="1" x14ac:dyDescent="0.35">
      <c r="A348" s="205"/>
      <c r="B348" s="5044"/>
      <c r="C348" s="985">
        <f t="shared" si="207"/>
        <v>0</v>
      </c>
      <c r="D348" s="985">
        <f>IF(B348=0,0,VLOOKUP(B348,Precios!$B$216:$D$307,3,FALSE))</f>
        <v>0</v>
      </c>
      <c r="E348" s="5049"/>
      <c r="F348" s="1059">
        <f>IF(B348=0,0,VLOOKUP(B348,Precios!$B$216:$D$307,2,FALSE))</f>
        <v>0</v>
      </c>
      <c r="G348" s="1067">
        <f t="shared" si="211"/>
        <v>0</v>
      </c>
      <c r="H348" s="309"/>
      <c r="I348" s="1074">
        <f t="shared" si="213"/>
        <v>0</v>
      </c>
      <c r="J348" s="1005">
        <f t="shared" si="201"/>
        <v>0</v>
      </c>
      <c r="K348" s="1005">
        <f t="shared" si="201"/>
        <v>0</v>
      </c>
      <c r="L348" s="1005">
        <f t="shared" si="201"/>
        <v>0</v>
      </c>
      <c r="M348" s="1005">
        <f t="shared" si="201"/>
        <v>0</v>
      </c>
      <c r="N348" s="1005">
        <f t="shared" si="201"/>
        <v>0</v>
      </c>
      <c r="O348" s="1005">
        <f t="shared" si="201"/>
        <v>0</v>
      </c>
      <c r="P348" s="1005">
        <f t="shared" si="201"/>
        <v>0</v>
      </c>
      <c r="Q348" s="1005">
        <f t="shared" si="201"/>
        <v>0</v>
      </c>
      <c r="R348" s="1005">
        <f t="shared" si="201"/>
        <v>0</v>
      </c>
      <c r="S348" s="1005">
        <f t="shared" si="201"/>
        <v>0</v>
      </c>
      <c r="T348" s="1005">
        <f t="shared" si="201"/>
        <v>0</v>
      </c>
      <c r="U348" s="1075">
        <f t="shared" si="202"/>
        <v>0</v>
      </c>
      <c r="X348" s="301"/>
      <c r="Y348" s="5044"/>
      <c r="Z348" s="985">
        <f t="shared" si="208"/>
        <v>0</v>
      </c>
      <c r="AA348" s="985">
        <f>IF(Y348=0,0,VLOOKUP(Y348,Precios!$B$216:$D$307,3,FALSE))</f>
        <v>0</v>
      </c>
      <c r="AB348" s="986"/>
      <c r="AC348" s="1059">
        <f>IF(Y348=0,0,VLOOKUP(Y348,Precios!$B$216:$D$307,2,FALSE))</f>
        <v>0</v>
      </c>
      <c r="AD348" s="1067">
        <f t="shared" si="212"/>
        <v>0</v>
      </c>
      <c r="AE348" s="309"/>
      <c r="AF348" s="1074">
        <f t="shared" si="214"/>
        <v>0</v>
      </c>
      <c r="AG348" s="1005">
        <f t="shared" si="203"/>
        <v>0</v>
      </c>
      <c r="AH348" s="1005">
        <f t="shared" si="203"/>
        <v>0</v>
      </c>
      <c r="AI348" s="1005">
        <f t="shared" si="203"/>
        <v>0</v>
      </c>
      <c r="AJ348" s="1005">
        <f t="shared" si="203"/>
        <v>0</v>
      </c>
      <c r="AK348" s="1005">
        <f t="shared" si="203"/>
        <v>0</v>
      </c>
      <c r="AL348" s="1005">
        <f t="shared" si="203"/>
        <v>0</v>
      </c>
      <c r="AM348" s="1005">
        <f t="shared" si="203"/>
        <v>0</v>
      </c>
      <c r="AN348" s="1005">
        <f t="shared" si="203"/>
        <v>0</v>
      </c>
      <c r="AO348" s="1005">
        <f t="shared" si="203"/>
        <v>0</v>
      </c>
      <c r="AP348" s="1005">
        <f t="shared" si="203"/>
        <v>0</v>
      </c>
      <c r="AQ348" s="1005">
        <f t="shared" si="203"/>
        <v>0</v>
      </c>
      <c r="AR348" s="1075">
        <f t="shared" si="204"/>
        <v>0</v>
      </c>
    </row>
    <row r="349" spans="1:46" ht="15.05" thickBot="1" x14ac:dyDescent="0.35">
      <c r="A349" s="205"/>
      <c r="B349" s="5044"/>
      <c r="C349" s="985">
        <f t="shared" si="207"/>
        <v>0</v>
      </c>
      <c r="D349" s="985">
        <f>IF(B349=0,0,VLOOKUP(B349,Precios!$B$216:$D$307,3,FALSE))</f>
        <v>0</v>
      </c>
      <c r="E349" s="5049"/>
      <c r="F349" s="1059">
        <f>IF(B349=0,0,VLOOKUP(B349,Precios!$B$216:$D$307,2,FALSE))</f>
        <v>0</v>
      </c>
      <c r="G349" s="1067">
        <f t="shared" si="211"/>
        <v>0</v>
      </c>
      <c r="H349" s="309"/>
      <c r="I349" s="1074">
        <f t="shared" si="213"/>
        <v>0</v>
      </c>
      <c r="J349" s="1005">
        <f t="shared" si="201"/>
        <v>0</v>
      </c>
      <c r="K349" s="1005">
        <f t="shared" si="201"/>
        <v>0</v>
      </c>
      <c r="L349" s="1005">
        <f t="shared" si="201"/>
        <v>0</v>
      </c>
      <c r="M349" s="1005">
        <f t="shared" si="201"/>
        <v>0</v>
      </c>
      <c r="N349" s="1005">
        <f t="shared" si="201"/>
        <v>0</v>
      </c>
      <c r="O349" s="1005">
        <f t="shared" si="201"/>
        <v>0</v>
      </c>
      <c r="P349" s="1005">
        <f t="shared" si="201"/>
        <v>0</v>
      </c>
      <c r="Q349" s="1005">
        <f t="shared" si="201"/>
        <v>0</v>
      </c>
      <c r="R349" s="1005">
        <f t="shared" si="201"/>
        <v>0</v>
      </c>
      <c r="S349" s="1005">
        <f t="shared" si="201"/>
        <v>0</v>
      </c>
      <c r="T349" s="1005">
        <f t="shared" si="201"/>
        <v>0</v>
      </c>
      <c r="U349" s="1075">
        <f t="shared" si="202"/>
        <v>0</v>
      </c>
      <c r="X349" s="301"/>
      <c r="Y349" s="5044"/>
      <c r="Z349" s="985">
        <f t="shared" si="208"/>
        <v>0</v>
      </c>
      <c r="AA349" s="985">
        <f>IF(Y349=0,0,VLOOKUP(Y349,Precios!$B$216:$D$307,3,FALSE))</f>
        <v>0</v>
      </c>
      <c r="AB349" s="986"/>
      <c r="AC349" s="1059">
        <f>IF(Y349=0,0,VLOOKUP(Y349,Precios!$B$216:$D$307,2,FALSE))</f>
        <v>0</v>
      </c>
      <c r="AD349" s="1067">
        <f t="shared" si="212"/>
        <v>0</v>
      </c>
      <c r="AE349" s="309"/>
      <c r="AF349" s="1074">
        <f t="shared" si="214"/>
        <v>0</v>
      </c>
      <c r="AG349" s="1005">
        <f t="shared" si="203"/>
        <v>0</v>
      </c>
      <c r="AH349" s="1005">
        <f t="shared" si="203"/>
        <v>0</v>
      </c>
      <c r="AI349" s="1005">
        <f t="shared" si="203"/>
        <v>0</v>
      </c>
      <c r="AJ349" s="1005">
        <f t="shared" si="203"/>
        <v>0</v>
      </c>
      <c r="AK349" s="1005">
        <f t="shared" si="203"/>
        <v>0</v>
      </c>
      <c r="AL349" s="1005">
        <f t="shared" si="203"/>
        <v>0</v>
      </c>
      <c r="AM349" s="1005">
        <f t="shared" si="203"/>
        <v>0</v>
      </c>
      <c r="AN349" s="1005">
        <f t="shared" si="203"/>
        <v>0</v>
      </c>
      <c r="AO349" s="1005">
        <f t="shared" si="203"/>
        <v>0</v>
      </c>
      <c r="AP349" s="1005">
        <f t="shared" si="203"/>
        <v>0</v>
      </c>
      <c r="AQ349" s="1005">
        <f t="shared" si="203"/>
        <v>0</v>
      </c>
      <c r="AR349" s="1075">
        <f t="shared" si="204"/>
        <v>0</v>
      </c>
    </row>
    <row r="350" spans="1:46" ht="15.05" thickBot="1" x14ac:dyDescent="0.35">
      <c r="A350" s="205"/>
      <c r="B350" s="5044"/>
      <c r="C350" s="985">
        <f t="shared" si="207"/>
        <v>0</v>
      </c>
      <c r="D350" s="985">
        <f>IF(B350=0,0,VLOOKUP(B350,Precios!$B$216:$D$307,3,FALSE))</f>
        <v>0</v>
      </c>
      <c r="E350" s="5049"/>
      <c r="F350" s="1059">
        <f>IF(B350=0,0,VLOOKUP(B350,Precios!$B$216:$D$307,2,FALSE))</f>
        <v>0</v>
      </c>
      <c r="G350" s="1067">
        <f t="shared" si="211"/>
        <v>0</v>
      </c>
      <c r="H350" s="309"/>
      <c r="I350" s="1074">
        <f t="shared" si="213"/>
        <v>0</v>
      </c>
      <c r="J350" s="1005">
        <f t="shared" si="213"/>
        <v>0</v>
      </c>
      <c r="K350" s="1005">
        <f t="shared" si="213"/>
        <v>0</v>
      </c>
      <c r="L350" s="1005">
        <f t="shared" si="213"/>
        <v>0</v>
      </c>
      <c r="M350" s="1005">
        <f t="shared" si="213"/>
        <v>0</v>
      </c>
      <c r="N350" s="1005">
        <f t="shared" si="213"/>
        <v>0</v>
      </c>
      <c r="O350" s="1005">
        <f t="shared" si="213"/>
        <v>0</v>
      </c>
      <c r="P350" s="1005">
        <f t="shared" si="213"/>
        <v>0</v>
      </c>
      <c r="Q350" s="1005">
        <f t="shared" si="213"/>
        <v>0</v>
      </c>
      <c r="R350" s="1005">
        <f t="shared" si="213"/>
        <v>0</v>
      </c>
      <c r="S350" s="1005">
        <f t="shared" si="213"/>
        <v>0</v>
      </c>
      <c r="T350" s="1005">
        <f t="shared" si="213"/>
        <v>0</v>
      </c>
      <c r="U350" s="1075">
        <f t="shared" si="202"/>
        <v>0</v>
      </c>
      <c r="X350" s="301"/>
      <c r="Y350" s="5044"/>
      <c r="Z350" s="985">
        <f t="shared" si="208"/>
        <v>0</v>
      </c>
      <c r="AA350" s="985">
        <f>IF(Y350=0,0,VLOOKUP(Y350,Precios!$B$216:$D$307,3,FALSE))</f>
        <v>0</v>
      </c>
      <c r="AB350" s="986"/>
      <c r="AC350" s="1059">
        <f>IF(Y350=0,0,VLOOKUP(Y350,Precios!$B$216:$D$307,2,FALSE))</f>
        <v>0</v>
      </c>
      <c r="AD350" s="1067">
        <f t="shared" si="212"/>
        <v>0</v>
      </c>
      <c r="AE350" s="309"/>
      <c r="AF350" s="1074">
        <f t="shared" si="214"/>
        <v>0</v>
      </c>
      <c r="AG350" s="1005">
        <f t="shared" si="214"/>
        <v>0</v>
      </c>
      <c r="AH350" s="1005">
        <f t="shared" si="214"/>
        <v>0</v>
      </c>
      <c r="AI350" s="1005">
        <f t="shared" si="214"/>
        <v>0</v>
      </c>
      <c r="AJ350" s="1005">
        <f t="shared" si="214"/>
        <v>0</v>
      </c>
      <c r="AK350" s="1005">
        <f t="shared" si="214"/>
        <v>0</v>
      </c>
      <c r="AL350" s="1005">
        <f t="shared" si="214"/>
        <v>0</v>
      </c>
      <c r="AM350" s="1005">
        <f t="shared" si="214"/>
        <v>0</v>
      </c>
      <c r="AN350" s="1005">
        <f t="shared" si="214"/>
        <v>0</v>
      </c>
      <c r="AO350" s="1005">
        <f t="shared" si="214"/>
        <v>0</v>
      </c>
      <c r="AP350" s="1005">
        <f t="shared" si="214"/>
        <v>0</v>
      </c>
      <c r="AQ350" s="1005">
        <f t="shared" si="214"/>
        <v>0</v>
      </c>
      <c r="AR350" s="1075">
        <f t="shared" si="204"/>
        <v>0</v>
      </c>
    </row>
    <row r="351" spans="1:46" ht="15.05" thickBot="1" x14ac:dyDescent="0.35">
      <c r="A351" s="205"/>
      <c r="B351" s="5044"/>
      <c r="C351" s="985">
        <f t="shared" si="207"/>
        <v>0</v>
      </c>
      <c r="D351" s="985">
        <f>IF(B351=0,0,VLOOKUP(B351,Precios!$B$216:$D$307,3,FALSE))</f>
        <v>0</v>
      </c>
      <c r="E351" s="5049"/>
      <c r="F351" s="1059">
        <f>IF(B351=0,0,VLOOKUP(B351,Precios!$B$216:$D$307,2,FALSE))</f>
        <v>0</v>
      </c>
      <c r="G351" s="1067">
        <f t="shared" si="211"/>
        <v>0</v>
      </c>
      <c r="H351" s="309"/>
      <c r="I351" s="1074">
        <f t="shared" si="213"/>
        <v>0</v>
      </c>
      <c r="J351" s="1005">
        <f t="shared" si="213"/>
        <v>0</v>
      </c>
      <c r="K351" s="1005">
        <f t="shared" si="213"/>
        <v>0</v>
      </c>
      <c r="L351" s="1005">
        <f t="shared" si="213"/>
        <v>0</v>
      </c>
      <c r="M351" s="1005">
        <f t="shared" si="213"/>
        <v>0</v>
      </c>
      <c r="N351" s="1005">
        <f t="shared" si="213"/>
        <v>0</v>
      </c>
      <c r="O351" s="1005">
        <f t="shared" si="213"/>
        <v>0</v>
      </c>
      <c r="P351" s="1005">
        <f t="shared" si="213"/>
        <v>0</v>
      </c>
      <c r="Q351" s="1005">
        <f t="shared" si="213"/>
        <v>0</v>
      </c>
      <c r="R351" s="1005">
        <f t="shared" si="213"/>
        <v>0</v>
      </c>
      <c r="S351" s="1005">
        <f t="shared" si="213"/>
        <v>0</v>
      </c>
      <c r="T351" s="1005">
        <f t="shared" si="213"/>
        <v>0</v>
      </c>
      <c r="U351" s="1075">
        <f t="shared" si="202"/>
        <v>0</v>
      </c>
      <c r="X351" s="301"/>
      <c r="Y351" s="5044"/>
      <c r="Z351" s="985">
        <f t="shared" si="208"/>
        <v>0</v>
      </c>
      <c r="AA351" s="985">
        <f>IF(Y351=0,0,VLOOKUP(Y351,Precios!$B$216:$D$307,3,FALSE))</f>
        <v>0</v>
      </c>
      <c r="AB351" s="986"/>
      <c r="AC351" s="1059">
        <f>IF(Y351=0,0,VLOOKUP(Y351,Precios!$B$216:$D$307,2,FALSE))</f>
        <v>0</v>
      </c>
      <c r="AD351" s="1067">
        <f t="shared" si="212"/>
        <v>0</v>
      </c>
      <c r="AE351" s="309"/>
      <c r="AF351" s="1074">
        <f t="shared" si="214"/>
        <v>0</v>
      </c>
      <c r="AG351" s="1005">
        <f t="shared" si="214"/>
        <v>0</v>
      </c>
      <c r="AH351" s="1005">
        <f t="shared" si="214"/>
        <v>0</v>
      </c>
      <c r="AI351" s="1005">
        <f t="shared" si="214"/>
        <v>0</v>
      </c>
      <c r="AJ351" s="1005">
        <f t="shared" si="214"/>
        <v>0</v>
      </c>
      <c r="AK351" s="1005">
        <f t="shared" si="214"/>
        <v>0</v>
      </c>
      <c r="AL351" s="1005">
        <f t="shared" si="214"/>
        <v>0</v>
      </c>
      <c r="AM351" s="1005">
        <f t="shared" si="214"/>
        <v>0</v>
      </c>
      <c r="AN351" s="1005">
        <f t="shared" si="214"/>
        <v>0</v>
      </c>
      <c r="AO351" s="1005">
        <f t="shared" si="214"/>
        <v>0</v>
      </c>
      <c r="AP351" s="1005">
        <f t="shared" si="214"/>
        <v>0</v>
      </c>
      <c r="AQ351" s="1005">
        <f t="shared" si="214"/>
        <v>0</v>
      </c>
      <c r="AR351" s="1075">
        <f t="shared" ref="AR351:AR364" si="215">SUM(AF351:AQ351)</f>
        <v>0</v>
      </c>
    </row>
    <row r="352" spans="1:46" ht="15.05" thickBot="1" x14ac:dyDescent="0.35">
      <c r="A352" s="205"/>
      <c r="B352" s="5044"/>
      <c r="C352" s="985">
        <f t="shared" si="207"/>
        <v>0</v>
      </c>
      <c r="D352" s="985">
        <f>IF(B352=0,0,VLOOKUP(B352,Precios!$B$216:$D$307,3,FALSE))</f>
        <v>0</v>
      </c>
      <c r="E352" s="5049"/>
      <c r="F352" s="1059">
        <f>IF(B352=0,0,VLOOKUP(B352,Precios!$B$216:$D$307,2,FALSE))</f>
        <v>0</v>
      </c>
      <c r="G352" s="1067">
        <f t="shared" si="211"/>
        <v>0</v>
      </c>
      <c r="H352" s="309"/>
      <c r="I352" s="1074">
        <f t="shared" si="213"/>
        <v>0</v>
      </c>
      <c r="J352" s="1005">
        <f t="shared" si="213"/>
        <v>0</v>
      </c>
      <c r="K352" s="1005">
        <f t="shared" si="213"/>
        <v>0</v>
      </c>
      <c r="L352" s="1005">
        <f t="shared" si="213"/>
        <v>0</v>
      </c>
      <c r="M352" s="1005">
        <f t="shared" si="213"/>
        <v>0</v>
      </c>
      <c r="N352" s="1005">
        <f t="shared" si="213"/>
        <v>0</v>
      </c>
      <c r="O352" s="1005">
        <f t="shared" si="213"/>
        <v>0</v>
      </c>
      <c r="P352" s="1005">
        <f t="shared" si="213"/>
        <v>0</v>
      </c>
      <c r="Q352" s="1005">
        <f t="shared" si="213"/>
        <v>0</v>
      </c>
      <c r="R352" s="1005">
        <f t="shared" si="213"/>
        <v>0</v>
      </c>
      <c r="S352" s="1005">
        <f t="shared" si="213"/>
        <v>0</v>
      </c>
      <c r="T352" s="1005">
        <f t="shared" si="213"/>
        <v>0</v>
      </c>
      <c r="U352" s="1075">
        <f t="shared" si="202"/>
        <v>0</v>
      </c>
      <c r="X352" s="301"/>
      <c r="Y352" s="5044"/>
      <c r="Z352" s="985">
        <f t="shared" si="208"/>
        <v>0</v>
      </c>
      <c r="AA352" s="985">
        <f>IF(Y352=0,0,VLOOKUP(Y352,Precios!$B$216:$D$307,3,FALSE))</f>
        <v>0</v>
      </c>
      <c r="AB352" s="986"/>
      <c r="AC352" s="1059">
        <f>IF(Y352=0,0,VLOOKUP(Y352,Precios!$B$216:$D$307,2,FALSE))</f>
        <v>0</v>
      </c>
      <c r="AD352" s="1067">
        <f t="shared" si="212"/>
        <v>0</v>
      </c>
      <c r="AE352" s="309"/>
      <c r="AF352" s="1074">
        <f t="shared" si="214"/>
        <v>0</v>
      </c>
      <c r="AG352" s="1005">
        <f t="shared" si="214"/>
        <v>0</v>
      </c>
      <c r="AH352" s="1005">
        <f t="shared" si="214"/>
        <v>0</v>
      </c>
      <c r="AI352" s="1005">
        <f t="shared" si="214"/>
        <v>0</v>
      </c>
      <c r="AJ352" s="1005">
        <f t="shared" si="214"/>
        <v>0</v>
      </c>
      <c r="AK352" s="1005">
        <f t="shared" si="214"/>
        <v>0</v>
      </c>
      <c r="AL352" s="1005">
        <f t="shared" si="214"/>
        <v>0</v>
      </c>
      <c r="AM352" s="1005">
        <f t="shared" si="214"/>
        <v>0</v>
      </c>
      <c r="AN352" s="1005">
        <f t="shared" si="214"/>
        <v>0</v>
      </c>
      <c r="AO352" s="1005">
        <f t="shared" si="214"/>
        <v>0</v>
      </c>
      <c r="AP352" s="1005">
        <f t="shared" si="214"/>
        <v>0</v>
      </c>
      <c r="AQ352" s="1005">
        <f t="shared" si="214"/>
        <v>0</v>
      </c>
      <c r="AR352" s="1075">
        <f t="shared" si="215"/>
        <v>0</v>
      </c>
    </row>
    <row r="353" spans="1:47" x14ac:dyDescent="0.3">
      <c r="A353" s="205"/>
      <c r="B353" s="5046"/>
      <c r="C353" s="1057">
        <f t="shared" si="207"/>
        <v>0</v>
      </c>
      <c r="D353" s="1057">
        <f>IF(B353=0,0,VLOOKUP(B353,Precios!$B$216:$D$307,3,FALSE))</f>
        <v>0</v>
      </c>
      <c r="E353" s="5050"/>
      <c r="F353" s="1061">
        <f>IF(B353=0,0,VLOOKUP(B353,Precios!$B$216:$D$307,2,FALSE))</f>
        <v>0</v>
      </c>
      <c r="G353" s="1068">
        <f t="shared" si="211"/>
        <v>0</v>
      </c>
      <c r="H353" s="309"/>
      <c r="I353" s="1076">
        <f t="shared" si="213"/>
        <v>0</v>
      </c>
      <c r="J353" s="1077">
        <f t="shared" si="213"/>
        <v>0</v>
      </c>
      <c r="K353" s="1077">
        <f t="shared" si="213"/>
        <v>0</v>
      </c>
      <c r="L353" s="1077">
        <f t="shared" si="213"/>
        <v>0</v>
      </c>
      <c r="M353" s="1077">
        <f t="shared" si="213"/>
        <v>0</v>
      </c>
      <c r="N353" s="1077">
        <f t="shared" si="213"/>
        <v>0</v>
      </c>
      <c r="O353" s="1077">
        <f t="shared" si="213"/>
        <v>0</v>
      </c>
      <c r="P353" s="1077">
        <f t="shared" si="213"/>
        <v>0</v>
      </c>
      <c r="Q353" s="1077">
        <f t="shared" si="213"/>
        <v>0</v>
      </c>
      <c r="R353" s="1077">
        <f t="shared" si="213"/>
        <v>0</v>
      </c>
      <c r="S353" s="1077">
        <f t="shared" si="213"/>
        <v>0</v>
      </c>
      <c r="T353" s="1077">
        <f t="shared" si="213"/>
        <v>0</v>
      </c>
      <c r="U353" s="1078">
        <f t="shared" si="202"/>
        <v>0</v>
      </c>
      <c r="X353" s="301"/>
      <c r="Y353" s="5046"/>
      <c r="Z353" s="1057">
        <f t="shared" si="208"/>
        <v>0</v>
      </c>
      <c r="AA353" s="1057">
        <f>IF(Y353=0,0,VLOOKUP(Y353,Precios!$B$216:$D$307,3,FALSE))</f>
        <v>0</v>
      </c>
      <c r="AB353" s="1060"/>
      <c r="AC353" s="1061">
        <f>IF(Y353=0,0,VLOOKUP(Y353,Precios!$B$216:$D$307,2,FALSE))</f>
        <v>0</v>
      </c>
      <c r="AD353" s="1068">
        <f t="shared" si="212"/>
        <v>0</v>
      </c>
      <c r="AE353" s="309"/>
      <c r="AF353" s="1076">
        <f t="shared" si="214"/>
        <v>0</v>
      </c>
      <c r="AG353" s="1077">
        <f t="shared" si="214"/>
        <v>0</v>
      </c>
      <c r="AH353" s="1077">
        <f t="shared" si="214"/>
        <v>0</v>
      </c>
      <c r="AI353" s="1077">
        <f t="shared" si="214"/>
        <v>0</v>
      </c>
      <c r="AJ353" s="1077">
        <f t="shared" si="214"/>
        <v>0</v>
      </c>
      <c r="AK353" s="1077">
        <f t="shared" si="214"/>
        <v>0</v>
      </c>
      <c r="AL353" s="1077">
        <f t="shared" si="214"/>
        <v>0</v>
      </c>
      <c r="AM353" s="1077">
        <f t="shared" si="214"/>
        <v>0</v>
      </c>
      <c r="AN353" s="1077">
        <f t="shared" si="214"/>
        <v>0</v>
      </c>
      <c r="AO353" s="1077">
        <f t="shared" si="214"/>
        <v>0</v>
      </c>
      <c r="AP353" s="1077">
        <f t="shared" si="214"/>
        <v>0</v>
      </c>
      <c r="AQ353" s="1077">
        <f t="shared" si="214"/>
        <v>0</v>
      </c>
      <c r="AR353" s="1078">
        <f t="shared" si="215"/>
        <v>0</v>
      </c>
    </row>
    <row r="354" spans="1:47" x14ac:dyDescent="0.3">
      <c r="A354" s="205"/>
      <c r="B354" s="647" t="s">
        <v>1085</v>
      </c>
      <c r="C354" s="305"/>
      <c r="D354" s="305"/>
      <c r="E354" s="305"/>
      <c r="F354" s="650"/>
      <c r="G354" s="305"/>
      <c r="H354" s="310"/>
      <c r="I354" s="904">
        <f t="shared" ref="I354:T354" si="216">SUM(I346:I353)</f>
        <v>0</v>
      </c>
      <c r="J354" s="904">
        <f t="shared" si="216"/>
        <v>0</v>
      </c>
      <c r="K354" s="904">
        <f t="shared" si="216"/>
        <v>0</v>
      </c>
      <c r="L354" s="904">
        <f t="shared" si="216"/>
        <v>0</v>
      </c>
      <c r="M354" s="904">
        <f t="shared" si="216"/>
        <v>0</v>
      </c>
      <c r="N354" s="904">
        <f t="shared" si="216"/>
        <v>0</v>
      </c>
      <c r="O354" s="904">
        <f t="shared" si="216"/>
        <v>0</v>
      </c>
      <c r="P354" s="904">
        <f t="shared" si="216"/>
        <v>0</v>
      </c>
      <c r="Q354" s="904">
        <f t="shared" si="216"/>
        <v>0</v>
      </c>
      <c r="R354" s="904">
        <f t="shared" si="216"/>
        <v>0</v>
      </c>
      <c r="S354" s="904">
        <f t="shared" si="216"/>
        <v>0</v>
      </c>
      <c r="T354" s="904">
        <f t="shared" si="216"/>
        <v>0</v>
      </c>
      <c r="U354" s="905">
        <f>SUM(I354:T354)</f>
        <v>0</v>
      </c>
      <c r="W354" s="232" t="str">
        <f>B345&amp;B328</f>
        <v>Semillas0</v>
      </c>
      <c r="X354" s="301"/>
      <c r="Y354" s="647" t="s">
        <v>1085</v>
      </c>
      <c r="Z354" s="305"/>
      <c r="AA354" s="305"/>
      <c r="AB354" s="305"/>
      <c r="AC354" s="650"/>
      <c r="AD354" s="305"/>
      <c r="AE354" s="310"/>
      <c r="AF354" s="904">
        <f t="shared" ref="AF354:AQ354" si="217">SUM(AF346:AF353)</f>
        <v>0</v>
      </c>
      <c r="AG354" s="904">
        <f t="shared" si="217"/>
        <v>0</v>
      </c>
      <c r="AH354" s="904">
        <f t="shared" si="217"/>
        <v>0</v>
      </c>
      <c r="AI354" s="904">
        <f t="shared" si="217"/>
        <v>0</v>
      </c>
      <c r="AJ354" s="904">
        <f t="shared" si="217"/>
        <v>0</v>
      </c>
      <c r="AK354" s="904">
        <f t="shared" si="217"/>
        <v>0</v>
      </c>
      <c r="AL354" s="904">
        <f t="shared" si="217"/>
        <v>0</v>
      </c>
      <c r="AM354" s="904">
        <f t="shared" si="217"/>
        <v>0</v>
      </c>
      <c r="AN354" s="904">
        <f t="shared" si="217"/>
        <v>0</v>
      </c>
      <c r="AO354" s="904">
        <f t="shared" si="217"/>
        <v>0</v>
      </c>
      <c r="AP354" s="904">
        <f t="shared" si="217"/>
        <v>0</v>
      </c>
      <c r="AQ354" s="904">
        <f t="shared" si="217"/>
        <v>0</v>
      </c>
      <c r="AR354" s="905">
        <f>SUM(AF354:AQ354)</f>
        <v>0</v>
      </c>
      <c r="AT354" s="232" t="str">
        <f>Y345&amp;Y328</f>
        <v>Semillas0</v>
      </c>
    </row>
    <row r="355" spans="1:47" x14ac:dyDescent="0.2">
      <c r="A355" s="205"/>
      <c r="B355" s="197" t="s">
        <v>339</v>
      </c>
      <c r="C355" s="307"/>
      <c r="D355" s="307"/>
      <c r="E355" s="308"/>
      <c r="F355" s="651"/>
      <c r="G355" s="308"/>
      <c r="H355" s="307"/>
      <c r="I355" s="307"/>
      <c r="J355" s="307"/>
      <c r="K355" s="307"/>
      <c r="L355" s="307"/>
      <c r="M355" s="307"/>
      <c r="N355" s="307"/>
      <c r="O355" s="307"/>
      <c r="P355" s="307"/>
      <c r="Q355" s="307"/>
      <c r="R355" s="307"/>
      <c r="S355" s="307"/>
      <c r="T355" s="307"/>
      <c r="U355" s="646"/>
      <c r="X355" s="301"/>
      <c r="Y355" s="197" t="s">
        <v>339</v>
      </c>
      <c r="Z355" s="307"/>
      <c r="AA355" s="307"/>
      <c r="AB355" s="308"/>
      <c r="AC355" s="651"/>
      <c r="AD355" s="308"/>
      <c r="AE355" s="307"/>
      <c r="AF355" s="307"/>
      <c r="AG355" s="307"/>
      <c r="AH355" s="307"/>
      <c r="AI355" s="307"/>
      <c r="AJ355" s="307"/>
      <c r="AK355" s="307"/>
      <c r="AL355" s="307"/>
      <c r="AM355" s="307"/>
      <c r="AN355" s="307"/>
      <c r="AO355" s="307"/>
      <c r="AP355" s="307"/>
      <c r="AQ355" s="307"/>
      <c r="AR355" s="646"/>
    </row>
    <row r="356" spans="1:47" ht="15.05" thickBot="1" x14ac:dyDescent="0.35">
      <c r="A356" s="205"/>
      <c r="B356" s="5042"/>
      <c r="C356" s="1056">
        <f t="shared" si="207"/>
        <v>0</v>
      </c>
      <c r="D356" s="1056">
        <f>IF(B356=0,0,VLOOKUP(B356,Precios!$B$216:$D$307,3,FALSE))</f>
        <v>0</v>
      </c>
      <c r="E356" s="5048"/>
      <c r="F356" s="1063">
        <f>IF(B356=0,0,VLOOKUP(B356,Precios!$B$216:$D$307,2,FALSE))</f>
        <v>0</v>
      </c>
      <c r="G356" s="1066">
        <f>E356*F356</f>
        <v>0</v>
      </c>
      <c r="H356" s="309"/>
      <c r="I356" s="1072">
        <f t="shared" si="213"/>
        <v>0</v>
      </c>
      <c r="J356" s="1033">
        <f t="shared" si="213"/>
        <v>0</v>
      </c>
      <c r="K356" s="1033">
        <f t="shared" si="213"/>
        <v>0</v>
      </c>
      <c r="L356" s="1033">
        <f t="shared" si="213"/>
        <v>0</v>
      </c>
      <c r="M356" s="1033">
        <f t="shared" si="213"/>
        <v>0</v>
      </c>
      <c r="N356" s="1033">
        <f t="shared" si="213"/>
        <v>0</v>
      </c>
      <c r="O356" s="1033">
        <f t="shared" si="213"/>
        <v>0</v>
      </c>
      <c r="P356" s="1033">
        <f t="shared" si="213"/>
        <v>0</v>
      </c>
      <c r="Q356" s="1033">
        <f t="shared" si="213"/>
        <v>0</v>
      </c>
      <c r="R356" s="1033">
        <f t="shared" si="213"/>
        <v>0</v>
      </c>
      <c r="S356" s="1033">
        <f t="shared" si="213"/>
        <v>0</v>
      </c>
      <c r="T356" s="1033">
        <f t="shared" si="213"/>
        <v>0</v>
      </c>
      <c r="U356" s="1073">
        <f t="shared" ref="U356:U364" si="218">SUM(I356:T356)</f>
        <v>0</v>
      </c>
      <c r="X356" s="301"/>
      <c r="Y356" s="5042"/>
      <c r="Z356" s="1056">
        <f t="shared" si="208"/>
        <v>0</v>
      </c>
      <c r="AA356" s="1056">
        <f>IF(Y356=0,0,VLOOKUP(Y356,Precios!$B$216:$D$307,3,FALSE))</f>
        <v>0</v>
      </c>
      <c r="AB356" s="1058"/>
      <c r="AC356" s="1063">
        <f>IF(Y356=0,0,VLOOKUP(Y356,Precios!$B$216:$D$307,2,FALSE))</f>
        <v>0</v>
      </c>
      <c r="AD356" s="1066">
        <f>AB356*AC356</f>
        <v>0</v>
      </c>
      <c r="AE356" s="309"/>
      <c r="AF356" s="1072">
        <f t="shared" si="214"/>
        <v>0</v>
      </c>
      <c r="AG356" s="1033">
        <f t="shared" si="214"/>
        <v>0</v>
      </c>
      <c r="AH356" s="1033">
        <f t="shared" si="214"/>
        <v>0</v>
      </c>
      <c r="AI356" s="1033">
        <f t="shared" si="214"/>
        <v>0</v>
      </c>
      <c r="AJ356" s="1033">
        <f t="shared" si="214"/>
        <v>0</v>
      </c>
      <c r="AK356" s="1033">
        <f t="shared" si="214"/>
        <v>0</v>
      </c>
      <c r="AL356" s="1033">
        <f t="shared" si="214"/>
        <v>0</v>
      </c>
      <c r="AM356" s="1033">
        <f t="shared" si="214"/>
        <v>0</v>
      </c>
      <c r="AN356" s="1033">
        <f t="shared" si="214"/>
        <v>0</v>
      </c>
      <c r="AO356" s="1033">
        <f t="shared" si="214"/>
        <v>0</v>
      </c>
      <c r="AP356" s="1033">
        <f t="shared" si="214"/>
        <v>0</v>
      </c>
      <c r="AQ356" s="1033">
        <f t="shared" si="214"/>
        <v>0</v>
      </c>
      <c r="AR356" s="1073">
        <f t="shared" si="215"/>
        <v>0</v>
      </c>
    </row>
    <row r="357" spans="1:47" ht="15.05" thickBot="1" x14ac:dyDescent="0.35">
      <c r="A357" s="205"/>
      <c r="B357" s="5044"/>
      <c r="C357" s="985">
        <f t="shared" si="207"/>
        <v>0</v>
      </c>
      <c r="D357" s="985">
        <f>IF(B357=0,0,VLOOKUP(B357,Precios!$B$216:$D$307,3,FALSE))</f>
        <v>0</v>
      </c>
      <c r="E357" s="5049"/>
      <c r="F357" s="1064">
        <f>IF(B357=0,0,VLOOKUP(B357,Precios!$B$216:$D$307,2,FALSE))</f>
        <v>0</v>
      </c>
      <c r="G357" s="1067">
        <f>E357*F357</f>
        <v>0</v>
      </c>
      <c r="H357" s="309"/>
      <c r="I357" s="1074">
        <f t="shared" si="213"/>
        <v>0</v>
      </c>
      <c r="J357" s="1005">
        <f t="shared" si="213"/>
        <v>0</v>
      </c>
      <c r="K357" s="1005">
        <f t="shared" si="213"/>
        <v>0</v>
      </c>
      <c r="L357" s="1005">
        <f t="shared" si="213"/>
        <v>0</v>
      </c>
      <c r="M357" s="1005">
        <f t="shared" si="213"/>
        <v>0</v>
      </c>
      <c r="N357" s="1005">
        <f t="shared" si="213"/>
        <v>0</v>
      </c>
      <c r="O357" s="1005">
        <f t="shared" si="213"/>
        <v>0</v>
      </c>
      <c r="P357" s="1005">
        <f t="shared" si="213"/>
        <v>0</v>
      </c>
      <c r="Q357" s="1005">
        <f t="shared" si="213"/>
        <v>0</v>
      </c>
      <c r="R357" s="1005">
        <f t="shared" si="213"/>
        <v>0</v>
      </c>
      <c r="S357" s="1005">
        <f t="shared" si="213"/>
        <v>0</v>
      </c>
      <c r="T357" s="1005">
        <f t="shared" si="213"/>
        <v>0</v>
      </c>
      <c r="U357" s="1075">
        <f t="shared" si="218"/>
        <v>0</v>
      </c>
      <c r="X357" s="301"/>
      <c r="Y357" s="5044"/>
      <c r="Z357" s="985">
        <f t="shared" si="208"/>
        <v>0</v>
      </c>
      <c r="AA357" s="985">
        <f>IF(Y357=0,0,VLOOKUP(Y357,Precios!$B$216:$D$307,3,FALSE))</f>
        <v>0</v>
      </c>
      <c r="AB357" s="986"/>
      <c r="AC357" s="1064">
        <f>IF(Y357=0,0,VLOOKUP(Y357,Precios!$B$216:$D$307,2,FALSE))</f>
        <v>0</v>
      </c>
      <c r="AD357" s="1067">
        <f>AB357*AC357</f>
        <v>0</v>
      </c>
      <c r="AE357" s="309"/>
      <c r="AF357" s="1074">
        <f t="shared" si="214"/>
        <v>0</v>
      </c>
      <c r="AG357" s="1005">
        <f t="shared" si="214"/>
        <v>0</v>
      </c>
      <c r="AH357" s="1005">
        <f t="shared" si="214"/>
        <v>0</v>
      </c>
      <c r="AI357" s="1005">
        <f t="shared" si="214"/>
        <v>0</v>
      </c>
      <c r="AJ357" s="1005">
        <f t="shared" si="214"/>
        <v>0</v>
      </c>
      <c r="AK357" s="1005">
        <f t="shared" si="214"/>
        <v>0</v>
      </c>
      <c r="AL357" s="1005">
        <f t="shared" si="214"/>
        <v>0</v>
      </c>
      <c r="AM357" s="1005">
        <f t="shared" si="214"/>
        <v>0</v>
      </c>
      <c r="AN357" s="1005">
        <f t="shared" si="214"/>
        <v>0</v>
      </c>
      <c r="AO357" s="1005">
        <f t="shared" si="214"/>
        <v>0</v>
      </c>
      <c r="AP357" s="1005">
        <f t="shared" si="214"/>
        <v>0</v>
      </c>
      <c r="AQ357" s="1005">
        <f t="shared" si="214"/>
        <v>0</v>
      </c>
      <c r="AR357" s="1075">
        <f t="shared" si="215"/>
        <v>0</v>
      </c>
    </row>
    <row r="358" spans="1:47" x14ac:dyDescent="0.3">
      <c r="A358" s="205"/>
      <c r="B358" s="5046"/>
      <c r="C358" s="1057">
        <f t="shared" si="207"/>
        <v>0</v>
      </c>
      <c r="D358" s="1057">
        <f>IF(B358=0,0,VLOOKUP(B358,Precios!$B$216:$D$307,3,FALSE))</f>
        <v>0</v>
      </c>
      <c r="E358" s="5050"/>
      <c r="F358" s="1065">
        <f>IF(B358=0,0,VLOOKUP(B358,Precios!$B$216:$D$307,2,FALSE))</f>
        <v>0</v>
      </c>
      <c r="G358" s="1068">
        <f>E358*F358</f>
        <v>0</v>
      </c>
      <c r="H358" s="309"/>
      <c r="I358" s="1079">
        <f t="shared" si="213"/>
        <v>0</v>
      </c>
      <c r="J358" s="1047">
        <f t="shared" si="213"/>
        <v>0</v>
      </c>
      <c r="K358" s="1047">
        <f t="shared" si="213"/>
        <v>0</v>
      </c>
      <c r="L358" s="1047">
        <f t="shared" si="213"/>
        <v>0</v>
      </c>
      <c r="M358" s="1047">
        <f t="shared" si="213"/>
        <v>0</v>
      </c>
      <c r="N358" s="1047">
        <f t="shared" si="213"/>
        <v>0</v>
      </c>
      <c r="O358" s="1047">
        <f t="shared" si="213"/>
        <v>0</v>
      </c>
      <c r="P358" s="1047">
        <f t="shared" si="213"/>
        <v>0</v>
      </c>
      <c r="Q358" s="1047">
        <f t="shared" si="213"/>
        <v>0</v>
      </c>
      <c r="R358" s="1047">
        <f t="shared" si="213"/>
        <v>0</v>
      </c>
      <c r="S358" s="1047">
        <f t="shared" si="213"/>
        <v>0</v>
      </c>
      <c r="T358" s="1047">
        <f t="shared" si="213"/>
        <v>0</v>
      </c>
      <c r="U358" s="1080">
        <f t="shared" si="218"/>
        <v>0</v>
      </c>
      <c r="X358" s="301"/>
      <c r="Y358" s="5046"/>
      <c r="Z358" s="1057">
        <f t="shared" si="208"/>
        <v>0</v>
      </c>
      <c r="AA358" s="1057">
        <f>IF(Y358=0,0,VLOOKUP(Y358,Precios!$B$216:$D$307,3,FALSE))</f>
        <v>0</v>
      </c>
      <c r="AB358" s="1060"/>
      <c r="AC358" s="1065">
        <f>IF(Y358=0,0,VLOOKUP(Y358,Precios!$B$216:$D$307,2,FALSE))</f>
        <v>0</v>
      </c>
      <c r="AD358" s="1068">
        <f>AB358*AC358</f>
        <v>0</v>
      </c>
      <c r="AE358" s="309"/>
      <c r="AF358" s="1079">
        <f t="shared" si="214"/>
        <v>0</v>
      </c>
      <c r="AG358" s="1047">
        <f t="shared" si="214"/>
        <v>0</v>
      </c>
      <c r="AH358" s="1047">
        <f t="shared" si="214"/>
        <v>0</v>
      </c>
      <c r="AI358" s="1047">
        <f t="shared" si="214"/>
        <v>0</v>
      </c>
      <c r="AJ358" s="1047">
        <f t="shared" si="214"/>
        <v>0</v>
      </c>
      <c r="AK358" s="1047">
        <f t="shared" si="214"/>
        <v>0</v>
      </c>
      <c r="AL358" s="1047">
        <f t="shared" si="214"/>
        <v>0</v>
      </c>
      <c r="AM358" s="1047">
        <f t="shared" si="214"/>
        <v>0</v>
      </c>
      <c r="AN358" s="1047">
        <f t="shared" si="214"/>
        <v>0</v>
      </c>
      <c r="AO358" s="1047">
        <f t="shared" si="214"/>
        <v>0</v>
      </c>
      <c r="AP358" s="1047">
        <f t="shared" si="214"/>
        <v>0</v>
      </c>
      <c r="AQ358" s="1047">
        <f t="shared" si="214"/>
        <v>0</v>
      </c>
      <c r="AR358" s="1080">
        <f t="shared" si="215"/>
        <v>0</v>
      </c>
    </row>
    <row r="359" spans="1:47" x14ac:dyDescent="0.3">
      <c r="A359" s="205"/>
      <c r="B359" s="647" t="s">
        <v>1086</v>
      </c>
      <c r="C359" s="305"/>
      <c r="D359" s="305"/>
      <c r="E359" s="305"/>
      <c r="F359" s="650"/>
      <c r="G359" s="305"/>
      <c r="H359" s="306"/>
      <c r="I359" s="906">
        <f t="shared" ref="I359:T359" si="219">SUM(I356:I358)</f>
        <v>0</v>
      </c>
      <c r="J359" s="906">
        <f t="shared" si="219"/>
        <v>0</v>
      </c>
      <c r="K359" s="906">
        <f t="shared" si="219"/>
        <v>0</v>
      </c>
      <c r="L359" s="906">
        <f t="shared" si="219"/>
        <v>0</v>
      </c>
      <c r="M359" s="906">
        <f t="shared" si="219"/>
        <v>0</v>
      </c>
      <c r="N359" s="906">
        <f t="shared" si="219"/>
        <v>0</v>
      </c>
      <c r="O359" s="906">
        <f t="shared" si="219"/>
        <v>0</v>
      </c>
      <c r="P359" s="906">
        <f t="shared" si="219"/>
        <v>0</v>
      </c>
      <c r="Q359" s="906">
        <f t="shared" si="219"/>
        <v>0</v>
      </c>
      <c r="R359" s="906">
        <f t="shared" si="219"/>
        <v>0</v>
      </c>
      <c r="S359" s="906">
        <f t="shared" si="219"/>
        <v>0</v>
      </c>
      <c r="T359" s="907">
        <f t="shared" si="219"/>
        <v>0</v>
      </c>
      <c r="U359" s="905">
        <f>SUM(I359:T359)</f>
        <v>0</v>
      </c>
      <c r="W359" s="232" t="str">
        <f>B355&amp;B328</f>
        <v>Fertilizantes 0</v>
      </c>
      <c r="X359" s="301"/>
      <c r="Y359" s="647" t="s">
        <v>1086</v>
      </c>
      <c r="Z359" s="305"/>
      <c r="AA359" s="305"/>
      <c r="AB359" s="305"/>
      <c r="AC359" s="650"/>
      <c r="AD359" s="305"/>
      <c r="AE359" s="306"/>
      <c r="AF359" s="906">
        <f t="shared" ref="AF359:AQ359" si="220">SUM(AF356:AF358)</f>
        <v>0</v>
      </c>
      <c r="AG359" s="906">
        <f t="shared" si="220"/>
        <v>0</v>
      </c>
      <c r="AH359" s="906">
        <f t="shared" si="220"/>
        <v>0</v>
      </c>
      <c r="AI359" s="906">
        <f t="shared" si="220"/>
        <v>0</v>
      </c>
      <c r="AJ359" s="906">
        <f t="shared" si="220"/>
        <v>0</v>
      </c>
      <c r="AK359" s="906">
        <f t="shared" si="220"/>
        <v>0</v>
      </c>
      <c r="AL359" s="906">
        <f t="shared" si="220"/>
        <v>0</v>
      </c>
      <c r="AM359" s="906">
        <f t="shared" si="220"/>
        <v>0</v>
      </c>
      <c r="AN359" s="906">
        <f t="shared" si="220"/>
        <v>0</v>
      </c>
      <c r="AO359" s="906">
        <f t="shared" si="220"/>
        <v>0</v>
      </c>
      <c r="AP359" s="906">
        <f t="shared" si="220"/>
        <v>0</v>
      </c>
      <c r="AQ359" s="907">
        <f t="shared" si="220"/>
        <v>0</v>
      </c>
      <c r="AR359" s="905">
        <f>SUM(AF359:AQ359)</f>
        <v>0</v>
      </c>
      <c r="AT359" s="232" t="str">
        <f>Y355&amp;Y328</f>
        <v>Fertilizantes 0</v>
      </c>
    </row>
    <row r="360" spans="1:47" x14ac:dyDescent="0.2">
      <c r="A360" s="205"/>
      <c r="B360" s="197" t="s">
        <v>340</v>
      </c>
      <c r="C360" s="307"/>
      <c r="D360" s="307"/>
      <c r="E360" s="308"/>
      <c r="F360" s="651"/>
      <c r="G360" s="308"/>
      <c r="H360" s="307"/>
      <c r="I360" s="307"/>
      <c r="J360" s="307"/>
      <c r="K360" s="307"/>
      <c r="L360" s="307"/>
      <c r="M360" s="307"/>
      <c r="N360" s="307"/>
      <c r="O360" s="307"/>
      <c r="P360" s="307"/>
      <c r="Q360" s="307"/>
      <c r="R360" s="307"/>
      <c r="S360" s="307"/>
      <c r="T360" s="307"/>
      <c r="U360" s="646"/>
      <c r="X360" s="301"/>
      <c r="Y360" s="197" t="s">
        <v>340</v>
      </c>
      <c r="Z360" s="307"/>
      <c r="AA360" s="307"/>
      <c r="AB360" s="308"/>
      <c r="AC360" s="651"/>
      <c r="AD360" s="308"/>
      <c r="AE360" s="307"/>
      <c r="AF360" s="307"/>
      <c r="AG360" s="307"/>
      <c r="AH360" s="307"/>
      <c r="AI360" s="307"/>
      <c r="AJ360" s="307"/>
      <c r="AK360" s="307"/>
      <c r="AL360" s="307"/>
      <c r="AM360" s="307"/>
      <c r="AN360" s="307"/>
      <c r="AO360" s="307"/>
      <c r="AP360" s="307"/>
      <c r="AQ360" s="307"/>
      <c r="AR360" s="646"/>
    </row>
    <row r="361" spans="1:47" ht="15.05" thickBot="1" x14ac:dyDescent="0.35">
      <c r="A361" s="205"/>
      <c r="B361" s="5042"/>
      <c r="C361" s="1056">
        <f t="shared" si="207"/>
        <v>0</v>
      </c>
      <c r="D361" s="1056">
        <f>IF(B361=0,0,VLOOKUP(B361,Precios!$B$216:$D$307,3,FALSE))</f>
        <v>0</v>
      </c>
      <c r="E361" s="5048"/>
      <c r="F361" s="1062">
        <f>IF(B361=0,0,VLOOKUP(B361,Precios!$B$216:$D$307,2,FALSE))</f>
        <v>0</v>
      </c>
      <c r="G361" s="1066">
        <f>E361*F361</f>
        <v>0</v>
      </c>
      <c r="H361" s="309"/>
      <c r="I361" s="1072">
        <f t="shared" si="213"/>
        <v>0</v>
      </c>
      <c r="J361" s="1033">
        <f t="shared" si="213"/>
        <v>0</v>
      </c>
      <c r="K361" s="1033">
        <f t="shared" si="213"/>
        <v>0</v>
      </c>
      <c r="L361" s="1033">
        <f t="shared" si="213"/>
        <v>0</v>
      </c>
      <c r="M361" s="1033">
        <f t="shared" si="213"/>
        <v>0</v>
      </c>
      <c r="N361" s="1033">
        <f t="shared" si="213"/>
        <v>0</v>
      </c>
      <c r="O361" s="1033">
        <f t="shared" si="213"/>
        <v>0</v>
      </c>
      <c r="P361" s="1033">
        <f t="shared" si="213"/>
        <v>0</v>
      </c>
      <c r="Q361" s="1033">
        <f t="shared" si="213"/>
        <v>0</v>
      </c>
      <c r="R361" s="1033">
        <f t="shared" si="213"/>
        <v>0</v>
      </c>
      <c r="S361" s="1033">
        <f t="shared" si="213"/>
        <v>0</v>
      </c>
      <c r="T361" s="1033">
        <f t="shared" si="213"/>
        <v>0</v>
      </c>
      <c r="U361" s="1073">
        <f t="shared" si="218"/>
        <v>0</v>
      </c>
      <c r="X361" s="301"/>
      <c r="Y361" s="5042"/>
      <c r="Z361" s="1056">
        <f t="shared" si="208"/>
        <v>0</v>
      </c>
      <c r="AA361" s="1056">
        <f>IF(Y361=0,0,VLOOKUP(Y361,Precios!$B$216:$D$307,3,FALSE))</f>
        <v>0</v>
      </c>
      <c r="AB361" s="1058"/>
      <c r="AC361" s="1062">
        <f>IF(Y361=0,0,VLOOKUP(Y361,Precios!$B$216:$D$307,2,FALSE))</f>
        <v>0</v>
      </c>
      <c r="AD361" s="1066">
        <f>AB361*AC361</f>
        <v>0</v>
      </c>
      <c r="AE361" s="309"/>
      <c r="AF361" s="1072">
        <f t="shared" si="214"/>
        <v>0</v>
      </c>
      <c r="AG361" s="1033">
        <f t="shared" si="214"/>
        <v>0</v>
      </c>
      <c r="AH361" s="1033">
        <f t="shared" si="214"/>
        <v>0</v>
      </c>
      <c r="AI361" s="1033">
        <f t="shared" si="214"/>
        <v>0</v>
      </c>
      <c r="AJ361" s="1033">
        <f t="shared" si="214"/>
        <v>0</v>
      </c>
      <c r="AK361" s="1033">
        <f t="shared" si="214"/>
        <v>0</v>
      </c>
      <c r="AL361" s="1033">
        <f t="shared" si="214"/>
        <v>0</v>
      </c>
      <c r="AM361" s="1033">
        <f t="shared" si="214"/>
        <v>0</v>
      </c>
      <c r="AN361" s="1033">
        <f t="shared" si="214"/>
        <v>0</v>
      </c>
      <c r="AO361" s="1033">
        <f t="shared" si="214"/>
        <v>0</v>
      </c>
      <c r="AP361" s="1033">
        <f t="shared" si="214"/>
        <v>0</v>
      </c>
      <c r="AQ361" s="1033">
        <f t="shared" si="214"/>
        <v>0</v>
      </c>
      <c r="AR361" s="1073">
        <f t="shared" si="215"/>
        <v>0</v>
      </c>
    </row>
    <row r="362" spans="1:47" ht="15.05" thickBot="1" x14ac:dyDescent="0.35">
      <c r="A362" s="205"/>
      <c r="B362" s="5044"/>
      <c r="C362" s="985">
        <f t="shared" si="207"/>
        <v>0</v>
      </c>
      <c r="D362" s="985">
        <f>IF(B362=0,0,VLOOKUP(B362,Precios!$B$216:$D$307,3,FALSE))</f>
        <v>0</v>
      </c>
      <c r="E362" s="5049"/>
      <c r="F362" s="1059">
        <f>IF(B362=0,0,VLOOKUP(B362,Precios!$B$216:$D$307,2,FALSE))</f>
        <v>0</v>
      </c>
      <c r="G362" s="1067">
        <f>E362*F362</f>
        <v>0</v>
      </c>
      <c r="H362" s="309"/>
      <c r="I362" s="1074">
        <f t="shared" si="213"/>
        <v>0</v>
      </c>
      <c r="J362" s="1005">
        <f t="shared" si="213"/>
        <v>0</v>
      </c>
      <c r="K362" s="1005">
        <f t="shared" si="213"/>
        <v>0</v>
      </c>
      <c r="L362" s="1005">
        <f t="shared" si="213"/>
        <v>0</v>
      </c>
      <c r="M362" s="1005">
        <f t="shared" si="213"/>
        <v>0</v>
      </c>
      <c r="N362" s="1005">
        <f t="shared" si="213"/>
        <v>0</v>
      </c>
      <c r="O362" s="1005">
        <f t="shared" si="213"/>
        <v>0</v>
      </c>
      <c r="P362" s="1005">
        <f t="shared" si="213"/>
        <v>0</v>
      </c>
      <c r="Q362" s="1005">
        <f t="shared" si="213"/>
        <v>0</v>
      </c>
      <c r="R362" s="1005">
        <f t="shared" si="213"/>
        <v>0</v>
      </c>
      <c r="S362" s="1005">
        <f t="shared" si="213"/>
        <v>0</v>
      </c>
      <c r="T362" s="1005">
        <f t="shared" si="213"/>
        <v>0</v>
      </c>
      <c r="U362" s="1075">
        <f t="shared" si="218"/>
        <v>0</v>
      </c>
      <c r="X362" s="301"/>
      <c r="Y362" s="5044"/>
      <c r="Z362" s="985">
        <f t="shared" si="208"/>
        <v>0</v>
      </c>
      <c r="AA362" s="985">
        <f>IF(Y362=0,0,VLOOKUP(Y362,Precios!$B$216:$D$307,3,FALSE))</f>
        <v>0</v>
      </c>
      <c r="AB362" s="986"/>
      <c r="AC362" s="1059">
        <f>IF(Y362=0,0,VLOOKUP(Y362,Precios!$B$216:$D$307,2,FALSE))</f>
        <v>0</v>
      </c>
      <c r="AD362" s="1067">
        <f>AB362*AC362</f>
        <v>0</v>
      </c>
      <c r="AE362" s="309"/>
      <c r="AF362" s="1074">
        <f t="shared" si="214"/>
        <v>0</v>
      </c>
      <c r="AG362" s="1005">
        <f t="shared" si="214"/>
        <v>0</v>
      </c>
      <c r="AH362" s="1005">
        <f t="shared" si="214"/>
        <v>0</v>
      </c>
      <c r="AI362" s="1005">
        <f t="shared" si="214"/>
        <v>0</v>
      </c>
      <c r="AJ362" s="1005">
        <f t="shared" si="214"/>
        <v>0</v>
      </c>
      <c r="AK362" s="1005">
        <f t="shared" si="214"/>
        <v>0</v>
      </c>
      <c r="AL362" s="1005">
        <f t="shared" si="214"/>
        <v>0</v>
      </c>
      <c r="AM362" s="1005">
        <f t="shared" si="214"/>
        <v>0</v>
      </c>
      <c r="AN362" s="1005">
        <f t="shared" si="214"/>
        <v>0</v>
      </c>
      <c r="AO362" s="1005">
        <f t="shared" si="214"/>
        <v>0</v>
      </c>
      <c r="AP362" s="1005">
        <f t="shared" si="214"/>
        <v>0</v>
      </c>
      <c r="AQ362" s="1005">
        <f t="shared" si="214"/>
        <v>0</v>
      </c>
      <c r="AR362" s="1075">
        <f t="shared" si="215"/>
        <v>0</v>
      </c>
    </row>
    <row r="363" spans="1:47" x14ac:dyDescent="0.3">
      <c r="A363" s="205"/>
      <c r="B363" s="5046"/>
      <c r="C363" s="1057">
        <f t="shared" si="207"/>
        <v>0</v>
      </c>
      <c r="D363" s="1057">
        <f>IF(B363=0,0,VLOOKUP(B363,Precios!$B$216:$D$307,3,FALSE))</f>
        <v>0</v>
      </c>
      <c r="E363" s="5050"/>
      <c r="F363" s="1061">
        <f>IF(B363=0,0,VLOOKUP(B363,Precios!$B$216:$D$307,2,FALSE))</f>
        <v>0</v>
      </c>
      <c r="G363" s="1068">
        <f>E363*F363</f>
        <v>0</v>
      </c>
      <c r="H363" s="309"/>
      <c r="I363" s="1079">
        <f t="shared" si="213"/>
        <v>0</v>
      </c>
      <c r="J363" s="1047">
        <f t="shared" si="213"/>
        <v>0</v>
      </c>
      <c r="K363" s="1047">
        <f t="shared" si="213"/>
        <v>0</v>
      </c>
      <c r="L363" s="1047">
        <f t="shared" si="213"/>
        <v>0</v>
      </c>
      <c r="M363" s="1047">
        <f t="shared" si="213"/>
        <v>0</v>
      </c>
      <c r="N363" s="1047">
        <f t="shared" si="213"/>
        <v>0</v>
      </c>
      <c r="O363" s="1047">
        <f t="shared" si="213"/>
        <v>0</v>
      </c>
      <c r="P363" s="1047">
        <f t="shared" si="213"/>
        <v>0</v>
      </c>
      <c r="Q363" s="1047">
        <f t="shared" si="213"/>
        <v>0</v>
      </c>
      <c r="R363" s="1047">
        <f t="shared" si="213"/>
        <v>0</v>
      </c>
      <c r="S363" s="1047">
        <f t="shared" si="213"/>
        <v>0</v>
      </c>
      <c r="T363" s="1047">
        <f t="shared" si="213"/>
        <v>0</v>
      </c>
      <c r="U363" s="1080">
        <f t="shared" si="218"/>
        <v>0</v>
      </c>
      <c r="X363" s="301"/>
      <c r="Y363" s="5046"/>
      <c r="Z363" s="1057">
        <f t="shared" si="208"/>
        <v>0</v>
      </c>
      <c r="AA363" s="1057">
        <f>IF(Y363=0,0,VLOOKUP(Y363,Precios!$B$216:$D$307,3,FALSE))</f>
        <v>0</v>
      </c>
      <c r="AB363" s="1060"/>
      <c r="AC363" s="1061">
        <f>IF(Y363=0,0,VLOOKUP(Y363,Precios!$B$216:$D$307,2,FALSE))</f>
        <v>0</v>
      </c>
      <c r="AD363" s="1068">
        <f>AB363*AC363</f>
        <v>0</v>
      </c>
      <c r="AE363" s="309"/>
      <c r="AF363" s="1079">
        <f t="shared" si="214"/>
        <v>0</v>
      </c>
      <c r="AG363" s="1047">
        <f t="shared" si="214"/>
        <v>0</v>
      </c>
      <c r="AH363" s="1047">
        <f t="shared" si="214"/>
        <v>0</v>
      </c>
      <c r="AI363" s="1047">
        <f t="shared" si="214"/>
        <v>0</v>
      </c>
      <c r="AJ363" s="1047">
        <f t="shared" si="214"/>
        <v>0</v>
      </c>
      <c r="AK363" s="1047">
        <f t="shared" si="214"/>
        <v>0</v>
      </c>
      <c r="AL363" s="1047">
        <f t="shared" si="214"/>
        <v>0</v>
      </c>
      <c r="AM363" s="1047">
        <f t="shared" si="214"/>
        <v>0</v>
      </c>
      <c r="AN363" s="1047">
        <f t="shared" si="214"/>
        <v>0</v>
      </c>
      <c r="AO363" s="1047">
        <f t="shared" si="214"/>
        <v>0</v>
      </c>
      <c r="AP363" s="1047">
        <f t="shared" si="214"/>
        <v>0</v>
      </c>
      <c r="AQ363" s="1047">
        <f t="shared" si="214"/>
        <v>0</v>
      </c>
      <c r="AR363" s="1080">
        <f t="shared" si="215"/>
        <v>0</v>
      </c>
    </row>
    <row r="364" spans="1:47" ht="15.05" thickBot="1" x14ac:dyDescent="0.35">
      <c r="A364" s="205"/>
      <c r="B364" s="647" t="s">
        <v>1087</v>
      </c>
      <c r="C364" s="305"/>
      <c r="D364" s="305"/>
      <c r="E364" s="305"/>
      <c r="F364" s="650"/>
      <c r="G364" s="305"/>
      <c r="H364" s="306"/>
      <c r="I364" s="906">
        <f t="shared" ref="I364:T364" si="221">SUM(I361:I363)</f>
        <v>0</v>
      </c>
      <c r="J364" s="906">
        <f t="shared" si="221"/>
        <v>0</v>
      </c>
      <c r="K364" s="906">
        <f t="shared" si="221"/>
        <v>0</v>
      </c>
      <c r="L364" s="906">
        <f t="shared" si="221"/>
        <v>0</v>
      </c>
      <c r="M364" s="906">
        <f t="shared" si="221"/>
        <v>0</v>
      </c>
      <c r="N364" s="906">
        <f t="shared" si="221"/>
        <v>0</v>
      </c>
      <c r="O364" s="906">
        <f t="shared" si="221"/>
        <v>0</v>
      </c>
      <c r="P364" s="906">
        <f t="shared" si="221"/>
        <v>0</v>
      </c>
      <c r="Q364" s="906">
        <f t="shared" si="221"/>
        <v>0</v>
      </c>
      <c r="R364" s="906">
        <f t="shared" si="221"/>
        <v>0</v>
      </c>
      <c r="S364" s="906">
        <f t="shared" si="221"/>
        <v>0</v>
      </c>
      <c r="T364" s="907">
        <f t="shared" si="221"/>
        <v>0</v>
      </c>
      <c r="U364" s="905">
        <f t="shared" si="218"/>
        <v>0</v>
      </c>
      <c r="W364" s="232" t="str">
        <f>B360&amp;B328</f>
        <v>Agroquímicos 0</v>
      </c>
      <c r="X364" s="301"/>
      <c r="Y364" s="647" t="s">
        <v>1087</v>
      </c>
      <c r="Z364" s="305"/>
      <c r="AA364" s="305"/>
      <c r="AB364" s="305"/>
      <c r="AC364" s="650"/>
      <c r="AD364" s="305"/>
      <c r="AE364" s="306"/>
      <c r="AF364" s="906">
        <f t="shared" ref="AF364:AQ364" si="222">SUM(AF361:AF363)</f>
        <v>0</v>
      </c>
      <c r="AG364" s="906">
        <f t="shared" si="222"/>
        <v>0</v>
      </c>
      <c r="AH364" s="906">
        <f t="shared" si="222"/>
        <v>0</v>
      </c>
      <c r="AI364" s="906">
        <f t="shared" si="222"/>
        <v>0</v>
      </c>
      <c r="AJ364" s="906">
        <f t="shared" si="222"/>
        <v>0</v>
      </c>
      <c r="AK364" s="906">
        <f t="shared" si="222"/>
        <v>0</v>
      </c>
      <c r="AL364" s="906">
        <f t="shared" si="222"/>
        <v>0</v>
      </c>
      <c r="AM364" s="906">
        <f t="shared" si="222"/>
        <v>0</v>
      </c>
      <c r="AN364" s="906">
        <f t="shared" si="222"/>
        <v>0</v>
      </c>
      <c r="AO364" s="906">
        <f t="shared" si="222"/>
        <v>0</v>
      </c>
      <c r="AP364" s="906">
        <f t="shared" si="222"/>
        <v>0</v>
      </c>
      <c r="AQ364" s="907">
        <f t="shared" si="222"/>
        <v>0</v>
      </c>
      <c r="AR364" s="905">
        <f t="shared" si="215"/>
        <v>0</v>
      </c>
      <c r="AT364" s="232" t="str">
        <f>Y360&amp;Y328</f>
        <v>Agroquímicos 0</v>
      </c>
    </row>
    <row r="365" spans="1:47" ht="15.05" thickBot="1" x14ac:dyDescent="0.25">
      <c r="A365" s="205"/>
      <c r="B365" s="648" t="s">
        <v>892</v>
      </c>
      <c r="C365" s="909">
        <f>+C327</f>
        <v>0</v>
      </c>
      <c r="D365" s="909"/>
      <c r="E365" s="312" t="s">
        <v>876</v>
      </c>
      <c r="F365" s="313"/>
      <c r="G365" s="289"/>
      <c r="H365" s="312"/>
      <c r="I365" s="314">
        <f>SUMPRODUCT($F332:$F363,I332:I363)</f>
        <v>0</v>
      </c>
      <c r="J365" s="314">
        <f t="shared" ref="J365:T365" si="223">SUMPRODUCT($F332:$F363,J332:J363)</f>
        <v>0</v>
      </c>
      <c r="K365" s="314">
        <f t="shared" si="223"/>
        <v>0</v>
      </c>
      <c r="L365" s="314">
        <f t="shared" si="223"/>
        <v>0</v>
      </c>
      <c r="M365" s="314">
        <f t="shared" si="223"/>
        <v>0</v>
      </c>
      <c r="N365" s="314">
        <f t="shared" si="223"/>
        <v>0</v>
      </c>
      <c r="O365" s="314">
        <f t="shared" si="223"/>
        <v>0</v>
      </c>
      <c r="P365" s="314">
        <f t="shared" si="223"/>
        <v>0</v>
      </c>
      <c r="Q365" s="314">
        <f t="shared" si="223"/>
        <v>0</v>
      </c>
      <c r="R365" s="314">
        <f t="shared" si="223"/>
        <v>0</v>
      </c>
      <c r="S365" s="314">
        <f t="shared" si="223"/>
        <v>0</v>
      </c>
      <c r="T365" s="314">
        <f t="shared" si="223"/>
        <v>0</v>
      </c>
      <c r="U365" s="908">
        <f>SUM(I365:T365)</f>
        <v>0</v>
      </c>
      <c r="X365" s="301"/>
      <c r="Y365" s="648" t="s">
        <v>892</v>
      </c>
      <c r="Z365" s="909">
        <f>+Z327</f>
        <v>0</v>
      </c>
      <c r="AA365" s="909"/>
      <c r="AB365" s="312" t="s">
        <v>876</v>
      </c>
      <c r="AC365" s="313"/>
      <c r="AD365" s="289"/>
      <c r="AE365" s="312"/>
      <c r="AF365" s="314">
        <f t="shared" ref="AF365:AQ365" si="224">SUMPRODUCT($AC332:$AC363,AF332:AF363)</f>
        <v>0</v>
      </c>
      <c r="AG365" s="314">
        <f t="shared" si="224"/>
        <v>0</v>
      </c>
      <c r="AH365" s="314">
        <f t="shared" si="224"/>
        <v>0</v>
      </c>
      <c r="AI365" s="314">
        <f t="shared" si="224"/>
        <v>0</v>
      </c>
      <c r="AJ365" s="314">
        <f t="shared" si="224"/>
        <v>0</v>
      </c>
      <c r="AK365" s="314">
        <f t="shared" si="224"/>
        <v>0</v>
      </c>
      <c r="AL365" s="314">
        <f t="shared" si="224"/>
        <v>0</v>
      </c>
      <c r="AM365" s="314">
        <f t="shared" si="224"/>
        <v>0</v>
      </c>
      <c r="AN365" s="314">
        <f t="shared" si="224"/>
        <v>0</v>
      </c>
      <c r="AO365" s="314">
        <f t="shared" si="224"/>
        <v>0</v>
      </c>
      <c r="AP365" s="314">
        <f t="shared" si="224"/>
        <v>0</v>
      </c>
      <c r="AQ365" s="314">
        <f t="shared" si="224"/>
        <v>0</v>
      </c>
      <c r="AR365" s="908">
        <f>SUM(AF365:AQ365)</f>
        <v>0</v>
      </c>
    </row>
    <row r="366" spans="1:47" x14ac:dyDescent="0.2">
      <c r="A366" s="205"/>
      <c r="B366" s="208"/>
      <c r="C366" s="177"/>
      <c r="D366" s="177"/>
      <c r="E366" s="177"/>
      <c r="F366" s="315"/>
      <c r="G366" s="316"/>
      <c r="H366" s="177"/>
      <c r="I366" s="177"/>
      <c r="J366" s="177"/>
      <c r="K366" s="177"/>
      <c r="L366" s="177"/>
      <c r="M366" s="177"/>
      <c r="N366" s="177"/>
      <c r="O366" s="177"/>
      <c r="P366" s="177"/>
      <c r="Q366" s="177"/>
      <c r="R366" s="177"/>
      <c r="S366" s="177"/>
      <c r="T366" s="177"/>
      <c r="U366" s="317"/>
      <c r="X366" s="205"/>
      <c r="Y366" s="208"/>
      <c r="Z366" s="177"/>
      <c r="AA366" s="177"/>
      <c r="AB366" s="177"/>
      <c r="AC366" s="316"/>
      <c r="AD366" s="316"/>
      <c r="AE366" s="177"/>
      <c r="AF366" s="177"/>
      <c r="AG366" s="177"/>
      <c r="AH366" s="177"/>
      <c r="AI366" s="177"/>
      <c r="AJ366" s="177"/>
      <c r="AK366" s="177"/>
      <c r="AL366" s="177"/>
      <c r="AM366" s="177"/>
      <c r="AN366" s="177"/>
      <c r="AO366" s="177"/>
      <c r="AP366" s="177"/>
      <c r="AQ366" s="177"/>
      <c r="AR366" s="317"/>
    </row>
    <row r="367" spans="1:47" ht="15.05" thickBot="1" x14ac:dyDescent="0.25">
      <c r="A367" s="205"/>
      <c r="B367" s="208"/>
      <c r="C367" s="177"/>
      <c r="D367" s="177"/>
      <c r="E367" s="177"/>
      <c r="F367" s="315"/>
      <c r="G367" s="316"/>
      <c r="H367" s="177"/>
      <c r="I367" s="177"/>
      <c r="J367" s="177"/>
      <c r="K367" s="177"/>
      <c r="L367" s="177"/>
      <c r="M367" s="177"/>
      <c r="N367" s="177"/>
      <c r="O367" s="177"/>
      <c r="P367" s="177"/>
      <c r="Q367" s="177"/>
      <c r="R367" s="177"/>
      <c r="S367" s="177"/>
      <c r="T367" s="177"/>
      <c r="U367" s="317"/>
      <c r="X367" s="205"/>
      <c r="Y367" s="208"/>
      <c r="Z367" s="177"/>
      <c r="AA367" s="177"/>
      <c r="AB367" s="177"/>
      <c r="AC367" s="316"/>
      <c r="AD367" s="316"/>
      <c r="AE367" s="177"/>
      <c r="AF367" s="177"/>
      <c r="AG367" s="177"/>
      <c r="AH367" s="177"/>
      <c r="AI367" s="177"/>
      <c r="AJ367" s="177"/>
      <c r="AK367" s="177"/>
      <c r="AL367" s="177"/>
      <c r="AM367" s="177"/>
      <c r="AN367" s="177"/>
      <c r="AO367" s="177"/>
      <c r="AP367" s="177"/>
      <c r="AQ367" s="177"/>
      <c r="AR367" s="317"/>
    </row>
    <row r="368" spans="1:47" s="254" customFormat="1" ht="15.05" thickBot="1" x14ac:dyDescent="0.25">
      <c r="A368" s="1344">
        <f>+A327+1</f>
        <v>50</v>
      </c>
      <c r="B368" s="635" t="s">
        <v>878</v>
      </c>
      <c r="C368" s="898">
        <f>UsoSuelo!D146</f>
        <v>0</v>
      </c>
      <c r="D368" s="898"/>
      <c r="E368" s="636"/>
      <c r="F368" s="637"/>
      <c r="G368" s="637"/>
      <c r="H368" s="637"/>
      <c r="I368" s="637"/>
      <c r="J368" s="637"/>
      <c r="K368" s="637"/>
      <c r="L368" s="637"/>
      <c r="M368" s="637"/>
      <c r="N368" s="637"/>
      <c r="O368" s="637"/>
      <c r="P368" s="637"/>
      <c r="Q368" s="637"/>
      <c r="R368" s="637"/>
      <c r="S368" s="637"/>
      <c r="T368" s="637"/>
      <c r="U368" s="638"/>
      <c r="V368" s="1569"/>
      <c r="W368" s="1569"/>
      <c r="X368" s="1344">
        <f>+X327+1</f>
        <v>62</v>
      </c>
      <c r="Y368" s="635" t="s">
        <v>878</v>
      </c>
      <c r="Z368" s="898">
        <f>+UsoSuelo!D163</f>
        <v>0</v>
      </c>
      <c r="AA368" s="898"/>
      <c r="AB368" s="636"/>
      <c r="AC368" s="637"/>
      <c r="AD368" s="637"/>
      <c r="AE368" s="637"/>
      <c r="AF368" s="637"/>
      <c r="AG368" s="637"/>
      <c r="AH368" s="637"/>
      <c r="AI368" s="637"/>
      <c r="AJ368" s="637"/>
      <c r="AK368" s="637"/>
      <c r="AL368" s="637"/>
      <c r="AM368" s="637"/>
      <c r="AN368" s="637"/>
      <c r="AO368" s="637"/>
      <c r="AP368" s="637"/>
      <c r="AQ368" s="637"/>
      <c r="AR368" s="638"/>
      <c r="AS368" s="1569"/>
      <c r="AT368" s="1569"/>
      <c r="AU368" s="1436"/>
    </row>
    <row r="369" spans="1:47" s="254" customFormat="1" x14ac:dyDescent="0.2">
      <c r="A369" s="1344" t="s">
        <v>1869</v>
      </c>
      <c r="B369" s="639">
        <f>+UsoSuelo!H146</f>
        <v>0</v>
      </c>
      <c r="C369" s="291"/>
      <c r="D369" s="291"/>
      <c r="E369" s="291"/>
      <c r="F369" s="291"/>
      <c r="G369" s="291" t="s">
        <v>883</v>
      </c>
      <c r="H369" s="292"/>
      <c r="I369" s="293" t="str">
        <f t="shared" ref="I369:T369" si="225">+I41</f>
        <v>Ene</v>
      </c>
      <c r="J369" s="293" t="str">
        <f t="shared" si="225"/>
        <v>Feb</v>
      </c>
      <c r="K369" s="293" t="str">
        <f t="shared" si="225"/>
        <v>Mar</v>
      </c>
      <c r="L369" s="293" t="str">
        <f t="shared" si="225"/>
        <v>Abr</v>
      </c>
      <c r="M369" s="293" t="str">
        <f t="shared" si="225"/>
        <v>May</v>
      </c>
      <c r="N369" s="293" t="str">
        <f t="shared" si="225"/>
        <v>Jun</v>
      </c>
      <c r="O369" s="293" t="str">
        <f t="shared" si="225"/>
        <v>Jul</v>
      </c>
      <c r="P369" s="293" t="str">
        <f t="shared" si="225"/>
        <v>Ago</v>
      </c>
      <c r="Q369" s="293" t="str">
        <f t="shared" si="225"/>
        <v>Set</v>
      </c>
      <c r="R369" s="293" t="str">
        <f t="shared" si="225"/>
        <v>Oct</v>
      </c>
      <c r="S369" s="293" t="str">
        <f t="shared" si="225"/>
        <v>Nov</v>
      </c>
      <c r="T369" s="294" t="str">
        <f t="shared" si="225"/>
        <v>Dic</v>
      </c>
      <c r="U369" s="640" t="s">
        <v>1106</v>
      </c>
      <c r="V369" s="1569"/>
      <c r="W369" s="1569"/>
      <c r="X369" s="1344" t="str">
        <f>+A369</f>
        <v>J</v>
      </c>
      <c r="Y369" s="639">
        <f>+UsoSuelo!H163</f>
        <v>0</v>
      </c>
      <c r="Z369" s="291"/>
      <c r="AA369" s="291"/>
      <c r="AB369" s="291"/>
      <c r="AC369" s="291"/>
      <c r="AD369" s="291" t="s">
        <v>883</v>
      </c>
      <c r="AE369" s="292"/>
      <c r="AF369" s="293" t="str">
        <f t="shared" ref="AF369:AQ369" si="226">+AF41</f>
        <v>Ene</v>
      </c>
      <c r="AG369" s="293" t="str">
        <f t="shared" si="226"/>
        <v>Feb</v>
      </c>
      <c r="AH369" s="293" t="str">
        <f t="shared" si="226"/>
        <v>Mar</v>
      </c>
      <c r="AI369" s="293" t="str">
        <f t="shared" si="226"/>
        <v>Abr</v>
      </c>
      <c r="AJ369" s="293" t="str">
        <f t="shared" si="226"/>
        <v>May</v>
      </c>
      <c r="AK369" s="293" t="str">
        <f t="shared" si="226"/>
        <v>Jun</v>
      </c>
      <c r="AL369" s="293" t="str">
        <f t="shared" si="226"/>
        <v>Jul</v>
      </c>
      <c r="AM369" s="293" t="str">
        <f t="shared" si="226"/>
        <v>Ago</v>
      </c>
      <c r="AN369" s="293" t="str">
        <f t="shared" si="226"/>
        <v>Set</v>
      </c>
      <c r="AO369" s="293" t="str">
        <f t="shared" si="226"/>
        <v>Oct</v>
      </c>
      <c r="AP369" s="293" t="str">
        <f t="shared" si="226"/>
        <v>Nov</v>
      </c>
      <c r="AQ369" s="294" t="str">
        <f t="shared" si="226"/>
        <v>Dic</v>
      </c>
      <c r="AR369" s="640" t="s">
        <v>1106</v>
      </c>
      <c r="AS369" s="1569"/>
      <c r="AT369" s="1569"/>
      <c r="AU369" s="1436"/>
    </row>
    <row r="370" spans="1:47" s="254" customFormat="1" x14ac:dyDescent="0.2">
      <c r="A370" s="205"/>
      <c r="B370" s="899" t="s">
        <v>884</v>
      </c>
      <c r="C370" s="900"/>
      <c r="D370" s="900"/>
      <c r="E370" s="900"/>
      <c r="F370" s="900"/>
      <c r="G370" s="900"/>
      <c r="H370" s="900"/>
      <c r="I370" s="901">
        <f>VLOOKUP($C368,UsoSuelo!$CQ$1127:$DC$1194,2,FALSE)</f>
        <v>0</v>
      </c>
      <c r="J370" s="901">
        <f>VLOOKUP($C368,UsoSuelo!$CQ$1127:$DC$1194,3,FALSE)</f>
        <v>0</v>
      </c>
      <c r="K370" s="901">
        <f>VLOOKUP($C368,UsoSuelo!$CQ$1127:$DC$1194,4,FALSE)</f>
        <v>0</v>
      </c>
      <c r="L370" s="901">
        <f>VLOOKUP($C368,UsoSuelo!$CQ$1127:$DC$1194,5,FALSE)</f>
        <v>0</v>
      </c>
      <c r="M370" s="901">
        <f>VLOOKUP($C368,UsoSuelo!$CQ$1127:$DC$1194,6,FALSE)</f>
        <v>0</v>
      </c>
      <c r="N370" s="901">
        <f>VLOOKUP($C368,UsoSuelo!$CQ$1127:$DC$1194,7,FALSE)</f>
        <v>0</v>
      </c>
      <c r="O370" s="901">
        <f>VLOOKUP($C368,UsoSuelo!$CQ$1127:$DC$1194,8,FALSE)</f>
        <v>0</v>
      </c>
      <c r="P370" s="901">
        <f>VLOOKUP($C368,UsoSuelo!$CQ$1127:$DC$1194,9,FALSE)</f>
        <v>0</v>
      </c>
      <c r="Q370" s="901">
        <f>VLOOKUP($C368,UsoSuelo!$CQ$1127:$DC$1194,10,FALSE)</f>
        <v>0</v>
      </c>
      <c r="R370" s="901">
        <f>VLOOKUP($C368,UsoSuelo!$CQ$1127:$DC$1194,11,FALSE)</f>
        <v>0</v>
      </c>
      <c r="S370" s="901">
        <f>VLOOKUP($C368,UsoSuelo!$CQ$1127:$DC$1194,12,FALSE)</f>
        <v>0</v>
      </c>
      <c r="T370" s="902">
        <f>VLOOKUP($C368,UsoSuelo!$CQ$1127:$DC$1194,13,FALSE)</f>
        <v>0</v>
      </c>
      <c r="U370" s="903">
        <f>SUM(I370:T370)</f>
        <v>0</v>
      </c>
      <c r="V370" s="1569"/>
      <c r="W370" s="1569"/>
      <c r="X370" s="16"/>
      <c r="Y370" s="899" t="s">
        <v>884</v>
      </c>
      <c r="Z370" s="900"/>
      <c r="AA370" s="900"/>
      <c r="AB370" s="900"/>
      <c r="AC370" s="900"/>
      <c r="AD370" s="900"/>
      <c r="AE370" s="900"/>
      <c r="AF370" s="901">
        <f>VLOOKUP($Z368,UsoSuelo!$DE$1054:$DQ$1120,2,FALSE)</f>
        <v>0</v>
      </c>
      <c r="AG370" s="901">
        <f>VLOOKUP($Z368,UsoSuelo!$DE$1054:$DQ$1120,3,FALSE)</f>
        <v>0</v>
      </c>
      <c r="AH370" s="901">
        <f>VLOOKUP($Z368,UsoSuelo!$DE$1054:$DQ$1120,4,FALSE)</f>
        <v>0</v>
      </c>
      <c r="AI370" s="901">
        <f>VLOOKUP($Z368,UsoSuelo!$DE$1054:$DQ$1120,5,FALSE)</f>
        <v>0</v>
      </c>
      <c r="AJ370" s="901">
        <f>VLOOKUP($Z368,UsoSuelo!$DE$1054:$DQ$1120,6,FALSE)</f>
        <v>0</v>
      </c>
      <c r="AK370" s="901">
        <f>VLOOKUP($Z368,UsoSuelo!$DE$1054:$DQ$1120,7,FALSE)</f>
        <v>0</v>
      </c>
      <c r="AL370" s="901">
        <f>VLOOKUP($Z368,UsoSuelo!$DE$1054:$DQ$1120,8,FALSE)</f>
        <v>0</v>
      </c>
      <c r="AM370" s="901">
        <f>VLOOKUP($Z368,UsoSuelo!$DE$1054:$DQ$1120,9,FALSE)</f>
        <v>0</v>
      </c>
      <c r="AN370" s="901">
        <f>VLOOKUP($Z368,UsoSuelo!$DE$1054:$DQ$1120,10,FALSE)</f>
        <v>0</v>
      </c>
      <c r="AO370" s="901">
        <f>VLOOKUP($Z368,UsoSuelo!$DE$1054:$DQ$1120,11,FALSE)</f>
        <v>0</v>
      </c>
      <c r="AP370" s="901">
        <f>VLOOKUP($Z368,UsoSuelo!$DE$1054:$DQ$1120,12,FALSE)</f>
        <v>0</v>
      </c>
      <c r="AQ370" s="902">
        <f>VLOOKUP($Z368,UsoSuelo!$DE$1054:$DQ$1120,13,FALSE)</f>
        <v>0</v>
      </c>
      <c r="AR370" s="903">
        <f>SUM(AF370:AQ370)</f>
        <v>0</v>
      </c>
      <c r="AS370" s="1569"/>
      <c r="AT370" s="1569"/>
      <c r="AU370" s="1436"/>
    </row>
    <row r="371" spans="1:47" x14ac:dyDescent="0.2">
      <c r="A371" s="145"/>
      <c r="B371" s="641"/>
      <c r="C371" s="621" t="s">
        <v>885</v>
      </c>
      <c r="D371" s="621"/>
      <c r="E371" s="621" t="s">
        <v>881</v>
      </c>
      <c r="F371" s="621" t="s">
        <v>23</v>
      </c>
      <c r="G371" s="622"/>
      <c r="H371" s="623"/>
      <c r="I371" s="297"/>
      <c r="J371" s="296"/>
      <c r="K371" s="296"/>
      <c r="L371" s="296"/>
      <c r="M371" s="296"/>
      <c r="N371" s="297"/>
      <c r="O371" s="297"/>
      <c r="P371" s="297"/>
      <c r="Q371" s="297"/>
      <c r="R371" s="297"/>
      <c r="S371" s="297"/>
      <c r="T371" s="297"/>
      <c r="U371" s="642" t="s">
        <v>881</v>
      </c>
      <c r="W371" s="1569"/>
      <c r="X371" s="16"/>
      <c r="Y371" s="641"/>
      <c r="Z371" s="621" t="s">
        <v>885</v>
      </c>
      <c r="AA371" s="621"/>
      <c r="AB371" s="621" t="s">
        <v>881</v>
      </c>
      <c r="AC371" s="621" t="s">
        <v>23</v>
      </c>
      <c r="AD371" s="622"/>
      <c r="AE371" s="623"/>
      <c r="AF371" s="297"/>
      <c r="AG371" s="296"/>
      <c r="AH371" s="296"/>
      <c r="AI371" s="296"/>
      <c r="AJ371" s="296"/>
      <c r="AK371" s="297"/>
      <c r="AL371" s="297"/>
      <c r="AM371" s="297"/>
      <c r="AN371" s="297"/>
      <c r="AO371" s="297"/>
      <c r="AP371" s="297"/>
      <c r="AQ371" s="297"/>
      <c r="AR371" s="642" t="s">
        <v>881</v>
      </c>
      <c r="AT371" s="1569"/>
    </row>
    <row r="372" spans="1:47" x14ac:dyDescent="0.2">
      <c r="A372" s="205"/>
      <c r="B372" s="199" t="s">
        <v>869</v>
      </c>
      <c r="C372" s="3" t="s">
        <v>1105</v>
      </c>
      <c r="D372" s="3" t="s">
        <v>312</v>
      </c>
      <c r="E372" s="4" t="s">
        <v>882</v>
      </c>
      <c r="F372" s="3" t="s">
        <v>314</v>
      </c>
      <c r="G372" s="4" t="s">
        <v>313</v>
      </c>
      <c r="H372" s="299"/>
      <c r="I372" s="320"/>
      <c r="J372" s="319"/>
      <c r="K372" s="319"/>
      <c r="L372" s="319"/>
      <c r="M372" s="319" t="s">
        <v>349</v>
      </c>
      <c r="N372" s="320"/>
      <c r="O372" s="320"/>
      <c r="P372" s="320"/>
      <c r="Q372" s="320"/>
      <c r="R372" s="320"/>
      <c r="S372" s="320"/>
      <c r="T372" s="320"/>
      <c r="U372" s="643" t="s">
        <v>891</v>
      </c>
      <c r="X372" s="205"/>
      <c r="Y372" s="199" t="s">
        <v>869</v>
      </c>
      <c r="Z372" s="3" t="s">
        <v>1105</v>
      </c>
      <c r="AA372" s="3" t="s">
        <v>312</v>
      </c>
      <c r="AB372" s="4" t="s">
        <v>882</v>
      </c>
      <c r="AC372" s="3" t="s">
        <v>314</v>
      </c>
      <c r="AD372" s="4" t="s">
        <v>313</v>
      </c>
      <c r="AE372" s="299"/>
      <c r="AF372" s="320"/>
      <c r="AG372" s="319"/>
      <c r="AH372" s="319"/>
      <c r="AI372" s="319"/>
      <c r="AJ372" s="319" t="s">
        <v>349</v>
      </c>
      <c r="AK372" s="320"/>
      <c r="AL372" s="320"/>
      <c r="AM372" s="320"/>
      <c r="AN372" s="320"/>
      <c r="AO372" s="320"/>
      <c r="AP372" s="320"/>
      <c r="AQ372" s="320"/>
      <c r="AR372" s="643" t="s">
        <v>891</v>
      </c>
    </row>
    <row r="373" spans="1:47" ht="15.05" thickBot="1" x14ac:dyDescent="0.35">
      <c r="A373" s="205"/>
      <c r="B373" s="5042"/>
      <c r="C373" s="1056">
        <f>IF(B373=0,0,U$370)</f>
        <v>0</v>
      </c>
      <c r="D373" s="1056">
        <f>IF(B373=0,0,VLOOKUP(B373,Precios!$B$216:$D$307,3,FALSE))</f>
        <v>0</v>
      </c>
      <c r="E373" s="5043"/>
      <c r="F373" s="300"/>
      <c r="G373" s="300"/>
      <c r="H373" s="309"/>
      <c r="I373" s="1072">
        <f>IF($C373&gt;0,I$370*$E373,0)</f>
        <v>0</v>
      </c>
      <c r="J373" s="1033">
        <f t="shared" ref="J373:T390" si="227">IF($C373&gt;0,J$370*$E373,0)</f>
        <v>0</v>
      </c>
      <c r="K373" s="1033">
        <f t="shared" si="227"/>
        <v>0</v>
      </c>
      <c r="L373" s="1033">
        <f t="shared" si="227"/>
        <v>0</v>
      </c>
      <c r="M373" s="1033">
        <f t="shared" si="227"/>
        <v>0</v>
      </c>
      <c r="N373" s="1033">
        <f t="shared" si="227"/>
        <v>0</v>
      </c>
      <c r="O373" s="1033">
        <f t="shared" si="227"/>
        <v>0</v>
      </c>
      <c r="P373" s="1033">
        <f t="shared" si="227"/>
        <v>0</v>
      </c>
      <c r="Q373" s="1033">
        <f t="shared" si="227"/>
        <v>0</v>
      </c>
      <c r="R373" s="1033">
        <f t="shared" si="227"/>
        <v>0</v>
      </c>
      <c r="S373" s="1033">
        <f t="shared" si="227"/>
        <v>0</v>
      </c>
      <c r="T373" s="1033">
        <f t="shared" si="227"/>
        <v>0</v>
      </c>
      <c r="U373" s="1073">
        <f t="shared" ref="U373:U394" si="228">SUM(I373:T373)</f>
        <v>0</v>
      </c>
      <c r="V373" s="232" t="str">
        <f>B373&amp;"propia"</f>
        <v>propia</v>
      </c>
      <c r="X373" s="205"/>
      <c r="Y373" s="5042"/>
      <c r="Z373" s="1056">
        <f>IF(Y373=0,0,AR$370)</f>
        <v>0</v>
      </c>
      <c r="AA373" s="1056">
        <f>IF(Y373=0,0,VLOOKUP(Y373,Precios!$B$216:$D$307,3,FALSE))</f>
        <v>0</v>
      </c>
      <c r="AB373" s="1069"/>
      <c r="AC373" s="300"/>
      <c r="AD373" s="300"/>
      <c r="AE373" s="309"/>
      <c r="AF373" s="1072">
        <f>IF($Z373&gt;0,AF$370*$AB373,0)</f>
        <v>0</v>
      </c>
      <c r="AG373" s="1033">
        <f t="shared" ref="AG373:AQ391" si="229">IF($Z373&gt;0,AG$370*$AB373,0)</f>
        <v>0</v>
      </c>
      <c r="AH373" s="1033">
        <f t="shared" si="229"/>
        <v>0</v>
      </c>
      <c r="AI373" s="1033">
        <f t="shared" si="229"/>
        <v>0</v>
      </c>
      <c r="AJ373" s="1033">
        <f t="shared" si="229"/>
        <v>0</v>
      </c>
      <c r="AK373" s="1033">
        <f t="shared" si="229"/>
        <v>0</v>
      </c>
      <c r="AL373" s="1033">
        <f t="shared" si="229"/>
        <v>0</v>
      </c>
      <c r="AM373" s="1033">
        <f t="shared" si="229"/>
        <v>0</v>
      </c>
      <c r="AN373" s="1033">
        <f t="shared" si="229"/>
        <v>0</v>
      </c>
      <c r="AO373" s="1033">
        <f t="shared" si="229"/>
        <v>0</v>
      </c>
      <c r="AP373" s="1033">
        <f t="shared" si="229"/>
        <v>0</v>
      </c>
      <c r="AQ373" s="1033">
        <f t="shared" si="229"/>
        <v>0</v>
      </c>
      <c r="AR373" s="1073">
        <f t="shared" ref="AR373:AR391" si="230">SUM(AF373:AQ373)</f>
        <v>0</v>
      </c>
      <c r="AS373" s="232" t="str">
        <f>Y373&amp;"propia"</f>
        <v>propia</v>
      </c>
    </row>
    <row r="374" spans="1:47" ht="15.05" thickBot="1" x14ac:dyDescent="0.35">
      <c r="A374" s="205"/>
      <c r="B374" s="5044"/>
      <c r="C374" s="985">
        <f>IF(B374=0,0,U$370)</f>
        <v>0</v>
      </c>
      <c r="D374" s="985">
        <f>IF(B374=0,0,VLOOKUP(B374,Precios!$B$216:$D$307,3,FALSE))</f>
        <v>0</v>
      </c>
      <c r="E374" s="5045"/>
      <c r="F374" s="300"/>
      <c r="G374" s="300"/>
      <c r="H374" s="309"/>
      <c r="I374" s="1074">
        <f>IF($C374&gt;0,I$370*$E374,0)</f>
        <v>0</v>
      </c>
      <c r="J374" s="1005">
        <f t="shared" si="227"/>
        <v>0</v>
      </c>
      <c r="K374" s="1005">
        <f t="shared" si="227"/>
        <v>0</v>
      </c>
      <c r="L374" s="1005">
        <f t="shared" si="227"/>
        <v>0</v>
      </c>
      <c r="M374" s="1005">
        <f t="shared" si="227"/>
        <v>0</v>
      </c>
      <c r="N374" s="1005">
        <f t="shared" si="227"/>
        <v>0</v>
      </c>
      <c r="O374" s="1005">
        <f t="shared" si="227"/>
        <v>0</v>
      </c>
      <c r="P374" s="1005">
        <f t="shared" si="227"/>
        <v>0</v>
      </c>
      <c r="Q374" s="1005">
        <f t="shared" si="227"/>
        <v>0</v>
      </c>
      <c r="R374" s="1005">
        <f t="shared" si="227"/>
        <v>0</v>
      </c>
      <c r="S374" s="1005">
        <f t="shared" si="227"/>
        <v>0</v>
      </c>
      <c r="T374" s="1005">
        <f t="shared" si="227"/>
        <v>0</v>
      </c>
      <c r="U374" s="1075">
        <f t="shared" si="228"/>
        <v>0</v>
      </c>
      <c r="V374" s="232" t="str">
        <f>B374&amp;"propia"</f>
        <v>propia</v>
      </c>
      <c r="X374" s="301"/>
      <c r="Y374" s="5044"/>
      <c r="Z374" s="985">
        <f>IF(Y374=0,0,AR$370)</f>
        <v>0</v>
      </c>
      <c r="AA374" s="985">
        <f>IF(Y374=0,0,VLOOKUP(Y374,Precios!$B$216:$D$307,3,FALSE))</f>
        <v>0</v>
      </c>
      <c r="AB374" s="1070"/>
      <c r="AC374" s="300"/>
      <c r="AD374" s="300"/>
      <c r="AE374" s="309"/>
      <c r="AF374" s="1074">
        <f>IF($Z374&gt;0,AF$370*$AB374,0)</f>
        <v>0</v>
      </c>
      <c r="AG374" s="1005">
        <f t="shared" si="229"/>
        <v>0</v>
      </c>
      <c r="AH374" s="1005">
        <f t="shared" si="229"/>
        <v>0</v>
      </c>
      <c r="AI374" s="1005">
        <f t="shared" si="229"/>
        <v>0</v>
      </c>
      <c r="AJ374" s="1005">
        <f t="shared" si="229"/>
        <v>0</v>
      </c>
      <c r="AK374" s="1005">
        <f t="shared" si="229"/>
        <v>0</v>
      </c>
      <c r="AL374" s="1005">
        <f t="shared" si="229"/>
        <v>0</v>
      </c>
      <c r="AM374" s="1005">
        <f t="shared" si="229"/>
        <v>0</v>
      </c>
      <c r="AN374" s="1005">
        <f t="shared" si="229"/>
        <v>0</v>
      </c>
      <c r="AO374" s="1005">
        <f t="shared" si="229"/>
        <v>0</v>
      </c>
      <c r="AP374" s="1005">
        <f t="shared" si="229"/>
        <v>0</v>
      </c>
      <c r="AQ374" s="1005">
        <f t="shared" si="229"/>
        <v>0</v>
      </c>
      <c r="AR374" s="1075">
        <f t="shared" si="230"/>
        <v>0</v>
      </c>
      <c r="AS374" s="232" t="str">
        <f>Y374&amp;"propia"</f>
        <v>propia</v>
      </c>
    </row>
    <row r="375" spans="1:47" ht="15.05" thickBot="1" x14ac:dyDescent="0.35">
      <c r="A375" s="205"/>
      <c r="B375" s="5044"/>
      <c r="C375" s="985">
        <f>IF(B375=0,0,U$370)</f>
        <v>0</v>
      </c>
      <c r="D375" s="985">
        <f>IF(B375=0,0,VLOOKUP(B375,Precios!$B$216:$D$307,3,FALSE))</f>
        <v>0</v>
      </c>
      <c r="E375" s="5045"/>
      <c r="F375" s="300"/>
      <c r="G375" s="300"/>
      <c r="H375" s="309"/>
      <c r="I375" s="1074">
        <f>IF($C375&gt;0,I$370*$E375,0)</f>
        <v>0</v>
      </c>
      <c r="J375" s="1005">
        <f t="shared" si="227"/>
        <v>0</v>
      </c>
      <c r="K375" s="1005">
        <f t="shared" si="227"/>
        <v>0</v>
      </c>
      <c r="L375" s="1005">
        <f t="shared" si="227"/>
        <v>0</v>
      </c>
      <c r="M375" s="1005">
        <f t="shared" si="227"/>
        <v>0</v>
      </c>
      <c r="N375" s="1005">
        <f t="shared" si="227"/>
        <v>0</v>
      </c>
      <c r="O375" s="1005">
        <f t="shared" si="227"/>
        <v>0</v>
      </c>
      <c r="P375" s="1005">
        <f t="shared" si="227"/>
        <v>0</v>
      </c>
      <c r="Q375" s="1005">
        <f t="shared" si="227"/>
        <v>0</v>
      </c>
      <c r="R375" s="1005">
        <f t="shared" si="227"/>
        <v>0</v>
      </c>
      <c r="S375" s="1005">
        <f t="shared" si="227"/>
        <v>0</v>
      </c>
      <c r="T375" s="1005">
        <f t="shared" si="227"/>
        <v>0</v>
      </c>
      <c r="U375" s="1075">
        <f t="shared" si="228"/>
        <v>0</v>
      </c>
      <c r="V375" s="232" t="str">
        <f>B375&amp;"propia"</f>
        <v>propia</v>
      </c>
      <c r="X375" s="301"/>
      <c r="Y375" s="5044"/>
      <c r="Z375" s="985">
        <f>IF(Y375=0,0,AR$370)</f>
        <v>0</v>
      </c>
      <c r="AA375" s="985">
        <f>IF(Y375=0,0,VLOOKUP(Y375,Precios!$B$216:$D$307,3,FALSE))</f>
        <v>0</v>
      </c>
      <c r="AB375" s="1070"/>
      <c r="AC375" s="300"/>
      <c r="AD375" s="300"/>
      <c r="AE375" s="309"/>
      <c r="AF375" s="1074">
        <f>IF($Z375&gt;0,AF$370*$AB375,0)</f>
        <v>0</v>
      </c>
      <c r="AG375" s="1005">
        <f t="shared" si="229"/>
        <v>0</v>
      </c>
      <c r="AH375" s="1005">
        <f t="shared" si="229"/>
        <v>0</v>
      </c>
      <c r="AI375" s="1005">
        <f t="shared" si="229"/>
        <v>0</v>
      </c>
      <c r="AJ375" s="1005">
        <f t="shared" si="229"/>
        <v>0</v>
      </c>
      <c r="AK375" s="1005">
        <f t="shared" si="229"/>
        <v>0</v>
      </c>
      <c r="AL375" s="1005">
        <f t="shared" si="229"/>
        <v>0</v>
      </c>
      <c r="AM375" s="1005">
        <f t="shared" si="229"/>
        <v>0</v>
      </c>
      <c r="AN375" s="1005">
        <f t="shared" si="229"/>
        <v>0</v>
      </c>
      <c r="AO375" s="1005">
        <f t="shared" si="229"/>
        <v>0</v>
      </c>
      <c r="AP375" s="1005">
        <f t="shared" si="229"/>
        <v>0</v>
      </c>
      <c r="AQ375" s="1005">
        <f t="shared" si="229"/>
        <v>0</v>
      </c>
      <c r="AR375" s="1075">
        <f t="shared" si="230"/>
        <v>0</v>
      </c>
      <c r="AS375" s="232" t="str">
        <f>Y375&amp;"propia"</f>
        <v>propia</v>
      </c>
    </row>
    <row r="376" spans="1:47" ht="15.05" thickBot="1" x14ac:dyDescent="0.35">
      <c r="A376" s="205"/>
      <c r="B376" s="5044"/>
      <c r="C376" s="985">
        <f>IF(B376=0,0,U$370)</f>
        <v>0</v>
      </c>
      <c r="D376" s="985">
        <f>IF(B376=0,0,VLOOKUP(B376,Precios!$B$216:$D$307,3,FALSE))</f>
        <v>0</v>
      </c>
      <c r="E376" s="5045"/>
      <c r="F376" s="300"/>
      <c r="G376" s="300"/>
      <c r="H376" s="309"/>
      <c r="I376" s="1074">
        <f>IF($C376&gt;0,I$370*$E376,0)</f>
        <v>0</v>
      </c>
      <c r="J376" s="1005">
        <f t="shared" si="227"/>
        <v>0</v>
      </c>
      <c r="K376" s="1005">
        <f t="shared" si="227"/>
        <v>0</v>
      </c>
      <c r="L376" s="1005">
        <f t="shared" si="227"/>
        <v>0</v>
      </c>
      <c r="M376" s="1005">
        <f t="shared" si="227"/>
        <v>0</v>
      </c>
      <c r="N376" s="1005">
        <f t="shared" si="227"/>
        <v>0</v>
      </c>
      <c r="O376" s="1005">
        <f t="shared" si="227"/>
        <v>0</v>
      </c>
      <c r="P376" s="1005">
        <f t="shared" si="227"/>
        <v>0</v>
      </c>
      <c r="Q376" s="1005">
        <f t="shared" si="227"/>
        <v>0</v>
      </c>
      <c r="R376" s="1005">
        <f t="shared" si="227"/>
        <v>0</v>
      </c>
      <c r="S376" s="1005">
        <f t="shared" si="227"/>
        <v>0</v>
      </c>
      <c r="T376" s="1005">
        <f t="shared" si="227"/>
        <v>0</v>
      </c>
      <c r="U376" s="1075">
        <f t="shared" si="228"/>
        <v>0</v>
      </c>
      <c r="V376" s="232" t="str">
        <f>B376&amp;"propia"</f>
        <v>propia</v>
      </c>
      <c r="X376" s="301"/>
      <c r="Y376" s="5044"/>
      <c r="Z376" s="985">
        <f>IF(Y376=0,0,AR$370)</f>
        <v>0</v>
      </c>
      <c r="AA376" s="985">
        <f>IF(Y376=0,0,VLOOKUP(Y376,Precios!$B$216:$D$307,3,FALSE))</f>
        <v>0</v>
      </c>
      <c r="AB376" s="1070"/>
      <c r="AC376" s="300"/>
      <c r="AD376" s="300"/>
      <c r="AE376" s="309"/>
      <c r="AF376" s="1074">
        <f>IF($Z376&gt;0,AF$370*$AB376,0)</f>
        <v>0</v>
      </c>
      <c r="AG376" s="1005">
        <f t="shared" si="229"/>
        <v>0</v>
      </c>
      <c r="AH376" s="1005">
        <f t="shared" si="229"/>
        <v>0</v>
      </c>
      <c r="AI376" s="1005">
        <f t="shared" si="229"/>
        <v>0</v>
      </c>
      <c r="AJ376" s="1005">
        <f t="shared" si="229"/>
        <v>0</v>
      </c>
      <c r="AK376" s="1005">
        <f t="shared" si="229"/>
        <v>0</v>
      </c>
      <c r="AL376" s="1005">
        <f t="shared" si="229"/>
        <v>0</v>
      </c>
      <c r="AM376" s="1005">
        <f t="shared" si="229"/>
        <v>0</v>
      </c>
      <c r="AN376" s="1005">
        <f t="shared" si="229"/>
        <v>0</v>
      </c>
      <c r="AO376" s="1005">
        <f t="shared" si="229"/>
        <v>0</v>
      </c>
      <c r="AP376" s="1005">
        <f t="shared" si="229"/>
        <v>0</v>
      </c>
      <c r="AQ376" s="1005">
        <f t="shared" si="229"/>
        <v>0</v>
      </c>
      <c r="AR376" s="1075">
        <f t="shared" si="230"/>
        <v>0</v>
      </c>
      <c r="AS376" s="232" t="str">
        <f>Y376&amp;"propia"</f>
        <v>propia</v>
      </c>
    </row>
    <row r="377" spans="1:47" x14ac:dyDescent="0.3">
      <c r="A377" s="205"/>
      <c r="B377" s="5046"/>
      <c r="C377" s="1057">
        <f>IF(B377=0,0,U$370)</f>
        <v>0</v>
      </c>
      <c r="D377" s="1057">
        <f>IF(B377=0,0,VLOOKUP(B377,Precios!$B$216:$D$307,3,FALSE))</f>
        <v>0</v>
      </c>
      <c r="E377" s="5047"/>
      <c r="F377" s="300"/>
      <c r="G377" s="300"/>
      <c r="H377" s="309"/>
      <c r="I377" s="1076">
        <f>IF($C377&gt;0,I$370*$E377,0)</f>
        <v>0</v>
      </c>
      <c r="J377" s="1077">
        <f t="shared" si="227"/>
        <v>0</v>
      </c>
      <c r="K377" s="1077">
        <f t="shared" si="227"/>
        <v>0</v>
      </c>
      <c r="L377" s="1077">
        <f t="shared" si="227"/>
        <v>0</v>
      </c>
      <c r="M377" s="1077">
        <f t="shared" si="227"/>
        <v>0</v>
      </c>
      <c r="N377" s="1077">
        <f t="shared" si="227"/>
        <v>0</v>
      </c>
      <c r="O377" s="1077">
        <f t="shared" si="227"/>
        <v>0</v>
      </c>
      <c r="P377" s="1077">
        <f t="shared" si="227"/>
        <v>0</v>
      </c>
      <c r="Q377" s="1077">
        <f t="shared" si="227"/>
        <v>0</v>
      </c>
      <c r="R377" s="1077">
        <f t="shared" si="227"/>
        <v>0</v>
      </c>
      <c r="S377" s="1077">
        <f t="shared" si="227"/>
        <v>0</v>
      </c>
      <c r="T377" s="1077">
        <f t="shared" si="227"/>
        <v>0</v>
      </c>
      <c r="U377" s="1078">
        <f t="shared" si="228"/>
        <v>0</v>
      </c>
      <c r="V377" s="232" t="str">
        <f>B377&amp;"propia"</f>
        <v>propia</v>
      </c>
      <c r="X377" s="301"/>
      <c r="Y377" s="5046"/>
      <c r="Z377" s="1057">
        <f>IF(Y377=0,0,AR$370)</f>
        <v>0</v>
      </c>
      <c r="AA377" s="1057">
        <f>IF(Y377=0,0,VLOOKUP(Y377,Precios!$B$216:$D$307,3,FALSE))</f>
        <v>0</v>
      </c>
      <c r="AB377" s="1071"/>
      <c r="AC377" s="300"/>
      <c r="AD377" s="300"/>
      <c r="AE377" s="309"/>
      <c r="AF377" s="1076">
        <f>IF($Z377&gt;0,AF$370*$AB377,0)</f>
        <v>0</v>
      </c>
      <c r="AG377" s="1077">
        <f t="shared" si="229"/>
        <v>0</v>
      </c>
      <c r="AH377" s="1077">
        <f t="shared" si="229"/>
        <v>0</v>
      </c>
      <c r="AI377" s="1077">
        <f t="shared" si="229"/>
        <v>0</v>
      </c>
      <c r="AJ377" s="1077">
        <f t="shared" si="229"/>
        <v>0</v>
      </c>
      <c r="AK377" s="1077">
        <f t="shared" si="229"/>
        <v>0</v>
      </c>
      <c r="AL377" s="1077">
        <f t="shared" si="229"/>
        <v>0</v>
      </c>
      <c r="AM377" s="1077">
        <f t="shared" si="229"/>
        <v>0</v>
      </c>
      <c r="AN377" s="1077">
        <f t="shared" si="229"/>
        <v>0</v>
      </c>
      <c r="AO377" s="1077">
        <f t="shared" si="229"/>
        <v>0</v>
      </c>
      <c r="AP377" s="1077">
        <f t="shared" si="229"/>
        <v>0</v>
      </c>
      <c r="AQ377" s="1077">
        <f t="shared" si="229"/>
        <v>0</v>
      </c>
      <c r="AR377" s="1078">
        <f t="shared" si="230"/>
        <v>0</v>
      </c>
      <c r="AS377" s="232" t="str">
        <f>Y377&amp;"propia"</f>
        <v>propia</v>
      </c>
    </row>
    <row r="378" spans="1:47" x14ac:dyDescent="0.3">
      <c r="A378" s="205"/>
      <c r="B378" s="645" t="s">
        <v>1083</v>
      </c>
      <c r="C378" s="305"/>
      <c r="D378" s="305"/>
      <c r="E378" s="305"/>
      <c r="F378" s="305"/>
      <c r="G378" s="305"/>
      <c r="H378" s="306"/>
      <c r="I378" s="904">
        <f>+SUM(I373:I377)</f>
        <v>0</v>
      </c>
      <c r="J378" s="904">
        <f t="shared" ref="J378:T378" si="231">+SUM(J373:J377)</f>
        <v>0</v>
      </c>
      <c r="K378" s="904">
        <f t="shared" si="231"/>
        <v>0</v>
      </c>
      <c r="L378" s="904">
        <f t="shared" si="231"/>
        <v>0</v>
      </c>
      <c r="M378" s="904">
        <f t="shared" si="231"/>
        <v>0</v>
      </c>
      <c r="N378" s="904">
        <f t="shared" si="231"/>
        <v>0</v>
      </c>
      <c r="O378" s="904">
        <f t="shared" si="231"/>
        <v>0</v>
      </c>
      <c r="P378" s="904">
        <f t="shared" si="231"/>
        <v>0</v>
      </c>
      <c r="Q378" s="904">
        <f t="shared" si="231"/>
        <v>0</v>
      </c>
      <c r="R378" s="904">
        <f t="shared" si="231"/>
        <v>0</v>
      </c>
      <c r="S378" s="904">
        <f t="shared" si="231"/>
        <v>0</v>
      </c>
      <c r="T378" s="904">
        <f t="shared" si="231"/>
        <v>0</v>
      </c>
      <c r="U378" s="905">
        <f>SUM(I378:T378)</f>
        <v>0</v>
      </c>
      <c r="X378" s="301"/>
      <c r="Y378" s="645" t="s">
        <v>1083</v>
      </c>
      <c r="Z378" s="305"/>
      <c r="AA378" s="305"/>
      <c r="AB378" s="305"/>
      <c r="AC378" s="305"/>
      <c r="AD378" s="305"/>
      <c r="AE378" s="306"/>
      <c r="AF378" s="904">
        <f t="shared" ref="AF378:AQ378" si="232">SUM(AF373:AF377)</f>
        <v>0</v>
      </c>
      <c r="AG378" s="904">
        <f t="shared" si="232"/>
        <v>0</v>
      </c>
      <c r="AH378" s="904">
        <f t="shared" si="232"/>
        <v>0</v>
      </c>
      <c r="AI378" s="904">
        <f t="shared" si="232"/>
        <v>0</v>
      </c>
      <c r="AJ378" s="904">
        <f t="shared" si="232"/>
        <v>0</v>
      </c>
      <c r="AK378" s="904">
        <f t="shared" si="232"/>
        <v>0</v>
      </c>
      <c r="AL378" s="904">
        <f t="shared" si="232"/>
        <v>0</v>
      </c>
      <c r="AM378" s="904">
        <f t="shared" si="232"/>
        <v>0</v>
      </c>
      <c r="AN378" s="904">
        <f t="shared" si="232"/>
        <v>0</v>
      </c>
      <c r="AO378" s="904">
        <f t="shared" si="232"/>
        <v>0</v>
      </c>
      <c r="AP378" s="904">
        <f t="shared" si="232"/>
        <v>0</v>
      </c>
      <c r="AQ378" s="904">
        <f t="shared" si="232"/>
        <v>0</v>
      </c>
      <c r="AR378" s="905">
        <f>SUM(AF378:AQ378)</f>
        <v>0</v>
      </c>
    </row>
    <row r="379" spans="1:47" x14ac:dyDescent="0.2">
      <c r="A379" s="205"/>
      <c r="B379" s="197" t="s">
        <v>870</v>
      </c>
      <c r="C379" s="307"/>
      <c r="D379" s="307"/>
      <c r="E379" s="308"/>
      <c r="F379" s="308"/>
      <c r="G379" s="308"/>
      <c r="H379" s="307"/>
      <c r="I379" s="307"/>
      <c r="J379" s="307"/>
      <c r="K379" s="307"/>
      <c r="L379" s="307"/>
      <c r="M379" s="307"/>
      <c r="N379" s="307"/>
      <c r="O379" s="307"/>
      <c r="P379" s="307"/>
      <c r="Q379" s="307"/>
      <c r="R379" s="307"/>
      <c r="S379" s="307"/>
      <c r="T379" s="307"/>
      <c r="U379" s="646"/>
      <c r="X379" s="301"/>
      <c r="Y379" s="197" t="s">
        <v>870</v>
      </c>
      <c r="Z379" s="307"/>
      <c r="AA379" s="307"/>
      <c r="AB379" s="308"/>
      <c r="AC379" s="308"/>
      <c r="AD379" s="308"/>
      <c r="AE379" s="307"/>
      <c r="AF379" s="307"/>
      <c r="AG379" s="307"/>
      <c r="AH379" s="307"/>
      <c r="AI379" s="307"/>
      <c r="AJ379" s="307"/>
      <c r="AK379" s="307"/>
      <c r="AL379" s="307"/>
      <c r="AM379" s="307"/>
      <c r="AN379" s="307"/>
      <c r="AO379" s="307"/>
      <c r="AP379" s="307"/>
      <c r="AQ379" s="307"/>
      <c r="AR379" s="646"/>
    </row>
    <row r="380" spans="1:47" ht="15.05" thickBot="1" x14ac:dyDescent="0.35">
      <c r="A380" s="205"/>
      <c r="B380" s="5042"/>
      <c r="C380" s="1056">
        <f>IF(B380=0,0,U$370)</f>
        <v>0</v>
      </c>
      <c r="D380" s="1056">
        <f>IF(B380=0,0,VLOOKUP(B380,Precios!$B$216:$D$307,3,FALSE))</f>
        <v>0</v>
      </c>
      <c r="E380" s="5048"/>
      <c r="F380" s="1249">
        <f>IF(B380=0,0,VLOOKUP(B380,Precios!$B$216:$D$307,2,FALSE))</f>
        <v>0</v>
      </c>
      <c r="G380" s="1066">
        <f>E380*F380</f>
        <v>0</v>
      </c>
      <c r="H380" s="309"/>
      <c r="I380" s="1072">
        <f>IF($C380&gt;0,I$370*$E380,0)</f>
        <v>0</v>
      </c>
      <c r="J380" s="1033">
        <f t="shared" si="227"/>
        <v>0</v>
      </c>
      <c r="K380" s="1033">
        <f t="shared" si="227"/>
        <v>0</v>
      </c>
      <c r="L380" s="1033">
        <f t="shared" si="227"/>
        <v>0</v>
      </c>
      <c r="M380" s="1033">
        <f t="shared" si="227"/>
        <v>0</v>
      </c>
      <c r="N380" s="1033">
        <f t="shared" si="227"/>
        <v>0</v>
      </c>
      <c r="O380" s="1033">
        <f t="shared" si="227"/>
        <v>0</v>
      </c>
      <c r="P380" s="1033">
        <f t="shared" si="227"/>
        <v>0</v>
      </c>
      <c r="Q380" s="1033">
        <f t="shared" si="227"/>
        <v>0</v>
      </c>
      <c r="R380" s="1033">
        <f t="shared" si="227"/>
        <v>0</v>
      </c>
      <c r="S380" s="1033">
        <f t="shared" si="227"/>
        <v>0</v>
      </c>
      <c r="T380" s="1033">
        <f t="shared" si="227"/>
        <v>0</v>
      </c>
      <c r="U380" s="1073">
        <f t="shared" si="228"/>
        <v>0</v>
      </c>
      <c r="V380" s="232" t="str">
        <f>B380&amp;"contratada"</f>
        <v>contratada</v>
      </c>
      <c r="X380" s="301"/>
      <c r="Y380" s="5042"/>
      <c r="Z380" s="1056">
        <f>IF(Y380=0,0,AR$370)</f>
        <v>0</v>
      </c>
      <c r="AA380" s="1056">
        <f>IF(Y380=0,0,VLOOKUP(Y380,Precios!$B$216:$D$307,3,FALSE))</f>
        <v>0</v>
      </c>
      <c r="AB380" s="1058"/>
      <c r="AC380" s="1249">
        <f>IF(Y380=0,0,VLOOKUP(Y380,Precios!$B$216:$D$307,2,FALSE))</f>
        <v>0</v>
      </c>
      <c r="AD380" s="1066">
        <f>AB380*AC380</f>
        <v>0</v>
      </c>
      <c r="AE380" s="309"/>
      <c r="AF380" s="1072">
        <f>IF($Z380&gt;0,AF$370*$AB380,0)</f>
        <v>0</v>
      </c>
      <c r="AG380" s="1033">
        <f t="shared" si="229"/>
        <v>0</v>
      </c>
      <c r="AH380" s="1033">
        <f t="shared" si="229"/>
        <v>0</v>
      </c>
      <c r="AI380" s="1033">
        <f t="shared" si="229"/>
        <v>0</v>
      </c>
      <c r="AJ380" s="1033">
        <f t="shared" si="229"/>
        <v>0</v>
      </c>
      <c r="AK380" s="1033">
        <f t="shared" si="229"/>
        <v>0</v>
      </c>
      <c r="AL380" s="1033">
        <f t="shared" si="229"/>
        <v>0</v>
      </c>
      <c r="AM380" s="1033">
        <f t="shared" si="229"/>
        <v>0</v>
      </c>
      <c r="AN380" s="1033">
        <f t="shared" si="229"/>
        <v>0</v>
      </c>
      <c r="AO380" s="1033">
        <f t="shared" si="229"/>
        <v>0</v>
      </c>
      <c r="AP380" s="1033">
        <f t="shared" si="229"/>
        <v>0</v>
      </c>
      <c r="AQ380" s="1033">
        <f t="shared" si="229"/>
        <v>0</v>
      </c>
      <c r="AR380" s="1073">
        <f t="shared" si="230"/>
        <v>0</v>
      </c>
      <c r="AS380" s="232" t="str">
        <f>Y380&amp;"contratada"</f>
        <v>contratada</v>
      </c>
    </row>
    <row r="381" spans="1:47" ht="15.05" thickBot="1" x14ac:dyDescent="0.35">
      <c r="A381" s="205"/>
      <c r="B381" s="5044"/>
      <c r="C381" s="985">
        <f t="shared" ref="C381:C404" si="233">IF(B381=0,0,U$370)</f>
        <v>0</v>
      </c>
      <c r="D381" s="985">
        <f>IF(B381=0,0,VLOOKUP(B381,Precios!$B$216:$D$307,3,FALSE))</f>
        <v>0</v>
      </c>
      <c r="E381" s="5049"/>
      <c r="F381" s="2253">
        <f>IF(B381=0,0,VLOOKUP(B381,Precios!$B$216:$D$307,2,FALSE))</f>
        <v>0</v>
      </c>
      <c r="G381" s="1067">
        <f>E381*F381</f>
        <v>0</v>
      </c>
      <c r="H381" s="309"/>
      <c r="I381" s="1074">
        <f>IF($C381&gt;0,I$370*$E381,0)</f>
        <v>0</v>
      </c>
      <c r="J381" s="1005">
        <f t="shared" si="227"/>
        <v>0</v>
      </c>
      <c r="K381" s="1005">
        <f t="shared" si="227"/>
        <v>0</v>
      </c>
      <c r="L381" s="1005">
        <f t="shared" si="227"/>
        <v>0</v>
      </c>
      <c r="M381" s="1005">
        <f t="shared" si="227"/>
        <v>0</v>
      </c>
      <c r="N381" s="1005">
        <f t="shared" si="227"/>
        <v>0</v>
      </c>
      <c r="O381" s="1005">
        <f t="shared" si="227"/>
        <v>0</v>
      </c>
      <c r="P381" s="1005">
        <f t="shared" si="227"/>
        <v>0</v>
      </c>
      <c r="Q381" s="1005">
        <f t="shared" si="227"/>
        <v>0</v>
      </c>
      <c r="R381" s="1005">
        <f t="shared" si="227"/>
        <v>0</v>
      </c>
      <c r="S381" s="1005">
        <f t="shared" si="227"/>
        <v>0</v>
      </c>
      <c r="T381" s="1005">
        <f t="shared" si="227"/>
        <v>0</v>
      </c>
      <c r="U381" s="1075">
        <f t="shared" si="228"/>
        <v>0</v>
      </c>
      <c r="V381" s="232" t="str">
        <f>B381&amp;"contratada"</f>
        <v>contratada</v>
      </c>
      <c r="X381" s="301"/>
      <c r="Y381" s="5044"/>
      <c r="Z381" s="985">
        <f t="shared" ref="Z381:Z404" si="234">IF(Y381=0,0,AR$370)</f>
        <v>0</v>
      </c>
      <c r="AA381" s="985">
        <f>IF(Y381=0,0,VLOOKUP(Y381,Precios!$B$216:$D$307,3,FALSE))</f>
        <v>0</v>
      </c>
      <c r="AB381" s="986"/>
      <c r="AC381" s="2253">
        <f>IF(Y381=0,0,VLOOKUP(Y381,Precios!$B$216:$D$307,2,FALSE))</f>
        <v>0</v>
      </c>
      <c r="AD381" s="1067">
        <f>AB381*AC381</f>
        <v>0</v>
      </c>
      <c r="AE381" s="309"/>
      <c r="AF381" s="1074">
        <f>IF($Z381&gt;0,AF$370*$AB381,0)</f>
        <v>0</v>
      </c>
      <c r="AG381" s="1005">
        <f t="shared" si="229"/>
        <v>0</v>
      </c>
      <c r="AH381" s="1005">
        <f t="shared" si="229"/>
        <v>0</v>
      </c>
      <c r="AI381" s="1005">
        <f t="shared" si="229"/>
        <v>0</v>
      </c>
      <c r="AJ381" s="1005">
        <f t="shared" si="229"/>
        <v>0</v>
      </c>
      <c r="AK381" s="1005">
        <f t="shared" si="229"/>
        <v>0</v>
      </c>
      <c r="AL381" s="1005">
        <f t="shared" si="229"/>
        <v>0</v>
      </c>
      <c r="AM381" s="1005">
        <f t="shared" si="229"/>
        <v>0</v>
      </c>
      <c r="AN381" s="1005">
        <f t="shared" si="229"/>
        <v>0</v>
      </c>
      <c r="AO381" s="1005">
        <f t="shared" si="229"/>
        <v>0</v>
      </c>
      <c r="AP381" s="1005">
        <f t="shared" si="229"/>
        <v>0</v>
      </c>
      <c r="AQ381" s="1005">
        <f t="shared" si="229"/>
        <v>0</v>
      </c>
      <c r="AR381" s="1075">
        <f t="shared" si="230"/>
        <v>0</v>
      </c>
      <c r="AS381" s="232" t="str">
        <f>Y381&amp;"contratada"</f>
        <v>contratada</v>
      </c>
    </row>
    <row r="382" spans="1:47" ht="15.05" thickBot="1" x14ac:dyDescent="0.35">
      <c r="A382" s="205"/>
      <c r="B382" s="5044"/>
      <c r="C382" s="985">
        <f t="shared" si="233"/>
        <v>0</v>
      </c>
      <c r="D382" s="985">
        <f>IF(B382=0,0,VLOOKUP(B382,Precios!$B$216:$D$307,3,FALSE))</f>
        <v>0</v>
      </c>
      <c r="E382" s="5049"/>
      <c r="F382" s="2253">
        <f>IF(B382=0,0,VLOOKUP(B382,Precios!$B$216:$D$307,2,FALSE))</f>
        <v>0</v>
      </c>
      <c r="G382" s="1067">
        <f>E382*F382</f>
        <v>0</v>
      </c>
      <c r="H382" s="309"/>
      <c r="I382" s="1074">
        <f>IF($C382&gt;0,I$370*$E382,0)</f>
        <v>0</v>
      </c>
      <c r="J382" s="1005">
        <f t="shared" si="227"/>
        <v>0</v>
      </c>
      <c r="K382" s="1005">
        <f t="shared" si="227"/>
        <v>0</v>
      </c>
      <c r="L382" s="1005">
        <f t="shared" si="227"/>
        <v>0</v>
      </c>
      <c r="M382" s="1005">
        <f t="shared" si="227"/>
        <v>0</v>
      </c>
      <c r="N382" s="1005">
        <f t="shared" si="227"/>
        <v>0</v>
      </c>
      <c r="O382" s="1005">
        <f t="shared" si="227"/>
        <v>0</v>
      </c>
      <c r="P382" s="1005">
        <f t="shared" si="227"/>
        <v>0</v>
      </c>
      <c r="Q382" s="1005">
        <f t="shared" si="227"/>
        <v>0</v>
      </c>
      <c r="R382" s="1005">
        <f t="shared" si="227"/>
        <v>0</v>
      </c>
      <c r="S382" s="1005">
        <f t="shared" si="227"/>
        <v>0</v>
      </c>
      <c r="T382" s="1005">
        <f t="shared" si="227"/>
        <v>0</v>
      </c>
      <c r="U382" s="1075">
        <f t="shared" si="228"/>
        <v>0</v>
      </c>
      <c r="V382" s="232" t="str">
        <f>B382&amp;"contratada"</f>
        <v>contratada</v>
      </c>
      <c r="X382" s="301"/>
      <c r="Y382" s="5044"/>
      <c r="Z382" s="985">
        <f t="shared" si="234"/>
        <v>0</v>
      </c>
      <c r="AA382" s="985">
        <f>IF(Y382=0,0,VLOOKUP(Y382,Precios!$B$216:$D$307,3,FALSE))</f>
        <v>0</v>
      </c>
      <c r="AB382" s="986"/>
      <c r="AC382" s="2253">
        <f>IF(Y382=0,0,VLOOKUP(Y382,Precios!$B$216:$D$307,2,FALSE))</f>
        <v>0</v>
      </c>
      <c r="AD382" s="1067">
        <f>AB382*AC382</f>
        <v>0</v>
      </c>
      <c r="AE382" s="309"/>
      <c r="AF382" s="1074">
        <f>IF($Z382&gt;0,AF$370*$AB382,0)</f>
        <v>0</v>
      </c>
      <c r="AG382" s="1005">
        <f t="shared" si="229"/>
        <v>0</v>
      </c>
      <c r="AH382" s="1005">
        <f t="shared" si="229"/>
        <v>0</v>
      </c>
      <c r="AI382" s="1005">
        <f t="shared" si="229"/>
        <v>0</v>
      </c>
      <c r="AJ382" s="1005">
        <f t="shared" si="229"/>
        <v>0</v>
      </c>
      <c r="AK382" s="1005">
        <f t="shared" si="229"/>
        <v>0</v>
      </c>
      <c r="AL382" s="1005">
        <f t="shared" si="229"/>
        <v>0</v>
      </c>
      <c r="AM382" s="1005">
        <f t="shared" si="229"/>
        <v>0</v>
      </c>
      <c r="AN382" s="1005">
        <f t="shared" si="229"/>
        <v>0</v>
      </c>
      <c r="AO382" s="1005">
        <f t="shared" si="229"/>
        <v>0</v>
      </c>
      <c r="AP382" s="1005">
        <f t="shared" si="229"/>
        <v>0</v>
      </c>
      <c r="AQ382" s="1005">
        <f t="shared" si="229"/>
        <v>0</v>
      </c>
      <c r="AR382" s="1075">
        <f t="shared" si="230"/>
        <v>0</v>
      </c>
      <c r="AS382" s="232" t="str">
        <f>Y382&amp;"contratada"</f>
        <v>contratada</v>
      </c>
    </row>
    <row r="383" spans="1:47" ht="15.05" thickBot="1" x14ac:dyDescent="0.35">
      <c r="A383" s="205"/>
      <c r="B383" s="5044"/>
      <c r="C383" s="985">
        <f t="shared" si="233"/>
        <v>0</v>
      </c>
      <c r="D383" s="985">
        <f>IF(B383=0,0,VLOOKUP(B383,Precios!$B$216:$D$307,3,FALSE))</f>
        <v>0</v>
      </c>
      <c r="E383" s="5049"/>
      <c r="F383" s="2253">
        <f>IF(B383=0,0,VLOOKUP(B383,Precios!$B$216:$D$307,2,FALSE))</f>
        <v>0</v>
      </c>
      <c r="G383" s="1067">
        <f>E383*F383</f>
        <v>0</v>
      </c>
      <c r="H383" s="309"/>
      <c r="I383" s="1074">
        <f>IF($C383&gt;0,I$370*$E383,0)</f>
        <v>0</v>
      </c>
      <c r="J383" s="1005">
        <f t="shared" si="227"/>
        <v>0</v>
      </c>
      <c r="K383" s="1005">
        <f t="shared" si="227"/>
        <v>0</v>
      </c>
      <c r="L383" s="1005">
        <f t="shared" si="227"/>
        <v>0</v>
      </c>
      <c r="M383" s="1005">
        <f t="shared" si="227"/>
        <v>0</v>
      </c>
      <c r="N383" s="1005">
        <f t="shared" si="227"/>
        <v>0</v>
      </c>
      <c r="O383" s="1005">
        <f t="shared" si="227"/>
        <v>0</v>
      </c>
      <c r="P383" s="1005">
        <f t="shared" si="227"/>
        <v>0</v>
      </c>
      <c r="Q383" s="1005">
        <f t="shared" si="227"/>
        <v>0</v>
      </c>
      <c r="R383" s="1005">
        <f t="shared" si="227"/>
        <v>0</v>
      </c>
      <c r="S383" s="1005">
        <f t="shared" si="227"/>
        <v>0</v>
      </c>
      <c r="T383" s="1005">
        <f t="shared" si="227"/>
        <v>0</v>
      </c>
      <c r="U383" s="1075">
        <f t="shared" si="228"/>
        <v>0</v>
      </c>
      <c r="V383" s="232" t="str">
        <f>B383&amp;"contratada"</f>
        <v>contratada</v>
      </c>
      <c r="X383" s="301"/>
      <c r="Y383" s="5044"/>
      <c r="Z383" s="985">
        <f t="shared" si="234"/>
        <v>0</v>
      </c>
      <c r="AA383" s="985">
        <f>IF(Y383=0,0,VLOOKUP(Y383,Precios!$B$216:$D$307,3,FALSE))</f>
        <v>0</v>
      </c>
      <c r="AB383" s="986"/>
      <c r="AC383" s="2253">
        <f>IF(Y383=0,0,VLOOKUP(Y383,Precios!$B$216:$D$307,2,FALSE))</f>
        <v>0</v>
      </c>
      <c r="AD383" s="1067">
        <f>AB383*AC383</f>
        <v>0</v>
      </c>
      <c r="AE383" s="309"/>
      <c r="AF383" s="1074">
        <f>IF($Z383&gt;0,AF$370*$AB383,0)</f>
        <v>0</v>
      </c>
      <c r="AG383" s="1005">
        <f t="shared" si="229"/>
        <v>0</v>
      </c>
      <c r="AH383" s="1005">
        <f t="shared" si="229"/>
        <v>0</v>
      </c>
      <c r="AI383" s="1005">
        <f t="shared" si="229"/>
        <v>0</v>
      </c>
      <c r="AJ383" s="1005">
        <f t="shared" si="229"/>
        <v>0</v>
      </c>
      <c r="AK383" s="1005">
        <f t="shared" si="229"/>
        <v>0</v>
      </c>
      <c r="AL383" s="1005">
        <f t="shared" si="229"/>
        <v>0</v>
      </c>
      <c r="AM383" s="1005">
        <f t="shared" si="229"/>
        <v>0</v>
      </c>
      <c r="AN383" s="1005">
        <f t="shared" si="229"/>
        <v>0</v>
      </c>
      <c r="AO383" s="1005">
        <f t="shared" si="229"/>
        <v>0</v>
      </c>
      <c r="AP383" s="1005">
        <f t="shared" si="229"/>
        <v>0</v>
      </c>
      <c r="AQ383" s="1005">
        <f t="shared" si="229"/>
        <v>0</v>
      </c>
      <c r="AR383" s="1075">
        <f t="shared" si="230"/>
        <v>0</v>
      </c>
      <c r="AS383" s="232" t="str">
        <f>Y383&amp;"contratada"</f>
        <v>contratada</v>
      </c>
    </row>
    <row r="384" spans="1:47" x14ac:dyDescent="0.3">
      <c r="A384" s="205"/>
      <c r="B384" s="5046"/>
      <c r="C384" s="1057">
        <f t="shared" si="233"/>
        <v>0</v>
      </c>
      <c r="D384" s="1057">
        <f>IF(B384=0,0,VLOOKUP(B384,Precios!$B$216:$D$307,3,FALSE))</f>
        <v>0</v>
      </c>
      <c r="E384" s="5050"/>
      <c r="F384" s="2254">
        <f>IF(B384=0,0,VLOOKUP(B384,Precios!$B$216:$D$307,2,FALSE))</f>
        <v>0</v>
      </c>
      <c r="G384" s="1068">
        <f>E384*F384</f>
        <v>0</v>
      </c>
      <c r="H384" s="309"/>
      <c r="I384" s="1076">
        <f>IF($C384&gt;0,I$370*$E384,0)</f>
        <v>0</v>
      </c>
      <c r="J384" s="1077">
        <f t="shared" si="227"/>
        <v>0</v>
      </c>
      <c r="K384" s="1077">
        <f t="shared" si="227"/>
        <v>0</v>
      </c>
      <c r="L384" s="1077">
        <f t="shared" si="227"/>
        <v>0</v>
      </c>
      <c r="M384" s="1077">
        <f t="shared" si="227"/>
        <v>0</v>
      </c>
      <c r="N384" s="1077">
        <f t="shared" si="227"/>
        <v>0</v>
      </c>
      <c r="O384" s="1077">
        <f t="shared" si="227"/>
        <v>0</v>
      </c>
      <c r="P384" s="1077">
        <f t="shared" si="227"/>
        <v>0</v>
      </c>
      <c r="Q384" s="1077">
        <f t="shared" si="227"/>
        <v>0</v>
      </c>
      <c r="R384" s="1077">
        <f t="shared" si="227"/>
        <v>0</v>
      </c>
      <c r="S384" s="1077">
        <f t="shared" si="227"/>
        <v>0</v>
      </c>
      <c r="T384" s="1077">
        <f t="shared" si="227"/>
        <v>0</v>
      </c>
      <c r="U384" s="1078">
        <f t="shared" si="228"/>
        <v>0</v>
      </c>
      <c r="V384" s="232" t="str">
        <f>B384&amp;"contratada"</f>
        <v>contratada</v>
      </c>
      <c r="X384" s="301"/>
      <c r="Y384" s="5046"/>
      <c r="Z384" s="1057">
        <f t="shared" si="234"/>
        <v>0</v>
      </c>
      <c r="AA384" s="1057">
        <f>IF(Y384=0,0,VLOOKUP(Y384,Precios!$B$216:$D$307,3,FALSE))</f>
        <v>0</v>
      </c>
      <c r="AB384" s="1060"/>
      <c r="AC384" s="2254">
        <f>IF(Y384=0,0,VLOOKUP(Y384,Precios!$B$216:$D$307,2,FALSE))</f>
        <v>0</v>
      </c>
      <c r="AD384" s="1068">
        <f>AB384*AC384</f>
        <v>0</v>
      </c>
      <c r="AE384" s="309"/>
      <c r="AF384" s="1076">
        <f>IF($Z384&gt;0,AF$370*$AB384,0)</f>
        <v>0</v>
      </c>
      <c r="AG384" s="1077">
        <f t="shared" si="229"/>
        <v>0</v>
      </c>
      <c r="AH384" s="1077">
        <f t="shared" si="229"/>
        <v>0</v>
      </c>
      <c r="AI384" s="1077">
        <f t="shared" si="229"/>
        <v>0</v>
      </c>
      <c r="AJ384" s="1077">
        <f t="shared" si="229"/>
        <v>0</v>
      </c>
      <c r="AK384" s="1077">
        <f t="shared" si="229"/>
        <v>0</v>
      </c>
      <c r="AL384" s="1077">
        <f t="shared" si="229"/>
        <v>0</v>
      </c>
      <c r="AM384" s="1077">
        <f t="shared" si="229"/>
        <v>0</v>
      </c>
      <c r="AN384" s="1077">
        <f t="shared" si="229"/>
        <v>0</v>
      </c>
      <c r="AO384" s="1077">
        <f t="shared" si="229"/>
        <v>0</v>
      </c>
      <c r="AP384" s="1077">
        <f t="shared" si="229"/>
        <v>0</v>
      </c>
      <c r="AQ384" s="1077">
        <f t="shared" si="229"/>
        <v>0</v>
      </c>
      <c r="AR384" s="1078">
        <f t="shared" si="230"/>
        <v>0</v>
      </c>
      <c r="AS384" s="232" t="str">
        <f>Y384&amp;"contratada"</f>
        <v>contratada</v>
      </c>
    </row>
    <row r="385" spans="1:46" x14ac:dyDescent="0.3">
      <c r="A385" s="205"/>
      <c r="B385" s="647" t="s">
        <v>1084</v>
      </c>
      <c r="C385" s="305"/>
      <c r="D385" s="305"/>
      <c r="E385" s="305"/>
      <c r="F385" s="650"/>
      <c r="G385" s="305"/>
      <c r="H385" s="310"/>
      <c r="I385" s="904">
        <f t="shared" ref="I385:T385" si="235">SUM(I380:I384)</f>
        <v>0</v>
      </c>
      <c r="J385" s="904">
        <f t="shared" si="235"/>
        <v>0</v>
      </c>
      <c r="K385" s="904">
        <f t="shared" si="235"/>
        <v>0</v>
      </c>
      <c r="L385" s="904">
        <f t="shared" si="235"/>
        <v>0</v>
      </c>
      <c r="M385" s="904">
        <f t="shared" si="235"/>
        <v>0</v>
      </c>
      <c r="N385" s="904">
        <f t="shared" si="235"/>
        <v>0</v>
      </c>
      <c r="O385" s="904">
        <f t="shared" si="235"/>
        <v>0</v>
      </c>
      <c r="P385" s="904">
        <f t="shared" si="235"/>
        <v>0</v>
      </c>
      <c r="Q385" s="904">
        <f t="shared" si="235"/>
        <v>0</v>
      </c>
      <c r="R385" s="904">
        <f t="shared" si="235"/>
        <v>0</v>
      </c>
      <c r="S385" s="904">
        <f t="shared" si="235"/>
        <v>0</v>
      </c>
      <c r="T385" s="904">
        <f t="shared" si="235"/>
        <v>0</v>
      </c>
      <c r="U385" s="905">
        <f>SUM(I385:T385)</f>
        <v>0</v>
      </c>
      <c r="W385" s="232" t="str">
        <f>B379&amp;B369</f>
        <v>Labores con maquinaria contratada0</v>
      </c>
      <c r="X385" s="301"/>
      <c r="Y385" s="647" t="s">
        <v>1084</v>
      </c>
      <c r="Z385" s="305"/>
      <c r="AA385" s="305"/>
      <c r="AB385" s="305"/>
      <c r="AC385" s="650"/>
      <c r="AD385" s="305"/>
      <c r="AE385" s="310"/>
      <c r="AF385" s="904">
        <f t="shared" ref="AF385:AQ385" si="236">SUM(AF380:AF384)</f>
        <v>0</v>
      </c>
      <c r="AG385" s="904">
        <f t="shared" si="236"/>
        <v>0</v>
      </c>
      <c r="AH385" s="904">
        <f t="shared" si="236"/>
        <v>0</v>
      </c>
      <c r="AI385" s="904">
        <f t="shared" si="236"/>
        <v>0</v>
      </c>
      <c r="AJ385" s="904">
        <f t="shared" si="236"/>
        <v>0</v>
      </c>
      <c r="AK385" s="904">
        <f t="shared" si="236"/>
        <v>0</v>
      </c>
      <c r="AL385" s="904">
        <f t="shared" si="236"/>
        <v>0</v>
      </c>
      <c r="AM385" s="904">
        <f t="shared" si="236"/>
        <v>0</v>
      </c>
      <c r="AN385" s="904">
        <f t="shared" si="236"/>
        <v>0</v>
      </c>
      <c r="AO385" s="904">
        <f t="shared" si="236"/>
        <v>0</v>
      </c>
      <c r="AP385" s="904">
        <f t="shared" si="236"/>
        <v>0</v>
      </c>
      <c r="AQ385" s="904">
        <f t="shared" si="236"/>
        <v>0</v>
      </c>
      <c r="AR385" s="905">
        <f>SUM(AF385:AQ385)</f>
        <v>0</v>
      </c>
      <c r="AT385" s="232" t="str">
        <f>Y379&amp;Y369</f>
        <v>Labores con maquinaria contratada0</v>
      </c>
    </row>
    <row r="386" spans="1:46" x14ac:dyDescent="0.2">
      <c r="A386" s="205"/>
      <c r="B386" s="197" t="s">
        <v>85</v>
      </c>
      <c r="C386" s="307"/>
      <c r="D386" s="307"/>
      <c r="E386" s="308"/>
      <c r="F386" s="651"/>
      <c r="G386" s="308"/>
      <c r="H386" s="308"/>
      <c r="I386" s="311"/>
      <c r="J386" s="311"/>
      <c r="K386" s="311"/>
      <c r="L386" s="311"/>
      <c r="M386" s="311"/>
      <c r="N386" s="311"/>
      <c r="O386" s="311"/>
      <c r="P386" s="311"/>
      <c r="Q386" s="311"/>
      <c r="R386" s="311"/>
      <c r="S386" s="311"/>
      <c r="T386" s="311"/>
      <c r="U386" s="646"/>
      <c r="X386" s="301"/>
      <c r="Y386" s="197" t="s">
        <v>85</v>
      </c>
      <c r="Z386" s="307"/>
      <c r="AA386" s="307"/>
      <c r="AB386" s="308"/>
      <c r="AC386" s="651"/>
      <c r="AD386" s="308"/>
      <c r="AE386" s="308"/>
      <c r="AF386" s="311"/>
      <c r="AG386" s="311"/>
      <c r="AH386" s="311"/>
      <c r="AI386" s="311"/>
      <c r="AJ386" s="311"/>
      <c r="AK386" s="311"/>
      <c r="AL386" s="311"/>
      <c r="AM386" s="311"/>
      <c r="AN386" s="311"/>
      <c r="AO386" s="311"/>
      <c r="AP386" s="311"/>
      <c r="AQ386" s="311"/>
      <c r="AR386" s="646"/>
    </row>
    <row r="387" spans="1:46" ht="15.05" thickBot="1" x14ac:dyDescent="0.35">
      <c r="A387" s="205"/>
      <c r="B387" s="5042"/>
      <c r="C387" s="1056">
        <f t="shared" si="233"/>
        <v>0</v>
      </c>
      <c r="D387" s="1056">
        <f>IF(B387=0,0,VLOOKUP(B387,Precios!$B$216:$D$307,3,FALSE))</f>
        <v>0</v>
      </c>
      <c r="E387" s="5048"/>
      <c r="F387" s="1062">
        <f>IF(B387=0,0,VLOOKUP(B387,Precios!$B$216:$D$307,2,FALSE))</f>
        <v>0</v>
      </c>
      <c r="G387" s="1066">
        <f t="shared" ref="G387:G394" si="237">E387*F387</f>
        <v>0</v>
      </c>
      <c r="H387" s="309"/>
      <c r="I387" s="1072">
        <f>IF($C387&gt;0,I$370*$E387,0)</f>
        <v>0</v>
      </c>
      <c r="J387" s="1033">
        <f t="shared" si="227"/>
        <v>0</v>
      </c>
      <c r="K387" s="1033">
        <f t="shared" si="227"/>
        <v>0</v>
      </c>
      <c r="L387" s="1033">
        <f t="shared" si="227"/>
        <v>0</v>
      </c>
      <c r="M387" s="1033">
        <f t="shared" si="227"/>
        <v>0</v>
      </c>
      <c r="N387" s="1033">
        <f t="shared" si="227"/>
        <v>0</v>
      </c>
      <c r="O387" s="1033">
        <f t="shared" si="227"/>
        <v>0</v>
      </c>
      <c r="P387" s="1033">
        <f t="shared" si="227"/>
        <v>0</v>
      </c>
      <c r="Q387" s="1033">
        <f t="shared" si="227"/>
        <v>0</v>
      </c>
      <c r="R387" s="1033">
        <f t="shared" si="227"/>
        <v>0</v>
      </c>
      <c r="S387" s="1033">
        <f t="shared" si="227"/>
        <v>0</v>
      </c>
      <c r="T387" s="1033">
        <f t="shared" si="227"/>
        <v>0</v>
      </c>
      <c r="U387" s="1073">
        <f t="shared" si="228"/>
        <v>0</v>
      </c>
      <c r="X387" s="301"/>
      <c r="Y387" s="5042"/>
      <c r="Z387" s="1056">
        <f t="shared" si="234"/>
        <v>0</v>
      </c>
      <c r="AA387" s="1056">
        <f>IF(Y387=0,0,VLOOKUP(Y387,Precios!$B$216:$D$307,3,FALSE))</f>
        <v>0</v>
      </c>
      <c r="AB387" s="1058"/>
      <c r="AC387" s="1062">
        <f>IF(Y387=0,0,VLOOKUP(Y387,Precios!$B$216:$D$307,2,FALSE))</f>
        <v>0</v>
      </c>
      <c r="AD387" s="1066">
        <f t="shared" ref="AD387:AD394" si="238">AB387*AC387</f>
        <v>0</v>
      </c>
      <c r="AE387" s="309"/>
      <c r="AF387" s="1072">
        <f>IF($Z387&gt;0,AF$370*$AB387,0)</f>
        <v>0</v>
      </c>
      <c r="AG387" s="1033">
        <f t="shared" si="229"/>
        <v>0</v>
      </c>
      <c r="AH387" s="1033">
        <f t="shared" si="229"/>
        <v>0</v>
      </c>
      <c r="AI387" s="1033">
        <f t="shared" si="229"/>
        <v>0</v>
      </c>
      <c r="AJ387" s="1033">
        <f t="shared" si="229"/>
        <v>0</v>
      </c>
      <c r="AK387" s="1033">
        <f t="shared" si="229"/>
        <v>0</v>
      </c>
      <c r="AL387" s="1033">
        <f t="shared" si="229"/>
        <v>0</v>
      </c>
      <c r="AM387" s="1033">
        <f t="shared" si="229"/>
        <v>0</v>
      </c>
      <c r="AN387" s="1033">
        <f t="shared" si="229"/>
        <v>0</v>
      </c>
      <c r="AO387" s="1033">
        <f t="shared" si="229"/>
        <v>0</v>
      </c>
      <c r="AP387" s="1033">
        <f t="shared" si="229"/>
        <v>0</v>
      </c>
      <c r="AQ387" s="1033">
        <f t="shared" si="229"/>
        <v>0</v>
      </c>
      <c r="AR387" s="1073">
        <f t="shared" si="230"/>
        <v>0</v>
      </c>
    </row>
    <row r="388" spans="1:46" ht="15.05" thickBot="1" x14ac:dyDescent="0.35">
      <c r="A388" s="205"/>
      <c r="B388" s="5044"/>
      <c r="C388" s="985">
        <f t="shared" si="233"/>
        <v>0</v>
      </c>
      <c r="D388" s="985">
        <f>IF(B388=0,0,VLOOKUP(B388,Precios!$B$216:$D$307,3,FALSE))</f>
        <v>0</v>
      </c>
      <c r="E388" s="5049"/>
      <c r="F388" s="1059">
        <f>IF(B388=0,0,VLOOKUP(B388,Precios!$B$216:$D$307,2,FALSE))</f>
        <v>0</v>
      </c>
      <c r="G388" s="1067">
        <f t="shared" si="237"/>
        <v>0</v>
      </c>
      <c r="H388" s="309"/>
      <c r="I388" s="1074">
        <f t="shared" ref="I388:T404" si="239">IF($C388&gt;0,I$370*$E388,0)</f>
        <v>0</v>
      </c>
      <c r="J388" s="1005">
        <f t="shared" si="227"/>
        <v>0</v>
      </c>
      <c r="K388" s="1005">
        <f t="shared" si="227"/>
        <v>0</v>
      </c>
      <c r="L388" s="1005">
        <f t="shared" si="227"/>
        <v>0</v>
      </c>
      <c r="M388" s="1005">
        <f t="shared" si="227"/>
        <v>0</v>
      </c>
      <c r="N388" s="1005">
        <f t="shared" si="227"/>
        <v>0</v>
      </c>
      <c r="O388" s="1005">
        <f t="shared" si="227"/>
        <v>0</v>
      </c>
      <c r="P388" s="1005">
        <f t="shared" si="227"/>
        <v>0</v>
      </c>
      <c r="Q388" s="1005">
        <f t="shared" si="227"/>
        <v>0</v>
      </c>
      <c r="R388" s="1005">
        <f t="shared" si="227"/>
        <v>0</v>
      </c>
      <c r="S388" s="1005">
        <f t="shared" si="227"/>
        <v>0</v>
      </c>
      <c r="T388" s="1005">
        <f t="shared" si="227"/>
        <v>0</v>
      </c>
      <c r="U388" s="1075">
        <f t="shared" si="228"/>
        <v>0</v>
      </c>
      <c r="X388" s="301"/>
      <c r="Y388" s="5044"/>
      <c r="Z388" s="985">
        <f t="shared" si="234"/>
        <v>0</v>
      </c>
      <c r="AA388" s="985">
        <f>IF(Y388=0,0,VLOOKUP(Y388,Precios!$B$216:$D$307,3,FALSE))</f>
        <v>0</v>
      </c>
      <c r="AB388" s="986"/>
      <c r="AC388" s="1059">
        <f>IF(Y388=0,0,VLOOKUP(Y388,Precios!$B$216:$D$307,2,FALSE))</f>
        <v>0</v>
      </c>
      <c r="AD388" s="1067">
        <f t="shared" si="238"/>
        <v>0</v>
      </c>
      <c r="AE388" s="309"/>
      <c r="AF388" s="1074">
        <f t="shared" ref="AF388:AQ404" si="240">IF($Z388&gt;0,AF$370*$AB388,0)</f>
        <v>0</v>
      </c>
      <c r="AG388" s="1005">
        <f t="shared" si="229"/>
        <v>0</v>
      </c>
      <c r="AH388" s="1005">
        <f t="shared" si="229"/>
        <v>0</v>
      </c>
      <c r="AI388" s="1005">
        <f t="shared" si="229"/>
        <v>0</v>
      </c>
      <c r="AJ388" s="1005">
        <f t="shared" si="229"/>
        <v>0</v>
      </c>
      <c r="AK388" s="1005">
        <f t="shared" si="229"/>
        <v>0</v>
      </c>
      <c r="AL388" s="1005">
        <f t="shared" si="229"/>
        <v>0</v>
      </c>
      <c r="AM388" s="1005">
        <f t="shared" si="229"/>
        <v>0</v>
      </c>
      <c r="AN388" s="1005">
        <f t="shared" si="229"/>
        <v>0</v>
      </c>
      <c r="AO388" s="1005">
        <f t="shared" si="229"/>
        <v>0</v>
      </c>
      <c r="AP388" s="1005">
        <f t="shared" si="229"/>
        <v>0</v>
      </c>
      <c r="AQ388" s="1005">
        <f t="shared" si="229"/>
        <v>0</v>
      </c>
      <c r="AR388" s="1075">
        <f t="shared" si="230"/>
        <v>0</v>
      </c>
    </row>
    <row r="389" spans="1:46" ht="15.05" thickBot="1" x14ac:dyDescent="0.35">
      <c r="A389" s="205"/>
      <c r="B389" s="5044"/>
      <c r="C389" s="985">
        <f t="shared" si="233"/>
        <v>0</v>
      </c>
      <c r="D389" s="985">
        <f>IF(B389=0,0,VLOOKUP(B389,Precios!$B$216:$D$307,3,FALSE))</f>
        <v>0</v>
      </c>
      <c r="E389" s="5049"/>
      <c r="F389" s="1059">
        <f>IF(B389=0,0,VLOOKUP(B389,Precios!$B$216:$D$307,2,FALSE))</f>
        <v>0</v>
      </c>
      <c r="G389" s="1067">
        <f t="shared" si="237"/>
        <v>0</v>
      </c>
      <c r="H389" s="309"/>
      <c r="I389" s="1074">
        <f t="shared" si="239"/>
        <v>0</v>
      </c>
      <c r="J389" s="1005">
        <f t="shared" si="227"/>
        <v>0</v>
      </c>
      <c r="K389" s="1005">
        <f t="shared" si="227"/>
        <v>0</v>
      </c>
      <c r="L389" s="1005">
        <f t="shared" si="227"/>
        <v>0</v>
      </c>
      <c r="M389" s="1005">
        <f t="shared" si="227"/>
        <v>0</v>
      </c>
      <c r="N389" s="1005">
        <f t="shared" si="227"/>
        <v>0</v>
      </c>
      <c r="O389" s="1005">
        <f t="shared" si="227"/>
        <v>0</v>
      </c>
      <c r="P389" s="1005">
        <f t="shared" si="227"/>
        <v>0</v>
      </c>
      <c r="Q389" s="1005">
        <f t="shared" si="227"/>
        <v>0</v>
      </c>
      <c r="R389" s="1005">
        <f t="shared" si="227"/>
        <v>0</v>
      </c>
      <c r="S389" s="1005">
        <f t="shared" si="227"/>
        <v>0</v>
      </c>
      <c r="T389" s="1005">
        <f t="shared" si="227"/>
        <v>0</v>
      </c>
      <c r="U389" s="1075">
        <f t="shared" si="228"/>
        <v>0</v>
      </c>
      <c r="X389" s="301"/>
      <c r="Y389" s="5044"/>
      <c r="Z389" s="985">
        <f t="shared" si="234"/>
        <v>0</v>
      </c>
      <c r="AA389" s="985">
        <f>IF(Y389=0,0,VLOOKUP(Y389,Precios!$B$216:$D$307,3,FALSE))</f>
        <v>0</v>
      </c>
      <c r="AB389" s="986"/>
      <c r="AC389" s="1059">
        <f>IF(Y389=0,0,VLOOKUP(Y389,Precios!$B$216:$D$307,2,FALSE))</f>
        <v>0</v>
      </c>
      <c r="AD389" s="1067">
        <f t="shared" si="238"/>
        <v>0</v>
      </c>
      <c r="AE389" s="309"/>
      <c r="AF389" s="1074">
        <f t="shared" si="240"/>
        <v>0</v>
      </c>
      <c r="AG389" s="1005">
        <f t="shared" si="229"/>
        <v>0</v>
      </c>
      <c r="AH389" s="1005">
        <f t="shared" si="229"/>
        <v>0</v>
      </c>
      <c r="AI389" s="1005">
        <f t="shared" si="229"/>
        <v>0</v>
      </c>
      <c r="AJ389" s="1005">
        <f t="shared" si="229"/>
        <v>0</v>
      </c>
      <c r="AK389" s="1005">
        <f t="shared" si="229"/>
        <v>0</v>
      </c>
      <c r="AL389" s="1005">
        <f t="shared" si="229"/>
        <v>0</v>
      </c>
      <c r="AM389" s="1005">
        <f t="shared" si="229"/>
        <v>0</v>
      </c>
      <c r="AN389" s="1005">
        <f t="shared" si="229"/>
        <v>0</v>
      </c>
      <c r="AO389" s="1005">
        <f t="shared" si="229"/>
        <v>0</v>
      </c>
      <c r="AP389" s="1005">
        <f t="shared" si="229"/>
        <v>0</v>
      </c>
      <c r="AQ389" s="1005">
        <f t="shared" si="229"/>
        <v>0</v>
      </c>
      <c r="AR389" s="1075">
        <f t="shared" si="230"/>
        <v>0</v>
      </c>
    </row>
    <row r="390" spans="1:46" ht="15.05" thickBot="1" x14ac:dyDescent="0.35">
      <c r="A390" s="205"/>
      <c r="B390" s="5044"/>
      <c r="C390" s="985">
        <f t="shared" si="233"/>
        <v>0</v>
      </c>
      <c r="D390" s="985">
        <f>IF(B390=0,0,VLOOKUP(B390,Precios!$B$216:$D$307,3,FALSE))</f>
        <v>0</v>
      </c>
      <c r="E390" s="5049"/>
      <c r="F390" s="1059">
        <f>IF(B390=0,0,VLOOKUP(B390,Precios!$B$216:$D$307,2,FALSE))</f>
        <v>0</v>
      </c>
      <c r="G390" s="1067">
        <f t="shared" si="237"/>
        <v>0</v>
      </c>
      <c r="H390" s="309"/>
      <c r="I390" s="1074">
        <f t="shared" si="239"/>
        <v>0</v>
      </c>
      <c r="J390" s="1005">
        <f t="shared" si="227"/>
        <v>0</v>
      </c>
      <c r="K390" s="1005">
        <f t="shared" si="227"/>
        <v>0</v>
      </c>
      <c r="L390" s="1005">
        <f t="shared" si="227"/>
        <v>0</v>
      </c>
      <c r="M390" s="1005">
        <f t="shared" si="227"/>
        <v>0</v>
      </c>
      <c r="N390" s="1005">
        <f t="shared" si="227"/>
        <v>0</v>
      </c>
      <c r="O390" s="1005">
        <f t="shared" si="227"/>
        <v>0</v>
      </c>
      <c r="P390" s="1005">
        <f t="shared" si="227"/>
        <v>0</v>
      </c>
      <c r="Q390" s="1005">
        <f t="shared" si="227"/>
        <v>0</v>
      </c>
      <c r="R390" s="1005">
        <f t="shared" si="227"/>
        <v>0</v>
      </c>
      <c r="S390" s="1005">
        <f t="shared" si="227"/>
        <v>0</v>
      </c>
      <c r="T390" s="1005">
        <f t="shared" si="227"/>
        <v>0</v>
      </c>
      <c r="U390" s="1075">
        <f t="shared" si="228"/>
        <v>0</v>
      </c>
      <c r="X390" s="301"/>
      <c r="Y390" s="5044"/>
      <c r="Z390" s="985">
        <f t="shared" si="234"/>
        <v>0</v>
      </c>
      <c r="AA390" s="985">
        <f>IF(Y390=0,0,VLOOKUP(Y390,Precios!$B$216:$D$307,3,FALSE))</f>
        <v>0</v>
      </c>
      <c r="AB390" s="986"/>
      <c r="AC390" s="1059">
        <f>IF(Y390=0,0,VLOOKUP(Y390,Precios!$B$216:$D$307,2,FALSE))</f>
        <v>0</v>
      </c>
      <c r="AD390" s="1067">
        <f t="shared" si="238"/>
        <v>0</v>
      </c>
      <c r="AE390" s="309"/>
      <c r="AF390" s="1074">
        <f t="shared" si="240"/>
        <v>0</v>
      </c>
      <c r="AG390" s="1005">
        <f t="shared" si="229"/>
        <v>0</v>
      </c>
      <c r="AH390" s="1005">
        <f t="shared" si="229"/>
        <v>0</v>
      </c>
      <c r="AI390" s="1005">
        <f t="shared" si="229"/>
        <v>0</v>
      </c>
      <c r="AJ390" s="1005">
        <f t="shared" si="229"/>
        <v>0</v>
      </c>
      <c r="AK390" s="1005">
        <f t="shared" si="229"/>
        <v>0</v>
      </c>
      <c r="AL390" s="1005">
        <f t="shared" si="229"/>
        <v>0</v>
      </c>
      <c r="AM390" s="1005">
        <f t="shared" si="229"/>
        <v>0</v>
      </c>
      <c r="AN390" s="1005">
        <f t="shared" si="229"/>
        <v>0</v>
      </c>
      <c r="AO390" s="1005">
        <f t="shared" si="229"/>
        <v>0</v>
      </c>
      <c r="AP390" s="1005">
        <f t="shared" si="229"/>
        <v>0</v>
      </c>
      <c r="AQ390" s="1005">
        <f t="shared" si="229"/>
        <v>0</v>
      </c>
      <c r="AR390" s="1075">
        <f t="shared" si="230"/>
        <v>0</v>
      </c>
    </row>
    <row r="391" spans="1:46" ht="15.05" thickBot="1" x14ac:dyDescent="0.35">
      <c r="A391" s="205"/>
      <c r="B391" s="5044"/>
      <c r="C391" s="985">
        <f t="shared" si="233"/>
        <v>0</v>
      </c>
      <c r="D391" s="985">
        <f>IF(B391=0,0,VLOOKUP(B391,Precios!$B$216:$D$307,3,FALSE))</f>
        <v>0</v>
      </c>
      <c r="E391" s="5049"/>
      <c r="F391" s="1059">
        <f>IF(B391=0,0,VLOOKUP(B391,Precios!$B$216:$D$307,2,FALSE))</f>
        <v>0</v>
      </c>
      <c r="G391" s="1067">
        <f t="shared" si="237"/>
        <v>0</v>
      </c>
      <c r="H391" s="309"/>
      <c r="I391" s="1074">
        <f t="shared" si="239"/>
        <v>0</v>
      </c>
      <c r="J391" s="1005">
        <f t="shared" si="239"/>
        <v>0</v>
      </c>
      <c r="K391" s="1005">
        <f t="shared" si="239"/>
        <v>0</v>
      </c>
      <c r="L391" s="1005">
        <f t="shared" si="239"/>
        <v>0</v>
      </c>
      <c r="M391" s="1005">
        <f t="shared" si="239"/>
        <v>0</v>
      </c>
      <c r="N391" s="1005">
        <f t="shared" si="239"/>
        <v>0</v>
      </c>
      <c r="O391" s="1005">
        <f t="shared" si="239"/>
        <v>0</v>
      </c>
      <c r="P391" s="1005">
        <f t="shared" si="239"/>
        <v>0</v>
      </c>
      <c r="Q391" s="1005">
        <f t="shared" si="239"/>
        <v>0</v>
      </c>
      <c r="R391" s="1005">
        <f t="shared" si="239"/>
        <v>0</v>
      </c>
      <c r="S391" s="1005">
        <f t="shared" si="239"/>
        <v>0</v>
      </c>
      <c r="T391" s="1005">
        <f t="shared" si="239"/>
        <v>0</v>
      </c>
      <c r="U391" s="1075">
        <f t="shared" si="228"/>
        <v>0</v>
      </c>
      <c r="X391" s="301"/>
      <c r="Y391" s="5044"/>
      <c r="Z391" s="985">
        <f t="shared" si="234"/>
        <v>0</v>
      </c>
      <c r="AA391" s="985">
        <f>IF(Y391=0,0,VLOOKUP(Y391,Precios!$B$216:$D$307,3,FALSE))</f>
        <v>0</v>
      </c>
      <c r="AB391" s="986"/>
      <c r="AC391" s="1059">
        <f>IF(Y391=0,0,VLOOKUP(Y391,Precios!$B$216:$D$307,2,FALSE))</f>
        <v>0</v>
      </c>
      <c r="AD391" s="1067">
        <f t="shared" si="238"/>
        <v>0</v>
      </c>
      <c r="AE391" s="309"/>
      <c r="AF391" s="1074">
        <f t="shared" si="240"/>
        <v>0</v>
      </c>
      <c r="AG391" s="1005">
        <f t="shared" si="229"/>
        <v>0</v>
      </c>
      <c r="AH391" s="1005">
        <f t="shared" si="229"/>
        <v>0</v>
      </c>
      <c r="AI391" s="1005">
        <f t="shared" si="229"/>
        <v>0</v>
      </c>
      <c r="AJ391" s="1005">
        <f t="shared" si="229"/>
        <v>0</v>
      </c>
      <c r="AK391" s="1005">
        <f t="shared" si="229"/>
        <v>0</v>
      </c>
      <c r="AL391" s="1005">
        <f t="shared" si="229"/>
        <v>0</v>
      </c>
      <c r="AM391" s="1005">
        <f t="shared" si="229"/>
        <v>0</v>
      </c>
      <c r="AN391" s="1005">
        <f t="shared" si="229"/>
        <v>0</v>
      </c>
      <c r="AO391" s="1005">
        <f t="shared" si="229"/>
        <v>0</v>
      </c>
      <c r="AP391" s="1005">
        <f t="shared" si="229"/>
        <v>0</v>
      </c>
      <c r="AQ391" s="1005">
        <f t="shared" si="229"/>
        <v>0</v>
      </c>
      <c r="AR391" s="1075">
        <f t="shared" si="230"/>
        <v>0</v>
      </c>
    </row>
    <row r="392" spans="1:46" ht="15.05" thickBot="1" x14ac:dyDescent="0.35">
      <c r="A392" s="205"/>
      <c r="B392" s="5044"/>
      <c r="C392" s="985">
        <f t="shared" si="233"/>
        <v>0</v>
      </c>
      <c r="D392" s="985">
        <f>IF(B392=0,0,VLOOKUP(B392,Precios!$B$216:$D$307,3,FALSE))</f>
        <v>0</v>
      </c>
      <c r="E392" s="5049"/>
      <c r="F392" s="1059">
        <f>IF(B392=0,0,VLOOKUP(B392,Precios!$B$216:$D$307,2,FALSE))</f>
        <v>0</v>
      </c>
      <c r="G392" s="1067">
        <f t="shared" si="237"/>
        <v>0</v>
      </c>
      <c r="H392" s="309"/>
      <c r="I392" s="1074">
        <f t="shared" si="239"/>
        <v>0</v>
      </c>
      <c r="J392" s="1005">
        <f t="shared" si="239"/>
        <v>0</v>
      </c>
      <c r="K392" s="1005">
        <f t="shared" si="239"/>
        <v>0</v>
      </c>
      <c r="L392" s="1005">
        <f t="shared" si="239"/>
        <v>0</v>
      </c>
      <c r="M392" s="1005">
        <f t="shared" si="239"/>
        <v>0</v>
      </c>
      <c r="N392" s="1005">
        <f t="shared" si="239"/>
        <v>0</v>
      </c>
      <c r="O392" s="1005">
        <f t="shared" si="239"/>
        <v>0</v>
      </c>
      <c r="P392" s="1005">
        <f t="shared" si="239"/>
        <v>0</v>
      </c>
      <c r="Q392" s="1005">
        <f t="shared" si="239"/>
        <v>0</v>
      </c>
      <c r="R392" s="1005">
        <f t="shared" si="239"/>
        <v>0</v>
      </c>
      <c r="S392" s="1005">
        <f t="shared" si="239"/>
        <v>0</v>
      </c>
      <c r="T392" s="1005">
        <f t="shared" si="239"/>
        <v>0</v>
      </c>
      <c r="U392" s="1075">
        <f t="shared" si="228"/>
        <v>0</v>
      </c>
      <c r="X392" s="301"/>
      <c r="Y392" s="5044"/>
      <c r="Z392" s="985">
        <f t="shared" si="234"/>
        <v>0</v>
      </c>
      <c r="AA392" s="985">
        <f>IF(Y392=0,0,VLOOKUP(Y392,Precios!$B$216:$D$307,3,FALSE))</f>
        <v>0</v>
      </c>
      <c r="AB392" s="986"/>
      <c r="AC392" s="1059">
        <f>IF(Y392=0,0,VLOOKUP(Y392,Precios!$B$216:$D$307,2,FALSE))</f>
        <v>0</v>
      </c>
      <c r="AD392" s="1067">
        <f t="shared" si="238"/>
        <v>0</v>
      </c>
      <c r="AE392" s="309"/>
      <c r="AF392" s="1074">
        <f t="shared" si="240"/>
        <v>0</v>
      </c>
      <c r="AG392" s="1005">
        <f t="shared" si="240"/>
        <v>0</v>
      </c>
      <c r="AH392" s="1005">
        <f t="shared" si="240"/>
        <v>0</v>
      </c>
      <c r="AI392" s="1005">
        <f t="shared" si="240"/>
        <v>0</v>
      </c>
      <c r="AJ392" s="1005">
        <f t="shared" si="240"/>
        <v>0</v>
      </c>
      <c r="AK392" s="1005">
        <f t="shared" si="240"/>
        <v>0</v>
      </c>
      <c r="AL392" s="1005">
        <f t="shared" si="240"/>
        <v>0</v>
      </c>
      <c r="AM392" s="1005">
        <f t="shared" si="240"/>
        <v>0</v>
      </c>
      <c r="AN392" s="1005">
        <f t="shared" si="240"/>
        <v>0</v>
      </c>
      <c r="AO392" s="1005">
        <f t="shared" si="240"/>
        <v>0</v>
      </c>
      <c r="AP392" s="1005">
        <f t="shared" si="240"/>
        <v>0</v>
      </c>
      <c r="AQ392" s="1005">
        <f t="shared" si="240"/>
        <v>0</v>
      </c>
      <c r="AR392" s="1075">
        <f t="shared" ref="AR392:AR405" si="241">SUM(AF392:AQ392)</f>
        <v>0</v>
      </c>
    </row>
    <row r="393" spans="1:46" ht="15.05" thickBot="1" x14ac:dyDescent="0.35">
      <c r="A393" s="205"/>
      <c r="B393" s="5044"/>
      <c r="C393" s="985">
        <f t="shared" si="233"/>
        <v>0</v>
      </c>
      <c r="D393" s="985">
        <f>IF(B393=0,0,VLOOKUP(B393,Precios!$B$216:$D$307,3,FALSE))</f>
        <v>0</v>
      </c>
      <c r="E393" s="5049"/>
      <c r="F393" s="1059">
        <f>IF(B393=0,0,VLOOKUP(B393,Precios!$B$216:$D$307,2,FALSE))</f>
        <v>0</v>
      </c>
      <c r="G393" s="1067">
        <f t="shared" si="237"/>
        <v>0</v>
      </c>
      <c r="H393" s="309"/>
      <c r="I393" s="1074">
        <f t="shared" si="239"/>
        <v>0</v>
      </c>
      <c r="J393" s="1005">
        <f t="shared" si="239"/>
        <v>0</v>
      </c>
      <c r="K393" s="1005">
        <f t="shared" si="239"/>
        <v>0</v>
      </c>
      <c r="L393" s="1005">
        <f t="shared" si="239"/>
        <v>0</v>
      </c>
      <c r="M393" s="1005">
        <f t="shared" si="239"/>
        <v>0</v>
      </c>
      <c r="N393" s="1005">
        <f t="shared" si="239"/>
        <v>0</v>
      </c>
      <c r="O393" s="1005">
        <f t="shared" si="239"/>
        <v>0</v>
      </c>
      <c r="P393" s="1005">
        <f t="shared" si="239"/>
        <v>0</v>
      </c>
      <c r="Q393" s="1005">
        <f t="shared" si="239"/>
        <v>0</v>
      </c>
      <c r="R393" s="1005">
        <f t="shared" si="239"/>
        <v>0</v>
      </c>
      <c r="S393" s="1005">
        <f t="shared" si="239"/>
        <v>0</v>
      </c>
      <c r="T393" s="1005">
        <f t="shared" si="239"/>
        <v>0</v>
      </c>
      <c r="U393" s="1075">
        <f t="shared" si="228"/>
        <v>0</v>
      </c>
      <c r="X393" s="301"/>
      <c r="Y393" s="5044"/>
      <c r="Z393" s="985">
        <f t="shared" si="234"/>
        <v>0</v>
      </c>
      <c r="AA393" s="985">
        <f>IF(Y393=0,0,VLOOKUP(Y393,Precios!$B$216:$D$307,3,FALSE))</f>
        <v>0</v>
      </c>
      <c r="AB393" s="986"/>
      <c r="AC393" s="1059">
        <f>IF(Y393=0,0,VLOOKUP(Y393,Precios!$B$216:$D$307,2,FALSE))</f>
        <v>0</v>
      </c>
      <c r="AD393" s="1067">
        <f t="shared" si="238"/>
        <v>0</v>
      </c>
      <c r="AE393" s="309"/>
      <c r="AF393" s="1074">
        <f t="shared" si="240"/>
        <v>0</v>
      </c>
      <c r="AG393" s="1005">
        <f t="shared" si="240"/>
        <v>0</v>
      </c>
      <c r="AH393" s="1005">
        <f t="shared" si="240"/>
        <v>0</v>
      </c>
      <c r="AI393" s="1005">
        <f t="shared" si="240"/>
        <v>0</v>
      </c>
      <c r="AJ393" s="1005">
        <f t="shared" si="240"/>
        <v>0</v>
      </c>
      <c r="AK393" s="1005">
        <f t="shared" si="240"/>
        <v>0</v>
      </c>
      <c r="AL393" s="1005">
        <f t="shared" si="240"/>
        <v>0</v>
      </c>
      <c r="AM393" s="1005">
        <f t="shared" si="240"/>
        <v>0</v>
      </c>
      <c r="AN393" s="1005">
        <f t="shared" si="240"/>
        <v>0</v>
      </c>
      <c r="AO393" s="1005">
        <f t="shared" si="240"/>
        <v>0</v>
      </c>
      <c r="AP393" s="1005">
        <f t="shared" si="240"/>
        <v>0</v>
      </c>
      <c r="AQ393" s="1005">
        <f t="shared" si="240"/>
        <v>0</v>
      </c>
      <c r="AR393" s="1075">
        <f t="shared" si="241"/>
        <v>0</v>
      </c>
    </row>
    <row r="394" spans="1:46" x14ac:dyDescent="0.3">
      <c r="A394" s="205"/>
      <c r="B394" s="5046"/>
      <c r="C394" s="1057">
        <f t="shared" si="233"/>
        <v>0</v>
      </c>
      <c r="D394" s="1057">
        <f>IF(B394=0,0,VLOOKUP(B394,Precios!$B$216:$D$307,3,FALSE))</f>
        <v>0</v>
      </c>
      <c r="E394" s="5050"/>
      <c r="F394" s="1061">
        <f>IF(B394=0,0,VLOOKUP(B394,Precios!$B$216:$D$307,2,FALSE))</f>
        <v>0</v>
      </c>
      <c r="G394" s="1068">
        <f t="shared" si="237"/>
        <v>0</v>
      </c>
      <c r="H394" s="309"/>
      <c r="I394" s="1076">
        <f t="shared" si="239"/>
        <v>0</v>
      </c>
      <c r="J394" s="1077">
        <f t="shared" si="239"/>
        <v>0</v>
      </c>
      <c r="K394" s="1077">
        <f t="shared" si="239"/>
        <v>0</v>
      </c>
      <c r="L394" s="1077">
        <f t="shared" si="239"/>
        <v>0</v>
      </c>
      <c r="M394" s="1077">
        <f t="shared" si="239"/>
        <v>0</v>
      </c>
      <c r="N394" s="1077">
        <f t="shared" si="239"/>
        <v>0</v>
      </c>
      <c r="O394" s="1077">
        <f t="shared" si="239"/>
        <v>0</v>
      </c>
      <c r="P394" s="1077">
        <f t="shared" si="239"/>
        <v>0</v>
      </c>
      <c r="Q394" s="1077">
        <f t="shared" si="239"/>
        <v>0</v>
      </c>
      <c r="R394" s="1077">
        <f t="shared" si="239"/>
        <v>0</v>
      </c>
      <c r="S394" s="1077">
        <f t="shared" si="239"/>
        <v>0</v>
      </c>
      <c r="T394" s="1077">
        <f t="shared" si="239"/>
        <v>0</v>
      </c>
      <c r="U394" s="1078">
        <f t="shared" si="228"/>
        <v>0</v>
      </c>
      <c r="X394" s="301"/>
      <c r="Y394" s="5046"/>
      <c r="Z394" s="1057">
        <f t="shared" si="234"/>
        <v>0</v>
      </c>
      <c r="AA394" s="1057">
        <f>IF(Y394=0,0,VLOOKUP(Y394,Precios!$B$216:$D$307,3,FALSE))</f>
        <v>0</v>
      </c>
      <c r="AB394" s="1060"/>
      <c r="AC394" s="1061">
        <f>IF(Y394=0,0,VLOOKUP(Y394,Precios!$B$216:$D$307,2,FALSE))</f>
        <v>0</v>
      </c>
      <c r="AD394" s="1068">
        <f t="shared" si="238"/>
        <v>0</v>
      </c>
      <c r="AE394" s="309"/>
      <c r="AF394" s="1076">
        <f t="shared" si="240"/>
        <v>0</v>
      </c>
      <c r="AG394" s="1077">
        <f t="shared" si="240"/>
        <v>0</v>
      </c>
      <c r="AH394" s="1077">
        <f t="shared" si="240"/>
        <v>0</v>
      </c>
      <c r="AI394" s="1077">
        <f t="shared" si="240"/>
        <v>0</v>
      </c>
      <c r="AJ394" s="1077">
        <f t="shared" si="240"/>
        <v>0</v>
      </c>
      <c r="AK394" s="1077">
        <f t="shared" si="240"/>
        <v>0</v>
      </c>
      <c r="AL394" s="1077">
        <f t="shared" si="240"/>
        <v>0</v>
      </c>
      <c r="AM394" s="1077">
        <f t="shared" si="240"/>
        <v>0</v>
      </c>
      <c r="AN394" s="1077">
        <f t="shared" si="240"/>
        <v>0</v>
      </c>
      <c r="AO394" s="1077">
        <f t="shared" si="240"/>
        <v>0</v>
      </c>
      <c r="AP394" s="1077">
        <f t="shared" si="240"/>
        <v>0</v>
      </c>
      <c r="AQ394" s="1077">
        <f t="shared" si="240"/>
        <v>0</v>
      </c>
      <c r="AR394" s="1078">
        <f t="shared" si="241"/>
        <v>0</v>
      </c>
    </row>
    <row r="395" spans="1:46" x14ac:dyDescent="0.3">
      <c r="A395" s="205"/>
      <c r="B395" s="647" t="s">
        <v>1085</v>
      </c>
      <c r="C395" s="305"/>
      <c r="D395" s="305"/>
      <c r="E395" s="305"/>
      <c r="F395" s="650"/>
      <c r="G395" s="305"/>
      <c r="H395" s="310"/>
      <c r="I395" s="904">
        <f t="shared" ref="I395:T395" si="242">SUM(I387:I394)</f>
        <v>0</v>
      </c>
      <c r="J395" s="904">
        <f t="shared" si="242"/>
        <v>0</v>
      </c>
      <c r="K395" s="904">
        <f t="shared" si="242"/>
        <v>0</v>
      </c>
      <c r="L395" s="904">
        <f t="shared" si="242"/>
        <v>0</v>
      </c>
      <c r="M395" s="904">
        <f t="shared" si="242"/>
        <v>0</v>
      </c>
      <c r="N395" s="904">
        <f t="shared" si="242"/>
        <v>0</v>
      </c>
      <c r="O395" s="904">
        <f t="shared" si="242"/>
        <v>0</v>
      </c>
      <c r="P395" s="904">
        <f t="shared" si="242"/>
        <v>0</v>
      </c>
      <c r="Q395" s="904">
        <f t="shared" si="242"/>
        <v>0</v>
      </c>
      <c r="R395" s="904">
        <f t="shared" si="242"/>
        <v>0</v>
      </c>
      <c r="S395" s="904">
        <f t="shared" si="242"/>
        <v>0</v>
      </c>
      <c r="T395" s="904">
        <f t="shared" si="242"/>
        <v>0</v>
      </c>
      <c r="U395" s="905">
        <f>SUM(I395:T395)</f>
        <v>0</v>
      </c>
      <c r="W395" s="232" t="str">
        <f>B386&amp;B369</f>
        <v>Semillas0</v>
      </c>
      <c r="X395" s="301"/>
      <c r="Y395" s="647" t="s">
        <v>1085</v>
      </c>
      <c r="Z395" s="305"/>
      <c r="AA395" s="305"/>
      <c r="AB395" s="305"/>
      <c r="AC395" s="650"/>
      <c r="AD395" s="305"/>
      <c r="AE395" s="310"/>
      <c r="AF395" s="904">
        <f t="shared" ref="AF395:AQ395" si="243">SUM(AF387:AF394)</f>
        <v>0</v>
      </c>
      <c r="AG395" s="904">
        <f t="shared" si="243"/>
        <v>0</v>
      </c>
      <c r="AH395" s="904">
        <f t="shared" si="243"/>
        <v>0</v>
      </c>
      <c r="AI395" s="904">
        <f t="shared" si="243"/>
        <v>0</v>
      </c>
      <c r="AJ395" s="904">
        <f t="shared" si="243"/>
        <v>0</v>
      </c>
      <c r="AK395" s="904">
        <f t="shared" si="243"/>
        <v>0</v>
      </c>
      <c r="AL395" s="904">
        <f t="shared" si="243"/>
        <v>0</v>
      </c>
      <c r="AM395" s="904">
        <f t="shared" si="243"/>
        <v>0</v>
      </c>
      <c r="AN395" s="904">
        <f t="shared" si="243"/>
        <v>0</v>
      </c>
      <c r="AO395" s="904">
        <f t="shared" si="243"/>
        <v>0</v>
      </c>
      <c r="AP395" s="904">
        <f t="shared" si="243"/>
        <v>0</v>
      </c>
      <c r="AQ395" s="904">
        <f t="shared" si="243"/>
        <v>0</v>
      </c>
      <c r="AR395" s="905">
        <f>SUM(AF395:AQ395)</f>
        <v>0</v>
      </c>
      <c r="AT395" s="232" t="str">
        <f>Y386&amp;Y369</f>
        <v>Semillas0</v>
      </c>
    </row>
    <row r="396" spans="1:46" x14ac:dyDescent="0.2">
      <c r="A396" s="205"/>
      <c r="B396" s="197" t="s">
        <v>339</v>
      </c>
      <c r="C396" s="307"/>
      <c r="D396" s="307"/>
      <c r="E396" s="308"/>
      <c r="F396" s="651"/>
      <c r="G396" s="308"/>
      <c r="H396" s="307"/>
      <c r="I396" s="307"/>
      <c r="J396" s="307"/>
      <c r="K396" s="307"/>
      <c r="L396" s="307"/>
      <c r="M396" s="307"/>
      <c r="N396" s="307"/>
      <c r="O396" s="307"/>
      <c r="P396" s="307"/>
      <c r="Q396" s="307"/>
      <c r="R396" s="307"/>
      <c r="S396" s="307"/>
      <c r="T396" s="307"/>
      <c r="U396" s="646"/>
      <c r="X396" s="301"/>
      <c r="Y396" s="197" t="s">
        <v>339</v>
      </c>
      <c r="Z396" s="307"/>
      <c r="AA396" s="307"/>
      <c r="AB396" s="308"/>
      <c r="AC396" s="651"/>
      <c r="AD396" s="308"/>
      <c r="AE396" s="307"/>
      <c r="AF396" s="307"/>
      <c r="AG396" s="307"/>
      <c r="AH396" s="307"/>
      <c r="AI396" s="307"/>
      <c r="AJ396" s="307"/>
      <c r="AK396" s="307"/>
      <c r="AL396" s="307"/>
      <c r="AM396" s="307"/>
      <c r="AN396" s="307"/>
      <c r="AO396" s="307"/>
      <c r="AP396" s="307"/>
      <c r="AQ396" s="307"/>
      <c r="AR396" s="646"/>
    </row>
    <row r="397" spans="1:46" ht="15.05" thickBot="1" x14ac:dyDescent="0.35">
      <c r="A397" s="205"/>
      <c r="B397" s="5042"/>
      <c r="C397" s="1056">
        <f t="shared" si="233"/>
        <v>0</v>
      </c>
      <c r="D397" s="1056">
        <f>IF(B397=0,0,VLOOKUP(B397,Precios!$B$216:$D$307,3,FALSE))</f>
        <v>0</v>
      </c>
      <c r="E397" s="5048"/>
      <c r="F397" s="1063">
        <f>IF(B397=0,0,VLOOKUP(B397,Precios!$B$216:$D$307,2,FALSE))</f>
        <v>0</v>
      </c>
      <c r="G397" s="1066">
        <f>E397*F397</f>
        <v>0</v>
      </c>
      <c r="H397" s="309"/>
      <c r="I397" s="1072">
        <f t="shared" si="239"/>
        <v>0</v>
      </c>
      <c r="J397" s="1033">
        <f t="shared" si="239"/>
        <v>0</v>
      </c>
      <c r="K397" s="1033">
        <f t="shared" si="239"/>
        <v>0</v>
      </c>
      <c r="L397" s="1033">
        <f t="shared" si="239"/>
        <v>0</v>
      </c>
      <c r="M397" s="1033">
        <f t="shared" si="239"/>
        <v>0</v>
      </c>
      <c r="N397" s="1033">
        <f t="shared" si="239"/>
        <v>0</v>
      </c>
      <c r="O397" s="1033">
        <f t="shared" si="239"/>
        <v>0</v>
      </c>
      <c r="P397" s="1033">
        <f t="shared" si="239"/>
        <v>0</v>
      </c>
      <c r="Q397" s="1033">
        <f t="shared" si="239"/>
        <v>0</v>
      </c>
      <c r="R397" s="1033">
        <f t="shared" si="239"/>
        <v>0</v>
      </c>
      <c r="S397" s="1033">
        <f t="shared" si="239"/>
        <v>0</v>
      </c>
      <c r="T397" s="1033">
        <f t="shared" si="239"/>
        <v>0</v>
      </c>
      <c r="U397" s="1073">
        <f t="shared" ref="U397:U405" si="244">SUM(I397:T397)</f>
        <v>0</v>
      </c>
      <c r="X397" s="301"/>
      <c r="Y397" s="5042"/>
      <c r="Z397" s="1056">
        <f t="shared" si="234"/>
        <v>0</v>
      </c>
      <c r="AA397" s="1056">
        <f>IF(Y397=0,0,VLOOKUP(Y397,Precios!$B$216:$D$307,3,FALSE))</f>
        <v>0</v>
      </c>
      <c r="AB397" s="1058"/>
      <c r="AC397" s="1063">
        <f>IF(Y397=0,0,VLOOKUP(Y397,Precios!$B$216:$D$307,2,FALSE))</f>
        <v>0</v>
      </c>
      <c r="AD397" s="1066">
        <f>AB397*AC397</f>
        <v>0</v>
      </c>
      <c r="AE397" s="309"/>
      <c r="AF397" s="1072">
        <f t="shared" si="240"/>
        <v>0</v>
      </c>
      <c r="AG397" s="1033">
        <f t="shared" si="240"/>
        <v>0</v>
      </c>
      <c r="AH397" s="1033">
        <f t="shared" si="240"/>
        <v>0</v>
      </c>
      <c r="AI397" s="1033">
        <f t="shared" si="240"/>
        <v>0</v>
      </c>
      <c r="AJ397" s="1033">
        <f t="shared" si="240"/>
        <v>0</v>
      </c>
      <c r="AK397" s="1033">
        <f t="shared" si="240"/>
        <v>0</v>
      </c>
      <c r="AL397" s="1033">
        <f t="shared" si="240"/>
        <v>0</v>
      </c>
      <c r="AM397" s="1033">
        <f t="shared" si="240"/>
        <v>0</v>
      </c>
      <c r="AN397" s="1033">
        <f t="shared" si="240"/>
        <v>0</v>
      </c>
      <c r="AO397" s="1033">
        <f t="shared" si="240"/>
        <v>0</v>
      </c>
      <c r="AP397" s="1033">
        <f t="shared" si="240"/>
        <v>0</v>
      </c>
      <c r="AQ397" s="1033">
        <f t="shared" si="240"/>
        <v>0</v>
      </c>
      <c r="AR397" s="1073">
        <f t="shared" si="241"/>
        <v>0</v>
      </c>
    </row>
    <row r="398" spans="1:46" ht="15.05" thickBot="1" x14ac:dyDescent="0.35">
      <c r="A398" s="205"/>
      <c r="B398" s="5044"/>
      <c r="C398" s="985">
        <f t="shared" si="233"/>
        <v>0</v>
      </c>
      <c r="D398" s="985">
        <f>IF(B398=0,0,VLOOKUP(B398,Precios!$B$216:$D$307,3,FALSE))</f>
        <v>0</v>
      </c>
      <c r="E398" s="5049"/>
      <c r="F398" s="1064">
        <f>IF(B398=0,0,VLOOKUP(B398,Precios!$B$216:$D$307,2,FALSE))</f>
        <v>0</v>
      </c>
      <c r="G398" s="1067">
        <f>E398*F398</f>
        <v>0</v>
      </c>
      <c r="H398" s="309"/>
      <c r="I398" s="1074">
        <f t="shared" si="239"/>
        <v>0</v>
      </c>
      <c r="J398" s="1005">
        <f t="shared" si="239"/>
        <v>0</v>
      </c>
      <c r="K398" s="1005">
        <f t="shared" si="239"/>
        <v>0</v>
      </c>
      <c r="L398" s="1005">
        <f t="shared" si="239"/>
        <v>0</v>
      </c>
      <c r="M398" s="1005">
        <f t="shared" si="239"/>
        <v>0</v>
      </c>
      <c r="N398" s="1005">
        <f t="shared" si="239"/>
        <v>0</v>
      </c>
      <c r="O398" s="1005">
        <f t="shared" si="239"/>
        <v>0</v>
      </c>
      <c r="P398" s="1005">
        <f t="shared" si="239"/>
        <v>0</v>
      </c>
      <c r="Q398" s="1005">
        <f t="shared" si="239"/>
        <v>0</v>
      </c>
      <c r="R398" s="1005">
        <f t="shared" si="239"/>
        <v>0</v>
      </c>
      <c r="S398" s="1005">
        <f t="shared" si="239"/>
        <v>0</v>
      </c>
      <c r="T398" s="1005">
        <f t="shared" si="239"/>
        <v>0</v>
      </c>
      <c r="U398" s="1075">
        <f t="shared" si="244"/>
        <v>0</v>
      </c>
      <c r="X398" s="301"/>
      <c r="Y398" s="5044"/>
      <c r="Z398" s="985">
        <f t="shared" si="234"/>
        <v>0</v>
      </c>
      <c r="AA398" s="985">
        <f>IF(Y398=0,0,VLOOKUP(Y398,Precios!$B$216:$D$307,3,FALSE))</f>
        <v>0</v>
      </c>
      <c r="AB398" s="986"/>
      <c r="AC398" s="1064">
        <f>IF(Y398=0,0,VLOOKUP(Y398,Precios!$B$216:$D$307,2,FALSE))</f>
        <v>0</v>
      </c>
      <c r="AD398" s="1067">
        <f>AB398*AC398</f>
        <v>0</v>
      </c>
      <c r="AE398" s="309"/>
      <c r="AF398" s="1074">
        <f t="shared" si="240"/>
        <v>0</v>
      </c>
      <c r="AG398" s="1005">
        <f t="shared" si="240"/>
        <v>0</v>
      </c>
      <c r="AH398" s="1005">
        <f t="shared" si="240"/>
        <v>0</v>
      </c>
      <c r="AI398" s="1005">
        <f t="shared" si="240"/>
        <v>0</v>
      </c>
      <c r="AJ398" s="1005">
        <f t="shared" si="240"/>
        <v>0</v>
      </c>
      <c r="AK398" s="1005">
        <f t="shared" si="240"/>
        <v>0</v>
      </c>
      <c r="AL398" s="1005">
        <f t="shared" si="240"/>
        <v>0</v>
      </c>
      <c r="AM398" s="1005">
        <f t="shared" si="240"/>
        <v>0</v>
      </c>
      <c r="AN398" s="1005">
        <f t="shared" si="240"/>
        <v>0</v>
      </c>
      <c r="AO398" s="1005">
        <f t="shared" si="240"/>
        <v>0</v>
      </c>
      <c r="AP398" s="1005">
        <f t="shared" si="240"/>
        <v>0</v>
      </c>
      <c r="AQ398" s="1005">
        <f t="shared" si="240"/>
        <v>0</v>
      </c>
      <c r="AR398" s="1075">
        <f t="shared" si="241"/>
        <v>0</v>
      </c>
    </row>
    <row r="399" spans="1:46" x14ac:dyDescent="0.3">
      <c r="A399" s="205"/>
      <c r="B399" s="5046"/>
      <c r="C399" s="1057">
        <f t="shared" si="233"/>
        <v>0</v>
      </c>
      <c r="D399" s="1057">
        <f>IF(B399=0,0,VLOOKUP(B399,Precios!$B$216:$D$307,3,FALSE))</f>
        <v>0</v>
      </c>
      <c r="E399" s="5050"/>
      <c r="F399" s="1065">
        <f>IF(B399=0,0,VLOOKUP(B399,Precios!$B$216:$D$307,2,FALSE))</f>
        <v>0</v>
      </c>
      <c r="G399" s="1068">
        <f>E399*F399</f>
        <v>0</v>
      </c>
      <c r="H399" s="309"/>
      <c r="I399" s="1079">
        <f t="shared" si="239"/>
        <v>0</v>
      </c>
      <c r="J399" s="1047">
        <f t="shared" si="239"/>
        <v>0</v>
      </c>
      <c r="K399" s="1047">
        <f t="shared" si="239"/>
        <v>0</v>
      </c>
      <c r="L399" s="1047">
        <f t="shared" si="239"/>
        <v>0</v>
      </c>
      <c r="M399" s="1047">
        <f t="shared" si="239"/>
        <v>0</v>
      </c>
      <c r="N399" s="1047">
        <f t="shared" si="239"/>
        <v>0</v>
      </c>
      <c r="O399" s="1047">
        <f t="shared" si="239"/>
        <v>0</v>
      </c>
      <c r="P399" s="1047">
        <f t="shared" si="239"/>
        <v>0</v>
      </c>
      <c r="Q399" s="1047">
        <f t="shared" si="239"/>
        <v>0</v>
      </c>
      <c r="R399" s="1047">
        <f t="shared" si="239"/>
        <v>0</v>
      </c>
      <c r="S399" s="1047">
        <f t="shared" si="239"/>
        <v>0</v>
      </c>
      <c r="T399" s="1047">
        <f t="shared" si="239"/>
        <v>0</v>
      </c>
      <c r="U399" s="1080">
        <f t="shared" si="244"/>
        <v>0</v>
      </c>
      <c r="X399" s="301"/>
      <c r="Y399" s="5046"/>
      <c r="Z399" s="1057">
        <f t="shared" si="234"/>
        <v>0</v>
      </c>
      <c r="AA399" s="1057">
        <f>IF(Y399=0,0,VLOOKUP(Y399,Precios!$B$216:$D$307,3,FALSE))</f>
        <v>0</v>
      </c>
      <c r="AB399" s="1060"/>
      <c r="AC399" s="1065">
        <f>IF(Y399=0,0,VLOOKUP(Y399,Precios!$B$216:$D$307,2,FALSE))</f>
        <v>0</v>
      </c>
      <c r="AD399" s="1068">
        <f>AB399*AC399</f>
        <v>0</v>
      </c>
      <c r="AE399" s="309"/>
      <c r="AF399" s="1079">
        <f t="shared" si="240"/>
        <v>0</v>
      </c>
      <c r="AG399" s="1047">
        <f t="shared" si="240"/>
        <v>0</v>
      </c>
      <c r="AH399" s="1047">
        <f t="shared" si="240"/>
        <v>0</v>
      </c>
      <c r="AI399" s="1047">
        <f t="shared" si="240"/>
        <v>0</v>
      </c>
      <c r="AJ399" s="1047">
        <f t="shared" si="240"/>
        <v>0</v>
      </c>
      <c r="AK399" s="1047">
        <f t="shared" si="240"/>
        <v>0</v>
      </c>
      <c r="AL399" s="1047">
        <f t="shared" si="240"/>
        <v>0</v>
      </c>
      <c r="AM399" s="1047">
        <f t="shared" si="240"/>
        <v>0</v>
      </c>
      <c r="AN399" s="1047">
        <f t="shared" si="240"/>
        <v>0</v>
      </c>
      <c r="AO399" s="1047">
        <f t="shared" si="240"/>
        <v>0</v>
      </c>
      <c r="AP399" s="1047">
        <f t="shared" si="240"/>
        <v>0</v>
      </c>
      <c r="AQ399" s="1047">
        <f t="shared" si="240"/>
        <v>0</v>
      </c>
      <c r="AR399" s="1080">
        <f t="shared" si="241"/>
        <v>0</v>
      </c>
    </row>
    <row r="400" spans="1:46" x14ac:dyDescent="0.3">
      <c r="A400" s="205"/>
      <c r="B400" s="647" t="s">
        <v>1086</v>
      </c>
      <c r="C400" s="305"/>
      <c r="D400" s="305"/>
      <c r="E400" s="305"/>
      <c r="F400" s="650"/>
      <c r="G400" s="305"/>
      <c r="H400" s="306"/>
      <c r="I400" s="906">
        <f t="shared" ref="I400:T400" si="245">SUM(I397:I399)</f>
        <v>0</v>
      </c>
      <c r="J400" s="906">
        <f t="shared" si="245"/>
        <v>0</v>
      </c>
      <c r="K400" s="906">
        <f t="shared" si="245"/>
        <v>0</v>
      </c>
      <c r="L400" s="906">
        <f t="shared" si="245"/>
        <v>0</v>
      </c>
      <c r="M400" s="906">
        <f t="shared" si="245"/>
        <v>0</v>
      </c>
      <c r="N400" s="906">
        <f t="shared" si="245"/>
        <v>0</v>
      </c>
      <c r="O400" s="906">
        <f t="shared" si="245"/>
        <v>0</v>
      </c>
      <c r="P400" s="906">
        <f t="shared" si="245"/>
        <v>0</v>
      </c>
      <c r="Q400" s="906">
        <f t="shared" si="245"/>
        <v>0</v>
      </c>
      <c r="R400" s="906">
        <f t="shared" si="245"/>
        <v>0</v>
      </c>
      <c r="S400" s="906">
        <f t="shared" si="245"/>
        <v>0</v>
      </c>
      <c r="T400" s="907">
        <f t="shared" si="245"/>
        <v>0</v>
      </c>
      <c r="U400" s="905">
        <f>SUM(I400:T400)</f>
        <v>0</v>
      </c>
      <c r="W400" s="232" t="str">
        <f>B396&amp;B369</f>
        <v>Fertilizantes 0</v>
      </c>
      <c r="X400" s="301"/>
      <c r="Y400" s="647" t="s">
        <v>1086</v>
      </c>
      <c r="Z400" s="305"/>
      <c r="AA400" s="305"/>
      <c r="AB400" s="305"/>
      <c r="AC400" s="650"/>
      <c r="AD400" s="305"/>
      <c r="AE400" s="306"/>
      <c r="AF400" s="906">
        <f t="shared" ref="AF400:AQ400" si="246">SUM(AF397:AF399)</f>
        <v>0</v>
      </c>
      <c r="AG400" s="906">
        <f t="shared" si="246"/>
        <v>0</v>
      </c>
      <c r="AH400" s="906">
        <f t="shared" si="246"/>
        <v>0</v>
      </c>
      <c r="AI400" s="906">
        <f t="shared" si="246"/>
        <v>0</v>
      </c>
      <c r="AJ400" s="906">
        <f t="shared" si="246"/>
        <v>0</v>
      </c>
      <c r="AK400" s="906">
        <f t="shared" si="246"/>
        <v>0</v>
      </c>
      <c r="AL400" s="906">
        <f t="shared" si="246"/>
        <v>0</v>
      </c>
      <c r="AM400" s="906">
        <f t="shared" si="246"/>
        <v>0</v>
      </c>
      <c r="AN400" s="906">
        <f t="shared" si="246"/>
        <v>0</v>
      </c>
      <c r="AO400" s="906">
        <f t="shared" si="246"/>
        <v>0</v>
      </c>
      <c r="AP400" s="906">
        <f t="shared" si="246"/>
        <v>0</v>
      </c>
      <c r="AQ400" s="907">
        <f t="shared" si="246"/>
        <v>0</v>
      </c>
      <c r="AR400" s="905">
        <f>SUM(AF400:AQ400)</f>
        <v>0</v>
      </c>
      <c r="AT400" s="232" t="str">
        <f>Y396&amp;Y369</f>
        <v>Fertilizantes 0</v>
      </c>
    </row>
    <row r="401" spans="1:47" x14ac:dyDescent="0.2">
      <c r="A401" s="205"/>
      <c r="B401" s="197" t="s">
        <v>340</v>
      </c>
      <c r="C401" s="307"/>
      <c r="D401" s="307"/>
      <c r="E401" s="308"/>
      <c r="F401" s="651"/>
      <c r="G401" s="308"/>
      <c r="H401" s="307"/>
      <c r="I401" s="307"/>
      <c r="J401" s="307"/>
      <c r="K401" s="307"/>
      <c r="L401" s="307"/>
      <c r="M401" s="307"/>
      <c r="N401" s="307"/>
      <c r="O401" s="307"/>
      <c r="P401" s="307"/>
      <c r="Q401" s="307"/>
      <c r="R401" s="307"/>
      <c r="S401" s="307"/>
      <c r="T401" s="307"/>
      <c r="U401" s="646"/>
      <c r="X401" s="301"/>
      <c r="Y401" s="197" t="s">
        <v>340</v>
      </c>
      <c r="Z401" s="307"/>
      <c r="AA401" s="307"/>
      <c r="AB401" s="308"/>
      <c r="AC401" s="651"/>
      <c r="AD401" s="308"/>
      <c r="AE401" s="307"/>
      <c r="AF401" s="307"/>
      <c r="AG401" s="307"/>
      <c r="AH401" s="307"/>
      <c r="AI401" s="307"/>
      <c r="AJ401" s="307"/>
      <c r="AK401" s="307"/>
      <c r="AL401" s="307"/>
      <c r="AM401" s="307"/>
      <c r="AN401" s="307"/>
      <c r="AO401" s="307"/>
      <c r="AP401" s="307"/>
      <c r="AQ401" s="307"/>
      <c r="AR401" s="646"/>
    </row>
    <row r="402" spans="1:47" ht="15.05" thickBot="1" x14ac:dyDescent="0.35">
      <c r="A402" s="205"/>
      <c r="B402" s="5042"/>
      <c r="C402" s="1056">
        <f t="shared" si="233"/>
        <v>0</v>
      </c>
      <c r="D402" s="1056">
        <f>IF(B402=0,0,VLOOKUP(B402,Precios!$B$216:$D$307,3,FALSE))</f>
        <v>0</v>
      </c>
      <c r="E402" s="5048"/>
      <c r="F402" s="1062">
        <f>IF(B402=0,0,VLOOKUP(B402,Precios!$B$216:$D$307,2,FALSE))</f>
        <v>0</v>
      </c>
      <c r="G402" s="1066">
        <f>E402*F402</f>
        <v>0</v>
      </c>
      <c r="H402" s="309"/>
      <c r="I402" s="1072">
        <f t="shared" si="239"/>
        <v>0</v>
      </c>
      <c r="J402" s="1033">
        <f t="shared" si="239"/>
        <v>0</v>
      </c>
      <c r="K402" s="1033">
        <f t="shared" si="239"/>
        <v>0</v>
      </c>
      <c r="L402" s="1033">
        <f t="shared" si="239"/>
        <v>0</v>
      </c>
      <c r="M402" s="1033">
        <f t="shared" si="239"/>
        <v>0</v>
      </c>
      <c r="N402" s="1033">
        <f t="shared" si="239"/>
        <v>0</v>
      </c>
      <c r="O402" s="1033">
        <f t="shared" si="239"/>
        <v>0</v>
      </c>
      <c r="P402" s="1033">
        <f t="shared" si="239"/>
        <v>0</v>
      </c>
      <c r="Q402" s="1033">
        <f t="shared" si="239"/>
        <v>0</v>
      </c>
      <c r="R402" s="1033">
        <f t="shared" si="239"/>
        <v>0</v>
      </c>
      <c r="S402" s="1033">
        <f t="shared" si="239"/>
        <v>0</v>
      </c>
      <c r="T402" s="1033">
        <f t="shared" si="239"/>
        <v>0</v>
      </c>
      <c r="U402" s="1073">
        <f t="shared" si="244"/>
        <v>0</v>
      </c>
      <c r="X402" s="301"/>
      <c r="Y402" s="5042"/>
      <c r="Z402" s="1056">
        <f t="shared" si="234"/>
        <v>0</v>
      </c>
      <c r="AA402" s="1056">
        <f>IF(Y402=0,0,VLOOKUP(Y402,Precios!$B$216:$D$307,3,FALSE))</f>
        <v>0</v>
      </c>
      <c r="AB402" s="1058"/>
      <c r="AC402" s="1062">
        <f>IF(Y402=0,0,VLOOKUP(Y402,Precios!$B$216:$D$307,2,FALSE))</f>
        <v>0</v>
      </c>
      <c r="AD402" s="1066">
        <f>AB402*AC402</f>
        <v>0</v>
      </c>
      <c r="AE402" s="309"/>
      <c r="AF402" s="1072">
        <f t="shared" si="240"/>
        <v>0</v>
      </c>
      <c r="AG402" s="1033">
        <f t="shared" si="240"/>
        <v>0</v>
      </c>
      <c r="AH402" s="1033">
        <f t="shared" si="240"/>
        <v>0</v>
      </c>
      <c r="AI402" s="1033">
        <f t="shared" si="240"/>
        <v>0</v>
      </c>
      <c r="AJ402" s="1033">
        <f t="shared" si="240"/>
        <v>0</v>
      </c>
      <c r="AK402" s="1033">
        <f t="shared" si="240"/>
        <v>0</v>
      </c>
      <c r="AL402" s="1033">
        <f t="shared" si="240"/>
        <v>0</v>
      </c>
      <c r="AM402" s="1033">
        <f t="shared" si="240"/>
        <v>0</v>
      </c>
      <c r="AN402" s="1033">
        <f t="shared" si="240"/>
        <v>0</v>
      </c>
      <c r="AO402" s="1033">
        <f t="shared" si="240"/>
        <v>0</v>
      </c>
      <c r="AP402" s="1033">
        <f t="shared" si="240"/>
        <v>0</v>
      </c>
      <c r="AQ402" s="1033">
        <f t="shared" si="240"/>
        <v>0</v>
      </c>
      <c r="AR402" s="1073">
        <f t="shared" si="241"/>
        <v>0</v>
      </c>
    </row>
    <row r="403" spans="1:47" ht="15.05" thickBot="1" x14ac:dyDescent="0.35">
      <c r="A403" s="205"/>
      <c r="B403" s="5044"/>
      <c r="C403" s="985">
        <f t="shared" si="233"/>
        <v>0</v>
      </c>
      <c r="D403" s="985">
        <f>IF(B403=0,0,VLOOKUP(B403,Precios!$B$216:$D$307,3,FALSE))</f>
        <v>0</v>
      </c>
      <c r="E403" s="5049"/>
      <c r="F403" s="1059">
        <f>IF(B403=0,0,VLOOKUP(B403,Precios!$B$216:$D$307,2,FALSE))</f>
        <v>0</v>
      </c>
      <c r="G403" s="1067">
        <f>E403*F403</f>
        <v>0</v>
      </c>
      <c r="H403" s="309"/>
      <c r="I403" s="1074">
        <f t="shared" si="239"/>
        <v>0</v>
      </c>
      <c r="J403" s="1005">
        <f t="shared" si="239"/>
        <v>0</v>
      </c>
      <c r="K403" s="1005">
        <f t="shared" si="239"/>
        <v>0</v>
      </c>
      <c r="L403" s="1005">
        <f t="shared" si="239"/>
        <v>0</v>
      </c>
      <c r="M403" s="1005">
        <f t="shared" si="239"/>
        <v>0</v>
      </c>
      <c r="N403" s="1005">
        <f t="shared" si="239"/>
        <v>0</v>
      </c>
      <c r="O403" s="1005">
        <f t="shared" si="239"/>
        <v>0</v>
      </c>
      <c r="P403" s="1005">
        <f t="shared" si="239"/>
        <v>0</v>
      </c>
      <c r="Q403" s="1005">
        <f t="shared" si="239"/>
        <v>0</v>
      </c>
      <c r="R403" s="1005">
        <f t="shared" si="239"/>
        <v>0</v>
      </c>
      <c r="S403" s="1005">
        <f t="shared" si="239"/>
        <v>0</v>
      </c>
      <c r="T403" s="1005">
        <f t="shared" si="239"/>
        <v>0</v>
      </c>
      <c r="U403" s="1075">
        <f t="shared" si="244"/>
        <v>0</v>
      </c>
      <c r="X403" s="301"/>
      <c r="Y403" s="5044"/>
      <c r="Z403" s="985">
        <f t="shared" si="234"/>
        <v>0</v>
      </c>
      <c r="AA403" s="985">
        <f>IF(Y403=0,0,VLOOKUP(Y403,Precios!$B$216:$D$307,3,FALSE))</f>
        <v>0</v>
      </c>
      <c r="AB403" s="986"/>
      <c r="AC403" s="1059">
        <f>IF(Y403=0,0,VLOOKUP(Y403,Precios!$B$216:$D$307,2,FALSE))</f>
        <v>0</v>
      </c>
      <c r="AD403" s="1067">
        <f>AB403*AC403</f>
        <v>0</v>
      </c>
      <c r="AE403" s="309"/>
      <c r="AF403" s="1074">
        <f t="shared" si="240"/>
        <v>0</v>
      </c>
      <c r="AG403" s="1005">
        <f t="shared" si="240"/>
        <v>0</v>
      </c>
      <c r="AH403" s="1005">
        <f t="shared" si="240"/>
        <v>0</v>
      </c>
      <c r="AI403" s="1005">
        <f t="shared" si="240"/>
        <v>0</v>
      </c>
      <c r="AJ403" s="1005">
        <f t="shared" si="240"/>
        <v>0</v>
      </c>
      <c r="AK403" s="1005">
        <f t="shared" si="240"/>
        <v>0</v>
      </c>
      <c r="AL403" s="1005">
        <f t="shared" si="240"/>
        <v>0</v>
      </c>
      <c r="AM403" s="1005">
        <f t="shared" si="240"/>
        <v>0</v>
      </c>
      <c r="AN403" s="1005">
        <f t="shared" si="240"/>
        <v>0</v>
      </c>
      <c r="AO403" s="1005">
        <f t="shared" si="240"/>
        <v>0</v>
      </c>
      <c r="AP403" s="1005">
        <f t="shared" si="240"/>
        <v>0</v>
      </c>
      <c r="AQ403" s="1005">
        <f t="shared" si="240"/>
        <v>0</v>
      </c>
      <c r="AR403" s="1075">
        <f t="shared" si="241"/>
        <v>0</v>
      </c>
    </row>
    <row r="404" spans="1:47" x14ac:dyDescent="0.3">
      <c r="A404" s="205"/>
      <c r="B404" s="5046"/>
      <c r="C404" s="1057">
        <f t="shared" si="233"/>
        <v>0</v>
      </c>
      <c r="D404" s="1057">
        <f>IF(B404=0,0,VLOOKUP(B404,Precios!$B$216:$D$307,3,FALSE))</f>
        <v>0</v>
      </c>
      <c r="E404" s="5050"/>
      <c r="F404" s="1061">
        <f>IF(B404=0,0,VLOOKUP(B404,Precios!$B$216:$D$307,2,FALSE))</f>
        <v>0</v>
      </c>
      <c r="G404" s="1068">
        <f>E404*F404</f>
        <v>0</v>
      </c>
      <c r="H404" s="309"/>
      <c r="I404" s="1079">
        <f t="shared" si="239"/>
        <v>0</v>
      </c>
      <c r="J404" s="1047">
        <f t="shared" si="239"/>
        <v>0</v>
      </c>
      <c r="K404" s="1047">
        <f t="shared" si="239"/>
        <v>0</v>
      </c>
      <c r="L404" s="1047">
        <f t="shared" si="239"/>
        <v>0</v>
      </c>
      <c r="M404" s="1047">
        <f t="shared" si="239"/>
        <v>0</v>
      </c>
      <c r="N404" s="1047">
        <f t="shared" si="239"/>
        <v>0</v>
      </c>
      <c r="O404" s="1047">
        <f t="shared" si="239"/>
        <v>0</v>
      </c>
      <c r="P404" s="1047">
        <f t="shared" si="239"/>
        <v>0</v>
      </c>
      <c r="Q404" s="1047">
        <f t="shared" si="239"/>
        <v>0</v>
      </c>
      <c r="R404" s="1047">
        <f t="shared" si="239"/>
        <v>0</v>
      </c>
      <c r="S404" s="1047">
        <f t="shared" si="239"/>
        <v>0</v>
      </c>
      <c r="T404" s="1047">
        <f t="shared" si="239"/>
        <v>0</v>
      </c>
      <c r="U404" s="1080">
        <f t="shared" si="244"/>
        <v>0</v>
      </c>
      <c r="X404" s="301"/>
      <c r="Y404" s="5046"/>
      <c r="Z404" s="1057">
        <f t="shared" si="234"/>
        <v>0</v>
      </c>
      <c r="AA404" s="1057">
        <f>IF(Y404=0,0,VLOOKUP(Y404,Precios!$B$216:$D$307,3,FALSE))</f>
        <v>0</v>
      </c>
      <c r="AB404" s="1060"/>
      <c r="AC404" s="1061">
        <f>IF(Y404=0,0,VLOOKUP(Y404,Precios!$B$216:$D$307,2,FALSE))</f>
        <v>0</v>
      </c>
      <c r="AD404" s="1068">
        <f>AB404*AC404</f>
        <v>0</v>
      </c>
      <c r="AE404" s="309"/>
      <c r="AF404" s="1079">
        <f t="shared" si="240"/>
        <v>0</v>
      </c>
      <c r="AG404" s="1047">
        <f t="shared" si="240"/>
        <v>0</v>
      </c>
      <c r="AH404" s="1047">
        <f t="shared" si="240"/>
        <v>0</v>
      </c>
      <c r="AI404" s="1047">
        <f t="shared" si="240"/>
        <v>0</v>
      </c>
      <c r="AJ404" s="1047">
        <f t="shared" si="240"/>
        <v>0</v>
      </c>
      <c r="AK404" s="1047">
        <f t="shared" si="240"/>
        <v>0</v>
      </c>
      <c r="AL404" s="1047">
        <f t="shared" si="240"/>
        <v>0</v>
      </c>
      <c r="AM404" s="1047">
        <f t="shared" si="240"/>
        <v>0</v>
      </c>
      <c r="AN404" s="1047">
        <f t="shared" si="240"/>
        <v>0</v>
      </c>
      <c r="AO404" s="1047">
        <f t="shared" si="240"/>
        <v>0</v>
      </c>
      <c r="AP404" s="1047">
        <f t="shared" si="240"/>
        <v>0</v>
      </c>
      <c r="AQ404" s="1047">
        <f t="shared" si="240"/>
        <v>0</v>
      </c>
      <c r="AR404" s="1080">
        <f t="shared" si="241"/>
        <v>0</v>
      </c>
    </row>
    <row r="405" spans="1:47" ht="15.05" thickBot="1" x14ac:dyDescent="0.35">
      <c r="A405" s="205"/>
      <c r="B405" s="647" t="s">
        <v>1087</v>
      </c>
      <c r="C405" s="305"/>
      <c r="D405" s="305"/>
      <c r="E405" s="305"/>
      <c r="F405" s="650"/>
      <c r="G405" s="305"/>
      <c r="H405" s="306"/>
      <c r="I405" s="906">
        <f t="shared" ref="I405:T405" si="247">SUM(I402:I404)</f>
        <v>0</v>
      </c>
      <c r="J405" s="906">
        <f t="shared" si="247"/>
        <v>0</v>
      </c>
      <c r="K405" s="906">
        <f t="shared" si="247"/>
        <v>0</v>
      </c>
      <c r="L405" s="906">
        <f t="shared" si="247"/>
        <v>0</v>
      </c>
      <c r="M405" s="906">
        <f t="shared" si="247"/>
        <v>0</v>
      </c>
      <c r="N405" s="906">
        <f t="shared" si="247"/>
        <v>0</v>
      </c>
      <c r="O405" s="906">
        <f t="shared" si="247"/>
        <v>0</v>
      </c>
      <c r="P405" s="906">
        <f t="shared" si="247"/>
        <v>0</v>
      </c>
      <c r="Q405" s="906">
        <f t="shared" si="247"/>
        <v>0</v>
      </c>
      <c r="R405" s="906">
        <f t="shared" si="247"/>
        <v>0</v>
      </c>
      <c r="S405" s="906">
        <f t="shared" si="247"/>
        <v>0</v>
      </c>
      <c r="T405" s="907">
        <f t="shared" si="247"/>
        <v>0</v>
      </c>
      <c r="U405" s="905">
        <f t="shared" si="244"/>
        <v>0</v>
      </c>
      <c r="W405" s="232" t="str">
        <f>B401&amp;B369</f>
        <v>Agroquímicos 0</v>
      </c>
      <c r="X405" s="301"/>
      <c r="Y405" s="647" t="s">
        <v>1087</v>
      </c>
      <c r="Z405" s="305"/>
      <c r="AA405" s="305"/>
      <c r="AB405" s="305"/>
      <c r="AC405" s="650"/>
      <c r="AD405" s="305"/>
      <c r="AE405" s="306"/>
      <c r="AF405" s="906">
        <f t="shared" ref="AF405:AQ405" si="248">SUM(AF402:AF404)</f>
        <v>0</v>
      </c>
      <c r="AG405" s="906">
        <f t="shared" si="248"/>
        <v>0</v>
      </c>
      <c r="AH405" s="906">
        <f t="shared" si="248"/>
        <v>0</v>
      </c>
      <c r="AI405" s="906">
        <f t="shared" si="248"/>
        <v>0</v>
      </c>
      <c r="AJ405" s="906">
        <f t="shared" si="248"/>
        <v>0</v>
      </c>
      <c r="AK405" s="906">
        <f t="shared" si="248"/>
        <v>0</v>
      </c>
      <c r="AL405" s="906">
        <f t="shared" si="248"/>
        <v>0</v>
      </c>
      <c r="AM405" s="906">
        <f t="shared" si="248"/>
        <v>0</v>
      </c>
      <c r="AN405" s="906">
        <f t="shared" si="248"/>
        <v>0</v>
      </c>
      <c r="AO405" s="906">
        <f t="shared" si="248"/>
        <v>0</v>
      </c>
      <c r="AP405" s="906">
        <f t="shared" si="248"/>
        <v>0</v>
      </c>
      <c r="AQ405" s="907">
        <f t="shared" si="248"/>
        <v>0</v>
      </c>
      <c r="AR405" s="905">
        <f t="shared" si="241"/>
        <v>0</v>
      </c>
      <c r="AT405" s="232" t="str">
        <f>Y401&amp;Y369</f>
        <v>Agroquímicos 0</v>
      </c>
    </row>
    <row r="406" spans="1:47" ht="15.05" thickBot="1" x14ac:dyDescent="0.25">
      <c r="A406" s="205"/>
      <c r="B406" s="648" t="s">
        <v>892</v>
      </c>
      <c r="C406" s="909">
        <f>+C368</f>
        <v>0</v>
      </c>
      <c r="D406" s="909"/>
      <c r="E406" s="312" t="s">
        <v>876</v>
      </c>
      <c r="F406" s="313"/>
      <c r="G406" s="289"/>
      <c r="H406" s="312"/>
      <c r="I406" s="314">
        <f>SUMPRODUCT($F373:$F404,I373:I404)</f>
        <v>0</v>
      </c>
      <c r="J406" s="314">
        <f t="shared" ref="J406:T406" si="249">SUMPRODUCT($F373:$F404,J373:J404)</f>
        <v>0</v>
      </c>
      <c r="K406" s="314">
        <f t="shared" si="249"/>
        <v>0</v>
      </c>
      <c r="L406" s="314">
        <f t="shared" si="249"/>
        <v>0</v>
      </c>
      <c r="M406" s="314">
        <f t="shared" si="249"/>
        <v>0</v>
      </c>
      <c r="N406" s="314">
        <f t="shared" si="249"/>
        <v>0</v>
      </c>
      <c r="O406" s="314">
        <f t="shared" si="249"/>
        <v>0</v>
      </c>
      <c r="P406" s="314">
        <f t="shared" si="249"/>
        <v>0</v>
      </c>
      <c r="Q406" s="314">
        <f t="shared" si="249"/>
        <v>0</v>
      </c>
      <c r="R406" s="314">
        <f t="shared" si="249"/>
        <v>0</v>
      </c>
      <c r="S406" s="314">
        <f t="shared" si="249"/>
        <v>0</v>
      </c>
      <c r="T406" s="314">
        <f t="shared" si="249"/>
        <v>0</v>
      </c>
      <c r="U406" s="908">
        <f>SUM(I406:T406)</f>
        <v>0</v>
      </c>
      <c r="X406" s="301"/>
      <c r="Y406" s="648" t="s">
        <v>892</v>
      </c>
      <c r="Z406" s="909">
        <f>+Z368</f>
        <v>0</v>
      </c>
      <c r="AA406" s="909"/>
      <c r="AB406" s="312" t="s">
        <v>876</v>
      </c>
      <c r="AC406" s="313"/>
      <c r="AD406" s="289"/>
      <c r="AE406" s="312"/>
      <c r="AF406" s="314">
        <f t="shared" ref="AF406:AQ406" si="250">SUMPRODUCT($AC373:$AC404,AF373:AF404)</f>
        <v>0</v>
      </c>
      <c r="AG406" s="314">
        <f t="shared" si="250"/>
        <v>0</v>
      </c>
      <c r="AH406" s="314">
        <f t="shared" si="250"/>
        <v>0</v>
      </c>
      <c r="AI406" s="314">
        <f t="shared" si="250"/>
        <v>0</v>
      </c>
      <c r="AJ406" s="314">
        <f t="shared" si="250"/>
        <v>0</v>
      </c>
      <c r="AK406" s="314">
        <f t="shared" si="250"/>
        <v>0</v>
      </c>
      <c r="AL406" s="314">
        <f t="shared" si="250"/>
        <v>0</v>
      </c>
      <c r="AM406" s="314">
        <f t="shared" si="250"/>
        <v>0</v>
      </c>
      <c r="AN406" s="314">
        <f t="shared" si="250"/>
        <v>0</v>
      </c>
      <c r="AO406" s="314">
        <f t="shared" si="250"/>
        <v>0</v>
      </c>
      <c r="AP406" s="314">
        <f t="shared" si="250"/>
        <v>0</v>
      </c>
      <c r="AQ406" s="314">
        <f t="shared" si="250"/>
        <v>0</v>
      </c>
      <c r="AR406" s="908">
        <f>SUM(AF406:AQ406)</f>
        <v>0</v>
      </c>
    </row>
    <row r="407" spans="1:47" x14ac:dyDescent="0.2">
      <c r="A407" s="205"/>
      <c r="B407" s="177"/>
      <c r="C407" s="177"/>
      <c r="D407" s="177"/>
      <c r="E407" s="177"/>
      <c r="F407" s="315"/>
      <c r="G407" s="316"/>
      <c r="H407" s="177"/>
      <c r="I407" s="177"/>
      <c r="J407" s="177"/>
      <c r="K407" s="177"/>
      <c r="L407" s="177"/>
      <c r="M407" s="177"/>
      <c r="N407" s="177"/>
      <c r="O407" s="177"/>
      <c r="P407" s="177"/>
      <c r="Q407" s="177"/>
      <c r="R407" s="177"/>
      <c r="S407" s="177"/>
      <c r="T407" s="177"/>
      <c r="U407" s="649"/>
      <c r="X407" s="205"/>
      <c r="Y407" s="208"/>
      <c r="Z407" s="177"/>
      <c r="AA407" s="177"/>
      <c r="AB407" s="177"/>
      <c r="AC407" s="316"/>
      <c r="AD407" s="316"/>
      <c r="AE407" s="177"/>
      <c r="AF407" s="177"/>
      <c r="AG407" s="177"/>
      <c r="AH407" s="177"/>
      <c r="AI407" s="177"/>
      <c r="AJ407" s="177"/>
      <c r="AK407" s="177"/>
      <c r="AL407" s="177"/>
      <c r="AM407" s="177"/>
      <c r="AN407" s="177"/>
      <c r="AO407" s="177"/>
      <c r="AP407" s="177"/>
      <c r="AQ407" s="177"/>
      <c r="AR407" s="317"/>
    </row>
    <row r="408" spans="1:47" ht="15.05" thickBot="1" x14ac:dyDescent="0.25">
      <c r="A408" s="205"/>
      <c r="B408" s="177"/>
      <c r="C408" s="177"/>
      <c r="D408" s="177"/>
      <c r="E408" s="177"/>
      <c r="F408" s="315"/>
      <c r="G408" s="316"/>
      <c r="H408" s="177"/>
      <c r="I408" s="177"/>
      <c r="J408" s="177"/>
      <c r="K408" s="177"/>
      <c r="L408" s="177"/>
      <c r="M408" s="177"/>
      <c r="N408" s="177"/>
      <c r="O408" s="177"/>
      <c r="P408" s="177"/>
      <c r="Q408" s="177"/>
      <c r="R408" s="177"/>
      <c r="S408" s="177"/>
      <c r="T408" s="177"/>
      <c r="U408" s="649"/>
      <c r="X408" s="205"/>
      <c r="Y408" s="208"/>
      <c r="Z408" s="177"/>
      <c r="AA408" s="177"/>
      <c r="AB408" s="177"/>
      <c r="AC408" s="316"/>
      <c r="AD408" s="316"/>
      <c r="AE408" s="177"/>
      <c r="AF408" s="177"/>
      <c r="AG408" s="177"/>
      <c r="AH408" s="177"/>
      <c r="AI408" s="177"/>
      <c r="AJ408" s="177"/>
      <c r="AK408" s="177"/>
      <c r="AL408" s="177"/>
      <c r="AM408" s="177"/>
      <c r="AN408" s="177"/>
      <c r="AO408" s="177"/>
      <c r="AP408" s="177"/>
      <c r="AQ408" s="177"/>
      <c r="AR408" s="317"/>
    </row>
    <row r="409" spans="1:47" s="254" customFormat="1" ht="15.05" thickBot="1" x14ac:dyDescent="0.25">
      <c r="A409" s="1344">
        <f>+A368+1</f>
        <v>51</v>
      </c>
      <c r="B409" s="635" t="s">
        <v>878</v>
      </c>
      <c r="C409" s="898">
        <f>UsoSuelo!D147</f>
        <v>0</v>
      </c>
      <c r="D409" s="898"/>
      <c r="E409" s="636"/>
      <c r="F409" s="637"/>
      <c r="G409" s="637"/>
      <c r="H409" s="637"/>
      <c r="I409" s="637"/>
      <c r="J409" s="637"/>
      <c r="K409" s="637"/>
      <c r="L409" s="637"/>
      <c r="M409" s="637"/>
      <c r="N409" s="637"/>
      <c r="O409" s="637"/>
      <c r="P409" s="637"/>
      <c r="Q409" s="637"/>
      <c r="R409" s="637"/>
      <c r="S409" s="637"/>
      <c r="T409" s="637"/>
      <c r="U409" s="1281"/>
      <c r="V409" s="1569"/>
      <c r="W409" s="1569"/>
      <c r="X409" s="1344">
        <f>+X368+1</f>
        <v>63</v>
      </c>
      <c r="Y409" s="635" t="s">
        <v>878</v>
      </c>
      <c r="Z409" s="898">
        <f>+UsoSuelo!D164</f>
        <v>0</v>
      </c>
      <c r="AA409" s="898"/>
      <c r="AB409" s="636"/>
      <c r="AC409" s="637"/>
      <c r="AD409" s="637"/>
      <c r="AE409" s="637"/>
      <c r="AF409" s="637"/>
      <c r="AG409" s="637"/>
      <c r="AH409" s="637"/>
      <c r="AI409" s="637"/>
      <c r="AJ409" s="637"/>
      <c r="AK409" s="637"/>
      <c r="AL409" s="637"/>
      <c r="AM409" s="637"/>
      <c r="AN409" s="637"/>
      <c r="AO409" s="637"/>
      <c r="AP409" s="637"/>
      <c r="AQ409" s="637"/>
      <c r="AR409" s="638"/>
      <c r="AS409" s="232"/>
      <c r="AT409" s="1569"/>
      <c r="AU409" s="232"/>
    </row>
    <row r="410" spans="1:47" x14ac:dyDescent="0.2">
      <c r="A410" s="1344" t="s">
        <v>1873</v>
      </c>
      <c r="B410" s="639">
        <f>+UsoSuelo!H147</f>
        <v>0</v>
      </c>
      <c r="C410" s="291"/>
      <c r="D410" s="291"/>
      <c r="E410" s="291"/>
      <c r="F410" s="291"/>
      <c r="G410" s="291" t="s">
        <v>883</v>
      </c>
      <c r="H410" s="292"/>
      <c r="I410" s="293" t="str">
        <f t="shared" ref="I410:T410" si="251">+I41</f>
        <v>Ene</v>
      </c>
      <c r="J410" s="293" t="str">
        <f t="shared" si="251"/>
        <v>Feb</v>
      </c>
      <c r="K410" s="293" t="str">
        <f t="shared" si="251"/>
        <v>Mar</v>
      </c>
      <c r="L410" s="293" t="str">
        <f t="shared" si="251"/>
        <v>Abr</v>
      </c>
      <c r="M410" s="293" t="str">
        <f t="shared" si="251"/>
        <v>May</v>
      </c>
      <c r="N410" s="293" t="str">
        <f t="shared" si="251"/>
        <v>Jun</v>
      </c>
      <c r="O410" s="293" t="str">
        <f t="shared" si="251"/>
        <v>Jul</v>
      </c>
      <c r="P410" s="293" t="str">
        <f t="shared" si="251"/>
        <v>Ago</v>
      </c>
      <c r="Q410" s="293" t="str">
        <f t="shared" si="251"/>
        <v>Set</v>
      </c>
      <c r="R410" s="293" t="str">
        <f t="shared" si="251"/>
        <v>Oct</v>
      </c>
      <c r="S410" s="293" t="str">
        <f t="shared" si="251"/>
        <v>Nov</v>
      </c>
      <c r="T410" s="294" t="str">
        <f t="shared" si="251"/>
        <v>Dic</v>
      </c>
      <c r="U410" s="640" t="s">
        <v>1106</v>
      </c>
      <c r="V410" s="1569"/>
      <c r="W410" s="1569"/>
      <c r="X410" s="1344" t="str">
        <f>+A410</f>
        <v>K</v>
      </c>
      <c r="Y410" s="639">
        <f>+UsoSuelo!H164</f>
        <v>0</v>
      </c>
      <c r="Z410" s="291"/>
      <c r="AA410" s="291"/>
      <c r="AB410" s="291"/>
      <c r="AC410" s="291"/>
      <c r="AD410" s="291" t="s">
        <v>883</v>
      </c>
      <c r="AE410" s="292"/>
      <c r="AF410" s="293" t="str">
        <f t="shared" ref="AF410:AQ410" si="252">+AF41</f>
        <v>Ene</v>
      </c>
      <c r="AG410" s="293" t="str">
        <f t="shared" si="252"/>
        <v>Feb</v>
      </c>
      <c r="AH410" s="293" t="str">
        <f t="shared" si="252"/>
        <v>Mar</v>
      </c>
      <c r="AI410" s="293" t="str">
        <f t="shared" si="252"/>
        <v>Abr</v>
      </c>
      <c r="AJ410" s="293" t="str">
        <f t="shared" si="252"/>
        <v>May</v>
      </c>
      <c r="AK410" s="293" t="str">
        <f t="shared" si="252"/>
        <v>Jun</v>
      </c>
      <c r="AL410" s="293" t="str">
        <f t="shared" si="252"/>
        <v>Jul</v>
      </c>
      <c r="AM410" s="293" t="str">
        <f t="shared" si="252"/>
        <v>Ago</v>
      </c>
      <c r="AN410" s="293" t="str">
        <f t="shared" si="252"/>
        <v>Set</v>
      </c>
      <c r="AO410" s="293" t="str">
        <f t="shared" si="252"/>
        <v>Oct</v>
      </c>
      <c r="AP410" s="293" t="str">
        <f t="shared" si="252"/>
        <v>Nov</v>
      </c>
      <c r="AQ410" s="294" t="str">
        <f t="shared" si="252"/>
        <v>Dic</v>
      </c>
      <c r="AR410" s="640" t="s">
        <v>1106</v>
      </c>
      <c r="AS410" s="1569"/>
      <c r="AT410" s="1569"/>
      <c r="AU410" s="1436"/>
    </row>
    <row r="411" spans="1:47" x14ac:dyDescent="0.2">
      <c r="A411" s="145"/>
      <c r="B411" s="899" t="s">
        <v>884</v>
      </c>
      <c r="C411" s="900"/>
      <c r="D411" s="900"/>
      <c r="E411" s="900"/>
      <c r="F411" s="900"/>
      <c r="G411" s="900"/>
      <c r="H411" s="900"/>
      <c r="I411" s="901">
        <f>VLOOKUP($C409,UsoSuelo!$CQ$1127:$DC$1194,2,FALSE)</f>
        <v>0</v>
      </c>
      <c r="J411" s="901">
        <f>VLOOKUP($C409,UsoSuelo!$CQ$1127:$DC$1194,3,FALSE)</f>
        <v>0</v>
      </c>
      <c r="K411" s="901">
        <f>VLOOKUP($C409,UsoSuelo!$CQ$1127:$DC$1194,4,FALSE)</f>
        <v>0</v>
      </c>
      <c r="L411" s="901">
        <f>VLOOKUP($C409,UsoSuelo!$CQ$1127:$DC$1194,5,FALSE)</f>
        <v>0</v>
      </c>
      <c r="M411" s="901">
        <f>VLOOKUP($C409,UsoSuelo!$CQ$1127:$DC$1194,6,FALSE)</f>
        <v>0</v>
      </c>
      <c r="N411" s="901">
        <f>VLOOKUP($C409,UsoSuelo!$CQ$1127:$DC$1194,7,FALSE)</f>
        <v>0</v>
      </c>
      <c r="O411" s="901">
        <f>VLOOKUP($C409,UsoSuelo!$CQ$1127:$DC$1194,8,FALSE)</f>
        <v>0</v>
      </c>
      <c r="P411" s="901">
        <f>VLOOKUP($C409,UsoSuelo!$CQ$1127:$DC$1194,9,FALSE)</f>
        <v>0</v>
      </c>
      <c r="Q411" s="901">
        <f>VLOOKUP($C409,UsoSuelo!$CQ$1127:$DC$1194,10,FALSE)</f>
        <v>0</v>
      </c>
      <c r="R411" s="901">
        <f>VLOOKUP($C409,UsoSuelo!$CQ$1127:$DC$1194,11,FALSE)</f>
        <v>0</v>
      </c>
      <c r="S411" s="901">
        <f>VLOOKUP($C409,UsoSuelo!$CQ$1127:$DC$1194,12,FALSE)</f>
        <v>0</v>
      </c>
      <c r="T411" s="902">
        <f>VLOOKUP($C409,UsoSuelo!$CQ$1127:$DC$1194,13,FALSE)</f>
        <v>0</v>
      </c>
      <c r="U411" s="903">
        <f>SUM(I411:T411)</f>
        <v>0</v>
      </c>
      <c r="V411" s="1569"/>
      <c r="W411" s="1569"/>
      <c r="X411" s="16"/>
      <c r="Y411" s="899" t="s">
        <v>884</v>
      </c>
      <c r="Z411" s="900"/>
      <c r="AA411" s="900"/>
      <c r="AB411" s="900"/>
      <c r="AC411" s="900"/>
      <c r="AD411" s="900"/>
      <c r="AE411" s="900"/>
      <c r="AF411" s="901">
        <f>VLOOKUP($Z409,UsoSuelo!$DE$1054:$DQ$1120,2,FALSE)</f>
        <v>0</v>
      </c>
      <c r="AG411" s="901">
        <f>VLOOKUP($Z409,UsoSuelo!$DE$1054:$DQ$1120,3,FALSE)</f>
        <v>0</v>
      </c>
      <c r="AH411" s="901">
        <f>VLOOKUP($Z409,UsoSuelo!$DE$1054:$DQ$1120,4,FALSE)</f>
        <v>0</v>
      </c>
      <c r="AI411" s="901">
        <f>VLOOKUP($Z409,UsoSuelo!$DE$1054:$DQ$1120,5,FALSE)</f>
        <v>0</v>
      </c>
      <c r="AJ411" s="901">
        <f>VLOOKUP($Z409,UsoSuelo!$DE$1054:$DQ$1120,6,FALSE)</f>
        <v>0</v>
      </c>
      <c r="AK411" s="901">
        <f>VLOOKUP($Z409,UsoSuelo!$DE$1054:$DQ$1120,7,FALSE)</f>
        <v>0</v>
      </c>
      <c r="AL411" s="901">
        <f>VLOOKUP($Z409,UsoSuelo!$DE$1054:$DQ$1120,8,FALSE)</f>
        <v>0</v>
      </c>
      <c r="AM411" s="901">
        <f>VLOOKUP($Z409,UsoSuelo!$DE$1054:$DQ$1120,9,FALSE)</f>
        <v>0</v>
      </c>
      <c r="AN411" s="901">
        <f>VLOOKUP($Z409,UsoSuelo!$DE$1054:$DQ$1120,10,FALSE)</f>
        <v>0</v>
      </c>
      <c r="AO411" s="901">
        <f>VLOOKUP($Z409,UsoSuelo!$DE$1054:$DQ$1120,11,FALSE)</f>
        <v>0</v>
      </c>
      <c r="AP411" s="901">
        <f>VLOOKUP($Z409,UsoSuelo!$DE$1054:$DQ$1120,12,FALSE)</f>
        <v>0</v>
      </c>
      <c r="AQ411" s="902">
        <f>VLOOKUP($Z409,UsoSuelo!$DE$1054:$DQ$1120,13,FALSE)</f>
        <v>0</v>
      </c>
      <c r="AR411" s="903">
        <f>SUM(AF411:AQ411)</f>
        <v>0</v>
      </c>
      <c r="AT411" s="1569"/>
    </row>
    <row r="412" spans="1:47" x14ac:dyDescent="0.2">
      <c r="A412" s="145"/>
      <c r="B412" s="641"/>
      <c r="C412" s="621" t="s">
        <v>885</v>
      </c>
      <c r="D412" s="621"/>
      <c r="E412" s="621" t="s">
        <v>881</v>
      </c>
      <c r="F412" s="621" t="s">
        <v>23</v>
      </c>
      <c r="G412" s="622"/>
      <c r="H412" s="623"/>
      <c r="I412" s="297"/>
      <c r="J412" s="296"/>
      <c r="K412" s="296"/>
      <c r="L412" s="296"/>
      <c r="M412" s="296"/>
      <c r="N412" s="297"/>
      <c r="O412" s="297"/>
      <c r="P412" s="297"/>
      <c r="Q412" s="297"/>
      <c r="R412" s="297"/>
      <c r="S412" s="297"/>
      <c r="T412" s="297"/>
      <c r="U412" s="642" t="s">
        <v>881</v>
      </c>
      <c r="W412" s="1569"/>
      <c r="X412" s="16"/>
      <c r="Y412" s="641"/>
      <c r="Z412" s="621" t="s">
        <v>885</v>
      </c>
      <c r="AA412" s="621"/>
      <c r="AB412" s="621" t="s">
        <v>881</v>
      </c>
      <c r="AC412" s="621" t="s">
        <v>23</v>
      </c>
      <c r="AD412" s="622"/>
      <c r="AE412" s="623"/>
      <c r="AF412" s="297"/>
      <c r="AG412" s="296"/>
      <c r="AH412" s="296"/>
      <c r="AI412" s="296"/>
      <c r="AJ412" s="296"/>
      <c r="AK412" s="297"/>
      <c r="AL412" s="297"/>
      <c r="AM412" s="297"/>
      <c r="AN412" s="297"/>
      <c r="AO412" s="297"/>
      <c r="AP412" s="297"/>
      <c r="AQ412" s="297"/>
      <c r="AR412" s="642" t="s">
        <v>881</v>
      </c>
      <c r="AT412" s="1569"/>
    </row>
    <row r="413" spans="1:47" x14ac:dyDescent="0.2">
      <c r="A413" s="205"/>
      <c r="B413" s="199" t="s">
        <v>869</v>
      </c>
      <c r="C413" s="3" t="s">
        <v>1105</v>
      </c>
      <c r="D413" s="3" t="s">
        <v>312</v>
      </c>
      <c r="E413" s="4" t="s">
        <v>882</v>
      </c>
      <c r="F413" s="3" t="s">
        <v>314</v>
      </c>
      <c r="G413" s="4" t="s">
        <v>313</v>
      </c>
      <c r="H413" s="299"/>
      <c r="I413" s="320"/>
      <c r="J413" s="319"/>
      <c r="K413" s="319"/>
      <c r="L413" s="319"/>
      <c r="M413" s="319" t="s">
        <v>349</v>
      </c>
      <c r="N413" s="320"/>
      <c r="O413" s="320"/>
      <c r="P413" s="320"/>
      <c r="Q413" s="320"/>
      <c r="R413" s="320"/>
      <c r="S413" s="320"/>
      <c r="T413" s="320"/>
      <c r="U413" s="643" t="s">
        <v>891</v>
      </c>
      <c r="X413" s="205"/>
      <c r="Y413" s="199" t="s">
        <v>869</v>
      </c>
      <c r="Z413" s="3" t="s">
        <v>1105</v>
      </c>
      <c r="AA413" s="3" t="s">
        <v>312</v>
      </c>
      <c r="AB413" s="4" t="s">
        <v>882</v>
      </c>
      <c r="AC413" s="3" t="s">
        <v>314</v>
      </c>
      <c r="AD413" s="4" t="s">
        <v>313</v>
      </c>
      <c r="AE413" s="299"/>
      <c r="AF413" s="320"/>
      <c r="AG413" s="319"/>
      <c r="AH413" s="319"/>
      <c r="AI413" s="319"/>
      <c r="AJ413" s="319" t="s">
        <v>349</v>
      </c>
      <c r="AK413" s="320"/>
      <c r="AL413" s="320"/>
      <c r="AM413" s="320"/>
      <c r="AN413" s="320"/>
      <c r="AO413" s="320"/>
      <c r="AP413" s="320"/>
      <c r="AQ413" s="320"/>
      <c r="AR413" s="643" t="s">
        <v>891</v>
      </c>
    </row>
    <row r="414" spans="1:47" ht="15.05" thickBot="1" x14ac:dyDescent="0.35">
      <c r="A414" s="205"/>
      <c r="B414" s="5042"/>
      <c r="C414" s="1056">
        <f>IF(B414=0,0,U$411)</f>
        <v>0</v>
      </c>
      <c r="D414" s="1056">
        <f>IF(B414=0,0,VLOOKUP(B414,Precios!$B$216:$D$307,3,FALSE))</f>
        <v>0</v>
      </c>
      <c r="E414" s="5043"/>
      <c r="F414" s="300"/>
      <c r="G414" s="300"/>
      <c r="H414" s="309"/>
      <c r="I414" s="1072">
        <f>IF($C414&gt;0,I$411*$E414,0)</f>
        <v>0</v>
      </c>
      <c r="J414" s="1033">
        <f t="shared" ref="J414:T431" si="253">IF($C414&gt;0,J$411*$E414,0)</f>
        <v>0</v>
      </c>
      <c r="K414" s="1033">
        <f t="shared" si="253"/>
        <v>0</v>
      </c>
      <c r="L414" s="1033">
        <f t="shared" si="253"/>
        <v>0</v>
      </c>
      <c r="M414" s="1033">
        <f t="shared" si="253"/>
        <v>0</v>
      </c>
      <c r="N414" s="1033">
        <f t="shared" si="253"/>
        <v>0</v>
      </c>
      <c r="O414" s="1033">
        <f t="shared" si="253"/>
        <v>0</v>
      </c>
      <c r="P414" s="1033">
        <f t="shared" si="253"/>
        <v>0</v>
      </c>
      <c r="Q414" s="1033">
        <f t="shared" si="253"/>
        <v>0</v>
      </c>
      <c r="R414" s="1033">
        <f t="shared" si="253"/>
        <v>0</v>
      </c>
      <c r="S414" s="1033">
        <f t="shared" si="253"/>
        <v>0</v>
      </c>
      <c r="T414" s="1033">
        <f t="shared" si="253"/>
        <v>0</v>
      </c>
      <c r="U414" s="1073">
        <f t="shared" ref="U414:U435" si="254">SUM(I414:T414)</f>
        <v>0</v>
      </c>
      <c r="V414" s="232" t="str">
        <f>B414&amp;"propia"</f>
        <v>propia</v>
      </c>
      <c r="X414" s="205"/>
      <c r="Y414" s="5042"/>
      <c r="Z414" s="1056">
        <f>IF(Y414=0,0,AR$411)</f>
        <v>0</v>
      </c>
      <c r="AA414" s="1056">
        <f>IF(Y414=0,0,VLOOKUP(Y414,Precios!$B$216:$D$307,3,FALSE))</f>
        <v>0</v>
      </c>
      <c r="AB414" s="1069"/>
      <c r="AC414" s="300"/>
      <c r="AD414" s="300"/>
      <c r="AE414" s="309"/>
      <c r="AF414" s="1072">
        <f>IF($Z414&gt;0,AF$411*$AB414,0)</f>
        <v>0</v>
      </c>
      <c r="AG414" s="1033">
        <f t="shared" ref="AG414:AQ431" si="255">IF($Z414&gt;0,AG$411*$AB414,0)</f>
        <v>0</v>
      </c>
      <c r="AH414" s="1033">
        <f t="shared" si="255"/>
        <v>0</v>
      </c>
      <c r="AI414" s="1033">
        <f t="shared" si="255"/>
        <v>0</v>
      </c>
      <c r="AJ414" s="1033">
        <f t="shared" si="255"/>
        <v>0</v>
      </c>
      <c r="AK414" s="1033">
        <f t="shared" si="255"/>
        <v>0</v>
      </c>
      <c r="AL414" s="1033">
        <f t="shared" si="255"/>
        <v>0</v>
      </c>
      <c r="AM414" s="1033">
        <f t="shared" si="255"/>
        <v>0</v>
      </c>
      <c r="AN414" s="1033">
        <f t="shared" si="255"/>
        <v>0</v>
      </c>
      <c r="AO414" s="1033">
        <f t="shared" si="255"/>
        <v>0</v>
      </c>
      <c r="AP414" s="1033">
        <f t="shared" si="255"/>
        <v>0</v>
      </c>
      <c r="AQ414" s="1033">
        <f t="shared" si="255"/>
        <v>0</v>
      </c>
      <c r="AR414" s="1073">
        <f t="shared" ref="AR414:AR432" si="256">SUM(AF414:AQ414)</f>
        <v>0</v>
      </c>
      <c r="AS414" s="232" t="str">
        <f>Y414&amp;"propia"</f>
        <v>propia</v>
      </c>
    </row>
    <row r="415" spans="1:47" ht="15.05" thickBot="1" x14ac:dyDescent="0.35">
      <c r="A415" s="205"/>
      <c r="B415" s="5044"/>
      <c r="C415" s="985">
        <f>IF(B415=0,0,U$411)</f>
        <v>0</v>
      </c>
      <c r="D415" s="985">
        <f>IF(B415=0,0,VLOOKUP(B415,Precios!$B$216:$D$307,3,FALSE))</f>
        <v>0</v>
      </c>
      <c r="E415" s="5045"/>
      <c r="F415" s="300"/>
      <c r="G415" s="300"/>
      <c r="H415" s="309"/>
      <c r="I415" s="1074">
        <f>IF($C415&gt;0,I$411*$E415,0)</f>
        <v>0</v>
      </c>
      <c r="J415" s="1005">
        <f t="shared" si="253"/>
        <v>0</v>
      </c>
      <c r="K415" s="1005">
        <f t="shared" si="253"/>
        <v>0</v>
      </c>
      <c r="L415" s="1005">
        <f t="shared" si="253"/>
        <v>0</v>
      </c>
      <c r="M415" s="1005">
        <f t="shared" si="253"/>
        <v>0</v>
      </c>
      <c r="N415" s="1005">
        <f t="shared" si="253"/>
        <v>0</v>
      </c>
      <c r="O415" s="1005">
        <f t="shared" si="253"/>
        <v>0</v>
      </c>
      <c r="P415" s="1005">
        <f t="shared" si="253"/>
        <v>0</v>
      </c>
      <c r="Q415" s="1005">
        <f t="shared" si="253"/>
        <v>0</v>
      </c>
      <c r="R415" s="1005">
        <f t="shared" si="253"/>
        <v>0</v>
      </c>
      <c r="S415" s="1005">
        <f t="shared" si="253"/>
        <v>0</v>
      </c>
      <c r="T415" s="1005">
        <f t="shared" si="253"/>
        <v>0</v>
      </c>
      <c r="U415" s="1075">
        <f t="shared" si="254"/>
        <v>0</v>
      </c>
      <c r="V415" s="232" t="str">
        <f>B415&amp;"propia"</f>
        <v>propia</v>
      </c>
      <c r="X415" s="301"/>
      <c r="Y415" s="5044"/>
      <c r="Z415" s="985">
        <f>IF(Y415=0,0,AR$411)</f>
        <v>0</v>
      </c>
      <c r="AA415" s="985">
        <f>IF(Y415=0,0,VLOOKUP(Y415,Precios!$B$216:$D$307,3,FALSE))</f>
        <v>0</v>
      </c>
      <c r="AB415" s="1070"/>
      <c r="AC415" s="300"/>
      <c r="AD415" s="300"/>
      <c r="AE415" s="309"/>
      <c r="AF415" s="1074">
        <f>IF($Z415&gt;0,AF$411*$AB415,0)</f>
        <v>0</v>
      </c>
      <c r="AG415" s="1005">
        <f t="shared" si="255"/>
        <v>0</v>
      </c>
      <c r="AH415" s="1005">
        <f t="shared" si="255"/>
        <v>0</v>
      </c>
      <c r="AI415" s="1005">
        <f t="shared" si="255"/>
        <v>0</v>
      </c>
      <c r="AJ415" s="1005">
        <f t="shared" si="255"/>
        <v>0</v>
      </c>
      <c r="AK415" s="1005">
        <f t="shared" si="255"/>
        <v>0</v>
      </c>
      <c r="AL415" s="1005">
        <f t="shared" si="255"/>
        <v>0</v>
      </c>
      <c r="AM415" s="1005">
        <f t="shared" si="255"/>
        <v>0</v>
      </c>
      <c r="AN415" s="1005">
        <f t="shared" si="255"/>
        <v>0</v>
      </c>
      <c r="AO415" s="1005">
        <f t="shared" si="255"/>
        <v>0</v>
      </c>
      <c r="AP415" s="1005">
        <f t="shared" si="255"/>
        <v>0</v>
      </c>
      <c r="AQ415" s="1005">
        <f t="shared" si="255"/>
        <v>0</v>
      </c>
      <c r="AR415" s="1075">
        <f t="shared" si="256"/>
        <v>0</v>
      </c>
      <c r="AS415" s="232" t="str">
        <f>Y415&amp;"propia"</f>
        <v>propia</v>
      </c>
    </row>
    <row r="416" spans="1:47" ht="15.05" thickBot="1" x14ac:dyDescent="0.35">
      <c r="A416" s="205"/>
      <c r="B416" s="5044"/>
      <c r="C416" s="985">
        <f>IF(B416=0,0,U$411)</f>
        <v>0</v>
      </c>
      <c r="D416" s="985">
        <f>IF(B416=0,0,VLOOKUP(B416,Precios!$B$216:$D$307,3,FALSE))</f>
        <v>0</v>
      </c>
      <c r="E416" s="5045"/>
      <c r="F416" s="300"/>
      <c r="G416" s="300"/>
      <c r="H416" s="309"/>
      <c r="I416" s="1074">
        <f>IF($C416&gt;0,I$411*$E416,0)</f>
        <v>0</v>
      </c>
      <c r="J416" s="1005">
        <f t="shared" si="253"/>
        <v>0</v>
      </c>
      <c r="K416" s="1005">
        <f t="shared" si="253"/>
        <v>0</v>
      </c>
      <c r="L416" s="1005">
        <f t="shared" si="253"/>
        <v>0</v>
      </c>
      <c r="M416" s="1005">
        <f t="shared" si="253"/>
        <v>0</v>
      </c>
      <c r="N416" s="1005">
        <f t="shared" si="253"/>
        <v>0</v>
      </c>
      <c r="O416" s="1005">
        <f t="shared" si="253"/>
        <v>0</v>
      </c>
      <c r="P416" s="1005">
        <f t="shared" si="253"/>
        <v>0</v>
      </c>
      <c r="Q416" s="1005">
        <f t="shared" si="253"/>
        <v>0</v>
      </c>
      <c r="R416" s="1005">
        <f t="shared" si="253"/>
        <v>0</v>
      </c>
      <c r="S416" s="1005">
        <f t="shared" si="253"/>
        <v>0</v>
      </c>
      <c r="T416" s="1005">
        <f t="shared" si="253"/>
        <v>0</v>
      </c>
      <c r="U416" s="1075">
        <f t="shared" si="254"/>
        <v>0</v>
      </c>
      <c r="V416" s="232" t="str">
        <f>B416&amp;"propia"</f>
        <v>propia</v>
      </c>
      <c r="X416" s="301"/>
      <c r="Y416" s="5044"/>
      <c r="Z416" s="985">
        <f>IF(Y416=0,0,AR$411)</f>
        <v>0</v>
      </c>
      <c r="AA416" s="985">
        <f>IF(Y416=0,0,VLOOKUP(Y416,Precios!$B$216:$D$307,3,FALSE))</f>
        <v>0</v>
      </c>
      <c r="AB416" s="1070"/>
      <c r="AC416" s="300"/>
      <c r="AD416" s="300"/>
      <c r="AE416" s="309"/>
      <c r="AF416" s="1074">
        <f>IF($Z416&gt;0,AF$411*$AB416,0)</f>
        <v>0</v>
      </c>
      <c r="AG416" s="1005">
        <f t="shared" si="255"/>
        <v>0</v>
      </c>
      <c r="AH416" s="1005">
        <f t="shared" si="255"/>
        <v>0</v>
      </c>
      <c r="AI416" s="1005">
        <f t="shared" si="255"/>
        <v>0</v>
      </c>
      <c r="AJ416" s="1005">
        <f t="shared" si="255"/>
        <v>0</v>
      </c>
      <c r="AK416" s="1005">
        <f t="shared" si="255"/>
        <v>0</v>
      </c>
      <c r="AL416" s="1005">
        <f t="shared" si="255"/>
        <v>0</v>
      </c>
      <c r="AM416" s="1005">
        <f t="shared" si="255"/>
        <v>0</v>
      </c>
      <c r="AN416" s="1005">
        <f t="shared" si="255"/>
        <v>0</v>
      </c>
      <c r="AO416" s="1005">
        <f t="shared" si="255"/>
        <v>0</v>
      </c>
      <c r="AP416" s="1005">
        <f t="shared" si="255"/>
        <v>0</v>
      </c>
      <c r="AQ416" s="1005">
        <f t="shared" si="255"/>
        <v>0</v>
      </c>
      <c r="AR416" s="1075">
        <f t="shared" si="256"/>
        <v>0</v>
      </c>
      <c r="AS416" s="232" t="str">
        <f>Y416&amp;"propia"</f>
        <v>propia</v>
      </c>
    </row>
    <row r="417" spans="1:46" ht="15.05" thickBot="1" x14ac:dyDescent="0.35">
      <c r="A417" s="205"/>
      <c r="B417" s="5044"/>
      <c r="C417" s="985">
        <f>IF(B417=0,0,U$411)</f>
        <v>0</v>
      </c>
      <c r="D417" s="985">
        <f>IF(B417=0,0,VLOOKUP(B417,Precios!$B$216:$D$307,3,FALSE))</f>
        <v>0</v>
      </c>
      <c r="E417" s="5045"/>
      <c r="F417" s="300"/>
      <c r="G417" s="300"/>
      <c r="H417" s="309"/>
      <c r="I417" s="1074">
        <f>IF($C417&gt;0,I$411*$E417,0)</f>
        <v>0</v>
      </c>
      <c r="J417" s="1005">
        <f t="shared" si="253"/>
        <v>0</v>
      </c>
      <c r="K417" s="1005">
        <f t="shared" si="253"/>
        <v>0</v>
      </c>
      <c r="L417" s="1005">
        <f t="shared" si="253"/>
        <v>0</v>
      </c>
      <c r="M417" s="1005">
        <f t="shared" si="253"/>
        <v>0</v>
      </c>
      <c r="N417" s="1005">
        <f t="shared" si="253"/>
        <v>0</v>
      </c>
      <c r="O417" s="1005">
        <f t="shared" si="253"/>
        <v>0</v>
      </c>
      <c r="P417" s="1005">
        <f t="shared" si="253"/>
        <v>0</v>
      </c>
      <c r="Q417" s="1005">
        <f t="shared" si="253"/>
        <v>0</v>
      </c>
      <c r="R417" s="1005">
        <f t="shared" si="253"/>
        <v>0</v>
      </c>
      <c r="S417" s="1005">
        <f t="shared" si="253"/>
        <v>0</v>
      </c>
      <c r="T417" s="1005">
        <f t="shared" si="253"/>
        <v>0</v>
      </c>
      <c r="U417" s="1075">
        <f t="shared" si="254"/>
        <v>0</v>
      </c>
      <c r="V417" s="232" t="str">
        <f>B417&amp;"propia"</f>
        <v>propia</v>
      </c>
      <c r="X417" s="301"/>
      <c r="Y417" s="5044"/>
      <c r="Z417" s="985">
        <f>IF(Y417=0,0,AR$411)</f>
        <v>0</v>
      </c>
      <c r="AA417" s="985">
        <f>IF(Y417=0,0,VLOOKUP(Y417,Precios!$B$216:$D$307,3,FALSE))</f>
        <v>0</v>
      </c>
      <c r="AB417" s="1070"/>
      <c r="AC417" s="300"/>
      <c r="AD417" s="300"/>
      <c r="AE417" s="309"/>
      <c r="AF417" s="1074">
        <f>IF($Z417&gt;0,AF$411*$AB417,0)</f>
        <v>0</v>
      </c>
      <c r="AG417" s="1005">
        <f t="shared" si="255"/>
        <v>0</v>
      </c>
      <c r="AH417" s="1005">
        <f t="shared" si="255"/>
        <v>0</v>
      </c>
      <c r="AI417" s="1005">
        <f t="shared" si="255"/>
        <v>0</v>
      </c>
      <c r="AJ417" s="1005">
        <f t="shared" si="255"/>
        <v>0</v>
      </c>
      <c r="AK417" s="1005">
        <f t="shared" si="255"/>
        <v>0</v>
      </c>
      <c r="AL417" s="1005">
        <f t="shared" si="255"/>
        <v>0</v>
      </c>
      <c r="AM417" s="1005">
        <f t="shared" si="255"/>
        <v>0</v>
      </c>
      <c r="AN417" s="1005">
        <f t="shared" si="255"/>
        <v>0</v>
      </c>
      <c r="AO417" s="1005">
        <f t="shared" si="255"/>
        <v>0</v>
      </c>
      <c r="AP417" s="1005">
        <f t="shared" si="255"/>
        <v>0</v>
      </c>
      <c r="AQ417" s="1005">
        <f t="shared" si="255"/>
        <v>0</v>
      </c>
      <c r="AR417" s="1075">
        <f t="shared" si="256"/>
        <v>0</v>
      </c>
      <c r="AS417" s="232" t="str">
        <f>Y417&amp;"propia"</f>
        <v>propia</v>
      </c>
    </row>
    <row r="418" spans="1:46" x14ac:dyDescent="0.3">
      <c r="A418" s="205"/>
      <c r="B418" s="5046"/>
      <c r="C418" s="1057">
        <f>IF(B418=0,0,U$411)</f>
        <v>0</v>
      </c>
      <c r="D418" s="1057">
        <f>IF(B418=0,0,VLOOKUP(B418,Precios!$B$216:$D$307,3,FALSE))</f>
        <v>0</v>
      </c>
      <c r="E418" s="5047"/>
      <c r="F418" s="300"/>
      <c r="G418" s="300"/>
      <c r="H418" s="309"/>
      <c r="I418" s="1076">
        <f>IF($C418&gt;0,I$411*$E418,0)</f>
        <v>0</v>
      </c>
      <c r="J418" s="1077">
        <f t="shared" si="253"/>
        <v>0</v>
      </c>
      <c r="K418" s="1077">
        <f t="shared" si="253"/>
        <v>0</v>
      </c>
      <c r="L418" s="1077">
        <f t="shared" si="253"/>
        <v>0</v>
      </c>
      <c r="M418" s="1077">
        <f t="shared" si="253"/>
        <v>0</v>
      </c>
      <c r="N418" s="1077">
        <f t="shared" si="253"/>
        <v>0</v>
      </c>
      <c r="O418" s="1077">
        <f t="shared" si="253"/>
        <v>0</v>
      </c>
      <c r="P418" s="1077">
        <f t="shared" si="253"/>
        <v>0</v>
      </c>
      <c r="Q418" s="1077">
        <f t="shared" si="253"/>
        <v>0</v>
      </c>
      <c r="R418" s="1077">
        <f t="shared" si="253"/>
        <v>0</v>
      </c>
      <c r="S418" s="1077">
        <f t="shared" si="253"/>
        <v>0</v>
      </c>
      <c r="T418" s="1077">
        <f t="shared" si="253"/>
        <v>0</v>
      </c>
      <c r="U418" s="1078">
        <f t="shared" si="254"/>
        <v>0</v>
      </c>
      <c r="V418" s="232" t="str">
        <f>B418&amp;"propia"</f>
        <v>propia</v>
      </c>
      <c r="X418" s="301"/>
      <c r="Y418" s="5046"/>
      <c r="Z418" s="1057">
        <f>IF(Y418=0,0,AR$411)</f>
        <v>0</v>
      </c>
      <c r="AA418" s="1057">
        <f>IF(Y418=0,0,VLOOKUP(Y418,Precios!$B$216:$D$307,3,FALSE))</f>
        <v>0</v>
      </c>
      <c r="AB418" s="1071"/>
      <c r="AC418" s="300"/>
      <c r="AD418" s="300"/>
      <c r="AE418" s="309"/>
      <c r="AF418" s="1076">
        <f>IF($Z418&gt;0,AF$411*$AB418,0)</f>
        <v>0</v>
      </c>
      <c r="AG418" s="1077">
        <f t="shared" si="255"/>
        <v>0</v>
      </c>
      <c r="AH418" s="1077">
        <f t="shared" si="255"/>
        <v>0</v>
      </c>
      <c r="AI418" s="1077">
        <f t="shared" si="255"/>
        <v>0</v>
      </c>
      <c r="AJ418" s="1077">
        <f t="shared" si="255"/>
        <v>0</v>
      </c>
      <c r="AK418" s="1077">
        <f t="shared" si="255"/>
        <v>0</v>
      </c>
      <c r="AL418" s="1077">
        <f t="shared" si="255"/>
        <v>0</v>
      </c>
      <c r="AM418" s="1077">
        <f t="shared" si="255"/>
        <v>0</v>
      </c>
      <c r="AN418" s="1077">
        <f t="shared" si="255"/>
        <v>0</v>
      </c>
      <c r="AO418" s="1077">
        <f t="shared" si="255"/>
        <v>0</v>
      </c>
      <c r="AP418" s="1077">
        <f t="shared" si="255"/>
        <v>0</v>
      </c>
      <c r="AQ418" s="1077">
        <f t="shared" si="255"/>
        <v>0</v>
      </c>
      <c r="AR418" s="1078">
        <f t="shared" si="256"/>
        <v>0</v>
      </c>
      <c r="AS418" s="232" t="str">
        <f>Y418&amp;"propia"</f>
        <v>propia</v>
      </c>
    </row>
    <row r="419" spans="1:46" x14ac:dyDescent="0.3">
      <c r="A419" s="205"/>
      <c r="B419" s="645" t="s">
        <v>1083</v>
      </c>
      <c r="C419" s="305"/>
      <c r="D419" s="305"/>
      <c r="E419" s="305"/>
      <c r="F419" s="305"/>
      <c r="G419" s="305"/>
      <c r="H419" s="306"/>
      <c r="I419" s="904">
        <f t="shared" ref="I419:T419" si="257">+SUM(I414:I418)</f>
        <v>0</v>
      </c>
      <c r="J419" s="904">
        <f t="shared" si="257"/>
        <v>0</v>
      </c>
      <c r="K419" s="904">
        <f t="shared" si="257"/>
        <v>0</v>
      </c>
      <c r="L419" s="904">
        <f t="shared" si="257"/>
        <v>0</v>
      </c>
      <c r="M419" s="904">
        <f t="shared" si="257"/>
        <v>0</v>
      </c>
      <c r="N419" s="904">
        <f t="shared" si="257"/>
        <v>0</v>
      </c>
      <c r="O419" s="904">
        <f t="shared" si="257"/>
        <v>0</v>
      </c>
      <c r="P419" s="904">
        <f t="shared" si="257"/>
        <v>0</v>
      </c>
      <c r="Q419" s="904">
        <f t="shared" si="257"/>
        <v>0</v>
      </c>
      <c r="R419" s="904">
        <f t="shared" si="257"/>
        <v>0</v>
      </c>
      <c r="S419" s="904">
        <f t="shared" si="257"/>
        <v>0</v>
      </c>
      <c r="T419" s="904">
        <f t="shared" si="257"/>
        <v>0</v>
      </c>
      <c r="U419" s="905">
        <f>SUM(I419:T419)</f>
        <v>0</v>
      </c>
      <c r="X419" s="301"/>
      <c r="Y419" s="645" t="s">
        <v>1083</v>
      </c>
      <c r="Z419" s="305"/>
      <c r="AA419" s="305"/>
      <c r="AB419" s="305"/>
      <c r="AC419" s="305"/>
      <c r="AD419" s="305"/>
      <c r="AE419" s="306"/>
      <c r="AF419" s="904">
        <f t="shared" ref="AF419:AQ419" si="258">SUM(AF414:AF418)</f>
        <v>0</v>
      </c>
      <c r="AG419" s="904">
        <f t="shared" si="258"/>
        <v>0</v>
      </c>
      <c r="AH419" s="904">
        <f t="shared" si="258"/>
        <v>0</v>
      </c>
      <c r="AI419" s="904">
        <f t="shared" si="258"/>
        <v>0</v>
      </c>
      <c r="AJ419" s="904">
        <f t="shared" si="258"/>
        <v>0</v>
      </c>
      <c r="AK419" s="904">
        <f t="shared" si="258"/>
        <v>0</v>
      </c>
      <c r="AL419" s="904">
        <f t="shared" si="258"/>
        <v>0</v>
      </c>
      <c r="AM419" s="904">
        <f t="shared" si="258"/>
        <v>0</v>
      </c>
      <c r="AN419" s="904">
        <f t="shared" si="258"/>
        <v>0</v>
      </c>
      <c r="AO419" s="904">
        <f t="shared" si="258"/>
        <v>0</v>
      </c>
      <c r="AP419" s="904">
        <f t="shared" si="258"/>
        <v>0</v>
      </c>
      <c r="AQ419" s="904">
        <f t="shared" si="258"/>
        <v>0</v>
      </c>
      <c r="AR419" s="905">
        <f>SUM(AF419:AQ419)</f>
        <v>0</v>
      </c>
    </row>
    <row r="420" spans="1:46" x14ac:dyDescent="0.2">
      <c r="A420" s="205"/>
      <c r="B420" s="197" t="s">
        <v>870</v>
      </c>
      <c r="C420" s="307"/>
      <c r="D420" s="307"/>
      <c r="E420" s="308"/>
      <c r="F420" s="308"/>
      <c r="G420" s="308"/>
      <c r="H420" s="307"/>
      <c r="I420" s="307"/>
      <c r="J420" s="307"/>
      <c r="K420" s="307"/>
      <c r="L420" s="307"/>
      <c r="M420" s="307"/>
      <c r="N420" s="307"/>
      <c r="O420" s="307"/>
      <c r="P420" s="307"/>
      <c r="Q420" s="307"/>
      <c r="R420" s="307"/>
      <c r="S420" s="307"/>
      <c r="T420" s="307"/>
      <c r="U420" s="646"/>
      <c r="X420" s="301"/>
      <c r="Y420" s="197" t="s">
        <v>870</v>
      </c>
      <c r="Z420" s="307"/>
      <c r="AA420" s="307"/>
      <c r="AB420" s="308"/>
      <c r="AC420" s="308"/>
      <c r="AD420" s="308"/>
      <c r="AE420" s="307"/>
      <c r="AF420" s="307"/>
      <c r="AG420" s="307"/>
      <c r="AH420" s="307"/>
      <c r="AI420" s="307"/>
      <c r="AJ420" s="307"/>
      <c r="AK420" s="307"/>
      <c r="AL420" s="307"/>
      <c r="AM420" s="307"/>
      <c r="AN420" s="307"/>
      <c r="AO420" s="307"/>
      <c r="AP420" s="307"/>
      <c r="AQ420" s="307"/>
      <c r="AR420" s="646"/>
    </row>
    <row r="421" spans="1:46" ht="15.05" thickBot="1" x14ac:dyDescent="0.35">
      <c r="A421" s="205"/>
      <c r="B421" s="5042"/>
      <c r="C421" s="1056">
        <f>IF(B421=0,0,U$411)</f>
        <v>0</v>
      </c>
      <c r="D421" s="1056">
        <f>IF(B421=0,0,VLOOKUP(B421,Precios!$B$216:$D$307,3,FALSE))</f>
        <v>0</v>
      </c>
      <c r="E421" s="5048"/>
      <c r="F421" s="1249">
        <f>IF(B421=0,0,VLOOKUP(B421,Precios!$B$216:$D$307,2,FALSE))</f>
        <v>0</v>
      </c>
      <c r="G421" s="1066">
        <f>E421*F421</f>
        <v>0</v>
      </c>
      <c r="H421" s="309"/>
      <c r="I421" s="1072">
        <f>IF($C421&gt;0,I$411*$E421,0)</f>
        <v>0</v>
      </c>
      <c r="J421" s="1033">
        <f t="shared" si="253"/>
        <v>0</v>
      </c>
      <c r="K421" s="1033">
        <f t="shared" si="253"/>
        <v>0</v>
      </c>
      <c r="L421" s="1033">
        <f t="shared" si="253"/>
        <v>0</v>
      </c>
      <c r="M421" s="1033">
        <f t="shared" si="253"/>
        <v>0</v>
      </c>
      <c r="N421" s="1033">
        <f t="shared" si="253"/>
        <v>0</v>
      </c>
      <c r="O421" s="1033">
        <f t="shared" si="253"/>
        <v>0</v>
      </c>
      <c r="P421" s="1033">
        <f t="shared" si="253"/>
        <v>0</v>
      </c>
      <c r="Q421" s="1033">
        <f t="shared" si="253"/>
        <v>0</v>
      </c>
      <c r="R421" s="1033">
        <f t="shared" si="253"/>
        <v>0</v>
      </c>
      <c r="S421" s="1033">
        <f t="shared" si="253"/>
        <v>0</v>
      </c>
      <c r="T421" s="1033">
        <f t="shared" si="253"/>
        <v>0</v>
      </c>
      <c r="U421" s="1073">
        <f t="shared" si="254"/>
        <v>0</v>
      </c>
      <c r="V421" s="232" t="str">
        <f>B421&amp;"contratada"</f>
        <v>contratada</v>
      </c>
      <c r="X421" s="301"/>
      <c r="Y421" s="5042"/>
      <c r="Z421" s="1056">
        <f>IF(Y421=0,0,AR$411)</f>
        <v>0</v>
      </c>
      <c r="AA421" s="1056">
        <f>IF(Y421=0,0,VLOOKUP(Y421,Precios!$B$216:$D$307,3,FALSE))</f>
        <v>0</v>
      </c>
      <c r="AB421" s="1058"/>
      <c r="AC421" s="1249">
        <f>IF(Y421=0,0,VLOOKUP(Y421,Precios!$B$216:$D$307,2,FALSE))</f>
        <v>0</v>
      </c>
      <c r="AD421" s="1066">
        <f>AB421*AC421</f>
        <v>0</v>
      </c>
      <c r="AE421" s="309"/>
      <c r="AF421" s="1072">
        <f>IF($Z421&gt;0,AF$411*$AB421,0)</f>
        <v>0</v>
      </c>
      <c r="AG421" s="1033">
        <f t="shared" si="255"/>
        <v>0</v>
      </c>
      <c r="AH421" s="1033">
        <f t="shared" si="255"/>
        <v>0</v>
      </c>
      <c r="AI421" s="1033">
        <f t="shared" si="255"/>
        <v>0</v>
      </c>
      <c r="AJ421" s="1033">
        <f t="shared" si="255"/>
        <v>0</v>
      </c>
      <c r="AK421" s="1033">
        <f t="shared" si="255"/>
        <v>0</v>
      </c>
      <c r="AL421" s="1033">
        <f t="shared" si="255"/>
        <v>0</v>
      </c>
      <c r="AM421" s="1033">
        <f t="shared" si="255"/>
        <v>0</v>
      </c>
      <c r="AN421" s="1033">
        <f t="shared" si="255"/>
        <v>0</v>
      </c>
      <c r="AO421" s="1033">
        <f t="shared" si="255"/>
        <v>0</v>
      </c>
      <c r="AP421" s="1033">
        <f t="shared" si="255"/>
        <v>0</v>
      </c>
      <c r="AQ421" s="1033">
        <f t="shared" si="255"/>
        <v>0</v>
      </c>
      <c r="AR421" s="1073">
        <f t="shared" si="256"/>
        <v>0</v>
      </c>
      <c r="AS421" s="232" t="str">
        <f>Y421&amp;"contratada"</f>
        <v>contratada</v>
      </c>
    </row>
    <row r="422" spans="1:46" ht="15.05" thickBot="1" x14ac:dyDescent="0.35">
      <c r="A422" s="205"/>
      <c r="B422" s="5044"/>
      <c r="C422" s="985">
        <f t="shared" ref="C422:C445" si="259">IF(B422=0,0,U$411)</f>
        <v>0</v>
      </c>
      <c r="D422" s="985">
        <f>IF(B422=0,0,VLOOKUP(B422,Precios!$B$216:$D$307,3,FALSE))</f>
        <v>0</v>
      </c>
      <c r="E422" s="5049"/>
      <c r="F422" s="2253">
        <f>IF(B422=0,0,VLOOKUP(B422,Precios!$B$216:$D$307,2,FALSE))</f>
        <v>0</v>
      </c>
      <c r="G422" s="1067">
        <f>E422*F422</f>
        <v>0</v>
      </c>
      <c r="H422" s="309"/>
      <c r="I422" s="1074">
        <f>IF($C422&gt;0,I$411*$E422,0)</f>
        <v>0</v>
      </c>
      <c r="J422" s="1005">
        <f t="shared" si="253"/>
        <v>0</v>
      </c>
      <c r="K422" s="1005">
        <f t="shared" si="253"/>
        <v>0</v>
      </c>
      <c r="L422" s="1005">
        <f t="shared" si="253"/>
        <v>0</v>
      </c>
      <c r="M422" s="1005">
        <f t="shared" si="253"/>
        <v>0</v>
      </c>
      <c r="N422" s="1005">
        <f t="shared" si="253"/>
        <v>0</v>
      </c>
      <c r="O422" s="1005">
        <f t="shared" si="253"/>
        <v>0</v>
      </c>
      <c r="P422" s="1005">
        <f t="shared" si="253"/>
        <v>0</v>
      </c>
      <c r="Q422" s="1005">
        <f t="shared" si="253"/>
        <v>0</v>
      </c>
      <c r="R422" s="1005">
        <f t="shared" si="253"/>
        <v>0</v>
      </c>
      <c r="S422" s="1005">
        <f t="shared" si="253"/>
        <v>0</v>
      </c>
      <c r="T422" s="1005">
        <f t="shared" si="253"/>
        <v>0</v>
      </c>
      <c r="U422" s="1075">
        <f t="shared" si="254"/>
        <v>0</v>
      </c>
      <c r="V422" s="232" t="str">
        <f>B422&amp;"contratada"</f>
        <v>contratada</v>
      </c>
      <c r="X422" s="301"/>
      <c r="Y422" s="5044"/>
      <c r="Z422" s="985">
        <f>IF(Y422=0,0,AR$411)</f>
        <v>0</v>
      </c>
      <c r="AA422" s="985">
        <f>IF(Y422=0,0,VLOOKUP(Y422,Precios!$B$216:$D$307,3,FALSE))</f>
        <v>0</v>
      </c>
      <c r="AB422" s="986"/>
      <c r="AC422" s="2253">
        <f>IF(Y422=0,0,VLOOKUP(Y422,Precios!$B$216:$D$307,2,FALSE))</f>
        <v>0</v>
      </c>
      <c r="AD422" s="1067">
        <f>AB422*AC422</f>
        <v>0</v>
      </c>
      <c r="AE422" s="309"/>
      <c r="AF422" s="1074">
        <f>IF($Z422&gt;0,AF$411*$AB422,0)</f>
        <v>0</v>
      </c>
      <c r="AG422" s="1005">
        <f t="shared" si="255"/>
        <v>0</v>
      </c>
      <c r="AH422" s="1005">
        <f t="shared" si="255"/>
        <v>0</v>
      </c>
      <c r="AI422" s="1005">
        <f t="shared" si="255"/>
        <v>0</v>
      </c>
      <c r="AJ422" s="1005">
        <f t="shared" si="255"/>
        <v>0</v>
      </c>
      <c r="AK422" s="1005">
        <f t="shared" si="255"/>
        <v>0</v>
      </c>
      <c r="AL422" s="1005">
        <f t="shared" si="255"/>
        <v>0</v>
      </c>
      <c r="AM422" s="1005">
        <f t="shared" si="255"/>
        <v>0</v>
      </c>
      <c r="AN422" s="1005">
        <f t="shared" si="255"/>
        <v>0</v>
      </c>
      <c r="AO422" s="1005">
        <f t="shared" si="255"/>
        <v>0</v>
      </c>
      <c r="AP422" s="1005">
        <f t="shared" si="255"/>
        <v>0</v>
      </c>
      <c r="AQ422" s="1005">
        <f t="shared" si="255"/>
        <v>0</v>
      </c>
      <c r="AR422" s="1075">
        <f t="shared" si="256"/>
        <v>0</v>
      </c>
      <c r="AS422" s="232" t="str">
        <f>Y422&amp;"contratada"</f>
        <v>contratada</v>
      </c>
    </row>
    <row r="423" spans="1:46" ht="15.05" thickBot="1" x14ac:dyDescent="0.35">
      <c r="A423" s="205"/>
      <c r="B423" s="5044"/>
      <c r="C423" s="985">
        <f t="shared" si="259"/>
        <v>0</v>
      </c>
      <c r="D423" s="985">
        <f>IF(B423=0,0,VLOOKUP(B423,Precios!$B$216:$D$307,3,FALSE))</f>
        <v>0</v>
      </c>
      <c r="E423" s="5049"/>
      <c r="F423" s="2253">
        <f>IF(B423=0,0,VLOOKUP(B423,Precios!$B$216:$D$307,2,FALSE))</f>
        <v>0</v>
      </c>
      <c r="G423" s="1067">
        <f>E423*F423</f>
        <v>0</v>
      </c>
      <c r="H423" s="309"/>
      <c r="I423" s="1074">
        <f>IF($C423&gt;0,I$411*$E423,0)</f>
        <v>0</v>
      </c>
      <c r="J423" s="1005">
        <f t="shared" si="253"/>
        <v>0</v>
      </c>
      <c r="K423" s="1005">
        <f t="shared" si="253"/>
        <v>0</v>
      </c>
      <c r="L423" s="1005">
        <f t="shared" si="253"/>
        <v>0</v>
      </c>
      <c r="M423" s="1005">
        <f t="shared" si="253"/>
        <v>0</v>
      </c>
      <c r="N423" s="1005">
        <f t="shared" si="253"/>
        <v>0</v>
      </c>
      <c r="O423" s="1005">
        <f t="shared" si="253"/>
        <v>0</v>
      </c>
      <c r="P423" s="1005">
        <f t="shared" si="253"/>
        <v>0</v>
      </c>
      <c r="Q423" s="1005">
        <f t="shared" si="253"/>
        <v>0</v>
      </c>
      <c r="R423" s="1005">
        <f t="shared" si="253"/>
        <v>0</v>
      </c>
      <c r="S423" s="1005">
        <f t="shared" si="253"/>
        <v>0</v>
      </c>
      <c r="T423" s="1005">
        <f t="shared" si="253"/>
        <v>0</v>
      </c>
      <c r="U423" s="1075">
        <f t="shared" si="254"/>
        <v>0</v>
      </c>
      <c r="V423" s="232" t="str">
        <f>B423&amp;"contratada"</f>
        <v>contratada</v>
      </c>
      <c r="X423" s="301"/>
      <c r="Y423" s="5044"/>
      <c r="Z423" s="985">
        <f>IF(Y423=0,0,AR$411)</f>
        <v>0</v>
      </c>
      <c r="AA423" s="985">
        <f>IF(Y423=0,0,VLOOKUP(Y423,Precios!$B$216:$D$307,3,FALSE))</f>
        <v>0</v>
      </c>
      <c r="AB423" s="986"/>
      <c r="AC423" s="2253">
        <f>IF(Y423=0,0,VLOOKUP(Y423,Precios!$B$216:$D$307,2,FALSE))</f>
        <v>0</v>
      </c>
      <c r="AD423" s="1067">
        <f>AB423*AC423</f>
        <v>0</v>
      </c>
      <c r="AE423" s="309"/>
      <c r="AF423" s="1074">
        <f>IF($Z423&gt;0,AF$411*$AB423,0)</f>
        <v>0</v>
      </c>
      <c r="AG423" s="1005">
        <f t="shared" si="255"/>
        <v>0</v>
      </c>
      <c r="AH423" s="1005">
        <f t="shared" si="255"/>
        <v>0</v>
      </c>
      <c r="AI423" s="1005">
        <f t="shared" si="255"/>
        <v>0</v>
      </c>
      <c r="AJ423" s="1005">
        <f t="shared" si="255"/>
        <v>0</v>
      </c>
      <c r="AK423" s="1005">
        <f t="shared" si="255"/>
        <v>0</v>
      </c>
      <c r="AL423" s="1005">
        <f t="shared" si="255"/>
        <v>0</v>
      </c>
      <c r="AM423" s="1005">
        <f t="shared" si="255"/>
        <v>0</v>
      </c>
      <c r="AN423" s="1005">
        <f t="shared" si="255"/>
        <v>0</v>
      </c>
      <c r="AO423" s="1005">
        <f t="shared" si="255"/>
        <v>0</v>
      </c>
      <c r="AP423" s="1005">
        <f t="shared" si="255"/>
        <v>0</v>
      </c>
      <c r="AQ423" s="1005">
        <f t="shared" si="255"/>
        <v>0</v>
      </c>
      <c r="AR423" s="1075">
        <f t="shared" si="256"/>
        <v>0</v>
      </c>
      <c r="AS423" s="232" t="str">
        <f>Y423&amp;"contratada"</f>
        <v>contratada</v>
      </c>
    </row>
    <row r="424" spans="1:46" ht="15.05" thickBot="1" x14ac:dyDescent="0.35">
      <c r="A424" s="205"/>
      <c r="B424" s="5044"/>
      <c r="C424" s="985">
        <f t="shared" si="259"/>
        <v>0</v>
      </c>
      <c r="D424" s="985">
        <f>IF(B424=0,0,VLOOKUP(B424,Precios!$B$216:$D$307,3,FALSE))</f>
        <v>0</v>
      </c>
      <c r="E424" s="5049"/>
      <c r="F424" s="2253">
        <f>IF(B424=0,0,VLOOKUP(B424,Precios!$B$216:$D$307,2,FALSE))</f>
        <v>0</v>
      </c>
      <c r="G424" s="1067">
        <f>E424*F424</f>
        <v>0</v>
      </c>
      <c r="H424" s="309"/>
      <c r="I424" s="1074">
        <f>IF($C424&gt;0,I$411*$E424,0)</f>
        <v>0</v>
      </c>
      <c r="J424" s="1005">
        <f t="shared" si="253"/>
        <v>0</v>
      </c>
      <c r="K424" s="1005">
        <f t="shared" si="253"/>
        <v>0</v>
      </c>
      <c r="L424" s="1005">
        <f t="shared" si="253"/>
        <v>0</v>
      </c>
      <c r="M424" s="1005">
        <f t="shared" si="253"/>
        <v>0</v>
      </c>
      <c r="N424" s="1005">
        <f t="shared" si="253"/>
        <v>0</v>
      </c>
      <c r="O424" s="1005">
        <f t="shared" si="253"/>
        <v>0</v>
      </c>
      <c r="P424" s="1005">
        <f t="shared" si="253"/>
        <v>0</v>
      </c>
      <c r="Q424" s="1005">
        <f t="shared" si="253"/>
        <v>0</v>
      </c>
      <c r="R424" s="1005">
        <f t="shared" si="253"/>
        <v>0</v>
      </c>
      <c r="S424" s="1005">
        <f t="shared" si="253"/>
        <v>0</v>
      </c>
      <c r="T424" s="1005">
        <f t="shared" si="253"/>
        <v>0</v>
      </c>
      <c r="U424" s="1075">
        <f t="shared" si="254"/>
        <v>0</v>
      </c>
      <c r="V424" s="232" t="str">
        <f>B424&amp;"contratada"</f>
        <v>contratada</v>
      </c>
      <c r="X424" s="301"/>
      <c r="Y424" s="5044"/>
      <c r="Z424" s="985">
        <f>IF(Y424=0,0,AR$411)</f>
        <v>0</v>
      </c>
      <c r="AA424" s="985">
        <f>IF(Y424=0,0,VLOOKUP(Y424,Precios!$B$216:$D$307,3,FALSE))</f>
        <v>0</v>
      </c>
      <c r="AB424" s="986"/>
      <c r="AC424" s="2253">
        <f>IF(Y424=0,0,VLOOKUP(Y424,Precios!$B$216:$D$307,2,FALSE))</f>
        <v>0</v>
      </c>
      <c r="AD424" s="1067">
        <f>AB424*AC424</f>
        <v>0</v>
      </c>
      <c r="AE424" s="309"/>
      <c r="AF424" s="1074">
        <f>IF($Z424&gt;0,AF$411*$AB424,0)</f>
        <v>0</v>
      </c>
      <c r="AG424" s="1005">
        <f t="shared" si="255"/>
        <v>0</v>
      </c>
      <c r="AH424" s="1005">
        <f t="shared" si="255"/>
        <v>0</v>
      </c>
      <c r="AI424" s="1005">
        <f t="shared" si="255"/>
        <v>0</v>
      </c>
      <c r="AJ424" s="1005">
        <f t="shared" si="255"/>
        <v>0</v>
      </c>
      <c r="AK424" s="1005">
        <f t="shared" si="255"/>
        <v>0</v>
      </c>
      <c r="AL424" s="1005">
        <f t="shared" si="255"/>
        <v>0</v>
      </c>
      <c r="AM424" s="1005">
        <f t="shared" si="255"/>
        <v>0</v>
      </c>
      <c r="AN424" s="1005">
        <f t="shared" si="255"/>
        <v>0</v>
      </c>
      <c r="AO424" s="1005">
        <f t="shared" si="255"/>
        <v>0</v>
      </c>
      <c r="AP424" s="1005">
        <f t="shared" si="255"/>
        <v>0</v>
      </c>
      <c r="AQ424" s="1005">
        <f t="shared" si="255"/>
        <v>0</v>
      </c>
      <c r="AR424" s="1075">
        <f t="shared" si="256"/>
        <v>0</v>
      </c>
      <c r="AS424" s="232" t="str">
        <f>Y424&amp;"contratada"</f>
        <v>contratada</v>
      </c>
    </row>
    <row r="425" spans="1:46" x14ac:dyDescent="0.3">
      <c r="A425" s="205"/>
      <c r="B425" s="5046"/>
      <c r="C425" s="1057">
        <f t="shared" si="259"/>
        <v>0</v>
      </c>
      <c r="D425" s="1057">
        <f>IF(B425=0,0,VLOOKUP(B425,Precios!$B$216:$D$307,3,FALSE))</f>
        <v>0</v>
      </c>
      <c r="E425" s="5050"/>
      <c r="F425" s="2254">
        <f>IF(B425=0,0,VLOOKUP(B425,Precios!$B$216:$D$307,2,FALSE))</f>
        <v>0</v>
      </c>
      <c r="G425" s="1068">
        <f>E425*F425</f>
        <v>0</v>
      </c>
      <c r="H425" s="309"/>
      <c r="I425" s="1076">
        <f>IF($C425&gt;0,I$411*$E425,0)</f>
        <v>0</v>
      </c>
      <c r="J425" s="1077">
        <f t="shared" si="253"/>
        <v>0</v>
      </c>
      <c r="K425" s="1077">
        <f t="shared" si="253"/>
        <v>0</v>
      </c>
      <c r="L425" s="1077">
        <f t="shared" si="253"/>
        <v>0</v>
      </c>
      <c r="M425" s="1077">
        <f t="shared" si="253"/>
        <v>0</v>
      </c>
      <c r="N425" s="1077">
        <f t="shared" si="253"/>
        <v>0</v>
      </c>
      <c r="O425" s="1077">
        <f t="shared" si="253"/>
        <v>0</v>
      </c>
      <c r="P425" s="1077">
        <f t="shared" si="253"/>
        <v>0</v>
      </c>
      <c r="Q425" s="1077">
        <f t="shared" si="253"/>
        <v>0</v>
      </c>
      <c r="R425" s="1077">
        <f t="shared" si="253"/>
        <v>0</v>
      </c>
      <c r="S425" s="1077">
        <f t="shared" si="253"/>
        <v>0</v>
      </c>
      <c r="T425" s="1077">
        <f t="shared" si="253"/>
        <v>0</v>
      </c>
      <c r="U425" s="1078">
        <f t="shared" si="254"/>
        <v>0</v>
      </c>
      <c r="V425" s="232" t="str">
        <f>B425&amp;"contratada"</f>
        <v>contratada</v>
      </c>
      <c r="X425" s="301"/>
      <c r="Y425" s="5046"/>
      <c r="Z425" s="1057">
        <f>IF(Y425=0,0,AR$411)</f>
        <v>0</v>
      </c>
      <c r="AA425" s="1057">
        <f>IF(Y425=0,0,VLOOKUP(Y425,Precios!$B$216:$D$307,3,FALSE))</f>
        <v>0</v>
      </c>
      <c r="AB425" s="1060"/>
      <c r="AC425" s="2254">
        <f>IF(Y425=0,0,VLOOKUP(Y425,Precios!$B$216:$D$307,2,FALSE))</f>
        <v>0</v>
      </c>
      <c r="AD425" s="1068">
        <f>AB425*AC425</f>
        <v>0</v>
      </c>
      <c r="AE425" s="309"/>
      <c r="AF425" s="1076">
        <f>IF($Z425&gt;0,AF$411*$AB425,0)</f>
        <v>0</v>
      </c>
      <c r="AG425" s="1077">
        <f t="shared" si="255"/>
        <v>0</v>
      </c>
      <c r="AH425" s="1077">
        <f t="shared" si="255"/>
        <v>0</v>
      </c>
      <c r="AI425" s="1077">
        <f t="shared" si="255"/>
        <v>0</v>
      </c>
      <c r="AJ425" s="1077">
        <f t="shared" si="255"/>
        <v>0</v>
      </c>
      <c r="AK425" s="1077">
        <f t="shared" si="255"/>
        <v>0</v>
      </c>
      <c r="AL425" s="1077">
        <f t="shared" si="255"/>
        <v>0</v>
      </c>
      <c r="AM425" s="1077">
        <f t="shared" si="255"/>
        <v>0</v>
      </c>
      <c r="AN425" s="1077">
        <f t="shared" si="255"/>
        <v>0</v>
      </c>
      <c r="AO425" s="1077">
        <f t="shared" si="255"/>
        <v>0</v>
      </c>
      <c r="AP425" s="1077">
        <f t="shared" si="255"/>
        <v>0</v>
      </c>
      <c r="AQ425" s="1077">
        <f t="shared" si="255"/>
        <v>0</v>
      </c>
      <c r="AR425" s="1078">
        <f t="shared" si="256"/>
        <v>0</v>
      </c>
      <c r="AS425" s="232" t="str">
        <f>Y425&amp;"contratada"</f>
        <v>contratada</v>
      </c>
    </row>
    <row r="426" spans="1:46" x14ac:dyDescent="0.3">
      <c r="A426" s="205"/>
      <c r="B426" s="647" t="s">
        <v>1084</v>
      </c>
      <c r="C426" s="305"/>
      <c r="D426" s="305"/>
      <c r="E426" s="305"/>
      <c r="F426" s="650"/>
      <c r="G426" s="305"/>
      <c r="H426" s="310"/>
      <c r="I426" s="904">
        <f t="shared" ref="I426:T426" si="260">SUM(I421:I425)</f>
        <v>0</v>
      </c>
      <c r="J426" s="904">
        <f t="shared" si="260"/>
        <v>0</v>
      </c>
      <c r="K426" s="904">
        <f t="shared" si="260"/>
        <v>0</v>
      </c>
      <c r="L426" s="904">
        <f t="shared" si="260"/>
        <v>0</v>
      </c>
      <c r="M426" s="904">
        <f t="shared" si="260"/>
        <v>0</v>
      </c>
      <c r="N426" s="904">
        <f t="shared" si="260"/>
        <v>0</v>
      </c>
      <c r="O426" s="904">
        <f t="shared" si="260"/>
        <v>0</v>
      </c>
      <c r="P426" s="904">
        <f t="shared" si="260"/>
        <v>0</v>
      </c>
      <c r="Q426" s="904">
        <f t="shared" si="260"/>
        <v>0</v>
      </c>
      <c r="R426" s="904">
        <f t="shared" si="260"/>
        <v>0</v>
      </c>
      <c r="S426" s="904">
        <f t="shared" si="260"/>
        <v>0</v>
      </c>
      <c r="T426" s="904">
        <f t="shared" si="260"/>
        <v>0</v>
      </c>
      <c r="U426" s="905">
        <f>SUM(I426:T426)</f>
        <v>0</v>
      </c>
      <c r="W426" s="232" t="str">
        <f>B420&amp;B410</f>
        <v>Labores con maquinaria contratada0</v>
      </c>
      <c r="X426" s="301"/>
      <c r="Y426" s="647" t="s">
        <v>1084</v>
      </c>
      <c r="Z426" s="305"/>
      <c r="AA426" s="305"/>
      <c r="AB426" s="305"/>
      <c r="AC426" s="650"/>
      <c r="AD426" s="305"/>
      <c r="AE426" s="310"/>
      <c r="AF426" s="904">
        <f t="shared" ref="AF426:AQ426" si="261">SUM(AF421:AF425)</f>
        <v>0</v>
      </c>
      <c r="AG426" s="904">
        <f t="shared" si="261"/>
        <v>0</v>
      </c>
      <c r="AH426" s="904">
        <f t="shared" si="261"/>
        <v>0</v>
      </c>
      <c r="AI426" s="904">
        <f t="shared" si="261"/>
        <v>0</v>
      </c>
      <c r="AJ426" s="904">
        <f t="shared" si="261"/>
        <v>0</v>
      </c>
      <c r="AK426" s="904">
        <f t="shared" si="261"/>
        <v>0</v>
      </c>
      <c r="AL426" s="904">
        <f t="shared" si="261"/>
        <v>0</v>
      </c>
      <c r="AM426" s="904">
        <f t="shared" si="261"/>
        <v>0</v>
      </c>
      <c r="AN426" s="904">
        <f t="shared" si="261"/>
        <v>0</v>
      </c>
      <c r="AO426" s="904">
        <f t="shared" si="261"/>
        <v>0</v>
      </c>
      <c r="AP426" s="904">
        <f t="shared" si="261"/>
        <v>0</v>
      </c>
      <c r="AQ426" s="904">
        <f t="shared" si="261"/>
        <v>0</v>
      </c>
      <c r="AR426" s="905">
        <f>SUM(AF426:AQ426)</f>
        <v>0</v>
      </c>
      <c r="AT426" s="232" t="str">
        <f>Y420&amp;Y410</f>
        <v>Labores con maquinaria contratada0</v>
      </c>
    </row>
    <row r="427" spans="1:46" x14ac:dyDescent="0.2">
      <c r="A427" s="205"/>
      <c r="B427" s="197" t="s">
        <v>85</v>
      </c>
      <c r="C427" s="307"/>
      <c r="D427" s="307"/>
      <c r="E427" s="308"/>
      <c r="F427" s="651"/>
      <c r="G427" s="308"/>
      <c r="H427" s="308"/>
      <c r="I427" s="311"/>
      <c r="J427" s="311"/>
      <c r="K427" s="311"/>
      <c r="L427" s="311"/>
      <c r="M427" s="311"/>
      <c r="N427" s="311"/>
      <c r="O427" s="311"/>
      <c r="P427" s="311"/>
      <c r="Q427" s="311"/>
      <c r="R427" s="311"/>
      <c r="S427" s="311"/>
      <c r="T427" s="311"/>
      <c r="U427" s="646"/>
      <c r="X427" s="301"/>
      <c r="Y427" s="197" t="s">
        <v>85</v>
      </c>
      <c r="Z427" s="307"/>
      <c r="AA427" s="307"/>
      <c r="AB427" s="308"/>
      <c r="AC427" s="651"/>
      <c r="AD427" s="308"/>
      <c r="AE427" s="308"/>
      <c r="AF427" s="311"/>
      <c r="AG427" s="311"/>
      <c r="AH427" s="311"/>
      <c r="AI427" s="311"/>
      <c r="AJ427" s="311"/>
      <c r="AK427" s="311"/>
      <c r="AL427" s="311"/>
      <c r="AM427" s="311"/>
      <c r="AN427" s="311"/>
      <c r="AO427" s="311"/>
      <c r="AP427" s="311"/>
      <c r="AQ427" s="311"/>
      <c r="AR427" s="646"/>
    </row>
    <row r="428" spans="1:46" ht="15.05" thickBot="1" x14ac:dyDescent="0.35">
      <c r="A428" s="205"/>
      <c r="B428" s="5042"/>
      <c r="C428" s="1056">
        <f t="shared" si="259"/>
        <v>0</v>
      </c>
      <c r="D428" s="1056">
        <f>IF(B428=0,0,VLOOKUP(B428,Precios!$B$216:$D$307,3,FALSE))</f>
        <v>0</v>
      </c>
      <c r="E428" s="5048"/>
      <c r="F428" s="1062">
        <f>IF(B428=0,0,VLOOKUP(B428,Precios!$B$216:$D$307,2,FALSE))</f>
        <v>0</v>
      </c>
      <c r="G428" s="1066">
        <f t="shared" ref="G428:G435" si="262">E428*F428</f>
        <v>0</v>
      </c>
      <c r="H428" s="309"/>
      <c r="I428" s="1072">
        <f t="shared" ref="I428:T435" si="263">IF($C428&gt;0,I$411*$E428,0)</f>
        <v>0</v>
      </c>
      <c r="J428" s="1033">
        <f t="shared" si="253"/>
        <v>0</v>
      </c>
      <c r="K428" s="1033">
        <f t="shared" si="253"/>
        <v>0</v>
      </c>
      <c r="L428" s="1033">
        <f t="shared" si="253"/>
        <v>0</v>
      </c>
      <c r="M428" s="1033">
        <f t="shared" si="253"/>
        <v>0</v>
      </c>
      <c r="N428" s="1033">
        <f t="shared" si="253"/>
        <v>0</v>
      </c>
      <c r="O428" s="1033">
        <f t="shared" si="253"/>
        <v>0</v>
      </c>
      <c r="P428" s="1033">
        <f t="shared" si="253"/>
        <v>0</v>
      </c>
      <c r="Q428" s="1033">
        <f t="shared" si="253"/>
        <v>0</v>
      </c>
      <c r="R428" s="1033">
        <f t="shared" si="253"/>
        <v>0</v>
      </c>
      <c r="S428" s="1033">
        <f t="shared" si="253"/>
        <v>0</v>
      </c>
      <c r="T428" s="1033">
        <f t="shared" si="253"/>
        <v>0</v>
      </c>
      <c r="U428" s="1073">
        <f t="shared" si="254"/>
        <v>0</v>
      </c>
      <c r="X428" s="301"/>
      <c r="Y428" s="5042"/>
      <c r="Z428" s="1056">
        <f>IF(Y428=0,0,AR$411)</f>
        <v>0</v>
      </c>
      <c r="AA428" s="1056">
        <f>IF(Y428=0,0,VLOOKUP(Y428,Precios!$B$216:$D$307,3,FALSE))</f>
        <v>0</v>
      </c>
      <c r="AB428" s="1058"/>
      <c r="AC428" s="1062">
        <f>IF(Y428=0,0,VLOOKUP(Y428,Precios!$B$216:$D$307,2,FALSE))</f>
        <v>0</v>
      </c>
      <c r="AD428" s="1066">
        <f t="shared" ref="AD428:AD435" si="264">AB428*AC428</f>
        <v>0</v>
      </c>
      <c r="AE428" s="309"/>
      <c r="AF428" s="1072">
        <f>IF($Z428&gt;0,AF$411*$AB428,0)</f>
        <v>0</v>
      </c>
      <c r="AG428" s="1033">
        <f t="shared" si="255"/>
        <v>0</v>
      </c>
      <c r="AH428" s="1033">
        <f t="shared" si="255"/>
        <v>0</v>
      </c>
      <c r="AI428" s="1033">
        <f t="shared" si="255"/>
        <v>0</v>
      </c>
      <c r="AJ428" s="1033">
        <f t="shared" si="255"/>
        <v>0</v>
      </c>
      <c r="AK428" s="1033">
        <f t="shared" si="255"/>
        <v>0</v>
      </c>
      <c r="AL428" s="1033">
        <f t="shared" si="255"/>
        <v>0</v>
      </c>
      <c r="AM428" s="1033">
        <f t="shared" si="255"/>
        <v>0</v>
      </c>
      <c r="AN428" s="1033">
        <f t="shared" si="255"/>
        <v>0</v>
      </c>
      <c r="AO428" s="1033">
        <f t="shared" si="255"/>
        <v>0</v>
      </c>
      <c r="AP428" s="1033">
        <f t="shared" si="255"/>
        <v>0</v>
      </c>
      <c r="AQ428" s="1033">
        <f t="shared" si="255"/>
        <v>0</v>
      </c>
      <c r="AR428" s="1073">
        <f t="shared" si="256"/>
        <v>0</v>
      </c>
    </row>
    <row r="429" spans="1:46" ht="15.05" thickBot="1" x14ac:dyDescent="0.35">
      <c r="A429" s="205"/>
      <c r="B429" s="5044"/>
      <c r="C429" s="985">
        <f t="shared" si="259"/>
        <v>0</v>
      </c>
      <c r="D429" s="985">
        <f>IF(B429=0,0,VLOOKUP(B429,Precios!$B$216:$D$307,3,FALSE))</f>
        <v>0</v>
      </c>
      <c r="E429" s="5049"/>
      <c r="F429" s="1059">
        <f>IF(B429=0,0,VLOOKUP(B429,Precios!$B$216:$D$307,2,FALSE))</f>
        <v>0</v>
      </c>
      <c r="G429" s="1067">
        <f t="shared" si="262"/>
        <v>0</v>
      </c>
      <c r="H429" s="309"/>
      <c r="I429" s="1074">
        <f t="shared" si="263"/>
        <v>0</v>
      </c>
      <c r="J429" s="1005">
        <f t="shared" si="253"/>
        <v>0</v>
      </c>
      <c r="K429" s="1005">
        <f t="shared" si="253"/>
        <v>0</v>
      </c>
      <c r="L429" s="1005">
        <f t="shared" si="253"/>
        <v>0</v>
      </c>
      <c r="M429" s="1005">
        <f t="shared" si="253"/>
        <v>0</v>
      </c>
      <c r="N429" s="1005">
        <f t="shared" si="253"/>
        <v>0</v>
      </c>
      <c r="O429" s="1005">
        <f t="shared" si="253"/>
        <v>0</v>
      </c>
      <c r="P429" s="1005">
        <f t="shared" si="253"/>
        <v>0</v>
      </c>
      <c r="Q429" s="1005">
        <f t="shared" si="253"/>
        <v>0</v>
      </c>
      <c r="R429" s="1005">
        <f t="shared" si="253"/>
        <v>0</v>
      </c>
      <c r="S429" s="1005">
        <f t="shared" si="253"/>
        <v>0</v>
      </c>
      <c r="T429" s="1005">
        <f t="shared" si="253"/>
        <v>0</v>
      </c>
      <c r="U429" s="1075">
        <f t="shared" si="254"/>
        <v>0</v>
      </c>
      <c r="X429" s="301"/>
      <c r="Y429" s="5044"/>
      <c r="Z429" s="985">
        <f t="shared" ref="Z429:Z445" si="265">IF(Y429=0,0,AR$411)</f>
        <v>0</v>
      </c>
      <c r="AA429" s="985">
        <f>IF(Y429=0,0,VLOOKUP(Y429,Precios!$B$216:$D$307,3,FALSE))</f>
        <v>0</v>
      </c>
      <c r="AB429" s="986"/>
      <c r="AC429" s="1059">
        <f>IF(Y429=0,0,VLOOKUP(Y429,Precios!$B$216:$D$307,2,FALSE))</f>
        <v>0</v>
      </c>
      <c r="AD429" s="1067">
        <f t="shared" si="264"/>
        <v>0</v>
      </c>
      <c r="AE429" s="309"/>
      <c r="AF429" s="1074">
        <f t="shared" ref="AF429:AQ445" si="266">IF($Z429&gt;0,AF$411*$AB429,0)</f>
        <v>0</v>
      </c>
      <c r="AG429" s="1005">
        <f t="shared" si="255"/>
        <v>0</v>
      </c>
      <c r="AH429" s="1005">
        <f t="shared" si="255"/>
        <v>0</v>
      </c>
      <c r="AI429" s="1005">
        <f t="shared" si="255"/>
        <v>0</v>
      </c>
      <c r="AJ429" s="1005">
        <f t="shared" si="255"/>
        <v>0</v>
      </c>
      <c r="AK429" s="1005">
        <f t="shared" si="255"/>
        <v>0</v>
      </c>
      <c r="AL429" s="1005">
        <f t="shared" si="255"/>
        <v>0</v>
      </c>
      <c r="AM429" s="1005">
        <f t="shared" si="255"/>
        <v>0</v>
      </c>
      <c r="AN429" s="1005">
        <f t="shared" si="255"/>
        <v>0</v>
      </c>
      <c r="AO429" s="1005">
        <f t="shared" si="255"/>
        <v>0</v>
      </c>
      <c r="AP429" s="1005">
        <f t="shared" si="255"/>
        <v>0</v>
      </c>
      <c r="AQ429" s="1005">
        <f t="shared" si="255"/>
        <v>0</v>
      </c>
      <c r="AR429" s="1075">
        <f t="shared" si="256"/>
        <v>0</v>
      </c>
    </row>
    <row r="430" spans="1:46" ht="15.05" thickBot="1" x14ac:dyDescent="0.35">
      <c r="A430" s="205"/>
      <c r="B430" s="5044"/>
      <c r="C430" s="985">
        <f t="shared" si="259"/>
        <v>0</v>
      </c>
      <c r="D430" s="985">
        <f>IF(B430=0,0,VLOOKUP(B430,Precios!$B$216:$D$307,3,FALSE))</f>
        <v>0</v>
      </c>
      <c r="E430" s="5049"/>
      <c r="F430" s="1059">
        <f>IF(B430=0,0,VLOOKUP(B430,Precios!$B$216:$D$307,2,FALSE))</f>
        <v>0</v>
      </c>
      <c r="G430" s="1067">
        <f t="shared" si="262"/>
        <v>0</v>
      </c>
      <c r="H430" s="309"/>
      <c r="I430" s="1074">
        <f t="shared" si="263"/>
        <v>0</v>
      </c>
      <c r="J430" s="1005">
        <f t="shared" si="253"/>
        <v>0</v>
      </c>
      <c r="K430" s="1005">
        <f t="shared" si="253"/>
        <v>0</v>
      </c>
      <c r="L430" s="1005">
        <f t="shared" si="253"/>
        <v>0</v>
      </c>
      <c r="M430" s="1005">
        <f t="shared" si="253"/>
        <v>0</v>
      </c>
      <c r="N430" s="1005">
        <f t="shared" si="253"/>
        <v>0</v>
      </c>
      <c r="O430" s="1005">
        <f t="shared" si="253"/>
        <v>0</v>
      </c>
      <c r="P430" s="1005">
        <f t="shared" si="253"/>
        <v>0</v>
      </c>
      <c r="Q430" s="1005">
        <f t="shared" si="253"/>
        <v>0</v>
      </c>
      <c r="R430" s="1005">
        <f t="shared" si="253"/>
        <v>0</v>
      </c>
      <c r="S430" s="1005">
        <f t="shared" si="253"/>
        <v>0</v>
      </c>
      <c r="T430" s="1005">
        <f t="shared" si="253"/>
        <v>0</v>
      </c>
      <c r="U430" s="1075">
        <f t="shared" si="254"/>
        <v>0</v>
      </c>
      <c r="X430" s="301"/>
      <c r="Y430" s="5044"/>
      <c r="Z430" s="985">
        <f t="shared" si="265"/>
        <v>0</v>
      </c>
      <c r="AA430" s="985">
        <f>IF(Y430=0,0,VLOOKUP(Y430,Precios!$B$216:$D$307,3,FALSE))</f>
        <v>0</v>
      </c>
      <c r="AB430" s="986"/>
      <c r="AC430" s="1059">
        <f>IF(Y430=0,0,VLOOKUP(Y430,Precios!$B$216:$D$307,2,FALSE))</f>
        <v>0</v>
      </c>
      <c r="AD430" s="1067">
        <f t="shared" si="264"/>
        <v>0</v>
      </c>
      <c r="AE430" s="309"/>
      <c r="AF430" s="1074">
        <f t="shared" si="266"/>
        <v>0</v>
      </c>
      <c r="AG430" s="1005">
        <f t="shared" si="255"/>
        <v>0</v>
      </c>
      <c r="AH430" s="1005">
        <f t="shared" si="255"/>
        <v>0</v>
      </c>
      <c r="AI430" s="1005">
        <f t="shared" si="255"/>
        <v>0</v>
      </c>
      <c r="AJ430" s="1005">
        <f t="shared" si="255"/>
        <v>0</v>
      </c>
      <c r="AK430" s="1005">
        <f t="shared" si="255"/>
        <v>0</v>
      </c>
      <c r="AL430" s="1005">
        <f t="shared" si="255"/>
        <v>0</v>
      </c>
      <c r="AM430" s="1005">
        <f t="shared" si="255"/>
        <v>0</v>
      </c>
      <c r="AN430" s="1005">
        <f t="shared" si="255"/>
        <v>0</v>
      </c>
      <c r="AO430" s="1005">
        <f t="shared" si="255"/>
        <v>0</v>
      </c>
      <c r="AP430" s="1005">
        <f t="shared" si="255"/>
        <v>0</v>
      </c>
      <c r="AQ430" s="1005">
        <f t="shared" si="255"/>
        <v>0</v>
      </c>
      <c r="AR430" s="1075">
        <f t="shared" si="256"/>
        <v>0</v>
      </c>
    </row>
    <row r="431" spans="1:46" ht="15.05" thickBot="1" x14ac:dyDescent="0.35">
      <c r="A431" s="205"/>
      <c r="B431" s="5044"/>
      <c r="C431" s="985">
        <f t="shared" si="259"/>
        <v>0</v>
      </c>
      <c r="D431" s="985">
        <f>IF(B431=0,0,VLOOKUP(B431,Precios!$B$216:$D$307,3,FALSE))</f>
        <v>0</v>
      </c>
      <c r="E431" s="5049"/>
      <c r="F431" s="1059">
        <f>IF(B431=0,0,VLOOKUP(B431,Precios!$B$216:$D$307,2,FALSE))</f>
        <v>0</v>
      </c>
      <c r="G431" s="1067">
        <f t="shared" si="262"/>
        <v>0</v>
      </c>
      <c r="H431" s="309"/>
      <c r="I431" s="1074">
        <f t="shared" si="263"/>
        <v>0</v>
      </c>
      <c r="J431" s="1005">
        <f t="shared" si="253"/>
        <v>0</v>
      </c>
      <c r="K431" s="1005">
        <f t="shared" si="253"/>
        <v>0</v>
      </c>
      <c r="L431" s="1005">
        <f t="shared" si="253"/>
        <v>0</v>
      </c>
      <c r="M431" s="1005">
        <f t="shared" si="253"/>
        <v>0</v>
      </c>
      <c r="N431" s="1005">
        <f t="shared" si="253"/>
        <v>0</v>
      </c>
      <c r="O431" s="1005">
        <f t="shared" si="253"/>
        <v>0</v>
      </c>
      <c r="P431" s="1005">
        <f t="shared" si="253"/>
        <v>0</v>
      </c>
      <c r="Q431" s="1005">
        <f t="shared" si="253"/>
        <v>0</v>
      </c>
      <c r="R431" s="1005">
        <f t="shared" si="253"/>
        <v>0</v>
      </c>
      <c r="S431" s="1005">
        <f t="shared" si="253"/>
        <v>0</v>
      </c>
      <c r="T431" s="1005">
        <f t="shared" si="253"/>
        <v>0</v>
      </c>
      <c r="U431" s="1075">
        <f t="shared" si="254"/>
        <v>0</v>
      </c>
      <c r="X431" s="301"/>
      <c r="Y431" s="5044"/>
      <c r="Z431" s="985">
        <f t="shared" si="265"/>
        <v>0</v>
      </c>
      <c r="AA431" s="985">
        <f>IF(Y431=0,0,VLOOKUP(Y431,Precios!$B$216:$D$307,3,FALSE))</f>
        <v>0</v>
      </c>
      <c r="AB431" s="986"/>
      <c r="AC431" s="1059">
        <f>IF(Y431=0,0,VLOOKUP(Y431,Precios!$B$216:$D$307,2,FALSE))</f>
        <v>0</v>
      </c>
      <c r="AD431" s="1067">
        <f t="shared" si="264"/>
        <v>0</v>
      </c>
      <c r="AE431" s="309"/>
      <c r="AF431" s="1074">
        <f t="shared" si="266"/>
        <v>0</v>
      </c>
      <c r="AG431" s="1005">
        <f t="shared" si="255"/>
        <v>0</v>
      </c>
      <c r="AH431" s="1005">
        <f t="shared" si="255"/>
        <v>0</v>
      </c>
      <c r="AI431" s="1005">
        <f t="shared" si="255"/>
        <v>0</v>
      </c>
      <c r="AJ431" s="1005">
        <f t="shared" si="255"/>
        <v>0</v>
      </c>
      <c r="AK431" s="1005">
        <f t="shared" si="255"/>
        <v>0</v>
      </c>
      <c r="AL431" s="1005">
        <f t="shared" si="255"/>
        <v>0</v>
      </c>
      <c r="AM431" s="1005">
        <f t="shared" si="255"/>
        <v>0</v>
      </c>
      <c r="AN431" s="1005">
        <f t="shared" si="255"/>
        <v>0</v>
      </c>
      <c r="AO431" s="1005">
        <f t="shared" si="255"/>
        <v>0</v>
      </c>
      <c r="AP431" s="1005">
        <f t="shared" si="255"/>
        <v>0</v>
      </c>
      <c r="AQ431" s="1005">
        <f t="shared" si="255"/>
        <v>0</v>
      </c>
      <c r="AR431" s="1075">
        <f t="shared" si="256"/>
        <v>0</v>
      </c>
    </row>
    <row r="432" spans="1:46" ht="15.05" thickBot="1" x14ac:dyDescent="0.35">
      <c r="A432" s="205"/>
      <c r="B432" s="5044"/>
      <c r="C432" s="985">
        <f t="shared" si="259"/>
        <v>0</v>
      </c>
      <c r="D432" s="985">
        <f>IF(B432=0,0,VLOOKUP(B432,Precios!$B$216:$D$307,3,FALSE))</f>
        <v>0</v>
      </c>
      <c r="E432" s="5049"/>
      <c r="F432" s="1059">
        <f>IF(B432=0,0,VLOOKUP(B432,Precios!$B$216:$D$307,2,FALSE))</f>
        <v>0</v>
      </c>
      <c r="G432" s="1067">
        <f t="shared" si="262"/>
        <v>0</v>
      </c>
      <c r="H432" s="309"/>
      <c r="I432" s="1074">
        <f t="shared" si="263"/>
        <v>0</v>
      </c>
      <c r="J432" s="1005">
        <f t="shared" si="263"/>
        <v>0</v>
      </c>
      <c r="K432" s="1005">
        <f t="shared" si="263"/>
        <v>0</v>
      </c>
      <c r="L432" s="1005">
        <f t="shared" si="263"/>
        <v>0</v>
      </c>
      <c r="M432" s="1005">
        <f t="shared" si="263"/>
        <v>0</v>
      </c>
      <c r="N432" s="1005">
        <f t="shared" si="263"/>
        <v>0</v>
      </c>
      <c r="O432" s="1005">
        <f t="shared" si="263"/>
        <v>0</v>
      </c>
      <c r="P432" s="1005">
        <f t="shared" si="263"/>
        <v>0</v>
      </c>
      <c r="Q432" s="1005">
        <f t="shared" si="263"/>
        <v>0</v>
      </c>
      <c r="R432" s="1005">
        <f t="shared" si="263"/>
        <v>0</v>
      </c>
      <c r="S432" s="1005">
        <f t="shared" si="263"/>
        <v>0</v>
      </c>
      <c r="T432" s="1005">
        <f t="shared" si="263"/>
        <v>0</v>
      </c>
      <c r="U432" s="1075">
        <f t="shared" si="254"/>
        <v>0</v>
      </c>
      <c r="X432" s="301"/>
      <c r="Y432" s="5044"/>
      <c r="Z432" s="985">
        <f t="shared" si="265"/>
        <v>0</v>
      </c>
      <c r="AA432" s="985">
        <f>IF(Y432=0,0,VLOOKUP(Y432,Precios!$B$216:$D$307,3,FALSE))</f>
        <v>0</v>
      </c>
      <c r="AB432" s="986"/>
      <c r="AC432" s="1059">
        <f>IF(Y432=0,0,VLOOKUP(Y432,Precios!$B$216:$D$307,2,FALSE))</f>
        <v>0</v>
      </c>
      <c r="AD432" s="1067">
        <f t="shared" si="264"/>
        <v>0</v>
      </c>
      <c r="AE432" s="309"/>
      <c r="AF432" s="1074">
        <f t="shared" si="266"/>
        <v>0</v>
      </c>
      <c r="AG432" s="1005">
        <f t="shared" si="266"/>
        <v>0</v>
      </c>
      <c r="AH432" s="1005">
        <f t="shared" si="266"/>
        <v>0</v>
      </c>
      <c r="AI432" s="1005">
        <f t="shared" si="266"/>
        <v>0</v>
      </c>
      <c r="AJ432" s="1005">
        <f t="shared" si="266"/>
        <v>0</v>
      </c>
      <c r="AK432" s="1005">
        <f t="shared" si="266"/>
        <v>0</v>
      </c>
      <c r="AL432" s="1005">
        <f t="shared" si="266"/>
        <v>0</v>
      </c>
      <c r="AM432" s="1005">
        <f t="shared" si="266"/>
        <v>0</v>
      </c>
      <c r="AN432" s="1005">
        <f t="shared" si="266"/>
        <v>0</v>
      </c>
      <c r="AO432" s="1005">
        <f t="shared" si="266"/>
        <v>0</v>
      </c>
      <c r="AP432" s="1005">
        <f t="shared" si="266"/>
        <v>0</v>
      </c>
      <c r="AQ432" s="1005">
        <f t="shared" si="266"/>
        <v>0</v>
      </c>
      <c r="AR432" s="1075">
        <f t="shared" si="256"/>
        <v>0</v>
      </c>
    </row>
    <row r="433" spans="1:46" ht="15.05" thickBot="1" x14ac:dyDescent="0.35">
      <c r="A433" s="205"/>
      <c r="B433" s="5044"/>
      <c r="C433" s="985">
        <f t="shared" si="259"/>
        <v>0</v>
      </c>
      <c r="D433" s="985">
        <f>IF(B433=0,0,VLOOKUP(B433,Precios!$B$216:$D$307,3,FALSE))</f>
        <v>0</v>
      </c>
      <c r="E433" s="5049"/>
      <c r="F433" s="1059">
        <f>IF(B433=0,0,VLOOKUP(B433,Precios!$B$216:$D$307,2,FALSE))</f>
        <v>0</v>
      </c>
      <c r="G433" s="1067">
        <f t="shared" si="262"/>
        <v>0</v>
      </c>
      <c r="H433" s="309"/>
      <c r="I433" s="1074">
        <f t="shared" si="263"/>
        <v>0</v>
      </c>
      <c r="J433" s="1005">
        <f t="shared" si="263"/>
        <v>0</v>
      </c>
      <c r="K433" s="1005">
        <f t="shared" si="263"/>
        <v>0</v>
      </c>
      <c r="L433" s="1005">
        <f t="shared" si="263"/>
        <v>0</v>
      </c>
      <c r="M433" s="1005">
        <f t="shared" si="263"/>
        <v>0</v>
      </c>
      <c r="N433" s="1005">
        <f t="shared" si="263"/>
        <v>0</v>
      </c>
      <c r="O433" s="1005">
        <f t="shared" si="263"/>
        <v>0</v>
      </c>
      <c r="P433" s="1005">
        <f t="shared" si="263"/>
        <v>0</v>
      </c>
      <c r="Q433" s="1005">
        <f t="shared" si="263"/>
        <v>0</v>
      </c>
      <c r="R433" s="1005">
        <f t="shared" si="263"/>
        <v>0</v>
      </c>
      <c r="S433" s="1005">
        <f t="shared" si="263"/>
        <v>0</v>
      </c>
      <c r="T433" s="1005">
        <f t="shared" si="263"/>
        <v>0</v>
      </c>
      <c r="U433" s="1075">
        <f t="shared" si="254"/>
        <v>0</v>
      </c>
      <c r="X433" s="301"/>
      <c r="Y433" s="5044"/>
      <c r="Z433" s="985">
        <f t="shared" si="265"/>
        <v>0</v>
      </c>
      <c r="AA433" s="985">
        <f>IF(Y433=0,0,VLOOKUP(Y433,Precios!$B$216:$D$307,3,FALSE))</f>
        <v>0</v>
      </c>
      <c r="AB433" s="986"/>
      <c r="AC433" s="1059">
        <f>IF(Y433=0,0,VLOOKUP(Y433,Precios!$B$216:$D$307,2,FALSE))</f>
        <v>0</v>
      </c>
      <c r="AD433" s="1067">
        <f t="shared" si="264"/>
        <v>0</v>
      </c>
      <c r="AE433" s="309"/>
      <c r="AF433" s="1074">
        <f t="shared" si="266"/>
        <v>0</v>
      </c>
      <c r="AG433" s="1005">
        <f t="shared" si="266"/>
        <v>0</v>
      </c>
      <c r="AH433" s="1005">
        <f t="shared" si="266"/>
        <v>0</v>
      </c>
      <c r="AI433" s="1005">
        <f t="shared" si="266"/>
        <v>0</v>
      </c>
      <c r="AJ433" s="1005">
        <f t="shared" si="266"/>
        <v>0</v>
      </c>
      <c r="AK433" s="1005">
        <f t="shared" si="266"/>
        <v>0</v>
      </c>
      <c r="AL433" s="1005">
        <f t="shared" si="266"/>
        <v>0</v>
      </c>
      <c r="AM433" s="1005">
        <f t="shared" si="266"/>
        <v>0</v>
      </c>
      <c r="AN433" s="1005">
        <f t="shared" si="266"/>
        <v>0</v>
      </c>
      <c r="AO433" s="1005">
        <f t="shared" si="266"/>
        <v>0</v>
      </c>
      <c r="AP433" s="1005">
        <f t="shared" si="266"/>
        <v>0</v>
      </c>
      <c r="AQ433" s="1005">
        <f t="shared" si="266"/>
        <v>0</v>
      </c>
      <c r="AR433" s="1075">
        <f t="shared" ref="AR433:AR446" si="267">SUM(AF433:AQ433)</f>
        <v>0</v>
      </c>
    </row>
    <row r="434" spans="1:46" ht="15.05" thickBot="1" x14ac:dyDescent="0.35">
      <c r="A434" s="205"/>
      <c r="B434" s="5044"/>
      <c r="C434" s="985">
        <f t="shared" si="259"/>
        <v>0</v>
      </c>
      <c r="D434" s="985">
        <f>IF(B434=0,0,VLOOKUP(B434,Precios!$B$216:$D$307,3,FALSE))</f>
        <v>0</v>
      </c>
      <c r="E434" s="5049"/>
      <c r="F434" s="1059">
        <f>IF(B434=0,0,VLOOKUP(B434,Precios!$B$216:$D$307,2,FALSE))</f>
        <v>0</v>
      </c>
      <c r="G434" s="1067">
        <f t="shared" si="262"/>
        <v>0</v>
      </c>
      <c r="H434" s="309"/>
      <c r="I434" s="1074">
        <f t="shared" si="263"/>
        <v>0</v>
      </c>
      <c r="J434" s="1005">
        <f t="shared" si="263"/>
        <v>0</v>
      </c>
      <c r="K434" s="1005">
        <f t="shared" si="263"/>
        <v>0</v>
      </c>
      <c r="L434" s="1005">
        <f t="shared" si="263"/>
        <v>0</v>
      </c>
      <c r="M434" s="1005">
        <f t="shared" si="263"/>
        <v>0</v>
      </c>
      <c r="N434" s="1005">
        <f t="shared" si="263"/>
        <v>0</v>
      </c>
      <c r="O434" s="1005">
        <f t="shared" si="263"/>
        <v>0</v>
      </c>
      <c r="P434" s="1005">
        <f t="shared" si="263"/>
        <v>0</v>
      </c>
      <c r="Q434" s="1005">
        <f t="shared" si="263"/>
        <v>0</v>
      </c>
      <c r="R434" s="1005">
        <f t="shared" si="263"/>
        <v>0</v>
      </c>
      <c r="S434" s="1005">
        <f t="shared" si="263"/>
        <v>0</v>
      </c>
      <c r="T434" s="1005">
        <f t="shared" si="263"/>
        <v>0</v>
      </c>
      <c r="U434" s="1075">
        <f t="shared" si="254"/>
        <v>0</v>
      </c>
      <c r="X434" s="301"/>
      <c r="Y434" s="5044"/>
      <c r="Z434" s="985">
        <f t="shared" si="265"/>
        <v>0</v>
      </c>
      <c r="AA434" s="985">
        <f>IF(Y434=0,0,VLOOKUP(Y434,Precios!$B$216:$D$307,3,FALSE))</f>
        <v>0</v>
      </c>
      <c r="AB434" s="986"/>
      <c r="AC434" s="1059">
        <f>IF(Y434=0,0,VLOOKUP(Y434,Precios!$B$216:$D$307,2,FALSE))</f>
        <v>0</v>
      </c>
      <c r="AD434" s="1067">
        <f t="shared" si="264"/>
        <v>0</v>
      </c>
      <c r="AE434" s="309"/>
      <c r="AF434" s="1074">
        <f t="shared" si="266"/>
        <v>0</v>
      </c>
      <c r="AG434" s="1005">
        <f t="shared" si="266"/>
        <v>0</v>
      </c>
      <c r="AH434" s="1005">
        <f t="shared" si="266"/>
        <v>0</v>
      </c>
      <c r="AI434" s="1005">
        <f t="shared" si="266"/>
        <v>0</v>
      </c>
      <c r="AJ434" s="1005">
        <f t="shared" si="266"/>
        <v>0</v>
      </c>
      <c r="AK434" s="1005">
        <f t="shared" si="266"/>
        <v>0</v>
      </c>
      <c r="AL434" s="1005">
        <f t="shared" si="266"/>
        <v>0</v>
      </c>
      <c r="AM434" s="1005">
        <f t="shared" si="266"/>
        <v>0</v>
      </c>
      <c r="AN434" s="1005">
        <f t="shared" si="266"/>
        <v>0</v>
      </c>
      <c r="AO434" s="1005">
        <f t="shared" si="266"/>
        <v>0</v>
      </c>
      <c r="AP434" s="1005">
        <f t="shared" si="266"/>
        <v>0</v>
      </c>
      <c r="AQ434" s="1005">
        <f t="shared" si="266"/>
        <v>0</v>
      </c>
      <c r="AR434" s="1075">
        <f t="shared" si="267"/>
        <v>0</v>
      </c>
    </row>
    <row r="435" spans="1:46" x14ac:dyDescent="0.3">
      <c r="A435" s="205"/>
      <c r="B435" s="5046"/>
      <c r="C435" s="1057">
        <f t="shared" si="259"/>
        <v>0</v>
      </c>
      <c r="D435" s="1057">
        <f>IF(B435=0,0,VLOOKUP(B435,Precios!$B$216:$D$307,3,FALSE))</f>
        <v>0</v>
      </c>
      <c r="E435" s="5050"/>
      <c r="F435" s="1061">
        <f>IF(B435=0,0,VLOOKUP(B435,Precios!$B$216:$D$307,2,FALSE))</f>
        <v>0</v>
      </c>
      <c r="G435" s="1068">
        <f t="shared" si="262"/>
        <v>0</v>
      </c>
      <c r="H435" s="309"/>
      <c r="I435" s="1076">
        <f t="shared" si="263"/>
        <v>0</v>
      </c>
      <c r="J435" s="1077">
        <f t="shared" si="263"/>
        <v>0</v>
      </c>
      <c r="K435" s="1077">
        <f t="shared" si="263"/>
        <v>0</v>
      </c>
      <c r="L435" s="1077">
        <f t="shared" si="263"/>
        <v>0</v>
      </c>
      <c r="M435" s="1077">
        <f t="shared" si="263"/>
        <v>0</v>
      </c>
      <c r="N435" s="1077">
        <f t="shared" si="263"/>
        <v>0</v>
      </c>
      <c r="O435" s="1077">
        <f t="shared" si="263"/>
        <v>0</v>
      </c>
      <c r="P435" s="1077">
        <f t="shared" si="263"/>
        <v>0</v>
      </c>
      <c r="Q435" s="1077">
        <f t="shared" si="263"/>
        <v>0</v>
      </c>
      <c r="R435" s="1077">
        <f t="shared" si="263"/>
        <v>0</v>
      </c>
      <c r="S435" s="1077">
        <f t="shared" si="263"/>
        <v>0</v>
      </c>
      <c r="T435" s="1077">
        <f t="shared" si="263"/>
        <v>0</v>
      </c>
      <c r="U435" s="1078">
        <f t="shared" si="254"/>
        <v>0</v>
      </c>
      <c r="X435" s="301"/>
      <c r="Y435" s="5046"/>
      <c r="Z435" s="1057">
        <f t="shared" si="265"/>
        <v>0</v>
      </c>
      <c r="AA435" s="1057">
        <f>IF(Y435=0,0,VLOOKUP(Y435,Precios!$B$216:$D$307,3,FALSE))</f>
        <v>0</v>
      </c>
      <c r="AB435" s="1060"/>
      <c r="AC435" s="1061">
        <f>IF(Y435=0,0,VLOOKUP(Y435,Precios!$B$216:$D$307,2,FALSE))</f>
        <v>0</v>
      </c>
      <c r="AD435" s="1068">
        <f t="shared" si="264"/>
        <v>0</v>
      </c>
      <c r="AE435" s="309"/>
      <c r="AF435" s="1076">
        <f t="shared" si="266"/>
        <v>0</v>
      </c>
      <c r="AG435" s="1077">
        <f t="shared" si="266"/>
        <v>0</v>
      </c>
      <c r="AH435" s="1077">
        <f t="shared" si="266"/>
        <v>0</v>
      </c>
      <c r="AI435" s="1077">
        <f t="shared" si="266"/>
        <v>0</v>
      </c>
      <c r="AJ435" s="1077">
        <f t="shared" si="266"/>
        <v>0</v>
      </c>
      <c r="AK435" s="1077">
        <f t="shared" si="266"/>
        <v>0</v>
      </c>
      <c r="AL435" s="1077">
        <f t="shared" si="266"/>
        <v>0</v>
      </c>
      <c r="AM435" s="1077">
        <f t="shared" si="266"/>
        <v>0</v>
      </c>
      <c r="AN435" s="1077">
        <f t="shared" si="266"/>
        <v>0</v>
      </c>
      <c r="AO435" s="1077">
        <f t="shared" si="266"/>
        <v>0</v>
      </c>
      <c r="AP435" s="1077">
        <f t="shared" si="266"/>
        <v>0</v>
      </c>
      <c r="AQ435" s="1077">
        <f t="shared" si="266"/>
        <v>0</v>
      </c>
      <c r="AR435" s="1078">
        <f t="shared" si="267"/>
        <v>0</v>
      </c>
    </row>
    <row r="436" spans="1:46" x14ac:dyDescent="0.3">
      <c r="A436" s="205"/>
      <c r="B436" s="647" t="s">
        <v>1085</v>
      </c>
      <c r="C436" s="305"/>
      <c r="D436" s="305"/>
      <c r="E436" s="305"/>
      <c r="F436" s="650"/>
      <c r="G436" s="305"/>
      <c r="H436" s="310"/>
      <c r="I436" s="904">
        <f t="shared" ref="I436:T436" si="268">SUM(I428:I435)</f>
        <v>0</v>
      </c>
      <c r="J436" s="904">
        <f t="shared" si="268"/>
        <v>0</v>
      </c>
      <c r="K436" s="904">
        <f t="shared" si="268"/>
        <v>0</v>
      </c>
      <c r="L436" s="904">
        <f t="shared" si="268"/>
        <v>0</v>
      </c>
      <c r="M436" s="904">
        <f t="shared" si="268"/>
        <v>0</v>
      </c>
      <c r="N436" s="904">
        <f t="shared" si="268"/>
        <v>0</v>
      </c>
      <c r="O436" s="904">
        <f t="shared" si="268"/>
        <v>0</v>
      </c>
      <c r="P436" s="904">
        <f t="shared" si="268"/>
        <v>0</v>
      </c>
      <c r="Q436" s="904">
        <f t="shared" si="268"/>
        <v>0</v>
      </c>
      <c r="R436" s="904">
        <f t="shared" si="268"/>
        <v>0</v>
      </c>
      <c r="S436" s="904">
        <f t="shared" si="268"/>
        <v>0</v>
      </c>
      <c r="T436" s="904">
        <f t="shared" si="268"/>
        <v>0</v>
      </c>
      <c r="U436" s="905">
        <f>SUM(I436:T436)</f>
        <v>0</v>
      </c>
      <c r="W436" s="232" t="str">
        <f>B427&amp;B410</f>
        <v>Semillas0</v>
      </c>
      <c r="X436" s="301"/>
      <c r="Y436" s="647" t="s">
        <v>1085</v>
      </c>
      <c r="Z436" s="305"/>
      <c r="AA436" s="305"/>
      <c r="AB436" s="305"/>
      <c r="AC436" s="650"/>
      <c r="AD436" s="305"/>
      <c r="AE436" s="310"/>
      <c r="AF436" s="904">
        <f t="shared" ref="AF436:AQ436" si="269">SUM(AF428:AF435)</f>
        <v>0</v>
      </c>
      <c r="AG436" s="904">
        <f t="shared" si="269"/>
        <v>0</v>
      </c>
      <c r="AH436" s="904">
        <f t="shared" si="269"/>
        <v>0</v>
      </c>
      <c r="AI436" s="904">
        <f t="shared" si="269"/>
        <v>0</v>
      </c>
      <c r="AJ436" s="904">
        <f t="shared" si="269"/>
        <v>0</v>
      </c>
      <c r="AK436" s="904">
        <f t="shared" si="269"/>
        <v>0</v>
      </c>
      <c r="AL436" s="904">
        <f t="shared" si="269"/>
        <v>0</v>
      </c>
      <c r="AM436" s="904">
        <f t="shared" si="269"/>
        <v>0</v>
      </c>
      <c r="AN436" s="904">
        <f t="shared" si="269"/>
        <v>0</v>
      </c>
      <c r="AO436" s="904">
        <f t="shared" si="269"/>
        <v>0</v>
      </c>
      <c r="AP436" s="904">
        <f t="shared" si="269"/>
        <v>0</v>
      </c>
      <c r="AQ436" s="904">
        <f t="shared" si="269"/>
        <v>0</v>
      </c>
      <c r="AR436" s="905">
        <f>SUM(AF436:AQ436)</f>
        <v>0</v>
      </c>
      <c r="AT436" s="232" t="str">
        <f>Y427&amp;Y410</f>
        <v>Semillas0</v>
      </c>
    </row>
    <row r="437" spans="1:46" x14ac:dyDescent="0.2">
      <c r="A437" s="205"/>
      <c r="B437" s="197" t="s">
        <v>339</v>
      </c>
      <c r="C437" s="307"/>
      <c r="D437" s="307"/>
      <c r="E437" s="308"/>
      <c r="F437" s="651"/>
      <c r="G437" s="308"/>
      <c r="H437" s="307"/>
      <c r="I437" s="307"/>
      <c r="J437" s="307"/>
      <c r="K437" s="307"/>
      <c r="L437" s="307"/>
      <c r="M437" s="307"/>
      <c r="N437" s="307"/>
      <c r="O437" s="307"/>
      <c r="P437" s="307"/>
      <c r="Q437" s="307"/>
      <c r="R437" s="307"/>
      <c r="S437" s="307"/>
      <c r="T437" s="307"/>
      <c r="U437" s="646"/>
      <c r="X437" s="301"/>
      <c r="Y437" s="197" t="s">
        <v>339</v>
      </c>
      <c r="Z437" s="307"/>
      <c r="AA437" s="307"/>
      <c r="AB437" s="308"/>
      <c r="AC437" s="651"/>
      <c r="AD437" s="308"/>
      <c r="AE437" s="307"/>
      <c r="AF437" s="307"/>
      <c r="AG437" s="307"/>
      <c r="AH437" s="307"/>
      <c r="AI437" s="307"/>
      <c r="AJ437" s="307"/>
      <c r="AK437" s="307"/>
      <c r="AL437" s="307"/>
      <c r="AM437" s="307"/>
      <c r="AN437" s="307"/>
      <c r="AO437" s="307"/>
      <c r="AP437" s="307"/>
      <c r="AQ437" s="307"/>
      <c r="AR437" s="646"/>
    </row>
    <row r="438" spans="1:46" ht="15.05" thickBot="1" x14ac:dyDescent="0.35">
      <c r="A438" s="205"/>
      <c r="B438" s="5042"/>
      <c r="C438" s="1056">
        <f t="shared" si="259"/>
        <v>0</v>
      </c>
      <c r="D438" s="1056">
        <f>IF(B438=0,0,VLOOKUP(B438,Precios!$B$216:$D$307,3,FALSE))</f>
        <v>0</v>
      </c>
      <c r="E438" s="5048"/>
      <c r="F438" s="1063">
        <f>IF(B438=0,0,VLOOKUP(B438,Precios!$B$216:$D$307,2,FALSE))</f>
        <v>0</v>
      </c>
      <c r="G438" s="1066">
        <f>E438*F438</f>
        <v>0</v>
      </c>
      <c r="H438" s="309"/>
      <c r="I438" s="1072">
        <f t="shared" ref="I438:T440" si="270">IF($C438&gt;0,I$411*$E438,0)</f>
        <v>0</v>
      </c>
      <c r="J438" s="1033">
        <f t="shared" si="270"/>
        <v>0</v>
      </c>
      <c r="K438" s="1033">
        <f t="shared" si="270"/>
        <v>0</v>
      </c>
      <c r="L438" s="1033">
        <f t="shared" si="270"/>
        <v>0</v>
      </c>
      <c r="M438" s="1033">
        <f t="shared" si="270"/>
        <v>0</v>
      </c>
      <c r="N438" s="1033">
        <f t="shared" si="270"/>
        <v>0</v>
      </c>
      <c r="O438" s="1033">
        <f t="shared" si="270"/>
        <v>0</v>
      </c>
      <c r="P438" s="1033">
        <f t="shared" si="270"/>
        <v>0</v>
      </c>
      <c r="Q438" s="1033">
        <f t="shared" si="270"/>
        <v>0</v>
      </c>
      <c r="R438" s="1033">
        <f t="shared" si="270"/>
        <v>0</v>
      </c>
      <c r="S438" s="1033">
        <f t="shared" si="270"/>
        <v>0</v>
      </c>
      <c r="T438" s="1033">
        <f t="shared" si="270"/>
        <v>0</v>
      </c>
      <c r="U438" s="1073">
        <f t="shared" ref="U438:U446" si="271">SUM(I438:T438)</f>
        <v>0</v>
      </c>
      <c r="X438" s="301"/>
      <c r="Y438" s="5042"/>
      <c r="Z438" s="1056">
        <f t="shared" si="265"/>
        <v>0</v>
      </c>
      <c r="AA438" s="1056">
        <f>IF(Y438=0,0,VLOOKUP(Y438,Precios!$B$216:$D$307,3,FALSE))</f>
        <v>0</v>
      </c>
      <c r="AB438" s="1058"/>
      <c r="AC438" s="1063">
        <f>IF(Y438=0,0,VLOOKUP(Y438,Precios!$B$216:$D$307,2,FALSE))</f>
        <v>0</v>
      </c>
      <c r="AD438" s="1066">
        <f>AB438*AC438</f>
        <v>0</v>
      </c>
      <c r="AE438" s="309"/>
      <c r="AF438" s="1072">
        <f t="shared" si="266"/>
        <v>0</v>
      </c>
      <c r="AG438" s="1033">
        <f t="shared" si="266"/>
        <v>0</v>
      </c>
      <c r="AH438" s="1033">
        <f t="shared" si="266"/>
        <v>0</v>
      </c>
      <c r="AI438" s="1033">
        <f t="shared" si="266"/>
        <v>0</v>
      </c>
      <c r="AJ438" s="1033">
        <f t="shared" si="266"/>
        <v>0</v>
      </c>
      <c r="AK438" s="1033">
        <f t="shared" si="266"/>
        <v>0</v>
      </c>
      <c r="AL438" s="1033">
        <f t="shared" si="266"/>
        <v>0</v>
      </c>
      <c r="AM438" s="1033">
        <f t="shared" si="266"/>
        <v>0</v>
      </c>
      <c r="AN438" s="1033">
        <f t="shared" si="266"/>
        <v>0</v>
      </c>
      <c r="AO438" s="1033">
        <f t="shared" si="266"/>
        <v>0</v>
      </c>
      <c r="AP438" s="1033">
        <f t="shared" si="266"/>
        <v>0</v>
      </c>
      <c r="AQ438" s="1033">
        <f t="shared" si="266"/>
        <v>0</v>
      </c>
      <c r="AR438" s="1073">
        <f t="shared" si="267"/>
        <v>0</v>
      </c>
    </row>
    <row r="439" spans="1:46" ht="15.05" thickBot="1" x14ac:dyDescent="0.35">
      <c r="A439" s="205"/>
      <c r="B439" s="5044"/>
      <c r="C439" s="985">
        <f t="shared" si="259"/>
        <v>0</v>
      </c>
      <c r="D439" s="985">
        <f>IF(B439=0,0,VLOOKUP(B439,Precios!$B$216:$D$307,3,FALSE))</f>
        <v>0</v>
      </c>
      <c r="E439" s="5049"/>
      <c r="F439" s="1064">
        <f>IF(B439=0,0,VLOOKUP(B439,Precios!$B$216:$D$307,2,FALSE))</f>
        <v>0</v>
      </c>
      <c r="G439" s="1067">
        <f>E439*F439</f>
        <v>0</v>
      </c>
      <c r="H439" s="309"/>
      <c r="I439" s="1074">
        <f t="shared" si="270"/>
        <v>0</v>
      </c>
      <c r="J439" s="1005">
        <f t="shared" si="270"/>
        <v>0</v>
      </c>
      <c r="K439" s="1005">
        <f t="shared" si="270"/>
        <v>0</v>
      </c>
      <c r="L439" s="1005">
        <f t="shared" si="270"/>
        <v>0</v>
      </c>
      <c r="M439" s="1005">
        <f t="shared" si="270"/>
        <v>0</v>
      </c>
      <c r="N439" s="1005">
        <f t="shared" si="270"/>
        <v>0</v>
      </c>
      <c r="O439" s="1005">
        <f t="shared" si="270"/>
        <v>0</v>
      </c>
      <c r="P439" s="1005">
        <f t="shared" si="270"/>
        <v>0</v>
      </c>
      <c r="Q439" s="1005">
        <f t="shared" si="270"/>
        <v>0</v>
      </c>
      <c r="R439" s="1005">
        <f t="shared" si="270"/>
        <v>0</v>
      </c>
      <c r="S439" s="1005">
        <f t="shared" si="270"/>
        <v>0</v>
      </c>
      <c r="T439" s="1005">
        <f t="shared" si="270"/>
        <v>0</v>
      </c>
      <c r="U439" s="1075">
        <f t="shared" si="271"/>
        <v>0</v>
      </c>
      <c r="X439" s="301"/>
      <c r="Y439" s="5044"/>
      <c r="Z439" s="985">
        <f t="shared" si="265"/>
        <v>0</v>
      </c>
      <c r="AA439" s="985">
        <f>IF(Y439=0,0,VLOOKUP(Y439,Precios!$B$216:$D$307,3,FALSE))</f>
        <v>0</v>
      </c>
      <c r="AB439" s="986"/>
      <c r="AC439" s="1064">
        <f>IF(Y439=0,0,VLOOKUP(Y439,Precios!$B$216:$D$307,2,FALSE))</f>
        <v>0</v>
      </c>
      <c r="AD439" s="1067">
        <f>AB439*AC439</f>
        <v>0</v>
      </c>
      <c r="AE439" s="309"/>
      <c r="AF439" s="1074">
        <f t="shared" si="266"/>
        <v>0</v>
      </c>
      <c r="AG439" s="1005">
        <f t="shared" si="266"/>
        <v>0</v>
      </c>
      <c r="AH439" s="1005">
        <f t="shared" si="266"/>
        <v>0</v>
      </c>
      <c r="AI439" s="1005">
        <f t="shared" si="266"/>
        <v>0</v>
      </c>
      <c r="AJ439" s="1005">
        <f t="shared" si="266"/>
        <v>0</v>
      </c>
      <c r="AK439" s="1005">
        <f t="shared" si="266"/>
        <v>0</v>
      </c>
      <c r="AL439" s="1005">
        <f t="shared" si="266"/>
        <v>0</v>
      </c>
      <c r="AM439" s="1005">
        <f t="shared" si="266"/>
        <v>0</v>
      </c>
      <c r="AN439" s="1005">
        <f t="shared" si="266"/>
        <v>0</v>
      </c>
      <c r="AO439" s="1005">
        <f t="shared" si="266"/>
        <v>0</v>
      </c>
      <c r="AP439" s="1005">
        <f t="shared" si="266"/>
        <v>0</v>
      </c>
      <c r="AQ439" s="1005">
        <f t="shared" si="266"/>
        <v>0</v>
      </c>
      <c r="AR439" s="1075">
        <f t="shared" si="267"/>
        <v>0</v>
      </c>
    </row>
    <row r="440" spans="1:46" x14ac:dyDescent="0.3">
      <c r="A440" s="205"/>
      <c r="B440" s="5046"/>
      <c r="C440" s="1057">
        <f t="shared" si="259"/>
        <v>0</v>
      </c>
      <c r="D440" s="1057">
        <f>IF(B440=0,0,VLOOKUP(B440,Precios!$B$216:$D$307,3,FALSE))</f>
        <v>0</v>
      </c>
      <c r="E440" s="5050"/>
      <c r="F440" s="1065">
        <f>IF(B440=0,0,VLOOKUP(B440,Precios!$B$216:$D$307,2,FALSE))</f>
        <v>0</v>
      </c>
      <c r="G440" s="1068">
        <f>E440*F440</f>
        <v>0</v>
      </c>
      <c r="H440" s="309"/>
      <c r="I440" s="1079">
        <f t="shared" si="270"/>
        <v>0</v>
      </c>
      <c r="J440" s="1047">
        <f t="shared" si="270"/>
        <v>0</v>
      </c>
      <c r="K440" s="1047">
        <f t="shared" si="270"/>
        <v>0</v>
      </c>
      <c r="L440" s="1047">
        <f t="shared" si="270"/>
        <v>0</v>
      </c>
      <c r="M440" s="1047">
        <f t="shared" si="270"/>
        <v>0</v>
      </c>
      <c r="N440" s="1047">
        <f t="shared" si="270"/>
        <v>0</v>
      </c>
      <c r="O440" s="1047">
        <f t="shared" si="270"/>
        <v>0</v>
      </c>
      <c r="P440" s="1047">
        <f t="shared" si="270"/>
        <v>0</v>
      </c>
      <c r="Q440" s="1047">
        <f t="shared" si="270"/>
        <v>0</v>
      </c>
      <c r="R440" s="1047">
        <f t="shared" si="270"/>
        <v>0</v>
      </c>
      <c r="S440" s="1047">
        <f t="shared" si="270"/>
        <v>0</v>
      </c>
      <c r="T440" s="1047">
        <f t="shared" si="270"/>
        <v>0</v>
      </c>
      <c r="U440" s="1080">
        <f t="shared" si="271"/>
        <v>0</v>
      </c>
      <c r="X440" s="301"/>
      <c r="Y440" s="5046"/>
      <c r="Z440" s="1057">
        <f t="shared" si="265"/>
        <v>0</v>
      </c>
      <c r="AA440" s="1057">
        <f>IF(Y440=0,0,VLOOKUP(Y440,Precios!$B$216:$D$307,3,FALSE))</f>
        <v>0</v>
      </c>
      <c r="AB440" s="1060"/>
      <c r="AC440" s="1065">
        <f>IF(Y440=0,0,VLOOKUP(Y440,Precios!$B$216:$D$307,2,FALSE))</f>
        <v>0</v>
      </c>
      <c r="AD440" s="1068">
        <f>AB440*AC440</f>
        <v>0</v>
      </c>
      <c r="AE440" s="309"/>
      <c r="AF440" s="1079">
        <f t="shared" si="266"/>
        <v>0</v>
      </c>
      <c r="AG440" s="1047">
        <f t="shared" si="266"/>
        <v>0</v>
      </c>
      <c r="AH440" s="1047">
        <f t="shared" si="266"/>
        <v>0</v>
      </c>
      <c r="AI440" s="1047">
        <f t="shared" si="266"/>
        <v>0</v>
      </c>
      <c r="AJ440" s="1047">
        <f t="shared" si="266"/>
        <v>0</v>
      </c>
      <c r="AK440" s="1047">
        <f t="shared" si="266"/>
        <v>0</v>
      </c>
      <c r="AL440" s="1047">
        <f t="shared" si="266"/>
        <v>0</v>
      </c>
      <c r="AM440" s="1047">
        <f t="shared" si="266"/>
        <v>0</v>
      </c>
      <c r="AN440" s="1047">
        <f t="shared" si="266"/>
        <v>0</v>
      </c>
      <c r="AO440" s="1047">
        <f t="shared" si="266"/>
        <v>0</v>
      </c>
      <c r="AP440" s="1047">
        <f t="shared" si="266"/>
        <v>0</v>
      </c>
      <c r="AQ440" s="1047">
        <f t="shared" si="266"/>
        <v>0</v>
      </c>
      <c r="AR440" s="1080">
        <f t="shared" si="267"/>
        <v>0</v>
      </c>
    </row>
    <row r="441" spans="1:46" x14ac:dyDescent="0.3">
      <c r="A441" s="205"/>
      <c r="B441" s="647" t="s">
        <v>1086</v>
      </c>
      <c r="C441" s="305"/>
      <c r="D441" s="305"/>
      <c r="E441" s="305"/>
      <c r="F441" s="650"/>
      <c r="G441" s="305"/>
      <c r="H441" s="306"/>
      <c r="I441" s="906">
        <f t="shared" ref="I441:T441" si="272">SUM(I438:I440)</f>
        <v>0</v>
      </c>
      <c r="J441" s="906">
        <f t="shared" si="272"/>
        <v>0</v>
      </c>
      <c r="K441" s="906">
        <f t="shared" si="272"/>
        <v>0</v>
      </c>
      <c r="L441" s="906">
        <f t="shared" si="272"/>
        <v>0</v>
      </c>
      <c r="M441" s="906">
        <f t="shared" si="272"/>
        <v>0</v>
      </c>
      <c r="N441" s="906">
        <f t="shared" si="272"/>
        <v>0</v>
      </c>
      <c r="O441" s="906">
        <f t="shared" si="272"/>
        <v>0</v>
      </c>
      <c r="P441" s="906">
        <f t="shared" si="272"/>
        <v>0</v>
      </c>
      <c r="Q441" s="906">
        <f t="shared" si="272"/>
        <v>0</v>
      </c>
      <c r="R441" s="906">
        <f t="shared" si="272"/>
        <v>0</v>
      </c>
      <c r="S441" s="906">
        <f t="shared" si="272"/>
        <v>0</v>
      </c>
      <c r="T441" s="907">
        <f t="shared" si="272"/>
        <v>0</v>
      </c>
      <c r="U441" s="905">
        <f>SUM(I441:T441)</f>
        <v>0</v>
      </c>
      <c r="W441" s="232" t="str">
        <f>B437&amp;B410</f>
        <v>Fertilizantes 0</v>
      </c>
      <c r="X441" s="301"/>
      <c r="Y441" s="647" t="s">
        <v>1086</v>
      </c>
      <c r="Z441" s="305"/>
      <c r="AA441" s="305"/>
      <c r="AB441" s="305"/>
      <c r="AC441" s="650"/>
      <c r="AD441" s="305"/>
      <c r="AE441" s="306"/>
      <c r="AF441" s="906">
        <f t="shared" ref="AF441:AQ441" si="273">SUM(AF438:AF440)</f>
        <v>0</v>
      </c>
      <c r="AG441" s="906">
        <f t="shared" si="273"/>
        <v>0</v>
      </c>
      <c r="AH441" s="906">
        <f t="shared" si="273"/>
        <v>0</v>
      </c>
      <c r="AI441" s="906">
        <f t="shared" si="273"/>
        <v>0</v>
      </c>
      <c r="AJ441" s="906">
        <f t="shared" si="273"/>
        <v>0</v>
      </c>
      <c r="AK441" s="906">
        <f t="shared" si="273"/>
        <v>0</v>
      </c>
      <c r="AL441" s="906">
        <f t="shared" si="273"/>
        <v>0</v>
      </c>
      <c r="AM441" s="906">
        <f t="shared" si="273"/>
        <v>0</v>
      </c>
      <c r="AN441" s="906">
        <f t="shared" si="273"/>
        <v>0</v>
      </c>
      <c r="AO441" s="906">
        <f t="shared" si="273"/>
        <v>0</v>
      </c>
      <c r="AP441" s="906">
        <f t="shared" si="273"/>
        <v>0</v>
      </c>
      <c r="AQ441" s="907">
        <f t="shared" si="273"/>
        <v>0</v>
      </c>
      <c r="AR441" s="905">
        <f>SUM(AF441:AQ441)</f>
        <v>0</v>
      </c>
      <c r="AT441" s="232" t="str">
        <f>Y437&amp;Y410</f>
        <v>Fertilizantes 0</v>
      </c>
    </row>
    <row r="442" spans="1:46" x14ac:dyDescent="0.2">
      <c r="A442" s="205"/>
      <c r="B442" s="197" t="s">
        <v>340</v>
      </c>
      <c r="C442" s="307"/>
      <c r="D442" s="307"/>
      <c r="E442" s="308"/>
      <c r="F442" s="651"/>
      <c r="G442" s="308"/>
      <c r="H442" s="307"/>
      <c r="I442" s="307"/>
      <c r="J442" s="307"/>
      <c r="K442" s="307"/>
      <c r="L442" s="307"/>
      <c r="M442" s="307"/>
      <c r="N442" s="307"/>
      <c r="O442" s="307"/>
      <c r="P442" s="307"/>
      <c r="Q442" s="307"/>
      <c r="R442" s="307"/>
      <c r="S442" s="307"/>
      <c r="T442" s="307"/>
      <c r="U442" s="646"/>
      <c r="X442" s="301"/>
      <c r="Y442" s="197" t="s">
        <v>340</v>
      </c>
      <c r="Z442" s="307"/>
      <c r="AA442" s="307"/>
      <c r="AB442" s="308"/>
      <c r="AC442" s="651"/>
      <c r="AD442" s="308"/>
      <c r="AE442" s="307"/>
      <c r="AF442" s="307"/>
      <c r="AG442" s="307"/>
      <c r="AH442" s="307"/>
      <c r="AI442" s="307"/>
      <c r="AJ442" s="307"/>
      <c r="AK442" s="307"/>
      <c r="AL442" s="307"/>
      <c r="AM442" s="307"/>
      <c r="AN442" s="307"/>
      <c r="AO442" s="307"/>
      <c r="AP442" s="307"/>
      <c r="AQ442" s="307"/>
      <c r="AR442" s="646"/>
    </row>
    <row r="443" spans="1:46" ht="15.05" thickBot="1" x14ac:dyDescent="0.35">
      <c r="A443" s="205"/>
      <c r="B443" s="5042"/>
      <c r="C443" s="1056">
        <f t="shared" si="259"/>
        <v>0</v>
      </c>
      <c r="D443" s="1056">
        <f>IF(B443=0,0,VLOOKUP(B443,Precios!$B$216:$D$307,3,FALSE))</f>
        <v>0</v>
      </c>
      <c r="E443" s="5048"/>
      <c r="F443" s="1062">
        <f>IF(B443=0,0,VLOOKUP(B443,Precios!$B$216:$D$307,2,FALSE))</f>
        <v>0</v>
      </c>
      <c r="G443" s="1066">
        <f>E443*F443</f>
        <v>0</v>
      </c>
      <c r="H443" s="309"/>
      <c r="I443" s="1072">
        <f t="shared" ref="I443:T445" si="274">IF($C443&gt;0,I$411*$E443,0)</f>
        <v>0</v>
      </c>
      <c r="J443" s="1033">
        <f t="shared" si="274"/>
        <v>0</v>
      </c>
      <c r="K443" s="1033">
        <f t="shared" si="274"/>
        <v>0</v>
      </c>
      <c r="L443" s="1033">
        <f t="shared" si="274"/>
        <v>0</v>
      </c>
      <c r="M443" s="1033">
        <f t="shared" si="274"/>
        <v>0</v>
      </c>
      <c r="N443" s="1033">
        <f t="shared" si="274"/>
        <v>0</v>
      </c>
      <c r="O443" s="1033">
        <f t="shared" si="274"/>
        <v>0</v>
      </c>
      <c r="P443" s="1033">
        <f t="shared" si="274"/>
        <v>0</v>
      </c>
      <c r="Q443" s="1033">
        <f t="shared" si="274"/>
        <v>0</v>
      </c>
      <c r="R443" s="1033">
        <f t="shared" si="274"/>
        <v>0</v>
      </c>
      <c r="S443" s="1033">
        <f t="shared" si="274"/>
        <v>0</v>
      </c>
      <c r="T443" s="1033">
        <f t="shared" si="274"/>
        <v>0</v>
      </c>
      <c r="U443" s="1073">
        <f t="shared" si="271"/>
        <v>0</v>
      </c>
      <c r="X443" s="301"/>
      <c r="Y443" s="5042"/>
      <c r="Z443" s="1056">
        <f t="shared" si="265"/>
        <v>0</v>
      </c>
      <c r="AA443" s="1056">
        <f>IF(Y443=0,0,VLOOKUP(Y443,Precios!$B$216:$D$307,3,FALSE))</f>
        <v>0</v>
      </c>
      <c r="AB443" s="1058"/>
      <c r="AC443" s="1062">
        <f>IF(Y443=0,0,VLOOKUP(Y443,Precios!$B$216:$D$307,2,FALSE))</f>
        <v>0</v>
      </c>
      <c r="AD443" s="1066">
        <f>AB443*AC443</f>
        <v>0</v>
      </c>
      <c r="AE443" s="309"/>
      <c r="AF443" s="1072">
        <f t="shared" si="266"/>
        <v>0</v>
      </c>
      <c r="AG443" s="1033">
        <f t="shared" si="266"/>
        <v>0</v>
      </c>
      <c r="AH443" s="1033">
        <f t="shared" si="266"/>
        <v>0</v>
      </c>
      <c r="AI443" s="1033">
        <f t="shared" si="266"/>
        <v>0</v>
      </c>
      <c r="AJ443" s="1033">
        <f t="shared" si="266"/>
        <v>0</v>
      </c>
      <c r="AK443" s="1033">
        <f t="shared" si="266"/>
        <v>0</v>
      </c>
      <c r="AL443" s="1033">
        <f t="shared" si="266"/>
        <v>0</v>
      </c>
      <c r="AM443" s="1033">
        <f t="shared" si="266"/>
        <v>0</v>
      </c>
      <c r="AN443" s="1033">
        <f t="shared" si="266"/>
        <v>0</v>
      </c>
      <c r="AO443" s="1033">
        <f t="shared" si="266"/>
        <v>0</v>
      </c>
      <c r="AP443" s="1033">
        <f t="shared" si="266"/>
        <v>0</v>
      </c>
      <c r="AQ443" s="1033">
        <f t="shared" si="266"/>
        <v>0</v>
      </c>
      <c r="AR443" s="1073">
        <f t="shared" si="267"/>
        <v>0</v>
      </c>
    </row>
    <row r="444" spans="1:46" ht="15.05" thickBot="1" x14ac:dyDescent="0.35">
      <c r="A444" s="205"/>
      <c r="B444" s="5044"/>
      <c r="C444" s="985">
        <f t="shared" si="259"/>
        <v>0</v>
      </c>
      <c r="D444" s="985">
        <f>IF(B444=0,0,VLOOKUP(B444,Precios!$B$216:$D$307,3,FALSE))</f>
        <v>0</v>
      </c>
      <c r="E444" s="5049"/>
      <c r="F444" s="1059">
        <f>IF(B444=0,0,VLOOKUP(B444,Precios!$B$216:$D$307,2,FALSE))</f>
        <v>0</v>
      </c>
      <c r="G444" s="1067">
        <f>E444*F444</f>
        <v>0</v>
      </c>
      <c r="H444" s="309"/>
      <c r="I444" s="1074">
        <f t="shared" si="274"/>
        <v>0</v>
      </c>
      <c r="J444" s="1005">
        <f t="shared" si="274"/>
        <v>0</v>
      </c>
      <c r="K444" s="1005">
        <f t="shared" si="274"/>
        <v>0</v>
      </c>
      <c r="L444" s="1005">
        <f t="shared" si="274"/>
        <v>0</v>
      </c>
      <c r="M444" s="1005">
        <f t="shared" si="274"/>
        <v>0</v>
      </c>
      <c r="N444" s="1005">
        <f t="shared" si="274"/>
        <v>0</v>
      </c>
      <c r="O444" s="1005">
        <f t="shared" si="274"/>
        <v>0</v>
      </c>
      <c r="P444" s="1005">
        <f t="shared" si="274"/>
        <v>0</v>
      </c>
      <c r="Q444" s="1005">
        <f t="shared" si="274"/>
        <v>0</v>
      </c>
      <c r="R444" s="1005">
        <f t="shared" si="274"/>
        <v>0</v>
      </c>
      <c r="S444" s="1005">
        <f t="shared" si="274"/>
        <v>0</v>
      </c>
      <c r="T444" s="1005">
        <f t="shared" si="274"/>
        <v>0</v>
      </c>
      <c r="U444" s="1075">
        <f t="shared" si="271"/>
        <v>0</v>
      </c>
      <c r="X444" s="301"/>
      <c r="Y444" s="5044"/>
      <c r="Z444" s="985">
        <f t="shared" si="265"/>
        <v>0</v>
      </c>
      <c r="AA444" s="985">
        <f>IF(Y444=0,0,VLOOKUP(Y444,Precios!$B$216:$D$307,3,FALSE))</f>
        <v>0</v>
      </c>
      <c r="AB444" s="986"/>
      <c r="AC444" s="1059">
        <f>IF(Y444=0,0,VLOOKUP(Y444,Precios!$B$216:$D$307,2,FALSE))</f>
        <v>0</v>
      </c>
      <c r="AD444" s="1067">
        <f>AB444*AC444</f>
        <v>0</v>
      </c>
      <c r="AE444" s="309"/>
      <c r="AF444" s="1074">
        <f t="shared" si="266"/>
        <v>0</v>
      </c>
      <c r="AG444" s="1005">
        <f t="shared" si="266"/>
        <v>0</v>
      </c>
      <c r="AH444" s="1005">
        <f t="shared" si="266"/>
        <v>0</v>
      </c>
      <c r="AI444" s="1005">
        <f t="shared" si="266"/>
        <v>0</v>
      </c>
      <c r="AJ444" s="1005">
        <f t="shared" si="266"/>
        <v>0</v>
      </c>
      <c r="AK444" s="1005">
        <f t="shared" si="266"/>
        <v>0</v>
      </c>
      <c r="AL444" s="1005">
        <f t="shared" si="266"/>
        <v>0</v>
      </c>
      <c r="AM444" s="1005">
        <f t="shared" si="266"/>
        <v>0</v>
      </c>
      <c r="AN444" s="1005">
        <f t="shared" si="266"/>
        <v>0</v>
      </c>
      <c r="AO444" s="1005">
        <f t="shared" si="266"/>
        <v>0</v>
      </c>
      <c r="AP444" s="1005">
        <f t="shared" si="266"/>
        <v>0</v>
      </c>
      <c r="AQ444" s="1005">
        <f t="shared" si="266"/>
        <v>0</v>
      </c>
      <c r="AR444" s="1075">
        <f t="shared" si="267"/>
        <v>0</v>
      </c>
    </row>
    <row r="445" spans="1:46" x14ac:dyDescent="0.3">
      <c r="A445" s="205"/>
      <c r="B445" s="5046"/>
      <c r="C445" s="1057">
        <f t="shared" si="259"/>
        <v>0</v>
      </c>
      <c r="D445" s="1057">
        <f>IF(B445=0,0,VLOOKUP(B445,Precios!$B$216:$D$307,3,FALSE))</f>
        <v>0</v>
      </c>
      <c r="E445" s="5050"/>
      <c r="F445" s="1061">
        <f>IF(B445=0,0,VLOOKUP(B445,Precios!$B$216:$D$307,2,FALSE))</f>
        <v>0</v>
      </c>
      <c r="G445" s="1068">
        <f>E445*F445</f>
        <v>0</v>
      </c>
      <c r="H445" s="309"/>
      <c r="I445" s="1079">
        <f t="shared" si="274"/>
        <v>0</v>
      </c>
      <c r="J445" s="1047">
        <f t="shared" si="274"/>
        <v>0</v>
      </c>
      <c r="K445" s="1047">
        <f t="shared" si="274"/>
        <v>0</v>
      </c>
      <c r="L445" s="1047">
        <f t="shared" si="274"/>
        <v>0</v>
      </c>
      <c r="M445" s="1047">
        <f t="shared" si="274"/>
        <v>0</v>
      </c>
      <c r="N445" s="1047">
        <f t="shared" si="274"/>
        <v>0</v>
      </c>
      <c r="O445" s="1047">
        <f t="shared" si="274"/>
        <v>0</v>
      </c>
      <c r="P445" s="1047">
        <f t="shared" si="274"/>
        <v>0</v>
      </c>
      <c r="Q445" s="1047">
        <f t="shared" si="274"/>
        <v>0</v>
      </c>
      <c r="R445" s="1047">
        <f t="shared" si="274"/>
        <v>0</v>
      </c>
      <c r="S445" s="1047">
        <f t="shared" si="274"/>
        <v>0</v>
      </c>
      <c r="T445" s="1047">
        <f t="shared" si="274"/>
        <v>0</v>
      </c>
      <c r="U445" s="1080">
        <f t="shared" si="271"/>
        <v>0</v>
      </c>
      <c r="X445" s="301"/>
      <c r="Y445" s="5046"/>
      <c r="Z445" s="1057">
        <f t="shared" si="265"/>
        <v>0</v>
      </c>
      <c r="AA445" s="1057">
        <f>IF(Y445=0,0,VLOOKUP(Y445,Precios!$B$216:$D$307,3,FALSE))</f>
        <v>0</v>
      </c>
      <c r="AB445" s="1060"/>
      <c r="AC445" s="1061">
        <f>IF(Y445=0,0,VLOOKUP(Y445,Precios!$B$216:$D$307,2,FALSE))</f>
        <v>0</v>
      </c>
      <c r="AD445" s="1068">
        <f>AB445*AC445</f>
        <v>0</v>
      </c>
      <c r="AE445" s="309"/>
      <c r="AF445" s="1079">
        <f t="shared" si="266"/>
        <v>0</v>
      </c>
      <c r="AG445" s="1047">
        <f t="shared" si="266"/>
        <v>0</v>
      </c>
      <c r="AH445" s="1047">
        <f t="shared" si="266"/>
        <v>0</v>
      </c>
      <c r="AI445" s="1047">
        <f t="shared" si="266"/>
        <v>0</v>
      </c>
      <c r="AJ445" s="1047">
        <f t="shared" si="266"/>
        <v>0</v>
      </c>
      <c r="AK445" s="1047">
        <f t="shared" si="266"/>
        <v>0</v>
      </c>
      <c r="AL445" s="1047">
        <f t="shared" si="266"/>
        <v>0</v>
      </c>
      <c r="AM445" s="1047">
        <f t="shared" si="266"/>
        <v>0</v>
      </c>
      <c r="AN445" s="1047">
        <f t="shared" si="266"/>
        <v>0</v>
      </c>
      <c r="AO445" s="1047">
        <f t="shared" si="266"/>
        <v>0</v>
      </c>
      <c r="AP445" s="1047">
        <f t="shared" si="266"/>
        <v>0</v>
      </c>
      <c r="AQ445" s="1047">
        <f t="shared" si="266"/>
        <v>0</v>
      </c>
      <c r="AR445" s="1080">
        <f t="shared" si="267"/>
        <v>0</v>
      </c>
    </row>
    <row r="446" spans="1:46" ht="15.05" thickBot="1" x14ac:dyDescent="0.35">
      <c r="A446" s="205"/>
      <c r="B446" s="647" t="s">
        <v>1087</v>
      </c>
      <c r="C446" s="305"/>
      <c r="D446" s="305"/>
      <c r="E446" s="305"/>
      <c r="F446" s="650"/>
      <c r="G446" s="305"/>
      <c r="H446" s="306"/>
      <c r="I446" s="906">
        <f t="shared" ref="I446:T446" si="275">SUM(I443:I445)</f>
        <v>0</v>
      </c>
      <c r="J446" s="906">
        <f t="shared" si="275"/>
        <v>0</v>
      </c>
      <c r="K446" s="906">
        <f t="shared" si="275"/>
        <v>0</v>
      </c>
      <c r="L446" s="906">
        <f t="shared" si="275"/>
        <v>0</v>
      </c>
      <c r="M446" s="906">
        <f t="shared" si="275"/>
        <v>0</v>
      </c>
      <c r="N446" s="906">
        <f t="shared" si="275"/>
        <v>0</v>
      </c>
      <c r="O446" s="906">
        <f t="shared" si="275"/>
        <v>0</v>
      </c>
      <c r="P446" s="906">
        <f t="shared" si="275"/>
        <v>0</v>
      </c>
      <c r="Q446" s="906">
        <f t="shared" si="275"/>
        <v>0</v>
      </c>
      <c r="R446" s="906">
        <f t="shared" si="275"/>
        <v>0</v>
      </c>
      <c r="S446" s="906">
        <f t="shared" si="275"/>
        <v>0</v>
      </c>
      <c r="T446" s="907">
        <f t="shared" si="275"/>
        <v>0</v>
      </c>
      <c r="U446" s="905">
        <f t="shared" si="271"/>
        <v>0</v>
      </c>
      <c r="W446" s="232" t="str">
        <f>B442&amp;B410</f>
        <v>Agroquímicos 0</v>
      </c>
      <c r="X446" s="301"/>
      <c r="Y446" s="647" t="s">
        <v>1087</v>
      </c>
      <c r="Z446" s="305"/>
      <c r="AA446" s="305"/>
      <c r="AB446" s="305"/>
      <c r="AC446" s="650"/>
      <c r="AD446" s="305"/>
      <c r="AE446" s="306"/>
      <c r="AF446" s="906">
        <f t="shared" ref="AF446:AQ446" si="276">SUM(AF443:AF445)</f>
        <v>0</v>
      </c>
      <c r="AG446" s="906">
        <f t="shared" si="276"/>
        <v>0</v>
      </c>
      <c r="AH446" s="906">
        <f t="shared" si="276"/>
        <v>0</v>
      </c>
      <c r="AI446" s="906">
        <f t="shared" si="276"/>
        <v>0</v>
      </c>
      <c r="AJ446" s="906">
        <f t="shared" si="276"/>
        <v>0</v>
      </c>
      <c r="AK446" s="906">
        <f t="shared" si="276"/>
        <v>0</v>
      </c>
      <c r="AL446" s="906">
        <f t="shared" si="276"/>
        <v>0</v>
      </c>
      <c r="AM446" s="906">
        <f t="shared" si="276"/>
        <v>0</v>
      </c>
      <c r="AN446" s="906">
        <f t="shared" si="276"/>
        <v>0</v>
      </c>
      <c r="AO446" s="906">
        <f t="shared" si="276"/>
        <v>0</v>
      </c>
      <c r="AP446" s="906">
        <f t="shared" si="276"/>
        <v>0</v>
      </c>
      <c r="AQ446" s="907">
        <f t="shared" si="276"/>
        <v>0</v>
      </c>
      <c r="AR446" s="905">
        <f t="shared" si="267"/>
        <v>0</v>
      </c>
      <c r="AT446" s="232" t="str">
        <f>Y442&amp;Y410</f>
        <v>Agroquímicos 0</v>
      </c>
    </row>
    <row r="447" spans="1:46" ht="15.05" thickBot="1" x14ac:dyDescent="0.25">
      <c r="A447" s="205"/>
      <c r="B447" s="648" t="s">
        <v>892</v>
      </c>
      <c r="C447" s="909">
        <f>+C409</f>
        <v>0</v>
      </c>
      <c r="D447" s="909"/>
      <c r="E447" s="312" t="s">
        <v>876</v>
      </c>
      <c r="F447" s="313"/>
      <c r="G447" s="289"/>
      <c r="H447" s="312"/>
      <c r="I447" s="314">
        <f>SUMPRODUCT($F414:$F445,I414:I445)</f>
        <v>0</v>
      </c>
      <c r="J447" s="314">
        <f t="shared" ref="J447:T447" si="277">SUMPRODUCT($F414:$F445,J414:J445)</f>
        <v>0</v>
      </c>
      <c r="K447" s="314">
        <f t="shared" si="277"/>
        <v>0</v>
      </c>
      <c r="L447" s="314">
        <f t="shared" si="277"/>
        <v>0</v>
      </c>
      <c r="M447" s="314">
        <f t="shared" si="277"/>
        <v>0</v>
      </c>
      <c r="N447" s="314">
        <f t="shared" si="277"/>
        <v>0</v>
      </c>
      <c r="O447" s="314">
        <f t="shared" si="277"/>
        <v>0</v>
      </c>
      <c r="P447" s="314">
        <f t="shared" si="277"/>
        <v>0</v>
      </c>
      <c r="Q447" s="314">
        <f t="shared" si="277"/>
        <v>0</v>
      </c>
      <c r="R447" s="314">
        <f t="shared" si="277"/>
        <v>0</v>
      </c>
      <c r="S447" s="314">
        <f t="shared" si="277"/>
        <v>0</v>
      </c>
      <c r="T447" s="314">
        <f t="shared" si="277"/>
        <v>0</v>
      </c>
      <c r="U447" s="908">
        <f>SUM(I447:T447)</f>
        <v>0</v>
      </c>
      <c r="X447" s="301"/>
      <c r="Y447" s="648" t="s">
        <v>892</v>
      </c>
      <c r="Z447" s="909">
        <f>+Z409</f>
        <v>0</v>
      </c>
      <c r="AA447" s="909"/>
      <c r="AB447" s="312" t="s">
        <v>876</v>
      </c>
      <c r="AC447" s="313"/>
      <c r="AD447" s="289"/>
      <c r="AE447" s="312"/>
      <c r="AF447" s="314">
        <f t="shared" ref="AF447:AQ447" si="278">SUMPRODUCT($AC414:$AC445,AF414:AF445)</f>
        <v>0</v>
      </c>
      <c r="AG447" s="314">
        <f t="shared" si="278"/>
        <v>0</v>
      </c>
      <c r="AH447" s="314">
        <f t="shared" si="278"/>
        <v>0</v>
      </c>
      <c r="AI447" s="314">
        <f t="shared" si="278"/>
        <v>0</v>
      </c>
      <c r="AJ447" s="314">
        <f t="shared" si="278"/>
        <v>0</v>
      </c>
      <c r="AK447" s="314">
        <f t="shared" si="278"/>
        <v>0</v>
      </c>
      <c r="AL447" s="314">
        <f t="shared" si="278"/>
        <v>0</v>
      </c>
      <c r="AM447" s="314">
        <f t="shared" si="278"/>
        <v>0</v>
      </c>
      <c r="AN447" s="314">
        <f t="shared" si="278"/>
        <v>0</v>
      </c>
      <c r="AO447" s="314">
        <f t="shared" si="278"/>
        <v>0</v>
      </c>
      <c r="AP447" s="314">
        <f t="shared" si="278"/>
        <v>0</v>
      </c>
      <c r="AQ447" s="314">
        <f t="shared" si="278"/>
        <v>0</v>
      </c>
      <c r="AR447" s="908">
        <f>SUM(AF447:AQ447)</f>
        <v>0</v>
      </c>
    </row>
    <row r="448" spans="1:46" x14ac:dyDescent="0.2">
      <c r="A448" s="205"/>
      <c r="B448" s="208"/>
      <c r="C448" s="177"/>
      <c r="D448" s="177"/>
      <c r="E448" s="177"/>
      <c r="F448" s="315"/>
      <c r="G448" s="316"/>
      <c r="H448" s="177"/>
      <c r="I448" s="177"/>
      <c r="J448" s="177"/>
      <c r="K448" s="177"/>
      <c r="L448" s="177"/>
      <c r="M448" s="177"/>
      <c r="N448" s="177"/>
      <c r="O448" s="177"/>
      <c r="P448" s="177"/>
      <c r="Q448" s="177"/>
      <c r="R448" s="177"/>
      <c r="S448" s="177"/>
      <c r="T448" s="177"/>
      <c r="U448" s="317"/>
      <c r="X448" s="205"/>
      <c r="Y448" s="208"/>
      <c r="Z448" s="177"/>
      <c r="AA448" s="177"/>
      <c r="AB448" s="177"/>
      <c r="AC448" s="316"/>
      <c r="AD448" s="316"/>
      <c r="AE448" s="177"/>
      <c r="AF448" s="177"/>
      <c r="AG448" s="177"/>
      <c r="AH448" s="177"/>
      <c r="AI448" s="177"/>
      <c r="AJ448" s="177"/>
      <c r="AK448" s="177"/>
      <c r="AL448" s="177"/>
      <c r="AM448" s="177"/>
      <c r="AN448" s="177"/>
      <c r="AO448" s="177"/>
      <c r="AP448" s="177"/>
      <c r="AQ448" s="177"/>
      <c r="AR448" s="317"/>
    </row>
    <row r="449" spans="1:47" ht="15.05" thickBot="1" x14ac:dyDescent="0.25">
      <c r="A449" s="205"/>
      <c r="B449" s="208"/>
      <c r="C449" s="177"/>
      <c r="D449" s="177"/>
      <c r="E449" s="177"/>
      <c r="F449" s="315"/>
      <c r="G449" s="316"/>
      <c r="H449" s="177"/>
      <c r="I449" s="177"/>
      <c r="J449" s="177"/>
      <c r="K449" s="177"/>
      <c r="L449" s="177"/>
      <c r="M449" s="177"/>
      <c r="N449" s="177"/>
      <c r="O449" s="177"/>
      <c r="P449" s="177"/>
      <c r="Q449" s="177"/>
      <c r="R449" s="177"/>
      <c r="S449" s="177"/>
      <c r="T449" s="177"/>
      <c r="U449" s="317"/>
      <c r="X449" s="205"/>
      <c r="Y449" s="208"/>
      <c r="Z449" s="177"/>
      <c r="AA449" s="177"/>
      <c r="AB449" s="177"/>
      <c r="AC449" s="316"/>
      <c r="AD449" s="316"/>
      <c r="AE449" s="177"/>
      <c r="AF449" s="177"/>
      <c r="AG449" s="177"/>
      <c r="AH449" s="177"/>
      <c r="AI449" s="177"/>
      <c r="AJ449" s="177"/>
      <c r="AK449" s="177"/>
      <c r="AL449" s="177"/>
      <c r="AM449" s="177"/>
      <c r="AN449" s="177"/>
      <c r="AO449" s="177"/>
      <c r="AP449" s="177"/>
      <c r="AQ449" s="177"/>
      <c r="AR449" s="317"/>
    </row>
    <row r="450" spans="1:47" s="254" customFormat="1" ht="15.05" thickBot="1" x14ac:dyDescent="0.25">
      <c r="A450" s="1344">
        <f>+A409+1</f>
        <v>52</v>
      </c>
      <c r="B450" s="635" t="s">
        <v>878</v>
      </c>
      <c r="C450" s="898">
        <f>UsoSuelo!D148</f>
        <v>0</v>
      </c>
      <c r="D450" s="898"/>
      <c r="E450" s="636"/>
      <c r="F450" s="637"/>
      <c r="G450" s="637"/>
      <c r="H450" s="637"/>
      <c r="I450" s="637"/>
      <c r="J450" s="637"/>
      <c r="K450" s="637"/>
      <c r="L450" s="637"/>
      <c r="M450" s="637"/>
      <c r="N450" s="637"/>
      <c r="O450" s="637"/>
      <c r="P450" s="637"/>
      <c r="Q450" s="637"/>
      <c r="R450" s="637"/>
      <c r="S450" s="637"/>
      <c r="T450" s="637"/>
      <c r="U450" s="1281"/>
      <c r="V450" s="1569"/>
      <c r="W450" s="1569"/>
      <c r="X450" s="1344">
        <f>+X409+1</f>
        <v>64</v>
      </c>
      <c r="Y450" s="635" t="s">
        <v>878</v>
      </c>
      <c r="Z450" s="898">
        <f>+UsoSuelo!D165</f>
        <v>0</v>
      </c>
      <c r="AA450" s="898"/>
      <c r="AB450" s="636"/>
      <c r="AC450" s="637"/>
      <c r="AD450" s="637"/>
      <c r="AE450" s="637"/>
      <c r="AF450" s="637"/>
      <c r="AG450" s="637"/>
      <c r="AH450" s="637"/>
      <c r="AI450" s="637"/>
      <c r="AJ450" s="637"/>
      <c r="AK450" s="637"/>
      <c r="AL450" s="637"/>
      <c r="AM450" s="637"/>
      <c r="AN450" s="637"/>
      <c r="AO450" s="637"/>
      <c r="AP450" s="637"/>
      <c r="AQ450" s="637"/>
      <c r="AR450" s="638"/>
      <c r="AS450" s="232"/>
      <c r="AT450" s="1569"/>
      <c r="AU450" s="232"/>
    </row>
    <row r="451" spans="1:47" x14ac:dyDescent="0.2">
      <c r="A451" s="1344" t="s">
        <v>1871</v>
      </c>
      <c r="B451" s="639">
        <f>+UsoSuelo!H148</f>
        <v>0</v>
      </c>
      <c r="C451" s="291"/>
      <c r="D451" s="291"/>
      <c r="E451" s="291"/>
      <c r="F451" s="291"/>
      <c r="G451" s="291" t="s">
        <v>883</v>
      </c>
      <c r="H451" s="292"/>
      <c r="I451" s="293" t="str">
        <f t="shared" ref="I451:T451" si="279">+I41</f>
        <v>Ene</v>
      </c>
      <c r="J451" s="293" t="str">
        <f t="shared" si="279"/>
        <v>Feb</v>
      </c>
      <c r="K451" s="293" t="str">
        <f t="shared" si="279"/>
        <v>Mar</v>
      </c>
      <c r="L451" s="293" t="str">
        <f t="shared" si="279"/>
        <v>Abr</v>
      </c>
      <c r="M451" s="293" t="str">
        <f t="shared" si="279"/>
        <v>May</v>
      </c>
      <c r="N451" s="293" t="str">
        <f t="shared" si="279"/>
        <v>Jun</v>
      </c>
      <c r="O451" s="293" t="str">
        <f t="shared" si="279"/>
        <v>Jul</v>
      </c>
      <c r="P451" s="293" t="str">
        <f t="shared" si="279"/>
        <v>Ago</v>
      </c>
      <c r="Q451" s="293" t="str">
        <f t="shared" si="279"/>
        <v>Set</v>
      </c>
      <c r="R451" s="293" t="str">
        <f t="shared" si="279"/>
        <v>Oct</v>
      </c>
      <c r="S451" s="293" t="str">
        <f t="shared" si="279"/>
        <v>Nov</v>
      </c>
      <c r="T451" s="294" t="str">
        <f t="shared" si="279"/>
        <v>Dic</v>
      </c>
      <c r="U451" s="640" t="s">
        <v>1106</v>
      </c>
      <c r="W451" s="1569"/>
      <c r="X451" s="1344" t="str">
        <f>+A451</f>
        <v>L</v>
      </c>
      <c r="Y451" s="639">
        <f>+UsoSuelo!H165</f>
        <v>0</v>
      </c>
      <c r="Z451" s="291"/>
      <c r="AA451" s="291"/>
      <c r="AB451" s="291"/>
      <c r="AC451" s="291"/>
      <c r="AD451" s="291" t="s">
        <v>883</v>
      </c>
      <c r="AE451" s="292"/>
      <c r="AF451" s="293" t="str">
        <f t="shared" ref="AF451:AQ451" si="280">+AF41</f>
        <v>Ene</v>
      </c>
      <c r="AG451" s="293" t="str">
        <f t="shared" si="280"/>
        <v>Feb</v>
      </c>
      <c r="AH451" s="293" t="str">
        <f t="shared" si="280"/>
        <v>Mar</v>
      </c>
      <c r="AI451" s="293" t="str">
        <f t="shared" si="280"/>
        <v>Abr</v>
      </c>
      <c r="AJ451" s="293" t="str">
        <f t="shared" si="280"/>
        <v>May</v>
      </c>
      <c r="AK451" s="293" t="str">
        <f t="shared" si="280"/>
        <v>Jun</v>
      </c>
      <c r="AL451" s="293" t="str">
        <f t="shared" si="280"/>
        <v>Jul</v>
      </c>
      <c r="AM451" s="293" t="str">
        <f t="shared" si="280"/>
        <v>Ago</v>
      </c>
      <c r="AN451" s="293" t="str">
        <f t="shared" si="280"/>
        <v>Set</v>
      </c>
      <c r="AO451" s="293" t="str">
        <f t="shared" si="280"/>
        <v>Oct</v>
      </c>
      <c r="AP451" s="293" t="str">
        <f t="shared" si="280"/>
        <v>Nov</v>
      </c>
      <c r="AQ451" s="294" t="str">
        <f t="shared" si="280"/>
        <v>Dic</v>
      </c>
      <c r="AR451" s="640" t="s">
        <v>1106</v>
      </c>
      <c r="AS451" s="1569"/>
      <c r="AT451" s="1569"/>
      <c r="AU451" s="1436"/>
    </row>
    <row r="452" spans="1:47" x14ac:dyDescent="0.2">
      <c r="A452" s="145"/>
      <c r="B452" s="899" t="s">
        <v>884</v>
      </c>
      <c r="C452" s="900"/>
      <c r="D452" s="900"/>
      <c r="E452" s="900"/>
      <c r="F452" s="900"/>
      <c r="G452" s="900"/>
      <c r="H452" s="900"/>
      <c r="I452" s="901">
        <f>VLOOKUP($C450,UsoSuelo!$CQ$1127:$DC$1194,2,FALSE)</f>
        <v>0</v>
      </c>
      <c r="J452" s="901">
        <f>VLOOKUP($C450,UsoSuelo!$CQ$1127:$DC$1194,3,FALSE)</f>
        <v>0</v>
      </c>
      <c r="K452" s="901">
        <f>VLOOKUP($C450,UsoSuelo!$CQ$1127:$DC$1194,4,FALSE)</f>
        <v>0</v>
      </c>
      <c r="L452" s="901">
        <f>VLOOKUP($C450,UsoSuelo!$CQ$1127:$DC$1194,5,FALSE)</f>
        <v>0</v>
      </c>
      <c r="M452" s="901">
        <f>VLOOKUP($C450,UsoSuelo!$CQ$1127:$DC$1194,6,FALSE)</f>
        <v>0</v>
      </c>
      <c r="N452" s="901">
        <f>VLOOKUP($C450,UsoSuelo!$CQ$1127:$DC$1194,7,FALSE)</f>
        <v>0</v>
      </c>
      <c r="O452" s="901">
        <f>VLOOKUP($C450,UsoSuelo!$CQ$1127:$DC$1194,8,FALSE)</f>
        <v>0</v>
      </c>
      <c r="P452" s="901">
        <f>VLOOKUP($C450,UsoSuelo!$CQ$1127:$DC$1194,9,FALSE)</f>
        <v>0</v>
      </c>
      <c r="Q452" s="901">
        <f>VLOOKUP($C450,UsoSuelo!$CQ$1127:$DC$1194,10,FALSE)</f>
        <v>0</v>
      </c>
      <c r="R452" s="901">
        <f>VLOOKUP($C450,UsoSuelo!$CQ$1127:$DC$1194,11,FALSE)</f>
        <v>0</v>
      </c>
      <c r="S452" s="901">
        <f>VLOOKUP($C450,UsoSuelo!$CQ$1127:$DC$1194,12,FALSE)</f>
        <v>0</v>
      </c>
      <c r="T452" s="902">
        <f>VLOOKUP($C450,UsoSuelo!$CQ$1127:$DC$1194,13,FALSE)</f>
        <v>0</v>
      </c>
      <c r="U452" s="903">
        <f>SUM(I452:T452)</f>
        <v>0</v>
      </c>
      <c r="W452" s="1569"/>
      <c r="X452" s="16"/>
      <c r="Y452" s="899" t="s">
        <v>884</v>
      </c>
      <c r="Z452" s="900"/>
      <c r="AA452" s="900"/>
      <c r="AB452" s="900"/>
      <c r="AC452" s="900"/>
      <c r="AD452" s="900"/>
      <c r="AE452" s="900"/>
      <c r="AF452" s="901">
        <f>VLOOKUP($Z450,UsoSuelo!$DE$1054:$DQ$1120,2,FALSE)</f>
        <v>0</v>
      </c>
      <c r="AG452" s="901">
        <f>VLOOKUP($Z450,UsoSuelo!$DE$1054:$DQ$1120,3,FALSE)</f>
        <v>0</v>
      </c>
      <c r="AH452" s="901">
        <f>VLOOKUP($Z450,UsoSuelo!$DE$1054:$DQ$1120,4,FALSE)</f>
        <v>0</v>
      </c>
      <c r="AI452" s="901">
        <f>VLOOKUP($Z450,UsoSuelo!$DE$1054:$DQ$1120,5,FALSE)</f>
        <v>0</v>
      </c>
      <c r="AJ452" s="901">
        <f>VLOOKUP($Z450,UsoSuelo!$DE$1054:$DQ$1120,6,FALSE)</f>
        <v>0</v>
      </c>
      <c r="AK452" s="901">
        <f>VLOOKUP($Z450,UsoSuelo!$DE$1054:$DQ$1120,7,FALSE)</f>
        <v>0</v>
      </c>
      <c r="AL452" s="901">
        <f>VLOOKUP($Z450,UsoSuelo!$DE$1054:$DQ$1120,8,FALSE)</f>
        <v>0</v>
      </c>
      <c r="AM452" s="901">
        <f>VLOOKUP($Z450,UsoSuelo!$DE$1054:$DQ$1120,9,FALSE)</f>
        <v>0</v>
      </c>
      <c r="AN452" s="901">
        <f>VLOOKUP($Z450,UsoSuelo!$DE$1054:$DQ$1120,10,FALSE)</f>
        <v>0</v>
      </c>
      <c r="AO452" s="901">
        <f>VLOOKUP($Z450,UsoSuelo!$DE$1054:$DQ$1120,11,FALSE)</f>
        <v>0</v>
      </c>
      <c r="AP452" s="901">
        <f>VLOOKUP($Z450,UsoSuelo!$DE$1054:$DQ$1120,12,FALSE)</f>
        <v>0</v>
      </c>
      <c r="AQ452" s="902">
        <f>VLOOKUP($Z450,UsoSuelo!$DE$1054:$DQ$1120,13,FALSE)</f>
        <v>0</v>
      </c>
      <c r="AR452" s="903">
        <f>SUM(AF452:AQ452)</f>
        <v>0</v>
      </c>
      <c r="AT452" s="1569"/>
    </row>
    <row r="453" spans="1:47" x14ac:dyDescent="0.2">
      <c r="A453" s="145"/>
      <c r="B453" s="641"/>
      <c r="C453" s="621" t="s">
        <v>885</v>
      </c>
      <c r="D453" s="621"/>
      <c r="E453" s="621" t="s">
        <v>881</v>
      </c>
      <c r="F453" s="621" t="s">
        <v>23</v>
      </c>
      <c r="G453" s="622"/>
      <c r="H453" s="623"/>
      <c r="I453" s="297"/>
      <c r="J453" s="296"/>
      <c r="K453" s="296"/>
      <c r="L453" s="296"/>
      <c r="M453" s="296"/>
      <c r="N453" s="297"/>
      <c r="O453" s="297"/>
      <c r="P453" s="297"/>
      <c r="Q453" s="297"/>
      <c r="R453" s="297"/>
      <c r="S453" s="297"/>
      <c r="T453" s="297"/>
      <c r="U453" s="642" t="s">
        <v>881</v>
      </c>
      <c r="W453" s="1569"/>
      <c r="X453" s="16"/>
      <c r="Y453" s="641"/>
      <c r="Z453" s="621" t="s">
        <v>885</v>
      </c>
      <c r="AA453" s="621"/>
      <c r="AB453" s="621" t="s">
        <v>881</v>
      </c>
      <c r="AC453" s="621" t="s">
        <v>23</v>
      </c>
      <c r="AD453" s="622"/>
      <c r="AE453" s="623"/>
      <c r="AF453" s="297"/>
      <c r="AG453" s="296"/>
      <c r="AH453" s="296"/>
      <c r="AI453" s="296"/>
      <c r="AJ453" s="296"/>
      <c r="AK453" s="297"/>
      <c r="AL453" s="297"/>
      <c r="AM453" s="297"/>
      <c r="AN453" s="297"/>
      <c r="AO453" s="297"/>
      <c r="AP453" s="297"/>
      <c r="AQ453" s="297"/>
      <c r="AR453" s="642" t="s">
        <v>881</v>
      </c>
      <c r="AT453" s="1569"/>
    </row>
    <row r="454" spans="1:47" x14ac:dyDescent="0.2">
      <c r="A454" s="205"/>
      <c r="B454" s="199" t="s">
        <v>869</v>
      </c>
      <c r="C454" s="3" t="s">
        <v>1105</v>
      </c>
      <c r="D454" s="3" t="s">
        <v>312</v>
      </c>
      <c r="E454" s="4" t="s">
        <v>882</v>
      </c>
      <c r="F454" s="3" t="s">
        <v>314</v>
      </c>
      <c r="G454" s="4" t="s">
        <v>313</v>
      </c>
      <c r="H454" s="299"/>
      <c r="I454" s="320"/>
      <c r="J454" s="319"/>
      <c r="K454" s="319"/>
      <c r="L454" s="319"/>
      <c r="M454" s="319" t="s">
        <v>349</v>
      </c>
      <c r="N454" s="320"/>
      <c r="O454" s="320"/>
      <c r="P454" s="320"/>
      <c r="Q454" s="320"/>
      <c r="R454" s="320"/>
      <c r="S454" s="320"/>
      <c r="T454" s="320"/>
      <c r="U454" s="643" t="s">
        <v>891</v>
      </c>
      <c r="X454" s="205"/>
      <c r="Y454" s="199" t="s">
        <v>869</v>
      </c>
      <c r="Z454" s="3" t="s">
        <v>1105</v>
      </c>
      <c r="AA454" s="3" t="s">
        <v>312</v>
      </c>
      <c r="AB454" s="4" t="s">
        <v>882</v>
      </c>
      <c r="AC454" s="3" t="s">
        <v>314</v>
      </c>
      <c r="AD454" s="4" t="s">
        <v>313</v>
      </c>
      <c r="AE454" s="299"/>
      <c r="AF454" s="320"/>
      <c r="AG454" s="319"/>
      <c r="AH454" s="319"/>
      <c r="AI454" s="319"/>
      <c r="AJ454" s="319" t="s">
        <v>349</v>
      </c>
      <c r="AK454" s="320"/>
      <c r="AL454" s="320"/>
      <c r="AM454" s="320"/>
      <c r="AN454" s="320"/>
      <c r="AO454" s="320"/>
      <c r="AP454" s="320"/>
      <c r="AQ454" s="320"/>
      <c r="AR454" s="643" t="s">
        <v>891</v>
      </c>
    </row>
    <row r="455" spans="1:47" ht="15.05" thickBot="1" x14ac:dyDescent="0.35">
      <c r="A455" s="205"/>
      <c r="B455" s="5042"/>
      <c r="C455" s="1056">
        <f>IF(B455=0,0,U$452)</f>
        <v>0</v>
      </c>
      <c r="D455" s="1056">
        <f>IF(B455=0,0,VLOOKUP(B455,Precios!$B$216:$D$307,3,FALSE))</f>
        <v>0</v>
      </c>
      <c r="E455" s="5043"/>
      <c r="F455" s="300"/>
      <c r="G455" s="300"/>
      <c r="H455" s="309"/>
      <c r="I455" s="1072">
        <f>IF($C455&gt;0,I$452*$E455,0)</f>
        <v>0</v>
      </c>
      <c r="J455" s="1033">
        <f t="shared" ref="J455:T472" si="281">IF($C455&gt;0,J$452*$E455,0)</f>
        <v>0</v>
      </c>
      <c r="K455" s="1033">
        <f t="shared" si="281"/>
        <v>0</v>
      </c>
      <c r="L455" s="1033">
        <f t="shared" si="281"/>
        <v>0</v>
      </c>
      <c r="M455" s="1033">
        <f t="shared" si="281"/>
        <v>0</v>
      </c>
      <c r="N455" s="1033">
        <f t="shared" si="281"/>
        <v>0</v>
      </c>
      <c r="O455" s="1033">
        <f t="shared" si="281"/>
        <v>0</v>
      </c>
      <c r="P455" s="1033">
        <f t="shared" si="281"/>
        <v>0</v>
      </c>
      <c r="Q455" s="1033">
        <f t="shared" si="281"/>
        <v>0</v>
      </c>
      <c r="R455" s="1033">
        <f t="shared" si="281"/>
        <v>0</v>
      </c>
      <c r="S455" s="1033">
        <f t="shared" si="281"/>
        <v>0</v>
      </c>
      <c r="T455" s="1033">
        <f t="shared" si="281"/>
        <v>0</v>
      </c>
      <c r="U455" s="1073">
        <f t="shared" ref="U455:U476" si="282">SUM(I455:T455)</f>
        <v>0</v>
      </c>
      <c r="V455" s="232" t="str">
        <f>B455&amp;"propia"</f>
        <v>propia</v>
      </c>
      <c r="X455" s="205"/>
      <c r="Y455" s="5042"/>
      <c r="Z455" s="1056">
        <f>IF(Y455=0,0,AR$452)</f>
        <v>0</v>
      </c>
      <c r="AA455" s="1056">
        <f>IF(Y455=0,0,VLOOKUP(Y455,Precios!$B$216:$D$307,3,FALSE))</f>
        <v>0</v>
      </c>
      <c r="AB455" s="1069"/>
      <c r="AC455" s="300"/>
      <c r="AD455" s="300"/>
      <c r="AE455" s="309"/>
      <c r="AF455" s="1072">
        <f>IF($Z455&gt;0,AF$452*$AB455,0)</f>
        <v>0</v>
      </c>
      <c r="AG455" s="1033">
        <f t="shared" ref="AG455:AQ473" si="283">IF($Z455&gt;0,AG$452*$AB455,0)</f>
        <v>0</v>
      </c>
      <c r="AH455" s="1033">
        <f t="shared" si="283"/>
        <v>0</v>
      </c>
      <c r="AI455" s="1033">
        <f t="shared" si="283"/>
        <v>0</v>
      </c>
      <c r="AJ455" s="1033">
        <f t="shared" si="283"/>
        <v>0</v>
      </c>
      <c r="AK455" s="1033">
        <f t="shared" si="283"/>
        <v>0</v>
      </c>
      <c r="AL455" s="1033">
        <f t="shared" si="283"/>
        <v>0</v>
      </c>
      <c r="AM455" s="1033">
        <f t="shared" si="283"/>
        <v>0</v>
      </c>
      <c r="AN455" s="1033">
        <f t="shared" si="283"/>
        <v>0</v>
      </c>
      <c r="AO455" s="1033">
        <f t="shared" si="283"/>
        <v>0</v>
      </c>
      <c r="AP455" s="1033">
        <f t="shared" si="283"/>
        <v>0</v>
      </c>
      <c r="AQ455" s="1033">
        <f t="shared" si="283"/>
        <v>0</v>
      </c>
      <c r="AR455" s="1073">
        <f t="shared" ref="AR455:AR473" si="284">SUM(AF455:AQ455)</f>
        <v>0</v>
      </c>
      <c r="AS455" s="232" t="str">
        <f>Y455&amp;"propia"</f>
        <v>propia</v>
      </c>
    </row>
    <row r="456" spans="1:47" ht="15.05" thickBot="1" x14ac:dyDescent="0.35">
      <c r="A456" s="205"/>
      <c r="B456" s="5044"/>
      <c r="C456" s="985">
        <f>IF(B456=0,0,U$452)</f>
        <v>0</v>
      </c>
      <c r="D456" s="985">
        <f>IF(B456=0,0,VLOOKUP(B456,Precios!$B$216:$D$307,3,FALSE))</f>
        <v>0</v>
      </c>
      <c r="E456" s="5045"/>
      <c r="F456" s="300"/>
      <c r="G456" s="300"/>
      <c r="H456" s="309"/>
      <c r="I456" s="1074">
        <f>IF($C456&gt;0,I$452*$E456,0)</f>
        <v>0</v>
      </c>
      <c r="J456" s="1005">
        <f t="shared" si="281"/>
        <v>0</v>
      </c>
      <c r="K456" s="1005">
        <f t="shared" si="281"/>
        <v>0</v>
      </c>
      <c r="L456" s="1005">
        <f t="shared" si="281"/>
        <v>0</v>
      </c>
      <c r="M456" s="1005">
        <f t="shared" si="281"/>
        <v>0</v>
      </c>
      <c r="N456" s="1005">
        <f t="shared" si="281"/>
        <v>0</v>
      </c>
      <c r="O456" s="1005">
        <f t="shared" si="281"/>
        <v>0</v>
      </c>
      <c r="P456" s="1005">
        <f t="shared" si="281"/>
        <v>0</v>
      </c>
      <c r="Q456" s="1005">
        <f t="shared" si="281"/>
        <v>0</v>
      </c>
      <c r="R456" s="1005">
        <f t="shared" si="281"/>
        <v>0</v>
      </c>
      <c r="S456" s="1005">
        <f t="shared" si="281"/>
        <v>0</v>
      </c>
      <c r="T456" s="1005">
        <f t="shared" si="281"/>
        <v>0</v>
      </c>
      <c r="U456" s="1075">
        <f t="shared" si="282"/>
        <v>0</v>
      </c>
      <c r="V456" s="232" t="str">
        <f>B456&amp;"propia"</f>
        <v>propia</v>
      </c>
      <c r="X456" s="301"/>
      <c r="Y456" s="5044"/>
      <c r="Z456" s="985">
        <f>IF(Y456=0,0,AR$452)</f>
        <v>0</v>
      </c>
      <c r="AA456" s="985">
        <f>IF(Y456=0,0,VLOOKUP(Y456,Precios!$B$216:$D$307,3,FALSE))</f>
        <v>0</v>
      </c>
      <c r="AB456" s="1070"/>
      <c r="AC456" s="300"/>
      <c r="AD456" s="300"/>
      <c r="AE456" s="309"/>
      <c r="AF456" s="1074">
        <f>IF($Z456&gt;0,AF$452*$AB456,0)</f>
        <v>0</v>
      </c>
      <c r="AG456" s="1005">
        <f t="shared" si="283"/>
        <v>0</v>
      </c>
      <c r="AH456" s="1005">
        <f t="shared" si="283"/>
        <v>0</v>
      </c>
      <c r="AI456" s="1005">
        <f t="shared" si="283"/>
        <v>0</v>
      </c>
      <c r="AJ456" s="1005">
        <f t="shared" si="283"/>
        <v>0</v>
      </c>
      <c r="AK456" s="1005">
        <f t="shared" si="283"/>
        <v>0</v>
      </c>
      <c r="AL456" s="1005">
        <f t="shared" si="283"/>
        <v>0</v>
      </c>
      <c r="AM456" s="1005">
        <f t="shared" si="283"/>
        <v>0</v>
      </c>
      <c r="AN456" s="1005">
        <f t="shared" si="283"/>
        <v>0</v>
      </c>
      <c r="AO456" s="1005">
        <f t="shared" si="283"/>
        <v>0</v>
      </c>
      <c r="AP456" s="1005">
        <f t="shared" si="283"/>
        <v>0</v>
      </c>
      <c r="AQ456" s="1005">
        <f t="shared" si="283"/>
        <v>0</v>
      </c>
      <c r="AR456" s="1075">
        <f t="shared" si="284"/>
        <v>0</v>
      </c>
      <c r="AS456" s="232" t="str">
        <f>Y456&amp;"propia"</f>
        <v>propia</v>
      </c>
    </row>
    <row r="457" spans="1:47" ht="15.05" thickBot="1" x14ac:dyDescent="0.35">
      <c r="A457" s="205"/>
      <c r="B457" s="5044"/>
      <c r="C457" s="985">
        <f>IF(B457=0,0,U$452)</f>
        <v>0</v>
      </c>
      <c r="D457" s="985">
        <f>IF(B457=0,0,VLOOKUP(B457,Precios!$B$216:$D$307,3,FALSE))</f>
        <v>0</v>
      </c>
      <c r="E457" s="5045"/>
      <c r="F457" s="300"/>
      <c r="G457" s="300"/>
      <c r="H457" s="309"/>
      <c r="I457" s="1074">
        <f>IF($C457&gt;0,I$452*$E457,0)</f>
        <v>0</v>
      </c>
      <c r="J457" s="1005">
        <f t="shared" si="281"/>
        <v>0</v>
      </c>
      <c r="K457" s="1005">
        <f t="shared" si="281"/>
        <v>0</v>
      </c>
      <c r="L457" s="1005">
        <f t="shared" si="281"/>
        <v>0</v>
      </c>
      <c r="M457" s="1005">
        <f t="shared" si="281"/>
        <v>0</v>
      </c>
      <c r="N457" s="1005">
        <f t="shared" si="281"/>
        <v>0</v>
      </c>
      <c r="O457" s="1005">
        <f t="shared" si="281"/>
        <v>0</v>
      </c>
      <c r="P457" s="1005">
        <f t="shared" si="281"/>
        <v>0</v>
      </c>
      <c r="Q457" s="1005">
        <f t="shared" si="281"/>
        <v>0</v>
      </c>
      <c r="R457" s="1005">
        <f t="shared" si="281"/>
        <v>0</v>
      </c>
      <c r="S457" s="1005">
        <f t="shared" si="281"/>
        <v>0</v>
      </c>
      <c r="T457" s="1005">
        <f t="shared" si="281"/>
        <v>0</v>
      </c>
      <c r="U457" s="1075">
        <f t="shared" si="282"/>
        <v>0</v>
      </c>
      <c r="V457" s="232" t="str">
        <f>B457&amp;"propia"</f>
        <v>propia</v>
      </c>
      <c r="X457" s="301"/>
      <c r="Y457" s="5044"/>
      <c r="Z457" s="985">
        <f>IF(Y457=0,0,AR$452)</f>
        <v>0</v>
      </c>
      <c r="AA457" s="985">
        <f>IF(Y457=0,0,VLOOKUP(Y457,Precios!$B$216:$D$307,3,FALSE))</f>
        <v>0</v>
      </c>
      <c r="AB457" s="1070"/>
      <c r="AC457" s="300"/>
      <c r="AD457" s="300"/>
      <c r="AE457" s="309"/>
      <c r="AF457" s="1074">
        <f>IF($Z457&gt;0,AF$452*$AB457,0)</f>
        <v>0</v>
      </c>
      <c r="AG457" s="1005">
        <f t="shared" si="283"/>
        <v>0</v>
      </c>
      <c r="AH457" s="1005">
        <f t="shared" si="283"/>
        <v>0</v>
      </c>
      <c r="AI457" s="1005">
        <f t="shared" si="283"/>
        <v>0</v>
      </c>
      <c r="AJ457" s="1005">
        <f t="shared" si="283"/>
        <v>0</v>
      </c>
      <c r="AK457" s="1005">
        <f t="shared" si="283"/>
        <v>0</v>
      </c>
      <c r="AL457" s="1005">
        <f t="shared" si="283"/>
        <v>0</v>
      </c>
      <c r="AM457" s="1005">
        <f t="shared" si="283"/>
        <v>0</v>
      </c>
      <c r="AN457" s="1005">
        <f t="shared" si="283"/>
        <v>0</v>
      </c>
      <c r="AO457" s="1005">
        <f t="shared" si="283"/>
        <v>0</v>
      </c>
      <c r="AP457" s="1005">
        <f t="shared" si="283"/>
        <v>0</v>
      </c>
      <c r="AQ457" s="1005">
        <f t="shared" si="283"/>
        <v>0</v>
      </c>
      <c r="AR457" s="1075">
        <f t="shared" si="284"/>
        <v>0</v>
      </c>
      <c r="AS457" s="232" t="str">
        <f>Y457&amp;"propia"</f>
        <v>propia</v>
      </c>
    </row>
    <row r="458" spans="1:47" ht="15.05" thickBot="1" x14ac:dyDescent="0.35">
      <c r="A458" s="205"/>
      <c r="B458" s="5044"/>
      <c r="C458" s="985">
        <f>IF(B458=0,0,U$452)</f>
        <v>0</v>
      </c>
      <c r="D458" s="985">
        <f>IF(B458=0,0,VLOOKUP(B458,Precios!$B$216:$D$307,3,FALSE))</f>
        <v>0</v>
      </c>
      <c r="E458" s="5045"/>
      <c r="F458" s="300"/>
      <c r="G458" s="300"/>
      <c r="H458" s="309"/>
      <c r="I458" s="1074">
        <f>IF($C458&gt;0,I$452*$E458,0)</f>
        <v>0</v>
      </c>
      <c r="J458" s="1005">
        <f t="shared" si="281"/>
        <v>0</v>
      </c>
      <c r="K458" s="1005">
        <f t="shared" si="281"/>
        <v>0</v>
      </c>
      <c r="L458" s="1005">
        <f t="shared" si="281"/>
        <v>0</v>
      </c>
      <c r="M458" s="1005">
        <f t="shared" si="281"/>
        <v>0</v>
      </c>
      <c r="N458" s="1005">
        <f t="shared" si="281"/>
        <v>0</v>
      </c>
      <c r="O458" s="1005">
        <f t="shared" si="281"/>
        <v>0</v>
      </c>
      <c r="P458" s="1005">
        <f t="shared" si="281"/>
        <v>0</v>
      </c>
      <c r="Q458" s="1005">
        <f t="shared" si="281"/>
        <v>0</v>
      </c>
      <c r="R458" s="1005">
        <f t="shared" si="281"/>
        <v>0</v>
      </c>
      <c r="S458" s="1005">
        <f t="shared" si="281"/>
        <v>0</v>
      </c>
      <c r="T458" s="1005">
        <f t="shared" si="281"/>
        <v>0</v>
      </c>
      <c r="U458" s="1075">
        <f t="shared" si="282"/>
        <v>0</v>
      </c>
      <c r="V458" s="232" t="str">
        <f>B458&amp;"propia"</f>
        <v>propia</v>
      </c>
      <c r="X458" s="301"/>
      <c r="Y458" s="5044"/>
      <c r="Z458" s="985">
        <f>IF(Y458=0,0,AR$452)</f>
        <v>0</v>
      </c>
      <c r="AA458" s="985">
        <f>IF(Y458=0,0,VLOOKUP(Y458,Precios!$B$216:$D$307,3,FALSE))</f>
        <v>0</v>
      </c>
      <c r="AB458" s="1070"/>
      <c r="AC458" s="300"/>
      <c r="AD458" s="300"/>
      <c r="AE458" s="309"/>
      <c r="AF458" s="1074">
        <f>IF($Z458&gt;0,AF$452*$AB458,0)</f>
        <v>0</v>
      </c>
      <c r="AG458" s="1005">
        <f t="shared" si="283"/>
        <v>0</v>
      </c>
      <c r="AH458" s="1005">
        <f t="shared" si="283"/>
        <v>0</v>
      </c>
      <c r="AI458" s="1005">
        <f t="shared" si="283"/>
        <v>0</v>
      </c>
      <c r="AJ458" s="1005">
        <f t="shared" si="283"/>
        <v>0</v>
      </c>
      <c r="AK458" s="1005">
        <f t="shared" si="283"/>
        <v>0</v>
      </c>
      <c r="AL458" s="1005">
        <f t="shared" si="283"/>
        <v>0</v>
      </c>
      <c r="AM458" s="1005">
        <f t="shared" si="283"/>
        <v>0</v>
      </c>
      <c r="AN458" s="1005">
        <f t="shared" si="283"/>
        <v>0</v>
      </c>
      <c r="AO458" s="1005">
        <f t="shared" si="283"/>
        <v>0</v>
      </c>
      <c r="AP458" s="1005">
        <f t="shared" si="283"/>
        <v>0</v>
      </c>
      <c r="AQ458" s="1005">
        <f t="shared" si="283"/>
        <v>0</v>
      </c>
      <c r="AR458" s="1075">
        <f t="shared" si="284"/>
        <v>0</v>
      </c>
      <c r="AS458" s="232" t="str">
        <f>Y458&amp;"propia"</f>
        <v>propia</v>
      </c>
    </row>
    <row r="459" spans="1:47" x14ac:dyDescent="0.3">
      <c r="A459" s="205"/>
      <c r="B459" s="5046"/>
      <c r="C459" s="1057">
        <f>IF(B459=0,0,U$452)</f>
        <v>0</v>
      </c>
      <c r="D459" s="1057">
        <f>IF(B459=0,0,VLOOKUP(B459,Precios!$B$216:$D$307,3,FALSE))</f>
        <v>0</v>
      </c>
      <c r="E459" s="5047"/>
      <c r="F459" s="300"/>
      <c r="G459" s="300"/>
      <c r="H459" s="309"/>
      <c r="I459" s="1076">
        <f>IF($C459&gt;0,I$452*$E459,0)</f>
        <v>0</v>
      </c>
      <c r="J459" s="1077">
        <f t="shared" si="281"/>
        <v>0</v>
      </c>
      <c r="K459" s="1077">
        <f t="shared" si="281"/>
        <v>0</v>
      </c>
      <c r="L459" s="1077">
        <f t="shared" si="281"/>
        <v>0</v>
      </c>
      <c r="M459" s="1077">
        <f t="shared" si="281"/>
        <v>0</v>
      </c>
      <c r="N459" s="1077">
        <f t="shared" si="281"/>
        <v>0</v>
      </c>
      <c r="O459" s="1077">
        <f t="shared" si="281"/>
        <v>0</v>
      </c>
      <c r="P459" s="1077">
        <f t="shared" si="281"/>
        <v>0</v>
      </c>
      <c r="Q459" s="1077">
        <f t="shared" si="281"/>
        <v>0</v>
      </c>
      <c r="R459" s="1077">
        <f t="shared" si="281"/>
        <v>0</v>
      </c>
      <c r="S459" s="1077">
        <f t="shared" si="281"/>
        <v>0</v>
      </c>
      <c r="T459" s="1077">
        <f t="shared" si="281"/>
        <v>0</v>
      </c>
      <c r="U459" s="1078">
        <f t="shared" si="282"/>
        <v>0</v>
      </c>
      <c r="V459" s="232" t="str">
        <f>B459&amp;"propia"</f>
        <v>propia</v>
      </c>
      <c r="X459" s="301"/>
      <c r="Y459" s="5046"/>
      <c r="Z459" s="1057">
        <f>IF(Y459=0,0,AR$452)</f>
        <v>0</v>
      </c>
      <c r="AA459" s="1057">
        <f>IF(Y459=0,0,VLOOKUP(Y459,Precios!$B$216:$D$307,3,FALSE))</f>
        <v>0</v>
      </c>
      <c r="AB459" s="1071"/>
      <c r="AC459" s="300"/>
      <c r="AD459" s="300"/>
      <c r="AE459" s="309"/>
      <c r="AF459" s="1076">
        <f>IF($Z459&gt;0,AF$452*$AB459,0)</f>
        <v>0</v>
      </c>
      <c r="AG459" s="1077">
        <f t="shared" si="283"/>
        <v>0</v>
      </c>
      <c r="AH459" s="1077">
        <f t="shared" si="283"/>
        <v>0</v>
      </c>
      <c r="AI459" s="1077">
        <f t="shared" si="283"/>
        <v>0</v>
      </c>
      <c r="AJ459" s="1077">
        <f t="shared" si="283"/>
        <v>0</v>
      </c>
      <c r="AK459" s="1077">
        <f t="shared" si="283"/>
        <v>0</v>
      </c>
      <c r="AL459" s="1077">
        <f t="shared" si="283"/>
        <v>0</v>
      </c>
      <c r="AM459" s="1077">
        <f t="shared" si="283"/>
        <v>0</v>
      </c>
      <c r="AN459" s="1077">
        <f t="shared" si="283"/>
        <v>0</v>
      </c>
      <c r="AO459" s="1077">
        <f t="shared" si="283"/>
        <v>0</v>
      </c>
      <c r="AP459" s="1077">
        <f t="shared" si="283"/>
        <v>0</v>
      </c>
      <c r="AQ459" s="1077">
        <f t="shared" si="283"/>
        <v>0</v>
      </c>
      <c r="AR459" s="1078">
        <f t="shared" si="284"/>
        <v>0</v>
      </c>
      <c r="AS459" s="232" t="str">
        <f>Y459&amp;"propia"</f>
        <v>propia</v>
      </c>
    </row>
    <row r="460" spans="1:47" x14ac:dyDescent="0.3">
      <c r="A460" s="205"/>
      <c r="B460" s="645" t="s">
        <v>1083</v>
      </c>
      <c r="C460" s="305"/>
      <c r="D460" s="305"/>
      <c r="E460" s="305"/>
      <c r="F460" s="305"/>
      <c r="G460" s="305"/>
      <c r="H460" s="306"/>
      <c r="I460" s="904">
        <f>+SUM(I455:I459)</f>
        <v>0</v>
      </c>
      <c r="J460" s="904">
        <f t="shared" ref="J460:T460" si="285">+SUM(J455:J459)</f>
        <v>0</v>
      </c>
      <c r="K460" s="904">
        <f t="shared" si="285"/>
        <v>0</v>
      </c>
      <c r="L460" s="904">
        <f t="shared" si="285"/>
        <v>0</v>
      </c>
      <c r="M460" s="904">
        <f t="shared" si="285"/>
        <v>0</v>
      </c>
      <c r="N460" s="904">
        <f t="shared" si="285"/>
        <v>0</v>
      </c>
      <c r="O460" s="904">
        <f t="shared" si="285"/>
        <v>0</v>
      </c>
      <c r="P460" s="904">
        <f t="shared" si="285"/>
        <v>0</v>
      </c>
      <c r="Q460" s="904">
        <f t="shared" si="285"/>
        <v>0</v>
      </c>
      <c r="R460" s="904">
        <f t="shared" si="285"/>
        <v>0</v>
      </c>
      <c r="S460" s="904">
        <f t="shared" si="285"/>
        <v>0</v>
      </c>
      <c r="T460" s="904">
        <f t="shared" si="285"/>
        <v>0</v>
      </c>
      <c r="U460" s="905">
        <f>SUM(I460:T460)</f>
        <v>0</v>
      </c>
      <c r="X460" s="301"/>
      <c r="Y460" s="645" t="s">
        <v>1083</v>
      </c>
      <c r="Z460" s="305"/>
      <c r="AA460" s="305"/>
      <c r="AB460" s="305"/>
      <c r="AC460" s="305"/>
      <c r="AD460" s="305"/>
      <c r="AE460" s="306"/>
      <c r="AF460" s="904">
        <f t="shared" ref="AF460:AQ460" si="286">SUM(AF455:AF459)</f>
        <v>0</v>
      </c>
      <c r="AG460" s="904">
        <f t="shared" si="286"/>
        <v>0</v>
      </c>
      <c r="AH460" s="904">
        <f t="shared" si="286"/>
        <v>0</v>
      </c>
      <c r="AI460" s="904">
        <f t="shared" si="286"/>
        <v>0</v>
      </c>
      <c r="AJ460" s="904">
        <f t="shared" si="286"/>
        <v>0</v>
      </c>
      <c r="AK460" s="904">
        <f t="shared" si="286"/>
        <v>0</v>
      </c>
      <c r="AL460" s="904">
        <f t="shared" si="286"/>
        <v>0</v>
      </c>
      <c r="AM460" s="904">
        <f t="shared" si="286"/>
        <v>0</v>
      </c>
      <c r="AN460" s="904">
        <f t="shared" si="286"/>
        <v>0</v>
      </c>
      <c r="AO460" s="904">
        <f t="shared" si="286"/>
        <v>0</v>
      </c>
      <c r="AP460" s="904">
        <f t="shared" si="286"/>
        <v>0</v>
      </c>
      <c r="AQ460" s="904">
        <f t="shared" si="286"/>
        <v>0</v>
      </c>
      <c r="AR460" s="905">
        <f>SUM(AF460:AQ460)</f>
        <v>0</v>
      </c>
    </row>
    <row r="461" spans="1:47" x14ac:dyDescent="0.2">
      <c r="A461" s="205"/>
      <c r="B461" s="197" t="s">
        <v>870</v>
      </c>
      <c r="C461" s="307"/>
      <c r="D461" s="307"/>
      <c r="E461" s="308"/>
      <c r="F461" s="308"/>
      <c r="G461" s="308"/>
      <c r="H461" s="307"/>
      <c r="I461" s="307"/>
      <c r="J461" s="307"/>
      <c r="K461" s="307"/>
      <c r="L461" s="307"/>
      <c r="M461" s="307"/>
      <c r="N461" s="307"/>
      <c r="O461" s="307"/>
      <c r="P461" s="307"/>
      <c r="Q461" s="307"/>
      <c r="R461" s="307"/>
      <c r="S461" s="307"/>
      <c r="T461" s="307"/>
      <c r="U461" s="646"/>
      <c r="X461" s="301"/>
      <c r="Y461" s="197" t="s">
        <v>870</v>
      </c>
      <c r="Z461" s="307"/>
      <c r="AA461" s="307"/>
      <c r="AB461" s="308"/>
      <c r="AC461" s="308"/>
      <c r="AD461" s="308"/>
      <c r="AE461" s="307"/>
      <c r="AF461" s="307"/>
      <c r="AG461" s="307"/>
      <c r="AH461" s="307"/>
      <c r="AI461" s="307"/>
      <c r="AJ461" s="307"/>
      <c r="AK461" s="307"/>
      <c r="AL461" s="307"/>
      <c r="AM461" s="307"/>
      <c r="AN461" s="307"/>
      <c r="AO461" s="307"/>
      <c r="AP461" s="307"/>
      <c r="AQ461" s="307"/>
      <c r="AR461" s="646"/>
    </row>
    <row r="462" spans="1:47" ht="15.05" thickBot="1" x14ac:dyDescent="0.35">
      <c r="A462" s="205"/>
      <c r="B462" s="5042"/>
      <c r="C462" s="1056">
        <f>IF(B462=0,0,U$452)</f>
        <v>0</v>
      </c>
      <c r="D462" s="1056">
        <f>IF(B462=0,0,VLOOKUP(B462,Precios!$B$216:$D$307,3,FALSE))</f>
        <v>0</v>
      </c>
      <c r="E462" s="5048"/>
      <c r="F462" s="1249">
        <f>IF(B462=0,0,VLOOKUP(B462,Precios!$B$216:$D$307,2,FALSE))</f>
        <v>0</v>
      </c>
      <c r="G462" s="1066">
        <f>E462*F462</f>
        <v>0</v>
      </c>
      <c r="H462" s="309"/>
      <c r="I462" s="1072">
        <f>IF($C462&gt;0,I$452*$E462,0)</f>
        <v>0</v>
      </c>
      <c r="J462" s="1033">
        <f t="shared" si="281"/>
        <v>0</v>
      </c>
      <c r="K462" s="1033">
        <f t="shared" si="281"/>
        <v>0</v>
      </c>
      <c r="L462" s="1033">
        <f t="shared" si="281"/>
        <v>0</v>
      </c>
      <c r="M462" s="1033">
        <f t="shared" si="281"/>
        <v>0</v>
      </c>
      <c r="N462" s="1033">
        <f t="shared" si="281"/>
        <v>0</v>
      </c>
      <c r="O462" s="1033">
        <f t="shared" si="281"/>
        <v>0</v>
      </c>
      <c r="P462" s="1033">
        <f t="shared" si="281"/>
        <v>0</v>
      </c>
      <c r="Q462" s="1033">
        <f t="shared" si="281"/>
        <v>0</v>
      </c>
      <c r="R462" s="1033">
        <f t="shared" si="281"/>
        <v>0</v>
      </c>
      <c r="S462" s="1033">
        <f t="shared" si="281"/>
        <v>0</v>
      </c>
      <c r="T462" s="1033">
        <f t="shared" si="281"/>
        <v>0</v>
      </c>
      <c r="U462" s="1073">
        <f t="shared" si="282"/>
        <v>0</v>
      </c>
      <c r="V462" s="232" t="str">
        <f>B462&amp;"contratada"</f>
        <v>contratada</v>
      </c>
      <c r="X462" s="301"/>
      <c r="Y462" s="5042"/>
      <c r="Z462" s="1056">
        <f>IF(Y462=0,0,AR$452)</f>
        <v>0</v>
      </c>
      <c r="AA462" s="1056">
        <f>IF(Y462=0,0,VLOOKUP(Y462,Precios!$B$216:$D$307,3,FALSE))</f>
        <v>0</v>
      </c>
      <c r="AB462" s="1058"/>
      <c r="AC462" s="1249">
        <f>IF(Y462=0,0,VLOOKUP(Y462,Precios!$B$216:$D$307,2,FALSE))</f>
        <v>0</v>
      </c>
      <c r="AD462" s="1066">
        <f>AB462*AC462</f>
        <v>0</v>
      </c>
      <c r="AE462" s="309"/>
      <c r="AF462" s="1072">
        <f>IF($Z462&gt;0,AF$452*$AB462,0)</f>
        <v>0</v>
      </c>
      <c r="AG462" s="1033">
        <f t="shared" si="283"/>
        <v>0</v>
      </c>
      <c r="AH462" s="1033">
        <f t="shared" si="283"/>
        <v>0</v>
      </c>
      <c r="AI462" s="1033">
        <f t="shared" si="283"/>
        <v>0</v>
      </c>
      <c r="AJ462" s="1033">
        <f t="shared" si="283"/>
        <v>0</v>
      </c>
      <c r="AK462" s="1033">
        <f t="shared" si="283"/>
        <v>0</v>
      </c>
      <c r="AL462" s="1033">
        <f t="shared" si="283"/>
        <v>0</v>
      </c>
      <c r="AM462" s="1033">
        <f t="shared" si="283"/>
        <v>0</v>
      </c>
      <c r="AN462" s="1033">
        <f t="shared" si="283"/>
        <v>0</v>
      </c>
      <c r="AO462" s="1033">
        <f t="shared" si="283"/>
        <v>0</v>
      </c>
      <c r="AP462" s="1033">
        <f t="shared" si="283"/>
        <v>0</v>
      </c>
      <c r="AQ462" s="1033">
        <f t="shared" si="283"/>
        <v>0</v>
      </c>
      <c r="AR462" s="1073">
        <f t="shared" si="284"/>
        <v>0</v>
      </c>
      <c r="AS462" s="232" t="str">
        <f>Y462&amp;"contratada"</f>
        <v>contratada</v>
      </c>
    </row>
    <row r="463" spans="1:47" ht="15.05" thickBot="1" x14ac:dyDescent="0.35">
      <c r="A463" s="205"/>
      <c r="B463" s="5044"/>
      <c r="C463" s="985">
        <f t="shared" ref="C463:C486" si="287">IF(B463=0,0,U$452)</f>
        <v>0</v>
      </c>
      <c r="D463" s="985">
        <f>IF(B463=0,0,VLOOKUP(B463,Precios!$B$216:$D$307,3,FALSE))</f>
        <v>0</v>
      </c>
      <c r="E463" s="5049"/>
      <c r="F463" s="2253">
        <f>IF(B463=0,0,VLOOKUP(B463,Precios!$B$216:$D$307,2,FALSE))</f>
        <v>0</v>
      </c>
      <c r="G463" s="1067">
        <f>E463*F463</f>
        <v>0</v>
      </c>
      <c r="H463" s="309"/>
      <c r="I463" s="1074">
        <f>IF($C463&gt;0,I$452*$E463,0)</f>
        <v>0</v>
      </c>
      <c r="J463" s="1005">
        <f t="shared" si="281"/>
        <v>0</v>
      </c>
      <c r="K463" s="1005">
        <f t="shared" si="281"/>
        <v>0</v>
      </c>
      <c r="L463" s="1005">
        <f t="shared" si="281"/>
        <v>0</v>
      </c>
      <c r="M463" s="1005">
        <f t="shared" si="281"/>
        <v>0</v>
      </c>
      <c r="N463" s="1005">
        <f t="shared" si="281"/>
        <v>0</v>
      </c>
      <c r="O463" s="1005">
        <f t="shared" si="281"/>
        <v>0</v>
      </c>
      <c r="P463" s="1005">
        <f t="shared" si="281"/>
        <v>0</v>
      </c>
      <c r="Q463" s="1005">
        <f t="shared" si="281"/>
        <v>0</v>
      </c>
      <c r="R463" s="1005">
        <f t="shared" si="281"/>
        <v>0</v>
      </c>
      <c r="S463" s="1005">
        <f t="shared" si="281"/>
        <v>0</v>
      </c>
      <c r="T463" s="1005">
        <f t="shared" si="281"/>
        <v>0</v>
      </c>
      <c r="U463" s="1075">
        <f t="shared" si="282"/>
        <v>0</v>
      </c>
      <c r="V463" s="232" t="str">
        <f>B463&amp;"contratada"</f>
        <v>contratada</v>
      </c>
      <c r="X463" s="301"/>
      <c r="Y463" s="5044"/>
      <c r="Z463" s="985">
        <f>IF(Y463=0,0,AR$452)</f>
        <v>0</v>
      </c>
      <c r="AA463" s="985">
        <f>IF(Y463=0,0,VLOOKUP(Y463,Precios!$B$216:$D$307,3,FALSE))</f>
        <v>0</v>
      </c>
      <c r="AB463" s="986"/>
      <c r="AC463" s="2253">
        <f>IF(Y463=0,0,VLOOKUP(Y463,Precios!$B$216:$D$307,2,FALSE))</f>
        <v>0</v>
      </c>
      <c r="AD463" s="1067">
        <f>AB463*AC463</f>
        <v>0</v>
      </c>
      <c r="AE463" s="309"/>
      <c r="AF463" s="1074">
        <f>IF($Z463&gt;0,AF$452*$AB463,0)</f>
        <v>0</v>
      </c>
      <c r="AG463" s="1005">
        <f t="shared" si="283"/>
        <v>0</v>
      </c>
      <c r="AH463" s="1005">
        <f t="shared" si="283"/>
        <v>0</v>
      </c>
      <c r="AI463" s="1005">
        <f t="shared" si="283"/>
        <v>0</v>
      </c>
      <c r="AJ463" s="1005">
        <f t="shared" si="283"/>
        <v>0</v>
      </c>
      <c r="AK463" s="1005">
        <f t="shared" si="283"/>
        <v>0</v>
      </c>
      <c r="AL463" s="1005">
        <f t="shared" si="283"/>
        <v>0</v>
      </c>
      <c r="AM463" s="1005">
        <f t="shared" si="283"/>
        <v>0</v>
      </c>
      <c r="AN463" s="1005">
        <f t="shared" si="283"/>
        <v>0</v>
      </c>
      <c r="AO463" s="1005">
        <f t="shared" si="283"/>
        <v>0</v>
      </c>
      <c r="AP463" s="1005">
        <f t="shared" si="283"/>
        <v>0</v>
      </c>
      <c r="AQ463" s="1005">
        <f t="shared" si="283"/>
        <v>0</v>
      </c>
      <c r="AR463" s="1075">
        <f t="shared" si="284"/>
        <v>0</v>
      </c>
      <c r="AS463" s="232" t="str">
        <f>Y463&amp;"contratada"</f>
        <v>contratada</v>
      </c>
    </row>
    <row r="464" spans="1:47" ht="15.05" thickBot="1" x14ac:dyDescent="0.35">
      <c r="A464" s="205"/>
      <c r="B464" s="5044"/>
      <c r="C464" s="985">
        <f t="shared" si="287"/>
        <v>0</v>
      </c>
      <c r="D464" s="985">
        <f>IF(B464=0,0,VLOOKUP(B464,Precios!$B$216:$D$307,3,FALSE))</f>
        <v>0</v>
      </c>
      <c r="E464" s="5049"/>
      <c r="F464" s="2253">
        <f>IF(B464=0,0,VLOOKUP(B464,Precios!$B$216:$D$307,2,FALSE))</f>
        <v>0</v>
      </c>
      <c r="G464" s="1067">
        <f>E464*F464</f>
        <v>0</v>
      </c>
      <c r="H464" s="309"/>
      <c r="I464" s="1074">
        <f>IF($C464&gt;0,I$452*$E464,0)</f>
        <v>0</v>
      </c>
      <c r="J464" s="1005">
        <f t="shared" si="281"/>
        <v>0</v>
      </c>
      <c r="K464" s="1005">
        <f t="shared" si="281"/>
        <v>0</v>
      </c>
      <c r="L464" s="1005">
        <f t="shared" si="281"/>
        <v>0</v>
      </c>
      <c r="M464" s="1005">
        <f t="shared" si="281"/>
        <v>0</v>
      </c>
      <c r="N464" s="1005">
        <f t="shared" si="281"/>
        <v>0</v>
      </c>
      <c r="O464" s="1005">
        <f t="shared" si="281"/>
        <v>0</v>
      </c>
      <c r="P464" s="1005">
        <f t="shared" si="281"/>
        <v>0</v>
      </c>
      <c r="Q464" s="1005">
        <f t="shared" si="281"/>
        <v>0</v>
      </c>
      <c r="R464" s="1005">
        <f t="shared" si="281"/>
        <v>0</v>
      </c>
      <c r="S464" s="1005">
        <f t="shared" si="281"/>
        <v>0</v>
      </c>
      <c r="T464" s="1005">
        <f t="shared" si="281"/>
        <v>0</v>
      </c>
      <c r="U464" s="1075">
        <f t="shared" si="282"/>
        <v>0</v>
      </c>
      <c r="V464" s="232" t="str">
        <f>B464&amp;"contratada"</f>
        <v>contratada</v>
      </c>
      <c r="X464" s="301"/>
      <c r="Y464" s="5044"/>
      <c r="Z464" s="985">
        <f>IF(Y464=0,0,AR$452)</f>
        <v>0</v>
      </c>
      <c r="AA464" s="985">
        <f>IF(Y464=0,0,VLOOKUP(Y464,Precios!$B$216:$D$307,3,FALSE))</f>
        <v>0</v>
      </c>
      <c r="AB464" s="986"/>
      <c r="AC464" s="2253">
        <f>IF(Y464=0,0,VLOOKUP(Y464,Precios!$B$216:$D$307,2,FALSE))</f>
        <v>0</v>
      </c>
      <c r="AD464" s="1067">
        <f>AB464*AC464</f>
        <v>0</v>
      </c>
      <c r="AE464" s="309"/>
      <c r="AF464" s="1074">
        <f>IF($Z464&gt;0,AF$452*$AB464,0)</f>
        <v>0</v>
      </c>
      <c r="AG464" s="1005">
        <f t="shared" si="283"/>
        <v>0</v>
      </c>
      <c r="AH464" s="1005">
        <f t="shared" si="283"/>
        <v>0</v>
      </c>
      <c r="AI464" s="1005">
        <f t="shared" si="283"/>
        <v>0</v>
      </c>
      <c r="AJ464" s="1005">
        <f t="shared" si="283"/>
        <v>0</v>
      </c>
      <c r="AK464" s="1005">
        <f t="shared" si="283"/>
        <v>0</v>
      </c>
      <c r="AL464" s="1005">
        <f t="shared" si="283"/>
        <v>0</v>
      </c>
      <c r="AM464" s="1005">
        <f t="shared" si="283"/>
        <v>0</v>
      </c>
      <c r="AN464" s="1005">
        <f t="shared" si="283"/>
        <v>0</v>
      </c>
      <c r="AO464" s="1005">
        <f t="shared" si="283"/>
        <v>0</v>
      </c>
      <c r="AP464" s="1005">
        <f t="shared" si="283"/>
        <v>0</v>
      </c>
      <c r="AQ464" s="1005">
        <f t="shared" si="283"/>
        <v>0</v>
      </c>
      <c r="AR464" s="1075">
        <f t="shared" si="284"/>
        <v>0</v>
      </c>
      <c r="AS464" s="232" t="str">
        <f>Y464&amp;"contratada"</f>
        <v>contratada</v>
      </c>
    </row>
    <row r="465" spans="1:46" ht="15.05" thickBot="1" x14ac:dyDescent="0.35">
      <c r="A465" s="205"/>
      <c r="B465" s="5044"/>
      <c r="C465" s="985">
        <f t="shared" si="287"/>
        <v>0</v>
      </c>
      <c r="D465" s="985">
        <f>IF(B465=0,0,VLOOKUP(B465,Precios!$B$216:$D$307,3,FALSE))</f>
        <v>0</v>
      </c>
      <c r="E465" s="5049"/>
      <c r="F465" s="2253">
        <f>IF(B465=0,0,VLOOKUP(B465,Precios!$B$216:$D$307,2,FALSE))</f>
        <v>0</v>
      </c>
      <c r="G465" s="1067">
        <f>E465*F465</f>
        <v>0</v>
      </c>
      <c r="H465" s="309"/>
      <c r="I465" s="1074">
        <f>IF($C465&gt;0,I$452*$E465,0)</f>
        <v>0</v>
      </c>
      <c r="J465" s="1005">
        <f t="shared" si="281"/>
        <v>0</v>
      </c>
      <c r="K465" s="1005">
        <f t="shared" si="281"/>
        <v>0</v>
      </c>
      <c r="L465" s="1005">
        <f t="shared" si="281"/>
        <v>0</v>
      </c>
      <c r="M465" s="1005">
        <f t="shared" si="281"/>
        <v>0</v>
      </c>
      <c r="N465" s="1005">
        <f t="shared" si="281"/>
        <v>0</v>
      </c>
      <c r="O465" s="1005">
        <f t="shared" si="281"/>
        <v>0</v>
      </c>
      <c r="P465" s="1005">
        <f t="shared" si="281"/>
        <v>0</v>
      </c>
      <c r="Q465" s="1005">
        <f t="shared" si="281"/>
        <v>0</v>
      </c>
      <c r="R465" s="1005">
        <f t="shared" si="281"/>
        <v>0</v>
      </c>
      <c r="S465" s="1005">
        <f t="shared" si="281"/>
        <v>0</v>
      </c>
      <c r="T465" s="1005">
        <f t="shared" si="281"/>
        <v>0</v>
      </c>
      <c r="U465" s="1075">
        <f t="shared" si="282"/>
        <v>0</v>
      </c>
      <c r="V465" s="232" t="str">
        <f>B465&amp;"contratada"</f>
        <v>contratada</v>
      </c>
      <c r="X465" s="301"/>
      <c r="Y465" s="5044"/>
      <c r="Z465" s="985">
        <f>IF(Y465=0,0,AR$452)</f>
        <v>0</v>
      </c>
      <c r="AA465" s="985">
        <f>IF(Y465=0,0,VLOOKUP(Y465,Precios!$B$216:$D$307,3,FALSE))</f>
        <v>0</v>
      </c>
      <c r="AB465" s="986"/>
      <c r="AC465" s="2253">
        <f>IF(Y465=0,0,VLOOKUP(Y465,Precios!$B$216:$D$307,2,FALSE))</f>
        <v>0</v>
      </c>
      <c r="AD465" s="1067">
        <f>AB465*AC465</f>
        <v>0</v>
      </c>
      <c r="AE465" s="309"/>
      <c r="AF465" s="1074">
        <f>IF($Z465&gt;0,AF$452*$AB465,0)</f>
        <v>0</v>
      </c>
      <c r="AG465" s="1005">
        <f t="shared" si="283"/>
        <v>0</v>
      </c>
      <c r="AH465" s="1005">
        <f t="shared" si="283"/>
        <v>0</v>
      </c>
      <c r="AI465" s="1005">
        <f t="shared" si="283"/>
        <v>0</v>
      </c>
      <c r="AJ465" s="1005">
        <f t="shared" si="283"/>
        <v>0</v>
      </c>
      <c r="AK465" s="1005">
        <f t="shared" si="283"/>
        <v>0</v>
      </c>
      <c r="AL465" s="1005">
        <f t="shared" si="283"/>
        <v>0</v>
      </c>
      <c r="AM465" s="1005">
        <f t="shared" si="283"/>
        <v>0</v>
      </c>
      <c r="AN465" s="1005">
        <f t="shared" si="283"/>
        <v>0</v>
      </c>
      <c r="AO465" s="1005">
        <f t="shared" si="283"/>
        <v>0</v>
      </c>
      <c r="AP465" s="1005">
        <f t="shared" si="283"/>
        <v>0</v>
      </c>
      <c r="AQ465" s="1005">
        <f t="shared" si="283"/>
        <v>0</v>
      </c>
      <c r="AR465" s="1075">
        <f t="shared" si="284"/>
        <v>0</v>
      </c>
      <c r="AS465" s="232" t="str">
        <f>Y465&amp;"contratada"</f>
        <v>contratada</v>
      </c>
    </row>
    <row r="466" spans="1:46" x14ac:dyDescent="0.3">
      <c r="A466" s="205"/>
      <c r="B466" s="5046"/>
      <c r="C466" s="1057">
        <f t="shared" si="287"/>
        <v>0</v>
      </c>
      <c r="D466" s="1057">
        <f>IF(B466=0,0,VLOOKUP(B466,Precios!$B$216:$D$307,3,FALSE))</f>
        <v>0</v>
      </c>
      <c r="E466" s="5050"/>
      <c r="F466" s="2254">
        <f>IF(B466=0,0,VLOOKUP(B466,Precios!$B$216:$D$307,2,FALSE))</f>
        <v>0</v>
      </c>
      <c r="G466" s="1068">
        <f>E466*F466</f>
        <v>0</v>
      </c>
      <c r="H466" s="309"/>
      <c r="I466" s="1076">
        <f>IF($C466&gt;0,I$452*$E466,0)</f>
        <v>0</v>
      </c>
      <c r="J466" s="1077">
        <f t="shared" si="281"/>
        <v>0</v>
      </c>
      <c r="K466" s="1077">
        <f t="shared" si="281"/>
        <v>0</v>
      </c>
      <c r="L466" s="1077">
        <f t="shared" si="281"/>
        <v>0</v>
      </c>
      <c r="M466" s="1077">
        <f t="shared" si="281"/>
        <v>0</v>
      </c>
      <c r="N466" s="1077">
        <f t="shared" si="281"/>
        <v>0</v>
      </c>
      <c r="O466" s="1077">
        <f t="shared" si="281"/>
        <v>0</v>
      </c>
      <c r="P466" s="1077">
        <f t="shared" si="281"/>
        <v>0</v>
      </c>
      <c r="Q466" s="1077">
        <f t="shared" si="281"/>
        <v>0</v>
      </c>
      <c r="R466" s="1077">
        <f t="shared" si="281"/>
        <v>0</v>
      </c>
      <c r="S466" s="1077">
        <f t="shared" si="281"/>
        <v>0</v>
      </c>
      <c r="T466" s="1077">
        <f t="shared" si="281"/>
        <v>0</v>
      </c>
      <c r="U466" s="1078">
        <f t="shared" si="282"/>
        <v>0</v>
      </c>
      <c r="V466" s="232" t="str">
        <f>B466&amp;"contratada"</f>
        <v>contratada</v>
      </c>
      <c r="X466" s="301"/>
      <c r="Y466" s="5046"/>
      <c r="Z466" s="1057">
        <f>IF(Y466=0,0,AR$452)</f>
        <v>0</v>
      </c>
      <c r="AA466" s="1057">
        <f>IF(Y466=0,0,VLOOKUP(Y466,Precios!$B$216:$D$307,3,FALSE))</f>
        <v>0</v>
      </c>
      <c r="AB466" s="1060"/>
      <c r="AC466" s="2254">
        <f>IF(Y466=0,0,VLOOKUP(Y466,Precios!$B$216:$D$307,2,FALSE))</f>
        <v>0</v>
      </c>
      <c r="AD466" s="1068">
        <f>AB466*AC466</f>
        <v>0</v>
      </c>
      <c r="AE466" s="309"/>
      <c r="AF466" s="1076">
        <f>IF($Z466&gt;0,AF$452*$AB466,0)</f>
        <v>0</v>
      </c>
      <c r="AG466" s="1077">
        <f t="shared" si="283"/>
        <v>0</v>
      </c>
      <c r="AH466" s="1077">
        <f t="shared" si="283"/>
        <v>0</v>
      </c>
      <c r="AI466" s="1077">
        <f t="shared" si="283"/>
        <v>0</v>
      </c>
      <c r="AJ466" s="1077">
        <f t="shared" si="283"/>
        <v>0</v>
      </c>
      <c r="AK466" s="1077">
        <f t="shared" si="283"/>
        <v>0</v>
      </c>
      <c r="AL466" s="1077">
        <f t="shared" si="283"/>
        <v>0</v>
      </c>
      <c r="AM466" s="1077">
        <f t="shared" si="283"/>
        <v>0</v>
      </c>
      <c r="AN466" s="1077">
        <f t="shared" si="283"/>
        <v>0</v>
      </c>
      <c r="AO466" s="1077">
        <f t="shared" si="283"/>
        <v>0</v>
      </c>
      <c r="AP466" s="1077">
        <f t="shared" si="283"/>
        <v>0</v>
      </c>
      <c r="AQ466" s="1077">
        <f t="shared" si="283"/>
        <v>0</v>
      </c>
      <c r="AR466" s="1078">
        <f t="shared" si="284"/>
        <v>0</v>
      </c>
      <c r="AS466" s="232" t="str">
        <f>Y466&amp;"contratada"</f>
        <v>contratada</v>
      </c>
    </row>
    <row r="467" spans="1:46" x14ac:dyDescent="0.3">
      <c r="A467" s="205"/>
      <c r="B467" s="647" t="s">
        <v>1084</v>
      </c>
      <c r="C467" s="305"/>
      <c r="D467" s="305"/>
      <c r="E467" s="305"/>
      <c r="F467" s="650"/>
      <c r="G467" s="305"/>
      <c r="H467" s="310"/>
      <c r="I467" s="904">
        <f>SUM(I462:I466)</f>
        <v>0</v>
      </c>
      <c r="J467" s="904">
        <f t="shared" ref="J467:T467" si="288">SUM(J462:J466)</f>
        <v>0</v>
      </c>
      <c r="K467" s="904">
        <f t="shared" si="288"/>
        <v>0</v>
      </c>
      <c r="L467" s="904">
        <f t="shared" si="288"/>
        <v>0</v>
      </c>
      <c r="M467" s="904">
        <f t="shared" si="288"/>
        <v>0</v>
      </c>
      <c r="N467" s="904">
        <f t="shared" si="288"/>
        <v>0</v>
      </c>
      <c r="O467" s="904">
        <f t="shared" si="288"/>
        <v>0</v>
      </c>
      <c r="P467" s="904">
        <f t="shared" si="288"/>
        <v>0</v>
      </c>
      <c r="Q467" s="904">
        <f t="shared" si="288"/>
        <v>0</v>
      </c>
      <c r="R467" s="904">
        <f t="shared" si="288"/>
        <v>0</v>
      </c>
      <c r="S467" s="904">
        <f t="shared" si="288"/>
        <v>0</v>
      </c>
      <c r="T467" s="904">
        <f t="shared" si="288"/>
        <v>0</v>
      </c>
      <c r="U467" s="905">
        <f>SUM(I467:T467)</f>
        <v>0</v>
      </c>
      <c r="W467" s="232" t="str">
        <f>B461&amp;B451</f>
        <v>Labores con maquinaria contratada0</v>
      </c>
      <c r="X467" s="301"/>
      <c r="Y467" s="647" t="s">
        <v>1084</v>
      </c>
      <c r="Z467" s="305"/>
      <c r="AA467" s="305"/>
      <c r="AB467" s="305"/>
      <c r="AC467" s="650"/>
      <c r="AD467" s="305"/>
      <c r="AE467" s="310"/>
      <c r="AF467" s="904">
        <f t="shared" ref="AF467:AQ467" si="289">SUM(AF462:AF466)</f>
        <v>0</v>
      </c>
      <c r="AG467" s="904">
        <f t="shared" si="289"/>
        <v>0</v>
      </c>
      <c r="AH467" s="904">
        <f t="shared" si="289"/>
        <v>0</v>
      </c>
      <c r="AI467" s="904">
        <f t="shared" si="289"/>
        <v>0</v>
      </c>
      <c r="AJ467" s="904">
        <f t="shared" si="289"/>
        <v>0</v>
      </c>
      <c r="AK467" s="904">
        <f t="shared" si="289"/>
        <v>0</v>
      </c>
      <c r="AL467" s="904">
        <f t="shared" si="289"/>
        <v>0</v>
      </c>
      <c r="AM467" s="904">
        <f t="shared" si="289"/>
        <v>0</v>
      </c>
      <c r="AN467" s="904">
        <f t="shared" si="289"/>
        <v>0</v>
      </c>
      <c r="AO467" s="904">
        <f t="shared" si="289"/>
        <v>0</v>
      </c>
      <c r="AP467" s="904">
        <f t="shared" si="289"/>
        <v>0</v>
      </c>
      <c r="AQ467" s="904">
        <f t="shared" si="289"/>
        <v>0</v>
      </c>
      <c r="AR467" s="905">
        <f>SUM(AF467:AQ467)</f>
        <v>0</v>
      </c>
      <c r="AT467" s="232" t="str">
        <f>Y461&amp;Y451</f>
        <v>Labores con maquinaria contratada0</v>
      </c>
    </row>
    <row r="468" spans="1:46" x14ac:dyDescent="0.2">
      <c r="A468" s="205"/>
      <c r="B468" s="197" t="s">
        <v>85</v>
      </c>
      <c r="C468" s="307"/>
      <c r="D468" s="307"/>
      <c r="E468" s="308"/>
      <c r="F468" s="651"/>
      <c r="G468" s="308"/>
      <c r="H468" s="308"/>
      <c r="I468" s="311"/>
      <c r="J468" s="311"/>
      <c r="K468" s="311"/>
      <c r="L468" s="311"/>
      <c r="M468" s="311"/>
      <c r="N468" s="311"/>
      <c r="O468" s="311"/>
      <c r="P468" s="311"/>
      <c r="Q468" s="311"/>
      <c r="R468" s="311"/>
      <c r="S468" s="311"/>
      <c r="T468" s="311"/>
      <c r="U468" s="646"/>
      <c r="X468" s="301"/>
      <c r="Y468" s="197" t="s">
        <v>85</v>
      </c>
      <c r="Z468" s="307"/>
      <c r="AA468" s="307"/>
      <c r="AB468" s="308"/>
      <c r="AC468" s="651"/>
      <c r="AD468" s="308"/>
      <c r="AE468" s="308"/>
      <c r="AF468" s="311"/>
      <c r="AG468" s="311"/>
      <c r="AH468" s="311"/>
      <c r="AI468" s="311"/>
      <c r="AJ468" s="311"/>
      <c r="AK468" s="311"/>
      <c r="AL468" s="311"/>
      <c r="AM468" s="311"/>
      <c r="AN468" s="311"/>
      <c r="AO468" s="311"/>
      <c r="AP468" s="311"/>
      <c r="AQ468" s="311"/>
      <c r="AR468" s="646"/>
    </row>
    <row r="469" spans="1:46" ht="15.05" thickBot="1" x14ac:dyDescent="0.35">
      <c r="A469" s="205"/>
      <c r="B469" s="5042"/>
      <c r="C469" s="1056">
        <f t="shared" si="287"/>
        <v>0</v>
      </c>
      <c r="D469" s="1056">
        <f>IF(B469=0,0,VLOOKUP(B469,Precios!$B$216:$D$307,3,FALSE))</f>
        <v>0</v>
      </c>
      <c r="E469" s="5048"/>
      <c r="F469" s="1062">
        <f>IF(B469=0,0,VLOOKUP(B469,Precios!$B$216:$D$307,2,FALSE))</f>
        <v>0</v>
      </c>
      <c r="G469" s="1066">
        <f t="shared" ref="G469:G476" si="290">E469*F469</f>
        <v>0</v>
      </c>
      <c r="H469" s="309"/>
      <c r="I469" s="1072">
        <f>IF($C469&gt;0,I$452*$E469,0)</f>
        <v>0</v>
      </c>
      <c r="J469" s="1033">
        <f t="shared" si="281"/>
        <v>0</v>
      </c>
      <c r="K469" s="1033">
        <f t="shared" si="281"/>
        <v>0</v>
      </c>
      <c r="L469" s="1033">
        <f t="shared" si="281"/>
        <v>0</v>
      </c>
      <c r="M469" s="1033">
        <f t="shared" si="281"/>
        <v>0</v>
      </c>
      <c r="N469" s="1033">
        <f t="shared" si="281"/>
        <v>0</v>
      </c>
      <c r="O469" s="1033">
        <f t="shared" si="281"/>
        <v>0</v>
      </c>
      <c r="P469" s="1033">
        <f t="shared" si="281"/>
        <v>0</v>
      </c>
      <c r="Q469" s="1033">
        <f t="shared" si="281"/>
        <v>0</v>
      </c>
      <c r="R469" s="1033">
        <f t="shared" si="281"/>
        <v>0</v>
      </c>
      <c r="S469" s="1033">
        <f t="shared" si="281"/>
        <v>0</v>
      </c>
      <c r="T469" s="1033">
        <f t="shared" si="281"/>
        <v>0</v>
      </c>
      <c r="U469" s="1073">
        <f t="shared" si="282"/>
        <v>0</v>
      </c>
      <c r="X469" s="301"/>
      <c r="Y469" s="5042"/>
      <c r="Z469" s="1056">
        <f>IF(Y469=0,0,AR$452)</f>
        <v>0</v>
      </c>
      <c r="AA469" s="1056">
        <f>IF(Y469=0,0,VLOOKUP(Y469,Precios!$B$216:$D$307,3,FALSE))</f>
        <v>0</v>
      </c>
      <c r="AB469" s="1058"/>
      <c r="AC469" s="1062">
        <f>IF(Y469=0,0,VLOOKUP(Y469,Precios!$B$216:$D$307,2,FALSE))</f>
        <v>0</v>
      </c>
      <c r="AD469" s="1066">
        <f t="shared" ref="AD469:AD476" si="291">AB469*AC469</f>
        <v>0</v>
      </c>
      <c r="AE469" s="309"/>
      <c r="AF469" s="1072">
        <f>IF($Z469&gt;0,AF$452*$AB469,0)</f>
        <v>0</v>
      </c>
      <c r="AG469" s="1033">
        <f t="shared" si="283"/>
        <v>0</v>
      </c>
      <c r="AH469" s="1033">
        <f t="shared" si="283"/>
        <v>0</v>
      </c>
      <c r="AI469" s="1033">
        <f t="shared" si="283"/>
        <v>0</v>
      </c>
      <c r="AJ469" s="1033">
        <f t="shared" si="283"/>
        <v>0</v>
      </c>
      <c r="AK469" s="1033">
        <f t="shared" si="283"/>
        <v>0</v>
      </c>
      <c r="AL469" s="1033">
        <f t="shared" si="283"/>
        <v>0</v>
      </c>
      <c r="AM469" s="1033">
        <f t="shared" si="283"/>
        <v>0</v>
      </c>
      <c r="AN469" s="1033">
        <f t="shared" si="283"/>
        <v>0</v>
      </c>
      <c r="AO469" s="1033">
        <f t="shared" si="283"/>
        <v>0</v>
      </c>
      <c r="AP469" s="1033">
        <f t="shared" si="283"/>
        <v>0</v>
      </c>
      <c r="AQ469" s="1033">
        <f t="shared" si="283"/>
        <v>0</v>
      </c>
      <c r="AR469" s="1073">
        <f t="shared" si="284"/>
        <v>0</v>
      </c>
    </row>
    <row r="470" spans="1:46" ht="15.05" thickBot="1" x14ac:dyDescent="0.35">
      <c r="A470" s="205"/>
      <c r="B470" s="5044"/>
      <c r="C470" s="985">
        <f t="shared" si="287"/>
        <v>0</v>
      </c>
      <c r="D470" s="985">
        <f>IF(B470=0,0,VLOOKUP(B470,Precios!$B$216:$D$307,3,FALSE))</f>
        <v>0</v>
      </c>
      <c r="E470" s="5049"/>
      <c r="F470" s="1059">
        <f>IF(B470=0,0,VLOOKUP(B470,Precios!$B$216:$D$307,2,FALSE))</f>
        <v>0</v>
      </c>
      <c r="G470" s="1067">
        <f t="shared" si="290"/>
        <v>0</v>
      </c>
      <c r="H470" s="309"/>
      <c r="I470" s="1074">
        <f t="shared" ref="I470:T486" si="292">IF($C470&gt;0,I$452*$E470,0)</f>
        <v>0</v>
      </c>
      <c r="J470" s="1005">
        <f t="shared" si="281"/>
        <v>0</v>
      </c>
      <c r="K470" s="1005">
        <f t="shared" si="281"/>
        <v>0</v>
      </c>
      <c r="L470" s="1005">
        <f t="shared" si="281"/>
        <v>0</v>
      </c>
      <c r="M470" s="1005">
        <f t="shared" si="281"/>
        <v>0</v>
      </c>
      <c r="N470" s="1005">
        <f t="shared" si="281"/>
        <v>0</v>
      </c>
      <c r="O470" s="1005">
        <f t="shared" si="281"/>
        <v>0</v>
      </c>
      <c r="P470" s="1005">
        <f t="shared" si="281"/>
        <v>0</v>
      </c>
      <c r="Q470" s="1005">
        <f t="shared" si="281"/>
        <v>0</v>
      </c>
      <c r="R470" s="1005">
        <f t="shared" si="281"/>
        <v>0</v>
      </c>
      <c r="S470" s="1005">
        <f t="shared" si="281"/>
        <v>0</v>
      </c>
      <c r="T470" s="1005">
        <f t="shared" si="281"/>
        <v>0</v>
      </c>
      <c r="U470" s="1075">
        <f t="shared" si="282"/>
        <v>0</v>
      </c>
      <c r="X470" s="301"/>
      <c r="Y470" s="5044"/>
      <c r="Z470" s="985">
        <f t="shared" ref="Z470:Z486" si="293">IF(Y470=0,0,AR$452)</f>
        <v>0</v>
      </c>
      <c r="AA470" s="985">
        <f>IF(Y470=0,0,VLOOKUP(Y470,Precios!$B$216:$D$307,3,FALSE))</f>
        <v>0</v>
      </c>
      <c r="AB470" s="986"/>
      <c r="AC470" s="1059">
        <f>IF(Y470=0,0,VLOOKUP(Y470,Precios!$B$216:$D$307,2,FALSE))</f>
        <v>0</v>
      </c>
      <c r="AD470" s="1067">
        <f t="shared" si="291"/>
        <v>0</v>
      </c>
      <c r="AE470" s="309"/>
      <c r="AF470" s="1074">
        <f t="shared" ref="AF470:AQ486" si="294">IF($Z470&gt;0,AF$452*$AB470,0)</f>
        <v>0</v>
      </c>
      <c r="AG470" s="1005">
        <f t="shared" si="283"/>
        <v>0</v>
      </c>
      <c r="AH470" s="1005">
        <f t="shared" si="283"/>
        <v>0</v>
      </c>
      <c r="AI470" s="1005">
        <f t="shared" si="283"/>
        <v>0</v>
      </c>
      <c r="AJ470" s="1005">
        <f t="shared" si="283"/>
        <v>0</v>
      </c>
      <c r="AK470" s="1005">
        <f t="shared" si="283"/>
        <v>0</v>
      </c>
      <c r="AL470" s="1005">
        <f t="shared" si="283"/>
        <v>0</v>
      </c>
      <c r="AM470" s="1005">
        <f t="shared" si="283"/>
        <v>0</v>
      </c>
      <c r="AN470" s="1005">
        <f t="shared" si="283"/>
        <v>0</v>
      </c>
      <c r="AO470" s="1005">
        <f t="shared" si="283"/>
        <v>0</v>
      </c>
      <c r="AP470" s="1005">
        <f t="shared" si="283"/>
        <v>0</v>
      </c>
      <c r="AQ470" s="1005">
        <f t="shared" si="283"/>
        <v>0</v>
      </c>
      <c r="AR470" s="1075">
        <f t="shared" si="284"/>
        <v>0</v>
      </c>
    </row>
    <row r="471" spans="1:46" ht="15.05" thickBot="1" x14ac:dyDescent="0.35">
      <c r="A471" s="205"/>
      <c r="B471" s="5044"/>
      <c r="C471" s="985">
        <f t="shared" si="287"/>
        <v>0</v>
      </c>
      <c r="D471" s="985">
        <f>IF(B471=0,0,VLOOKUP(B471,Precios!$B$216:$D$307,3,FALSE))</f>
        <v>0</v>
      </c>
      <c r="E471" s="5049"/>
      <c r="F471" s="1059">
        <f>IF(B471=0,0,VLOOKUP(B471,Precios!$B$216:$D$307,2,FALSE))</f>
        <v>0</v>
      </c>
      <c r="G471" s="1067">
        <f t="shared" si="290"/>
        <v>0</v>
      </c>
      <c r="H471" s="309"/>
      <c r="I471" s="1074">
        <f t="shared" si="292"/>
        <v>0</v>
      </c>
      <c r="J471" s="1005">
        <f t="shared" si="281"/>
        <v>0</v>
      </c>
      <c r="K471" s="1005">
        <f t="shared" si="281"/>
        <v>0</v>
      </c>
      <c r="L471" s="1005">
        <f t="shared" si="281"/>
        <v>0</v>
      </c>
      <c r="M471" s="1005">
        <f t="shared" si="281"/>
        <v>0</v>
      </c>
      <c r="N471" s="1005">
        <f t="shared" si="281"/>
        <v>0</v>
      </c>
      <c r="O471" s="1005">
        <f t="shared" si="281"/>
        <v>0</v>
      </c>
      <c r="P471" s="1005">
        <f t="shared" si="281"/>
        <v>0</v>
      </c>
      <c r="Q471" s="1005">
        <f t="shared" si="281"/>
        <v>0</v>
      </c>
      <c r="R471" s="1005">
        <f t="shared" si="281"/>
        <v>0</v>
      </c>
      <c r="S471" s="1005">
        <f t="shared" si="281"/>
        <v>0</v>
      </c>
      <c r="T471" s="1005">
        <f t="shared" si="281"/>
        <v>0</v>
      </c>
      <c r="U471" s="1075">
        <f t="shared" si="282"/>
        <v>0</v>
      </c>
      <c r="X471" s="301"/>
      <c r="Y471" s="5044"/>
      <c r="Z471" s="985">
        <f t="shared" si="293"/>
        <v>0</v>
      </c>
      <c r="AA471" s="985">
        <f>IF(Y471=0,0,VLOOKUP(Y471,Precios!$B$216:$D$307,3,FALSE))</f>
        <v>0</v>
      </c>
      <c r="AB471" s="986"/>
      <c r="AC471" s="1059">
        <f>IF(Y471=0,0,VLOOKUP(Y471,Precios!$B$216:$D$307,2,FALSE))</f>
        <v>0</v>
      </c>
      <c r="AD471" s="1067">
        <f t="shared" si="291"/>
        <v>0</v>
      </c>
      <c r="AE471" s="309"/>
      <c r="AF471" s="1074">
        <f t="shared" si="294"/>
        <v>0</v>
      </c>
      <c r="AG471" s="1005">
        <f t="shared" si="283"/>
        <v>0</v>
      </c>
      <c r="AH471" s="1005">
        <f t="shared" si="283"/>
        <v>0</v>
      </c>
      <c r="AI471" s="1005">
        <f t="shared" si="283"/>
        <v>0</v>
      </c>
      <c r="AJ471" s="1005">
        <f t="shared" si="283"/>
        <v>0</v>
      </c>
      <c r="AK471" s="1005">
        <f t="shared" si="283"/>
        <v>0</v>
      </c>
      <c r="AL471" s="1005">
        <f t="shared" si="283"/>
        <v>0</v>
      </c>
      <c r="AM471" s="1005">
        <f t="shared" si="283"/>
        <v>0</v>
      </c>
      <c r="AN471" s="1005">
        <f t="shared" si="283"/>
        <v>0</v>
      </c>
      <c r="AO471" s="1005">
        <f t="shared" si="283"/>
        <v>0</v>
      </c>
      <c r="AP471" s="1005">
        <f t="shared" si="283"/>
        <v>0</v>
      </c>
      <c r="AQ471" s="1005">
        <f t="shared" si="283"/>
        <v>0</v>
      </c>
      <c r="AR471" s="1075">
        <f t="shared" si="284"/>
        <v>0</v>
      </c>
    </row>
    <row r="472" spans="1:46" ht="15.05" thickBot="1" x14ac:dyDescent="0.35">
      <c r="A472" s="205"/>
      <c r="B472" s="5044"/>
      <c r="C472" s="985">
        <f t="shared" si="287"/>
        <v>0</v>
      </c>
      <c r="D472" s="985">
        <f>IF(B472=0,0,VLOOKUP(B472,Precios!$B$216:$D$307,3,FALSE))</f>
        <v>0</v>
      </c>
      <c r="E472" s="5049"/>
      <c r="F472" s="1059">
        <f>IF(B472=0,0,VLOOKUP(B472,Precios!$B$216:$D$307,2,FALSE))</f>
        <v>0</v>
      </c>
      <c r="G472" s="1067">
        <f t="shared" si="290"/>
        <v>0</v>
      </c>
      <c r="H472" s="309"/>
      <c r="I472" s="1074">
        <f t="shared" si="292"/>
        <v>0</v>
      </c>
      <c r="J472" s="1005">
        <f t="shared" si="281"/>
        <v>0</v>
      </c>
      <c r="K472" s="1005">
        <f t="shared" si="281"/>
        <v>0</v>
      </c>
      <c r="L472" s="1005">
        <f t="shared" si="281"/>
        <v>0</v>
      </c>
      <c r="M472" s="1005">
        <f t="shared" si="281"/>
        <v>0</v>
      </c>
      <c r="N472" s="1005">
        <f t="shared" si="281"/>
        <v>0</v>
      </c>
      <c r="O472" s="1005">
        <f t="shared" si="281"/>
        <v>0</v>
      </c>
      <c r="P472" s="1005">
        <f t="shared" si="281"/>
        <v>0</v>
      </c>
      <c r="Q472" s="1005">
        <f t="shared" si="281"/>
        <v>0</v>
      </c>
      <c r="R472" s="1005">
        <f t="shared" si="281"/>
        <v>0</v>
      </c>
      <c r="S472" s="1005">
        <f t="shared" si="281"/>
        <v>0</v>
      </c>
      <c r="T472" s="1005">
        <f t="shared" si="281"/>
        <v>0</v>
      </c>
      <c r="U472" s="1075">
        <f t="shared" si="282"/>
        <v>0</v>
      </c>
      <c r="X472" s="301"/>
      <c r="Y472" s="5044"/>
      <c r="Z472" s="985">
        <f t="shared" si="293"/>
        <v>0</v>
      </c>
      <c r="AA472" s="985">
        <f>IF(Y472=0,0,VLOOKUP(Y472,Precios!$B$216:$D$307,3,FALSE))</f>
        <v>0</v>
      </c>
      <c r="AB472" s="986"/>
      <c r="AC472" s="1059">
        <f>IF(Y472=0,0,VLOOKUP(Y472,Precios!$B$216:$D$307,2,FALSE))</f>
        <v>0</v>
      </c>
      <c r="AD472" s="1067">
        <f t="shared" si="291"/>
        <v>0</v>
      </c>
      <c r="AE472" s="309"/>
      <c r="AF472" s="1074">
        <f t="shared" si="294"/>
        <v>0</v>
      </c>
      <c r="AG472" s="1005">
        <f t="shared" si="283"/>
        <v>0</v>
      </c>
      <c r="AH472" s="1005">
        <f t="shared" si="283"/>
        <v>0</v>
      </c>
      <c r="AI472" s="1005">
        <f t="shared" si="283"/>
        <v>0</v>
      </c>
      <c r="AJ472" s="1005">
        <f t="shared" si="283"/>
        <v>0</v>
      </c>
      <c r="AK472" s="1005">
        <f t="shared" si="283"/>
        <v>0</v>
      </c>
      <c r="AL472" s="1005">
        <f t="shared" si="283"/>
        <v>0</v>
      </c>
      <c r="AM472" s="1005">
        <f t="shared" si="283"/>
        <v>0</v>
      </c>
      <c r="AN472" s="1005">
        <f t="shared" si="283"/>
        <v>0</v>
      </c>
      <c r="AO472" s="1005">
        <f t="shared" si="283"/>
        <v>0</v>
      </c>
      <c r="AP472" s="1005">
        <f t="shared" si="283"/>
        <v>0</v>
      </c>
      <c r="AQ472" s="1005">
        <f t="shared" si="283"/>
        <v>0</v>
      </c>
      <c r="AR472" s="1075">
        <f t="shared" si="284"/>
        <v>0</v>
      </c>
    </row>
    <row r="473" spans="1:46" ht="15.05" thickBot="1" x14ac:dyDescent="0.35">
      <c r="A473" s="205"/>
      <c r="B473" s="5044"/>
      <c r="C473" s="985">
        <f t="shared" si="287"/>
        <v>0</v>
      </c>
      <c r="D473" s="985">
        <f>IF(B473=0,0,VLOOKUP(B473,Precios!$B$216:$D$307,3,FALSE))</f>
        <v>0</v>
      </c>
      <c r="E473" s="5049"/>
      <c r="F473" s="1059">
        <f>IF(B473=0,0,VLOOKUP(B473,Precios!$B$216:$D$307,2,FALSE))</f>
        <v>0</v>
      </c>
      <c r="G473" s="1067">
        <f t="shared" si="290"/>
        <v>0</v>
      </c>
      <c r="H473" s="309"/>
      <c r="I473" s="1074">
        <f t="shared" si="292"/>
        <v>0</v>
      </c>
      <c r="J473" s="1005">
        <f t="shared" si="292"/>
        <v>0</v>
      </c>
      <c r="K473" s="1005">
        <f t="shared" si="292"/>
        <v>0</v>
      </c>
      <c r="L473" s="1005">
        <f t="shared" si="292"/>
        <v>0</v>
      </c>
      <c r="M473" s="1005">
        <f t="shared" si="292"/>
        <v>0</v>
      </c>
      <c r="N473" s="1005">
        <f t="shared" si="292"/>
        <v>0</v>
      </c>
      <c r="O473" s="1005">
        <f t="shared" si="292"/>
        <v>0</v>
      </c>
      <c r="P473" s="1005">
        <f t="shared" si="292"/>
        <v>0</v>
      </c>
      <c r="Q473" s="1005">
        <f t="shared" si="292"/>
        <v>0</v>
      </c>
      <c r="R473" s="1005">
        <f t="shared" si="292"/>
        <v>0</v>
      </c>
      <c r="S473" s="1005">
        <f t="shared" si="292"/>
        <v>0</v>
      </c>
      <c r="T473" s="1005">
        <f t="shared" si="292"/>
        <v>0</v>
      </c>
      <c r="U473" s="1075">
        <f t="shared" si="282"/>
        <v>0</v>
      </c>
      <c r="X473" s="301"/>
      <c r="Y473" s="5044"/>
      <c r="Z473" s="985">
        <f t="shared" si="293"/>
        <v>0</v>
      </c>
      <c r="AA473" s="985">
        <f>IF(Y473=0,0,VLOOKUP(Y473,Precios!$B$216:$D$307,3,FALSE))</f>
        <v>0</v>
      </c>
      <c r="AB473" s="986"/>
      <c r="AC473" s="1059">
        <f>IF(Y473=0,0,VLOOKUP(Y473,Precios!$B$216:$D$307,2,FALSE))</f>
        <v>0</v>
      </c>
      <c r="AD473" s="1067">
        <f t="shared" si="291"/>
        <v>0</v>
      </c>
      <c r="AE473" s="309"/>
      <c r="AF473" s="1074">
        <f t="shared" si="294"/>
        <v>0</v>
      </c>
      <c r="AG473" s="1005">
        <f t="shared" si="283"/>
        <v>0</v>
      </c>
      <c r="AH473" s="1005">
        <f t="shared" si="283"/>
        <v>0</v>
      </c>
      <c r="AI473" s="1005">
        <f t="shared" si="283"/>
        <v>0</v>
      </c>
      <c r="AJ473" s="1005">
        <f t="shared" si="283"/>
        <v>0</v>
      </c>
      <c r="AK473" s="1005">
        <f t="shared" si="283"/>
        <v>0</v>
      </c>
      <c r="AL473" s="1005">
        <f t="shared" si="283"/>
        <v>0</v>
      </c>
      <c r="AM473" s="1005">
        <f t="shared" si="283"/>
        <v>0</v>
      </c>
      <c r="AN473" s="1005">
        <f t="shared" si="283"/>
        <v>0</v>
      </c>
      <c r="AO473" s="1005">
        <f t="shared" si="283"/>
        <v>0</v>
      </c>
      <c r="AP473" s="1005">
        <f t="shared" si="283"/>
        <v>0</v>
      </c>
      <c r="AQ473" s="1005">
        <f t="shared" si="283"/>
        <v>0</v>
      </c>
      <c r="AR473" s="1075">
        <f t="shared" si="284"/>
        <v>0</v>
      </c>
    </row>
    <row r="474" spans="1:46" ht="15.05" thickBot="1" x14ac:dyDescent="0.35">
      <c r="A474" s="205"/>
      <c r="B474" s="5044"/>
      <c r="C474" s="985">
        <f t="shared" si="287"/>
        <v>0</v>
      </c>
      <c r="D474" s="985">
        <f>IF(B474=0,0,VLOOKUP(B474,Precios!$B$216:$D$307,3,FALSE))</f>
        <v>0</v>
      </c>
      <c r="E474" s="5049"/>
      <c r="F474" s="1059">
        <f>IF(B474=0,0,VLOOKUP(B474,Precios!$B$216:$D$307,2,FALSE))</f>
        <v>0</v>
      </c>
      <c r="G474" s="1067">
        <f t="shared" si="290"/>
        <v>0</v>
      </c>
      <c r="H474" s="309"/>
      <c r="I474" s="1074">
        <f t="shared" si="292"/>
        <v>0</v>
      </c>
      <c r="J474" s="1005">
        <f t="shared" si="292"/>
        <v>0</v>
      </c>
      <c r="K474" s="1005">
        <f t="shared" si="292"/>
        <v>0</v>
      </c>
      <c r="L474" s="1005">
        <f t="shared" si="292"/>
        <v>0</v>
      </c>
      <c r="M474" s="1005">
        <f t="shared" si="292"/>
        <v>0</v>
      </c>
      <c r="N474" s="1005">
        <f t="shared" si="292"/>
        <v>0</v>
      </c>
      <c r="O474" s="1005">
        <f t="shared" si="292"/>
        <v>0</v>
      </c>
      <c r="P474" s="1005">
        <f t="shared" si="292"/>
        <v>0</v>
      </c>
      <c r="Q474" s="1005">
        <f t="shared" si="292"/>
        <v>0</v>
      </c>
      <c r="R474" s="1005">
        <f t="shared" si="292"/>
        <v>0</v>
      </c>
      <c r="S474" s="1005">
        <f t="shared" si="292"/>
        <v>0</v>
      </c>
      <c r="T474" s="1005">
        <f t="shared" si="292"/>
        <v>0</v>
      </c>
      <c r="U474" s="1075">
        <f t="shared" si="282"/>
        <v>0</v>
      </c>
      <c r="X474" s="301"/>
      <c r="Y474" s="5044"/>
      <c r="Z474" s="985">
        <f t="shared" si="293"/>
        <v>0</v>
      </c>
      <c r="AA474" s="985">
        <f>IF(Y474=0,0,VLOOKUP(Y474,Precios!$B$216:$D$307,3,FALSE))</f>
        <v>0</v>
      </c>
      <c r="AB474" s="986"/>
      <c r="AC474" s="1059">
        <f>IF(Y474=0,0,VLOOKUP(Y474,Precios!$B$216:$D$307,2,FALSE))</f>
        <v>0</v>
      </c>
      <c r="AD474" s="1067">
        <f t="shared" si="291"/>
        <v>0</v>
      </c>
      <c r="AE474" s="309"/>
      <c r="AF474" s="1074">
        <f t="shared" si="294"/>
        <v>0</v>
      </c>
      <c r="AG474" s="1005">
        <f t="shared" si="294"/>
        <v>0</v>
      </c>
      <c r="AH474" s="1005">
        <f t="shared" si="294"/>
        <v>0</v>
      </c>
      <c r="AI474" s="1005">
        <f t="shared" si="294"/>
        <v>0</v>
      </c>
      <c r="AJ474" s="1005">
        <f t="shared" si="294"/>
        <v>0</v>
      </c>
      <c r="AK474" s="1005">
        <f t="shared" si="294"/>
        <v>0</v>
      </c>
      <c r="AL474" s="1005">
        <f t="shared" si="294"/>
        <v>0</v>
      </c>
      <c r="AM474" s="1005">
        <f t="shared" si="294"/>
        <v>0</v>
      </c>
      <c r="AN474" s="1005">
        <f t="shared" si="294"/>
        <v>0</v>
      </c>
      <c r="AO474" s="1005">
        <f t="shared" si="294"/>
        <v>0</v>
      </c>
      <c r="AP474" s="1005">
        <f t="shared" si="294"/>
        <v>0</v>
      </c>
      <c r="AQ474" s="1005">
        <f t="shared" si="294"/>
        <v>0</v>
      </c>
      <c r="AR474" s="1075">
        <f t="shared" ref="AR474:AR487" si="295">SUM(AF474:AQ474)</f>
        <v>0</v>
      </c>
    </row>
    <row r="475" spans="1:46" ht="15.05" thickBot="1" x14ac:dyDescent="0.35">
      <c r="A475" s="205"/>
      <c r="B475" s="5044"/>
      <c r="C475" s="985">
        <f t="shared" si="287"/>
        <v>0</v>
      </c>
      <c r="D475" s="985">
        <f>IF(B475=0,0,VLOOKUP(B475,Precios!$B$216:$D$307,3,FALSE))</f>
        <v>0</v>
      </c>
      <c r="E475" s="5049"/>
      <c r="F475" s="1059">
        <f>IF(B475=0,0,VLOOKUP(B475,Precios!$B$216:$D$307,2,FALSE))</f>
        <v>0</v>
      </c>
      <c r="G475" s="1067">
        <f t="shared" si="290"/>
        <v>0</v>
      </c>
      <c r="H475" s="309"/>
      <c r="I475" s="1074">
        <f t="shared" si="292"/>
        <v>0</v>
      </c>
      <c r="J475" s="1005">
        <f t="shared" si="292"/>
        <v>0</v>
      </c>
      <c r="K475" s="1005">
        <f t="shared" si="292"/>
        <v>0</v>
      </c>
      <c r="L475" s="1005">
        <f t="shared" si="292"/>
        <v>0</v>
      </c>
      <c r="M475" s="1005">
        <f t="shared" si="292"/>
        <v>0</v>
      </c>
      <c r="N475" s="1005">
        <f t="shared" si="292"/>
        <v>0</v>
      </c>
      <c r="O475" s="1005">
        <f t="shared" si="292"/>
        <v>0</v>
      </c>
      <c r="P475" s="1005">
        <f t="shared" si="292"/>
        <v>0</v>
      </c>
      <c r="Q475" s="1005">
        <f t="shared" si="292"/>
        <v>0</v>
      </c>
      <c r="R475" s="1005">
        <f t="shared" si="292"/>
        <v>0</v>
      </c>
      <c r="S475" s="1005">
        <f t="shared" si="292"/>
        <v>0</v>
      </c>
      <c r="T475" s="1005">
        <f t="shared" si="292"/>
        <v>0</v>
      </c>
      <c r="U475" s="1075">
        <f t="shared" si="282"/>
        <v>0</v>
      </c>
      <c r="X475" s="301"/>
      <c r="Y475" s="5044"/>
      <c r="Z475" s="985">
        <f t="shared" si="293"/>
        <v>0</v>
      </c>
      <c r="AA475" s="985">
        <f>IF(Y475=0,0,VLOOKUP(Y475,Precios!$B$216:$D$307,3,FALSE))</f>
        <v>0</v>
      </c>
      <c r="AB475" s="986"/>
      <c r="AC475" s="1059">
        <f>IF(Y475=0,0,VLOOKUP(Y475,Precios!$B$216:$D$307,2,FALSE))</f>
        <v>0</v>
      </c>
      <c r="AD475" s="1067">
        <f t="shared" si="291"/>
        <v>0</v>
      </c>
      <c r="AE475" s="309"/>
      <c r="AF475" s="1074">
        <f t="shared" si="294"/>
        <v>0</v>
      </c>
      <c r="AG475" s="1005">
        <f t="shared" si="294"/>
        <v>0</v>
      </c>
      <c r="AH475" s="1005">
        <f t="shared" si="294"/>
        <v>0</v>
      </c>
      <c r="AI475" s="1005">
        <f t="shared" si="294"/>
        <v>0</v>
      </c>
      <c r="AJ475" s="1005">
        <f t="shared" si="294"/>
        <v>0</v>
      </c>
      <c r="AK475" s="1005">
        <f t="shared" si="294"/>
        <v>0</v>
      </c>
      <c r="AL475" s="1005">
        <f t="shared" si="294"/>
        <v>0</v>
      </c>
      <c r="AM475" s="1005">
        <f t="shared" si="294"/>
        <v>0</v>
      </c>
      <c r="AN475" s="1005">
        <f t="shared" si="294"/>
        <v>0</v>
      </c>
      <c r="AO475" s="1005">
        <f t="shared" si="294"/>
        <v>0</v>
      </c>
      <c r="AP475" s="1005">
        <f t="shared" si="294"/>
        <v>0</v>
      </c>
      <c r="AQ475" s="1005">
        <f t="shared" si="294"/>
        <v>0</v>
      </c>
      <c r="AR475" s="1075">
        <f t="shared" si="295"/>
        <v>0</v>
      </c>
    </row>
    <row r="476" spans="1:46" x14ac:dyDescent="0.3">
      <c r="A476" s="205"/>
      <c r="B476" s="5046"/>
      <c r="C476" s="1057">
        <f t="shared" si="287"/>
        <v>0</v>
      </c>
      <c r="D476" s="1057">
        <f>IF(B476=0,0,VLOOKUP(B476,Precios!$B$216:$D$307,3,FALSE))</f>
        <v>0</v>
      </c>
      <c r="E476" s="5050"/>
      <c r="F476" s="1061">
        <f>IF(B476=0,0,VLOOKUP(B476,Precios!$B$216:$D$307,2,FALSE))</f>
        <v>0</v>
      </c>
      <c r="G476" s="1068">
        <f t="shared" si="290"/>
        <v>0</v>
      </c>
      <c r="H476" s="309"/>
      <c r="I476" s="1076">
        <f t="shared" si="292"/>
        <v>0</v>
      </c>
      <c r="J476" s="1077">
        <f t="shared" si="292"/>
        <v>0</v>
      </c>
      <c r="K476" s="1077">
        <f t="shared" si="292"/>
        <v>0</v>
      </c>
      <c r="L476" s="1077">
        <f t="shared" si="292"/>
        <v>0</v>
      </c>
      <c r="M476" s="1077">
        <f t="shared" si="292"/>
        <v>0</v>
      </c>
      <c r="N476" s="1077">
        <f t="shared" si="292"/>
        <v>0</v>
      </c>
      <c r="O476" s="1077">
        <f t="shared" si="292"/>
        <v>0</v>
      </c>
      <c r="P476" s="1077">
        <f t="shared" si="292"/>
        <v>0</v>
      </c>
      <c r="Q476" s="1077">
        <f t="shared" si="292"/>
        <v>0</v>
      </c>
      <c r="R476" s="1077">
        <f t="shared" si="292"/>
        <v>0</v>
      </c>
      <c r="S476" s="1077">
        <f t="shared" si="292"/>
        <v>0</v>
      </c>
      <c r="T476" s="1077">
        <f t="shared" si="292"/>
        <v>0</v>
      </c>
      <c r="U476" s="1078">
        <f t="shared" si="282"/>
        <v>0</v>
      </c>
      <c r="X476" s="301"/>
      <c r="Y476" s="5046"/>
      <c r="Z476" s="1057">
        <f t="shared" si="293"/>
        <v>0</v>
      </c>
      <c r="AA476" s="1057">
        <f>IF(Y476=0,0,VLOOKUP(Y476,Precios!$B$216:$D$307,3,FALSE))</f>
        <v>0</v>
      </c>
      <c r="AB476" s="1060"/>
      <c r="AC476" s="1061">
        <f>IF(Y476=0,0,VLOOKUP(Y476,Precios!$B$216:$D$307,2,FALSE))</f>
        <v>0</v>
      </c>
      <c r="AD476" s="1068">
        <f t="shared" si="291"/>
        <v>0</v>
      </c>
      <c r="AE476" s="309"/>
      <c r="AF476" s="1076">
        <f t="shared" si="294"/>
        <v>0</v>
      </c>
      <c r="AG476" s="1077">
        <f t="shared" si="294"/>
        <v>0</v>
      </c>
      <c r="AH476" s="1077">
        <f t="shared" si="294"/>
        <v>0</v>
      </c>
      <c r="AI476" s="1077">
        <f t="shared" si="294"/>
        <v>0</v>
      </c>
      <c r="AJ476" s="1077">
        <f t="shared" si="294"/>
        <v>0</v>
      </c>
      <c r="AK476" s="1077">
        <f t="shared" si="294"/>
        <v>0</v>
      </c>
      <c r="AL476" s="1077">
        <f t="shared" si="294"/>
        <v>0</v>
      </c>
      <c r="AM476" s="1077">
        <f t="shared" si="294"/>
        <v>0</v>
      </c>
      <c r="AN476" s="1077">
        <f t="shared" si="294"/>
        <v>0</v>
      </c>
      <c r="AO476" s="1077">
        <f t="shared" si="294"/>
        <v>0</v>
      </c>
      <c r="AP476" s="1077">
        <f t="shared" si="294"/>
        <v>0</v>
      </c>
      <c r="AQ476" s="1077">
        <f t="shared" si="294"/>
        <v>0</v>
      </c>
      <c r="AR476" s="1078">
        <f t="shared" si="295"/>
        <v>0</v>
      </c>
    </row>
    <row r="477" spans="1:46" x14ac:dyDescent="0.3">
      <c r="A477" s="205"/>
      <c r="B477" s="647" t="s">
        <v>1085</v>
      </c>
      <c r="C477" s="305"/>
      <c r="D477" s="305"/>
      <c r="E477" s="305"/>
      <c r="F477" s="650"/>
      <c r="G477" s="305"/>
      <c r="H477" s="310"/>
      <c r="I477" s="904">
        <f t="shared" ref="I477:T477" si="296">SUM(I469:I476)</f>
        <v>0</v>
      </c>
      <c r="J477" s="904">
        <f t="shared" si="296"/>
        <v>0</v>
      </c>
      <c r="K477" s="904">
        <f t="shared" si="296"/>
        <v>0</v>
      </c>
      <c r="L477" s="904">
        <f t="shared" si="296"/>
        <v>0</v>
      </c>
      <c r="M477" s="904">
        <f t="shared" si="296"/>
        <v>0</v>
      </c>
      <c r="N477" s="904">
        <f t="shared" si="296"/>
        <v>0</v>
      </c>
      <c r="O477" s="904">
        <f t="shared" si="296"/>
        <v>0</v>
      </c>
      <c r="P477" s="904">
        <f t="shared" si="296"/>
        <v>0</v>
      </c>
      <c r="Q477" s="904">
        <f t="shared" si="296"/>
        <v>0</v>
      </c>
      <c r="R477" s="904">
        <f t="shared" si="296"/>
        <v>0</v>
      </c>
      <c r="S477" s="904">
        <f t="shared" si="296"/>
        <v>0</v>
      </c>
      <c r="T477" s="904">
        <f t="shared" si="296"/>
        <v>0</v>
      </c>
      <c r="U477" s="905">
        <f>SUM(I477:T477)</f>
        <v>0</v>
      </c>
      <c r="W477" s="232" t="str">
        <f>B468&amp;B451</f>
        <v>Semillas0</v>
      </c>
      <c r="X477" s="301"/>
      <c r="Y477" s="647" t="s">
        <v>1085</v>
      </c>
      <c r="Z477" s="305"/>
      <c r="AA477" s="305"/>
      <c r="AB477" s="305"/>
      <c r="AC477" s="650"/>
      <c r="AD477" s="305"/>
      <c r="AE477" s="310"/>
      <c r="AF477" s="904">
        <f t="shared" ref="AF477:AQ477" si="297">SUM(AF469:AF476)</f>
        <v>0</v>
      </c>
      <c r="AG477" s="904">
        <f t="shared" si="297"/>
        <v>0</v>
      </c>
      <c r="AH477" s="904">
        <f t="shared" si="297"/>
        <v>0</v>
      </c>
      <c r="AI477" s="904">
        <f t="shared" si="297"/>
        <v>0</v>
      </c>
      <c r="AJ477" s="904">
        <f t="shared" si="297"/>
        <v>0</v>
      </c>
      <c r="AK477" s="904">
        <f t="shared" si="297"/>
        <v>0</v>
      </c>
      <c r="AL477" s="904">
        <f t="shared" si="297"/>
        <v>0</v>
      </c>
      <c r="AM477" s="904">
        <f t="shared" si="297"/>
        <v>0</v>
      </c>
      <c r="AN477" s="904">
        <f t="shared" si="297"/>
        <v>0</v>
      </c>
      <c r="AO477" s="904">
        <f t="shared" si="297"/>
        <v>0</v>
      </c>
      <c r="AP477" s="904">
        <f t="shared" si="297"/>
        <v>0</v>
      </c>
      <c r="AQ477" s="904">
        <f t="shared" si="297"/>
        <v>0</v>
      </c>
      <c r="AR477" s="905">
        <f>SUM(AF477:AQ477)</f>
        <v>0</v>
      </c>
      <c r="AT477" s="232" t="str">
        <f>Y468&amp;Y451</f>
        <v>Semillas0</v>
      </c>
    </row>
    <row r="478" spans="1:46" x14ac:dyDescent="0.2">
      <c r="A478" s="205"/>
      <c r="B478" s="197" t="s">
        <v>339</v>
      </c>
      <c r="C478" s="307"/>
      <c r="D478" s="307"/>
      <c r="E478" s="308"/>
      <c r="F478" s="651"/>
      <c r="G478" s="308"/>
      <c r="H478" s="307"/>
      <c r="I478" s="307"/>
      <c r="J478" s="307"/>
      <c r="K478" s="307"/>
      <c r="L478" s="307"/>
      <c r="M478" s="307"/>
      <c r="N478" s="307"/>
      <c r="O478" s="307"/>
      <c r="P478" s="307"/>
      <c r="Q478" s="307"/>
      <c r="R478" s="307"/>
      <c r="S478" s="307"/>
      <c r="T478" s="307"/>
      <c r="U478" s="646"/>
      <c r="X478" s="301"/>
      <c r="Y478" s="197" t="s">
        <v>339</v>
      </c>
      <c r="Z478" s="307"/>
      <c r="AA478" s="307"/>
      <c r="AB478" s="308"/>
      <c r="AC478" s="651"/>
      <c r="AD478" s="308"/>
      <c r="AE478" s="307"/>
      <c r="AF478" s="307"/>
      <c r="AG478" s="307"/>
      <c r="AH478" s="307"/>
      <c r="AI478" s="307"/>
      <c r="AJ478" s="307"/>
      <c r="AK478" s="307"/>
      <c r="AL478" s="307"/>
      <c r="AM478" s="307"/>
      <c r="AN478" s="307"/>
      <c r="AO478" s="307"/>
      <c r="AP478" s="307"/>
      <c r="AQ478" s="307"/>
      <c r="AR478" s="646"/>
    </row>
    <row r="479" spans="1:46" ht="15.05" thickBot="1" x14ac:dyDescent="0.35">
      <c r="A479" s="205"/>
      <c r="B479" s="5042"/>
      <c r="C479" s="1056">
        <f t="shared" si="287"/>
        <v>0</v>
      </c>
      <c r="D479" s="1056">
        <f>IF(B479=0,0,VLOOKUP(B479,Precios!$B$216:$D$307,3,FALSE))</f>
        <v>0</v>
      </c>
      <c r="E479" s="5048"/>
      <c r="F479" s="1063">
        <f>IF(B479=0,0,VLOOKUP(B479,Precios!$B$216:$D$307,2,FALSE))</f>
        <v>0</v>
      </c>
      <c r="G479" s="1066">
        <f>E479*F479</f>
        <v>0</v>
      </c>
      <c r="H479" s="309"/>
      <c r="I479" s="1072">
        <f t="shared" si="292"/>
        <v>0</v>
      </c>
      <c r="J479" s="1033">
        <f t="shared" si="292"/>
        <v>0</v>
      </c>
      <c r="K479" s="1033">
        <f t="shared" si="292"/>
        <v>0</v>
      </c>
      <c r="L479" s="1033">
        <f t="shared" si="292"/>
        <v>0</v>
      </c>
      <c r="M479" s="1033">
        <f t="shared" si="292"/>
        <v>0</v>
      </c>
      <c r="N479" s="1033">
        <f t="shared" si="292"/>
        <v>0</v>
      </c>
      <c r="O479" s="1033">
        <f t="shared" si="292"/>
        <v>0</v>
      </c>
      <c r="P479" s="1033">
        <f t="shared" si="292"/>
        <v>0</v>
      </c>
      <c r="Q479" s="1033">
        <f t="shared" si="292"/>
        <v>0</v>
      </c>
      <c r="R479" s="1033">
        <f t="shared" si="292"/>
        <v>0</v>
      </c>
      <c r="S479" s="1033">
        <f t="shared" si="292"/>
        <v>0</v>
      </c>
      <c r="T479" s="1033">
        <f t="shared" si="292"/>
        <v>0</v>
      </c>
      <c r="U479" s="1073">
        <f t="shared" ref="U479:U487" si="298">SUM(I479:T479)</f>
        <v>0</v>
      </c>
      <c r="X479" s="301"/>
      <c r="Y479" s="5042"/>
      <c r="Z479" s="1056">
        <f t="shared" si="293"/>
        <v>0</v>
      </c>
      <c r="AA479" s="1056">
        <f>IF(Y479=0,0,VLOOKUP(Y479,Precios!$B$216:$D$307,3,FALSE))</f>
        <v>0</v>
      </c>
      <c r="AB479" s="1058"/>
      <c r="AC479" s="1063">
        <f>IF(Y479=0,0,VLOOKUP(Y479,Precios!$B$216:$D$307,2,FALSE))</f>
        <v>0</v>
      </c>
      <c r="AD479" s="1066">
        <f>AB479*AC479</f>
        <v>0</v>
      </c>
      <c r="AE479" s="309"/>
      <c r="AF479" s="1072">
        <f t="shared" si="294"/>
        <v>0</v>
      </c>
      <c r="AG479" s="1033">
        <f t="shared" si="294"/>
        <v>0</v>
      </c>
      <c r="AH479" s="1033">
        <f t="shared" si="294"/>
        <v>0</v>
      </c>
      <c r="AI479" s="1033">
        <f t="shared" si="294"/>
        <v>0</v>
      </c>
      <c r="AJ479" s="1033">
        <f t="shared" si="294"/>
        <v>0</v>
      </c>
      <c r="AK479" s="1033">
        <f t="shared" si="294"/>
        <v>0</v>
      </c>
      <c r="AL479" s="1033">
        <f t="shared" si="294"/>
        <v>0</v>
      </c>
      <c r="AM479" s="1033">
        <f t="shared" si="294"/>
        <v>0</v>
      </c>
      <c r="AN479" s="1033">
        <f t="shared" si="294"/>
        <v>0</v>
      </c>
      <c r="AO479" s="1033">
        <f t="shared" si="294"/>
        <v>0</v>
      </c>
      <c r="AP479" s="1033">
        <f t="shared" si="294"/>
        <v>0</v>
      </c>
      <c r="AQ479" s="1033">
        <f t="shared" si="294"/>
        <v>0</v>
      </c>
      <c r="AR479" s="1073">
        <f t="shared" si="295"/>
        <v>0</v>
      </c>
    </row>
    <row r="480" spans="1:46" ht="15.05" thickBot="1" x14ac:dyDescent="0.35">
      <c r="A480" s="205"/>
      <c r="B480" s="5044"/>
      <c r="C480" s="985">
        <f t="shared" si="287"/>
        <v>0</v>
      </c>
      <c r="D480" s="985">
        <f>IF(B480=0,0,VLOOKUP(B480,Precios!$B$216:$D$307,3,FALSE))</f>
        <v>0</v>
      </c>
      <c r="E480" s="5049"/>
      <c r="F480" s="1064">
        <f>IF(B480=0,0,VLOOKUP(B480,Precios!$B$216:$D$307,2,FALSE))</f>
        <v>0</v>
      </c>
      <c r="G480" s="1067">
        <f>E480*F480</f>
        <v>0</v>
      </c>
      <c r="H480" s="309"/>
      <c r="I480" s="1074">
        <f t="shared" si="292"/>
        <v>0</v>
      </c>
      <c r="J480" s="1005">
        <f t="shared" si="292"/>
        <v>0</v>
      </c>
      <c r="K480" s="1005">
        <f t="shared" si="292"/>
        <v>0</v>
      </c>
      <c r="L480" s="1005">
        <f t="shared" si="292"/>
        <v>0</v>
      </c>
      <c r="M480" s="1005">
        <f t="shared" si="292"/>
        <v>0</v>
      </c>
      <c r="N480" s="1005">
        <f t="shared" si="292"/>
        <v>0</v>
      </c>
      <c r="O480" s="1005">
        <f t="shared" si="292"/>
        <v>0</v>
      </c>
      <c r="P480" s="1005">
        <f t="shared" si="292"/>
        <v>0</v>
      </c>
      <c r="Q480" s="1005">
        <f t="shared" si="292"/>
        <v>0</v>
      </c>
      <c r="R480" s="1005">
        <f t="shared" si="292"/>
        <v>0</v>
      </c>
      <c r="S480" s="1005">
        <f t="shared" si="292"/>
        <v>0</v>
      </c>
      <c r="T480" s="1005">
        <f t="shared" si="292"/>
        <v>0</v>
      </c>
      <c r="U480" s="1075">
        <f t="shared" si="298"/>
        <v>0</v>
      </c>
      <c r="X480" s="301"/>
      <c r="Y480" s="5044"/>
      <c r="Z480" s="985">
        <f t="shared" si="293"/>
        <v>0</v>
      </c>
      <c r="AA480" s="985">
        <f>IF(Y480=0,0,VLOOKUP(Y480,Precios!$B$216:$D$307,3,FALSE))</f>
        <v>0</v>
      </c>
      <c r="AB480" s="986"/>
      <c r="AC480" s="1064">
        <f>IF(Y480=0,0,VLOOKUP(Y480,Precios!$B$216:$D$307,2,FALSE))</f>
        <v>0</v>
      </c>
      <c r="AD480" s="1067">
        <f>AB480*AC480</f>
        <v>0</v>
      </c>
      <c r="AE480" s="309"/>
      <c r="AF480" s="1074">
        <f t="shared" si="294"/>
        <v>0</v>
      </c>
      <c r="AG480" s="1005">
        <f t="shared" si="294"/>
        <v>0</v>
      </c>
      <c r="AH480" s="1005">
        <f t="shared" si="294"/>
        <v>0</v>
      </c>
      <c r="AI480" s="1005">
        <f t="shared" si="294"/>
        <v>0</v>
      </c>
      <c r="AJ480" s="1005">
        <f t="shared" si="294"/>
        <v>0</v>
      </c>
      <c r="AK480" s="1005">
        <f t="shared" si="294"/>
        <v>0</v>
      </c>
      <c r="AL480" s="1005">
        <f t="shared" si="294"/>
        <v>0</v>
      </c>
      <c r="AM480" s="1005">
        <f t="shared" si="294"/>
        <v>0</v>
      </c>
      <c r="AN480" s="1005">
        <f t="shared" si="294"/>
        <v>0</v>
      </c>
      <c r="AO480" s="1005">
        <f t="shared" si="294"/>
        <v>0</v>
      </c>
      <c r="AP480" s="1005">
        <f t="shared" si="294"/>
        <v>0</v>
      </c>
      <c r="AQ480" s="1005">
        <f t="shared" si="294"/>
        <v>0</v>
      </c>
      <c r="AR480" s="1075">
        <f t="shared" si="295"/>
        <v>0</v>
      </c>
    </row>
    <row r="481" spans="1:47" x14ac:dyDescent="0.3">
      <c r="A481" s="205"/>
      <c r="B481" s="5046"/>
      <c r="C481" s="1057">
        <f t="shared" si="287"/>
        <v>0</v>
      </c>
      <c r="D481" s="1057">
        <f>IF(B481=0,0,VLOOKUP(B481,Precios!$B$216:$D$307,3,FALSE))</f>
        <v>0</v>
      </c>
      <c r="E481" s="5050"/>
      <c r="F481" s="1065">
        <f>IF(B481=0,0,VLOOKUP(B481,Precios!$B$216:$D$307,2,FALSE))</f>
        <v>0</v>
      </c>
      <c r="G481" s="1068">
        <f>E481*F481</f>
        <v>0</v>
      </c>
      <c r="H481" s="309"/>
      <c r="I481" s="1079">
        <f t="shared" si="292"/>
        <v>0</v>
      </c>
      <c r="J481" s="1047">
        <f t="shared" si="292"/>
        <v>0</v>
      </c>
      <c r="K481" s="1047">
        <f t="shared" si="292"/>
        <v>0</v>
      </c>
      <c r="L481" s="1047">
        <f t="shared" si="292"/>
        <v>0</v>
      </c>
      <c r="M481" s="1047">
        <f t="shared" si="292"/>
        <v>0</v>
      </c>
      <c r="N481" s="1047">
        <f t="shared" si="292"/>
        <v>0</v>
      </c>
      <c r="O481" s="1047">
        <f t="shared" si="292"/>
        <v>0</v>
      </c>
      <c r="P481" s="1047">
        <f t="shared" si="292"/>
        <v>0</v>
      </c>
      <c r="Q481" s="1047">
        <f t="shared" si="292"/>
        <v>0</v>
      </c>
      <c r="R481" s="1047">
        <f t="shared" si="292"/>
        <v>0</v>
      </c>
      <c r="S481" s="1047">
        <f t="shared" si="292"/>
        <v>0</v>
      </c>
      <c r="T481" s="1047">
        <f t="shared" si="292"/>
        <v>0</v>
      </c>
      <c r="U481" s="1080">
        <f t="shared" si="298"/>
        <v>0</v>
      </c>
      <c r="X481" s="301"/>
      <c r="Y481" s="5046"/>
      <c r="Z481" s="1057">
        <f t="shared" si="293"/>
        <v>0</v>
      </c>
      <c r="AA481" s="1057">
        <f>IF(Y481=0,0,VLOOKUP(Y481,Precios!$B$216:$D$307,3,FALSE))</f>
        <v>0</v>
      </c>
      <c r="AB481" s="1060"/>
      <c r="AC481" s="1065">
        <f>IF(Y481=0,0,VLOOKUP(Y481,Precios!$B$216:$D$307,2,FALSE))</f>
        <v>0</v>
      </c>
      <c r="AD481" s="1068">
        <f>AB481*AC481</f>
        <v>0</v>
      </c>
      <c r="AE481" s="309"/>
      <c r="AF481" s="1079">
        <f t="shared" si="294"/>
        <v>0</v>
      </c>
      <c r="AG481" s="1047">
        <f t="shared" si="294"/>
        <v>0</v>
      </c>
      <c r="AH481" s="1047">
        <f t="shared" si="294"/>
        <v>0</v>
      </c>
      <c r="AI481" s="1047">
        <f t="shared" si="294"/>
        <v>0</v>
      </c>
      <c r="AJ481" s="1047">
        <f t="shared" si="294"/>
        <v>0</v>
      </c>
      <c r="AK481" s="1047">
        <f t="shared" si="294"/>
        <v>0</v>
      </c>
      <c r="AL481" s="1047">
        <f t="shared" si="294"/>
        <v>0</v>
      </c>
      <c r="AM481" s="1047">
        <f t="shared" si="294"/>
        <v>0</v>
      </c>
      <c r="AN481" s="1047">
        <f t="shared" si="294"/>
        <v>0</v>
      </c>
      <c r="AO481" s="1047">
        <f t="shared" si="294"/>
        <v>0</v>
      </c>
      <c r="AP481" s="1047">
        <f t="shared" si="294"/>
        <v>0</v>
      </c>
      <c r="AQ481" s="1047">
        <f t="shared" si="294"/>
        <v>0</v>
      </c>
      <c r="AR481" s="1080">
        <f t="shared" si="295"/>
        <v>0</v>
      </c>
    </row>
    <row r="482" spans="1:47" x14ac:dyDescent="0.3">
      <c r="A482" s="205"/>
      <c r="B482" s="647" t="s">
        <v>1086</v>
      </c>
      <c r="C482" s="305"/>
      <c r="D482" s="305"/>
      <c r="E482" s="305"/>
      <c r="F482" s="650"/>
      <c r="G482" s="305"/>
      <c r="H482" s="306"/>
      <c r="I482" s="906">
        <f t="shared" ref="I482:T482" si="299">SUM(I479:I481)</f>
        <v>0</v>
      </c>
      <c r="J482" s="906">
        <f t="shared" si="299"/>
        <v>0</v>
      </c>
      <c r="K482" s="906">
        <f t="shared" si="299"/>
        <v>0</v>
      </c>
      <c r="L482" s="906">
        <f t="shared" si="299"/>
        <v>0</v>
      </c>
      <c r="M482" s="906">
        <f t="shared" si="299"/>
        <v>0</v>
      </c>
      <c r="N482" s="906">
        <f t="shared" si="299"/>
        <v>0</v>
      </c>
      <c r="O482" s="906">
        <f t="shared" si="299"/>
        <v>0</v>
      </c>
      <c r="P482" s="906">
        <f t="shared" si="299"/>
        <v>0</v>
      </c>
      <c r="Q482" s="906">
        <f t="shared" si="299"/>
        <v>0</v>
      </c>
      <c r="R482" s="906">
        <f t="shared" si="299"/>
        <v>0</v>
      </c>
      <c r="S482" s="906">
        <f t="shared" si="299"/>
        <v>0</v>
      </c>
      <c r="T482" s="907">
        <f t="shared" si="299"/>
        <v>0</v>
      </c>
      <c r="U482" s="905">
        <f>SUM(I482:T482)</f>
        <v>0</v>
      </c>
      <c r="W482" s="232" t="str">
        <f>B478&amp;B451</f>
        <v>Fertilizantes 0</v>
      </c>
      <c r="X482" s="301"/>
      <c r="Y482" s="647"/>
      <c r="Z482" s="305"/>
      <c r="AA482" s="305"/>
      <c r="AB482" s="305"/>
      <c r="AC482" s="650"/>
      <c r="AD482" s="305"/>
      <c r="AE482" s="306"/>
      <c r="AF482" s="906">
        <f t="shared" ref="AF482:AQ482" si="300">SUM(AF479:AF481)</f>
        <v>0</v>
      </c>
      <c r="AG482" s="906">
        <f t="shared" si="300"/>
        <v>0</v>
      </c>
      <c r="AH482" s="906">
        <f t="shared" si="300"/>
        <v>0</v>
      </c>
      <c r="AI482" s="906">
        <f t="shared" si="300"/>
        <v>0</v>
      </c>
      <c r="AJ482" s="906">
        <f t="shared" si="300"/>
        <v>0</v>
      </c>
      <c r="AK482" s="906">
        <f t="shared" si="300"/>
        <v>0</v>
      </c>
      <c r="AL482" s="906">
        <f t="shared" si="300"/>
        <v>0</v>
      </c>
      <c r="AM482" s="906">
        <f t="shared" si="300"/>
        <v>0</v>
      </c>
      <c r="AN482" s="906">
        <f t="shared" si="300"/>
        <v>0</v>
      </c>
      <c r="AO482" s="906">
        <f t="shared" si="300"/>
        <v>0</v>
      </c>
      <c r="AP482" s="906">
        <f t="shared" si="300"/>
        <v>0</v>
      </c>
      <c r="AQ482" s="907">
        <f t="shared" si="300"/>
        <v>0</v>
      </c>
      <c r="AR482" s="905">
        <f>SUM(AF482:AQ482)</f>
        <v>0</v>
      </c>
      <c r="AT482" s="232" t="str">
        <f>Y478&amp;Y451</f>
        <v>Fertilizantes 0</v>
      </c>
    </row>
    <row r="483" spans="1:47" x14ac:dyDescent="0.2">
      <c r="A483" s="205"/>
      <c r="B483" s="197" t="s">
        <v>340</v>
      </c>
      <c r="C483" s="307"/>
      <c r="D483" s="307"/>
      <c r="E483" s="308"/>
      <c r="F483" s="651"/>
      <c r="G483" s="308"/>
      <c r="H483" s="307"/>
      <c r="I483" s="307"/>
      <c r="J483" s="307"/>
      <c r="K483" s="307"/>
      <c r="L483" s="307"/>
      <c r="M483" s="307"/>
      <c r="N483" s="307"/>
      <c r="O483" s="307"/>
      <c r="P483" s="307"/>
      <c r="Q483" s="307"/>
      <c r="R483" s="307"/>
      <c r="S483" s="307"/>
      <c r="T483" s="307"/>
      <c r="U483" s="646"/>
      <c r="X483" s="301"/>
      <c r="Y483" s="197" t="s">
        <v>340</v>
      </c>
      <c r="Z483" s="307"/>
      <c r="AA483" s="307"/>
      <c r="AB483" s="308"/>
      <c r="AC483" s="651"/>
      <c r="AD483" s="308"/>
      <c r="AE483" s="307"/>
      <c r="AF483" s="307"/>
      <c r="AG483" s="307"/>
      <c r="AH483" s="307"/>
      <c r="AI483" s="307"/>
      <c r="AJ483" s="307"/>
      <c r="AK483" s="307"/>
      <c r="AL483" s="307"/>
      <c r="AM483" s="307"/>
      <c r="AN483" s="307"/>
      <c r="AO483" s="307"/>
      <c r="AP483" s="307"/>
      <c r="AQ483" s="307"/>
      <c r="AR483" s="646"/>
    </row>
    <row r="484" spans="1:47" ht="15.05" thickBot="1" x14ac:dyDescent="0.35">
      <c r="A484" s="205"/>
      <c r="B484" s="5042"/>
      <c r="C484" s="1056">
        <f t="shared" si="287"/>
        <v>0</v>
      </c>
      <c r="D484" s="1056">
        <f>IF(B484=0,0,VLOOKUP(B484,Precios!$B$216:$D$307,3,FALSE))</f>
        <v>0</v>
      </c>
      <c r="E484" s="5048"/>
      <c r="F484" s="1062">
        <f>IF(B484=0,0,VLOOKUP(B484,Precios!$B$216:$D$307,2,FALSE))</f>
        <v>0</v>
      </c>
      <c r="G484" s="1066">
        <f>E484*F484</f>
        <v>0</v>
      </c>
      <c r="H484" s="309"/>
      <c r="I484" s="1072">
        <f t="shared" si="292"/>
        <v>0</v>
      </c>
      <c r="J484" s="1033">
        <f t="shared" si="292"/>
        <v>0</v>
      </c>
      <c r="K484" s="1033">
        <f t="shared" si="292"/>
        <v>0</v>
      </c>
      <c r="L484" s="1033">
        <f t="shared" si="292"/>
        <v>0</v>
      </c>
      <c r="M484" s="1033">
        <f t="shared" si="292"/>
        <v>0</v>
      </c>
      <c r="N484" s="1033">
        <f t="shared" si="292"/>
        <v>0</v>
      </c>
      <c r="O484" s="1033">
        <f t="shared" si="292"/>
        <v>0</v>
      </c>
      <c r="P484" s="1033">
        <f t="shared" si="292"/>
        <v>0</v>
      </c>
      <c r="Q484" s="1033">
        <f t="shared" si="292"/>
        <v>0</v>
      </c>
      <c r="R484" s="1033">
        <f t="shared" si="292"/>
        <v>0</v>
      </c>
      <c r="S484" s="1033">
        <f t="shared" si="292"/>
        <v>0</v>
      </c>
      <c r="T484" s="1033">
        <f t="shared" si="292"/>
        <v>0</v>
      </c>
      <c r="U484" s="1073">
        <f t="shared" si="298"/>
        <v>0</v>
      </c>
      <c r="X484" s="301"/>
      <c r="Y484" s="5042"/>
      <c r="Z484" s="1056">
        <f t="shared" si="293"/>
        <v>0</v>
      </c>
      <c r="AA484" s="1056">
        <f>IF(Y484=0,0,VLOOKUP(Y484,Precios!$B$216:$D$307,3,FALSE))</f>
        <v>0</v>
      </c>
      <c r="AB484" s="1058"/>
      <c r="AC484" s="1062">
        <f>IF(Y484=0,0,VLOOKUP(Y484,Precios!$B$216:$D$307,2,FALSE))</f>
        <v>0</v>
      </c>
      <c r="AD484" s="1066">
        <f>AB484*AC484</f>
        <v>0</v>
      </c>
      <c r="AE484" s="309"/>
      <c r="AF484" s="1072">
        <f t="shared" si="294"/>
        <v>0</v>
      </c>
      <c r="AG484" s="1033">
        <f t="shared" si="294"/>
        <v>0</v>
      </c>
      <c r="AH484" s="1033">
        <f t="shared" si="294"/>
        <v>0</v>
      </c>
      <c r="AI484" s="1033">
        <f t="shared" si="294"/>
        <v>0</v>
      </c>
      <c r="AJ484" s="1033">
        <f t="shared" si="294"/>
        <v>0</v>
      </c>
      <c r="AK484" s="1033">
        <f t="shared" si="294"/>
        <v>0</v>
      </c>
      <c r="AL484" s="1033">
        <f t="shared" si="294"/>
        <v>0</v>
      </c>
      <c r="AM484" s="1033">
        <f t="shared" si="294"/>
        <v>0</v>
      </c>
      <c r="AN484" s="1033">
        <f t="shared" si="294"/>
        <v>0</v>
      </c>
      <c r="AO484" s="1033">
        <f t="shared" si="294"/>
        <v>0</v>
      </c>
      <c r="AP484" s="1033">
        <f t="shared" si="294"/>
        <v>0</v>
      </c>
      <c r="AQ484" s="1033">
        <f t="shared" si="294"/>
        <v>0</v>
      </c>
      <c r="AR484" s="1073">
        <f t="shared" si="295"/>
        <v>0</v>
      </c>
    </row>
    <row r="485" spans="1:47" ht="15.05" thickBot="1" x14ac:dyDescent="0.35">
      <c r="A485" s="205"/>
      <c r="B485" s="5044"/>
      <c r="C485" s="985">
        <f t="shared" si="287"/>
        <v>0</v>
      </c>
      <c r="D485" s="985">
        <f>IF(B485=0,0,VLOOKUP(B485,Precios!$B$216:$D$307,3,FALSE))</f>
        <v>0</v>
      </c>
      <c r="E485" s="5049"/>
      <c r="F485" s="1059">
        <f>IF(B485=0,0,VLOOKUP(B485,Precios!$B$216:$D$307,2,FALSE))</f>
        <v>0</v>
      </c>
      <c r="G485" s="1067">
        <f>E485*F485</f>
        <v>0</v>
      </c>
      <c r="H485" s="309"/>
      <c r="I485" s="1074">
        <f t="shared" si="292"/>
        <v>0</v>
      </c>
      <c r="J485" s="1005">
        <f t="shared" si="292"/>
        <v>0</v>
      </c>
      <c r="K485" s="1005">
        <f t="shared" si="292"/>
        <v>0</v>
      </c>
      <c r="L485" s="1005">
        <f t="shared" si="292"/>
        <v>0</v>
      </c>
      <c r="M485" s="1005">
        <f t="shared" si="292"/>
        <v>0</v>
      </c>
      <c r="N485" s="1005">
        <f t="shared" si="292"/>
        <v>0</v>
      </c>
      <c r="O485" s="1005">
        <f t="shared" si="292"/>
        <v>0</v>
      </c>
      <c r="P485" s="1005">
        <f t="shared" si="292"/>
        <v>0</v>
      </c>
      <c r="Q485" s="1005">
        <f t="shared" si="292"/>
        <v>0</v>
      </c>
      <c r="R485" s="1005">
        <f t="shared" si="292"/>
        <v>0</v>
      </c>
      <c r="S485" s="1005">
        <f t="shared" si="292"/>
        <v>0</v>
      </c>
      <c r="T485" s="1005">
        <f t="shared" si="292"/>
        <v>0</v>
      </c>
      <c r="U485" s="1075">
        <f t="shared" si="298"/>
        <v>0</v>
      </c>
      <c r="X485" s="301"/>
      <c r="Y485" s="5044"/>
      <c r="Z485" s="985">
        <f t="shared" si="293"/>
        <v>0</v>
      </c>
      <c r="AA485" s="985">
        <f>IF(Y485=0,0,VLOOKUP(Y485,Precios!$B$216:$D$307,3,FALSE))</f>
        <v>0</v>
      </c>
      <c r="AB485" s="986"/>
      <c r="AC485" s="1059">
        <f>IF(Y485=0,0,VLOOKUP(Y485,Precios!$B$216:$D$307,2,FALSE))</f>
        <v>0</v>
      </c>
      <c r="AD485" s="1067">
        <f>AB485*AC485</f>
        <v>0</v>
      </c>
      <c r="AE485" s="309"/>
      <c r="AF485" s="1074">
        <f t="shared" si="294"/>
        <v>0</v>
      </c>
      <c r="AG485" s="1005">
        <f t="shared" si="294"/>
        <v>0</v>
      </c>
      <c r="AH485" s="1005">
        <f t="shared" si="294"/>
        <v>0</v>
      </c>
      <c r="AI485" s="1005">
        <f t="shared" si="294"/>
        <v>0</v>
      </c>
      <c r="AJ485" s="1005">
        <f t="shared" si="294"/>
        <v>0</v>
      </c>
      <c r="AK485" s="1005">
        <f t="shared" si="294"/>
        <v>0</v>
      </c>
      <c r="AL485" s="1005">
        <f t="shared" si="294"/>
        <v>0</v>
      </c>
      <c r="AM485" s="1005">
        <f t="shared" si="294"/>
        <v>0</v>
      </c>
      <c r="AN485" s="1005">
        <f t="shared" si="294"/>
        <v>0</v>
      </c>
      <c r="AO485" s="1005">
        <f t="shared" si="294"/>
        <v>0</v>
      </c>
      <c r="AP485" s="1005">
        <f t="shared" si="294"/>
        <v>0</v>
      </c>
      <c r="AQ485" s="1005">
        <f t="shared" si="294"/>
        <v>0</v>
      </c>
      <c r="AR485" s="1075">
        <f t="shared" si="295"/>
        <v>0</v>
      </c>
    </row>
    <row r="486" spans="1:47" x14ac:dyDescent="0.3">
      <c r="A486" s="205"/>
      <c r="B486" s="5046"/>
      <c r="C486" s="1057">
        <f t="shared" si="287"/>
        <v>0</v>
      </c>
      <c r="D486" s="1057">
        <f>IF(B486=0,0,VLOOKUP(B486,Precios!$B$216:$D$307,3,FALSE))</f>
        <v>0</v>
      </c>
      <c r="E486" s="5050"/>
      <c r="F486" s="1061">
        <f>IF(B486=0,0,VLOOKUP(B486,Precios!$B$216:$D$307,2,FALSE))</f>
        <v>0</v>
      </c>
      <c r="G486" s="1068">
        <f>E486*F486</f>
        <v>0</v>
      </c>
      <c r="H486" s="309"/>
      <c r="I486" s="1079">
        <f t="shared" si="292"/>
        <v>0</v>
      </c>
      <c r="J486" s="1047">
        <f t="shared" si="292"/>
        <v>0</v>
      </c>
      <c r="K486" s="1047">
        <f t="shared" si="292"/>
        <v>0</v>
      </c>
      <c r="L486" s="1047">
        <f t="shared" si="292"/>
        <v>0</v>
      </c>
      <c r="M486" s="1047">
        <f t="shared" si="292"/>
        <v>0</v>
      </c>
      <c r="N486" s="1047">
        <f t="shared" si="292"/>
        <v>0</v>
      </c>
      <c r="O486" s="1047">
        <f t="shared" si="292"/>
        <v>0</v>
      </c>
      <c r="P486" s="1047">
        <f t="shared" si="292"/>
        <v>0</v>
      </c>
      <c r="Q486" s="1047">
        <f t="shared" si="292"/>
        <v>0</v>
      </c>
      <c r="R486" s="1047">
        <f t="shared" si="292"/>
        <v>0</v>
      </c>
      <c r="S486" s="1047">
        <f t="shared" si="292"/>
        <v>0</v>
      </c>
      <c r="T486" s="1047">
        <f t="shared" si="292"/>
        <v>0</v>
      </c>
      <c r="U486" s="1080">
        <f t="shared" si="298"/>
        <v>0</v>
      </c>
      <c r="X486" s="301"/>
      <c r="Y486" s="5046"/>
      <c r="Z486" s="1057">
        <f t="shared" si="293"/>
        <v>0</v>
      </c>
      <c r="AA486" s="1057">
        <f>IF(Y486=0,0,VLOOKUP(Y486,Precios!$B$216:$D$307,3,FALSE))</f>
        <v>0</v>
      </c>
      <c r="AB486" s="1060"/>
      <c r="AC486" s="1061">
        <f>IF(Y486=0,0,VLOOKUP(Y486,Precios!$B$216:$D$307,2,FALSE))</f>
        <v>0</v>
      </c>
      <c r="AD486" s="1068">
        <f>AB486*AC486</f>
        <v>0</v>
      </c>
      <c r="AE486" s="309"/>
      <c r="AF486" s="1079">
        <f t="shared" si="294"/>
        <v>0</v>
      </c>
      <c r="AG486" s="1047">
        <f t="shared" si="294"/>
        <v>0</v>
      </c>
      <c r="AH486" s="1047">
        <f t="shared" si="294"/>
        <v>0</v>
      </c>
      <c r="AI486" s="1047">
        <f t="shared" si="294"/>
        <v>0</v>
      </c>
      <c r="AJ486" s="1047">
        <f t="shared" si="294"/>
        <v>0</v>
      </c>
      <c r="AK486" s="1047">
        <f t="shared" si="294"/>
        <v>0</v>
      </c>
      <c r="AL486" s="1047">
        <f t="shared" si="294"/>
        <v>0</v>
      </c>
      <c r="AM486" s="1047">
        <f t="shared" si="294"/>
        <v>0</v>
      </c>
      <c r="AN486" s="1047">
        <f t="shared" si="294"/>
        <v>0</v>
      </c>
      <c r="AO486" s="1047">
        <f t="shared" si="294"/>
        <v>0</v>
      </c>
      <c r="AP486" s="1047">
        <f t="shared" si="294"/>
        <v>0</v>
      </c>
      <c r="AQ486" s="1047">
        <f t="shared" si="294"/>
        <v>0</v>
      </c>
      <c r="AR486" s="1080">
        <f t="shared" si="295"/>
        <v>0</v>
      </c>
    </row>
    <row r="487" spans="1:47" ht="15.05" thickBot="1" x14ac:dyDescent="0.35">
      <c r="A487" s="205"/>
      <c r="B487" s="647" t="s">
        <v>1087</v>
      </c>
      <c r="C487" s="305"/>
      <c r="D487" s="305"/>
      <c r="E487" s="305"/>
      <c r="F487" s="650"/>
      <c r="G487" s="305"/>
      <c r="H487" s="306"/>
      <c r="I487" s="906">
        <f t="shared" ref="I487:T487" si="301">SUM(I484:I486)</f>
        <v>0</v>
      </c>
      <c r="J487" s="906">
        <f t="shared" si="301"/>
        <v>0</v>
      </c>
      <c r="K487" s="906">
        <f t="shared" si="301"/>
        <v>0</v>
      </c>
      <c r="L487" s="906">
        <f t="shared" si="301"/>
        <v>0</v>
      </c>
      <c r="M487" s="906">
        <f t="shared" si="301"/>
        <v>0</v>
      </c>
      <c r="N487" s="906">
        <f t="shared" si="301"/>
        <v>0</v>
      </c>
      <c r="O487" s="906">
        <f t="shared" si="301"/>
        <v>0</v>
      </c>
      <c r="P487" s="906">
        <f t="shared" si="301"/>
        <v>0</v>
      </c>
      <c r="Q487" s="906">
        <f t="shared" si="301"/>
        <v>0</v>
      </c>
      <c r="R487" s="906">
        <f t="shared" si="301"/>
        <v>0</v>
      </c>
      <c r="S487" s="906">
        <f t="shared" si="301"/>
        <v>0</v>
      </c>
      <c r="T487" s="907">
        <f t="shared" si="301"/>
        <v>0</v>
      </c>
      <c r="U487" s="905">
        <f t="shared" si="298"/>
        <v>0</v>
      </c>
      <c r="W487" s="232" t="str">
        <f>B483&amp;B451</f>
        <v>Agroquímicos 0</v>
      </c>
      <c r="X487" s="301"/>
      <c r="Y487" s="647" t="s">
        <v>1087</v>
      </c>
      <c r="Z487" s="305"/>
      <c r="AA487" s="305"/>
      <c r="AB487" s="305"/>
      <c r="AC487" s="650"/>
      <c r="AD487" s="305"/>
      <c r="AE487" s="306"/>
      <c r="AF487" s="906">
        <f t="shared" ref="AF487:AQ487" si="302">SUM(AF484:AF486)</f>
        <v>0</v>
      </c>
      <c r="AG487" s="906">
        <f t="shared" si="302"/>
        <v>0</v>
      </c>
      <c r="AH487" s="906">
        <f t="shared" si="302"/>
        <v>0</v>
      </c>
      <c r="AI487" s="906">
        <f t="shared" si="302"/>
        <v>0</v>
      </c>
      <c r="AJ487" s="906">
        <f t="shared" si="302"/>
        <v>0</v>
      </c>
      <c r="AK487" s="906">
        <f t="shared" si="302"/>
        <v>0</v>
      </c>
      <c r="AL487" s="906">
        <f t="shared" si="302"/>
        <v>0</v>
      </c>
      <c r="AM487" s="906">
        <f t="shared" si="302"/>
        <v>0</v>
      </c>
      <c r="AN487" s="906">
        <f t="shared" si="302"/>
        <v>0</v>
      </c>
      <c r="AO487" s="906">
        <f t="shared" si="302"/>
        <v>0</v>
      </c>
      <c r="AP487" s="906">
        <f t="shared" si="302"/>
        <v>0</v>
      </c>
      <c r="AQ487" s="907">
        <f t="shared" si="302"/>
        <v>0</v>
      </c>
      <c r="AR487" s="905">
        <f t="shared" si="295"/>
        <v>0</v>
      </c>
      <c r="AT487" s="232" t="str">
        <f>Y483&amp;Y451</f>
        <v>Agroquímicos 0</v>
      </c>
    </row>
    <row r="488" spans="1:47" ht="15.05" thickBot="1" x14ac:dyDescent="0.25">
      <c r="A488" s="205"/>
      <c r="B488" s="648" t="s">
        <v>892</v>
      </c>
      <c r="C488" s="909">
        <f>+C450</f>
        <v>0</v>
      </c>
      <c r="D488" s="909"/>
      <c r="E488" s="312" t="s">
        <v>876</v>
      </c>
      <c r="F488" s="313"/>
      <c r="G488" s="289"/>
      <c r="H488" s="312"/>
      <c r="I488" s="314">
        <f>SUMPRODUCT($F455:$F486,I455:I486)</f>
        <v>0</v>
      </c>
      <c r="J488" s="314">
        <f t="shared" ref="J488:T488" si="303">SUMPRODUCT($F455:$F486,J455:J486)</f>
        <v>0</v>
      </c>
      <c r="K488" s="314">
        <f t="shared" si="303"/>
        <v>0</v>
      </c>
      <c r="L488" s="314">
        <f t="shared" si="303"/>
        <v>0</v>
      </c>
      <c r="M488" s="314">
        <f t="shared" si="303"/>
        <v>0</v>
      </c>
      <c r="N488" s="314">
        <f t="shared" si="303"/>
        <v>0</v>
      </c>
      <c r="O488" s="314">
        <f t="shared" si="303"/>
        <v>0</v>
      </c>
      <c r="P488" s="314">
        <f t="shared" si="303"/>
        <v>0</v>
      </c>
      <c r="Q488" s="314">
        <f t="shared" si="303"/>
        <v>0</v>
      </c>
      <c r="R488" s="314">
        <f t="shared" si="303"/>
        <v>0</v>
      </c>
      <c r="S488" s="314">
        <f t="shared" si="303"/>
        <v>0</v>
      </c>
      <c r="T488" s="314">
        <f t="shared" si="303"/>
        <v>0</v>
      </c>
      <c r="U488" s="908">
        <f>SUM(I488:T488)</f>
        <v>0</v>
      </c>
      <c r="X488" s="301"/>
      <c r="Y488" s="648" t="s">
        <v>892</v>
      </c>
      <c r="Z488" s="909">
        <f>+Z450</f>
        <v>0</v>
      </c>
      <c r="AA488" s="909"/>
      <c r="AB488" s="312" t="s">
        <v>876</v>
      </c>
      <c r="AC488" s="313"/>
      <c r="AD488" s="289"/>
      <c r="AE488" s="312"/>
      <c r="AF488" s="314">
        <f t="shared" ref="AF488:AQ488" si="304">SUMPRODUCT($AC455:$AC486,AF455:AF486)</f>
        <v>0</v>
      </c>
      <c r="AG488" s="314">
        <f t="shared" si="304"/>
        <v>0</v>
      </c>
      <c r="AH488" s="314">
        <f t="shared" si="304"/>
        <v>0</v>
      </c>
      <c r="AI488" s="314">
        <f t="shared" si="304"/>
        <v>0</v>
      </c>
      <c r="AJ488" s="314">
        <f t="shared" si="304"/>
        <v>0</v>
      </c>
      <c r="AK488" s="314">
        <f t="shared" si="304"/>
        <v>0</v>
      </c>
      <c r="AL488" s="314">
        <f t="shared" si="304"/>
        <v>0</v>
      </c>
      <c r="AM488" s="314">
        <f t="shared" si="304"/>
        <v>0</v>
      </c>
      <c r="AN488" s="314">
        <f t="shared" si="304"/>
        <v>0</v>
      </c>
      <c r="AO488" s="314">
        <f t="shared" si="304"/>
        <v>0</v>
      </c>
      <c r="AP488" s="314">
        <f t="shared" si="304"/>
        <v>0</v>
      </c>
      <c r="AQ488" s="314">
        <f t="shared" si="304"/>
        <v>0</v>
      </c>
      <c r="AR488" s="908">
        <f>SUM(AF488:AQ488)</f>
        <v>0</v>
      </c>
    </row>
    <row r="489" spans="1:47" x14ac:dyDescent="0.2">
      <c r="A489" s="205"/>
      <c r="B489" s="177"/>
      <c r="C489" s="177"/>
      <c r="D489" s="177"/>
      <c r="E489" s="177"/>
      <c r="F489" s="315"/>
      <c r="G489" s="316"/>
      <c r="H489" s="177"/>
      <c r="I489" s="177"/>
      <c r="J489" s="177"/>
      <c r="K489" s="177"/>
      <c r="L489" s="177"/>
      <c r="M489" s="177"/>
      <c r="N489" s="177"/>
      <c r="O489" s="177"/>
      <c r="P489" s="177"/>
      <c r="Q489" s="177"/>
      <c r="R489" s="177"/>
      <c r="S489" s="177"/>
      <c r="T489" s="177"/>
      <c r="U489" s="649"/>
      <c r="X489" s="205"/>
      <c r="Y489" s="208"/>
      <c r="Z489" s="177"/>
      <c r="AA489" s="177"/>
      <c r="AB489" s="177"/>
      <c r="AC489" s="316"/>
      <c r="AD489" s="316"/>
      <c r="AE489" s="177"/>
      <c r="AF489" s="177"/>
      <c r="AG489" s="177"/>
      <c r="AH489" s="177"/>
      <c r="AI489" s="177"/>
      <c r="AJ489" s="177"/>
      <c r="AK489" s="177"/>
      <c r="AL489" s="177"/>
      <c r="AM489" s="177"/>
      <c r="AN489" s="177"/>
      <c r="AO489" s="177"/>
      <c r="AP489" s="177"/>
      <c r="AQ489" s="177"/>
      <c r="AR489" s="317"/>
    </row>
    <row r="490" spans="1:47" ht="15.05" thickBot="1" x14ac:dyDescent="0.25">
      <c r="A490" s="205"/>
      <c r="B490" s="177"/>
      <c r="C490" s="177"/>
      <c r="D490" s="177"/>
      <c r="E490" s="177"/>
      <c r="F490" s="315"/>
      <c r="G490" s="316"/>
      <c r="H490" s="177"/>
      <c r="I490" s="177"/>
      <c r="J490" s="177"/>
      <c r="K490" s="177"/>
      <c r="L490" s="177"/>
      <c r="M490" s="177"/>
      <c r="N490" s="177"/>
      <c r="O490" s="177"/>
      <c r="P490" s="177"/>
      <c r="Q490" s="177"/>
      <c r="R490" s="177"/>
      <c r="S490" s="177"/>
      <c r="T490" s="177"/>
      <c r="U490" s="649"/>
      <c r="X490" s="205"/>
      <c r="Y490" s="208"/>
      <c r="Z490" s="177"/>
      <c r="AA490" s="177"/>
      <c r="AB490" s="177"/>
      <c r="AC490" s="316"/>
      <c r="AD490" s="316"/>
      <c r="AE490" s="177"/>
      <c r="AF490" s="177"/>
      <c r="AG490" s="177"/>
      <c r="AH490" s="177"/>
      <c r="AI490" s="177"/>
      <c r="AJ490" s="177"/>
      <c r="AK490" s="177"/>
      <c r="AL490" s="177"/>
      <c r="AM490" s="177"/>
      <c r="AN490" s="177"/>
      <c r="AO490" s="177"/>
      <c r="AP490" s="177"/>
      <c r="AQ490" s="177"/>
      <c r="AR490" s="317"/>
    </row>
    <row r="491" spans="1:47" s="254" customFormat="1" ht="15.05" thickBot="1" x14ac:dyDescent="0.25">
      <c r="A491" s="1344">
        <f>+A450+1</f>
        <v>53</v>
      </c>
      <c r="B491" s="635" t="s">
        <v>878</v>
      </c>
      <c r="C491" s="898">
        <f>UsoSuelo!D149</f>
        <v>0</v>
      </c>
      <c r="D491" s="898"/>
      <c r="E491" s="636"/>
      <c r="F491" s="637"/>
      <c r="G491" s="637"/>
      <c r="H491" s="637"/>
      <c r="I491" s="637"/>
      <c r="J491" s="637"/>
      <c r="K491" s="637"/>
      <c r="L491" s="637"/>
      <c r="M491" s="637"/>
      <c r="N491" s="637"/>
      <c r="O491" s="637"/>
      <c r="P491" s="637"/>
      <c r="Q491" s="637"/>
      <c r="R491" s="637"/>
      <c r="S491" s="637"/>
      <c r="T491" s="637"/>
      <c r="U491" s="1281"/>
      <c r="V491" s="1569"/>
      <c r="W491" s="1569"/>
      <c r="X491" s="1344">
        <f>+X450+1</f>
        <v>65</v>
      </c>
      <c r="Y491" s="635" t="s">
        <v>878</v>
      </c>
      <c r="Z491" s="898">
        <f>+UsoSuelo!D166</f>
        <v>0</v>
      </c>
      <c r="AA491" s="898"/>
      <c r="AB491" s="636"/>
      <c r="AC491" s="637"/>
      <c r="AD491" s="637"/>
      <c r="AE491" s="637"/>
      <c r="AF491" s="637"/>
      <c r="AG491" s="637"/>
      <c r="AH491" s="637"/>
      <c r="AI491" s="637"/>
      <c r="AJ491" s="637"/>
      <c r="AK491" s="637"/>
      <c r="AL491" s="637"/>
      <c r="AM491" s="637"/>
      <c r="AN491" s="637"/>
      <c r="AO491" s="637"/>
      <c r="AP491" s="637"/>
      <c r="AQ491" s="637"/>
      <c r="AR491" s="638"/>
      <c r="AS491" s="232"/>
      <c r="AT491" s="1569"/>
      <c r="AU491" s="232"/>
    </row>
    <row r="492" spans="1:47" x14ac:dyDescent="0.2">
      <c r="A492" s="1344" t="s">
        <v>1987</v>
      </c>
      <c r="B492" s="639">
        <f>+UsoSuelo!H149</f>
        <v>0</v>
      </c>
      <c r="C492" s="291"/>
      <c r="D492" s="291"/>
      <c r="E492" s="291"/>
      <c r="F492" s="291"/>
      <c r="G492" s="291" t="s">
        <v>883</v>
      </c>
      <c r="H492" s="292"/>
      <c r="I492" s="293" t="str">
        <f t="shared" ref="I492:T492" si="305">+I41</f>
        <v>Ene</v>
      </c>
      <c r="J492" s="293" t="str">
        <f t="shared" si="305"/>
        <v>Feb</v>
      </c>
      <c r="K492" s="293" t="str">
        <f t="shared" si="305"/>
        <v>Mar</v>
      </c>
      <c r="L492" s="293" t="str">
        <f t="shared" si="305"/>
        <v>Abr</v>
      </c>
      <c r="M492" s="293" t="str">
        <f t="shared" si="305"/>
        <v>May</v>
      </c>
      <c r="N492" s="293" t="str">
        <f t="shared" si="305"/>
        <v>Jun</v>
      </c>
      <c r="O492" s="293" t="str">
        <f t="shared" si="305"/>
        <v>Jul</v>
      </c>
      <c r="P492" s="293" t="str">
        <f t="shared" si="305"/>
        <v>Ago</v>
      </c>
      <c r="Q492" s="293" t="str">
        <f t="shared" si="305"/>
        <v>Set</v>
      </c>
      <c r="R492" s="293" t="str">
        <f t="shared" si="305"/>
        <v>Oct</v>
      </c>
      <c r="S492" s="293" t="str">
        <f t="shared" si="305"/>
        <v>Nov</v>
      </c>
      <c r="T492" s="294" t="str">
        <f t="shared" si="305"/>
        <v>Dic</v>
      </c>
      <c r="U492" s="640" t="s">
        <v>1106</v>
      </c>
      <c r="W492" s="1569"/>
      <c r="X492" s="1344" t="str">
        <f>+A492</f>
        <v>M</v>
      </c>
      <c r="Y492" s="639">
        <f>+UsoSuelo!H166</f>
        <v>0</v>
      </c>
      <c r="Z492" s="291"/>
      <c r="AA492" s="291"/>
      <c r="AB492" s="291"/>
      <c r="AC492" s="291"/>
      <c r="AD492" s="291" t="s">
        <v>883</v>
      </c>
      <c r="AE492" s="292"/>
      <c r="AF492" s="293" t="str">
        <f t="shared" ref="AF492:AQ492" si="306">+AF41</f>
        <v>Ene</v>
      </c>
      <c r="AG492" s="293" t="str">
        <f t="shared" si="306"/>
        <v>Feb</v>
      </c>
      <c r="AH492" s="293" t="str">
        <f t="shared" si="306"/>
        <v>Mar</v>
      </c>
      <c r="AI492" s="293" t="str">
        <f t="shared" si="306"/>
        <v>Abr</v>
      </c>
      <c r="AJ492" s="293" t="str">
        <f t="shared" si="306"/>
        <v>May</v>
      </c>
      <c r="AK492" s="293" t="str">
        <f t="shared" si="306"/>
        <v>Jun</v>
      </c>
      <c r="AL492" s="293" t="str">
        <f t="shared" si="306"/>
        <v>Jul</v>
      </c>
      <c r="AM492" s="293" t="str">
        <f t="shared" si="306"/>
        <v>Ago</v>
      </c>
      <c r="AN492" s="293" t="str">
        <f t="shared" si="306"/>
        <v>Set</v>
      </c>
      <c r="AO492" s="293" t="str">
        <f t="shared" si="306"/>
        <v>Oct</v>
      </c>
      <c r="AP492" s="293" t="str">
        <f t="shared" si="306"/>
        <v>Nov</v>
      </c>
      <c r="AQ492" s="294" t="str">
        <f t="shared" si="306"/>
        <v>Dic</v>
      </c>
      <c r="AR492" s="640" t="s">
        <v>1106</v>
      </c>
      <c r="AS492" s="1569"/>
      <c r="AT492" s="1569"/>
      <c r="AU492" s="1436"/>
    </row>
    <row r="493" spans="1:47" x14ac:dyDescent="0.2">
      <c r="A493" s="145"/>
      <c r="B493" s="899" t="s">
        <v>884</v>
      </c>
      <c r="C493" s="900"/>
      <c r="D493" s="900"/>
      <c r="E493" s="900"/>
      <c r="F493" s="900"/>
      <c r="G493" s="900"/>
      <c r="H493" s="900"/>
      <c r="I493" s="901">
        <f>VLOOKUP($C491,UsoSuelo!$CQ$1127:$DC$1194,2,FALSE)</f>
        <v>0</v>
      </c>
      <c r="J493" s="901">
        <f>VLOOKUP($C491,UsoSuelo!$CQ$1127:$DC$1194,3,FALSE)</f>
        <v>0</v>
      </c>
      <c r="K493" s="901">
        <f>VLOOKUP($C491,UsoSuelo!$CQ$1127:$DC$1194,4,FALSE)</f>
        <v>0</v>
      </c>
      <c r="L493" s="901">
        <f>VLOOKUP($C491,UsoSuelo!$CQ$1127:$DC$1194,5,FALSE)</f>
        <v>0</v>
      </c>
      <c r="M493" s="901">
        <f>VLOOKUP($C491,UsoSuelo!$CQ$1127:$DC$1194,6,FALSE)</f>
        <v>0</v>
      </c>
      <c r="N493" s="901">
        <f>VLOOKUP($C491,UsoSuelo!$CQ$1127:$DC$1194,7,FALSE)</f>
        <v>0</v>
      </c>
      <c r="O493" s="901">
        <f>VLOOKUP($C491,UsoSuelo!$CQ$1127:$DC$1194,8,FALSE)</f>
        <v>0</v>
      </c>
      <c r="P493" s="901">
        <f>VLOOKUP($C491,UsoSuelo!$CQ$1127:$DC$1194,9,FALSE)</f>
        <v>0</v>
      </c>
      <c r="Q493" s="901">
        <f>VLOOKUP($C491,UsoSuelo!$CQ$1127:$DC$1194,10,FALSE)</f>
        <v>0</v>
      </c>
      <c r="R493" s="901">
        <f>VLOOKUP($C491,UsoSuelo!$CQ$1127:$DC$1194,11,FALSE)</f>
        <v>0</v>
      </c>
      <c r="S493" s="901">
        <f>VLOOKUP($C491,UsoSuelo!$CQ$1127:$DC$1194,12,FALSE)</f>
        <v>0</v>
      </c>
      <c r="T493" s="902">
        <f>VLOOKUP($C491,UsoSuelo!$CQ$1127:$DC$1194,13,FALSE)</f>
        <v>0</v>
      </c>
      <c r="U493" s="903">
        <f>SUM(I493:T493)</f>
        <v>0</v>
      </c>
      <c r="W493" s="1569"/>
      <c r="X493" s="16"/>
      <c r="Y493" s="899" t="s">
        <v>884</v>
      </c>
      <c r="Z493" s="900"/>
      <c r="AA493" s="900"/>
      <c r="AB493" s="900"/>
      <c r="AC493" s="900"/>
      <c r="AD493" s="900"/>
      <c r="AE493" s="900"/>
      <c r="AF493" s="901">
        <f>VLOOKUP($Y492,UsoSuelo!$DE$1054:$DQ$1120,2,FALSE)</f>
        <v>0</v>
      </c>
      <c r="AG493" s="901">
        <f>VLOOKUP($Y492,UsoSuelo!$DE$1054:$DQ$1120,3,FALSE)</f>
        <v>0</v>
      </c>
      <c r="AH493" s="901">
        <f>VLOOKUP($Y492,UsoSuelo!$DE$1054:$DQ$1120,4,FALSE)</f>
        <v>0</v>
      </c>
      <c r="AI493" s="901">
        <f>VLOOKUP($Y492,UsoSuelo!$DE$1054:$DQ$1120,5,FALSE)</f>
        <v>0</v>
      </c>
      <c r="AJ493" s="901">
        <f>VLOOKUP($Y492,UsoSuelo!$DE$1054:$DQ$1120,6,FALSE)</f>
        <v>0</v>
      </c>
      <c r="AK493" s="901">
        <f>VLOOKUP($Y492,UsoSuelo!$DE$1054:$DQ$1120,7,FALSE)</f>
        <v>0</v>
      </c>
      <c r="AL493" s="901">
        <f>VLOOKUP($Y492,UsoSuelo!$DE$1054:$DQ$1120,8,FALSE)</f>
        <v>0</v>
      </c>
      <c r="AM493" s="901">
        <f>VLOOKUP($Y492,UsoSuelo!$DE$1054:$DQ$1120,9,FALSE)</f>
        <v>0</v>
      </c>
      <c r="AN493" s="901">
        <f>VLOOKUP($Y492,UsoSuelo!$DE$1054:$DQ$1120,10,FALSE)</f>
        <v>0</v>
      </c>
      <c r="AO493" s="901">
        <f>VLOOKUP($Y492,UsoSuelo!$DE$1054:$DQ$1120,11,FALSE)</f>
        <v>0</v>
      </c>
      <c r="AP493" s="901">
        <f>VLOOKUP($Y492,UsoSuelo!$DE$1054:$DQ$1120,12,FALSE)</f>
        <v>0</v>
      </c>
      <c r="AQ493" s="902">
        <f>VLOOKUP($Y492,UsoSuelo!$DE$1054:$DQ$1120,13,FALSE)</f>
        <v>0</v>
      </c>
      <c r="AR493" s="903">
        <f>SUM(AF493:AQ493)</f>
        <v>0</v>
      </c>
      <c r="AT493" s="1569"/>
    </row>
    <row r="494" spans="1:47" x14ac:dyDescent="0.2">
      <c r="A494" s="145"/>
      <c r="B494" s="641"/>
      <c r="C494" s="621" t="s">
        <v>885</v>
      </c>
      <c r="D494" s="621"/>
      <c r="E494" s="621" t="s">
        <v>881</v>
      </c>
      <c r="F494" s="621" t="s">
        <v>23</v>
      </c>
      <c r="G494" s="622"/>
      <c r="H494" s="623"/>
      <c r="I494" s="297"/>
      <c r="J494" s="296"/>
      <c r="K494" s="296"/>
      <c r="L494" s="296"/>
      <c r="M494" s="296"/>
      <c r="N494" s="297"/>
      <c r="O494" s="297"/>
      <c r="P494" s="297"/>
      <c r="Q494" s="297"/>
      <c r="R494" s="297"/>
      <c r="S494" s="297"/>
      <c r="T494" s="297"/>
      <c r="U494" s="642" t="s">
        <v>881</v>
      </c>
      <c r="W494" s="1569"/>
      <c r="X494" s="16"/>
      <c r="Y494" s="641"/>
      <c r="Z494" s="621" t="s">
        <v>885</v>
      </c>
      <c r="AA494" s="621"/>
      <c r="AB494" s="621" t="s">
        <v>881</v>
      </c>
      <c r="AC494" s="621" t="s">
        <v>23</v>
      </c>
      <c r="AD494" s="622"/>
      <c r="AE494" s="623"/>
      <c r="AF494" s="297"/>
      <c r="AG494" s="296"/>
      <c r="AH494" s="296"/>
      <c r="AI494" s="296"/>
      <c r="AJ494" s="296"/>
      <c r="AK494" s="297"/>
      <c r="AL494" s="297"/>
      <c r="AM494" s="297"/>
      <c r="AN494" s="297"/>
      <c r="AO494" s="297"/>
      <c r="AP494" s="297"/>
      <c r="AQ494" s="297"/>
      <c r="AR494" s="642" t="s">
        <v>881</v>
      </c>
      <c r="AT494" s="1569"/>
    </row>
    <row r="495" spans="1:47" x14ac:dyDescent="0.2">
      <c r="A495" s="205"/>
      <c r="B495" s="199" t="s">
        <v>869</v>
      </c>
      <c r="C495" s="3" t="s">
        <v>1105</v>
      </c>
      <c r="D495" s="3" t="s">
        <v>312</v>
      </c>
      <c r="E495" s="4" t="s">
        <v>882</v>
      </c>
      <c r="F495" s="3" t="s">
        <v>314</v>
      </c>
      <c r="G495" s="4" t="s">
        <v>313</v>
      </c>
      <c r="H495" s="299"/>
      <c r="I495" s="320"/>
      <c r="J495" s="319"/>
      <c r="K495" s="319"/>
      <c r="L495" s="319"/>
      <c r="M495" s="319" t="s">
        <v>349</v>
      </c>
      <c r="N495" s="320"/>
      <c r="O495" s="320"/>
      <c r="P495" s="320"/>
      <c r="Q495" s="320"/>
      <c r="R495" s="320"/>
      <c r="S495" s="320"/>
      <c r="T495" s="320"/>
      <c r="U495" s="643" t="s">
        <v>891</v>
      </c>
      <c r="X495" s="205"/>
      <c r="Y495" s="199" t="s">
        <v>869</v>
      </c>
      <c r="Z495" s="3" t="s">
        <v>1105</v>
      </c>
      <c r="AA495" s="3" t="s">
        <v>312</v>
      </c>
      <c r="AB495" s="4" t="s">
        <v>882</v>
      </c>
      <c r="AC495" s="3" t="s">
        <v>314</v>
      </c>
      <c r="AD495" s="4" t="s">
        <v>313</v>
      </c>
      <c r="AE495" s="299"/>
      <c r="AF495" s="320"/>
      <c r="AG495" s="319"/>
      <c r="AH495" s="319"/>
      <c r="AI495" s="319"/>
      <c r="AJ495" s="319" t="s">
        <v>349</v>
      </c>
      <c r="AK495" s="320"/>
      <c r="AL495" s="320"/>
      <c r="AM495" s="320"/>
      <c r="AN495" s="320"/>
      <c r="AO495" s="320"/>
      <c r="AP495" s="320"/>
      <c r="AQ495" s="320"/>
      <c r="AR495" s="643" t="s">
        <v>891</v>
      </c>
    </row>
    <row r="496" spans="1:47" ht="15.05" thickBot="1" x14ac:dyDescent="0.35">
      <c r="A496" s="205"/>
      <c r="B496" s="5042"/>
      <c r="C496" s="1056">
        <f>IF(B496=0,0,U$493)</f>
        <v>0</v>
      </c>
      <c r="D496" s="1056">
        <f>IF(B496=0,0,VLOOKUP(B496,Precios!$B$216:$D$307,3,FALSE))</f>
        <v>0</v>
      </c>
      <c r="E496" s="5043"/>
      <c r="F496" s="300"/>
      <c r="G496" s="300"/>
      <c r="H496" s="309"/>
      <c r="I496" s="1072">
        <f>IF($C496&gt;0,I$493*$E496,0)</f>
        <v>0</v>
      </c>
      <c r="J496" s="1033">
        <f t="shared" ref="J496:T514" si="307">IF($C496&gt;0,J$493*$E496,0)</f>
        <v>0</v>
      </c>
      <c r="K496" s="1033">
        <f t="shared" si="307"/>
        <v>0</v>
      </c>
      <c r="L496" s="1033">
        <f t="shared" si="307"/>
        <v>0</v>
      </c>
      <c r="M496" s="1033">
        <f t="shared" si="307"/>
        <v>0</v>
      </c>
      <c r="N496" s="1033">
        <f t="shared" si="307"/>
        <v>0</v>
      </c>
      <c r="O496" s="1033">
        <f t="shared" si="307"/>
        <v>0</v>
      </c>
      <c r="P496" s="1033">
        <f t="shared" si="307"/>
        <v>0</v>
      </c>
      <c r="Q496" s="1033">
        <f t="shared" si="307"/>
        <v>0</v>
      </c>
      <c r="R496" s="1033">
        <f t="shared" si="307"/>
        <v>0</v>
      </c>
      <c r="S496" s="1033">
        <f t="shared" si="307"/>
        <v>0</v>
      </c>
      <c r="T496" s="1033">
        <f t="shared" si="307"/>
        <v>0</v>
      </c>
      <c r="U496" s="1073">
        <f t="shared" ref="U496:U517" si="308">SUM(I496:T496)</f>
        <v>0</v>
      </c>
      <c r="V496" s="232" t="str">
        <f>B496&amp;"propia"</f>
        <v>propia</v>
      </c>
      <c r="X496" s="205"/>
      <c r="Y496" s="5042"/>
      <c r="Z496" s="1056">
        <f>IF(Y496=0,0,AR$493)</f>
        <v>0</v>
      </c>
      <c r="AA496" s="1056">
        <f>IF(Y496=0,0,VLOOKUP(Y496,Precios!$B$216:$D$307,3,FALSE))</f>
        <v>0</v>
      </c>
      <c r="AB496" s="1069"/>
      <c r="AC496" s="300"/>
      <c r="AD496" s="300"/>
      <c r="AE496" s="309"/>
      <c r="AF496" s="1072">
        <f>IF($Z496&gt;0,AF$493*$AB496,0)</f>
        <v>0</v>
      </c>
      <c r="AG496" s="1033">
        <f t="shared" ref="AG496:AQ513" si="309">IF($Z496&gt;0,AG$493*$AB496,0)</f>
        <v>0</v>
      </c>
      <c r="AH496" s="1033">
        <f t="shared" si="309"/>
        <v>0</v>
      </c>
      <c r="AI496" s="1033">
        <f t="shared" si="309"/>
        <v>0</v>
      </c>
      <c r="AJ496" s="1033">
        <f t="shared" si="309"/>
        <v>0</v>
      </c>
      <c r="AK496" s="1033">
        <f t="shared" si="309"/>
        <v>0</v>
      </c>
      <c r="AL496" s="1033">
        <f t="shared" si="309"/>
        <v>0</v>
      </c>
      <c r="AM496" s="1033">
        <f t="shared" si="309"/>
        <v>0</v>
      </c>
      <c r="AN496" s="1033">
        <f t="shared" si="309"/>
        <v>0</v>
      </c>
      <c r="AO496" s="1033">
        <f t="shared" si="309"/>
        <v>0</v>
      </c>
      <c r="AP496" s="1033">
        <f t="shared" si="309"/>
        <v>0</v>
      </c>
      <c r="AQ496" s="1033">
        <f t="shared" si="309"/>
        <v>0</v>
      </c>
      <c r="AR496" s="1073">
        <f t="shared" ref="AR496:AR514" si="310">SUM(AF496:AQ496)</f>
        <v>0</v>
      </c>
      <c r="AS496" s="232" t="str">
        <f>Y496&amp;"propia"</f>
        <v>propia</v>
      </c>
    </row>
    <row r="497" spans="1:46" ht="15.05" thickBot="1" x14ac:dyDescent="0.35">
      <c r="A497" s="205"/>
      <c r="B497" s="5044"/>
      <c r="C497" s="985">
        <f>IF(B497=0,0,U$493)</f>
        <v>0</v>
      </c>
      <c r="D497" s="985">
        <f>IF(B497=0,0,VLOOKUP(B497,Precios!$B$216:$D$307,3,FALSE))</f>
        <v>0</v>
      </c>
      <c r="E497" s="5045"/>
      <c r="F497" s="300"/>
      <c r="G497" s="300"/>
      <c r="H497" s="309"/>
      <c r="I497" s="1074">
        <f>IF($C497&gt;0,I$493*$E497,0)</f>
        <v>0</v>
      </c>
      <c r="J497" s="1005">
        <f t="shared" si="307"/>
        <v>0</v>
      </c>
      <c r="K497" s="1005">
        <f t="shared" si="307"/>
        <v>0</v>
      </c>
      <c r="L497" s="1005">
        <f t="shared" si="307"/>
        <v>0</v>
      </c>
      <c r="M497" s="1005">
        <f t="shared" si="307"/>
        <v>0</v>
      </c>
      <c r="N497" s="1005">
        <f t="shared" si="307"/>
        <v>0</v>
      </c>
      <c r="O497" s="1005">
        <f t="shared" si="307"/>
        <v>0</v>
      </c>
      <c r="P497" s="1005">
        <f t="shared" si="307"/>
        <v>0</v>
      </c>
      <c r="Q497" s="1005">
        <f t="shared" si="307"/>
        <v>0</v>
      </c>
      <c r="R497" s="1005">
        <f t="shared" si="307"/>
        <v>0</v>
      </c>
      <c r="S497" s="1005">
        <f t="shared" si="307"/>
        <v>0</v>
      </c>
      <c r="T497" s="1005">
        <f t="shared" si="307"/>
        <v>0</v>
      </c>
      <c r="U497" s="1075">
        <f t="shared" si="308"/>
        <v>0</v>
      </c>
      <c r="V497" s="232" t="str">
        <f>B497&amp;"propia"</f>
        <v>propia</v>
      </c>
      <c r="X497" s="301"/>
      <c r="Y497" s="5044"/>
      <c r="Z497" s="985">
        <f>IF(Y497=0,0,AR$493)</f>
        <v>0</v>
      </c>
      <c r="AA497" s="985">
        <f>IF(Y497=0,0,VLOOKUP(Y497,Precios!$B$216:$D$307,3,FALSE))</f>
        <v>0</v>
      </c>
      <c r="AB497" s="1070"/>
      <c r="AC497" s="300"/>
      <c r="AD497" s="300"/>
      <c r="AE497" s="309"/>
      <c r="AF497" s="1074">
        <f>IF($Z497&gt;0,AF$493*$AB497,0)</f>
        <v>0</v>
      </c>
      <c r="AG497" s="1005">
        <f t="shared" si="309"/>
        <v>0</v>
      </c>
      <c r="AH497" s="1005">
        <f t="shared" si="309"/>
        <v>0</v>
      </c>
      <c r="AI497" s="1005">
        <f t="shared" si="309"/>
        <v>0</v>
      </c>
      <c r="AJ497" s="1005">
        <f t="shared" si="309"/>
        <v>0</v>
      </c>
      <c r="AK497" s="1005">
        <f t="shared" si="309"/>
        <v>0</v>
      </c>
      <c r="AL497" s="1005">
        <f t="shared" si="309"/>
        <v>0</v>
      </c>
      <c r="AM497" s="1005">
        <f t="shared" si="309"/>
        <v>0</v>
      </c>
      <c r="AN497" s="1005">
        <f t="shared" si="309"/>
        <v>0</v>
      </c>
      <c r="AO497" s="1005">
        <f t="shared" si="309"/>
        <v>0</v>
      </c>
      <c r="AP497" s="1005">
        <f t="shared" si="309"/>
        <v>0</v>
      </c>
      <c r="AQ497" s="1005">
        <f t="shared" si="309"/>
        <v>0</v>
      </c>
      <c r="AR497" s="1075">
        <f t="shared" si="310"/>
        <v>0</v>
      </c>
      <c r="AS497" s="232" t="str">
        <f>Y497&amp;"propia"</f>
        <v>propia</v>
      </c>
    </row>
    <row r="498" spans="1:46" ht="15.05" thickBot="1" x14ac:dyDescent="0.35">
      <c r="A498" s="205"/>
      <c r="B498" s="5044"/>
      <c r="C498" s="985">
        <f>IF(B498=0,0,U$493)</f>
        <v>0</v>
      </c>
      <c r="D498" s="985">
        <f>IF(B498=0,0,VLOOKUP(B498,Precios!$B$216:$D$307,3,FALSE))</f>
        <v>0</v>
      </c>
      <c r="E498" s="5045"/>
      <c r="F498" s="300"/>
      <c r="G498" s="300"/>
      <c r="H498" s="309"/>
      <c r="I498" s="1074">
        <f>IF($C498&gt;0,I$493*$E498,0)</f>
        <v>0</v>
      </c>
      <c r="J498" s="1005">
        <f t="shared" si="307"/>
        <v>0</v>
      </c>
      <c r="K498" s="1005">
        <f t="shared" si="307"/>
        <v>0</v>
      </c>
      <c r="L498" s="1005">
        <f t="shared" si="307"/>
        <v>0</v>
      </c>
      <c r="M498" s="1005">
        <f t="shared" si="307"/>
        <v>0</v>
      </c>
      <c r="N498" s="1005">
        <f t="shared" si="307"/>
        <v>0</v>
      </c>
      <c r="O498" s="1005">
        <f t="shared" si="307"/>
        <v>0</v>
      </c>
      <c r="P498" s="1005">
        <f t="shared" si="307"/>
        <v>0</v>
      </c>
      <c r="Q498" s="1005">
        <f t="shared" si="307"/>
        <v>0</v>
      </c>
      <c r="R498" s="1005">
        <f t="shared" si="307"/>
        <v>0</v>
      </c>
      <c r="S498" s="1005">
        <f t="shared" si="307"/>
        <v>0</v>
      </c>
      <c r="T498" s="1005">
        <f t="shared" si="307"/>
        <v>0</v>
      </c>
      <c r="U498" s="1075">
        <f t="shared" si="308"/>
        <v>0</v>
      </c>
      <c r="V498" s="232" t="str">
        <f>B498&amp;"propia"</f>
        <v>propia</v>
      </c>
      <c r="X498" s="301"/>
      <c r="Y498" s="5044"/>
      <c r="Z498" s="985">
        <f>IF(Y498=0,0,AR$493)</f>
        <v>0</v>
      </c>
      <c r="AA498" s="985">
        <f>IF(Y498=0,0,VLOOKUP(Y498,Precios!$B$216:$D$307,3,FALSE))</f>
        <v>0</v>
      </c>
      <c r="AB498" s="1070"/>
      <c r="AC498" s="300"/>
      <c r="AD498" s="300"/>
      <c r="AE498" s="309"/>
      <c r="AF498" s="1074">
        <f>IF($Z498&gt;0,AF$493*$AB498,0)</f>
        <v>0</v>
      </c>
      <c r="AG498" s="1005">
        <f t="shared" si="309"/>
        <v>0</v>
      </c>
      <c r="AH498" s="1005">
        <f t="shared" si="309"/>
        <v>0</v>
      </c>
      <c r="AI498" s="1005">
        <f t="shared" si="309"/>
        <v>0</v>
      </c>
      <c r="AJ498" s="1005">
        <f t="shared" si="309"/>
        <v>0</v>
      </c>
      <c r="AK498" s="1005">
        <f t="shared" si="309"/>
        <v>0</v>
      </c>
      <c r="AL498" s="1005">
        <f t="shared" si="309"/>
        <v>0</v>
      </c>
      <c r="AM498" s="1005">
        <f t="shared" si="309"/>
        <v>0</v>
      </c>
      <c r="AN498" s="1005">
        <f t="shared" si="309"/>
        <v>0</v>
      </c>
      <c r="AO498" s="1005">
        <f t="shared" si="309"/>
        <v>0</v>
      </c>
      <c r="AP498" s="1005">
        <f t="shared" si="309"/>
        <v>0</v>
      </c>
      <c r="AQ498" s="1005">
        <f t="shared" si="309"/>
        <v>0</v>
      </c>
      <c r="AR498" s="1075">
        <f t="shared" si="310"/>
        <v>0</v>
      </c>
      <c r="AS498" s="232" t="str">
        <f>Y498&amp;"propia"</f>
        <v>propia</v>
      </c>
    </row>
    <row r="499" spans="1:46" ht="15.05" thickBot="1" x14ac:dyDescent="0.35">
      <c r="A499" s="205"/>
      <c r="B499" s="5044"/>
      <c r="C499" s="985">
        <f>IF(B499=0,0,U$493)</f>
        <v>0</v>
      </c>
      <c r="D499" s="985">
        <f>IF(B499=0,0,VLOOKUP(B499,Precios!$B$216:$D$307,3,FALSE))</f>
        <v>0</v>
      </c>
      <c r="E499" s="5045"/>
      <c r="F499" s="300"/>
      <c r="G499" s="300"/>
      <c r="H499" s="309"/>
      <c r="I499" s="1074">
        <f>IF($C499&gt;0,I$493*$E499,0)</f>
        <v>0</v>
      </c>
      <c r="J499" s="1005">
        <f t="shared" si="307"/>
        <v>0</v>
      </c>
      <c r="K499" s="1005">
        <f t="shared" si="307"/>
        <v>0</v>
      </c>
      <c r="L499" s="1005">
        <f t="shared" si="307"/>
        <v>0</v>
      </c>
      <c r="M499" s="1005">
        <f t="shared" si="307"/>
        <v>0</v>
      </c>
      <c r="N499" s="1005">
        <f t="shared" si="307"/>
        <v>0</v>
      </c>
      <c r="O499" s="1005">
        <f t="shared" si="307"/>
        <v>0</v>
      </c>
      <c r="P499" s="1005">
        <f t="shared" si="307"/>
        <v>0</v>
      </c>
      <c r="Q499" s="1005">
        <f t="shared" si="307"/>
        <v>0</v>
      </c>
      <c r="R499" s="1005">
        <f t="shared" si="307"/>
        <v>0</v>
      </c>
      <c r="S499" s="1005">
        <f t="shared" si="307"/>
        <v>0</v>
      </c>
      <c r="T499" s="1005">
        <f t="shared" si="307"/>
        <v>0</v>
      </c>
      <c r="U499" s="1075">
        <f t="shared" si="308"/>
        <v>0</v>
      </c>
      <c r="V499" s="232" t="str">
        <f>B499&amp;"propia"</f>
        <v>propia</v>
      </c>
      <c r="X499" s="301"/>
      <c r="Y499" s="5044"/>
      <c r="Z499" s="985">
        <f>IF(Y499=0,0,AR$493)</f>
        <v>0</v>
      </c>
      <c r="AA499" s="985">
        <f>IF(Y499=0,0,VLOOKUP(Y499,Precios!$B$216:$D$307,3,FALSE))</f>
        <v>0</v>
      </c>
      <c r="AB499" s="1070"/>
      <c r="AC499" s="300"/>
      <c r="AD499" s="300"/>
      <c r="AE499" s="309"/>
      <c r="AF499" s="1074">
        <f>IF($Z499&gt;0,AF$493*$AB499,0)</f>
        <v>0</v>
      </c>
      <c r="AG499" s="1005">
        <f t="shared" si="309"/>
        <v>0</v>
      </c>
      <c r="AH499" s="1005">
        <f t="shared" si="309"/>
        <v>0</v>
      </c>
      <c r="AI499" s="1005">
        <f t="shared" si="309"/>
        <v>0</v>
      </c>
      <c r="AJ499" s="1005">
        <f t="shared" si="309"/>
        <v>0</v>
      </c>
      <c r="AK499" s="1005">
        <f t="shared" si="309"/>
        <v>0</v>
      </c>
      <c r="AL499" s="1005">
        <f t="shared" si="309"/>
        <v>0</v>
      </c>
      <c r="AM499" s="1005">
        <f t="shared" si="309"/>
        <v>0</v>
      </c>
      <c r="AN499" s="1005">
        <f t="shared" si="309"/>
        <v>0</v>
      </c>
      <c r="AO499" s="1005">
        <f t="shared" si="309"/>
        <v>0</v>
      </c>
      <c r="AP499" s="1005">
        <f t="shared" si="309"/>
        <v>0</v>
      </c>
      <c r="AQ499" s="1005">
        <f t="shared" si="309"/>
        <v>0</v>
      </c>
      <c r="AR499" s="1075">
        <f t="shared" si="310"/>
        <v>0</v>
      </c>
      <c r="AS499" s="232" t="str">
        <f>Y499&amp;"propia"</f>
        <v>propia</v>
      </c>
    </row>
    <row r="500" spans="1:46" x14ac:dyDescent="0.3">
      <c r="A500" s="205"/>
      <c r="B500" s="5046"/>
      <c r="C500" s="1057">
        <f>IF(B500=0,0,U$493)</f>
        <v>0</v>
      </c>
      <c r="D500" s="1057">
        <f>IF(B500=0,0,VLOOKUP(B500,Precios!$B$216:$D$307,3,FALSE))</f>
        <v>0</v>
      </c>
      <c r="E500" s="5047"/>
      <c r="F500" s="300"/>
      <c r="G500" s="300"/>
      <c r="H500" s="309"/>
      <c r="I500" s="1076">
        <f>IF($C500&gt;0,I$493*$E500,0)</f>
        <v>0</v>
      </c>
      <c r="J500" s="1077">
        <f t="shared" si="307"/>
        <v>0</v>
      </c>
      <c r="K500" s="1077">
        <f t="shared" si="307"/>
        <v>0</v>
      </c>
      <c r="L500" s="1077">
        <f t="shared" si="307"/>
        <v>0</v>
      </c>
      <c r="M500" s="1077">
        <f t="shared" si="307"/>
        <v>0</v>
      </c>
      <c r="N500" s="1077">
        <f t="shared" si="307"/>
        <v>0</v>
      </c>
      <c r="O500" s="1077">
        <f t="shared" si="307"/>
        <v>0</v>
      </c>
      <c r="P500" s="1077">
        <f t="shared" si="307"/>
        <v>0</v>
      </c>
      <c r="Q500" s="1077">
        <f t="shared" si="307"/>
        <v>0</v>
      </c>
      <c r="R500" s="1077">
        <f t="shared" si="307"/>
        <v>0</v>
      </c>
      <c r="S500" s="1077">
        <f t="shared" si="307"/>
        <v>0</v>
      </c>
      <c r="T500" s="1077">
        <f t="shared" si="307"/>
        <v>0</v>
      </c>
      <c r="U500" s="1078">
        <f t="shared" si="308"/>
        <v>0</v>
      </c>
      <c r="V500" s="232" t="str">
        <f>B500&amp;"propia"</f>
        <v>propia</v>
      </c>
      <c r="X500" s="301"/>
      <c r="Y500" s="5046"/>
      <c r="Z500" s="1057">
        <f>IF(Y500=0,0,AR$493)</f>
        <v>0</v>
      </c>
      <c r="AA500" s="1057">
        <f>IF(Y500=0,0,VLOOKUP(Y500,Precios!$B$216:$D$307,3,FALSE))</f>
        <v>0</v>
      </c>
      <c r="AB500" s="1071"/>
      <c r="AC500" s="300"/>
      <c r="AD500" s="300"/>
      <c r="AE500" s="309"/>
      <c r="AF500" s="1076">
        <f>IF($Z500&gt;0,AF$493*$AB500,0)</f>
        <v>0</v>
      </c>
      <c r="AG500" s="1077">
        <f t="shared" si="309"/>
        <v>0</v>
      </c>
      <c r="AH500" s="1077">
        <f t="shared" si="309"/>
        <v>0</v>
      </c>
      <c r="AI500" s="1077">
        <f t="shared" si="309"/>
        <v>0</v>
      </c>
      <c r="AJ500" s="1077">
        <f t="shared" si="309"/>
        <v>0</v>
      </c>
      <c r="AK500" s="1077">
        <f t="shared" si="309"/>
        <v>0</v>
      </c>
      <c r="AL500" s="1077">
        <f t="shared" si="309"/>
        <v>0</v>
      </c>
      <c r="AM500" s="1077">
        <f t="shared" si="309"/>
        <v>0</v>
      </c>
      <c r="AN500" s="1077">
        <f t="shared" si="309"/>
        <v>0</v>
      </c>
      <c r="AO500" s="1077">
        <f t="shared" si="309"/>
        <v>0</v>
      </c>
      <c r="AP500" s="1077">
        <f t="shared" si="309"/>
        <v>0</v>
      </c>
      <c r="AQ500" s="1077">
        <f t="shared" si="309"/>
        <v>0</v>
      </c>
      <c r="AR500" s="1078">
        <f t="shared" si="310"/>
        <v>0</v>
      </c>
      <c r="AS500" s="232" t="str">
        <f>Y500&amp;"propia"</f>
        <v>propia</v>
      </c>
    </row>
    <row r="501" spans="1:46" x14ac:dyDescent="0.3">
      <c r="A501" s="205"/>
      <c r="B501" s="645" t="s">
        <v>1083</v>
      </c>
      <c r="C501" s="305"/>
      <c r="D501" s="305"/>
      <c r="E501" s="305"/>
      <c r="F501" s="305"/>
      <c r="G501" s="305"/>
      <c r="H501" s="306"/>
      <c r="I501" s="904">
        <f>+SUM(I496:I500)</f>
        <v>0</v>
      </c>
      <c r="J501" s="904">
        <f t="shared" ref="J501:S501" si="311">+SUM(J496:J500)</f>
        <v>0</v>
      </c>
      <c r="K501" s="904">
        <f t="shared" si="311"/>
        <v>0</v>
      </c>
      <c r="L501" s="904">
        <f t="shared" si="311"/>
        <v>0</v>
      </c>
      <c r="M501" s="904">
        <f t="shared" si="311"/>
        <v>0</v>
      </c>
      <c r="N501" s="904">
        <f t="shared" si="311"/>
        <v>0</v>
      </c>
      <c r="O501" s="904">
        <f t="shared" si="311"/>
        <v>0</v>
      </c>
      <c r="P501" s="904">
        <f t="shared" si="311"/>
        <v>0</v>
      </c>
      <c r="Q501" s="904">
        <f t="shared" si="311"/>
        <v>0</v>
      </c>
      <c r="R501" s="904">
        <f t="shared" si="311"/>
        <v>0</v>
      </c>
      <c r="S501" s="904">
        <f t="shared" si="311"/>
        <v>0</v>
      </c>
      <c r="T501" s="904">
        <f>+SUM(T496:T500)</f>
        <v>0</v>
      </c>
      <c r="U501" s="905">
        <f>SUM(I501:T501)</f>
        <v>0</v>
      </c>
      <c r="X501" s="301"/>
      <c r="Y501" s="645" t="s">
        <v>1083</v>
      </c>
      <c r="Z501" s="305"/>
      <c r="AA501" s="305"/>
      <c r="AB501" s="305"/>
      <c r="AC501" s="305"/>
      <c r="AD501" s="305"/>
      <c r="AE501" s="306"/>
      <c r="AF501" s="904">
        <f t="shared" ref="AF501:AQ501" si="312">SUM(AF496:AF500)</f>
        <v>0</v>
      </c>
      <c r="AG501" s="904">
        <f t="shared" si="312"/>
        <v>0</v>
      </c>
      <c r="AH501" s="904">
        <f t="shared" si="312"/>
        <v>0</v>
      </c>
      <c r="AI501" s="904">
        <f t="shared" si="312"/>
        <v>0</v>
      </c>
      <c r="AJ501" s="904">
        <f t="shared" si="312"/>
        <v>0</v>
      </c>
      <c r="AK501" s="904">
        <f t="shared" si="312"/>
        <v>0</v>
      </c>
      <c r="AL501" s="904">
        <f t="shared" si="312"/>
        <v>0</v>
      </c>
      <c r="AM501" s="904">
        <f t="shared" si="312"/>
        <v>0</v>
      </c>
      <c r="AN501" s="904">
        <f t="shared" si="312"/>
        <v>0</v>
      </c>
      <c r="AO501" s="904">
        <f t="shared" si="312"/>
        <v>0</v>
      </c>
      <c r="AP501" s="904">
        <f t="shared" si="312"/>
        <v>0</v>
      </c>
      <c r="AQ501" s="904">
        <f t="shared" si="312"/>
        <v>0</v>
      </c>
      <c r="AR501" s="905">
        <f>SUM(AF501:AQ501)</f>
        <v>0</v>
      </c>
    </row>
    <row r="502" spans="1:46" x14ac:dyDescent="0.2">
      <c r="A502" s="205"/>
      <c r="B502" s="197" t="s">
        <v>870</v>
      </c>
      <c r="C502" s="307"/>
      <c r="D502" s="307"/>
      <c r="E502" s="308"/>
      <c r="F502" s="308"/>
      <c r="G502" s="308"/>
      <c r="H502" s="307"/>
      <c r="I502" s="307"/>
      <c r="J502" s="307"/>
      <c r="K502" s="307"/>
      <c r="L502" s="307"/>
      <c r="M502" s="307"/>
      <c r="N502" s="307"/>
      <c r="O502" s="307"/>
      <c r="P502" s="307"/>
      <c r="Q502" s="307"/>
      <c r="R502" s="307"/>
      <c r="S502" s="307"/>
      <c r="T502" s="307"/>
      <c r="U502" s="646"/>
      <c r="X502" s="301"/>
      <c r="Y502" s="197" t="s">
        <v>870</v>
      </c>
      <c r="Z502" s="307"/>
      <c r="AA502" s="307"/>
      <c r="AB502" s="308"/>
      <c r="AC502" s="308"/>
      <c r="AD502" s="308"/>
      <c r="AE502" s="307"/>
      <c r="AF502" s="307"/>
      <c r="AG502" s="307"/>
      <c r="AH502" s="307"/>
      <c r="AI502" s="307"/>
      <c r="AJ502" s="307"/>
      <c r="AK502" s="307"/>
      <c r="AL502" s="307"/>
      <c r="AM502" s="307"/>
      <c r="AN502" s="307"/>
      <c r="AO502" s="307"/>
      <c r="AP502" s="307"/>
      <c r="AQ502" s="307"/>
      <c r="AR502" s="646"/>
    </row>
    <row r="503" spans="1:46" ht="15.05" thickBot="1" x14ac:dyDescent="0.35">
      <c r="A503" s="205"/>
      <c r="B503" s="5042"/>
      <c r="C503" s="1056">
        <f>IF(B503=0,0,U$493)</f>
        <v>0</v>
      </c>
      <c r="D503" s="1056">
        <f>IF(B503=0,0,VLOOKUP(B503,Precios!$B$216:$D$307,3,FALSE))</f>
        <v>0</v>
      </c>
      <c r="E503" s="5048"/>
      <c r="F503" s="1249">
        <f>IF(B503=0,0,VLOOKUP(B503,Precios!$B$216:$D$307,2,FALSE))</f>
        <v>0</v>
      </c>
      <c r="G503" s="1066">
        <f>E503*F503</f>
        <v>0</v>
      </c>
      <c r="H503" s="309"/>
      <c r="I503" s="1072">
        <f>IF($C503&gt;0,I$493*$E503,0)</f>
        <v>0</v>
      </c>
      <c r="J503" s="1033">
        <f t="shared" si="307"/>
        <v>0</v>
      </c>
      <c r="K503" s="1033">
        <f t="shared" si="307"/>
        <v>0</v>
      </c>
      <c r="L503" s="1033">
        <f t="shared" si="307"/>
        <v>0</v>
      </c>
      <c r="M503" s="1033">
        <f t="shared" si="307"/>
        <v>0</v>
      </c>
      <c r="N503" s="1033">
        <f t="shared" si="307"/>
        <v>0</v>
      </c>
      <c r="O503" s="1033">
        <f t="shared" si="307"/>
        <v>0</v>
      </c>
      <c r="P503" s="1033">
        <f t="shared" si="307"/>
        <v>0</v>
      </c>
      <c r="Q503" s="1033">
        <f t="shared" si="307"/>
        <v>0</v>
      </c>
      <c r="R503" s="1033">
        <f t="shared" si="307"/>
        <v>0</v>
      </c>
      <c r="S503" s="1033">
        <f t="shared" si="307"/>
        <v>0</v>
      </c>
      <c r="T503" s="1033">
        <f t="shared" si="307"/>
        <v>0</v>
      </c>
      <c r="U503" s="1073">
        <f t="shared" si="308"/>
        <v>0</v>
      </c>
      <c r="V503" s="232" t="str">
        <f>B503&amp;"contratada"</f>
        <v>contratada</v>
      </c>
      <c r="X503" s="301"/>
      <c r="Y503" s="5042"/>
      <c r="Z503" s="1056">
        <f>IF(Y503=0,0,AR$493)</f>
        <v>0</v>
      </c>
      <c r="AA503" s="1056">
        <f>IF(Y503=0,0,VLOOKUP(Y503,Precios!$B$216:$D$307,3,FALSE))</f>
        <v>0</v>
      </c>
      <c r="AB503" s="1058"/>
      <c r="AC503" s="1249">
        <f>IF(Y503=0,0,VLOOKUP(Y503,Precios!$B$216:$D$307,2,FALSE))</f>
        <v>0</v>
      </c>
      <c r="AD503" s="1066">
        <f>AB503*AC503</f>
        <v>0</v>
      </c>
      <c r="AE503" s="309"/>
      <c r="AF503" s="1072">
        <f>IF($Z503&gt;0,AF$493*$AB503,0)</f>
        <v>0</v>
      </c>
      <c r="AG503" s="1033">
        <f t="shared" si="309"/>
        <v>0</v>
      </c>
      <c r="AH503" s="1033">
        <f t="shared" si="309"/>
        <v>0</v>
      </c>
      <c r="AI503" s="1033">
        <f t="shared" si="309"/>
        <v>0</v>
      </c>
      <c r="AJ503" s="1033">
        <f t="shared" si="309"/>
        <v>0</v>
      </c>
      <c r="AK503" s="1033">
        <f t="shared" si="309"/>
        <v>0</v>
      </c>
      <c r="AL503" s="1033">
        <f t="shared" si="309"/>
        <v>0</v>
      </c>
      <c r="AM503" s="1033">
        <f t="shared" si="309"/>
        <v>0</v>
      </c>
      <c r="AN503" s="1033">
        <f t="shared" si="309"/>
        <v>0</v>
      </c>
      <c r="AO503" s="1033">
        <f t="shared" si="309"/>
        <v>0</v>
      </c>
      <c r="AP503" s="1033">
        <f t="shared" si="309"/>
        <v>0</v>
      </c>
      <c r="AQ503" s="1033">
        <f t="shared" si="309"/>
        <v>0</v>
      </c>
      <c r="AR503" s="1073">
        <f t="shared" si="310"/>
        <v>0</v>
      </c>
      <c r="AS503" s="232" t="str">
        <f>Y503&amp;"contratada"</f>
        <v>contratada</v>
      </c>
    </row>
    <row r="504" spans="1:46" ht="15.05" thickBot="1" x14ac:dyDescent="0.35">
      <c r="A504" s="205"/>
      <c r="B504" s="5044"/>
      <c r="C504" s="985">
        <f t="shared" ref="C504:C527" si="313">IF(B504=0,0,U$493)</f>
        <v>0</v>
      </c>
      <c r="D504" s="985">
        <f>IF(B504=0,0,VLOOKUP(B504,Precios!$B$216:$D$307,3,FALSE))</f>
        <v>0</v>
      </c>
      <c r="E504" s="5049"/>
      <c r="F504" s="2253">
        <f>IF(B504=0,0,VLOOKUP(B504,Precios!$B$216:$D$307,2,FALSE))</f>
        <v>0</v>
      </c>
      <c r="G504" s="1067">
        <f>E504*F504</f>
        <v>0</v>
      </c>
      <c r="H504" s="309"/>
      <c r="I504" s="1074">
        <f>IF($C504&gt;0,I$493*$E504,0)</f>
        <v>0</v>
      </c>
      <c r="J504" s="1005">
        <f t="shared" si="307"/>
        <v>0</v>
      </c>
      <c r="K504" s="1005">
        <f t="shared" si="307"/>
        <v>0</v>
      </c>
      <c r="L504" s="1005">
        <f t="shared" si="307"/>
        <v>0</v>
      </c>
      <c r="M504" s="1005">
        <f t="shared" si="307"/>
        <v>0</v>
      </c>
      <c r="N504" s="1005">
        <f t="shared" si="307"/>
        <v>0</v>
      </c>
      <c r="O504" s="1005">
        <f t="shared" si="307"/>
        <v>0</v>
      </c>
      <c r="P504" s="1005">
        <f t="shared" si="307"/>
        <v>0</v>
      </c>
      <c r="Q504" s="1005">
        <f t="shared" si="307"/>
        <v>0</v>
      </c>
      <c r="R504" s="1005">
        <f t="shared" si="307"/>
        <v>0</v>
      </c>
      <c r="S504" s="1005">
        <f t="shared" si="307"/>
        <v>0</v>
      </c>
      <c r="T504" s="1005">
        <f t="shared" si="307"/>
        <v>0</v>
      </c>
      <c r="U504" s="1075">
        <f t="shared" si="308"/>
        <v>0</v>
      </c>
      <c r="V504" s="232" t="str">
        <f>B504&amp;"contratada"</f>
        <v>contratada</v>
      </c>
      <c r="X504" s="301"/>
      <c r="Y504" s="5044"/>
      <c r="Z504" s="985">
        <f>IF(Y504=0,0,AR$493)</f>
        <v>0</v>
      </c>
      <c r="AA504" s="985">
        <f>IF(Y504=0,0,VLOOKUP(Y504,Precios!$B$216:$D$307,3,FALSE))</f>
        <v>0</v>
      </c>
      <c r="AB504" s="986"/>
      <c r="AC504" s="2253">
        <f>IF(Y504=0,0,VLOOKUP(Y504,Precios!$B$216:$D$307,2,FALSE))</f>
        <v>0</v>
      </c>
      <c r="AD504" s="1067">
        <f>AB504*AC504</f>
        <v>0</v>
      </c>
      <c r="AE504" s="309"/>
      <c r="AF504" s="1074">
        <f>IF($Z504&gt;0,AF$493*$AB504,0)</f>
        <v>0</v>
      </c>
      <c r="AG504" s="1005">
        <f t="shared" si="309"/>
        <v>0</v>
      </c>
      <c r="AH504" s="1005">
        <f t="shared" si="309"/>
        <v>0</v>
      </c>
      <c r="AI504" s="1005">
        <f t="shared" si="309"/>
        <v>0</v>
      </c>
      <c r="AJ504" s="1005">
        <f t="shared" si="309"/>
        <v>0</v>
      </c>
      <c r="AK504" s="1005">
        <f t="shared" si="309"/>
        <v>0</v>
      </c>
      <c r="AL504" s="1005">
        <f t="shared" si="309"/>
        <v>0</v>
      </c>
      <c r="AM504" s="1005">
        <f t="shared" si="309"/>
        <v>0</v>
      </c>
      <c r="AN504" s="1005">
        <f t="shared" si="309"/>
        <v>0</v>
      </c>
      <c r="AO504" s="1005">
        <f t="shared" si="309"/>
        <v>0</v>
      </c>
      <c r="AP504" s="1005">
        <f t="shared" si="309"/>
        <v>0</v>
      </c>
      <c r="AQ504" s="1005">
        <f t="shared" si="309"/>
        <v>0</v>
      </c>
      <c r="AR504" s="1075">
        <f t="shared" si="310"/>
        <v>0</v>
      </c>
      <c r="AS504" s="232" t="str">
        <f>Y504&amp;"contratada"</f>
        <v>contratada</v>
      </c>
    </row>
    <row r="505" spans="1:46" ht="15.05" thickBot="1" x14ac:dyDescent="0.35">
      <c r="A505" s="205"/>
      <c r="B505" s="5044"/>
      <c r="C505" s="985">
        <f t="shared" si="313"/>
        <v>0</v>
      </c>
      <c r="D505" s="985">
        <f>IF(B505=0,0,VLOOKUP(B505,Precios!$B$216:$D$307,3,FALSE))</f>
        <v>0</v>
      </c>
      <c r="E505" s="5049"/>
      <c r="F505" s="2253">
        <f>IF(B505=0,0,VLOOKUP(B505,Precios!$B$216:$D$307,2,FALSE))</f>
        <v>0</v>
      </c>
      <c r="G505" s="1067">
        <f>E505*F505</f>
        <v>0</v>
      </c>
      <c r="H505" s="309"/>
      <c r="I505" s="1074">
        <f>IF($C505&gt;0,I$493*$E505,0)</f>
        <v>0</v>
      </c>
      <c r="J505" s="1005">
        <f t="shared" si="307"/>
        <v>0</v>
      </c>
      <c r="K505" s="1005">
        <f t="shared" si="307"/>
        <v>0</v>
      </c>
      <c r="L505" s="1005">
        <f t="shared" si="307"/>
        <v>0</v>
      </c>
      <c r="M505" s="1005">
        <f t="shared" si="307"/>
        <v>0</v>
      </c>
      <c r="N505" s="1005">
        <f t="shared" si="307"/>
        <v>0</v>
      </c>
      <c r="O505" s="1005">
        <f t="shared" si="307"/>
        <v>0</v>
      </c>
      <c r="P505" s="1005">
        <f t="shared" si="307"/>
        <v>0</v>
      </c>
      <c r="Q505" s="1005">
        <f t="shared" si="307"/>
        <v>0</v>
      </c>
      <c r="R505" s="1005">
        <f t="shared" si="307"/>
        <v>0</v>
      </c>
      <c r="S505" s="1005">
        <f t="shared" si="307"/>
        <v>0</v>
      </c>
      <c r="T505" s="1005">
        <f t="shared" si="307"/>
        <v>0</v>
      </c>
      <c r="U505" s="1075">
        <f t="shared" si="308"/>
        <v>0</v>
      </c>
      <c r="V505" s="232" t="str">
        <f>B505&amp;"contratada"</f>
        <v>contratada</v>
      </c>
      <c r="X505" s="301"/>
      <c r="Y505" s="5044"/>
      <c r="Z505" s="985">
        <f>IF(Y505=0,0,AR$493)</f>
        <v>0</v>
      </c>
      <c r="AA505" s="985">
        <f>IF(Y505=0,0,VLOOKUP(Y505,Precios!$B$216:$D$307,3,FALSE))</f>
        <v>0</v>
      </c>
      <c r="AB505" s="986"/>
      <c r="AC505" s="2253">
        <f>IF(Y505=0,0,VLOOKUP(Y505,Precios!$B$216:$D$307,2,FALSE))</f>
        <v>0</v>
      </c>
      <c r="AD505" s="1067">
        <f>AB505*AC505</f>
        <v>0</v>
      </c>
      <c r="AE505" s="309"/>
      <c r="AF505" s="1074">
        <f>IF($Z505&gt;0,AF$493*$AB505,0)</f>
        <v>0</v>
      </c>
      <c r="AG505" s="1005">
        <f t="shared" si="309"/>
        <v>0</v>
      </c>
      <c r="AH505" s="1005">
        <f t="shared" si="309"/>
        <v>0</v>
      </c>
      <c r="AI505" s="1005">
        <f t="shared" si="309"/>
        <v>0</v>
      </c>
      <c r="AJ505" s="1005">
        <f t="shared" si="309"/>
        <v>0</v>
      </c>
      <c r="AK505" s="1005">
        <f t="shared" si="309"/>
        <v>0</v>
      </c>
      <c r="AL505" s="1005">
        <f t="shared" si="309"/>
        <v>0</v>
      </c>
      <c r="AM505" s="1005">
        <f t="shared" si="309"/>
        <v>0</v>
      </c>
      <c r="AN505" s="1005">
        <f t="shared" si="309"/>
        <v>0</v>
      </c>
      <c r="AO505" s="1005">
        <f t="shared" si="309"/>
        <v>0</v>
      </c>
      <c r="AP505" s="1005">
        <f t="shared" si="309"/>
        <v>0</v>
      </c>
      <c r="AQ505" s="1005">
        <f t="shared" si="309"/>
        <v>0</v>
      </c>
      <c r="AR505" s="1075">
        <f t="shared" si="310"/>
        <v>0</v>
      </c>
      <c r="AS505" s="232" t="str">
        <f>Y505&amp;"contratada"</f>
        <v>contratada</v>
      </c>
    </row>
    <row r="506" spans="1:46" ht="15.05" thickBot="1" x14ac:dyDescent="0.35">
      <c r="A506" s="205"/>
      <c r="B506" s="5044"/>
      <c r="C506" s="985">
        <f t="shared" si="313"/>
        <v>0</v>
      </c>
      <c r="D506" s="985">
        <f>IF(B506=0,0,VLOOKUP(B506,Precios!$B$216:$D$307,3,FALSE))</f>
        <v>0</v>
      </c>
      <c r="E506" s="5049"/>
      <c r="F506" s="2253">
        <f>IF(B506=0,0,VLOOKUP(B506,Precios!$B$216:$D$307,2,FALSE))</f>
        <v>0</v>
      </c>
      <c r="G506" s="1067">
        <f>E506*F506</f>
        <v>0</v>
      </c>
      <c r="H506" s="309"/>
      <c r="I506" s="1074">
        <f>IF($C506&gt;0,I$493*$E506,0)</f>
        <v>0</v>
      </c>
      <c r="J506" s="1005">
        <f t="shared" si="307"/>
        <v>0</v>
      </c>
      <c r="K506" s="1005">
        <f t="shared" si="307"/>
        <v>0</v>
      </c>
      <c r="L506" s="1005">
        <f t="shared" si="307"/>
        <v>0</v>
      </c>
      <c r="M506" s="1005">
        <f t="shared" si="307"/>
        <v>0</v>
      </c>
      <c r="N506" s="1005">
        <f t="shared" si="307"/>
        <v>0</v>
      </c>
      <c r="O506" s="1005">
        <f t="shared" si="307"/>
        <v>0</v>
      </c>
      <c r="P506" s="1005">
        <f t="shared" si="307"/>
        <v>0</v>
      </c>
      <c r="Q506" s="1005">
        <f t="shared" si="307"/>
        <v>0</v>
      </c>
      <c r="R506" s="1005">
        <f t="shared" si="307"/>
        <v>0</v>
      </c>
      <c r="S506" s="1005">
        <f t="shared" si="307"/>
        <v>0</v>
      </c>
      <c r="T506" s="1005">
        <f t="shared" si="307"/>
        <v>0</v>
      </c>
      <c r="U506" s="1075">
        <f t="shared" si="308"/>
        <v>0</v>
      </c>
      <c r="V506" s="232" t="str">
        <f>B506&amp;"contratada"</f>
        <v>contratada</v>
      </c>
      <c r="X506" s="301"/>
      <c r="Y506" s="5044"/>
      <c r="Z506" s="985">
        <f>IF(Y506=0,0,AR$493)</f>
        <v>0</v>
      </c>
      <c r="AA506" s="985">
        <f>IF(Y506=0,0,VLOOKUP(Y506,Precios!$B$216:$D$307,3,FALSE))</f>
        <v>0</v>
      </c>
      <c r="AB506" s="986"/>
      <c r="AC506" s="2253">
        <f>IF(Y506=0,0,VLOOKUP(Y506,Precios!$B$216:$D$307,2,FALSE))</f>
        <v>0</v>
      </c>
      <c r="AD506" s="1067">
        <f>AB506*AC506</f>
        <v>0</v>
      </c>
      <c r="AE506" s="309"/>
      <c r="AF506" s="1074">
        <f>IF($Z506&gt;0,AF$493*$AB506,0)</f>
        <v>0</v>
      </c>
      <c r="AG506" s="1005">
        <f t="shared" si="309"/>
        <v>0</v>
      </c>
      <c r="AH506" s="1005">
        <f t="shared" si="309"/>
        <v>0</v>
      </c>
      <c r="AI506" s="1005">
        <f t="shared" si="309"/>
        <v>0</v>
      </c>
      <c r="AJ506" s="1005">
        <f t="shared" si="309"/>
        <v>0</v>
      </c>
      <c r="AK506" s="1005">
        <f t="shared" si="309"/>
        <v>0</v>
      </c>
      <c r="AL506" s="1005">
        <f t="shared" si="309"/>
        <v>0</v>
      </c>
      <c r="AM506" s="1005">
        <f t="shared" si="309"/>
        <v>0</v>
      </c>
      <c r="AN506" s="1005">
        <f t="shared" si="309"/>
        <v>0</v>
      </c>
      <c r="AO506" s="1005">
        <f t="shared" si="309"/>
        <v>0</v>
      </c>
      <c r="AP506" s="1005">
        <f t="shared" si="309"/>
        <v>0</v>
      </c>
      <c r="AQ506" s="1005">
        <f t="shared" si="309"/>
        <v>0</v>
      </c>
      <c r="AR506" s="1075">
        <f t="shared" si="310"/>
        <v>0</v>
      </c>
      <c r="AS506" s="232" t="str">
        <f>Y506&amp;"contratada"</f>
        <v>contratada</v>
      </c>
    </row>
    <row r="507" spans="1:46" x14ac:dyDescent="0.3">
      <c r="A507" s="205"/>
      <c r="B507" s="5046"/>
      <c r="C507" s="1057">
        <f t="shared" si="313"/>
        <v>0</v>
      </c>
      <c r="D507" s="1057">
        <f>IF(B507=0,0,VLOOKUP(B507,Precios!$B$216:$D$307,3,FALSE))</f>
        <v>0</v>
      </c>
      <c r="E507" s="5050"/>
      <c r="F507" s="2254">
        <f>IF(B507=0,0,VLOOKUP(B507,Precios!$B$216:$D$307,2,FALSE))</f>
        <v>0</v>
      </c>
      <c r="G507" s="1068">
        <f>E507*F507</f>
        <v>0</v>
      </c>
      <c r="H507" s="309"/>
      <c r="I507" s="1076">
        <f>IF($C507&gt;0,I$493*$E507,0)</f>
        <v>0</v>
      </c>
      <c r="J507" s="1077">
        <f t="shared" si="307"/>
        <v>0</v>
      </c>
      <c r="K507" s="1077">
        <f t="shared" si="307"/>
        <v>0</v>
      </c>
      <c r="L507" s="1077">
        <f t="shared" si="307"/>
        <v>0</v>
      </c>
      <c r="M507" s="1077">
        <f t="shared" si="307"/>
        <v>0</v>
      </c>
      <c r="N507" s="1077">
        <f t="shared" si="307"/>
        <v>0</v>
      </c>
      <c r="O507" s="1077">
        <f t="shared" si="307"/>
        <v>0</v>
      </c>
      <c r="P507" s="1077">
        <f t="shared" si="307"/>
        <v>0</v>
      </c>
      <c r="Q507" s="1077">
        <f t="shared" si="307"/>
        <v>0</v>
      </c>
      <c r="R507" s="1077">
        <f t="shared" si="307"/>
        <v>0</v>
      </c>
      <c r="S507" s="1077">
        <f t="shared" si="307"/>
        <v>0</v>
      </c>
      <c r="T507" s="1077">
        <f t="shared" si="307"/>
        <v>0</v>
      </c>
      <c r="U507" s="1078">
        <f t="shared" si="308"/>
        <v>0</v>
      </c>
      <c r="V507" s="232" t="str">
        <f>B507&amp;"contratada"</f>
        <v>contratada</v>
      </c>
      <c r="X507" s="301"/>
      <c r="Y507" s="5046"/>
      <c r="Z507" s="1057">
        <f>IF(Y507=0,0,AR$493)</f>
        <v>0</v>
      </c>
      <c r="AA507" s="1057">
        <f>IF(Y507=0,0,VLOOKUP(Y507,Precios!$B$216:$D$307,3,FALSE))</f>
        <v>0</v>
      </c>
      <c r="AB507" s="1060"/>
      <c r="AC507" s="2254">
        <f>IF(Y507=0,0,VLOOKUP(Y507,Precios!$B$216:$D$307,2,FALSE))</f>
        <v>0</v>
      </c>
      <c r="AD507" s="1068">
        <f>AB507*AC507</f>
        <v>0</v>
      </c>
      <c r="AE507" s="309"/>
      <c r="AF507" s="1076">
        <f>IF($Z507&gt;0,AF$493*$AB507,0)</f>
        <v>0</v>
      </c>
      <c r="AG507" s="1077">
        <f t="shared" si="309"/>
        <v>0</v>
      </c>
      <c r="AH507" s="1077">
        <f t="shared" si="309"/>
        <v>0</v>
      </c>
      <c r="AI507" s="1077">
        <f t="shared" si="309"/>
        <v>0</v>
      </c>
      <c r="AJ507" s="1077">
        <f t="shared" si="309"/>
        <v>0</v>
      </c>
      <c r="AK507" s="1077">
        <f t="shared" si="309"/>
        <v>0</v>
      </c>
      <c r="AL507" s="1077">
        <f t="shared" si="309"/>
        <v>0</v>
      </c>
      <c r="AM507" s="1077">
        <f t="shared" si="309"/>
        <v>0</v>
      </c>
      <c r="AN507" s="1077">
        <f t="shared" si="309"/>
        <v>0</v>
      </c>
      <c r="AO507" s="1077">
        <f t="shared" si="309"/>
        <v>0</v>
      </c>
      <c r="AP507" s="1077">
        <f t="shared" si="309"/>
        <v>0</v>
      </c>
      <c r="AQ507" s="1077">
        <f t="shared" si="309"/>
        <v>0</v>
      </c>
      <c r="AR507" s="1078">
        <f t="shared" si="310"/>
        <v>0</v>
      </c>
      <c r="AS507" s="232" t="str">
        <f>Y507&amp;"contratada"</f>
        <v>contratada</v>
      </c>
    </row>
    <row r="508" spans="1:46" x14ac:dyDescent="0.3">
      <c r="A508" s="205"/>
      <c r="B508" s="647" t="s">
        <v>1084</v>
      </c>
      <c r="C508" s="305"/>
      <c r="D508" s="305"/>
      <c r="E508" s="305"/>
      <c r="F508" s="650"/>
      <c r="G508" s="305"/>
      <c r="H508" s="310"/>
      <c r="I508" s="904">
        <f t="shared" ref="I508:T508" si="314">+SUM(I503:I507)</f>
        <v>0</v>
      </c>
      <c r="J508" s="904">
        <f t="shared" si="314"/>
        <v>0</v>
      </c>
      <c r="K508" s="904">
        <f t="shared" si="314"/>
        <v>0</v>
      </c>
      <c r="L508" s="904">
        <f t="shared" si="314"/>
        <v>0</v>
      </c>
      <c r="M508" s="904">
        <f t="shared" si="314"/>
        <v>0</v>
      </c>
      <c r="N508" s="904">
        <f t="shared" si="314"/>
        <v>0</v>
      </c>
      <c r="O508" s="904">
        <f t="shared" si="314"/>
        <v>0</v>
      </c>
      <c r="P508" s="904">
        <f t="shared" si="314"/>
        <v>0</v>
      </c>
      <c r="Q508" s="904">
        <f t="shared" si="314"/>
        <v>0</v>
      </c>
      <c r="R508" s="904">
        <f t="shared" si="314"/>
        <v>0</v>
      </c>
      <c r="S508" s="904">
        <f t="shared" si="314"/>
        <v>0</v>
      </c>
      <c r="T508" s="904">
        <f t="shared" si="314"/>
        <v>0</v>
      </c>
      <c r="U508" s="905">
        <f>SUM(I508:T508)</f>
        <v>0</v>
      </c>
      <c r="W508" s="232" t="str">
        <f>B502&amp;B492</f>
        <v>Labores con maquinaria contratada0</v>
      </c>
      <c r="X508" s="301"/>
      <c r="Y508" s="647" t="s">
        <v>1084</v>
      </c>
      <c r="Z508" s="305"/>
      <c r="AA508" s="305"/>
      <c r="AB508" s="305"/>
      <c r="AC508" s="650"/>
      <c r="AD508" s="305"/>
      <c r="AE508" s="310"/>
      <c r="AF508" s="904">
        <f t="shared" ref="AF508:AQ508" si="315">+SUM(AF503:AF507)</f>
        <v>0</v>
      </c>
      <c r="AG508" s="904">
        <f t="shared" si="315"/>
        <v>0</v>
      </c>
      <c r="AH508" s="904">
        <f t="shared" si="315"/>
        <v>0</v>
      </c>
      <c r="AI508" s="904">
        <f t="shared" si="315"/>
        <v>0</v>
      </c>
      <c r="AJ508" s="904">
        <f t="shared" si="315"/>
        <v>0</v>
      </c>
      <c r="AK508" s="904">
        <f t="shared" si="315"/>
        <v>0</v>
      </c>
      <c r="AL508" s="904">
        <f t="shared" si="315"/>
        <v>0</v>
      </c>
      <c r="AM508" s="904">
        <f t="shared" si="315"/>
        <v>0</v>
      </c>
      <c r="AN508" s="904">
        <f t="shared" si="315"/>
        <v>0</v>
      </c>
      <c r="AO508" s="904">
        <f t="shared" si="315"/>
        <v>0</v>
      </c>
      <c r="AP508" s="904">
        <f t="shared" si="315"/>
        <v>0</v>
      </c>
      <c r="AQ508" s="904">
        <f t="shared" si="315"/>
        <v>0</v>
      </c>
      <c r="AR508" s="905">
        <f>SUM(AF508:AQ508)</f>
        <v>0</v>
      </c>
      <c r="AT508" s="232" t="str">
        <f>Y502&amp;Y492</f>
        <v>Labores con maquinaria contratada0</v>
      </c>
    </row>
    <row r="509" spans="1:46" x14ac:dyDescent="0.2">
      <c r="A509" s="205"/>
      <c r="B509" s="197" t="s">
        <v>85</v>
      </c>
      <c r="C509" s="307"/>
      <c r="D509" s="307"/>
      <c r="E509" s="308"/>
      <c r="F509" s="651"/>
      <c r="G509" s="308"/>
      <c r="H509" s="308"/>
      <c r="I509" s="311"/>
      <c r="J509" s="311"/>
      <c r="K509" s="311"/>
      <c r="L509" s="311"/>
      <c r="M509" s="311"/>
      <c r="N509" s="311"/>
      <c r="O509" s="311"/>
      <c r="P509" s="311"/>
      <c r="Q509" s="311"/>
      <c r="R509" s="311"/>
      <c r="S509" s="311"/>
      <c r="T509" s="311"/>
      <c r="U509" s="646"/>
      <c r="X509" s="301"/>
      <c r="Y509" s="197" t="s">
        <v>85</v>
      </c>
      <c r="Z509" s="307"/>
      <c r="AA509" s="307"/>
      <c r="AB509" s="308"/>
      <c r="AC509" s="651"/>
      <c r="AD509" s="308"/>
      <c r="AE509" s="308"/>
      <c r="AF509" s="311"/>
      <c r="AG509" s="311"/>
      <c r="AH509" s="311"/>
      <c r="AI509" s="311"/>
      <c r="AJ509" s="311"/>
      <c r="AK509" s="311"/>
      <c r="AL509" s="311"/>
      <c r="AM509" s="311"/>
      <c r="AN509" s="311"/>
      <c r="AO509" s="311"/>
      <c r="AP509" s="311"/>
      <c r="AQ509" s="311"/>
      <c r="AR509" s="646"/>
    </row>
    <row r="510" spans="1:46" ht="15.05" thickBot="1" x14ac:dyDescent="0.35">
      <c r="A510" s="205"/>
      <c r="B510" s="5042"/>
      <c r="C510" s="1056">
        <f t="shared" si="313"/>
        <v>0</v>
      </c>
      <c r="D510" s="1056">
        <f>IF(B510=0,0,VLOOKUP(B510,Precios!$B$216:$D$307,3,FALSE))</f>
        <v>0</v>
      </c>
      <c r="E510" s="5048"/>
      <c r="F510" s="1062">
        <f>IF(B510=0,0,VLOOKUP(B510,Precios!$B$216:$D$307,2,FALSE))</f>
        <v>0</v>
      </c>
      <c r="G510" s="1066">
        <f t="shared" ref="G510:G517" si="316">E510*F510</f>
        <v>0</v>
      </c>
      <c r="H510" s="309"/>
      <c r="I510" s="1072">
        <f>IF($C510&gt;0,I$493*$E510,0)</f>
        <v>0</v>
      </c>
      <c r="J510" s="1033">
        <f t="shared" si="307"/>
        <v>0</v>
      </c>
      <c r="K510" s="1033">
        <f t="shared" si="307"/>
        <v>0</v>
      </c>
      <c r="L510" s="1033">
        <f t="shared" si="307"/>
        <v>0</v>
      </c>
      <c r="M510" s="1033">
        <f t="shared" si="307"/>
        <v>0</v>
      </c>
      <c r="N510" s="1033">
        <f t="shared" si="307"/>
        <v>0</v>
      </c>
      <c r="O510" s="1033">
        <f t="shared" si="307"/>
        <v>0</v>
      </c>
      <c r="P510" s="1033">
        <f t="shared" si="307"/>
        <v>0</v>
      </c>
      <c r="Q510" s="1033">
        <f t="shared" si="307"/>
        <v>0</v>
      </c>
      <c r="R510" s="1033">
        <f t="shared" si="307"/>
        <v>0</v>
      </c>
      <c r="S510" s="1033">
        <f t="shared" si="307"/>
        <v>0</v>
      </c>
      <c r="T510" s="1033">
        <f t="shared" si="307"/>
        <v>0</v>
      </c>
      <c r="U510" s="1073">
        <f t="shared" si="308"/>
        <v>0</v>
      </c>
      <c r="X510" s="301"/>
      <c r="Y510" s="5042"/>
      <c r="Z510" s="1056">
        <f>IF(Y510=0,0,AR$493)</f>
        <v>0</v>
      </c>
      <c r="AA510" s="1056">
        <f>IF(Y510=0,0,VLOOKUP(Y510,Precios!$B$216:$D$307,3,FALSE))</f>
        <v>0</v>
      </c>
      <c r="AB510" s="1058"/>
      <c r="AC510" s="1062">
        <f>IF(Y510=0,0,VLOOKUP(Y510,Precios!$B$216:$D$307,2,FALSE))</f>
        <v>0</v>
      </c>
      <c r="AD510" s="1066">
        <f t="shared" ref="AD510:AD517" si="317">AB510*AC510</f>
        <v>0</v>
      </c>
      <c r="AE510" s="309"/>
      <c r="AF510" s="1072">
        <f>IF($Z510&gt;0,AF$493*$AB510,0)</f>
        <v>0</v>
      </c>
      <c r="AG510" s="1033">
        <f t="shared" si="309"/>
        <v>0</v>
      </c>
      <c r="AH510" s="1033">
        <f t="shared" si="309"/>
        <v>0</v>
      </c>
      <c r="AI510" s="1033">
        <f t="shared" si="309"/>
        <v>0</v>
      </c>
      <c r="AJ510" s="1033">
        <f t="shared" si="309"/>
        <v>0</v>
      </c>
      <c r="AK510" s="1033">
        <f t="shared" si="309"/>
        <v>0</v>
      </c>
      <c r="AL510" s="1033">
        <f t="shared" si="309"/>
        <v>0</v>
      </c>
      <c r="AM510" s="1033">
        <f t="shared" si="309"/>
        <v>0</v>
      </c>
      <c r="AN510" s="1033">
        <f t="shared" si="309"/>
        <v>0</v>
      </c>
      <c r="AO510" s="1033">
        <f t="shared" si="309"/>
        <v>0</v>
      </c>
      <c r="AP510" s="1033">
        <f t="shared" si="309"/>
        <v>0</v>
      </c>
      <c r="AQ510" s="1033">
        <f t="shared" si="309"/>
        <v>0</v>
      </c>
      <c r="AR510" s="1073">
        <f t="shared" si="310"/>
        <v>0</v>
      </c>
    </row>
    <row r="511" spans="1:46" ht="15.05" thickBot="1" x14ac:dyDescent="0.35">
      <c r="A511" s="205"/>
      <c r="B511" s="5044"/>
      <c r="C511" s="985">
        <f t="shared" si="313"/>
        <v>0</v>
      </c>
      <c r="D511" s="985">
        <f>IF(B511=0,0,VLOOKUP(B511,Precios!$B$216:$D$307,3,FALSE))</f>
        <v>0</v>
      </c>
      <c r="E511" s="5049"/>
      <c r="F511" s="1059">
        <f>IF(B511=0,0,VLOOKUP(B511,Precios!$B$216:$D$307,2,FALSE))</f>
        <v>0</v>
      </c>
      <c r="G511" s="1067">
        <f t="shared" si="316"/>
        <v>0</v>
      </c>
      <c r="H511" s="309"/>
      <c r="I511" s="1074">
        <f t="shared" ref="I511:T527" si="318">IF($C511&gt;0,I$493*$E511,0)</f>
        <v>0</v>
      </c>
      <c r="J511" s="1005">
        <f t="shared" si="307"/>
        <v>0</v>
      </c>
      <c r="K511" s="1005">
        <f t="shared" si="307"/>
        <v>0</v>
      </c>
      <c r="L511" s="1005">
        <f t="shared" si="307"/>
        <v>0</v>
      </c>
      <c r="M511" s="1005">
        <f t="shared" si="307"/>
        <v>0</v>
      </c>
      <c r="N511" s="1005">
        <f t="shared" si="307"/>
        <v>0</v>
      </c>
      <c r="O511" s="1005">
        <f t="shared" si="307"/>
        <v>0</v>
      </c>
      <c r="P511" s="1005">
        <f t="shared" si="307"/>
        <v>0</v>
      </c>
      <c r="Q511" s="1005">
        <f t="shared" si="307"/>
        <v>0</v>
      </c>
      <c r="R511" s="1005">
        <f t="shared" si="307"/>
        <v>0</v>
      </c>
      <c r="S511" s="1005">
        <f t="shared" si="307"/>
        <v>0</v>
      </c>
      <c r="T511" s="1005">
        <f t="shared" si="307"/>
        <v>0</v>
      </c>
      <c r="U511" s="1075">
        <f t="shared" si="308"/>
        <v>0</v>
      </c>
      <c r="X511" s="301"/>
      <c r="Y511" s="5044"/>
      <c r="Z511" s="985">
        <f t="shared" ref="Z511:Z527" si="319">IF(Y511=0,0,AR$493)</f>
        <v>0</v>
      </c>
      <c r="AA511" s="985">
        <f>IF(Y511=0,0,VLOOKUP(Y511,Precios!$B$216:$D$307,3,FALSE))</f>
        <v>0</v>
      </c>
      <c r="AB511" s="986"/>
      <c r="AC511" s="1059">
        <f>IF(Y511=0,0,VLOOKUP(Y511,Precios!$B$216:$D$307,2,FALSE))</f>
        <v>0</v>
      </c>
      <c r="AD511" s="1067">
        <f t="shared" si="317"/>
        <v>0</v>
      </c>
      <c r="AE511" s="309"/>
      <c r="AF511" s="1074">
        <f t="shared" ref="AF511:AQ527" si="320">IF($Z511&gt;0,AF$493*$AB511,0)</f>
        <v>0</v>
      </c>
      <c r="AG511" s="1005">
        <f t="shared" si="309"/>
        <v>0</v>
      </c>
      <c r="AH511" s="1005">
        <f t="shared" si="309"/>
        <v>0</v>
      </c>
      <c r="AI511" s="1005">
        <f t="shared" si="309"/>
        <v>0</v>
      </c>
      <c r="AJ511" s="1005">
        <f t="shared" si="309"/>
        <v>0</v>
      </c>
      <c r="AK511" s="1005">
        <f t="shared" si="309"/>
        <v>0</v>
      </c>
      <c r="AL511" s="1005">
        <f t="shared" si="309"/>
        <v>0</v>
      </c>
      <c r="AM511" s="1005">
        <f t="shared" si="309"/>
        <v>0</v>
      </c>
      <c r="AN511" s="1005">
        <f t="shared" si="309"/>
        <v>0</v>
      </c>
      <c r="AO511" s="1005">
        <f t="shared" si="309"/>
        <v>0</v>
      </c>
      <c r="AP511" s="1005">
        <f t="shared" si="309"/>
        <v>0</v>
      </c>
      <c r="AQ511" s="1005">
        <f t="shared" si="309"/>
        <v>0</v>
      </c>
      <c r="AR511" s="1075">
        <f t="shared" si="310"/>
        <v>0</v>
      </c>
    </row>
    <row r="512" spans="1:46" ht="15.05" thickBot="1" x14ac:dyDescent="0.35">
      <c r="A512" s="205"/>
      <c r="B512" s="5044"/>
      <c r="C512" s="985">
        <f t="shared" si="313"/>
        <v>0</v>
      </c>
      <c r="D512" s="985">
        <f>IF(B512=0,0,VLOOKUP(B512,Precios!$B$216:$D$307,3,FALSE))</f>
        <v>0</v>
      </c>
      <c r="E512" s="5049"/>
      <c r="F512" s="1059">
        <f>IF(B512=0,0,VLOOKUP(B512,Precios!$B$216:$D$307,2,FALSE))</f>
        <v>0</v>
      </c>
      <c r="G512" s="1067">
        <f t="shared" si="316"/>
        <v>0</v>
      </c>
      <c r="H512" s="309"/>
      <c r="I512" s="1074">
        <f t="shared" si="318"/>
        <v>0</v>
      </c>
      <c r="J512" s="1005">
        <f t="shared" si="307"/>
        <v>0</v>
      </c>
      <c r="K512" s="1005">
        <f t="shared" si="307"/>
        <v>0</v>
      </c>
      <c r="L512" s="1005">
        <f t="shared" si="307"/>
        <v>0</v>
      </c>
      <c r="M512" s="1005">
        <f t="shared" si="307"/>
        <v>0</v>
      </c>
      <c r="N512" s="1005">
        <f t="shared" si="307"/>
        <v>0</v>
      </c>
      <c r="O512" s="1005">
        <f t="shared" si="307"/>
        <v>0</v>
      </c>
      <c r="P512" s="1005">
        <f t="shared" si="307"/>
        <v>0</v>
      </c>
      <c r="Q512" s="1005">
        <f t="shared" si="307"/>
        <v>0</v>
      </c>
      <c r="R512" s="1005">
        <f t="shared" si="307"/>
        <v>0</v>
      </c>
      <c r="S512" s="1005">
        <f t="shared" si="307"/>
        <v>0</v>
      </c>
      <c r="T512" s="1005">
        <f t="shared" si="307"/>
        <v>0</v>
      </c>
      <c r="U512" s="1075">
        <f t="shared" si="308"/>
        <v>0</v>
      </c>
      <c r="X512" s="301"/>
      <c r="Y512" s="5044"/>
      <c r="Z512" s="985">
        <f t="shared" si="319"/>
        <v>0</v>
      </c>
      <c r="AA512" s="985">
        <f>IF(Y512=0,0,VLOOKUP(Y512,Precios!$B$216:$D$307,3,FALSE))</f>
        <v>0</v>
      </c>
      <c r="AB512" s="986"/>
      <c r="AC512" s="1059">
        <f>IF(Y512=0,0,VLOOKUP(Y512,Precios!$B$216:$D$307,2,FALSE))</f>
        <v>0</v>
      </c>
      <c r="AD512" s="1067">
        <f t="shared" si="317"/>
        <v>0</v>
      </c>
      <c r="AE512" s="309"/>
      <c r="AF512" s="1074">
        <f t="shared" si="320"/>
        <v>0</v>
      </c>
      <c r="AG512" s="1005">
        <f t="shared" si="309"/>
        <v>0</v>
      </c>
      <c r="AH512" s="1005">
        <f t="shared" si="309"/>
        <v>0</v>
      </c>
      <c r="AI512" s="1005">
        <f t="shared" si="309"/>
        <v>0</v>
      </c>
      <c r="AJ512" s="1005">
        <f t="shared" si="309"/>
        <v>0</v>
      </c>
      <c r="AK512" s="1005">
        <f t="shared" si="309"/>
        <v>0</v>
      </c>
      <c r="AL512" s="1005">
        <f t="shared" si="309"/>
        <v>0</v>
      </c>
      <c r="AM512" s="1005">
        <f t="shared" si="309"/>
        <v>0</v>
      </c>
      <c r="AN512" s="1005">
        <f t="shared" si="309"/>
        <v>0</v>
      </c>
      <c r="AO512" s="1005">
        <f t="shared" si="309"/>
        <v>0</v>
      </c>
      <c r="AP512" s="1005">
        <f t="shared" si="309"/>
        <v>0</v>
      </c>
      <c r="AQ512" s="1005">
        <f t="shared" si="309"/>
        <v>0</v>
      </c>
      <c r="AR512" s="1075">
        <f t="shared" si="310"/>
        <v>0</v>
      </c>
    </row>
    <row r="513" spans="1:46" ht="15.05" thickBot="1" x14ac:dyDescent="0.35">
      <c r="A513" s="205"/>
      <c r="B513" s="5044"/>
      <c r="C513" s="985">
        <f t="shared" si="313"/>
        <v>0</v>
      </c>
      <c r="D513" s="985">
        <f>IF(B513=0,0,VLOOKUP(B513,Precios!$B$216:$D$307,3,FALSE))</f>
        <v>0</v>
      </c>
      <c r="E513" s="5049"/>
      <c r="F513" s="1059">
        <f>IF(B513=0,0,VLOOKUP(B513,Precios!$B$216:$D$307,2,FALSE))</f>
        <v>0</v>
      </c>
      <c r="G513" s="1067">
        <f t="shared" si="316"/>
        <v>0</v>
      </c>
      <c r="H513" s="309"/>
      <c r="I513" s="1074">
        <f t="shared" si="318"/>
        <v>0</v>
      </c>
      <c r="J513" s="1005">
        <f t="shared" si="307"/>
        <v>0</v>
      </c>
      <c r="K513" s="1005">
        <f t="shared" si="307"/>
        <v>0</v>
      </c>
      <c r="L513" s="1005">
        <f t="shared" si="307"/>
        <v>0</v>
      </c>
      <c r="M513" s="1005">
        <f t="shared" si="307"/>
        <v>0</v>
      </c>
      <c r="N513" s="1005">
        <f t="shared" si="307"/>
        <v>0</v>
      </c>
      <c r="O513" s="1005">
        <f t="shared" si="307"/>
        <v>0</v>
      </c>
      <c r="P513" s="1005">
        <f t="shared" si="307"/>
        <v>0</v>
      </c>
      <c r="Q513" s="1005">
        <f t="shared" si="307"/>
        <v>0</v>
      </c>
      <c r="R513" s="1005">
        <f t="shared" si="307"/>
        <v>0</v>
      </c>
      <c r="S513" s="1005">
        <f t="shared" si="307"/>
        <v>0</v>
      </c>
      <c r="T513" s="1005">
        <f t="shared" si="307"/>
        <v>0</v>
      </c>
      <c r="U513" s="1075">
        <f t="shared" si="308"/>
        <v>0</v>
      </c>
      <c r="X513" s="301"/>
      <c r="Y513" s="5044"/>
      <c r="Z513" s="985">
        <f t="shared" si="319"/>
        <v>0</v>
      </c>
      <c r="AA513" s="985">
        <f>IF(Y513=0,0,VLOOKUP(Y513,Precios!$B$216:$D$307,3,FALSE))</f>
        <v>0</v>
      </c>
      <c r="AB513" s="986"/>
      <c r="AC513" s="1059">
        <f>IF(Y513=0,0,VLOOKUP(Y513,Precios!$B$216:$D$307,2,FALSE))</f>
        <v>0</v>
      </c>
      <c r="AD513" s="1067">
        <f t="shared" si="317"/>
        <v>0</v>
      </c>
      <c r="AE513" s="309"/>
      <c r="AF513" s="1074">
        <f t="shared" si="320"/>
        <v>0</v>
      </c>
      <c r="AG513" s="1005">
        <f t="shared" si="309"/>
        <v>0</v>
      </c>
      <c r="AH513" s="1005">
        <f t="shared" si="309"/>
        <v>0</v>
      </c>
      <c r="AI513" s="1005">
        <f t="shared" si="309"/>
        <v>0</v>
      </c>
      <c r="AJ513" s="1005">
        <f t="shared" si="309"/>
        <v>0</v>
      </c>
      <c r="AK513" s="1005">
        <f t="shared" si="309"/>
        <v>0</v>
      </c>
      <c r="AL513" s="1005">
        <f t="shared" si="309"/>
        <v>0</v>
      </c>
      <c r="AM513" s="1005">
        <f t="shared" si="309"/>
        <v>0</v>
      </c>
      <c r="AN513" s="1005">
        <f t="shared" si="309"/>
        <v>0</v>
      </c>
      <c r="AO513" s="1005">
        <f t="shared" si="309"/>
        <v>0</v>
      </c>
      <c r="AP513" s="1005">
        <f t="shared" si="309"/>
        <v>0</v>
      </c>
      <c r="AQ513" s="1005">
        <f t="shared" si="309"/>
        <v>0</v>
      </c>
      <c r="AR513" s="1075">
        <f t="shared" si="310"/>
        <v>0</v>
      </c>
    </row>
    <row r="514" spans="1:46" ht="15.05" thickBot="1" x14ac:dyDescent="0.35">
      <c r="A514" s="205"/>
      <c r="B514" s="5044"/>
      <c r="C514" s="985">
        <f t="shared" si="313"/>
        <v>0</v>
      </c>
      <c r="D514" s="985">
        <f>IF(B514=0,0,VLOOKUP(B514,Precios!$B$216:$D$307,3,FALSE))</f>
        <v>0</v>
      </c>
      <c r="E514" s="5049"/>
      <c r="F514" s="1059">
        <f>IF(B514=0,0,VLOOKUP(B514,Precios!$B$216:$D$307,2,FALSE))</f>
        <v>0</v>
      </c>
      <c r="G514" s="1067">
        <f t="shared" si="316"/>
        <v>0</v>
      </c>
      <c r="H514" s="309"/>
      <c r="I514" s="1074">
        <f t="shared" si="318"/>
        <v>0</v>
      </c>
      <c r="J514" s="1005">
        <f t="shared" si="307"/>
        <v>0</v>
      </c>
      <c r="K514" s="1005">
        <f t="shared" si="307"/>
        <v>0</v>
      </c>
      <c r="L514" s="1005">
        <f t="shared" si="307"/>
        <v>0</v>
      </c>
      <c r="M514" s="1005">
        <f t="shared" si="307"/>
        <v>0</v>
      </c>
      <c r="N514" s="1005">
        <f t="shared" si="307"/>
        <v>0</v>
      </c>
      <c r="O514" s="1005">
        <f t="shared" si="307"/>
        <v>0</v>
      </c>
      <c r="P514" s="1005">
        <f t="shared" si="307"/>
        <v>0</v>
      </c>
      <c r="Q514" s="1005">
        <f t="shared" si="307"/>
        <v>0</v>
      </c>
      <c r="R514" s="1005">
        <f t="shared" si="307"/>
        <v>0</v>
      </c>
      <c r="S514" s="1005">
        <f t="shared" si="307"/>
        <v>0</v>
      </c>
      <c r="T514" s="1005">
        <f t="shared" si="307"/>
        <v>0</v>
      </c>
      <c r="U514" s="1075">
        <f t="shared" si="308"/>
        <v>0</v>
      </c>
      <c r="X514" s="301"/>
      <c r="Y514" s="5044"/>
      <c r="Z514" s="985">
        <f t="shared" si="319"/>
        <v>0</v>
      </c>
      <c r="AA514" s="985">
        <f>IF(Y514=0,0,VLOOKUP(Y514,Precios!$B$216:$D$307,3,FALSE))</f>
        <v>0</v>
      </c>
      <c r="AB514" s="986"/>
      <c r="AC514" s="1059">
        <f>IF(Y514=0,0,VLOOKUP(Y514,Precios!$B$216:$D$307,2,FALSE))</f>
        <v>0</v>
      </c>
      <c r="AD514" s="1067">
        <f t="shared" si="317"/>
        <v>0</v>
      </c>
      <c r="AE514" s="309"/>
      <c r="AF514" s="1074">
        <f t="shared" si="320"/>
        <v>0</v>
      </c>
      <c r="AG514" s="1005">
        <f t="shared" si="320"/>
        <v>0</v>
      </c>
      <c r="AH514" s="1005">
        <f t="shared" si="320"/>
        <v>0</v>
      </c>
      <c r="AI514" s="1005">
        <f t="shared" si="320"/>
        <v>0</v>
      </c>
      <c r="AJ514" s="1005">
        <f t="shared" si="320"/>
        <v>0</v>
      </c>
      <c r="AK514" s="1005">
        <f t="shared" si="320"/>
        <v>0</v>
      </c>
      <c r="AL514" s="1005">
        <f t="shared" si="320"/>
        <v>0</v>
      </c>
      <c r="AM514" s="1005">
        <f t="shared" si="320"/>
        <v>0</v>
      </c>
      <c r="AN514" s="1005">
        <f t="shared" si="320"/>
        <v>0</v>
      </c>
      <c r="AO514" s="1005">
        <f t="shared" si="320"/>
        <v>0</v>
      </c>
      <c r="AP514" s="1005">
        <f t="shared" si="320"/>
        <v>0</v>
      </c>
      <c r="AQ514" s="1005">
        <f t="shared" si="320"/>
        <v>0</v>
      </c>
      <c r="AR514" s="1075">
        <f t="shared" si="310"/>
        <v>0</v>
      </c>
    </row>
    <row r="515" spans="1:46" ht="15.05" thickBot="1" x14ac:dyDescent="0.35">
      <c r="A515" s="205"/>
      <c r="B515" s="5044"/>
      <c r="C515" s="985">
        <f t="shared" si="313"/>
        <v>0</v>
      </c>
      <c r="D515" s="985">
        <f>IF(B515=0,0,VLOOKUP(B515,Precios!$B$216:$D$307,3,FALSE))</f>
        <v>0</v>
      </c>
      <c r="E515" s="5049"/>
      <c r="F515" s="1059">
        <f>IF(B515=0,0,VLOOKUP(B515,Precios!$B$216:$D$307,2,FALSE))</f>
        <v>0</v>
      </c>
      <c r="G515" s="1067">
        <f t="shared" si="316"/>
        <v>0</v>
      </c>
      <c r="H515" s="309"/>
      <c r="I515" s="1074">
        <f t="shared" si="318"/>
        <v>0</v>
      </c>
      <c r="J515" s="1005">
        <f t="shared" si="318"/>
        <v>0</v>
      </c>
      <c r="K515" s="1005">
        <f t="shared" si="318"/>
        <v>0</v>
      </c>
      <c r="L515" s="1005">
        <f t="shared" si="318"/>
        <v>0</v>
      </c>
      <c r="M515" s="1005">
        <f t="shared" si="318"/>
        <v>0</v>
      </c>
      <c r="N515" s="1005">
        <f t="shared" si="318"/>
        <v>0</v>
      </c>
      <c r="O515" s="1005">
        <f t="shared" si="318"/>
        <v>0</v>
      </c>
      <c r="P515" s="1005">
        <f t="shared" si="318"/>
        <v>0</v>
      </c>
      <c r="Q515" s="1005">
        <f t="shared" si="318"/>
        <v>0</v>
      </c>
      <c r="R515" s="1005">
        <f t="shared" si="318"/>
        <v>0</v>
      </c>
      <c r="S515" s="1005">
        <f t="shared" si="318"/>
        <v>0</v>
      </c>
      <c r="T515" s="1005">
        <f t="shared" si="318"/>
        <v>0</v>
      </c>
      <c r="U515" s="1075">
        <f t="shared" si="308"/>
        <v>0</v>
      </c>
      <c r="X515" s="301"/>
      <c r="Y515" s="5044"/>
      <c r="Z515" s="985">
        <f t="shared" si="319"/>
        <v>0</v>
      </c>
      <c r="AA515" s="985">
        <f>IF(Y515=0,0,VLOOKUP(Y515,Precios!$B$216:$D$307,3,FALSE))</f>
        <v>0</v>
      </c>
      <c r="AB515" s="986"/>
      <c r="AC515" s="1059">
        <f>IF(Y515=0,0,VLOOKUP(Y515,Precios!$B$216:$D$307,2,FALSE))</f>
        <v>0</v>
      </c>
      <c r="AD515" s="1067">
        <f t="shared" si="317"/>
        <v>0</v>
      </c>
      <c r="AE515" s="309"/>
      <c r="AF515" s="1074">
        <f t="shared" si="320"/>
        <v>0</v>
      </c>
      <c r="AG515" s="1005">
        <f t="shared" si="320"/>
        <v>0</v>
      </c>
      <c r="AH515" s="1005">
        <f t="shared" si="320"/>
        <v>0</v>
      </c>
      <c r="AI515" s="1005">
        <f t="shared" si="320"/>
        <v>0</v>
      </c>
      <c r="AJ515" s="1005">
        <f t="shared" si="320"/>
        <v>0</v>
      </c>
      <c r="AK515" s="1005">
        <f t="shared" si="320"/>
        <v>0</v>
      </c>
      <c r="AL515" s="1005">
        <f t="shared" si="320"/>
        <v>0</v>
      </c>
      <c r="AM515" s="1005">
        <f t="shared" si="320"/>
        <v>0</v>
      </c>
      <c r="AN515" s="1005">
        <f t="shared" si="320"/>
        <v>0</v>
      </c>
      <c r="AO515" s="1005">
        <f t="shared" si="320"/>
        <v>0</v>
      </c>
      <c r="AP515" s="1005">
        <f t="shared" si="320"/>
        <v>0</v>
      </c>
      <c r="AQ515" s="1005">
        <f t="shared" si="320"/>
        <v>0</v>
      </c>
      <c r="AR515" s="1075">
        <f t="shared" ref="AR515:AR528" si="321">SUM(AF515:AQ515)</f>
        <v>0</v>
      </c>
    </row>
    <row r="516" spans="1:46" ht="15.05" thickBot="1" x14ac:dyDescent="0.35">
      <c r="A516" s="205"/>
      <c r="B516" s="5044"/>
      <c r="C516" s="985">
        <f t="shared" si="313"/>
        <v>0</v>
      </c>
      <c r="D516" s="985">
        <f>IF(B516=0,0,VLOOKUP(B516,Precios!$B$216:$D$307,3,FALSE))</f>
        <v>0</v>
      </c>
      <c r="E516" s="5049"/>
      <c r="F516" s="1059">
        <f>IF(B516=0,0,VLOOKUP(B516,Precios!$B$216:$D$307,2,FALSE))</f>
        <v>0</v>
      </c>
      <c r="G516" s="1067">
        <f t="shared" si="316"/>
        <v>0</v>
      </c>
      <c r="H516" s="309"/>
      <c r="I516" s="1074">
        <f t="shared" si="318"/>
        <v>0</v>
      </c>
      <c r="J516" s="1005">
        <f t="shared" si="318"/>
        <v>0</v>
      </c>
      <c r="K516" s="1005">
        <f t="shared" si="318"/>
        <v>0</v>
      </c>
      <c r="L516" s="1005">
        <f t="shared" si="318"/>
        <v>0</v>
      </c>
      <c r="M516" s="1005">
        <f t="shared" si="318"/>
        <v>0</v>
      </c>
      <c r="N516" s="1005">
        <f t="shared" si="318"/>
        <v>0</v>
      </c>
      <c r="O516" s="1005">
        <f t="shared" si="318"/>
        <v>0</v>
      </c>
      <c r="P516" s="1005">
        <f t="shared" si="318"/>
        <v>0</v>
      </c>
      <c r="Q516" s="1005">
        <f t="shared" si="318"/>
        <v>0</v>
      </c>
      <c r="R516" s="1005">
        <f t="shared" si="318"/>
        <v>0</v>
      </c>
      <c r="S516" s="1005">
        <f t="shared" si="318"/>
        <v>0</v>
      </c>
      <c r="T516" s="1005">
        <f t="shared" si="318"/>
        <v>0</v>
      </c>
      <c r="U516" s="1075">
        <f t="shared" si="308"/>
        <v>0</v>
      </c>
      <c r="X516" s="301"/>
      <c r="Y516" s="5044"/>
      <c r="Z516" s="985">
        <f t="shared" si="319"/>
        <v>0</v>
      </c>
      <c r="AA516" s="985">
        <f>IF(Y516=0,0,VLOOKUP(Y516,Precios!$B$216:$D$307,3,FALSE))</f>
        <v>0</v>
      </c>
      <c r="AB516" s="986"/>
      <c r="AC516" s="1059">
        <f>IF(Y516=0,0,VLOOKUP(Y516,Precios!$B$216:$D$307,2,FALSE))</f>
        <v>0</v>
      </c>
      <c r="AD516" s="1067">
        <f t="shared" si="317"/>
        <v>0</v>
      </c>
      <c r="AE516" s="309"/>
      <c r="AF516" s="1074">
        <f t="shared" si="320"/>
        <v>0</v>
      </c>
      <c r="AG516" s="1005">
        <f t="shared" si="320"/>
        <v>0</v>
      </c>
      <c r="AH516" s="1005">
        <f t="shared" si="320"/>
        <v>0</v>
      </c>
      <c r="AI516" s="1005">
        <f t="shared" si="320"/>
        <v>0</v>
      </c>
      <c r="AJ516" s="1005">
        <f t="shared" si="320"/>
        <v>0</v>
      </c>
      <c r="AK516" s="1005">
        <f t="shared" si="320"/>
        <v>0</v>
      </c>
      <c r="AL516" s="1005">
        <f t="shared" si="320"/>
        <v>0</v>
      </c>
      <c r="AM516" s="1005">
        <f t="shared" si="320"/>
        <v>0</v>
      </c>
      <c r="AN516" s="1005">
        <f t="shared" si="320"/>
        <v>0</v>
      </c>
      <c r="AO516" s="1005">
        <f t="shared" si="320"/>
        <v>0</v>
      </c>
      <c r="AP516" s="1005">
        <f t="shared" si="320"/>
        <v>0</v>
      </c>
      <c r="AQ516" s="1005">
        <f t="shared" si="320"/>
        <v>0</v>
      </c>
      <c r="AR516" s="1075">
        <f t="shared" si="321"/>
        <v>0</v>
      </c>
    </row>
    <row r="517" spans="1:46" x14ac:dyDescent="0.3">
      <c r="A517" s="205"/>
      <c r="B517" s="5046"/>
      <c r="C517" s="1057">
        <f t="shared" si="313"/>
        <v>0</v>
      </c>
      <c r="D517" s="1057">
        <f>IF(B517=0,0,VLOOKUP(B517,Precios!$B$216:$D$307,3,FALSE))</f>
        <v>0</v>
      </c>
      <c r="E517" s="5050"/>
      <c r="F517" s="1061">
        <f>IF(B517=0,0,VLOOKUP(B517,Precios!$B$216:$D$307,2,FALSE))</f>
        <v>0</v>
      </c>
      <c r="G517" s="1068">
        <f t="shared" si="316"/>
        <v>0</v>
      </c>
      <c r="H517" s="309"/>
      <c r="I517" s="1076">
        <f t="shared" si="318"/>
        <v>0</v>
      </c>
      <c r="J517" s="1077">
        <f t="shared" si="318"/>
        <v>0</v>
      </c>
      <c r="K517" s="1077">
        <f t="shared" si="318"/>
        <v>0</v>
      </c>
      <c r="L517" s="1077">
        <f t="shared" si="318"/>
        <v>0</v>
      </c>
      <c r="M517" s="1077">
        <f t="shared" si="318"/>
        <v>0</v>
      </c>
      <c r="N517" s="1077">
        <f t="shared" si="318"/>
        <v>0</v>
      </c>
      <c r="O517" s="1077">
        <f t="shared" si="318"/>
        <v>0</v>
      </c>
      <c r="P517" s="1077">
        <f t="shared" si="318"/>
        <v>0</v>
      </c>
      <c r="Q517" s="1077">
        <f t="shared" si="318"/>
        <v>0</v>
      </c>
      <c r="R517" s="1077">
        <f t="shared" si="318"/>
        <v>0</v>
      </c>
      <c r="S517" s="1077">
        <f t="shared" si="318"/>
        <v>0</v>
      </c>
      <c r="T517" s="1077">
        <f t="shared" si="318"/>
        <v>0</v>
      </c>
      <c r="U517" s="1078">
        <f t="shared" si="308"/>
        <v>0</v>
      </c>
      <c r="X517" s="301"/>
      <c r="Y517" s="5046"/>
      <c r="Z517" s="1057">
        <f t="shared" si="319"/>
        <v>0</v>
      </c>
      <c r="AA517" s="1057">
        <f>IF(Y517=0,0,VLOOKUP(Y517,Precios!$B$216:$D$307,3,FALSE))</f>
        <v>0</v>
      </c>
      <c r="AB517" s="1060"/>
      <c r="AC517" s="1061">
        <f>IF(Y517=0,0,VLOOKUP(Y517,Precios!$B$216:$D$307,2,FALSE))</f>
        <v>0</v>
      </c>
      <c r="AD517" s="1068">
        <f t="shared" si="317"/>
        <v>0</v>
      </c>
      <c r="AE517" s="309"/>
      <c r="AF517" s="1076">
        <f t="shared" si="320"/>
        <v>0</v>
      </c>
      <c r="AG517" s="1077">
        <f t="shared" si="320"/>
        <v>0</v>
      </c>
      <c r="AH517" s="1077">
        <f t="shared" si="320"/>
        <v>0</v>
      </c>
      <c r="AI517" s="1077">
        <f t="shared" si="320"/>
        <v>0</v>
      </c>
      <c r="AJ517" s="1077">
        <f t="shared" si="320"/>
        <v>0</v>
      </c>
      <c r="AK517" s="1077">
        <f t="shared" si="320"/>
        <v>0</v>
      </c>
      <c r="AL517" s="1077">
        <f t="shared" si="320"/>
        <v>0</v>
      </c>
      <c r="AM517" s="1077">
        <f t="shared" si="320"/>
        <v>0</v>
      </c>
      <c r="AN517" s="1077">
        <f t="shared" si="320"/>
        <v>0</v>
      </c>
      <c r="AO517" s="1077">
        <f t="shared" si="320"/>
        <v>0</v>
      </c>
      <c r="AP517" s="1077">
        <f t="shared" si="320"/>
        <v>0</v>
      </c>
      <c r="AQ517" s="1077">
        <f t="shared" si="320"/>
        <v>0</v>
      </c>
      <c r="AR517" s="1078">
        <f t="shared" si="321"/>
        <v>0</v>
      </c>
    </row>
    <row r="518" spans="1:46" x14ac:dyDescent="0.3">
      <c r="A518" s="205"/>
      <c r="B518" s="647" t="s">
        <v>1085</v>
      </c>
      <c r="C518" s="305"/>
      <c r="D518" s="305"/>
      <c r="E518" s="305"/>
      <c r="F518" s="650"/>
      <c r="G518" s="305"/>
      <c r="H518" s="310"/>
      <c r="I518" s="904">
        <f t="shared" ref="I518:T518" si="322">+SUM(I510:I517)</f>
        <v>0</v>
      </c>
      <c r="J518" s="904">
        <f t="shared" si="322"/>
        <v>0</v>
      </c>
      <c r="K518" s="904">
        <f t="shared" si="322"/>
        <v>0</v>
      </c>
      <c r="L518" s="904">
        <f t="shared" si="322"/>
        <v>0</v>
      </c>
      <c r="M518" s="904">
        <f t="shared" si="322"/>
        <v>0</v>
      </c>
      <c r="N518" s="904">
        <f t="shared" si="322"/>
        <v>0</v>
      </c>
      <c r="O518" s="904">
        <f t="shared" si="322"/>
        <v>0</v>
      </c>
      <c r="P518" s="904">
        <f t="shared" si="322"/>
        <v>0</v>
      </c>
      <c r="Q518" s="904">
        <f t="shared" si="322"/>
        <v>0</v>
      </c>
      <c r="R518" s="904">
        <f t="shared" si="322"/>
        <v>0</v>
      </c>
      <c r="S518" s="904">
        <f t="shared" si="322"/>
        <v>0</v>
      </c>
      <c r="T518" s="904">
        <f t="shared" si="322"/>
        <v>0</v>
      </c>
      <c r="U518" s="905">
        <f>SUM(I518:T518)</f>
        <v>0</v>
      </c>
      <c r="W518" s="232" t="str">
        <f>B509&amp;B492</f>
        <v>Semillas0</v>
      </c>
      <c r="X518" s="301"/>
      <c r="Y518" s="647" t="s">
        <v>1085</v>
      </c>
      <c r="Z518" s="305"/>
      <c r="AA518" s="305"/>
      <c r="AB518" s="305"/>
      <c r="AC518" s="650"/>
      <c r="AD518" s="305"/>
      <c r="AE518" s="310"/>
      <c r="AF518" s="904">
        <f t="shared" ref="AF518:AQ518" si="323">+SUM(AF510:AF517)</f>
        <v>0</v>
      </c>
      <c r="AG518" s="904">
        <f t="shared" si="323"/>
        <v>0</v>
      </c>
      <c r="AH518" s="904">
        <f t="shared" si="323"/>
        <v>0</v>
      </c>
      <c r="AI518" s="904">
        <f t="shared" si="323"/>
        <v>0</v>
      </c>
      <c r="AJ518" s="904">
        <f t="shared" si="323"/>
        <v>0</v>
      </c>
      <c r="AK518" s="904">
        <f t="shared" si="323"/>
        <v>0</v>
      </c>
      <c r="AL518" s="904">
        <f t="shared" si="323"/>
        <v>0</v>
      </c>
      <c r="AM518" s="904">
        <f t="shared" si="323"/>
        <v>0</v>
      </c>
      <c r="AN518" s="904">
        <f t="shared" si="323"/>
        <v>0</v>
      </c>
      <c r="AO518" s="904">
        <f t="shared" si="323"/>
        <v>0</v>
      </c>
      <c r="AP518" s="904">
        <f t="shared" si="323"/>
        <v>0</v>
      </c>
      <c r="AQ518" s="904">
        <f t="shared" si="323"/>
        <v>0</v>
      </c>
      <c r="AR518" s="905">
        <f>SUM(AF518:AQ518)</f>
        <v>0</v>
      </c>
      <c r="AT518" s="232" t="str">
        <f>Y509&amp;Y492</f>
        <v>Semillas0</v>
      </c>
    </row>
    <row r="519" spans="1:46" x14ac:dyDescent="0.2">
      <c r="A519" s="205"/>
      <c r="B519" s="197" t="s">
        <v>339</v>
      </c>
      <c r="C519" s="307"/>
      <c r="D519" s="307"/>
      <c r="E519" s="308"/>
      <c r="F519" s="651"/>
      <c r="G519" s="308"/>
      <c r="H519" s="307"/>
      <c r="I519" s="307"/>
      <c r="J519" s="307"/>
      <c r="K519" s="307"/>
      <c r="L519" s="307"/>
      <c r="M519" s="307"/>
      <c r="N519" s="307"/>
      <c r="O519" s="307"/>
      <c r="P519" s="307"/>
      <c r="Q519" s="307"/>
      <c r="R519" s="307"/>
      <c r="S519" s="307"/>
      <c r="T519" s="307"/>
      <c r="U519" s="646"/>
      <c r="X519" s="301"/>
      <c r="Y519" s="197" t="s">
        <v>339</v>
      </c>
      <c r="Z519" s="307"/>
      <c r="AA519" s="307"/>
      <c r="AB519" s="308"/>
      <c r="AC519" s="651"/>
      <c r="AD519" s="308"/>
      <c r="AE519" s="307"/>
      <c r="AF519" s="307"/>
      <c r="AG519" s="307"/>
      <c r="AH519" s="307"/>
      <c r="AI519" s="307"/>
      <c r="AJ519" s="307"/>
      <c r="AK519" s="307"/>
      <c r="AL519" s="307"/>
      <c r="AM519" s="307"/>
      <c r="AN519" s="307"/>
      <c r="AO519" s="307"/>
      <c r="AP519" s="307"/>
      <c r="AQ519" s="307"/>
      <c r="AR519" s="646"/>
    </row>
    <row r="520" spans="1:46" ht="15.05" thickBot="1" x14ac:dyDescent="0.35">
      <c r="A520" s="205"/>
      <c r="B520" s="5042"/>
      <c r="C520" s="1056">
        <f t="shared" si="313"/>
        <v>0</v>
      </c>
      <c r="D520" s="1056">
        <f>IF(B520=0,0,VLOOKUP(B520,Precios!$B$216:$D$307,3,FALSE))</f>
        <v>0</v>
      </c>
      <c r="E520" s="5048"/>
      <c r="F520" s="1063">
        <f>IF(B520=0,0,VLOOKUP(B520,Precios!$B$216:$D$307,2,FALSE))</f>
        <v>0</v>
      </c>
      <c r="G520" s="1066">
        <f>E520*F520</f>
        <v>0</v>
      </c>
      <c r="H520" s="309"/>
      <c r="I520" s="1072">
        <f t="shared" si="318"/>
        <v>0</v>
      </c>
      <c r="J520" s="1033">
        <f t="shared" si="318"/>
        <v>0</v>
      </c>
      <c r="K520" s="1033">
        <f t="shared" si="318"/>
        <v>0</v>
      </c>
      <c r="L520" s="1033">
        <f t="shared" si="318"/>
        <v>0</v>
      </c>
      <c r="M520" s="1033">
        <f t="shared" si="318"/>
        <v>0</v>
      </c>
      <c r="N520" s="1033">
        <f t="shared" si="318"/>
        <v>0</v>
      </c>
      <c r="O520" s="1033">
        <f t="shared" si="318"/>
        <v>0</v>
      </c>
      <c r="P520" s="1033">
        <f t="shared" si="318"/>
        <v>0</v>
      </c>
      <c r="Q520" s="1033">
        <f t="shared" si="318"/>
        <v>0</v>
      </c>
      <c r="R520" s="1033">
        <f t="shared" si="318"/>
        <v>0</v>
      </c>
      <c r="S520" s="1033">
        <f t="shared" si="318"/>
        <v>0</v>
      </c>
      <c r="T520" s="1033">
        <f t="shared" si="318"/>
        <v>0</v>
      </c>
      <c r="U520" s="1073">
        <f t="shared" ref="U520:U528" si="324">SUM(I520:T520)</f>
        <v>0</v>
      </c>
      <c r="X520" s="301"/>
      <c r="Y520" s="5042"/>
      <c r="Z520" s="1056">
        <f t="shared" si="319"/>
        <v>0</v>
      </c>
      <c r="AA520" s="1056">
        <f>IF(Y520=0,0,VLOOKUP(Y520,Precios!$B$216:$D$307,3,FALSE))</f>
        <v>0</v>
      </c>
      <c r="AB520" s="1058"/>
      <c r="AC520" s="1063">
        <f>IF(Y520=0,0,VLOOKUP(Y520,Precios!$B$216:$D$307,2,FALSE))</f>
        <v>0</v>
      </c>
      <c r="AD520" s="1066">
        <f>AB520*AC520</f>
        <v>0</v>
      </c>
      <c r="AE520" s="309"/>
      <c r="AF520" s="1072">
        <f t="shared" si="320"/>
        <v>0</v>
      </c>
      <c r="AG520" s="1033">
        <f t="shared" si="320"/>
        <v>0</v>
      </c>
      <c r="AH520" s="1033">
        <f t="shared" si="320"/>
        <v>0</v>
      </c>
      <c r="AI520" s="1033">
        <f t="shared" si="320"/>
        <v>0</v>
      </c>
      <c r="AJ520" s="1033">
        <f t="shared" si="320"/>
        <v>0</v>
      </c>
      <c r="AK520" s="1033">
        <f t="shared" si="320"/>
        <v>0</v>
      </c>
      <c r="AL520" s="1033">
        <f t="shared" si="320"/>
        <v>0</v>
      </c>
      <c r="AM520" s="1033">
        <f t="shared" si="320"/>
        <v>0</v>
      </c>
      <c r="AN520" s="1033">
        <f t="shared" si="320"/>
        <v>0</v>
      </c>
      <c r="AO520" s="1033">
        <f t="shared" si="320"/>
        <v>0</v>
      </c>
      <c r="AP520" s="1033">
        <f t="shared" si="320"/>
        <v>0</v>
      </c>
      <c r="AQ520" s="1033">
        <f t="shared" si="320"/>
        <v>0</v>
      </c>
      <c r="AR520" s="1073">
        <f t="shared" si="321"/>
        <v>0</v>
      </c>
    </row>
    <row r="521" spans="1:46" ht="15.05" thickBot="1" x14ac:dyDescent="0.35">
      <c r="A521" s="205"/>
      <c r="B521" s="5044"/>
      <c r="C521" s="985">
        <f t="shared" si="313"/>
        <v>0</v>
      </c>
      <c r="D521" s="985">
        <f>IF(B521=0,0,VLOOKUP(B521,Precios!$B$216:$D$307,3,FALSE))</f>
        <v>0</v>
      </c>
      <c r="E521" s="5049"/>
      <c r="F521" s="1064">
        <f>IF(B521=0,0,VLOOKUP(B521,Precios!$B$216:$D$307,2,FALSE))</f>
        <v>0</v>
      </c>
      <c r="G521" s="1067">
        <f>E521*F521</f>
        <v>0</v>
      </c>
      <c r="H521" s="309"/>
      <c r="I521" s="1074">
        <f t="shared" si="318"/>
        <v>0</v>
      </c>
      <c r="J521" s="1005">
        <f t="shared" si="318"/>
        <v>0</v>
      </c>
      <c r="K521" s="1005">
        <f t="shared" si="318"/>
        <v>0</v>
      </c>
      <c r="L521" s="1005">
        <f t="shared" si="318"/>
        <v>0</v>
      </c>
      <c r="M521" s="1005">
        <f t="shared" si="318"/>
        <v>0</v>
      </c>
      <c r="N521" s="1005">
        <f t="shared" si="318"/>
        <v>0</v>
      </c>
      <c r="O521" s="1005">
        <f t="shared" si="318"/>
        <v>0</v>
      </c>
      <c r="P521" s="1005">
        <f t="shared" si="318"/>
        <v>0</v>
      </c>
      <c r="Q521" s="1005">
        <f t="shared" si="318"/>
        <v>0</v>
      </c>
      <c r="R521" s="1005">
        <f t="shared" si="318"/>
        <v>0</v>
      </c>
      <c r="S521" s="1005">
        <f t="shared" si="318"/>
        <v>0</v>
      </c>
      <c r="T521" s="1005">
        <f t="shared" si="318"/>
        <v>0</v>
      </c>
      <c r="U521" s="1075">
        <f t="shared" si="324"/>
        <v>0</v>
      </c>
      <c r="X521" s="301"/>
      <c r="Y521" s="5044"/>
      <c r="Z521" s="985">
        <f t="shared" si="319"/>
        <v>0</v>
      </c>
      <c r="AA521" s="985">
        <f>IF(Y521=0,0,VLOOKUP(Y521,Precios!$B$216:$D$307,3,FALSE))</f>
        <v>0</v>
      </c>
      <c r="AB521" s="986"/>
      <c r="AC521" s="1064">
        <f>IF(Y521=0,0,VLOOKUP(Y521,Precios!$B$216:$D$307,2,FALSE))</f>
        <v>0</v>
      </c>
      <c r="AD521" s="1067">
        <f>AB521*AC521</f>
        <v>0</v>
      </c>
      <c r="AE521" s="309"/>
      <c r="AF521" s="1074">
        <f t="shared" si="320"/>
        <v>0</v>
      </c>
      <c r="AG521" s="1005">
        <f t="shared" si="320"/>
        <v>0</v>
      </c>
      <c r="AH521" s="1005">
        <f t="shared" si="320"/>
        <v>0</v>
      </c>
      <c r="AI521" s="1005">
        <f t="shared" si="320"/>
        <v>0</v>
      </c>
      <c r="AJ521" s="1005">
        <f t="shared" si="320"/>
        <v>0</v>
      </c>
      <c r="AK521" s="1005">
        <f t="shared" si="320"/>
        <v>0</v>
      </c>
      <c r="AL521" s="1005">
        <f t="shared" si="320"/>
        <v>0</v>
      </c>
      <c r="AM521" s="1005">
        <f t="shared" si="320"/>
        <v>0</v>
      </c>
      <c r="AN521" s="1005">
        <f t="shared" si="320"/>
        <v>0</v>
      </c>
      <c r="AO521" s="1005">
        <f t="shared" si="320"/>
        <v>0</v>
      </c>
      <c r="AP521" s="1005">
        <f t="shared" si="320"/>
        <v>0</v>
      </c>
      <c r="AQ521" s="1005">
        <f t="shared" si="320"/>
        <v>0</v>
      </c>
      <c r="AR521" s="1075">
        <f t="shared" si="321"/>
        <v>0</v>
      </c>
    </row>
    <row r="522" spans="1:46" x14ac:dyDescent="0.3">
      <c r="A522" s="205"/>
      <c r="B522" s="5046"/>
      <c r="C522" s="1057">
        <f t="shared" si="313"/>
        <v>0</v>
      </c>
      <c r="D522" s="1057">
        <f>IF(B522=0,0,VLOOKUP(B522,Precios!$B$216:$D$307,3,FALSE))</f>
        <v>0</v>
      </c>
      <c r="E522" s="5050"/>
      <c r="F522" s="1065">
        <f>IF(B522=0,0,VLOOKUP(B522,Precios!$B$216:$D$307,2,FALSE))</f>
        <v>0</v>
      </c>
      <c r="G522" s="1068">
        <f>E522*F522</f>
        <v>0</v>
      </c>
      <c r="H522" s="309"/>
      <c r="I522" s="1079">
        <f t="shared" si="318"/>
        <v>0</v>
      </c>
      <c r="J522" s="1047">
        <f t="shared" si="318"/>
        <v>0</v>
      </c>
      <c r="K522" s="1047">
        <f t="shared" si="318"/>
        <v>0</v>
      </c>
      <c r="L522" s="1047">
        <f t="shared" si="318"/>
        <v>0</v>
      </c>
      <c r="M522" s="1047">
        <f t="shared" si="318"/>
        <v>0</v>
      </c>
      <c r="N522" s="1047">
        <f t="shared" si="318"/>
        <v>0</v>
      </c>
      <c r="O522" s="1047">
        <f t="shared" si="318"/>
        <v>0</v>
      </c>
      <c r="P522" s="1047">
        <f t="shared" si="318"/>
        <v>0</v>
      </c>
      <c r="Q522" s="1047">
        <f t="shared" si="318"/>
        <v>0</v>
      </c>
      <c r="R522" s="1047">
        <f t="shared" si="318"/>
        <v>0</v>
      </c>
      <c r="S522" s="1047">
        <f t="shared" si="318"/>
        <v>0</v>
      </c>
      <c r="T522" s="1047">
        <f t="shared" si="318"/>
        <v>0</v>
      </c>
      <c r="U522" s="1080">
        <f t="shared" si="324"/>
        <v>0</v>
      </c>
      <c r="X522" s="301"/>
      <c r="Y522" s="5046"/>
      <c r="Z522" s="1057">
        <f t="shared" si="319"/>
        <v>0</v>
      </c>
      <c r="AA522" s="1057">
        <f>IF(Y522=0,0,VLOOKUP(Y522,Precios!$B$216:$D$307,3,FALSE))</f>
        <v>0</v>
      </c>
      <c r="AB522" s="1060"/>
      <c r="AC522" s="1065">
        <f>IF(Y522=0,0,VLOOKUP(Y522,Precios!$B$216:$D$307,2,FALSE))</f>
        <v>0</v>
      </c>
      <c r="AD522" s="1068">
        <f>AB522*AC522</f>
        <v>0</v>
      </c>
      <c r="AE522" s="309"/>
      <c r="AF522" s="1079">
        <f t="shared" si="320"/>
        <v>0</v>
      </c>
      <c r="AG522" s="1047">
        <f t="shared" si="320"/>
        <v>0</v>
      </c>
      <c r="AH522" s="1047">
        <f t="shared" si="320"/>
        <v>0</v>
      </c>
      <c r="AI522" s="1047">
        <f t="shared" si="320"/>
        <v>0</v>
      </c>
      <c r="AJ522" s="1047">
        <f t="shared" si="320"/>
        <v>0</v>
      </c>
      <c r="AK522" s="1047">
        <f t="shared" si="320"/>
        <v>0</v>
      </c>
      <c r="AL522" s="1047">
        <f t="shared" si="320"/>
        <v>0</v>
      </c>
      <c r="AM522" s="1047">
        <f t="shared" si="320"/>
        <v>0</v>
      </c>
      <c r="AN522" s="1047">
        <f t="shared" si="320"/>
        <v>0</v>
      </c>
      <c r="AO522" s="1047">
        <f t="shared" si="320"/>
        <v>0</v>
      </c>
      <c r="AP522" s="1047">
        <f t="shared" si="320"/>
        <v>0</v>
      </c>
      <c r="AQ522" s="1047">
        <f t="shared" si="320"/>
        <v>0</v>
      </c>
      <c r="AR522" s="1080">
        <f t="shared" si="321"/>
        <v>0</v>
      </c>
    </row>
    <row r="523" spans="1:46" x14ac:dyDescent="0.3">
      <c r="A523" s="205"/>
      <c r="B523" s="647" t="s">
        <v>1086</v>
      </c>
      <c r="C523" s="305"/>
      <c r="D523" s="305"/>
      <c r="E523" s="305"/>
      <c r="F523" s="650"/>
      <c r="G523" s="305"/>
      <c r="H523" s="306"/>
      <c r="I523" s="906">
        <f t="shared" ref="I523:T523" si="325">+SUM(I520:I522)</f>
        <v>0</v>
      </c>
      <c r="J523" s="906">
        <f t="shared" si="325"/>
        <v>0</v>
      </c>
      <c r="K523" s="906">
        <f t="shared" si="325"/>
        <v>0</v>
      </c>
      <c r="L523" s="906">
        <f t="shared" si="325"/>
        <v>0</v>
      </c>
      <c r="M523" s="906">
        <f t="shared" si="325"/>
        <v>0</v>
      </c>
      <c r="N523" s="906">
        <f t="shared" si="325"/>
        <v>0</v>
      </c>
      <c r="O523" s="906">
        <f t="shared" si="325"/>
        <v>0</v>
      </c>
      <c r="P523" s="906">
        <f t="shared" si="325"/>
        <v>0</v>
      </c>
      <c r="Q523" s="906">
        <f t="shared" si="325"/>
        <v>0</v>
      </c>
      <c r="R523" s="906">
        <f t="shared" si="325"/>
        <v>0</v>
      </c>
      <c r="S523" s="906">
        <f t="shared" si="325"/>
        <v>0</v>
      </c>
      <c r="T523" s="907">
        <f t="shared" si="325"/>
        <v>0</v>
      </c>
      <c r="U523" s="905">
        <f>SUM(I523:T523)</f>
        <v>0</v>
      </c>
      <c r="W523" s="232" t="str">
        <f>B519&amp;B492</f>
        <v>Fertilizantes 0</v>
      </c>
      <c r="X523" s="301"/>
      <c r="Y523" s="647" t="s">
        <v>1086</v>
      </c>
      <c r="Z523" s="305"/>
      <c r="AA523" s="305"/>
      <c r="AB523" s="305"/>
      <c r="AC523" s="650"/>
      <c r="AD523" s="305"/>
      <c r="AE523" s="306"/>
      <c r="AF523" s="906">
        <f t="shared" ref="AF523:AQ523" si="326">+SUM(AF520:AF522)</f>
        <v>0</v>
      </c>
      <c r="AG523" s="906">
        <f t="shared" si="326"/>
        <v>0</v>
      </c>
      <c r="AH523" s="906">
        <f t="shared" si="326"/>
        <v>0</v>
      </c>
      <c r="AI523" s="906">
        <f t="shared" si="326"/>
        <v>0</v>
      </c>
      <c r="AJ523" s="906">
        <f t="shared" si="326"/>
        <v>0</v>
      </c>
      <c r="AK523" s="906">
        <f t="shared" si="326"/>
        <v>0</v>
      </c>
      <c r="AL523" s="906">
        <f t="shared" si="326"/>
        <v>0</v>
      </c>
      <c r="AM523" s="906">
        <f t="shared" si="326"/>
        <v>0</v>
      </c>
      <c r="AN523" s="906">
        <f t="shared" si="326"/>
        <v>0</v>
      </c>
      <c r="AO523" s="906">
        <f t="shared" si="326"/>
        <v>0</v>
      </c>
      <c r="AP523" s="906">
        <f t="shared" si="326"/>
        <v>0</v>
      </c>
      <c r="AQ523" s="907">
        <f t="shared" si="326"/>
        <v>0</v>
      </c>
      <c r="AR523" s="905">
        <f>SUM(AF523:AQ523)</f>
        <v>0</v>
      </c>
      <c r="AT523" s="232" t="str">
        <f>Y519&amp;Y492</f>
        <v>Fertilizantes 0</v>
      </c>
    </row>
    <row r="524" spans="1:46" x14ac:dyDescent="0.2">
      <c r="A524" s="205"/>
      <c r="B524" s="197" t="s">
        <v>340</v>
      </c>
      <c r="C524" s="307"/>
      <c r="D524" s="307"/>
      <c r="E524" s="308"/>
      <c r="F524" s="651"/>
      <c r="G524" s="308"/>
      <c r="H524" s="307"/>
      <c r="I524" s="307"/>
      <c r="J524" s="307"/>
      <c r="K524" s="307"/>
      <c r="L524" s="307"/>
      <c r="M524" s="307"/>
      <c r="N524" s="307"/>
      <c r="O524" s="307"/>
      <c r="P524" s="307"/>
      <c r="Q524" s="307"/>
      <c r="R524" s="307"/>
      <c r="S524" s="307"/>
      <c r="T524" s="307"/>
      <c r="U524" s="646"/>
      <c r="X524" s="301"/>
      <c r="Y524" s="197" t="s">
        <v>340</v>
      </c>
      <c r="Z524" s="307"/>
      <c r="AA524" s="307"/>
      <c r="AB524" s="308"/>
      <c r="AC524" s="651"/>
      <c r="AD524" s="308"/>
      <c r="AE524" s="307"/>
      <c r="AF524" s="307"/>
      <c r="AG524" s="307"/>
      <c r="AH524" s="307"/>
      <c r="AI524" s="307"/>
      <c r="AJ524" s="307"/>
      <c r="AK524" s="307"/>
      <c r="AL524" s="307"/>
      <c r="AM524" s="307"/>
      <c r="AN524" s="307"/>
      <c r="AO524" s="307"/>
      <c r="AP524" s="307"/>
      <c r="AQ524" s="307"/>
      <c r="AR524" s="646"/>
    </row>
    <row r="525" spans="1:46" ht="15.05" thickBot="1" x14ac:dyDescent="0.35">
      <c r="A525" s="205"/>
      <c r="B525" s="5042"/>
      <c r="C525" s="1056">
        <f t="shared" si="313"/>
        <v>0</v>
      </c>
      <c r="D525" s="1056">
        <f>IF(B525=0,0,VLOOKUP(B525,Precios!$B$216:$D$307,3,FALSE))</f>
        <v>0</v>
      </c>
      <c r="E525" s="5048"/>
      <c r="F525" s="1062">
        <f>IF(B525=0,0,VLOOKUP(B525,Precios!$B$216:$D$307,2,FALSE))</f>
        <v>0</v>
      </c>
      <c r="G525" s="1066">
        <f>E525*F525</f>
        <v>0</v>
      </c>
      <c r="H525" s="614"/>
      <c r="I525" s="1072">
        <f t="shared" si="318"/>
        <v>0</v>
      </c>
      <c r="J525" s="1033">
        <f t="shared" si="318"/>
        <v>0</v>
      </c>
      <c r="K525" s="1033">
        <f t="shared" si="318"/>
        <v>0</v>
      </c>
      <c r="L525" s="1033">
        <f t="shared" si="318"/>
        <v>0</v>
      </c>
      <c r="M525" s="1033">
        <f t="shared" si="318"/>
        <v>0</v>
      </c>
      <c r="N525" s="1033">
        <f t="shared" si="318"/>
        <v>0</v>
      </c>
      <c r="O525" s="1033">
        <f t="shared" si="318"/>
        <v>0</v>
      </c>
      <c r="P525" s="1033">
        <f t="shared" si="318"/>
        <v>0</v>
      </c>
      <c r="Q525" s="1033">
        <f t="shared" si="318"/>
        <v>0</v>
      </c>
      <c r="R525" s="1033">
        <f t="shared" si="318"/>
        <v>0</v>
      </c>
      <c r="S525" s="1033">
        <f t="shared" si="318"/>
        <v>0</v>
      </c>
      <c r="T525" s="1033">
        <f t="shared" si="318"/>
        <v>0</v>
      </c>
      <c r="U525" s="1512">
        <f t="shared" si="324"/>
        <v>0</v>
      </c>
      <c r="X525" s="301"/>
      <c r="Y525" s="5042"/>
      <c r="Z525" s="1056">
        <f t="shared" si="319"/>
        <v>0</v>
      </c>
      <c r="AA525" s="1056">
        <f>IF(Y525=0,0,VLOOKUP(Y525,Precios!$B$216:$D$307,3,FALSE))</f>
        <v>0</v>
      </c>
      <c r="AB525" s="1058"/>
      <c r="AC525" s="1062">
        <f>IF(Y525=0,0,VLOOKUP(Y525,Precios!$B$216:$D$307,2,FALSE))</f>
        <v>0</v>
      </c>
      <c r="AD525" s="1066">
        <f>AB525*AC525</f>
        <v>0</v>
      </c>
      <c r="AE525" s="309"/>
      <c r="AF525" s="1072">
        <f t="shared" si="320"/>
        <v>0</v>
      </c>
      <c r="AG525" s="1033">
        <f t="shared" si="320"/>
        <v>0</v>
      </c>
      <c r="AH525" s="1033">
        <f t="shared" si="320"/>
        <v>0</v>
      </c>
      <c r="AI525" s="1033">
        <f t="shared" si="320"/>
        <v>0</v>
      </c>
      <c r="AJ525" s="1033">
        <f t="shared" si="320"/>
        <v>0</v>
      </c>
      <c r="AK525" s="1033">
        <f t="shared" si="320"/>
        <v>0</v>
      </c>
      <c r="AL525" s="1033">
        <f t="shared" si="320"/>
        <v>0</v>
      </c>
      <c r="AM525" s="1033">
        <f t="shared" si="320"/>
        <v>0</v>
      </c>
      <c r="AN525" s="1033">
        <f t="shared" si="320"/>
        <v>0</v>
      </c>
      <c r="AO525" s="1033">
        <f t="shared" si="320"/>
        <v>0</v>
      </c>
      <c r="AP525" s="1033">
        <f t="shared" si="320"/>
        <v>0</v>
      </c>
      <c r="AQ525" s="1033">
        <f t="shared" si="320"/>
        <v>0</v>
      </c>
      <c r="AR525" s="1073">
        <f t="shared" si="321"/>
        <v>0</v>
      </c>
    </row>
    <row r="526" spans="1:46" ht="15.05" thickBot="1" x14ac:dyDescent="0.35">
      <c r="A526" s="205"/>
      <c r="B526" s="5044"/>
      <c r="C526" s="985">
        <f t="shared" si="313"/>
        <v>0</v>
      </c>
      <c r="D526" s="985">
        <f>IF(B526=0,0,VLOOKUP(B526,Precios!$B$216:$D$307,3,FALSE))</f>
        <v>0</v>
      </c>
      <c r="E526" s="5049"/>
      <c r="F526" s="1059">
        <f>IF(B526=0,0,VLOOKUP(B526,Precios!$B$216:$D$307,2,FALSE))</f>
        <v>0</v>
      </c>
      <c r="G526" s="1067">
        <f>E526*F526</f>
        <v>0</v>
      </c>
      <c r="H526" s="614"/>
      <c r="I526" s="1074">
        <f t="shared" si="318"/>
        <v>0</v>
      </c>
      <c r="J526" s="1005">
        <f t="shared" si="318"/>
        <v>0</v>
      </c>
      <c r="K526" s="1005">
        <f t="shared" si="318"/>
        <v>0</v>
      </c>
      <c r="L526" s="1005">
        <f t="shared" si="318"/>
        <v>0</v>
      </c>
      <c r="M526" s="1005">
        <f t="shared" si="318"/>
        <v>0</v>
      </c>
      <c r="N526" s="1005">
        <f t="shared" si="318"/>
        <v>0</v>
      </c>
      <c r="O526" s="1005">
        <f t="shared" si="318"/>
        <v>0</v>
      </c>
      <c r="P526" s="1005">
        <f t="shared" si="318"/>
        <v>0</v>
      </c>
      <c r="Q526" s="1005">
        <f t="shared" si="318"/>
        <v>0</v>
      </c>
      <c r="R526" s="1005">
        <f t="shared" si="318"/>
        <v>0</v>
      </c>
      <c r="S526" s="1005">
        <f t="shared" si="318"/>
        <v>0</v>
      </c>
      <c r="T526" s="1005">
        <f t="shared" si="318"/>
        <v>0</v>
      </c>
      <c r="U526" s="1513">
        <f t="shared" si="324"/>
        <v>0</v>
      </c>
      <c r="X526" s="301"/>
      <c r="Y526" s="5044"/>
      <c r="Z526" s="985">
        <f t="shared" si="319"/>
        <v>0</v>
      </c>
      <c r="AA526" s="985">
        <f>IF(Y526=0,0,VLOOKUP(Y526,Precios!$B$216:$D$307,3,FALSE))</f>
        <v>0</v>
      </c>
      <c r="AB526" s="986"/>
      <c r="AC526" s="1059">
        <f>IF(Y526=0,0,VLOOKUP(Y526,Precios!$B$216:$D$307,2,FALSE))</f>
        <v>0</v>
      </c>
      <c r="AD526" s="1067">
        <f>AB526*AC526</f>
        <v>0</v>
      </c>
      <c r="AE526" s="309"/>
      <c r="AF526" s="1074">
        <f t="shared" si="320"/>
        <v>0</v>
      </c>
      <c r="AG526" s="1005">
        <f t="shared" si="320"/>
        <v>0</v>
      </c>
      <c r="AH526" s="1005">
        <f t="shared" si="320"/>
        <v>0</v>
      </c>
      <c r="AI526" s="1005">
        <f t="shared" si="320"/>
        <v>0</v>
      </c>
      <c r="AJ526" s="1005">
        <f t="shared" si="320"/>
        <v>0</v>
      </c>
      <c r="AK526" s="1005">
        <f t="shared" si="320"/>
        <v>0</v>
      </c>
      <c r="AL526" s="1005">
        <f t="shared" si="320"/>
        <v>0</v>
      </c>
      <c r="AM526" s="1005">
        <f t="shared" si="320"/>
        <v>0</v>
      </c>
      <c r="AN526" s="1005">
        <f t="shared" si="320"/>
        <v>0</v>
      </c>
      <c r="AO526" s="1005">
        <f t="shared" si="320"/>
        <v>0</v>
      </c>
      <c r="AP526" s="1005">
        <f t="shared" si="320"/>
        <v>0</v>
      </c>
      <c r="AQ526" s="1005">
        <f t="shared" si="320"/>
        <v>0</v>
      </c>
      <c r="AR526" s="1075">
        <f t="shared" si="321"/>
        <v>0</v>
      </c>
    </row>
    <row r="527" spans="1:46" x14ac:dyDescent="0.3">
      <c r="A527" s="205"/>
      <c r="B527" s="5046"/>
      <c r="C527" s="1057">
        <f t="shared" si="313"/>
        <v>0</v>
      </c>
      <c r="D527" s="1057">
        <f>IF(B527=0,0,VLOOKUP(B527,Precios!$B$216:$D$307,3,FALSE))</f>
        <v>0</v>
      </c>
      <c r="E527" s="5050"/>
      <c r="F527" s="1061">
        <f>IF(B527=0,0,VLOOKUP(B527,Precios!$B$216:$D$307,2,FALSE))</f>
        <v>0</v>
      </c>
      <c r="G527" s="1068">
        <f>E527*F527</f>
        <v>0</v>
      </c>
      <c r="H527" s="614"/>
      <c r="I527" s="1079">
        <f t="shared" si="318"/>
        <v>0</v>
      </c>
      <c r="J527" s="1047">
        <f t="shared" si="318"/>
        <v>0</v>
      </c>
      <c r="K527" s="1047">
        <f t="shared" si="318"/>
        <v>0</v>
      </c>
      <c r="L527" s="1047">
        <f t="shared" si="318"/>
        <v>0</v>
      </c>
      <c r="M527" s="1047">
        <f t="shared" si="318"/>
        <v>0</v>
      </c>
      <c r="N527" s="1047">
        <f t="shared" si="318"/>
        <v>0</v>
      </c>
      <c r="O527" s="1047">
        <f t="shared" si="318"/>
        <v>0</v>
      </c>
      <c r="P527" s="1047">
        <f t="shared" si="318"/>
        <v>0</v>
      </c>
      <c r="Q527" s="1047">
        <f t="shared" si="318"/>
        <v>0</v>
      </c>
      <c r="R527" s="1047">
        <f t="shared" si="318"/>
        <v>0</v>
      </c>
      <c r="S527" s="1047">
        <f t="shared" si="318"/>
        <v>0</v>
      </c>
      <c r="T527" s="1047">
        <f t="shared" si="318"/>
        <v>0</v>
      </c>
      <c r="U527" s="1555">
        <f t="shared" si="324"/>
        <v>0</v>
      </c>
      <c r="X527" s="301"/>
      <c r="Y527" s="5046"/>
      <c r="Z527" s="1057">
        <f t="shared" si="319"/>
        <v>0</v>
      </c>
      <c r="AA527" s="1057">
        <f>IF(Y527=0,0,VLOOKUP(Y527,Precios!$B$216:$D$307,3,FALSE))</f>
        <v>0</v>
      </c>
      <c r="AB527" s="1060"/>
      <c r="AC527" s="1061">
        <f>IF(Y527=0,0,VLOOKUP(Y527,Precios!$B$216:$D$307,2,FALSE))</f>
        <v>0</v>
      </c>
      <c r="AD527" s="1068">
        <f>AB527*AC527</f>
        <v>0</v>
      </c>
      <c r="AE527" s="309"/>
      <c r="AF527" s="1079">
        <f t="shared" si="320"/>
        <v>0</v>
      </c>
      <c r="AG527" s="1047">
        <f t="shared" si="320"/>
        <v>0</v>
      </c>
      <c r="AH527" s="1047">
        <f t="shared" si="320"/>
        <v>0</v>
      </c>
      <c r="AI527" s="1047">
        <f t="shared" si="320"/>
        <v>0</v>
      </c>
      <c r="AJ527" s="1047">
        <f t="shared" si="320"/>
        <v>0</v>
      </c>
      <c r="AK527" s="1047">
        <f t="shared" si="320"/>
        <v>0</v>
      </c>
      <c r="AL527" s="1047">
        <f t="shared" si="320"/>
        <v>0</v>
      </c>
      <c r="AM527" s="1047">
        <f t="shared" si="320"/>
        <v>0</v>
      </c>
      <c r="AN527" s="1047">
        <f t="shared" si="320"/>
        <v>0</v>
      </c>
      <c r="AO527" s="1047">
        <f t="shared" si="320"/>
        <v>0</v>
      </c>
      <c r="AP527" s="1047">
        <f t="shared" si="320"/>
        <v>0</v>
      </c>
      <c r="AQ527" s="1047">
        <f t="shared" si="320"/>
        <v>0</v>
      </c>
      <c r="AR527" s="1080">
        <f t="shared" si="321"/>
        <v>0</v>
      </c>
    </row>
    <row r="528" spans="1:46" ht="15.05" thickBot="1" x14ac:dyDescent="0.35">
      <c r="A528" s="205"/>
      <c r="B528" s="1556" t="s">
        <v>1087</v>
      </c>
      <c r="C528" s="1548"/>
      <c r="D528" s="1548"/>
      <c r="E528" s="1548"/>
      <c r="F528" s="1549"/>
      <c r="G528" s="1548"/>
      <c r="H528" s="1550"/>
      <c r="I528" s="906">
        <f t="shared" ref="I528:T528" si="327">SUM(I525:I527)</f>
        <v>0</v>
      </c>
      <c r="J528" s="906">
        <f t="shared" si="327"/>
        <v>0</v>
      </c>
      <c r="K528" s="906">
        <f t="shared" si="327"/>
        <v>0</v>
      </c>
      <c r="L528" s="906">
        <f t="shared" si="327"/>
        <v>0</v>
      </c>
      <c r="M528" s="906">
        <f t="shared" si="327"/>
        <v>0</v>
      </c>
      <c r="N528" s="906">
        <f t="shared" si="327"/>
        <v>0</v>
      </c>
      <c r="O528" s="906">
        <f t="shared" si="327"/>
        <v>0</v>
      </c>
      <c r="P528" s="906">
        <f t="shared" si="327"/>
        <v>0</v>
      </c>
      <c r="Q528" s="906">
        <f t="shared" si="327"/>
        <v>0</v>
      </c>
      <c r="R528" s="906">
        <f t="shared" si="327"/>
        <v>0</v>
      </c>
      <c r="S528" s="906">
        <f t="shared" si="327"/>
        <v>0</v>
      </c>
      <c r="T528" s="907">
        <f t="shared" si="327"/>
        <v>0</v>
      </c>
      <c r="U528" s="905">
        <f t="shared" si="324"/>
        <v>0</v>
      </c>
      <c r="V528" s="232" t="s">
        <v>582</v>
      </c>
      <c r="W528" s="232" t="str">
        <f>B524&amp;B492</f>
        <v>Agroquímicos 0</v>
      </c>
      <c r="X528" s="301"/>
      <c r="Y528" s="647"/>
      <c r="Z528" s="305"/>
      <c r="AA528" s="305"/>
      <c r="AB528" s="305"/>
      <c r="AC528" s="650"/>
      <c r="AD528" s="305"/>
      <c r="AE528" s="306"/>
      <c r="AF528" s="906">
        <f t="shared" ref="AF528:AQ528" si="328">SUM(AF525:AF527)</f>
        <v>0</v>
      </c>
      <c r="AG528" s="906">
        <f t="shared" si="328"/>
        <v>0</v>
      </c>
      <c r="AH528" s="906">
        <f t="shared" si="328"/>
        <v>0</v>
      </c>
      <c r="AI528" s="906">
        <f t="shared" si="328"/>
        <v>0</v>
      </c>
      <c r="AJ528" s="906">
        <f t="shared" si="328"/>
        <v>0</v>
      </c>
      <c r="AK528" s="906">
        <f t="shared" si="328"/>
        <v>0</v>
      </c>
      <c r="AL528" s="906">
        <f t="shared" si="328"/>
        <v>0</v>
      </c>
      <c r="AM528" s="906">
        <f t="shared" si="328"/>
        <v>0</v>
      </c>
      <c r="AN528" s="906">
        <f t="shared" si="328"/>
        <v>0</v>
      </c>
      <c r="AO528" s="906">
        <f t="shared" si="328"/>
        <v>0</v>
      </c>
      <c r="AP528" s="906">
        <f t="shared" si="328"/>
        <v>0</v>
      </c>
      <c r="AQ528" s="907">
        <f t="shared" si="328"/>
        <v>0</v>
      </c>
      <c r="AR528" s="905">
        <f t="shared" si="321"/>
        <v>0</v>
      </c>
      <c r="AT528" s="232" t="str">
        <f>Y524&amp;Y492</f>
        <v>Agroquímicos 0</v>
      </c>
    </row>
    <row r="529" spans="1:44" ht="15.05" thickBot="1" x14ac:dyDescent="0.25">
      <c r="A529" s="205"/>
      <c r="B529" s="648" t="s">
        <v>892</v>
      </c>
      <c r="C529" s="909">
        <f>+C491</f>
        <v>0</v>
      </c>
      <c r="D529" s="909"/>
      <c r="E529" s="1551" t="s">
        <v>876</v>
      </c>
      <c r="F529" s="1552"/>
      <c r="G529" s="1553"/>
      <c r="H529" s="1551"/>
      <c r="I529" s="1554">
        <f>SUMPRODUCT($F496:$F527,I496:I527)</f>
        <v>0</v>
      </c>
      <c r="J529" s="1554">
        <f t="shared" ref="J529:T529" si="329">SUMPRODUCT($F496:$F527,J496:J527)</f>
        <v>0</v>
      </c>
      <c r="K529" s="1554">
        <f t="shared" si="329"/>
        <v>0</v>
      </c>
      <c r="L529" s="1554">
        <f t="shared" si="329"/>
        <v>0</v>
      </c>
      <c r="M529" s="1554">
        <f t="shared" si="329"/>
        <v>0</v>
      </c>
      <c r="N529" s="1554">
        <f t="shared" si="329"/>
        <v>0</v>
      </c>
      <c r="O529" s="1554">
        <f t="shared" si="329"/>
        <v>0</v>
      </c>
      <c r="P529" s="1554">
        <f t="shared" si="329"/>
        <v>0</v>
      </c>
      <c r="Q529" s="1554">
        <f t="shared" si="329"/>
        <v>0</v>
      </c>
      <c r="R529" s="1554">
        <f t="shared" si="329"/>
        <v>0</v>
      </c>
      <c r="S529" s="1554">
        <f t="shared" si="329"/>
        <v>0</v>
      </c>
      <c r="T529" s="1554">
        <f t="shared" si="329"/>
        <v>0</v>
      </c>
      <c r="U529" s="908">
        <f>SUM(I529:T529)</f>
        <v>0</v>
      </c>
      <c r="X529" s="301"/>
      <c r="Y529" s="648" t="s">
        <v>892</v>
      </c>
      <c r="Z529" s="909">
        <f>+Z491</f>
        <v>0</v>
      </c>
      <c r="AA529" s="909"/>
      <c r="AB529" s="312" t="s">
        <v>876</v>
      </c>
      <c r="AC529" s="313"/>
      <c r="AD529" s="289"/>
      <c r="AE529" s="312"/>
      <c r="AF529" s="314">
        <f t="shared" ref="AF529:AQ529" si="330">SUMPRODUCT($AC496:$AC527,AF496:AF527)</f>
        <v>0</v>
      </c>
      <c r="AG529" s="314">
        <f t="shared" si="330"/>
        <v>0</v>
      </c>
      <c r="AH529" s="314">
        <f t="shared" si="330"/>
        <v>0</v>
      </c>
      <c r="AI529" s="314">
        <f t="shared" si="330"/>
        <v>0</v>
      </c>
      <c r="AJ529" s="314">
        <f t="shared" si="330"/>
        <v>0</v>
      </c>
      <c r="AK529" s="314">
        <f t="shared" si="330"/>
        <v>0</v>
      </c>
      <c r="AL529" s="314">
        <f t="shared" si="330"/>
        <v>0</v>
      </c>
      <c r="AM529" s="314">
        <f t="shared" si="330"/>
        <v>0</v>
      </c>
      <c r="AN529" s="314">
        <f t="shared" si="330"/>
        <v>0</v>
      </c>
      <c r="AO529" s="314">
        <f t="shared" si="330"/>
        <v>0</v>
      </c>
      <c r="AP529" s="314">
        <f t="shared" si="330"/>
        <v>0</v>
      </c>
      <c r="AQ529" s="314">
        <f t="shared" si="330"/>
        <v>0</v>
      </c>
      <c r="AR529" s="908">
        <f>SUM(AF529:AQ529)</f>
        <v>0</v>
      </c>
    </row>
    <row r="530" spans="1:44" ht="15.05" thickBot="1" x14ac:dyDescent="0.25">
      <c r="B530" s="373"/>
      <c r="E530" s="175"/>
      <c r="U530" s="175"/>
      <c r="X530" s="205"/>
      <c r="Y530" s="221"/>
      <c r="Z530" s="140"/>
      <c r="AA530" s="140"/>
      <c r="AB530" s="318"/>
      <c r="AC530" s="140"/>
      <c r="AD530" s="140"/>
      <c r="AE530" s="140"/>
      <c r="AF530" s="140"/>
      <c r="AG530" s="140"/>
      <c r="AH530" s="140"/>
      <c r="AI530" s="140"/>
      <c r="AJ530" s="140"/>
      <c r="AK530" s="140"/>
      <c r="AL530" s="140"/>
      <c r="AM530" s="140"/>
      <c r="AN530" s="140"/>
      <c r="AO530" s="140"/>
      <c r="AP530" s="140"/>
      <c r="AQ530" s="140"/>
      <c r="AR530" s="318"/>
    </row>
    <row r="531" spans="1:44" ht="15.05" thickBot="1" x14ac:dyDescent="0.25">
      <c r="A531" s="1344">
        <f>+X491+1</f>
        <v>66</v>
      </c>
      <c r="B531" s="910" t="s">
        <v>2340</v>
      </c>
      <c r="C531" s="911"/>
      <c r="D531" s="911"/>
      <c r="E531" s="911"/>
      <c r="F531" s="911"/>
      <c r="G531" s="911"/>
      <c r="H531" s="911"/>
      <c r="I531" s="911"/>
      <c r="J531" s="911"/>
      <c r="K531" s="911"/>
      <c r="L531" s="911"/>
      <c r="M531" s="911"/>
      <c r="N531" s="911"/>
      <c r="O531" s="911"/>
      <c r="P531" s="911"/>
      <c r="Q531" s="911"/>
      <c r="R531" s="911"/>
      <c r="S531" s="911"/>
      <c r="T531" s="911"/>
      <c r="U531" s="290"/>
      <c r="X531" s="205"/>
      <c r="Y531" s="221"/>
      <c r="Z531" s="140"/>
      <c r="AA531" s="140"/>
      <c r="AB531" s="318"/>
      <c r="AC531" s="140"/>
      <c r="AD531" s="140"/>
      <c r="AE531" s="140"/>
      <c r="AF531" s="140"/>
      <c r="AG531" s="140"/>
      <c r="AH531" s="140"/>
      <c r="AI531" s="140"/>
      <c r="AJ531" s="140"/>
      <c r="AK531" s="140"/>
      <c r="AL531" s="140"/>
      <c r="AM531" s="140"/>
      <c r="AN531" s="140"/>
      <c r="AO531" s="140"/>
      <c r="AP531" s="140"/>
      <c r="AQ531" s="140"/>
      <c r="AR531" s="318"/>
    </row>
    <row r="532" spans="1:44" x14ac:dyDescent="0.2">
      <c r="B532" s="232"/>
      <c r="C532" s="232"/>
      <c r="E532" s="175"/>
      <c r="U532" s="175"/>
      <c r="Y532" s="1511"/>
      <c r="AB532" s="175"/>
      <c r="AR532" s="175"/>
    </row>
    <row r="533" spans="1:44" x14ac:dyDescent="0.2">
      <c r="B533" s="1546" t="s">
        <v>1979</v>
      </c>
      <c r="C533" s="232"/>
      <c r="E533" s="175" t="s">
        <v>1980</v>
      </c>
      <c r="U533" s="175"/>
      <c r="Y533" s="1511"/>
      <c r="AB533" s="175"/>
      <c r="AR533" s="175"/>
    </row>
    <row r="534" spans="1:44" x14ac:dyDescent="0.2">
      <c r="B534" s="732" t="s">
        <v>229</v>
      </c>
      <c r="C534" s="422" t="s">
        <v>247</v>
      </c>
      <c r="E534" s="175" t="s">
        <v>229</v>
      </c>
      <c r="I534" s="1547" t="s">
        <v>247</v>
      </c>
      <c r="U534" s="175"/>
      <c r="Y534" s="1511"/>
      <c r="AB534" s="175"/>
      <c r="AR534" s="175"/>
    </row>
    <row r="535" spans="1:44" ht="20.45" customHeight="1" x14ac:dyDescent="0.2">
      <c r="B535" s="1524" t="s">
        <v>724</v>
      </c>
      <c r="C535" s="1560">
        <f>+U548</f>
        <v>0</v>
      </c>
      <c r="E535" s="5511" t="s">
        <v>724</v>
      </c>
      <c r="F535" s="5512"/>
      <c r="G535" s="5512"/>
      <c r="H535" s="5513"/>
      <c r="I535" s="1560">
        <f>+U592</f>
        <v>0</v>
      </c>
      <c r="U535" s="175"/>
      <c r="Y535" s="1511"/>
      <c r="AB535" s="175"/>
      <c r="AR535" s="175"/>
    </row>
    <row r="536" spans="1:44" ht="3.6" customHeight="1" x14ac:dyDescent="0.2">
      <c r="B536" s="271"/>
      <c r="C536" s="1521"/>
      <c r="E536" s="140"/>
      <c r="F536" s="140"/>
      <c r="G536" s="140"/>
      <c r="H536" s="140"/>
      <c r="I536" s="1521"/>
      <c r="U536" s="175"/>
      <c r="Y536" s="1511"/>
      <c r="AB536" s="175"/>
      <c r="AR536" s="175"/>
    </row>
    <row r="537" spans="1:44" ht="20.45" customHeight="1" x14ac:dyDescent="0.2">
      <c r="B537" s="1524" t="s">
        <v>325</v>
      </c>
      <c r="C537" s="1560">
        <f>+U557</f>
        <v>0</v>
      </c>
      <c r="E537" s="5511" t="s">
        <v>325</v>
      </c>
      <c r="F537" s="5512"/>
      <c r="G537" s="5512"/>
      <c r="H537" s="5513"/>
      <c r="I537" s="1560">
        <f>+U600</f>
        <v>0</v>
      </c>
      <c r="U537" s="175"/>
      <c r="Y537" s="1511"/>
      <c r="AB537" s="175"/>
      <c r="AR537" s="175"/>
    </row>
    <row r="538" spans="1:44" ht="2.4500000000000002" customHeight="1" x14ac:dyDescent="0.2">
      <c r="B538" s="271"/>
      <c r="C538" s="1521"/>
      <c r="E538" s="318"/>
      <c r="F538" s="140"/>
      <c r="G538" s="140"/>
      <c r="H538" s="140"/>
      <c r="I538" s="1521"/>
      <c r="U538" s="175"/>
      <c r="Y538" s="1511"/>
      <c r="AB538" s="175"/>
      <c r="AR538" s="175"/>
    </row>
    <row r="539" spans="1:44" ht="20.45" customHeight="1" x14ac:dyDescent="0.2">
      <c r="B539" s="1524" t="s">
        <v>1090</v>
      </c>
      <c r="C539" s="1560">
        <f>+U565</f>
        <v>0</v>
      </c>
      <c r="E539" s="5511" t="s">
        <v>1090</v>
      </c>
      <c r="F539" s="5512"/>
      <c r="G539" s="5512"/>
      <c r="H539" s="5513"/>
      <c r="I539" s="1560">
        <f>+U608</f>
        <v>0</v>
      </c>
      <c r="U539" s="175"/>
      <c r="Y539" s="1511"/>
      <c r="AB539" s="175"/>
      <c r="AR539" s="175"/>
    </row>
    <row r="540" spans="1:44" ht="4.45" customHeight="1" x14ac:dyDescent="0.2">
      <c r="B540" s="271"/>
      <c r="C540" s="1521"/>
      <c r="E540" s="318"/>
      <c r="F540" s="140"/>
      <c r="G540" s="140"/>
      <c r="H540" s="140"/>
      <c r="I540" s="1521"/>
      <c r="U540" s="175"/>
      <c r="Y540" s="1511"/>
      <c r="AB540" s="175"/>
      <c r="AR540" s="175"/>
    </row>
    <row r="541" spans="1:44" ht="20.45" customHeight="1" x14ac:dyDescent="0.2">
      <c r="B541" s="1524" t="s">
        <v>1098</v>
      </c>
      <c r="C541" s="1560">
        <f>+U573</f>
        <v>0</v>
      </c>
      <c r="E541" s="5511" t="s">
        <v>1098</v>
      </c>
      <c r="F541" s="5512"/>
      <c r="G541" s="5512"/>
      <c r="H541" s="5513"/>
      <c r="I541" s="1560">
        <f>+U616</f>
        <v>0</v>
      </c>
      <c r="U541" s="175"/>
      <c r="Y541" s="1511"/>
      <c r="AB541" s="175"/>
      <c r="AR541" s="175"/>
    </row>
    <row r="542" spans="1:44" ht="4.45" customHeight="1" x14ac:dyDescent="0.2">
      <c r="B542" s="271"/>
      <c r="C542" s="1521"/>
      <c r="E542" s="318"/>
      <c r="F542" s="140"/>
      <c r="G542" s="140"/>
      <c r="H542" s="140"/>
      <c r="I542" s="1521"/>
      <c r="U542" s="175"/>
      <c r="Y542" s="1511"/>
      <c r="AB542" s="175"/>
      <c r="AR542" s="175"/>
    </row>
    <row r="543" spans="1:44" ht="20.45" customHeight="1" x14ac:dyDescent="0.2">
      <c r="B543" s="1524" t="s">
        <v>1099</v>
      </c>
      <c r="C543" s="1560">
        <f>+U581</f>
        <v>0</v>
      </c>
      <c r="E543" s="5511" t="s">
        <v>1099</v>
      </c>
      <c r="F543" s="5512"/>
      <c r="G543" s="5512"/>
      <c r="H543" s="5513"/>
      <c r="I543" s="1560">
        <f>+U624</f>
        <v>0</v>
      </c>
      <c r="U543" s="175"/>
      <c r="Y543" s="1511"/>
      <c r="AB543" s="175"/>
      <c r="AR543" s="175"/>
    </row>
    <row r="544" spans="1:44" x14ac:dyDescent="0.2">
      <c r="B544" s="373"/>
      <c r="E544" s="175"/>
      <c r="U544" s="175"/>
      <c r="Y544" s="1511"/>
      <c r="AB544" s="175"/>
      <c r="AR544" s="175"/>
    </row>
    <row r="545" spans="1:44" ht="15.05" thickBot="1" x14ac:dyDescent="0.25">
      <c r="B545" s="373"/>
      <c r="E545" s="175"/>
      <c r="U545" s="175"/>
      <c r="Y545" s="1511"/>
      <c r="AB545" s="175"/>
      <c r="AR545" s="175"/>
    </row>
    <row r="546" spans="1:44" ht="15.05" thickBot="1" x14ac:dyDescent="0.25">
      <c r="A546" s="1344">
        <f>+A531</f>
        <v>66</v>
      </c>
      <c r="B546" s="2290" t="s">
        <v>1089</v>
      </c>
      <c r="C546" s="2291"/>
      <c r="D546" s="2291"/>
      <c r="E546" s="2291"/>
      <c r="F546" s="2291"/>
      <c r="G546" s="2291"/>
      <c r="H546" s="2291"/>
      <c r="I546" s="2291"/>
      <c r="J546" s="2291"/>
      <c r="K546" s="2291"/>
      <c r="L546" s="2291"/>
      <c r="M546" s="2291"/>
      <c r="N546" s="2291"/>
      <c r="O546" s="2291"/>
      <c r="P546" s="2291"/>
      <c r="Q546" s="2291"/>
      <c r="R546" s="2291"/>
      <c r="S546" s="2291"/>
      <c r="T546" s="2291"/>
      <c r="U546" s="2292"/>
      <c r="W546" s="1569"/>
      <c r="Y546" s="1511"/>
      <c r="AB546" s="175"/>
      <c r="AR546" s="175"/>
    </row>
    <row r="547" spans="1:44" x14ac:dyDescent="0.2">
      <c r="A547" s="1344" t="s">
        <v>1758</v>
      </c>
      <c r="B547" s="922" t="s">
        <v>1088</v>
      </c>
      <c r="C547" s="912"/>
      <c r="D547" s="912"/>
      <c r="E547" s="912"/>
      <c r="F547" s="912"/>
      <c r="G547" s="913" t="s">
        <v>883</v>
      </c>
      <c r="H547" s="914"/>
      <c r="I547" s="915" t="str">
        <f t="shared" ref="I547:T547" si="331">I41</f>
        <v>Ene</v>
      </c>
      <c r="J547" s="916" t="str">
        <f t="shared" si="331"/>
        <v>Feb</v>
      </c>
      <c r="K547" s="916" t="str">
        <f t="shared" si="331"/>
        <v>Mar</v>
      </c>
      <c r="L547" s="916" t="str">
        <f t="shared" si="331"/>
        <v>Abr</v>
      </c>
      <c r="M547" s="916" t="str">
        <f t="shared" si="331"/>
        <v>May</v>
      </c>
      <c r="N547" s="916" t="str">
        <f t="shared" si="331"/>
        <v>Jun</v>
      </c>
      <c r="O547" s="916" t="str">
        <f t="shared" si="331"/>
        <v>Jul</v>
      </c>
      <c r="P547" s="916" t="str">
        <f t="shared" si="331"/>
        <v>Ago</v>
      </c>
      <c r="Q547" s="916" t="str">
        <f t="shared" si="331"/>
        <v>Set</v>
      </c>
      <c r="R547" s="916" t="str">
        <f t="shared" si="331"/>
        <v>Oct</v>
      </c>
      <c r="S547" s="916" t="str">
        <f t="shared" si="331"/>
        <v>Nov</v>
      </c>
      <c r="T547" s="917" t="str">
        <f t="shared" si="331"/>
        <v>Dic</v>
      </c>
      <c r="U547" s="640" t="s">
        <v>1106</v>
      </c>
      <c r="W547" s="1569"/>
      <c r="Y547" s="1511"/>
      <c r="AB547" s="175"/>
      <c r="AR547" s="175"/>
    </row>
    <row r="548" spans="1:44" x14ac:dyDescent="0.2">
      <c r="A548" s="205"/>
      <c r="B548" s="923" t="s">
        <v>724</v>
      </c>
      <c r="C548" s="924" t="s">
        <v>1027</v>
      </c>
      <c r="D548" s="925"/>
      <c r="E548" s="925"/>
      <c r="F548" s="925"/>
      <c r="G548" s="925"/>
      <c r="H548" s="926"/>
      <c r="I548" s="927">
        <f>+UsoSuelo!F1347</f>
        <v>0</v>
      </c>
      <c r="J548" s="928">
        <f>+UsoSuelo!G1347</f>
        <v>0</v>
      </c>
      <c r="K548" s="928">
        <f>+UsoSuelo!H1347</f>
        <v>0</v>
      </c>
      <c r="L548" s="928">
        <f>+UsoSuelo!I1347</f>
        <v>0</v>
      </c>
      <c r="M548" s="928">
        <f>+UsoSuelo!J1347</f>
        <v>0</v>
      </c>
      <c r="N548" s="928">
        <f>+UsoSuelo!K1347</f>
        <v>0</v>
      </c>
      <c r="O548" s="928">
        <f>+UsoSuelo!L1347</f>
        <v>0</v>
      </c>
      <c r="P548" s="928">
        <f>+UsoSuelo!M1347</f>
        <v>0</v>
      </c>
      <c r="Q548" s="928">
        <f>+UsoSuelo!N1347</f>
        <v>0</v>
      </c>
      <c r="R548" s="928">
        <f>+UsoSuelo!O1347</f>
        <v>0</v>
      </c>
      <c r="S548" s="928">
        <f>+UsoSuelo!P1347</f>
        <v>0</v>
      </c>
      <c r="T548" s="929">
        <f>+UsoSuelo!Q1347</f>
        <v>0</v>
      </c>
      <c r="U548" s="2293">
        <f>SUM(I548:T548)</f>
        <v>0</v>
      </c>
      <c r="W548" s="1569"/>
      <c r="Y548" s="1511"/>
      <c r="AB548" s="175"/>
      <c r="AR548" s="175"/>
    </row>
    <row r="549" spans="1:44" x14ac:dyDescent="0.2">
      <c r="A549" s="205"/>
      <c r="B549" s="2294"/>
      <c r="C549" s="1" t="s">
        <v>885</v>
      </c>
      <c r="D549" s="1"/>
      <c r="E549" s="1" t="s">
        <v>881</v>
      </c>
      <c r="F549" s="1" t="s">
        <v>23</v>
      </c>
      <c r="G549" s="2"/>
      <c r="H549" s="2"/>
      <c r="I549" s="918"/>
      <c r="J549" s="319"/>
      <c r="K549" s="319"/>
      <c r="L549" s="319"/>
      <c r="M549" s="319"/>
      <c r="N549" s="320"/>
      <c r="O549" s="320"/>
      <c r="P549" s="320"/>
      <c r="Q549" s="320"/>
      <c r="R549" s="320"/>
      <c r="S549" s="320"/>
      <c r="T549" s="320"/>
      <c r="U549" s="642" t="s">
        <v>881</v>
      </c>
      <c r="W549" s="1569"/>
      <c r="Y549" s="1511"/>
      <c r="AB549" s="175"/>
      <c r="AR549" s="175"/>
    </row>
    <row r="550" spans="1:44" x14ac:dyDescent="0.2">
      <c r="A550" s="205"/>
      <c r="B550" s="199" t="s">
        <v>40</v>
      </c>
      <c r="C550" s="3" t="s">
        <v>1028</v>
      </c>
      <c r="D550" s="3" t="s">
        <v>312</v>
      </c>
      <c r="E550" s="3" t="s">
        <v>882</v>
      </c>
      <c r="F550" s="3" t="s">
        <v>314</v>
      </c>
      <c r="G550" s="4" t="s">
        <v>313</v>
      </c>
      <c r="H550" s="4"/>
      <c r="I550" s="919"/>
      <c r="J550" s="920"/>
      <c r="K550" s="920"/>
      <c r="L550" s="920"/>
      <c r="M550" s="920" t="s">
        <v>349</v>
      </c>
      <c r="N550" s="919"/>
      <c r="O550" s="919"/>
      <c r="P550" s="919"/>
      <c r="Q550" s="919"/>
      <c r="R550" s="919"/>
      <c r="S550" s="919"/>
      <c r="T550" s="919"/>
      <c r="U550" s="640" t="s">
        <v>891</v>
      </c>
      <c r="Y550" s="1511"/>
      <c r="AB550" s="175"/>
      <c r="AR550" s="175"/>
    </row>
    <row r="551" spans="1:44" x14ac:dyDescent="0.3">
      <c r="A551" s="205"/>
      <c r="B551" s="5051"/>
      <c r="C551" s="1033">
        <f>IF(B551=0,0,U$548)</f>
        <v>0</v>
      </c>
      <c r="D551" s="1033">
        <f>IF(B551=0,0,VLOOKUP(B551,Precios!$B$216:$D$307,3,FALSE))</f>
        <v>0</v>
      </c>
      <c r="E551" s="5052"/>
      <c r="F551" s="5486">
        <f>IF(B551=0,0,VLOOKUP(B551,Precios!$B$216:$D$307,2,FALSE))</f>
        <v>0</v>
      </c>
      <c r="G551" s="1033">
        <f>E551*F551</f>
        <v>0</v>
      </c>
      <c r="H551" s="309"/>
      <c r="I551" s="631">
        <f>I548*$E551</f>
        <v>0</v>
      </c>
      <c r="J551" s="630">
        <f t="shared" ref="J551:T551" si="332">J548*$E551</f>
        <v>0</v>
      </c>
      <c r="K551" s="630">
        <f t="shared" si="332"/>
        <v>0</v>
      </c>
      <c r="L551" s="630">
        <f t="shared" si="332"/>
        <v>0</v>
      </c>
      <c r="M551" s="630">
        <f t="shared" si="332"/>
        <v>0</v>
      </c>
      <c r="N551" s="630">
        <f t="shared" si="332"/>
        <v>0</v>
      </c>
      <c r="O551" s="630">
        <f t="shared" si="332"/>
        <v>0</v>
      </c>
      <c r="P551" s="630">
        <f t="shared" si="332"/>
        <v>0</v>
      </c>
      <c r="Q551" s="630">
        <f t="shared" si="332"/>
        <v>0</v>
      </c>
      <c r="R551" s="630">
        <f t="shared" si="332"/>
        <v>0</v>
      </c>
      <c r="S551" s="630">
        <f t="shared" si="332"/>
        <v>0</v>
      </c>
      <c r="T551" s="632">
        <f t="shared" si="332"/>
        <v>0</v>
      </c>
      <c r="U551" s="644">
        <f>SUM(I551:T551)</f>
        <v>0</v>
      </c>
      <c r="Y551" s="1511"/>
      <c r="AB551" s="175"/>
      <c r="AR551" s="175"/>
    </row>
    <row r="552" spans="1:44" x14ac:dyDescent="0.3">
      <c r="A552" s="205"/>
      <c r="B552" s="5053"/>
      <c r="C552" s="1005">
        <f>IF(B552=0,0,U$548)</f>
        <v>0</v>
      </c>
      <c r="D552" s="1005">
        <f>IF(B552=0,0,VLOOKUP(B552,Precios!$B$216:$D$307,3,FALSE))</f>
        <v>0</v>
      </c>
      <c r="E552" s="5054"/>
      <c r="F552" s="5487">
        <f>IF(B552=0,0,VLOOKUP(B552,Precios!$B$216:$D$307,2,FALSE))</f>
        <v>0</v>
      </c>
      <c r="G552" s="1005">
        <f>E552*F552</f>
        <v>0</v>
      </c>
      <c r="H552" s="309"/>
      <c r="I552" s="633">
        <f>I548*$E552</f>
        <v>0</v>
      </c>
      <c r="J552" s="620">
        <f t="shared" ref="J552:T552" si="333">J548*$E552</f>
        <v>0</v>
      </c>
      <c r="K552" s="620">
        <f t="shared" si="333"/>
        <v>0</v>
      </c>
      <c r="L552" s="620">
        <f t="shared" si="333"/>
        <v>0</v>
      </c>
      <c r="M552" s="620">
        <f t="shared" si="333"/>
        <v>0</v>
      </c>
      <c r="N552" s="620">
        <f t="shared" si="333"/>
        <v>0</v>
      </c>
      <c r="O552" s="620">
        <f t="shared" si="333"/>
        <v>0</v>
      </c>
      <c r="P552" s="620">
        <f t="shared" si="333"/>
        <v>0</v>
      </c>
      <c r="Q552" s="620">
        <f t="shared" si="333"/>
        <v>0</v>
      </c>
      <c r="R552" s="620">
        <f t="shared" si="333"/>
        <v>0</v>
      </c>
      <c r="S552" s="620">
        <f t="shared" si="333"/>
        <v>0</v>
      </c>
      <c r="T552" s="634">
        <f t="shared" si="333"/>
        <v>0</v>
      </c>
      <c r="U552" s="644">
        <f>SUM(I552:T552)</f>
        <v>0</v>
      </c>
      <c r="Y552" s="1511"/>
      <c r="AB552" s="175"/>
      <c r="AR552" s="175"/>
    </row>
    <row r="553" spans="1:44" x14ac:dyDescent="0.3">
      <c r="A553" s="205"/>
      <c r="B553" s="5055"/>
      <c r="C553" s="1047">
        <f>IF(B553=0,0,U$548)</f>
        <v>0</v>
      </c>
      <c r="D553" s="1047">
        <f>IF(B553=0,0,VLOOKUP(B553,Precios!$B$216:$D$307,3,FALSE))</f>
        <v>0</v>
      </c>
      <c r="E553" s="5056"/>
      <c r="F553" s="5488">
        <f>IF(B553=0,0,VLOOKUP(B553,Precios!$B$216:$D$307,2,FALSE))</f>
        <v>0</v>
      </c>
      <c r="G553" s="1047">
        <f>E553*F553</f>
        <v>0</v>
      </c>
      <c r="H553" s="309"/>
      <c r="I553" s="633">
        <f>I548*$E553</f>
        <v>0</v>
      </c>
      <c r="J553" s="620">
        <f t="shared" ref="J553:T553" si="334">J548*$E553</f>
        <v>0</v>
      </c>
      <c r="K553" s="620">
        <f t="shared" si="334"/>
        <v>0</v>
      </c>
      <c r="L553" s="620">
        <f t="shared" si="334"/>
        <v>0</v>
      </c>
      <c r="M553" s="620">
        <f t="shared" si="334"/>
        <v>0</v>
      </c>
      <c r="N553" s="620">
        <f t="shared" si="334"/>
        <v>0</v>
      </c>
      <c r="O553" s="620">
        <f t="shared" si="334"/>
        <v>0</v>
      </c>
      <c r="P553" s="620">
        <f t="shared" si="334"/>
        <v>0</v>
      </c>
      <c r="Q553" s="620">
        <f t="shared" si="334"/>
        <v>0</v>
      </c>
      <c r="R553" s="620">
        <f t="shared" si="334"/>
        <v>0</v>
      </c>
      <c r="S553" s="620">
        <f t="shared" si="334"/>
        <v>0</v>
      </c>
      <c r="T553" s="634">
        <f t="shared" si="334"/>
        <v>0</v>
      </c>
      <c r="U553" s="644">
        <f>SUM(I553:T553)</f>
        <v>0</v>
      </c>
      <c r="Y553" s="1511"/>
      <c r="AB553" s="175"/>
      <c r="AR553" s="175"/>
    </row>
    <row r="554" spans="1:44" x14ac:dyDescent="0.3">
      <c r="A554" s="205"/>
      <c r="B554" s="647" t="s">
        <v>1107</v>
      </c>
      <c r="C554" s="305"/>
      <c r="D554" s="305"/>
      <c r="E554" s="305"/>
      <c r="F554" s="305"/>
      <c r="G554" s="305"/>
      <c r="H554" s="306"/>
      <c r="I554" s="906">
        <f>+SUM(I551:I553)</f>
        <v>0</v>
      </c>
      <c r="J554" s="906">
        <f t="shared" ref="J554:T554" si="335">+SUM(J551:J553)</f>
        <v>0</v>
      </c>
      <c r="K554" s="906">
        <f t="shared" si="335"/>
        <v>0</v>
      </c>
      <c r="L554" s="906">
        <f t="shared" si="335"/>
        <v>0</v>
      </c>
      <c r="M554" s="906">
        <f t="shared" si="335"/>
        <v>0</v>
      </c>
      <c r="N554" s="906">
        <f t="shared" si="335"/>
        <v>0</v>
      </c>
      <c r="O554" s="906">
        <f t="shared" si="335"/>
        <v>0</v>
      </c>
      <c r="P554" s="906">
        <f t="shared" si="335"/>
        <v>0</v>
      </c>
      <c r="Q554" s="906">
        <f t="shared" si="335"/>
        <v>0</v>
      </c>
      <c r="R554" s="906">
        <f t="shared" si="335"/>
        <v>0</v>
      </c>
      <c r="S554" s="906">
        <f t="shared" si="335"/>
        <v>0</v>
      </c>
      <c r="T554" s="907">
        <f t="shared" si="335"/>
        <v>0</v>
      </c>
      <c r="U554" s="905">
        <f>+SUM(I554:T554)</f>
        <v>0</v>
      </c>
      <c r="Y554" s="1511"/>
      <c r="AB554" s="175"/>
      <c r="AR554" s="175"/>
    </row>
    <row r="555" spans="1:44" x14ac:dyDescent="0.3">
      <c r="A555" s="205"/>
      <c r="B555" s="197" t="s">
        <v>95</v>
      </c>
      <c r="C555" s="5057" t="s">
        <v>612</v>
      </c>
      <c r="D555" s="307"/>
      <c r="E555" s="308"/>
      <c r="F555" s="321"/>
      <c r="G555" s="308"/>
      <c r="H555" s="308"/>
      <c r="I555" s="322"/>
      <c r="J555" s="323"/>
      <c r="K555" s="323"/>
      <c r="L555" s="323"/>
      <c r="M555" s="323"/>
      <c r="N555" s="322"/>
      <c r="O555" s="322"/>
      <c r="P555" s="322"/>
      <c r="Q555" s="322"/>
      <c r="R555" s="322"/>
      <c r="S555" s="322"/>
      <c r="T555" s="322"/>
      <c r="U555" s="324"/>
      <c r="Y555" s="1511"/>
      <c r="AB555" s="175"/>
      <c r="AR555" s="175"/>
    </row>
    <row r="556" spans="1:44" ht="15.05" thickBot="1" x14ac:dyDescent="0.35">
      <c r="A556" s="205"/>
      <c r="B556" s="5058"/>
      <c r="C556" s="1043">
        <f>IF(B556=0,0,U$548)</f>
        <v>0</v>
      </c>
      <c r="D556" s="1043">
        <f>IF(B556=0,0,VLOOKUP(B556,Precios!$B$216:$D$307,3,FALSE))</f>
        <v>0</v>
      </c>
      <c r="E556" s="5059"/>
      <c r="F556" s="1045">
        <f>IF(B556=0,0,VLOOKUP(B556,Precios!$B$216:$D$307,2,FALSE))</f>
        <v>0</v>
      </c>
      <c r="G556" s="1045">
        <f>E556*F556</f>
        <v>0</v>
      </c>
      <c r="H556" s="309"/>
      <c r="I556" s="303">
        <f t="shared" ref="I556:T556" si="336">I548*$E556</f>
        <v>0</v>
      </c>
      <c r="J556" s="302">
        <f t="shared" si="336"/>
        <v>0</v>
      </c>
      <c r="K556" s="302">
        <f t="shared" si="336"/>
        <v>0</v>
      </c>
      <c r="L556" s="302">
        <f t="shared" si="336"/>
        <v>0</v>
      </c>
      <c r="M556" s="302">
        <f t="shared" si="336"/>
        <v>0</v>
      </c>
      <c r="N556" s="302">
        <f t="shared" si="336"/>
        <v>0</v>
      </c>
      <c r="O556" s="302">
        <f>O548*$E556</f>
        <v>0</v>
      </c>
      <c r="P556" s="302">
        <f t="shared" si="336"/>
        <v>0</v>
      </c>
      <c r="Q556" s="302">
        <f t="shared" si="336"/>
        <v>0</v>
      </c>
      <c r="R556" s="302">
        <f t="shared" si="336"/>
        <v>0</v>
      </c>
      <c r="S556" s="302">
        <f t="shared" si="336"/>
        <v>0</v>
      </c>
      <c r="T556" s="304">
        <f t="shared" si="336"/>
        <v>0</v>
      </c>
      <c r="U556" s="325"/>
      <c r="V556" s="1511" t="str">
        <f>B556&amp;C555</f>
        <v>Propia</v>
      </c>
      <c r="X556" s="382"/>
      <c r="Y556" s="383"/>
      <c r="AB556" s="175"/>
      <c r="AR556" s="175"/>
    </row>
    <row r="557" spans="1:44" ht="15.05" thickBot="1" x14ac:dyDescent="0.25">
      <c r="A557" s="205"/>
      <c r="B557" s="923" t="s">
        <v>325</v>
      </c>
      <c r="C557" s="924" t="s">
        <v>1027</v>
      </c>
      <c r="D557" s="925"/>
      <c r="E557" s="925"/>
      <c r="F557" s="930"/>
      <c r="G557" s="930"/>
      <c r="H557" s="371"/>
      <c r="I557" s="932">
        <f>UsoSuelo!F1350</f>
        <v>0</v>
      </c>
      <c r="J557" s="932">
        <f>UsoSuelo!G1350</f>
        <v>0</v>
      </c>
      <c r="K557" s="932">
        <f>UsoSuelo!H1350</f>
        <v>0</v>
      </c>
      <c r="L557" s="932">
        <f>UsoSuelo!I1350</f>
        <v>0</v>
      </c>
      <c r="M557" s="932">
        <f>UsoSuelo!J1350</f>
        <v>0</v>
      </c>
      <c r="N557" s="932">
        <f>UsoSuelo!K1350</f>
        <v>0</v>
      </c>
      <c r="O557" s="932">
        <f>UsoSuelo!L1350</f>
        <v>0</v>
      </c>
      <c r="P557" s="932">
        <f>UsoSuelo!M1350</f>
        <v>0</v>
      </c>
      <c r="Q557" s="932">
        <f>UsoSuelo!N1350</f>
        <v>0</v>
      </c>
      <c r="R557" s="932">
        <f>UsoSuelo!O1350</f>
        <v>0</v>
      </c>
      <c r="S557" s="932">
        <f>UsoSuelo!P1350</f>
        <v>0</v>
      </c>
      <c r="T557" s="933">
        <f>UsoSuelo!Q1350</f>
        <v>0</v>
      </c>
      <c r="U557" s="934">
        <f>SUM(I557:T557)</f>
        <v>0</v>
      </c>
      <c r="X557" s="382"/>
      <c r="Y557" s="383"/>
      <c r="AB557" s="175"/>
      <c r="AR557" s="175"/>
    </row>
    <row r="558" spans="1:44" x14ac:dyDescent="0.2">
      <c r="A558" s="205"/>
      <c r="B558" s="197" t="s">
        <v>40</v>
      </c>
      <c r="C558" s="307"/>
      <c r="D558" s="307"/>
      <c r="E558" s="308"/>
      <c r="F558" s="321"/>
      <c r="G558" s="308"/>
      <c r="H558" s="308"/>
      <c r="I558" s="322"/>
      <c r="J558" s="323"/>
      <c r="K558" s="323"/>
      <c r="L558" s="323"/>
      <c r="M558" s="323"/>
      <c r="N558" s="322"/>
      <c r="O558" s="322"/>
      <c r="P558" s="322"/>
      <c r="Q558" s="322"/>
      <c r="R558" s="322"/>
      <c r="S558" s="322"/>
      <c r="T558" s="322"/>
      <c r="U558" s="324"/>
      <c r="X558" s="382"/>
      <c r="Y558" s="383"/>
      <c r="AB558" s="175"/>
      <c r="AR558" s="175"/>
    </row>
    <row r="559" spans="1:44" x14ac:dyDescent="0.3">
      <c r="A559" s="205"/>
      <c r="B559" s="5051"/>
      <c r="C559" s="1033">
        <f>IF(B559=0,0,U$557)</f>
        <v>0</v>
      </c>
      <c r="D559" s="1033">
        <f>IF(B559=0,0,VLOOKUP(B559,Precios!$B$216:$D$307,3,FALSE))</f>
        <v>0</v>
      </c>
      <c r="E559" s="5052"/>
      <c r="F559" s="1034">
        <f>IF(B559=0,0,VLOOKUP(B559,Precios!$B$216:$D$307,2,FALSE))</f>
        <v>0</v>
      </c>
      <c r="G559" s="1033">
        <f>E559*F559</f>
        <v>0</v>
      </c>
      <c r="H559" s="309"/>
      <c r="I559" s="1038">
        <f>I557*$E559</f>
        <v>0</v>
      </c>
      <c r="J559" s="1033">
        <f t="shared" ref="J559:T559" si="337">J557*$E559</f>
        <v>0</v>
      </c>
      <c r="K559" s="1033">
        <f t="shared" si="337"/>
        <v>0</v>
      </c>
      <c r="L559" s="1033">
        <f t="shared" si="337"/>
        <v>0</v>
      </c>
      <c r="M559" s="1033">
        <f t="shared" si="337"/>
        <v>0</v>
      </c>
      <c r="N559" s="1033">
        <f t="shared" si="337"/>
        <v>0</v>
      </c>
      <c r="O559" s="1033">
        <f t="shared" si="337"/>
        <v>0</v>
      </c>
      <c r="P559" s="1033">
        <f t="shared" si="337"/>
        <v>0</v>
      </c>
      <c r="Q559" s="1033">
        <f t="shared" si="337"/>
        <v>0</v>
      </c>
      <c r="R559" s="1033">
        <f t="shared" si="337"/>
        <v>0</v>
      </c>
      <c r="S559" s="1033">
        <f t="shared" si="337"/>
        <v>0</v>
      </c>
      <c r="T559" s="1033">
        <f t="shared" si="337"/>
        <v>0</v>
      </c>
      <c r="U559" s="2286">
        <f>SUM(I559:T559)</f>
        <v>0</v>
      </c>
      <c r="X559" s="382"/>
      <c r="Y559" s="383"/>
      <c r="AB559" s="175"/>
      <c r="AR559" s="175"/>
    </row>
    <row r="560" spans="1:44" x14ac:dyDescent="0.3">
      <c r="A560" s="205"/>
      <c r="B560" s="5053"/>
      <c r="C560" s="1005">
        <f>IF(B560=0,0,U$557)</f>
        <v>0</v>
      </c>
      <c r="D560" s="1005">
        <f>IF(B560=0,0,VLOOKUP(B560,Precios!$B$216:$D$307,3,FALSE))</f>
        <v>0</v>
      </c>
      <c r="E560" s="5054"/>
      <c r="F560" s="1035">
        <f>IF(B560=0,0,VLOOKUP(B560,Precios!$B$216:$D$307,2,FALSE))</f>
        <v>0</v>
      </c>
      <c r="G560" s="1005">
        <f>E560*F560</f>
        <v>0</v>
      </c>
      <c r="H560" s="309"/>
      <c r="I560" s="1010">
        <f>I557*$E560</f>
        <v>0</v>
      </c>
      <c r="J560" s="1005">
        <f t="shared" ref="J560:T560" si="338">J557*$E560</f>
        <v>0</v>
      </c>
      <c r="K560" s="1005">
        <f t="shared" si="338"/>
        <v>0</v>
      </c>
      <c r="L560" s="1005">
        <f t="shared" si="338"/>
        <v>0</v>
      </c>
      <c r="M560" s="1005">
        <f t="shared" si="338"/>
        <v>0</v>
      </c>
      <c r="N560" s="1005">
        <f t="shared" si="338"/>
        <v>0</v>
      </c>
      <c r="O560" s="1005">
        <f t="shared" si="338"/>
        <v>0</v>
      </c>
      <c r="P560" s="1005">
        <f t="shared" si="338"/>
        <v>0</v>
      </c>
      <c r="Q560" s="1005">
        <f t="shared" si="338"/>
        <v>0</v>
      </c>
      <c r="R560" s="1005">
        <f t="shared" si="338"/>
        <v>0</v>
      </c>
      <c r="S560" s="1005">
        <f t="shared" si="338"/>
        <v>0</v>
      </c>
      <c r="T560" s="1005">
        <f t="shared" si="338"/>
        <v>0</v>
      </c>
      <c r="U560" s="1075">
        <f>SUM(I560:T560)</f>
        <v>0</v>
      </c>
      <c r="X560" s="382"/>
      <c r="Y560" s="383"/>
      <c r="AB560" s="175"/>
      <c r="AR560" s="175"/>
    </row>
    <row r="561" spans="1:44" x14ac:dyDescent="0.3">
      <c r="A561" s="205"/>
      <c r="B561" s="5060"/>
      <c r="C561" s="1036">
        <f>IF(B561=0,0,U$557)</f>
        <v>0</v>
      </c>
      <c r="D561" s="1036">
        <f>IF(B561=0,0,VLOOKUP(B561,Precios!$B$216:$D$307,3,FALSE))</f>
        <v>0</v>
      </c>
      <c r="E561" s="5061"/>
      <c r="F561" s="1037">
        <f>IF(B561=0,0,VLOOKUP(B561,Precios!$B$216:$D$307,2,FALSE))</f>
        <v>0</v>
      </c>
      <c r="G561" s="1036">
        <f>E561*F561</f>
        <v>0</v>
      </c>
      <c r="H561" s="309"/>
      <c r="I561" s="1039">
        <f>I557*$E561</f>
        <v>0</v>
      </c>
      <c r="J561" s="1036">
        <f t="shared" ref="J561:T561" si="339">J557*$E561</f>
        <v>0</v>
      </c>
      <c r="K561" s="1036">
        <f t="shared" si="339"/>
        <v>0</v>
      </c>
      <c r="L561" s="1036">
        <f t="shared" si="339"/>
        <v>0</v>
      </c>
      <c r="M561" s="1036">
        <f t="shared" si="339"/>
        <v>0</v>
      </c>
      <c r="N561" s="1036">
        <f t="shared" si="339"/>
        <v>0</v>
      </c>
      <c r="O561" s="1036">
        <f t="shared" si="339"/>
        <v>0</v>
      </c>
      <c r="P561" s="1036">
        <f t="shared" si="339"/>
        <v>0</v>
      </c>
      <c r="Q561" s="1036">
        <f t="shared" si="339"/>
        <v>0</v>
      </c>
      <c r="R561" s="1036">
        <f t="shared" si="339"/>
        <v>0</v>
      </c>
      <c r="S561" s="1036">
        <f t="shared" si="339"/>
        <v>0</v>
      </c>
      <c r="T561" s="1036">
        <f t="shared" si="339"/>
        <v>0</v>
      </c>
      <c r="U561" s="2287">
        <f>SUM(I561:T561)</f>
        <v>0</v>
      </c>
      <c r="X561" s="382"/>
      <c r="Y561" s="383"/>
      <c r="AB561" s="175"/>
      <c r="AR561" s="175"/>
    </row>
    <row r="562" spans="1:44" x14ac:dyDescent="0.3">
      <c r="A562" s="205"/>
      <c r="B562" s="647" t="s">
        <v>1086</v>
      </c>
      <c r="C562" s="305"/>
      <c r="D562" s="305"/>
      <c r="E562" s="305"/>
      <c r="F562" s="305"/>
      <c r="G562" s="305"/>
      <c r="H562" s="306"/>
      <c r="I562" s="921">
        <f>+SUM(I559:I561)</f>
        <v>0</v>
      </c>
      <c r="J562" s="921">
        <f t="shared" ref="J562:T562" si="340">+SUM(J559:J561)</f>
        <v>0</v>
      </c>
      <c r="K562" s="921">
        <f t="shared" si="340"/>
        <v>0</v>
      </c>
      <c r="L562" s="921">
        <f t="shared" si="340"/>
        <v>0</v>
      </c>
      <c r="M562" s="921">
        <f t="shared" si="340"/>
        <v>0</v>
      </c>
      <c r="N562" s="921">
        <f t="shared" si="340"/>
        <v>0</v>
      </c>
      <c r="O562" s="921">
        <f t="shared" si="340"/>
        <v>0</v>
      </c>
      <c r="P562" s="921">
        <f t="shared" si="340"/>
        <v>0</v>
      </c>
      <c r="Q562" s="921">
        <f t="shared" si="340"/>
        <v>0</v>
      </c>
      <c r="R562" s="921">
        <f t="shared" si="340"/>
        <v>0</v>
      </c>
      <c r="S562" s="921">
        <f t="shared" si="340"/>
        <v>0</v>
      </c>
      <c r="T562" s="921">
        <f t="shared" si="340"/>
        <v>0</v>
      </c>
      <c r="U562" s="2288">
        <f>+SUM(I562:T562)</f>
        <v>0</v>
      </c>
      <c r="X562" s="382"/>
      <c r="Y562" s="383"/>
      <c r="AB562" s="175"/>
      <c r="AR562" s="175"/>
    </row>
    <row r="563" spans="1:44" x14ac:dyDescent="0.3">
      <c r="A563" s="205"/>
      <c r="B563" s="197" t="s">
        <v>95</v>
      </c>
      <c r="C563" s="5057" t="s">
        <v>612</v>
      </c>
      <c r="D563" s="307"/>
      <c r="E563" s="308"/>
      <c r="F563" s="321"/>
      <c r="G563" s="308"/>
      <c r="H563" s="308"/>
      <c r="I563" s="322"/>
      <c r="J563" s="323"/>
      <c r="K563" s="323"/>
      <c r="L563" s="323"/>
      <c r="M563" s="323"/>
      <c r="N563" s="322"/>
      <c r="O563" s="322"/>
      <c r="P563" s="322"/>
      <c r="Q563" s="322"/>
      <c r="R563" s="322"/>
      <c r="S563" s="322"/>
      <c r="T563" s="322"/>
      <c r="U563" s="324"/>
      <c r="X563" s="382"/>
      <c r="Y563" s="383"/>
      <c r="AB563" s="175"/>
      <c r="AR563" s="175"/>
    </row>
    <row r="564" spans="1:44" ht="15.05" thickBot="1" x14ac:dyDescent="0.35">
      <c r="A564" s="205"/>
      <c r="B564" s="5058"/>
      <c r="C564" s="1043">
        <f>IF(B564=0,0,U$557)</f>
        <v>0</v>
      </c>
      <c r="D564" s="1043">
        <f>IF(B564=0,0,VLOOKUP(B564,Precios!$B$216:$D$307,3,FALSE))</f>
        <v>0</v>
      </c>
      <c r="E564" s="5059"/>
      <c r="F564" s="1045">
        <f>IF(B564=0,0,VLOOKUP(B564,Precios!$B$216:$D$307,2,FALSE))</f>
        <v>0</v>
      </c>
      <c r="G564" s="1045">
        <f>E564*F564</f>
        <v>0</v>
      </c>
      <c r="H564" s="309"/>
      <c r="I564" s="303">
        <f>I557*$E564</f>
        <v>0</v>
      </c>
      <c r="J564" s="302">
        <f t="shared" ref="J564:T564" si="341">J557*$E564</f>
        <v>0</v>
      </c>
      <c r="K564" s="302">
        <f t="shared" si="341"/>
        <v>0</v>
      </c>
      <c r="L564" s="302">
        <f t="shared" si="341"/>
        <v>0</v>
      </c>
      <c r="M564" s="302">
        <f t="shared" si="341"/>
        <v>0</v>
      </c>
      <c r="N564" s="302">
        <f t="shared" si="341"/>
        <v>0</v>
      </c>
      <c r="O564" s="302">
        <f t="shared" si="341"/>
        <v>0</v>
      </c>
      <c r="P564" s="302">
        <f t="shared" si="341"/>
        <v>0</v>
      </c>
      <c r="Q564" s="302">
        <f t="shared" si="341"/>
        <v>0</v>
      </c>
      <c r="R564" s="302">
        <f t="shared" si="341"/>
        <v>0</v>
      </c>
      <c r="S564" s="302">
        <f t="shared" si="341"/>
        <v>0</v>
      </c>
      <c r="T564" s="304">
        <f t="shared" si="341"/>
        <v>0</v>
      </c>
      <c r="U564" s="325"/>
      <c r="V564" s="1511" t="str">
        <f>B564&amp;C563</f>
        <v>Propia</v>
      </c>
      <c r="X564" s="382"/>
      <c r="Y564" s="383"/>
      <c r="AB564" s="175"/>
      <c r="AR564" s="175"/>
    </row>
    <row r="565" spans="1:44" ht="15.05" thickBot="1" x14ac:dyDescent="0.25">
      <c r="A565" s="205"/>
      <c r="B565" s="923" t="s">
        <v>1090</v>
      </c>
      <c r="C565" s="924" t="s">
        <v>1027</v>
      </c>
      <c r="D565" s="925"/>
      <c r="E565" s="925"/>
      <c r="F565" s="930"/>
      <c r="G565" s="930"/>
      <c r="H565" s="371"/>
      <c r="I565" s="932">
        <f>UsoSuelo!F1353</f>
        <v>0</v>
      </c>
      <c r="J565" s="931">
        <f>UsoSuelo!G1353</f>
        <v>0</v>
      </c>
      <c r="K565" s="931">
        <f>UsoSuelo!H1353</f>
        <v>0</v>
      </c>
      <c r="L565" s="931">
        <f>UsoSuelo!I1353</f>
        <v>0</v>
      </c>
      <c r="M565" s="931">
        <f>UsoSuelo!J1353</f>
        <v>0</v>
      </c>
      <c r="N565" s="931">
        <f>UsoSuelo!K1353</f>
        <v>0</v>
      </c>
      <c r="O565" s="931">
        <f>UsoSuelo!L1353</f>
        <v>0</v>
      </c>
      <c r="P565" s="931">
        <f>UsoSuelo!M1353</f>
        <v>0</v>
      </c>
      <c r="Q565" s="931">
        <f>UsoSuelo!N1353</f>
        <v>0</v>
      </c>
      <c r="R565" s="931">
        <f>UsoSuelo!O1353</f>
        <v>0</v>
      </c>
      <c r="S565" s="931">
        <f>UsoSuelo!P1353</f>
        <v>0</v>
      </c>
      <c r="T565" s="931">
        <f>UsoSuelo!Q1353</f>
        <v>0</v>
      </c>
      <c r="U565" s="934">
        <f>SUM(I565:T565)</f>
        <v>0</v>
      </c>
      <c r="X565" s="382"/>
      <c r="Y565" s="383"/>
      <c r="AB565" s="175"/>
      <c r="AR565" s="175"/>
    </row>
    <row r="566" spans="1:44" x14ac:dyDescent="0.2">
      <c r="A566" s="205"/>
      <c r="B566" s="197" t="s">
        <v>40</v>
      </c>
      <c r="C566" s="307"/>
      <c r="D566" s="307"/>
      <c r="E566" s="308"/>
      <c r="F566" s="321"/>
      <c r="G566" s="308"/>
      <c r="H566" s="308"/>
      <c r="I566" s="322"/>
      <c r="J566" s="323"/>
      <c r="K566" s="323"/>
      <c r="L566" s="323"/>
      <c r="M566" s="323"/>
      <c r="N566" s="322"/>
      <c r="O566" s="322"/>
      <c r="P566" s="322"/>
      <c r="Q566" s="322"/>
      <c r="R566" s="322"/>
      <c r="S566" s="322"/>
      <c r="T566" s="322"/>
      <c r="U566" s="324"/>
      <c r="X566" s="382"/>
      <c r="Y566" s="383"/>
      <c r="AB566" s="175"/>
      <c r="AR566" s="175"/>
    </row>
    <row r="567" spans="1:44" x14ac:dyDescent="0.3">
      <c r="A567" s="205"/>
      <c r="B567" s="5051"/>
      <c r="C567" s="1033">
        <f>IF(B567=0,0,U$565)</f>
        <v>0</v>
      </c>
      <c r="D567" s="1033">
        <f>IF(B567=0,0,VLOOKUP(B567,Precios!$B$216:$D$307,3,FALSE))</f>
        <v>0</v>
      </c>
      <c r="E567" s="5052"/>
      <c r="F567" s="1034">
        <f>IF(B567=0,0,VLOOKUP(B567,Precios!$B$216:$D$307,2,FALSE))</f>
        <v>0</v>
      </c>
      <c r="G567" s="1033">
        <f>E567*F567</f>
        <v>0</v>
      </c>
      <c r="H567" s="309"/>
      <c r="I567" s="1038">
        <f>I565*$E567</f>
        <v>0</v>
      </c>
      <c r="J567" s="1033">
        <f t="shared" ref="J567:T567" si="342">J565*$E567</f>
        <v>0</v>
      </c>
      <c r="K567" s="1033">
        <f t="shared" si="342"/>
        <v>0</v>
      </c>
      <c r="L567" s="1033">
        <f t="shared" si="342"/>
        <v>0</v>
      </c>
      <c r="M567" s="1033">
        <f t="shared" si="342"/>
        <v>0</v>
      </c>
      <c r="N567" s="1033">
        <f t="shared" si="342"/>
        <v>0</v>
      </c>
      <c r="O567" s="1033">
        <f t="shared" si="342"/>
        <v>0</v>
      </c>
      <c r="P567" s="1033">
        <f t="shared" si="342"/>
        <v>0</v>
      </c>
      <c r="Q567" s="1033">
        <f t="shared" si="342"/>
        <v>0</v>
      </c>
      <c r="R567" s="1033">
        <f t="shared" si="342"/>
        <v>0</v>
      </c>
      <c r="S567" s="1033">
        <f t="shared" si="342"/>
        <v>0</v>
      </c>
      <c r="T567" s="1033">
        <f t="shared" si="342"/>
        <v>0</v>
      </c>
      <c r="U567" s="2286">
        <f>SUM(I567:T567)</f>
        <v>0</v>
      </c>
      <c r="X567" s="382"/>
      <c r="Y567" s="383"/>
      <c r="AB567" s="175"/>
      <c r="AR567" s="175"/>
    </row>
    <row r="568" spans="1:44" x14ac:dyDescent="0.3">
      <c r="A568" s="205"/>
      <c r="B568" s="5053"/>
      <c r="C568" s="1005">
        <f>IF(B568=0,0,U$565)</f>
        <v>0</v>
      </c>
      <c r="D568" s="1005">
        <f>IF(B568=0,0,VLOOKUP(B568,Precios!$B$216:$D$307,3,FALSE))</f>
        <v>0</v>
      </c>
      <c r="E568" s="5054"/>
      <c r="F568" s="1035">
        <f>IF(B568=0,0,VLOOKUP(B568,Precios!$B$216:$D$307,2,FALSE))</f>
        <v>0</v>
      </c>
      <c r="G568" s="1005">
        <f>E568*F568</f>
        <v>0</v>
      </c>
      <c r="H568" s="309"/>
      <c r="I568" s="1010">
        <f>I565*$E568</f>
        <v>0</v>
      </c>
      <c r="J568" s="1005">
        <f t="shared" ref="J568:T568" si="343">J565*$E568</f>
        <v>0</v>
      </c>
      <c r="K568" s="1005">
        <f t="shared" si="343"/>
        <v>0</v>
      </c>
      <c r="L568" s="1005">
        <f t="shared" si="343"/>
        <v>0</v>
      </c>
      <c r="M568" s="1005">
        <f t="shared" si="343"/>
        <v>0</v>
      </c>
      <c r="N568" s="1005">
        <f t="shared" si="343"/>
        <v>0</v>
      </c>
      <c r="O568" s="1005">
        <f t="shared" si="343"/>
        <v>0</v>
      </c>
      <c r="P568" s="1005">
        <f t="shared" si="343"/>
        <v>0</v>
      </c>
      <c r="Q568" s="1005">
        <f t="shared" si="343"/>
        <v>0</v>
      </c>
      <c r="R568" s="1005">
        <f t="shared" si="343"/>
        <v>0</v>
      </c>
      <c r="S568" s="1005">
        <f t="shared" si="343"/>
        <v>0</v>
      </c>
      <c r="T568" s="1005">
        <f t="shared" si="343"/>
        <v>0</v>
      </c>
      <c r="U568" s="1075">
        <f>SUM(I568:T568)</f>
        <v>0</v>
      </c>
      <c r="X568" s="382"/>
      <c r="Y568" s="383"/>
      <c r="AB568" s="175"/>
      <c r="AR568" s="175"/>
    </row>
    <row r="569" spans="1:44" x14ac:dyDescent="0.3">
      <c r="A569" s="205"/>
      <c r="B569" s="5060"/>
      <c r="C569" s="1036">
        <f>IF(B569=0,0,U$565)</f>
        <v>0</v>
      </c>
      <c r="D569" s="1036">
        <f>IF(B569=0,0,VLOOKUP(B569,Precios!$B$216:$D$307,3,FALSE))</f>
        <v>0</v>
      </c>
      <c r="E569" s="5061"/>
      <c r="F569" s="1037">
        <f>IF(B569=0,0,VLOOKUP(B569,Precios!$B$216:$D$307,2,FALSE))</f>
        <v>0</v>
      </c>
      <c r="G569" s="1036">
        <f>E569*F569</f>
        <v>0</v>
      </c>
      <c r="H569" s="309"/>
      <c r="I569" s="1039">
        <f>I565*$E569</f>
        <v>0</v>
      </c>
      <c r="J569" s="1036">
        <f t="shared" ref="J569:T569" si="344">J565*$E569</f>
        <v>0</v>
      </c>
      <c r="K569" s="1036">
        <f t="shared" si="344"/>
        <v>0</v>
      </c>
      <c r="L569" s="1036">
        <f t="shared" si="344"/>
        <v>0</v>
      </c>
      <c r="M569" s="1036">
        <f t="shared" si="344"/>
        <v>0</v>
      </c>
      <c r="N569" s="1036">
        <f t="shared" si="344"/>
        <v>0</v>
      </c>
      <c r="O569" s="1036">
        <f t="shared" si="344"/>
        <v>0</v>
      </c>
      <c r="P569" s="1036">
        <f t="shared" si="344"/>
        <v>0</v>
      </c>
      <c r="Q569" s="1036">
        <f t="shared" si="344"/>
        <v>0</v>
      </c>
      <c r="R569" s="1036">
        <f t="shared" si="344"/>
        <v>0</v>
      </c>
      <c r="S569" s="1036">
        <f t="shared" si="344"/>
        <v>0</v>
      </c>
      <c r="T569" s="1036">
        <f t="shared" si="344"/>
        <v>0</v>
      </c>
      <c r="U569" s="2287">
        <f>SUM(I569:T569)</f>
        <v>0</v>
      </c>
      <c r="X569" s="382"/>
      <c r="Y569" s="383"/>
      <c r="AB569" s="175"/>
      <c r="AR569" s="175"/>
    </row>
    <row r="570" spans="1:44" x14ac:dyDescent="0.3">
      <c r="A570" s="205"/>
      <c r="B570" s="647" t="s">
        <v>1086</v>
      </c>
      <c r="C570" s="305"/>
      <c r="D570" s="305"/>
      <c r="E570" s="305"/>
      <c r="F570" s="305"/>
      <c r="G570" s="305"/>
      <c r="H570" s="306"/>
      <c r="I570" s="921">
        <f>+SUM(I567:I569)</f>
        <v>0</v>
      </c>
      <c r="J570" s="921">
        <f t="shared" ref="J570:T570" si="345">+SUM(J567:J569)</f>
        <v>0</v>
      </c>
      <c r="K570" s="921">
        <f t="shared" si="345"/>
        <v>0</v>
      </c>
      <c r="L570" s="921">
        <f t="shared" si="345"/>
        <v>0</v>
      </c>
      <c r="M570" s="921">
        <f t="shared" si="345"/>
        <v>0</v>
      </c>
      <c r="N570" s="921">
        <f t="shared" si="345"/>
        <v>0</v>
      </c>
      <c r="O570" s="921">
        <f t="shared" si="345"/>
        <v>0</v>
      </c>
      <c r="P570" s="921">
        <f t="shared" si="345"/>
        <v>0</v>
      </c>
      <c r="Q570" s="921">
        <f t="shared" si="345"/>
        <v>0</v>
      </c>
      <c r="R570" s="921">
        <f t="shared" si="345"/>
        <v>0</v>
      </c>
      <c r="S570" s="921">
        <f t="shared" si="345"/>
        <v>0</v>
      </c>
      <c r="T570" s="921">
        <f t="shared" si="345"/>
        <v>0</v>
      </c>
      <c r="U570" s="2288">
        <f>+SUM(I570:T570)</f>
        <v>0</v>
      </c>
      <c r="X570" s="382"/>
      <c r="Y570" s="383"/>
      <c r="AB570" s="175"/>
      <c r="AR570" s="175"/>
    </row>
    <row r="571" spans="1:44" x14ac:dyDescent="0.3">
      <c r="A571" s="205"/>
      <c r="B571" s="197" t="s">
        <v>95</v>
      </c>
      <c r="C571" s="5057" t="s">
        <v>612</v>
      </c>
      <c r="D571" s="307"/>
      <c r="E571" s="308"/>
      <c r="F571" s="321"/>
      <c r="G571" s="308"/>
      <c r="H571" s="308"/>
      <c r="I571" s="322"/>
      <c r="J571" s="323"/>
      <c r="K571" s="323"/>
      <c r="L571" s="323"/>
      <c r="M571" s="323"/>
      <c r="N571" s="322"/>
      <c r="O571" s="322"/>
      <c r="P571" s="322"/>
      <c r="Q571" s="322"/>
      <c r="R571" s="322"/>
      <c r="S571" s="322"/>
      <c r="T571" s="322"/>
      <c r="U571" s="324"/>
      <c r="V571" s="1511" t="str">
        <f>B572&amp;C571</f>
        <v>Propia</v>
      </c>
      <c r="X571" s="382"/>
      <c r="Y571" s="383"/>
      <c r="AB571" s="175"/>
      <c r="AR571" s="175"/>
    </row>
    <row r="572" spans="1:44" ht="15.05" thickBot="1" x14ac:dyDescent="0.35">
      <c r="A572" s="205"/>
      <c r="B572" s="5058"/>
      <c r="C572" s="1043">
        <f>IF(B572=0,0,U$565)</f>
        <v>0</v>
      </c>
      <c r="D572" s="1043">
        <f>IF(B572=0,0,VLOOKUP(B572,Precios!$B$216:$D$307,3,FALSE))</f>
        <v>0</v>
      </c>
      <c r="E572" s="5059"/>
      <c r="F572" s="1045">
        <f>IF(B572=0,0,VLOOKUP(B572,Precios!$B$216:$D$307,2,FALSE))</f>
        <v>0</v>
      </c>
      <c r="G572" s="1045">
        <f>E572*F572</f>
        <v>0</v>
      </c>
      <c r="H572" s="309"/>
      <c r="I572" s="303">
        <f>I565*$E572</f>
        <v>0</v>
      </c>
      <c r="J572" s="302">
        <f t="shared" ref="J572:T572" si="346">J565*$E572</f>
        <v>0</v>
      </c>
      <c r="K572" s="302">
        <f t="shared" si="346"/>
        <v>0</v>
      </c>
      <c r="L572" s="302">
        <f t="shared" si="346"/>
        <v>0</v>
      </c>
      <c r="M572" s="302">
        <f t="shared" si="346"/>
        <v>0</v>
      </c>
      <c r="N572" s="302">
        <f t="shared" si="346"/>
        <v>0</v>
      </c>
      <c r="O572" s="302">
        <f t="shared" si="346"/>
        <v>0</v>
      </c>
      <c r="P572" s="302">
        <f t="shared" si="346"/>
        <v>0</v>
      </c>
      <c r="Q572" s="302">
        <f t="shared" si="346"/>
        <v>0</v>
      </c>
      <c r="R572" s="302">
        <f t="shared" si="346"/>
        <v>0</v>
      </c>
      <c r="S572" s="302">
        <f t="shared" si="346"/>
        <v>0</v>
      </c>
      <c r="T572" s="304">
        <f t="shared" si="346"/>
        <v>0</v>
      </c>
      <c r="U572" s="325"/>
      <c r="V572" s="1511"/>
      <c r="X572" s="382"/>
      <c r="Y572" s="383"/>
      <c r="AB572" s="175"/>
      <c r="AR572" s="175"/>
    </row>
    <row r="573" spans="1:44" ht="15.05" thickBot="1" x14ac:dyDescent="0.25">
      <c r="A573" s="205"/>
      <c r="B573" s="923" t="s">
        <v>1098</v>
      </c>
      <c r="C573" s="924" t="s">
        <v>1027</v>
      </c>
      <c r="D573" s="925"/>
      <c r="E573" s="925"/>
      <c r="F573" s="930"/>
      <c r="G573" s="930"/>
      <c r="H573" s="371"/>
      <c r="I573" s="932">
        <f>UsoSuelo!F1359</f>
        <v>0</v>
      </c>
      <c r="J573" s="931">
        <f>UsoSuelo!G1359</f>
        <v>0</v>
      </c>
      <c r="K573" s="931">
        <f>UsoSuelo!H1359</f>
        <v>0</v>
      </c>
      <c r="L573" s="931">
        <f>UsoSuelo!I1359</f>
        <v>0</v>
      </c>
      <c r="M573" s="931">
        <f>UsoSuelo!J1359</f>
        <v>0</v>
      </c>
      <c r="N573" s="931">
        <f>UsoSuelo!K1359</f>
        <v>0</v>
      </c>
      <c r="O573" s="931">
        <f>UsoSuelo!L1359</f>
        <v>0</v>
      </c>
      <c r="P573" s="931">
        <f>UsoSuelo!M1359</f>
        <v>0</v>
      </c>
      <c r="Q573" s="931">
        <f>UsoSuelo!N1359</f>
        <v>0</v>
      </c>
      <c r="R573" s="931">
        <f>UsoSuelo!O1359</f>
        <v>0</v>
      </c>
      <c r="S573" s="931">
        <f>UsoSuelo!P1359</f>
        <v>0</v>
      </c>
      <c r="T573" s="931">
        <f>UsoSuelo!Q1359</f>
        <v>0</v>
      </c>
      <c r="U573" s="934">
        <f>SUM(I573:T573)</f>
        <v>0</v>
      </c>
      <c r="X573" s="382"/>
      <c r="Y573" s="383"/>
      <c r="AB573" s="175"/>
      <c r="AR573" s="175"/>
    </row>
    <row r="574" spans="1:44" x14ac:dyDescent="0.2">
      <c r="A574" s="205"/>
      <c r="B574" s="197" t="s">
        <v>40</v>
      </c>
      <c r="C574" s="307"/>
      <c r="D574" s="307"/>
      <c r="E574" s="308"/>
      <c r="F574" s="321"/>
      <c r="G574" s="308"/>
      <c r="H574" s="308"/>
      <c r="I574" s="322"/>
      <c r="J574" s="323"/>
      <c r="K574" s="323"/>
      <c r="L574" s="323"/>
      <c r="M574" s="323"/>
      <c r="N574" s="322"/>
      <c r="O574" s="322"/>
      <c r="P574" s="322"/>
      <c r="Q574" s="322"/>
      <c r="R574" s="322"/>
      <c r="S574" s="322"/>
      <c r="T574" s="322"/>
      <c r="U574" s="324"/>
      <c r="X574" s="382"/>
      <c r="Y574" s="383"/>
      <c r="AB574" s="175"/>
      <c r="AR574" s="175"/>
    </row>
    <row r="575" spans="1:44" x14ac:dyDescent="0.3">
      <c r="A575" s="205"/>
      <c r="B575" s="5051"/>
      <c r="C575" s="1033">
        <f>IF(B575=0,0,U$573)</f>
        <v>0</v>
      </c>
      <c r="D575" s="1033">
        <f>IF(B575=0,0,VLOOKUP(B575,Precios!$B$216:$D$307,3,FALSE))</f>
        <v>0</v>
      </c>
      <c r="E575" s="5052"/>
      <c r="F575" s="1034">
        <f>IF(B575=0,0,VLOOKUP(B575,Precios!$B$216:$D$307,2,FALSE))</f>
        <v>0</v>
      </c>
      <c r="G575" s="1033">
        <f>E575*F575</f>
        <v>0</v>
      </c>
      <c r="H575" s="309"/>
      <c r="I575" s="1038">
        <f>I573*$E575</f>
        <v>0</v>
      </c>
      <c r="J575" s="1033">
        <f t="shared" ref="J575:T575" si="347">J573*$E575</f>
        <v>0</v>
      </c>
      <c r="K575" s="1033">
        <f t="shared" si="347"/>
        <v>0</v>
      </c>
      <c r="L575" s="1033">
        <f t="shared" si="347"/>
        <v>0</v>
      </c>
      <c r="M575" s="1033">
        <f t="shared" si="347"/>
        <v>0</v>
      </c>
      <c r="N575" s="1033">
        <f t="shared" si="347"/>
        <v>0</v>
      </c>
      <c r="O575" s="1033">
        <f t="shared" si="347"/>
        <v>0</v>
      </c>
      <c r="P575" s="1033">
        <f t="shared" si="347"/>
        <v>0</v>
      </c>
      <c r="Q575" s="1033">
        <f t="shared" si="347"/>
        <v>0</v>
      </c>
      <c r="R575" s="1033">
        <f t="shared" si="347"/>
        <v>0</v>
      </c>
      <c r="S575" s="1033">
        <f t="shared" si="347"/>
        <v>0</v>
      </c>
      <c r="T575" s="1033">
        <f t="shared" si="347"/>
        <v>0</v>
      </c>
      <c r="U575" s="2286">
        <f>SUM(I575:T575)</f>
        <v>0</v>
      </c>
      <c r="X575" s="382"/>
      <c r="Y575" s="383"/>
      <c r="AB575" s="175"/>
      <c r="AR575" s="175"/>
    </row>
    <row r="576" spans="1:44" x14ac:dyDescent="0.3">
      <c r="A576" s="205"/>
      <c r="B576" s="5053"/>
      <c r="C576" s="1005">
        <f>IF(B576=0,0,U$573)</f>
        <v>0</v>
      </c>
      <c r="D576" s="1005">
        <f>IF(B576=0,0,VLOOKUP(B576,Precios!$B$216:$D$307,3,FALSE))</f>
        <v>0</v>
      </c>
      <c r="E576" s="5054"/>
      <c r="F576" s="1035">
        <f>IF(B576=0,0,VLOOKUP(B576,Precios!$B$216:$D$307,2,FALSE))</f>
        <v>0</v>
      </c>
      <c r="G576" s="1005">
        <f>E576*F576</f>
        <v>0</v>
      </c>
      <c r="H576" s="309"/>
      <c r="I576" s="1010">
        <f>I573*$E576</f>
        <v>0</v>
      </c>
      <c r="J576" s="1005">
        <f t="shared" ref="J576:T576" si="348">J573*$E576</f>
        <v>0</v>
      </c>
      <c r="K576" s="1005">
        <f t="shared" si="348"/>
        <v>0</v>
      </c>
      <c r="L576" s="1005">
        <f t="shared" si="348"/>
        <v>0</v>
      </c>
      <c r="M576" s="1005">
        <f t="shared" si="348"/>
        <v>0</v>
      </c>
      <c r="N576" s="1005">
        <f t="shared" si="348"/>
        <v>0</v>
      </c>
      <c r="O576" s="1005">
        <f t="shared" si="348"/>
        <v>0</v>
      </c>
      <c r="P576" s="1005">
        <f t="shared" si="348"/>
        <v>0</v>
      </c>
      <c r="Q576" s="1005">
        <f t="shared" si="348"/>
        <v>0</v>
      </c>
      <c r="R576" s="1005">
        <f t="shared" si="348"/>
        <v>0</v>
      </c>
      <c r="S576" s="1005">
        <f t="shared" si="348"/>
        <v>0</v>
      </c>
      <c r="T576" s="1005">
        <f t="shared" si="348"/>
        <v>0</v>
      </c>
      <c r="U576" s="1075">
        <f>SUM(I576:T576)</f>
        <v>0</v>
      </c>
      <c r="X576" s="382"/>
      <c r="Y576" s="383"/>
      <c r="AB576" s="175"/>
      <c r="AR576" s="175"/>
    </row>
    <row r="577" spans="1:44" x14ac:dyDescent="0.3">
      <c r="A577" s="205"/>
      <c r="B577" s="5060"/>
      <c r="C577" s="1036">
        <f>IF(B577=0,0,U$573)</f>
        <v>0</v>
      </c>
      <c r="D577" s="1036">
        <f>IF(B577=0,0,VLOOKUP(B577,Precios!$B$216:$D$307,3,FALSE))</f>
        <v>0</v>
      </c>
      <c r="E577" s="5061"/>
      <c r="F577" s="1037">
        <f>IF(B577=0,0,VLOOKUP(B577,Precios!$B$216:$D$307,2,FALSE))</f>
        <v>0</v>
      </c>
      <c r="G577" s="1036">
        <f>E577*F577</f>
        <v>0</v>
      </c>
      <c r="H577" s="309"/>
      <c r="I577" s="1039">
        <f>I573*$E577</f>
        <v>0</v>
      </c>
      <c r="J577" s="1036">
        <f t="shared" ref="J577:T577" si="349">J573*$E577</f>
        <v>0</v>
      </c>
      <c r="K577" s="1036">
        <f t="shared" si="349"/>
        <v>0</v>
      </c>
      <c r="L577" s="1036">
        <f t="shared" si="349"/>
        <v>0</v>
      </c>
      <c r="M577" s="1036">
        <f t="shared" si="349"/>
        <v>0</v>
      </c>
      <c r="N577" s="1036">
        <f t="shared" si="349"/>
        <v>0</v>
      </c>
      <c r="O577" s="1036">
        <f t="shared" si="349"/>
        <v>0</v>
      </c>
      <c r="P577" s="1036">
        <f t="shared" si="349"/>
        <v>0</v>
      </c>
      <c r="Q577" s="1036">
        <f t="shared" si="349"/>
        <v>0</v>
      </c>
      <c r="R577" s="1036">
        <f t="shared" si="349"/>
        <v>0</v>
      </c>
      <c r="S577" s="1036">
        <f t="shared" si="349"/>
        <v>0</v>
      </c>
      <c r="T577" s="1036">
        <f t="shared" si="349"/>
        <v>0</v>
      </c>
      <c r="U577" s="2287">
        <f>SUM(I577:T577)</f>
        <v>0</v>
      </c>
      <c r="X577" s="382"/>
      <c r="Y577" s="383"/>
      <c r="AB577" s="175"/>
      <c r="AR577" s="175"/>
    </row>
    <row r="578" spans="1:44" x14ac:dyDescent="0.3">
      <c r="A578" s="205"/>
      <c r="B578" s="647" t="s">
        <v>1086</v>
      </c>
      <c r="C578" s="305"/>
      <c r="D578" s="305"/>
      <c r="E578" s="305"/>
      <c r="F578" s="305"/>
      <c r="G578" s="305"/>
      <c r="H578" s="306"/>
      <c r="I578" s="921">
        <f>+SUM(I575:I577)</f>
        <v>0</v>
      </c>
      <c r="J578" s="921">
        <f t="shared" ref="J578:T578" si="350">+SUM(J575:J577)</f>
        <v>0</v>
      </c>
      <c r="K578" s="921">
        <f t="shared" si="350"/>
        <v>0</v>
      </c>
      <c r="L578" s="921">
        <f t="shared" si="350"/>
        <v>0</v>
      </c>
      <c r="M578" s="921">
        <f t="shared" si="350"/>
        <v>0</v>
      </c>
      <c r="N578" s="921">
        <f t="shared" si="350"/>
        <v>0</v>
      </c>
      <c r="O578" s="921">
        <f t="shared" si="350"/>
        <v>0</v>
      </c>
      <c r="P578" s="921">
        <f t="shared" si="350"/>
        <v>0</v>
      </c>
      <c r="Q578" s="921">
        <f t="shared" si="350"/>
        <v>0</v>
      </c>
      <c r="R578" s="921">
        <f t="shared" si="350"/>
        <v>0</v>
      </c>
      <c r="S578" s="921">
        <f t="shared" si="350"/>
        <v>0</v>
      </c>
      <c r="T578" s="921">
        <f t="shared" si="350"/>
        <v>0</v>
      </c>
      <c r="U578" s="2288">
        <f>+SUM(I578:T578)</f>
        <v>0</v>
      </c>
      <c r="X578" s="382"/>
      <c r="Y578" s="383"/>
      <c r="AB578" s="175"/>
      <c r="AR578" s="175"/>
    </row>
    <row r="579" spans="1:44" x14ac:dyDescent="0.3">
      <c r="A579" s="205"/>
      <c r="B579" s="197" t="s">
        <v>95</v>
      </c>
      <c r="C579" s="5057" t="s">
        <v>612</v>
      </c>
      <c r="D579" s="307"/>
      <c r="E579" s="308"/>
      <c r="F579" s="321"/>
      <c r="G579" s="308"/>
      <c r="H579" s="308"/>
      <c r="I579" s="322"/>
      <c r="J579" s="323"/>
      <c r="K579" s="323"/>
      <c r="L579" s="323"/>
      <c r="M579" s="323"/>
      <c r="N579" s="322"/>
      <c r="O579" s="322"/>
      <c r="P579" s="322"/>
      <c r="Q579" s="322"/>
      <c r="R579" s="322"/>
      <c r="S579" s="322"/>
      <c r="T579" s="322"/>
      <c r="U579" s="324"/>
      <c r="X579" s="382"/>
      <c r="Y579" s="383"/>
      <c r="AB579" s="175"/>
      <c r="AR579" s="175"/>
    </row>
    <row r="580" spans="1:44" ht="15.05" thickBot="1" x14ac:dyDescent="0.35">
      <c r="A580" s="205"/>
      <c r="B580" s="5058" t="s">
        <v>1732</v>
      </c>
      <c r="C580" s="1043">
        <f>IF(B580=0,0,U$573)</f>
        <v>0</v>
      </c>
      <c r="D580" s="1043" t="str">
        <f>IF(B580=0,0,VLOOKUP(B580,Precios!$B$216:$D$307,3,FALSE))</f>
        <v>pasada</v>
      </c>
      <c r="E580" s="5059">
        <v>1</v>
      </c>
      <c r="F580" s="1045">
        <f>IF(B580=0,0,VLOOKUP(B580,Precios!$B$216:$D$307,2,FALSE))</f>
        <v>0</v>
      </c>
      <c r="G580" s="1045">
        <f>E580*F580</f>
        <v>0</v>
      </c>
      <c r="H580" s="309"/>
      <c r="I580" s="303">
        <f>I573*$E580</f>
        <v>0</v>
      </c>
      <c r="J580" s="302">
        <f t="shared" ref="J580:T580" si="351">J573*$E580</f>
        <v>0</v>
      </c>
      <c r="K580" s="302">
        <f t="shared" si="351"/>
        <v>0</v>
      </c>
      <c r="L580" s="302">
        <f t="shared" si="351"/>
        <v>0</v>
      </c>
      <c r="M580" s="302">
        <f t="shared" si="351"/>
        <v>0</v>
      </c>
      <c r="N580" s="302">
        <f t="shared" si="351"/>
        <v>0</v>
      </c>
      <c r="O580" s="302">
        <f t="shared" si="351"/>
        <v>0</v>
      </c>
      <c r="P580" s="302">
        <f t="shared" si="351"/>
        <v>0</v>
      </c>
      <c r="Q580" s="302">
        <f t="shared" si="351"/>
        <v>0</v>
      </c>
      <c r="R580" s="302">
        <f t="shared" si="351"/>
        <v>0</v>
      </c>
      <c r="S580" s="302">
        <f t="shared" si="351"/>
        <v>0</v>
      </c>
      <c r="T580" s="304">
        <f t="shared" si="351"/>
        <v>0</v>
      </c>
      <c r="U580" s="325"/>
      <c r="V580" s="1511" t="str">
        <f>B580&amp;C579</f>
        <v>Fertilizar - PropiaPropia</v>
      </c>
      <c r="X580" s="382"/>
      <c r="Y580" s="383"/>
      <c r="AB580" s="175"/>
      <c r="AR580" s="175"/>
    </row>
    <row r="581" spans="1:44" ht="15.05" thickBot="1" x14ac:dyDescent="0.25">
      <c r="A581" s="205"/>
      <c r="B581" s="923" t="s">
        <v>1099</v>
      </c>
      <c r="C581" s="924" t="s">
        <v>1027</v>
      </c>
      <c r="D581" s="925"/>
      <c r="E581" s="925"/>
      <c r="F581" s="930"/>
      <c r="G581" s="930"/>
      <c r="H581" s="371"/>
      <c r="I581" s="932">
        <f>UsoSuelo!F1356</f>
        <v>0</v>
      </c>
      <c r="J581" s="931">
        <f>UsoSuelo!G1356</f>
        <v>0</v>
      </c>
      <c r="K581" s="931">
        <f>UsoSuelo!H1356</f>
        <v>0</v>
      </c>
      <c r="L581" s="931">
        <f>UsoSuelo!I1356</f>
        <v>0</v>
      </c>
      <c r="M581" s="931">
        <f>UsoSuelo!J1356</f>
        <v>0</v>
      </c>
      <c r="N581" s="931">
        <f>UsoSuelo!K1356</f>
        <v>0</v>
      </c>
      <c r="O581" s="931">
        <f>UsoSuelo!L1356</f>
        <v>0</v>
      </c>
      <c r="P581" s="931">
        <f>UsoSuelo!M1356</f>
        <v>0</v>
      </c>
      <c r="Q581" s="931">
        <f>UsoSuelo!N1356</f>
        <v>0</v>
      </c>
      <c r="R581" s="931">
        <f>UsoSuelo!O1356</f>
        <v>0</v>
      </c>
      <c r="S581" s="931">
        <f>UsoSuelo!P1356</f>
        <v>0</v>
      </c>
      <c r="T581" s="931">
        <f>UsoSuelo!Q1356</f>
        <v>0</v>
      </c>
      <c r="U581" s="934">
        <f>SUM(I581:T581)</f>
        <v>0</v>
      </c>
      <c r="X581" s="382"/>
      <c r="Y581" s="383"/>
      <c r="AB581" s="175"/>
      <c r="AR581" s="175"/>
    </row>
    <row r="582" spans="1:44" x14ac:dyDescent="0.2">
      <c r="A582" s="205"/>
      <c r="B582" s="197" t="s">
        <v>40</v>
      </c>
      <c r="C582" s="307"/>
      <c r="D582" s="307"/>
      <c r="E582" s="308"/>
      <c r="F582" s="321"/>
      <c r="G582" s="308"/>
      <c r="H582" s="308"/>
      <c r="I582" s="322"/>
      <c r="J582" s="323"/>
      <c r="K582" s="323"/>
      <c r="L582" s="323"/>
      <c r="M582" s="323"/>
      <c r="N582" s="322"/>
      <c r="O582" s="322"/>
      <c r="P582" s="322"/>
      <c r="Q582" s="322"/>
      <c r="R582" s="322"/>
      <c r="S582" s="322"/>
      <c r="T582" s="322"/>
      <c r="U582" s="324"/>
      <c r="X582" s="382"/>
      <c r="Y582" s="383"/>
      <c r="AB582" s="175"/>
      <c r="AR582" s="175"/>
    </row>
    <row r="583" spans="1:44" x14ac:dyDescent="0.3">
      <c r="A583" s="205"/>
      <c r="B583" s="5051"/>
      <c r="C583" s="1033">
        <f>IF(B583=0,0,U$581)</f>
        <v>0</v>
      </c>
      <c r="D583" s="1033">
        <f>IF(B583=0,0,VLOOKUP(B583,Precios!$B$216:$D$307,3,FALSE))</f>
        <v>0</v>
      </c>
      <c r="E583" s="5052"/>
      <c r="F583" s="1034">
        <f>IF(B583=0,0,VLOOKUP(B583,Precios!$B$216:$D$307,2,FALSE))</f>
        <v>0</v>
      </c>
      <c r="G583" s="1033">
        <f>E583*F583</f>
        <v>0</v>
      </c>
      <c r="H583" s="309"/>
      <c r="I583" s="1038">
        <f>I581*$E583</f>
        <v>0</v>
      </c>
      <c r="J583" s="1033">
        <f t="shared" ref="J583:T583" si="352">J581*$E583</f>
        <v>0</v>
      </c>
      <c r="K583" s="1033">
        <f t="shared" si="352"/>
        <v>0</v>
      </c>
      <c r="L583" s="1033">
        <f t="shared" si="352"/>
        <v>0</v>
      </c>
      <c r="M583" s="1033">
        <f t="shared" si="352"/>
        <v>0</v>
      </c>
      <c r="N583" s="1033">
        <f t="shared" si="352"/>
        <v>0</v>
      </c>
      <c r="O583" s="1033">
        <f t="shared" si="352"/>
        <v>0</v>
      </c>
      <c r="P583" s="1033">
        <f t="shared" si="352"/>
        <v>0</v>
      </c>
      <c r="Q583" s="1033">
        <f t="shared" si="352"/>
        <v>0</v>
      </c>
      <c r="R583" s="1033">
        <f t="shared" si="352"/>
        <v>0</v>
      </c>
      <c r="S583" s="1033">
        <f t="shared" si="352"/>
        <v>0</v>
      </c>
      <c r="T583" s="1033">
        <f t="shared" si="352"/>
        <v>0</v>
      </c>
      <c r="U583" s="2286">
        <f>SUM(I583:T583)</f>
        <v>0</v>
      </c>
      <c r="X583" s="382"/>
      <c r="Y583" s="383"/>
      <c r="AB583" s="175"/>
      <c r="AR583" s="175"/>
    </row>
    <row r="584" spans="1:44" x14ac:dyDescent="0.3">
      <c r="A584" s="205"/>
      <c r="B584" s="5053"/>
      <c r="C584" s="1005">
        <f>IF(B584=0,0,U$581)</f>
        <v>0</v>
      </c>
      <c r="D584" s="1005">
        <f>IF(B584=0,0,VLOOKUP(B584,Precios!$B$216:$D$307,3,FALSE))</f>
        <v>0</v>
      </c>
      <c r="E584" s="5054"/>
      <c r="F584" s="1035">
        <f>IF(B584=0,0,VLOOKUP(B584,Precios!$B$216:$D$307,2,FALSE))</f>
        <v>0</v>
      </c>
      <c r="G584" s="1005">
        <f>E584*F584</f>
        <v>0</v>
      </c>
      <c r="H584" s="309"/>
      <c r="I584" s="1010">
        <f>I581*$E584</f>
        <v>0</v>
      </c>
      <c r="J584" s="1005">
        <f t="shared" ref="J584:T584" si="353">J581*$E584</f>
        <v>0</v>
      </c>
      <c r="K584" s="1005">
        <f t="shared" si="353"/>
        <v>0</v>
      </c>
      <c r="L584" s="1005">
        <f t="shared" si="353"/>
        <v>0</v>
      </c>
      <c r="M584" s="1005">
        <f t="shared" si="353"/>
        <v>0</v>
      </c>
      <c r="N584" s="1005">
        <f t="shared" si="353"/>
        <v>0</v>
      </c>
      <c r="O584" s="1005">
        <f t="shared" si="353"/>
        <v>0</v>
      </c>
      <c r="P584" s="1005">
        <f t="shared" si="353"/>
        <v>0</v>
      </c>
      <c r="Q584" s="1005">
        <f t="shared" si="353"/>
        <v>0</v>
      </c>
      <c r="R584" s="1005">
        <f t="shared" si="353"/>
        <v>0</v>
      </c>
      <c r="S584" s="1005">
        <f t="shared" si="353"/>
        <v>0</v>
      </c>
      <c r="T584" s="1005">
        <f t="shared" si="353"/>
        <v>0</v>
      </c>
      <c r="U584" s="1075">
        <f>SUM(I584:T584)</f>
        <v>0</v>
      </c>
      <c r="X584" s="382"/>
      <c r="Y584" s="383"/>
      <c r="AB584" s="175"/>
      <c r="AR584" s="175"/>
    </row>
    <row r="585" spans="1:44" x14ac:dyDescent="0.3">
      <c r="A585" s="205"/>
      <c r="B585" s="5062"/>
      <c r="C585" s="1007">
        <f>IF(B585=0,0,U$581)</f>
        <v>0</v>
      </c>
      <c r="D585" s="1007">
        <f>IF(B585=0,0,VLOOKUP(B585,Precios!$B$216:$D$307,3,FALSE))</f>
        <v>0</v>
      </c>
      <c r="E585" s="5063"/>
      <c r="F585" s="1044">
        <f>IF(B585=0,0,VLOOKUP(B585,Precios!$B$216:$D$307,2,FALSE))</f>
        <v>0</v>
      </c>
      <c r="G585" s="1007">
        <f>E585*F585</f>
        <v>0</v>
      </c>
      <c r="H585" s="309"/>
      <c r="I585" s="1039">
        <f>I581*$E585</f>
        <v>0</v>
      </c>
      <c r="J585" s="1036">
        <f t="shared" ref="J585:T585" si="354">J581*$E585</f>
        <v>0</v>
      </c>
      <c r="K585" s="1036">
        <f t="shared" si="354"/>
        <v>0</v>
      </c>
      <c r="L585" s="1036">
        <f t="shared" si="354"/>
        <v>0</v>
      </c>
      <c r="M585" s="1036">
        <f t="shared" si="354"/>
        <v>0</v>
      </c>
      <c r="N585" s="1036">
        <f t="shared" si="354"/>
        <v>0</v>
      </c>
      <c r="O585" s="1036">
        <f t="shared" si="354"/>
        <v>0</v>
      </c>
      <c r="P585" s="1036">
        <f t="shared" si="354"/>
        <v>0</v>
      </c>
      <c r="Q585" s="1036">
        <f t="shared" si="354"/>
        <v>0</v>
      </c>
      <c r="R585" s="1036">
        <f t="shared" si="354"/>
        <v>0</v>
      </c>
      <c r="S585" s="1036">
        <f t="shared" si="354"/>
        <v>0</v>
      </c>
      <c r="T585" s="1036">
        <f t="shared" si="354"/>
        <v>0</v>
      </c>
      <c r="U585" s="2287">
        <f>SUM(I585:T585)</f>
        <v>0</v>
      </c>
      <c r="X585" s="382"/>
      <c r="Y585" s="383"/>
      <c r="AB585" s="175"/>
      <c r="AR585" s="175"/>
    </row>
    <row r="586" spans="1:44" x14ac:dyDescent="0.3">
      <c r="A586" s="205"/>
      <c r="B586" s="647" t="s">
        <v>1086</v>
      </c>
      <c r="C586" s="305"/>
      <c r="D586" s="305"/>
      <c r="E586" s="305"/>
      <c r="F586" s="305"/>
      <c r="G586" s="305"/>
      <c r="H586" s="306"/>
      <c r="I586" s="921">
        <f>+SUM(I583:I585)</f>
        <v>0</v>
      </c>
      <c r="J586" s="921">
        <f t="shared" ref="J586:T586" si="355">+SUM(J583:J585)</f>
        <v>0</v>
      </c>
      <c r="K586" s="921">
        <f t="shared" si="355"/>
        <v>0</v>
      </c>
      <c r="L586" s="921">
        <f t="shared" si="355"/>
        <v>0</v>
      </c>
      <c r="M586" s="921">
        <f t="shared" si="355"/>
        <v>0</v>
      </c>
      <c r="N586" s="921">
        <f t="shared" si="355"/>
        <v>0</v>
      </c>
      <c r="O586" s="921">
        <f t="shared" si="355"/>
        <v>0</v>
      </c>
      <c r="P586" s="921">
        <f t="shared" si="355"/>
        <v>0</v>
      </c>
      <c r="Q586" s="921">
        <f t="shared" si="355"/>
        <v>0</v>
      </c>
      <c r="R586" s="921">
        <f t="shared" si="355"/>
        <v>0</v>
      </c>
      <c r="S586" s="921">
        <f t="shared" si="355"/>
        <v>0</v>
      </c>
      <c r="T586" s="921">
        <f t="shared" si="355"/>
        <v>0</v>
      </c>
      <c r="U586" s="2288">
        <f>+SUM(I586:T586)</f>
        <v>0</v>
      </c>
      <c r="X586" s="382"/>
      <c r="Y586" s="383"/>
      <c r="AB586" s="175"/>
      <c r="AR586" s="175"/>
    </row>
    <row r="587" spans="1:44" x14ac:dyDescent="0.3">
      <c r="A587" s="205"/>
      <c r="B587" s="197" t="s">
        <v>95</v>
      </c>
      <c r="C587" s="5057" t="s">
        <v>612</v>
      </c>
      <c r="D587" s="307"/>
      <c r="E587" s="308"/>
      <c r="F587" s="321"/>
      <c r="G587" s="308"/>
      <c r="H587" s="308"/>
      <c r="I587" s="322"/>
      <c r="J587" s="323"/>
      <c r="K587" s="323"/>
      <c r="L587" s="323"/>
      <c r="M587" s="323"/>
      <c r="N587" s="322"/>
      <c r="O587" s="322"/>
      <c r="P587" s="322"/>
      <c r="Q587" s="322"/>
      <c r="R587" s="322"/>
      <c r="S587" s="322"/>
      <c r="T587" s="322"/>
      <c r="U587" s="324"/>
      <c r="X587" s="382"/>
      <c r="Y587" s="383"/>
      <c r="AB587" s="175"/>
      <c r="AR587" s="175"/>
    </row>
    <row r="588" spans="1:44" ht="15.05" thickBot="1" x14ac:dyDescent="0.35">
      <c r="A588" s="205"/>
      <c r="B588" s="5058"/>
      <c r="C588" s="1043">
        <f>IF(B588=0,0,U$581)</f>
        <v>0</v>
      </c>
      <c r="D588" s="1043">
        <f>IF(B588=0,0,VLOOKUP(B588,Precios!$B$216:$D$307,3,FALSE))</f>
        <v>0</v>
      </c>
      <c r="E588" s="5059"/>
      <c r="F588" s="1045">
        <f>IF(B588=0,0,VLOOKUP(B588,Precios!$B$216:$D$307,2,FALSE))</f>
        <v>0</v>
      </c>
      <c r="G588" s="1046">
        <f>E588*F588</f>
        <v>0</v>
      </c>
      <c r="H588" s="309"/>
      <c r="I588" s="303">
        <f>I581*$E588</f>
        <v>0</v>
      </c>
      <c r="J588" s="302">
        <f t="shared" ref="J588:T588" si="356">J581*$E588</f>
        <v>0</v>
      </c>
      <c r="K588" s="302">
        <f t="shared" si="356"/>
        <v>0</v>
      </c>
      <c r="L588" s="302">
        <f t="shared" si="356"/>
        <v>0</v>
      </c>
      <c r="M588" s="302">
        <f t="shared" si="356"/>
        <v>0</v>
      </c>
      <c r="N588" s="302">
        <f t="shared" si="356"/>
        <v>0</v>
      </c>
      <c r="O588" s="302">
        <f t="shared" si="356"/>
        <v>0</v>
      </c>
      <c r="P588" s="302">
        <f t="shared" si="356"/>
        <v>0</v>
      </c>
      <c r="Q588" s="302">
        <f t="shared" si="356"/>
        <v>0</v>
      </c>
      <c r="R588" s="302">
        <f t="shared" si="356"/>
        <v>0</v>
      </c>
      <c r="S588" s="302">
        <f t="shared" si="356"/>
        <v>0</v>
      </c>
      <c r="T588" s="304">
        <f t="shared" si="356"/>
        <v>0</v>
      </c>
      <c r="U588" s="325"/>
      <c r="V588" s="1511" t="str">
        <f>B588&amp;C587</f>
        <v>Propia</v>
      </c>
      <c r="X588" s="382"/>
      <c r="Y588" s="383"/>
      <c r="AB588" s="175"/>
      <c r="AR588" s="175"/>
    </row>
    <row r="589" spans="1:44" ht="15.05" thickBot="1" x14ac:dyDescent="0.25">
      <c r="A589" s="205"/>
      <c r="B589" s="326" t="s">
        <v>1743</v>
      </c>
      <c r="C589" s="327"/>
      <c r="D589" s="327"/>
      <c r="E589" s="327"/>
      <c r="F589" s="327"/>
      <c r="G589" s="328"/>
      <c r="H589" s="329"/>
      <c r="I589" s="330">
        <f>SUMPRODUCT($F551:$F588,I551:I588)</f>
        <v>0</v>
      </c>
      <c r="J589" s="330">
        <f t="shared" ref="J589:T589" si="357">SUMPRODUCT($F551:$F588,J551:J588)</f>
        <v>0</v>
      </c>
      <c r="K589" s="330">
        <f t="shared" si="357"/>
        <v>0</v>
      </c>
      <c r="L589" s="330">
        <f t="shared" si="357"/>
        <v>0</v>
      </c>
      <c r="M589" s="330">
        <f t="shared" si="357"/>
        <v>0</v>
      </c>
      <c r="N589" s="330">
        <f t="shared" si="357"/>
        <v>0</v>
      </c>
      <c r="O589" s="330">
        <f t="shared" si="357"/>
        <v>0</v>
      </c>
      <c r="P589" s="330">
        <f t="shared" si="357"/>
        <v>0</v>
      </c>
      <c r="Q589" s="330">
        <f t="shared" si="357"/>
        <v>0</v>
      </c>
      <c r="R589" s="330">
        <f t="shared" si="357"/>
        <v>0</v>
      </c>
      <c r="S589" s="330">
        <f t="shared" si="357"/>
        <v>0</v>
      </c>
      <c r="T589" s="330">
        <f t="shared" si="357"/>
        <v>0</v>
      </c>
      <c r="U589" s="937">
        <f>+SUM(I589:T589)</f>
        <v>0</v>
      </c>
      <c r="X589" s="382"/>
      <c r="Y589" s="383"/>
      <c r="AB589" s="175"/>
      <c r="AR589" s="175"/>
    </row>
    <row r="590" spans="1:44" s="254" customFormat="1" ht="4.75" customHeight="1" thickBot="1" x14ac:dyDescent="0.25">
      <c r="A590" s="222"/>
      <c r="B590" s="331"/>
      <c r="C590" s="169"/>
      <c r="D590" s="169"/>
      <c r="E590" s="169"/>
      <c r="F590" s="169"/>
      <c r="G590" s="114"/>
      <c r="H590" s="114"/>
      <c r="I590" s="114"/>
      <c r="J590" s="114"/>
      <c r="K590" s="114"/>
      <c r="L590" s="114"/>
      <c r="M590" s="114"/>
      <c r="N590" s="114"/>
      <c r="O590" s="114"/>
      <c r="P590" s="114"/>
      <c r="Q590" s="114"/>
      <c r="R590" s="114"/>
      <c r="S590" s="114"/>
      <c r="T590" s="114"/>
      <c r="U590" s="114"/>
      <c r="W590" s="232"/>
      <c r="X590" s="384"/>
      <c r="Y590" s="385"/>
      <c r="Z590" s="193"/>
      <c r="AA590" s="193"/>
      <c r="AB590" s="970"/>
      <c r="AC590" s="193"/>
      <c r="AD590" s="193"/>
      <c r="AE590" s="193"/>
      <c r="AF590" s="193"/>
      <c r="AG590" s="193"/>
      <c r="AH590" s="193"/>
      <c r="AI590" s="193"/>
      <c r="AJ590" s="193"/>
      <c r="AK590" s="193"/>
      <c r="AL590" s="193"/>
      <c r="AM590" s="193"/>
      <c r="AN590" s="193"/>
      <c r="AO590" s="193"/>
      <c r="AP590" s="193"/>
      <c r="AQ590" s="193"/>
      <c r="AR590" s="970"/>
    </row>
    <row r="591" spans="1:44" s="254" customFormat="1" ht="15.05" thickBot="1" x14ac:dyDescent="0.25">
      <c r="A591" s="1344">
        <f>+A531</f>
        <v>66</v>
      </c>
      <c r="B591" s="935" t="s">
        <v>1762</v>
      </c>
      <c r="C591" s="332"/>
      <c r="D591" s="333"/>
      <c r="E591" s="333"/>
      <c r="F591" s="169"/>
      <c r="G591" s="114"/>
      <c r="H591" s="114"/>
      <c r="I591" s="114"/>
      <c r="J591" s="114"/>
      <c r="K591" s="114"/>
      <c r="L591" s="114"/>
      <c r="M591" s="114"/>
      <c r="N591" s="114"/>
      <c r="O591" s="114"/>
      <c r="P591" s="114"/>
      <c r="Q591" s="114"/>
      <c r="R591" s="114"/>
      <c r="S591" s="114"/>
      <c r="T591" s="114"/>
      <c r="U591" s="114"/>
      <c r="W591" s="232"/>
      <c r="X591" s="384"/>
      <c r="Y591" s="385"/>
      <c r="Z591" s="193"/>
      <c r="AA591" s="193"/>
      <c r="AB591" s="970"/>
      <c r="AC591" s="193"/>
      <c r="AD591" s="193"/>
      <c r="AE591" s="193"/>
      <c r="AF591" s="193"/>
      <c r="AG591" s="193"/>
      <c r="AH591" s="193"/>
      <c r="AI591" s="193"/>
      <c r="AJ591" s="193"/>
      <c r="AK591" s="193"/>
      <c r="AL591" s="193"/>
      <c r="AM591" s="193"/>
      <c r="AN591" s="193"/>
      <c r="AO591" s="193"/>
      <c r="AP591" s="193"/>
      <c r="AQ591" s="193"/>
      <c r="AR591" s="970"/>
    </row>
    <row r="592" spans="1:44" ht="15.05" thickBot="1" x14ac:dyDescent="0.25">
      <c r="A592" s="1344" t="s">
        <v>1695</v>
      </c>
      <c r="B592" s="936" t="s">
        <v>724</v>
      </c>
      <c r="C592" s="2285" t="s">
        <v>1027</v>
      </c>
      <c r="D592" s="930"/>
      <c r="E592" s="930"/>
      <c r="F592" s="930"/>
      <c r="G592" s="930"/>
      <c r="H592" s="371"/>
      <c r="I592" s="932">
        <f>+UsoSuelo!F1348</f>
        <v>0</v>
      </c>
      <c r="J592" s="932">
        <f>+UsoSuelo!G1348</f>
        <v>0</v>
      </c>
      <c r="K592" s="932">
        <f>+UsoSuelo!H1348</f>
        <v>0</v>
      </c>
      <c r="L592" s="932">
        <f>+UsoSuelo!I1348</f>
        <v>0</v>
      </c>
      <c r="M592" s="932">
        <f>+UsoSuelo!J1348</f>
        <v>0</v>
      </c>
      <c r="N592" s="932">
        <f>+UsoSuelo!K1348</f>
        <v>0</v>
      </c>
      <c r="O592" s="932">
        <f>+UsoSuelo!L1348</f>
        <v>0</v>
      </c>
      <c r="P592" s="932">
        <f>+UsoSuelo!M1348</f>
        <v>0</v>
      </c>
      <c r="Q592" s="932">
        <f>+UsoSuelo!N1348</f>
        <v>0</v>
      </c>
      <c r="R592" s="932">
        <f>+UsoSuelo!O1348</f>
        <v>0</v>
      </c>
      <c r="S592" s="932">
        <f>+UsoSuelo!P1348</f>
        <v>0</v>
      </c>
      <c r="T592" s="933">
        <f>+UsoSuelo!Q1348</f>
        <v>0</v>
      </c>
      <c r="U592" s="934">
        <f>SUM(I592:T592)</f>
        <v>0</v>
      </c>
      <c r="X592" s="382"/>
      <c r="Y592" s="383"/>
      <c r="AB592" s="175"/>
      <c r="AR592" s="175"/>
    </row>
    <row r="593" spans="1:44" x14ac:dyDescent="0.2">
      <c r="A593" s="205"/>
      <c r="B593" s="197" t="s">
        <v>40</v>
      </c>
      <c r="C593" s="307"/>
      <c r="D593" s="307"/>
      <c r="E593" s="308"/>
      <c r="F593" s="321"/>
      <c r="G593" s="308"/>
      <c r="H593" s="308"/>
      <c r="I593" s="322"/>
      <c r="J593" s="323"/>
      <c r="K593" s="323"/>
      <c r="L593" s="323"/>
      <c r="M593" s="323"/>
      <c r="N593" s="322"/>
      <c r="O593" s="322"/>
      <c r="P593" s="322"/>
      <c r="Q593" s="322"/>
      <c r="R593" s="322"/>
      <c r="S593" s="322"/>
      <c r="T593" s="322"/>
      <c r="U593" s="324"/>
      <c r="X593" s="382"/>
      <c r="Y593" s="383"/>
      <c r="AB593" s="175"/>
      <c r="AR593" s="175"/>
    </row>
    <row r="594" spans="1:44" x14ac:dyDescent="0.3">
      <c r="A594" s="205"/>
      <c r="B594" s="5051"/>
      <c r="C594" s="1033">
        <f>IF(B594=0,0,U$592)</f>
        <v>0</v>
      </c>
      <c r="D594" s="1033">
        <f>IF(B594=0,0,VLOOKUP(B594,Precios!$B$216:$D$307,3,FALSE))</f>
        <v>0</v>
      </c>
      <c r="E594" s="5052"/>
      <c r="F594" s="1034">
        <f>IF(B594=0,0,VLOOKUP(B594,Precios!$B$216:$D$307,2,FALSE))</f>
        <v>0</v>
      </c>
      <c r="G594" s="1033">
        <f>E594*F594</f>
        <v>0</v>
      </c>
      <c r="H594" s="309"/>
      <c r="I594" s="1038">
        <f t="shared" ref="I594:T594" si="358">I592*$E594</f>
        <v>0</v>
      </c>
      <c r="J594" s="1033">
        <f t="shared" si="358"/>
        <v>0</v>
      </c>
      <c r="K594" s="1033">
        <f t="shared" si="358"/>
        <v>0</v>
      </c>
      <c r="L594" s="1033">
        <f t="shared" si="358"/>
        <v>0</v>
      </c>
      <c r="M594" s="1033">
        <f t="shared" si="358"/>
        <v>0</v>
      </c>
      <c r="N594" s="1033">
        <f t="shared" si="358"/>
        <v>0</v>
      </c>
      <c r="O594" s="1033">
        <f t="shared" si="358"/>
        <v>0</v>
      </c>
      <c r="P594" s="1033">
        <f t="shared" si="358"/>
        <v>0</v>
      </c>
      <c r="Q594" s="1033">
        <f t="shared" si="358"/>
        <v>0</v>
      </c>
      <c r="R594" s="1033">
        <f t="shared" si="358"/>
        <v>0</v>
      </c>
      <c r="S594" s="1033">
        <f t="shared" si="358"/>
        <v>0</v>
      </c>
      <c r="T594" s="1033">
        <f t="shared" si="358"/>
        <v>0</v>
      </c>
      <c r="U594" s="2286">
        <f>SUM(I594:T594)</f>
        <v>0</v>
      </c>
      <c r="X594" s="382"/>
      <c r="Y594" s="383"/>
      <c r="AB594" s="175"/>
      <c r="AR594" s="175"/>
    </row>
    <row r="595" spans="1:44" x14ac:dyDescent="0.3">
      <c r="A595" s="205"/>
      <c r="B595" s="5053"/>
      <c r="C595" s="1005">
        <f>IF(B595=0,0,U$592)</f>
        <v>0</v>
      </c>
      <c r="D595" s="1005">
        <f>IF(B595=0,0,VLOOKUP(B595,Precios!$B$216:$D$307,3,FALSE))</f>
        <v>0</v>
      </c>
      <c r="E595" s="5054"/>
      <c r="F595" s="1035">
        <f>IF(B595=0,0,VLOOKUP(B595,Precios!$B$216:$D$307,2,FALSE))</f>
        <v>0</v>
      </c>
      <c r="G595" s="1005">
        <f>E595*F595</f>
        <v>0</v>
      </c>
      <c r="H595" s="309"/>
      <c r="I595" s="1010">
        <f t="shared" ref="I595:T595" si="359">I592*$E595</f>
        <v>0</v>
      </c>
      <c r="J595" s="1005">
        <f t="shared" si="359"/>
        <v>0</v>
      </c>
      <c r="K595" s="1005">
        <f t="shared" si="359"/>
        <v>0</v>
      </c>
      <c r="L595" s="1005">
        <f t="shared" si="359"/>
        <v>0</v>
      </c>
      <c r="M595" s="1005">
        <f t="shared" si="359"/>
        <v>0</v>
      </c>
      <c r="N595" s="1005">
        <f t="shared" si="359"/>
        <v>0</v>
      </c>
      <c r="O595" s="1005">
        <f t="shared" si="359"/>
        <v>0</v>
      </c>
      <c r="P595" s="1005">
        <f t="shared" si="359"/>
        <v>0</v>
      </c>
      <c r="Q595" s="1005">
        <f t="shared" si="359"/>
        <v>0</v>
      </c>
      <c r="R595" s="1005">
        <f t="shared" si="359"/>
        <v>0</v>
      </c>
      <c r="S595" s="1005">
        <f t="shared" si="359"/>
        <v>0</v>
      </c>
      <c r="T595" s="1005">
        <f t="shared" si="359"/>
        <v>0</v>
      </c>
      <c r="U595" s="1075">
        <f>SUM(I595:T595)</f>
        <v>0</v>
      </c>
      <c r="X595" s="382"/>
      <c r="Y595" s="383"/>
      <c r="AB595" s="175"/>
      <c r="AR595" s="175"/>
    </row>
    <row r="596" spans="1:44" x14ac:dyDescent="0.3">
      <c r="A596" s="205"/>
      <c r="B596" s="5060"/>
      <c r="C596" s="1036">
        <f>IF(B596=0,0,U$592)</f>
        <v>0</v>
      </c>
      <c r="D596" s="1036">
        <f>IF(B596=0,0,VLOOKUP(B596,Precios!$B$216:$D$307,3,FALSE))</f>
        <v>0</v>
      </c>
      <c r="E596" s="5061"/>
      <c r="F596" s="1037">
        <f>IF(B596=0,0,VLOOKUP(B596,Precios!$B$216:$D$307,2,FALSE))</f>
        <v>0</v>
      </c>
      <c r="G596" s="1036">
        <f>E596*F596</f>
        <v>0</v>
      </c>
      <c r="H596" s="309"/>
      <c r="I596" s="1039">
        <f t="shared" ref="I596:T596" si="360">I592*$E596</f>
        <v>0</v>
      </c>
      <c r="J596" s="1036">
        <f t="shared" si="360"/>
        <v>0</v>
      </c>
      <c r="K596" s="1036">
        <f t="shared" si="360"/>
        <v>0</v>
      </c>
      <c r="L596" s="1036">
        <f t="shared" si="360"/>
        <v>0</v>
      </c>
      <c r="M596" s="1036">
        <f t="shared" si="360"/>
        <v>0</v>
      </c>
      <c r="N596" s="1036">
        <f t="shared" si="360"/>
        <v>0</v>
      </c>
      <c r="O596" s="1036">
        <f t="shared" si="360"/>
        <v>0</v>
      </c>
      <c r="P596" s="1036">
        <f t="shared" si="360"/>
        <v>0</v>
      </c>
      <c r="Q596" s="1036">
        <f t="shared" si="360"/>
        <v>0</v>
      </c>
      <c r="R596" s="1036">
        <f t="shared" si="360"/>
        <v>0</v>
      </c>
      <c r="S596" s="1036">
        <f t="shared" si="360"/>
        <v>0</v>
      </c>
      <c r="T596" s="1036">
        <f t="shared" si="360"/>
        <v>0</v>
      </c>
      <c r="U596" s="2287">
        <f>SUM(I596:T596)</f>
        <v>0</v>
      </c>
      <c r="X596" s="382"/>
      <c r="Y596" s="383"/>
      <c r="AB596" s="175"/>
      <c r="AR596" s="175"/>
    </row>
    <row r="597" spans="1:44" x14ac:dyDescent="0.3">
      <c r="A597" s="205"/>
      <c r="B597" s="647" t="s">
        <v>1086</v>
      </c>
      <c r="C597" s="305"/>
      <c r="D597" s="305"/>
      <c r="E597" s="305"/>
      <c r="F597" s="305"/>
      <c r="G597" s="305"/>
      <c r="H597" s="306"/>
      <c r="I597" s="921">
        <f>+SUM(I594:I596)</f>
        <v>0</v>
      </c>
      <c r="J597" s="921">
        <f t="shared" ref="J597:T597" si="361">+SUM(J594:J596)</f>
        <v>0</v>
      </c>
      <c r="K597" s="921">
        <f t="shared" si="361"/>
        <v>0</v>
      </c>
      <c r="L597" s="921">
        <f t="shared" si="361"/>
        <v>0</v>
      </c>
      <c r="M597" s="921">
        <f t="shared" si="361"/>
        <v>0</v>
      </c>
      <c r="N597" s="921">
        <f t="shared" si="361"/>
        <v>0</v>
      </c>
      <c r="O597" s="921">
        <f t="shared" si="361"/>
        <v>0</v>
      </c>
      <c r="P597" s="921">
        <f t="shared" si="361"/>
        <v>0</v>
      </c>
      <c r="Q597" s="921">
        <f t="shared" si="361"/>
        <v>0</v>
      </c>
      <c r="R597" s="921">
        <f t="shared" si="361"/>
        <v>0</v>
      </c>
      <c r="S597" s="921">
        <f t="shared" si="361"/>
        <v>0</v>
      </c>
      <c r="T597" s="921">
        <f t="shared" si="361"/>
        <v>0</v>
      </c>
      <c r="U597" s="2288">
        <f>+SUM(I597:T597)</f>
        <v>0</v>
      </c>
      <c r="X597" s="382"/>
      <c r="Y597" s="383"/>
      <c r="AB597" s="175"/>
      <c r="AR597" s="175"/>
    </row>
    <row r="598" spans="1:44" x14ac:dyDescent="0.3">
      <c r="A598" s="205"/>
      <c r="B598" s="197" t="s">
        <v>95</v>
      </c>
      <c r="C598" s="5057" t="s">
        <v>612</v>
      </c>
      <c r="D598" s="307"/>
      <c r="E598" s="308"/>
      <c r="F598" s="321"/>
      <c r="G598" s="308"/>
      <c r="H598" s="308"/>
      <c r="I598" s="322"/>
      <c r="J598" s="323"/>
      <c r="K598" s="323"/>
      <c r="L598" s="323"/>
      <c r="M598" s="323"/>
      <c r="N598" s="322"/>
      <c r="O598" s="322"/>
      <c r="P598" s="322"/>
      <c r="Q598" s="322"/>
      <c r="R598" s="322"/>
      <c r="S598" s="322"/>
      <c r="T598" s="322"/>
      <c r="U598" s="324"/>
      <c r="X598" s="382"/>
      <c r="Y598" s="383"/>
      <c r="AB598" s="175"/>
      <c r="AR598" s="175"/>
    </row>
    <row r="599" spans="1:44" ht="15.05" thickBot="1" x14ac:dyDescent="0.35">
      <c r="A599" s="205"/>
      <c r="B599" s="5064" t="s">
        <v>1732</v>
      </c>
      <c r="C599" s="1043">
        <f>IF(B599=0,0,U$592)</f>
        <v>0</v>
      </c>
      <c r="D599" s="1043" t="str">
        <f>IF(B599=0,0,VLOOKUP(B599,Precios!$B$216:$D$307,3,FALSE))</f>
        <v>pasada</v>
      </c>
      <c r="E599" s="5059"/>
      <c r="F599" s="1043">
        <f>IF(B599=0,0,VLOOKUP(B599,Precios!$B$216:$D$307,2,FALSE))</f>
        <v>0</v>
      </c>
      <c r="G599" s="1043">
        <f>E599*F599</f>
        <v>0</v>
      </c>
      <c r="H599" s="309"/>
      <c r="I599" s="921">
        <f t="shared" ref="I599:T599" si="362">I592*$E599</f>
        <v>0</v>
      </c>
      <c r="J599" s="921">
        <f t="shared" si="362"/>
        <v>0</v>
      </c>
      <c r="K599" s="921">
        <f t="shared" si="362"/>
        <v>0</v>
      </c>
      <c r="L599" s="921">
        <f t="shared" si="362"/>
        <v>0</v>
      </c>
      <c r="M599" s="921">
        <f t="shared" si="362"/>
        <v>0</v>
      </c>
      <c r="N599" s="921">
        <f t="shared" si="362"/>
        <v>0</v>
      </c>
      <c r="O599" s="921">
        <f t="shared" si="362"/>
        <v>0</v>
      </c>
      <c r="P599" s="921">
        <f t="shared" si="362"/>
        <v>0</v>
      </c>
      <c r="Q599" s="921">
        <f t="shared" si="362"/>
        <v>0</v>
      </c>
      <c r="R599" s="921">
        <f t="shared" si="362"/>
        <v>0</v>
      </c>
      <c r="S599" s="921">
        <f t="shared" si="362"/>
        <v>0</v>
      </c>
      <c r="T599" s="921">
        <f t="shared" si="362"/>
        <v>0</v>
      </c>
      <c r="U599" s="2288"/>
      <c r="V599" s="1511" t="str">
        <f>B599&amp;C598</f>
        <v>Fertilizar - PropiaPropia</v>
      </c>
      <c r="X599" s="382"/>
      <c r="Y599" s="383"/>
      <c r="AB599" s="175"/>
      <c r="AR599" s="175"/>
    </row>
    <row r="600" spans="1:44" ht="15.05" thickBot="1" x14ac:dyDescent="0.25">
      <c r="A600" s="205"/>
      <c r="B600" s="936" t="s">
        <v>325</v>
      </c>
      <c r="C600" s="924" t="s">
        <v>1027</v>
      </c>
      <c r="D600" s="925"/>
      <c r="E600" s="925"/>
      <c r="F600" s="930"/>
      <c r="G600" s="930"/>
      <c r="H600" s="371"/>
      <c r="I600" s="932">
        <f>+UsoSuelo!F1351</f>
        <v>0</v>
      </c>
      <c r="J600" s="932">
        <f>+UsoSuelo!G1351</f>
        <v>0</v>
      </c>
      <c r="K600" s="932">
        <f>+UsoSuelo!H1351</f>
        <v>0</v>
      </c>
      <c r="L600" s="932">
        <f>+UsoSuelo!I1351</f>
        <v>0</v>
      </c>
      <c r="M600" s="932">
        <f>+UsoSuelo!J1351</f>
        <v>0</v>
      </c>
      <c r="N600" s="932">
        <f>+UsoSuelo!K1351</f>
        <v>0</v>
      </c>
      <c r="O600" s="932">
        <f>+UsoSuelo!L1351</f>
        <v>0</v>
      </c>
      <c r="P600" s="932">
        <f>+UsoSuelo!M1351</f>
        <v>0</v>
      </c>
      <c r="Q600" s="932">
        <f>+UsoSuelo!N1351</f>
        <v>0</v>
      </c>
      <c r="R600" s="932">
        <f>+UsoSuelo!O1351</f>
        <v>0</v>
      </c>
      <c r="S600" s="932">
        <f>+UsoSuelo!P1351</f>
        <v>0</v>
      </c>
      <c r="T600" s="932">
        <f>+UsoSuelo!Q1351</f>
        <v>0</v>
      </c>
      <c r="U600" s="2289">
        <f>SUM(I600:T600)</f>
        <v>0</v>
      </c>
      <c r="X600" s="382"/>
      <c r="Y600" s="383"/>
      <c r="AB600" s="175"/>
      <c r="AR600" s="175"/>
    </row>
    <row r="601" spans="1:44" x14ac:dyDescent="0.2">
      <c r="A601" s="205"/>
      <c r="B601" s="197" t="s">
        <v>40</v>
      </c>
      <c r="C601" s="307"/>
      <c r="D601" s="307"/>
      <c r="E601" s="308"/>
      <c r="F601" s="321"/>
      <c r="G601" s="308"/>
      <c r="H601" s="308"/>
      <c r="I601" s="322"/>
      <c r="J601" s="323"/>
      <c r="K601" s="323"/>
      <c r="L601" s="323"/>
      <c r="M601" s="323"/>
      <c r="N601" s="322"/>
      <c r="O601" s="322"/>
      <c r="P601" s="322"/>
      <c r="Q601" s="322"/>
      <c r="R601" s="322"/>
      <c r="S601" s="322"/>
      <c r="T601" s="322"/>
      <c r="U601" s="324"/>
      <c r="X601" s="382"/>
      <c r="Y601" s="383"/>
      <c r="AB601" s="175"/>
      <c r="AR601" s="175"/>
    </row>
    <row r="602" spans="1:44" x14ac:dyDescent="0.3">
      <c r="A602" s="205"/>
      <c r="B602" s="5051"/>
      <c r="C602" s="1033">
        <f>IF(B602=0,0,U$600)</f>
        <v>0</v>
      </c>
      <c r="D602" s="1033">
        <f>IF(B602=0,0,VLOOKUP(B602,Precios!$B$216:$D$307,3,FALSE))</f>
        <v>0</v>
      </c>
      <c r="E602" s="5052"/>
      <c r="F602" s="1034">
        <f>IF(B602=0,0,VLOOKUP(B602,Precios!$B$216:$D$307,2,FALSE))</f>
        <v>0</v>
      </c>
      <c r="G602" s="1033">
        <f>E602*F602</f>
        <v>0</v>
      </c>
      <c r="H602" s="309"/>
      <c r="I602" s="1038">
        <f>I600*$E602</f>
        <v>0</v>
      </c>
      <c r="J602" s="1033">
        <f t="shared" ref="J602:T602" si="363">J600*$E602</f>
        <v>0</v>
      </c>
      <c r="K602" s="1033">
        <f t="shared" si="363"/>
        <v>0</v>
      </c>
      <c r="L602" s="1033">
        <f t="shared" si="363"/>
        <v>0</v>
      </c>
      <c r="M602" s="1033">
        <f t="shared" si="363"/>
        <v>0</v>
      </c>
      <c r="N602" s="1033">
        <f t="shared" si="363"/>
        <v>0</v>
      </c>
      <c r="O602" s="1033">
        <f t="shared" si="363"/>
        <v>0</v>
      </c>
      <c r="P602" s="1033">
        <f t="shared" si="363"/>
        <v>0</v>
      </c>
      <c r="Q602" s="1033">
        <f t="shared" si="363"/>
        <v>0</v>
      </c>
      <c r="R602" s="1033">
        <f t="shared" si="363"/>
        <v>0</v>
      </c>
      <c r="S602" s="1033">
        <f t="shared" si="363"/>
        <v>0</v>
      </c>
      <c r="T602" s="1033">
        <f t="shared" si="363"/>
        <v>0</v>
      </c>
      <c r="U602" s="2286">
        <f>SUM(I602:T602)</f>
        <v>0</v>
      </c>
      <c r="X602" s="382"/>
      <c r="Y602" s="383"/>
      <c r="AB602" s="175"/>
      <c r="AR602" s="175"/>
    </row>
    <row r="603" spans="1:44" x14ac:dyDescent="0.3">
      <c r="A603" s="205"/>
      <c r="B603" s="5053"/>
      <c r="C603" s="1005">
        <f>IF(B603=0,0,U$600)</f>
        <v>0</v>
      </c>
      <c r="D603" s="1005">
        <f>IF(B603=0,0,VLOOKUP(B603,Precios!$B$216:$D$307,3,FALSE))</f>
        <v>0</v>
      </c>
      <c r="E603" s="5054"/>
      <c r="F603" s="1035">
        <f>IF(B603=0,0,VLOOKUP(B603,Precios!$B$216:$D$307,2,FALSE))</f>
        <v>0</v>
      </c>
      <c r="G603" s="1005">
        <f>E603*F603</f>
        <v>0</v>
      </c>
      <c r="H603" s="309"/>
      <c r="I603" s="1010">
        <f t="shared" ref="I603:T603" si="364">I600*$E603</f>
        <v>0</v>
      </c>
      <c r="J603" s="1005">
        <f t="shared" si="364"/>
        <v>0</v>
      </c>
      <c r="K603" s="1005">
        <f t="shared" si="364"/>
        <v>0</v>
      </c>
      <c r="L603" s="1005">
        <f t="shared" si="364"/>
        <v>0</v>
      </c>
      <c r="M603" s="1005">
        <f t="shared" si="364"/>
        <v>0</v>
      </c>
      <c r="N603" s="1005">
        <f t="shared" si="364"/>
        <v>0</v>
      </c>
      <c r="O603" s="1005">
        <f t="shared" si="364"/>
        <v>0</v>
      </c>
      <c r="P603" s="1005">
        <f t="shared" si="364"/>
        <v>0</v>
      </c>
      <c r="Q603" s="1005">
        <f t="shared" si="364"/>
        <v>0</v>
      </c>
      <c r="R603" s="1005">
        <f t="shared" si="364"/>
        <v>0</v>
      </c>
      <c r="S603" s="1005">
        <f t="shared" si="364"/>
        <v>0</v>
      </c>
      <c r="T603" s="1005">
        <f t="shared" si="364"/>
        <v>0</v>
      </c>
      <c r="U603" s="1075">
        <f>SUM(I603:T603)</f>
        <v>0</v>
      </c>
      <c r="X603" s="382"/>
      <c r="Y603" s="383"/>
      <c r="AB603" s="175"/>
      <c r="AR603" s="175"/>
    </row>
    <row r="604" spans="1:44" x14ac:dyDescent="0.3">
      <c r="A604" s="205"/>
      <c r="B604" s="5060"/>
      <c r="C604" s="1036">
        <f>IF(B604=0,0,U$600)</f>
        <v>0</v>
      </c>
      <c r="D604" s="1036">
        <f>IF(B604=0,0,VLOOKUP(B604,Precios!$B$216:$D$307,3,FALSE))</f>
        <v>0</v>
      </c>
      <c r="E604" s="5061"/>
      <c r="F604" s="1037">
        <f>IF(B604=0,0,VLOOKUP(B604,Precios!$B$216:$D$307,2,FALSE))</f>
        <v>0</v>
      </c>
      <c r="G604" s="1036">
        <f>E604*F604</f>
        <v>0</v>
      </c>
      <c r="H604" s="309"/>
      <c r="I604" s="1039">
        <f t="shared" ref="I604:T604" si="365">I600*$E604</f>
        <v>0</v>
      </c>
      <c r="J604" s="1036">
        <f t="shared" si="365"/>
        <v>0</v>
      </c>
      <c r="K604" s="1036">
        <f t="shared" si="365"/>
        <v>0</v>
      </c>
      <c r="L604" s="1036">
        <f t="shared" si="365"/>
        <v>0</v>
      </c>
      <c r="M604" s="1036">
        <f t="shared" si="365"/>
        <v>0</v>
      </c>
      <c r="N604" s="1036">
        <f t="shared" si="365"/>
        <v>0</v>
      </c>
      <c r="O604" s="1036">
        <f t="shared" si="365"/>
        <v>0</v>
      </c>
      <c r="P604" s="1036">
        <f t="shared" si="365"/>
        <v>0</v>
      </c>
      <c r="Q604" s="1036">
        <f t="shared" si="365"/>
        <v>0</v>
      </c>
      <c r="R604" s="1036">
        <f t="shared" si="365"/>
        <v>0</v>
      </c>
      <c r="S604" s="1036">
        <f t="shared" si="365"/>
        <v>0</v>
      </c>
      <c r="T604" s="1036">
        <f t="shared" si="365"/>
        <v>0</v>
      </c>
      <c r="U604" s="2287">
        <f>SUM(I604:T604)</f>
        <v>0</v>
      </c>
      <c r="X604" s="382"/>
      <c r="Y604" s="383"/>
      <c r="AB604" s="175"/>
      <c r="AR604" s="175"/>
    </row>
    <row r="605" spans="1:44" x14ac:dyDescent="0.3">
      <c r="A605" s="205"/>
      <c r="B605" s="647" t="s">
        <v>1086</v>
      </c>
      <c r="C605" s="305"/>
      <c r="D605" s="305"/>
      <c r="E605" s="305"/>
      <c r="F605" s="305"/>
      <c r="G605" s="305"/>
      <c r="H605" s="306"/>
      <c r="I605" s="921">
        <f>+SUM(I602:I604)</f>
        <v>0</v>
      </c>
      <c r="J605" s="921">
        <f t="shared" ref="J605:T605" si="366">+SUM(J602:J604)</f>
        <v>0</v>
      </c>
      <c r="K605" s="921">
        <f t="shared" si="366"/>
        <v>0</v>
      </c>
      <c r="L605" s="921">
        <f t="shared" si="366"/>
        <v>0</v>
      </c>
      <c r="M605" s="921">
        <f t="shared" si="366"/>
        <v>0</v>
      </c>
      <c r="N605" s="921">
        <f t="shared" si="366"/>
        <v>0</v>
      </c>
      <c r="O605" s="921">
        <f t="shared" si="366"/>
        <v>0</v>
      </c>
      <c r="P605" s="921">
        <f t="shared" si="366"/>
        <v>0</v>
      </c>
      <c r="Q605" s="921">
        <f t="shared" si="366"/>
        <v>0</v>
      </c>
      <c r="R605" s="921">
        <f t="shared" si="366"/>
        <v>0</v>
      </c>
      <c r="S605" s="921">
        <f t="shared" si="366"/>
        <v>0</v>
      </c>
      <c r="T605" s="921">
        <f t="shared" si="366"/>
        <v>0</v>
      </c>
      <c r="U605" s="2288">
        <f>+SUM(I605:T605)</f>
        <v>0</v>
      </c>
      <c r="X605" s="382"/>
      <c r="Y605" s="383"/>
      <c r="AB605" s="175"/>
      <c r="AR605" s="175"/>
    </row>
    <row r="606" spans="1:44" x14ac:dyDescent="0.3">
      <c r="A606" s="205"/>
      <c r="B606" s="197" t="s">
        <v>95</v>
      </c>
      <c r="C606" s="5057" t="s">
        <v>612</v>
      </c>
      <c r="D606" s="307"/>
      <c r="E606" s="308"/>
      <c r="F606" s="321"/>
      <c r="G606" s="308"/>
      <c r="H606" s="308"/>
      <c r="I606" s="322"/>
      <c r="J606" s="323"/>
      <c r="K606" s="323"/>
      <c r="L606" s="323"/>
      <c r="M606" s="323"/>
      <c r="N606" s="322"/>
      <c r="O606" s="322"/>
      <c r="P606" s="322"/>
      <c r="Q606" s="322"/>
      <c r="R606" s="322"/>
      <c r="S606" s="322"/>
      <c r="T606" s="322"/>
      <c r="U606" s="324"/>
      <c r="V606" s="1511" t="str">
        <f>B607&amp;C606</f>
        <v>Fertilizar - PropiaPropia</v>
      </c>
      <c r="X606" s="382"/>
      <c r="Y606" s="383"/>
      <c r="AB606" s="175"/>
      <c r="AR606" s="175"/>
    </row>
    <row r="607" spans="1:44" ht="15.05" thickBot="1" x14ac:dyDescent="0.35">
      <c r="A607" s="205"/>
      <c r="B607" s="5064" t="s">
        <v>1732</v>
      </c>
      <c r="C607" s="1043">
        <f>IF(B607=0,0,U$600)</f>
        <v>0</v>
      </c>
      <c r="D607" s="1043" t="str">
        <f>IF(B607=0,0,VLOOKUP(B607,Precios!$B$216:$D$307,3,FALSE))</f>
        <v>pasada</v>
      </c>
      <c r="E607" s="5059"/>
      <c r="F607" s="1043">
        <f>IF(B607=0,0,VLOOKUP(B607,Precios!$B$216:$D$307,2,FALSE))</f>
        <v>0</v>
      </c>
      <c r="G607" s="1043">
        <f>E607*F607</f>
        <v>0</v>
      </c>
      <c r="H607" s="309"/>
      <c r="I607" s="921">
        <f>I599*$E607</f>
        <v>0</v>
      </c>
      <c r="J607" s="921">
        <f t="shared" ref="J607:T607" si="367">J599*$E607</f>
        <v>0</v>
      </c>
      <c r="K607" s="921">
        <f t="shared" si="367"/>
        <v>0</v>
      </c>
      <c r="L607" s="921">
        <f t="shared" si="367"/>
        <v>0</v>
      </c>
      <c r="M607" s="921">
        <f t="shared" si="367"/>
        <v>0</v>
      </c>
      <c r="N607" s="921">
        <f t="shared" si="367"/>
        <v>0</v>
      </c>
      <c r="O607" s="921">
        <f t="shared" si="367"/>
        <v>0</v>
      </c>
      <c r="P607" s="921">
        <f t="shared" si="367"/>
        <v>0</v>
      </c>
      <c r="Q607" s="921">
        <f t="shared" si="367"/>
        <v>0</v>
      </c>
      <c r="R607" s="921">
        <f t="shared" si="367"/>
        <v>0</v>
      </c>
      <c r="S607" s="921">
        <f t="shared" si="367"/>
        <v>0</v>
      </c>
      <c r="T607" s="921">
        <f t="shared" si="367"/>
        <v>0</v>
      </c>
      <c r="U607" s="2288">
        <f>+SUM(I607:T607)</f>
        <v>0</v>
      </c>
      <c r="V607" s="1511" t="str">
        <f>B607&amp;C606</f>
        <v>Fertilizar - PropiaPropia</v>
      </c>
      <c r="X607" s="382"/>
      <c r="Y607" s="383"/>
      <c r="AB607" s="175"/>
      <c r="AR607" s="175"/>
    </row>
    <row r="608" spans="1:44" ht="15.05" thickBot="1" x14ac:dyDescent="0.25">
      <c r="A608" s="205"/>
      <c r="B608" s="936" t="s">
        <v>1090</v>
      </c>
      <c r="C608" s="924" t="s">
        <v>1027</v>
      </c>
      <c r="D608" s="925"/>
      <c r="E608" s="925"/>
      <c r="F608" s="930"/>
      <c r="G608" s="930"/>
      <c r="H608" s="371"/>
      <c r="I608" s="932">
        <f>+UsoSuelo!F1354</f>
        <v>0</v>
      </c>
      <c r="J608" s="932">
        <f>+UsoSuelo!G1354</f>
        <v>0</v>
      </c>
      <c r="K608" s="932">
        <f>+UsoSuelo!H1354</f>
        <v>0</v>
      </c>
      <c r="L608" s="932">
        <f>+UsoSuelo!I1354</f>
        <v>0</v>
      </c>
      <c r="M608" s="932">
        <f>+UsoSuelo!J1354</f>
        <v>0</v>
      </c>
      <c r="N608" s="932">
        <f>+UsoSuelo!K1354</f>
        <v>0</v>
      </c>
      <c r="O608" s="932">
        <f>+UsoSuelo!L1354</f>
        <v>0</v>
      </c>
      <c r="P608" s="932">
        <f>+UsoSuelo!M1354</f>
        <v>0</v>
      </c>
      <c r="Q608" s="932">
        <f>+UsoSuelo!N1354</f>
        <v>0</v>
      </c>
      <c r="R608" s="932">
        <f>+UsoSuelo!O1354</f>
        <v>0</v>
      </c>
      <c r="S608" s="932">
        <f>+UsoSuelo!P1354</f>
        <v>0</v>
      </c>
      <c r="T608" s="932">
        <f>+UsoSuelo!Q1354</f>
        <v>0</v>
      </c>
      <c r="U608" s="2289">
        <f>SUM(I608:T608)</f>
        <v>0</v>
      </c>
      <c r="X608" s="382"/>
      <c r="Y608" s="383"/>
      <c r="AB608" s="175"/>
      <c r="AR608" s="175"/>
    </row>
    <row r="609" spans="1:44" x14ac:dyDescent="0.2">
      <c r="A609" s="205"/>
      <c r="B609" s="197" t="s">
        <v>40</v>
      </c>
      <c r="C609" s="307"/>
      <c r="D609" s="307"/>
      <c r="E609" s="308"/>
      <c r="F609" s="321"/>
      <c r="G609" s="308"/>
      <c r="H609" s="308"/>
      <c r="I609" s="322"/>
      <c r="J609" s="323"/>
      <c r="K609" s="323"/>
      <c r="L609" s="323"/>
      <c r="M609" s="323"/>
      <c r="N609" s="322"/>
      <c r="O609" s="322"/>
      <c r="P609" s="322"/>
      <c r="Q609" s="322"/>
      <c r="R609" s="322"/>
      <c r="S609" s="322"/>
      <c r="T609" s="322"/>
      <c r="U609" s="324"/>
      <c r="X609" s="382"/>
      <c r="Y609" s="383"/>
      <c r="AB609" s="175"/>
      <c r="AR609" s="175"/>
    </row>
    <row r="610" spans="1:44" x14ac:dyDescent="0.3">
      <c r="A610" s="205"/>
      <c r="B610" s="5051"/>
      <c r="C610" s="1033">
        <f>IF(B610=0,0,U$608)</f>
        <v>0</v>
      </c>
      <c r="D610" s="1033">
        <f>IF(B610=0,0,VLOOKUP(B610,Precios!$B$216:$D$307,3,FALSE))</f>
        <v>0</v>
      </c>
      <c r="E610" s="5052"/>
      <c r="F610" s="1034">
        <f>IF(B610=0,0,VLOOKUP(B610,Precios!$B$216:$D$307,2,FALSE))</f>
        <v>0</v>
      </c>
      <c r="G610" s="1033">
        <f>E610*F610</f>
        <v>0</v>
      </c>
      <c r="H610" s="309"/>
      <c r="I610" s="1038">
        <f>I608*$E610</f>
        <v>0</v>
      </c>
      <c r="J610" s="1033">
        <f t="shared" ref="J610:T610" si="368">J608*$E610</f>
        <v>0</v>
      </c>
      <c r="K610" s="1033">
        <f t="shared" si="368"/>
        <v>0</v>
      </c>
      <c r="L610" s="1033">
        <f t="shared" si="368"/>
        <v>0</v>
      </c>
      <c r="M610" s="1033">
        <f t="shared" si="368"/>
        <v>0</v>
      </c>
      <c r="N610" s="1033">
        <f t="shared" si="368"/>
        <v>0</v>
      </c>
      <c r="O610" s="1033">
        <f t="shared" si="368"/>
        <v>0</v>
      </c>
      <c r="P610" s="1033">
        <f t="shared" si="368"/>
        <v>0</v>
      </c>
      <c r="Q610" s="1033">
        <f t="shared" si="368"/>
        <v>0</v>
      </c>
      <c r="R610" s="1033">
        <f t="shared" si="368"/>
        <v>0</v>
      </c>
      <c r="S610" s="1033">
        <f t="shared" si="368"/>
        <v>0</v>
      </c>
      <c r="T610" s="1033">
        <f t="shared" si="368"/>
        <v>0</v>
      </c>
      <c r="U610" s="2286">
        <f>SUM(I610:T610)</f>
        <v>0</v>
      </c>
      <c r="X610" s="382"/>
      <c r="Y610" s="383"/>
      <c r="AB610" s="175"/>
      <c r="AR610" s="175"/>
    </row>
    <row r="611" spans="1:44" x14ac:dyDescent="0.3">
      <c r="A611" s="205"/>
      <c r="B611" s="5053"/>
      <c r="C611" s="1005">
        <f>IF(B611=0,0,U$608)</f>
        <v>0</v>
      </c>
      <c r="D611" s="1005">
        <f>IF(B611=0,0,VLOOKUP(B611,Precios!$B$216:$D$307,3,FALSE))</f>
        <v>0</v>
      </c>
      <c r="E611" s="5054"/>
      <c r="F611" s="1035">
        <f>IF(B611=0,0,VLOOKUP(B611,Precios!$B$216:$D$307,2,FALSE))</f>
        <v>0</v>
      </c>
      <c r="G611" s="1005">
        <f>E611*F611</f>
        <v>0</v>
      </c>
      <c r="H611" s="309"/>
      <c r="I611" s="1010">
        <f t="shared" ref="I611:T611" si="369">I608*$E611</f>
        <v>0</v>
      </c>
      <c r="J611" s="1005">
        <f t="shared" si="369"/>
        <v>0</v>
      </c>
      <c r="K611" s="1005">
        <f t="shared" si="369"/>
        <v>0</v>
      </c>
      <c r="L611" s="1005">
        <f t="shared" si="369"/>
        <v>0</v>
      </c>
      <c r="M611" s="1005">
        <f t="shared" si="369"/>
        <v>0</v>
      </c>
      <c r="N611" s="1005">
        <f t="shared" si="369"/>
        <v>0</v>
      </c>
      <c r="O611" s="1005">
        <f t="shared" si="369"/>
        <v>0</v>
      </c>
      <c r="P611" s="1005">
        <f t="shared" si="369"/>
        <v>0</v>
      </c>
      <c r="Q611" s="1005">
        <f t="shared" si="369"/>
        <v>0</v>
      </c>
      <c r="R611" s="1005">
        <f t="shared" si="369"/>
        <v>0</v>
      </c>
      <c r="S611" s="1005">
        <f t="shared" si="369"/>
        <v>0</v>
      </c>
      <c r="T611" s="1005">
        <f t="shared" si="369"/>
        <v>0</v>
      </c>
      <c r="U611" s="1075">
        <f>SUM(I611:T611)</f>
        <v>0</v>
      </c>
      <c r="X611" s="382"/>
      <c r="Y611" s="383"/>
      <c r="AB611" s="175"/>
      <c r="AR611" s="175"/>
    </row>
    <row r="612" spans="1:44" x14ac:dyDescent="0.3">
      <c r="A612" s="205"/>
      <c r="B612" s="5060"/>
      <c r="C612" s="1036">
        <f>IF(B612=0,0,U$608)</f>
        <v>0</v>
      </c>
      <c r="D612" s="1036">
        <f>IF(B612=0,0,VLOOKUP(B612,Precios!$B$216:$D$307,3,FALSE))</f>
        <v>0</v>
      </c>
      <c r="E612" s="5061"/>
      <c r="F612" s="1037">
        <f>IF(B612=0,0,VLOOKUP(B612,Precios!$B$216:$D$307,2,FALSE))</f>
        <v>0</v>
      </c>
      <c r="G612" s="1036">
        <f>E612*F612</f>
        <v>0</v>
      </c>
      <c r="H612" s="309"/>
      <c r="I612" s="1039">
        <f t="shared" ref="I612:T612" si="370">I608*$E612</f>
        <v>0</v>
      </c>
      <c r="J612" s="1036">
        <f t="shared" si="370"/>
        <v>0</v>
      </c>
      <c r="K612" s="1036">
        <f t="shared" si="370"/>
        <v>0</v>
      </c>
      <c r="L612" s="1036">
        <f t="shared" si="370"/>
        <v>0</v>
      </c>
      <c r="M612" s="1036">
        <f t="shared" si="370"/>
        <v>0</v>
      </c>
      <c r="N612" s="1036">
        <f t="shared" si="370"/>
        <v>0</v>
      </c>
      <c r="O612" s="1036">
        <f t="shared" si="370"/>
        <v>0</v>
      </c>
      <c r="P612" s="1036">
        <f t="shared" si="370"/>
        <v>0</v>
      </c>
      <c r="Q612" s="1036">
        <f t="shared" si="370"/>
        <v>0</v>
      </c>
      <c r="R612" s="1036">
        <f t="shared" si="370"/>
        <v>0</v>
      </c>
      <c r="S612" s="1036">
        <f t="shared" si="370"/>
        <v>0</v>
      </c>
      <c r="T612" s="1036">
        <f t="shared" si="370"/>
        <v>0</v>
      </c>
      <c r="U612" s="2287">
        <f>SUM(I612:T612)</f>
        <v>0</v>
      </c>
      <c r="X612" s="382"/>
      <c r="Y612" s="383"/>
      <c r="AB612" s="175"/>
      <c r="AR612" s="175"/>
    </row>
    <row r="613" spans="1:44" x14ac:dyDescent="0.3">
      <c r="A613" s="205"/>
      <c r="B613" s="647" t="s">
        <v>1086</v>
      </c>
      <c r="C613" s="305"/>
      <c r="D613" s="305"/>
      <c r="E613" s="305"/>
      <c r="F613" s="305"/>
      <c r="G613" s="305"/>
      <c r="H613" s="306"/>
      <c r="I613" s="921">
        <f>+SUM(I610:I612)</f>
        <v>0</v>
      </c>
      <c r="J613" s="921">
        <f t="shared" ref="J613:T613" si="371">+SUM(J610:J612)</f>
        <v>0</v>
      </c>
      <c r="K613" s="921">
        <f t="shared" si="371"/>
        <v>0</v>
      </c>
      <c r="L613" s="921">
        <f t="shared" si="371"/>
        <v>0</v>
      </c>
      <c r="M613" s="921">
        <f t="shared" si="371"/>
        <v>0</v>
      </c>
      <c r="N613" s="921">
        <f t="shared" si="371"/>
        <v>0</v>
      </c>
      <c r="O613" s="921">
        <f t="shared" si="371"/>
        <v>0</v>
      </c>
      <c r="P613" s="921">
        <f t="shared" si="371"/>
        <v>0</v>
      </c>
      <c r="Q613" s="921">
        <f t="shared" si="371"/>
        <v>0</v>
      </c>
      <c r="R613" s="921">
        <f t="shared" si="371"/>
        <v>0</v>
      </c>
      <c r="S613" s="921">
        <f t="shared" si="371"/>
        <v>0</v>
      </c>
      <c r="T613" s="921">
        <f t="shared" si="371"/>
        <v>0</v>
      </c>
      <c r="U613" s="2288">
        <f>+SUM(I613:T613)</f>
        <v>0</v>
      </c>
      <c r="X613" s="382"/>
      <c r="Y613" s="383"/>
      <c r="AB613" s="175"/>
      <c r="AR613" s="175"/>
    </row>
    <row r="614" spans="1:44" x14ac:dyDescent="0.3">
      <c r="A614" s="205"/>
      <c r="B614" s="197" t="s">
        <v>95</v>
      </c>
      <c r="C614" s="5057" t="s">
        <v>612</v>
      </c>
      <c r="D614" s="307"/>
      <c r="E614" s="308"/>
      <c r="F614" s="321"/>
      <c r="G614" s="308"/>
      <c r="H614" s="308"/>
      <c r="I614" s="322"/>
      <c r="J614" s="323"/>
      <c r="K614" s="323"/>
      <c r="L614" s="323"/>
      <c r="M614" s="323"/>
      <c r="N614" s="322"/>
      <c r="O614" s="322"/>
      <c r="P614" s="322"/>
      <c r="Q614" s="322"/>
      <c r="R614" s="322"/>
      <c r="S614" s="322"/>
      <c r="T614" s="322"/>
      <c r="U614" s="324"/>
      <c r="X614" s="382"/>
      <c r="Y614" s="383"/>
      <c r="AB614" s="175"/>
      <c r="AR614" s="175"/>
    </row>
    <row r="615" spans="1:44" ht="15.05" thickBot="1" x14ac:dyDescent="0.35">
      <c r="A615" s="205"/>
      <c r="B615" s="5064"/>
      <c r="C615" s="1043">
        <f>IF(B615=0,0,U$608)</f>
        <v>0</v>
      </c>
      <c r="D615" s="1043">
        <f>IF(B615=0,0,VLOOKUP(B615,Precios!$B$216:$D$307,3,FALSE))</f>
        <v>0</v>
      </c>
      <c r="E615" s="5059"/>
      <c r="F615" s="1043">
        <f>IF(B615=0,0,VLOOKUP(B615,Precios!$B$216:$D$307,2,FALSE))</f>
        <v>0</v>
      </c>
      <c r="G615" s="1043">
        <f>E615*F615</f>
        <v>0</v>
      </c>
      <c r="H615" s="309"/>
      <c r="I615" s="921">
        <f>I607*$E615</f>
        <v>0</v>
      </c>
      <c r="J615" s="921">
        <f t="shared" ref="J615:T615" si="372">J607*$E615</f>
        <v>0</v>
      </c>
      <c r="K615" s="921">
        <f t="shared" si="372"/>
        <v>0</v>
      </c>
      <c r="L615" s="921">
        <f t="shared" si="372"/>
        <v>0</v>
      </c>
      <c r="M615" s="921">
        <f t="shared" si="372"/>
        <v>0</v>
      </c>
      <c r="N615" s="921">
        <f t="shared" si="372"/>
        <v>0</v>
      </c>
      <c r="O615" s="921">
        <f t="shared" si="372"/>
        <v>0</v>
      </c>
      <c r="P615" s="921">
        <f t="shared" si="372"/>
        <v>0</v>
      </c>
      <c r="Q615" s="921">
        <f t="shared" si="372"/>
        <v>0</v>
      </c>
      <c r="R615" s="921">
        <f t="shared" si="372"/>
        <v>0</v>
      </c>
      <c r="S615" s="921">
        <f t="shared" si="372"/>
        <v>0</v>
      </c>
      <c r="T615" s="921">
        <f t="shared" si="372"/>
        <v>0</v>
      </c>
      <c r="U615" s="2288">
        <f>+SUM(I615:T615)</f>
        <v>0</v>
      </c>
      <c r="V615" s="1511" t="str">
        <f>B615&amp;C614</f>
        <v>Propia</v>
      </c>
      <c r="X615" s="382"/>
      <c r="Y615" s="383"/>
      <c r="AB615" s="175"/>
      <c r="AR615" s="175"/>
    </row>
    <row r="616" spans="1:44" ht="15.05" thickBot="1" x14ac:dyDescent="0.25">
      <c r="A616" s="205"/>
      <c r="B616" s="936" t="s">
        <v>1098</v>
      </c>
      <c r="C616" s="924" t="s">
        <v>1027</v>
      </c>
      <c r="D616" s="925"/>
      <c r="E616" s="925"/>
      <c r="F616" s="930"/>
      <c r="G616" s="930"/>
      <c r="H616" s="371"/>
      <c r="I616" s="932">
        <f>+UsoSuelo!F1360</f>
        <v>0</v>
      </c>
      <c r="J616" s="931">
        <f>+UsoSuelo!G1360</f>
        <v>0</v>
      </c>
      <c r="K616" s="931">
        <f>+UsoSuelo!H1360</f>
        <v>0</v>
      </c>
      <c r="L616" s="931">
        <f>+UsoSuelo!I1360</f>
        <v>0</v>
      </c>
      <c r="M616" s="931">
        <f>+UsoSuelo!J1360</f>
        <v>0</v>
      </c>
      <c r="N616" s="931">
        <f>+UsoSuelo!K1360</f>
        <v>0</v>
      </c>
      <c r="O616" s="931">
        <f>+UsoSuelo!L1360</f>
        <v>0</v>
      </c>
      <c r="P616" s="931">
        <f>+UsoSuelo!M1360</f>
        <v>0</v>
      </c>
      <c r="Q616" s="931">
        <f>+UsoSuelo!N1360</f>
        <v>0</v>
      </c>
      <c r="R616" s="931">
        <f>+UsoSuelo!O1360</f>
        <v>0</v>
      </c>
      <c r="S616" s="931">
        <f>+UsoSuelo!P1360</f>
        <v>0</v>
      </c>
      <c r="T616" s="931">
        <f>+UsoSuelo!Q1360</f>
        <v>0</v>
      </c>
      <c r="U616" s="2289">
        <f>SUM(I616:T616)</f>
        <v>0</v>
      </c>
      <c r="X616" s="382"/>
      <c r="Y616" s="383"/>
      <c r="AB616" s="175"/>
      <c r="AR616" s="175"/>
    </row>
    <row r="617" spans="1:44" x14ac:dyDescent="0.2">
      <c r="A617" s="205"/>
      <c r="B617" s="197" t="s">
        <v>40</v>
      </c>
      <c r="C617" s="307"/>
      <c r="D617" s="307"/>
      <c r="E617" s="308"/>
      <c r="F617" s="321"/>
      <c r="G617" s="308"/>
      <c r="H617" s="308"/>
      <c r="I617" s="322"/>
      <c r="J617" s="323"/>
      <c r="K617" s="323"/>
      <c r="L617" s="323"/>
      <c r="M617" s="323"/>
      <c r="N617" s="322"/>
      <c r="O617" s="322"/>
      <c r="P617" s="322"/>
      <c r="Q617" s="322"/>
      <c r="R617" s="322"/>
      <c r="S617" s="322"/>
      <c r="T617" s="322"/>
      <c r="U617" s="324"/>
      <c r="X617" s="382"/>
      <c r="Y617" s="383"/>
      <c r="AB617" s="175"/>
      <c r="AR617" s="175"/>
    </row>
    <row r="618" spans="1:44" x14ac:dyDescent="0.3">
      <c r="A618" s="205"/>
      <c r="B618" s="5051"/>
      <c r="C618" s="1033">
        <f>IF(B618=0,0,U$616)</f>
        <v>0</v>
      </c>
      <c r="D618" s="1033">
        <f>IF(B618=0,0,VLOOKUP(B618,Precios!$B$216:$D$307,3,FALSE))</f>
        <v>0</v>
      </c>
      <c r="E618" s="5052"/>
      <c r="F618" s="1034">
        <f>IF(B618=0,0,VLOOKUP(B618,Precios!$B$216:$D$307,2,FALSE))</f>
        <v>0</v>
      </c>
      <c r="G618" s="1033">
        <f>E618*F618</f>
        <v>0</v>
      </c>
      <c r="H618" s="309"/>
      <c r="I618" s="1038">
        <f>I616*$E618</f>
        <v>0</v>
      </c>
      <c r="J618" s="1033">
        <f t="shared" ref="J618:T618" si="373">J616*$E618</f>
        <v>0</v>
      </c>
      <c r="K618" s="1033">
        <f t="shared" si="373"/>
        <v>0</v>
      </c>
      <c r="L618" s="1033">
        <f t="shared" si="373"/>
        <v>0</v>
      </c>
      <c r="M618" s="1033">
        <f t="shared" si="373"/>
        <v>0</v>
      </c>
      <c r="N618" s="1033">
        <f t="shared" si="373"/>
        <v>0</v>
      </c>
      <c r="O618" s="1033">
        <f t="shared" si="373"/>
        <v>0</v>
      </c>
      <c r="P618" s="1033">
        <f t="shared" si="373"/>
        <v>0</v>
      </c>
      <c r="Q618" s="1033">
        <f t="shared" si="373"/>
        <v>0</v>
      </c>
      <c r="R618" s="1033">
        <f t="shared" si="373"/>
        <v>0</v>
      </c>
      <c r="S618" s="1033">
        <f t="shared" si="373"/>
        <v>0</v>
      </c>
      <c r="T618" s="1033">
        <f t="shared" si="373"/>
        <v>0</v>
      </c>
      <c r="U618" s="2286">
        <f>SUM(I618:T618)</f>
        <v>0</v>
      </c>
      <c r="X618" s="382"/>
      <c r="Y618" s="383"/>
      <c r="AB618" s="175"/>
      <c r="AR618" s="175"/>
    </row>
    <row r="619" spans="1:44" x14ac:dyDescent="0.3">
      <c r="A619" s="205"/>
      <c r="B619" s="5053"/>
      <c r="C619" s="1005">
        <f>IF(B619=0,0,U$616)</f>
        <v>0</v>
      </c>
      <c r="D619" s="1005">
        <f>IF(B619=0,0,VLOOKUP(B619,Precios!$B$216:$D$307,3,FALSE))</f>
        <v>0</v>
      </c>
      <c r="E619" s="5054"/>
      <c r="F619" s="1035">
        <f>IF(B619=0,0,VLOOKUP(B619,Precios!$B$216:$D$307,2,FALSE))</f>
        <v>0</v>
      </c>
      <c r="G619" s="1005">
        <f>E619*F619</f>
        <v>0</v>
      </c>
      <c r="H619" s="309"/>
      <c r="I619" s="1010">
        <f t="shared" ref="I619:T619" si="374">I616*$E619</f>
        <v>0</v>
      </c>
      <c r="J619" s="1005">
        <f t="shared" si="374"/>
        <v>0</v>
      </c>
      <c r="K619" s="1005">
        <f t="shared" si="374"/>
        <v>0</v>
      </c>
      <c r="L619" s="1005">
        <f t="shared" si="374"/>
        <v>0</v>
      </c>
      <c r="M619" s="1005">
        <f t="shared" si="374"/>
        <v>0</v>
      </c>
      <c r="N619" s="1005">
        <f t="shared" si="374"/>
        <v>0</v>
      </c>
      <c r="O619" s="1005">
        <f t="shared" si="374"/>
        <v>0</v>
      </c>
      <c r="P619" s="1005">
        <f t="shared" si="374"/>
        <v>0</v>
      </c>
      <c r="Q619" s="1005">
        <f t="shared" si="374"/>
        <v>0</v>
      </c>
      <c r="R619" s="1005">
        <f t="shared" si="374"/>
        <v>0</v>
      </c>
      <c r="S619" s="1005">
        <f t="shared" si="374"/>
        <v>0</v>
      </c>
      <c r="T619" s="1005">
        <f t="shared" si="374"/>
        <v>0</v>
      </c>
      <c r="U619" s="1075">
        <f>SUM(I619:T619)</f>
        <v>0</v>
      </c>
      <c r="X619" s="382"/>
      <c r="Y619" s="383"/>
      <c r="AB619" s="175"/>
      <c r="AR619" s="175"/>
    </row>
    <row r="620" spans="1:44" x14ac:dyDescent="0.3">
      <c r="A620" s="205"/>
      <c r="B620" s="5060"/>
      <c r="C620" s="1036">
        <f>IF(B620=0,0,U$616)</f>
        <v>0</v>
      </c>
      <c r="D620" s="1036">
        <f>IF(B620=0,0,VLOOKUP(B620,Precios!$B$216:$D$307,3,FALSE))</f>
        <v>0</v>
      </c>
      <c r="E620" s="5061"/>
      <c r="F620" s="1037">
        <f>IF(B620=0,0,VLOOKUP(B620,Precios!$B$216:$D$307,2,FALSE))</f>
        <v>0</v>
      </c>
      <c r="G620" s="1036">
        <f>E620*F620</f>
        <v>0</v>
      </c>
      <c r="H620" s="309"/>
      <c r="I620" s="1039">
        <f t="shared" ref="I620:T620" si="375">I616*$E620</f>
        <v>0</v>
      </c>
      <c r="J620" s="1036">
        <f t="shared" si="375"/>
        <v>0</v>
      </c>
      <c r="K620" s="1036">
        <f t="shared" si="375"/>
        <v>0</v>
      </c>
      <c r="L620" s="1036">
        <f t="shared" si="375"/>
        <v>0</v>
      </c>
      <c r="M620" s="1036">
        <f t="shared" si="375"/>
        <v>0</v>
      </c>
      <c r="N620" s="1036">
        <f t="shared" si="375"/>
        <v>0</v>
      </c>
      <c r="O620" s="1036">
        <f t="shared" si="375"/>
        <v>0</v>
      </c>
      <c r="P620" s="1036">
        <f t="shared" si="375"/>
        <v>0</v>
      </c>
      <c r="Q620" s="1036">
        <f t="shared" si="375"/>
        <v>0</v>
      </c>
      <c r="R620" s="1036">
        <f t="shared" si="375"/>
        <v>0</v>
      </c>
      <c r="S620" s="1036">
        <f t="shared" si="375"/>
        <v>0</v>
      </c>
      <c r="T620" s="1036">
        <f t="shared" si="375"/>
        <v>0</v>
      </c>
      <c r="U620" s="2287">
        <f>SUM(I620:T620)</f>
        <v>0</v>
      </c>
      <c r="X620" s="382"/>
      <c r="Y620" s="383"/>
      <c r="AB620" s="175"/>
      <c r="AR620" s="175"/>
    </row>
    <row r="621" spans="1:44" x14ac:dyDescent="0.3">
      <c r="A621" s="205"/>
      <c r="B621" s="647" t="s">
        <v>1086</v>
      </c>
      <c r="C621" s="305"/>
      <c r="D621" s="305"/>
      <c r="E621" s="305"/>
      <c r="F621" s="305"/>
      <c r="G621" s="305"/>
      <c r="H621" s="306"/>
      <c r="I621" s="921">
        <f>+SUM(I618:I620)</f>
        <v>0</v>
      </c>
      <c r="J621" s="921">
        <f t="shared" ref="J621:U621" si="376">+SUM(J618:J620)</f>
        <v>0</v>
      </c>
      <c r="K621" s="921">
        <f t="shared" si="376"/>
        <v>0</v>
      </c>
      <c r="L621" s="921">
        <f t="shared" si="376"/>
        <v>0</v>
      </c>
      <c r="M621" s="921">
        <f t="shared" si="376"/>
        <v>0</v>
      </c>
      <c r="N621" s="921">
        <f t="shared" si="376"/>
        <v>0</v>
      </c>
      <c r="O621" s="921">
        <f t="shared" si="376"/>
        <v>0</v>
      </c>
      <c r="P621" s="921">
        <f t="shared" si="376"/>
        <v>0</v>
      </c>
      <c r="Q621" s="921">
        <f t="shared" si="376"/>
        <v>0</v>
      </c>
      <c r="R621" s="921">
        <f t="shared" si="376"/>
        <v>0</v>
      </c>
      <c r="S621" s="921">
        <f t="shared" si="376"/>
        <v>0</v>
      </c>
      <c r="T621" s="921">
        <f t="shared" si="376"/>
        <v>0</v>
      </c>
      <c r="U621" s="2288">
        <f t="shared" si="376"/>
        <v>0</v>
      </c>
      <c r="X621" s="382"/>
      <c r="Y621" s="383"/>
      <c r="AB621" s="175"/>
      <c r="AR621" s="175"/>
    </row>
    <row r="622" spans="1:44" x14ac:dyDescent="0.3">
      <c r="A622" s="205"/>
      <c r="B622" s="197" t="s">
        <v>95</v>
      </c>
      <c r="C622" s="5057" t="s">
        <v>612</v>
      </c>
      <c r="D622" s="307"/>
      <c r="E622" s="308"/>
      <c r="F622" s="321"/>
      <c r="G622" s="308"/>
      <c r="H622" s="308"/>
      <c r="I622" s="322"/>
      <c r="J622" s="323"/>
      <c r="K622" s="323"/>
      <c r="L622" s="323"/>
      <c r="M622" s="323"/>
      <c r="N622" s="322"/>
      <c r="O622" s="322"/>
      <c r="P622" s="322"/>
      <c r="Q622" s="322"/>
      <c r="R622" s="322"/>
      <c r="S622" s="322"/>
      <c r="T622" s="322"/>
      <c r="U622" s="324"/>
      <c r="X622" s="382"/>
      <c r="Y622" s="383"/>
      <c r="AB622" s="175"/>
      <c r="AR622" s="175"/>
    </row>
    <row r="623" spans="1:44" ht="15.05" thickBot="1" x14ac:dyDescent="0.35">
      <c r="A623" s="205"/>
      <c r="B623" s="5064" t="s">
        <v>1732</v>
      </c>
      <c r="C623" s="1043">
        <f>IF(B623=0,0,U$616)</f>
        <v>0</v>
      </c>
      <c r="D623" s="1043" t="str">
        <f>IF(B623=0,0,VLOOKUP(B623,Precios!$B$216:$D$307,3,FALSE))</f>
        <v>pasada</v>
      </c>
      <c r="E623" s="5059"/>
      <c r="F623" s="1043">
        <f>IF(B623=0,0,VLOOKUP(B623,Precios!$B$216:$D$307,2,FALSE))</f>
        <v>0</v>
      </c>
      <c r="G623" s="1043">
        <f>E623*F623</f>
        <v>0</v>
      </c>
      <c r="H623" s="309"/>
      <c r="I623" s="921">
        <f>I615*$E623</f>
        <v>0</v>
      </c>
      <c r="J623" s="921">
        <f t="shared" ref="J623:T623" si="377">J615*$E623</f>
        <v>0</v>
      </c>
      <c r="K623" s="921">
        <f t="shared" si="377"/>
        <v>0</v>
      </c>
      <c r="L623" s="921">
        <f t="shared" si="377"/>
        <v>0</v>
      </c>
      <c r="M623" s="921">
        <f t="shared" si="377"/>
        <v>0</v>
      </c>
      <c r="N623" s="921">
        <f t="shared" si="377"/>
        <v>0</v>
      </c>
      <c r="O623" s="921">
        <f t="shared" si="377"/>
        <v>0</v>
      </c>
      <c r="P623" s="921">
        <f t="shared" si="377"/>
        <v>0</v>
      </c>
      <c r="Q623" s="921">
        <f t="shared" si="377"/>
        <v>0</v>
      </c>
      <c r="R623" s="921">
        <f t="shared" si="377"/>
        <v>0</v>
      </c>
      <c r="S623" s="921">
        <f t="shared" si="377"/>
        <v>0</v>
      </c>
      <c r="T623" s="921">
        <f t="shared" si="377"/>
        <v>0</v>
      </c>
      <c r="U623" s="2288">
        <f>+SUM(I623:T623)</f>
        <v>0</v>
      </c>
      <c r="V623" s="1511" t="str">
        <f>B623&amp;C622</f>
        <v>Fertilizar - PropiaPropia</v>
      </c>
      <c r="X623" s="382"/>
      <c r="Y623" s="383"/>
      <c r="AB623" s="175"/>
      <c r="AR623" s="175"/>
    </row>
    <row r="624" spans="1:44" ht="15.05" thickBot="1" x14ac:dyDescent="0.25">
      <c r="A624" s="205"/>
      <c r="B624" s="936" t="s">
        <v>1099</v>
      </c>
      <c r="C624" s="924" t="s">
        <v>1027</v>
      </c>
      <c r="D624" s="925"/>
      <c r="E624" s="925"/>
      <c r="F624" s="930"/>
      <c r="G624" s="930"/>
      <c r="H624" s="371"/>
      <c r="I624" s="932">
        <f>+UsoSuelo!F1357</f>
        <v>0</v>
      </c>
      <c r="J624" s="931">
        <f>+UsoSuelo!G1357</f>
        <v>0</v>
      </c>
      <c r="K624" s="931">
        <f>+UsoSuelo!H1357</f>
        <v>0</v>
      </c>
      <c r="L624" s="931">
        <f>+UsoSuelo!I1357</f>
        <v>0</v>
      </c>
      <c r="M624" s="931">
        <f>+UsoSuelo!J1357</f>
        <v>0</v>
      </c>
      <c r="N624" s="931">
        <f>+UsoSuelo!K1357</f>
        <v>0</v>
      </c>
      <c r="O624" s="931">
        <f>+UsoSuelo!L1357</f>
        <v>0</v>
      </c>
      <c r="P624" s="931">
        <f>+UsoSuelo!M1357</f>
        <v>0</v>
      </c>
      <c r="Q624" s="931">
        <f>+UsoSuelo!N1357</f>
        <v>0</v>
      </c>
      <c r="R624" s="931">
        <f>+UsoSuelo!O1357</f>
        <v>0</v>
      </c>
      <c r="S624" s="931">
        <f>+UsoSuelo!P1357</f>
        <v>0</v>
      </c>
      <c r="T624" s="931">
        <f>+UsoSuelo!Q1357</f>
        <v>0</v>
      </c>
      <c r="U624" s="2289">
        <f>SUM(I624:T624)</f>
        <v>0</v>
      </c>
      <c r="X624" s="382"/>
      <c r="Y624" s="383"/>
      <c r="AB624" s="175"/>
      <c r="AR624" s="175"/>
    </row>
    <row r="625" spans="1:44" x14ac:dyDescent="0.2">
      <c r="A625" s="205"/>
      <c r="B625" s="197" t="s">
        <v>40</v>
      </c>
      <c r="C625" s="307"/>
      <c r="D625" s="307"/>
      <c r="E625" s="308"/>
      <c r="F625" s="321"/>
      <c r="G625" s="308"/>
      <c r="H625" s="308"/>
      <c r="I625" s="322"/>
      <c r="J625" s="323"/>
      <c r="K625" s="323"/>
      <c r="L625" s="323"/>
      <c r="M625" s="323"/>
      <c r="N625" s="322"/>
      <c r="O625" s="322"/>
      <c r="P625" s="322"/>
      <c r="Q625" s="322"/>
      <c r="R625" s="322"/>
      <c r="S625" s="322"/>
      <c r="T625" s="322"/>
      <c r="U625" s="324"/>
      <c r="X625" s="382"/>
      <c r="Y625" s="383"/>
      <c r="AB625" s="175"/>
      <c r="AR625" s="175"/>
    </row>
    <row r="626" spans="1:44" x14ac:dyDescent="0.3">
      <c r="A626" s="205"/>
      <c r="B626" s="5051"/>
      <c r="C626" s="1033">
        <f>IF(B626=0,0,U$624)</f>
        <v>0</v>
      </c>
      <c r="D626" s="1033">
        <f>IF(B626=0,0,VLOOKUP(B626,Precios!$B$216:$D$307,3,FALSE))</f>
        <v>0</v>
      </c>
      <c r="E626" s="5052"/>
      <c r="F626" s="1034">
        <f>IF(B626=0,0,VLOOKUP(B626,Precios!$B$216:$D$307,2,FALSE))</f>
        <v>0</v>
      </c>
      <c r="G626" s="1040">
        <f>E626*F626</f>
        <v>0</v>
      </c>
      <c r="H626" s="309"/>
      <c r="I626" s="1038">
        <f>I624*$E626</f>
        <v>0</v>
      </c>
      <c r="J626" s="1033">
        <f t="shared" ref="J626:T626" si="378">J624*$E626</f>
        <v>0</v>
      </c>
      <c r="K626" s="1033">
        <f t="shared" si="378"/>
        <v>0</v>
      </c>
      <c r="L626" s="1033">
        <f t="shared" si="378"/>
        <v>0</v>
      </c>
      <c r="M626" s="1033">
        <f t="shared" si="378"/>
        <v>0</v>
      </c>
      <c r="N626" s="1033">
        <f t="shared" si="378"/>
        <v>0</v>
      </c>
      <c r="O626" s="1033">
        <f t="shared" si="378"/>
        <v>0</v>
      </c>
      <c r="P626" s="1033">
        <f t="shared" si="378"/>
        <v>0</v>
      </c>
      <c r="Q626" s="1033">
        <f t="shared" si="378"/>
        <v>0</v>
      </c>
      <c r="R626" s="1033">
        <f t="shared" si="378"/>
        <v>0</v>
      </c>
      <c r="S626" s="1033">
        <f t="shared" si="378"/>
        <v>0</v>
      </c>
      <c r="T626" s="1033">
        <f t="shared" si="378"/>
        <v>0</v>
      </c>
      <c r="U626" s="2286">
        <f>SUM(I626:T626)</f>
        <v>0</v>
      </c>
      <c r="X626" s="382"/>
      <c r="Y626" s="383"/>
      <c r="AB626" s="175"/>
      <c r="AR626" s="175"/>
    </row>
    <row r="627" spans="1:44" x14ac:dyDescent="0.3">
      <c r="A627" s="205"/>
      <c r="B627" s="5053"/>
      <c r="C627" s="1005">
        <f>IF(B627=0,0,U$624)</f>
        <v>0</v>
      </c>
      <c r="D627" s="1005">
        <f>IF(B627=0,0,VLOOKUP(B627,Precios!$B$216:$D$307,3,FALSE))</f>
        <v>0</v>
      </c>
      <c r="E627" s="5054"/>
      <c r="F627" s="1035">
        <f>IF(B627=0,0,VLOOKUP(B627,Precios!$B$216:$D$307,2,FALSE))</f>
        <v>0</v>
      </c>
      <c r="G627" s="1041">
        <f>E627*F627</f>
        <v>0</v>
      </c>
      <c r="H627" s="309"/>
      <c r="I627" s="1010">
        <f t="shared" ref="I627:T627" si="379">I624*$E627</f>
        <v>0</v>
      </c>
      <c r="J627" s="1005">
        <f t="shared" si="379"/>
        <v>0</v>
      </c>
      <c r="K627" s="1005">
        <f t="shared" si="379"/>
        <v>0</v>
      </c>
      <c r="L627" s="1005">
        <f t="shared" si="379"/>
        <v>0</v>
      </c>
      <c r="M627" s="1005">
        <f t="shared" si="379"/>
        <v>0</v>
      </c>
      <c r="N627" s="1005">
        <f t="shared" si="379"/>
        <v>0</v>
      </c>
      <c r="O627" s="1005">
        <f t="shared" si="379"/>
        <v>0</v>
      </c>
      <c r="P627" s="1005">
        <f t="shared" si="379"/>
        <v>0</v>
      </c>
      <c r="Q627" s="1005">
        <f t="shared" si="379"/>
        <v>0</v>
      </c>
      <c r="R627" s="1005">
        <f t="shared" si="379"/>
        <v>0</v>
      </c>
      <c r="S627" s="1005">
        <f t="shared" si="379"/>
        <v>0</v>
      </c>
      <c r="T627" s="1005">
        <f t="shared" si="379"/>
        <v>0</v>
      </c>
      <c r="U627" s="1075">
        <f>SUM(I627:T627)</f>
        <v>0</v>
      </c>
      <c r="X627" s="382"/>
      <c r="Y627" s="383"/>
      <c r="AB627" s="175"/>
      <c r="AR627" s="175"/>
    </row>
    <row r="628" spans="1:44" x14ac:dyDescent="0.3">
      <c r="A628" s="205"/>
      <c r="B628" s="5060"/>
      <c r="C628" s="1036">
        <f>IF(B628=0,0,U$624)</f>
        <v>0</v>
      </c>
      <c r="D628" s="1036">
        <f>IF(B628=0,0,VLOOKUP(B628,Precios!$B$216:$D$307,3,FALSE))</f>
        <v>0</v>
      </c>
      <c r="E628" s="5061"/>
      <c r="F628" s="1037">
        <f>IF(B628=0,0,VLOOKUP(B628,Precios!$B$216:$D$307,2,FALSE))</f>
        <v>0</v>
      </c>
      <c r="G628" s="1042">
        <f>E628*F628</f>
        <v>0</v>
      </c>
      <c r="H628" s="309"/>
      <c r="I628" s="1039">
        <f t="shared" ref="I628:T628" si="380">I624*$E628</f>
        <v>0</v>
      </c>
      <c r="J628" s="1036">
        <f t="shared" si="380"/>
        <v>0</v>
      </c>
      <c r="K628" s="1036">
        <f t="shared" si="380"/>
        <v>0</v>
      </c>
      <c r="L628" s="1036">
        <f t="shared" si="380"/>
        <v>0</v>
      </c>
      <c r="M628" s="1036">
        <f t="shared" si="380"/>
        <v>0</v>
      </c>
      <c r="N628" s="1036">
        <f t="shared" si="380"/>
        <v>0</v>
      </c>
      <c r="O628" s="1036">
        <f t="shared" si="380"/>
        <v>0</v>
      </c>
      <c r="P628" s="1036">
        <f t="shared" si="380"/>
        <v>0</v>
      </c>
      <c r="Q628" s="1036">
        <f t="shared" si="380"/>
        <v>0</v>
      </c>
      <c r="R628" s="1036">
        <f t="shared" si="380"/>
        <v>0</v>
      </c>
      <c r="S628" s="1036">
        <f t="shared" si="380"/>
        <v>0</v>
      </c>
      <c r="T628" s="1036">
        <f t="shared" si="380"/>
        <v>0</v>
      </c>
      <c r="U628" s="2287">
        <f>SUM(I628:T628)</f>
        <v>0</v>
      </c>
      <c r="X628" s="382"/>
      <c r="Y628" s="383"/>
      <c r="AB628" s="175"/>
      <c r="AR628" s="175"/>
    </row>
    <row r="629" spans="1:44" x14ac:dyDescent="0.3">
      <c r="A629" s="205"/>
      <c r="B629" s="647" t="s">
        <v>1086</v>
      </c>
      <c r="C629" s="305"/>
      <c r="D629" s="305"/>
      <c r="E629" s="305"/>
      <c r="F629" s="305"/>
      <c r="G629" s="305"/>
      <c r="H629" s="306"/>
      <c r="I629" s="921">
        <f>+SUM(I626:I628)</f>
        <v>0</v>
      </c>
      <c r="J629" s="921">
        <f t="shared" ref="J629:U629" si="381">+SUM(J626:J628)</f>
        <v>0</v>
      </c>
      <c r="K629" s="921">
        <f t="shared" si="381"/>
        <v>0</v>
      </c>
      <c r="L629" s="921">
        <f t="shared" si="381"/>
        <v>0</v>
      </c>
      <c r="M629" s="921">
        <f t="shared" si="381"/>
        <v>0</v>
      </c>
      <c r="N629" s="921">
        <f t="shared" si="381"/>
        <v>0</v>
      </c>
      <c r="O629" s="921">
        <f t="shared" si="381"/>
        <v>0</v>
      </c>
      <c r="P629" s="921">
        <f t="shared" si="381"/>
        <v>0</v>
      </c>
      <c r="Q629" s="921">
        <f t="shared" si="381"/>
        <v>0</v>
      </c>
      <c r="R629" s="921">
        <f t="shared" si="381"/>
        <v>0</v>
      </c>
      <c r="S629" s="921">
        <f t="shared" si="381"/>
        <v>0</v>
      </c>
      <c r="T629" s="921">
        <f t="shared" si="381"/>
        <v>0</v>
      </c>
      <c r="U629" s="2288">
        <f t="shared" si="381"/>
        <v>0</v>
      </c>
      <c r="X629" s="382"/>
      <c r="Y629" s="383"/>
      <c r="AB629" s="175"/>
      <c r="AR629" s="175"/>
    </row>
    <row r="630" spans="1:44" x14ac:dyDescent="0.3">
      <c r="A630" s="205"/>
      <c r="B630" s="197" t="s">
        <v>95</v>
      </c>
      <c r="C630" s="5057" t="s">
        <v>612</v>
      </c>
      <c r="D630" s="307"/>
      <c r="E630" s="308"/>
      <c r="F630" s="321"/>
      <c r="G630" s="308"/>
      <c r="H630" s="308"/>
      <c r="I630" s="322"/>
      <c r="J630" s="323"/>
      <c r="K630" s="323"/>
      <c r="L630" s="323"/>
      <c r="M630" s="323"/>
      <c r="N630" s="322"/>
      <c r="O630" s="322"/>
      <c r="P630" s="322"/>
      <c r="Q630" s="322"/>
      <c r="R630" s="322"/>
      <c r="S630" s="322"/>
      <c r="T630" s="322"/>
      <c r="U630" s="324"/>
      <c r="X630" s="382"/>
      <c r="Y630" s="383"/>
      <c r="AB630" s="175"/>
      <c r="AR630" s="175"/>
    </row>
    <row r="631" spans="1:44" ht="15.05" thickBot="1" x14ac:dyDescent="0.35">
      <c r="A631" s="205"/>
      <c r="B631" s="5065"/>
      <c r="C631" s="2389">
        <f>IF(B631=0,0,U$624)</f>
        <v>0</v>
      </c>
      <c r="D631" s="2389">
        <f>IF(B631=0,0,VLOOKUP(B631,Precios!$B$216:$D$307,3,FALSE))</f>
        <v>0</v>
      </c>
      <c r="E631" s="5066"/>
      <c r="F631" s="2389">
        <f>IF(B631=0,0,VLOOKUP(B631,Precios!$B$216:$D$307,2,FALSE))</f>
        <v>0</v>
      </c>
      <c r="G631" s="2389">
        <f>E631*F631</f>
        <v>0</v>
      </c>
      <c r="H631" s="309"/>
      <c r="I631" s="2390">
        <f>I623*$E631</f>
        <v>0</v>
      </c>
      <c r="J631" s="2390">
        <f t="shared" ref="J631:T631" si="382">J623*$E631</f>
        <v>0</v>
      </c>
      <c r="K631" s="2390">
        <f t="shared" si="382"/>
        <v>0</v>
      </c>
      <c r="L631" s="2390">
        <f t="shared" si="382"/>
        <v>0</v>
      </c>
      <c r="M631" s="2390">
        <f t="shared" si="382"/>
        <v>0</v>
      </c>
      <c r="N631" s="2390">
        <f t="shared" si="382"/>
        <v>0</v>
      </c>
      <c r="O631" s="2390">
        <f t="shared" si="382"/>
        <v>0</v>
      </c>
      <c r="P631" s="2390">
        <f t="shared" si="382"/>
        <v>0</v>
      </c>
      <c r="Q631" s="2390">
        <f t="shared" si="382"/>
        <v>0</v>
      </c>
      <c r="R631" s="2390">
        <f t="shared" si="382"/>
        <v>0</v>
      </c>
      <c r="S631" s="2390">
        <f t="shared" si="382"/>
        <v>0</v>
      </c>
      <c r="T631" s="2390">
        <f t="shared" si="382"/>
        <v>0</v>
      </c>
      <c r="U631" s="2391">
        <f>+SUM(I631:T631)</f>
        <v>0</v>
      </c>
      <c r="V631" s="1511" t="str">
        <f>B631&amp;C630</f>
        <v>Propia</v>
      </c>
      <c r="X631" s="382"/>
      <c r="Y631" s="383"/>
      <c r="AB631" s="175"/>
      <c r="AR631" s="175"/>
    </row>
    <row r="632" spans="1:44" ht="15.05" thickBot="1" x14ac:dyDescent="0.25">
      <c r="A632" s="205"/>
      <c r="B632" s="354" t="s">
        <v>1742</v>
      </c>
      <c r="C632" s="355"/>
      <c r="D632" s="355"/>
      <c r="E632" s="355"/>
      <c r="F632" s="355"/>
      <c r="G632" s="356"/>
      <c r="H632" s="357"/>
      <c r="I632" s="358">
        <f>SUMPRODUCT($F594:$F631,I594:I631)</f>
        <v>0</v>
      </c>
      <c r="J632" s="358">
        <f t="shared" ref="J632:T632" si="383">SUMPRODUCT($F594:$F631,J594:J631)</f>
        <v>0</v>
      </c>
      <c r="K632" s="358">
        <f t="shared" si="383"/>
        <v>0</v>
      </c>
      <c r="L632" s="358">
        <f t="shared" si="383"/>
        <v>0</v>
      </c>
      <c r="M632" s="358">
        <f t="shared" si="383"/>
        <v>0</v>
      </c>
      <c r="N632" s="358">
        <f t="shared" si="383"/>
        <v>0</v>
      </c>
      <c r="O632" s="358">
        <f t="shared" si="383"/>
        <v>0</v>
      </c>
      <c r="P632" s="358">
        <f t="shared" si="383"/>
        <v>0</v>
      </c>
      <c r="Q632" s="358">
        <f t="shared" si="383"/>
        <v>0</v>
      </c>
      <c r="R632" s="358">
        <f t="shared" si="383"/>
        <v>0</v>
      </c>
      <c r="S632" s="358">
        <f t="shared" si="383"/>
        <v>0</v>
      </c>
      <c r="T632" s="358">
        <f t="shared" si="383"/>
        <v>0</v>
      </c>
      <c r="U632" s="934">
        <f>+SUM(I632:T632)</f>
        <v>0</v>
      </c>
      <c r="X632" s="382"/>
      <c r="Y632" s="383"/>
      <c r="AB632" s="175"/>
      <c r="AR632" s="175"/>
    </row>
    <row r="633" spans="1:44" ht="15.05" thickBot="1" x14ac:dyDescent="0.25">
      <c r="A633" s="205"/>
      <c r="B633" s="208"/>
      <c r="C633" s="169"/>
      <c r="D633" s="169"/>
      <c r="E633" s="169"/>
      <c r="F633" s="169"/>
      <c r="G633" s="169"/>
      <c r="H633" s="169"/>
      <c r="I633" s="169"/>
      <c r="J633" s="169"/>
      <c r="K633" s="169"/>
      <c r="L633" s="169"/>
      <c r="M633" s="169"/>
      <c r="N633" s="169"/>
      <c r="O633" s="169"/>
      <c r="P633" s="169"/>
      <c r="Q633" s="169"/>
      <c r="R633" s="169"/>
      <c r="S633" s="169"/>
      <c r="T633" s="169"/>
      <c r="U633" s="114"/>
      <c r="X633" s="382"/>
      <c r="Y633" s="383"/>
      <c r="AB633" s="175"/>
      <c r="AR633" s="175"/>
    </row>
    <row r="634" spans="1:44" ht="15.05" thickBot="1" x14ac:dyDescent="0.25">
      <c r="A634" s="1344">
        <f>+A662</f>
        <v>67</v>
      </c>
      <c r="B634" s="910" t="s">
        <v>2339</v>
      </c>
      <c r="C634" s="911"/>
      <c r="D634" s="911"/>
      <c r="E634" s="911"/>
      <c r="F634" s="911"/>
      <c r="G634" s="911"/>
      <c r="H634" s="911"/>
      <c r="I634" s="911"/>
      <c r="J634" s="911"/>
      <c r="K634" s="911"/>
      <c r="L634" s="911"/>
      <c r="M634" s="911"/>
      <c r="N634" s="911"/>
      <c r="O634" s="911"/>
      <c r="P634" s="911"/>
      <c r="Q634" s="911"/>
      <c r="R634" s="911"/>
      <c r="S634" s="911"/>
      <c r="T634" s="911"/>
      <c r="U634" s="290"/>
      <c r="Y634" s="1511"/>
      <c r="AB634" s="175"/>
      <c r="AR634" s="175"/>
    </row>
    <row r="635" spans="1:44" x14ac:dyDescent="0.2">
      <c r="B635" s="373"/>
      <c r="C635" s="175"/>
      <c r="E635" s="175"/>
      <c r="U635" s="175"/>
      <c r="Y635" s="1511"/>
      <c r="AB635" s="175"/>
      <c r="AR635" s="175"/>
    </row>
    <row r="636" spans="1:44" x14ac:dyDescent="0.2">
      <c r="B636" s="1559" t="s">
        <v>1981</v>
      </c>
      <c r="C636" s="1547" t="s">
        <v>247</v>
      </c>
      <c r="E636" s="175" t="s">
        <v>1982</v>
      </c>
      <c r="I636" s="1547" t="s">
        <v>247</v>
      </c>
      <c r="K636" s="175" t="s">
        <v>2345</v>
      </c>
      <c r="O636" s="1547" t="s">
        <v>247</v>
      </c>
      <c r="Q636" s="175" t="s">
        <v>2346</v>
      </c>
      <c r="R636" s="175"/>
      <c r="S636"/>
      <c r="T636"/>
      <c r="U636" t="s">
        <v>247</v>
      </c>
      <c r="Y636" s="1511"/>
      <c r="AB636" s="175"/>
      <c r="AR636" s="175"/>
    </row>
    <row r="637" spans="1:44" ht="20.45" customHeight="1" x14ac:dyDescent="0.2">
      <c r="B637" s="1524" t="str">
        <f>+B666</f>
        <v>Maíz Silo</v>
      </c>
      <c r="C637" s="1560">
        <f>+U665</f>
        <v>0</v>
      </c>
      <c r="E637" s="5511" t="str">
        <f>+B725</f>
        <v>Soja</v>
      </c>
      <c r="F637" s="5512"/>
      <c r="G637" s="5512"/>
      <c r="H637" s="5513"/>
      <c r="I637" s="1560">
        <f>+U726</f>
        <v>0</v>
      </c>
      <c r="K637" s="5511" t="str">
        <f>+B775</f>
        <v xml:space="preserve">Alfalfa semillero </v>
      </c>
      <c r="L637" s="5512"/>
      <c r="M637" s="5512"/>
      <c r="N637" s="5513"/>
      <c r="O637" s="1560">
        <f>+U776</f>
        <v>0</v>
      </c>
      <c r="Q637" s="5511" t="str">
        <f>+B804</f>
        <v xml:space="preserve">Dactylis Semillero </v>
      </c>
      <c r="R637" s="5512"/>
      <c r="S637" s="5512"/>
      <c r="T637" s="5513"/>
      <c r="U637" s="1560">
        <f>+U805</f>
        <v>0</v>
      </c>
      <c r="Y637" s="1511"/>
      <c r="AB637" s="175"/>
      <c r="AR637" s="175"/>
    </row>
    <row r="638" spans="1:44" ht="3.6" customHeight="1" x14ac:dyDescent="0.2">
      <c r="B638" s="373"/>
      <c r="C638" s="1521"/>
      <c r="I638" s="1521"/>
      <c r="O638" s="1521"/>
      <c r="Q638" s="981"/>
      <c r="R638" s="981"/>
      <c r="S638" s="981"/>
      <c r="T638" s="981"/>
      <c r="U638" s="1521"/>
      <c r="Y638" s="1511"/>
      <c r="AB638" s="175"/>
      <c r="AR638" s="175"/>
    </row>
    <row r="639" spans="1:44" ht="20.45" customHeight="1" x14ac:dyDescent="0.2">
      <c r="B639" s="1524" t="str">
        <f>+B671</f>
        <v>Sorgo silo</v>
      </c>
      <c r="C639" s="1560">
        <f>+U672</f>
        <v>0</v>
      </c>
      <c r="E639" s="5511" t="str">
        <f>+B729</f>
        <v>Soja 2ª</v>
      </c>
      <c r="F639" s="5512"/>
      <c r="G639" s="5512"/>
      <c r="H639" s="5513"/>
      <c r="I639" s="1560">
        <f>+U730</f>
        <v>0</v>
      </c>
      <c r="K639" s="5511" t="str">
        <f>+B778</f>
        <v xml:space="preserve">TR semillero </v>
      </c>
      <c r="L639" s="5512"/>
      <c r="M639" s="5512"/>
      <c r="N639" s="5513"/>
      <c r="O639" s="1560">
        <f>+U779</f>
        <v>0</v>
      </c>
      <c r="Q639" s="5511" t="str">
        <f>+B807</f>
        <v xml:space="preserve">Festuca Semillero </v>
      </c>
      <c r="R639" s="5512"/>
      <c r="S639" s="5512"/>
      <c r="T639" s="5513"/>
      <c r="U639" s="1560">
        <f>+U808</f>
        <v>0</v>
      </c>
      <c r="Y639" s="1511"/>
      <c r="AB639" s="175"/>
      <c r="AR639" s="175"/>
    </row>
    <row r="640" spans="1:44" ht="3.6" customHeight="1" x14ac:dyDescent="0.2">
      <c r="B640" s="373"/>
      <c r="C640" s="1521"/>
      <c r="I640" s="1521"/>
      <c r="O640" s="1521"/>
      <c r="Q640" s="981"/>
      <c r="R640" s="981"/>
      <c r="S640" s="981"/>
      <c r="T640" s="981"/>
      <c r="U640" s="1521"/>
      <c r="Y640" s="1511"/>
      <c r="AB640" s="175"/>
      <c r="AR640" s="175"/>
    </row>
    <row r="641" spans="2:44" ht="20.45" customHeight="1" x14ac:dyDescent="0.2">
      <c r="B641" s="1524" t="str">
        <f>+B676</f>
        <v>Moha</v>
      </c>
      <c r="C641" s="1560">
        <f>+U677</f>
        <v>0</v>
      </c>
      <c r="E641" s="5511" t="str">
        <f>+B733</f>
        <v>Maíz Grano</v>
      </c>
      <c r="F641" s="5512"/>
      <c r="G641" s="5512"/>
      <c r="H641" s="5513"/>
      <c r="I641" s="1560">
        <f>+U734</f>
        <v>0</v>
      </c>
      <c r="K641" s="5511" t="str">
        <f>+B781</f>
        <v xml:space="preserve">TB semillero </v>
      </c>
      <c r="L641" s="5512"/>
      <c r="M641" s="5512"/>
      <c r="N641" s="5513"/>
      <c r="O641" s="1560">
        <f>+U782</f>
        <v>0</v>
      </c>
      <c r="Q641" s="5511" t="str">
        <f>+B810</f>
        <v xml:space="preserve">Rg semillero </v>
      </c>
      <c r="R641" s="5512"/>
      <c r="S641" s="5512"/>
      <c r="T641" s="5513"/>
      <c r="U641" s="1560">
        <f>+U811</f>
        <v>0</v>
      </c>
      <c r="Y641" s="1511"/>
      <c r="AB641" s="175"/>
      <c r="AR641" s="175"/>
    </row>
    <row r="642" spans="2:44" ht="3.6" customHeight="1" x14ac:dyDescent="0.2">
      <c r="B642" s="373"/>
      <c r="C642" s="1521"/>
      <c r="I642" s="1521"/>
      <c r="O642" s="1521"/>
      <c r="Q642" s="981"/>
      <c r="R642" s="981"/>
      <c r="S642" s="981"/>
      <c r="T642" s="981"/>
      <c r="U642" s="1521"/>
      <c r="Y642" s="1511"/>
      <c r="AB642" s="175"/>
      <c r="AR642" s="175"/>
    </row>
    <row r="643" spans="2:44" ht="20.45" customHeight="1" x14ac:dyDescent="0.2">
      <c r="B643" s="1524" t="str">
        <f>+B681</f>
        <v>Soja reserva</v>
      </c>
      <c r="C643" s="1560">
        <f>+U682</f>
        <v>0</v>
      </c>
      <c r="E643" s="5511" t="str">
        <f>+B737</f>
        <v>Sorgo grano</v>
      </c>
      <c r="F643" s="5512"/>
      <c r="G643" s="5512"/>
      <c r="H643" s="5513"/>
      <c r="I643" s="1560">
        <f>+U738</f>
        <v>0</v>
      </c>
      <c r="K643" s="5511" t="str">
        <f>+B784</f>
        <v xml:space="preserve">Achicoria Semillero </v>
      </c>
      <c r="L643" s="5512"/>
      <c r="M643" s="5512"/>
      <c r="N643" s="5513"/>
      <c r="O643" s="1560">
        <f>+U785</f>
        <v>0</v>
      </c>
      <c r="Q643" s="5511">
        <f>+B816</f>
        <v>0</v>
      </c>
      <c r="R643" s="5512"/>
      <c r="S643" s="5512"/>
      <c r="T643" s="5513"/>
      <c r="U643" s="1560">
        <f>+U817</f>
        <v>0</v>
      </c>
      <c r="Y643" s="1511"/>
      <c r="AB643" s="175"/>
      <c r="AR643" s="175"/>
    </row>
    <row r="644" spans="2:44" ht="3.6" customHeight="1" x14ac:dyDescent="0.2">
      <c r="B644" s="373"/>
      <c r="C644" s="1521"/>
      <c r="I644" s="1521"/>
      <c r="O644" s="1521"/>
      <c r="Q644" s="981"/>
      <c r="R644" s="981"/>
      <c r="S644" s="981"/>
      <c r="T644" s="981"/>
      <c r="U644" s="1521"/>
      <c r="Y644" s="1511"/>
      <c r="AB644" s="175"/>
      <c r="AR644" s="175"/>
    </row>
    <row r="645" spans="2:44" ht="20.45" customHeight="1" x14ac:dyDescent="0.2">
      <c r="B645" s="1524">
        <f>+B686</f>
        <v>0</v>
      </c>
      <c r="C645" s="1560">
        <f>U687</f>
        <v>0</v>
      </c>
      <c r="E645" s="5511" t="str">
        <f>+B741</f>
        <v>Trigo grano</v>
      </c>
      <c r="F645" s="5512"/>
      <c r="G645" s="5512"/>
      <c r="H645" s="5513"/>
      <c r="I645" s="1560">
        <f>+U742</f>
        <v>0</v>
      </c>
      <c r="K645" s="5511">
        <f>+B787</f>
        <v>0</v>
      </c>
      <c r="L645" s="5512"/>
      <c r="M645" s="5512"/>
      <c r="N645" s="5513"/>
      <c r="O645" s="1560">
        <f>+U788</f>
        <v>0</v>
      </c>
      <c r="Q645" s="5511">
        <f>+B816</f>
        <v>0</v>
      </c>
      <c r="R645" s="5512"/>
      <c r="S645" s="5512"/>
      <c r="T645" s="5513"/>
      <c r="U645" s="1560">
        <f>+U817</f>
        <v>0</v>
      </c>
      <c r="Y645" s="1511"/>
      <c r="AB645" s="175"/>
      <c r="AR645" s="175"/>
    </row>
    <row r="646" spans="2:44" ht="3.6" customHeight="1" x14ac:dyDescent="0.2">
      <c r="B646" s="373"/>
      <c r="C646" s="1521"/>
      <c r="I646" s="1521"/>
      <c r="O646" s="1521"/>
      <c r="Q646" s="981"/>
      <c r="R646" s="981"/>
      <c r="S646" s="981"/>
      <c r="T646" s="981"/>
      <c r="U646" s="1521"/>
      <c r="Y646" s="1511"/>
      <c r="AB646" s="175"/>
      <c r="AR646" s="175"/>
    </row>
    <row r="647" spans="2:44" ht="20.45" customHeight="1" x14ac:dyDescent="0.2">
      <c r="B647" s="1524">
        <f>+B691</f>
        <v>0</v>
      </c>
      <c r="C647" s="1560">
        <f>U692</f>
        <v>0</v>
      </c>
      <c r="E647" s="5511" t="str">
        <f>+B745</f>
        <v>Cebada grano</v>
      </c>
      <c r="F647" s="5512"/>
      <c r="G647" s="5512"/>
      <c r="H647" s="5513"/>
      <c r="I647" s="1560">
        <f>+U746</f>
        <v>0</v>
      </c>
      <c r="K647" s="5511">
        <f>+B790</f>
        <v>0</v>
      </c>
      <c r="L647" s="5512"/>
      <c r="M647" s="5512"/>
      <c r="N647" s="5513"/>
      <c r="O647" s="1560">
        <f>+U791</f>
        <v>0</v>
      </c>
      <c r="Q647" s="5511">
        <f>+B819</f>
        <v>0</v>
      </c>
      <c r="R647" s="5512"/>
      <c r="S647" s="5512"/>
      <c r="T647" s="5513"/>
      <c r="U647" s="1560">
        <f>+U820</f>
        <v>0</v>
      </c>
      <c r="Y647" s="1511"/>
      <c r="AB647" s="175"/>
      <c r="AR647" s="175"/>
    </row>
    <row r="648" spans="2:44" ht="3.6" customHeight="1" x14ac:dyDescent="0.2">
      <c r="B648" s="373"/>
      <c r="C648" s="1521"/>
      <c r="I648" s="1521"/>
      <c r="O648" s="1521"/>
      <c r="Q648" s="981"/>
      <c r="R648" s="981"/>
      <c r="S648" s="981"/>
      <c r="T648" s="981"/>
      <c r="U648" s="1521"/>
      <c r="Y648" s="1511"/>
      <c r="AB648" s="175"/>
      <c r="AR648" s="175"/>
    </row>
    <row r="649" spans="2:44" ht="20.45" customHeight="1" x14ac:dyDescent="0.2">
      <c r="B649" s="1524" t="str">
        <f>+B698</f>
        <v>Avena silo</v>
      </c>
      <c r="C649" s="1560">
        <f>U699</f>
        <v>0</v>
      </c>
      <c r="E649" s="5511" t="str">
        <f>+B749</f>
        <v>Avena grano</v>
      </c>
      <c r="F649" s="5512"/>
      <c r="G649" s="5512"/>
      <c r="H649" s="5513"/>
      <c r="I649" s="1560">
        <f>+U780</f>
        <v>0</v>
      </c>
      <c r="K649" s="5511">
        <f>+B793</f>
        <v>0</v>
      </c>
      <c r="L649" s="5512"/>
      <c r="M649" s="5512"/>
      <c r="N649" s="5513"/>
      <c r="O649" s="1560">
        <f>+U794</f>
        <v>0</v>
      </c>
      <c r="Q649" s="5511">
        <f>+B822</f>
        <v>0</v>
      </c>
      <c r="R649" s="5512"/>
      <c r="S649" s="5512"/>
      <c r="T649" s="5513"/>
      <c r="U649" s="1560">
        <f>+U823</f>
        <v>0</v>
      </c>
      <c r="Y649" s="1511"/>
      <c r="AB649" s="175"/>
      <c r="AR649" s="175"/>
    </row>
    <row r="650" spans="2:44" ht="3.6" customHeight="1" x14ac:dyDescent="0.2">
      <c r="B650" s="373"/>
      <c r="C650" s="1521"/>
      <c r="I650" s="1521"/>
      <c r="O650" s="1521"/>
      <c r="Q650" s="981"/>
      <c r="R650" s="981"/>
      <c r="S650" s="981"/>
      <c r="T650" s="981"/>
      <c r="U650" s="1521"/>
      <c r="Y650" s="1511"/>
      <c r="AB650" s="175"/>
      <c r="AR650" s="175"/>
    </row>
    <row r="651" spans="2:44" ht="20.45" customHeight="1" x14ac:dyDescent="0.2">
      <c r="B651" s="1524" t="str">
        <f>+B703</f>
        <v>Raigrás Silo</v>
      </c>
      <c r="C651" s="1560">
        <f>U704</f>
        <v>0</v>
      </c>
      <c r="E651" s="5511" t="str">
        <f>+B753</f>
        <v>Colza grano</v>
      </c>
      <c r="F651" s="5512"/>
      <c r="G651" s="5512"/>
      <c r="H651" s="5513"/>
      <c r="I651" s="1560">
        <f>+U754</f>
        <v>0</v>
      </c>
      <c r="K651" s="5511">
        <f>+B796</f>
        <v>0</v>
      </c>
      <c r="L651" s="5512"/>
      <c r="M651" s="5512"/>
      <c r="N651" s="5513"/>
      <c r="O651" s="1560">
        <f>+U797</f>
        <v>0</v>
      </c>
      <c r="Q651" s="5511">
        <f>+B825</f>
        <v>0</v>
      </c>
      <c r="R651" s="5512"/>
      <c r="S651" s="5512"/>
      <c r="T651" s="5513"/>
      <c r="U651" s="1560">
        <f>+U826</f>
        <v>0</v>
      </c>
      <c r="Y651" s="1511"/>
      <c r="AB651" s="175"/>
      <c r="AR651" s="175"/>
    </row>
    <row r="652" spans="2:44" ht="3.6" customHeight="1" x14ac:dyDescent="0.2">
      <c r="B652" s="373"/>
      <c r="C652" s="1521"/>
      <c r="I652" s="1521"/>
      <c r="O652" s="1521"/>
      <c r="Q652" s="981"/>
      <c r="R652" s="981"/>
      <c r="S652" s="981"/>
      <c r="T652" s="981"/>
      <c r="U652" s="1521"/>
      <c r="Y652" s="1511"/>
      <c r="AB652" s="175"/>
      <c r="AR652" s="175"/>
    </row>
    <row r="653" spans="2:44" ht="20.45" customHeight="1" x14ac:dyDescent="0.2">
      <c r="B653" s="1524" t="str">
        <f>+B708</f>
        <v>Ra Silo Cierre Ago</v>
      </c>
      <c r="C653" s="1560">
        <f>U709</f>
        <v>0</v>
      </c>
      <c r="E653" s="5511">
        <f>+B757</f>
        <v>0</v>
      </c>
      <c r="F653" s="5512"/>
      <c r="G653" s="5512"/>
      <c r="H653" s="5513"/>
      <c r="I653" s="1560">
        <f>+U758</f>
        <v>0</v>
      </c>
      <c r="K653" s="5511">
        <f>+B799</f>
        <v>0</v>
      </c>
      <c r="L653" s="5512"/>
      <c r="M653" s="5512"/>
      <c r="N653" s="5513"/>
      <c r="O653" s="1560">
        <f>+U800</f>
        <v>0</v>
      </c>
      <c r="Q653" s="5511">
        <f>+B828</f>
        <v>0</v>
      </c>
      <c r="R653" s="5512"/>
      <c r="S653" s="5512"/>
      <c r="T653" s="5513"/>
      <c r="U653" s="1560">
        <f>+U830</f>
        <v>0</v>
      </c>
      <c r="Y653" s="1511"/>
      <c r="AB653" s="175"/>
      <c r="AR653" s="175"/>
    </row>
    <row r="654" spans="2:44" ht="3.6" customHeight="1" x14ac:dyDescent="0.2">
      <c r="B654" s="373"/>
      <c r="C654" s="1521"/>
      <c r="I654" s="1521"/>
      <c r="U654" s="175"/>
      <c r="Y654" s="1511"/>
      <c r="AB654" s="175"/>
      <c r="AR654" s="175"/>
    </row>
    <row r="655" spans="2:44" ht="20.45" customHeight="1" x14ac:dyDescent="0.2">
      <c r="B655" s="1524">
        <f>+B713</f>
        <v>0</v>
      </c>
      <c r="C655" s="1560">
        <f>U714</f>
        <v>0</v>
      </c>
      <c r="E655" s="5511">
        <f>+B761</f>
        <v>0</v>
      </c>
      <c r="F655" s="5512"/>
      <c r="G655" s="5512"/>
      <c r="H655" s="5513"/>
      <c r="I655" s="1560">
        <f>+U762</f>
        <v>0</v>
      </c>
      <c r="U655" s="175"/>
      <c r="Y655" s="1511"/>
      <c r="AB655" s="175"/>
      <c r="AR655" s="175"/>
    </row>
    <row r="656" spans="2:44" ht="3.6" customHeight="1" x14ac:dyDescent="0.2">
      <c r="B656" s="373"/>
      <c r="C656" s="1521"/>
      <c r="I656" s="1521"/>
      <c r="U656" s="175"/>
      <c r="Y656" s="1511"/>
      <c r="AB656" s="175"/>
      <c r="AR656" s="175"/>
    </row>
    <row r="657" spans="1:45" ht="20.45" customHeight="1" x14ac:dyDescent="0.2">
      <c r="B657" s="1524">
        <f>+B718</f>
        <v>0</v>
      </c>
      <c r="C657" s="1560">
        <f>U719</f>
        <v>0</v>
      </c>
      <c r="E657" s="5511">
        <f>+B765</f>
        <v>0</v>
      </c>
      <c r="F657" s="5512"/>
      <c r="G657" s="5512"/>
      <c r="H657" s="5513"/>
      <c r="I657" s="1560">
        <f>+U766</f>
        <v>0</v>
      </c>
      <c r="U657" s="175"/>
      <c r="Y657" s="1511"/>
      <c r="AB657" s="175"/>
      <c r="AR657" s="175"/>
    </row>
    <row r="658" spans="1:45" ht="3.6" customHeight="1" x14ac:dyDescent="0.2">
      <c r="B658" s="373"/>
      <c r="I658" s="1521"/>
      <c r="U658" s="175"/>
      <c r="Y658" s="1511"/>
      <c r="AB658" s="175"/>
      <c r="AR658" s="175"/>
    </row>
    <row r="659" spans="1:45" ht="20.45" customHeight="1" x14ac:dyDescent="0.2">
      <c r="B659" s="771"/>
      <c r="C659" s="1544"/>
      <c r="E659" s="5511">
        <f>+B769</f>
        <v>0</v>
      </c>
      <c r="F659" s="5512"/>
      <c r="G659" s="5512"/>
      <c r="H659" s="5513"/>
      <c r="I659" s="1560">
        <f>+U770</f>
        <v>0</v>
      </c>
      <c r="U659" s="175"/>
      <c r="Y659" s="1511"/>
      <c r="AB659" s="175"/>
      <c r="AR659" s="175"/>
    </row>
    <row r="660" spans="1:45" ht="3.6" customHeight="1" x14ac:dyDescent="0.2">
      <c r="B660" s="373"/>
      <c r="U660" s="175"/>
      <c r="Y660" s="1511"/>
      <c r="AB660" s="175"/>
      <c r="AR660" s="175"/>
    </row>
    <row r="661" spans="1:45" ht="15.05" thickBot="1" x14ac:dyDescent="0.25">
      <c r="B661" s="373"/>
      <c r="C661" s="175"/>
      <c r="E661" s="175"/>
      <c r="U661" s="175"/>
      <c r="Y661" s="1511"/>
      <c r="AB661" s="175"/>
      <c r="AR661" s="175"/>
    </row>
    <row r="662" spans="1:45" ht="15.05" thickBot="1" x14ac:dyDescent="0.25">
      <c r="A662" s="1344">
        <f>+A531+1</f>
        <v>67</v>
      </c>
      <c r="B662" s="142" t="s">
        <v>2347</v>
      </c>
      <c r="C662" s="983"/>
      <c r="D662" s="1012" t="s">
        <v>1029</v>
      </c>
      <c r="E662" s="334"/>
      <c r="F662" s="334"/>
      <c r="G662" s="334"/>
      <c r="H662" s="334"/>
      <c r="I662" s="334"/>
      <c r="J662" s="334"/>
      <c r="K662" s="334"/>
      <c r="L662" s="334"/>
      <c r="M662" s="334"/>
      <c r="N662" s="334"/>
      <c r="O662" s="334"/>
      <c r="P662" s="334"/>
      <c r="Q662" s="334"/>
      <c r="R662" s="334"/>
      <c r="S662" s="334"/>
      <c r="T662" s="334"/>
      <c r="U662" s="290"/>
      <c r="Y662" s="1557"/>
      <c r="Z662" s="438"/>
      <c r="AA662" s="438"/>
      <c r="AB662" s="439"/>
      <c r="AC662" s="439"/>
      <c r="AD662" s="439"/>
      <c r="AE662" s="438"/>
      <c r="AF662" s="592"/>
      <c r="AG662" s="592"/>
      <c r="AH662" s="592"/>
      <c r="AI662" s="592"/>
      <c r="AJ662" s="592"/>
      <c r="AK662" s="592"/>
      <c r="AL662" s="592"/>
      <c r="AM662" s="592"/>
      <c r="AN662" s="592"/>
      <c r="AO662" s="592"/>
      <c r="AP662" s="592"/>
      <c r="AQ662" s="592"/>
      <c r="AR662" s="439"/>
      <c r="AS662" s="254"/>
    </row>
    <row r="663" spans="1:45" ht="15.05" thickBot="1" x14ac:dyDescent="0.25">
      <c r="A663" s="205"/>
      <c r="B663" s="337"/>
      <c r="C663" s="291"/>
      <c r="D663" s="291"/>
      <c r="E663" s="291"/>
      <c r="F663" s="291"/>
      <c r="G663" s="338" t="s">
        <v>883</v>
      </c>
      <c r="H663" s="339"/>
      <c r="I663" s="2" t="str">
        <f t="shared" ref="I663:T663" si="384">I41</f>
        <v>Ene</v>
      </c>
      <c r="J663" s="2" t="str">
        <f t="shared" si="384"/>
        <v>Feb</v>
      </c>
      <c r="K663" s="2" t="str">
        <f t="shared" si="384"/>
        <v>Mar</v>
      </c>
      <c r="L663" s="2" t="str">
        <f t="shared" si="384"/>
        <v>Abr</v>
      </c>
      <c r="M663" s="2" t="str">
        <f t="shared" si="384"/>
        <v>May</v>
      </c>
      <c r="N663" s="2" t="str">
        <f t="shared" si="384"/>
        <v>Jun</v>
      </c>
      <c r="O663" s="2" t="str">
        <f t="shared" si="384"/>
        <v>Jul</v>
      </c>
      <c r="P663" s="2" t="str">
        <f t="shared" si="384"/>
        <v>Ago</v>
      </c>
      <c r="Q663" s="2" t="str">
        <f t="shared" si="384"/>
        <v>Set</v>
      </c>
      <c r="R663" s="2" t="str">
        <f t="shared" si="384"/>
        <v>Oct</v>
      </c>
      <c r="S663" s="2" t="str">
        <f t="shared" si="384"/>
        <v>Nov</v>
      </c>
      <c r="T663" s="2" t="str">
        <f t="shared" si="384"/>
        <v>Dic</v>
      </c>
      <c r="U663" s="1013" t="s">
        <v>1106</v>
      </c>
      <c r="Y663" s="1271"/>
      <c r="Z663" s="372"/>
      <c r="AA663" s="372"/>
      <c r="AB663" s="372"/>
      <c r="AC663" s="372"/>
      <c r="AD663" s="372"/>
      <c r="AE663" s="372"/>
      <c r="AF663" s="372"/>
      <c r="AG663" s="372"/>
      <c r="AH663" s="372"/>
      <c r="AI663" s="372"/>
      <c r="AJ663" s="372"/>
      <c r="AK663" s="372"/>
      <c r="AL663" s="372"/>
      <c r="AM663" s="372"/>
      <c r="AN663" s="372"/>
      <c r="AO663" s="372"/>
      <c r="AP663" s="372"/>
      <c r="AQ663" s="372"/>
      <c r="AR663" s="767"/>
      <c r="AS663" s="254"/>
    </row>
    <row r="664" spans="1:45" ht="15.05" thickBot="1" x14ac:dyDescent="0.25">
      <c r="A664" s="1344">
        <f>+A662</f>
        <v>67</v>
      </c>
      <c r="B664" s="1015" t="s">
        <v>1754</v>
      </c>
      <c r="C664" s="1016"/>
      <c r="D664" s="1017"/>
      <c r="E664" s="1017"/>
      <c r="F664" s="1017"/>
      <c r="G664" s="1017"/>
      <c r="H664" s="1018"/>
      <c r="I664" s="1019"/>
      <c r="J664" s="1019"/>
      <c r="K664" s="1019"/>
      <c r="L664" s="1019"/>
      <c r="M664" s="1019"/>
      <c r="N664" s="1019"/>
      <c r="O664" s="1019"/>
      <c r="P664" s="1019"/>
      <c r="Q664" s="1019"/>
      <c r="R664" s="1019"/>
      <c r="S664" s="1019"/>
      <c r="T664" s="1019"/>
      <c r="U664" s="1020"/>
      <c r="Y664" s="1271"/>
      <c r="Z664" s="372"/>
      <c r="AA664" s="372"/>
      <c r="AB664" s="372"/>
      <c r="AC664" s="372"/>
      <c r="AD664" s="372"/>
      <c r="AE664" s="372"/>
      <c r="AF664" s="372"/>
      <c r="AG664" s="372"/>
      <c r="AH664" s="372"/>
      <c r="AI664" s="372"/>
      <c r="AJ664" s="372"/>
      <c r="AK664" s="372"/>
      <c r="AL664" s="372"/>
      <c r="AM664" s="372"/>
      <c r="AN664" s="372"/>
      <c r="AO664" s="372"/>
      <c r="AP664" s="372"/>
      <c r="AQ664" s="372"/>
      <c r="AR664" s="767"/>
      <c r="AS664" s="254"/>
    </row>
    <row r="665" spans="1:45" x14ac:dyDescent="0.2">
      <c r="A665" s="1344" t="s">
        <v>1758</v>
      </c>
      <c r="B665" s="236"/>
      <c r="C665" s="924" t="s">
        <v>1031</v>
      </c>
      <c r="D665" s="925"/>
      <c r="E665" s="925"/>
      <c r="F665" s="925"/>
      <c r="G665" s="925"/>
      <c r="H665" s="926"/>
      <c r="I665" s="1014">
        <f>+UsoSuelo!F1400</f>
        <v>0</v>
      </c>
      <c r="J665" s="1014">
        <f>+UsoSuelo!G1400</f>
        <v>0</v>
      </c>
      <c r="K665" s="1014">
        <f>+UsoSuelo!H1400</f>
        <v>0</v>
      </c>
      <c r="L665" s="1014">
        <f>+UsoSuelo!I1400</f>
        <v>0</v>
      </c>
      <c r="M665" s="1014">
        <f>+UsoSuelo!J1400</f>
        <v>0</v>
      </c>
      <c r="N665" s="1014">
        <f>+UsoSuelo!K1400</f>
        <v>0</v>
      </c>
      <c r="O665" s="1014">
        <f>+UsoSuelo!L1400</f>
        <v>0</v>
      </c>
      <c r="P665" s="1014">
        <f>+UsoSuelo!M1400</f>
        <v>0</v>
      </c>
      <c r="Q665" s="1014">
        <f>+UsoSuelo!N1400</f>
        <v>0</v>
      </c>
      <c r="R665" s="1014">
        <f>+UsoSuelo!O1400</f>
        <v>0</v>
      </c>
      <c r="S665" s="1014">
        <f>+UsoSuelo!P1400</f>
        <v>0</v>
      </c>
      <c r="T665" s="1014">
        <f>+UsoSuelo!Q1400</f>
        <v>0</v>
      </c>
      <c r="U665" s="942">
        <f>SUM(I665:T665)</f>
        <v>0</v>
      </c>
      <c r="Y665" s="1271"/>
      <c r="Z665" s="372"/>
      <c r="AA665" s="372"/>
      <c r="AB665" s="372"/>
      <c r="AC665" s="372"/>
      <c r="AD665" s="372"/>
      <c r="AE665" s="372"/>
      <c r="AF665" s="372"/>
      <c r="AG665" s="372"/>
      <c r="AH665" s="372"/>
      <c r="AI665" s="372"/>
      <c r="AJ665" s="372"/>
      <c r="AK665" s="372"/>
      <c r="AL665" s="372"/>
      <c r="AM665" s="372"/>
      <c r="AN665" s="372"/>
      <c r="AO665" s="372"/>
      <c r="AP665" s="372"/>
      <c r="AQ665" s="372"/>
      <c r="AR665" s="767"/>
      <c r="AS665" s="254"/>
    </row>
    <row r="666" spans="1:45" x14ac:dyDescent="0.2">
      <c r="A666" s="739"/>
      <c r="B666" s="943" t="str">
        <f>UsoSuelo!D333</f>
        <v>Maíz Silo</v>
      </c>
      <c r="C666" s="1" t="s">
        <v>885</v>
      </c>
      <c r="D666" s="1"/>
      <c r="E666" s="1" t="s">
        <v>881</v>
      </c>
      <c r="F666" s="1" t="s">
        <v>23</v>
      </c>
      <c r="G666" s="2"/>
      <c r="H666" s="2"/>
      <c r="I666" s="177"/>
      <c r="J666" s="177"/>
      <c r="K666" s="177"/>
      <c r="L666" s="177"/>
      <c r="M666" s="177"/>
      <c r="N666" s="177"/>
      <c r="O666" s="177"/>
      <c r="P666" s="177"/>
      <c r="Q666" s="177"/>
      <c r="R666" s="177"/>
      <c r="S666" s="177"/>
      <c r="T666" s="177"/>
      <c r="U666" s="298" t="s">
        <v>881</v>
      </c>
      <c r="Y666" s="1557"/>
      <c r="Z666" s="438"/>
      <c r="AA666" s="438"/>
      <c r="AB666" s="439"/>
      <c r="AC666" s="439"/>
      <c r="AD666" s="439"/>
      <c r="AE666" s="438"/>
      <c r="AF666" s="592"/>
      <c r="AG666" s="592"/>
      <c r="AH666" s="592"/>
      <c r="AI666" s="592"/>
      <c r="AJ666" s="592"/>
      <c r="AK666" s="592"/>
      <c r="AL666" s="592"/>
      <c r="AM666" s="592"/>
      <c r="AN666" s="592"/>
      <c r="AO666" s="592"/>
      <c r="AP666" s="592"/>
      <c r="AQ666" s="592"/>
      <c r="AR666" s="439"/>
      <c r="AS666" s="254"/>
    </row>
    <row r="667" spans="1:45" x14ac:dyDescent="0.2">
      <c r="A667" s="739"/>
      <c r="B667" s="341" t="s">
        <v>1030</v>
      </c>
      <c r="C667" s="3" t="s">
        <v>1032</v>
      </c>
      <c r="D667" s="3" t="s">
        <v>312</v>
      </c>
      <c r="E667" s="3" t="s">
        <v>882</v>
      </c>
      <c r="F667" s="3" t="s">
        <v>314</v>
      </c>
      <c r="G667" s="4" t="s">
        <v>313</v>
      </c>
      <c r="H667" s="4"/>
      <c r="I667" s="342"/>
      <c r="J667" s="323"/>
      <c r="K667" s="323"/>
      <c r="L667" s="323"/>
      <c r="M667" s="323" t="s">
        <v>349</v>
      </c>
      <c r="N667" s="322"/>
      <c r="O667" s="322"/>
      <c r="P667" s="322"/>
      <c r="Q667" s="322"/>
      <c r="R667" s="322"/>
      <c r="S667" s="322"/>
      <c r="T667" s="343"/>
      <c r="U667" s="295" t="s">
        <v>891</v>
      </c>
      <c r="Y667" s="1557"/>
      <c r="Z667" s="438"/>
      <c r="AA667" s="438"/>
      <c r="AB667" s="439"/>
      <c r="AC667" s="439"/>
      <c r="AD667" s="439"/>
      <c r="AE667" s="438"/>
      <c r="AF667" s="592"/>
      <c r="AG667" s="592"/>
      <c r="AH667" s="592"/>
      <c r="AI667" s="592"/>
      <c r="AJ667" s="592"/>
      <c r="AK667" s="592"/>
      <c r="AL667" s="592"/>
      <c r="AM667" s="592"/>
      <c r="AN667" s="592"/>
      <c r="AO667" s="592"/>
      <c r="AP667" s="592"/>
      <c r="AQ667" s="592"/>
      <c r="AR667" s="439"/>
      <c r="AS667" s="254"/>
    </row>
    <row r="668" spans="1:45" ht="15.05" thickBot="1" x14ac:dyDescent="0.35">
      <c r="B668" s="5067"/>
      <c r="C668" s="984">
        <f>IF(B668=0,0,U$665)</f>
        <v>0</v>
      </c>
      <c r="D668" s="984">
        <f>IF(B668=0,0,VLOOKUP(B668,Precios!$B$217:$D$307,3,FALSE))</f>
        <v>0</v>
      </c>
      <c r="E668" s="5068"/>
      <c r="F668" s="984">
        <f>IF(B668=0,0,VLOOKUP(B668,Precios!$B$216:$D$307,2,FALSE))</f>
        <v>0</v>
      </c>
      <c r="G668" s="994">
        <f>F668*E668</f>
        <v>0</v>
      </c>
      <c r="H668" s="309"/>
      <c r="I668" s="988">
        <f t="shared" ref="I668:T670" si="385">I$665*$E668</f>
        <v>0</v>
      </c>
      <c r="J668" s="984">
        <f t="shared" si="385"/>
        <v>0</v>
      </c>
      <c r="K668" s="984">
        <f t="shared" si="385"/>
        <v>0</v>
      </c>
      <c r="L668" s="984">
        <f t="shared" si="385"/>
        <v>0</v>
      </c>
      <c r="M668" s="984">
        <f t="shared" si="385"/>
        <v>0</v>
      </c>
      <c r="N668" s="984">
        <f t="shared" si="385"/>
        <v>0</v>
      </c>
      <c r="O668" s="984">
        <f t="shared" si="385"/>
        <v>0</v>
      </c>
      <c r="P668" s="984">
        <f t="shared" si="385"/>
        <v>0</v>
      </c>
      <c r="Q668" s="984">
        <f t="shared" si="385"/>
        <v>0</v>
      </c>
      <c r="R668" s="984">
        <f t="shared" si="385"/>
        <v>0</v>
      </c>
      <c r="S668" s="984">
        <f t="shared" si="385"/>
        <v>0</v>
      </c>
      <c r="T668" s="984">
        <f t="shared" si="385"/>
        <v>0</v>
      </c>
      <c r="U668" s="989">
        <f>+SUM(I668:T668)</f>
        <v>0</v>
      </c>
      <c r="V668" s="232" t="str">
        <f>B668&amp;"contratada"</f>
        <v>contratada</v>
      </c>
      <c r="Y668" s="1271"/>
      <c r="Z668" s="372"/>
      <c r="AA668" s="372"/>
      <c r="AB668" s="372"/>
      <c r="AC668" s="372"/>
      <c r="AD668" s="372"/>
      <c r="AE668" s="372"/>
      <c r="AF668" s="372"/>
      <c r="AG668" s="372"/>
      <c r="AH668" s="372"/>
      <c r="AI668" s="372"/>
      <c r="AJ668" s="372"/>
      <c r="AK668" s="372"/>
      <c r="AL668" s="372"/>
      <c r="AM668" s="372"/>
      <c r="AN668" s="372"/>
      <c r="AO668" s="372"/>
      <c r="AP668" s="372"/>
      <c r="AQ668" s="372"/>
      <c r="AR668" s="767"/>
      <c r="AS668" s="254"/>
    </row>
    <row r="669" spans="1:45" ht="15.05" thickBot="1" x14ac:dyDescent="0.35">
      <c r="B669" s="5069"/>
      <c r="C669" s="985">
        <f>IF(B669=0,0,U$665)</f>
        <v>0</v>
      </c>
      <c r="D669" s="985">
        <f>IF(B669=0,0,VLOOKUP(B669,Precios!$B$217:$D$307,3,FALSE))</f>
        <v>0</v>
      </c>
      <c r="E669" s="5049"/>
      <c r="F669" s="985">
        <f>IF(B669=0,0,VLOOKUP(B669,Precios!$B$216:$D$307,2,FALSE))</f>
        <v>0</v>
      </c>
      <c r="G669" s="995">
        <f>F669*E669</f>
        <v>0</v>
      </c>
      <c r="H669" s="309"/>
      <c r="I669" s="990">
        <f t="shared" si="385"/>
        <v>0</v>
      </c>
      <c r="J669" s="985">
        <f t="shared" si="385"/>
        <v>0</v>
      </c>
      <c r="K669" s="985">
        <f t="shared" si="385"/>
        <v>0</v>
      </c>
      <c r="L669" s="985">
        <f t="shared" si="385"/>
        <v>0</v>
      </c>
      <c r="M669" s="985">
        <f t="shared" si="385"/>
        <v>0</v>
      </c>
      <c r="N669" s="985">
        <f t="shared" si="385"/>
        <v>0</v>
      </c>
      <c r="O669" s="985">
        <f t="shared" si="385"/>
        <v>0</v>
      </c>
      <c r="P669" s="985">
        <f t="shared" si="385"/>
        <v>0</v>
      </c>
      <c r="Q669" s="985">
        <f t="shared" si="385"/>
        <v>0</v>
      </c>
      <c r="R669" s="985">
        <f t="shared" si="385"/>
        <v>0</v>
      </c>
      <c r="S669" s="985">
        <f t="shared" si="385"/>
        <v>0</v>
      </c>
      <c r="T669" s="985">
        <f t="shared" si="385"/>
        <v>0</v>
      </c>
      <c r="U669" s="991">
        <f>+SUM(I669:T669)</f>
        <v>0</v>
      </c>
      <c r="V669" s="232" t="str">
        <f>B669&amp;"contratada"</f>
        <v>contratada</v>
      </c>
      <c r="Y669" s="1271"/>
      <c r="Z669" s="372"/>
      <c r="AA669" s="372"/>
      <c r="AB669" s="372"/>
      <c r="AC669" s="372"/>
      <c r="AD669" s="372"/>
      <c r="AE669" s="372"/>
      <c r="AF669" s="372"/>
      <c r="AG669" s="372"/>
      <c r="AH669" s="372"/>
      <c r="AI669" s="372"/>
      <c r="AJ669" s="372"/>
      <c r="AK669" s="372"/>
      <c r="AL669" s="372"/>
      <c r="AM669" s="372"/>
      <c r="AN669" s="372"/>
      <c r="AO669" s="372"/>
      <c r="AP669" s="372"/>
      <c r="AQ669" s="372"/>
      <c r="AR669" s="767"/>
      <c r="AS669" s="254"/>
    </row>
    <row r="670" spans="1:45" ht="15.05" thickBot="1" x14ac:dyDescent="0.35">
      <c r="B670" s="5070"/>
      <c r="C670" s="987">
        <f>IF(B670=0,0,U$665)</f>
        <v>0</v>
      </c>
      <c r="D670" s="987">
        <f>IF(B670=0,0,VLOOKUP(B670,Precios!$B$217:$D$307,3,FALSE))</f>
        <v>0</v>
      </c>
      <c r="E670" s="5071"/>
      <c r="F670" s="987">
        <f>IF(B670=0,0,VLOOKUP(B670,Precios!$B$216:$D$307,2,FALSE))</f>
        <v>0</v>
      </c>
      <c r="G670" s="996">
        <f>F670*E670</f>
        <v>0</v>
      </c>
      <c r="H670" s="309"/>
      <c r="I670" s="992">
        <f t="shared" si="385"/>
        <v>0</v>
      </c>
      <c r="J670" s="987">
        <f t="shared" si="385"/>
        <v>0</v>
      </c>
      <c r="K670" s="987">
        <f t="shared" si="385"/>
        <v>0</v>
      </c>
      <c r="L670" s="987">
        <f t="shared" si="385"/>
        <v>0</v>
      </c>
      <c r="M670" s="987">
        <f t="shared" si="385"/>
        <v>0</v>
      </c>
      <c r="N670" s="987">
        <f t="shared" si="385"/>
        <v>0</v>
      </c>
      <c r="O670" s="987">
        <f t="shared" si="385"/>
        <v>0</v>
      </c>
      <c r="P670" s="987">
        <f t="shared" si="385"/>
        <v>0</v>
      </c>
      <c r="Q670" s="987">
        <f t="shared" si="385"/>
        <v>0</v>
      </c>
      <c r="R670" s="987">
        <f t="shared" si="385"/>
        <v>0</v>
      </c>
      <c r="S670" s="987">
        <f t="shared" si="385"/>
        <v>0</v>
      </c>
      <c r="T670" s="987">
        <f t="shared" si="385"/>
        <v>0</v>
      </c>
      <c r="U670" s="993">
        <f>+SUM(I670:T670)</f>
        <v>0</v>
      </c>
      <c r="V670" s="232" t="str">
        <f>B670&amp;"contratada"</f>
        <v>contratada</v>
      </c>
      <c r="Y670" s="1271"/>
      <c r="Z670" s="372"/>
      <c r="AA670" s="372"/>
      <c r="AB670" s="372"/>
      <c r="AC670" s="372"/>
      <c r="AD670" s="372"/>
      <c r="AE670" s="372"/>
      <c r="AF670" s="372"/>
      <c r="AG670" s="372"/>
      <c r="AH670" s="372"/>
      <c r="AI670" s="372"/>
      <c r="AJ670" s="372"/>
      <c r="AK670" s="372"/>
      <c r="AL670" s="372"/>
      <c r="AM670" s="372"/>
      <c r="AN670" s="372"/>
      <c r="AO670" s="372"/>
      <c r="AP670" s="372"/>
      <c r="AQ670" s="372"/>
      <c r="AR670" s="767"/>
      <c r="AS670" s="254"/>
    </row>
    <row r="671" spans="1:45" ht="15.05" thickBot="1" x14ac:dyDescent="0.25">
      <c r="B671" s="944" t="str">
        <f>UsoSuelo!D334</f>
        <v>Sorgo silo</v>
      </c>
      <c r="C671" s="344"/>
      <c r="D671" s="345"/>
      <c r="E671" s="346"/>
      <c r="F671" s="346"/>
      <c r="G671" s="346"/>
      <c r="H671" s="345"/>
      <c r="I671" s="347"/>
      <c r="J671" s="348"/>
      <c r="K671" s="348"/>
      <c r="L671" s="348"/>
      <c r="M671" s="348"/>
      <c r="N671" s="348"/>
      <c r="O671" s="348"/>
      <c r="P671" s="348"/>
      <c r="Q671" s="348"/>
      <c r="R671" s="348"/>
      <c r="S671" s="348"/>
      <c r="T671" s="349"/>
      <c r="U671" s="350"/>
      <c r="X671" s="1558" t="s">
        <v>1094</v>
      </c>
      <c r="Y671" s="1271"/>
      <c r="Z671" s="372"/>
      <c r="AA671" s="372"/>
      <c r="AB671" s="372"/>
      <c r="AC671" s="372"/>
      <c r="AD671" s="372"/>
      <c r="AE671" s="372"/>
      <c r="AF671" s="372"/>
      <c r="AG671" s="372"/>
      <c r="AH671" s="372"/>
      <c r="AI671" s="372"/>
      <c r="AJ671" s="372"/>
      <c r="AK671" s="372"/>
      <c r="AL671" s="372"/>
      <c r="AM671" s="372"/>
      <c r="AN671" s="372"/>
      <c r="AO671" s="372"/>
      <c r="AP671" s="372"/>
      <c r="AQ671" s="372"/>
      <c r="AR671" s="767"/>
      <c r="AS671" s="254"/>
    </row>
    <row r="672" spans="1:45" ht="15.05" thickBot="1" x14ac:dyDescent="0.25">
      <c r="B672" s="351" t="s">
        <v>1030</v>
      </c>
      <c r="C672" s="938" t="s">
        <v>1031</v>
      </c>
      <c r="D672" s="939"/>
      <c r="E672" s="939"/>
      <c r="F672" s="939"/>
      <c r="G672" s="939"/>
      <c r="H672" s="940"/>
      <c r="I672" s="941">
        <f>+UsoSuelo!F1401</f>
        <v>0</v>
      </c>
      <c r="J672" s="941">
        <f>+UsoSuelo!G1401</f>
        <v>0</v>
      </c>
      <c r="K672" s="941">
        <f>+UsoSuelo!H1401</f>
        <v>0</v>
      </c>
      <c r="L672" s="941">
        <f>+UsoSuelo!I1401</f>
        <v>0</v>
      </c>
      <c r="M672" s="941">
        <f>+UsoSuelo!J1401</f>
        <v>0</v>
      </c>
      <c r="N672" s="941">
        <f>+UsoSuelo!K1401</f>
        <v>0</v>
      </c>
      <c r="O672" s="941">
        <f>+UsoSuelo!L1401</f>
        <v>0</v>
      </c>
      <c r="P672" s="941">
        <f>+UsoSuelo!M1401</f>
        <v>0</v>
      </c>
      <c r="Q672" s="941">
        <f>+UsoSuelo!N1401</f>
        <v>0</v>
      </c>
      <c r="R672" s="941">
        <f>+UsoSuelo!O1401</f>
        <v>0</v>
      </c>
      <c r="S672" s="941">
        <f>+UsoSuelo!P1401</f>
        <v>0</v>
      </c>
      <c r="T672" s="945">
        <f>+UsoSuelo!Q1401</f>
        <v>0</v>
      </c>
      <c r="U672" s="934">
        <f>SUM(I672:T672)</f>
        <v>0</v>
      </c>
      <c r="Y672" s="1271"/>
      <c r="Z672" s="372"/>
      <c r="AA672" s="372"/>
      <c r="AB672" s="372"/>
      <c r="AC672" s="372"/>
      <c r="AD672" s="372"/>
      <c r="AE672" s="372"/>
      <c r="AF672" s="372"/>
      <c r="AG672" s="372"/>
      <c r="AH672" s="372"/>
      <c r="AI672" s="372"/>
      <c r="AJ672" s="372"/>
      <c r="AK672" s="372"/>
      <c r="AL672" s="372"/>
      <c r="AM672" s="372"/>
      <c r="AN672" s="372"/>
      <c r="AO672" s="372"/>
      <c r="AP672" s="372"/>
      <c r="AQ672" s="372"/>
      <c r="AR672" s="767"/>
      <c r="AS672" s="254"/>
    </row>
    <row r="673" spans="2:45" ht="15.05" thickBot="1" x14ac:dyDescent="0.35">
      <c r="B673" s="5067"/>
      <c r="C673" s="984">
        <f>IF(B673=0,0,U$672)</f>
        <v>0</v>
      </c>
      <c r="D673" s="984">
        <f>IF(B673=0,0,VLOOKUP(B673,Precios!$B$217:$D$307,3,FALSE))</f>
        <v>0</v>
      </c>
      <c r="E673" s="5068"/>
      <c r="F673" s="984">
        <f>IF(B673=0,0,VLOOKUP(B673,Precios!$B$216:$D$307,2,FALSE))</f>
        <v>0</v>
      </c>
      <c r="G673" s="994">
        <f>F673*E673</f>
        <v>0</v>
      </c>
      <c r="H673" s="309"/>
      <c r="I673" s="988">
        <f t="shared" ref="I673:T675" si="386">I$672*$E673</f>
        <v>0</v>
      </c>
      <c r="J673" s="984">
        <f t="shared" si="386"/>
        <v>0</v>
      </c>
      <c r="K673" s="984">
        <f t="shared" si="386"/>
        <v>0</v>
      </c>
      <c r="L673" s="984">
        <f t="shared" si="386"/>
        <v>0</v>
      </c>
      <c r="M673" s="984">
        <f t="shared" si="386"/>
        <v>0</v>
      </c>
      <c r="N673" s="984">
        <f t="shared" si="386"/>
        <v>0</v>
      </c>
      <c r="O673" s="984">
        <f t="shared" si="386"/>
        <v>0</v>
      </c>
      <c r="P673" s="984">
        <f t="shared" si="386"/>
        <v>0</v>
      </c>
      <c r="Q673" s="984">
        <f t="shared" si="386"/>
        <v>0</v>
      </c>
      <c r="R673" s="984">
        <f t="shared" si="386"/>
        <v>0</v>
      </c>
      <c r="S673" s="984">
        <f t="shared" si="386"/>
        <v>0</v>
      </c>
      <c r="T673" s="984">
        <f t="shared" si="386"/>
        <v>0</v>
      </c>
      <c r="U673" s="989">
        <f>+SUM(I673:T673)</f>
        <v>0</v>
      </c>
      <c r="V673" s="232" t="str">
        <f>B673&amp;"contratada"</f>
        <v>contratada</v>
      </c>
      <c r="Y673" s="1271"/>
      <c r="Z673" s="372"/>
      <c r="AA673" s="372"/>
      <c r="AB673" s="372"/>
      <c r="AC673" s="372"/>
      <c r="AD673" s="372"/>
      <c r="AE673" s="372"/>
      <c r="AF673" s="372"/>
      <c r="AG673" s="372"/>
      <c r="AH673" s="372"/>
      <c r="AI673" s="372"/>
      <c r="AJ673" s="372"/>
      <c r="AK673" s="372"/>
      <c r="AL673" s="372"/>
      <c r="AM673" s="372"/>
      <c r="AN673" s="372"/>
      <c r="AO673" s="372"/>
      <c r="AP673" s="372"/>
      <c r="AQ673" s="372"/>
      <c r="AR673" s="767"/>
      <c r="AS673" s="254"/>
    </row>
    <row r="674" spans="2:45" ht="15.05" thickBot="1" x14ac:dyDescent="0.35">
      <c r="B674" s="5069"/>
      <c r="C674" s="985">
        <f>IF(B674=0,0,U$672)</f>
        <v>0</v>
      </c>
      <c r="D674" s="985">
        <f>IF(B674=0,0,VLOOKUP(B674,Precios!$B$217:$D$307,3,FALSE))</f>
        <v>0</v>
      </c>
      <c r="E674" s="5049"/>
      <c r="F674" s="985">
        <f>IF(B674=0,0,VLOOKUP(B674,Precios!$B$216:$D$307,2,FALSE))</f>
        <v>0</v>
      </c>
      <c r="G674" s="995">
        <f>F674*E674</f>
        <v>0</v>
      </c>
      <c r="H674" s="309"/>
      <c r="I674" s="990">
        <f t="shared" si="386"/>
        <v>0</v>
      </c>
      <c r="J674" s="985">
        <f t="shared" si="386"/>
        <v>0</v>
      </c>
      <c r="K674" s="985">
        <f t="shared" si="386"/>
        <v>0</v>
      </c>
      <c r="L674" s="985">
        <f t="shared" si="386"/>
        <v>0</v>
      </c>
      <c r="M674" s="985">
        <f t="shared" si="386"/>
        <v>0</v>
      </c>
      <c r="N674" s="985">
        <f t="shared" si="386"/>
        <v>0</v>
      </c>
      <c r="O674" s="985">
        <f t="shared" si="386"/>
        <v>0</v>
      </c>
      <c r="P674" s="985">
        <f t="shared" si="386"/>
        <v>0</v>
      </c>
      <c r="Q674" s="985">
        <f t="shared" si="386"/>
        <v>0</v>
      </c>
      <c r="R674" s="985">
        <f t="shared" si="386"/>
        <v>0</v>
      </c>
      <c r="S674" s="985">
        <f t="shared" si="386"/>
        <v>0</v>
      </c>
      <c r="T674" s="985">
        <f t="shared" si="386"/>
        <v>0</v>
      </c>
      <c r="U674" s="991">
        <f>+SUM(I674:T674)</f>
        <v>0</v>
      </c>
      <c r="V674" s="232" t="str">
        <f t="shared" ref="V674:V744" si="387">B674&amp;"contratada"</f>
        <v>contratada</v>
      </c>
      <c r="Y674" s="1271"/>
      <c r="Z674" s="372"/>
      <c r="AA674" s="372"/>
      <c r="AB674" s="372"/>
      <c r="AC674" s="372"/>
      <c r="AD674" s="372"/>
      <c r="AE674" s="372"/>
      <c r="AF674" s="372"/>
      <c r="AG674" s="372"/>
      <c r="AH674" s="372"/>
      <c r="AI674" s="372"/>
      <c r="AJ674" s="372"/>
      <c r="AK674" s="372"/>
      <c r="AL674" s="372"/>
      <c r="AM674" s="372"/>
      <c r="AN674" s="372"/>
      <c r="AO674" s="372"/>
      <c r="AP674" s="372"/>
      <c r="AQ674" s="372"/>
      <c r="AR674" s="767"/>
      <c r="AS674" s="254"/>
    </row>
    <row r="675" spans="2:45" ht="15.05" thickBot="1" x14ac:dyDescent="0.35">
      <c r="B675" s="5070"/>
      <c r="C675" s="987">
        <f>IF(B675=0,0,U$672)</f>
        <v>0</v>
      </c>
      <c r="D675" s="987">
        <f>IF(B675=0,0,VLOOKUP(B675,Precios!$B$217:$D$307,3,FALSE))</f>
        <v>0</v>
      </c>
      <c r="E675" s="5071"/>
      <c r="F675" s="987">
        <f>IF(B675=0,0,VLOOKUP(B675,Precios!$B$216:$D$307,2,FALSE))</f>
        <v>0</v>
      </c>
      <c r="G675" s="996">
        <f>F675*E675</f>
        <v>0</v>
      </c>
      <c r="H675" s="309"/>
      <c r="I675" s="992">
        <f t="shared" si="386"/>
        <v>0</v>
      </c>
      <c r="J675" s="987">
        <f t="shared" si="386"/>
        <v>0</v>
      </c>
      <c r="K675" s="987">
        <f t="shared" si="386"/>
        <v>0</v>
      </c>
      <c r="L675" s="987">
        <f t="shared" si="386"/>
        <v>0</v>
      </c>
      <c r="M675" s="987">
        <f t="shared" si="386"/>
        <v>0</v>
      </c>
      <c r="N675" s="987">
        <f t="shared" si="386"/>
        <v>0</v>
      </c>
      <c r="O675" s="987">
        <f t="shared" si="386"/>
        <v>0</v>
      </c>
      <c r="P675" s="987">
        <f t="shared" si="386"/>
        <v>0</v>
      </c>
      <c r="Q675" s="987">
        <f t="shared" si="386"/>
        <v>0</v>
      </c>
      <c r="R675" s="987">
        <f t="shared" si="386"/>
        <v>0</v>
      </c>
      <c r="S675" s="987">
        <f t="shared" si="386"/>
        <v>0</v>
      </c>
      <c r="T675" s="987">
        <f t="shared" si="386"/>
        <v>0</v>
      </c>
      <c r="U675" s="993">
        <f>+SUM(I675:T675)</f>
        <v>0</v>
      </c>
      <c r="V675" s="232" t="str">
        <f t="shared" si="387"/>
        <v>contratada</v>
      </c>
      <c r="Y675" s="1271"/>
      <c r="Z675" s="372"/>
      <c r="AA675" s="372"/>
      <c r="AB675" s="372"/>
      <c r="AC675" s="372"/>
      <c r="AD675" s="372"/>
      <c r="AE675" s="372"/>
      <c r="AF675" s="372"/>
      <c r="AG675" s="372"/>
      <c r="AH675" s="372"/>
      <c r="AI675" s="372"/>
      <c r="AJ675" s="372"/>
      <c r="AK675" s="372"/>
      <c r="AL675" s="372"/>
      <c r="AM675" s="372"/>
      <c r="AN675" s="372"/>
      <c r="AO675" s="372"/>
      <c r="AP675" s="372"/>
      <c r="AQ675" s="372"/>
      <c r="AR675" s="767"/>
      <c r="AS675" s="254"/>
    </row>
    <row r="676" spans="2:45" ht="15.05" thickBot="1" x14ac:dyDescent="0.25">
      <c r="B676" s="944" t="str">
        <f>UsoSuelo!D335</f>
        <v>Moha</v>
      </c>
      <c r="C676" s="344"/>
      <c r="D676" s="345"/>
      <c r="E676" s="346"/>
      <c r="F676" s="346"/>
      <c r="G676" s="346"/>
      <c r="H676" s="345"/>
      <c r="I676" s="347"/>
      <c r="J676" s="348"/>
      <c r="K676" s="348"/>
      <c r="L676" s="348"/>
      <c r="M676" s="348"/>
      <c r="N676" s="348"/>
      <c r="O676" s="348"/>
      <c r="P676" s="348"/>
      <c r="Q676" s="348"/>
      <c r="R676" s="348"/>
      <c r="S676" s="348"/>
      <c r="T676" s="349"/>
      <c r="U676" s="350"/>
      <c r="X676" s="1558"/>
      <c r="Y676" s="1271"/>
      <c r="Z676" s="372"/>
      <c r="AA676" s="372"/>
      <c r="AB676" s="372"/>
      <c r="AC676" s="372"/>
      <c r="AD676" s="372"/>
      <c r="AE676" s="372"/>
      <c r="AF676" s="372"/>
      <c r="AG676" s="372"/>
      <c r="AH676" s="372"/>
      <c r="AI676" s="372"/>
      <c r="AJ676" s="372"/>
      <c r="AK676" s="372"/>
      <c r="AL676" s="372"/>
      <c r="AM676" s="372"/>
      <c r="AN676" s="372"/>
      <c r="AO676" s="372"/>
      <c r="AP676" s="372"/>
      <c r="AQ676" s="372"/>
      <c r="AR676" s="767"/>
      <c r="AS676" s="254"/>
    </row>
    <row r="677" spans="2:45" ht="15.05" thickBot="1" x14ac:dyDescent="0.25">
      <c r="B677" s="351" t="s">
        <v>1030</v>
      </c>
      <c r="C677" s="938" t="s">
        <v>1031</v>
      </c>
      <c r="D677" s="939"/>
      <c r="E677" s="939"/>
      <c r="F677" s="939"/>
      <c r="G677" s="939"/>
      <c r="H677" s="940"/>
      <c r="I677" s="941">
        <f>+UsoSuelo!F1402</f>
        <v>0</v>
      </c>
      <c r="J677" s="941">
        <f>+UsoSuelo!G1402</f>
        <v>0</v>
      </c>
      <c r="K677" s="941">
        <f>+UsoSuelo!H1402</f>
        <v>0</v>
      </c>
      <c r="L677" s="941">
        <f>+UsoSuelo!I1402</f>
        <v>0</v>
      </c>
      <c r="M677" s="941">
        <f>+UsoSuelo!J1402</f>
        <v>0</v>
      </c>
      <c r="N677" s="941">
        <f>+UsoSuelo!K1402</f>
        <v>0</v>
      </c>
      <c r="O677" s="941">
        <f>+UsoSuelo!L1402</f>
        <v>0</v>
      </c>
      <c r="P677" s="941">
        <f>+UsoSuelo!M1402</f>
        <v>0</v>
      </c>
      <c r="Q677" s="941">
        <f>+UsoSuelo!N1402</f>
        <v>0</v>
      </c>
      <c r="R677" s="941">
        <f>+UsoSuelo!O1402</f>
        <v>0</v>
      </c>
      <c r="S677" s="941">
        <f>+UsoSuelo!P1402</f>
        <v>0</v>
      </c>
      <c r="T677" s="945">
        <f>+UsoSuelo!Q1402</f>
        <v>0</v>
      </c>
      <c r="U677" s="934">
        <f>SUM(I677:T677)</f>
        <v>0</v>
      </c>
      <c r="Y677" s="1271"/>
      <c r="Z677" s="372"/>
      <c r="AA677" s="372"/>
      <c r="AB677" s="372"/>
      <c r="AC677" s="372"/>
      <c r="AD677" s="372"/>
      <c r="AE677" s="372"/>
      <c r="AF677" s="372"/>
      <c r="AG677" s="372"/>
      <c r="AH677" s="372"/>
      <c r="AI677" s="372"/>
      <c r="AJ677" s="372"/>
      <c r="AK677" s="372"/>
      <c r="AL677" s="372"/>
      <c r="AM677" s="372"/>
      <c r="AN677" s="372"/>
      <c r="AO677" s="372"/>
      <c r="AP677" s="372"/>
      <c r="AQ677" s="372"/>
      <c r="AR677" s="767"/>
      <c r="AS677" s="254"/>
    </row>
    <row r="678" spans="2:45" ht="15.05" thickBot="1" x14ac:dyDescent="0.35">
      <c r="B678" s="5067"/>
      <c r="C678" s="984">
        <f>IF(B678=0,0,U$677)</f>
        <v>0</v>
      </c>
      <c r="D678" s="984">
        <f>IF(B678=0,0,VLOOKUP(B678,Precios!$B$217:$D$307,3,FALSE))</f>
        <v>0</v>
      </c>
      <c r="E678" s="5068"/>
      <c r="F678" s="984">
        <f>IF(B678=0,0,VLOOKUP(B678,Precios!$B$216:$D$307,2,FALSE))</f>
        <v>0</v>
      </c>
      <c r="G678" s="994">
        <f>F678*E678</f>
        <v>0</v>
      </c>
      <c r="H678" s="309"/>
      <c r="I678" s="988">
        <f t="shared" ref="I678:T680" si="388">I$677*$E678</f>
        <v>0</v>
      </c>
      <c r="J678" s="984">
        <f t="shared" si="388"/>
        <v>0</v>
      </c>
      <c r="K678" s="984">
        <f t="shared" si="388"/>
        <v>0</v>
      </c>
      <c r="L678" s="984">
        <f t="shared" si="388"/>
        <v>0</v>
      </c>
      <c r="M678" s="984">
        <f t="shared" si="388"/>
        <v>0</v>
      </c>
      <c r="N678" s="984">
        <f t="shared" si="388"/>
        <v>0</v>
      </c>
      <c r="O678" s="984">
        <f t="shared" si="388"/>
        <v>0</v>
      </c>
      <c r="P678" s="984">
        <f t="shared" si="388"/>
        <v>0</v>
      </c>
      <c r="Q678" s="984">
        <f t="shared" si="388"/>
        <v>0</v>
      </c>
      <c r="R678" s="984">
        <f t="shared" si="388"/>
        <v>0</v>
      </c>
      <c r="S678" s="984">
        <f t="shared" si="388"/>
        <v>0</v>
      </c>
      <c r="T678" s="984">
        <f t="shared" si="388"/>
        <v>0</v>
      </c>
      <c r="U678" s="989">
        <f>+SUM(I678:T678)</f>
        <v>0</v>
      </c>
      <c r="V678" s="232" t="str">
        <f t="shared" si="387"/>
        <v>contratada</v>
      </c>
      <c r="Y678" s="1271"/>
      <c r="Z678" s="372"/>
      <c r="AA678" s="372"/>
      <c r="AB678" s="372"/>
      <c r="AC678" s="372"/>
      <c r="AD678" s="372"/>
      <c r="AE678" s="372"/>
      <c r="AF678" s="372"/>
      <c r="AG678" s="372"/>
      <c r="AH678" s="372"/>
      <c r="AI678" s="372"/>
      <c r="AJ678" s="372"/>
      <c r="AK678" s="372"/>
      <c r="AL678" s="372"/>
      <c r="AM678" s="372"/>
      <c r="AN678" s="372"/>
      <c r="AO678" s="372"/>
      <c r="AP678" s="372"/>
      <c r="AQ678" s="372"/>
      <c r="AR678" s="767"/>
      <c r="AS678" s="254"/>
    </row>
    <row r="679" spans="2:45" ht="15.05" thickBot="1" x14ac:dyDescent="0.35">
      <c r="B679" s="5069"/>
      <c r="C679" s="985">
        <f>IF(B679=0,0,U$677)</f>
        <v>0</v>
      </c>
      <c r="D679" s="985">
        <f>IF(B679=0,0,VLOOKUP(B679,Precios!$B$217:$D$307,3,FALSE))</f>
        <v>0</v>
      </c>
      <c r="E679" s="5049"/>
      <c r="F679" s="985">
        <f>IF(B679=0,0,VLOOKUP(B679,Precios!$B$216:$D$307,2,FALSE))</f>
        <v>0</v>
      </c>
      <c r="G679" s="995">
        <f>F679*E679</f>
        <v>0</v>
      </c>
      <c r="H679" s="309"/>
      <c r="I679" s="990">
        <f t="shared" si="388"/>
        <v>0</v>
      </c>
      <c r="J679" s="985">
        <f t="shared" si="388"/>
        <v>0</v>
      </c>
      <c r="K679" s="985">
        <f t="shared" si="388"/>
        <v>0</v>
      </c>
      <c r="L679" s="985">
        <f t="shared" si="388"/>
        <v>0</v>
      </c>
      <c r="M679" s="985">
        <f t="shared" si="388"/>
        <v>0</v>
      </c>
      <c r="N679" s="985">
        <f t="shared" si="388"/>
        <v>0</v>
      </c>
      <c r="O679" s="985">
        <f t="shared" si="388"/>
        <v>0</v>
      </c>
      <c r="P679" s="985">
        <f t="shared" si="388"/>
        <v>0</v>
      </c>
      <c r="Q679" s="985">
        <f t="shared" si="388"/>
        <v>0</v>
      </c>
      <c r="R679" s="985">
        <f t="shared" si="388"/>
        <v>0</v>
      </c>
      <c r="S679" s="985">
        <f t="shared" si="388"/>
        <v>0</v>
      </c>
      <c r="T679" s="985">
        <f t="shared" si="388"/>
        <v>0</v>
      </c>
      <c r="U679" s="991">
        <f>+SUM(I679:T679)</f>
        <v>0</v>
      </c>
      <c r="V679" s="232" t="str">
        <f t="shared" si="387"/>
        <v>contratada</v>
      </c>
      <c r="Y679" s="1271"/>
      <c r="Z679" s="372"/>
      <c r="AA679" s="372"/>
      <c r="AB679" s="372"/>
      <c r="AC679" s="372"/>
      <c r="AD679" s="372"/>
      <c r="AE679" s="372"/>
      <c r="AF679" s="372"/>
      <c r="AG679" s="372"/>
      <c r="AH679" s="372"/>
      <c r="AI679" s="372"/>
      <c r="AJ679" s="372"/>
      <c r="AK679" s="372"/>
      <c r="AL679" s="372"/>
      <c r="AM679" s="372"/>
      <c r="AN679" s="372"/>
      <c r="AO679" s="372"/>
      <c r="AP679" s="372"/>
      <c r="AQ679" s="372"/>
      <c r="AR679" s="767"/>
      <c r="AS679" s="254"/>
    </row>
    <row r="680" spans="2:45" ht="15.05" thickBot="1" x14ac:dyDescent="0.35">
      <c r="B680" s="5070"/>
      <c r="C680" s="987">
        <f>IF(B680=0,0,U$677)</f>
        <v>0</v>
      </c>
      <c r="D680" s="987">
        <f>IF(B680=0,0,VLOOKUP(B680,Precios!$B$217:$D$307,3,FALSE))</f>
        <v>0</v>
      </c>
      <c r="E680" s="5071"/>
      <c r="F680" s="987">
        <f>IF(B680=0,0,VLOOKUP(B680,Precios!$B$216:$D$307,2,FALSE))</f>
        <v>0</v>
      </c>
      <c r="G680" s="996">
        <f>F680*E680</f>
        <v>0</v>
      </c>
      <c r="H680" s="309"/>
      <c r="I680" s="992">
        <f t="shared" si="388"/>
        <v>0</v>
      </c>
      <c r="J680" s="987">
        <f t="shared" si="388"/>
        <v>0</v>
      </c>
      <c r="K680" s="987">
        <f t="shared" si="388"/>
        <v>0</v>
      </c>
      <c r="L680" s="987">
        <f t="shared" si="388"/>
        <v>0</v>
      </c>
      <c r="M680" s="987">
        <f t="shared" si="388"/>
        <v>0</v>
      </c>
      <c r="N680" s="987">
        <f t="shared" si="388"/>
        <v>0</v>
      </c>
      <c r="O680" s="987">
        <f t="shared" si="388"/>
        <v>0</v>
      </c>
      <c r="P680" s="987">
        <f t="shared" si="388"/>
        <v>0</v>
      </c>
      <c r="Q680" s="987">
        <f t="shared" si="388"/>
        <v>0</v>
      </c>
      <c r="R680" s="987">
        <f t="shared" si="388"/>
        <v>0</v>
      </c>
      <c r="S680" s="987">
        <f t="shared" si="388"/>
        <v>0</v>
      </c>
      <c r="T680" s="987">
        <f t="shared" si="388"/>
        <v>0</v>
      </c>
      <c r="U680" s="993">
        <f>+SUM(I680:T680)</f>
        <v>0</v>
      </c>
      <c r="V680" s="232" t="str">
        <f t="shared" si="387"/>
        <v>contratada</v>
      </c>
      <c r="Y680" s="1271"/>
      <c r="Z680" s="372"/>
      <c r="AA680" s="372"/>
      <c r="AB680" s="372"/>
      <c r="AC680" s="372"/>
      <c r="AD680" s="372"/>
      <c r="AE680" s="372"/>
      <c r="AF680" s="372"/>
      <c r="AG680" s="372"/>
      <c r="AH680" s="372"/>
      <c r="AI680" s="372"/>
      <c r="AJ680" s="372"/>
      <c r="AK680" s="372"/>
      <c r="AL680" s="372"/>
      <c r="AM680" s="372"/>
      <c r="AN680" s="372"/>
      <c r="AO680" s="372"/>
      <c r="AP680" s="372"/>
      <c r="AQ680" s="372"/>
      <c r="AR680" s="767"/>
      <c r="AS680" s="254"/>
    </row>
    <row r="681" spans="2:45" ht="15.05" thickBot="1" x14ac:dyDescent="0.25">
      <c r="B681" s="944" t="str">
        <f>UsoSuelo!D336</f>
        <v>Soja reserva</v>
      </c>
      <c r="C681" s="344"/>
      <c r="D681" s="345"/>
      <c r="E681" s="346"/>
      <c r="F681" s="346"/>
      <c r="G681" s="346"/>
      <c r="H681" s="345"/>
      <c r="I681" s="347"/>
      <c r="J681" s="348"/>
      <c r="K681" s="348"/>
      <c r="L681" s="348"/>
      <c r="M681" s="348"/>
      <c r="N681" s="348"/>
      <c r="O681" s="348"/>
      <c r="P681" s="348"/>
      <c r="Q681" s="348"/>
      <c r="R681" s="348"/>
      <c r="S681" s="348"/>
      <c r="T681" s="349"/>
      <c r="U681" s="350"/>
      <c r="Y681" s="1271"/>
      <c r="Z681" s="372"/>
      <c r="AA681" s="372"/>
      <c r="AB681" s="372"/>
      <c r="AC681" s="372"/>
      <c r="AD681" s="372"/>
      <c r="AE681" s="372"/>
      <c r="AF681" s="372"/>
      <c r="AG681" s="372"/>
      <c r="AH681" s="372"/>
      <c r="AI681" s="372"/>
      <c r="AJ681" s="372"/>
      <c r="AK681" s="372"/>
      <c r="AL681" s="372"/>
      <c r="AM681" s="372"/>
      <c r="AN681" s="372"/>
      <c r="AO681" s="372"/>
      <c r="AP681" s="372"/>
      <c r="AQ681" s="372"/>
      <c r="AR681" s="767"/>
      <c r="AS681" s="254"/>
    </row>
    <row r="682" spans="2:45" ht="15.05" thickBot="1" x14ac:dyDescent="0.25">
      <c r="B682" s="351" t="s">
        <v>1030</v>
      </c>
      <c r="C682" s="938" t="s">
        <v>1031</v>
      </c>
      <c r="D682" s="939"/>
      <c r="E682" s="939"/>
      <c r="F682" s="939"/>
      <c r="G682" s="939"/>
      <c r="H682" s="940"/>
      <c r="I682" s="941">
        <f>+UsoSuelo!F1403</f>
        <v>0</v>
      </c>
      <c r="J682" s="941">
        <f>+UsoSuelo!G1403</f>
        <v>0</v>
      </c>
      <c r="K682" s="941">
        <f>+UsoSuelo!H1403</f>
        <v>0</v>
      </c>
      <c r="L682" s="941">
        <f>+UsoSuelo!I1403</f>
        <v>0</v>
      </c>
      <c r="M682" s="941">
        <f>+UsoSuelo!J1403</f>
        <v>0</v>
      </c>
      <c r="N682" s="941">
        <f>+UsoSuelo!K1403</f>
        <v>0</v>
      </c>
      <c r="O682" s="941">
        <f>+UsoSuelo!L1403</f>
        <v>0</v>
      </c>
      <c r="P682" s="941">
        <f>+UsoSuelo!M1403</f>
        <v>0</v>
      </c>
      <c r="Q682" s="941">
        <f>+UsoSuelo!N1403</f>
        <v>0</v>
      </c>
      <c r="R682" s="941">
        <f>+UsoSuelo!O1403</f>
        <v>0</v>
      </c>
      <c r="S682" s="941">
        <f>+UsoSuelo!P1403</f>
        <v>0</v>
      </c>
      <c r="T682" s="945">
        <f>+UsoSuelo!Q1403</f>
        <v>0</v>
      </c>
      <c r="U682" s="934">
        <f>SUM(I682:T682)</f>
        <v>0</v>
      </c>
      <c r="Y682" s="1271"/>
      <c r="Z682" s="372"/>
      <c r="AA682" s="372"/>
      <c r="AB682" s="372"/>
      <c r="AC682" s="372"/>
      <c r="AD682" s="372"/>
      <c r="AE682" s="372"/>
      <c r="AF682" s="372"/>
      <c r="AG682" s="372"/>
      <c r="AH682" s="372"/>
      <c r="AI682" s="372"/>
      <c r="AJ682" s="372"/>
      <c r="AK682" s="372"/>
      <c r="AL682" s="372"/>
      <c r="AM682" s="372"/>
      <c r="AN682" s="372"/>
      <c r="AO682" s="372"/>
      <c r="AP682" s="372"/>
      <c r="AQ682" s="372"/>
      <c r="AR682" s="767"/>
      <c r="AS682" s="254"/>
    </row>
    <row r="683" spans="2:45" ht="15.05" thickBot="1" x14ac:dyDescent="0.35">
      <c r="B683" s="5067"/>
      <c r="C683" s="984">
        <f>IF(B683=0,0,U$682)</f>
        <v>0</v>
      </c>
      <c r="D683" s="984">
        <f>IF(B683=0,0,VLOOKUP(B683,Precios!$B$217:$D$307,3,FALSE))</f>
        <v>0</v>
      </c>
      <c r="E683" s="5068"/>
      <c r="F683" s="984">
        <f>IF(B683=0,0,VLOOKUP(B683,Precios!$B$216:$D$307,2,FALSE))</f>
        <v>0</v>
      </c>
      <c r="G683" s="994">
        <f>F683*E683</f>
        <v>0</v>
      </c>
      <c r="H683" s="309"/>
      <c r="I683" s="988">
        <f t="shared" ref="I683:T685" si="389">I$682*$E683</f>
        <v>0</v>
      </c>
      <c r="J683" s="984">
        <f t="shared" si="389"/>
        <v>0</v>
      </c>
      <c r="K683" s="984">
        <f t="shared" si="389"/>
        <v>0</v>
      </c>
      <c r="L683" s="984">
        <f t="shared" si="389"/>
        <v>0</v>
      </c>
      <c r="M683" s="984">
        <f t="shared" si="389"/>
        <v>0</v>
      </c>
      <c r="N683" s="984">
        <f t="shared" si="389"/>
        <v>0</v>
      </c>
      <c r="O683" s="984">
        <f t="shared" si="389"/>
        <v>0</v>
      </c>
      <c r="P683" s="984">
        <f t="shared" si="389"/>
        <v>0</v>
      </c>
      <c r="Q683" s="984">
        <f t="shared" si="389"/>
        <v>0</v>
      </c>
      <c r="R683" s="984">
        <f t="shared" si="389"/>
        <v>0</v>
      </c>
      <c r="S683" s="984">
        <f t="shared" si="389"/>
        <v>0</v>
      </c>
      <c r="T683" s="984">
        <f t="shared" si="389"/>
        <v>0</v>
      </c>
      <c r="U683" s="989">
        <f>+SUM(I683:T683)</f>
        <v>0</v>
      </c>
      <c r="V683" s="232" t="str">
        <f t="shared" si="387"/>
        <v>contratada</v>
      </c>
      <c r="Y683" s="1271"/>
      <c r="Z683" s="372"/>
      <c r="AA683" s="372"/>
      <c r="AB683" s="372"/>
      <c r="AC683" s="372"/>
      <c r="AD683" s="372"/>
      <c r="AE683" s="372"/>
      <c r="AF683" s="372"/>
      <c r="AG683" s="372"/>
      <c r="AH683" s="372"/>
      <c r="AI683" s="372"/>
      <c r="AJ683" s="372"/>
      <c r="AK683" s="372"/>
      <c r="AL683" s="372"/>
      <c r="AM683" s="372"/>
      <c r="AN683" s="372"/>
      <c r="AO683" s="372"/>
      <c r="AP683" s="372"/>
      <c r="AQ683" s="372"/>
      <c r="AR683" s="767"/>
      <c r="AS683" s="254"/>
    </row>
    <row r="684" spans="2:45" ht="15.05" thickBot="1" x14ac:dyDescent="0.35">
      <c r="B684" s="5069"/>
      <c r="C684" s="985">
        <f>IF(B684=0,0,U$682)</f>
        <v>0</v>
      </c>
      <c r="D684" s="985">
        <f>IF(B684=0,0,VLOOKUP(B684,Precios!$B$217:$D$307,3,FALSE))</f>
        <v>0</v>
      </c>
      <c r="E684" s="5049"/>
      <c r="F684" s="985">
        <f>IF(B684=0,0,VLOOKUP(B684,Precios!$B$216:$D$307,2,FALSE))</f>
        <v>0</v>
      </c>
      <c r="G684" s="995">
        <f>F684*E684</f>
        <v>0</v>
      </c>
      <c r="H684" s="309"/>
      <c r="I684" s="990">
        <f t="shared" si="389"/>
        <v>0</v>
      </c>
      <c r="J684" s="985">
        <f t="shared" si="389"/>
        <v>0</v>
      </c>
      <c r="K684" s="985">
        <f t="shared" si="389"/>
        <v>0</v>
      </c>
      <c r="L684" s="985">
        <f t="shared" si="389"/>
        <v>0</v>
      </c>
      <c r="M684" s="985">
        <f t="shared" si="389"/>
        <v>0</v>
      </c>
      <c r="N684" s="985">
        <f t="shared" si="389"/>
        <v>0</v>
      </c>
      <c r="O684" s="985">
        <f t="shared" si="389"/>
        <v>0</v>
      </c>
      <c r="P684" s="985">
        <f t="shared" si="389"/>
        <v>0</v>
      </c>
      <c r="Q684" s="985">
        <f t="shared" si="389"/>
        <v>0</v>
      </c>
      <c r="R684" s="985">
        <f t="shared" si="389"/>
        <v>0</v>
      </c>
      <c r="S684" s="985">
        <f t="shared" si="389"/>
        <v>0</v>
      </c>
      <c r="T684" s="985">
        <f t="shared" si="389"/>
        <v>0</v>
      </c>
      <c r="U684" s="991">
        <f>+SUM(I684:T684)</f>
        <v>0</v>
      </c>
      <c r="V684" s="232" t="str">
        <f t="shared" si="387"/>
        <v>contratada</v>
      </c>
      <c r="Y684" s="1271"/>
      <c r="Z684" s="372"/>
      <c r="AA684" s="372"/>
      <c r="AB684" s="372"/>
      <c r="AC684" s="372"/>
      <c r="AD684" s="372"/>
      <c r="AE684" s="372"/>
      <c r="AF684" s="372"/>
      <c r="AG684" s="372"/>
      <c r="AH684" s="372"/>
      <c r="AI684" s="372"/>
      <c r="AJ684" s="372"/>
      <c r="AK684" s="372"/>
      <c r="AL684" s="372"/>
      <c r="AM684" s="372"/>
      <c r="AN684" s="372"/>
      <c r="AO684" s="372"/>
      <c r="AP684" s="372"/>
      <c r="AQ684" s="372"/>
      <c r="AR684" s="767"/>
      <c r="AS684" s="254"/>
    </row>
    <row r="685" spans="2:45" ht="15.05" thickBot="1" x14ac:dyDescent="0.35">
      <c r="B685" s="5070"/>
      <c r="C685" s="987">
        <f>IF(B685=0,0,U$682)</f>
        <v>0</v>
      </c>
      <c r="D685" s="987">
        <f>IF(B685=0,0,VLOOKUP(B685,Precios!$B$217:$D$307,3,FALSE))</f>
        <v>0</v>
      </c>
      <c r="E685" s="5071"/>
      <c r="F685" s="987">
        <f>IF(B685=0,0,VLOOKUP(B685,Precios!$B$216:$D$307,2,FALSE))</f>
        <v>0</v>
      </c>
      <c r="G685" s="996">
        <f>F685*E685</f>
        <v>0</v>
      </c>
      <c r="H685" s="309"/>
      <c r="I685" s="992">
        <f t="shared" si="389"/>
        <v>0</v>
      </c>
      <c r="J685" s="987">
        <f t="shared" si="389"/>
        <v>0</v>
      </c>
      <c r="K685" s="987">
        <f t="shared" si="389"/>
        <v>0</v>
      </c>
      <c r="L685" s="987">
        <f t="shared" si="389"/>
        <v>0</v>
      </c>
      <c r="M685" s="987">
        <f t="shared" si="389"/>
        <v>0</v>
      </c>
      <c r="N685" s="987">
        <f t="shared" si="389"/>
        <v>0</v>
      </c>
      <c r="O685" s="987">
        <f t="shared" si="389"/>
        <v>0</v>
      </c>
      <c r="P685" s="987">
        <f t="shared" si="389"/>
        <v>0</v>
      </c>
      <c r="Q685" s="987">
        <f t="shared" si="389"/>
        <v>0</v>
      </c>
      <c r="R685" s="987">
        <f t="shared" si="389"/>
        <v>0</v>
      </c>
      <c r="S685" s="987">
        <f t="shared" si="389"/>
        <v>0</v>
      </c>
      <c r="T685" s="987">
        <f t="shared" si="389"/>
        <v>0</v>
      </c>
      <c r="U685" s="993">
        <f>+SUM(I685:T685)</f>
        <v>0</v>
      </c>
      <c r="V685" s="232" t="str">
        <f t="shared" si="387"/>
        <v>contratada</v>
      </c>
      <c r="Y685" s="1271"/>
      <c r="Z685" s="372"/>
      <c r="AA685" s="372"/>
      <c r="AB685" s="372"/>
      <c r="AC685" s="372"/>
      <c r="AD685" s="372"/>
      <c r="AE685" s="372"/>
      <c r="AF685" s="372"/>
      <c r="AG685" s="372"/>
      <c r="AH685" s="372"/>
      <c r="AI685" s="372"/>
      <c r="AJ685" s="372"/>
      <c r="AK685" s="372"/>
      <c r="AL685" s="372"/>
      <c r="AM685" s="372"/>
      <c r="AN685" s="372"/>
      <c r="AO685" s="372"/>
      <c r="AP685" s="372"/>
      <c r="AQ685" s="372"/>
      <c r="AR685" s="767"/>
      <c r="AS685" s="254"/>
    </row>
    <row r="686" spans="2:45" ht="15.05" thickBot="1" x14ac:dyDescent="0.25">
      <c r="B686" s="944">
        <f>UsoSuelo!D337</f>
        <v>0</v>
      </c>
      <c r="C686" s="344"/>
      <c r="D686" s="345"/>
      <c r="E686" s="346"/>
      <c r="F686" s="346"/>
      <c r="G686" s="346"/>
      <c r="H686" s="345"/>
      <c r="I686" s="347"/>
      <c r="J686" s="348"/>
      <c r="K686" s="348"/>
      <c r="L686" s="348"/>
      <c r="M686" s="348"/>
      <c r="N686" s="348"/>
      <c r="O686" s="348"/>
      <c r="P686" s="348"/>
      <c r="Q686" s="348"/>
      <c r="R686" s="348"/>
      <c r="S686" s="348"/>
      <c r="T686" s="349"/>
      <c r="U686" s="350"/>
      <c r="Y686" s="1271"/>
      <c r="Z686" s="372"/>
      <c r="AA686" s="372"/>
      <c r="AB686" s="372"/>
      <c r="AC686" s="372"/>
      <c r="AD686" s="372"/>
      <c r="AE686" s="372"/>
      <c r="AF686" s="372"/>
      <c r="AG686" s="372"/>
      <c r="AH686" s="372"/>
      <c r="AI686" s="372"/>
      <c r="AJ686" s="372"/>
      <c r="AK686" s="372"/>
      <c r="AL686" s="372"/>
      <c r="AM686" s="372"/>
      <c r="AN686" s="372"/>
      <c r="AO686" s="372"/>
      <c r="AP686" s="372"/>
      <c r="AQ686" s="372"/>
      <c r="AR686" s="767"/>
      <c r="AS686" s="254"/>
    </row>
    <row r="687" spans="2:45" ht="15.05" thickBot="1" x14ac:dyDescent="0.25">
      <c r="B687" s="351" t="s">
        <v>1030</v>
      </c>
      <c r="C687" s="938" t="s">
        <v>1031</v>
      </c>
      <c r="D687" s="939"/>
      <c r="E687" s="939"/>
      <c r="F687" s="939"/>
      <c r="G687" s="939"/>
      <c r="H687" s="940"/>
      <c r="I687" s="941">
        <f>+UsoSuelo!F1404</f>
        <v>0</v>
      </c>
      <c r="J687" s="941">
        <f>+UsoSuelo!G1404</f>
        <v>0</v>
      </c>
      <c r="K687" s="941">
        <f>+UsoSuelo!H1404</f>
        <v>0</v>
      </c>
      <c r="L687" s="941">
        <f>+UsoSuelo!I1404</f>
        <v>0</v>
      </c>
      <c r="M687" s="941">
        <f>+UsoSuelo!J1404</f>
        <v>0</v>
      </c>
      <c r="N687" s="941">
        <f>+UsoSuelo!K1404</f>
        <v>0</v>
      </c>
      <c r="O687" s="941">
        <f>+UsoSuelo!L1404</f>
        <v>0</v>
      </c>
      <c r="P687" s="941">
        <f>+UsoSuelo!M1404</f>
        <v>0</v>
      </c>
      <c r="Q687" s="941">
        <f>+UsoSuelo!N1404</f>
        <v>0</v>
      </c>
      <c r="R687" s="941">
        <f>+UsoSuelo!O1404</f>
        <v>0</v>
      </c>
      <c r="S687" s="941">
        <f>+UsoSuelo!P1404</f>
        <v>0</v>
      </c>
      <c r="T687" s="945">
        <f>+UsoSuelo!Q1404</f>
        <v>0</v>
      </c>
      <c r="U687" s="934">
        <f>SUM(I687:T687)</f>
        <v>0</v>
      </c>
      <c r="Y687" s="1271"/>
      <c r="Z687" s="372"/>
      <c r="AA687" s="372"/>
      <c r="AB687" s="372"/>
      <c r="AC687" s="372"/>
      <c r="AD687" s="372"/>
      <c r="AE687" s="372"/>
      <c r="AF687" s="372"/>
      <c r="AG687" s="372"/>
      <c r="AH687" s="372"/>
      <c r="AI687" s="372"/>
      <c r="AJ687" s="372"/>
      <c r="AK687" s="372"/>
      <c r="AL687" s="372"/>
      <c r="AM687" s="372"/>
      <c r="AN687" s="372"/>
      <c r="AO687" s="372"/>
      <c r="AP687" s="372"/>
      <c r="AQ687" s="372"/>
      <c r="AR687" s="767"/>
      <c r="AS687" s="254"/>
    </row>
    <row r="688" spans="2:45" ht="15.05" thickBot="1" x14ac:dyDescent="0.35">
      <c r="B688" s="5067"/>
      <c r="C688" s="984">
        <f>IF(B688=0,0,U687)</f>
        <v>0</v>
      </c>
      <c r="D688" s="984">
        <f>IF(B688=0,0,VLOOKUP(B688,Precios!$B$217:$D$307,3,FALSE))</f>
        <v>0</v>
      </c>
      <c r="E688" s="5068"/>
      <c r="F688" s="984">
        <f>IF(B688=0,0,VLOOKUP(B688,Precios!$B$216:$D$307,2,FALSE))</f>
        <v>0</v>
      </c>
      <c r="G688" s="994">
        <f>F688*E688</f>
        <v>0</v>
      </c>
      <c r="H688" s="309"/>
      <c r="I688" s="988">
        <f t="shared" ref="I688:T690" si="390">I$687*$E688</f>
        <v>0</v>
      </c>
      <c r="J688" s="984">
        <f t="shared" si="390"/>
        <v>0</v>
      </c>
      <c r="K688" s="984">
        <f t="shared" si="390"/>
        <v>0</v>
      </c>
      <c r="L688" s="984">
        <f t="shared" si="390"/>
        <v>0</v>
      </c>
      <c r="M688" s="984">
        <f t="shared" si="390"/>
        <v>0</v>
      </c>
      <c r="N688" s="984">
        <f t="shared" si="390"/>
        <v>0</v>
      </c>
      <c r="O688" s="984">
        <f t="shared" si="390"/>
        <v>0</v>
      </c>
      <c r="P688" s="984">
        <f t="shared" si="390"/>
        <v>0</v>
      </c>
      <c r="Q688" s="984">
        <f t="shared" si="390"/>
        <v>0</v>
      </c>
      <c r="R688" s="984">
        <f t="shared" si="390"/>
        <v>0</v>
      </c>
      <c r="S688" s="984">
        <f t="shared" si="390"/>
        <v>0</v>
      </c>
      <c r="T688" s="984">
        <f t="shared" si="390"/>
        <v>0</v>
      </c>
      <c r="U688" s="989">
        <f>+SUM(I688:T688)</f>
        <v>0</v>
      </c>
      <c r="V688" s="232" t="str">
        <f t="shared" si="387"/>
        <v>contratada</v>
      </c>
      <c r="Y688" s="1271"/>
      <c r="Z688" s="372"/>
      <c r="AA688" s="372"/>
      <c r="AB688" s="372"/>
      <c r="AC688" s="372"/>
      <c r="AD688" s="372"/>
      <c r="AE688" s="372"/>
      <c r="AF688" s="372"/>
      <c r="AG688" s="372"/>
      <c r="AH688" s="372"/>
      <c r="AI688" s="372"/>
      <c r="AJ688" s="372"/>
      <c r="AK688" s="372"/>
      <c r="AL688" s="372"/>
      <c r="AM688" s="372"/>
      <c r="AN688" s="372"/>
      <c r="AO688" s="372"/>
      <c r="AP688" s="372"/>
      <c r="AQ688" s="372"/>
      <c r="AR688" s="767"/>
      <c r="AS688" s="254"/>
    </row>
    <row r="689" spans="1:45" ht="15.05" thickBot="1" x14ac:dyDescent="0.35">
      <c r="B689" s="5069"/>
      <c r="C689" s="985">
        <f>IF(B689=0,0,U$687)</f>
        <v>0</v>
      </c>
      <c r="D689" s="985">
        <f>IF(B689=0,0,VLOOKUP(B689,Precios!$B$217:$D$307,3,FALSE))</f>
        <v>0</v>
      </c>
      <c r="E689" s="5049"/>
      <c r="F689" s="985">
        <f>IF(B689=0,0,VLOOKUP(B689,Precios!$B$216:$D$307,2,FALSE))</f>
        <v>0</v>
      </c>
      <c r="G689" s="995">
        <f>F689*E689</f>
        <v>0</v>
      </c>
      <c r="H689" s="309"/>
      <c r="I689" s="990">
        <f t="shared" si="390"/>
        <v>0</v>
      </c>
      <c r="J689" s="985">
        <f t="shared" si="390"/>
        <v>0</v>
      </c>
      <c r="K689" s="985">
        <f t="shared" si="390"/>
        <v>0</v>
      </c>
      <c r="L689" s="985">
        <f t="shared" si="390"/>
        <v>0</v>
      </c>
      <c r="M689" s="985">
        <f t="shared" si="390"/>
        <v>0</v>
      </c>
      <c r="N689" s="985">
        <f t="shared" si="390"/>
        <v>0</v>
      </c>
      <c r="O689" s="985">
        <f t="shared" si="390"/>
        <v>0</v>
      </c>
      <c r="P689" s="985">
        <f t="shared" si="390"/>
        <v>0</v>
      </c>
      <c r="Q689" s="985">
        <f t="shared" si="390"/>
        <v>0</v>
      </c>
      <c r="R689" s="985">
        <f t="shared" si="390"/>
        <v>0</v>
      </c>
      <c r="S689" s="985">
        <f t="shared" si="390"/>
        <v>0</v>
      </c>
      <c r="T689" s="985">
        <f t="shared" si="390"/>
        <v>0</v>
      </c>
      <c r="U689" s="991">
        <f>+SUM(I689:T689)</f>
        <v>0</v>
      </c>
      <c r="V689" s="232" t="str">
        <f t="shared" si="387"/>
        <v>contratada</v>
      </c>
      <c r="Y689" s="1271"/>
      <c r="Z689" s="372"/>
      <c r="AA689" s="372"/>
      <c r="AB689" s="372"/>
      <c r="AC689" s="372"/>
      <c r="AD689" s="372"/>
      <c r="AE689" s="372"/>
      <c r="AF689" s="372"/>
      <c r="AG689" s="372"/>
      <c r="AH689" s="372"/>
      <c r="AI689" s="372"/>
      <c r="AJ689" s="372"/>
      <c r="AK689" s="372"/>
      <c r="AL689" s="372"/>
      <c r="AM689" s="372"/>
      <c r="AN689" s="372"/>
      <c r="AO689" s="372"/>
      <c r="AP689" s="372"/>
      <c r="AQ689" s="372"/>
      <c r="AR689" s="767"/>
      <c r="AS689" s="254"/>
    </row>
    <row r="690" spans="1:45" ht="15.05" thickBot="1" x14ac:dyDescent="0.35">
      <c r="B690" s="5070"/>
      <c r="C690" s="987">
        <f>IF(B690=0,0,U$687)</f>
        <v>0</v>
      </c>
      <c r="D690" s="987">
        <f>IF(B690=0,0,VLOOKUP(B690,Precios!$B$217:$D$307,3,FALSE))</f>
        <v>0</v>
      </c>
      <c r="E690" s="5071"/>
      <c r="F690" s="987">
        <f>IF(B690=0,0,VLOOKUP(B690,Precios!$B$216:$D$307,2,FALSE))</f>
        <v>0</v>
      </c>
      <c r="G690" s="996">
        <f>F690*E690</f>
        <v>0</v>
      </c>
      <c r="H690" s="309"/>
      <c r="I690" s="992">
        <f t="shared" si="390"/>
        <v>0</v>
      </c>
      <c r="J690" s="987">
        <f t="shared" si="390"/>
        <v>0</v>
      </c>
      <c r="K690" s="987">
        <f t="shared" si="390"/>
        <v>0</v>
      </c>
      <c r="L690" s="987">
        <f t="shared" si="390"/>
        <v>0</v>
      </c>
      <c r="M690" s="987">
        <f t="shared" si="390"/>
        <v>0</v>
      </c>
      <c r="N690" s="987">
        <f t="shared" si="390"/>
        <v>0</v>
      </c>
      <c r="O690" s="987">
        <f t="shared" si="390"/>
        <v>0</v>
      </c>
      <c r="P690" s="987">
        <f t="shared" si="390"/>
        <v>0</v>
      </c>
      <c r="Q690" s="987">
        <f t="shared" si="390"/>
        <v>0</v>
      </c>
      <c r="R690" s="987">
        <f t="shared" si="390"/>
        <v>0</v>
      </c>
      <c r="S690" s="987">
        <f t="shared" si="390"/>
        <v>0</v>
      </c>
      <c r="T690" s="987">
        <f t="shared" si="390"/>
        <v>0</v>
      </c>
      <c r="U690" s="993">
        <f>+SUM(I690:T690)</f>
        <v>0</v>
      </c>
      <c r="V690" s="232" t="str">
        <f t="shared" si="387"/>
        <v>contratada</v>
      </c>
      <c r="Y690" s="1271"/>
      <c r="Z690" s="372"/>
      <c r="AA690" s="372"/>
      <c r="AB690" s="372"/>
      <c r="AC690" s="372"/>
      <c r="AD690" s="372"/>
      <c r="AE690" s="372"/>
      <c r="AF690" s="372"/>
      <c r="AG690" s="372"/>
      <c r="AH690" s="372"/>
      <c r="AI690" s="372"/>
      <c r="AJ690" s="372"/>
      <c r="AK690" s="372"/>
      <c r="AL690" s="372"/>
      <c r="AM690" s="372"/>
      <c r="AN690" s="372"/>
      <c r="AO690" s="372"/>
      <c r="AP690" s="372"/>
      <c r="AQ690" s="372"/>
      <c r="AR690" s="767"/>
      <c r="AS690" s="254"/>
    </row>
    <row r="691" spans="1:45" ht="15.05" thickBot="1" x14ac:dyDescent="0.25">
      <c r="B691" s="944">
        <f>UsoSuelo!D338</f>
        <v>0</v>
      </c>
      <c r="C691" s="344"/>
      <c r="D691" s="345"/>
      <c r="E691" s="346"/>
      <c r="F691" s="346"/>
      <c r="G691" s="346"/>
      <c r="H691" s="345"/>
      <c r="I691" s="347"/>
      <c r="J691" s="348"/>
      <c r="K691" s="348"/>
      <c r="L691" s="348"/>
      <c r="M691" s="348"/>
      <c r="N691" s="348"/>
      <c r="O691" s="348"/>
      <c r="P691" s="348"/>
      <c r="Q691" s="348"/>
      <c r="R691" s="348"/>
      <c r="S691" s="348"/>
      <c r="T691" s="349"/>
      <c r="U691" s="350"/>
      <c r="Y691" s="1271"/>
      <c r="Z691" s="372"/>
      <c r="AA691" s="372"/>
      <c r="AB691" s="372"/>
      <c r="AC691" s="372"/>
      <c r="AD691" s="372"/>
      <c r="AE691" s="372"/>
      <c r="AF691" s="372"/>
      <c r="AG691" s="372"/>
      <c r="AH691" s="372"/>
      <c r="AI691" s="372"/>
      <c r="AJ691" s="372"/>
      <c r="AK691" s="372"/>
      <c r="AL691" s="372"/>
      <c r="AM691" s="372"/>
      <c r="AN691" s="372"/>
      <c r="AO691" s="372"/>
      <c r="AP691" s="372"/>
      <c r="AQ691" s="372"/>
      <c r="AR691" s="767"/>
      <c r="AS691" s="254"/>
    </row>
    <row r="692" spans="1:45" ht="15.05" thickBot="1" x14ac:dyDescent="0.25">
      <c r="B692" s="351" t="s">
        <v>1030</v>
      </c>
      <c r="C692" s="938" t="s">
        <v>1031</v>
      </c>
      <c r="D692" s="939"/>
      <c r="E692" s="939"/>
      <c r="F692" s="939"/>
      <c r="G692" s="939"/>
      <c r="H692" s="940"/>
      <c r="I692" s="941">
        <f>+UsoSuelo!F1405</f>
        <v>0</v>
      </c>
      <c r="J692" s="941">
        <f>+UsoSuelo!G1405</f>
        <v>0</v>
      </c>
      <c r="K692" s="941">
        <f>+UsoSuelo!H1405</f>
        <v>0</v>
      </c>
      <c r="L692" s="941">
        <f>+UsoSuelo!I1405</f>
        <v>0</v>
      </c>
      <c r="M692" s="941">
        <f>+UsoSuelo!J1405</f>
        <v>0</v>
      </c>
      <c r="N692" s="941">
        <f>+UsoSuelo!K1405</f>
        <v>0</v>
      </c>
      <c r="O692" s="941">
        <f>+UsoSuelo!L1405</f>
        <v>0</v>
      </c>
      <c r="P692" s="941">
        <f>+UsoSuelo!M1405</f>
        <v>0</v>
      </c>
      <c r="Q692" s="941">
        <f>+UsoSuelo!N1405</f>
        <v>0</v>
      </c>
      <c r="R692" s="941">
        <f>+UsoSuelo!O1405</f>
        <v>0</v>
      </c>
      <c r="S692" s="941">
        <f>+UsoSuelo!P1405</f>
        <v>0</v>
      </c>
      <c r="T692" s="945">
        <f>+UsoSuelo!Q1405</f>
        <v>0</v>
      </c>
      <c r="U692" s="934">
        <f>SUM(I692:T692)</f>
        <v>0</v>
      </c>
      <c r="Y692" s="1271"/>
      <c r="Z692" s="372"/>
      <c r="AA692" s="372"/>
      <c r="AB692" s="372"/>
      <c r="AC692" s="372"/>
      <c r="AD692" s="372"/>
      <c r="AE692" s="372"/>
      <c r="AF692" s="372"/>
      <c r="AG692" s="372"/>
      <c r="AH692" s="372"/>
      <c r="AI692" s="372"/>
      <c r="AJ692" s="372"/>
      <c r="AK692" s="372"/>
      <c r="AL692" s="372"/>
      <c r="AM692" s="372"/>
      <c r="AN692" s="372"/>
      <c r="AO692" s="372"/>
      <c r="AP692" s="372"/>
      <c r="AQ692" s="372"/>
      <c r="AR692" s="767"/>
      <c r="AS692" s="254"/>
    </row>
    <row r="693" spans="1:45" ht="15.05" thickBot="1" x14ac:dyDescent="0.35">
      <c r="B693" s="5067"/>
      <c r="C693" s="984">
        <f>IF(B693=0,0,U692)</f>
        <v>0</v>
      </c>
      <c r="D693" s="984">
        <f>IF(B693=0,0,VLOOKUP(B693,Precios!$B$217:$D$307,3,FALSE))</f>
        <v>0</v>
      </c>
      <c r="E693" s="5068"/>
      <c r="F693" s="984">
        <f>IF(B693=0,0,VLOOKUP(B693,Precios!$B$216:$D$307,2,FALSE))</f>
        <v>0</v>
      </c>
      <c r="G693" s="994">
        <f>F693*E693</f>
        <v>0</v>
      </c>
      <c r="H693" s="309"/>
      <c r="I693" s="988">
        <f t="shared" ref="I693:T693" si="391">I$692*$E688</f>
        <v>0</v>
      </c>
      <c r="J693" s="984">
        <f t="shared" si="391"/>
        <v>0</v>
      </c>
      <c r="K693" s="984">
        <f t="shared" si="391"/>
        <v>0</v>
      </c>
      <c r="L693" s="984">
        <f t="shared" si="391"/>
        <v>0</v>
      </c>
      <c r="M693" s="984">
        <f t="shared" si="391"/>
        <v>0</v>
      </c>
      <c r="N693" s="984">
        <f t="shared" si="391"/>
        <v>0</v>
      </c>
      <c r="O693" s="984">
        <f t="shared" si="391"/>
        <v>0</v>
      </c>
      <c r="P693" s="984">
        <f t="shared" si="391"/>
        <v>0</v>
      </c>
      <c r="Q693" s="984">
        <f t="shared" si="391"/>
        <v>0</v>
      </c>
      <c r="R693" s="984">
        <f t="shared" si="391"/>
        <v>0</v>
      </c>
      <c r="S693" s="984">
        <f t="shared" si="391"/>
        <v>0</v>
      </c>
      <c r="T693" s="984">
        <f t="shared" si="391"/>
        <v>0</v>
      </c>
      <c r="U693" s="989">
        <f>+SUM(I693:T693)</f>
        <v>0</v>
      </c>
      <c r="V693" s="232" t="str">
        <f t="shared" si="387"/>
        <v>contratada</v>
      </c>
      <c r="Y693" s="1271"/>
      <c r="Z693" s="372"/>
      <c r="AA693" s="372"/>
      <c r="AB693" s="372"/>
      <c r="AC693" s="372"/>
      <c r="AD693" s="372"/>
      <c r="AE693" s="372"/>
      <c r="AF693" s="372"/>
      <c r="AG693" s="372"/>
      <c r="AH693" s="372"/>
      <c r="AI693" s="372"/>
      <c r="AJ693" s="372"/>
      <c r="AK693" s="372"/>
      <c r="AL693" s="372"/>
      <c r="AM693" s="372"/>
      <c r="AN693" s="372"/>
      <c r="AO693" s="372"/>
      <c r="AP693" s="372"/>
      <c r="AQ693" s="372"/>
      <c r="AR693" s="767"/>
      <c r="AS693" s="254"/>
    </row>
    <row r="694" spans="1:45" ht="15.05" thickBot="1" x14ac:dyDescent="0.35">
      <c r="B694" s="5069"/>
      <c r="C694" s="985">
        <f>IF(B694=0,0,U692)</f>
        <v>0</v>
      </c>
      <c r="D694" s="985">
        <f>IF(B694=0,0,VLOOKUP(B694,Precios!$B$217:$D$307,3,FALSE))</f>
        <v>0</v>
      </c>
      <c r="E694" s="5049"/>
      <c r="F694" s="985">
        <f>IF(B694=0,0,VLOOKUP(B694,Precios!$B$216:$D$307,2,FALSE))</f>
        <v>0</v>
      </c>
      <c r="G694" s="995">
        <f>F694*E694</f>
        <v>0</v>
      </c>
      <c r="H694" s="309"/>
      <c r="I694" s="990">
        <f t="shared" ref="I694:T694" si="392">I$692*$E689</f>
        <v>0</v>
      </c>
      <c r="J694" s="985">
        <f t="shared" si="392"/>
        <v>0</v>
      </c>
      <c r="K694" s="985">
        <f t="shared" si="392"/>
        <v>0</v>
      </c>
      <c r="L694" s="985">
        <f t="shared" si="392"/>
        <v>0</v>
      </c>
      <c r="M694" s="985">
        <f t="shared" si="392"/>
        <v>0</v>
      </c>
      <c r="N694" s="985">
        <f t="shared" si="392"/>
        <v>0</v>
      </c>
      <c r="O694" s="985">
        <f t="shared" si="392"/>
        <v>0</v>
      </c>
      <c r="P694" s="985">
        <f t="shared" si="392"/>
        <v>0</v>
      </c>
      <c r="Q694" s="985">
        <f t="shared" si="392"/>
        <v>0</v>
      </c>
      <c r="R694" s="985">
        <f t="shared" si="392"/>
        <v>0</v>
      </c>
      <c r="S694" s="985">
        <f t="shared" si="392"/>
        <v>0</v>
      </c>
      <c r="T694" s="985">
        <f t="shared" si="392"/>
        <v>0</v>
      </c>
      <c r="U694" s="991">
        <f>+SUM(I694:T694)</f>
        <v>0</v>
      </c>
      <c r="V694" s="232" t="str">
        <f t="shared" si="387"/>
        <v>contratada</v>
      </c>
      <c r="Y694" s="1271"/>
      <c r="Z694" s="372"/>
      <c r="AA694" s="372"/>
      <c r="AB694" s="372"/>
      <c r="AC694" s="372"/>
      <c r="AD694" s="372"/>
      <c r="AE694" s="372"/>
      <c r="AF694" s="372"/>
      <c r="AG694" s="372"/>
      <c r="AH694" s="372"/>
      <c r="AI694" s="372"/>
      <c r="AJ694" s="372"/>
      <c r="AK694" s="372"/>
      <c r="AL694" s="372"/>
      <c r="AM694" s="372"/>
      <c r="AN694" s="372"/>
      <c r="AO694" s="372"/>
      <c r="AP694" s="372"/>
      <c r="AQ694" s="372"/>
      <c r="AR694" s="767"/>
      <c r="AS694" s="254"/>
    </row>
    <row r="695" spans="1:45" x14ac:dyDescent="0.3">
      <c r="B695" s="5072"/>
      <c r="C695" s="1021">
        <f>IF(B695=0,0,U692)</f>
        <v>0</v>
      </c>
      <c r="D695" s="1021">
        <f>IF(B695=0,0,VLOOKUP(B695,Precios!$B$217:$D$307,3,FALSE))</f>
        <v>0</v>
      </c>
      <c r="E695" s="5073"/>
      <c r="F695" s="1021">
        <f>IF(B695=0,0,VLOOKUP(B695,Precios!$B$216:$D$307,2,FALSE))</f>
        <v>0</v>
      </c>
      <c r="G695" s="1022">
        <f>F695*E695</f>
        <v>0</v>
      </c>
      <c r="H695" s="1023"/>
      <c r="I695" s="1024">
        <f t="shared" ref="I695:T695" si="393">I$692*$E690</f>
        <v>0</v>
      </c>
      <c r="J695" s="1021">
        <f t="shared" si="393"/>
        <v>0</v>
      </c>
      <c r="K695" s="1021">
        <f t="shared" si="393"/>
        <v>0</v>
      </c>
      <c r="L695" s="1021">
        <f t="shared" si="393"/>
        <v>0</v>
      </c>
      <c r="M695" s="1021">
        <f t="shared" si="393"/>
        <v>0</v>
      </c>
      <c r="N695" s="1021">
        <f t="shared" si="393"/>
        <v>0</v>
      </c>
      <c r="O695" s="1021">
        <f t="shared" si="393"/>
        <v>0</v>
      </c>
      <c r="P695" s="1021">
        <f t="shared" si="393"/>
        <v>0</v>
      </c>
      <c r="Q695" s="1021">
        <f t="shared" si="393"/>
        <v>0</v>
      </c>
      <c r="R695" s="1021">
        <f t="shared" si="393"/>
        <v>0</v>
      </c>
      <c r="S695" s="1021">
        <f t="shared" si="393"/>
        <v>0</v>
      </c>
      <c r="T695" s="1021">
        <f t="shared" si="393"/>
        <v>0</v>
      </c>
      <c r="U695" s="1025">
        <f>+SUM(I695:T695)</f>
        <v>0</v>
      </c>
      <c r="V695" s="232" t="str">
        <f t="shared" si="387"/>
        <v>contratada</v>
      </c>
      <c r="Y695" s="1271"/>
      <c r="Z695" s="372"/>
      <c r="AA695" s="372"/>
      <c r="AB695" s="372"/>
      <c r="AC695" s="372"/>
      <c r="AD695" s="372"/>
      <c r="AE695" s="372"/>
      <c r="AF695" s="372"/>
      <c r="AG695" s="372"/>
      <c r="AH695" s="372"/>
      <c r="AI695" s="372"/>
      <c r="AJ695" s="372"/>
      <c r="AK695" s="372"/>
      <c r="AL695" s="372"/>
      <c r="AM695" s="372"/>
      <c r="AN695" s="372"/>
      <c r="AO695" s="372"/>
      <c r="AP695" s="372"/>
      <c r="AQ695" s="372"/>
      <c r="AR695" s="767"/>
      <c r="AS695" s="254"/>
    </row>
    <row r="696" spans="1:45" s="254" customFormat="1" ht="7.85" customHeight="1" x14ac:dyDescent="0.3">
      <c r="B696" s="1562"/>
      <c r="C696" s="425"/>
      <c r="D696" s="425"/>
      <c r="E696" s="425"/>
      <c r="F696" s="425"/>
      <c r="G696" s="425"/>
      <c r="H696" s="425"/>
      <c r="I696" s="425"/>
      <c r="J696" s="425"/>
      <c r="K696" s="425"/>
      <c r="L696" s="425"/>
      <c r="M696" s="425"/>
      <c r="N696" s="425"/>
      <c r="O696" s="425"/>
      <c r="P696" s="425"/>
      <c r="Q696" s="425"/>
      <c r="R696" s="425"/>
      <c r="S696" s="425"/>
      <c r="T696" s="425"/>
      <c r="U696" s="436"/>
      <c r="Y696" s="1271"/>
      <c r="Z696" s="372"/>
      <c r="AA696" s="372"/>
      <c r="AB696" s="372"/>
      <c r="AC696" s="372"/>
      <c r="AD696" s="372"/>
      <c r="AE696" s="372"/>
      <c r="AF696" s="372"/>
      <c r="AG696" s="372"/>
      <c r="AH696" s="372"/>
      <c r="AI696" s="372"/>
      <c r="AJ696" s="372"/>
      <c r="AK696" s="372"/>
      <c r="AL696" s="372"/>
      <c r="AM696" s="372"/>
      <c r="AN696" s="372"/>
      <c r="AO696" s="372"/>
      <c r="AP696" s="372"/>
      <c r="AQ696" s="372"/>
      <c r="AR696" s="767"/>
    </row>
    <row r="697" spans="1:45" ht="15.05" thickBot="1" x14ac:dyDescent="0.25">
      <c r="A697" s="1344">
        <f>+A664</f>
        <v>67</v>
      </c>
      <c r="B697" s="1026" t="s">
        <v>1755</v>
      </c>
      <c r="C697" s="1027"/>
      <c r="D697" s="1028"/>
      <c r="E697" s="1028"/>
      <c r="F697" s="1028"/>
      <c r="G697" s="1028"/>
      <c r="H697" s="1029"/>
      <c r="I697" s="1030"/>
      <c r="J697" s="1030"/>
      <c r="K697" s="1030"/>
      <c r="L697" s="1030"/>
      <c r="M697" s="1030"/>
      <c r="N697" s="1030"/>
      <c r="O697" s="1030"/>
      <c r="P697" s="1030"/>
      <c r="Q697" s="1030"/>
      <c r="R697" s="1030"/>
      <c r="S697" s="1030"/>
      <c r="T697" s="1030"/>
      <c r="U697" s="1031"/>
      <c r="Y697" s="1271"/>
      <c r="Z697" s="372"/>
      <c r="AA697" s="372"/>
      <c r="AB697" s="372"/>
      <c r="AC697" s="372"/>
      <c r="AD697" s="372"/>
      <c r="AE697" s="372"/>
      <c r="AF697" s="372"/>
      <c r="AG697" s="372"/>
      <c r="AH697" s="372"/>
      <c r="AI697" s="372"/>
      <c r="AJ697" s="372"/>
      <c r="AK697" s="372"/>
      <c r="AL697" s="372"/>
      <c r="AM697" s="372"/>
      <c r="AN697" s="372"/>
      <c r="AO697" s="372"/>
      <c r="AP697" s="372"/>
      <c r="AQ697" s="372"/>
      <c r="AR697" s="767"/>
      <c r="AS697" s="254"/>
    </row>
    <row r="698" spans="1:45" ht="15.05" thickBot="1" x14ac:dyDescent="0.25">
      <c r="A698" s="1344" t="s">
        <v>1695</v>
      </c>
      <c r="B698" s="944" t="str">
        <f>UsoSuelo!D340</f>
        <v>Avena silo</v>
      </c>
      <c r="C698" s="344"/>
      <c r="D698" s="345"/>
      <c r="E698" s="346"/>
      <c r="F698" s="346"/>
      <c r="G698" s="346"/>
      <c r="H698" s="345"/>
      <c r="I698" s="347"/>
      <c r="J698" s="348"/>
      <c r="K698" s="348"/>
      <c r="L698" s="348"/>
      <c r="M698" s="348"/>
      <c r="N698" s="348"/>
      <c r="O698" s="348"/>
      <c r="P698" s="348"/>
      <c r="Q698" s="348"/>
      <c r="R698" s="348"/>
      <c r="S698" s="348"/>
      <c r="T698" s="349"/>
      <c r="U698" s="350"/>
      <c r="Y698" s="1271"/>
      <c r="Z698" s="372"/>
      <c r="AA698" s="372"/>
      <c r="AB698" s="372"/>
      <c r="AC698" s="372"/>
      <c r="AD698" s="372"/>
      <c r="AE698" s="372"/>
      <c r="AF698" s="372"/>
      <c r="AG698" s="372"/>
      <c r="AH698" s="372"/>
      <c r="AI698" s="372"/>
      <c r="AJ698" s="372"/>
      <c r="AK698" s="372"/>
      <c r="AL698" s="372"/>
      <c r="AM698" s="372"/>
      <c r="AN698" s="372"/>
      <c r="AO698" s="372"/>
      <c r="AP698" s="372"/>
      <c r="AQ698" s="372"/>
      <c r="AR698" s="767"/>
      <c r="AS698" s="254"/>
    </row>
    <row r="699" spans="1:45" ht="15.05" thickBot="1" x14ac:dyDescent="0.25">
      <c r="A699" s="739"/>
      <c r="B699" s="351" t="s">
        <v>1030</v>
      </c>
      <c r="C699" s="938" t="s">
        <v>1031</v>
      </c>
      <c r="D699" s="939"/>
      <c r="E699" s="939"/>
      <c r="F699" s="939"/>
      <c r="G699" s="939"/>
      <c r="H699" s="940"/>
      <c r="I699" s="941">
        <f>+UsoSuelo!F1407</f>
        <v>0</v>
      </c>
      <c r="J699" s="941">
        <f>+UsoSuelo!G1407</f>
        <v>0</v>
      </c>
      <c r="K699" s="941">
        <f>+UsoSuelo!H1407</f>
        <v>0</v>
      </c>
      <c r="L699" s="941">
        <f>+UsoSuelo!I1407</f>
        <v>0</v>
      </c>
      <c r="M699" s="941">
        <f>+UsoSuelo!J1407</f>
        <v>0</v>
      </c>
      <c r="N699" s="941">
        <f>+UsoSuelo!K1407</f>
        <v>0</v>
      </c>
      <c r="O699" s="941">
        <f>+UsoSuelo!L1407</f>
        <v>0</v>
      </c>
      <c r="P699" s="941">
        <f>+UsoSuelo!M1407</f>
        <v>0</v>
      </c>
      <c r="Q699" s="941">
        <f>+UsoSuelo!N1407</f>
        <v>0</v>
      </c>
      <c r="R699" s="941">
        <f>+UsoSuelo!O1407</f>
        <v>0</v>
      </c>
      <c r="S699" s="941">
        <f>+UsoSuelo!P1407</f>
        <v>0</v>
      </c>
      <c r="T699" s="945">
        <f>+UsoSuelo!Q1407</f>
        <v>0</v>
      </c>
      <c r="U699" s="934">
        <f>SUM(I699:T699)</f>
        <v>0</v>
      </c>
      <c r="Y699" s="1271"/>
      <c r="Z699" s="372"/>
      <c r="AA699" s="372"/>
      <c r="AB699" s="372"/>
      <c r="AC699" s="372"/>
      <c r="AD699" s="372"/>
      <c r="AE699" s="372"/>
      <c r="AF699" s="372"/>
      <c r="AG699" s="372"/>
      <c r="AH699" s="372"/>
      <c r="AI699" s="372"/>
      <c r="AJ699" s="372"/>
      <c r="AK699" s="372"/>
      <c r="AL699" s="372"/>
      <c r="AM699" s="372"/>
      <c r="AN699" s="372"/>
      <c r="AO699" s="372"/>
      <c r="AP699" s="372"/>
      <c r="AQ699" s="372"/>
      <c r="AR699" s="767"/>
      <c r="AS699" s="254"/>
    </row>
    <row r="700" spans="1:45" ht="15.05" thickBot="1" x14ac:dyDescent="0.35">
      <c r="B700" s="5067" t="s">
        <v>1733</v>
      </c>
      <c r="C700" s="984">
        <f>IF(B700=0,0,U699)</f>
        <v>0</v>
      </c>
      <c r="D700" s="984" t="str">
        <f>IF(B700=0,0,VLOOKUP(B700,Precios!$B$217:$D$307,3,FALSE))</f>
        <v>fardo</v>
      </c>
      <c r="E700" s="5068">
        <v>15</v>
      </c>
      <c r="F700" s="984">
        <f>IF(B700=0,0,VLOOKUP(B700,Precios!$B$216:$D$307,2,FALSE))</f>
        <v>2.9888888888888889</v>
      </c>
      <c r="G700" s="994">
        <f>F700*E700</f>
        <v>44.833333333333336</v>
      </c>
      <c r="H700" s="309"/>
      <c r="I700" s="988">
        <f t="shared" ref="I700:T702" si="394">I$699*$E700</f>
        <v>0</v>
      </c>
      <c r="J700" s="984">
        <f t="shared" si="394"/>
        <v>0</v>
      </c>
      <c r="K700" s="984">
        <f t="shared" si="394"/>
        <v>0</v>
      </c>
      <c r="L700" s="984">
        <f t="shared" si="394"/>
        <v>0</v>
      </c>
      <c r="M700" s="984">
        <f t="shared" si="394"/>
        <v>0</v>
      </c>
      <c r="N700" s="984">
        <f t="shared" si="394"/>
        <v>0</v>
      </c>
      <c r="O700" s="984">
        <f t="shared" si="394"/>
        <v>0</v>
      </c>
      <c r="P700" s="984">
        <f t="shared" si="394"/>
        <v>0</v>
      </c>
      <c r="Q700" s="984">
        <f t="shared" si="394"/>
        <v>0</v>
      </c>
      <c r="R700" s="984">
        <f t="shared" si="394"/>
        <v>0</v>
      </c>
      <c r="S700" s="984">
        <f t="shared" si="394"/>
        <v>0</v>
      </c>
      <c r="T700" s="984">
        <f t="shared" si="394"/>
        <v>0</v>
      </c>
      <c r="U700" s="989">
        <f>+SUM(I700:T700)</f>
        <v>0</v>
      </c>
      <c r="V700" s="232" t="str">
        <f t="shared" si="387"/>
        <v>Enfardarcontratada</v>
      </c>
      <c r="Y700" s="1271"/>
      <c r="Z700" s="372"/>
      <c r="AA700" s="372"/>
      <c r="AB700" s="372"/>
      <c r="AC700" s="372"/>
      <c r="AD700" s="372"/>
      <c r="AE700" s="372"/>
      <c r="AF700" s="372"/>
      <c r="AG700" s="372"/>
      <c r="AH700" s="372"/>
      <c r="AI700" s="372"/>
      <c r="AJ700" s="372"/>
      <c r="AK700" s="372"/>
      <c r="AL700" s="372"/>
      <c r="AM700" s="372"/>
      <c r="AN700" s="372"/>
      <c r="AO700" s="372"/>
      <c r="AP700" s="372"/>
      <c r="AQ700" s="372"/>
      <c r="AR700" s="767"/>
      <c r="AS700" s="254"/>
    </row>
    <row r="701" spans="1:45" ht="15.05" thickBot="1" x14ac:dyDescent="0.35">
      <c r="B701" s="5069"/>
      <c r="C701" s="985">
        <f>IF(B701=0,0,U699)</f>
        <v>0</v>
      </c>
      <c r="D701" s="985">
        <f>IF(B701=0,0,VLOOKUP(B701,Precios!$B$217:$D$307,3,FALSE))</f>
        <v>0</v>
      </c>
      <c r="E701" s="5049"/>
      <c r="F701" s="985">
        <f>IF(B701=0,0,VLOOKUP(B701,Precios!$B$216:$D$307,2,FALSE))</f>
        <v>0</v>
      </c>
      <c r="G701" s="995">
        <f>F701*E701</f>
        <v>0</v>
      </c>
      <c r="H701" s="309"/>
      <c r="I701" s="990">
        <f t="shared" si="394"/>
        <v>0</v>
      </c>
      <c r="J701" s="985">
        <f t="shared" si="394"/>
        <v>0</v>
      </c>
      <c r="K701" s="985">
        <f t="shared" si="394"/>
        <v>0</v>
      </c>
      <c r="L701" s="985">
        <f t="shared" si="394"/>
        <v>0</v>
      </c>
      <c r="M701" s="985">
        <f t="shared" si="394"/>
        <v>0</v>
      </c>
      <c r="N701" s="985">
        <f t="shared" si="394"/>
        <v>0</v>
      </c>
      <c r="O701" s="985">
        <f t="shared" si="394"/>
        <v>0</v>
      </c>
      <c r="P701" s="985">
        <f t="shared" si="394"/>
        <v>0</v>
      </c>
      <c r="Q701" s="985">
        <f t="shared" si="394"/>
        <v>0</v>
      </c>
      <c r="R701" s="985">
        <f t="shared" si="394"/>
        <v>0</v>
      </c>
      <c r="S701" s="985">
        <f t="shared" si="394"/>
        <v>0</v>
      </c>
      <c r="T701" s="985">
        <f t="shared" si="394"/>
        <v>0</v>
      </c>
      <c r="U701" s="991">
        <f>+SUM(I701:T701)</f>
        <v>0</v>
      </c>
      <c r="V701" s="232" t="str">
        <f t="shared" si="387"/>
        <v>contratada</v>
      </c>
      <c r="Y701" s="1271"/>
      <c r="Z701" s="372"/>
      <c r="AA701" s="372"/>
      <c r="AB701" s="372"/>
      <c r="AC701" s="372"/>
      <c r="AD701" s="372"/>
      <c r="AE701" s="372"/>
      <c r="AF701" s="372"/>
      <c r="AG701" s="372"/>
      <c r="AH701" s="372"/>
      <c r="AI701" s="372"/>
      <c r="AJ701" s="372"/>
      <c r="AK701" s="372"/>
      <c r="AL701" s="372"/>
      <c r="AM701" s="372"/>
      <c r="AN701" s="372"/>
      <c r="AO701" s="372"/>
      <c r="AP701" s="372"/>
      <c r="AQ701" s="372"/>
      <c r="AR701" s="767"/>
      <c r="AS701" s="254"/>
    </row>
    <row r="702" spans="1:45" ht="15.05" thickBot="1" x14ac:dyDescent="0.35">
      <c r="B702" s="5070"/>
      <c r="C702" s="987">
        <f>IF(B702=0,0,U699)</f>
        <v>0</v>
      </c>
      <c r="D702" s="987">
        <f>IF(B702=0,0,VLOOKUP(B702,Precios!$B$217:$D$307,3,FALSE))</f>
        <v>0</v>
      </c>
      <c r="E702" s="5071"/>
      <c r="F702" s="987">
        <f>IF(B702=0,0,VLOOKUP(B702,Precios!$B$216:$D$307,2,FALSE))</f>
        <v>0</v>
      </c>
      <c r="G702" s="996">
        <f>F702*E702</f>
        <v>0</v>
      </c>
      <c r="H702" s="309"/>
      <c r="I702" s="992">
        <f t="shared" si="394"/>
        <v>0</v>
      </c>
      <c r="J702" s="987">
        <f t="shared" si="394"/>
        <v>0</v>
      </c>
      <c r="K702" s="987">
        <f t="shared" si="394"/>
        <v>0</v>
      </c>
      <c r="L702" s="987">
        <f t="shared" si="394"/>
        <v>0</v>
      </c>
      <c r="M702" s="987">
        <f t="shared" si="394"/>
        <v>0</v>
      </c>
      <c r="N702" s="987">
        <f t="shared" si="394"/>
        <v>0</v>
      </c>
      <c r="O702" s="987">
        <f t="shared" si="394"/>
        <v>0</v>
      </c>
      <c r="P702" s="987">
        <f t="shared" si="394"/>
        <v>0</v>
      </c>
      <c r="Q702" s="987">
        <f t="shared" si="394"/>
        <v>0</v>
      </c>
      <c r="R702" s="987">
        <f t="shared" si="394"/>
        <v>0</v>
      </c>
      <c r="S702" s="987">
        <f t="shared" si="394"/>
        <v>0</v>
      </c>
      <c r="T702" s="987">
        <f t="shared" si="394"/>
        <v>0</v>
      </c>
      <c r="U702" s="993">
        <f>+SUM(I702:T702)</f>
        <v>0</v>
      </c>
      <c r="V702" s="232" t="str">
        <f t="shared" si="387"/>
        <v>contratada</v>
      </c>
      <c r="Y702" s="1271"/>
      <c r="Z702" s="372"/>
      <c r="AA702" s="372"/>
      <c r="AB702" s="372"/>
      <c r="AC702" s="372"/>
      <c r="AD702" s="372"/>
      <c r="AE702" s="372"/>
      <c r="AF702" s="372"/>
      <c r="AG702" s="372"/>
      <c r="AH702" s="372"/>
      <c r="AI702" s="372"/>
      <c r="AJ702" s="372"/>
      <c r="AK702" s="372"/>
      <c r="AL702" s="372"/>
      <c r="AM702" s="372"/>
      <c r="AN702" s="372"/>
      <c r="AO702" s="372"/>
      <c r="AP702" s="372"/>
      <c r="AQ702" s="372"/>
      <c r="AR702" s="767"/>
      <c r="AS702" s="254"/>
    </row>
    <row r="703" spans="1:45" ht="15.05" thickBot="1" x14ac:dyDescent="0.25">
      <c r="B703" s="944" t="str">
        <f>UsoSuelo!D341</f>
        <v>Raigrás Silo</v>
      </c>
      <c r="C703" s="344"/>
      <c r="D703" s="345"/>
      <c r="E703" s="346"/>
      <c r="F703" s="346"/>
      <c r="G703" s="346"/>
      <c r="H703" s="345"/>
      <c r="I703" s="347"/>
      <c r="J703" s="348"/>
      <c r="K703" s="348"/>
      <c r="L703" s="348"/>
      <c r="M703" s="348"/>
      <c r="N703" s="348"/>
      <c r="O703" s="348"/>
      <c r="P703" s="348"/>
      <c r="Q703" s="348"/>
      <c r="R703" s="348"/>
      <c r="S703" s="348"/>
      <c r="T703" s="349"/>
      <c r="U703" s="350"/>
      <c r="Y703" s="1271"/>
      <c r="Z703" s="372"/>
      <c r="AA703" s="372"/>
      <c r="AB703" s="372"/>
      <c r="AC703" s="372"/>
      <c r="AD703" s="372"/>
      <c r="AE703" s="372"/>
      <c r="AF703" s="372"/>
      <c r="AG703" s="372"/>
      <c r="AH703" s="372"/>
      <c r="AI703" s="372"/>
      <c r="AJ703" s="372"/>
      <c r="AK703" s="372"/>
      <c r="AL703" s="372"/>
      <c r="AM703" s="372"/>
      <c r="AN703" s="372"/>
      <c r="AO703" s="372"/>
      <c r="AP703" s="372"/>
      <c r="AQ703" s="372"/>
      <c r="AR703" s="767"/>
      <c r="AS703" s="254"/>
    </row>
    <row r="704" spans="1:45" ht="15.05" thickBot="1" x14ac:dyDescent="0.25">
      <c r="B704" s="351" t="s">
        <v>1030</v>
      </c>
      <c r="C704" s="938" t="s">
        <v>1031</v>
      </c>
      <c r="D704" s="939"/>
      <c r="E704" s="939"/>
      <c r="F704" s="939"/>
      <c r="G704" s="939"/>
      <c r="H704" s="940"/>
      <c r="I704" s="941">
        <f>+UsoSuelo!F1408</f>
        <v>0</v>
      </c>
      <c r="J704" s="941">
        <f>+UsoSuelo!G1408</f>
        <v>0</v>
      </c>
      <c r="K704" s="941">
        <f>+UsoSuelo!H1408</f>
        <v>0</v>
      </c>
      <c r="L704" s="941">
        <f>+UsoSuelo!I1408</f>
        <v>0</v>
      </c>
      <c r="M704" s="941">
        <f>+UsoSuelo!J1408</f>
        <v>0</v>
      </c>
      <c r="N704" s="941">
        <f>+UsoSuelo!K1408</f>
        <v>0</v>
      </c>
      <c r="O704" s="941">
        <f>+UsoSuelo!L1408</f>
        <v>0</v>
      </c>
      <c r="P704" s="941">
        <f>+UsoSuelo!M1408</f>
        <v>0</v>
      </c>
      <c r="Q704" s="941">
        <f>+UsoSuelo!N1408</f>
        <v>0</v>
      </c>
      <c r="R704" s="941">
        <f>+UsoSuelo!O1408</f>
        <v>0</v>
      </c>
      <c r="S704" s="941">
        <f>+UsoSuelo!P1408</f>
        <v>0</v>
      </c>
      <c r="T704" s="945">
        <f>+UsoSuelo!Q1408</f>
        <v>0</v>
      </c>
      <c r="U704" s="934">
        <f>SUM(I704:T704)</f>
        <v>0</v>
      </c>
      <c r="Y704" s="1271"/>
      <c r="Z704" s="372"/>
      <c r="AA704" s="372"/>
      <c r="AB704" s="372"/>
      <c r="AC704" s="372"/>
      <c r="AD704" s="372"/>
      <c r="AE704" s="372"/>
      <c r="AF704" s="372"/>
      <c r="AG704" s="372"/>
      <c r="AH704" s="372"/>
      <c r="AI704" s="372"/>
      <c r="AJ704" s="372"/>
      <c r="AK704" s="372"/>
      <c r="AL704" s="372"/>
      <c r="AM704" s="372"/>
      <c r="AN704" s="372"/>
      <c r="AO704" s="372"/>
      <c r="AP704" s="372"/>
      <c r="AQ704" s="372"/>
      <c r="AR704" s="767"/>
      <c r="AS704" s="254"/>
    </row>
    <row r="705" spans="2:45" ht="15.05" thickBot="1" x14ac:dyDescent="0.35">
      <c r="B705" s="5067" t="s">
        <v>1733</v>
      </c>
      <c r="C705" s="984">
        <f>IF(B705=0,0,U704)</f>
        <v>0</v>
      </c>
      <c r="D705" s="984" t="str">
        <f>IF(B705=0,0,VLOOKUP(B705,Precios!$B$217:$D$307,3,FALSE))</f>
        <v>fardo</v>
      </c>
      <c r="E705" s="5068">
        <v>15</v>
      </c>
      <c r="F705" s="984">
        <f>IF(B705=0,0,VLOOKUP(B705,Precios!$B$216:$D$307,2,FALSE))</f>
        <v>2.9888888888888889</v>
      </c>
      <c r="G705" s="994">
        <f>F705*E705</f>
        <v>44.833333333333336</v>
      </c>
      <c r="H705" s="309"/>
      <c r="I705" s="988">
        <f t="shared" ref="I705:T707" si="395">I$704*$E705</f>
        <v>0</v>
      </c>
      <c r="J705" s="984">
        <f t="shared" si="395"/>
        <v>0</v>
      </c>
      <c r="K705" s="984">
        <f t="shared" si="395"/>
        <v>0</v>
      </c>
      <c r="L705" s="984">
        <f t="shared" si="395"/>
        <v>0</v>
      </c>
      <c r="M705" s="984">
        <f t="shared" si="395"/>
        <v>0</v>
      </c>
      <c r="N705" s="984">
        <f t="shared" si="395"/>
        <v>0</v>
      </c>
      <c r="O705" s="984">
        <f t="shared" si="395"/>
        <v>0</v>
      </c>
      <c r="P705" s="984">
        <f t="shared" si="395"/>
        <v>0</v>
      </c>
      <c r="Q705" s="984">
        <f t="shared" si="395"/>
        <v>0</v>
      </c>
      <c r="R705" s="984">
        <f t="shared" si="395"/>
        <v>0</v>
      </c>
      <c r="S705" s="984">
        <f t="shared" si="395"/>
        <v>0</v>
      </c>
      <c r="T705" s="984">
        <f t="shared" si="395"/>
        <v>0</v>
      </c>
      <c r="U705" s="989">
        <f>+SUM(I705:T705)</f>
        <v>0</v>
      </c>
      <c r="V705" s="232" t="str">
        <f t="shared" si="387"/>
        <v>Enfardarcontratada</v>
      </c>
      <c r="Y705" s="1271"/>
      <c r="Z705" s="372"/>
      <c r="AA705" s="372"/>
      <c r="AB705" s="372"/>
      <c r="AC705" s="372"/>
      <c r="AD705" s="372"/>
      <c r="AE705" s="372"/>
      <c r="AF705" s="372"/>
      <c r="AG705" s="372"/>
      <c r="AH705" s="372"/>
      <c r="AI705" s="372"/>
      <c r="AJ705" s="372"/>
      <c r="AK705" s="372"/>
      <c r="AL705" s="372"/>
      <c r="AM705" s="372"/>
      <c r="AN705" s="372"/>
      <c r="AO705" s="372"/>
      <c r="AP705" s="372"/>
      <c r="AQ705" s="372"/>
      <c r="AR705" s="767"/>
      <c r="AS705" s="254"/>
    </row>
    <row r="706" spans="2:45" ht="15.05" thickBot="1" x14ac:dyDescent="0.35">
      <c r="B706" s="5069"/>
      <c r="C706" s="985">
        <f>IF(B706=0,0,U704)</f>
        <v>0</v>
      </c>
      <c r="D706" s="985">
        <f>IF(B706=0,0,VLOOKUP(B706,Precios!$B$217:$D$307,3,FALSE))</f>
        <v>0</v>
      </c>
      <c r="E706" s="5049"/>
      <c r="F706" s="985">
        <f>IF(B706=0,0,VLOOKUP(B706,Precios!$B$216:$D$307,2,FALSE))</f>
        <v>0</v>
      </c>
      <c r="G706" s="995">
        <f>F706*E706</f>
        <v>0</v>
      </c>
      <c r="H706" s="309"/>
      <c r="I706" s="990">
        <f t="shared" si="395"/>
        <v>0</v>
      </c>
      <c r="J706" s="985">
        <f t="shared" si="395"/>
        <v>0</v>
      </c>
      <c r="K706" s="985">
        <f t="shared" si="395"/>
        <v>0</v>
      </c>
      <c r="L706" s="985">
        <f t="shared" si="395"/>
        <v>0</v>
      </c>
      <c r="M706" s="985">
        <f t="shared" si="395"/>
        <v>0</v>
      </c>
      <c r="N706" s="985">
        <f t="shared" si="395"/>
        <v>0</v>
      </c>
      <c r="O706" s="985">
        <f t="shared" si="395"/>
        <v>0</v>
      </c>
      <c r="P706" s="985">
        <f t="shared" si="395"/>
        <v>0</v>
      </c>
      <c r="Q706" s="985">
        <f t="shared" si="395"/>
        <v>0</v>
      </c>
      <c r="R706" s="985">
        <f t="shared" si="395"/>
        <v>0</v>
      </c>
      <c r="S706" s="985">
        <f t="shared" si="395"/>
        <v>0</v>
      </c>
      <c r="T706" s="985">
        <f t="shared" si="395"/>
        <v>0</v>
      </c>
      <c r="U706" s="991">
        <f>+SUM(I706:T706)</f>
        <v>0</v>
      </c>
      <c r="V706" s="232" t="str">
        <f t="shared" si="387"/>
        <v>contratada</v>
      </c>
      <c r="Y706" s="1271"/>
      <c r="Z706" s="372"/>
      <c r="AA706" s="372"/>
      <c r="AB706" s="372"/>
      <c r="AC706" s="372"/>
      <c r="AD706" s="372"/>
      <c r="AE706" s="372"/>
      <c r="AF706" s="372"/>
      <c r="AG706" s="372"/>
      <c r="AH706" s="372"/>
      <c r="AI706" s="372"/>
      <c r="AJ706" s="372"/>
      <c r="AK706" s="372"/>
      <c r="AL706" s="372"/>
      <c r="AM706" s="372"/>
      <c r="AN706" s="372"/>
      <c r="AO706" s="372"/>
      <c r="AP706" s="372"/>
      <c r="AQ706" s="372"/>
      <c r="AR706" s="767"/>
      <c r="AS706" s="254"/>
    </row>
    <row r="707" spans="2:45" ht="15.05" thickBot="1" x14ac:dyDescent="0.35">
      <c r="B707" s="5070"/>
      <c r="C707" s="987">
        <f>IF(B707=0,0,U704)</f>
        <v>0</v>
      </c>
      <c r="D707" s="987">
        <f>IF(B707=0,0,VLOOKUP(B707,Precios!$B$217:$D$307,3,FALSE))</f>
        <v>0</v>
      </c>
      <c r="E707" s="5071"/>
      <c r="F707" s="987">
        <f>IF(B707=0,0,VLOOKUP(B707,Precios!$B$216:$D$307,2,FALSE))</f>
        <v>0</v>
      </c>
      <c r="G707" s="996">
        <f>F707*E707</f>
        <v>0</v>
      </c>
      <c r="H707" s="309"/>
      <c r="I707" s="992">
        <f t="shared" si="395"/>
        <v>0</v>
      </c>
      <c r="J707" s="987">
        <f t="shared" si="395"/>
        <v>0</v>
      </c>
      <c r="K707" s="987">
        <f t="shared" si="395"/>
        <v>0</v>
      </c>
      <c r="L707" s="987">
        <f t="shared" si="395"/>
        <v>0</v>
      </c>
      <c r="M707" s="987">
        <f t="shared" si="395"/>
        <v>0</v>
      </c>
      <c r="N707" s="987">
        <f t="shared" si="395"/>
        <v>0</v>
      </c>
      <c r="O707" s="987">
        <f t="shared" si="395"/>
        <v>0</v>
      </c>
      <c r="P707" s="987">
        <f t="shared" si="395"/>
        <v>0</v>
      </c>
      <c r="Q707" s="987">
        <f t="shared" si="395"/>
        <v>0</v>
      </c>
      <c r="R707" s="987">
        <f t="shared" si="395"/>
        <v>0</v>
      </c>
      <c r="S707" s="987">
        <f t="shared" si="395"/>
        <v>0</v>
      </c>
      <c r="T707" s="987">
        <f t="shared" si="395"/>
        <v>0</v>
      </c>
      <c r="U707" s="993">
        <f>+SUM(I707:T707)</f>
        <v>0</v>
      </c>
      <c r="V707" s="232" t="str">
        <f t="shared" si="387"/>
        <v>contratada</v>
      </c>
      <c r="Y707" s="1271"/>
      <c r="Z707" s="372"/>
      <c r="AA707" s="372"/>
      <c r="AB707" s="372"/>
      <c r="AC707" s="372"/>
      <c r="AD707" s="372"/>
      <c r="AE707" s="372"/>
      <c r="AF707" s="372"/>
      <c r="AG707" s="372"/>
      <c r="AH707" s="372"/>
      <c r="AI707" s="372"/>
      <c r="AJ707" s="372"/>
      <c r="AK707" s="372"/>
      <c r="AL707" s="372"/>
      <c r="AM707" s="372"/>
      <c r="AN707" s="372"/>
      <c r="AO707" s="372"/>
      <c r="AP707" s="372"/>
      <c r="AQ707" s="372"/>
      <c r="AR707" s="767"/>
      <c r="AS707" s="254"/>
    </row>
    <row r="708" spans="2:45" ht="15.05" thickBot="1" x14ac:dyDescent="0.25">
      <c r="B708" s="944" t="str">
        <f>UsoSuelo!D342</f>
        <v>Ra Silo Cierre Ago</v>
      </c>
      <c r="C708" s="344"/>
      <c r="D708" s="345"/>
      <c r="E708" s="346"/>
      <c r="F708" s="346"/>
      <c r="G708" s="346"/>
      <c r="H708" s="345"/>
      <c r="I708" s="347"/>
      <c r="J708" s="348"/>
      <c r="K708" s="348"/>
      <c r="L708" s="348"/>
      <c r="M708" s="348"/>
      <c r="N708" s="348"/>
      <c r="O708" s="348"/>
      <c r="P708" s="348"/>
      <c r="Q708" s="348"/>
      <c r="R708" s="348"/>
      <c r="S708" s="348"/>
      <c r="T708" s="349"/>
      <c r="U708" s="350"/>
      <c r="Y708" s="1271"/>
      <c r="Z708" s="372"/>
      <c r="AA708" s="372"/>
      <c r="AB708" s="372"/>
      <c r="AC708" s="372"/>
      <c r="AD708" s="372"/>
      <c r="AE708" s="372"/>
      <c r="AF708" s="372"/>
      <c r="AG708" s="372"/>
      <c r="AH708" s="372"/>
      <c r="AI708" s="372"/>
      <c r="AJ708" s="372"/>
      <c r="AK708" s="372"/>
      <c r="AL708" s="372"/>
      <c r="AM708" s="372"/>
      <c r="AN708" s="372"/>
      <c r="AO708" s="372"/>
      <c r="AP708" s="372"/>
      <c r="AQ708" s="372"/>
      <c r="AR708" s="767"/>
      <c r="AS708" s="254"/>
    </row>
    <row r="709" spans="2:45" ht="15.05" thickBot="1" x14ac:dyDescent="0.25">
      <c r="B709" s="351" t="s">
        <v>1030</v>
      </c>
      <c r="C709" s="938" t="s">
        <v>1031</v>
      </c>
      <c r="D709" s="939"/>
      <c r="E709" s="939"/>
      <c r="F709" s="939"/>
      <c r="G709" s="939"/>
      <c r="H709" s="940"/>
      <c r="I709" s="941">
        <f>+UsoSuelo!F1409</f>
        <v>0</v>
      </c>
      <c r="J709" s="941">
        <f>+UsoSuelo!G1409</f>
        <v>0</v>
      </c>
      <c r="K709" s="941">
        <f>+UsoSuelo!H1409</f>
        <v>0</v>
      </c>
      <c r="L709" s="941">
        <f>+UsoSuelo!I1409</f>
        <v>0</v>
      </c>
      <c r="M709" s="941">
        <f>+UsoSuelo!J1409</f>
        <v>0</v>
      </c>
      <c r="N709" s="941">
        <f>+UsoSuelo!K1409</f>
        <v>0</v>
      </c>
      <c r="O709" s="941">
        <f>+UsoSuelo!L1409</f>
        <v>0</v>
      </c>
      <c r="P709" s="941">
        <f>+UsoSuelo!M1409</f>
        <v>0</v>
      </c>
      <c r="Q709" s="941">
        <f>+UsoSuelo!N1409</f>
        <v>0</v>
      </c>
      <c r="R709" s="941">
        <f>+UsoSuelo!O1409</f>
        <v>0</v>
      </c>
      <c r="S709" s="941">
        <f>+UsoSuelo!P1409</f>
        <v>0</v>
      </c>
      <c r="T709" s="945">
        <f>+UsoSuelo!Q1409</f>
        <v>0</v>
      </c>
      <c r="U709" s="934">
        <f>SUM(I709:T709)</f>
        <v>0</v>
      </c>
      <c r="Y709" s="1271"/>
      <c r="Z709" s="372"/>
      <c r="AA709" s="372"/>
      <c r="AB709" s="372"/>
      <c r="AC709" s="372"/>
      <c r="AD709" s="372"/>
      <c r="AE709" s="372"/>
      <c r="AF709" s="372"/>
      <c r="AG709" s="372"/>
      <c r="AH709" s="372"/>
      <c r="AI709" s="372"/>
      <c r="AJ709" s="372"/>
      <c r="AK709" s="372"/>
      <c r="AL709" s="372"/>
      <c r="AM709" s="372"/>
      <c r="AN709" s="372"/>
      <c r="AO709" s="372"/>
      <c r="AP709" s="372"/>
      <c r="AQ709" s="372"/>
      <c r="AR709" s="767"/>
      <c r="AS709" s="254"/>
    </row>
    <row r="710" spans="2:45" ht="15.05" thickBot="1" x14ac:dyDescent="0.35">
      <c r="B710" s="5067"/>
      <c r="C710" s="984">
        <f>IF(B710=0,0,$U$709)</f>
        <v>0</v>
      </c>
      <c r="D710" s="984">
        <f>IF(B710=0,0,VLOOKUP(B710,Precios!$B$217:$D$307,3,FALSE))</f>
        <v>0</v>
      </c>
      <c r="E710" s="5068"/>
      <c r="F710" s="984">
        <f>IF(B710=0,0,VLOOKUP(B710,Precios!$B$216:$D$307,2,FALSE))</f>
        <v>0</v>
      </c>
      <c r="G710" s="994">
        <f>F710*E710</f>
        <v>0</v>
      </c>
      <c r="H710" s="309"/>
      <c r="I710" s="988">
        <f t="shared" ref="I710:T712" si="396">I$709*$E710</f>
        <v>0</v>
      </c>
      <c r="J710" s="984">
        <f t="shared" si="396"/>
        <v>0</v>
      </c>
      <c r="K710" s="984">
        <f t="shared" si="396"/>
        <v>0</v>
      </c>
      <c r="L710" s="984">
        <f t="shared" si="396"/>
        <v>0</v>
      </c>
      <c r="M710" s="984">
        <f t="shared" si="396"/>
        <v>0</v>
      </c>
      <c r="N710" s="984">
        <f t="shared" si="396"/>
        <v>0</v>
      </c>
      <c r="O710" s="984">
        <f t="shared" si="396"/>
        <v>0</v>
      </c>
      <c r="P710" s="984">
        <f t="shared" si="396"/>
        <v>0</v>
      </c>
      <c r="Q710" s="984">
        <f t="shared" si="396"/>
        <v>0</v>
      </c>
      <c r="R710" s="984">
        <f t="shared" si="396"/>
        <v>0</v>
      </c>
      <c r="S710" s="984">
        <f t="shared" si="396"/>
        <v>0</v>
      </c>
      <c r="T710" s="984">
        <f t="shared" si="396"/>
        <v>0</v>
      </c>
      <c r="U710" s="989">
        <f>+SUM(I710:T710)</f>
        <v>0</v>
      </c>
      <c r="V710" s="232" t="str">
        <f t="shared" si="387"/>
        <v>contratada</v>
      </c>
      <c r="Y710" s="1271"/>
      <c r="Z710" s="372"/>
      <c r="AA710" s="372"/>
      <c r="AB710" s="372"/>
      <c r="AC710" s="372"/>
      <c r="AD710" s="372"/>
      <c r="AE710" s="372"/>
      <c r="AF710" s="372"/>
      <c r="AG710" s="372"/>
      <c r="AH710" s="372"/>
      <c r="AI710" s="372"/>
      <c r="AJ710" s="372"/>
      <c r="AK710" s="372"/>
      <c r="AL710" s="372"/>
      <c r="AM710" s="372"/>
      <c r="AN710" s="372"/>
      <c r="AO710" s="372"/>
      <c r="AP710" s="372"/>
      <c r="AQ710" s="372"/>
      <c r="AR710" s="767"/>
      <c r="AS710" s="254"/>
    </row>
    <row r="711" spans="2:45" ht="15.05" thickBot="1" x14ac:dyDescent="0.35">
      <c r="B711" s="5069"/>
      <c r="C711" s="985">
        <f>IF(B711=0,0,$U$709)</f>
        <v>0</v>
      </c>
      <c r="D711" s="985">
        <f>IF(B711=0,0,VLOOKUP(B711,Precios!$B$217:$D$307,3,FALSE))</f>
        <v>0</v>
      </c>
      <c r="E711" s="5049"/>
      <c r="F711" s="985">
        <f>IF(B711=0,0,VLOOKUP(B711,Precios!$B$216:$D$307,2,FALSE))</f>
        <v>0</v>
      </c>
      <c r="G711" s="995">
        <f>F711*E711</f>
        <v>0</v>
      </c>
      <c r="H711" s="309"/>
      <c r="I711" s="990">
        <f t="shared" si="396"/>
        <v>0</v>
      </c>
      <c r="J711" s="985">
        <f t="shared" si="396"/>
        <v>0</v>
      </c>
      <c r="K711" s="985">
        <f t="shared" si="396"/>
        <v>0</v>
      </c>
      <c r="L711" s="985">
        <f t="shared" si="396"/>
        <v>0</v>
      </c>
      <c r="M711" s="985">
        <f t="shared" si="396"/>
        <v>0</v>
      </c>
      <c r="N711" s="985">
        <f t="shared" si="396"/>
        <v>0</v>
      </c>
      <c r="O711" s="985">
        <f t="shared" si="396"/>
        <v>0</v>
      </c>
      <c r="P711" s="985">
        <f t="shared" si="396"/>
        <v>0</v>
      </c>
      <c r="Q711" s="985">
        <f t="shared" si="396"/>
        <v>0</v>
      </c>
      <c r="R711" s="985">
        <f t="shared" si="396"/>
        <v>0</v>
      </c>
      <c r="S711" s="985">
        <f t="shared" si="396"/>
        <v>0</v>
      </c>
      <c r="T711" s="985">
        <f t="shared" si="396"/>
        <v>0</v>
      </c>
      <c r="U711" s="991">
        <f>+SUM(I711:T711)</f>
        <v>0</v>
      </c>
      <c r="V711" s="232" t="str">
        <f t="shared" si="387"/>
        <v>contratada</v>
      </c>
      <c r="Y711" s="1271"/>
      <c r="Z711" s="372"/>
      <c r="AA711" s="372"/>
      <c r="AB711" s="372"/>
      <c r="AC711" s="372"/>
      <c r="AD711" s="372"/>
      <c r="AE711" s="372"/>
      <c r="AF711" s="372"/>
      <c r="AG711" s="372"/>
      <c r="AH711" s="372"/>
      <c r="AI711" s="372"/>
      <c r="AJ711" s="372"/>
      <c r="AK711" s="372"/>
      <c r="AL711" s="372"/>
      <c r="AM711" s="372"/>
      <c r="AN711" s="372"/>
      <c r="AO711" s="372"/>
      <c r="AP711" s="372"/>
      <c r="AQ711" s="372"/>
      <c r="AR711" s="767"/>
      <c r="AS711" s="254"/>
    </row>
    <row r="712" spans="2:45" ht="15.05" thickBot="1" x14ac:dyDescent="0.35">
      <c r="B712" s="5070"/>
      <c r="C712" s="987">
        <f>IF(B712=0,0,$U$709)</f>
        <v>0</v>
      </c>
      <c r="D712" s="987">
        <f>IF(B712=0,0,VLOOKUP(B712,Precios!$B$217:$D$307,3,FALSE))</f>
        <v>0</v>
      </c>
      <c r="E712" s="5071"/>
      <c r="F712" s="987">
        <f>IF(B712=0,0,VLOOKUP(B712,Precios!$B$216:$D$307,2,FALSE))</f>
        <v>0</v>
      </c>
      <c r="G712" s="996">
        <f>F712*E712</f>
        <v>0</v>
      </c>
      <c r="H712" s="309"/>
      <c r="I712" s="992">
        <f t="shared" si="396"/>
        <v>0</v>
      </c>
      <c r="J712" s="987">
        <f t="shared" si="396"/>
        <v>0</v>
      </c>
      <c r="K712" s="987">
        <f t="shared" si="396"/>
        <v>0</v>
      </c>
      <c r="L712" s="987">
        <f t="shared" si="396"/>
        <v>0</v>
      </c>
      <c r="M712" s="987">
        <f t="shared" si="396"/>
        <v>0</v>
      </c>
      <c r="N712" s="987">
        <f t="shared" si="396"/>
        <v>0</v>
      </c>
      <c r="O712" s="987">
        <f t="shared" si="396"/>
        <v>0</v>
      </c>
      <c r="P712" s="987">
        <f t="shared" si="396"/>
        <v>0</v>
      </c>
      <c r="Q712" s="987">
        <f t="shared" si="396"/>
        <v>0</v>
      </c>
      <c r="R712" s="987">
        <f t="shared" si="396"/>
        <v>0</v>
      </c>
      <c r="S712" s="987">
        <f t="shared" si="396"/>
        <v>0</v>
      </c>
      <c r="T712" s="987">
        <f t="shared" si="396"/>
        <v>0</v>
      </c>
      <c r="U712" s="993">
        <f>+SUM(I712:T712)</f>
        <v>0</v>
      </c>
      <c r="V712" s="232" t="str">
        <f t="shared" si="387"/>
        <v>contratada</v>
      </c>
      <c r="Y712" s="1271"/>
      <c r="Z712" s="372"/>
      <c r="AA712" s="372"/>
      <c r="AB712" s="372"/>
      <c r="AC712" s="372"/>
      <c r="AD712" s="372"/>
      <c r="AE712" s="372"/>
      <c r="AF712" s="372"/>
      <c r="AG712" s="372"/>
      <c r="AH712" s="372"/>
      <c r="AI712" s="372"/>
      <c r="AJ712" s="372"/>
      <c r="AK712" s="372"/>
      <c r="AL712" s="372"/>
      <c r="AM712" s="372"/>
      <c r="AN712" s="372"/>
      <c r="AO712" s="372"/>
      <c r="AP712" s="372"/>
      <c r="AQ712" s="372"/>
      <c r="AR712" s="767"/>
      <c r="AS712" s="254"/>
    </row>
    <row r="713" spans="2:45" ht="15.05" thickBot="1" x14ac:dyDescent="0.25">
      <c r="B713" s="944">
        <f>UsoSuelo!D343</f>
        <v>0</v>
      </c>
      <c r="C713" s="344"/>
      <c r="D713" s="345"/>
      <c r="E713" s="346"/>
      <c r="F713" s="346"/>
      <c r="G713" s="346"/>
      <c r="H713" s="345"/>
      <c r="I713" s="347"/>
      <c r="J713" s="348"/>
      <c r="K713" s="348"/>
      <c r="L713" s="348"/>
      <c r="M713" s="348"/>
      <c r="N713" s="348"/>
      <c r="O713" s="348"/>
      <c r="P713" s="348"/>
      <c r="Q713" s="348"/>
      <c r="R713" s="348"/>
      <c r="S713" s="348"/>
      <c r="T713" s="349"/>
      <c r="U713" s="350"/>
      <c r="Y713" s="1271"/>
      <c r="Z713" s="372"/>
      <c r="AA713" s="372"/>
      <c r="AB713" s="372"/>
      <c r="AC713" s="372"/>
      <c r="AD713" s="372"/>
      <c r="AE713" s="372"/>
      <c r="AF713" s="372"/>
      <c r="AG713" s="372"/>
      <c r="AH713" s="372"/>
      <c r="AI713" s="372"/>
      <c r="AJ713" s="372"/>
      <c r="AK713" s="372"/>
      <c r="AL713" s="372"/>
      <c r="AM713" s="372"/>
      <c r="AN713" s="372"/>
      <c r="AO713" s="372"/>
      <c r="AP713" s="372"/>
      <c r="AQ713" s="372"/>
      <c r="AR713" s="767"/>
      <c r="AS713" s="254"/>
    </row>
    <row r="714" spans="2:45" ht="15.05" thickBot="1" x14ac:dyDescent="0.25">
      <c r="B714" s="351" t="s">
        <v>1030</v>
      </c>
      <c r="C714" s="938" t="s">
        <v>1031</v>
      </c>
      <c r="D714" s="939"/>
      <c r="E714" s="939"/>
      <c r="F714" s="939"/>
      <c r="G714" s="939"/>
      <c r="H714" s="940"/>
      <c r="I714" s="941">
        <f>+UsoSuelo!F1410</f>
        <v>0</v>
      </c>
      <c r="J714" s="941">
        <f>+UsoSuelo!G1410</f>
        <v>0</v>
      </c>
      <c r="K714" s="941">
        <f>+UsoSuelo!H1410</f>
        <v>0</v>
      </c>
      <c r="L714" s="941">
        <f>+UsoSuelo!I1410</f>
        <v>0</v>
      </c>
      <c r="M714" s="941">
        <f>+UsoSuelo!J1410</f>
        <v>0</v>
      </c>
      <c r="N714" s="941">
        <f>+UsoSuelo!K1410</f>
        <v>0</v>
      </c>
      <c r="O714" s="941">
        <f>+UsoSuelo!L1410</f>
        <v>0</v>
      </c>
      <c r="P714" s="941">
        <f>+UsoSuelo!M1410</f>
        <v>0</v>
      </c>
      <c r="Q714" s="941">
        <f>+UsoSuelo!N1410</f>
        <v>0</v>
      </c>
      <c r="R714" s="941">
        <f>+UsoSuelo!O1410</f>
        <v>0</v>
      </c>
      <c r="S714" s="941">
        <f>+UsoSuelo!P1410</f>
        <v>0</v>
      </c>
      <c r="T714" s="945">
        <f>+UsoSuelo!Q1410</f>
        <v>0</v>
      </c>
      <c r="U714" s="934">
        <f>SUM(I714:T714)</f>
        <v>0</v>
      </c>
      <c r="Y714" s="1271"/>
      <c r="Z714" s="372"/>
      <c r="AA714" s="372"/>
      <c r="AB714" s="372"/>
      <c r="AC714" s="372"/>
      <c r="AD714" s="372"/>
      <c r="AE714" s="372"/>
      <c r="AF714" s="372"/>
      <c r="AG714" s="372"/>
      <c r="AH714" s="372"/>
      <c r="AI714" s="372"/>
      <c r="AJ714" s="372"/>
      <c r="AK714" s="372"/>
      <c r="AL714" s="372"/>
      <c r="AM714" s="372"/>
      <c r="AN714" s="372"/>
      <c r="AO714" s="372"/>
      <c r="AP714" s="372"/>
      <c r="AQ714" s="372"/>
      <c r="AR714" s="767"/>
      <c r="AS714" s="254"/>
    </row>
    <row r="715" spans="2:45" ht="15.05" thickBot="1" x14ac:dyDescent="0.35">
      <c r="B715" s="5067"/>
      <c r="C715" s="984">
        <f>IF(B715=0,0,$U$714)</f>
        <v>0</v>
      </c>
      <c r="D715" s="984">
        <f>IF(B715=0,0,VLOOKUP(B715,Precios!$B$217:$D$307,3,FALSE))</f>
        <v>0</v>
      </c>
      <c r="E715" s="5068"/>
      <c r="F715" s="984">
        <f>IF(B715=0,0,VLOOKUP(B715,Precios!$B$216:$D$307,2,FALSE))</f>
        <v>0</v>
      </c>
      <c r="G715" s="994">
        <f>F715*E715</f>
        <v>0</v>
      </c>
      <c r="H715" s="309"/>
      <c r="I715" s="988">
        <f t="shared" ref="I715:T717" si="397">I$714*$E715</f>
        <v>0</v>
      </c>
      <c r="J715" s="984">
        <f t="shared" si="397"/>
        <v>0</v>
      </c>
      <c r="K715" s="984">
        <f t="shared" si="397"/>
        <v>0</v>
      </c>
      <c r="L715" s="984">
        <f t="shared" si="397"/>
        <v>0</v>
      </c>
      <c r="M715" s="984">
        <f t="shared" si="397"/>
        <v>0</v>
      </c>
      <c r="N715" s="984">
        <f t="shared" si="397"/>
        <v>0</v>
      </c>
      <c r="O715" s="984">
        <f t="shared" si="397"/>
        <v>0</v>
      </c>
      <c r="P715" s="984">
        <f t="shared" si="397"/>
        <v>0</v>
      </c>
      <c r="Q715" s="984">
        <f t="shared" si="397"/>
        <v>0</v>
      </c>
      <c r="R715" s="984">
        <f t="shared" si="397"/>
        <v>0</v>
      </c>
      <c r="S715" s="984">
        <f t="shared" si="397"/>
        <v>0</v>
      </c>
      <c r="T715" s="984">
        <f t="shared" si="397"/>
        <v>0</v>
      </c>
      <c r="U715" s="989">
        <f>+SUM(I715:T715)</f>
        <v>0</v>
      </c>
      <c r="V715" s="232" t="str">
        <f t="shared" si="387"/>
        <v>contratada</v>
      </c>
      <c r="Y715" s="1271"/>
      <c r="Z715" s="372"/>
      <c r="AA715" s="372"/>
      <c r="AB715" s="372"/>
      <c r="AC715" s="372"/>
      <c r="AD715" s="372"/>
      <c r="AE715" s="372"/>
      <c r="AF715" s="372"/>
      <c r="AG715" s="372"/>
      <c r="AH715" s="372"/>
      <c r="AI715" s="372"/>
      <c r="AJ715" s="372"/>
      <c r="AK715" s="372"/>
      <c r="AL715" s="372"/>
      <c r="AM715" s="372"/>
      <c r="AN715" s="372"/>
      <c r="AO715" s="372"/>
      <c r="AP715" s="372"/>
      <c r="AQ715" s="372"/>
      <c r="AR715" s="767"/>
      <c r="AS715" s="254"/>
    </row>
    <row r="716" spans="2:45" ht="15.05" thickBot="1" x14ac:dyDescent="0.35">
      <c r="B716" s="5069"/>
      <c r="C716" s="985">
        <f>IF(B716=0,0,$U$714)</f>
        <v>0</v>
      </c>
      <c r="D716" s="985">
        <f>IF(B716=0,0,VLOOKUP(B716,Precios!$B$217:$D$307,3,FALSE))</f>
        <v>0</v>
      </c>
      <c r="E716" s="5049"/>
      <c r="F716" s="985">
        <f>IF(B716=0,0,VLOOKUP(B716,Precios!$B$216:$D$307,2,FALSE))</f>
        <v>0</v>
      </c>
      <c r="G716" s="995">
        <f>F716*E716</f>
        <v>0</v>
      </c>
      <c r="H716" s="309"/>
      <c r="I716" s="990">
        <f t="shared" si="397"/>
        <v>0</v>
      </c>
      <c r="J716" s="985">
        <f t="shared" si="397"/>
        <v>0</v>
      </c>
      <c r="K716" s="985">
        <f t="shared" si="397"/>
        <v>0</v>
      </c>
      <c r="L716" s="985">
        <f t="shared" si="397"/>
        <v>0</v>
      </c>
      <c r="M716" s="985">
        <f t="shared" si="397"/>
        <v>0</v>
      </c>
      <c r="N716" s="985">
        <f t="shared" si="397"/>
        <v>0</v>
      </c>
      <c r="O716" s="985">
        <f t="shared" si="397"/>
        <v>0</v>
      </c>
      <c r="P716" s="985">
        <f t="shared" si="397"/>
        <v>0</v>
      </c>
      <c r="Q716" s="985">
        <f t="shared" si="397"/>
        <v>0</v>
      </c>
      <c r="R716" s="985">
        <f t="shared" si="397"/>
        <v>0</v>
      </c>
      <c r="S716" s="985">
        <f t="shared" si="397"/>
        <v>0</v>
      </c>
      <c r="T716" s="985">
        <f t="shared" si="397"/>
        <v>0</v>
      </c>
      <c r="U716" s="991">
        <f>+SUM(I716:T716)</f>
        <v>0</v>
      </c>
      <c r="V716" s="232" t="str">
        <f t="shared" si="387"/>
        <v>contratada</v>
      </c>
      <c r="Y716" s="1271"/>
      <c r="Z716" s="372"/>
      <c r="AA716" s="372"/>
      <c r="AB716" s="372"/>
      <c r="AC716" s="372"/>
      <c r="AD716" s="372"/>
      <c r="AE716" s="372"/>
      <c r="AF716" s="372"/>
      <c r="AG716" s="372"/>
      <c r="AH716" s="372"/>
      <c r="AI716" s="372"/>
      <c r="AJ716" s="372"/>
      <c r="AK716" s="372"/>
      <c r="AL716" s="372"/>
      <c r="AM716" s="372"/>
      <c r="AN716" s="372"/>
      <c r="AO716" s="372"/>
      <c r="AP716" s="372"/>
      <c r="AQ716" s="372"/>
      <c r="AR716" s="767"/>
      <c r="AS716" s="254"/>
    </row>
    <row r="717" spans="2:45" ht="15.05" thickBot="1" x14ac:dyDescent="0.35">
      <c r="B717" s="5070"/>
      <c r="C717" s="987">
        <f>IF(B717=0,0,$U$714)</f>
        <v>0</v>
      </c>
      <c r="D717" s="987">
        <f>IF(B717=0,0,VLOOKUP(B717,Precios!$B$217:$D$307,3,FALSE))</f>
        <v>0</v>
      </c>
      <c r="E717" s="5071"/>
      <c r="F717" s="987">
        <f>IF(B717=0,0,VLOOKUP(B717,Precios!$B$216:$D$307,2,FALSE))</f>
        <v>0</v>
      </c>
      <c r="G717" s="996">
        <f>F717*E717</f>
        <v>0</v>
      </c>
      <c r="H717" s="309"/>
      <c r="I717" s="992">
        <f t="shared" si="397"/>
        <v>0</v>
      </c>
      <c r="J717" s="987">
        <f t="shared" si="397"/>
        <v>0</v>
      </c>
      <c r="K717" s="987">
        <f t="shared" si="397"/>
        <v>0</v>
      </c>
      <c r="L717" s="987">
        <f t="shared" si="397"/>
        <v>0</v>
      </c>
      <c r="M717" s="987">
        <f t="shared" si="397"/>
        <v>0</v>
      </c>
      <c r="N717" s="987">
        <f t="shared" si="397"/>
        <v>0</v>
      </c>
      <c r="O717" s="987">
        <f t="shared" si="397"/>
        <v>0</v>
      </c>
      <c r="P717" s="987">
        <f t="shared" si="397"/>
        <v>0</v>
      </c>
      <c r="Q717" s="987">
        <f t="shared" si="397"/>
        <v>0</v>
      </c>
      <c r="R717" s="987">
        <f t="shared" si="397"/>
        <v>0</v>
      </c>
      <c r="S717" s="987">
        <f t="shared" si="397"/>
        <v>0</v>
      </c>
      <c r="T717" s="987">
        <f t="shared" si="397"/>
        <v>0</v>
      </c>
      <c r="U717" s="993">
        <f>+SUM(I717:T717)</f>
        <v>0</v>
      </c>
      <c r="V717" s="232" t="str">
        <f t="shared" si="387"/>
        <v>contratada</v>
      </c>
      <c r="Y717" s="1271"/>
      <c r="Z717" s="372"/>
      <c r="AA717" s="372"/>
      <c r="AB717" s="372"/>
      <c r="AC717" s="372"/>
      <c r="AD717" s="372"/>
      <c r="AE717" s="372"/>
      <c r="AF717" s="372"/>
      <c r="AG717" s="372"/>
      <c r="AH717" s="372"/>
      <c r="AI717" s="372"/>
      <c r="AJ717" s="372"/>
      <c r="AK717" s="372"/>
      <c r="AL717" s="372"/>
      <c r="AM717" s="372"/>
      <c r="AN717" s="372"/>
      <c r="AO717" s="372"/>
      <c r="AP717" s="372"/>
      <c r="AQ717" s="372"/>
      <c r="AR717" s="767"/>
      <c r="AS717" s="254"/>
    </row>
    <row r="718" spans="2:45" ht="15.05" thickBot="1" x14ac:dyDescent="0.25">
      <c r="B718" s="944">
        <f>UsoSuelo!D344</f>
        <v>0</v>
      </c>
      <c r="C718" s="344"/>
      <c r="D718" s="345"/>
      <c r="E718" s="346"/>
      <c r="F718" s="346"/>
      <c r="G718" s="346"/>
      <c r="H718" s="345"/>
      <c r="I718" s="347"/>
      <c r="J718" s="348"/>
      <c r="K718" s="348"/>
      <c r="L718" s="348"/>
      <c r="M718" s="348"/>
      <c r="N718" s="348"/>
      <c r="O718" s="348"/>
      <c r="P718" s="348"/>
      <c r="Q718" s="348"/>
      <c r="R718" s="348"/>
      <c r="S718" s="348"/>
      <c r="T718" s="349"/>
      <c r="U718" s="350"/>
      <c r="Y718" s="1271"/>
      <c r="Z718" s="372"/>
      <c r="AA718" s="372"/>
      <c r="AB718" s="372"/>
      <c r="AC718" s="372"/>
      <c r="AD718" s="372"/>
      <c r="AE718" s="372"/>
      <c r="AF718" s="372"/>
      <c r="AG718" s="372"/>
      <c r="AH718" s="372"/>
      <c r="AI718" s="372"/>
      <c r="AJ718" s="372"/>
      <c r="AK718" s="372"/>
      <c r="AL718" s="372"/>
      <c r="AM718" s="372"/>
      <c r="AN718" s="372"/>
      <c r="AO718" s="372"/>
      <c r="AP718" s="372"/>
      <c r="AQ718" s="372"/>
      <c r="AR718" s="767"/>
      <c r="AS718" s="254"/>
    </row>
    <row r="719" spans="2:45" ht="15.05" thickBot="1" x14ac:dyDescent="0.25">
      <c r="B719" s="351" t="s">
        <v>1030</v>
      </c>
      <c r="C719" s="938" t="s">
        <v>1031</v>
      </c>
      <c r="D719" s="939"/>
      <c r="E719" s="939"/>
      <c r="F719" s="939"/>
      <c r="G719" s="939"/>
      <c r="H719" s="940"/>
      <c r="I719" s="941">
        <f>+UsoSuelo!F1411</f>
        <v>0</v>
      </c>
      <c r="J719" s="941">
        <f>+UsoSuelo!G1411</f>
        <v>0</v>
      </c>
      <c r="K719" s="941">
        <f>+UsoSuelo!H1411</f>
        <v>0</v>
      </c>
      <c r="L719" s="941">
        <f>+UsoSuelo!I1411</f>
        <v>0</v>
      </c>
      <c r="M719" s="941">
        <f>+UsoSuelo!J1411</f>
        <v>0</v>
      </c>
      <c r="N719" s="941">
        <f>+UsoSuelo!K1411</f>
        <v>0</v>
      </c>
      <c r="O719" s="941">
        <f>+UsoSuelo!L1411</f>
        <v>0</v>
      </c>
      <c r="P719" s="941">
        <f>+UsoSuelo!M1411</f>
        <v>0</v>
      </c>
      <c r="Q719" s="941">
        <f>+UsoSuelo!N1411</f>
        <v>0</v>
      </c>
      <c r="R719" s="941">
        <f>+UsoSuelo!O1411</f>
        <v>0</v>
      </c>
      <c r="S719" s="941">
        <f>+UsoSuelo!P1411</f>
        <v>0</v>
      </c>
      <c r="T719" s="945">
        <f>+UsoSuelo!Q1411</f>
        <v>0</v>
      </c>
      <c r="U719" s="934">
        <f>SUM(I719:T719)</f>
        <v>0</v>
      </c>
      <c r="Y719" s="1271"/>
      <c r="Z719" s="372"/>
      <c r="AA719" s="372"/>
      <c r="AB719" s="372"/>
      <c r="AC719" s="372"/>
      <c r="AD719" s="372"/>
      <c r="AE719" s="372"/>
      <c r="AF719" s="372"/>
      <c r="AG719" s="372"/>
      <c r="AH719" s="372"/>
      <c r="AI719" s="372"/>
      <c r="AJ719" s="372"/>
      <c r="AK719" s="372"/>
      <c r="AL719" s="372"/>
      <c r="AM719" s="372"/>
      <c r="AN719" s="372"/>
      <c r="AO719" s="372"/>
      <c r="AP719" s="372"/>
      <c r="AQ719" s="372"/>
      <c r="AR719" s="767"/>
      <c r="AS719" s="254"/>
    </row>
    <row r="720" spans="2:45" ht="15.05" thickBot="1" x14ac:dyDescent="0.35">
      <c r="B720" s="5067"/>
      <c r="C720" s="984">
        <f>IF(B720=0,0,$U$719)</f>
        <v>0</v>
      </c>
      <c r="D720" s="984">
        <f>IF(B720=0,0,VLOOKUP(B720,Precios!$B$217:$D$307,3,FALSE))</f>
        <v>0</v>
      </c>
      <c r="E720" s="5068"/>
      <c r="F720" s="984">
        <f>IF(B720=0,0,VLOOKUP(B720,Precios!$B$216:$D$307,2,FALSE))</f>
        <v>0</v>
      </c>
      <c r="G720" s="994">
        <f>F720*E720</f>
        <v>0</v>
      </c>
      <c r="H720" s="309"/>
      <c r="I720" s="988">
        <f t="shared" ref="I720:T722" si="398">I$719*$E720</f>
        <v>0</v>
      </c>
      <c r="J720" s="984">
        <f t="shared" si="398"/>
        <v>0</v>
      </c>
      <c r="K720" s="984">
        <f t="shared" si="398"/>
        <v>0</v>
      </c>
      <c r="L720" s="984">
        <f t="shared" si="398"/>
        <v>0</v>
      </c>
      <c r="M720" s="984">
        <f t="shared" si="398"/>
        <v>0</v>
      </c>
      <c r="N720" s="984">
        <f t="shared" si="398"/>
        <v>0</v>
      </c>
      <c r="O720" s="984">
        <f t="shared" si="398"/>
        <v>0</v>
      </c>
      <c r="P720" s="984">
        <f t="shared" si="398"/>
        <v>0</v>
      </c>
      <c r="Q720" s="984">
        <f t="shared" si="398"/>
        <v>0</v>
      </c>
      <c r="R720" s="984">
        <f t="shared" si="398"/>
        <v>0</v>
      </c>
      <c r="S720" s="984">
        <f t="shared" si="398"/>
        <v>0</v>
      </c>
      <c r="T720" s="984">
        <f t="shared" si="398"/>
        <v>0</v>
      </c>
      <c r="U720" s="989">
        <f>+SUM(I720:T720)</f>
        <v>0</v>
      </c>
      <c r="V720" s="232" t="str">
        <f t="shared" si="387"/>
        <v>contratada</v>
      </c>
      <c r="Y720" s="1271"/>
      <c r="Z720" s="372"/>
      <c r="AA720" s="372"/>
      <c r="AB720" s="372"/>
      <c r="AC720" s="372"/>
      <c r="AD720" s="372"/>
      <c r="AE720" s="372"/>
      <c r="AF720" s="372"/>
      <c r="AG720" s="372"/>
      <c r="AH720" s="372"/>
      <c r="AI720" s="372"/>
      <c r="AJ720" s="372"/>
      <c r="AK720" s="372"/>
      <c r="AL720" s="372"/>
      <c r="AM720" s="372"/>
      <c r="AN720" s="372"/>
      <c r="AO720" s="372"/>
      <c r="AP720" s="372"/>
      <c r="AQ720" s="372"/>
      <c r="AR720" s="767"/>
      <c r="AS720" s="254"/>
    </row>
    <row r="721" spans="1:45" ht="15.05" thickBot="1" x14ac:dyDescent="0.35">
      <c r="B721" s="5069"/>
      <c r="C721" s="985">
        <f>IF(B721=0,0,$U$719)</f>
        <v>0</v>
      </c>
      <c r="D721" s="985">
        <f>IF(B721=0,0,VLOOKUP(B721,Precios!$B$217:$D$307,3,FALSE))</f>
        <v>0</v>
      </c>
      <c r="E721" s="5049"/>
      <c r="F721" s="985">
        <f>IF(B721=0,0,VLOOKUP(B721,Precios!$B$216:$D$307,2,FALSE))</f>
        <v>0</v>
      </c>
      <c r="G721" s="995">
        <f>F721*E721</f>
        <v>0</v>
      </c>
      <c r="H721" s="309"/>
      <c r="I721" s="990">
        <f t="shared" si="398"/>
        <v>0</v>
      </c>
      <c r="J721" s="985">
        <f t="shared" si="398"/>
        <v>0</v>
      </c>
      <c r="K721" s="985">
        <f t="shared" si="398"/>
        <v>0</v>
      </c>
      <c r="L721" s="985">
        <f t="shared" si="398"/>
        <v>0</v>
      </c>
      <c r="M721" s="985">
        <f t="shared" si="398"/>
        <v>0</v>
      </c>
      <c r="N721" s="985">
        <f t="shared" si="398"/>
        <v>0</v>
      </c>
      <c r="O721" s="985">
        <f t="shared" si="398"/>
        <v>0</v>
      </c>
      <c r="P721" s="985">
        <f t="shared" si="398"/>
        <v>0</v>
      </c>
      <c r="Q721" s="985">
        <f t="shared" si="398"/>
        <v>0</v>
      </c>
      <c r="R721" s="985">
        <f t="shared" si="398"/>
        <v>0</v>
      </c>
      <c r="S721" s="985">
        <f t="shared" si="398"/>
        <v>0</v>
      </c>
      <c r="T721" s="985">
        <f t="shared" si="398"/>
        <v>0</v>
      </c>
      <c r="U721" s="991">
        <f>+SUM(I721:T721)</f>
        <v>0</v>
      </c>
      <c r="V721" s="232" t="str">
        <f t="shared" si="387"/>
        <v>contratada</v>
      </c>
      <c r="Y721" s="1271"/>
      <c r="Z721" s="372"/>
      <c r="AA721" s="372"/>
      <c r="AB721" s="372"/>
      <c r="AC721" s="372"/>
      <c r="AD721" s="372"/>
      <c r="AE721" s="372"/>
      <c r="AF721" s="372"/>
      <c r="AG721" s="372"/>
      <c r="AH721" s="372"/>
      <c r="AI721" s="372"/>
      <c r="AJ721" s="372"/>
      <c r="AK721" s="372"/>
      <c r="AL721" s="372"/>
      <c r="AM721" s="372"/>
      <c r="AN721" s="372"/>
      <c r="AO721" s="372"/>
      <c r="AP721" s="372"/>
      <c r="AQ721" s="372"/>
      <c r="AR721" s="767"/>
      <c r="AS721" s="254"/>
    </row>
    <row r="722" spans="1:45" ht="15.05" thickBot="1" x14ac:dyDescent="0.35">
      <c r="B722" s="5070"/>
      <c r="C722" s="987">
        <f>IF(B722=0,0,$U$719)</f>
        <v>0</v>
      </c>
      <c r="D722" s="987">
        <f>IF(B722=0,0,VLOOKUP(B722,Precios!$B$217:$D$307,3,FALSE))</f>
        <v>0</v>
      </c>
      <c r="E722" s="5071"/>
      <c r="F722" s="987">
        <f>IF(B722=0,0,VLOOKUP(B722,Precios!$B$216:$D$307,2,FALSE))</f>
        <v>0</v>
      </c>
      <c r="G722" s="996">
        <f>F722*E722</f>
        <v>0</v>
      </c>
      <c r="H722" s="309"/>
      <c r="I722" s="992">
        <f t="shared" si="398"/>
        <v>0</v>
      </c>
      <c r="J722" s="987">
        <f t="shared" si="398"/>
        <v>0</v>
      </c>
      <c r="K722" s="987">
        <f t="shared" si="398"/>
        <v>0</v>
      </c>
      <c r="L722" s="987">
        <f t="shared" si="398"/>
        <v>0</v>
      </c>
      <c r="M722" s="987">
        <f t="shared" si="398"/>
        <v>0</v>
      </c>
      <c r="N722" s="987">
        <f t="shared" si="398"/>
        <v>0</v>
      </c>
      <c r="O722" s="987">
        <f t="shared" si="398"/>
        <v>0</v>
      </c>
      <c r="P722" s="987">
        <f t="shared" si="398"/>
        <v>0</v>
      </c>
      <c r="Q722" s="987">
        <f t="shared" si="398"/>
        <v>0</v>
      </c>
      <c r="R722" s="987">
        <f t="shared" si="398"/>
        <v>0</v>
      </c>
      <c r="S722" s="987">
        <f t="shared" si="398"/>
        <v>0</v>
      </c>
      <c r="T722" s="987">
        <f t="shared" si="398"/>
        <v>0</v>
      </c>
      <c r="U722" s="993">
        <f>+SUM(I722:T722)</f>
        <v>0</v>
      </c>
      <c r="V722" s="232" t="str">
        <f t="shared" si="387"/>
        <v>contratada</v>
      </c>
      <c r="Y722" s="1271"/>
      <c r="Z722" s="372"/>
      <c r="AA722" s="372"/>
      <c r="AB722" s="372"/>
      <c r="AC722" s="372"/>
      <c r="AD722" s="372"/>
      <c r="AE722" s="372"/>
      <c r="AF722" s="372"/>
      <c r="AG722" s="372"/>
      <c r="AH722" s="372"/>
      <c r="AI722" s="372"/>
      <c r="AJ722" s="372"/>
      <c r="AK722" s="372"/>
      <c r="AL722" s="372"/>
      <c r="AM722" s="372"/>
      <c r="AN722" s="372"/>
      <c r="AO722" s="372"/>
      <c r="AP722" s="372"/>
      <c r="AQ722" s="372"/>
      <c r="AR722" s="767"/>
      <c r="AS722" s="254"/>
    </row>
    <row r="723" spans="1:45" s="254" customFormat="1" ht="7.85" customHeight="1" thickBot="1" x14ac:dyDescent="0.35">
      <c r="B723" s="1562"/>
      <c r="C723" s="425"/>
      <c r="D723" s="425"/>
      <c r="E723" s="425"/>
      <c r="F723" s="425"/>
      <c r="G723" s="425"/>
      <c r="H723" s="425"/>
      <c r="I723" s="425"/>
      <c r="J723" s="425"/>
      <c r="K723" s="425"/>
      <c r="L723" s="425"/>
      <c r="M723" s="425"/>
      <c r="N723" s="425"/>
      <c r="O723" s="425"/>
      <c r="P723" s="425"/>
      <c r="Q723" s="425"/>
      <c r="R723" s="425"/>
      <c r="S723" s="425"/>
      <c r="T723" s="425"/>
      <c r="U723" s="436"/>
      <c r="Y723" s="1271"/>
      <c r="Z723" s="372"/>
      <c r="AA723" s="372"/>
      <c r="AB723" s="372"/>
      <c r="AC723" s="372"/>
      <c r="AD723" s="372"/>
      <c r="AE723" s="372"/>
      <c r="AF723" s="372"/>
      <c r="AG723" s="372"/>
      <c r="AH723" s="372"/>
      <c r="AI723" s="372"/>
      <c r="AJ723" s="372"/>
      <c r="AK723" s="372"/>
      <c r="AL723" s="372"/>
      <c r="AM723" s="372"/>
      <c r="AN723" s="372"/>
      <c r="AO723" s="372"/>
      <c r="AP723" s="372"/>
      <c r="AQ723" s="372"/>
      <c r="AR723" s="767"/>
    </row>
    <row r="724" spans="1:45" ht="15.05" thickBot="1" x14ac:dyDescent="0.25">
      <c r="A724" s="1344">
        <f>+A697</f>
        <v>67</v>
      </c>
      <c r="B724" s="1015" t="s">
        <v>327</v>
      </c>
      <c r="C724" s="1016"/>
      <c r="D724" s="1017"/>
      <c r="E724" s="1017"/>
      <c r="F724" s="1017"/>
      <c r="G724" s="1017"/>
      <c r="H724" s="1018"/>
      <c r="I724" s="1019"/>
      <c r="J724" s="1019"/>
      <c r="K724" s="1019"/>
      <c r="L724" s="1019"/>
      <c r="M724" s="1019"/>
      <c r="N724" s="1019"/>
      <c r="O724" s="1019"/>
      <c r="P724" s="1019"/>
      <c r="Q724" s="1019"/>
      <c r="R724" s="1019"/>
      <c r="S724" s="1019"/>
      <c r="T724" s="1019"/>
      <c r="U724" s="1020"/>
      <c r="Y724" s="1271"/>
      <c r="Z724" s="372"/>
      <c r="AA724" s="372"/>
      <c r="AB724" s="372"/>
      <c r="AC724" s="372"/>
      <c r="AD724" s="372"/>
      <c r="AE724" s="372"/>
      <c r="AF724" s="372"/>
      <c r="AG724" s="372"/>
      <c r="AH724" s="372"/>
      <c r="AI724" s="372"/>
      <c r="AJ724" s="372"/>
      <c r="AK724" s="372"/>
      <c r="AL724" s="372"/>
      <c r="AM724" s="372"/>
      <c r="AN724" s="372"/>
      <c r="AO724" s="372"/>
      <c r="AP724" s="372"/>
      <c r="AQ724" s="372"/>
      <c r="AR724" s="767"/>
      <c r="AS724" s="254"/>
    </row>
    <row r="725" spans="1:45" ht="15.05" thickBot="1" x14ac:dyDescent="0.25">
      <c r="A725" s="1563" t="s">
        <v>1759</v>
      </c>
      <c r="B725" s="944" t="str">
        <f>UsoSuelo!D347</f>
        <v>Soja</v>
      </c>
      <c r="C725" s="344"/>
      <c r="D725" s="345"/>
      <c r="E725" s="346"/>
      <c r="F725" s="346"/>
      <c r="G725" s="346"/>
      <c r="H725" s="345"/>
      <c r="I725" s="347"/>
      <c r="J725" s="348"/>
      <c r="K725" s="348"/>
      <c r="L725" s="348"/>
      <c r="M725" s="348"/>
      <c r="N725" s="348"/>
      <c r="O725" s="348"/>
      <c r="P725" s="348"/>
      <c r="Q725" s="348"/>
      <c r="R725" s="348"/>
      <c r="S725" s="348"/>
      <c r="T725" s="349"/>
      <c r="U725" s="350"/>
      <c r="Y725" s="1271"/>
      <c r="Z725" s="372"/>
      <c r="AA725" s="372"/>
      <c r="AB725" s="372"/>
      <c r="AC725" s="372"/>
      <c r="AD725" s="372"/>
      <c r="AE725" s="372"/>
      <c r="AF725" s="372"/>
      <c r="AG725" s="372"/>
      <c r="AH725" s="372"/>
      <c r="AI725" s="372"/>
      <c r="AJ725" s="372"/>
      <c r="AK725" s="372"/>
      <c r="AL725" s="372"/>
      <c r="AM725" s="372"/>
      <c r="AN725" s="372"/>
      <c r="AO725" s="372"/>
      <c r="AP725" s="372"/>
      <c r="AQ725" s="372"/>
      <c r="AR725" s="767"/>
      <c r="AS725" s="254"/>
    </row>
    <row r="726" spans="1:45" ht="15.05" thickBot="1" x14ac:dyDescent="0.25">
      <c r="A726" s="1565"/>
      <c r="B726" s="351" t="s">
        <v>1030</v>
      </c>
      <c r="C726" s="938" t="s">
        <v>1031</v>
      </c>
      <c r="D726" s="939"/>
      <c r="E726" s="939"/>
      <c r="F726" s="939"/>
      <c r="G726" s="939"/>
      <c r="H726" s="940"/>
      <c r="I726" s="941">
        <f>+UsoSuelo!F1416</f>
        <v>0</v>
      </c>
      <c r="J726" s="941">
        <f>+UsoSuelo!G1416</f>
        <v>0</v>
      </c>
      <c r="K726" s="941">
        <f>+UsoSuelo!H1416</f>
        <v>0</v>
      </c>
      <c r="L726" s="941">
        <f>+UsoSuelo!I1416</f>
        <v>0</v>
      </c>
      <c r="M726" s="941">
        <f>+UsoSuelo!J1416</f>
        <v>0</v>
      </c>
      <c r="N726" s="941">
        <f>+UsoSuelo!K1416</f>
        <v>0</v>
      </c>
      <c r="O726" s="941">
        <f>+UsoSuelo!L1416</f>
        <v>0</v>
      </c>
      <c r="P726" s="941">
        <f>+UsoSuelo!M1416</f>
        <v>0</v>
      </c>
      <c r="Q726" s="941">
        <f>+UsoSuelo!N1416</f>
        <v>0</v>
      </c>
      <c r="R726" s="941">
        <f>+UsoSuelo!O1416</f>
        <v>0</v>
      </c>
      <c r="S726" s="941">
        <f>+UsoSuelo!P1416</f>
        <v>0</v>
      </c>
      <c r="T726" s="945">
        <f>+UsoSuelo!Q1416</f>
        <v>0</v>
      </c>
      <c r="U726" s="934">
        <f>SUM(I726:T726)</f>
        <v>0</v>
      </c>
      <c r="Y726" s="1271"/>
      <c r="Z726" s="372"/>
      <c r="AA726" s="372"/>
      <c r="AB726" s="372"/>
      <c r="AC726" s="372"/>
      <c r="AD726" s="372"/>
      <c r="AE726" s="372"/>
      <c r="AF726" s="372"/>
      <c r="AG726" s="372"/>
      <c r="AH726" s="372"/>
      <c r="AI726" s="372"/>
      <c r="AJ726" s="372"/>
      <c r="AK726" s="372"/>
      <c r="AL726" s="372"/>
      <c r="AM726" s="372"/>
      <c r="AN726" s="372"/>
      <c r="AO726" s="372"/>
      <c r="AP726" s="372"/>
      <c r="AQ726" s="372"/>
      <c r="AR726" s="767"/>
      <c r="AS726" s="254"/>
    </row>
    <row r="727" spans="1:45" ht="15.05" thickBot="1" x14ac:dyDescent="0.35">
      <c r="A727" s="222"/>
      <c r="B727" s="5074"/>
      <c r="C727" s="984">
        <f>IF(B727=0,0,$U$726)</f>
        <v>0</v>
      </c>
      <c r="D727" s="984">
        <f>IF(B727=0,0,VLOOKUP(B727,Precios!$B$217:$D$307,3,FALSE))</f>
        <v>0</v>
      </c>
      <c r="E727" s="5068"/>
      <c r="F727" s="984">
        <f>IF(B727=0,0,VLOOKUP(B727,Precios!$B$216:$D$307,2,FALSE))</f>
        <v>0</v>
      </c>
      <c r="G727" s="994">
        <f>F727*E727</f>
        <v>0</v>
      </c>
      <c r="H727" s="309"/>
      <c r="I727" s="988">
        <f t="shared" ref="I727:T728" si="399">I$726*$E727</f>
        <v>0</v>
      </c>
      <c r="J727" s="984">
        <f t="shared" si="399"/>
        <v>0</v>
      </c>
      <c r="K727" s="984">
        <f t="shared" si="399"/>
        <v>0</v>
      </c>
      <c r="L727" s="984">
        <f t="shared" si="399"/>
        <v>0</v>
      </c>
      <c r="M727" s="984">
        <f t="shared" si="399"/>
        <v>0</v>
      </c>
      <c r="N727" s="984">
        <f t="shared" si="399"/>
        <v>0</v>
      </c>
      <c r="O727" s="984">
        <f t="shared" si="399"/>
        <v>0</v>
      </c>
      <c r="P727" s="984">
        <f t="shared" si="399"/>
        <v>0</v>
      </c>
      <c r="Q727" s="984">
        <f t="shared" si="399"/>
        <v>0</v>
      </c>
      <c r="R727" s="984">
        <f>R$726*$E727</f>
        <v>0</v>
      </c>
      <c r="S727" s="984">
        <f t="shared" si="399"/>
        <v>0</v>
      </c>
      <c r="T727" s="984">
        <f t="shared" si="399"/>
        <v>0</v>
      </c>
      <c r="U727" s="1566">
        <f>+SUM(I727:T727)</f>
        <v>0</v>
      </c>
      <c r="V727" s="232" t="str">
        <f t="shared" si="387"/>
        <v>contratada</v>
      </c>
      <c r="Y727" s="1271"/>
      <c r="Z727" s="372"/>
      <c r="AA727" s="372"/>
      <c r="AB727" s="372"/>
      <c r="AC727" s="372"/>
      <c r="AD727" s="372"/>
      <c r="AE727" s="372"/>
      <c r="AF727" s="372"/>
      <c r="AG727" s="372"/>
      <c r="AH727" s="372"/>
      <c r="AI727" s="372"/>
      <c r="AJ727" s="372"/>
      <c r="AK727" s="372"/>
      <c r="AL727" s="372"/>
      <c r="AM727" s="372"/>
      <c r="AN727" s="372"/>
      <c r="AO727" s="372"/>
      <c r="AP727" s="372"/>
      <c r="AQ727" s="372"/>
      <c r="AR727" s="767"/>
      <c r="AS727" s="254"/>
    </row>
    <row r="728" spans="1:45" ht="15.05" thickBot="1" x14ac:dyDescent="0.35">
      <c r="A728" s="222"/>
      <c r="B728" s="5075"/>
      <c r="C728" s="987">
        <f>IF(B728=0,0,$U$726)</f>
        <v>0</v>
      </c>
      <c r="D728" s="987">
        <f>IF(B728=0,0,VLOOKUP(B728,Precios!$B$217:$D$307,3,FALSE))</f>
        <v>0</v>
      </c>
      <c r="E728" s="5071"/>
      <c r="F728" s="987">
        <f>IF(B728=0,0,VLOOKUP(B728,Precios!$B$216:$D$307,2,FALSE))</f>
        <v>0</v>
      </c>
      <c r="G728" s="996">
        <f>F728*E728</f>
        <v>0</v>
      </c>
      <c r="H728" s="997"/>
      <c r="I728" s="992">
        <f t="shared" si="399"/>
        <v>0</v>
      </c>
      <c r="J728" s="987">
        <f t="shared" si="399"/>
        <v>0</v>
      </c>
      <c r="K728" s="987">
        <f t="shared" si="399"/>
        <v>0</v>
      </c>
      <c r="L728" s="987">
        <f t="shared" si="399"/>
        <v>0</v>
      </c>
      <c r="M728" s="987">
        <f t="shared" si="399"/>
        <v>0</v>
      </c>
      <c r="N728" s="987">
        <f t="shared" si="399"/>
        <v>0</v>
      </c>
      <c r="O728" s="987">
        <f t="shared" si="399"/>
        <v>0</v>
      </c>
      <c r="P728" s="987">
        <f t="shared" si="399"/>
        <v>0</v>
      </c>
      <c r="Q728" s="987">
        <f t="shared" si="399"/>
        <v>0</v>
      </c>
      <c r="R728" s="987">
        <f t="shared" si="399"/>
        <v>0</v>
      </c>
      <c r="S728" s="987">
        <f t="shared" si="399"/>
        <v>0</v>
      </c>
      <c r="T728" s="987">
        <f t="shared" si="399"/>
        <v>0</v>
      </c>
      <c r="U728" s="1567">
        <f>+SUM(I728:T728)</f>
        <v>0</v>
      </c>
      <c r="V728" s="232" t="str">
        <f t="shared" si="387"/>
        <v>contratada</v>
      </c>
      <c r="Y728" s="1271"/>
      <c r="Z728" s="372"/>
      <c r="AA728" s="372"/>
      <c r="AB728" s="372"/>
      <c r="AC728" s="372"/>
      <c r="AD728" s="372"/>
      <c r="AE728" s="372"/>
      <c r="AF728" s="372"/>
      <c r="AG728" s="372"/>
      <c r="AH728" s="372"/>
      <c r="AI728" s="372"/>
      <c r="AJ728" s="372"/>
      <c r="AK728" s="372"/>
      <c r="AL728" s="372"/>
      <c r="AM728" s="372"/>
      <c r="AN728" s="372"/>
      <c r="AO728" s="372"/>
      <c r="AP728" s="372"/>
      <c r="AQ728" s="372"/>
      <c r="AR728" s="767"/>
      <c r="AS728" s="254"/>
    </row>
    <row r="729" spans="1:45" ht="15.05" thickBot="1" x14ac:dyDescent="0.25">
      <c r="A729" s="222"/>
      <c r="B729" s="944" t="str">
        <f>UsoSuelo!D348</f>
        <v>Soja 2ª</v>
      </c>
      <c r="C729" s="344"/>
      <c r="D729" s="345"/>
      <c r="E729" s="346"/>
      <c r="F729" s="346"/>
      <c r="G729" s="346"/>
      <c r="H729" s="345"/>
      <c r="I729" s="347"/>
      <c r="J729" s="348"/>
      <c r="K729" s="348"/>
      <c r="L729" s="348"/>
      <c r="M729" s="348"/>
      <c r="N729" s="348"/>
      <c r="O729" s="348"/>
      <c r="P729" s="348"/>
      <c r="Q729" s="348"/>
      <c r="R729" s="348"/>
      <c r="S729" s="348"/>
      <c r="T729" s="349"/>
      <c r="U729" s="350"/>
      <c r="Y729" s="1271"/>
      <c r="Z729" s="372"/>
      <c r="AA729" s="372"/>
      <c r="AB729" s="372"/>
      <c r="AC729" s="372"/>
      <c r="AD729" s="372"/>
      <c r="AE729" s="372"/>
      <c r="AF729" s="372"/>
      <c r="AG729" s="372"/>
      <c r="AH729" s="372"/>
      <c r="AI729" s="372"/>
      <c r="AJ729" s="372"/>
      <c r="AK729" s="372"/>
      <c r="AL729" s="372"/>
      <c r="AM729" s="372"/>
      <c r="AN729" s="372"/>
      <c r="AO729" s="372"/>
      <c r="AP729" s="372"/>
      <c r="AQ729" s="372"/>
      <c r="AR729" s="767"/>
      <c r="AS729" s="254"/>
    </row>
    <row r="730" spans="1:45" ht="15.05" thickBot="1" x14ac:dyDescent="0.25">
      <c r="A730" s="222"/>
      <c r="B730" s="351" t="s">
        <v>1030</v>
      </c>
      <c r="C730" s="938" t="s">
        <v>1031</v>
      </c>
      <c r="D730" s="939"/>
      <c r="E730" s="939"/>
      <c r="F730" s="939"/>
      <c r="G730" s="939"/>
      <c r="H730" s="940"/>
      <c r="I730" s="941">
        <f>+UsoSuelo!F1417</f>
        <v>0</v>
      </c>
      <c r="J730" s="941">
        <f>+UsoSuelo!G1417</f>
        <v>0</v>
      </c>
      <c r="K730" s="941">
        <f>+UsoSuelo!H1417</f>
        <v>0</v>
      </c>
      <c r="L730" s="941">
        <f>+UsoSuelo!I1417</f>
        <v>0</v>
      </c>
      <c r="M730" s="941">
        <f>+UsoSuelo!J1417</f>
        <v>0</v>
      </c>
      <c r="N730" s="941">
        <f>+UsoSuelo!K1417</f>
        <v>0</v>
      </c>
      <c r="O730" s="941">
        <f>+UsoSuelo!L1417</f>
        <v>0</v>
      </c>
      <c r="P730" s="941">
        <f>+UsoSuelo!M1417</f>
        <v>0</v>
      </c>
      <c r="Q730" s="941">
        <f>+UsoSuelo!N1417</f>
        <v>0</v>
      </c>
      <c r="R730" s="941">
        <f>+UsoSuelo!O1417</f>
        <v>0</v>
      </c>
      <c r="S730" s="941">
        <f>+UsoSuelo!P1417</f>
        <v>0</v>
      </c>
      <c r="T730" s="945">
        <f>+UsoSuelo!Q1417</f>
        <v>0</v>
      </c>
      <c r="U730" s="934">
        <f>SUM(I730:T730)</f>
        <v>0</v>
      </c>
      <c r="Y730" s="1271"/>
      <c r="Z730" s="372"/>
      <c r="AA730" s="372"/>
      <c r="AB730" s="372"/>
      <c r="AC730" s="372"/>
      <c r="AD730" s="372"/>
      <c r="AE730" s="372"/>
      <c r="AF730" s="372"/>
      <c r="AG730" s="372"/>
      <c r="AH730" s="372"/>
      <c r="AI730" s="372"/>
      <c r="AJ730" s="372"/>
      <c r="AK730" s="372"/>
      <c r="AL730" s="372"/>
      <c r="AM730" s="372"/>
      <c r="AN730" s="372"/>
      <c r="AO730" s="372"/>
      <c r="AP730" s="372"/>
      <c r="AQ730" s="372"/>
      <c r="AR730" s="767"/>
      <c r="AS730" s="254"/>
    </row>
    <row r="731" spans="1:45" ht="15.05" thickBot="1" x14ac:dyDescent="0.35">
      <c r="A731" s="222"/>
      <c r="B731" s="5074"/>
      <c r="C731" s="984">
        <f>IF(B731=0,0,$U$730)</f>
        <v>0</v>
      </c>
      <c r="D731" s="984">
        <f>IF(B731=0,0,VLOOKUP(B731,Precios!$B$217:$D$307,3,FALSE))</f>
        <v>0</v>
      </c>
      <c r="E731" s="5068"/>
      <c r="F731" s="984">
        <f>IF(B731=0,0,VLOOKUP(B731,Precios!$B$216:$D$307,2,FALSE))</f>
        <v>0</v>
      </c>
      <c r="G731" s="994">
        <f>F731*E731</f>
        <v>0</v>
      </c>
      <c r="H731" s="309"/>
      <c r="I731" s="988">
        <f>I$730*$E731</f>
        <v>0</v>
      </c>
      <c r="J731" s="984">
        <f t="shared" ref="J731:T732" si="400">J$730*$E731</f>
        <v>0</v>
      </c>
      <c r="K731" s="984">
        <f t="shared" si="400"/>
        <v>0</v>
      </c>
      <c r="L731" s="984">
        <f t="shared" si="400"/>
        <v>0</v>
      </c>
      <c r="M731" s="984">
        <f t="shared" si="400"/>
        <v>0</v>
      </c>
      <c r="N731" s="984">
        <f t="shared" si="400"/>
        <v>0</v>
      </c>
      <c r="O731" s="984">
        <f t="shared" si="400"/>
        <v>0</v>
      </c>
      <c r="P731" s="984">
        <f t="shared" si="400"/>
        <v>0</v>
      </c>
      <c r="Q731" s="984">
        <f t="shared" si="400"/>
        <v>0</v>
      </c>
      <c r="R731" s="984">
        <f t="shared" si="400"/>
        <v>0</v>
      </c>
      <c r="S731" s="984">
        <f t="shared" si="400"/>
        <v>0</v>
      </c>
      <c r="T731" s="984">
        <f t="shared" si="400"/>
        <v>0</v>
      </c>
      <c r="U731" s="1566">
        <f>+SUM(I731:T731)</f>
        <v>0</v>
      </c>
      <c r="V731" s="232" t="str">
        <f t="shared" si="387"/>
        <v>contratada</v>
      </c>
      <c r="Y731" s="1271"/>
      <c r="Z731" s="372"/>
      <c r="AA731" s="372"/>
      <c r="AB731" s="372"/>
      <c r="AC731" s="372"/>
      <c r="AD731" s="372"/>
      <c r="AE731" s="372"/>
      <c r="AF731" s="372"/>
      <c r="AG731" s="372"/>
      <c r="AH731" s="372"/>
      <c r="AI731" s="372"/>
      <c r="AJ731" s="372"/>
      <c r="AK731" s="372"/>
      <c r="AL731" s="372"/>
      <c r="AM731" s="372"/>
      <c r="AN731" s="372"/>
      <c r="AO731" s="372"/>
      <c r="AP731" s="372"/>
      <c r="AQ731" s="372"/>
      <c r="AR731" s="767"/>
      <c r="AS731" s="254"/>
    </row>
    <row r="732" spans="1:45" ht="15.05" thickBot="1" x14ac:dyDescent="0.35">
      <c r="A732" s="222"/>
      <c r="B732" s="5075"/>
      <c r="C732" s="987">
        <f>IF(B732=0,0,$U$730)</f>
        <v>0</v>
      </c>
      <c r="D732" s="987">
        <f>IF(B732=0,0,VLOOKUP(B732,Precios!$B$217:$D$307,3,FALSE))</f>
        <v>0</v>
      </c>
      <c r="E732" s="5071"/>
      <c r="F732" s="987">
        <f>IF(B732=0,0,VLOOKUP(B732,Precios!$B$216:$D$307,2,FALSE))</f>
        <v>0</v>
      </c>
      <c r="G732" s="996">
        <f>F732*E732</f>
        <v>0</v>
      </c>
      <c r="H732" s="997"/>
      <c r="I732" s="992">
        <f>I$730*$E732</f>
        <v>0</v>
      </c>
      <c r="J732" s="987">
        <f t="shared" si="400"/>
        <v>0</v>
      </c>
      <c r="K732" s="987">
        <f t="shared" si="400"/>
        <v>0</v>
      </c>
      <c r="L732" s="987">
        <f t="shared" si="400"/>
        <v>0</v>
      </c>
      <c r="M732" s="987">
        <f t="shared" si="400"/>
        <v>0</v>
      </c>
      <c r="N732" s="987">
        <f t="shared" si="400"/>
        <v>0</v>
      </c>
      <c r="O732" s="987">
        <f t="shared" si="400"/>
        <v>0</v>
      </c>
      <c r="P732" s="987">
        <f t="shared" si="400"/>
        <v>0</v>
      </c>
      <c r="Q732" s="987">
        <f t="shared" si="400"/>
        <v>0</v>
      </c>
      <c r="R732" s="987">
        <f t="shared" si="400"/>
        <v>0</v>
      </c>
      <c r="S732" s="987">
        <f t="shared" si="400"/>
        <v>0</v>
      </c>
      <c r="T732" s="987">
        <f t="shared" si="400"/>
        <v>0</v>
      </c>
      <c r="U732" s="1567">
        <f>+SUM(I732:T732)</f>
        <v>0</v>
      </c>
      <c r="V732" s="232" t="str">
        <f t="shared" si="387"/>
        <v>contratada</v>
      </c>
      <c r="Y732" s="1271"/>
      <c r="Z732" s="372"/>
      <c r="AA732" s="372"/>
      <c r="AB732" s="372"/>
      <c r="AC732" s="372"/>
      <c r="AD732" s="372"/>
      <c r="AE732" s="372"/>
      <c r="AF732" s="372"/>
      <c r="AG732" s="372"/>
      <c r="AH732" s="372"/>
      <c r="AI732" s="372"/>
      <c r="AJ732" s="372"/>
      <c r="AK732" s="372"/>
      <c r="AL732" s="372"/>
      <c r="AM732" s="372"/>
      <c r="AN732" s="372"/>
      <c r="AO732" s="372"/>
      <c r="AP732" s="372"/>
      <c r="AQ732" s="372"/>
      <c r="AR732" s="767"/>
      <c r="AS732" s="254"/>
    </row>
    <row r="733" spans="1:45" ht="15.05" thickBot="1" x14ac:dyDescent="0.25">
      <c r="A733" s="222"/>
      <c r="B733" s="944" t="str">
        <f>UsoSuelo!D349</f>
        <v>Maíz Grano</v>
      </c>
      <c r="C733" s="344"/>
      <c r="D733" s="345"/>
      <c r="E733" s="346"/>
      <c r="F733" s="346"/>
      <c r="G733" s="346"/>
      <c r="H733" s="345"/>
      <c r="I733" s="347"/>
      <c r="J733" s="348"/>
      <c r="K733" s="348"/>
      <c r="L733" s="348"/>
      <c r="M733" s="348"/>
      <c r="N733" s="348"/>
      <c r="O733" s="348"/>
      <c r="P733" s="348"/>
      <c r="Q733" s="348"/>
      <c r="R733" s="348"/>
      <c r="S733" s="348"/>
      <c r="T733" s="349"/>
      <c r="U733" s="350"/>
      <c r="Y733" s="1271"/>
      <c r="Z733" s="372"/>
      <c r="AA733" s="372"/>
      <c r="AB733" s="372"/>
      <c r="AC733" s="372"/>
      <c r="AD733" s="372"/>
      <c r="AE733" s="372"/>
      <c r="AF733" s="372"/>
      <c r="AG733" s="372"/>
      <c r="AH733" s="372"/>
      <c r="AI733" s="372"/>
      <c r="AJ733" s="372"/>
      <c r="AK733" s="372"/>
      <c r="AL733" s="372"/>
      <c r="AM733" s="372"/>
      <c r="AN733" s="372"/>
      <c r="AO733" s="372"/>
      <c r="AP733" s="372"/>
      <c r="AQ733" s="372"/>
      <c r="AR733" s="767"/>
      <c r="AS733" s="254"/>
    </row>
    <row r="734" spans="1:45" ht="15.05" thickBot="1" x14ac:dyDescent="0.25">
      <c r="A734" s="222"/>
      <c r="B734" s="351" t="s">
        <v>1030</v>
      </c>
      <c r="C734" s="938" t="s">
        <v>1031</v>
      </c>
      <c r="D734" s="939"/>
      <c r="E734" s="939"/>
      <c r="F734" s="939"/>
      <c r="G734" s="939"/>
      <c r="H734" s="940"/>
      <c r="I734" s="941">
        <f>+UsoSuelo!F1418</f>
        <v>0</v>
      </c>
      <c r="J734" s="941">
        <f>+UsoSuelo!G1418</f>
        <v>0</v>
      </c>
      <c r="K734" s="941">
        <f>+UsoSuelo!H1418</f>
        <v>0</v>
      </c>
      <c r="L734" s="941">
        <f>+UsoSuelo!I1418</f>
        <v>0</v>
      </c>
      <c r="M734" s="941">
        <f>+UsoSuelo!J1418</f>
        <v>0</v>
      </c>
      <c r="N734" s="941">
        <f>+UsoSuelo!K1418</f>
        <v>0</v>
      </c>
      <c r="O734" s="941">
        <f>+UsoSuelo!L1418</f>
        <v>0</v>
      </c>
      <c r="P734" s="941">
        <f>+UsoSuelo!M1418</f>
        <v>0</v>
      </c>
      <c r="Q734" s="941">
        <f>+UsoSuelo!N1418</f>
        <v>0</v>
      </c>
      <c r="R734" s="941">
        <f>+UsoSuelo!O1418</f>
        <v>0</v>
      </c>
      <c r="S734" s="941">
        <f>+UsoSuelo!P1418</f>
        <v>0</v>
      </c>
      <c r="T734" s="945">
        <f>+UsoSuelo!Q1418</f>
        <v>0</v>
      </c>
      <c r="U734" s="934">
        <f>SUM(I734:T734)</f>
        <v>0</v>
      </c>
      <c r="Y734" s="1271"/>
      <c r="Z734" s="372"/>
      <c r="AA734" s="372"/>
      <c r="AB734" s="372"/>
      <c r="AC734" s="372"/>
      <c r="AD734" s="372"/>
      <c r="AE734" s="372"/>
      <c r="AF734" s="372"/>
      <c r="AG734" s="372"/>
      <c r="AH734" s="372"/>
      <c r="AI734" s="372"/>
      <c r="AJ734" s="372"/>
      <c r="AK734" s="372"/>
      <c r="AL734" s="372"/>
      <c r="AM734" s="372"/>
      <c r="AN734" s="372"/>
      <c r="AO734" s="372"/>
      <c r="AP734" s="372"/>
      <c r="AQ734" s="372"/>
      <c r="AR734" s="767"/>
      <c r="AS734" s="254"/>
    </row>
    <row r="735" spans="1:45" ht="15.05" thickBot="1" x14ac:dyDescent="0.35">
      <c r="A735" s="222"/>
      <c r="B735" s="5074"/>
      <c r="C735" s="984">
        <f>IF(B735=0,0,$U$734)</f>
        <v>0</v>
      </c>
      <c r="D735" s="984">
        <f>IF(B735=0,0,VLOOKUP(B735,Precios!$B$217:$D$307,3,FALSE))</f>
        <v>0</v>
      </c>
      <c r="E735" s="5068"/>
      <c r="F735" s="984">
        <f>IF(B735=0,0,VLOOKUP(B735,Precios!$B$216:$D$307,2,FALSE))</f>
        <v>0</v>
      </c>
      <c r="G735" s="994">
        <f>F735*E735</f>
        <v>0</v>
      </c>
      <c r="H735" s="309"/>
      <c r="I735" s="988">
        <f>I$734*$E735</f>
        <v>0</v>
      </c>
      <c r="J735" s="984">
        <f t="shared" ref="J735:T736" si="401">J$734*$E735</f>
        <v>0</v>
      </c>
      <c r="K735" s="984">
        <f t="shared" si="401"/>
        <v>0</v>
      </c>
      <c r="L735" s="984">
        <f t="shared" si="401"/>
        <v>0</v>
      </c>
      <c r="M735" s="984">
        <f t="shared" si="401"/>
        <v>0</v>
      </c>
      <c r="N735" s="984">
        <f t="shared" si="401"/>
        <v>0</v>
      </c>
      <c r="O735" s="984">
        <f t="shared" si="401"/>
        <v>0</v>
      </c>
      <c r="P735" s="984">
        <f t="shared" si="401"/>
        <v>0</v>
      </c>
      <c r="Q735" s="984">
        <f t="shared" si="401"/>
        <v>0</v>
      </c>
      <c r="R735" s="984">
        <f t="shared" si="401"/>
        <v>0</v>
      </c>
      <c r="S735" s="984">
        <f t="shared" si="401"/>
        <v>0</v>
      </c>
      <c r="T735" s="984">
        <f t="shared" si="401"/>
        <v>0</v>
      </c>
      <c r="U735" s="1566">
        <f>+SUM(I735:T735)</f>
        <v>0</v>
      </c>
      <c r="V735" s="232" t="str">
        <f t="shared" si="387"/>
        <v>contratada</v>
      </c>
      <c r="Y735" s="1271"/>
      <c r="Z735" s="372"/>
      <c r="AA735" s="372"/>
      <c r="AB735" s="372"/>
      <c r="AC735" s="372"/>
      <c r="AD735" s="372"/>
      <c r="AE735" s="372"/>
      <c r="AF735" s="372"/>
      <c r="AG735" s="372"/>
      <c r="AH735" s="372"/>
      <c r="AI735" s="372"/>
      <c r="AJ735" s="372"/>
      <c r="AK735" s="372"/>
      <c r="AL735" s="372"/>
      <c r="AM735" s="372"/>
      <c r="AN735" s="372"/>
      <c r="AO735" s="372"/>
      <c r="AP735" s="372"/>
      <c r="AQ735" s="372"/>
      <c r="AR735" s="767"/>
      <c r="AS735" s="254"/>
    </row>
    <row r="736" spans="1:45" ht="15.05" thickBot="1" x14ac:dyDescent="0.35">
      <c r="A736" s="222"/>
      <c r="B736" s="5075"/>
      <c r="C736" s="987">
        <f>IF(B736=0,0,$U$734)</f>
        <v>0</v>
      </c>
      <c r="D736" s="987">
        <f>IF(B736=0,0,VLOOKUP(B736,Precios!$B$217:$D$307,3,FALSE))</f>
        <v>0</v>
      </c>
      <c r="E736" s="5071"/>
      <c r="F736" s="987">
        <f>IF(B736=0,0,VLOOKUP(B736,Precios!$B$216:$D$307,2,FALSE))</f>
        <v>0</v>
      </c>
      <c r="G736" s="996">
        <f>F736*E736</f>
        <v>0</v>
      </c>
      <c r="H736" s="997"/>
      <c r="I736" s="992">
        <f>I$734*$E736</f>
        <v>0</v>
      </c>
      <c r="J736" s="987">
        <f t="shared" si="401"/>
        <v>0</v>
      </c>
      <c r="K736" s="987">
        <f t="shared" si="401"/>
        <v>0</v>
      </c>
      <c r="L736" s="987">
        <f t="shared" si="401"/>
        <v>0</v>
      </c>
      <c r="M736" s="987">
        <f t="shared" si="401"/>
        <v>0</v>
      </c>
      <c r="N736" s="987">
        <f t="shared" si="401"/>
        <v>0</v>
      </c>
      <c r="O736" s="987">
        <f t="shared" si="401"/>
        <v>0</v>
      </c>
      <c r="P736" s="987">
        <f t="shared" si="401"/>
        <v>0</v>
      </c>
      <c r="Q736" s="987">
        <f t="shared" si="401"/>
        <v>0</v>
      </c>
      <c r="R736" s="987">
        <f t="shared" si="401"/>
        <v>0</v>
      </c>
      <c r="S736" s="987">
        <f t="shared" si="401"/>
        <v>0</v>
      </c>
      <c r="T736" s="987">
        <f t="shared" si="401"/>
        <v>0</v>
      </c>
      <c r="U736" s="1567">
        <f>+SUM(I736:T736)</f>
        <v>0</v>
      </c>
      <c r="V736" s="232" t="str">
        <f t="shared" si="387"/>
        <v>contratada</v>
      </c>
      <c r="Y736" s="1271"/>
      <c r="Z736" s="372"/>
      <c r="AA736" s="372"/>
      <c r="AB736" s="372"/>
      <c r="AC736" s="372"/>
      <c r="AD736" s="372"/>
      <c r="AE736" s="372"/>
      <c r="AF736" s="372"/>
      <c r="AG736" s="372"/>
      <c r="AH736" s="372"/>
      <c r="AI736" s="372"/>
      <c r="AJ736" s="372"/>
      <c r="AK736" s="372"/>
      <c r="AL736" s="372"/>
      <c r="AM736" s="372"/>
      <c r="AN736" s="372"/>
      <c r="AO736" s="372"/>
      <c r="AP736" s="372"/>
      <c r="AQ736" s="372"/>
      <c r="AR736" s="767"/>
      <c r="AS736" s="254"/>
    </row>
    <row r="737" spans="1:45" ht="15.05" thickBot="1" x14ac:dyDescent="0.25">
      <c r="A737" s="222"/>
      <c r="B737" s="944" t="str">
        <f>UsoSuelo!D350</f>
        <v>Sorgo grano</v>
      </c>
      <c r="C737" s="344"/>
      <c r="D737" s="345"/>
      <c r="E737" s="346"/>
      <c r="F737" s="346"/>
      <c r="G737" s="346"/>
      <c r="H737" s="345"/>
      <c r="I737" s="347"/>
      <c r="J737" s="348"/>
      <c r="K737" s="348"/>
      <c r="L737" s="348"/>
      <c r="M737" s="348"/>
      <c r="N737" s="348"/>
      <c r="O737" s="348"/>
      <c r="P737" s="348"/>
      <c r="Q737" s="348"/>
      <c r="R737" s="348"/>
      <c r="S737" s="348"/>
      <c r="T737" s="349"/>
      <c r="U737" s="350"/>
      <c r="Y737" s="1271"/>
      <c r="Z737" s="372"/>
      <c r="AA737" s="372"/>
      <c r="AB737" s="372"/>
      <c r="AC737" s="372"/>
      <c r="AD737" s="372"/>
      <c r="AE737" s="372"/>
      <c r="AF737" s="372"/>
      <c r="AG737" s="372"/>
      <c r="AH737" s="372"/>
      <c r="AI737" s="372"/>
      <c r="AJ737" s="372"/>
      <c r="AK737" s="372"/>
      <c r="AL737" s="372"/>
      <c r="AM737" s="372"/>
      <c r="AN737" s="372"/>
      <c r="AO737" s="372"/>
      <c r="AP737" s="372"/>
      <c r="AQ737" s="372"/>
      <c r="AR737" s="767"/>
      <c r="AS737" s="254"/>
    </row>
    <row r="738" spans="1:45" ht="15.05" thickBot="1" x14ac:dyDescent="0.25">
      <c r="A738" s="222"/>
      <c r="B738" s="351" t="s">
        <v>1030</v>
      </c>
      <c r="C738" s="938" t="s">
        <v>1031</v>
      </c>
      <c r="D738" s="939"/>
      <c r="E738" s="939"/>
      <c r="F738" s="939"/>
      <c r="G738" s="939"/>
      <c r="H738" s="940"/>
      <c r="I738" s="941">
        <f>+UsoSuelo!F1419</f>
        <v>0</v>
      </c>
      <c r="J738" s="941">
        <f>+UsoSuelo!G1419</f>
        <v>0</v>
      </c>
      <c r="K738" s="941">
        <f>+UsoSuelo!H1419</f>
        <v>0</v>
      </c>
      <c r="L738" s="941">
        <f>+UsoSuelo!I1419</f>
        <v>0</v>
      </c>
      <c r="M738" s="941">
        <f>+UsoSuelo!J1419</f>
        <v>0</v>
      </c>
      <c r="N738" s="941">
        <f>+UsoSuelo!K1419</f>
        <v>0</v>
      </c>
      <c r="O738" s="941">
        <f>+UsoSuelo!L1419</f>
        <v>0</v>
      </c>
      <c r="P738" s="941">
        <f>+UsoSuelo!M1419</f>
        <v>0</v>
      </c>
      <c r="Q738" s="941">
        <f>+UsoSuelo!N1419</f>
        <v>0</v>
      </c>
      <c r="R738" s="941">
        <f>+UsoSuelo!O1419</f>
        <v>0</v>
      </c>
      <c r="S738" s="941">
        <f>+UsoSuelo!P1419</f>
        <v>0</v>
      </c>
      <c r="T738" s="945">
        <f>+UsoSuelo!Q1419</f>
        <v>0</v>
      </c>
      <c r="U738" s="934">
        <f>SUM(I738:T738)</f>
        <v>0</v>
      </c>
      <c r="Y738" s="1271"/>
      <c r="Z738" s="372"/>
      <c r="AA738" s="372"/>
      <c r="AB738" s="372"/>
      <c r="AC738" s="372"/>
      <c r="AD738" s="372"/>
      <c r="AE738" s="372"/>
      <c r="AF738" s="372"/>
      <c r="AG738" s="372"/>
      <c r="AH738" s="372"/>
      <c r="AI738" s="372"/>
      <c r="AJ738" s="372"/>
      <c r="AK738" s="372"/>
      <c r="AL738" s="372"/>
      <c r="AM738" s="372"/>
      <c r="AN738" s="372"/>
      <c r="AO738" s="372"/>
      <c r="AP738" s="372"/>
      <c r="AQ738" s="372"/>
      <c r="AR738" s="767"/>
      <c r="AS738" s="254"/>
    </row>
    <row r="739" spans="1:45" ht="15.05" thickBot="1" x14ac:dyDescent="0.35">
      <c r="A739" s="222"/>
      <c r="B739" s="5074"/>
      <c r="C739" s="984">
        <f>IF(B739=0,0,$U$738)</f>
        <v>0</v>
      </c>
      <c r="D739" s="984">
        <f>IF(B739=0,0,VLOOKUP(B739,Precios!$B$217:$D$307,3,FALSE))</f>
        <v>0</v>
      </c>
      <c r="E739" s="5068"/>
      <c r="F739" s="984">
        <f>IF(B739=0,0,VLOOKUP(B739,Precios!$B$216:$D$307,2,FALSE))</f>
        <v>0</v>
      </c>
      <c r="G739" s="994">
        <f>F739*E739</f>
        <v>0</v>
      </c>
      <c r="H739" s="309"/>
      <c r="I739" s="988">
        <f>I$738*$E739</f>
        <v>0</v>
      </c>
      <c r="J739" s="984">
        <f t="shared" ref="J739:T740" si="402">J$738*$E739</f>
        <v>0</v>
      </c>
      <c r="K739" s="984">
        <f t="shared" si="402"/>
        <v>0</v>
      </c>
      <c r="L739" s="984">
        <f t="shared" si="402"/>
        <v>0</v>
      </c>
      <c r="M739" s="984">
        <f t="shared" si="402"/>
        <v>0</v>
      </c>
      <c r="N739" s="984">
        <f t="shared" si="402"/>
        <v>0</v>
      </c>
      <c r="O739" s="984">
        <f t="shared" si="402"/>
        <v>0</v>
      </c>
      <c r="P739" s="984">
        <f t="shared" si="402"/>
        <v>0</v>
      </c>
      <c r="Q739" s="984">
        <f t="shared" si="402"/>
        <v>0</v>
      </c>
      <c r="R739" s="984">
        <f t="shared" si="402"/>
        <v>0</v>
      </c>
      <c r="S739" s="984">
        <f t="shared" si="402"/>
        <v>0</v>
      </c>
      <c r="T739" s="984">
        <f t="shared" si="402"/>
        <v>0</v>
      </c>
      <c r="U739" s="1566">
        <f>+SUM(I739:T739)</f>
        <v>0</v>
      </c>
      <c r="V739" s="232" t="str">
        <f t="shared" si="387"/>
        <v>contratada</v>
      </c>
      <c r="Y739" s="1271"/>
      <c r="Z739" s="372"/>
      <c r="AA739" s="372"/>
      <c r="AB739" s="372"/>
      <c r="AC739" s="372"/>
      <c r="AD739" s="372"/>
      <c r="AE739" s="372"/>
      <c r="AF739" s="372"/>
      <c r="AG739" s="372"/>
      <c r="AH739" s="372"/>
      <c r="AI739" s="372"/>
      <c r="AJ739" s="372"/>
      <c r="AK739" s="372"/>
      <c r="AL739" s="372"/>
      <c r="AM739" s="372"/>
      <c r="AN739" s="372"/>
      <c r="AO739" s="372"/>
      <c r="AP739" s="372"/>
      <c r="AQ739" s="372"/>
      <c r="AR739" s="767"/>
      <c r="AS739" s="254"/>
    </row>
    <row r="740" spans="1:45" ht="15.05" thickBot="1" x14ac:dyDescent="0.35">
      <c r="A740" s="222"/>
      <c r="B740" s="5075"/>
      <c r="C740" s="987">
        <f>IF(B740=0,0,$U$738)</f>
        <v>0</v>
      </c>
      <c r="D740" s="987">
        <f>IF(B740=0,0,VLOOKUP(B740,Precios!$B$217:$D$307,3,FALSE))</f>
        <v>0</v>
      </c>
      <c r="E740" s="5071"/>
      <c r="F740" s="987">
        <f>IF(B740=0,0,VLOOKUP(B740,Precios!$B$216:$D$307,2,FALSE))</f>
        <v>0</v>
      </c>
      <c r="G740" s="996">
        <f>F740*E740</f>
        <v>0</v>
      </c>
      <c r="H740" s="997"/>
      <c r="I740" s="992">
        <f>I$738*$E740</f>
        <v>0</v>
      </c>
      <c r="J740" s="987">
        <f t="shared" si="402"/>
        <v>0</v>
      </c>
      <c r="K740" s="987">
        <f t="shared" si="402"/>
        <v>0</v>
      </c>
      <c r="L740" s="987">
        <f t="shared" si="402"/>
        <v>0</v>
      </c>
      <c r="M740" s="987">
        <f t="shared" si="402"/>
        <v>0</v>
      </c>
      <c r="N740" s="987">
        <f t="shared" si="402"/>
        <v>0</v>
      </c>
      <c r="O740" s="987">
        <f t="shared" si="402"/>
        <v>0</v>
      </c>
      <c r="P740" s="987">
        <f t="shared" si="402"/>
        <v>0</v>
      </c>
      <c r="Q740" s="987">
        <f t="shared" si="402"/>
        <v>0</v>
      </c>
      <c r="R740" s="987">
        <f t="shared" si="402"/>
        <v>0</v>
      </c>
      <c r="S740" s="987">
        <f t="shared" si="402"/>
        <v>0</v>
      </c>
      <c r="T740" s="987">
        <f t="shared" si="402"/>
        <v>0</v>
      </c>
      <c r="U740" s="1567">
        <f>+SUM(I740:T740)</f>
        <v>0</v>
      </c>
      <c r="V740" s="232" t="str">
        <f t="shared" si="387"/>
        <v>contratada</v>
      </c>
      <c r="Y740" s="1271"/>
      <c r="Z740" s="372"/>
      <c r="AA740" s="372"/>
      <c r="AB740" s="372"/>
      <c r="AC740" s="372"/>
      <c r="AD740" s="372"/>
      <c r="AE740" s="372"/>
      <c r="AF740" s="372"/>
      <c r="AG740" s="372"/>
      <c r="AH740" s="372"/>
      <c r="AI740" s="372"/>
      <c r="AJ740" s="372"/>
      <c r="AK740" s="372"/>
      <c r="AL740" s="372"/>
      <c r="AM740" s="372"/>
      <c r="AN740" s="372"/>
      <c r="AO740" s="372"/>
      <c r="AP740" s="372"/>
      <c r="AQ740" s="372"/>
      <c r="AR740" s="767"/>
      <c r="AS740" s="254"/>
    </row>
    <row r="741" spans="1:45" ht="15.05" thickBot="1" x14ac:dyDescent="0.25">
      <c r="A741" s="222"/>
      <c r="B741" s="944" t="str">
        <f>UsoSuelo!D351</f>
        <v>Trigo grano</v>
      </c>
      <c r="C741" s="344"/>
      <c r="D741" s="345"/>
      <c r="E741" s="346"/>
      <c r="F741" s="346"/>
      <c r="G741" s="346"/>
      <c r="H741" s="345"/>
      <c r="I741" s="347"/>
      <c r="J741" s="348"/>
      <c r="K741" s="348"/>
      <c r="L741" s="348"/>
      <c r="M741" s="348"/>
      <c r="N741" s="348"/>
      <c r="O741" s="348"/>
      <c r="P741" s="348"/>
      <c r="Q741" s="348"/>
      <c r="R741" s="348"/>
      <c r="S741" s="348"/>
      <c r="T741" s="349"/>
      <c r="U741" s="350"/>
      <c r="Y741" s="1271"/>
      <c r="Z741" s="372"/>
      <c r="AA741" s="372"/>
      <c r="AB741" s="372"/>
      <c r="AC741" s="372"/>
      <c r="AD741" s="372"/>
      <c r="AE741" s="372"/>
      <c r="AF741" s="372"/>
      <c r="AG741" s="372"/>
      <c r="AH741" s="372"/>
      <c r="AI741" s="372"/>
      <c r="AJ741" s="372"/>
      <c r="AK741" s="372"/>
      <c r="AL741" s="372"/>
      <c r="AM741" s="372"/>
      <c r="AN741" s="372"/>
      <c r="AO741" s="372"/>
      <c r="AP741" s="372"/>
      <c r="AQ741" s="372"/>
      <c r="AR741" s="767"/>
      <c r="AS741" s="254"/>
    </row>
    <row r="742" spans="1:45" ht="15.05" thickBot="1" x14ac:dyDescent="0.25">
      <c r="A742" s="222"/>
      <c r="B742" s="351" t="s">
        <v>1030</v>
      </c>
      <c r="C742" s="938" t="s">
        <v>1031</v>
      </c>
      <c r="D742" s="939"/>
      <c r="E742" s="939"/>
      <c r="F742" s="939"/>
      <c r="G742" s="939"/>
      <c r="H742" s="940"/>
      <c r="I742" s="941">
        <f>+UsoSuelo!F1420</f>
        <v>0</v>
      </c>
      <c r="J742" s="941">
        <f>+UsoSuelo!G1420</f>
        <v>0</v>
      </c>
      <c r="K742" s="941">
        <f>+UsoSuelo!H1420</f>
        <v>0</v>
      </c>
      <c r="L742" s="941">
        <f>+UsoSuelo!I1420</f>
        <v>0</v>
      </c>
      <c r="M742" s="941">
        <f>+UsoSuelo!J1420</f>
        <v>0</v>
      </c>
      <c r="N742" s="941">
        <f>+UsoSuelo!K1420</f>
        <v>0</v>
      </c>
      <c r="O742" s="941">
        <f>+UsoSuelo!L1420</f>
        <v>0</v>
      </c>
      <c r="P742" s="941">
        <f>+UsoSuelo!M1420</f>
        <v>0</v>
      </c>
      <c r="Q742" s="941">
        <f>+UsoSuelo!N1420</f>
        <v>0</v>
      </c>
      <c r="R742" s="941">
        <f>+UsoSuelo!O1420</f>
        <v>0</v>
      </c>
      <c r="S742" s="941">
        <f>+UsoSuelo!P1420</f>
        <v>0</v>
      </c>
      <c r="T742" s="945">
        <f>+UsoSuelo!Q1420</f>
        <v>0</v>
      </c>
      <c r="U742" s="934">
        <f>SUM(I742:T742)</f>
        <v>0</v>
      </c>
      <c r="Y742" s="1271"/>
      <c r="Z742" s="372"/>
      <c r="AA742" s="372"/>
      <c r="AB742" s="372"/>
      <c r="AC742" s="372"/>
      <c r="AD742" s="372"/>
      <c r="AE742" s="372"/>
      <c r="AF742" s="372"/>
      <c r="AG742" s="372"/>
      <c r="AH742" s="372"/>
      <c r="AI742" s="372"/>
      <c r="AJ742" s="372"/>
      <c r="AK742" s="372"/>
      <c r="AL742" s="372"/>
      <c r="AM742" s="372"/>
      <c r="AN742" s="372"/>
      <c r="AO742" s="372"/>
      <c r="AP742" s="372"/>
      <c r="AQ742" s="372"/>
      <c r="AR742" s="767"/>
      <c r="AS742" s="254"/>
    </row>
    <row r="743" spans="1:45" ht="15.05" thickBot="1" x14ac:dyDescent="0.35">
      <c r="A743" s="222"/>
      <c r="B743" s="5074"/>
      <c r="C743" s="984">
        <f>IF(B743=0,0,$U$742)</f>
        <v>0</v>
      </c>
      <c r="D743" s="984">
        <f>IF(B743=0,0,VLOOKUP(B743,Precios!$B$217:$D$307,3,FALSE))</f>
        <v>0</v>
      </c>
      <c r="E743" s="5068"/>
      <c r="F743" s="984">
        <f>IF(B743=0,0,VLOOKUP(B743,Precios!$B$216:$D$307,2,FALSE))</f>
        <v>0</v>
      </c>
      <c r="G743" s="994">
        <f>F743*E743</f>
        <v>0</v>
      </c>
      <c r="H743" s="309"/>
      <c r="I743" s="988">
        <f>I$742*$E743</f>
        <v>0</v>
      </c>
      <c r="J743" s="984">
        <f t="shared" ref="J743:T744" si="403">J$742*$E743</f>
        <v>0</v>
      </c>
      <c r="K743" s="984">
        <f t="shared" si="403"/>
        <v>0</v>
      </c>
      <c r="L743" s="984">
        <f t="shared" si="403"/>
        <v>0</v>
      </c>
      <c r="M743" s="984">
        <f t="shared" si="403"/>
        <v>0</v>
      </c>
      <c r="N743" s="984">
        <f t="shared" si="403"/>
        <v>0</v>
      </c>
      <c r="O743" s="984">
        <f t="shared" si="403"/>
        <v>0</v>
      </c>
      <c r="P743" s="984">
        <f t="shared" si="403"/>
        <v>0</v>
      </c>
      <c r="Q743" s="984">
        <f t="shared" si="403"/>
        <v>0</v>
      </c>
      <c r="R743" s="984">
        <f t="shared" si="403"/>
        <v>0</v>
      </c>
      <c r="S743" s="984">
        <f t="shared" si="403"/>
        <v>0</v>
      </c>
      <c r="T743" s="984">
        <f t="shared" si="403"/>
        <v>0</v>
      </c>
      <c r="U743" s="1566">
        <f>+SUM(I743:T743)</f>
        <v>0</v>
      </c>
      <c r="V743" s="232" t="str">
        <f t="shared" si="387"/>
        <v>contratada</v>
      </c>
      <c r="Y743" s="1271"/>
      <c r="Z743" s="372"/>
      <c r="AA743" s="372"/>
      <c r="AB743" s="372"/>
      <c r="AC743" s="372"/>
      <c r="AD743" s="372"/>
      <c r="AE743" s="372"/>
      <c r="AF743" s="372"/>
      <c r="AG743" s="372"/>
      <c r="AH743" s="372"/>
      <c r="AI743" s="372"/>
      <c r="AJ743" s="372"/>
      <c r="AK743" s="372"/>
      <c r="AL743" s="372"/>
      <c r="AM743" s="372"/>
      <c r="AN743" s="372"/>
      <c r="AO743" s="372"/>
      <c r="AP743" s="372"/>
      <c r="AQ743" s="372"/>
      <c r="AR743" s="767"/>
      <c r="AS743" s="254"/>
    </row>
    <row r="744" spans="1:45" ht="15.05" thickBot="1" x14ac:dyDescent="0.35">
      <c r="A744" s="222"/>
      <c r="B744" s="5075"/>
      <c r="C744" s="987">
        <f>IF(B744=0,0,$U$742)</f>
        <v>0</v>
      </c>
      <c r="D744" s="987">
        <f>IF(B744=0,0,VLOOKUP(B744,Precios!$B$217:$D$307,3,FALSE))</f>
        <v>0</v>
      </c>
      <c r="E744" s="5071"/>
      <c r="F744" s="987">
        <f>IF(B744=0,0,VLOOKUP(B744,Precios!$B$216:$D$307,2,FALSE))</f>
        <v>0</v>
      </c>
      <c r="G744" s="996">
        <f>F744*E744</f>
        <v>0</v>
      </c>
      <c r="H744" s="997"/>
      <c r="I744" s="992">
        <f>I$742*$E744</f>
        <v>0</v>
      </c>
      <c r="J744" s="987">
        <f t="shared" si="403"/>
        <v>0</v>
      </c>
      <c r="K744" s="987">
        <f t="shared" si="403"/>
        <v>0</v>
      </c>
      <c r="L744" s="987">
        <f t="shared" si="403"/>
        <v>0</v>
      </c>
      <c r="M744" s="987">
        <f t="shared" si="403"/>
        <v>0</v>
      </c>
      <c r="N744" s="987">
        <f t="shared" si="403"/>
        <v>0</v>
      </c>
      <c r="O744" s="987">
        <f t="shared" si="403"/>
        <v>0</v>
      </c>
      <c r="P744" s="987">
        <f t="shared" si="403"/>
        <v>0</v>
      </c>
      <c r="Q744" s="987">
        <f t="shared" si="403"/>
        <v>0</v>
      </c>
      <c r="R744" s="987">
        <f t="shared" si="403"/>
        <v>0</v>
      </c>
      <c r="S744" s="987">
        <f t="shared" si="403"/>
        <v>0</v>
      </c>
      <c r="T744" s="987">
        <f t="shared" si="403"/>
        <v>0</v>
      </c>
      <c r="U744" s="1567">
        <f>+SUM(I744:T744)</f>
        <v>0</v>
      </c>
      <c r="V744" s="232" t="str">
        <f t="shared" si="387"/>
        <v>contratada</v>
      </c>
      <c r="Y744" s="1271"/>
      <c r="Z744" s="372"/>
      <c r="AA744" s="372"/>
      <c r="AB744" s="372"/>
      <c r="AC744" s="372"/>
      <c r="AD744" s="372"/>
      <c r="AE744" s="372"/>
      <c r="AF744" s="372"/>
      <c r="AG744" s="372"/>
      <c r="AH744" s="372"/>
      <c r="AI744" s="372"/>
      <c r="AJ744" s="372"/>
      <c r="AK744" s="372"/>
      <c r="AL744" s="372"/>
      <c r="AM744" s="372"/>
      <c r="AN744" s="372"/>
      <c r="AO744" s="372"/>
      <c r="AP744" s="372"/>
      <c r="AQ744" s="372"/>
      <c r="AR744" s="767"/>
      <c r="AS744" s="254"/>
    </row>
    <row r="745" spans="1:45" ht="15.05" thickBot="1" x14ac:dyDescent="0.25">
      <c r="A745" s="222"/>
      <c r="B745" s="944" t="str">
        <f>UsoSuelo!D352</f>
        <v>Cebada grano</v>
      </c>
      <c r="C745" s="344"/>
      <c r="D745" s="345"/>
      <c r="E745" s="346"/>
      <c r="F745" s="346"/>
      <c r="G745" s="346"/>
      <c r="H745" s="345"/>
      <c r="I745" s="347"/>
      <c r="J745" s="348"/>
      <c r="K745" s="348"/>
      <c r="L745" s="348"/>
      <c r="M745" s="348"/>
      <c r="N745" s="348"/>
      <c r="O745" s="348"/>
      <c r="P745" s="348"/>
      <c r="Q745" s="348"/>
      <c r="R745" s="348"/>
      <c r="S745" s="348"/>
      <c r="T745" s="349"/>
      <c r="U745" s="350"/>
      <c r="Y745" s="1271"/>
      <c r="Z745" s="372"/>
      <c r="AA745" s="372"/>
      <c r="AB745" s="372"/>
      <c r="AC745" s="372"/>
      <c r="AD745" s="372"/>
      <c r="AE745" s="372"/>
      <c r="AF745" s="372"/>
      <c r="AG745" s="372"/>
      <c r="AH745" s="372"/>
      <c r="AI745" s="372"/>
      <c r="AJ745" s="372"/>
      <c r="AK745" s="372"/>
      <c r="AL745" s="372"/>
      <c r="AM745" s="372"/>
      <c r="AN745" s="372"/>
      <c r="AO745" s="372"/>
      <c r="AP745" s="372"/>
      <c r="AQ745" s="372"/>
      <c r="AR745" s="767"/>
      <c r="AS745" s="254"/>
    </row>
    <row r="746" spans="1:45" ht="15.05" thickBot="1" x14ac:dyDescent="0.25">
      <c r="A746" s="222"/>
      <c r="B746" s="351" t="s">
        <v>1030</v>
      </c>
      <c r="C746" s="938" t="s">
        <v>1031</v>
      </c>
      <c r="D746" s="939"/>
      <c r="E746" s="939"/>
      <c r="F746" s="939"/>
      <c r="G746" s="939"/>
      <c r="H746" s="940"/>
      <c r="I746" s="941">
        <f>+UsoSuelo!F1421</f>
        <v>0</v>
      </c>
      <c r="J746" s="941">
        <f>+UsoSuelo!G1421</f>
        <v>0</v>
      </c>
      <c r="K746" s="941">
        <f>+UsoSuelo!H1421</f>
        <v>0</v>
      </c>
      <c r="L746" s="941">
        <f>+UsoSuelo!I1421</f>
        <v>0</v>
      </c>
      <c r="M746" s="941">
        <f>+UsoSuelo!J1421</f>
        <v>0</v>
      </c>
      <c r="N746" s="941">
        <f>+UsoSuelo!K1421</f>
        <v>0</v>
      </c>
      <c r="O746" s="941">
        <f>+UsoSuelo!L1421</f>
        <v>0</v>
      </c>
      <c r="P746" s="941">
        <f>+UsoSuelo!M1421</f>
        <v>0</v>
      </c>
      <c r="Q746" s="941">
        <f>+UsoSuelo!N1421</f>
        <v>0</v>
      </c>
      <c r="R746" s="941">
        <f>+UsoSuelo!O1421</f>
        <v>0</v>
      </c>
      <c r="S746" s="941">
        <f>+UsoSuelo!P1421</f>
        <v>0</v>
      </c>
      <c r="T746" s="945">
        <f>+UsoSuelo!Q1421</f>
        <v>0</v>
      </c>
      <c r="U746" s="934">
        <f>SUM(I746:T746)</f>
        <v>0</v>
      </c>
      <c r="Y746" s="1271"/>
      <c r="Z746" s="372"/>
      <c r="AA746" s="372"/>
      <c r="AB746" s="372"/>
      <c r="AC746" s="372"/>
      <c r="AD746" s="372"/>
      <c r="AE746" s="372"/>
      <c r="AF746" s="372"/>
      <c r="AG746" s="372"/>
      <c r="AH746" s="372"/>
      <c r="AI746" s="372"/>
      <c r="AJ746" s="372"/>
      <c r="AK746" s="372"/>
      <c r="AL746" s="372"/>
      <c r="AM746" s="372"/>
      <c r="AN746" s="372"/>
      <c r="AO746" s="372"/>
      <c r="AP746" s="372"/>
      <c r="AQ746" s="372"/>
      <c r="AR746" s="767"/>
      <c r="AS746" s="254"/>
    </row>
    <row r="747" spans="1:45" ht="15.05" thickBot="1" x14ac:dyDescent="0.35">
      <c r="A747" s="222"/>
      <c r="B747" s="5074"/>
      <c r="C747" s="984">
        <f>IF(B747=0,0,$U$746)</f>
        <v>0</v>
      </c>
      <c r="D747" s="984">
        <f>IF(B747=0,0,VLOOKUP(B747,Precios!$B$217:$D$307,3,FALSE))</f>
        <v>0</v>
      </c>
      <c r="E747" s="5068"/>
      <c r="F747" s="984">
        <f>IF(B747=0,0,VLOOKUP(B747,Precios!$B$216:$D$307,2,FALSE))</f>
        <v>0</v>
      </c>
      <c r="G747" s="994">
        <f>F747*E747</f>
        <v>0</v>
      </c>
      <c r="H747" s="309"/>
      <c r="I747" s="988">
        <f>I$746*$E747</f>
        <v>0</v>
      </c>
      <c r="J747" s="984">
        <f t="shared" ref="J747:T748" si="404">J$746*$E747</f>
        <v>0</v>
      </c>
      <c r="K747" s="984">
        <f t="shared" si="404"/>
        <v>0</v>
      </c>
      <c r="L747" s="984">
        <f t="shared" si="404"/>
        <v>0</v>
      </c>
      <c r="M747" s="984">
        <f t="shared" si="404"/>
        <v>0</v>
      </c>
      <c r="N747" s="984">
        <f t="shared" si="404"/>
        <v>0</v>
      </c>
      <c r="O747" s="984">
        <f t="shared" si="404"/>
        <v>0</v>
      </c>
      <c r="P747" s="984">
        <f t="shared" si="404"/>
        <v>0</v>
      </c>
      <c r="Q747" s="984">
        <f t="shared" si="404"/>
        <v>0</v>
      </c>
      <c r="R747" s="984">
        <f t="shared" si="404"/>
        <v>0</v>
      </c>
      <c r="S747" s="984">
        <f t="shared" si="404"/>
        <v>0</v>
      </c>
      <c r="T747" s="984">
        <f t="shared" si="404"/>
        <v>0</v>
      </c>
      <c r="U747" s="1566">
        <f>+SUM(I747:T747)</f>
        <v>0</v>
      </c>
      <c r="V747" s="232" t="str">
        <f>B747&amp;"contratada"</f>
        <v>contratada</v>
      </c>
      <c r="Y747" s="1271"/>
      <c r="Z747" s="372"/>
      <c r="AA747" s="372"/>
      <c r="AB747" s="372"/>
      <c r="AC747" s="372"/>
      <c r="AD747" s="372"/>
      <c r="AE747" s="372"/>
      <c r="AF747" s="372"/>
      <c r="AG747" s="372"/>
      <c r="AH747" s="372"/>
      <c r="AI747" s="372"/>
      <c r="AJ747" s="372"/>
      <c r="AK747" s="372"/>
      <c r="AL747" s="372"/>
      <c r="AM747" s="372"/>
      <c r="AN747" s="372"/>
      <c r="AO747" s="372"/>
      <c r="AP747" s="372"/>
      <c r="AQ747" s="372"/>
      <c r="AR747" s="767"/>
      <c r="AS747" s="254"/>
    </row>
    <row r="748" spans="1:45" ht="15.05" thickBot="1" x14ac:dyDescent="0.35">
      <c r="A748" s="222"/>
      <c r="B748" s="5075"/>
      <c r="C748" s="987">
        <f>IF(B748=0,0,$U$746)</f>
        <v>0</v>
      </c>
      <c r="D748" s="987">
        <f>IF(B748=0,0,VLOOKUP(B748,Precios!$B$217:$D$307,3,FALSE))</f>
        <v>0</v>
      </c>
      <c r="E748" s="5071"/>
      <c r="F748" s="987">
        <f>IF(B748=0,0,VLOOKUP(B748,Precios!$B$216:$D$307,2,FALSE))</f>
        <v>0</v>
      </c>
      <c r="G748" s="996">
        <f>F748*E748</f>
        <v>0</v>
      </c>
      <c r="H748" s="997"/>
      <c r="I748" s="992">
        <f>I$746*$E748</f>
        <v>0</v>
      </c>
      <c r="J748" s="987">
        <f t="shared" si="404"/>
        <v>0</v>
      </c>
      <c r="K748" s="987">
        <f t="shared" si="404"/>
        <v>0</v>
      </c>
      <c r="L748" s="987">
        <f t="shared" si="404"/>
        <v>0</v>
      </c>
      <c r="M748" s="987">
        <f t="shared" si="404"/>
        <v>0</v>
      </c>
      <c r="N748" s="987">
        <f t="shared" si="404"/>
        <v>0</v>
      </c>
      <c r="O748" s="987">
        <f t="shared" si="404"/>
        <v>0</v>
      </c>
      <c r="P748" s="987">
        <f t="shared" si="404"/>
        <v>0</v>
      </c>
      <c r="Q748" s="987">
        <f t="shared" si="404"/>
        <v>0</v>
      </c>
      <c r="R748" s="987">
        <f t="shared" si="404"/>
        <v>0</v>
      </c>
      <c r="S748" s="987">
        <f t="shared" si="404"/>
        <v>0</v>
      </c>
      <c r="T748" s="987">
        <f t="shared" si="404"/>
        <v>0</v>
      </c>
      <c r="U748" s="1567">
        <f>+SUM(I748:T748)</f>
        <v>0</v>
      </c>
      <c r="V748" s="232" t="str">
        <f>B748&amp;"contratada"</f>
        <v>contratada</v>
      </c>
      <c r="Y748" s="1271"/>
      <c r="Z748" s="372"/>
      <c r="AA748" s="372"/>
      <c r="AB748" s="372"/>
      <c r="AC748" s="372"/>
      <c r="AD748" s="372"/>
      <c r="AE748" s="372"/>
      <c r="AF748" s="372"/>
      <c r="AG748" s="372"/>
      <c r="AH748" s="372"/>
      <c r="AI748" s="372"/>
      <c r="AJ748" s="372"/>
      <c r="AK748" s="372"/>
      <c r="AL748" s="372"/>
      <c r="AM748" s="372"/>
      <c r="AN748" s="372"/>
      <c r="AO748" s="372"/>
      <c r="AP748" s="372"/>
      <c r="AQ748" s="372"/>
      <c r="AR748" s="767"/>
      <c r="AS748" s="254"/>
    </row>
    <row r="749" spans="1:45" ht="15.05" thickBot="1" x14ac:dyDescent="0.25">
      <c r="A749" s="222"/>
      <c r="B749" s="944" t="str">
        <f>UsoSuelo!D353</f>
        <v>Avena grano</v>
      </c>
      <c r="C749" s="344"/>
      <c r="D749" s="345"/>
      <c r="E749" s="346"/>
      <c r="F749" s="346"/>
      <c r="G749" s="346"/>
      <c r="H749" s="345"/>
      <c r="I749" s="347"/>
      <c r="J749" s="348"/>
      <c r="K749" s="348"/>
      <c r="L749" s="348"/>
      <c r="M749" s="348"/>
      <c r="N749" s="348"/>
      <c r="O749" s="348"/>
      <c r="P749" s="348"/>
      <c r="Q749" s="348"/>
      <c r="R749" s="348"/>
      <c r="S749" s="348"/>
      <c r="T749" s="349"/>
      <c r="U749" s="350"/>
      <c r="Y749" s="1271"/>
      <c r="Z749" s="372"/>
      <c r="AA749" s="372"/>
      <c r="AB749" s="372"/>
      <c r="AC749" s="372"/>
      <c r="AD749" s="372"/>
      <c r="AE749" s="372"/>
      <c r="AF749" s="372"/>
      <c r="AG749" s="372"/>
      <c r="AH749" s="372"/>
      <c r="AI749" s="372"/>
      <c r="AJ749" s="372"/>
      <c r="AK749" s="372"/>
      <c r="AL749" s="372"/>
      <c r="AM749" s="372"/>
      <c r="AN749" s="372"/>
      <c r="AO749" s="372"/>
      <c r="AP749" s="372"/>
      <c r="AQ749" s="372"/>
      <c r="AR749" s="767"/>
      <c r="AS749" s="254"/>
    </row>
    <row r="750" spans="1:45" ht="15.05" thickBot="1" x14ac:dyDescent="0.25">
      <c r="A750" s="222"/>
      <c r="B750" s="351" t="s">
        <v>1030</v>
      </c>
      <c r="C750" s="938" t="s">
        <v>1031</v>
      </c>
      <c r="D750" s="939"/>
      <c r="E750" s="939"/>
      <c r="F750" s="939"/>
      <c r="G750" s="939"/>
      <c r="H750" s="940"/>
      <c r="I750" s="941">
        <f>+UsoSuelo!F1422</f>
        <v>0</v>
      </c>
      <c r="J750" s="941">
        <f>+UsoSuelo!G1422</f>
        <v>0</v>
      </c>
      <c r="K750" s="941">
        <f>+UsoSuelo!H1422</f>
        <v>0</v>
      </c>
      <c r="L750" s="941">
        <f>+UsoSuelo!I1422</f>
        <v>0</v>
      </c>
      <c r="M750" s="941">
        <f>+UsoSuelo!J1422</f>
        <v>0</v>
      </c>
      <c r="N750" s="941">
        <f>+UsoSuelo!K1422</f>
        <v>0</v>
      </c>
      <c r="O750" s="941">
        <f>+UsoSuelo!L1422</f>
        <v>0</v>
      </c>
      <c r="P750" s="941">
        <f>+UsoSuelo!M1422</f>
        <v>0</v>
      </c>
      <c r="Q750" s="941">
        <f>+UsoSuelo!N1422</f>
        <v>0</v>
      </c>
      <c r="R750" s="941">
        <f>+UsoSuelo!O1422</f>
        <v>0</v>
      </c>
      <c r="S750" s="941">
        <f>+UsoSuelo!P1422</f>
        <v>0</v>
      </c>
      <c r="T750" s="945">
        <f>+UsoSuelo!Q1422</f>
        <v>0</v>
      </c>
      <c r="U750" s="934">
        <f>SUM(I750:T750)</f>
        <v>0</v>
      </c>
      <c r="Y750" s="1271"/>
      <c r="Z750" s="372"/>
      <c r="AA750" s="372"/>
      <c r="AB750" s="372"/>
      <c r="AC750" s="372"/>
      <c r="AD750" s="372"/>
      <c r="AE750" s="372"/>
      <c r="AF750" s="372"/>
      <c r="AG750" s="372"/>
      <c r="AH750" s="372"/>
      <c r="AI750" s="372"/>
      <c r="AJ750" s="372"/>
      <c r="AK750" s="372"/>
      <c r="AL750" s="372"/>
      <c r="AM750" s="372"/>
      <c r="AN750" s="372"/>
      <c r="AO750" s="372"/>
      <c r="AP750" s="372"/>
      <c r="AQ750" s="372"/>
      <c r="AR750" s="767"/>
      <c r="AS750" s="254"/>
    </row>
    <row r="751" spans="1:45" ht="15.05" thickBot="1" x14ac:dyDescent="0.35">
      <c r="A751" s="222"/>
      <c r="B751" s="5074"/>
      <c r="C751" s="984">
        <f>IF(B751=0,0,$U$750)</f>
        <v>0</v>
      </c>
      <c r="D751" s="984">
        <f>IF(B751=0,0,VLOOKUP(B751,Precios!$B$217:$D$307,3,FALSE))</f>
        <v>0</v>
      </c>
      <c r="E751" s="5068"/>
      <c r="F751" s="984">
        <f>IF(B751=0,0,VLOOKUP(B751,Precios!$B$216:$D$307,2,FALSE))</f>
        <v>0</v>
      </c>
      <c r="G751" s="994">
        <f>F751*E751</f>
        <v>0</v>
      </c>
      <c r="H751" s="309"/>
      <c r="I751" s="988">
        <f>I$746*$E751</f>
        <v>0</v>
      </c>
      <c r="J751" s="984">
        <f t="shared" ref="J751:T752" si="405">J$746*$E751</f>
        <v>0</v>
      </c>
      <c r="K751" s="984">
        <f t="shared" si="405"/>
        <v>0</v>
      </c>
      <c r="L751" s="984">
        <f t="shared" si="405"/>
        <v>0</v>
      </c>
      <c r="M751" s="984">
        <f t="shared" si="405"/>
        <v>0</v>
      </c>
      <c r="N751" s="984">
        <f t="shared" si="405"/>
        <v>0</v>
      </c>
      <c r="O751" s="984">
        <f t="shared" si="405"/>
        <v>0</v>
      </c>
      <c r="P751" s="984">
        <f t="shared" si="405"/>
        <v>0</v>
      </c>
      <c r="Q751" s="984">
        <f t="shared" si="405"/>
        <v>0</v>
      </c>
      <c r="R751" s="984">
        <f t="shared" si="405"/>
        <v>0</v>
      </c>
      <c r="S751" s="984">
        <f t="shared" si="405"/>
        <v>0</v>
      </c>
      <c r="T751" s="984">
        <f t="shared" si="405"/>
        <v>0</v>
      </c>
      <c r="U751" s="1566">
        <f>+SUM(I751:T751)</f>
        <v>0</v>
      </c>
      <c r="V751" s="232" t="str">
        <f>B751&amp;"contratada"</f>
        <v>contratada</v>
      </c>
      <c r="Y751" s="1271"/>
      <c r="Z751" s="372"/>
      <c r="AA751" s="372"/>
      <c r="AB751" s="372"/>
      <c r="AC751" s="372"/>
      <c r="AD751" s="372"/>
      <c r="AE751" s="372"/>
      <c r="AF751" s="372"/>
      <c r="AG751" s="372"/>
      <c r="AH751" s="372"/>
      <c r="AI751" s="372"/>
      <c r="AJ751" s="372"/>
      <c r="AK751" s="372"/>
      <c r="AL751" s="372"/>
      <c r="AM751" s="372"/>
      <c r="AN751" s="372"/>
      <c r="AO751" s="372"/>
      <c r="AP751" s="372"/>
      <c r="AQ751" s="372"/>
      <c r="AR751" s="767"/>
      <c r="AS751" s="254"/>
    </row>
    <row r="752" spans="1:45" ht="15.05" thickBot="1" x14ac:dyDescent="0.35">
      <c r="A752" s="222"/>
      <c r="B752" s="5075"/>
      <c r="C752" s="987">
        <f>IF(B752=0,0,$U$750)</f>
        <v>0</v>
      </c>
      <c r="D752" s="987">
        <f>IF(B752=0,0,VLOOKUP(B752,Precios!$B$217:$D$307,3,FALSE))</f>
        <v>0</v>
      </c>
      <c r="E752" s="5071"/>
      <c r="F752" s="987">
        <f>IF(B752=0,0,VLOOKUP(B752,Precios!$B$216:$D$307,2,FALSE))</f>
        <v>0</v>
      </c>
      <c r="G752" s="996">
        <f>F752*E752</f>
        <v>0</v>
      </c>
      <c r="H752" s="997"/>
      <c r="I752" s="992">
        <f>I$746*$E752</f>
        <v>0</v>
      </c>
      <c r="J752" s="987">
        <f t="shared" si="405"/>
        <v>0</v>
      </c>
      <c r="K752" s="987">
        <f t="shared" si="405"/>
        <v>0</v>
      </c>
      <c r="L752" s="987">
        <f t="shared" si="405"/>
        <v>0</v>
      </c>
      <c r="M752" s="987">
        <f t="shared" si="405"/>
        <v>0</v>
      </c>
      <c r="N752" s="987">
        <f t="shared" si="405"/>
        <v>0</v>
      </c>
      <c r="O752" s="987">
        <f t="shared" si="405"/>
        <v>0</v>
      </c>
      <c r="P752" s="987">
        <f t="shared" si="405"/>
        <v>0</v>
      </c>
      <c r="Q752" s="987">
        <f t="shared" si="405"/>
        <v>0</v>
      </c>
      <c r="R752" s="987">
        <f t="shared" si="405"/>
        <v>0</v>
      </c>
      <c r="S752" s="987">
        <f t="shared" si="405"/>
        <v>0</v>
      </c>
      <c r="T752" s="987">
        <f t="shared" si="405"/>
        <v>0</v>
      </c>
      <c r="U752" s="1567">
        <f>+SUM(I752:T752)</f>
        <v>0</v>
      </c>
      <c r="V752" s="232" t="str">
        <f>B752&amp;"contratada"</f>
        <v>contratada</v>
      </c>
      <c r="Y752" s="1271"/>
      <c r="Z752" s="372"/>
      <c r="AA752" s="372"/>
      <c r="AB752" s="372"/>
      <c r="AC752" s="372"/>
      <c r="AD752" s="372"/>
      <c r="AE752" s="372"/>
      <c r="AF752" s="372"/>
      <c r="AG752" s="372"/>
      <c r="AH752" s="372"/>
      <c r="AI752" s="372"/>
      <c r="AJ752" s="372"/>
      <c r="AK752" s="372"/>
      <c r="AL752" s="372"/>
      <c r="AM752" s="372"/>
      <c r="AN752" s="372"/>
      <c r="AO752" s="372"/>
      <c r="AP752" s="372"/>
      <c r="AQ752" s="372"/>
      <c r="AR752" s="767"/>
      <c r="AS752" s="254"/>
    </row>
    <row r="753" spans="1:45" ht="15.05" thickBot="1" x14ac:dyDescent="0.25">
      <c r="A753" s="222"/>
      <c r="B753" s="944" t="str">
        <f>UsoSuelo!D354</f>
        <v>Colza grano</v>
      </c>
      <c r="C753" s="344"/>
      <c r="D753" s="345"/>
      <c r="E753" s="346"/>
      <c r="F753" s="346"/>
      <c r="G753" s="346"/>
      <c r="H753" s="345"/>
      <c r="I753" s="347"/>
      <c r="J753" s="348"/>
      <c r="K753" s="348"/>
      <c r="L753" s="348"/>
      <c r="M753" s="348"/>
      <c r="N753" s="348"/>
      <c r="O753" s="348"/>
      <c r="P753" s="348"/>
      <c r="Q753" s="348"/>
      <c r="R753" s="348"/>
      <c r="S753" s="348"/>
      <c r="T753" s="349"/>
      <c r="U753" s="350"/>
      <c r="Y753" s="1271"/>
      <c r="Z753" s="372"/>
      <c r="AA753" s="372"/>
      <c r="AB753" s="372"/>
      <c r="AC753" s="372"/>
      <c r="AD753" s="372"/>
      <c r="AE753" s="372"/>
      <c r="AF753" s="372"/>
      <c r="AG753" s="372"/>
      <c r="AH753" s="372"/>
      <c r="AI753" s="372"/>
      <c r="AJ753" s="372"/>
      <c r="AK753" s="372"/>
      <c r="AL753" s="372"/>
      <c r="AM753" s="372"/>
      <c r="AN753" s="372"/>
      <c r="AO753" s="372"/>
      <c r="AP753" s="372"/>
      <c r="AQ753" s="372"/>
      <c r="AR753" s="767"/>
      <c r="AS753" s="254"/>
    </row>
    <row r="754" spans="1:45" ht="15.05" thickBot="1" x14ac:dyDescent="0.25">
      <c r="A754" s="222"/>
      <c r="B754" s="351" t="s">
        <v>1030</v>
      </c>
      <c r="C754" s="938" t="s">
        <v>1031</v>
      </c>
      <c r="D754" s="939"/>
      <c r="E754" s="939"/>
      <c r="F754" s="939"/>
      <c r="G754" s="939"/>
      <c r="H754" s="940"/>
      <c r="I754" s="941">
        <f>+UsoSuelo!F1423</f>
        <v>0</v>
      </c>
      <c r="J754" s="941">
        <f>+UsoSuelo!G1423</f>
        <v>0</v>
      </c>
      <c r="K754" s="941">
        <f>+UsoSuelo!H1423</f>
        <v>0</v>
      </c>
      <c r="L754" s="941">
        <f>+UsoSuelo!I1423</f>
        <v>0</v>
      </c>
      <c r="M754" s="941">
        <f>+UsoSuelo!J1423</f>
        <v>0</v>
      </c>
      <c r="N754" s="941">
        <f>+UsoSuelo!K1423</f>
        <v>0</v>
      </c>
      <c r="O754" s="941">
        <f>+UsoSuelo!L1423</f>
        <v>0</v>
      </c>
      <c r="P754" s="941">
        <f>+UsoSuelo!M1423</f>
        <v>0</v>
      </c>
      <c r="Q754" s="941">
        <f>+UsoSuelo!N1423</f>
        <v>0</v>
      </c>
      <c r="R754" s="941">
        <f>+UsoSuelo!O1423</f>
        <v>0</v>
      </c>
      <c r="S754" s="941">
        <f>+UsoSuelo!P1423</f>
        <v>0</v>
      </c>
      <c r="T754" s="945">
        <f>+UsoSuelo!Q1423</f>
        <v>0</v>
      </c>
      <c r="U754" s="934">
        <f>SUM(I754:T754)</f>
        <v>0</v>
      </c>
      <c r="Y754" s="1271"/>
      <c r="Z754" s="372"/>
      <c r="AA754" s="372"/>
      <c r="AB754" s="372"/>
      <c r="AC754" s="372"/>
      <c r="AD754" s="372"/>
      <c r="AE754" s="372"/>
      <c r="AF754" s="372"/>
      <c r="AG754" s="372"/>
      <c r="AH754" s="372"/>
      <c r="AI754" s="372"/>
      <c r="AJ754" s="372"/>
      <c r="AK754" s="372"/>
      <c r="AL754" s="372"/>
      <c r="AM754" s="372"/>
      <c r="AN754" s="372"/>
      <c r="AO754" s="372"/>
      <c r="AP754" s="372"/>
      <c r="AQ754" s="372"/>
      <c r="AR754" s="767"/>
      <c r="AS754" s="254"/>
    </row>
    <row r="755" spans="1:45" ht="15.05" thickBot="1" x14ac:dyDescent="0.35">
      <c r="A755" s="222"/>
      <c r="B755" s="5074"/>
      <c r="C755" s="984">
        <f>IF(B755=0,0,$U$754)</f>
        <v>0</v>
      </c>
      <c r="D755" s="984">
        <f>IF(B755=0,0,VLOOKUP(B755,Precios!$B$217:$D$307,3,FALSE))</f>
        <v>0</v>
      </c>
      <c r="E755" s="5068"/>
      <c r="F755" s="984">
        <f>IF(B755=0,0,VLOOKUP(B755,Precios!$B$216:$D$307,2,FALSE))</f>
        <v>0</v>
      </c>
      <c r="G755" s="994">
        <f>F755*E755</f>
        <v>0</v>
      </c>
      <c r="H755" s="309"/>
      <c r="I755" s="988">
        <f>I$754*$E755</f>
        <v>0</v>
      </c>
      <c r="J755" s="984">
        <f t="shared" ref="J755:T756" si="406">J$754*$E755</f>
        <v>0</v>
      </c>
      <c r="K755" s="984">
        <f t="shared" si="406"/>
        <v>0</v>
      </c>
      <c r="L755" s="984">
        <f t="shared" si="406"/>
        <v>0</v>
      </c>
      <c r="M755" s="984">
        <f t="shared" si="406"/>
        <v>0</v>
      </c>
      <c r="N755" s="984">
        <f t="shared" si="406"/>
        <v>0</v>
      </c>
      <c r="O755" s="984">
        <f t="shared" si="406"/>
        <v>0</v>
      </c>
      <c r="P755" s="984">
        <f t="shared" si="406"/>
        <v>0</v>
      </c>
      <c r="Q755" s="984">
        <f t="shared" si="406"/>
        <v>0</v>
      </c>
      <c r="R755" s="984">
        <f t="shared" si="406"/>
        <v>0</v>
      </c>
      <c r="S755" s="984">
        <f t="shared" si="406"/>
        <v>0</v>
      </c>
      <c r="T755" s="984">
        <f t="shared" si="406"/>
        <v>0</v>
      </c>
      <c r="U755" s="1566">
        <f>+SUM(I755:T755)</f>
        <v>0</v>
      </c>
      <c r="V755" s="232" t="str">
        <f>B755&amp;"contratada"</f>
        <v>contratada</v>
      </c>
      <c r="Y755" s="1271"/>
      <c r="Z755" s="372"/>
      <c r="AA755" s="372"/>
      <c r="AB755" s="372"/>
      <c r="AC755" s="372"/>
      <c r="AD755" s="372"/>
      <c r="AE755" s="372"/>
      <c r="AF755" s="372"/>
      <c r="AG755" s="372"/>
      <c r="AH755" s="372"/>
      <c r="AI755" s="372"/>
      <c r="AJ755" s="372"/>
      <c r="AK755" s="372"/>
      <c r="AL755" s="372"/>
      <c r="AM755" s="372"/>
      <c r="AN755" s="372"/>
      <c r="AO755" s="372"/>
      <c r="AP755" s="372"/>
      <c r="AQ755" s="372"/>
      <c r="AR755" s="767"/>
      <c r="AS755" s="254"/>
    </row>
    <row r="756" spans="1:45" ht="15.05" thickBot="1" x14ac:dyDescent="0.35">
      <c r="A756" s="222"/>
      <c r="B756" s="5075"/>
      <c r="C756" s="987">
        <f>IF(B756=0,0,$U$754)</f>
        <v>0</v>
      </c>
      <c r="D756" s="987">
        <f>IF(B756=0,0,VLOOKUP(B756,Precios!$B$217:$D$307,3,FALSE))</f>
        <v>0</v>
      </c>
      <c r="E756" s="5071"/>
      <c r="F756" s="987">
        <f>IF(B756=0,0,VLOOKUP(B756,Precios!$B$216:$D$307,2,FALSE))</f>
        <v>0</v>
      </c>
      <c r="G756" s="996">
        <f>F756*E756</f>
        <v>0</v>
      </c>
      <c r="H756" s="997"/>
      <c r="I756" s="992">
        <f>I$754*$E756</f>
        <v>0</v>
      </c>
      <c r="J756" s="987">
        <f t="shared" si="406"/>
        <v>0</v>
      </c>
      <c r="K756" s="987">
        <f t="shared" si="406"/>
        <v>0</v>
      </c>
      <c r="L756" s="987">
        <f t="shared" si="406"/>
        <v>0</v>
      </c>
      <c r="M756" s="987">
        <f t="shared" si="406"/>
        <v>0</v>
      </c>
      <c r="N756" s="987">
        <f t="shared" si="406"/>
        <v>0</v>
      </c>
      <c r="O756" s="987">
        <f t="shared" si="406"/>
        <v>0</v>
      </c>
      <c r="P756" s="987">
        <f t="shared" si="406"/>
        <v>0</v>
      </c>
      <c r="Q756" s="987">
        <f t="shared" si="406"/>
        <v>0</v>
      </c>
      <c r="R756" s="987">
        <f t="shared" si="406"/>
        <v>0</v>
      </c>
      <c r="S756" s="987">
        <f t="shared" si="406"/>
        <v>0</v>
      </c>
      <c r="T756" s="987">
        <f t="shared" si="406"/>
        <v>0</v>
      </c>
      <c r="U756" s="1567">
        <f>+SUM(I756:T756)</f>
        <v>0</v>
      </c>
      <c r="V756" s="232" t="str">
        <f>B756&amp;"contratada"</f>
        <v>contratada</v>
      </c>
      <c r="Y756" s="1271"/>
      <c r="Z756" s="372"/>
      <c r="AA756" s="372"/>
      <c r="AB756" s="372"/>
      <c r="AC756" s="372"/>
      <c r="AD756" s="372"/>
      <c r="AE756" s="372"/>
      <c r="AF756" s="372"/>
      <c r="AG756" s="372"/>
      <c r="AH756" s="372"/>
      <c r="AI756" s="372"/>
      <c r="AJ756" s="372"/>
      <c r="AK756" s="372"/>
      <c r="AL756" s="372"/>
      <c r="AM756" s="372"/>
      <c r="AN756" s="372"/>
      <c r="AO756" s="372"/>
      <c r="AP756" s="372"/>
      <c r="AQ756" s="372"/>
      <c r="AR756" s="767"/>
      <c r="AS756" s="254"/>
    </row>
    <row r="757" spans="1:45" ht="15.05" thickBot="1" x14ac:dyDescent="0.25">
      <c r="A757" s="222"/>
      <c r="B757" s="944">
        <f>UsoSuelo!D355</f>
        <v>0</v>
      </c>
      <c r="C757" s="344"/>
      <c r="D757" s="345"/>
      <c r="E757" s="346"/>
      <c r="F757" s="346"/>
      <c r="G757" s="346"/>
      <c r="H757" s="345"/>
      <c r="I757" s="347"/>
      <c r="J757" s="348"/>
      <c r="K757" s="348"/>
      <c r="L757" s="348"/>
      <c r="M757" s="348"/>
      <c r="N757" s="348"/>
      <c r="O757" s="348"/>
      <c r="P757" s="348"/>
      <c r="Q757" s="348"/>
      <c r="R757" s="348"/>
      <c r="S757" s="348"/>
      <c r="T757" s="349"/>
      <c r="U757" s="350"/>
      <c r="Y757" s="1271"/>
      <c r="Z757" s="372"/>
      <c r="AA757" s="372"/>
      <c r="AB757" s="372"/>
      <c r="AC757" s="372"/>
      <c r="AD757" s="372"/>
      <c r="AE757" s="372"/>
      <c r="AF757" s="372"/>
      <c r="AG757" s="372"/>
      <c r="AH757" s="372"/>
      <c r="AI757" s="372"/>
      <c r="AJ757" s="372"/>
      <c r="AK757" s="372"/>
      <c r="AL757" s="372"/>
      <c r="AM757" s="372"/>
      <c r="AN757" s="372"/>
      <c r="AO757" s="372"/>
      <c r="AP757" s="372"/>
      <c r="AQ757" s="372"/>
      <c r="AR757" s="767"/>
      <c r="AS757" s="254"/>
    </row>
    <row r="758" spans="1:45" ht="15.05" thickBot="1" x14ac:dyDescent="0.25">
      <c r="A758" s="222"/>
      <c r="B758" s="351" t="s">
        <v>1030</v>
      </c>
      <c r="C758" s="938" t="s">
        <v>1031</v>
      </c>
      <c r="D758" s="939"/>
      <c r="E758" s="939"/>
      <c r="F758" s="939"/>
      <c r="G758" s="939"/>
      <c r="H758" s="940"/>
      <c r="I758" s="941">
        <f>+UsoSuelo!F1424</f>
        <v>0</v>
      </c>
      <c r="J758" s="941">
        <f>+UsoSuelo!G1424</f>
        <v>0</v>
      </c>
      <c r="K758" s="941">
        <f>+UsoSuelo!H1424</f>
        <v>0</v>
      </c>
      <c r="L758" s="941">
        <f>+UsoSuelo!I1424</f>
        <v>0</v>
      </c>
      <c r="M758" s="941">
        <f>+UsoSuelo!J1424</f>
        <v>0</v>
      </c>
      <c r="N758" s="941">
        <f>+UsoSuelo!K1424</f>
        <v>0</v>
      </c>
      <c r="O758" s="941">
        <f>+UsoSuelo!L1424</f>
        <v>0</v>
      </c>
      <c r="P758" s="941">
        <f>+UsoSuelo!M1424</f>
        <v>0</v>
      </c>
      <c r="Q758" s="941">
        <f>+UsoSuelo!N1424</f>
        <v>0</v>
      </c>
      <c r="R758" s="941">
        <f>+UsoSuelo!O1424</f>
        <v>0</v>
      </c>
      <c r="S758" s="941">
        <f>+UsoSuelo!P1424</f>
        <v>0</v>
      </c>
      <c r="T758" s="945">
        <f>+UsoSuelo!Q1424</f>
        <v>0</v>
      </c>
      <c r="U758" s="934">
        <f>SUM(I758:T758)</f>
        <v>0</v>
      </c>
      <c r="Y758" s="1271"/>
      <c r="Z758" s="372"/>
      <c r="AA758" s="372"/>
      <c r="AB758" s="372"/>
      <c r="AC758" s="372"/>
      <c r="AD758" s="372"/>
      <c r="AE758" s="372"/>
      <c r="AF758" s="372"/>
      <c r="AG758" s="372"/>
      <c r="AH758" s="372"/>
      <c r="AI758" s="372"/>
      <c r="AJ758" s="372"/>
      <c r="AK758" s="372"/>
      <c r="AL758" s="372"/>
      <c r="AM758" s="372"/>
      <c r="AN758" s="372"/>
      <c r="AO758" s="372"/>
      <c r="AP758" s="372"/>
      <c r="AQ758" s="372"/>
      <c r="AR758" s="767"/>
      <c r="AS758" s="254"/>
    </row>
    <row r="759" spans="1:45" ht="15.05" thickBot="1" x14ac:dyDescent="0.35">
      <c r="A759" s="222"/>
      <c r="B759" s="5074"/>
      <c r="C759" s="984">
        <f>IF(B759=0,0,$U$758)</f>
        <v>0</v>
      </c>
      <c r="D759" s="984">
        <f>IF(B759=0,0,VLOOKUP(B759,Precios!$B$217:$D$307,3,FALSE))</f>
        <v>0</v>
      </c>
      <c r="E759" s="5068"/>
      <c r="F759" s="984">
        <f>IF(B759=0,0,VLOOKUP(B759,Precios!$B$216:$D$307,2,FALSE))</f>
        <v>0</v>
      </c>
      <c r="G759" s="994">
        <f>F759*E759</f>
        <v>0</v>
      </c>
      <c r="H759" s="309"/>
      <c r="I759" s="988">
        <f>I$758*$E759</f>
        <v>0</v>
      </c>
      <c r="J759" s="984">
        <f t="shared" ref="J759:T760" si="407">J$758*$E759</f>
        <v>0</v>
      </c>
      <c r="K759" s="984">
        <f t="shared" si="407"/>
        <v>0</v>
      </c>
      <c r="L759" s="984">
        <f t="shared" si="407"/>
        <v>0</v>
      </c>
      <c r="M759" s="984">
        <f t="shared" si="407"/>
        <v>0</v>
      </c>
      <c r="N759" s="984">
        <f t="shared" si="407"/>
        <v>0</v>
      </c>
      <c r="O759" s="984">
        <f t="shared" si="407"/>
        <v>0</v>
      </c>
      <c r="P759" s="984">
        <f t="shared" si="407"/>
        <v>0</v>
      </c>
      <c r="Q759" s="984">
        <f t="shared" si="407"/>
        <v>0</v>
      </c>
      <c r="R759" s="984">
        <f t="shared" si="407"/>
        <v>0</v>
      </c>
      <c r="S759" s="984">
        <f t="shared" si="407"/>
        <v>0</v>
      </c>
      <c r="T759" s="984">
        <f t="shared" si="407"/>
        <v>0</v>
      </c>
      <c r="U759" s="1566">
        <f>+SUM(I759:T759)</f>
        <v>0</v>
      </c>
      <c r="V759" s="232" t="str">
        <f>B759&amp;"contratada"</f>
        <v>contratada</v>
      </c>
      <c r="Y759" s="1271"/>
      <c r="Z759" s="372"/>
      <c r="AA759" s="372"/>
      <c r="AB759" s="372"/>
      <c r="AC759" s="372"/>
      <c r="AD759" s="372"/>
      <c r="AE759" s="372"/>
      <c r="AF759" s="372"/>
      <c r="AG759" s="372"/>
      <c r="AH759" s="372"/>
      <c r="AI759" s="372"/>
      <c r="AJ759" s="372"/>
      <c r="AK759" s="372"/>
      <c r="AL759" s="372"/>
      <c r="AM759" s="372"/>
      <c r="AN759" s="372"/>
      <c r="AO759" s="372"/>
      <c r="AP759" s="372"/>
      <c r="AQ759" s="372"/>
      <c r="AR759" s="767"/>
      <c r="AS759" s="254"/>
    </row>
    <row r="760" spans="1:45" ht="15.05" thickBot="1" x14ac:dyDescent="0.35">
      <c r="A760" s="222"/>
      <c r="B760" s="5075"/>
      <c r="C760" s="987">
        <f>IF(B760=0,0,$U$758)</f>
        <v>0</v>
      </c>
      <c r="D760" s="987">
        <f>IF(B760=0,0,VLOOKUP(B760,Precios!$B$217:$D$307,3,FALSE))</f>
        <v>0</v>
      </c>
      <c r="E760" s="5071"/>
      <c r="F760" s="987">
        <f>IF(B760=0,0,VLOOKUP(B760,Precios!$B$216:$D$307,2,FALSE))</f>
        <v>0</v>
      </c>
      <c r="G760" s="996">
        <f>F760*E760</f>
        <v>0</v>
      </c>
      <c r="H760" s="997"/>
      <c r="I760" s="992">
        <f>I$758*$E760</f>
        <v>0</v>
      </c>
      <c r="J760" s="987">
        <f t="shared" si="407"/>
        <v>0</v>
      </c>
      <c r="K760" s="987">
        <f t="shared" si="407"/>
        <v>0</v>
      </c>
      <c r="L760" s="987">
        <f t="shared" si="407"/>
        <v>0</v>
      </c>
      <c r="M760" s="987">
        <f t="shared" si="407"/>
        <v>0</v>
      </c>
      <c r="N760" s="987">
        <f t="shared" si="407"/>
        <v>0</v>
      </c>
      <c r="O760" s="987">
        <f t="shared" si="407"/>
        <v>0</v>
      </c>
      <c r="P760" s="987">
        <f t="shared" si="407"/>
        <v>0</v>
      </c>
      <c r="Q760" s="987">
        <f t="shared" si="407"/>
        <v>0</v>
      </c>
      <c r="R760" s="987">
        <f t="shared" si="407"/>
        <v>0</v>
      </c>
      <c r="S760" s="987">
        <f t="shared" si="407"/>
        <v>0</v>
      </c>
      <c r="T760" s="987">
        <f t="shared" si="407"/>
        <v>0</v>
      </c>
      <c r="U760" s="1567">
        <f>+SUM(I760:T760)</f>
        <v>0</v>
      </c>
      <c r="V760" s="232" t="str">
        <f>B760&amp;"contratada"</f>
        <v>contratada</v>
      </c>
      <c r="Y760" s="1271"/>
      <c r="Z760" s="372"/>
      <c r="AA760" s="372"/>
      <c r="AB760" s="372"/>
      <c r="AC760" s="372"/>
      <c r="AD760" s="372"/>
      <c r="AE760" s="372"/>
      <c r="AF760" s="372"/>
      <c r="AG760" s="372"/>
      <c r="AH760" s="372"/>
      <c r="AI760" s="372"/>
      <c r="AJ760" s="372"/>
      <c r="AK760" s="372"/>
      <c r="AL760" s="372"/>
      <c r="AM760" s="372"/>
      <c r="AN760" s="372"/>
      <c r="AO760" s="372"/>
      <c r="AP760" s="372"/>
      <c r="AQ760" s="372"/>
      <c r="AR760" s="767"/>
      <c r="AS760" s="254"/>
    </row>
    <row r="761" spans="1:45" ht="15.05" thickBot="1" x14ac:dyDescent="0.25">
      <c r="A761" s="222"/>
      <c r="B761" s="944">
        <f>UsoSuelo!D356</f>
        <v>0</v>
      </c>
      <c r="C761" s="344"/>
      <c r="D761" s="345"/>
      <c r="E761" s="346"/>
      <c r="F761" s="346"/>
      <c r="G761" s="346"/>
      <c r="H761" s="345"/>
      <c r="I761" s="347"/>
      <c r="J761" s="348"/>
      <c r="K761" s="348"/>
      <c r="L761" s="348"/>
      <c r="M761" s="348"/>
      <c r="N761" s="348"/>
      <c r="O761" s="348"/>
      <c r="P761" s="348"/>
      <c r="Q761" s="348"/>
      <c r="R761" s="348"/>
      <c r="S761" s="348"/>
      <c r="T761" s="349"/>
      <c r="U761" s="350"/>
      <c r="Y761" s="1271"/>
      <c r="Z761" s="372"/>
      <c r="AA761" s="372"/>
      <c r="AB761" s="372"/>
      <c r="AC761" s="372"/>
      <c r="AD761" s="372"/>
      <c r="AE761" s="372"/>
      <c r="AF761" s="372"/>
      <c r="AG761" s="372"/>
      <c r="AH761" s="372"/>
      <c r="AI761" s="372"/>
      <c r="AJ761" s="372"/>
      <c r="AK761" s="372"/>
      <c r="AL761" s="372"/>
      <c r="AM761" s="372"/>
      <c r="AN761" s="372"/>
      <c r="AO761" s="372"/>
      <c r="AP761" s="372"/>
      <c r="AQ761" s="372"/>
      <c r="AR761" s="767"/>
      <c r="AS761" s="254"/>
    </row>
    <row r="762" spans="1:45" ht="15.05" thickBot="1" x14ac:dyDescent="0.25">
      <c r="A762" s="222"/>
      <c r="B762" s="351" t="s">
        <v>1030</v>
      </c>
      <c r="C762" s="938" t="s">
        <v>1031</v>
      </c>
      <c r="D762" s="939"/>
      <c r="E762" s="939"/>
      <c r="F762" s="939"/>
      <c r="G762" s="939"/>
      <c r="H762" s="940"/>
      <c r="I762" s="941">
        <f>+UsoSuelo!F1425</f>
        <v>0</v>
      </c>
      <c r="J762" s="941">
        <f>+UsoSuelo!G1425</f>
        <v>0</v>
      </c>
      <c r="K762" s="941">
        <f>+UsoSuelo!H1425</f>
        <v>0</v>
      </c>
      <c r="L762" s="941">
        <f>+UsoSuelo!I1425</f>
        <v>0</v>
      </c>
      <c r="M762" s="941">
        <f>+UsoSuelo!J1425</f>
        <v>0</v>
      </c>
      <c r="N762" s="941">
        <f>+UsoSuelo!K1425</f>
        <v>0</v>
      </c>
      <c r="O762" s="941">
        <f>+UsoSuelo!L1425</f>
        <v>0</v>
      </c>
      <c r="P762" s="941">
        <f>+UsoSuelo!M1425</f>
        <v>0</v>
      </c>
      <c r="Q762" s="941">
        <f>+UsoSuelo!N1425</f>
        <v>0</v>
      </c>
      <c r="R762" s="941">
        <f>+UsoSuelo!O1425</f>
        <v>0</v>
      </c>
      <c r="S762" s="941">
        <f>+UsoSuelo!P1425</f>
        <v>0</v>
      </c>
      <c r="T762" s="945">
        <f>+UsoSuelo!Q1425</f>
        <v>0</v>
      </c>
      <c r="U762" s="934">
        <f>SUM(I762:T762)</f>
        <v>0</v>
      </c>
      <c r="Y762" s="1271"/>
      <c r="Z762" s="372"/>
      <c r="AA762" s="372"/>
      <c r="AB762" s="372"/>
      <c r="AC762" s="372"/>
      <c r="AD762" s="372"/>
      <c r="AE762" s="372"/>
      <c r="AF762" s="372"/>
      <c r="AG762" s="372"/>
      <c r="AH762" s="372"/>
      <c r="AI762" s="372"/>
      <c r="AJ762" s="372"/>
      <c r="AK762" s="372"/>
      <c r="AL762" s="372"/>
      <c r="AM762" s="372"/>
      <c r="AN762" s="372"/>
      <c r="AO762" s="372"/>
      <c r="AP762" s="372"/>
      <c r="AQ762" s="372"/>
      <c r="AR762" s="767"/>
      <c r="AS762" s="254"/>
    </row>
    <row r="763" spans="1:45" ht="15.05" thickBot="1" x14ac:dyDescent="0.35">
      <c r="A763" s="222"/>
      <c r="B763" s="5074"/>
      <c r="C763" s="984">
        <f>IF(B763=0,0,$U$762)</f>
        <v>0</v>
      </c>
      <c r="D763" s="984">
        <f>IF(B763=0,0,VLOOKUP(B763,Precios!$B$217:$D$307,3,FALSE))</f>
        <v>0</v>
      </c>
      <c r="E763" s="5068"/>
      <c r="F763" s="984">
        <f>IF(B763=0,0,VLOOKUP(B763,Precios!$B$216:$D$307,2,FALSE))</f>
        <v>0</v>
      </c>
      <c r="G763" s="994">
        <f>F763*E763</f>
        <v>0</v>
      </c>
      <c r="H763" s="309"/>
      <c r="I763" s="988">
        <f>I$762*$E763</f>
        <v>0</v>
      </c>
      <c r="J763" s="984">
        <f t="shared" ref="J763:T764" si="408">J$762*$E763</f>
        <v>0</v>
      </c>
      <c r="K763" s="984">
        <f t="shared" si="408"/>
        <v>0</v>
      </c>
      <c r="L763" s="984">
        <f t="shared" si="408"/>
        <v>0</v>
      </c>
      <c r="M763" s="984">
        <f t="shared" si="408"/>
        <v>0</v>
      </c>
      <c r="N763" s="984">
        <f t="shared" si="408"/>
        <v>0</v>
      </c>
      <c r="O763" s="984">
        <f t="shared" si="408"/>
        <v>0</v>
      </c>
      <c r="P763" s="984">
        <f t="shared" si="408"/>
        <v>0</v>
      </c>
      <c r="Q763" s="984">
        <f t="shared" si="408"/>
        <v>0</v>
      </c>
      <c r="R763" s="984">
        <f t="shared" si="408"/>
        <v>0</v>
      </c>
      <c r="S763" s="984">
        <f t="shared" si="408"/>
        <v>0</v>
      </c>
      <c r="T763" s="984">
        <f t="shared" si="408"/>
        <v>0</v>
      </c>
      <c r="U763" s="1566">
        <f>+SUM(I763:T763)</f>
        <v>0</v>
      </c>
      <c r="V763" s="232" t="str">
        <f>B763&amp;"contratada"</f>
        <v>contratada</v>
      </c>
      <c r="Y763" s="1271"/>
      <c r="Z763" s="372"/>
      <c r="AA763" s="372"/>
      <c r="AB763" s="372"/>
      <c r="AC763" s="372"/>
      <c r="AD763" s="372"/>
      <c r="AE763" s="372"/>
      <c r="AF763" s="372"/>
      <c r="AG763" s="372"/>
      <c r="AH763" s="372"/>
      <c r="AI763" s="372"/>
      <c r="AJ763" s="372"/>
      <c r="AK763" s="372"/>
      <c r="AL763" s="372"/>
      <c r="AM763" s="372"/>
      <c r="AN763" s="372"/>
      <c r="AO763" s="372"/>
      <c r="AP763" s="372"/>
      <c r="AQ763" s="372"/>
      <c r="AR763" s="767"/>
      <c r="AS763" s="254"/>
    </row>
    <row r="764" spans="1:45" ht="15.05" thickBot="1" x14ac:dyDescent="0.35">
      <c r="A764" s="222"/>
      <c r="B764" s="5075"/>
      <c r="C764" s="987">
        <f>IF(B764=0,0,$U$762)</f>
        <v>0</v>
      </c>
      <c r="D764" s="987">
        <f>IF(B764=0,0,VLOOKUP(B764,Precios!$B$217:$D$307,3,FALSE))</f>
        <v>0</v>
      </c>
      <c r="E764" s="5071"/>
      <c r="F764" s="987">
        <f>IF(B764=0,0,VLOOKUP(B764,Precios!$B$216:$D$307,2,FALSE))</f>
        <v>0</v>
      </c>
      <c r="G764" s="996">
        <f>F764*E764</f>
        <v>0</v>
      </c>
      <c r="H764" s="997"/>
      <c r="I764" s="992">
        <f>I$762*$E764</f>
        <v>0</v>
      </c>
      <c r="J764" s="987">
        <f t="shared" si="408"/>
        <v>0</v>
      </c>
      <c r="K764" s="987">
        <f t="shared" si="408"/>
        <v>0</v>
      </c>
      <c r="L764" s="987">
        <f t="shared" si="408"/>
        <v>0</v>
      </c>
      <c r="M764" s="987">
        <f t="shared" si="408"/>
        <v>0</v>
      </c>
      <c r="N764" s="987">
        <f t="shared" si="408"/>
        <v>0</v>
      </c>
      <c r="O764" s="987">
        <f t="shared" si="408"/>
        <v>0</v>
      </c>
      <c r="P764" s="987">
        <f t="shared" si="408"/>
        <v>0</v>
      </c>
      <c r="Q764" s="987">
        <f t="shared" si="408"/>
        <v>0</v>
      </c>
      <c r="R764" s="987">
        <f t="shared" si="408"/>
        <v>0</v>
      </c>
      <c r="S764" s="987">
        <f t="shared" si="408"/>
        <v>0</v>
      </c>
      <c r="T764" s="987">
        <f t="shared" si="408"/>
        <v>0</v>
      </c>
      <c r="U764" s="1567">
        <f>+SUM(I764:T764)</f>
        <v>0</v>
      </c>
      <c r="V764" s="232" t="str">
        <f>B764&amp;"contratada"</f>
        <v>contratada</v>
      </c>
      <c r="Y764" s="1271"/>
      <c r="Z764" s="372"/>
      <c r="AA764" s="372"/>
      <c r="AB764" s="372"/>
      <c r="AC764" s="372"/>
      <c r="AD764" s="372"/>
      <c r="AE764" s="372"/>
      <c r="AF764" s="372"/>
      <c r="AG764" s="372"/>
      <c r="AH764" s="372"/>
      <c r="AI764" s="372"/>
      <c r="AJ764" s="372"/>
      <c r="AK764" s="372"/>
      <c r="AL764" s="372"/>
      <c r="AM764" s="372"/>
      <c r="AN764" s="372"/>
      <c r="AO764" s="372"/>
      <c r="AP764" s="372"/>
      <c r="AQ764" s="372"/>
      <c r="AR764" s="767"/>
      <c r="AS764" s="254"/>
    </row>
    <row r="765" spans="1:45" ht="15.05" thickBot="1" x14ac:dyDescent="0.25">
      <c r="A765" s="222"/>
      <c r="B765" s="944">
        <f>UsoSuelo!D357</f>
        <v>0</v>
      </c>
      <c r="C765" s="344"/>
      <c r="D765" s="345"/>
      <c r="E765" s="346"/>
      <c r="F765" s="346"/>
      <c r="G765" s="346"/>
      <c r="H765" s="345"/>
      <c r="I765" s="347"/>
      <c r="J765" s="348"/>
      <c r="K765" s="348"/>
      <c r="L765" s="348"/>
      <c r="M765" s="348"/>
      <c r="N765" s="348"/>
      <c r="O765" s="348"/>
      <c r="P765" s="348"/>
      <c r="Q765" s="348"/>
      <c r="R765" s="348"/>
      <c r="S765" s="348"/>
      <c r="T765" s="349"/>
      <c r="U765" s="350"/>
      <c r="Y765" s="1271"/>
      <c r="Z765" s="372"/>
      <c r="AA765" s="372"/>
      <c r="AB765" s="372"/>
      <c r="AC765" s="372"/>
      <c r="AD765" s="372"/>
      <c r="AE765" s="372"/>
      <c r="AF765" s="372"/>
      <c r="AG765" s="372"/>
      <c r="AH765" s="372"/>
      <c r="AI765" s="372"/>
      <c r="AJ765" s="372"/>
      <c r="AK765" s="372"/>
      <c r="AL765" s="372"/>
      <c r="AM765" s="372"/>
      <c r="AN765" s="372"/>
      <c r="AO765" s="372"/>
      <c r="AP765" s="372"/>
      <c r="AQ765" s="372"/>
      <c r="AR765" s="767"/>
      <c r="AS765" s="254"/>
    </row>
    <row r="766" spans="1:45" ht="15.05" thickBot="1" x14ac:dyDescent="0.25">
      <c r="A766" s="222"/>
      <c r="B766" s="351" t="s">
        <v>1030</v>
      </c>
      <c r="C766" s="938" t="s">
        <v>1031</v>
      </c>
      <c r="D766" s="939"/>
      <c r="E766" s="939"/>
      <c r="F766" s="939"/>
      <c r="G766" s="939"/>
      <c r="H766" s="940"/>
      <c r="I766" s="941">
        <f>+UsoSuelo!F1426</f>
        <v>0</v>
      </c>
      <c r="J766" s="941">
        <f>+UsoSuelo!G1426</f>
        <v>0</v>
      </c>
      <c r="K766" s="941">
        <f>+UsoSuelo!H1426</f>
        <v>0</v>
      </c>
      <c r="L766" s="941">
        <f>+UsoSuelo!I1426</f>
        <v>0</v>
      </c>
      <c r="M766" s="941">
        <f>+UsoSuelo!J1426</f>
        <v>0</v>
      </c>
      <c r="N766" s="941">
        <f>+UsoSuelo!K1426</f>
        <v>0</v>
      </c>
      <c r="O766" s="941">
        <f>+UsoSuelo!L1426</f>
        <v>0</v>
      </c>
      <c r="P766" s="941">
        <f>+UsoSuelo!M1426</f>
        <v>0</v>
      </c>
      <c r="Q766" s="941">
        <f>+UsoSuelo!N1426</f>
        <v>0</v>
      </c>
      <c r="R766" s="941">
        <f>+UsoSuelo!O1426</f>
        <v>0</v>
      </c>
      <c r="S766" s="941">
        <f>+UsoSuelo!P1426</f>
        <v>0</v>
      </c>
      <c r="T766" s="945">
        <f>+UsoSuelo!Q1426</f>
        <v>0</v>
      </c>
      <c r="U766" s="934">
        <f>SUM(I766:T766)</f>
        <v>0</v>
      </c>
      <c r="Y766" s="1271"/>
      <c r="Z766" s="372"/>
      <c r="AA766" s="372"/>
      <c r="AB766" s="372"/>
      <c r="AC766" s="372"/>
      <c r="AD766" s="372"/>
      <c r="AE766" s="372"/>
      <c r="AF766" s="372"/>
      <c r="AG766" s="372"/>
      <c r="AH766" s="372"/>
      <c r="AI766" s="372"/>
      <c r="AJ766" s="372"/>
      <c r="AK766" s="372"/>
      <c r="AL766" s="372"/>
      <c r="AM766" s="372"/>
      <c r="AN766" s="372"/>
      <c r="AO766" s="372"/>
      <c r="AP766" s="372"/>
      <c r="AQ766" s="372"/>
      <c r="AR766" s="767"/>
      <c r="AS766" s="254"/>
    </row>
    <row r="767" spans="1:45" ht="15.05" thickBot="1" x14ac:dyDescent="0.35">
      <c r="A767" s="222"/>
      <c r="B767" s="5074"/>
      <c r="C767" s="984">
        <f>IF(B767=0,0,$U$766)</f>
        <v>0</v>
      </c>
      <c r="D767" s="984">
        <f>IF(B767=0,0,VLOOKUP(B767,Precios!$B$217:$D$307,3,FALSE))</f>
        <v>0</v>
      </c>
      <c r="E767" s="5068"/>
      <c r="F767" s="984">
        <f>IF(B767=0,0,VLOOKUP(B767,Precios!$B$216:$D$307,2,FALSE))</f>
        <v>0</v>
      </c>
      <c r="G767" s="994">
        <f>F767*E767</f>
        <v>0</v>
      </c>
      <c r="H767" s="309"/>
      <c r="I767" s="988">
        <f>I$766*$E767</f>
        <v>0</v>
      </c>
      <c r="J767" s="984">
        <f t="shared" ref="J767:S768" si="409">J$766*$E767</f>
        <v>0</v>
      </c>
      <c r="K767" s="984">
        <f t="shared" si="409"/>
        <v>0</v>
      </c>
      <c r="L767" s="984">
        <f t="shared" si="409"/>
        <v>0</v>
      </c>
      <c r="M767" s="984">
        <f t="shared" si="409"/>
        <v>0</v>
      </c>
      <c r="N767" s="984">
        <f t="shared" si="409"/>
        <v>0</v>
      </c>
      <c r="O767" s="984">
        <f t="shared" si="409"/>
        <v>0</v>
      </c>
      <c r="P767" s="984">
        <f t="shared" si="409"/>
        <v>0</v>
      </c>
      <c r="Q767" s="984">
        <f t="shared" si="409"/>
        <v>0</v>
      </c>
      <c r="R767" s="984">
        <f t="shared" si="409"/>
        <v>0</v>
      </c>
      <c r="S767" s="984">
        <f t="shared" si="409"/>
        <v>0</v>
      </c>
      <c r="T767" s="984">
        <f>T$766*$E767</f>
        <v>0</v>
      </c>
      <c r="U767" s="1566">
        <f>+SUM(I767:T767)</f>
        <v>0</v>
      </c>
      <c r="V767" s="232" t="str">
        <f>B767&amp;"contratada"</f>
        <v>contratada</v>
      </c>
      <c r="Y767" s="1271"/>
      <c r="Z767" s="372"/>
      <c r="AA767" s="372"/>
      <c r="AB767" s="372"/>
      <c r="AC767" s="372"/>
      <c r="AD767" s="372"/>
      <c r="AE767" s="372"/>
      <c r="AF767" s="372"/>
      <c r="AG767" s="372"/>
      <c r="AH767" s="372"/>
      <c r="AI767" s="372"/>
      <c r="AJ767" s="372"/>
      <c r="AK767" s="372"/>
      <c r="AL767" s="372"/>
      <c r="AM767" s="372"/>
      <c r="AN767" s="372"/>
      <c r="AO767" s="372"/>
      <c r="AP767" s="372"/>
      <c r="AQ767" s="372"/>
      <c r="AR767" s="767"/>
      <c r="AS767" s="254"/>
    </row>
    <row r="768" spans="1:45" ht="15.05" thickBot="1" x14ac:dyDescent="0.35">
      <c r="A768" s="222"/>
      <c r="B768" s="5075"/>
      <c r="C768" s="987">
        <f>IF(B768=0,0,$U$766)</f>
        <v>0</v>
      </c>
      <c r="D768" s="987">
        <f>IF(B768=0,0,VLOOKUP(B768,Precios!$B$217:$D$307,3,FALSE))</f>
        <v>0</v>
      </c>
      <c r="E768" s="5071"/>
      <c r="F768" s="987">
        <f>IF(B768=0,0,VLOOKUP(B768,Precios!$B$216:$D$307,2,FALSE))</f>
        <v>0</v>
      </c>
      <c r="G768" s="996">
        <f>F768*E768</f>
        <v>0</v>
      </c>
      <c r="H768" s="997"/>
      <c r="I768" s="992">
        <f>I$766*$E768</f>
        <v>0</v>
      </c>
      <c r="J768" s="987">
        <f t="shared" si="409"/>
        <v>0</v>
      </c>
      <c r="K768" s="987">
        <f t="shared" si="409"/>
        <v>0</v>
      </c>
      <c r="L768" s="987">
        <f t="shared" si="409"/>
        <v>0</v>
      </c>
      <c r="M768" s="987">
        <f t="shared" si="409"/>
        <v>0</v>
      </c>
      <c r="N768" s="987">
        <f t="shared" si="409"/>
        <v>0</v>
      </c>
      <c r="O768" s="987">
        <f t="shared" si="409"/>
        <v>0</v>
      </c>
      <c r="P768" s="987">
        <f t="shared" si="409"/>
        <v>0</v>
      </c>
      <c r="Q768" s="987">
        <f t="shared" si="409"/>
        <v>0</v>
      </c>
      <c r="R768" s="987">
        <f t="shared" si="409"/>
        <v>0</v>
      </c>
      <c r="S768" s="987">
        <f t="shared" si="409"/>
        <v>0</v>
      </c>
      <c r="T768" s="987">
        <f>T$766*$E768</f>
        <v>0</v>
      </c>
      <c r="U768" s="1567">
        <f>+SUM(I768:T768)</f>
        <v>0</v>
      </c>
      <c r="V768" s="232" t="str">
        <f>B768&amp;"contratada"</f>
        <v>contratada</v>
      </c>
      <c r="Y768" s="1271"/>
      <c r="Z768" s="372"/>
      <c r="AA768" s="372"/>
      <c r="AB768" s="372"/>
      <c r="AC768" s="372"/>
      <c r="AD768" s="372"/>
      <c r="AE768" s="372"/>
      <c r="AF768" s="372"/>
      <c r="AG768" s="372"/>
      <c r="AH768" s="372"/>
      <c r="AI768" s="372"/>
      <c r="AJ768" s="372"/>
      <c r="AK768" s="372"/>
      <c r="AL768" s="372"/>
      <c r="AM768" s="372"/>
      <c r="AN768" s="372"/>
      <c r="AO768" s="372"/>
      <c r="AP768" s="372"/>
      <c r="AQ768" s="372"/>
      <c r="AR768" s="767"/>
      <c r="AS768" s="254"/>
    </row>
    <row r="769" spans="1:45" ht="15.05" thickBot="1" x14ac:dyDescent="0.25">
      <c r="A769" s="222"/>
      <c r="B769" s="944">
        <f>UsoSuelo!D358</f>
        <v>0</v>
      </c>
      <c r="C769" s="344"/>
      <c r="D769" s="345"/>
      <c r="E769" s="346"/>
      <c r="F769" s="346"/>
      <c r="G769" s="346"/>
      <c r="H769" s="345"/>
      <c r="I769" s="347"/>
      <c r="J769" s="348"/>
      <c r="K769" s="348"/>
      <c r="L769" s="348"/>
      <c r="M769" s="348"/>
      <c r="N769" s="348"/>
      <c r="O769" s="348"/>
      <c r="P769" s="348"/>
      <c r="Q769" s="348"/>
      <c r="R769" s="348"/>
      <c r="S769" s="348"/>
      <c r="T769" s="349"/>
      <c r="U769" s="350"/>
      <c r="Y769" s="1271"/>
      <c r="Z769" s="372"/>
      <c r="AA769" s="372"/>
      <c r="AB769" s="372"/>
      <c r="AC769" s="372"/>
      <c r="AD769" s="372"/>
      <c r="AE769" s="372"/>
      <c r="AF769" s="372"/>
      <c r="AG769" s="372"/>
      <c r="AH769" s="372"/>
      <c r="AI769" s="372"/>
      <c r="AJ769" s="372"/>
      <c r="AK769" s="372"/>
      <c r="AL769" s="372"/>
      <c r="AM769" s="372"/>
      <c r="AN769" s="372"/>
      <c r="AO769" s="372"/>
      <c r="AP769" s="372"/>
      <c r="AQ769" s="372"/>
      <c r="AR769" s="767"/>
      <c r="AS769" s="254"/>
    </row>
    <row r="770" spans="1:45" ht="15.05" thickBot="1" x14ac:dyDescent="0.25">
      <c r="A770" s="222"/>
      <c r="B770" s="351" t="s">
        <v>1030</v>
      </c>
      <c r="C770" s="938" t="s">
        <v>1031</v>
      </c>
      <c r="D770" s="939"/>
      <c r="E770" s="939"/>
      <c r="F770" s="939"/>
      <c r="G770" s="939"/>
      <c r="H770" s="940"/>
      <c r="I770" s="941">
        <f>+UsoSuelo!F1427</f>
        <v>0</v>
      </c>
      <c r="J770" s="941">
        <f>+UsoSuelo!G1427</f>
        <v>0</v>
      </c>
      <c r="K770" s="941">
        <f>+UsoSuelo!H1427</f>
        <v>0</v>
      </c>
      <c r="L770" s="941">
        <f>+UsoSuelo!I1427</f>
        <v>0</v>
      </c>
      <c r="M770" s="941">
        <f>+UsoSuelo!J1427</f>
        <v>0</v>
      </c>
      <c r="N770" s="941">
        <f>+UsoSuelo!K1427</f>
        <v>0</v>
      </c>
      <c r="O770" s="941">
        <f>+UsoSuelo!L1427</f>
        <v>0</v>
      </c>
      <c r="P770" s="941">
        <f>+UsoSuelo!M1427</f>
        <v>0</v>
      </c>
      <c r="Q770" s="941">
        <f>+UsoSuelo!N1427</f>
        <v>0</v>
      </c>
      <c r="R770" s="941">
        <f>+UsoSuelo!O1427</f>
        <v>0</v>
      </c>
      <c r="S770" s="941">
        <f>+UsoSuelo!P1427</f>
        <v>0</v>
      </c>
      <c r="T770" s="945">
        <f>+UsoSuelo!Q1427</f>
        <v>0</v>
      </c>
      <c r="U770" s="934">
        <f>SUM(I770:T770)</f>
        <v>0</v>
      </c>
      <c r="Y770" s="1271"/>
      <c r="Z770" s="372"/>
      <c r="AA770" s="372"/>
      <c r="AB770" s="372"/>
      <c r="AC770" s="372"/>
      <c r="AD770" s="372"/>
      <c r="AE770" s="372"/>
      <c r="AF770" s="372"/>
      <c r="AG770" s="372"/>
      <c r="AH770" s="372"/>
      <c r="AI770" s="372"/>
      <c r="AJ770" s="372"/>
      <c r="AK770" s="372"/>
      <c r="AL770" s="372"/>
      <c r="AM770" s="372"/>
      <c r="AN770" s="372"/>
      <c r="AO770" s="372"/>
      <c r="AP770" s="372"/>
      <c r="AQ770" s="372"/>
      <c r="AR770" s="767"/>
      <c r="AS770" s="254"/>
    </row>
    <row r="771" spans="1:45" ht="15.05" thickBot="1" x14ac:dyDescent="0.35">
      <c r="A771" s="222"/>
      <c r="B771" s="5074"/>
      <c r="C771" s="984">
        <f>IF(B771=0,0,$U$770)</f>
        <v>0</v>
      </c>
      <c r="D771" s="984">
        <f>IF(B771=0,0,VLOOKUP(B771,Precios!$B$217:$D$307,3,FALSE))</f>
        <v>0</v>
      </c>
      <c r="E771" s="5068"/>
      <c r="F771" s="984">
        <f>IF(B771=0,0,VLOOKUP(B771,Precios!$B$216:$D$307,2,FALSE))</f>
        <v>0</v>
      </c>
      <c r="G771" s="994">
        <f>F771*E771</f>
        <v>0</v>
      </c>
      <c r="H771" s="309"/>
      <c r="I771" s="988">
        <f>I$770*$E771</f>
        <v>0</v>
      </c>
      <c r="J771" s="984">
        <f t="shared" ref="J771:T772" si="410">J$770*$E771</f>
        <v>0</v>
      </c>
      <c r="K771" s="984">
        <f t="shared" si="410"/>
        <v>0</v>
      </c>
      <c r="L771" s="984">
        <f t="shared" si="410"/>
        <v>0</v>
      </c>
      <c r="M771" s="984">
        <f t="shared" si="410"/>
        <v>0</v>
      </c>
      <c r="N771" s="984">
        <f t="shared" si="410"/>
        <v>0</v>
      </c>
      <c r="O771" s="984">
        <f t="shared" si="410"/>
        <v>0</v>
      </c>
      <c r="P771" s="984">
        <f t="shared" si="410"/>
        <v>0</v>
      </c>
      <c r="Q771" s="984">
        <f t="shared" si="410"/>
        <v>0</v>
      </c>
      <c r="R771" s="984">
        <f t="shared" si="410"/>
        <v>0</v>
      </c>
      <c r="S771" s="984">
        <f t="shared" si="410"/>
        <v>0</v>
      </c>
      <c r="T771" s="984">
        <f t="shared" si="410"/>
        <v>0</v>
      </c>
      <c r="U771" s="1566">
        <f>+SUM(I771:T771)</f>
        <v>0</v>
      </c>
      <c r="V771" s="232" t="str">
        <f>B771&amp;"contratada"</f>
        <v>contratada</v>
      </c>
      <c r="Y771" s="1271"/>
      <c r="Z771" s="372"/>
      <c r="AA771" s="372"/>
      <c r="AB771" s="372"/>
      <c r="AC771" s="372"/>
      <c r="AD771" s="372"/>
      <c r="AE771" s="372"/>
      <c r="AF771" s="372"/>
      <c r="AG771" s="372"/>
      <c r="AH771" s="372"/>
      <c r="AI771" s="372"/>
      <c r="AJ771" s="372"/>
      <c r="AK771" s="372"/>
      <c r="AL771" s="372"/>
      <c r="AM771" s="372"/>
      <c r="AN771" s="372"/>
      <c r="AO771" s="372"/>
      <c r="AP771" s="372"/>
      <c r="AQ771" s="372"/>
      <c r="AR771" s="767"/>
      <c r="AS771" s="254"/>
    </row>
    <row r="772" spans="1:45" ht="15.05" thickBot="1" x14ac:dyDescent="0.35">
      <c r="A772" s="222"/>
      <c r="B772" s="5075"/>
      <c r="C772" s="987">
        <f>IF(B772=0,0,$U$770)</f>
        <v>0</v>
      </c>
      <c r="D772" s="987">
        <f>IF(B772=0,0,VLOOKUP(B772,Precios!$B$217:$D$307,3,FALSE))</f>
        <v>0</v>
      </c>
      <c r="E772" s="5071"/>
      <c r="F772" s="987">
        <f>IF(B772=0,0,VLOOKUP(B772,Precios!$B$216:$D$307,2,FALSE))</f>
        <v>0</v>
      </c>
      <c r="G772" s="996">
        <f>F772*E772</f>
        <v>0</v>
      </c>
      <c r="H772" s="997"/>
      <c r="I772" s="992">
        <f>I$770*$E772</f>
        <v>0</v>
      </c>
      <c r="J772" s="987">
        <f t="shared" si="410"/>
        <v>0</v>
      </c>
      <c r="K772" s="987">
        <f t="shared" si="410"/>
        <v>0</v>
      </c>
      <c r="L772" s="987">
        <f t="shared" si="410"/>
        <v>0</v>
      </c>
      <c r="M772" s="987">
        <f t="shared" si="410"/>
        <v>0</v>
      </c>
      <c r="N772" s="987">
        <f t="shared" si="410"/>
        <v>0</v>
      </c>
      <c r="O772" s="987">
        <f t="shared" si="410"/>
        <v>0</v>
      </c>
      <c r="P772" s="987">
        <f t="shared" si="410"/>
        <v>0</v>
      </c>
      <c r="Q772" s="987">
        <f t="shared" si="410"/>
        <v>0</v>
      </c>
      <c r="R772" s="987">
        <f t="shared" si="410"/>
        <v>0</v>
      </c>
      <c r="S772" s="987">
        <f t="shared" si="410"/>
        <v>0</v>
      </c>
      <c r="T772" s="987">
        <f t="shared" si="410"/>
        <v>0</v>
      </c>
      <c r="U772" s="1567">
        <f>+SUM(I772:T772)</f>
        <v>0</v>
      </c>
      <c r="V772" s="232" t="str">
        <f>B772&amp;"contratada"</f>
        <v>contratada</v>
      </c>
      <c r="Y772" s="1271"/>
      <c r="Z772" s="372"/>
      <c r="AA772" s="372"/>
      <c r="AB772" s="372"/>
      <c r="AC772" s="372"/>
      <c r="AD772" s="372"/>
      <c r="AE772" s="372"/>
      <c r="AF772" s="372"/>
      <c r="AG772" s="372"/>
      <c r="AH772" s="372"/>
      <c r="AI772" s="372"/>
      <c r="AJ772" s="372"/>
      <c r="AK772" s="372"/>
      <c r="AL772" s="372"/>
      <c r="AM772" s="372"/>
      <c r="AN772" s="372"/>
      <c r="AO772" s="372"/>
      <c r="AP772" s="372"/>
      <c r="AQ772" s="372"/>
      <c r="AR772" s="767"/>
      <c r="AS772" s="254"/>
    </row>
    <row r="773" spans="1:45" s="254" customFormat="1" ht="7.85" customHeight="1" x14ac:dyDescent="0.3">
      <c r="B773" s="1562"/>
      <c r="C773" s="425"/>
      <c r="D773" s="425"/>
      <c r="E773" s="425"/>
      <c r="F773" s="425"/>
      <c r="G773" s="425"/>
      <c r="H773" s="425"/>
      <c r="I773" s="425"/>
      <c r="J773" s="425"/>
      <c r="K773" s="425"/>
      <c r="L773" s="425"/>
      <c r="M773" s="425"/>
      <c r="N773" s="425"/>
      <c r="O773" s="425"/>
      <c r="P773" s="425"/>
      <c r="Q773" s="425"/>
      <c r="R773" s="425"/>
      <c r="S773" s="425"/>
      <c r="T773" s="425"/>
      <c r="U773" s="436"/>
      <c r="Y773" s="1271"/>
      <c r="Z773" s="372"/>
      <c r="AA773" s="372"/>
      <c r="AB773" s="372"/>
      <c r="AC773" s="372"/>
      <c r="AD773" s="372"/>
      <c r="AE773" s="372"/>
      <c r="AF773" s="372"/>
      <c r="AG773" s="372"/>
      <c r="AH773" s="372"/>
      <c r="AI773" s="372"/>
      <c r="AJ773" s="372"/>
      <c r="AK773" s="372"/>
      <c r="AL773" s="372"/>
      <c r="AM773" s="372"/>
      <c r="AN773" s="372"/>
      <c r="AO773" s="372"/>
      <c r="AP773" s="372"/>
      <c r="AQ773" s="372"/>
      <c r="AR773" s="767"/>
    </row>
    <row r="774" spans="1:45" ht="15.05" thickBot="1" x14ac:dyDescent="0.25">
      <c r="A774" s="1564">
        <f>+A724</f>
        <v>67</v>
      </c>
      <c r="B774" s="1026" t="s">
        <v>1756</v>
      </c>
      <c r="C774" s="1027"/>
      <c r="D774" s="1028"/>
      <c r="E774" s="1028"/>
      <c r="F774" s="1028"/>
      <c r="G774" s="1028"/>
      <c r="H774" s="1029"/>
      <c r="I774" s="1030"/>
      <c r="J774" s="1030"/>
      <c r="K774" s="1030"/>
      <c r="L774" s="1030"/>
      <c r="M774" s="1030"/>
      <c r="N774" s="1030"/>
      <c r="O774" s="1030"/>
      <c r="P774" s="1030"/>
      <c r="Q774" s="1030"/>
      <c r="R774" s="1030"/>
      <c r="S774" s="1030"/>
      <c r="T774" s="1030"/>
      <c r="U774" s="1031"/>
      <c r="Y774" s="1271"/>
      <c r="Z774" s="372"/>
      <c r="AA774" s="372"/>
      <c r="AB774" s="372"/>
      <c r="AC774" s="372"/>
      <c r="AD774" s="372"/>
      <c r="AE774" s="372"/>
      <c r="AF774" s="372"/>
      <c r="AG774" s="372"/>
      <c r="AH774" s="372"/>
      <c r="AI774" s="372"/>
      <c r="AJ774" s="372"/>
      <c r="AK774" s="372"/>
      <c r="AL774" s="372"/>
      <c r="AM774" s="372"/>
      <c r="AN774" s="372"/>
      <c r="AO774" s="372"/>
      <c r="AP774" s="372"/>
      <c r="AQ774" s="372"/>
      <c r="AR774" s="767"/>
      <c r="AS774" s="254"/>
    </row>
    <row r="775" spans="1:45" ht="15.05" thickBot="1" x14ac:dyDescent="0.25">
      <c r="A775" s="1344" t="s">
        <v>1760</v>
      </c>
      <c r="B775" s="946" t="str">
        <f>UsoSuelo!D360</f>
        <v xml:space="preserve">Alfalfa semillero </v>
      </c>
      <c r="C775" s="345"/>
      <c r="D775" s="345"/>
      <c r="E775" s="346"/>
      <c r="F775" s="346"/>
      <c r="G775" s="346"/>
      <c r="H775" s="345"/>
      <c r="I775" s="352"/>
      <c r="J775" s="349"/>
      <c r="K775" s="349"/>
      <c r="L775" s="349"/>
      <c r="M775" s="349"/>
      <c r="N775" s="349"/>
      <c r="O775" s="349"/>
      <c r="P775" s="349"/>
      <c r="Q775" s="349"/>
      <c r="R775" s="349"/>
      <c r="S775" s="349"/>
      <c r="T775" s="353"/>
      <c r="U775" s="350"/>
      <c r="Y775" s="1271"/>
      <c r="Z775" s="372"/>
      <c r="AA775" s="372"/>
      <c r="AB775" s="372"/>
      <c r="AC775" s="372"/>
      <c r="AD775" s="372"/>
      <c r="AE775" s="372"/>
      <c r="AF775" s="372"/>
      <c r="AG775" s="372"/>
      <c r="AH775" s="372"/>
      <c r="AI775" s="372"/>
      <c r="AJ775" s="372"/>
      <c r="AK775" s="372"/>
      <c r="AL775" s="372"/>
      <c r="AM775" s="372"/>
      <c r="AN775" s="372"/>
      <c r="AO775" s="372"/>
      <c r="AP775" s="372"/>
      <c r="AQ775" s="372"/>
      <c r="AR775" s="767"/>
      <c r="AS775" s="254"/>
    </row>
    <row r="776" spans="1:45" ht="15.05" thickBot="1" x14ac:dyDescent="0.25">
      <c r="A776" s="739"/>
      <c r="B776" s="341" t="s">
        <v>1030</v>
      </c>
      <c r="C776" s="938" t="s">
        <v>1031</v>
      </c>
      <c r="D776" s="939"/>
      <c r="E776" s="939"/>
      <c r="F776" s="939"/>
      <c r="G776" s="939"/>
      <c r="H776" s="940"/>
      <c r="I776" s="941">
        <f>+UsoSuelo!F1429</f>
        <v>0</v>
      </c>
      <c r="J776" s="941">
        <f>+UsoSuelo!G1429</f>
        <v>0</v>
      </c>
      <c r="K776" s="941">
        <f>+UsoSuelo!H1429</f>
        <v>0</v>
      </c>
      <c r="L776" s="941">
        <f>+UsoSuelo!I1429</f>
        <v>0</v>
      </c>
      <c r="M776" s="941">
        <f>+UsoSuelo!J1429</f>
        <v>0</v>
      </c>
      <c r="N776" s="941">
        <f>+UsoSuelo!K1429</f>
        <v>0</v>
      </c>
      <c r="O776" s="941">
        <f>+UsoSuelo!L1429</f>
        <v>0</v>
      </c>
      <c r="P776" s="941">
        <f>+UsoSuelo!M1429</f>
        <v>0</v>
      </c>
      <c r="Q776" s="941">
        <f>+UsoSuelo!N1429</f>
        <v>0</v>
      </c>
      <c r="R776" s="941">
        <f>+UsoSuelo!O1429</f>
        <v>0</v>
      </c>
      <c r="S776" s="941">
        <f>+UsoSuelo!P1429</f>
        <v>0</v>
      </c>
      <c r="T776" s="941">
        <f>+UsoSuelo!Q1429</f>
        <v>0</v>
      </c>
      <c r="U776" s="934">
        <f>SUM(I776:T776)</f>
        <v>0</v>
      </c>
      <c r="Y776" s="1271"/>
      <c r="Z776" s="372"/>
      <c r="AA776" s="372"/>
      <c r="AB776" s="372"/>
      <c r="AC776" s="372"/>
      <c r="AD776" s="372"/>
      <c r="AE776" s="372"/>
      <c r="AF776" s="372"/>
      <c r="AG776" s="372"/>
      <c r="AH776" s="372"/>
      <c r="AI776" s="372"/>
      <c r="AJ776" s="372"/>
      <c r="AK776" s="372"/>
      <c r="AL776" s="372"/>
      <c r="AM776" s="372"/>
      <c r="AN776" s="372"/>
      <c r="AO776" s="372"/>
      <c r="AP776" s="372"/>
      <c r="AQ776" s="372"/>
      <c r="AR776" s="767"/>
      <c r="AS776" s="254"/>
    </row>
    <row r="777" spans="1:45" ht="15.05" thickBot="1" x14ac:dyDescent="0.35">
      <c r="B777" s="5076"/>
      <c r="C777" s="1001">
        <f>IF(B777=0,0,U776)</f>
        <v>0</v>
      </c>
      <c r="D777" s="998">
        <f>IF(B777=0,0,VLOOKUP(B777,Precios!$B$217:$D$307,3,FALSE))</f>
        <v>0</v>
      </c>
      <c r="E777" s="5077"/>
      <c r="F777" s="998">
        <f>IF(B777=0,0,VLOOKUP(B777,Precios!$B$216:$D$307,2,FALSE))</f>
        <v>0</v>
      </c>
      <c r="G777" s="1048">
        <f>F777*E777</f>
        <v>0</v>
      </c>
      <c r="H777" s="1049"/>
      <c r="I777" s="999">
        <f>I776*$E777</f>
        <v>0</v>
      </c>
      <c r="J777" s="998">
        <f t="shared" ref="J777:T777" si="411">J776*$E777</f>
        <v>0</v>
      </c>
      <c r="K777" s="998">
        <f t="shared" si="411"/>
        <v>0</v>
      </c>
      <c r="L777" s="998">
        <f t="shared" si="411"/>
        <v>0</v>
      </c>
      <c r="M777" s="998">
        <f t="shared" si="411"/>
        <v>0</v>
      </c>
      <c r="N777" s="998">
        <f t="shared" si="411"/>
        <v>0</v>
      </c>
      <c r="O777" s="998">
        <f t="shared" si="411"/>
        <v>0</v>
      </c>
      <c r="P777" s="998">
        <f t="shared" si="411"/>
        <v>0</v>
      </c>
      <c r="Q777" s="998">
        <f t="shared" si="411"/>
        <v>0</v>
      </c>
      <c r="R777" s="998">
        <f t="shared" si="411"/>
        <v>0</v>
      </c>
      <c r="S777" s="998">
        <f t="shared" si="411"/>
        <v>0</v>
      </c>
      <c r="T777" s="998">
        <f t="shared" si="411"/>
        <v>0</v>
      </c>
      <c r="U777" s="1000">
        <f>+SUM(I777:T777)</f>
        <v>0</v>
      </c>
      <c r="V777" s="232" t="str">
        <f>B777&amp;"contratada"</f>
        <v>contratada</v>
      </c>
      <c r="Y777" s="1271"/>
      <c r="Z777" s="372"/>
      <c r="AA777" s="372"/>
      <c r="AB777" s="372"/>
      <c r="AC777" s="372"/>
      <c r="AD777" s="372"/>
      <c r="AE777" s="372"/>
      <c r="AF777" s="372"/>
      <c r="AG777" s="372"/>
      <c r="AH777" s="372"/>
      <c r="AI777" s="372"/>
      <c r="AJ777" s="372"/>
      <c r="AK777" s="372"/>
      <c r="AL777" s="372"/>
      <c r="AM777" s="372"/>
      <c r="AN777" s="372"/>
      <c r="AO777" s="372"/>
      <c r="AP777" s="372"/>
      <c r="AQ777" s="372"/>
      <c r="AR777" s="767"/>
      <c r="AS777" s="254"/>
    </row>
    <row r="778" spans="1:45" ht="15.05" thickBot="1" x14ac:dyDescent="0.25">
      <c r="B778" s="946" t="str">
        <f>UsoSuelo!D361</f>
        <v xml:space="preserve">TR semillero </v>
      </c>
      <c r="C778" s="345"/>
      <c r="D778" s="345"/>
      <c r="E778" s="346"/>
      <c r="F778" s="346"/>
      <c r="G778" s="346"/>
      <c r="H778" s="345"/>
      <c r="I778" s="352"/>
      <c r="J778" s="349"/>
      <c r="K778" s="349"/>
      <c r="L778" s="349"/>
      <c r="M778" s="349"/>
      <c r="N778" s="349"/>
      <c r="O778" s="349"/>
      <c r="P778" s="349"/>
      <c r="Q778" s="349"/>
      <c r="R778" s="349"/>
      <c r="S778" s="349"/>
      <c r="T778" s="353"/>
      <c r="U778" s="350"/>
      <c r="Y778" s="1271"/>
      <c r="Z778" s="372"/>
      <c r="AA778" s="372"/>
      <c r="AB778" s="372"/>
      <c r="AC778" s="372"/>
      <c r="AD778" s="372"/>
      <c r="AE778" s="372"/>
      <c r="AF778" s="372"/>
      <c r="AG778" s="372"/>
      <c r="AH778" s="372"/>
      <c r="AI778" s="372"/>
      <c r="AJ778" s="372"/>
      <c r="AK778" s="372"/>
      <c r="AL778" s="372"/>
      <c r="AM778" s="372"/>
      <c r="AN778" s="372"/>
      <c r="AO778" s="372"/>
      <c r="AP778" s="372"/>
      <c r="AQ778" s="372"/>
      <c r="AR778" s="767"/>
      <c r="AS778" s="254"/>
    </row>
    <row r="779" spans="1:45" ht="15.05" thickBot="1" x14ac:dyDescent="0.25">
      <c r="B779" s="341" t="s">
        <v>1030</v>
      </c>
      <c r="C779" s="938" t="s">
        <v>1031</v>
      </c>
      <c r="D779" s="939"/>
      <c r="E779" s="939"/>
      <c r="F779" s="939"/>
      <c r="G779" s="939"/>
      <c r="H779" s="940"/>
      <c r="I779" s="941">
        <f>+UsoSuelo!F1430</f>
        <v>0</v>
      </c>
      <c r="J779" s="941">
        <f>+UsoSuelo!G1430</f>
        <v>0</v>
      </c>
      <c r="K779" s="941">
        <f>+UsoSuelo!H1430</f>
        <v>0</v>
      </c>
      <c r="L779" s="941">
        <f>+UsoSuelo!I1430</f>
        <v>0</v>
      </c>
      <c r="M779" s="941">
        <f>+UsoSuelo!J1430</f>
        <v>0</v>
      </c>
      <c r="N779" s="941">
        <f>+UsoSuelo!K1430</f>
        <v>0</v>
      </c>
      <c r="O779" s="941">
        <f>+UsoSuelo!L1430</f>
        <v>0</v>
      </c>
      <c r="P779" s="941">
        <f>+UsoSuelo!M1430</f>
        <v>0</v>
      </c>
      <c r="Q779" s="941">
        <f>+UsoSuelo!N1430</f>
        <v>0</v>
      </c>
      <c r="R779" s="941">
        <f>+UsoSuelo!O1430</f>
        <v>0</v>
      </c>
      <c r="S779" s="941">
        <f>+UsoSuelo!P1430</f>
        <v>0</v>
      </c>
      <c r="T779" s="941">
        <f>+UsoSuelo!Q1430</f>
        <v>0</v>
      </c>
      <c r="U779" s="934">
        <f>SUM(I779:T779)</f>
        <v>0</v>
      </c>
      <c r="Y779" s="1271"/>
      <c r="Z779" s="372"/>
      <c r="AA779" s="372"/>
      <c r="AB779" s="372"/>
      <c r="AC779" s="372"/>
      <c r="AD779" s="372"/>
      <c r="AE779" s="372"/>
      <c r="AF779" s="372"/>
      <c r="AG779" s="372"/>
      <c r="AH779" s="372"/>
      <c r="AI779" s="372"/>
      <c r="AJ779" s="372"/>
      <c r="AK779" s="372"/>
      <c r="AL779" s="372"/>
      <c r="AM779" s="372"/>
      <c r="AN779" s="372"/>
      <c r="AO779" s="372"/>
      <c r="AP779" s="372"/>
      <c r="AQ779" s="372"/>
      <c r="AR779" s="767"/>
      <c r="AS779" s="254"/>
    </row>
    <row r="780" spans="1:45" ht="15.05" thickBot="1" x14ac:dyDescent="0.35">
      <c r="B780" s="5078"/>
      <c r="C780" s="1001">
        <f>IF(B780=0,0,U779)</f>
        <v>0</v>
      </c>
      <c r="D780" s="998">
        <f>IF(B780=0,0,VLOOKUP(B780,Precios!$B$217:$D$307,3,FALSE))</f>
        <v>0</v>
      </c>
      <c r="E780" s="5077"/>
      <c r="F780" s="998">
        <f>IF(B780=0,0,VLOOKUP(B780,Precios!$B$216:$D$307,2,FALSE))</f>
        <v>0</v>
      </c>
      <c r="G780" s="1048">
        <f>F780*E780</f>
        <v>0</v>
      </c>
      <c r="H780" s="1049"/>
      <c r="I780" s="999">
        <f t="shared" ref="I780:T780" si="412">I779*$E780</f>
        <v>0</v>
      </c>
      <c r="J780" s="998">
        <f t="shared" si="412"/>
        <v>0</v>
      </c>
      <c r="K780" s="998">
        <f t="shared" si="412"/>
        <v>0</v>
      </c>
      <c r="L780" s="998">
        <f t="shared" si="412"/>
        <v>0</v>
      </c>
      <c r="M780" s="998">
        <f t="shared" si="412"/>
        <v>0</v>
      </c>
      <c r="N780" s="998">
        <f t="shared" si="412"/>
        <v>0</v>
      </c>
      <c r="O780" s="998">
        <f t="shared" si="412"/>
        <v>0</v>
      </c>
      <c r="P780" s="998">
        <f t="shared" si="412"/>
        <v>0</v>
      </c>
      <c r="Q780" s="998">
        <f t="shared" si="412"/>
        <v>0</v>
      </c>
      <c r="R780" s="998">
        <f t="shared" si="412"/>
        <v>0</v>
      </c>
      <c r="S780" s="998">
        <f t="shared" si="412"/>
        <v>0</v>
      </c>
      <c r="T780" s="998">
        <f t="shared" si="412"/>
        <v>0</v>
      </c>
      <c r="U780" s="1000">
        <f>+SUM(I780:T780)</f>
        <v>0</v>
      </c>
      <c r="V780" s="232" t="str">
        <f>B780&amp;"contratada"</f>
        <v>contratada</v>
      </c>
      <c r="Y780" s="1271"/>
      <c r="Z780" s="372"/>
      <c r="AA780" s="372"/>
      <c r="AB780" s="372"/>
      <c r="AC780" s="372"/>
      <c r="AD780" s="372"/>
      <c r="AE780" s="372"/>
      <c r="AF780" s="372"/>
      <c r="AG780" s="372"/>
      <c r="AH780" s="372"/>
      <c r="AI780" s="372"/>
      <c r="AJ780" s="372"/>
      <c r="AK780" s="372"/>
      <c r="AL780" s="372"/>
      <c r="AM780" s="372"/>
      <c r="AN780" s="372"/>
      <c r="AO780" s="372"/>
      <c r="AP780" s="372"/>
      <c r="AQ780" s="372"/>
      <c r="AR780" s="767"/>
      <c r="AS780" s="254"/>
    </row>
    <row r="781" spans="1:45" ht="15.05" thickBot="1" x14ac:dyDescent="0.25">
      <c r="B781" s="946" t="str">
        <f>UsoSuelo!D362</f>
        <v xml:space="preserve">TB semillero </v>
      </c>
      <c r="C781" s="345"/>
      <c r="D781" s="345"/>
      <c r="E781" s="346"/>
      <c r="F781" s="346"/>
      <c r="G781" s="346"/>
      <c r="H781" s="345"/>
      <c r="I781" s="352"/>
      <c r="J781" s="349"/>
      <c r="K781" s="349"/>
      <c r="L781" s="349"/>
      <c r="M781" s="349"/>
      <c r="N781" s="349"/>
      <c r="O781" s="349"/>
      <c r="P781" s="349"/>
      <c r="Q781" s="349"/>
      <c r="R781" s="349"/>
      <c r="S781" s="349"/>
      <c r="T781" s="353"/>
      <c r="U781" s="350"/>
      <c r="Y781" s="1271"/>
      <c r="Z781" s="372"/>
      <c r="AA781" s="372"/>
      <c r="AB781" s="372"/>
      <c r="AC781" s="372"/>
      <c r="AD781" s="372"/>
      <c r="AE781" s="372"/>
      <c r="AF781" s="372"/>
      <c r="AG781" s="372"/>
      <c r="AH781" s="372"/>
      <c r="AI781" s="372"/>
      <c r="AJ781" s="372"/>
      <c r="AK781" s="372"/>
      <c r="AL781" s="372"/>
      <c r="AM781" s="372"/>
      <c r="AN781" s="372"/>
      <c r="AO781" s="372"/>
      <c r="AP781" s="372"/>
      <c r="AQ781" s="372"/>
      <c r="AR781" s="767"/>
      <c r="AS781" s="254"/>
    </row>
    <row r="782" spans="1:45" ht="15.05" thickBot="1" x14ac:dyDescent="0.25">
      <c r="B782" s="341" t="s">
        <v>1030</v>
      </c>
      <c r="C782" s="938" t="s">
        <v>1031</v>
      </c>
      <c r="D782" s="939"/>
      <c r="E782" s="939"/>
      <c r="F782" s="939"/>
      <c r="G782" s="939"/>
      <c r="H782" s="940"/>
      <c r="I782" s="941">
        <f>+UsoSuelo!F1431</f>
        <v>0</v>
      </c>
      <c r="J782" s="941">
        <f>+UsoSuelo!G1431</f>
        <v>0</v>
      </c>
      <c r="K782" s="941">
        <f>+UsoSuelo!H1431</f>
        <v>0</v>
      </c>
      <c r="L782" s="941">
        <f>+UsoSuelo!I1431</f>
        <v>0</v>
      </c>
      <c r="M782" s="941">
        <f>+UsoSuelo!J1431</f>
        <v>0</v>
      </c>
      <c r="N782" s="941">
        <f>+UsoSuelo!K1431</f>
        <v>0</v>
      </c>
      <c r="O782" s="941">
        <f>+UsoSuelo!L1431</f>
        <v>0</v>
      </c>
      <c r="P782" s="941">
        <f>+UsoSuelo!M1431</f>
        <v>0</v>
      </c>
      <c r="Q782" s="941">
        <f>+UsoSuelo!N1431</f>
        <v>0</v>
      </c>
      <c r="R782" s="941">
        <f>+UsoSuelo!O1431</f>
        <v>0</v>
      </c>
      <c r="S782" s="941">
        <f>+UsoSuelo!P1431</f>
        <v>0</v>
      </c>
      <c r="T782" s="941">
        <f>+UsoSuelo!Q1431</f>
        <v>0</v>
      </c>
      <c r="U782" s="934">
        <f>SUM(I782:T782)</f>
        <v>0</v>
      </c>
      <c r="Y782" s="1271"/>
      <c r="Z782" s="372"/>
      <c r="AA782" s="372"/>
      <c r="AB782" s="372"/>
      <c r="AC782" s="372"/>
      <c r="AD782" s="372"/>
      <c r="AE782" s="372"/>
      <c r="AF782" s="372"/>
      <c r="AG782" s="372"/>
      <c r="AH782" s="372"/>
      <c r="AI782" s="372"/>
      <c r="AJ782" s="372"/>
      <c r="AK782" s="372"/>
      <c r="AL782" s="372"/>
      <c r="AM782" s="372"/>
      <c r="AN782" s="372"/>
      <c r="AO782" s="372"/>
      <c r="AP782" s="372"/>
      <c r="AQ782" s="372"/>
      <c r="AR782" s="767"/>
      <c r="AS782" s="254"/>
    </row>
    <row r="783" spans="1:45" ht="15.05" thickBot="1" x14ac:dyDescent="0.35">
      <c r="B783" s="5076"/>
      <c r="C783" s="1001">
        <f>IF(B783=0,0,U782)</f>
        <v>0</v>
      </c>
      <c r="D783" s="998">
        <f>IF(B783=0,0,VLOOKUP(B783,Precios!$B$217:$D$307,3,FALSE))</f>
        <v>0</v>
      </c>
      <c r="E783" s="5077"/>
      <c r="F783" s="998">
        <f>IF(B783=0,0,VLOOKUP(B783,Precios!$B$216:$D$307,2,FALSE))</f>
        <v>0</v>
      </c>
      <c r="G783" s="1048">
        <f>F783*E783</f>
        <v>0</v>
      </c>
      <c r="H783" s="1049"/>
      <c r="I783" s="999">
        <f t="shared" ref="I783:T783" si="413">I782*$E783</f>
        <v>0</v>
      </c>
      <c r="J783" s="998">
        <f t="shared" si="413"/>
        <v>0</v>
      </c>
      <c r="K783" s="998">
        <f t="shared" si="413"/>
        <v>0</v>
      </c>
      <c r="L783" s="998">
        <f t="shared" si="413"/>
        <v>0</v>
      </c>
      <c r="M783" s="998">
        <f t="shared" si="413"/>
        <v>0</v>
      </c>
      <c r="N783" s="998">
        <f t="shared" si="413"/>
        <v>0</v>
      </c>
      <c r="O783" s="998">
        <f t="shared" si="413"/>
        <v>0</v>
      </c>
      <c r="P783" s="998">
        <f t="shared" si="413"/>
        <v>0</v>
      </c>
      <c r="Q783" s="998">
        <f t="shared" si="413"/>
        <v>0</v>
      </c>
      <c r="R783" s="998">
        <f t="shared" si="413"/>
        <v>0</v>
      </c>
      <c r="S783" s="998">
        <f t="shared" si="413"/>
        <v>0</v>
      </c>
      <c r="T783" s="998">
        <f t="shared" si="413"/>
        <v>0</v>
      </c>
      <c r="U783" s="1000">
        <f>+SUM(I783:T783)</f>
        <v>0</v>
      </c>
      <c r="V783" s="232" t="str">
        <f>B783&amp;"contratada"</f>
        <v>contratada</v>
      </c>
      <c r="Y783" s="1271"/>
      <c r="Z783" s="372"/>
      <c r="AA783" s="372"/>
      <c r="AB783" s="372"/>
      <c r="AC783" s="372"/>
      <c r="AD783" s="372"/>
      <c r="AE783" s="372"/>
      <c r="AF783" s="372"/>
      <c r="AG783" s="372"/>
      <c r="AH783" s="372"/>
      <c r="AI783" s="372"/>
      <c r="AJ783" s="372"/>
      <c r="AK783" s="372"/>
      <c r="AL783" s="372"/>
      <c r="AM783" s="372"/>
      <c r="AN783" s="372"/>
      <c r="AO783" s="372"/>
      <c r="AP783" s="372"/>
      <c r="AQ783" s="372"/>
      <c r="AR783" s="767"/>
      <c r="AS783" s="254"/>
    </row>
    <row r="784" spans="1:45" ht="15.05" thickBot="1" x14ac:dyDescent="0.25">
      <c r="B784" s="946" t="str">
        <f>UsoSuelo!D363</f>
        <v xml:space="preserve">Achicoria Semillero </v>
      </c>
      <c r="C784" s="345"/>
      <c r="D784" s="345"/>
      <c r="E784" s="346"/>
      <c r="F784" s="346"/>
      <c r="G784" s="346"/>
      <c r="H784" s="345"/>
      <c r="I784" s="352"/>
      <c r="J784" s="349"/>
      <c r="K784" s="349"/>
      <c r="L784" s="349"/>
      <c r="M784" s="349"/>
      <c r="N784" s="349"/>
      <c r="O784" s="349"/>
      <c r="P784" s="349"/>
      <c r="Q784" s="349"/>
      <c r="R784" s="349"/>
      <c r="S784" s="349"/>
      <c r="T784" s="353"/>
      <c r="U784" s="350"/>
      <c r="Y784" s="1271"/>
      <c r="Z784" s="372"/>
      <c r="AA784" s="372"/>
      <c r="AB784" s="372"/>
      <c r="AC784" s="372"/>
      <c r="AD784" s="372"/>
      <c r="AE784" s="372"/>
      <c r="AF784" s="372"/>
      <c r="AG784" s="372"/>
      <c r="AH784" s="372"/>
      <c r="AI784" s="372"/>
      <c r="AJ784" s="372"/>
      <c r="AK784" s="372"/>
      <c r="AL784" s="372"/>
      <c r="AM784" s="372"/>
      <c r="AN784" s="372"/>
      <c r="AO784" s="372"/>
      <c r="AP784" s="372"/>
      <c r="AQ784" s="372"/>
      <c r="AR784" s="767"/>
      <c r="AS784" s="254"/>
    </row>
    <row r="785" spans="2:45" ht="15.05" thickBot="1" x14ac:dyDescent="0.25">
      <c r="B785" s="341" t="s">
        <v>1030</v>
      </c>
      <c r="C785" s="938" t="s">
        <v>1031</v>
      </c>
      <c r="D785" s="939"/>
      <c r="E785" s="939"/>
      <c r="F785" s="939"/>
      <c r="G785" s="939"/>
      <c r="H785" s="940"/>
      <c r="I785" s="941">
        <f>+UsoSuelo!F1432</f>
        <v>0</v>
      </c>
      <c r="J785" s="941">
        <f>+UsoSuelo!G1432</f>
        <v>0</v>
      </c>
      <c r="K785" s="941">
        <f>+UsoSuelo!H1432</f>
        <v>0</v>
      </c>
      <c r="L785" s="941">
        <f>+UsoSuelo!I1432</f>
        <v>0</v>
      </c>
      <c r="M785" s="941">
        <f>+UsoSuelo!J1432</f>
        <v>0</v>
      </c>
      <c r="N785" s="941">
        <f>+UsoSuelo!K1432</f>
        <v>0</v>
      </c>
      <c r="O785" s="941">
        <f>+UsoSuelo!L1432</f>
        <v>0</v>
      </c>
      <c r="P785" s="941">
        <f>+UsoSuelo!M1432</f>
        <v>0</v>
      </c>
      <c r="Q785" s="941">
        <f>+UsoSuelo!N1432</f>
        <v>0</v>
      </c>
      <c r="R785" s="941">
        <f>+UsoSuelo!O1432</f>
        <v>0</v>
      </c>
      <c r="S785" s="941">
        <f>+UsoSuelo!P1432</f>
        <v>0</v>
      </c>
      <c r="T785" s="941">
        <f>+UsoSuelo!Q1432</f>
        <v>0</v>
      </c>
      <c r="U785" s="934">
        <f>SUM(I785:T785)</f>
        <v>0</v>
      </c>
      <c r="Y785" s="1271"/>
      <c r="Z785" s="372"/>
      <c r="AA785" s="372"/>
      <c r="AB785" s="372"/>
      <c r="AC785" s="372"/>
      <c r="AD785" s="372"/>
      <c r="AE785" s="372"/>
      <c r="AF785" s="372"/>
      <c r="AG785" s="372"/>
      <c r="AH785" s="372"/>
      <c r="AI785" s="372"/>
      <c r="AJ785" s="372"/>
      <c r="AK785" s="372"/>
      <c r="AL785" s="372"/>
      <c r="AM785" s="372"/>
      <c r="AN785" s="372"/>
      <c r="AO785" s="372"/>
      <c r="AP785" s="372"/>
      <c r="AQ785" s="372"/>
      <c r="AR785" s="767"/>
      <c r="AS785" s="254"/>
    </row>
    <row r="786" spans="2:45" ht="15.05" thickBot="1" x14ac:dyDescent="0.35">
      <c r="B786" s="5076"/>
      <c r="C786" s="1001">
        <f>IF(B786=0,0,U785)</f>
        <v>0</v>
      </c>
      <c r="D786" s="998">
        <f>IF(B786=0,0,VLOOKUP(B786,Precios!$B$217:$D$307,3,FALSE))</f>
        <v>0</v>
      </c>
      <c r="E786" s="5077"/>
      <c r="F786" s="998">
        <f>IF(B786=0,0,VLOOKUP(B786,Precios!$B$216:$D$307,2,FALSE))</f>
        <v>0</v>
      </c>
      <c r="G786" s="1048">
        <f>F786*E786</f>
        <v>0</v>
      </c>
      <c r="H786" s="1049"/>
      <c r="I786" s="999">
        <f t="shared" ref="I786:T786" si="414">I785*$E786</f>
        <v>0</v>
      </c>
      <c r="J786" s="998">
        <f t="shared" si="414"/>
        <v>0</v>
      </c>
      <c r="K786" s="998">
        <f t="shared" si="414"/>
        <v>0</v>
      </c>
      <c r="L786" s="998">
        <f t="shared" si="414"/>
        <v>0</v>
      </c>
      <c r="M786" s="998">
        <f t="shared" si="414"/>
        <v>0</v>
      </c>
      <c r="N786" s="998">
        <f t="shared" si="414"/>
        <v>0</v>
      </c>
      <c r="O786" s="998">
        <f t="shared" si="414"/>
        <v>0</v>
      </c>
      <c r="P786" s="998">
        <f t="shared" si="414"/>
        <v>0</v>
      </c>
      <c r="Q786" s="998">
        <f t="shared" si="414"/>
        <v>0</v>
      </c>
      <c r="R786" s="998">
        <f t="shared" si="414"/>
        <v>0</v>
      </c>
      <c r="S786" s="998">
        <f t="shared" si="414"/>
        <v>0</v>
      </c>
      <c r="T786" s="998">
        <f t="shared" si="414"/>
        <v>0</v>
      </c>
      <c r="U786" s="1000">
        <f>+SUM(I786:T786)</f>
        <v>0</v>
      </c>
      <c r="V786" s="232" t="str">
        <f>B786&amp;"contratada"</f>
        <v>contratada</v>
      </c>
      <c r="Y786" s="1271"/>
      <c r="Z786" s="372"/>
      <c r="AA786" s="372"/>
      <c r="AB786" s="372"/>
      <c r="AC786" s="372"/>
      <c r="AD786" s="372"/>
      <c r="AE786" s="372"/>
      <c r="AF786" s="372"/>
      <c r="AG786" s="372"/>
      <c r="AH786" s="372"/>
      <c r="AI786" s="372"/>
      <c r="AJ786" s="372"/>
      <c r="AK786" s="372"/>
      <c r="AL786" s="372"/>
      <c r="AM786" s="372"/>
      <c r="AN786" s="372"/>
      <c r="AO786" s="372"/>
      <c r="AP786" s="372"/>
      <c r="AQ786" s="372"/>
      <c r="AR786" s="767"/>
      <c r="AS786" s="254"/>
    </row>
    <row r="787" spans="2:45" ht="15.05" thickBot="1" x14ac:dyDescent="0.25">
      <c r="B787" s="946">
        <f>UsoSuelo!D364</f>
        <v>0</v>
      </c>
      <c r="C787" s="345"/>
      <c r="D787" s="345"/>
      <c r="E787" s="346"/>
      <c r="F787" s="346"/>
      <c r="G787" s="346"/>
      <c r="H787" s="345"/>
      <c r="I787" s="352"/>
      <c r="J787" s="349"/>
      <c r="K787" s="349"/>
      <c r="L787" s="349"/>
      <c r="M787" s="349"/>
      <c r="N787" s="349"/>
      <c r="O787" s="349"/>
      <c r="P787" s="349"/>
      <c r="Q787" s="349"/>
      <c r="R787" s="349"/>
      <c r="S787" s="349"/>
      <c r="T787" s="353"/>
      <c r="U787" s="350"/>
      <c r="Y787" s="1271"/>
      <c r="Z787" s="372"/>
      <c r="AA787" s="372"/>
      <c r="AB787" s="372"/>
      <c r="AC787" s="372"/>
      <c r="AD787" s="372"/>
      <c r="AE787" s="372"/>
      <c r="AF787" s="372"/>
      <c r="AG787" s="372"/>
      <c r="AH787" s="372"/>
      <c r="AI787" s="372"/>
      <c r="AJ787" s="372"/>
      <c r="AK787" s="372"/>
      <c r="AL787" s="372"/>
      <c r="AM787" s="372"/>
      <c r="AN787" s="372"/>
      <c r="AO787" s="372"/>
      <c r="AP787" s="372"/>
      <c r="AQ787" s="372"/>
      <c r="AR787" s="767"/>
      <c r="AS787" s="254"/>
    </row>
    <row r="788" spans="2:45" ht="15.05" thickBot="1" x14ac:dyDescent="0.25">
      <c r="B788" s="341" t="s">
        <v>1030</v>
      </c>
      <c r="C788" s="938" t="s">
        <v>1031</v>
      </c>
      <c r="D788" s="939"/>
      <c r="E788" s="939"/>
      <c r="F788" s="939"/>
      <c r="G788" s="939"/>
      <c r="H788" s="940"/>
      <c r="I788" s="941">
        <f>+UsoSuelo!F1433</f>
        <v>0</v>
      </c>
      <c r="J788" s="941">
        <f>+UsoSuelo!G1433</f>
        <v>0</v>
      </c>
      <c r="K788" s="941">
        <f>+UsoSuelo!H1433</f>
        <v>0</v>
      </c>
      <c r="L788" s="941">
        <f>+UsoSuelo!I1433</f>
        <v>0</v>
      </c>
      <c r="M788" s="941">
        <f>+UsoSuelo!J1433</f>
        <v>0</v>
      </c>
      <c r="N788" s="941">
        <f>+UsoSuelo!K1433</f>
        <v>0</v>
      </c>
      <c r="O788" s="941">
        <f>+UsoSuelo!L1433</f>
        <v>0</v>
      </c>
      <c r="P788" s="941">
        <f>+UsoSuelo!M1433</f>
        <v>0</v>
      </c>
      <c r="Q788" s="941">
        <f>+UsoSuelo!N1433</f>
        <v>0</v>
      </c>
      <c r="R788" s="941">
        <f>+UsoSuelo!O1433</f>
        <v>0</v>
      </c>
      <c r="S788" s="941">
        <f>+UsoSuelo!P1433</f>
        <v>0</v>
      </c>
      <c r="T788" s="941">
        <f>+UsoSuelo!Q1433</f>
        <v>0</v>
      </c>
      <c r="U788" s="934">
        <f>SUM(I788:T788)</f>
        <v>0</v>
      </c>
      <c r="Y788" s="1271"/>
      <c r="Z788" s="372"/>
      <c r="AA788" s="372"/>
      <c r="AB788" s="372"/>
      <c r="AC788" s="372"/>
      <c r="AD788" s="372"/>
      <c r="AE788" s="372"/>
      <c r="AF788" s="372"/>
      <c r="AG788" s="372"/>
      <c r="AH788" s="372"/>
      <c r="AI788" s="372"/>
      <c r="AJ788" s="372"/>
      <c r="AK788" s="372"/>
      <c r="AL788" s="372"/>
      <c r="AM788" s="372"/>
      <c r="AN788" s="372"/>
      <c r="AO788" s="372"/>
      <c r="AP788" s="372"/>
      <c r="AQ788" s="372"/>
      <c r="AR788" s="767"/>
      <c r="AS788" s="254"/>
    </row>
    <row r="789" spans="2:45" ht="15.05" thickBot="1" x14ac:dyDescent="0.35">
      <c r="B789" s="5076"/>
      <c r="C789" s="1001">
        <f>IF(B789=0,0,U788)</f>
        <v>0</v>
      </c>
      <c r="D789" s="998">
        <f>IF(B789=0,0,VLOOKUP(B789,Precios!$B$217:$D$307,3,FALSE))</f>
        <v>0</v>
      </c>
      <c r="E789" s="5077"/>
      <c r="F789" s="998">
        <f>IF(B789=0,0,VLOOKUP(B789,Precios!$B$216:$D$307,2,FALSE))</f>
        <v>0</v>
      </c>
      <c r="G789" s="1048">
        <f>F789*E789</f>
        <v>0</v>
      </c>
      <c r="H789" s="1049"/>
      <c r="I789" s="999">
        <f t="shared" ref="I789:T789" si="415">I788*$E789</f>
        <v>0</v>
      </c>
      <c r="J789" s="998">
        <f t="shared" si="415"/>
        <v>0</v>
      </c>
      <c r="K789" s="998">
        <f t="shared" si="415"/>
        <v>0</v>
      </c>
      <c r="L789" s="998">
        <f t="shared" si="415"/>
        <v>0</v>
      </c>
      <c r="M789" s="998">
        <f t="shared" si="415"/>
        <v>0</v>
      </c>
      <c r="N789" s="998">
        <f t="shared" si="415"/>
        <v>0</v>
      </c>
      <c r="O789" s="998">
        <f t="shared" si="415"/>
        <v>0</v>
      </c>
      <c r="P789" s="998">
        <f t="shared" si="415"/>
        <v>0</v>
      </c>
      <c r="Q789" s="998">
        <f t="shared" si="415"/>
        <v>0</v>
      </c>
      <c r="R789" s="998">
        <f t="shared" si="415"/>
        <v>0</v>
      </c>
      <c r="S789" s="998">
        <f t="shared" si="415"/>
        <v>0</v>
      </c>
      <c r="T789" s="998">
        <f t="shared" si="415"/>
        <v>0</v>
      </c>
      <c r="U789" s="1000">
        <f>+SUM(I789:T789)</f>
        <v>0</v>
      </c>
      <c r="V789" s="232" t="str">
        <f>B789&amp;"contratada"</f>
        <v>contratada</v>
      </c>
      <c r="Y789" s="1271"/>
      <c r="Z789" s="372"/>
      <c r="AA789" s="372"/>
      <c r="AB789" s="372"/>
      <c r="AC789" s="372"/>
      <c r="AD789" s="372"/>
      <c r="AE789" s="372"/>
      <c r="AF789" s="372"/>
      <c r="AG789" s="372"/>
      <c r="AH789" s="372"/>
      <c r="AI789" s="372"/>
      <c r="AJ789" s="372"/>
      <c r="AK789" s="372"/>
      <c r="AL789" s="372"/>
      <c r="AM789" s="372"/>
      <c r="AN789" s="372"/>
      <c r="AO789" s="372"/>
      <c r="AP789" s="372"/>
      <c r="AQ789" s="372"/>
      <c r="AR789" s="767"/>
      <c r="AS789" s="254"/>
    </row>
    <row r="790" spans="2:45" ht="15.05" thickBot="1" x14ac:dyDescent="0.25">
      <c r="B790" s="946">
        <f>UsoSuelo!D365</f>
        <v>0</v>
      </c>
      <c r="C790" s="345"/>
      <c r="D790" s="345"/>
      <c r="E790" s="346"/>
      <c r="F790" s="346"/>
      <c r="G790" s="346"/>
      <c r="H790" s="345"/>
      <c r="I790" s="352"/>
      <c r="J790" s="349"/>
      <c r="K790" s="349"/>
      <c r="L790" s="349"/>
      <c r="M790" s="349"/>
      <c r="N790" s="349"/>
      <c r="O790" s="349"/>
      <c r="P790" s="349"/>
      <c r="Q790" s="349"/>
      <c r="R790" s="349"/>
      <c r="S790" s="349"/>
      <c r="T790" s="353"/>
      <c r="U790" s="350"/>
      <c r="V790" s="232" t="s">
        <v>577</v>
      </c>
      <c r="Y790" s="1271"/>
      <c r="Z790" s="372"/>
      <c r="AA790" s="372"/>
      <c r="AB790" s="372"/>
      <c r="AC790" s="372"/>
      <c r="AD790" s="372"/>
      <c r="AE790" s="372"/>
      <c r="AF790" s="372"/>
      <c r="AG790" s="372"/>
      <c r="AH790" s="372"/>
      <c r="AI790" s="372"/>
      <c r="AJ790" s="372"/>
      <c r="AK790" s="372"/>
      <c r="AL790" s="372"/>
      <c r="AM790" s="372"/>
      <c r="AN790" s="372"/>
      <c r="AO790" s="372"/>
      <c r="AP790" s="372"/>
      <c r="AQ790" s="372"/>
      <c r="AR790" s="767"/>
      <c r="AS790" s="254"/>
    </row>
    <row r="791" spans="2:45" ht="15.05" thickBot="1" x14ac:dyDescent="0.25">
      <c r="B791" s="341" t="s">
        <v>1030</v>
      </c>
      <c r="C791" s="938" t="s">
        <v>1031</v>
      </c>
      <c r="D791" s="939"/>
      <c r="E791" s="939"/>
      <c r="F791" s="939"/>
      <c r="G791" s="939"/>
      <c r="H791" s="940"/>
      <c r="I791" s="941">
        <f>+UsoSuelo!F1434</f>
        <v>0</v>
      </c>
      <c r="J791" s="941">
        <f>+UsoSuelo!G1434</f>
        <v>0</v>
      </c>
      <c r="K791" s="941">
        <f>+UsoSuelo!H1434</f>
        <v>0</v>
      </c>
      <c r="L791" s="941">
        <f>+UsoSuelo!I1434</f>
        <v>0</v>
      </c>
      <c r="M791" s="941">
        <f>+UsoSuelo!J1434</f>
        <v>0</v>
      </c>
      <c r="N791" s="941">
        <f>+UsoSuelo!K1434</f>
        <v>0</v>
      </c>
      <c r="O791" s="941">
        <f>+UsoSuelo!L1434</f>
        <v>0</v>
      </c>
      <c r="P791" s="941">
        <f>+UsoSuelo!M1434</f>
        <v>0</v>
      </c>
      <c r="Q791" s="941">
        <f>+UsoSuelo!N1434</f>
        <v>0</v>
      </c>
      <c r="R791" s="941">
        <f>+UsoSuelo!O1434</f>
        <v>0</v>
      </c>
      <c r="S791" s="941">
        <f>+UsoSuelo!P1434</f>
        <v>0</v>
      </c>
      <c r="T791" s="941">
        <f>+UsoSuelo!Q1434</f>
        <v>0</v>
      </c>
      <c r="U791" s="934">
        <f>SUM(I791:T791)</f>
        <v>0</v>
      </c>
      <c r="Y791" s="1271"/>
      <c r="Z791" s="372"/>
      <c r="AA791" s="372"/>
      <c r="AB791" s="372"/>
      <c r="AC791" s="372"/>
      <c r="AD791" s="372"/>
      <c r="AE791" s="372"/>
      <c r="AF791" s="372"/>
      <c r="AG791" s="372"/>
      <c r="AH791" s="372"/>
      <c r="AI791" s="372"/>
      <c r="AJ791" s="372"/>
      <c r="AK791" s="372"/>
      <c r="AL791" s="372"/>
      <c r="AM791" s="372"/>
      <c r="AN791" s="372"/>
      <c r="AO791" s="372"/>
      <c r="AP791" s="372"/>
      <c r="AQ791" s="372"/>
      <c r="AR791" s="767"/>
      <c r="AS791" s="254"/>
    </row>
    <row r="792" spans="2:45" ht="15.05" thickBot="1" x14ac:dyDescent="0.35">
      <c r="B792" s="5076"/>
      <c r="C792" s="1001">
        <f>IF(B792=0,0,U791)</f>
        <v>0</v>
      </c>
      <c r="D792" s="998">
        <f>IF(B792=0,0,VLOOKUP(B792,Precios!$B$217:$D$307,3,FALSE))</f>
        <v>0</v>
      </c>
      <c r="E792" s="5077"/>
      <c r="F792" s="998">
        <f>IF(B792=0,0,VLOOKUP(B792,Precios!$B$216:$D$307,2,FALSE))</f>
        <v>0</v>
      </c>
      <c r="G792" s="1048">
        <f>F792*E792</f>
        <v>0</v>
      </c>
      <c r="H792" s="1049"/>
      <c r="I792" s="999">
        <f t="shared" ref="I792:T792" si="416">I791*$E792</f>
        <v>0</v>
      </c>
      <c r="J792" s="998">
        <f t="shared" si="416"/>
        <v>0</v>
      </c>
      <c r="K792" s="998">
        <f t="shared" si="416"/>
        <v>0</v>
      </c>
      <c r="L792" s="998">
        <f t="shared" si="416"/>
        <v>0</v>
      </c>
      <c r="M792" s="998">
        <f t="shared" si="416"/>
        <v>0</v>
      </c>
      <c r="N792" s="998">
        <f t="shared" si="416"/>
        <v>0</v>
      </c>
      <c r="O792" s="998">
        <f t="shared" si="416"/>
        <v>0</v>
      </c>
      <c r="P792" s="998">
        <f t="shared" si="416"/>
        <v>0</v>
      </c>
      <c r="Q792" s="998">
        <f t="shared" si="416"/>
        <v>0</v>
      </c>
      <c r="R792" s="998">
        <f t="shared" si="416"/>
        <v>0</v>
      </c>
      <c r="S792" s="998">
        <f t="shared" si="416"/>
        <v>0</v>
      </c>
      <c r="T792" s="998">
        <f t="shared" si="416"/>
        <v>0</v>
      </c>
      <c r="U792" s="1000">
        <f>+SUM(I792:T792)</f>
        <v>0</v>
      </c>
      <c r="V792" s="232" t="str">
        <f>B792&amp;"contratada"</f>
        <v>contratada</v>
      </c>
      <c r="Y792" s="1271"/>
      <c r="Z792" s="372"/>
      <c r="AA792" s="372"/>
      <c r="AB792" s="372"/>
      <c r="AC792" s="372"/>
      <c r="AD792" s="372"/>
      <c r="AE792" s="372"/>
      <c r="AF792" s="372"/>
      <c r="AG792" s="372"/>
      <c r="AH792" s="372"/>
      <c r="AI792" s="372"/>
      <c r="AJ792" s="372"/>
      <c r="AK792" s="372"/>
      <c r="AL792" s="372"/>
      <c r="AM792" s="372"/>
      <c r="AN792" s="372"/>
      <c r="AO792" s="372"/>
      <c r="AP792" s="372"/>
      <c r="AQ792" s="372"/>
      <c r="AR792" s="767"/>
      <c r="AS792" s="254"/>
    </row>
    <row r="793" spans="2:45" ht="15.05" thickBot="1" x14ac:dyDescent="0.25">
      <c r="B793" s="946">
        <f>UsoSuelo!D366</f>
        <v>0</v>
      </c>
      <c r="C793" s="345"/>
      <c r="D793" s="345"/>
      <c r="E793" s="346"/>
      <c r="F793" s="346"/>
      <c r="G793" s="346"/>
      <c r="H793" s="345"/>
      <c r="I793" s="352"/>
      <c r="J793" s="349"/>
      <c r="K793" s="349"/>
      <c r="L793" s="349"/>
      <c r="M793" s="349"/>
      <c r="N793" s="349"/>
      <c r="O793" s="349"/>
      <c r="P793" s="349"/>
      <c r="Q793" s="349"/>
      <c r="R793" s="349"/>
      <c r="S793" s="349"/>
      <c r="T793" s="353"/>
      <c r="U793" s="350"/>
      <c r="V793" s="232" t="s">
        <v>578</v>
      </c>
      <c r="Y793" s="1271"/>
      <c r="Z793" s="372"/>
      <c r="AA793" s="372"/>
      <c r="AB793" s="372"/>
      <c r="AC793" s="372"/>
      <c r="AD793" s="372"/>
      <c r="AE793" s="372"/>
      <c r="AF793" s="372"/>
      <c r="AG793" s="372"/>
      <c r="AH793" s="372"/>
      <c r="AI793" s="372"/>
      <c r="AJ793" s="372"/>
      <c r="AK793" s="372"/>
      <c r="AL793" s="372"/>
      <c r="AM793" s="372"/>
      <c r="AN793" s="372"/>
      <c r="AO793" s="372"/>
      <c r="AP793" s="372"/>
      <c r="AQ793" s="372"/>
      <c r="AR793" s="767"/>
      <c r="AS793" s="254"/>
    </row>
    <row r="794" spans="2:45" ht="15.05" thickBot="1" x14ac:dyDescent="0.25">
      <c r="B794" s="341" t="s">
        <v>1030</v>
      </c>
      <c r="C794" s="938" t="s">
        <v>1031</v>
      </c>
      <c r="D794" s="939"/>
      <c r="E794" s="939"/>
      <c r="F794" s="939"/>
      <c r="G794" s="939"/>
      <c r="H794" s="940"/>
      <c r="I794" s="941">
        <f>+UsoSuelo!F1435</f>
        <v>0</v>
      </c>
      <c r="J794" s="941">
        <f>+UsoSuelo!G1435</f>
        <v>0</v>
      </c>
      <c r="K794" s="941">
        <f>+UsoSuelo!H1435</f>
        <v>0</v>
      </c>
      <c r="L794" s="941">
        <f>+UsoSuelo!I1435</f>
        <v>0</v>
      </c>
      <c r="M794" s="941">
        <f>+UsoSuelo!J1435</f>
        <v>0</v>
      </c>
      <c r="N794" s="941">
        <f>+UsoSuelo!K1435</f>
        <v>0</v>
      </c>
      <c r="O794" s="941">
        <f>+UsoSuelo!L1435</f>
        <v>0</v>
      </c>
      <c r="P794" s="941">
        <f>+UsoSuelo!M1435</f>
        <v>0</v>
      </c>
      <c r="Q794" s="941">
        <f>+UsoSuelo!N1435</f>
        <v>0</v>
      </c>
      <c r="R794" s="941">
        <f>+UsoSuelo!O1435</f>
        <v>0</v>
      </c>
      <c r="S794" s="941">
        <f>+UsoSuelo!P1435</f>
        <v>0</v>
      </c>
      <c r="T794" s="941">
        <f>+UsoSuelo!Q1435</f>
        <v>0</v>
      </c>
      <c r="U794" s="934">
        <f>SUM(I794:T794)</f>
        <v>0</v>
      </c>
      <c r="Y794" s="1271"/>
      <c r="Z794" s="372"/>
      <c r="AA794" s="372"/>
      <c r="AB794" s="372"/>
      <c r="AC794" s="372"/>
      <c r="AD794" s="372"/>
      <c r="AE794" s="372"/>
      <c r="AF794" s="372"/>
      <c r="AG794" s="372"/>
      <c r="AH794" s="372"/>
      <c r="AI794" s="372"/>
      <c r="AJ794" s="372"/>
      <c r="AK794" s="372"/>
      <c r="AL794" s="372"/>
      <c r="AM794" s="372"/>
      <c r="AN794" s="372"/>
      <c r="AO794" s="372"/>
      <c r="AP794" s="372"/>
      <c r="AQ794" s="372"/>
      <c r="AR794" s="767"/>
      <c r="AS794" s="254"/>
    </row>
    <row r="795" spans="2:45" ht="15.05" thickBot="1" x14ac:dyDescent="0.35">
      <c r="B795" s="5076"/>
      <c r="C795" s="1001">
        <f>IF(B795=0,0,U794)</f>
        <v>0</v>
      </c>
      <c r="D795" s="998">
        <f>IF(B795=0,0,VLOOKUP(B795,Precios!$B$217:$D$307,3,FALSE))</f>
        <v>0</v>
      </c>
      <c r="E795" s="5077"/>
      <c r="F795" s="998">
        <f>IF(B795=0,0,VLOOKUP(B795,Precios!$B$216:$D$307,2,FALSE))</f>
        <v>0</v>
      </c>
      <c r="G795" s="1048">
        <f>F795*E795</f>
        <v>0</v>
      </c>
      <c r="H795" s="1049"/>
      <c r="I795" s="999">
        <f t="shared" ref="I795:T795" si="417">I794*$E795</f>
        <v>0</v>
      </c>
      <c r="J795" s="998">
        <f t="shared" si="417"/>
        <v>0</v>
      </c>
      <c r="K795" s="998">
        <f t="shared" si="417"/>
        <v>0</v>
      </c>
      <c r="L795" s="998">
        <f t="shared" si="417"/>
        <v>0</v>
      </c>
      <c r="M795" s="998">
        <f t="shared" si="417"/>
        <v>0</v>
      </c>
      <c r="N795" s="998">
        <f t="shared" si="417"/>
        <v>0</v>
      </c>
      <c r="O795" s="998">
        <f t="shared" si="417"/>
        <v>0</v>
      </c>
      <c r="P795" s="998">
        <f t="shared" si="417"/>
        <v>0</v>
      </c>
      <c r="Q795" s="998">
        <f t="shared" si="417"/>
        <v>0</v>
      </c>
      <c r="R795" s="998">
        <f t="shared" si="417"/>
        <v>0</v>
      </c>
      <c r="S795" s="998">
        <f t="shared" si="417"/>
        <v>0</v>
      </c>
      <c r="T795" s="998">
        <f t="shared" si="417"/>
        <v>0</v>
      </c>
      <c r="U795" s="1000">
        <f>+SUM(I795:T795)</f>
        <v>0</v>
      </c>
      <c r="V795" s="232" t="str">
        <f>B795&amp;"contratada"</f>
        <v>contratada</v>
      </c>
      <c r="Y795" s="1271"/>
      <c r="Z795" s="372"/>
      <c r="AA795" s="372"/>
      <c r="AB795" s="372"/>
      <c r="AC795" s="372"/>
      <c r="AD795" s="372"/>
      <c r="AE795" s="372"/>
      <c r="AF795" s="372"/>
      <c r="AG795" s="372"/>
      <c r="AH795" s="372"/>
      <c r="AI795" s="372"/>
      <c r="AJ795" s="372"/>
      <c r="AK795" s="372"/>
      <c r="AL795" s="372"/>
      <c r="AM795" s="372"/>
      <c r="AN795" s="372"/>
      <c r="AO795" s="372"/>
      <c r="AP795" s="372"/>
      <c r="AQ795" s="372"/>
      <c r="AR795" s="767"/>
      <c r="AS795" s="254"/>
    </row>
    <row r="796" spans="2:45" ht="15.05" thickBot="1" x14ac:dyDescent="0.25">
      <c r="B796" s="946">
        <f>UsoSuelo!D367</f>
        <v>0</v>
      </c>
      <c r="C796" s="345"/>
      <c r="D796" s="345"/>
      <c r="E796" s="346"/>
      <c r="F796" s="346"/>
      <c r="G796" s="346"/>
      <c r="H796" s="345"/>
      <c r="I796" s="352"/>
      <c r="J796" s="349"/>
      <c r="K796" s="349"/>
      <c r="L796" s="349"/>
      <c r="M796" s="349"/>
      <c r="N796" s="349"/>
      <c r="O796" s="349"/>
      <c r="P796" s="349"/>
      <c r="Q796" s="349"/>
      <c r="R796" s="349"/>
      <c r="S796" s="349"/>
      <c r="T796" s="353"/>
      <c r="U796" s="350"/>
      <c r="V796" s="232" t="s">
        <v>579</v>
      </c>
      <c r="Y796" s="1271"/>
      <c r="Z796" s="372"/>
      <c r="AA796" s="372"/>
      <c r="AB796" s="372"/>
      <c r="AC796" s="372"/>
      <c r="AD796" s="372"/>
      <c r="AE796" s="372"/>
      <c r="AF796" s="372"/>
      <c r="AG796" s="372"/>
      <c r="AH796" s="372"/>
      <c r="AI796" s="372"/>
      <c r="AJ796" s="372"/>
      <c r="AK796" s="372"/>
      <c r="AL796" s="372"/>
      <c r="AM796" s="372"/>
      <c r="AN796" s="372"/>
      <c r="AO796" s="372"/>
      <c r="AP796" s="372"/>
      <c r="AQ796" s="372"/>
      <c r="AR796" s="767"/>
      <c r="AS796" s="254"/>
    </row>
    <row r="797" spans="2:45" ht="15.05" thickBot="1" x14ac:dyDescent="0.25">
      <c r="B797" s="341" t="s">
        <v>1030</v>
      </c>
      <c r="C797" s="938" t="s">
        <v>1031</v>
      </c>
      <c r="D797" s="939"/>
      <c r="E797" s="939"/>
      <c r="F797" s="939"/>
      <c r="G797" s="939"/>
      <c r="H797" s="940"/>
      <c r="I797" s="941">
        <f>+UsoSuelo!F1436</f>
        <v>0</v>
      </c>
      <c r="J797" s="941">
        <f>+UsoSuelo!G1436</f>
        <v>0</v>
      </c>
      <c r="K797" s="941">
        <f>+UsoSuelo!H1436</f>
        <v>0</v>
      </c>
      <c r="L797" s="941">
        <f>+UsoSuelo!I1436</f>
        <v>0</v>
      </c>
      <c r="M797" s="941">
        <f>+UsoSuelo!J1436</f>
        <v>0</v>
      </c>
      <c r="N797" s="941">
        <f>+UsoSuelo!K1436</f>
        <v>0</v>
      </c>
      <c r="O797" s="941">
        <f>+UsoSuelo!L1436</f>
        <v>0</v>
      </c>
      <c r="P797" s="941">
        <f>+UsoSuelo!M1436</f>
        <v>0</v>
      </c>
      <c r="Q797" s="941">
        <f>+UsoSuelo!N1436</f>
        <v>0</v>
      </c>
      <c r="R797" s="941">
        <f>+UsoSuelo!O1436</f>
        <v>0</v>
      </c>
      <c r="S797" s="941">
        <f>+UsoSuelo!P1436</f>
        <v>0</v>
      </c>
      <c r="T797" s="941">
        <f>+UsoSuelo!Q1436</f>
        <v>0</v>
      </c>
      <c r="U797" s="934">
        <f>SUM(I797:T797)</f>
        <v>0</v>
      </c>
      <c r="Y797" s="1271"/>
      <c r="Z797" s="372"/>
      <c r="AA797" s="372"/>
      <c r="AB797" s="372"/>
      <c r="AC797" s="372"/>
      <c r="AD797" s="372"/>
      <c r="AE797" s="372"/>
      <c r="AF797" s="372"/>
      <c r="AG797" s="372"/>
      <c r="AH797" s="372"/>
      <c r="AI797" s="372"/>
      <c r="AJ797" s="372"/>
      <c r="AK797" s="372"/>
      <c r="AL797" s="372"/>
      <c r="AM797" s="372"/>
      <c r="AN797" s="372"/>
      <c r="AO797" s="372"/>
      <c r="AP797" s="372"/>
      <c r="AQ797" s="372"/>
      <c r="AR797" s="767"/>
      <c r="AS797" s="254"/>
    </row>
    <row r="798" spans="2:45" ht="15.05" thickBot="1" x14ac:dyDescent="0.35">
      <c r="B798" s="5076"/>
      <c r="C798" s="1001">
        <f>IF(B798=0,0,U797)</f>
        <v>0</v>
      </c>
      <c r="D798" s="998">
        <f>IF(B798=0,0,VLOOKUP(B798,Precios!$B$217:$D$307,3,FALSE))</f>
        <v>0</v>
      </c>
      <c r="E798" s="5077"/>
      <c r="F798" s="998">
        <f>IF(B798=0,0,VLOOKUP(B798,Precios!$B$216:$D$307,2,FALSE))</f>
        <v>0</v>
      </c>
      <c r="G798" s="1048">
        <f>F798*E798</f>
        <v>0</v>
      </c>
      <c r="H798" s="1049"/>
      <c r="I798" s="999">
        <f t="shared" ref="I798:T798" si="418">I797*$E798</f>
        <v>0</v>
      </c>
      <c r="J798" s="998">
        <f t="shared" si="418"/>
        <v>0</v>
      </c>
      <c r="K798" s="998">
        <f t="shared" si="418"/>
        <v>0</v>
      </c>
      <c r="L798" s="998">
        <f t="shared" si="418"/>
        <v>0</v>
      </c>
      <c r="M798" s="998">
        <f t="shared" si="418"/>
        <v>0</v>
      </c>
      <c r="N798" s="998">
        <f t="shared" si="418"/>
        <v>0</v>
      </c>
      <c r="O798" s="998">
        <f t="shared" si="418"/>
        <v>0</v>
      </c>
      <c r="P798" s="998">
        <f t="shared" si="418"/>
        <v>0</v>
      </c>
      <c r="Q798" s="998">
        <f t="shared" si="418"/>
        <v>0</v>
      </c>
      <c r="R798" s="998">
        <f t="shared" si="418"/>
        <v>0</v>
      </c>
      <c r="S798" s="998">
        <f t="shared" si="418"/>
        <v>0</v>
      </c>
      <c r="T798" s="998">
        <f t="shared" si="418"/>
        <v>0</v>
      </c>
      <c r="U798" s="1000">
        <f>+SUM(I798:T798)</f>
        <v>0</v>
      </c>
      <c r="V798" s="232" t="str">
        <f>B798&amp;"contratada"</f>
        <v>contratada</v>
      </c>
      <c r="Y798" s="1271"/>
      <c r="Z798" s="372"/>
      <c r="AA798" s="372"/>
      <c r="AB798" s="372"/>
      <c r="AC798" s="372"/>
      <c r="AD798" s="372"/>
      <c r="AE798" s="372"/>
      <c r="AF798" s="372"/>
      <c r="AG798" s="372"/>
      <c r="AH798" s="372"/>
      <c r="AI798" s="372"/>
      <c r="AJ798" s="372"/>
      <c r="AK798" s="372"/>
      <c r="AL798" s="372"/>
      <c r="AM798" s="372"/>
      <c r="AN798" s="372"/>
      <c r="AO798" s="372"/>
      <c r="AP798" s="372"/>
      <c r="AQ798" s="372"/>
      <c r="AR798" s="767"/>
      <c r="AS798" s="254"/>
    </row>
    <row r="799" spans="2:45" ht="15.05" thickBot="1" x14ac:dyDescent="0.25">
      <c r="B799" s="946">
        <f>UsoSuelo!D368</f>
        <v>0</v>
      </c>
      <c r="C799" s="345"/>
      <c r="D799" s="345"/>
      <c r="E799" s="346"/>
      <c r="F799" s="346"/>
      <c r="G799" s="346"/>
      <c r="H799" s="345"/>
      <c r="I799" s="352"/>
      <c r="J799" s="349"/>
      <c r="K799" s="349"/>
      <c r="L799" s="349"/>
      <c r="M799" s="349"/>
      <c r="N799" s="349"/>
      <c r="O799" s="349"/>
      <c r="P799" s="349"/>
      <c r="Q799" s="349"/>
      <c r="R799" s="349"/>
      <c r="S799" s="349"/>
      <c r="T799" s="353"/>
      <c r="U799" s="350"/>
      <c r="Y799" s="1271"/>
      <c r="Z799" s="372"/>
      <c r="AA799" s="372"/>
      <c r="AB799" s="372"/>
      <c r="AC799" s="372"/>
      <c r="AD799" s="372"/>
      <c r="AE799" s="372"/>
      <c r="AF799" s="372"/>
      <c r="AG799" s="372"/>
      <c r="AH799" s="372"/>
      <c r="AI799" s="372"/>
      <c r="AJ799" s="372"/>
      <c r="AK799" s="372"/>
      <c r="AL799" s="372"/>
      <c r="AM799" s="372"/>
      <c r="AN799" s="372"/>
      <c r="AO799" s="372"/>
      <c r="AP799" s="372"/>
      <c r="AQ799" s="372"/>
      <c r="AR799" s="767"/>
      <c r="AS799" s="254"/>
    </row>
    <row r="800" spans="2:45" ht="15.05" thickBot="1" x14ac:dyDescent="0.25">
      <c r="B800" s="341" t="s">
        <v>1030</v>
      </c>
      <c r="C800" s="938" t="s">
        <v>1031</v>
      </c>
      <c r="D800" s="939"/>
      <c r="E800" s="939"/>
      <c r="F800" s="939"/>
      <c r="G800" s="939"/>
      <c r="H800" s="940"/>
      <c r="I800" s="941">
        <f>+UsoSuelo!F1437</f>
        <v>0</v>
      </c>
      <c r="J800" s="941">
        <f>+UsoSuelo!G1437</f>
        <v>0</v>
      </c>
      <c r="K800" s="941">
        <f>+UsoSuelo!H1437</f>
        <v>0</v>
      </c>
      <c r="L800" s="941">
        <f>+UsoSuelo!I1437</f>
        <v>0</v>
      </c>
      <c r="M800" s="941">
        <f>+UsoSuelo!J1437</f>
        <v>0</v>
      </c>
      <c r="N800" s="941">
        <f>+UsoSuelo!K1437</f>
        <v>0</v>
      </c>
      <c r="O800" s="941">
        <f>+UsoSuelo!L1437</f>
        <v>0</v>
      </c>
      <c r="P800" s="941">
        <f>+UsoSuelo!M1437</f>
        <v>0</v>
      </c>
      <c r="Q800" s="941">
        <f>+UsoSuelo!N1437</f>
        <v>0</v>
      </c>
      <c r="R800" s="941">
        <f>+UsoSuelo!O1437</f>
        <v>0</v>
      </c>
      <c r="S800" s="941">
        <f>+UsoSuelo!P1437</f>
        <v>0</v>
      </c>
      <c r="T800" s="941">
        <f>+UsoSuelo!Q1437</f>
        <v>0</v>
      </c>
      <c r="U800" s="934">
        <f>SUM(I800:T800)</f>
        <v>0</v>
      </c>
      <c r="Y800" s="1271"/>
      <c r="Z800" s="372"/>
      <c r="AA800" s="372"/>
      <c r="AB800" s="372"/>
      <c r="AC800" s="372"/>
      <c r="AD800" s="372"/>
      <c r="AE800" s="372"/>
      <c r="AF800" s="372"/>
      <c r="AG800" s="372"/>
      <c r="AH800" s="372"/>
      <c r="AI800" s="372"/>
      <c r="AJ800" s="372"/>
      <c r="AK800" s="372"/>
      <c r="AL800" s="372"/>
      <c r="AM800" s="372"/>
      <c r="AN800" s="372"/>
      <c r="AO800" s="372"/>
      <c r="AP800" s="372"/>
      <c r="AQ800" s="372"/>
      <c r="AR800" s="767"/>
      <c r="AS800" s="254"/>
    </row>
    <row r="801" spans="1:45" ht="15.05" thickBot="1" x14ac:dyDescent="0.35">
      <c r="B801" s="5079"/>
      <c r="C801" s="1032">
        <f>IF(B801=0,0,U800)</f>
        <v>0</v>
      </c>
      <c r="D801" s="998">
        <f>IF(B801=0,0,VLOOKUP(B801,Precios!$B$217:$D$307,3,FALSE))</f>
        <v>0</v>
      </c>
      <c r="E801" s="5077"/>
      <c r="F801" s="998">
        <f>IF(B801=0,0,VLOOKUP(B801,Precios!$B$216:$D$307,2,FALSE))</f>
        <v>0</v>
      </c>
      <c r="G801" s="1048">
        <f>F801*E801</f>
        <v>0</v>
      </c>
      <c r="H801" s="1049"/>
      <c r="I801" s="999">
        <f t="shared" ref="I801:T801" si="419">I800*$E801</f>
        <v>0</v>
      </c>
      <c r="J801" s="998">
        <f t="shared" si="419"/>
        <v>0</v>
      </c>
      <c r="K801" s="998">
        <f t="shared" si="419"/>
        <v>0</v>
      </c>
      <c r="L801" s="998">
        <f t="shared" si="419"/>
        <v>0</v>
      </c>
      <c r="M801" s="998">
        <f t="shared" si="419"/>
        <v>0</v>
      </c>
      <c r="N801" s="998">
        <f t="shared" si="419"/>
        <v>0</v>
      </c>
      <c r="O801" s="998">
        <f t="shared" si="419"/>
        <v>0</v>
      </c>
      <c r="P801" s="998">
        <f t="shared" si="419"/>
        <v>0</v>
      </c>
      <c r="Q801" s="998">
        <f t="shared" si="419"/>
        <v>0</v>
      </c>
      <c r="R801" s="998">
        <f t="shared" si="419"/>
        <v>0</v>
      </c>
      <c r="S801" s="998">
        <f t="shared" si="419"/>
        <v>0</v>
      </c>
      <c r="T801" s="998">
        <f t="shared" si="419"/>
        <v>0</v>
      </c>
      <c r="U801" s="1000">
        <f>+SUM(I801:T801)</f>
        <v>0</v>
      </c>
      <c r="V801" s="232" t="str">
        <f>B801&amp;"contratada"</f>
        <v>contratada</v>
      </c>
      <c r="Y801" s="1271"/>
      <c r="Z801" s="372"/>
      <c r="AA801" s="372"/>
      <c r="AB801" s="372"/>
      <c r="AC801" s="372"/>
      <c r="AD801" s="372"/>
      <c r="AE801" s="372"/>
      <c r="AF801" s="372"/>
      <c r="AG801" s="372"/>
      <c r="AH801" s="372"/>
      <c r="AI801" s="372"/>
      <c r="AJ801" s="372"/>
      <c r="AK801" s="372"/>
      <c r="AL801" s="372"/>
      <c r="AM801" s="372"/>
      <c r="AN801" s="372"/>
      <c r="AO801" s="372"/>
      <c r="AP801" s="372"/>
      <c r="AQ801" s="372"/>
      <c r="AR801" s="767"/>
      <c r="AS801" s="254"/>
    </row>
    <row r="802" spans="1:45" s="254" customFormat="1" ht="7.85" customHeight="1" x14ac:dyDescent="0.3">
      <c r="B802" s="1562"/>
      <c r="C802" s="425"/>
      <c r="D802" s="425"/>
      <c r="E802" s="425"/>
      <c r="F802" s="425"/>
      <c r="G802" s="425"/>
      <c r="H802" s="425"/>
      <c r="I802" s="425"/>
      <c r="J802" s="425"/>
      <c r="K802" s="425"/>
      <c r="L802" s="425"/>
      <c r="M802" s="425"/>
      <c r="N802" s="425"/>
      <c r="O802" s="425"/>
      <c r="P802" s="425"/>
      <c r="Q802" s="425"/>
      <c r="R802" s="425"/>
      <c r="S802" s="425"/>
      <c r="T802" s="425"/>
      <c r="U802" s="436"/>
      <c r="Y802" s="1271"/>
      <c r="Z802" s="372"/>
      <c r="AA802" s="372"/>
      <c r="AB802" s="372"/>
      <c r="AC802" s="372"/>
      <c r="AD802" s="372"/>
      <c r="AE802" s="372"/>
      <c r="AF802" s="372"/>
      <c r="AG802" s="372"/>
      <c r="AH802" s="372"/>
      <c r="AI802" s="372"/>
      <c r="AJ802" s="372"/>
      <c r="AK802" s="372"/>
      <c r="AL802" s="372"/>
      <c r="AM802" s="372"/>
      <c r="AN802" s="372"/>
      <c r="AO802" s="372"/>
      <c r="AP802" s="372"/>
      <c r="AQ802" s="372"/>
      <c r="AR802" s="767"/>
    </row>
    <row r="803" spans="1:45" ht="15.05" thickBot="1" x14ac:dyDescent="0.25">
      <c r="A803" s="1344">
        <f>+A774</f>
        <v>67</v>
      </c>
      <c r="B803" s="1026" t="s">
        <v>1757</v>
      </c>
      <c r="C803" s="1027"/>
      <c r="D803" s="1028"/>
      <c r="E803" s="1028"/>
      <c r="F803" s="1028"/>
      <c r="G803" s="1028"/>
      <c r="H803" s="1029"/>
      <c r="I803" s="1030"/>
      <c r="J803" s="1030"/>
      <c r="K803" s="1030"/>
      <c r="L803" s="1030"/>
      <c r="M803" s="1030"/>
      <c r="N803" s="1030"/>
      <c r="O803" s="1030"/>
      <c r="P803" s="1030"/>
      <c r="Q803" s="1030"/>
      <c r="R803" s="1030"/>
      <c r="S803" s="1030"/>
      <c r="T803" s="1030"/>
      <c r="U803" s="1031"/>
      <c r="Y803" s="1271"/>
      <c r="Z803" s="372"/>
      <c r="AA803" s="372"/>
      <c r="AB803" s="372"/>
      <c r="AC803" s="372"/>
      <c r="AD803" s="372"/>
      <c r="AE803" s="372"/>
      <c r="AF803" s="372"/>
      <c r="AG803" s="372"/>
      <c r="AH803" s="372"/>
      <c r="AI803" s="372"/>
      <c r="AJ803" s="372"/>
      <c r="AK803" s="372"/>
      <c r="AL803" s="372"/>
      <c r="AM803" s="372"/>
      <c r="AN803" s="372"/>
      <c r="AO803" s="372"/>
      <c r="AP803" s="372"/>
      <c r="AQ803" s="372"/>
      <c r="AR803" s="767"/>
      <c r="AS803" s="254"/>
    </row>
    <row r="804" spans="1:45" ht="15.05" thickBot="1" x14ac:dyDescent="0.25">
      <c r="A804" s="1344" t="s">
        <v>1761</v>
      </c>
      <c r="B804" s="946" t="str">
        <f>UsoSuelo!D370</f>
        <v xml:space="preserve">Dactylis Semillero </v>
      </c>
      <c r="C804" s="345"/>
      <c r="D804" s="345"/>
      <c r="E804" s="346"/>
      <c r="F804" s="346"/>
      <c r="G804" s="346"/>
      <c r="H804" s="345"/>
      <c r="I804" s="352"/>
      <c r="J804" s="349"/>
      <c r="K804" s="349"/>
      <c r="L804" s="349"/>
      <c r="M804" s="349"/>
      <c r="N804" s="349"/>
      <c r="O804" s="349"/>
      <c r="P804" s="349"/>
      <c r="Q804" s="349"/>
      <c r="R804" s="349"/>
      <c r="S804" s="349"/>
      <c r="T804" s="353"/>
      <c r="U804" s="350"/>
      <c r="Y804" s="1271"/>
      <c r="Z804" s="372"/>
      <c r="AA804" s="372"/>
      <c r="AB804" s="372"/>
      <c r="AC804" s="372"/>
      <c r="AD804" s="372"/>
      <c r="AE804" s="372"/>
      <c r="AF804" s="372"/>
      <c r="AG804" s="372"/>
      <c r="AH804" s="372"/>
      <c r="AI804" s="372"/>
      <c r="AJ804" s="372"/>
      <c r="AK804" s="372"/>
      <c r="AL804" s="372"/>
      <c r="AM804" s="372"/>
      <c r="AN804" s="372"/>
      <c r="AO804" s="372"/>
      <c r="AP804" s="372"/>
      <c r="AQ804" s="372"/>
      <c r="AR804" s="767"/>
      <c r="AS804" s="254"/>
    </row>
    <row r="805" spans="1:45" ht="15.05" thickBot="1" x14ac:dyDescent="0.25">
      <c r="B805" s="341" t="s">
        <v>1030</v>
      </c>
      <c r="C805" s="938" t="s">
        <v>1031</v>
      </c>
      <c r="D805" s="939"/>
      <c r="E805" s="939"/>
      <c r="F805" s="939"/>
      <c r="G805" s="939"/>
      <c r="H805" s="940"/>
      <c r="I805" s="941">
        <f>+UsoSuelo!F1439</f>
        <v>0</v>
      </c>
      <c r="J805" s="941">
        <f>+UsoSuelo!G1439</f>
        <v>0</v>
      </c>
      <c r="K805" s="941">
        <f>+UsoSuelo!H1439</f>
        <v>0</v>
      </c>
      <c r="L805" s="941">
        <f>+UsoSuelo!I1439</f>
        <v>0</v>
      </c>
      <c r="M805" s="941">
        <f>+UsoSuelo!J1439</f>
        <v>0</v>
      </c>
      <c r="N805" s="941">
        <f>+UsoSuelo!K1439</f>
        <v>0</v>
      </c>
      <c r="O805" s="941">
        <f>+UsoSuelo!L1439</f>
        <v>0</v>
      </c>
      <c r="P805" s="941">
        <f>+UsoSuelo!M1439</f>
        <v>0</v>
      </c>
      <c r="Q805" s="941">
        <f>+UsoSuelo!N1439</f>
        <v>0</v>
      </c>
      <c r="R805" s="941">
        <f>+UsoSuelo!O1439</f>
        <v>0</v>
      </c>
      <c r="S805" s="941">
        <f>+UsoSuelo!P1439</f>
        <v>0</v>
      </c>
      <c r="T805" s="941">
        <f>+UsoSuelo!Q1439</f>
        <v>0</v>
      </c>
      <c r="U805" s="934">
        <f>SUM(I805:T805)</f>
        <v>0</v>
      </c>
      <c r="Y805" s="1271"/>
      <c r="Z805" s="372"/>
      <c r="AA805" s="372"/>
      <c r="AB805" s="372"/>
      <c r="AC805" s="372"/>
      <c r="AD805" s="372"/>
      <c r="AE805" s="372"/>
      <c r="AF805" s="372"/>
      <c r="AG805" s="372"/>
      <c r="AH805" s="372"/>
      <c r="AI805" s="372"/>
      <c r="AJ805" s="372"/>
      <c r="AK805" s="372"/>
      <c r="AL805" s="372"/>
      <c r="AM805" s="372"/>
      <c r="AN805" s="372"/>
      <c r="AO805" s="372"/>
      <c r="AP805" s="372"/>
      <c r="AQ805" s="372"/>
      <c r="AR805" s="767"/>
      <c r="AS805" s="254"/>
    </row>
    <row r="806" spans="1:45" ht="15.05" thickBot="1" x14ac:dyDescent="0.35">
      <c r="B806" s="5078"/>
      <c r="C806" s="1001">
        <f>IF(B806=0,0,U805)</f>
        <v>0</v>
      </c>
      <c r="D806" s="998">
        <f>IF(B806=0,0,VLOOKUP(B806,Precios!$B$217:$D$307,3,FALSE))</f>
        <v>0</v>
      </c>
      <c r="E806" s="5077"/>
      <c r="F806" s="998">
        <f>IF(B806=0,0,VLOOKUP(B806,Precios!$B$216:$D$307,2,FALSE))</f>
        <v>0</v>
      </c>
      <c r="G806" s="1048">
        <f>F806*E806</f>
        <v>0</v>
      </c>
      <c r="H806" s="1049"/>
      <c r="I806" s="999">
        <f t="shared" ref="I806:T806" si="420">I805*$E806</f>
        <v>0</v>
      </c>
      <c r="J806" s="998">
        <f t="shared" si="420"/>
        <v>0</v>
      </c>
      <c r="K806" s="998">
        <f t="shared" si="420"/>
        <v>0</v>
      </c>
      <c r="L806" s="998">
        <f t="shared" si="420"/>
        <v>0</v>
      </c>
      <c r="M806" s="998">
        <f t="shared" si="420"/>
        <v>0</v>
      </c>
      <c r="N806" s="998">
        <f t="shared" si="420"/>
        <v>0</v>
      </c>
      <c r="O806" s="998">
        <f t="shared" si="420"/>
        <v>0</v>
      </c>
      <c r="P806" s="998">
        <f t="shared" si="420"/>
        <v>0</v>
      </c>
      <c r="Q806" s="998">
        <f t="shared" si="420"/>
        <v>0</v>
      </c>
      <c r="R806" s="998">
        <f t="shared" si="420"/>
        <v>0</v>
      </c>
      <c r="S806" s="998">
        <f t="shared" si="420"/>
        <v>0</v>
      </c>
      <c r="T806" s="998">
        <f t="shared" si="420"/>
        <v>0</v>
      </c>
      <c r="U806" s="1000">
        <f>+SUM(I806:T806)</f>
        <v>0</v>
      </c>
      <c r="V806" s="232" t="str">
        <f>B806&amp;"contratada"</f>
        <v>contratada</v>
      </c>
      <c r="Y806" s="1271"/>
      <c r="Z806" s="372"/>
      <c r="AA806" s="372"/>
      <c r="AB806" s="372"/>
      <c r="AC806" s="372"/>
      <c r="AD806" s="372"/>
      <c r="AE806" s="372"/>
      <c r="AF806" s="372"/>
      <c r="AG806" s="372"/>
      <c r="AH806" s="372"/>
      <c r="AI806" s="372"/>
      <c r="AJ806" s="372"/>
      <c r="AK806" s="372"/>
      <c r="AL806" s="372"/>
      <c r="AM806" s="372"/>
      <c r="AN806" s="372"/>
      <c r="AO806" s="372"/>
      <c r="AP806" s="372"/>
      <c r="AQ806" s="372"/>
      <c r="AR806" s="767"/>
      <c r="AS806" s="254"/>
    </row>
    <row r="807" spans="1:45" ht="15.05" thickBot="1" x14ac:dyDescent="0.25">
      <c r="B807" s="946" t="str">
        <f>UsoSuelo!D371</f>
        <v xml:space="preserve">Festuca Semillero </v>
      </c>
      <c r="C807" s="345"/>
      <c r="D807" s="345"/>
      <c r="E807" s="346"/>
      <c r="F807" s="346"/>
      <c r="G807" s="346"/>
      <c r="H807" s="345"/>
      <c r="I807" s="352"/>
      <c r="J807" s="349"/>
      <c r="K807" s="349"/>
      <c r="L807" s="349"/>
      <c r="M807" s="349"/>
      <c r="N807" s="349"/>
      <c r="O807" s="349"/>
      <c r="P807" s="349"/>
      <c r="Q807" s="349"/>
      <c r="R807" s="349"/>
      <c r="S807" s="349"/>
      <c r="T807" s="353"/>
      <c r="U807" s="350"/>
      <c r="V807" s="232" t="s">
        <v>580</v>
      </c>
      <c r="Y807" s="1271"/>
      <c r="Z807" s="372"/>
      <c r="AA807" s="372"/>
      <c r="AB807" s="372"/>
      <c r="AC807" s="372"/>
      <c r="AD807" s="372"/>
      <c r="AE807" s="372"/>
      <c r="AF807" s="372"/>
      <c r="AG807" s="372"/>
      <c r="AH807" s="372"/>
      <c r="AI807" s="372"/>
      <c r="AJ807" s="372"/>
      <c r="AK807" s="372"/>
      <c r="AL807" s="372"/>
      <c r="AM807" s="372"/>
      <c r="AN807" s="372"/>
      <c r="AO807" s="372"/>
      <c r="AP807" s="372"/>
      <c r="AQ807" s="372"/>
      <c r="AR807" s="767"/>
      <c r="AS807" s="254"/>
    </row>
    <row r="808" spans="1:45" ht="15.05" thickBot="1" x14ac:dyDescent="0.25">
      <c r="B808" s="341" t="s">
        <v>1030</v>
      </c>
      <c r="C808" s="938" t="s">
        <v>1031</v>
      </c>
      <c r="D808" s="939"/>
      <c r="E808" s="939"/>
      <c r="F808" s="939"/>
      <c r="G808" s="939"/>
      <c r="H808" s="940"/>
      <c r="I808" s="941">
        <f>+UsoSuelo!F1440</f>
        <v>0</v>
      </c>
      <c r="J808" s="941">
        <f>+UsoSuelo!G1440</f>
        <v>0</v>
      </c>
      <c r="K808" s="941">
        <f>+UsoSuelo!H1440</f>
        <v>0</v>
      </c>
      <c r="L808" s="941">
        <f>+UsoSuelo!I1440</f>
        <v>0</v>
      </c>
      <c r="M808" s="941">
        <f>+UsoSuelo!J1440</f>
        <v>0</v>
      </c>
      <c r="N808" s="941">
        <f>+UsoSuelo!K1440</f>
        <v>0</v>
      </c>
      <c r="O808" s="941">
        <f>+UsoSuelo!L1440</f>
        <v>0</v>
      </c>
      <c r="P808" s="941">
        <f>+UsoSuelo!M1440</f>
        <v>0</v>
      </c>
      <c r="Q808" s="941">
        <f>+UsoSuelo!N1440</f>
        <v>0</v>
      </c>
      <c r="R808" s="941">
        <f>+UsoSuelo!O1440</f>
        <v>0</v>
      </c>
      <c r="S808" s="941">
        <f>+UsoSuelo!P1440</f>
        <v>0</v>
      </c>
      <c r="T808" s="941">
        <f>+UsoSuelo!Q1440</f>
        <v>0</v>
      </c>
      <c r="U808" s="934">
        <f>SUM(I808:T808)</f>
        <v>0</v>
      </c>
      <c r="Y808" s="1271"/>
      <c r="Z808" s="372"/>
      <c r="AA808" s="372"/>
      <c r="AB808" s="372"/>
      <c r="AC808" s="372"/>
      <c r="AD808" s="372"/>
      <c r="AE808" s="372"/>
      <c r="AF808" s="372"/>
      <c r="AG808" s="372"/>
      <c r="AH808" s="372"/>
      <c r="AI808" s="372"/>
      <c r="AJ808" s="372"/>
      <c r="AK808" s="372"/>
      <c r="AL808" s="372"/>
      <c r="AM808" s="372"/>
      <c r="AN808" s="372"/>
      <c r="AO808" s="372"/>
      <c r="AP808" s="372"/>
      <c r="AQ808" s="372"/>
      <c r="AR808" s="767"/>
      <c r="AS808" s="254"/>
    </row>
    <row r="809" spans="1:45" ht="15.05" thickBot="1" x14ac:dyDescent="0.35">
      <c r="B809" s="5078"/>
      <c r="C809" s="1001">
        <f>IF(B809=0,0,U808)</f>
        <v>0</v>
      </c>
      <c r="D809" s="998">
        <f>IF(B809=0,0,VLOOKUP(B809,Precios!$B$217:$D$307,3,FALSE))</f>
        <v>0</v>
      </c>
      <c r="E809" s="5077"/>
      <c r="F809" s="998">
        <f>IF(B809=0,0,VLOOKUP(B809,Precios!$B$216:$D$307,2,FALSE))</f>
        <v>0</v>
      </c>
      <c r="G809" s="1048">
        <f>F809*E809</f>
        <v>0</v>
      </c>
      <c r="H809" s="1049"/>
      <c r="I809" s="999">
        <f t="shared" ref="I809:T809" si="421">I808*$E809</f>
        <v>0</v>
      </c>
      <c r="J809" s="998">
        <f t="shared" si="421"/>
        <v>0</v>
      </c>
      <c r="K809" s="998">
        <f t="shared" si="421"/>
        <v>0</v>
      </c>
      <c r="L809" s="998">
        <f t="shared" si="421"/>
        <v>0</v>
      </c>
      <c r="M809" s="998">
        <f t="shared" si="421"/>
        <v>0</v>
      </c>
      <c r="N809" s="998">
        <f t="shared" si="421"/>
        <v>0</v>
      </c>
      <c r="O809" s="998">
        <f t="shared" si="421"/>
        <v>0</v>
      </c>
      <c r="P809" s="998">
        <f t="shared" si="421"/>
        <v>0</v>
      </c>
      <c r="Q809" s="998">
        <f t="shared" si="421"/>
        <v>0</v>
      </c>
      <c r="R809" s="998">
        <f t="shared" si="421"/>
        <v>0</v>
      </c>
      <c r="S809" s="998">
        <f t="shared" si="421"/>
        <v>0</v>
      </c>
      <c r="T809" s="998">
        <f t="shared" si="421"/>
        <v>0</v>
      </c>
      <c r="U809" s="1000">
        <f>+SUM(I809:T809)</f>
        <v>0</v>
      </c>
      <c r="V809" s="232" t="str">
        <f>B809&amp;"contratada"</f>
        <v>contratada</v>
      </c>
      <c r="Y809" s="1271"/>
      <c r="Z809" s="372"/>
      <c r="AA809" s="372"/>
      <c r="AB809" s="372"/>
      <c r="AC809" s="372"/>
      <c r="AD809" s="372"/>
      <c r="AE809" s="372"/>
      <c r="AF809" s="372"/>
      <c r="AG809" s="372"/>
      <c r="AH809" s="372"/>
      <c r="AI809" s="372"/>
      <c r="AJ809" s="372"/>
      <c r="AK809" s="372"/>
      <c r="AL809" s="372"/>
      <c r="AM809" s="372"/>
      <c r="AN809" s="372"/>
      <c r="AO809" s="372"/>
      <c r="AP809" s="372"/>
      <c r="AQ809" s="372"/>
      <c r="AR809" s="767"/>
      <c r="AS809" s="254"/>
    </row>
    <row r="810" spans="1:45" ht="15.05" thickBot="1" x14ac:dyDescent="0.25">
      <c r="B810" s="946" t="str">
        <f>UsoSuelo!D372</f>
        <v xml:space="preserve">Rg semillero </v>
      </c>
      <c r="C810" s="345"/>
      <c r="D810" s="345"/>
      <c r="E810" s="346"/>
      <c r="F810" s="346"/>
      <c r="G810" s="346"/>
      <c r="H810" s="345"/>
      <c r="I810" s="352"/>
      <c r="J810" s="349"/>
      <c r="K810" s="349"/>
      <c r="L810" s="349"/>
      <c r="M810" s="349"/>
      <c r="N810" s="349"/>
      <c r="O810" s="349"/>
      <c r="P810" s="349"/>
      <c r="Q810" s="349"/>
      <c r="R810" s="349"/>
      <c r="S810" s="349"/>
      <c r="T810" s="353"/>
      <c r="U810" s="350"/>
      <c r="V810" s="232" t="s">
        <v>580</v>
      </c>
      <c r="Y810" s="1271"/>
      <c r="Z810" s="372"/>
      <c r="AA810" s="372"/>
      <c r="AB810" s="372"/>
      <c r="AC810" s="372"/>
      <c r="AD810" s="372"/>
      <c r="AE810" s="372"/>
      <c r="AF810" s="372"/>
      <c r="AG810" s="372"/>
      <c r="AH810" s="372"/>
      <c r="AI810" s="372"/>
      <c r="AJ810" s="372"/>
      <c r="AK810" s="372"/>
      <c r="AL810" s="372"/>
      <c r="AM810" s="372"/>
      <c r="AN810" s="372"/>
      <c r="AO810" s="372"/>
      <c r="AP810" s="372"/>
      <c r="AQ810" s="372"/>
      <c r="AR810" s="767"/>
      <c r="AS810" s="254"/>
    </row>
    <row r="811" spans="1:45" ht="15.05" thickBot="1" x14ac:dyDescent="0.25">
      <c r="B811" s="341" t="s">
        <v>1030</v>
      </c>
      <c r="C811" s="938" t="s">
        <v>1031</v>
      </c>
      <c r="D811" s="939"/>
      <c r="E811" s="939"/>
      <c r="F811" s="939"/>
      <c r="G811" s="939"/>
      <c r="H811" s="940"/>
      <c r="I811" s="941">
        <f>+UsoSuelo!F1441</f>
        <v>0</v>
      </c>
      <c r="J811" s="941">
        <f>+UsoSuelo!G1441</f>
        <v>0</v>
      </c>
      <c r="K811" s="941">
        <f>+UsoSuelo!H1441</f>
        <v>0</v>
      </c>
      <c r="L811" s="941">
        <f>+UsoSuelo!I1441</f>
        <v>0</v>
      </c>
      <c r="M811" s="941">
        <f>+UsoSuelo!J1441</f>
        <v>0</v>
      </c>
      <c r="N811" s="941">
        <f>+UsoSuelo!K1441</f>
        <v>0</v>
      </c>
      <c r="O811" s="941">
        <f>+UsoSuelo!L1441</f>
        <v>0</v>
      </c>
      <c r="P811" s="941">
        <f>+UsoSuelo!M1441</f>
        <v>0</v>
      </c>
      <c r="Q811" s="941">
        <f>+UsoSuelo!N1441</f>
        <v>0</v>
      </c>
      <c r="R811" s="941">
        <f>+UsoSuelo!O1441</f>
        <v>0</v>
      </c>
      <c r="S811" s="941">
        <f>+UsoSuelo!P1441</f>
        <v>0</v>
      </c>
      <c r="T811" s="941">
        <f>+UsoSuelo!Q1441</f>
        <v>0</v>
      </c>
      <c r="U811" s="934">
        <f>SUM(I811:T811)</f>
        <v>0</v>
      </c>
      <c r="Y811" s="1271"/>
      <c r="Z811" s="372"/>
      <c r="AA811" s="372"/>
      <c r="AB811" s="372"/>
      <c r="AC811" s="372"/>
      <c r="AD811" s="372"/>
      <c r="AE811" s="372"/>
      <c r="AF811" s="372"/>
      <c r="AG811" s="372"/>
      <c r="AH811" s="372"/>
      <c r="AI811" s="372"/>
      <c r="AJ811" s="372"/>
      <c r="AK811" s="372"/>
      <c r="AL811" s="372"/>
      <c r="AM811" s="372"/>
      <c r="AN811" s="372"/>
      <c r="AO811" s="372"/>
      <c r="AP811" s="372"/>
      <c r="AQ811" s="372"/>
      <c r="AR811" s="767"/>
      <c r="AS811" s="254"/>
    </row>
    <row r="812" spans="1:45" ht="15.05" thickBot="1" x14ac:dyDescent="0.35">
      <c r="B812" s="5078"/>
      <c r="C812" s="1001">
        <f>IF(B812=0,0,U811)</f>
        <v>0</v>
      </c>
      <c r="D812" s="998">
        <f>IF(B812=0,0,VLOOKUP(B812,Precios!$B$217:$D$307,3,FALSE))</f>
        <v>0</v>
      </c>
      <c r="E812" s="5077"/>
      <c r="F812" s="998">
        <f>IF(B812=0,0,VLOOKUP(B812,Precios!$B$216:$D$307,2,FALSE))</f>
        <v>0</v>
      </c>
      <c r="G812" s="1048">
        <f>F812*E812</f>
        <v>0</v>
      </c>
      <c r="H812" s="1049"/>
      <c r="I812" s="999">
        <f t="shared" ref="I812:T812" si="422">I811*$E812</f>
        <v>0</v>
      </c>
      <c r="J812" s="998">
        <f t="shared" si="422"/>
        <v>0</v>
      </c>
      <c r="K812" s="998">
        <f t="shared" si="422"/>
        <v>0</v>
      </c>
      <c r="L812" s="998">
        <f t="shared" si="422"/>
        <v>0</v>
      </c>
      <c r="M812" s="998">
        <f t="shared" si="422"/>
        <v>0</v>
      </c>
      <c r="N812" s="998">
        <f t="shared" si="422"/>
        <v>0</v>
      </c>
      <c r="O812" s="998">
        <f t="shared" si="422"/>
        <v>0</v>
      </c>
      <c r="P812" s="998">
        <f t="shared" si="422"/>
        <v>0</v>
      </c>
      <c r="Q812" s="998">
        <f t="shared" si="422"/>
        <v>0</v>
      </c>
      <c r="R812" s="998">
        <f t="shared" si="422"/>
        <v>0</v>
      </c>
      <c r="S812" s="998">
        <f t="shared" si="422"/>
        <v>0</v>
      </c>
      <c r="T812" s="998">
        <f t="shared" si="422"/>
        <v>0</v>
      </c>
      <c r="U812" s="1000">
        <f>+SUM(I812:T812)</f>
        <v>0</v>
      </c>
      <c r="V812" s="232" t="str">
        <f>B812&amp;"contratada"</f>
        <v>contratada</v>
      </c>
      <c r="Y812" s="1271"/>
      <c r="Z812" s="372"/>
      <c r="AA812" s="372"/>
      <c r="AB812" s="372"/>
      <c r="AC812" s="372"/>
      <c r="AD812" s="372"/>
      <c r="AE812" s="372"/>
      <c r="AF812" s="372"/>
      <c r="AG812" s="372"/>
      <c r="AH812" s="372"/>
      <c r="AI812" s="372"/>
      <c r="AJ812" s="372"/>
      <c r="AK812" s="372"/>
      <c r="AL812" s="372"/>
      <c r="AM812" s="372"/>
      <c r="AN812" s="372"/>
      <c r="AO812" s="372"/>
      <c r="AP812" s="372"/>
      <c r="AQ812" s="372"/>
      <c r="AR812" s="767"/>
      <c r="AS812" s="254"/>
    </row>
    <row r="813" spans="1:45" ht="15.05" thickBot="1" x14ac:dyDescent="0.25">
      <c r="B813" s="946">
        <f>UsoSuelo!D373</f>
        <v>0</v>
      </c>
      <c r="C813" s="345"/>
      <c r="D813" s="345"/>
      <c r="E813" s="346"/>
      <c r="F813" s="346"/>
      <c r="G813" s="346"/>
      <c r="H813" s="345"/>
      <c r="I813" s="352"/>
      <c r="J813" s="349"/>
      <c r="K813" s="349"/>
      <c r="L813" s="349"/>
      <c r="M813" s="349"/>
      <c r="N813" s="349"/>
      <c r="O813" s="349"/>
      <c r="P813" s="349"/>
      <c r="Q813" s="349"/>
      <c r="R813" s="349"/>
      <c r="S813" s="349"/>
      <c r="T813" s="353"/>
      <c r="U813" s="350"/>
      <c r="Y813" s="1271"/>
      <c r="Z813" s="372"/>
      <c r="AA813" s="372"/>
      <c r="AB813" s="372"/>
      <c r="AC813" s="372"/>
      <c r="AD813" s="372"/>
      <c r="AE813" s="372"/>
      <c r="AF813" s="372"/>
      <c r="AG813" s="372"/>
      <c r="AH813" s="372"/>
      <c r="AI813" s="372"/>
      <c r="AJ813" s="372"/>
      <c r="AK813" s="372"/>
      <c r="AL813" s="372"/>
      <c r="AM813" s="372"/>
      <c r="AN813" s="372"/>
      <c r="AO813" s="372"/>
      <c r="AP813" s="372"/>
      <c r="AQ813" s="372"/>
      <c r="AR813" s="767"/>
      <c r="AS813" s="254"/>
    </row>
    <row r="814" spans="1:45" ht="15.05" thickBot="1" x14ac:dyDescent="0.25">
      <c r="B814" s="341" t="s">
        <v>1030</v>
      </c>
      <c r="C814" s="938" t="s">
        <v>1031</v>
      </c>
      <c r="D814" s="939"/>
      <c r="E814" s="939"/>
      <c r="F814" s="939"/>
      <c r="G814" s="939"/>
      <c r="H814" s="940"/>
      <c r="I814" s="941">
        <f>+UsoSuelo!F1442</f>
        <v>0</v>
      </c>
      <c r="J814" s="941">
        <f>+UsoSuelo!G1442</f>
        <v>0</v>
      </c>
      <c r="K814" s="941">
        <f>+UsoSuelo!H1442</f>
        <v>0</v>
      </c>
      <c r="L814" s="941">
        <f>+UsoSuelo!I1442</f>
        <v>0</v>
      </c>
      <c r="M814" s="941">
        <f>+UsoSuelo!J1442</f>
        <v>0</v>
      </c>
      <c r="N814" s="941">
        <f>+UsoSuelo!K1442</f>
        <v>0</v>
      </c>
      <c r="O814" s="941">
        <f>+UsoSuelo!L1442</f>
        <v>0</v>
      </c>
      <c r="P814" s="941">
        <f>+UsoSuelo!M1442</f>
        <v>0</v>
      </c>
      <c r="Q814" s="941">
        <f>+UsoSuelo!N1442</f>
        <v>0</v>
      </c>
      <c r="R814" s="941">
        <f>+UsoSuelo!O1442</f>
        <v>0</v>
      </c>
      <c r="S814" s="941">
        <f>+UsoSuelo!P1442</f>
        <v>0</v>
      </c>
      <c r="T814" s="941">
        <f>+UsoSuelo!Q1442</f>
        <v>0</v>
      </c>
      <c r="U814" s="934">
        <f>SUM(I814:T814)</f>
        <v>0</v>
      </c>
      <c r="Y814" s="1271"/>
      <c r="Z814" s="372"/>
      <c r="AA814" s="372"/>
      <c r="AB814" s="372"/>
      <c r="AC814" s="372"/>
      <c r="AD814" s="372"/>
      <c r="AE814" s="372"/>
      <c r="AF814" s="372"/>
      <c r="AG814" s="372"/>
      <c r="AH814" s="372"/>
      <c r="AI814" s="372"/>
      <c r="AJ814" s="372"/>
      <c r="AK814" s="372"/>
      <c r="AL814" s="372"/>
      <c r="AM814" s="372"/>
      <c r="AN814" s="372"/>
      <c r="AO814" s="372"/>
      <c r="AP814" s="372"/>
      <c r="AQ814" s="372"/>
      <c r="AR814" s="767"/>
      <c r="AS814" s="254"/>
    </row>
    <row r="815" spans="1:45" ht="15.05" thickBot="1" x14ac:dyDescent="0.35">
      <c r="B815" s="5078"/>
      <c r="C815" s="1001">
        <f>IF(B815=0,0,U814)</f>
        <v>0</v>
      </c>
      <c r="D815" s="998">
        <f>IF(B815=0,0,VLOOKUP(B815,Precios!$B$217:$D$307,3,FALSE))</f>
        <v>0</v>
      </c>
      <c r="E815" s="5077"/>
      <c r="F815" s="998">
        <f>IF(B815=0,0,VLOOKUP(B815,Precios!$B$216:$D$307,2,FALSE))</f>
        <v>0</v>
      </c>
      <c r="G815" s="1048">
        <f>F815*E815</f>
        <v>0</v>
      </c>
      <c r="H815" s="1049"/>
      <c r="I815" s="999">
        <f t="shared" ref="I815:T815" si="423">I814*$E815</f>
        <v>0</v>
      </c>
      <c r="J815" s="998">
        <f t="shared" si="423"/>
        <v>0</v>
      </c>
      <c r="K815" s="998">
        <f t="shared" si="423"/>
        <v>0</v>
      </c>
      <c r="L815" s="998">
        <f t="shared" si="423"/>
        <v>0</v>
      </c>
      <c r="M815" s="998">
        <f t="shared" si="423"/>
        <v>0</v>
      </c>
      <c r="N815" s="998">
        <f t="shared" si="423"/>
        <v>0</v>
      </c>
      <c r="O815" s="998">
        <f t="shared" si="423"/>
        <v>0</v>
      </c>
      <c r="P815" s="998">
        <f t="shared" si="423"/>
        <v>0</v>
      </c>
      <c r="Q815" s="998">
        <f t="shared" si="423"/>
        <v>0</v>
      </c>
      <c r="R815" s="998">
        <f t="shared" si="423"/>
        <v>0</v>
      </c>
      <c r="S815" s="998">
        <f t="shared" si="423"/>
        <v>0</v>
      </c>
      <c r="T815" s="998">
        <f t="shared" si="423"/>
        <v>0</v>
      </c>
      <c r="U815" s="1000">
        <f>+SUM(I815:T815)</f>
        <v>0</v>
      </c>
      <c r="V815" s="232" t="str">
        <f>B815&amp;"contratada"</f>
        <v>contratada</v>
      </c>
      <c r="Y815" s="1271"/>
      <c r="Z815" s="372"/>
      <c r="AA815" s="372"/>
      <c r="AB815" s="372"/>
      <c r="AC815" s="372"/>
      <c r="AD815" s="372"/>
      <c r="AE815" s="372"/>
      <c r="AF815" s="372"/>
      <c r="AG815" s="372"/>
      <c r="AH815" s="372"/>
      <c r="AI815" s="372"/>
      <c r="AJ815" s="372"/>
      <c r="AK815" s="372"/>
      <c r="AL815" s="372"/>
      <c r="AM815" s="372"/>
      <c r="AN815" s="372"/>
      <c r="AO815" s="372"/>
      <c r="AP815" s="372"/>
      <c r="AQ815" s="372"/>
      <c r="AR815" s="767"/>
      <c r="AS815" s="254"/>
    </row>
    <row r="816" spans="1:45" ht="15.05" thickBot="1" x14ac:dyDescent="0.25">
      <c r="B816" s="946">
        <f>UsoSuelo!D374</f>
        <v>0</v>
      </c>
      <c r="C816" s="345"/>
      <c r="D816" s="345"/>
      <c r="E816" s="346"/>
      <c r="F816" s="346"/>
      <c r="G816" s="346"/>
      <c r="H816" s="345"/>
      <c r="I816" s="352"/>
      <c r="J816" s="349"/>
      <c r="K816" s="349"/>
      <c r="L816" s="349"/>
      <c r="M816" s="349"/>
      <c r="N816" s="349"/>
      <c r="O816" s="349"/>
      <c r="P816" s="349"/>
      <c r="Q816" s="349"/>
      <c r="R816" s="349"/>
      <c r="S816" s="349"/>
      <c r="T816" s="353"/>
      <c r="U816" s="350"/>
      <c r="Y816" s="1271"/>
      <c r="Z816" s="372"/>
      <c r="AA816" s="372"/>
      <c r="AB816" s="372"/>
      <c r="AC816" s="372"/>
      <c r="AD816" s="372"/>
      <c r="AE816" s="372"/>
      <c r="AF816" s="372"/>
      <c r="AG816" s="372"/>
      <c r="AH816" s="372"/>
      <c r="AI816" s="372"/>
      <c r="AJ816" s="372"/>
      <c r="AK816" s="372"/>
      <c r="AL816" s="372"/>
      <c r="AM816" s="372"/>
      <c r="AN816" s="372"/>
      <c r="AO816" s="372"/>
      <c r="AP816" s="372"/>
      <c r="AQ816" s="372"/>
      <c r="AR816" s="767"/>
      <c r="AS816" s="254"/>
    </row>
    <row r="817" spans="2:45" ht="15.05" thickBot="1" x14ac:dyDescent="0.25">
      <c r="B817" s="341" t="s">
        <v>1030</v>
      </c>
      <c r="C817" s="938" t="s">
        <v>1031</v>
      </c>
      <c r="D817" s="939"/>
      <c r="E817" s="939"/>
      <c r="F817" s="939"/>
      <c r="G817" s="939"/>
      <c r="H817" s="940"/>
      <c r="I817" s="941">
        <f>+UsoSuelo!F1443</f>
        <v>0</v>
      </c>
      <c r="J817" s="941">
        <f>+UsoSuelo!G1443</f>
        <v>0</v>
      </c>
      <c r="K817" s="941">
        <f>+UsoSuelo!H1443</f>
        <v>0</v>
      </c>
      <c r="L817" s="941">
        <f>+UsoSuelo!I1443</f>
        <v>0</v>
      </c>
      <c r="M817" s="941">
        <f>+UsoSuelo!J1443</f>
        <v>0</v>
      </c>
      <c r="N817" s="941">
        <f>+UsoSuelo!K1443</f>
        <v>0</v>
      </c>
      <c r="O817" s="941">
        <f>+UsoSuelo!L1443</f>
        <v>0</v>
      </c>
      <c r="P817" s="941">
        <f>+UsoSuelo!M1443</f>
        <v>0</v>
      </c>
      <c r="Q817" s="941">
        <f>+UsoSuelo!N1443</f>
        <v>0</v>
      </c>
      <c r="R817" s="941">
        <f>+UsoSuelo!O1443</f>
        <v>0</v>
      </c>
      <c r="S817" s="941">
        <f>+UsoSuelo!P1443</f>
        <v>0</v>
      </c>
      <c r="T817" s="941">
        <f>+UsoSuelo!Q1443</f>
        <v>0</v>
      </c>
      <c r="U817" s="934">
        <f>SUM(I817:T817)</f>
        <v>0</v>
      </c>
      <c r="Y817" s="1271"/>
      <c r="Z817" s="372"/>
      <c r="AA817" s="372"/>
      <c r="AB817" s="372"/>
      <c r="AC817" s="372"/>
      <c r="AD817" s="372"/>
      <c r="AE817" s="372"/>
      <c r="AF817" s="372"/>
      <c r="AG817" s="372"/>
      <c r="AH817" s="372"/>
      <c r="AI817" s="372"/>
      <c r="AJ817" s="372"/>
      <c r="AK817" s="372"/>
      <c r="AL817" s="372"/>
      <c r="AM817" s="372"/>
      <c r="AN817" s="372"/>
      <c r="AO817" s="372"/>
      <c r="AP817" s="372"/>
      <c r="AQ817" s="372"/>
      <c r="AR817" s="767"/>
      <c r="AS817" s="254"/>
    </row>
    <row r="818" spans="2:45" ht="15.05" thickBot="1" x14ac:dyDescent="0.35">
      <c r="B818" s="5078"/>
      <c r="C818" s="1001">
        <f>IF(B818=0,0,U817)</f>
        <v>0</v>
      </c>
      <c r="D818" s="998">
        <f>IF(B818=0,0,VLOOKUP(B818,Precios!$B$217:$D$307,3,FALSE))</f>
        <v>0</v>
      </c>
      <c r="E818" s="5077"/>
      <c r="F818" s="998">
        <f>IF(B818=0,0,VLOOKUP(B818,Precios!$B$216:$D$307,2,FALSE))</f>
        <v>0</v>
      </c>
      <c r="G818" s="1048">
        <f>F818*E818</f>
        <v>0</v>
      </c>
      <c r="H818" s="1049"/>
      <c r="I818" s="999">
        <f t="shared" ref="I818:T818" si="424">I817*$E818</f>
        <v>0</v>
      </c>
      <c r="J818" s="998">
        <f t="shared" si="424"/>
        <v>0</v>
      </c>
      <c r="K818" s="998">
        <f t="shared" si="424"/>
        <v>0</v>
      </c>
      <c r="L818" s="998">
        <f t="shared" si="424"/>
        <v>0</v>
      </c>
      <c r="M818" s="998">
        <f t="shared" si="424"/>
        <v>0</v>
      </c>
      <c r="N818" s="998">
        <f t="shared" si="424"/>
        <v>0</v>
      </c>
      <c r="O818" s="998">
        <f t="shared" si="424"/>
        <v>0</v>
      </c>
      <c r="P818" s="998">
        <f t="shared" si="424"/>
        <v>0</v>
      </c>
      <c r="Q818" s="998">
        <f t="shared" si="424"/>
        <v>0</v>
      </c>
      <c r="R818" s="998">
        <f t="shared" si="424"/>
        <v>0</v>
      </c>
      <c r="S818" s="998">
        <f t="shared" si="424"/>
        <v>0</v>
      </c>
      <c r="T818" s="998">
        <f t="shared" si="424"/>
        <v>0</v>
      </c>
      <c r="U818" s="1000">
        <f>+SUM(I818:T818)</f>
        <v>0</v>
      </c>
      <c r="V818" s="232" t="str">
        <f>B818&amp;"contratada"</f>
        <v>contratada</v>
      </c>
      <c r="Y818" s="1271"/>
      <c r="Z818" s="372"/>
      <c r="AA818" s="372"/>
      <c r="AB818" s="372"/>
      <c r="AC818" s="372"/>
      <c r="AD818" s="372"/>
      <c r="AE818" s="372"/>
      <c r="AF818" s="372"/>
      <c r="AG818" s="372"/>
      <c r="AH818" s="372"/>
      <c r="AI818" s="372"/>
      <c r="AJ818" s="372"/>
      <c r="AK818" s="372"/>
      <c r="AL818" s="372"/>
      <c r="AM818" s="372"/>
      <c r="AN818" s="372"/>
      <c r="AO818" s="372"/>
      <c r="AP818" s="372"/>
      <c r="AQ818" s="372"/>
      <c r="AR818" s="767"/>
      <c r="AS818" s="254"/>
    </row>
    <row r="819" spans="2:45" ht="15.05" thickBot="1" x14ac:dyDescent="0.25">
      <c r="B819" s="946">
        <f>UsoSuelo!D375</f>
        <v>0</v>
      </c>
      <c r="C819" s="345"/>
      <c r="D819" s="345"/>
      <c r="E819" s="346"/>
      <c r="F819" s="346"/>
      <c r="G819" s="346"/>
      <c r="H819" s="345"/>
      <c r="I819" s="352"/>
      <c r="J819" s="349"/>
      <c r="K819" s="349"/>
      <c r="L819" s="349"/>
      <c r="M819" s="349"/>
      <c r="N819" s="349"/>
      <c r="O819" s="349"/>
      <c r="P819" s="349"/>
      <c r="Q819" s="349"/>
      <c r="R819" s="349"/>
      <c r="S819" s="349"/>
      <c r="T819" s="353"/>
      <c r="U819" s="350"/>
      <c r="Y819" s="1271"/>
      <c r="Z819" s="372"/>
      <c r="AA819" s="372"/>
      <c r="AB819" s="372"/>
      <c r="AC819" s="372"/>
      <c r="AD819" s="372"/>
      <c r="AE819" s="372"/>
      <c r="AF819" s="372"/>
      <c r="AG819" s="372"/>
      <c r="AH819" s="372"/>
      <c r="AI819" s="372"/>
      <c r="AJ819" s="372"/>
      <c r="AK819" s="372"/>
      <c r="AL819" s="372"/>
      <c r="AM819" s="372"/>
      <c r="AN819" s="372"/>
      <c r="AO819" s="372"/>
      <c r="AP819" s="372"/>
      <c r="AQ819" s="372"/>
      <c r="AR819" s="767"/>
      <c r="AS819" s="254"/>
    </row>
    <row r="820" spans="2:45" ht="15.05" thickBot="1" x14ac:dyDescent="0.25">
      <c r="B820" s="341" t="s">
        <v>1030</v>
      </c>
      <c r="C820" s="938" t="s">
        <v>1031</v>
      </c>
      <c r="D820" s="939"/>
      <c r="E820" s="939"/>
      <c r="F820" s="939"/>
      <c r="G820" s="939"/>
      <c r="H820" s="940"/>
      <c r="I820" s="941">
        <f>+UsoSuelo!F1444</f>
        <v>0</v>
      </c>
      <c r="J820" s="941">
        <f>+UsoSuelo!G1444</f>
        <v>0</v>
      </c>
      <c r="K820" s="941">
        <f>+UsoSuelo!H1444</f>
        <v>0</v>
      </c>
      <c r="L820" s="941">
        <f>+UsoSuelo!I1444</f>
        <v>0</v>
      </c>
      <c r="M820" s="941">
        <f>+UsoSuelo!J1444</f>
        <v>0</v>
      </c>
      <c r="N820" s="941">
        <f>+UsoSuelo!K1444</f>
        <v>0</v>
      </c>
      <c r="O820" s="941">
        <f>+UsoSuelo!L1444</f>
        <v>0</v>
      </c>
      <c r="P820" s="941">
        <f>+UsoSuelo!M1444</f>
        <v>0</v>
      </c>
      <c r="Q820" s="941">
        <f>+UsoSuelo!N1444</f>
        <v>0</v>
      </c>
      <c r="R820" s="941">
        <f>+UsoSuelo!O1444</f>
        <v>0</v>
      </c>
      <c r="S820" s="941">
        <f>+UsoSuelo!P1444</f>
        <v>0</v>
      </c>
      <c r="T820" s="941">
        <f>+UsoSuelo!Q1444</f>
        <v>0</v>
      </c>
      <c r="U820" s="934">
        <f>SUM(I820:T820)</f>
        <v>0</v>
      </c>
      <c r="Y820" s="1271"/>
      <c r="Z820" s="372"/>
      <c r="AA820" s="372"/>
      <c r="AB820" s="372"/>
      <c r="AC820" s="372"/>
      <c r="AD820" s="372"/>
      <c r="AE820" s="372"/>
      <c r="AF820" s="372"/>
      <c r="AG820" s="372"/>
      <c r="AH820" s="372"/>
      <c r="AI820" s="372"/>
      <c r="AJ820" s="372"/>
      <c r="AK820" s="372"/>
      <c r="AL820" s="372"/>
      <c r="AM820" s="372"/>
      <c r="AN820" s="372"/>
      <c r="AO820" s="372"/>
      <c r="AP820" s="372"/>
      <c r="AQ820" s="372"/>
      <c r="AR820" s="767"/>
      <c r="AS820" s="254"/>
    </row>
    <row r="821" spans="2:45" ht="15.05" thickBot="1" x14ac:dyDescent="0.35">
      <c r="B821" s="5078"/>
      <c r="C821" s="1001">
        <f>IF(B821=0,0,U820)</f>
        <v>0</v>
      </c>
      <c r="D821" s="998">
        <f>IF(B821=0,0,VLOOKUP(B821,Precios!$B$217:$D$307,3,FALSE))</f>
        <v>0</v>
      </c>
      <c r="E821" s="5077"/>
      <c r="F821" s="998">
        <f>IF(B821=0,0,VLOOKUP(B821,Precios!$B$216:$D$307,2,FALSE))</f>
        <v>0</v>
      </c>
      <c r="G821" s="1048">
        <f>F821*E821</f>
        <v>0</v>
      </c>
      <c r="H821" s="1049"/>
      <c r="I821" s="999">
        <f t="shared" ref="I821:T821" si="425">I820*$E821</f>
        <v>0</v>
      </c>
      <c r="J821" s="998">
        <f t="shared" si="425"/>
        <v>0</v>
      </c>
      <c r="K821" s="998">
        <f t="shared" si="425"/>
        <v>0</v>
      </c>
      <c r="L821" s="998">
        <f t="shared" si="425"/>
        <v>0</v>
      </c>
      <c r="M821" s="998">
        <f t="shared" si="425"/>
        <v>0</v>
      </c>
      <c r="N821" s="998">
        <f t="shared" si="425"/>
        <v>0</v>
      </c>
      <c r="O821" s="998">
        <f t="shared" si="425"/>
        <v>0</v>
      </c>
      <c r="P821" s="998">
        <f t="shared" si="425"/>
        <v>0</v>
      </c>
      <c r="Q821" s="998">
        <f t="shared" si="425"/>
        <v>0</v>
      </c>
      <c r="R821" s="998">
        <f t="shared" si="425"/>
        <v>0</v>
      </c>
      <c r="S821" s="998">
        <f t="shared" si="425"/>
        <v>0</v>
      </c>
      <c r="T821" s="998">
        <f t="shared" si="425"/>
        <v>0</v>
      </c>
      <c r="U821" s="1000">
        <f>+SUM(I821:T821)</f>
        <v>0</v>
      </c>
      <c r="V821" s="232" t="str">
        <f>B821&amp;"contratada"</f>
        <v>contratada</v>
      </c>
      <c r="Y821" s="1271"/>
      <c r="Z821" s="372"/>
      <c r="AA821" s="372"/>
      <c r="AB821" s="372"/>
      <c r="AC821" s="372"/>
      <c r="AD821" s="372"/>
      <c r="AE821" s="372"/>
      <c r="AF821" s="372"/>
      <c r="AG821" s="372"/>
      <c r="AH821" s="372"/>
      <c r="AI821" s="372"/>
      <c r="AJ821" s="372"/>
      <c r="AK821" s="372"/>
      <c r="AL821" s="372"/>
      <c r="AM821" s="372"/>
      <c r="AN821" s="372"/>
      <c r="AO821" s="372"/>
      <c r="AP821" s="372"/>
      <c r="AQ821" s="372"/>
      <c r="AR821" s="767"/>
      <c r="AS821" s="254"/>
    </row>
    <row r="822" spans="2:45" ht="15.05" thickBot="1" x14ac:dyDescent="0.25">
      <c r="B822" s="946">
        <f>UsoSuelo!D376</f>
        <v>0</v>
      </c>
      <c r="C822" s="345"/>
      <c r="D822" s="345"/>
      <c r="E822" s="346"/>
      <c r="F822" s="346"/>
      <c r="G822" s="346"/>
      <c r="H822" s="345"/>
      <c r="I822" s="352"/>
      <c r="J822" s="349"/>
      <c r="K822" s="349"/>
      <c r="L822" s="349"/>
      <c r="M822" s="349"/>
      <c r="N822" s="349"/>
      <c r="O822" s="349"/>
      <c r="P822" s="349"/>
      <c r="Q822" s="349"/>
      <c r="R822" s="349"/>
      <c r="S822" s="349"/>
      <c r="T822" s="353"/>
      <c r="U822" s="350"/>
      <c r="Y822" s="1271"/>
      <c r="Z822" s="372"/>
      <c r="AA822" s="372"/>
      <c r="AB822" s="372"/>
      <c r="AC822" s="372"/>
      <c r="AD822" s="372"/>
      <c r="AE822" s="372"/>
      <c r="AF822" s="372"/>
      <c r="AG822" s="372"/>
      <c r="AH822" s="372"/>
      <c r="AI822" s="372"/>
      <c r="AJ822" s="372"/>
      <c r="AK822" s="372"/>
      <c r="AL822" s="372"/>
      <c r="AM822" s="372"/>
      <c r="AN822" s="372"/>
      <c r="AO822" s="372"/>
      <c r="AP822" s="372"/>
      <c r="AQ822" s="372"/>
      <c r="AR822" s="767"/>
      <c r="AS822" s="254"/>
    </row>
    <row r="823" spans="2:45" ht="15.05" thickBot="1" x14ac:dyDescent="0.25">
      <c r="B823" s="341" t="s">
        <v>1030</v>
      </c>
      <c r="C823" s="938" t="s">
        <v>1031</v>
      </c>
      <c r="D823" s="939"/>
      <c r="E823" s="939"/>
      <c r="F823" s="939"/>
      <c r="G823" s="939"/>
      <c r="H823" s="940"/>
      <c r="I823" s="941">
        <f>+UsoSuelo!F1445</f>
        <v>0</v>
      </c>
      <c r="J823" s="941">
        <f>+UsoSuelo!G1445</f>
        <v>0</v>
      </c>
      <c r="K823" s="941">
        <f>+UsoSuelo!H1445</f>
        <v>0</v>
      </c>
      <c r="L823" s="941">
        <f>+UsoSuelo!I1445</f>
        <v>0</v>
      </c>
      <c r="M823" s="941">
        <f>+UsoSuelo!J1445</f>
        <v>0</v>
      </c>
      <c r="N823" s="941">
        <f>+UsoSuelo!K1445</f>
        <v>0</v>
      </c>
      <c r="O823" s="941">
        <f>+UsoSuelo!L1445</f>
        <v>0</v>
      </c>
      <c r="P823" s="941">
        <f>+UsoSuelo!M1445</f>
        <v>0</v>
      </c>
      <c r="Q823" s="941">
        <f>+UsoSuelo!N1445</f>
        <v>0</v>
      </c>
      <c r="R823" s="941">
        <f>+UsoSuelo!O1445</f>
        <v>0</v>
      </c>
      <c r="S823" s="941">
        <f>+UsoSuelo!P1445</f>
        <v>0</v>
      </c>
      <c r="T823" s="941">
        <f>+UsoSuelo!Q1445</f>
        <v>0</v>
      </c>
      <c r="U823" s="934">
        <f>SUM(I823:T823)</f>
        <v>0</v>
      </c>
      <c r="Y823" s="1271"/>
      <c r="Z823" s="372"/>
      <c r="AA823" s="372"/>
      <c r="AB823" s="372"/>
      <c r="AC823" s="372"/>
      <c r="AD823" s="372"/>
      <c r="AE823" s="372"/>
      <c r="AF823" s="372"/>
      <c r="AG823" s="372"/>
      <c r="AH823" s="372"/>
      <c r="AI823" s="372"/>
      <c r="AJ823" s="372"/>
      <c r="AK823" s="372"/>
      <c r="AL823" s="372"/>
      <c r="AM823" s="372"/>
      <c r="AN823" s="372"/>
      <c r="AO823" s="372"/>
      <c r="AP823" s="372"/>
      <c r="AQ823" s="372"/>
      <c r="AR823" s="767"/>
      <c r="AS823" s="254"/>
    </row>
    <row r="824" spans="2:45" ht="15.05" thickBot="1" x14ac:dyDescent="0.35">
      <c r="B824" s="5078"/>
      <c r="C824" s="1001">
        <f>IF(B824=0,0,U823)</f>
        <v>0</v>
      </c>
      <c r="D824" s="998">
        <f>IF(B824=0,0,VLOOKUP(B824,Precios!$B$217:$D$307,3,FALSE))</f>
        <v>0</v>
      </c>
      <c r="E824" s="5077"/>
      <c r="F824" s="998">
        <f>IF(B824=0,0,VLOOKUP(B824,Precios!$B$216:$D$307,2,FALSE))</f>
        <v>0</v>
      </c>
      <c r="G824" s="1048">
        <f>F824*E824</f>
        <v>0</v>
      </c>
      <c r="H824" s="1049"/>
      <c r="I824" s="999">
        <f t="shared" ref="I824:T824" si="426">I823*$E824</f>
        <v>0</v>
      </c>
      <c r="J824" s="998">
        <f t="shared" si="426"/>
        <v>0</v>
      </c>
      <c r="K824" s="998">
        <f t="shared" si="426"/>
        <v>0</v>
      </c>
      <c r="L824" s="998">
        <f t="shared" si="426"/>
        <v>0</v>
      </c>
      <c r="M824" s="998">
        <f t="shared" si="426"/>
        <v>0</v>
      </c>
      <c r="N824" s="998">
        <f t="shared" si="426"/>
        <v>0</v>
      </c>
      <c r="O824" s="998">
        <f t="shared" si="426"/>
        <v>0</v>
      </c>
      <c r="P824" s="998">
        <f t="shared" si="426"/>
        <v>0</v>
      </c>
      <c r="Q824" s="998">
        <f t="shared" si="426"/>
        <v>0</v>
      </c>
      <c r="R824" s="998">
        <f t="shared" si="426"/>
        <v>0</v>
      </c>
      <c r="S824" s="998">
        <f t="shared" si="426"/>
        <v>0</v>
      </c>
      <c r="T824" s="998">
        <f t="shared" si="426"/>
        <v>0</v>
      </c>
      <c r="U824" s="1000">
        <f>+SUM(I824:T824)</f>
        <v>0</v>
      </c>
      <c r="V824" s="232" t="str">
        <f>B824&amp;"contratada"</f>
        <v>contratada</v>
      </c>
      <c r="Y824" s="1271"/>
      <c r="Z824" s="372"/>
      <c r="AA824" s="372"/>
      <c r="AB824" s="372"/>
      <c r="AC824" s="372"/>
      <c r="AD824" s="372"/>
      <c r="AE824" s="372"/>
      <c r="AF824" s="372"/>
      <c r="AG824" s="372"/>
      <c r="AH824" s="372"/>
      <c r="AI824" s="372"/>
      <c r="AJ824" s="372"/>
      <c r="AK824" s="372"/>
      <c r="AL824" s="372"/>
      <c r="AM824" s="372"/>
      <c r="AN824" s="372"/>
      <c r="AO824" s="372"/>
      <c r="AP824" s="372"/>
      <c r="AQ824" s="372"/>
      <c r="AR824" s="767"/>
      <c r="AS824" s="254"/>
    </row>
    <row r="825" spans="2:45" ht="15.05" thickBot="1" x14ac:dyDescent="0.25">
      <c r="B825" s="946">
        <f>UsoSuelo!D377</f>
        <v>0</v>
      </c>
      <c r="C825" s="345"/>
      <c r="D825" s="345"/>
      <c r="E825" s="346"/>
      <c r="F825" s="346"/>
      <c r="G825" s="346"/>
      <c r="H825" s="345"/>
      <c r="I825" s="352"/>
      <c r="J825" s="349"/>
      <c r="K825" s="349"/>
      <c r="L825" s="349"/>
      <c r="M825" s="349"/>
      <c r="N825" s="349"/>
      <c r="O825" s="349"/>
      <c r="P825" s="349"/>
      <c r="Q825" s="349"/>
      <c r="R825" s="349"/>
      <c r="S825" s="349"/>
      <c r="T825" s="353"/>
      <c r="U825" s="350"/>
      <c r="Y825" s="1271"/>
      <c r="Z825" s="372"/>
      <c r="AA825" s="372"/>
      <c r="AB825" s="372"/>
      <c r="AC825" s="372"/>
      <c r="AD825" s="372"/>
      <c r="AE825" s="372"/>
      <c r="AF825" s="372"/>
      <c r="AG825" s="372"/>
      <c r="AH825" s="372"/>
      <c r="AI825" s="372"/>
      <c r="AJ825" s="372"/>
      <c r="AK825" s="372"/>
      <c r="AL825" s="372"/>
      <c r="AM825" s="372"/>
      <c r="AN825" s="372"/>
      <c r="AO825" s="372"/>
      <c r="AP825" s="372"/>
      <c r="AQ825" s="372"/>
      <c r="AR825" s="767"/>
      <c r="AS825" s="254"/>
    </row>
    <row r="826" spans="2:45" ht="15.05" thickBot="1" x14ac:dyDescent="0.25">
      <c r="B826" s="341" t="s">
        <v>1030</v>
      </c>
      <c r="C826" s="938" t="s">
        <v>1031</v>
      </c>
      <c r="D826" s="939"/>
      <c r="E826" s="939"/>
      <c r="F826" s="939"/>
      <c r="G826" s="939"/>
      <c r="H826" s="940"/>
      <c r="I826" s="941">
        <f>+UsoSuelo!F1446</f>
        <v>0</v>
      </c>
      <c r="J826" s="941">
        <f>+UsoSuelo!G1446</f>
        <v>0</v>
      </c>
      <c r="K826" s="941">
        <f>+UsoSuelo!H1446</f>
        <v>0</v>
      </c>
      <c r="L826" s="941">
        <f>+UsoSuelo!I1446</f>
        <v>0</v>
      </c>
      <c r="M826" s="941">
        <f>+UsoSuelo!J1446</f>
        <v>0</v>
      </c>
      <c r="N826" s="941">
        <f>+UsoSuelo!K1446</f>
        <v>0</v>
      </c>
      <c r="O826" s="941">
        <f>+UsoSuelo!L1446</f>
        <v>0</v>
      </c>
      <c r="P826" s="941">
        <f>+UsoSuelo!M1446</f>
        <v>0</v>
      </c>
      <c r="Q826" s="941">
        <f>+UsoSuelo!N1446</f>
        <v>0</v>
      </c>
      <c r="R826" s="941">
        <f>+UsoSuelo!O1446</f>
        <v>0</v>
      </c>
      <c r="S826" s="941">
        <f>+UsoSuelo!P1446</f>
        <v>0</v>
      </c>
      <c r="T826" s="941">
        <f>+UsoSuelo!Q1446</f>
        <v>0</v>
      </c>
      <c r="U826" s="934">
        <f>SUM(I826:T826)</f>
        <v>0</v>
      </c>
      <c r="Y826" s="1271"/>
      <c r="Z826" s="372"/>
      <c r="AA826" s="372"/>
      <c r="AB826" s="372"/>
      <c r="AC826" s="372"/>
      <c r="AD826" s="372"/>
      <c r="AE826" s="372"/>
      <c r="AF826" s="372"/>
      <c r="AG826" s="372"/>
      <c r="AH826" s="372"/>
      <c r="AI826" s="372"/>
      <c r="AJ826" s="372"/>
      <c r="AK826" s="372"/>
      <c r="AL826" s="372"/>
      <c r="AM826" s="372"/>
      <c r="AN826" s="372"/>
      <c r="AO826" s="372"/>
      <c r="AP826" s="372"/>
      <c r="AQ826" s="372"/>
      <c r="AR826" s="767"/>
      <c r="AS826" s="254"/>
    </row>
    <row r="827" spans="2:45" ht="15.05" thickBot="1" x14ac:dyDescent="0.35">
      <c r="B827" s="5078"/>
      <c r="C827" s="1001">
        <f>IF(B827=0,0,U826)</f>
        <v>0</v>
      </c>
      <c r="D827" s="998">
        <f>IF(B827=0,0,VLOOKUP(B827,Precios!$B$217:$D$307,3,FALSE))</f>
        <v>0</v>
      </c>
      <c r="E827" s="5077"/>
      <c r="F827" s="998">
        <f>IF(B827=0,0,VLOOKUP(B827,Precios!$B$216:$D$307,2,FALSE))</f>
        <v>0</v>
      </c>
      <c r="G827" s="1048">
        <f>F827*E827</f>
        <v>0</v>
      </c>
      <c r="H827" s="1049"/>
      <c r="I827" s="999">
        <f t="shared" ref="I827:T827" si="427">I826*$E827</f>
        <v>0</v>
      </c>
      <c r="J827" s="998">
        <f t="shared" si="427"/>
        <v>0</v>
      </c>
      <c r="K827" s="998">
        <f t="shared" si="427"/>
        <v>0</v>
      </c>
      <c r="L827" s="998">
        <f t="shared" si="427"/>
        <v>0</v>
      </c>
      <c r="M827" s="998">
        <f t="shared" si="427"/>
        <v>0</v>
      </c>
      <c r="N827" s="998">
        <f t="shared" si="427"/>
        <v>0</v>
      </c>
      <c r="O827" s="998">
        <f t="shared" si="427"/>
        <v>0</v>
      </c>
      <c r="P827" s="998">
        <f t="shared" si="427"/>
        <v>0</v>
      </c>
      <c r="Q827" s="998">
        <f t="shared" si="427"/>
        <v>0</v>
      </c>
      <c r="R827" s="998">
        <f t="shared" si="427"/>
        <v>0</v>
      </c>
      <c r="S827" s="998">
        <f t="shared" si="427"/>
        <v>0</v>
      </c>
      <c r="T827" s="998">
        <f t="shared" si="427"/>
        <v>0</v>
      </c>
      <c r="U827" s="1000">
        <f>+SUM(I827:T827)</f>
        <v>0</v>
      </c>
      <c r="V827" s="232" t="str">
        <f>B827&amp;"contratada"</f>
        <v>contratada</v>
      </c>
      <c r="Y827" s="1271"/>
      <c r="Z827" s="372"/>
      <c r="AA827" s="372"/>
      <c r="AB827" s="372"/>
      <c r="AC827" s="372"/>
      <c r="AD827" s="372"/>
      <c r="AE827" s="372"/>
      <c r="AF827" s="372"/>
      <c r="AG827" s="372"/>
      <c r="AH827" s="372"/>
      <c r="AI827" s="372"/>
      <c r="AJ827" s="372"/>
      <c r="AK827" s="372"/>
      <c r="AL827" s="372"/>
      <c r="AM827" s="372"/>
      <c r="AN827" s="372"/>
      <c r="AO827" s="372"/>
      <c r="AP827" s="372"/>
      <c r="AQ827" s="372"/>
      <c r="AR827" s="767"/>
      <c r="AS827" s="254"/>
    </row>
    <row r="828" spans="2:45" ht="15.05" thickBot="1" x14ac:dyDescent="0.25">
      <c r="B828" s="946">
        <f>UsoSuelo!D378</f>
        <v>0</v>
      </c>
      <c r="C828" s="345"/>
      <c r="D828" s="345"/>
      <c r="E828" s="346"/>
      <c r="F828" s="346"/>
      <c r="G828" s="346"/>
      <c r="H828" s="345"/>
      <c r="I828" s="352"/>
      <c r="J828" s="349"/>
      <c r="K828" s="349"/>
      <c r="L828" s="349"/>
      <c r="M828" s="349"/>
      <c r="N828" s="349"/>
      <c r="O828" s="349"/>
      <c r="P828" s="349"/>
      <c r="Q828" s="349"/>
      <c r="R828" s="349"/>
      <c r="S828" s="349"/>
      <c r="T828" s="353"/>
      <c r="U828" s="350"/>
      <c r="V828" s="232" t="s">
        <v>581</v>
      </c>
      <c r="Y828" s="1271"/>
      <c r="Z828" s="193"/>
      <c r="AA828" s="193"/>
      <c r="AB828" s="193"/>
      <c r="AC828" s="193"/>
      <c r="AD828" s="767"/>
      <c r="AE828" s="767"/>
      <c r="AF828" s="767"/>
      <c r="AG828" s="767"/>
      <c r="AH828" s="767"/>
      <c r="AI828" s="767"/>
      <c r="AJ828" s="767"/>
      <c r="AK828" s="767"/>
      <c r="AL828" s="767"/>
      <c r="AM828" s="767"/>
      <c r="AN828" s="767"/>
      <c r="AO828" s="767"/>
      <c r="AP828" s="767"/>
      <c r="AQ828" s="767"/>
      <c r="AR828" s="767"/>
      <c r="AS828" s="254"/>
    </row>
    <row r="829" spans="2:45" ht="15.05" thickBot="1" x14ac:dyDescent="0.25">
      <c r="B829" s="341" t="s">
        <v>1030</v>
      </c>
      <c r="C829" s="938" t="s">
        <v>1031</v>
      </c>
      <c r="D829" s="939"/>
      <c r="E829" s="939"/>
      <c r="F829" s="939"/>
      <c r="G829" s="939"/>
      <c r="H829" s="940"/>
      <c r="I829" s="941">
        <f>+UsoSuelo!F1447</f>
        <v>0</v>
      </c>
      <c r="J829" s="941">
        <f>+UsoSuelo!G1447</f>
        <v>0</v>
      </c>
      <c r="K829" s="941">
        <f>+UsoSuelo!H1447</f>
        <v>0</v>
      </c>
      <c r="L829" s="941">
        <f>+UsoSuelo!I1447</f>
        <v>0</v>
      </c>
      <c r="M829" s="941">
        <f>+UsoSuelo!J1447</f>
        <v>0</v>
      </c>
      <c r="N829" s="941">
        <f>+UsoSuelo!K1447</f>
        <v>0</v>
      </c>
      <c r="O829" s="941">
        <f>+UsoSuelo!L1447</f>
        <v>0</v>
      </c>
      <c r="P829" s="941">
        <f>+UsoSuelo!M1447</f>
        <v>0</v>
      </c>
      <c r="Q829" s="941">
        <f>+UsoSuelo!N1447</f>
        <v>0</v>
      </c>
      <c r="R829" s="941">
        <f>+UsoSuelo!O1447</f>
        <v>0</v>
      </c>
      <c r="S829" s="941">
        <f>+UsoSuelo!P1447</f>
        <v>0</v>
      </c>
      <c r="T829" s="941">
        <f>+UsoSuelo!Q1447</f>
        <v>0</v>
      </c>
      <c r="U829" s="934">
        <f>SUM(I829:T829)</f>
        <v>0</v>
      </c>
      <c r="Y829" s="1271"/>
      <c r="Z829" s="193"/>
      <c r="AA829" s="193"/>
      <c r="AB829" s="193"/>
      <c r="AC829" s="193"/>
      <c r="AD829" s="767"/>
      <c r="AE829" s="767"/>
      <c r="AF829" s="767"/>
      <c r="AG829" s="767"/>
      <c r="AH829" s="767"/>
      <c r="AI829" s="767"/>
      <c r="AJ829" s="767"/>
      <c r="AK829" s="767"/>
      <c r="AL829" s="767"/>
      <c r="AM829" s="767"/>
      <c r="AN829" s="767"/>
      <c r="AO829" s="767"/>
      <c r="AP829" s="767"/>
      <c r="AQ829" s="767"/>
      <c r="AR829" s="767"/>
      <c r="AS829" s="254"/>
    </row>
    <row r="830" spans="2:45" ht="15.05" thickBot="1" x14ac:dyDescent="0.35">
      <c r="B830" s="5078"/>
      <c r="C830" s="1001">
        <f>IF(B830=0,0,U829)</f>
        <v>0</v>
      </c>
      <c r="D830" s="998">
        <f>IF(B830=0,0,VLOOKUP(B830,Precios!$B$217:$D$307,3,FALSE))</f>
        <v>0</v>
      </c>
      <c r="E830" s="5077"/>
      <c r="F830" s="998">
        <f>IF(B830=0,0,VLOOKUP(B830,Precios!$B$216:$D$307,2,FALSE))</f>
        <v>0</v>
      </c>
      <c r="G830" s="1048">
        <f>F830*E830</f>
        <v>0</v>
      </c>
      <c r="H830" s="1049"/>
      <c r="I830" s="999">
        <f t="shared" ref="I830:T830" si="428">I829*$E830</f>
        <v>0</v>
      </c>
      <c r="J830" s="998">
        <f t="shared" si="428"/>
        <v>0</v>
      </c>
      <c r="K830" s="998">
        <f t="shared" si="428"/>
        <v>0</v>
      </c>
      <c r="L830" s="998">
        <f t="shared" si="428"/>
        <v>0</v>
      </c>
      <c r="M830" s="998">
        <f t="shared" si="428"/>
        <v>0</v>
      </c>
      <c r="N830" s="998">
        <f t="shared" si="428"/>
        <v>0</v>
      </c>
      <c r="O830" s="998">
        <f t="shared" si="428"/>
        <v>0</v>
      </c>
      <c r="P830" s="998">
        <f t="shared" si="428"/>
        <v>0</v>
      </c>
      <c r="Q830" s="998">
        <f t="shared" si="428"/>
        <v>0</v>
      </c>
      <c r="R830" s="998">
        <f t="shared" si="428"/>
        <v>0</v>
      </c>
      <c r="S830" s="998">
        <f t="shared" si="428"/>
        <v>0</v>
      </c>
      <c r="T830" s="998">
        <f t="shared" si="428"/>
        <v>0</v>
      </c>
      <c r="U830" s="1000">
        <f>+SUM(I830:T830)</f>
        <v>0</v>
      </c>
      <c r="V830" s="232" t="str">
        <f>B830&amp;"contratada"</f>
        <v>contratada</v>
      </c>
      <c r="Y830" s="1271"/>
      <c r="Z830" s="372"/>
      <c r="AA830" s="372"/>
      <c r="AB830" s="372"/>
      <c r="AC830" s="372"/>
      <c r="AD830" s="372"/>
      <c r="AE830" s="372"/>
      <c r="AF830" s="372"/>
      <c r="AG830" s="372"/>
      <c r="AH830" s="372"/>
      <c r="AI830" s="372"/>
      <c r="AJ830" s="372"/>
      <c r="AK830" s="372"/>
      <c r="AL830" s="372"/>
      <c r="AM830" s="372"/>
      <c r="AN830" s="372"/>
      <c r="AO830" s="372"/>
      <c r="AP830" s="372"/>
      <c r="AQ830" s="372"/>
      <c r="AR830" s="767"/>
      <c r="AS830" s="254"/>
    </row>
    <row r="831" spans="2:45" ht="15.05" thickBot="1" x14ac:dyDescent="0.25">
      <c r="B831" s="354" t="s">
        <v>1033</v>
      </c>
      <c r="C831" s="355"/>
      <c r="D831" s="355"/>
      <c r="E831" s="355"/>
      <c r="F831" s="355"/>
      <c r="G831" s="356"/>
      <c r="H831" s="357"/>
      <c r="I831" s="358">
        <f t="shared" ref="I831:T831" si="429">SUMPRODUCT(I668:I830,$F$668:$F$830)</f>
        <v>0</v>
      </c>
      <c r="J831" s="358">
        <f t="shared" si="429"/>
        <v>0</v>
      </c>
      <c r="K831" s="358">
        <f t="shared" si="429"/>
        <v>0</v>
      </c>
      <c r="L831" s="358">
        <f t="shared" si="429"/>
        <v>0</v>
      </c>
      <c r="M831" s="358">
        <f t="shared" si="429"/>
        <v>0</v>
      </c>
      <c r="N831" s="358">
        <f t="shared" si="429"/>
        <v>0</v>
      </c>
      <c r="O831" s="358">
        <f t="shared" si="429"/>
        <v>0</v>
      </c>
      <c r="P831" s="358">
        <f t="shared" si="429"/>
        <v>0</v>
      </c>
      <c r="Q831" s="358">
        <f t="shared" si="429"/>
        <v>0</v>
      </c>
      <c r="R831" s="358">
        <f t="shared" si="429"/>
        <v>0</v>
      </c>
      <c r="S831" s="358">
        <f t="shared" si="429"/>
        <v>0</v>
      </c>
      <c r="T831" s="358">
        <f t="shared" si="429"/>
        <v>0</v>
      </c>
      <c r="U831" s="934">
        <f>+SUM(I831:T831)</f>
        <v>0</v>
      </c>
      <c r="Y831" s="1557"/>
      <c r="Z831" s="422"/>
      <c r="AA831" s="422"/>
      <c r="AB831" s="422"/>
      <c r="AC831" s="422"/>
      <c r="AD831" s="422"/>
      <c r="AE831" s="422"/>
      <c r="AF831" s="422"/>
      <c r="AG831" s="422"/>
      <c r="AH831" s="422"/>
      <c r="AI831" s="422"/>
      <c r="AJ831" s="422"/>
      <c r="AK831" s="422"/>
      <c r="AL831" s="422"/>
      <c r="AM831" s="422"/>
      <c r="AN831" s="422"/>
      <c r="AO831" s="422"/>
      <c r="AP831" s="422"/>
      <c r="AQ831" s="422"/>
      <c r="AR831" s="422"/>
      <c r="AS831" s="254"/>
    </row>
    <row r="832" spans="2:45" x14ac:dyDescent="0.2">
      <c r="Y832" s="1557"/>
      <c r="Z832" s="438"/>
      <c r="AA832" s="438"/>
      <c r="AB832" s="439"/>
      <c r="AC832" s="439"/>
      <c r="AD832" s="439"/>
      <c r="AE832" s="439"/>
      <c r="AF832" s="592"/>
      <c r="AG832" s="592"/>
      <c r="AH832" s="592"/>
      <c r="AI832" s="592"/>
      <c r="AJ832" s="592"/>
      <c r="AK832" s="592"/>
      <c r="AL832" s="592"/>
      <c r="AM832" s="592"/>
      <c r="AN832" s="592"/>
      <c r="AO832" s="592"/>
      <c r="AP832" s="592"/>
      <c r="AQ832" s="592"/>
      <c r="AR832" s="592"/>
      <c r="AS832" s="254"/>
    </row>
    <row r="833" spans="1:45" ht="15.05" thickBot="1" x14ac:dyDescent="0.25">
      <c r="Y833" s="1557"/>
      <c r="Z833" s="438"/>
      <c r="AA833" s="438"/>
      <c r="AB833" s="439"/>
      <c r="AC833" s="439"/>
      <c r="AD833" s="439"/>
      <c r="AE833" s="439"/>
      <c r="AF833" s="592"/>
      <c r="AG833" s="592"/>
      <c r="AH833" s="592"/>
      <c r="AI833" s="592"/>
      <c r="AJ833" s="592"/>
      <c r="AK833" s="592"/>
      <c r="AL833" s="592"/>
      <c r="AM833" s="592"/>
      <c r="AN833" s="592"/>
      <c r="AO833" s="592"/>
      <c r="AP833" s="592"/>
      <c r="AQ833" s="592"/>
      <c r="AR833" s="592"/>
      <c r="AS833" s="254"/>
    </row>
    <row r="834" spans="1:45" ht="15.05" thickBot="1" x14ac:dyDescent="0.25">
      <c r="A834" s="1344">
        <f>+A662+1</f>
        <v>68</v>
      </c>
      <c r="B834" s="142" t="s">
        <v>2341</v>
      </c>
      <c r="C834" s="334"/>
      <c r="D834" s="334"/>
      <c r="E834" s="334"/>
      <c r="F834" s="334"/>
      <c r="G834" s="334"/>
      <c r="H834" s="334"/>
      <c r="I834" s="334"/>
      <c r="J834" s="334"/>
      <c r="K834" s="334"/>
      <c r="L834" s="334"/>
      <c r="M834" s="334"/>
      <c r="N834" s="334"/>
      <c r="O834" s="334"/>
      <c r="P834" s="334"/>
      <c r="Q834" s="334"/>
      <c r="R834" s="334"/>
      <c r="S834" s="334"/>
      <c r="T834" s="334"/>
      <c r="U834" s="360"/>
      <c r="Y834" s="1271"/>
      <c r="Z834" s="372"/>
      <c r="AA834" s="372"/>
      <c r="AB834" s="372"/>
      <c r="AC834" s="372"/>
      <c r="AD834" s="372"/>
      <c r="AE834" s="372"/>
      <c r="AF834" s="372"/>
      <c r="AG834" s="372"/>
      <c r="AH834" s="372"/>
      <c r="AI834" s="372"/>
      <c r="AJ834" s="372"/>
      <c r="AK834" s="372"/>
      <c r="AL834" s="372"/>
      <c r="AM834" s="372"/>
      <c r="AN834" s="372"/>
      <c r="AO834" s="372"/>
      <c r="AP834" s="372"/>
      <c r="AQ834" s="372"/>
      <c r="AR834" s="767"/>
      <c r="AS834" s="254"/>
    </row>
    <row r="835" spans="1:45" x14ac:dyDescent="0.2">
      <c r="A835" s="739"/>
      <c r="B835" s="236" t="s">
        <v>321</v>
      </c>
      <c r="C835" s="1"/>
      <c r="D835" s="1"/>
      <c r="E835" s="1"/>
      <c r="F835" s="1" t="s">
        <v>23</v>
      </c>
      <c r="G835" s="2" t="s">
        <v>11</v>
      </c>
      <c r="H835" s="2"/>
      <c r="I835" s="340" t="str">
        <f t="shared" ref="I835:T835" si="430">+I41</f>
        <v>Ene</v>
      </c>
      <c r="J835" s="340" t="str">
        <f t="shared" si="430"/>
        <v>Feb</v>
      </c>
      <c r="K835" s="340" t="str">
        <f t="shared" si="430"/>
        <v>Mar</v>
      </c>
      <c r="L835" s="340" t="str">
        <f t="shared" si="430"/>
        <v>Abr</v>
      </c>
      <c r="M835" s="340" t="str">
        <f t="shared" si="430"/>
        <v>May</v>
      </c>
      <c r="N835" s="340" t="str">
        <f t="shared" si="430"/>
        <v>Jun</v>
      </c>
      <c r="O835" s="340" t="str">
        <f t="shared" si="430"/>
        <v>Jul</v>
      </c>
      <c r="P835" s="340" t="str">
        <f t="shared" si="430"/>
        <v>Ago</v>
      </c>
      <c r="Q835" s="340" t="str">
        <f t="shared" si="430"/>
        <v>Set</v>
      </c>
      <c r="R835" s="340" t="str">
        <f t="shared" si="430"/>
        <v>Oct</v>
      </c>
      <c r="S835" s="340" t="str">
        <f t="shared" si="430"/>
        <v>Nov</v>
      </c>
      <c r="T835" s="340" t="str">
        <f t="shared" si="430"/>
        <v>Dic</v>
      </c>
      <c r="U835" s="361" t="s">
        <v>11</v>
      </c>
      <c r="Y835" s="1271"/>
      <c r="Z835" s="372"/>
      <c r="AA835" s="372"/>
      <c r="AB835" s="372"/>
      <c r="AC835" s="372"/>
      <c r="AD835" s="372"/>
      <c r="AE835" s="372"/>
      <c r="AF835" s="372"/>
      <c r="AG835" s="372"/>
      <c r="AH835" s="372"/>
      <c r="AI835" s="372"/>
      <c r="AJ835" s="372"/>
      <c r="AK835" s="372"/>
      <c r="AL835" s="372"/>
      <c r="AM835" s="372"/>
      <c r="AN835" s="372"/>
      <c r="AO835" s="372"/>
      <c r="AP835" s="372"/>
      <c r="AQ835" s="372"/>
      <c r="AR835" s="767"/>
      <c r="AS835" s="254"/>
    </row>
    <row r="836" spans="1:45" x14ac:dyDescent="0.2">
      <c r="B836" s="947" t="s">
        <v>293</v>
      </c>
      <c r="C836" s="3" t="s">
        <v>967</v>
      </c>
      <c r="D836" s="3" t="s">
        <v>312</v>
      </c>
      <c r="E836" s="3"/>
      <c r="F836" s="3" t="s">
        <v>314</v>
      </c>
      <c r="G836" s="4" t="s">
        <v>1034</v>
      </c>
      <c r="H836" s="4"/>
      <c r="I836" s="342"/>
      <c r="J836" s="323"/>
      <c r="K836" s="323"/>
      <c r="L836" s="323"/>
      <c r="M836" s="323" t="s">
        <v>349</v>
      </c>
      <c r="N836" s="322"/>
      <c r="O836" s="322"/>
      <c r="P836" s="322"/>
      <c r="Q836" s="322"/>
      <c r="R836" s="322"/>
      <c r="S836" s="322"/>
      <c r="T836" s="362"/>
      <c r="U836" s="363"/>
      <c r="Y836" s="1557"/>
      <c r="Z836" s="372"/>
      <c r="AA836" s="438"/>
      <c r="AB836" s="439"/>
      <c r="AC836" s="439"/>
      <c r="AD836" s="439"/>
      <c r="AE836" s="438"/>
      <c r="AF836" s="592"/>
      <c r="AG836" s="592"/>
      <c r="AH836" s="592"/>
      <c r="AI836" s="592"/>
      <c r="AJ836" s="592"/>
      <c r="AK836" s="592"/>
      <c r="AL836" s="592"/>
      <c r="AM836" s="592"/>
      <c r="AN836" s="592"/>
      <c r="AO836" s="592"/>
      <c r="AP836" s="592"/>
      <c r="AQ836" s="592"/>
      <c r="AR836" s="439"/>
      <c r="AS836" s="254"/>
    </row>
    <row r="837" spans="1:45" x14ac:dyDescent="0.3">
      <c r="B837" s="1002" t="s">
        <v>95</v>
      </c>
      <c r="C837" s="1003">
        <f>SUM(Alimentos!G368:R368)</f>
        <v>0</v>
      </c>
      <c r="D837" s="1003" t="s">
        <v>611</v>
      </c>
      <c r="E837" s="1004"/>
      <c r="F837" s="1003">
        <f>Precios!D136</f>
        <v>0</v>
      </c>
      <c r="G837" s="1050">
        <f>F837*C837</f>
        <v>0</v>
      </c>
      <c r="H837" s="309"/>
      <c r="I837" s="1009">
        <f>+Alimentos!G368</f>
        <v>0</v>
      </c>
      <c r="J837" s="1003">
        <f>+Alimentos!H368</f>
        <v>0</v>
      </c>
      <c r="K837" s="1003">
        <f>+Alimentos!I368</f>
        <v>0</v>
      </c>
      <c r="L837" s="1003">
        <f>+Alimentos!J368</f>
        <v>0</v>
      </c>
      <c r="M837" s="1003">
        <f>+Alimentos!K368</f>
        <v>0</v>
      </c>
      <c r="N837" s="1003">
        <f>+Alimentos!L368</f>
        <v>0</v>
      </c>
      <c r="O837" s="1003">
        <f>+Alimentos!M368</f>
        <v>0</v>
      </c>
      <c r="P837" s="1003">
        <f>+Alimentos!N368</f>
        <v>0</v>
      </c>
      <c r="Q837" s="1003">
        <f>+Alimentos!O368</f>
        <v>0</v>
      </c>
      <c r="R837" s="1003">
        <f>+Alimentos!P368</f>
        <v>0</v>
      </c>
      <c r="S837" s="1003">
        <f>+Alimentos!Q368</f>
        <v>0</v>
      </c>
      <c r="T837" s="2392">
        <f>+Alimentos!R368</f>
        <v>0</v>
      </c>
      <c r="U837" s="2395">
        <f>+SUM(I837:T837)</f>
        <v>0</v>
      </c>
      <c r="V837" s="232" t="str">
        <f>+B837&amp;B838</f>
        <v>MaquinariaContratada</v>
      </c>
      <c r="Y837" s="1511"/>
      <c r="Z837" s="372"/>
      <c r="AB837" s="175"/>
      <c r="AR837" s="175"/>
    </row>
    <row r="838" spans="1:45" x14ac:dyDescent="0.3">
      <c r="B838" s="5080" t="s">
        <v>94</v>
      </c>
      <c r="C838" s="2355"/>
      <c r="D838" s="2356"/>
      <c r="E838" s="1084"/>
      <c r="F838" s="2356"/>
      <c r="G838" s="2357"/>
      <c r="H838" s="309"/>
      <c r="I838" s="2358"/>
      <c r="J838" s="2356"/>
      <c r="K838" s="2356"/>
      <c r="L838" s="2356"/>
      <c r="M838" s="2356"/>
      <c r="N838" s="2356"/>
      <c r="O838" s="2356"/>
      <c r="P838" s="2356"/>
      <c r="Q838" s="2356"/>
      <c r="R838" s="2356"/>
      <c r="S838" s="2356"/>
      <c r="T838" s="2356"/>
      <c r="U838" s="2396"/>
      <c r="Y838" s="1511"/>
      <c r="Z838" s="372"/>
      <c r="AB838" s="175"/>
      <c r="AR838" s="175"/>
    </row>
    <row r="839" spans="1:45" x14ac:dyDescent="0.3">
      <c r="B839" s="1006" t="s">
        <v>591</v>
      </c>
      <c r="C839" s="1007">
        <f>C837</f>
        <v>0</v>
      </c>
      <c r="D839" s="1007" t="str">
        <f>D837</f>
        <v xml:space="preserve">fardos </v>
      </c>
      <c r="E839" s="1008"/>
      <c r="F839" s="1007">
        <f>Precios!D122</f>
        <v>0</v>
      </c>
      <c r="G839" s="1042">
        <f>F839*C839</f>
        <v>0</v>
      </c>
      <c r="H839" s="555"/>
      <c r="I839" s="1011">
        <f>+I837</f>
        <v>0</v>
      </c>
      <c r="J839" s="1011">
        <f t="shared" ref="J839:T839" si="431">+J837</f>
        <v>0</v>
      </c>
      <c r="K839" s="1011">
        <f t="shared" si="431"/>
        <v>0</v>
      </c>
      <c r="L839" s="1011">
        <f t="shared" si="431"/>
        <v>0</v>
      </c>
      <c r="M839" s="1011">
        <f t="shared" si="431"/>
        <v>0</v>
      </c>
      <c r="N839" s="1011">
        <f t="shared" si="431"/>
        <v>0</v>
      </c>
      <c r="O839" s="1011">
        <f t="shared" si="431"/>
        <v>0</v>
      </c>
      <c r="P839" s="1011">
        <f t="shared" si="431"/>
        <v>0</v>
      </c>
      <c r="Q839" s="1011">
        <f t="shared" si="431"/>
        <v>0</v>
      </c>
      <c r="R839" s="1011">
        <f t="shared" si="431"/>
        <v>0</v>
      </c>
      <c r="S839" s="1011">
        <f t="shared" si="431"/>
        <v>0</v>
      </c>
      <c r="T839" s="2393">
        <f t="shared" si="431"/>
        <v>0</v>
      </c>
      <c r="U839" s="2397">
        <f>+SUM(I839:T839)</f>
        <v>0</v>
      </c>
      <c r="Y839" s="1511"/>
      <c r="Z839" s="372"/>
      <c r="AB839" s="175"/>
      <c r="AR839" s="175"/>
    </row>
    <row r="840" spans="1:45" x14ac:dyDescent="0.2">
      <c r="B840" s="948" t="str">
        <f>+Alimentos!B369</f>
        <v>Henolaje</v>
      </c>
      <c r="C840" s="364"/>
      <c r="D840" s="364"/>
      <c r="E840" s="364"/>
      <c r="F840" s="311"/>
      <c r="G840" s="311"/>
      <c r="H840" s="364"/>
      <c r="I840" s="365"/>
      <c r="J840" s="366"/>
      <c r="K840" s="366"/>
      <c r="L840" s="366"/>
      <c r="M840" s="366"/>
      <c r="N840" s="366"/>
      <c r="O840" s="366"/>
      <c r="P840" s="366"/>
      <c r="Q840" s="366"/>
      <c r="R840" s="366"/>
      <c r="S840" s="366"/>
      <c r="T840" s="366"/>
      <c r="U840" s="367"/>
      <c r="Y840" s="1557"/>
      <c r="Z840" s="372"/>
      <c r="AA840" s="438"/>
      <c r="AB840" s="439"/>
      <c r="AC840" s="439"/>
      <c r="AD840" s="439"/>
      <c r="AE840" s="438"/>
      <c r="AF840" s="592"/>
      <c r="AG840" s="592"/>
      <c r="AH840" s="592"/>
      <c r="AI840" s="592"/>
      <c r="AJ840" s="592"/>
      <c r="AK840" s="592"/>
      <c r="AL840" s="592"/>
      <c r="AM840" s="592"/>
      <c r="AN840" s="592"/>
      <c r="AO840" s="592"/>
      <c r="AP840" s="592"/>
      <c r="AQ840" s="592"/>
      <c r="AR840" s="439"/>
      <c r="AS840" s="254"/>
    </row>
    <row r="841" spans="1:45" x14ac:dyDescent="0.3">
      <c r="B841" s="1002" t="s">
        <v>95</v>
      </c>
      <c r="C841" s="1003">
        <f>SUM(Alimentos!G369:R369)</f>
        <v>0</v>
      </c>
      <c r="D841" s="1003" t="s">
        <v>611</v>
      </c>
      <c r="E841" s="1004"/>
      <c r="F841" s="1003">
        <f>Precios!D136</f>
        <v>0</v>
      </c>
      <c r="G841" s="1050">
        <f>F841*C841</f>
        <v>0</v>
      </c>
      <c r="H841" s="309"/>
      <c r="I841" s="1009">
        <f>+Alimentos!G369</f>
        <v>0</v>
      </c>
      <c r="J841" s="1003">
        <f>+Alimentos!H369</f>
        <v>0</v>
      </c>
      <c r="K841" s="1003">
        <f>+Alimentos!I369</f>
        <v>0</v>
      </c>
      <c r="L841" s="1003">
        <f>+Alimentos!J369</f>
        <v>0</v>
      </c>
      <c r="M841" s="1003">
        <f>+Alimentos!K369</f>
        <v>0</v>
      </c>
      <c r="N841" s="1003">
        <f>+Alimentos!L369</f>
        <v>0</v>
      </c>
      <c r="O841" s="1003">
        <f>+Alimentos!M369</f>
        <v>0</v>
      </c>
      <c r="P841" s="1003">
        <f>+Alimentos!N369</f>
        <v>0</v>
      </c>
      <c r="Q841" s="1003">
        <f>+Alimentos!O369</f>
        <v>0</v>
      </c>
      <c r="R841" s="1003">
        <f>+Alimentos!P369</f>
        <v>0</v>
      </c>
      <c r="S841" s="1003">
        <f>+Alimentos!Q369</f>
        <v>0</v>
      </c>
      <c r="T841" s="2392">
        <f>+Alimentos!R369</f>
        <v>0</v>
      </c>
      <c r="U841" s="2395">
        <f>+SUM(I841:T841)</f>
        <v>0</v>
      </c>
      <c r="V841" s="232" t="str">
        <f>+B841&amp;B842</f>
        <v>MaquinariaPropia</v>
      </c>
      <c r="Y841" s="1511"/>
      <c r="Z841" s="372"/>
      <c r="AB841" s="175"/>
      <c r="AR841" s="175"/>
    </row>
    <row r="842" spans="1:45" x14ac:dyDescent="0.3">
      <c r="B842" s="5080" t="s">
        <v>612</v>
      </c>
      <c r="C842" s="2355"/>
      <c r="D842" s="2356"/>
      <c r="E842" s="1084"/>
      <c r="F842" s="2356"/>
      <c r="G842" s="2357"/>
      <c r="H842" s="309"/>
      <c r="I842" s="2358"/>
      <c r="J842" s="2356"/>
      <c r="K842" s="2356"/>
      <c r="L842" s="2356"/>
      <c r="M842" s="2356"/>
      <c r="N842" s="2356"/>
      <c r="O842" s="2356"/>
      <c r="P842" s="2356"/>
      <c r="Q842" s="2356"/>
      <c r="R842" s="2356"/>
      <c r="S842" s="2356"/>
      <c r="T842" s="2356"/>
      <c r="U842" s="2396"/>
      <c r="Y842" s="1511"/>
      <c r="Z842" s="372"/>
      <c r="AB842" s="175"/>
      <c r="AR842" s="175"/>
    </row>
    <row r="843" spans="1:45" x14ac:dyDescent="0.3">
      <c r="B843" s="1006" t="s">
        <v>591</v>
      </c>
      <c r="C843" s="1007">
        <f>C841</f>
        <v>0</v>
      </c>
      <c r="D843" s="1007" t="str">
        <f>D841</f>
        <v xml:space="preserve">fardos </v>
      </c>
      <c r="E843" s="1008"/>
      <c r="F843" s="1007">
        <f>Precios!D156</f>
        <v>0</v>
      </c>
      <c r="G843" s="1042">
        <f>F843*C843</f>
        <v>0</v>
      </c>
      <c r="H843" s="555"/>
      <c r="I843" s="1011">
        <f>+I841</f>
        <v>0</v>
      </c>
      <c r="J843" s="1011">
        <f t="shared" ref="J843:T843" si="432">+J841</f>
        <v>0</v>
      </c>
      <c r="K843" s="1011">
        <f t="shared" si="432"/>
        <v>0</v>
      </c>
      <c r="L843" s="1011">
        <f t="shared" si="432"/>
        <v>0</v>
      </c>
      <c r="M843" s="1011">
        <f t="shared" si="432"/>
        <v>0</v>
      </c>
      <c r="N843" s="1011">
        <f t="shared" si="432"/>
        <v>0</v>
      </c>
      <c r="O843" s="1011">
        <f t="shared" si="432"/>
        <v>0</v>
      </c>
      <c r="P843" s="1011">
        <f t="shared" si="432"/>
        <v>0</v>
      </c>
      <c r="Q843" s="1011">
        <f t="shared" si="432"/>
        <v>0</v>
      </c>
      <c r="R843" s="1011">
        <f t="shared" si="432"/>
        <v>0</v>
      </c>
      <c r="S843" s="1011">
        <f t="shared" si="432"/>
        <v>0</v>
      </c>
      <c r="T843" s="2393">
        <f t="shared" si="432"/>
        <v>0</v>
      </c>
      <c r="U843" s="2397">
        <f>+SUM(I843:T843)</f>
        <v>0</v>
      </c>
      <c r="Y843" s="1511"/>
      <c r="AB843" s="175"/>
      <c r="AR843" s="175"/>
    </row>
    <row r="844" spans="1:45" x14ac:dyDescent="0.2">
      <c r="B844" s="948" t="s">
        <v>592</v>
      </c>
      <c r="C844" s="364"/>
      <c r="D844" s="364"/>
      <c r="E844" s="364"/>
      <c r="F844" s="311"/>
      <c r="G844" s="311"/>
      <c r="H844" s="364"/>
      <c r="I844" s="365"/>
      <c r="J844" s="366"/>
      <c r="K844" s="366"/>
      <c r="L844" s="366"/>
      <c r="M844" s="366"/>
      <c r="N844" s="366"/>
      <c r="O844" s="366"/>
      <c r="P844" s="366"/>
      <c r="Q844" s="366"/>
      <c r="R844" s="366"/>
      <c r="S844" s="366"/>
      <c r="T844" s="366"/>
      <c r="U844" s="367"/>
      <c r="Y844" s="1557"/>
      <c r="Z844" s="438"/>
      <c r="AA844" s="438"/>
      <c r="AB844" s="439"/>
      <c r="AC844" s="439"/>
      <c r="AD844" s="439"/>
      <c r="AE844" s="438"/>
      <c r="AF844" s="592"/>
      <c r="AG844" s="592"/>
      <c r="AH844" s="592"/>
      <c r="AI844" s="592"/>
      <c r="AJ844" s="592"/>
      <c r="AK844" s="592"/>
      <c r="AL844" s="592"/>
      <c r="AM844" s="592"/>
      <c r="AN844" s="592"/>
      <c r="AO844" s="592"/>
      <c r="AP844" s="592"/>
      <c r="AQ844" s="592"/>
      <c r="AR844" s="439"/>
      <c r="AS844" s="254"/>
    </row>
    <row r="845" spans="1:45" x14ac:dyDescent="0.3">
      <c r="B845" s="1002" t="s">
        <v>95</v>
      </c>
      <c r="C845" s="1003">
        <f>SUM(Alimentos!G370:R370)</f>
        <v>0</v>
      </c>
      <c r="D845" s="1003" t="s">
        <v>247</v>
      </c>
      <c r="E845" s="1004"/>
      <c r="F845" s="1003">
        <f>+Precios!C153</f>
        <v>224</v>
      </c>
      <c r="G845" s="1050">
        <f>F845*C845</f>
        <v>0</v>
      </c>
      <c r="H845" s="309"/>
      <c r="I845" s="1009">
        <f>+Alimentos!G370</f>
        <v>0</v>
      </c>
      <c r="J845" s="1003">
        <f>+Alimentos!H370</f>
        <v>0</v>
      </c>
      <c r="K845" s="1003">
        <f>+Alimentos!I370</f>
        <v>0</v>
      </c>
      <c r="L845" s="1003">
        <f>+Alimentos!J370</f>
        <v>0</v>
      </c>
      <c r="M845" s="1003">
        <f>+Alimentos!K370</f>
        <v>0</v>
      </c>
      <c r="N845" s="1003">
        <f>+Alimentos!L370</f>
        <v>0</v>
      </c>
      <c r="O845" s="1003">
        <f>+Alimentos!M370</f>
        <v>0</v>
      </c>
      <c r="P845" s="1003">
        <f>+Alimentos!N370</f>
        <v>0</v>
      </c>
      <c r="Q845" s="1003">
        <f>+Alimentos!O370</f>
        <v>0</v>
      </c>
      <c r="R845" s="1003">
        <f>+Alimentos!P370</f>
        <v>0</v>
      </c>
      <c r="S845" s="1003">
        <f>+Alimentos!Q370</f>
        <v>0</v>
      </c>
      <c r="T845" s="2392">
        <f>+Alimentos!R370</f>
        <v>0</v>
      </c>
      <c r="U845" s="2395">
        <f>+SUM(I845:T845)</f>
        <v>0</v>
      </c>
      <c r="V845" s="232" t="str">
        <f>+B845&amp;B846</f>
        <v>MaquinariaContratada</v>
      </c>
      <c r="Y845" s="1511"/>
      <c r="AB845" s="175"/>
      <c r="AR845" s="175"/>
    </row>
    <row r="846" spans="1:45" x14ac:dyDescent="0.3">
      <c r="B846" s="5080" t="s">
        <v>94</v>
      </c>
      <c r="C846" s="2355"/>
      <c r="D846" s="2356"/>
      <c r="E846" s="1084"/>
      <c r="F846" s="2356"/>
      <c r="G846" s="2357"/>
      <c r="H846" s="309"/>
      <c r="I846" s="2358"/>
      <c r="J846" s="2356"/>
      <c r="K846" s="2356"/>
      <c r="L846" s="2356"/>
      <c r="M846" s="2356"/>
      <c r="N846" s="2356"/>
      <c r="O846" s="2356"/>
      <c r="P846" s="2356"/>
      <c r="Q846" s="2356"/>
      <c r="R846" s="2356"/>
      <c r="S846" s="2356"/>
      <c r="T846" s="2356"/>
      <c r="U846" s="2396"/>
      <c r="Y846" s="1511"/>
      <c r="AB846" s="175"/>
      <c r="AR846" s="175"/>
    </row>
    <row r="847" spans="1:45" ht="15.05" thickBot="1" x14ac:dyDescent="0.35">
      <c r="B847" s="2398" t="s">
        <v>591</v>
      </c>
      <c r="C847" s="2399">
        <f>C845</f>
        <v>0</v>
      </c>
      <c r="D847" s="2399" t="s">
        <v>247</v>
      </c>
      <c r="E847" s="2400"/>
      <c r="F847" s="2399">
        <f>Precios!D156</f>
        <v>0</v>
      </c>
      <c r="G847" s="2401">
        <f>F847*C847</f>
        <v>0</v>
      </c>
      <c r="H847" s="2359"/>
      <c r="I847" s="2360">
        <f>+I845</f>
        <v>0</v>
      </c>
      <c r="J847" s="2360">
        <f t="shared" ref="J847:T847" si="433">+J845</f>
        <v>0</v>
      </c>
      <c r="K847" s="2360">
        <f t="shared" si="433"/>
        <v>0</v>
      </c>
      <c r="L847" s="2360">
        <f t="shared" si="433"/>
        <v>0</v>
      </c>
      <c r="M847" s="2360">
        <f t="shared" si="433"/>
        <v>0</v>
      </c>
      <c r="N847" s="2360">
        <f t="shared" si="433"/>
        <v>0</v>
      </c>
      <c r="O847" s="2360">
        <f t="shared" si="433"/>
        <v>0</v>
      </c>
      <c r="P847" s="2360">
        <f t="shared" si="433"/>
        <v>0</v>
      </c>
      <c r="Q847" s="2360">
        <f t="shared" si="433"/>
        <v>0</v>
      </c>
      <c r="R847" s="2360">
        <f t="shared" si="433"/>
        <v>0</v>
      </c>
      <c r="S847" s="2360">
        <f t="shared" si="433"/>
        <v>0</v>
      </c>
      <c r="T847" s="2394">
        <f t="shared" si="433"/>
        <v>0</v>
      </c>
      <c r="U847" s="2402">
        <f>+SUM(I847:T847)</f>
        <v>0</v>
      </c>
      <c r="Y847" s="1511"/>
      <c r="AB847" s="175"/>
      <c r="AR847" s="175"/>
    </row>
    <row r="848" spans="1:45" ht="15.05" thickBot="1" x14ac:dyDescent="0.25">
      <c r="B848" s="354" t="s">
        <v>1035</v>
      </c>
      <c r="C848" s="368"/>
      <c r="D848" s="368"/>
      <c r="E848" s="369"/>
      <c r="F848" s="368"/>
      <c r="G848" s="934">
        <f>SUM(G837:G847)</f>
        <v>0</v>
      </c>
    </row>
    <row r="851" spans="1:44" ht="15.05" thickBot="1" x14ac:dyDescent="0.25"/>
    <row r="852" spans="1:44" ht="16.399999999999999" thickBot="1" x14ac:dyDescent="0.25">
      <c r="A852" s="1344">
        <f>+A879</f>
        <v>69</v>
      </c>
      <c r="B852" s="910" t="s">
        <v>2106</v>
      </c>
      <c r="C852" s="911"/>
      <c r="D852" s="911"/>
      <c r="E852" s="911"/>
      <c r="F852" s="911"/>
      <c r="G852" s="911"/>
      <c r="H852" s="911"/>
      <c r="I852" s="911"/>
      <c r="J852" s="911"/>
      <c r="K852" s="911"/>
      <c r="L852" s="911"/>
      <c r="M852" s="911"/>
      <c r="N852" s="911"/>
      <c r="O852" s="911"/>
      <c r="P852" s="911"/>
      <c r="Q852" s="911"/>
      <c r="R852" s="911"/>
      <c r="S852" s="911"/>
      <c r="T852" s="911"/>
      <c r="U852" s="290"/>
      <c r="Y852" s="1511"/>
      <c r="AB852" s="175"/>
      <c r="AR852" s="175"/>
    </row>
    <row r="853" spans="1:44" s="254" customFormat="1" x14ac:dyDescent="0.2">
      <c r="A853" s="767"/>
      <c r="B853" s="732"/>
      <c r="C853" s="422"/>
      <c r="D853" s="422"/>
      <c r="E853" s="422"/>
      <c r="F853" s="422"/>
      <c r="G853" s="422"/>
      <c r="H853" s="422"/>
      <c r="I853" s="422"/>
      <c r="J853" s="422"/>
      <c r="K853" s="422"/>
      <c r="L853" s="422"/>
      <c r="M853" s="422"/>
      <c r="N853" s="422"/>
      <c r="O853" s="422"/>
      <c r="P853" s="422"/>
      <c r="Q853" s="422"/>
      <c r="R853" s="422"/>
      <c r="S853" s="422"/>
      <c r="T853" s="422"/>
      <c r="U853" s="422"/>
      <c r="Y853" s="1271"/>
      <c r="Z853" s="372"/>
      <c r="AA853" s="372"/>
      <c r="AB853" s="372"/>
      <c r="AC853" s="372"/>
      <c r="AD853" s="372"/>
      <c r="AE853" s="372"/>
      <c r="AF853" s="372"/>
      <c r="AG853" s="372"/>
      <c r="AH853" s="372"/>
      <c r="AI853" s="372"/>
      <c r="AJ853" s="372"/>
      <c r="AK853" s="372"/>
      <c r="AL853" s="372"/>
      <c r="AM853" s="372"/>
      <c r="AN853" s="372"/>
      <c r="AO853" s="372"/>
      <c r="AP853" s="372"/>
      <c r="AQ853" s="372"/>
      <c r="AR853" s="767"/>
    </row>
    <row r="854" spans="1:44" s="254" customFormat="1" x14ac:dyDescent="0.2">
      <c r="A854" s="767"/>
      <c r="B854" s="732" t="s">
        <v>229</v>
      </c>
      <c r="C854" s="422" t="s">
        <v>247</v>
      </c>
      <c r="D854" s="422"/>
      <c r="E854" s="1272"/>
      <c r="F854" s="422"/>
      <c r="G854" s="422"/>
      <c r="H854" s="422"/>
      <c r="I854" s="422"/>
      <c r="J854" s="422"/>
      <c r="K854" s="422"/>
      <c r="L854" s="422"/>
      <c r="M854" s="422"/>
      <c r="N854" s="422"/>
      <c r="O854" s="422"/>
      <c r="P854" s="422"/>
      <c r="Q854" s="422"/>
      <c r="R854" s="422"/>
      <c r="S854" s="422"/>
      <c r="T854" s="422"/>
      <c r="U854" s="422"/>
      <c r="Y854" s="1271"/>
      <c r="Z854" s="372"/>
      <c r="AA854" s="372"/>
      <c r="AB854" s="372"/>
      <c r="AC854" s="372"/>
      <c r="AD854" s="372"/>
      <c r="AE854" s="372"/>
      <c r="AF854" s="372"/>
      <c r="AG854" s="372"/>
      <c r="AH854" s="372"/>
      <c r="AI854" s="372"/>
      <c r="AJ854" s="372"/>
      <c r="AK854" s="372"/>
      <c r="AL854" s="372"/>
      <c r="AM854" s="372"/>
      <c r="AN854" s="372"/>
      <c r="AO854" s="372"/>
      <c r="AP854" s="372"/>
      <c r="AQ854" s="372"/>
      <c r="AR854" s="767"/>
    </row>
    <row r="855" spans="1:44" s="254" customFormat="1" ht="17.7" x14ac:dyDescent="0.2">
      <c r="A855" s="372" t="s">
        <v>1758</v>
      </c>
      <c r="B855" s="2137" t="str">
        <f>+UsoSuelo!D347</f>
        <v>Soja</v>
      </c>
      <c r="C855" s="1560">
        <f>+UsoSuelo!U347</f>
        <v>0</v>
      </c>
      <c r="D855" s="1273"/>
      <c r="E855" s="1525"/>
      <c r="F855" s="422"/>
      <c r="G855" s="422"/>
      <c r="H855" s="422"/>
      <c r="I855" s="422"/>
      <c r="J855" s="422"/>
      <c r="K855" s="422"/>
      <c r="L855" s="422"/>
      <c r="M855" s="422"/>
      <c r="N855" s="422"/>
      <c r="O855" s="422"/>
      <c r="P855" s="422"/>
      <c r="Q855" s="422"/>
      <c r="R855" s="422"/>
      <c r="S855" s="422"/>
      <c r="T855" s="422"/>
      <c r="U855" s="422"/>
      <c r="Y855" s="1271"/>
      <c r="Z855" s="372"/>
      <c r="AA855" s="372"/>
      <c r="AB855" s="372"/>
      <c r="AC855" s="372"/>
      <c r="AD855" s="372"/>
      <c r="AE855" s="372"/>
      <c r="AF855" s="372"/>
      <c r="AG855" s="372"/>
      <c r="AH855" s="372"/>
      <c r="AI855" s="372"/>
      <c r="AJ855" s="372"/>
      <c r="AK855" s="372"/>
      <c r="AL855" s="372"/>
      <c r="AM855" s="372"/>
      <c r="AN855" s="372"/>
      <c r="AO855" s="372"/>
      <c r="AP855" s="372"/>
      <c r="AQ855" s="372"/>
      <c r="AR855" s="767"/>
    </row>
    <row r="856" spans="1:44" s="254" customFormat="1" ht="3.6" customHeight="1" x14ac:dyDescent="0.2">
      <c r="A856" s="372"/>
      <c r="B856" s="949"/>
      <c r="C856" s="1561"/>
      <c r="D856" s="422"/>
      <c r="E856" s="1525"/>
      <c r="F856" s="422"/>
      <c r="G856" s="422"/>
      <c r="H856" s="422"/>
      <c r="I856" s="422"/>
      <c r="J856" s="422"/>
      <c r="K856" s="422"/>
      <c r="L856" s="422"/>
      <c r="M856" s="422"/>
      <c r="N856" s="422"/>
      <c r="O856" s="422"/>
      <c r="P856" s="422"/>
      <c r="Q856" s="422"/>
      <c r="R856" s="422"/>
      <c r="S856" s="422"/>
      <c r="T856" s="422"/>
      <c r="U856" s="422"/>
      <c r="Y856" s="1271"/>
      <c r="Z856" s="372"/>
      <c r="AA856" s="372"/>
      <c r="AB856" s="372"/>
      <c r="AC856" s="372"/>
      <c r="AD856" s="372"/>
      <c r="AE856" s="372"/>
      <c r="AF856" s="372"/>
      <c r="AG856" s="372"/>
      <c r="AH856" s="372"/>
      <c r="AI856" s="372"/>
      <c r="AJ856" s="372"/>
      <c r="AK856" s="372"/>
      <c r="AL856" s="372"/>
      <c r="AM856" s="372"/>
      <c r="AN856" s="372"/>
      <c r="AO856" s="372"/>
      <c r="AP856" s="372"/>
      <c r="AQ856" s="372"/>
      <c r="AR856" s="767"/>
    </row>
    <row r="857" spans="1:44" s="254" customFormat="1" ht="17.7" x14ac:dyDescent="0.2">
      <c r="A857" s="372" t="s">
        <v>1695</v>
      </c>
      <c r="B857" s="2137" t="str">
        <f>+UsoSuelo!D348</f>
        <v>Soja 2ª</v>
      </c>
      <c r="C857" s="1560">
        <f>+UsoSuelo!U348</f>
        <v>0</v>
      </c>
      <c r="D857" s="1273"/>
      <c r="E857" s="1525"/>
      <c r="F857" s="422"/>
      <c r="G857" s="422"/>
      <c r="H857" s="422"/>
      <c r="I857" s="422"/>
      <c r="J857" s="422"/>
      <c r="K857" s="422"/>
      <c r="L857" s="422"/>
      <c r="M857" s="422"/>
      <c r="N857" s="422"/>
      <c r="O857" s="422"/>
      <c r="P857" s="422"/>
      <c r="Q857" s="422"/>
      <c r="R857" s="422"/>
      <c r="S857" s="422"/>
      <c r="T857" s="422"/>
      <c r="U857" s="422"/>
      <c r="Y857" s="1271"/>
      <c r="Z857" s="372"/>
      <c r="AA857" s="372"/>
      <c r="AB857" s="372"/>
      <c r="AC857" s="372"/>
      <c r="AD857" s="372"/>
      <c r="AE857" s="372"/>
      <c r="AF857" s="372"/>
      <c r="AG857" s="372"/>
      <c r="AH857" s="372"/>
      <c r="AI857" s="372"/>
      <c r="AJ857" s="372"/>
      <c r="AK857" s="372"/>
      <c r="AL857" s="372"/>
      <c r="AM857" s="372"/>
      <c r="AN857" s="372"/>
      <c r="AO857" s="372"/>
      <c r="AP857" s="372"/>
      <c r="AQ857" s="372"/>
      <c r="AR857" s="767"/>
    </row>
    <row r="858" spans="1:44" s="254" customFormat="1" ht="3.6" customHeight="1" x14ac:dyDescent="0.2">
      <c r="A858" s="372"/>
      <c r="B858" s="949"/>
      <c r="C858" s="1561"/>
      <c r="D858" s="422"/>
      <c r="E858" s="1525"/>
      <c r="F858" s="422"/>
      <c r="G858" s="422"/>
      <c r="H858" s="422"/>
      <c r="I858" s="422"/>
      <c r="J858" s="422"/>
      <c r="K858" s="422"/>
      <c r="L858" s="422"/>
      <c r="M858" s="422"/>
      <c r="N858" s="422"/>
      <c r="O858" s="422"/>
      <c r="P858" s="422"/>
      <c r="Q858" s="422"/>
      <c r="R858" s="422"/>
      <c r="S858" s="422"/>
      <c r="T858" s="422"/>
      <c r="U858" s="422"/>
      <c r="Y858" s="1271"/>
      <c r="Z858" s="372"/>
      <c r="AA858" s="372"/>
      <c r="AB858" s="372"/>
      <c r="AC858" s="372"/>
      <c r="AD858" s="372"/>
      <c r="AE858" s="372"/>
      <c r="AF858" s="372"/>
      <c r="AG858" s="372"/>
      <c r="AH858" s="372"/>
      <c r="AI858" s="372"/>
      <c r="AJ858" s="372"/>
      <c r="AK858" s="372"/>
      <c r="AL858" s="372"/>
      <c r="AM858" s="372"/>
      <c r="AN858" s="372"/>
      <c r="AO858" s="372"/>
      <c r="AP858" s="372"/>
      <c r="AQ858" s="372"/>
      <c r="AR858" s="767"/>
    </row>
    <row r="859" spans="1:44" s="254" customFormat="1" ht="17.7" x14ac:dyDescent="0.2">
      <c r="A859" s="372" t="s">
        <v>1759</v>
      </c>
      <c r="B859" s="2137" t="str">
        <f>+UsoSuelo!D349</f>
        <v>Maíz Grano</v>
      </c>
      <c r="C859" s="1560">
        <f>+UsoSuelo!U349</f>
        <v>0</v>
      </c>
      <c r="D859" s="1273"/>
      <c r="E859" s="1525"/>
      <c r="F859" s="422"/>
      <c r="G859" s="422"/>
      <c r="H859" s="422"/>
      <c r="I859" s="422"/>
      <c r="J859" s="422"/>
      <c r="K859" s="422"/>
      <c r="L859" s="422"/>
      <c r="M859" s="422"/>
      <c r="N859" s="422"/>
      <c r="O859" s="422"/>
      <c r="P859" s="422"/>
      <c r="Q859" s="422"/>
      <c r="R859" s="422"/>
      <c r="S859" s="422"/>
      <c r="T859" s="422"/>
      <c r="U859" s="422"/>
      <c r="Y859" s="1271"/>
      <c r="Z859" s="372"/>
      <c r="AA859" s="372"/>
      <c r="AB859" s="372"/>
      <c r="AC859" s="372"/>
      <c r="AD859" s="372"/>
      <c r="AE859" s="372"/>
      <c r="AF859" s="372"/>
      <c r="AG859" s="372"/>
      <c r="AH859" s="372"/>
      <c r="AI859" s="372"/>
      <c r="AJ859" s="372"/>
      <c r="AK859" s="372"/>
      <c r="AL859" s="372"/>
      <c r="AM859" s="372"/>
      <c r="AN859" s="372"/>
      <c r="AO859" s="372"/>
      <c r="AP859" s="372"/>
      <c r="AQ859" s="372"/>
      <c r="AR859" s="767"/>
    </row>
    <row r="860" spans="1:44" s="254" customFormat="1" ht="3.6" customHeight="1" x14ac:dyDescent="0.2">
      <c r="A860" s="372"/>
      <c r="B860" s="949"/>
      <c r="C860" s="1561"/>
      <c r="D860" s="422"/>
      <c r="E860" s="1525"/>
      <c r="F860" s="422"/>
      <c r="G860" s="422"/>
      <c r="H860" s="422"/>
      <c r="I860" s="422"/>
      <c r="J860" s="422"/>
      <c r="K860" s="422"/>
      <c r="L860" s="422"/>
      <c r="M860" s="422"/>
      <c r="N860" s="422"/>
      <c r="O860" s="422"/>
      <c r="P860" s="422"/>
      <c r="Q860" s="422"/>
      <c r="R860" s="422"/>
      <c r="S860" s="422"/>
      <c r="T860" s="422"/>
      <c r="U860" s="422"/>
      <c r="Y860" s="1271"/>
      <c r="Z860" s="372"/>
      <c r="AA860" s="372"/>
      <c r="AB860" s="372"/>
      <c r="AC860" s="372"/>
      <c r="AD860" s="372"/>
      <c r="AE860" s="372"/>
      <c r="AF860" s="372"/>
      <c r="AG860" s="372"/>
      <c r="AH860" s="372"/>
      <c r="AI860" s="372"/>
      <c r="AJ860" s="372"/>
      <c r="AK860" s="372"/>
      <c r="AL860" s="372"/>
      <c r="AM860" s="372"/>
      <c r="AN860" s="372"/>
      <c r="AO860" s="372"/>
      <c r="AP860" s="372"/>
      <c r="AQ860" s="372"/>
      <c r="AR860" s="767"/>
    </row>
    <row r="861" spans="1:44" s="254" customFormat="1" ht="17.7" x14ac:dyDescent="0.2">
      <c r="A861" s="372" t="s">
        <v>1760</v>
      </c>
      <c r="B861" s="2137" t="str">
        <f>+UsoSuelo!D350</f>
        <v>Sorgo grano</v>
      </c>
      <c r="C861" s="1560">
        <f>+UsoSuelo!U350</f>
        <v>0</v>
      </c>
      <c r="D861" s="1273"/>
      <c r="E861" s="1525"/>
      <c r="F861" s="422"/>
      <c r="G861" s="422"/>
      <c r="H861" s="422"/>
      <c r="I861" s="422"/>
      <c r="J861" s="422"/>
      <c r="K861" s="422"/>
      <c r="L861" s="422"/>
      <c r="M861" s="422"/>
      <c r="N861" s="422"/>
      <c r="O861" s="422"/>
      <c r="P861" s="422"/>
      <c r="Q861" s="422"/>
      <c r="R861" s="422"/>
      <c r="S861" s="422"/>
      <c r="T861" s="422"/>
      <c r="U861" s="422"/>
      <c r="Y861" s="1271"/>
      <c r="Z861" s="372"/>
      <c r="AA861" s="372"/>
      <c r="AB861" s="372"/>
      <c r="AC861" s="372"/>
      <c r="AD861" s="372"/>
      <c r="AE861" s="372"/>
      <c r="AF861" s="372"/>
      <c r="AG861" s="372"/>
      <c r="AH861" s="372"/>
      <c r="AI861" s="372"/>
      <c r="AJ861" s="372"/>
      <c r="AK861" s="372"/>
      <c r="AL861" s="372"/>
      <c r="AM861" s="372"/>
      <c r="AN861" s="372"/>
      <c r="AO861" s="372"/>
      <c r="AP861" s="372"/>
      <c r="AQ861" s="372"/>
      <c r="AR861" s="767"/>
    </row>
    <row r="862" spans="1:44" s="254" customFormat="1" ht="3.6" customHeight="1" x14ac:dyDescent="0.2">
      <c r="A862" s="372"/>
      <c r="B862" s="949"/>
      <c r="C862" s="1561"/>
      <c r="D862" s="422"/>
      <c r="E862" s="1525"/>
      <c r="F862" s="422"/>
      <c r="G862" s="422"/>
      <c r="H862" s="422"/>
      <c r="I862" s="422"/>
      <c r="J862" s="422"/>
      <c r="K862" s="422"/>
      <c r="L862" s="422"/>
      <c r="M862" s="422"/>
      <c r="N862" s="422"/>
      <c r="O862" s="422"/>
      <c r="P862" s="422"/>
      <c r="Q862" s="422"/>
      <c r="R862" s="422"/>
      <c r="S862" s="422"/>
      <c r="T862" s="422"/>
      <c r="U862" s="422"/>
      <c r="Y862" s="1271"/>
      <c r="Z862" s="372"/>
      <c r="AA862" s="372"/>
      <c r="AB862" s="372"/>
      <c r="AC862" s="372"/>
      <c r="AD862" s="372"/>
      <c r="AE862" s="372"/>
      <c r="AF862" s="372"/>
      <c r="AG862" s="372"/>
      <c r="AH862" s="372"/>
      <c r="AI862" s="372"/>
      <c r="AJ862" s="372"/>
      <c r="AK862" s="372"/>
      <c r="AL862" s="372"/>
      <c r="AM862" s="372"/>
      <c r="AN862" s="372"/>
      <c r="AO862" s="372"/>
      <c r="AP862" s="372"/>
      <c r="AQ862" s="372"/>
      <c r="AR862" s="767"/>
    </row>
    <row r="863" spans="1:44" s="254" customFormat="1" ht="17.7" x14ac:dyDescent="0.2">
      <c r="A863" s="372" t="s">
        <v>1761</v>
      </c>
      <c r="B863" s="2137" t="str">
        <f>+UsoSuelo!D351</f>
        <v>Trigo grano</v>
      </c>
      <c r="C863" s="1560">
        <f>+UsoSuelo!U351</f>
        <v>0</v>
      </c>
      <c r="D863" s="1273"/>
      <c r="E863" s="1525"/>
      <c r="F863" s="422"/>
      <c r="G863" s="422"/>
      <c r="H863" s="422"/>
      <c r="I863" s="422"/>
      <c r="J863" s="422"/>
      <c r="K863" s="422"/>
      <c r="L863" s="422"/>
      <c r="M863" s="422"/>
      <c r="N863" s="422"/>
      <c r="O863" s="422"/>
      <c r="P863" s="422"/>
      <c r="Q863" s="422"/>
      <c r="R863" s="422"/>
      <c r="S863" s="422"/>
      <c r="T863" s="422"/>
      <c r="U863" s="422"/>
      <c r="Y863" s="1271"/>
      <c r="Z863" s="372"/>
      <c r="AA863" s="372"/>
      <c r="AB863" s="372"/>
      <c r="AC863" s="372"/>
      <c r="AD863" s="372"/>
      <c r="AE863" s="372"/>
      <c r="AF863" s="372"/>
      <c r="AG863" s="372"/>
      <c r="AH863" s="372"/>
      <c r="AI863" s="372"/>
      <c r="AJ863" s="372"/>
      <c r="AK863" s="372"/>
      <c r="AL863" s="372"/>
      <c r="AM863" s="372"/>
      <c r="AN863" s="372"/>
      <c r="AO863" s="372"/>
      <c r="AP863" s="372"/>
      <c r="AQ863" s="372"/>
      <c r="AR863" s="767"/>
    </row>
    <row r="864" spans="1:44" s="254" customFormat="1" ht="3.6" customHeight="1" x14ac:dyDescent="0.2">
      <c r="A864" s="372"/>
      <c r="B864" s="949"/>
      <c r="C864" s="1561"/>
      <c r="D864" s="422"/>
      <c r="E864" s="1525"/>
      <c r="F864" s="422"/>
      <c r="G864" s="422"/>
      <c r="H864" s="422"/>
      <c r="I864" s="422"/>
      <c r="J864" s="422"/>
      <c r="K864" s="422"/>
      <c r="L864" s="422"/>
      <c r="M864" s="422"/>
      <c r="N864" s="422"/>
      <c r="O864" s="422"/>
      <c r="P864" s="422"/>
      <c r="Q864" s="422"/>
      <c r="R864" s="422"/>
      <c r="S864" s="422"/>
      <c r="T864" s="422"/>
      <c r="U864" s="422"/>
      <c r="Y864" s="1271"/>
      <c r="Z864" s="372"/>
      <c r="AA864" s="372"/>
      <c r="AB864" s="372"/>
      <c r="AC864" s="372"/>
      <c r="AD864" s="372"/>
      <c r="AE864" s="372"/>
      <c r="AF864" s="372"/>
      <c r="AG864" s="372"/>
      <c r="AH864" s="372"/>
      <c r="AI864" s="372"/>
      <c r="AJ864" s="372"/>
      <c r="AK864" s="372"/>
      <c r="AL864" s="372"/>
      <c r="AM864" s="372"/>
      <c r="AN864" s="372"/>
      <c r="AO864" s="372"/>
      <c r="AP864" s="372"/>
      <c r="AQ864" s="372"/>
      <c r="AR864" s="767"/>
    </row>
    <row r="865" spans="1:45" s="254" customFormat="1" ht="17.7" x14ac:dyDescent="0.2">
      <c r="A865" s="372" t="s">
        <v>1866</v>
      </c>
      <c r="B865" s="2137" t="str">
        <f>+UsoSuelo!D352</f>
        <v>Cebada grano</v>
      </c>
      <c r="C865" s="1560">
        <f>+UsoSuelo!U352</f>
        <v>0</v>
      </c>
      <c r="D865" s="1273"/>
      <c r="E865" s="1525"/>
      <c r="F865" s="422"/>
      <c r="G865" s="422"/>
      <c r="H865" s="422"/>
      <c r="I865" s="422"/>
      <c r="J865" s="422"/>
      <c r="K865" s="422"/>
      <c r="L865" s="422"/>
      <c r="M865" s="422"/>
      <c r="N865" s="422"/>
      <c r="O865" s="422"/>
      <c r="P865" s="422"/>
      <c r="Q865" s="422"/>
      <c r="R865" s="422"/>
      <c r="S865" s="422"/>
      <c r="T865" s="422"/>
      <c r="U865" s="422"/>
      <c r="Y865" s="1271"/>
      <c r="Z865" s="372"/>
      <c r="AA865" s="372"/>
      <c r="AB865" s="372"/>
      <c r="AC865" s="372"/>
      <c r="AD865" s="372"/>
      <c r="AE865" s="372"/>
      <c r="AF865" s="372"/>
      <c r="AG865" s="372"/>
      <c r="AH865" s="372"/>
      <c r="AI865" s="372"/>
      <c r="AJ865" s="372"/>
      <c r="AK865" s="372"/>
      <c r="AL865" s="372"/>
      <c r="AM865" s="372"/>
      <c r="AN865" s="372"/>
      <c r="AO865" s="372"/>
      <c r="AP865" s="372"/>
      <c r="AQ865" s="372"/>
      <c r="AR865" s="767"/>
    </row>
    <row r="866" spans="1:45" s="254" customFormat="1" ht="3.6" customHeight="1" x14ac:dyDescent="0.2">
      <c r="A866" s="372"/>
      <c r="B866" s="949"/>
      <c r="C866" s="1561"/>
      <c r="D866" s="422"/>
      <c r="E866" s="1525"/>
      <c r="F866" s="422"/>
      <c r="G866" s="422"/>
      <c r="H866" s="422"/>
      <c r="I866" s="422"/>
      <c r="J866" s="422"/>
      <c r="K866" s="422"/>
      <c r="L866" s="422"/>
      <c r="M866" s="422"/>
      <c r="N866" s="422"/>
      <c r="O866" s="422"/>
      <c r="P866" s="422"/>
      <c r="Q866" s="422"/>
      <c r="R866" s="422"/>
      <c r="S866" s="422"/>
      <c r="T866" s="422"/>
      <c r="U866" s="422"/>
      <c r="Y866" s="1271"/>
      <c r="Z866" s="372"/>
      <c r="AA866" s="372"/>
      <c r="AB866" s="372"/>
      <c r="AC866" s="372"/>
      <c r="AD866" s="372"/>
      <c r="AE866" s="372"/>
      <c r="AF866" s="372"/>
      <c r="AG866" s="372"/>
      <c r="AH866" s="372"/>
      <c r="AI866" s="372"/>
      <c r="AJ866" s="372"/>
      <c r="AK866" s="372"/>
      <c r="AL866" s="372"/>
      <c r="AM866" s="372"/>
      <c r="AN866" s="372"/>
      <c r="AO866" s="372"/>
      <c r="AP866" s="372"/>
      <c r="AQ866" s="372"/>
      <c r="AR866" s="767"/>
    </row>
    <row r="867" spans="1:45" s="254" customFormat="1" ht="17.7" x14ac:dyDescent="0.2">
      <c r="A867" s="372" t="s">
        <v>1867</v>
      </c>
      <c r="B867" s="2137" t="str">
        <f>+UsoSuelo!D353</f>
        <v>Avena grano</v>
      </c>
      <c r="C867" s="1560">
        <f>+UsoSuelo!U353</f>
        <v>0</v>
      </c>
      <c r="D867" s="1273"/>
      <c r="E867" s="1525"/>
      <c r="F867" s="422"/>
      <c r="G867" s="422"/>
      <c r="H867" s="422"/>
      <c r="I867" s="422"/>
      <c r="J867" s="422"/>
      <c r="K867" s="422"/>
      <c r="L867" s="422"/>
      <c r="M867" s="422"/>
      <c r="N867" s="422"/>
      <c r="O867" s="422"/>
      <c r="P867" s="422"/>
      <c r="Q867" s="422"/>
      <c r="R867" s="422"/>
      <c r="S867" s="422"/>
      <c r="T867" s="422"/>
      <c r="U867" s="422"/>
      <c r="Y867" s="1271"/>
      <c r="Z867" s="372"/>
      <c r="AA867" s="372"/>
      <c r="AB867" s="372"/>
      <c r="AC867" s="372"/>
      <c r="AD867" s="372"/>
      <c r="AE867" s="372"/>
      <c r="AF867" s="372"/>
      <c r="AG867" s="372"/>
      <c r="AH867" s="372"/>
      <c r="AI867" s="372"/>
      <c r="AJ867" s="372"/>
      <c r="AK867" s="372"/>
      <c r="AL867" s="372"/>
      <c r="AM867" s="372"/>
      <c r="AN867" s="372"/>
      <c r="AO867" s="372"/>
      <c r="AP867" s="372"/>
      <c r="AQ867" s="372"/>
      <c r="AR867" s="767"/>
    </row>
    <row r="868" spans="1:45" s="254" customFormat="1" ht="3.6" customHeight="1" x14ac:dyDescent="0.2">
      <c r="A868" s="372"/>
      <c r="B868" s="949"/>
      <c r="C868" s="1561"/>
      <c r="D868" s="422"/>
      <c r="E868" s="1525"/>
      <c r="F868" s="422"/>
      <c r="G868" s="422"/>
      <c r="H868" s="422"/>
      <c r="I868" s="422"/>
      <c r="J868" s="422"/>
      <c r="K868" s="422"/>
      <c r="L868" s="422"/>
      <c r="M868" s="422"/>
      <c r="N868" s="422"/>
      <c r="O868" s="422"/>
      <c r="P868" s="422"/>
      <c r="Q868" s="422"/>
      <c r="R868" s="422"/>
      <c r="S868" s="422"/>
      <c r="T868" s="422"/>
      <c r="U868" s="422"/>
      <c r="Y868" s="1271"/>
      <c r="Z868" s="372"/>
      <c r="AA868" s="372"/>
      <c r="AB868" s="372"/>
      <c r="AC868" s="372"/>
      <c r="AD868" s="372"/>
      <c r="AE868" s="372"/>
      <c r="AF868" s="372"/>
      <c r="AG868" s="372"/>
      <c r="AH868" s="372"/>
      <c r="AI868" s="372"/>
      <c r="AJ868" s="372"/>
      <c r="AK868" s="372"/>
      <c r="AL868" s="372"/>
      <c r="AM868" s="372"/>
      <c r="AN868" s="372"/>
      <c r="AO868" s="372"/>
      <c r="AP868" s="372"/>
      <c r="AQ868" s="372"/>
      <c r="AR868" s="767"/>
    </row>
    <row r="869" spans="1:45" s="254" customFormat="1" ht="17.7" x14ac:dyDescent="0.2">
      <c r="A869" s="372" t="s">
        <v>1868</v>
      </c>
      <c r="B869" s="2137" t="str">
        <f>+UsoSuelo!D354</f>
        <v>Colza grano</v>
      </c>
      <c r="C869" s="1560">
        <f>+UsoSuelo!U354</f>
        <v>0</v>
      </c>
      <c r="D869" s="1273"/>
      <c r="E869" s="1525"/>
      <c r="F869" s="422"/>
      <c r="G869" s="422"/>
      <c r="H869" s="422"/>
      <c r="I869" s="422"/>
      <c r="J869" s="422"/>
      <c r="K869" s="422"/>
      <c r="L869" s="422"/>
      <c r="M869" s="422"/>
      <c r="N869" s="422"/>
      <c r="O869" s="422"/>
      <c r="P869" s="422"/>
      <c r="Q869" s="422"/>
      <c r="R869" s="422"/>
      <c r="S869" s="422"/>
      <c r="T869" s="422"/>
      <c r="U869" s="422"/>
      <c r="Y869" s="1271"/>
      <c r="Z869" s="372"/>
      <c r="AA869" s="372"/>
      <c r="AB869" s="372"/>
      <c r="AC869" s="372"/>
      <c r="AD869" s="372"/>
      <c r="AE869" s="372"/>
      <c r="AF869" s="372"/>
      <c r="AG869" s="372"/>
      <c r="AH869" s="372"/>
      <c r="AI869" s="372"/>
      <c r="AJ869" s="372"/>
      <c r="AK869" s="372"/>
      <c r="AL869" s="372"/>
      <c r="AM869" s="372"/>
      <c r="AN869" s="372"/>
      <c r="AO869" s="372"/>
      <c r="AP869" s="372"/>
      <c r="AQ869" s="372"/>
      <c r="AR869" s="767"/>
    </row>
    <row r="870" spans="1:45" s="254" customFormat="1" ht="3.6" customHeight="1" x14ac:dyDescent="0.2">
      <c r="A870" s="372"/>
      <c r="B870" s="949"/>
      <c r="C870" s="1561"/>
      <c r="D870" s="422"/>
      <c r="E870" s="1525"/>
      <c r="F870" s="422"/>
      <c r="G870" s="422"/>
      <c r="H870" s="422"/>
      <c r="I870" s="422"/>
      <c r="J870" s="422"/>
      <c r="K870" s="422"/>
      <c r="L870" s="422"/>
      <c r="M870" s="422"/>
      <c r="N870" s="422"/>
      <c r="O870" s="422"/>
      <c r="P870" s="422"/>
      <c r="Q870" s="422"/>
      <c r="R870" s="422"/>
      <c r="S870" s="422"/>
      <c r="T870" s="422"/>
      <c r="U870" s="422"/>
      <c r="Y870" s="1271"/>
      <c r="Z870" s="372"/>
      <c r="AA870" s="372"/>
      <c r="AB870" s="372"/>
      <c r="AC870" s="372"/>
      <c r="AD870" s="372"/>
      <c r="AE870" s="372"/>
      <c r="AF870" s="372"/>
      <c r="AG870" s="372"/>
      <c r="AH870" s="372"/>
      <c r="AI870" s="372"/>
      <c r="AJ870" s="372"/>
      <c r="AK870" s="372"/>
      <c r="AL870" s="372"/>
      <c r="AM870" s="372"/>
      <c r="AN870" s="372"/>
      <c r="AO870" s="372"/>
      <c r="AP870" s="372"/>
      <c r="AQ870" s="372"/>
      <c r="AR870" s="767"/>
    </row>
    <row r="871" spans="1:45" s="254" customFormat="1" ht="17.7" x14ac:dyDescent="0.2">
      <c r="A871" s="372" t="s">
        <v>58</v>
      </c>
      <c r="B871" s="2137">
        <f>+UsoSuelo!D355</f>
        <v>0</v>
      </c>
      <c r="C871" s="1560">
        <f>+UsoSuelo!U355</f>
        <v>0</v>
      </c>
      <c r="D871" s="1273"/>
      <c r="E871" s="1525"/>
      <c r="F871" s="422"/>
      <c r="G871" s="422"/>
      <c r="H871" s="422"/>
      <c r="I871" s="422"/>
      <c r="J871" s="422"/>
      <c r="K871" s="422"/>
      <c r="L871" s="422"/>
      <c r="M871" s="422"/>
      <c r="N871" s="422"/>
      <c r="O871" s="422"/>
      <c r="P871" s="422"/>
      <c r="Q871" s="422"/>
      <c r="R871" s="422"/>
      <c r="S871" s="422"/>
      <c r="T871" s="422"/>
      <c r="U871" s="422"/>
      <c r="Y871" s="1271"/>
      <c r="Z871" s="372"/>
      <c r="AA871" s="372"/>
      <c r="AB871" s="372"/>
      <c r="AC871" s="372"/>
      <c r="AD871" s="372"/>
      <c r="AE871" s="372"/>
      <c r="AF871" s="372"/>
      <c r="AG871" s="372"/>
      <c r="AH871" s="372"/>
      <c r="AI871" s="372"/>
      <c r="AJ871" s="372"/>
      <c r="AK871" s="372"/>
      <c r="AL871" s="372"/>
      <c r="AM871" s="372"/>
      <c r="AN871" s="372"/>
      <c r="AO871" s="372"/>
      <c r="AP871" s="372"/>
      <c r="AQ871" s="372"/>
      <c r="AR871" s="767"/>
    </row>
    <row r="872" spans="1:45" s="254" customFormat="1" ht="3.6" customHeight="1" x14ac:dyDescent="0.2">
      <c r="A872" s="372"/>
      <c r="B872" s="949"/>
      <c r="C872" s="1561"/>
      <c r="D872" s="422"/>
      <c r="E872" s="1525"/>
      <c r="F872" s="422"/>
      <c r="G872" s="422"/>
      <c r="H872" s="422"/>
      <c r="I872" s="422"/>
      <c r="J872" s="422"/>
      <c r="K872" s="422"/>
      <c r="L872" s="422"/>
      <c r="M872" s="422"/>
      <c r="N872" s="422"/>
      <c r="O872" s="422"/>
      <c r="P872" s="422"/>
      <c r="Q872" s="422"/>
      <c r="R872" s="422"/>
      <c r="S872" s="422"/>
      <c r="T872" s="422"/>
      <c r="U872" s="422"/>
      <c r="Y872" s="1271"/>
      <c r="Z872" s="372"/>
      <c r="AA872" s="372"/>
      <c r="AB872" s="372"/>
      <c r="AC872" s="372"/>
      <c r="AD872" s="372"/>
      <c r="AE872" s="372"/>
      <c r="AF872" s="372"/>
      <c r="AG872" s="372"/>
      <c r="AH872" s="372"/>
      <c r="AI872" s="372"/>
      <c r="AJ872" s="372"/>
      <c r="AK872" s="372"/>
      <c r="AL872" s="372"/>
      <c r="AM872" s="372"/>
      <c r="AN872" s="372"/>
      <c r="AO872" s="372"/>
      <c r="AP872" s="372"/>
      <c r="AQ872" s="372"/>
      <c r="AR872" s="767"/>
    </row>
    <row r="873" spans="1:45" s="254" customFormat="1" ht="17.7" x14ac:dyDescent="0.2">
      <c r="A873" s="372" t="s">
        <v>1869</v>
      </c>
      <c r="B873" s="2137">
        <f>+UsoSuelo!D356</f>
        <v>0</v>
      </c>
      <c r="C873" s="1560">
        <f>+UsoSuelo!U356</f>
        <v>0</v>
      </c>
      <c r="D873" s="1273"/>
      <c r="E873" s="1525"/>
      <c r="F873" s="422"/>
      <c r="G873" s="422"/>
      <c r="H873" s="422"/>
      <c r="I873" s="422"/>
      <c r="J873" s="422"/>
      <c r="K873" s="422"/>
      <c r="L873" s="422"/>
      <c r="M873" s="422"/>
      <c r="N873" s="422"/>
      <c r="O873" s="422"/>
      <c r="P873" s="422"/>
      <c r="Q873" s="422"/>
      <c r="R873" s="422"/>
      <c r="S873" s="422"/>
      <c r="T873" s="422"/>
      <c r="U873" s="422"/>
      <c r="Y873" s="1271"/>
      <c r="Z873" s="372"/>
      <c r="AA873" s="372"/>
      <c r="AB873" s="372"/>
      <c r="AC873" s="372"/>
      <c r="AD873" s="372"/>
      <c r="AE873" s="372"/>
      <c r="AF873" s="372"/>
      <c r="AG873" s="372"/>
      <c r="AH873" s="372"/>
      <c r="AI873" s="372"/>
      <c r="AJ873" s="372"/>
      <c r="AK873" s="372"/>
      <c r="AL873" s="372"/>
      <c r="AM873" s="372"/>
      <c r="AN873" s="372"/>
      <c r="AO873" s="372"/>
      <c r="AP873" s="372"/>
      <c r="AQ873" s="372"/>
      <c r="AR873" s="767"/>
    </row>
    <row r="874" spans="1:45" s="254" customFormat="1" ht="3.6" customHeight="1" x14ac:dyDescent="0.2">
      <c r="A874" s="372"/>
      <c r="B874" s="949"/>
      <c r="C874" s="1561"/>
      <c r="D874" s="422"/>
      <c r="E874" s="1525"/>
      <c r="F874" s="422"/>
      <c r="G874" s="422"/>
      <c r="H874" s="422"/>
      <c r="I874" s="422"/>
      <c r="J874" s="422"/>
      <c r="K874" s="422"/>
      <c r="L874" s="422"/>
      <c r="M874" s="422"/>
      <c r="N874" s="422"/>
      <c r="O874" s="422"/>
      <c r="P874" s="422"/>
      <c r="Q874" s="422"/>
      <c r="R874" s="422"/>
      <c r="S874" s="422"/>
      <c r="T874" s="422"/>
      <c r="U874" s="422"/>
      <c r="Y874" s="1271"/>
      <c r="Z874" s="372"/>
      <c r="AA874" s="372"/>
      <c r="AB874" s="372"/>
      <c r="AC874" s="372"/>
      <c r="AD874" s="372"/>
      <c r="AE874" s="372"/>
      <c r="AF874" s="372"/>
      <c r="AG874" s="372"/>
      <c r="AH874" s="372"/>
      <c r="AI874" s="372"/>
      <c r="AJ874" s="372"/>
      <c r="AK874" s="372"/>
      <c r="AL874" s="372"/>
      <c r="AM874" s="372"/>
      <c r="AN874" s="372"/>
      <c r="AO874" s="372"/>
      <c r="AP874" s="372"/>
      <c r="AQ874" s="372"/>
      <c r="AR874" s="767"/>
    </row>
    <row r="875" spans="1:45" s="254" customFormat="1" ht="17.7" x14ac:dyDescent="0.2">
      <c r="A875" s="372" t="s">
        <v>1873</v>
      </c>
      <c r="B875" s="2137">
        <f>+UsoSuelo!D357</f>
        <v>0</v>
      </c>
      <c r="C875" s="1560">
        <f>+UsoSuelo!U357</f>
        <v>0</v>
      </c>
      <c r="D875" s="1273"/>
      <c r="E875" s="1525"/>
      <c r="F875" s="422"/>
      <c r="G875" s="422"/>
      <c r="H875" s="422"/>
      <c r="I875" s="422"/>
      <c r="J875" s="422"/>
      <c r="K875" s="422"/>
      <c r="L875" s="422"/>
      <c r="M875" s="422"/>
      <c r="N875" s="422"/>
      <c r="O875" s="422"/>
      <c r="P875" s="422"/>
      <c r="Q875" s="422"/>
      <c r="R875" s="422"/>
      <c r="S875" s="422"/>
      <c r="T875" s="422"/>
      <c r="U875" s="422"/>
      <c r="Y875" s="1271"/>
      <c r="Z875" s="372"/>
      <c r="AA875" s="372"/>
      <c r="AB875" s="372"/>
      <c r="AC875" s="372"/>
      <c r="AD875" s="372"/>
      <c r="AE875" s="372"/>
      <c r="AF875" s="372"/>
      <c r="AG875" s="372"/>
      <c r="AH875" s="372"/>
      <c r="AI875" s="372"/>
      <c r="AJ875" s="372"/>
      <c r="AK875" s="372"/>
      <c r="AL875" s="372"/>
      <c r="AM875" s="372"/>
      <c r="AN875" s="372"/>
      <c r="AO875" s="372"/>
      <c r="AP875" s="372"/>
      <c r="AQ875" s="372"/>
      <c r="AR875" s="767"/>
    </row>
    <row r="876" spans="1:45" s="254" customFormat="1" ht="3.6" customHeight="1" x14ac:dyDescent="0.2">
      <c r="A876" s="372"/>
      <c r="B876" s="949"/>
      <c r="C876" s="1561"/>
      <c r="D876" s="422"/>
      <c r="E876" s="1525"/>
      <c r="F876" s="422"/>
      <c r="G876" s="422"/>
      <c r="H876" s="422"/>
      <c r="I876" s="422"/>
      <c r="J876" s="422"/>
      <c r="K876" s="422"/>
      <c r="L876" s="422"/>
      <c r="M876" s="422"/>
      <c r="N876" s="422"/>
      <c r="O876" s="422"/>
      <c r="P876" s="422"/>
      <c r="Q876" s="422"/>
      <c r="R876" s="422"/>
      <c r="S876" s="422"/>
      <c r="T876" s="422"/>
      <c r="U876" s="422"/>
      <c r="Y876" s="1271"/>
      <c r="Z876" s="372"/>
      <c r="AA876" s="372"/>
      <c r="AB876" s="372"/>
      <c r="AC876" s="372"/>
      <c r="AD876" s="372"/>
      <c r="AE876" s="372"/>
      <c r="AF876" s="372"/>
      <c r="AG876" s="372"/>
      <c r="AH876" s="372"/>
      <c r="AI876" s="372"/>
      <c r="AJ876" s="372"/>
      <c r="AK876" s="372"/>
      <c r="AL876" s="372"/>
      <c r="AM876" s="372"/>
      <c r="AN876" s="372"/>
      <c r="AO876" s="372"/>
      <c r="AP876" s="372"/>
      <c r="AQ876" s="372"/>
      <c r="AR876" s="767"/>
    </row>
    <row r="877" spans="1:45" s="254" customFormat="1" ht="17.7" x14ac:dyDescent="0.2">
      <c r="A877" s="372" t="s">
        <v>1871</v>
      </c>
      <c r="B877" s="2137">
        <f>+UsoSuelo!D358</f>
        <v>0</v>
      </c>
      <c r="C877" s="1560">
        <f>+UsoSuelo!U358</f>
        <v>0</v>
      </c>
      <c r="D877" s="1273"/>
      <c r="E877" s="1525"/>
      <c r="F877" s="422"/>
      <c r="G877" s="422"/>
      <c r="H877" s="422"/>
      <c r="I877" s="422"/>
      <c r="J877" s="422"/>
      <c r="K877" s="422"/>
      <c r="L877" s="422"/>
      <c r="M877" s="422"/>
      <c r="N877" s="422"/>
      <c r="O877" s="422"/>
      <c r="P877" s="422"/>
      <c r="Q877" s="422"/>
      <c r="R877" s="422"/>
      <c r="S877" s="422"/>
      <c r="T877" s="422"/>
      <c r="U877" s="422"/>
      <c r="Y877" s="1271"/>
      <c r="Z877" s="372"/>
      <c r="AA877" s="372"/>
      <c r="AB877" s="372"/>
      <c r="AC877" s="372"/>
      <c r="AD877" s="372"/>
      <c r="AE877" s="372"/>
      <c r="AF877" s="372"/>
      <c r="AG877" s="372"/>
      <c r="AH877" s="372"/>
      <c r="AI877" s="372"/>
      <c r="AJ877" s="372"/>
      <c r="AK877" s="372"/>
      <c r="AL877" s="372"/>
      <c r="AM877" s="372"/>
      <c r="AN877" s="372"/>
      <c r="AO877" s="372"/>
      <c r="AP877" s="372"/>
      <c r="AQ877" s="372"/>
      <c r="AR877" s="767"/>
    </row>
    <row r="878" spans="1:45" s="254" customFormat="1" ht="18.350000000000001" thickBot="1" x14ac:dyDescent="0.25">
      <c r="A878" s="767"/>
      <c r="B878" s="2211" t="s">
        <v>2107</v>
      </c>
      <c r="C878" s="422"/>
      <c r="D878" s="422"/>
      <c r="E878" s="422"/>
      <c r="F878" s="422"/>
      <c r="G878" s="422"/>
      <c r="H878" s="422"/>
      <c r="I878" s="422"/>
      <c r="J878" s="422"/>
      <c r="K878" s="422"/>
      <c r="L878" s="422"/>
      <c r="M878" s="422"/>
      <c r="N878" s="422"/>
      <c r="O878" s="422"/>
      <c r="P878" s="422"/>
      <c r="Q878" s="422"/>
      <c r="R878" s="422"/>
      <c r="S878" s="422"/>
      <c r="T878" s="422"/>
      <c r="U878" s="422"/>
      <c r="Y878" s="1271"/>
      <c r="Z878" s="372"/>
      <c r="AA878" s="372"/>
      <c r="AB878" s="372"/>
      <c r="AC878" s="372"/>
      <c r="AD878" s="372"/>
      <c r="AE878" s="372"/>
      <c r="AF878" s="372"/>
      <c r="AG878" s="372"/>
      <c r="AH878" s="372"/>
      <c r="AI878" s="372"/>
      <c r="AJ878" s="372"/>
      <c r="AK878" s="372"/>
      <c r="AL878" s="372"/>
      <c r="AM878" s="372"/>
      <c r="AN878" s="372"/>
      <c r="AO878" s="372"/>
      <c r="AP878" s="372"/>
      <c r="AQ878" s="372"/>
      <c r="AR878" s="767"/>
    </row>
    <row r="879" spans="1:45" ht="15.05" thickBot="1" x14ac:dyDescent="0.25">
      <c r="A879" s="1344">
        <f>+A834+1</f>
        <v>69</v>
      </c>
      <c r="B879" s="142" t="s">
        <v>2344</v>
      </c>
      <c r="C879" s="334"/>
      <c r="D879" s="334"/>
      <c r="E879" s="334"/>
      <c r="F879" s="334"/>
      <c r="G879" s="334"/>
      <c r="H879" s="334"/>
      <c r="I879" s="334"/>
      <c r="J879" s="334"/>
      <c r="K879" s="334"/>
      <c r="L879" s="334"/>
      <c r="M879" s="334"/>
      <c r="N879" s="334"/>
      <c r="O879" s="334"/>
      <c r="P879" s="334"/>
      <c r="Q879" s="334"/>
      <c r="R879" s="334"/>
      <c r="S879" s="334"/>
      <c r="T879" s="334"/>
      <c r="U879" s="360"/>
      <c r="Y879" s="1271"/>
      <c r="Z879" s="372"/>
      <c r="AA879" s="372"/>
      <c r="AB879" s="372"/>
      <c r="AC879" s="372"/>
      <c r="AD879" s="372"/>
      <c r="AE879" s="372"/>
      <c r="AF879" s="372"/>
      <c r="AG879" s="372"/>
      <c r="AH879" s="372"/>
      <c r="AI879" s="372"/>
      <c r="AJ879" s="372"/>
      <c r="AK879" s="372"/>
      <c r="AL879" s="372"/>
      <c r="AM879" s="372"/>
      <c r="AN879" s="372"/>
      <c r="AO879" s="372"/>
      <c r="AP879" s="372"/>
      <c r="AQ879" s="372"/>
      <c r="AR879" s="767"/>
      <c r="AS879" s="254"/>
    </row>
    <row r="880" spans="1:45" x14ac:dyDescent="0.2">
      <c r="A880" s="1344" t="s">
        <v>1758</v>
      </c>
      <c r="B880" s="948" t="str">
        <f>+UsoSuelo!D347</f>
        <v>Soja</v>
      </c>
      <c r="C880" s="291"/>
      <c r="D880" s="291"/>
      <c r="E880" s="291"/>
      <c r="F880" s="291"/>
      <c r="G880" s="292" t="s">
        <v>883</v>
      </c>
      <c r="H880" s="222"/>
      <c r="I880" s="293" t="str">
        <f>+$I$6</f>
        <v>Ene</v>
      </c>
      <c r="J880" s="2138"/>
      <c r="K880" s="2138"/>
      <c r="L880" s="2138"/>
      <c r="M880" s="2138"/>
      <c r="N880" s="2138"/>
      <c r="O880" s="2138"/>
      <c r="P880" s="2138"/>
      <c r="Q880" s="2138"/>
      <c r="R880" s="2138"/>
      <c r="S880" s="2138"/>
      <c r="T880" s="2139"/>
      <c r="U880" s="640" t="s">
        <v>1106</v>
      </c>
    </row>
    <row r="881" spans="1:22" x14ac:dyDescent="0.2">
      <c r="A881" s="739"/>
      <c r="B881" s="899" t="s">
        <v>721</v>
      </c>
      <c r="C881" s="900"/>
      <c r="D881" s="900"/>
      <c r="E881" s="900"/>
      <c r="F881" s="900"/>
      <c r="G881" s="900"/>
      <c r="H881" s="900"/>
      <c r="I881" s="1245">
        <f>+UsoSuelo!U347</f>
        <v>0</v>
      </c>
      <c r="J881" s="1246"/>
      <c r="K881" s="1247"/>
      <c r="L881" s="1247"/>
      <c r="M881" s="1247"/>
      <c r="N881" s="1247"/>
      <c r="O881" s="1247"/>
      <c r="P881" s="1247"/>
      <c r="Q881" s="1247"/>
      <c r="R881" s="1247"/>
      <c r="S881" s="1247"/>
      <c r="T881" s="1248"/>
      <c r="U881" s="903">
        <f>+UsoSuelo!U347</f>
        <v>0</v>
      </c>
    </row>
    <row r="882" spans="1:22" x14ac:dyDescent="0.2">
      <c r="B882" s="641"/>
      <c r="C882" s="621" t="s">
        <v>885</v>
      </c>
      <c r="D882" s="621"/>
      <c r="E882" s="621" t="s">
        <v>881</v>
      </c>
      <c r="F882" s="621" t="s">
        <v>23</v>
      </c>
      <c r="G882" s="622"/>
      <c r="H882" s="623"/>
      <c r="I882" s="297"/>
      <c r="J882" s="296"/>
      <c r="K882" s="296"/>
      <c r="L882" s="296"/>
      <c r="M882" s="296"/>
      <c r="N882" s="297"/>
      <c r="O882" s="297"/>
      <c r="P882" s="297"/>
      <c r="Q882" s="297"/>
      <c r="R882" s="297"/>
      <c r="S882" s="297"/>
      <c r="T882" s="297"/>
      <c r="U882" s="642" t="s">
        <v>881</v>
      </c>
    </row>
    <row r="883" spans="1:22" x14ac:dyDescent="0.2">
      <c r="B883" s="199" t="s">
        <v>869</v>
      </c>
      <c r="C883" s="3" t="s">
        <v>1105</v>
      </c>
      <c r="D883" s="3" t="s">
        <v>312</v>
      </c>
      <c r="E883" s="4" t="s">
        <v>882</v>
      </c>
      <c r="F883" s="3" t="s">
        <v>314</v>
      </c>
      <c r="G883" s="4" t="s">
        <v>313</v>
      </c>
      <c r="H883" s="299"/>
      <c r="I883" s="319" t="s">
        <v>2002</v>
      </c>
      <c r="J883" s="319"/>
      <c r="K883" s="319"/>
      <c r="L883" s="319"/>
      <c r="M883" s="320"/>
      <c r="N883" s="320"/>
      <c r="O883" s="320"/>
      <c r="P883" s="320"/>
      <c r="Q883" s="320"/>
      <c r="R883" s="320"/>
      <c r="S883" s="320"/>
      <c r="T883" s="320"/>
      <c r="U883" s="643" t="s">
        <v>891</v>
      </c>
    </row>
    <row r="884" spans="1:22" ht="15.05" thickBot="1" x14ac:dyDescent="0.35">
      <c r="B884" s="5042"/>
      <c r="C884" s="1056">
        <f>IF(B884=0,0,U881)</f>
        <v>0</v>
      </c>
      <c r="D884" s="1056">
        <f>IF(B884=0,0,VLOOKUP(B884,Precios!$B$216:$D$307,3,FALSE))</f>
        <v>0</v>
      </c>
      <c r="E884" s="5043"/>
      <c r="F884" s="300"/>
      <c r="G884" s="300"/>
      <c r="H884" s="309"/>
      <c r="I884" s="1072">
        <f>IF($C884&gt;0,I$881*$E884,0)</f>
        <v>0</v>
      </c>
      <c r="J884" s="1252"/>
      <c r="K884" s="571"/>
      <c r="L884" s="571"/>
      <c r="M884" s="571"/>
      <c r="N884" s="571"/>
      <c r="O884" s="571"/>
      <c r="P884" s="571"/>
      <c r="Q884" s="571"/>
      <c r="R884" s="571"/>
      <c r="S884" s="571"/>
      <c r="T884" s="1253"/>
      <c r="U884" s="1073">
        <f>SUM(I884:T884)</f>
        <v>0</v>
      </c>
      <c r="V884" s="232" t="str">
        <f>B884&amp;"propia"</f>
        <v>propia</v>
      </c>
    </row>
    <row r="885" spans="1:22" x14ac:dyDescent="0.3">
      <c r="B885" s="5081"/>
      <c r="C885" s="1259">
        <f>IF(B885=0,0,U881)</f>
        <v>0</v>
      </c>
      <c r="D885" s="1260">
        <f>IF(B885=0,0,VLOOKUP(B885,Precios!$B$216:$D$307,3,FALSE))</f>
        <v>0</v>
      </c>
      <c r="E885" s="5082"/>
      <c r="F885" s="300"/>
      <c r="G885" s="300"/>
      <c r="H885" s="309"/>
      <c r="I885" s="1076">
        <f>IF($C885&gt;0,I$881*$E885,0)</f>
        <v>0</v>
      </c>
      <c r="J885" s="1254"/>
      <c r="K885" s="425"/>
      <c r="L885" s="425"/>
      <c r="M885" s="425"/>
      <c r="N885" s="425"/>
      <c r="O885" s="425"/>
      <c r="P885" s="425"/>
      <c r="Q885" s="425"/>
      <c r="R885" s="425"/>
      <c r="S885" s="425"/>
      <c r="T885" s="1255"/>
      <c r="U885" s="1075">
        <f>SUM(I885:T885)</f>
        <v>0</v>
      </c>
      <c r="V885" s="232" t="str">
        <f>B885&amp;"propia"</f>
        <v>propia</v>
      </c>
    </row>
    <row r="886" spans="1:22" x14ac:dyDescent="0.3">
      <c r="B886" s="647" t="s">
        <v>1083</v>
      </c>
      <c r="C886" s="305"/>
      <c r="D886" s="305"/>
      <c r="E886" s="305"/>
      <c r="F886" s="305"/>
      <c r="G886" s="305"/>
      <c r="H886" s="306"/>
      <c r="I886" s="904">
        <f>SUM(I884:I885)</f>
        <v>0</v>
      </c>
      <c r="J886" s="1256"/>
      <c r="K886" s="1257"/>
      <c r="L886" s="1257"/>
      <c r="M886" s="1257"/>
      <c r="N886" s="1257"/>
      <c r="O886" s="1257"/>
      <c r="P886" s="1257"/>
      <c r="Q886" s="1257"/>
      <c r="R886" s="1257"/>
      <c r="S886" s="1257"/>
      <c r="T886" s="1258"/>
      <c r="U886" s="905">
        <f>SUM(I886:T886)</f>
        <v>0</v>
      </c>
    </row>
    <row r="887" spans="1:22" x14ac:dyDescent="0.2">
      <c r="B887" s="197" t="s">
        <v>870</v>
      </c>
      <c r="C887" s="307"/>
      <c r="D887" s="307"/>
      <c r="E887" s="308"/>
      <c r="F887" s="308"/>
      <c r="G887" s="308"/>
      <c r="H887" s="307"/>
      <c r="I887" s="307"/>
      <c r="J887" s="307"/>
      <c r="K887" s="307"/>
      <c r="L887" s="307"/>
      <c r="M887" s="307"/>
      <c r="N887" s="307"/>
      <c r="O887" s="307"/>
      <c r="P887" s="307"/>
      <c r="Q887" s="307"/>
      <c r="R887" s="307"/>
      <c r="S887" s="307"/>
      <c r="T887" s="307"/>
      <c r="U887" s="646"/>
    </row>
    <row r="888" spans="1:22" ht="15.05" thickBot="1" x14ac:dyDescent="0.35">
      <c r="B888" s="5042"/>
      <c r="C888" s="1056">
        <f>IF(B888=0,0,U881)</f>
        <v>0</v>
      </c>
      <c r="D888" s="1056">
        <f>IF(B888=0,0,VLOOKUP(B888,Precios!$B$216:$D$307,3,FALSE))</f>
        <v>0</v>
      </c>
      <c r="E888" s="5048"/>
      <c r="F888" s="1249">
        <f>IF(B888=0,0,VLOOKUP(B888,Precios!$B$216:$D$307,2,FALSE))</f>
        <v>0</v>
      </c>
      <c r="G888" s="1066">
        <f>E888*F888</f>
        <v>0</v>
      </c>
      <c r="H888" s="309"/>
      <c r="I888" s="1072">
        <f>IF($C888&gt;0,I$881*$E888,0)</f>
        <v>0</v>
      </c>
      <c r="J888" s="1252"/>
      <c r="K888" s="571"/>
      <c r="L888" s="571"/>
      <c r="M888" s="571"/>
      <c r="N888" s="571"/>
      <c r="O888" s="571"/>
      <c r="P888" s="571"/>
      <c r="Q888" s="571"/>
      <c r="R888" s="571"/>
      <c r="S888" s="571"/>
      <c r="T888" s="1253"/>
      <c r="U888" s="1073">
        <f>SUM(I888:T888)</f>
        <v>0</v>
      </c>
      <c r="V888" s="232" t="str">
        <f>B888&amp;"contratada"</f>
        <v>contratada</v>
      </c>
    </row>
    <row r="889" spans="1:22" x14ac:dyDescent="0.3">
      <c r="B889" s="5081"/>
      <c r="C889" s="1259">
        <f>IF(B889=0,0,U881)</f>
        <v>0</v>
      </c>
      <c r="D889" s="1260">
        <f>IF(B889=0,0,VLOOKUP(B889,Precios!$B$216:$D$307,3,FALSE))</f>
        <v>0</v>
      </c>
      <c r="E889" s="5083"/>
      <c r="F889" s="1263">
        <f>IF(B889=0,0,VLOOKUP(B889,Precios!$B$216:$D$307,2,FALSE))</f>
        <v>0</v>
      </c>
      <c r="G889" s="1262">
        <f>E889*F889</f>
        <v>0</v>
      </c>
      <c r="H889" s="309"/>
      <c r="I889" s="1076">
        <f>IF($C889&gt;0,I$881*$E889,0)</f>
        <v>0</v>
      </c>
      <c r="J889" s="1254"/>
      <c r="K889" s="425"/>
      <c r="L889" s="425"/>
      <c r="M889" s="425"/>
      <c r="N889" s="425"/>
      <c r="O889" s="425"/>
      <c r="P889" s="425"/>
      <c r="Q889" s="425"/>
      <c r="R889" s="425"/>
      <c r="S889" s="425"/>
      <c r="T889" s="1255"/>
      <c r="U889" s="1078">
        <f>SUM(I889:T889)</f>
        <v>0</v>
      </c>
      <c r="V889" s="232" t="str">
        <f>B889&amp;"contratada"</f>
        <v>contratada</v>
      </c>
    </row>
    <row r="890" spans="1:22" x14ac:dyDescent="0.3">
      <c r="B890" s="647" t="s">
        <v>1084</v>
      </c>
      <c r="C890" s="305"/>
      <c r="D890" s="305"/>
      <c r="E890" s="305"/>
      <c r="F890" s="305"/>
      <c r="G890" s="305"/>
      <c r="H890" s="306"/>
      <c r="I890" s="904">
        <f>SUM(I888:I889)</f>
        <v>0</v>
      </c>
      <c r="J890" s="1250"/>
      <c r="K890" s="596"/>
      <c r="L890" s="596"/>
      <c r="M890" s="596"/>
      <c r="N890" s="596"/>
      <c r="O890" s="596"/>
      <c r="P890" s="596"/>
      <c r="Q890" s="596"/>
      <c r="R890" s="596"/>
      <c r="S890" s="596"/>
      <c r="T890" s="1251"/>
      <c r="U890" s="905">
        <f>SUM(I890:T890)</f>
        <v>0</v>
      </c>
    </row>
    <row r="891" spans="1:22" x14ac:dyDescent="0.2">
      <c r="B891" s="197" t="s">
        <v>339</v>
      </c>
      <c r="C891" s="307"/>
      <c r="D891" s="307"/>
      <c r="E891" s="308"/>
      <c r="F891" s="651"/>
      <c r="G891" s="308"/>
      <c r="H891" s="307"/>
      <c r="I891" s="307"/>
      <c r="J891" s="307"/>
      <c r="K891" s="307"/>
      <c r="L891" s="307"/>
      <c r="M891" s="307"/>
      <c r="N891" s="307"/>
      <c r="O891" s="307"/>
      <c r="P891" s="307"/>
      <c r="Q891" s="307"/>
      <c r="R891" s="307"/>
      <c r="S891" s="307"/>
      <c r="T891" s="307"/>
      <c r="U891" s="646"/>
    </row>
    <row r="892" spans="1:22" ht="15.05" thickBot="1" x14ac:dyDescent="0.35">
      <c r="B892" s="5042"/>
      <c r="C892" s="1056">
        <f>IF(B892=0,0,U881)</f>
        <v>0</v>
      </c>
      <c r="D892" s="1056">
        <f>IF(B892=0,0,VLOOKUP(B892,Precios!$B$216:$D$307,3,FALSE))</f>
        <v>0</v>
      </c>
      <c r="E892" s="5048"/>
      <c r="F892" s="1063">
        <f>IF(B892=0,0,VLOOKUP(B892,Precios!$B$216:$D$307,2,FALSE))</f>
        <v>0</v>
      </c>
      <c r="G892" s="1066">
        <f>E892*F892</f>
        <v>0</v>
      </c>
      <c r="H892" s="309"/>
      <c r="I892" s="1072">
        <f>IF($C892&gt;0,I$881*$E892,0)</f>
        <v>0</v>
      </c>
      <c r="J892" s="1252"/>
      <c r="K892" s="571"/>
      <c r="L892" s="571"/>
      <c r="M892" s="571"/>
      <c r="N892" s="571"/>
      <c r="O892" s="571"/>
      <c r="P892" s="571"/>
      <c r="Q892" s="571"/>
      <c r="R892" s="571"/>
      <c r="S892" s="571"/>
      <c r="T892" s="1253"/>
      <c r="U892" s="1073">
        <f>SUM(I892:T892)</f>
        <v>0</v>
      </c>
    </row>
    <row r="893" spans="1:22" x14ac:dyDescent="0.3">
      <c r="B893" s="5081"/>
      <c r="C893" s="1259">
        <f>IF(B893=0,0,U881)</f>
        <v>0</v>
      </c>
      <c r="D893" s="1260">
        <f>IF(B893=0,0,VLOOKUP(B893,Precios!$B$216:$D$307,3,FALSE))</f>
        <v>0</v>
      </c>
      <c r="E893" s="5083"/>
      <c r="F893" s="1261">
        <f>IF(B893=0,0,VLOOKUP(B893,Precios!$B$216:$D$307,2,FALSE))</f>
        <v>0</v>
      </c>
      <c r="G893" s="1262">
        <f>E893*F893</f>
        <v>0</v>
      </c>
      <c r="H893" s="309"/>
      <c r="I893" s="1076">
        <f>IF($C893&gt;0,I$881*$E893,0)</f>
        <v>0</v>
      </c>
      <c r="J893" s="1254"/>
      <c r="K893" s="425"/>
      <c r="L893" s="425"/>
      <c r="M893" s="425"/>
      <c r="N893" s="425"/>
      <c r="O893" s="425"/>
      <c r="P893" s="425"/>
      <c r="Q893" s="425"/>
      <c r="R893" s="425"/>
      <c r="S893" s="425"/>
      <c r="T893" s="1255"/>
      <c r="U893" s="1078">
        <f>SUM(I893:T893)</f>
        <v>0</v>
      </c>
    </row>
    <row r="894" spans="1:22" x14ac:dyDescent="0.3">
      <c r="B894" s="647" t="s">
        <v>1086</v>
      </c>
      <c r="C894" s="305"/>
      <c r="D894" s="305"/>
      <c r="E894" s="305"/>
      <c r="F894" s="305"/>
      <c r="G894" s="305"/>
      <c r="H894" s="306"/>
      <c r="I894" s="904">
        <f>SUM(I892:I893)</f>
        <v>0</v>
      </c>
      <c r="J894" s="1250"/>
      <c r="K894" s="596"/>
      <c r="L894" s="596"/>
      <c r="M894" s="596"/>
      <c r="N894" s="596"/>
      <c r="O894" s="596"/>
      <c r="P894" s="596"/>
      <c r="Q894" s="596"/>
      <c r="R894" s="596"/>
      <c r="S894" s="596"/>
      <c r="T894" s="1251"/>
      <c r="U894" s="905">
        <f>SUM(I894:T894)</f>
        <v>0</v>
      </c>
    </row>
    <row r="895" spans="1:22" x14ac:dyDescent="0.2">
      <c r="B895" s="197" t="s">
        <v>340</v>
      </c>
      <c r="C895" s="307"/>
      <c r="D895" s="307"/>
      <c r="E895" s="308"/>
      <c r="F895" s="651"/>
      <c r="G895" s="308"/>
      <c r="H895" s="307"/>
      <c r="I895" s="307"/>
      <c r="J895" s="307"/>
      <c r="K895" s="307"/>
      <c r="L895" s="307"/>
      <c r="M895" s="307"/>
      <c r="N895" s="307"/>
      <c r="O895" s="307"/>
      <c r="P895" s="307"/>
      <c r="Q895" s="307"/>
      <c r="R895" s="307"/>
      <c r="S895" s="307"/>
      <c r="T895" s="307"/>
      <c r="U895" s="646"/>
    </row>
    <row r="896" spans="1:22" ht="15.05" thickBot="1" x14ac:dyDescent="0.35">
      <c r="B896" s="5042"/>
      <c r="C896" s="1056">
        <f>IF(B896=0,0,U881)</f>
        <v>0</v>
      </c>
      <c r="D896" s="1056">
        <f>IF(B896=0,0,VLOOKUP(B896,Precios!$B$216:$D$307,3,FALSE))</f>
        <v>0</v>
      </c>
      <c r="E896" s="5048"/>
      <c r="F896" s="1062">
        <f>IF(B896=0,0,VLOOKUP(B896,Precios!$B$216:$D$307,2,FALSE))</f>
        <v>0</v>
      </c>
      <c r="G896" s="1066">
        <f>E896*F896</f>
        <v>0</v>
      </c>
      <c r="H896" s="309"/>
      <c r="I896" s="1072">
        <f>IF($C896&gt;0,I$881*$E896,0)</f>
        <v>0</v>
      </c>
      <c r="J896" s="1252"/>
      <c r="K896" s="571"/>
      <c r="L896" s="571"/>
      <c r="M896" s="571"/>
      <c r="N896" s="571"/>
      <c r="O896" s="571"/>
      <c r="P896" s="571"/>
      <c r="Q896" s="571"/>
      <c r="R896" s="571"/>
      <c r="S896" s="571"/>
      <c r="T896" s="1253"/>
      <c r="U896" s="1073">
        <f>SUM(I896:T896)</f>
        <v>0</v>
      </c>
    </row>
    <row r="897" spans="1:45" ht="15.05" thickBot="1" x14ac:dyDescent="0.35">
      <c r="B897" s="5044"/>
      <c r="C897" s="985">
        <f>IF(B897=0,0,U881)</f>
        <v>0</v>
      </c>
      <c r="D897" s="985">
        <f>IF(B897=0,0,VLOOKUP(B897,Precios!$B$216:$D$307,3,FALSE))</f>
        <v>0</v>
      </c>
      <c r="E897" s="5049"/>
      <c r="F897" s="1059">
        <f>IF(B897=0,0,VLOOKUP(B897,Precios!$B$216:$D$307,2,FALSE))</f>
        <v>0</v>
      </c>
      <c r="G897" s="1067">
        <f>E897*F897</f>
        <v>0</v>
      </c>
      <c r="H897" s="309"/>
      <c r="I897" s="1074">
        <f>IF($C897&gt;0,I$881*$E897,0)</f>
        <v>0</v>
      </c>
      <c r="J897" s="1254"/>
      <c r="K897" s="425"/>
      <c r="L897" s="425"/>
      <c r="M897" s="425"/>
      <c r="N897" s="425"/>
      <c r="O897" s="425"/>
      <c r="P897" s="425"/>
      <c r="Q897" s="425"/>
      <c r="R897" s="425"/>
      <c r="S897" s="425"/>
      <c r="T897" s="1255"/>
      <c r="U897" s="1075">
        <f>SUM(I897:T897)</f>
        <v>0</v>
      </c>
    </row>
    <row r="898" spans="1:45" x14ac:dyDescent="0.3">
      <c r="B898" s="5081"/>
      <c r="C898" s="1260">
        <f>IF(B898=0,0,U881)</f>
        <v>0</v>
      </c>
      <c r="D898" s="1260">
        <f>IF(B898=0,0,VLOOKUP(B898,Precios!$B$216:$D$307,3,FALSE))</f>
        <v>0</v>
      </c>
      <c r="E898" s="5083"/>
      <c r="F898" s="1264">
        <f>IF(B898=0,0,VLOOKUP(B898,Precios!$B$216:$D$307,2,FALSE))</f>
        <v>0</v>
      </c>
      <c r="G898" s="1262">
        <f>E898*F898</f>
        <v>0</v>
      </c>
      <c r="H898" s="309"/>
      <c r="I898" s="1076">
        <f>IF($C898&gt;0,I$881*$E898,0)</f>
        <v>0</v>
      </c>
      <c r="J898" s="1265"/>
      <c r="K898" s="439"/>
      <c r="L898" s="439"/>
      <c r="M898" s="439"/>
      <c r="N898" s="439"/>
      <c r="O898" s="439"/>
      <c r="P898" s="439"/>
      <c r="Q898" s="439"/>
      <c r="R898" s="439"/>
      <c r="S898" s="425"/>
      <c r="T898" s="1255"/>
      <c r="U898" s="1078">
        <f>SUM(I898:T898)</f>
        <v>0</v>
      </c>
    </row>
    <row r="899" spans="1:45" ht="15.05" thickBot="1" x14ac:dyDescent="0.35">
      <c r="B899" s="647" t="s">
        <v>1087</v>
      </c>
      <c r="C899" s="305"/>
      <c r="D899" s="305"/>
      <c r="E899" s="305"/>
      <c r="F899" s="305"/>
      <c r="G899" s="305"/>
      <c r="H899" s="306"/>
      <c r="I899" s="904">
        <f>SUM(I896:I898)</f>
        <v>0</v>
      </c>
      <c r="J899" s="1266"/>
      <c r="K899" s="1267"/>
      <c r="L899" s="1267"/>
      <c r="M899" s="1267"/>
      <c r="N899" s="1267"/>
      <c r="O899" s="1267"/>
      <c r="P899" s="1267"/>
      <c r="Q899" s="1267"/>
      <c r="R899" s="1267"/>
      <c r="S899" s="1267"/>
      <c r="T899" s="1268"/>
      <c r="U899" s="1269">
        <f>SUM(I899:T899)</f>
        <v>0</v>
      </c>
    </row>
    <row r="900" spans="1:45" ht="15.05" thickBot="1" x14ac:dyDescent="0.25">
      <c r="B900" s="1274" t="s">
        <v>1865</v>
      </c>
      <c r="C900" s="882" t="str">
        <f>+B880</f>
        <v>Soja</v>
      </c>
      <c r="D900" s="882"/>
      <c r="E900" s="357" t="s">
        <v>876</v>
      </c>
      <c r="F900" s="1275"/>
      <c r="G900" s="1276"/>
      <c r="H900" s="357"/>
      <c r="I900" s="358">
        <f>SUMPRODUCT($F884:$F898,I884:I898)</f>
        <v>0</v>
      </c>
      <c r="J900" s="1277"/>
      <c r="K900" s="357"/>
      <c r="L900" s="357"/>
      <c r="M900" s="357"/>
      <c r="N900" s="357"/>
      <c r="O900" s="357"/>
      <c r="P900" s="357"/>
      <c r="Q900" s="357"/>
      <c r="R900" s="357"/>
      <c r="S900" s="357"/>
      <c r="T900" s="1278"/>
      <c r="U900" s="934">
        <f>SUM(I900:T900)</f>
        <v>0</v>
      </c>
    </row>
    <row r="901" spans="1:45" ht="6.55" customHeight="1" thickBot="1" x14ac:dyDescent="0.25"/>
    <row r="902" spans="1:45" ht="15.05" thickBot="1" x14ac:dyDescent="0.25">
      <c r="A902" s="1344">
        <f>+A879</f>
        <v>69</v>
      </c>
      <c r="B902" s="142" t="s">
        <v>2344</v>
      </c>
      <c r="C902" s="334"/>
      <c r="D902" s="334"/>
      <c r="E902" s="334"/>
      <c r="F902" s="334"/>
      <c r="G902" s="334"/>
      <c r="H902" s="334"/>
      <c r="I902" s="334"/>
      <c r="J902" s="334"/>
      <c r="K902" s="334"/>
      <c r="L902" s="334"/>
      <c r="M902" s="334"/>
      <c r="N902" s="334"/>
      <c r="O902" s="334"/>
      <c r="P902" s="334"/>
      <c r="Q902" s="334"/>
      <c r="R902" s="334"/>
      <c r="S902" s="334"/>
      <c r="T902" s="334"/>
      <c r="U902" s="360"/>
      <c r="V902" s="1571"/>
      <c r="W902" s="254"/>
      <c r="Y902" s="1271"/>
      <c r="Z902" s="372"/>
      <c r="AA902" s="372"/>
      <c r="AB902" s="372"/>
      <c r="AC902" s="372"/>
      <c r="AD902" s="372"/>
      <c r="AE902" s="372"/>
      <c r="AF902" s="372"/>
      <c r="AG902" s="372"/>
      <c r="AH902" s="372"/>
      <c r="AI902" s="372"/>
      <c r="AJ902" s="372"/>
      <c r="AK902" s="372"/>
      <c r="AL902" s="372"/>
      <c r="AM902" s="372"/>
      <c r="AN902" s="372"/>
      <c r="AO902" s="372"/>
      <c r="AP902" s="372"/>
      <c r="AQ902" s="372"/>
      <c r="AR902" s="767"/>
      <c r="AS902" s="254"/>
    </row>
    <row r="903" spans="1:45" x14ac:dyDescent="0.2">
      <c r="A903" s="1344" t="s">
        <v>1695</v>
      </c>
      <c r="B903" s="948" t="str">
        <f>+UsoSuelo!D348</f>
        <v>Soja 2ª</v>
      </c>
      <c r="C903" s="291"/>
      <c r="D903" s="291"/>
      <c r="E903" s="291"/>
      <c r="F903" s="291"/>
      <c r="G903" s="292" t="s">
        <v>883</v>
      </c>
      <c r="H903" s="222"/>
      <c r="I903" s="293" t="str">
        <f>+$I$6</f>
        <v>Ene</v>
      </c>
      <c r="J903" s="2138"/>
      <c r="K903" s="2138"/>
      <c r="L903" s="2138"/>
      <c r="M903" s="2138"/>
      <c r="N903" s="2138"/>
      <c r="O903" s="2138"/>
      <c r="P903" s="2138"/>
      <c r="Q903" s="2138"/>
      <c r="R903" s="2138"/>
      <c r="S903" s="2138"/>
      <c r="T903" s="2139"/>
      <c r="U903" s="640" t="s">
        <v>1106</v>
      </c>
      <c r="V903" s="1572"/>
      <c r="W903" s="254"/>
    </row>
    <row r="904" spans="1:45" x14ac:dyDescent="0.2">
      <c r="A904" s="739"/>
      <c r="B904" s="899" t="s">
        <v>721</v>
      </c>
      <c r="C904" s="900"/>
      <c r="D904" s="900"/>
      <c r="E904" s="900"/>
      <c r="F904" s="900"/>
      <c r="G904" s="900"/>
      <c r="H904" s="900"/>
      <c r="I904" s="1245">
        <f>+UsoSuelo!U348</f>
        <v>0</v>
      </c>
      <c r="J904" s="1246"/>
      <c r="K904" s="1247"/>
      <c r="L904" s="1247"/>
      <c r="M904" s="1247"/>
      <c r="N904" s="1247"/>
      <c r="O904" s="1247"/>
      <c r="P904" s="1247"/>
      <c r="Q904" s="1247"/>
      <c r="R904" s="1247"/>
      <c r="S904" s="1247"/>
      <c r="T904" s="1248"/>
      <c r="U904" s="903">
        <f>+I904</f>
        <v>0</v>
      </c>
      <c r="V904" s="1514"/>
      <c r="W904" s="254"/>
    </row>
    <row r="905" spans="1:45" x14ac:dyDescent="0.2">
      <c r="B905" s="641"/>
      <c r="C905" s="621" t="s">
        <v>885</v>
      </c>
      <c r="D905" s="621"/>
      <c r="E905" s="621" t="s">
        <v>881</v>
      </c>
      <c r="F905" s="621" t="s">
        <v>23</v>
      </c>
      <c r="G905" s="622"/>
      <c r="H905" s="623"/>
      <c r="I905" s="297"/>
      <c r="J905" s="296"/>
      <c r="K905" s="296"/>
      <c r="L905" s="296"/>
      <c r="M905" s="296"/>
      <c r="N905" s="297"/>
      <c r="O905" s="297"/>
      <c r="P905" s="297"/>
      <c r="Q905" s="297"/>
      <c r="R905" s="297"/>
      <c r="S905" s="297"/>
      <c r="T905" s="297"/>
      <c r="U905" s="642" t="s">
        <v>881</v>
      </c>
      <c r="V905" s="1515"/>
      <c r="W905" s="254"/>
    </row>
    <row r="906" spans="1:45" x14ac:dyDescent="0.2">
      <c r="B906" s="199" t="s">
        <v>869</v>
      </c>
      <c r="C906" s="3" t="s">
        <v>1105</v>
      </c>
      <c r="D906" s="3" t="s">
        <v>312</v>
      </c>
      <c r="E906" s="4" t="s">
        <v>882</v>
      </c>
      <c r="F906" s="3" t="s">
        <v>314</v>
      </c>
      <c r="G906" s="4" t="s">
        <v>313</v>
      </c>
      <c r="H906" s="299"/>
      <c r="I906" s="319" t="s">
        <v>2002</v>
      </c>
      <c r="J906" s="319"/>
      <c r="K906" s="319"/>
      <c r="L906" s="319"/>
      <c r="M906" s="320"/>
      <c r="N906" s="320"/>
      <c r="O906" s="320"/>
      <c r="P906" s="320"/>
      <c r="Q906" s="320"/>
      <c r="R906" s="320"/>
      <c r="S906" s="320"/>
      <c r="T906" s="320"/>
      <c r="U906" s="643" t="s">
        <v>891</v>
      </c>
      <c r="V906" s="1572"/>
      <c r="W906" s="254"/>
    </row>
    <row r="907" spans="1:45" ht="15.05" thickBot="1" x14ac:dyDescent="0.35">
      <c r="B907" s="5042"/>
      <c r="C907" s="1056">
        <f>IF(B907=0,0,U904)</f>
        <v>0</v>
      </c>
      <c r="D907" s="1056">
        <f>IF(B907=0,0,VLOOKUP(B907,Precios!$B$216:$D$307,3,FALSE))</f>
        <v>0</v>
      </c>
      <c r="E907" s="5043"/>
      <c r="F907" s="300"/>
      <c r="G907" s="300"/>
      <c r="H907" s="309"/>
      <c r="I907" s="1072">
        <f>IF($C907&gt;0,I$904*$E907,0)</f>
        <v>0</v>
      </c>
      <c r="J907" s="1252"/>
      <c r="K907" s="571"/>
      <c r="L907" s="571"/>
      <c r="M907" s="571"/>
      <c r="N907" s="571"/>
      <c r="O907" s="571"/>
      <c r="P907" s="571"/>
      <c r="Q907" s="571"/>
      <c r="R907" s="571"/>
      <c r="S907" s="571"/>
      <c r="T907" s="1253"/>
      <c r="U907" s="1073">
        <f>SUM(I907:T907)</f>
        <v>0</v>
      </c>
      <c r="V907" s="232" t="str">
        <f>B907&amp;"propia"</f>
        <v>propia</v>
      </c>
      <c r="W907" s="254"/>
    </row>
    <row r="908" spans="1:45" x14ac:dyDescent="0.3">
      <c r="B908" s="5081"/>
      <c r="C908" s="1259">
        <f>IF(B908=0,0,U904)</f>
        <v>0</v>
      </c>
      <c r="D908" s="1260">
        <f>IF(B908=0,0,VLOOKUP(B908,Precios!$B$216:$D$307,3,FALSE))</f>
        <v>0</v>
      </c>
      <c r="E908" s="5082"/>
      <c r="F908" s="300"/>
      <c r="G908" s="300"/>
      <c r="H908" s="309"/>
      <c r="I908" s="1076">
        <f>IF($C908&gt;0,I$904*$E908,0)</f>
        <v>0</v>
      </c>
      <c r="J908" s="1254"/>
      <c r="K908" s="425"/>
      <c r="L908" s="425"/>
      <c r="M908" s="425"/>
      <c r="N908" s="425"/>
      <c r="O908" s="425"/>
      <c r="P908" s="425"/>
      <c r="Q908" s="425"/>
      <c r="R908" s="425"/>
      <c r="S908" s="425"/>
      <c r="T908" s="1255"/>
      <c r="U908" s="1075">
        <f>SUM(I908:T908)</f>
        <v>0</v>
      </c>
      <c r="V908" s="232" t="str">
        <f>B908&amp;"propia"</f>
        <v>propia</v>
      </c>
      <c r="W908" s="254"/>
    </row>
    <row r="909" spans="1:45" x14ac:dyDescent="0.3">
      <c r="B909" s="647" t="s">
        <v>1083</v>
      </c>
      <c r="C909" s="305"/>
      <c r="D909" s="305"/>
      <c r="E909" s="305"/>
      <c r="F909" s="305"/>
      <c r="G909" s="305"/>
      <c r="H909" s="306"/>
      <c r="I909" s="904">
        <f>SUM(I907:I908)</f>
        <v>0</v>
      </c>
      <c r="J909" s="1256"/>
      <c r="K909" s="1257"/>
      <c r="L909" s="1257"/>
      <c r="M909" s="1257"/>
      <c r="N909" s="1257"/>
      <c r="O909" s="1257"/>
      <c r="P909" s="1257"/>
      <c r="Q909" s="1257"/>
      <c r="R909" s="1257"/>
      <c r="S909" s="1257"/>
      <c r="T909" s="1258"/>
      <c r="U909" s="905">
        <f>SUM(I909:T909)</f>
        <v>0</v>
      </c>
      <c r="V909" s="439"/>
      <c r="W909" s="254"/>
    </row>
    <row r="910" spans="1:45" x14ac:dyDescent="0.2">
      <c r="B910" s="197" t="s">
        <v>870</v>
      </c>
      <c r="C910" s="307"/>
      <c r="D910" s="307"/>
      <c r="E910" s="308"/>
      <c r="F910" s="308"/>
      <c r="G910" s="308"/>
      <c r="H910" s="307"/>
      <c r="I910" s="307"/>
      <c r="J910" s="307"/>
      <c r="K910" s="307"/>
      <c r="L910" s="307"/>
      <c r="M910" s="307"/>
      <c r="N910" s="307"/>
      <c r="O910" s="307"/>
      <c r="P910" s="307"/>
      <c r="Q910" s="307"/>
      <c r="R910" s="307"/>
      <c r="S910" s="307"/>
      <c r="T910" s="307"/>
      <c r="U910" s="646"/>
      <c r="V910" s="438"/>
      <c r="W910" s="254"/>
    </row>
    <row r="911" spans="1:45" ht="15.05" thickBot="1" x14ac:dyDescent="0.35">
      <c r="B911" s="5042"/>
      <c r="C911" s="1056">
        <f>IF(B911=0,0,U904)</f>
        <v>0</v>
      </c>
      <c r="D911" s="1056">
        <f>IF(B911=0,0,VLOOKUP(B911,Precios!$B$216:$D$307,3,FALSE))</f>
        <v>0</v>
      </c>
      <c r="E911" s="5048"/>
      <c r="F911" s="1249">
        <f>IF(B911=0,0,VLOOKUP(B911,Precios!$B$216:$D$307,2,FALSE))</f>
        <v>0</v>
      </c>
      <c r="G911" s="1066">
        <f>E911*F911</f>
        <v>0</v>
      </c>
      <c r="H911" s="309"/>
      <c r="I911" s="1072">
        <f>IF($C911&gt;0,I$904*$E911,0)</f>
        <v>0</v>
      </c>
      <c r="J911" s="1252"/>
      <c r="K911" s="571"/>
      <c r="L911" s="571"/>
      <c r="M911" s="571"/>
      <c r="N911" s="571"/>
      <c r="O911" s="571"/>
      <c r="P911" s="571"/>
      <c r="Q911" s="571"/>
      <c r="R911" s="571"/>
      <c r="S911" s="571"/>
      <c r="T911" s="1253"/>
      <c r="U911" s="1073">
        <f>SUM(I911:T911)</f>
        <v>0</v>
      </c>
      <c r="V911" s="232" t="str">
        <f>B911&amp;"contratada"</f>
        <v>contratada</v>
      </c>
      <c r="W911" s="254"/>
    </row>
    <row r="912" spans="1:45" x14ac:dyDescent="0.3">
      <c r="B912" s="5081"/>
      <c r="C912" s="1259">
        <f>IF(B912=0,0,U904)</f>
        <v>0</v>
      </c>
      <c r="D912" s="1260">
        <f>IF(B912=0,0,VLOOKUP(B912,Precios!$B$216:$D$307,3,FALSE))</f>
        <v>0</v>
      </c>
      <c r="E912" s="5083"/>
      <c r="F912" s="1263">
        <f>IF(B912=0,0,VLOOKUP(B912,Precios!$B$216:$D$307,2,FALSE))</f>
        <v>0</v>
      </c>
      <c r="G912" s="1262">
        <f>E912*F912</f>
        <v>0</v>
      </c>
      <c r="H912" s="309"/>
      <c r="I912" s="1076">
        <f>IF($C912&gt;0,I$904*$E912,0)</f>
        <v>0</v>
      </c>
      <c r="J912" s="1254"/>
      <c r="K912" s="425"/>
      <c r="L912" s="425"/>
      <c r="M912" s="425"/>
      <c r="N912" s="425"/>
      <c r="O912" s="425"/>
      <c r="P912" s="425"/>
      <c r="Q912" s="425"/>
      <c r="R912" s="425"/>
      <c r="S912" s="425"/>
      <c r="T912" s="1255"/>
      <c r="U912" s="1078">
        <f>SUM(I912:T912)</f>
        <v>0</v>
      </c>
      <c r="V912" s="232" t="str">
        <f>B912&amp;"contratada"</f>
        <v>contratada</v>
      </c>
      <c r="W912" s="254"/>
    </row>
    <row r="913" spans="1:45" x14ac:dyDescent="0.3">
      <c r="B913" s="647" t="s">
        <v>1084</v>
      </c>
      <c r="C913" s="305"/>
      <c r="D913" s="305"/>
      <c r="E913" s="305"/>
      <c r="F913" s="305"/>
      <c r="G913" s="305"/>
      <c r="H913" s="306"/>
      <c r="I913" s="904">
        <f>SUM(I911:I912)</f>
        <v>0</v>
      </c>
      <c r="J913" s="1250"/>
      <c r="K913" s="596"/>
      <c r="L913" s="596"/>
      <c r="M913" s="596"/>
      <c r="N913" s="596"/>
      <c r="O913" s="596"/>
      <c r="P913" s="596"/>
      <c r="Q913" s="596"/>
      <c r="R913" s="596"/>
      <c r="S913" s="596"/>
      <c r="T913" s="1251"/>
      <c r="U913" s="905">
        <f>SUM(I913:T913)</f>
        <v>0</v>
      </c>
      <c r="V913" s="439"/>
      <c r="W913" s="254"/>
    </row>
    <row r="914" spans="1:45" x14ac:dyDescent="0.2">
      <c r="B914" s="197" t="s">
        <v>339</v>
      </c>
      <c r="C914" s="307"/>
      <c r="D914" s="307"/>
      <c r="E914" s="308"/>
      <c r="F914" s="651"/>
      <c r="G914" s="308"/>
      <c r="H914" s="307"/>
      <c r="I914" s="307"/>
      <c r="J914" s="307"/>
      <c r="K914" s="307"/>
      <c r="L914" s="307"/>
      <c r="M914" s="307"/>
      <c r="N914" s="307"/>
      <c r="O914" s="307"/>
      <c r="P914" s="307"/>
      <c r="Q914" s="307"/>
      <c r="R914" s="307"/>
      <c r="S914" s="307"/>
      <c r="T914" s="307"/>
      <c r="U914" s="646"/>
      <c r="V914" s="438"/>
      <c r="W914" s="254"/>
    </row>
    <row r="915" spans="1:45" ht="15.05" thickBot="1" x14ac:dyDescent="0.35">
      <c r="B915" s="5042"/>
      <c r="C915" s="1056">
        <f>IF(B915=0,0,U904)</f>
        <v>0</v>
      </c>
      <c r="D915" s="1056">
        <f>IF(B915=0,0,VLOOKUP(B915,Precios!$B$216:$D$307,3,FALSE))</f>
        <v>0</v>
      </c>
      <c r="E915" s="5048"/>
      <c r="F915" s="1063">
        <f>IF(B915=0,0,VLOOKUP(B915,Precios!$B$216:$D$307,2,FALSE))</f>
        <v>0</v>
      </c>
      <c r="G915" s="1066">
        <f>E915*F915</f>
        <v>0</v>
      </c>
      <c r="H915" s="309"/>
      <c r="I915" s="1072">
        <f>IF($C915&gt;0,I$904*$E915,0)</f>
        <v>0</v>
      </c>
      <c r="J915" s="1252"/>
      <c r="K915" s="571"/>
      <c r="L915" s="571"/>
      <c r="M915" s="571"/>
      <c r="N915" s="571"/>
      <c r="O915" s="571"/>
      <c r="P915" s="571"/>
      <c r="Q915" s="571"/>
      <c r="R915" s="571"/>
      <c r="S915" s="571"/>
      <c r="T915" s="1253"/>
      <c r="U915" s="1073">
        <f>SUM(I915:T915)</f>
        <v>0</v>
      </c>
      <c r="V915" s="1516"/>
      <c r="W915" s="254"/>
    </row>
    <row r="916" spans="1:45" x14ac:dyDescent="0.3">
      <c r="B916" s="5081"/>
      <c r="C916" s="1259">
        <f>IF(B916=0,0,U904)</f>
        <v>0</v>
      </c>
      <c r="D916" s="1260">
        <f>IF(B916=0,0,VLOOKUP(B916,Precios!$B$216:$D$307,3,FALSE))</f>
        <v>0</v>
      </c>
      <c r="E916" s="5083"/>
      <c r="F916" s="1261">
        <f>IF(B916=0,0,VLOOKUP(B916,Precios!$B$216:$D$307,2,FALSE))</f>
        <v>0</v>
      </c>
      <c r="G916" s="1262">
        <f>E916*F916</f>
        <v>0</v>
      </c>
      <c r="H916" s="309"/>
      <c r="I916" s="1076">
        <f>IF($C916&gt;0,I$904*$E916,0)</f>
        <v>0</v>
      </c>
      <c r="J916" s="1254"/>
      <c r="K916" s="425"/>
      <c r="L916" s="425"/>
      <c r="M916" s="425"/>
      <c r="N916" s="425"/>
      <c r="O916" s="425"/>
      <c r="P916" s="425"/>
      <c r="Q916" s="425"/>
      <c r="R916" s="425"/>
      <c r="S916" s="425"/>
      <c r="T916" s="1255"/>
      <c r="U916" s="1078">
        <f>SUM(I916:T916)</f>
        <v>0</v>
      </c>
      <c r="V916" s="1516"/>
      <c r="W916" s="254"/>
    </row>
    <row r="917" spans="1:45" x14ac:dyDescent="0.3">
      <c r="B917" s="647" t="s">
        <v>1086</v>
      </c>
      <c r="C917" s="305"/>
      <c r="D917" s="305"/>
      <c r="E917" s="305"/>
      <c r="F917" s="305"/>
      <c r="G917" s="305"/>
      <c r="H917" s="306"/>
      <c r="I917" s="904">
        <f>SUM(I915:I916)</f>
        <v>0</v>
      </c>
      <c r="J917" s="1250"/>
      <c r="K917" s="596"/>
      <c r="L917" s="596"/>
      <c r="M917" s="596"/>
      <c r="N917" s="596"/>
      <c r="O917" s="596"/>
      <c r="P917" s="596"/>
      <c r="Q917" s="596"/>
      <c r="R917" s="596"/>
      <c r="S917" s="596"/>
      <c r="T917" s="1251"/>
      <c r="U917" s="905">
        <f>SUM(I917:T917)</f>
        <v>0</v>
      </c>
      <c r="V917" s="439"/>
      <c r="W917" s="254"/>
    </row>
    <row r="918" spans="1:45" x14ac:dyDescent="0.2">
      <c r="B918" s="197" t="s">
        <v>340</v>
      </c>
      <c r="C918" s="307"/>
      <c r="D918" s="307"/>
      <c r="E918" s="308"/>
      <c r="F918" s="651"/>
      <c r="G918" s="308"/>
      <c r="H918" s="307"/>
      <c r="I918" s="307"/>
      <c r="J918" s="307"/>
      <c r="K918" s="307"/>
      <c r="L918" s="307"/>
      <c r="M918" s="307"/>
      <c r="N918" s="307"/>
      <c r="O918" s="307"/>
      <c r="P918" s="307"/>
      <c r="Q918" s="307"/>
      <c r="R918" s="307"/>
      <c r="S918" s="307"/>
      <c r="T918" s="307"/>
      <c r="U918" s="646"/>
      <c r="V918" s="438"/>
      <c r="W918" s="254"/>
    </row>
    <row r="919" spans="1:45" ht="15.05" thickBot="1" x14ac:dyDescent="0.35">
      <c r="B919" s="5042"/>
      <c r="C919" s="1056">
        <f>IF(B919=0,0,U904)</f>
        <v>0</v>
      </c>
      <c r="D919" s="1056">
        <f>IF(B919=0,0,VLOOKUP(B919,Precios!$B$216:$D$307,3,FALSE))</f>
        <v>0</v>
      </c>
      <c r="E919" s="5048"/>
      <c r="F919" s="1062">
        <f>IF(B919=0,0,VLOOKUP(B919,Precios!$B$216:$D$307,2,FALSE))</f>
        <v>0</v>
      </c>
      <c r="G919" s="1066">
        <f>E919*F919</f>
        <v>0</v>
      </c>
      <c r="H919" s="309"/>
      <c r="I919" s="1072">
        <f>IF($C919&gt;0,I$904*$E919,0)</f>
        <v>0</v>
      </c>
      <c r="J919" s="1252"/>
      <c r="K919" s="571"/>
      <c r="L919" s="571"/>
      <c r="M919" s="571"/>
      <c r="N919" s="571"/>
      <c r="O919" s="571"/>
      <c r="P919" s="571"/>
      <c r="Q919" s="571"/>
      <c r="R919" s="571"/>
      <c r="S919" s="571"/>
      <c r="T919" s="1253"/>
      <c r="U919" s="1073">
        <f>SUM(I919:T919)</f>
        <v>0</v>
      </c>
      <c r="V919" s="1516"/>
      <c r="W919" s="254"/>
    </row>
    <row r="920" spans="1:45" ht="15.05" thickBot="1" x14ac:dyDescent="0.35">
      <c r="B920" s="5044"/>
      <c r="C920" s="985">
        <f>IF(B920=0,0,U904)</f>
        <v>0</v>
      </c>
      <c r="D920" s="985">
        <f>IF(B920=0,0,VLOOKUP(B920,Precios!$B$216:$D$307,3,FALSE))</f>
        <v>0</v>
      </c>
      <c r="E920" s="5049"/>
      <c r="F920" s="1059">
        <f>IF(B920=0,0,VLOOKUP(B920,Precios!$B$216:$D$307,2,FALSE))</f>
        <v>0</v>
      </c>
      <c r="G920" s="1067">
        <f>E920*F920</f>
        <v>0</v>
      </c>
      <c r="H920" s="309"/>
      <c r="I920" s="1074">
        <f>IF($C920&gt;0,I$904*$E920,0)</f>
        <v>0</v>
      </c>
      <c r="J920" s="1254"/>
      <c r="K920" s="425"/>
      <c r="L920" s="425"/>
      <c r="M920" s="425"/>
      <c r="N920" s="425"/>
      <c r="O920" s="425"/>
      <c r="P920" s="425"/>
      <c r="Q920" s="425"/>
      <c r="R920" s="425"/>
      <c r="S920" s="425"/>
      <c r="T920" s="1255"/>
      <c r="U920" s="1075">
        <f>SUM(I920:T920)</f>
        <v>0</v>
      </c>
      <c r="V920" s="1516"/>
      <c r="W920" s="254"/>
    </row>
    <row r="921" spans="1:45" x14ac:dyDescent="0.3">
      <c r="B921" s="5081"/>
      <c r="C921" s="1260">
        <f>IF(B921=0,0,U904)</f>
        <v>0</v>
      </c>
      <c r="D921" s="1260">
        <f>IF(B921=0,0,VLOOKUP(B921,Precios!$B$216:$D$307,3,FALSE))</f>
        <v>0</v>
      </c>
      <c r="E921" s="5083"/>
      <c r="F921" s="1264">
        <f>IF(B921=0,0,VLOOKUP(B921,Precios!$B$216:$D$307,2,FALSE))</f>
        <v>0</v>
      </c>
      <c r="G921" s="1262">
        <f>E921*F921</f>
        <v>0</v>
      </c>
      <c r="H921" s="309"/>
      <c r="I921" s="1076">
        <f>IF($C921&gt;0,I$904*$E921,0)</f>
        <v>0</v>
      </c>
      <c r="J921" s="1265"/>
      <c r="K921" s="439"/>
      <c r="L921" s="439"/>
      <c r="M921" s="439"/>
      <c r="N921" s="439"/>
      <c r="O921" s="439"/>
      <c r="P921" s="439"/>
      <c r="Q921" s="439"/>
      <c r="R921" s="439"/>
      <c r="S921" s="425"/>
      <c r="T921" s="1255"/>
      <c r="U921" s="1078">
        <f>SUM(I921:T921)</f>
        <v>0</v>
      </c>
      <c r="V921" s="1516"/>
      <c r="W921" s="254"/>
    </row>
    <row r="922" spans="1:45" ht="15.05" thickBot="1" x14ac:dyDescent="0.35">
      <c r="B922" s="647" t="s">
        <v>1087</v>
      </c>
      <c r="C922" s="305"/>
      <c r="D922" s="305"/>
      <c r="E922" s="305"/>
      <c r="F922" s="305"/>
      <c r="G922" s="305"/>
      <c r="H922" s="306"/>
      <c r="I922" s="904">
        <f>SUM(I919:I921)</f>
        <v>0</v>
      </c>
      <c r="J922" s="1266"/>
      <c r="K922" s="1267"/>
      <c r="L922" s="1267"/>
      <c r="M922" s="1267"/>
      <c r="N922" s="1267"/>
      <c r="O922" s="1267"/>
      <c r="P922" s="1267"/>
      <c r="Q922" s="1267"/>
      <c r="R922" s="1267"/>
      <c r="S922" s="1267"/>
      <c r="T922" s="1268"/>
      <c r="U922" s="1269">
        <f>SUM(I922:T922)</f>
        <v>0</v>
      </c>
      <c r="V922" s="439"/>
      <c r="W922" s="254"/>
    </row>
    <row r="923" spans="1:45" ht="15.05" thickBot="1" x14ac:dyDescent="0.25">
      <c r="B923" s="1274" t="s">
        <v>1865</v>
      </c>
      <c r="C923" s="882" t="str">
        <f>+B903</f>
        <v>Soja 2ª</v>
      </c>
      <c r="D923" s="882"/>
      <c r="E923" s="357" t="s">
        <v>876</v>
      </c>
      <c r="F923" s="1275"/>
      <c r="G923" s="1276"/>
      <c r="H923" s="357"/>
      <c r="I923" s="358">
        <f>SUMPRODUCT($F907:$F921,I907:I921)</f>
        <v>0</v>
      </c>
      <c r="J923" s="1277"/>
      <c r="K923" s="357"/>
      <c r="L923" s="357"/>
      <c r="M923" s="357"/>
      <c r="N923" s="357"/>
      <c r="O923" s="357"/>
      <c r="P923" s="357"/>
      <c r="Q923" s="357"/>
      <c r="R923" s="357"/>
      <c r="S923" s="357"/>
      <c r="T923" s="1278"/>
      <c r="U923" s="934">
        <f>SUM(I923:T923)</f>
        <v>0</v>
      </c>
      <c r="V923" s="1517"/>
      <c r="W923" s="254"/>
    </row>
    <row r="924" spans="1:45" ht="15.05" thickBot="1" x14ac:dyDescent="0.25">
      <c r="V924" s="254"/>
      <c r="W924" s="254"/>
    </row>
    <row r="925" spans="1:45" ht="15.05" thickBot="1" x14ac:dyDescent="0.25">
      <c r="A925" s="1344">
        <f>+A902</f>
        <v>69</v>
      </c>
      <c r="B925" s="142" t="s">
        <v>2344</v>
      </c>
      <c r="C925" s="334"/>
      <c r="D925" s="334"/>
      <c r="E925" s="334"/>
      <c r="F925" s="334"/>
      <c r="G925" s="334"/>
      <c r="H925" s="334"/>
      <c r="I925" s="334"/>
      <c r="J925" s="334"/>
      <c r="K925" s="334"/>
      <c r="L925" s="334"/>
      <c r="M925" s="334"/>
      <c r="N925" s="334"/>
      <c r="O925" s="334"/>
      <c r="P925" s="334"/>
      <c r="Q925" s="334"/>
      <c r="R925" s="334"/>
      <c r="S925" s="334"/>
      <c r="T925" s="334"/>
      <c r="U925" s="360"/>
      <c r="V925" s="1571"/>
      <c r="W925" s="254"/>
      <c r="Y925" s="1271"/>
      <c r="Z925" s="372"/>
      <c r="AA925" s="372"/>
      <c r="AB925" s="372"/>
      <c r="AC925" s="372"/>
      <c r="AD925" s="372"/>
      <c r="AE925" s="372"/>
      <c r="AF925" s="372"/>
      <c r="AG925" s="372"/>
      <c r="AH925" s="372"/>
      <c r="AI925" s="372"/>
      <c r="AJ925" s="372"/>
      <c r="AK925" s="372"/>
      <c r="AL925" s="372"/>
      <c r="AM925" s="372"/>
      <c r="AN925" s="372"/>
      <c r="AO925" s="372"/>
      <c r="AP925" s="372"/>
      <c r="AQ925" s="372"/>
      <c r="AR925" s="767"/>
      <c r="AS925" s="254"/>
    </row>
    <row r="926" spans="1:45" x14ac:dyDescent="0.2">
      <c r="A926" s="1344" t="s">
        <v>1759</v>
      </c>
      <c r="B926" s="948" t="str">
        <f>+UsoSuelo!D349</f>
        <v>Maíz Grano</v>
      </c>
      <c r="C926" s="291"/>
      <c r="D926" s="291"/>
      <c r="E926" s="291"/>
      <c r="F926" s="291"/>
      <c r="G926" s="292" t="s">
        <v>883</v>
      </c>
      <c r="H926" s="222"/>
      <c r="I926" s="293" t="str">
        <f>+$I$6</f>
        <v>Ene</v>
      </c>
      <c r="J926" s="2138"/>
      <c r="K926" s="2138"/>
      <c r="L926" s="2138"/>
      <c r="M926" s="2138"/>
      <c r="N926" s="2138"/>
      <c r="O926" s="2138"/>
      <c r="P926" s="2138"/>
      <c r="Q926" s="2138"/>
      <c r="R926" s="2138"/>
      <c r="S926" s="2138"/>
      <c r="T926" s="2139"/>
      <c r="U926" s="640" t="s">
        <v>1106</v>
      </c>
      <c r="V926" s="1572"/>
      <c r="W926" s="254"/>
    </row>
    <row r="927" spans="1:45" x14ac:dyDescent="0.2">
      <c r="A927" s="739"/>
      <c r="B927" s="899" t="s">
        <v>721</v>
      </c>
      <c r="C927" s="900"/>
      <c r="D927" s="900"/>
      <c r="E927" s="900"/>
      <c r="F927" s="900"/>
      <c r="G927" s="900"/>
      <c r="H927" s="900"/>
      <c r="I927" s="1245">
        <f>+UsoSuelo!U349</f>
        <v>0</v>
      </c>
      <c r="J927" s="1246"/>
      <c r="K927" s="1247"/>
      <c r="L927" s="1247"/>
      <c r="M927" s="1247"/>
      <c r="N927" s="1247"/>
      <c r="O927" s="1247"/>
      <c r="P927" s="1247"/>
      <c r="Q927" s="1247"/>
      <c r="R927" s="1247"/>
      <c r="S927" s="1247"/>
      <c r="T927" s="1248"/>
      <c r="U927" s="903">
        <f>+I927</f>
        <v>0</v>
      </c>
      <c r="V927" s="1514"/>
      <c r="W927" s="254"/>
    </row>
    <row r="928" spans="1:45" x14ac:dyDescent="0.2">
      <c r="B928" s="641"/>
      <c r="C928" s="621" t="s">
        <v>885</v>
      </c>
      <c r="D928" s="621"/>
      <c r="E928" s="621" t="s">
        <v>881</v>
      </c>
      <c r="F928" s="621" t="s">
        <v>23</v>
      </c>
      <c r="G928" s="622"/>
      <c r="H928" s="623"/>
      <c r="I928" s="297"/>
      <c r="J928" s="296"/>
      <c r="K928" s="296"/>
      <c r="L928" s="296"/>
      <c r="M928" s="296"/>
      <c r="N928" s="297"/>
      <c r="O928" s="297"/>
      <c r="P928" s="297"/>
      <c r="Q928" s="297"/>
      <c r="R928" s="297"/>
      <c r="S928" s="297"/>
      <c r="T928" s="297"/>
      <c r="U928" s="642" t="s">
        <v>881</v>
      </c>
      <c r="V928" s="1515"/>
      <c r="W928" s="254"/>
    </row>
    <row r="929" spans="2:23" x14ac:dyDescent="0.2">
      <c r="B929" s="199" t="s">
        <v>869</v>
      </c>
      <c r="C929" s="3" t="s">
        <v>1105</v>
      </c>
      <c r="D929" s="3" t="s">
        <v>312</v>
      </c>
      <c r="E929" s="4" t="s">
        <v>882</v>
      </c>
      <c r="F929" s="3" t="s">
        <v>314</v>
      </c>
      <c r="G929" s="4" t="s">
        <v>313</v>
      </c>
      <c r="H929" s="299"/>
      <c r="I929" s="319" t="s">
        <v>2002</v>
      </c>
      <c r="J929" s="319"/>
      <c r="K929" s="319"/>
      <c r="L929" s="319"/>
      <c r="M929" s="320"/>
      <c r="N929" s="320"/>
      <c r="O929" s="320"/>
      <c r="P929" s="320"/>
      <c r="Q929" s="320"/>
      <c r="R929" s="320"/>
      <c r="S929" s="320"/>
      <c r="T929" s="320"/>
      <c r="U929" s="643" t="s">
        <v>891</v>
      </c>
      <c r="V929" s="1572"/>
      <c r="W929" s="254"/>
    </row>
    <row r="930" spans="2:23" ht="15.05" thickBot="1" x14ac:dyDescent="0.35">
      <c r="B930" s="5042"/>
      <c r="C930" s="1056">
        <f>IF(B930=0,0,U927)</f>
        <v>0</v>
      </c>
      <c r="D930" s="1056">
        <f>IF(B930=0,0,VLOOKUP(B930,Precios!$B$216:$D$307,3,FALSE))</f>
        <v>0</v>
      </c>
      <c r="E930" s="5043"/>
      <c r="F930" s="300"/>
      <c r="G930" s="300"/>
      <c r="H930" s="309"/>
      <c r="I930" s="1072">
        <f>IF($C930&gt;0,I$927*$E930,0)</f>
        <v>0</v>
      </c>
      <c r="J930" s="1252"/>
      <c r="K930" s="571"/>
      <c r="L930" s="571"/>
      <c r="M930" s="571"/>
      <c r="N930" s="571"/>
      <c r="O930" s="571"/>
      <c r="P930" s="571"/>
      <c r="Q930" s="571"/>
      <c r="R930" s="571"/>
      <c r="S930" s="571"/>
      <c r="T930" s="1253"/>
      <c r="U930" s="1073">
        <f>SUM(I930:T930)</f>
        <v>0</v>
      </c>
      <c r="V930" s="232" t="str">
        <f>B930&amp;"propia"</f>
        <v>propia</v>
      </c>
      <c r="W930" s="254"/>
    </row>
    <row r="931" spans="2:23" x14ac:dyDescent="0.3">
      <c r="B931" s="5081"/>
      <c r="C931" s="1259">
        <f>IF(B931=0,0,U927)</f>
        <v>0</v>
      </c>
      <c r="D931" s="1260">
        <f>IF(B931=0,0,VLOOKUP(B931,Precios!$B$216:$D$307,3,FALSE))</f>
        <v>0</v>
      </c>
      <c r="E931" s="5082"/>
      <c r="F931" s="300"/>
      <c r="G931" s="300"/>
      <c r="H931" s="309"/>
      <c r="I931" s="1076">
        <f>IF($C931&gt;0,I$927*$E931,0)</f>
        <v>0</v>
      </c>
      <c r="J931" s="1254"/>
      <c r="K931" s="425"/>
      <c r="L931" s="425"/>
      <c r="M931" s="425"/>
      <c r="N931" s="425"/>
      <c r="O931" s="425"/>
      <c r="P931" s="425"/>
      <c r="Q931" s="425"/>
      <c r="R931" s="425"/>
      <c r="S931" s="425"/>
      <c r="T931" s="1255"/>
      <c r="U931" s="1075">
        <f>SUM(I931:T931)</f>
        <v>0</v>
      </c>
      <c r="V931" s="232" t="str">
        <f>B931&amp;"propia"</f>
        <v>propia</v>
      </c>
      <c r="W931" s="254"/>
    </row>
    <row r="932" spans="2:23" x14ac:dyDescent="0.3">
      <c r="B932" s="647" t="s">
        <v>1083</v>
      </c>
      <c r="C932" s="305"/>
      <c r="D932" s="305"/>
      <c r="E932" s="305"/>
      <c r="F932" s="305"/>
      <c r="G932" s="305"/>
      <c r="H932" s="306"/>
      <c r="I932" s="904">
        <f>SUM(I930:I931)</f>
        <v>0</v>
      </c>
      <c r="J932" s="1256"/>
      <c r="K932" s="1257"/>
      <c r="L932" s="1257"/>
      <c r="M932" s="1257"/>
      <c r="N932" s="1257"/>
      <c r="O932" s="1257"/>
      <c r="P932" s="1257"/>
      <c r="Q932" s="1257"/>
      <c r="R932" s="1257"/>
      <c r="S932" s="1257"/>
      <c r="T932" s="1258"/>
      <c r="U932" s="905">
        <f>SUM(I932:T932)</f>
        <v>0</v>
      </c>
      <c r="V932" s="439"/>
      <c r="W932" s="254"/>
    </row>
    <row r="933" spans="2:23" x14ac:dyDescent="0.2">
      <c r="B933" s="197" t="s">
        <v>870</v>
      </c>
      <c r="C933" s="307"/>
      <c r="D933" s="307"/>
      <c r="E933" s="308"/>
      <c r="F933" s="308"/>
      <c r="G933" s="308"/>
      <c r="H933" s="307"/>
      <c r="I933" s="307"/>
      <c r="J933" s="307"/>
      <c r="K933" s="307"/>
      <c r="L933" s="307"/>
      <c r="M933" s="307"/>
      <c r="N933" s="307"/>
      <c r="O933" s="307"/>
      <c r="P933" s="307"/>
      <c r="Q933" s="307"/>
      <c r="R933" s="307"/>
      <c r="S933" s="307"/>
      <c r="T933" s="307"/>
      <c r="U933" s="646"/>
      <c r="V933" s="438"/>
      <c r="W933" s="254"/>
    </row>
    <row r="934" spans="2:23" ht="15.05" thickBot="1" x14ac:dyDescent="0.35">
      <c r="B934" s="5042"/>
      <c r="C934" s="1056">
        <f>IF(B934=0,0,U927)</f>
        <v>0</v>
      </c>
      <c r="D934" s="1056">
        <f>IF(B934=0,0,VLOOKUP(B934,Precios!$B$216:$D$307,3,FALSE))</f>
        <v>0</v>
      </c>
      <c r="E934" s="5048"/>
      <c r="F934" s="1249">
        <f>IF(B934=0,0,VLOOKUP(B934,Precios!$B$216:$D$307,2,FALSE))</f>
        <v>0</v>
      </c>
      <c r="G934" s="1066">
        <f>E934*F934</f>
        <v>0</v>
      </c>
      <c r="H934" s="309"/>
      <c r="I934" s="1072">
        <f>IF($C934&gt;0,I$927*$E934,0)</f>
        <v>0</v>
      </c>
      <c r="J934" s="1252"/>
      <c r="K934" s="571"/>
      <c r="L934" s="571"/>
      <c r="M934" s="571"/>
      <c r="N934" s="571"/>
      <c r="O934" s="571"/>
      <c r="P934" s="571"/>
      <c r="Q934" s="571"/>
      <c r="R934" s="571"/>
      <c r="S934" s="571"/>
      <c r="T934" s="1253"/>
      <c r="U934" s="1073">
        <f>SUM(I934:T934)</f>
        <v>0</v>
      </c>
      <c r="V934" s="232" t="str">
        <f>B934&amp;"contratada"</f>
        <v>contratada</v>
      </c>
      <c r="W934" s="254"/>
    </row>
    <row r="935" spans="2:23" x14ac:dyDescent="0.3">
      <c r="B935" s="5081"/>
      <c r="C935" s="1259">
        <f>IF(B935=0,0,U927)</f>
        <v>0</v>
      </c>
      <c r="D935" s="1260">
        <f>IF(B935=0,0,VLOOKUP(B935,Precios!$B$216:$D$307,3,FALSE))</f>
        <v>0</v>
      </c>
      <c r="E935" s="5083"/>
      <c r="F935" s="1263">
        <f>IF(B935=0,0,VLOOKUP(B935,Precios!$B$216:$D$307,2,FALSE))</f>
        <v>0</v>
      </c>
      <c r="G935" s="1262">
        <f>E935*F935</f>
        <v>0</v>
      </c>
      <c r="H935" s="309"/>
      <c r="I935" s="1076">
        <f>IF($C935&gt;0,I$927*$E935,0)</f>
        <v>0</v>
      </c>
      <c r="J935" s="1254"/>
      <c r="K935" s="425"/>
      <c r="L935" s="425"/>
      <c r="M935" s="425"/>
      <c r="N935" s="425"/>
      <c r="O935" s="425"/>
      <c r="P935" s="425"/>
      <c r="Q935" s="425"/>
      <c r="R935" s="425"/>
      <c r="S935" s="425"/>
      <c r="T935" s="1255"/>
      <c r="U935" s="1078">
        <f>SUM(I935:T935)</f>
        <v>0</v>
      </c>
      <c r="V935" s="232" t="str">
        <f>B935&amp;"contratada"</f>
        <v>contratada</v>
      </c>
      <c r="W935" s="254"/>
    </row>
    <row r="936" spans="2:23" x14ac:dyDescent="0.3">
      <c r="B936" s="647" t="s">
        <v>1084</v>
      </c>
      <c r="C936" s="305"/>
      <c r="D936" s="305"/>
      <c r="E936" s="305"/>
      <c r="F936" s="305"/>
      <c r="G936" s="305"/>
      <c r="H936" s="306"/>
      <c r="I936" s="904">
        <f>SUM(I934:I935)</f>
        <v>0</v>
      </c>
      <c r="J936" s="1250"/>
      <c r="K936" s="596"/>
      <c r="L936" s="596"/>
      <c r="M936" s="596"/>
      <c r="N936" s="596"/>
      <c r="O936" s="596"/>
      <c r="P936" s="596"/>
      <c r="Q936" s="596"/>
      <c r="R936" s="596"/>
      <c r="S936" s="596"/>
      <c r="T936" s="1251"/>
      <c r="U936" s="905">
        <f>SUM(I936:T936)</f>
        <v>0</v>
      </c>
      <c r="V936" s="439"/>
      <c r="W936" s="254"/>
    </row>
    <row r="937" spans="2:23" x14ac:dyDescent="0.2">
      <c r="B937" s="197" t="s">
        <v>339</v>
      </c>
      <c r="C937" s="307"/>
      <c r="D937" s="307"/>
      <c r="E937" s="308"/>
      <c r="F937" s="651"/>
      <c r="G937" s="308"/>
      <c r="H937" s="307"/>
      <c r="I937" s="307"/>
      <c r="J937" s="307"/>
      <c r="K937" s="307"/>
      <c r="L937" s="307"/>
      <c r="M937" s="307"/>
      <c r="N937" s="307"/>
      <c r="O937" s="307"/>
      <c r="P937" s="307"/>
      <c r="Q937" s="307"/>
      <c r="R937" s="307"/>
      <c r="S937" s="307"/>
      <c r="T937" s="307"/>
      <c r="U937" s="646"/>
      <c r="V937" s="438"/>
      <c r="W937" s="254"/>
    </row>
    <row r="938" spans="2:23" ht="15.05" thickBot="1" x14ac:dyDescent="0.35">
      <c r="B938" s="5042"/>
      <c r="C938" s="1056">
        <f>IF(B938=0,0,U927)</f>
        <v>0</v>
      </c>
      <c r="D938" s="1056">
        <f>IF(B938=0,0,VLOOKUP(B938,Precios!$B$216:$D$307,3,FALSE))</f>
        <v>0</v>
      </c>
      <c r="E938" s="5048"/>
      <c r="F938" s="1063">
        <f>IF(B938=0,0,VLOOKUP(B938,Precios!$B$216:$D$307,2,FALSE))</f>
        <v>0</v>
      </c>
      <c r="G938" s="1066">
        <f>E938*F938</f>
        <v>0</v>
      </c>
      <c r="H938" s="309"/>
      <c r="I938" s="1072">
        <f>IF($C938&gt;0,I$927*$E938,0)</f>
        <v>0</v>
      </c>
      <c r="J938" s="1252"/>
      <c r="K938" s="571"/>
      <c r="L938" s="571"/>
      <c r="M938" s="571"/>
      <c r="N938" s="571"/>
      <c r="O938" s="571"/>
      <c r="P938" s="571"/>
      <c r="Q938" s="571"/>
      <c r="R938" s="571"/>
      <c r="S938" s="571"/>
      <c r="T938" s="1253"/>
      <c r="U938" s="1073">
        <f>SUM(I938:T938)</f>
        <v>0</v>
      </c>
      <c r="V938" s="1516"/>
      <c r="W938" s="254"/>
    </row>
    <row r="939" spans="2:23" x14ac:dyDescent="0.3">
      <c r="B939" s="5081"/>
      <c r="C939" s="1259">
        <f>IF(B939=0,0,U927)</f>
        <v>0</v>
      </c>
      <c r="D939" s="1260">
        <f>IF(B939=0,0,VLOOKUP(B939,Precios!$B$216:$D$307,3,FALSE))</f>
        <v>0</v>
      </c>
      <c r="E939" s="5083"/>
      <c r="F939" s="1261">
        <f>IF(B939=0,0,VLOOKUP(B939,Precios!$B$216:$D$307,2,FALSE))</f>
        <v>0</v>
      </c>
      <c r="G939" s="1262">
        <f>E939*F939</f>
        <v>0</v>
      </c>
      <c r="H939" s="309"/>
      <c r="I939" s="1076">
        <f>IF($C939&gt;0,I$927*$E939,0)</f>
        <v>0</v>
      </c>
      <c r="J939" s="1254"/>
      <c r="K939" s="425"/>
      <c r="L939" s="425"/>
      <c r="M939" s="425"/>
      <c r="N939" s="425"/>
      <c r="O939" s="425"/>
      <c r="P939" s="425"/>
      <c r="Q939" s="425"/>
      <c r="R939" s="425"/>
      <c r="S939" s="425"/>
      <c r="T939" s="1255"/>
      <c r="U939" s="1078">
        <f>SUM(I939:T939)</f>
        <v>0</v>
      </c>
      <c r="V939" s="1516"/>
      <c r="W939" s="254"/>
    </row>
    <row r="940" spans="2:23" x14ac:dyDescent="0.3">
      <c r="B940" s="647" t="s">
        <v>1086</v>
      </c>
      <c r="C940" s="305"/>
      <c r="D940" s="305"/>
      <c r="E940" s="305"/>
      <c r="F940" s="305"/>
      <c r="G940" s="305"/>
      <c r="H940" s="306"/>
      <c r="I940" s="904">
        <f>SUM(I938:I939)</f>
        <v>0</v>
      </c>
      <c r="J940" s="1250"/>
      <c r="K940" s="596"/>
      <c r="L940" s="596"/>
      <c r="M940" s="596"/>
      <c r="N940" s="596"/>
      <c r="O940" s="596"/>
      <c r="P940" s="596"/>
      <c r="Q940" s="596"/>
      <c r="R940" s="596"/>
      <c r="S940" s="596"/>
      <c r="T940" s="1251"/>
      <c r="U940" s="905">
        <f>SUM(I940:T940)</f>
        <v>0</v>
      </c>
      <c r="V940" s="439"/>
      <c r="W940" s="254"/>
    </row>
    <row r="941" spans="2:23" x14ac:dyDescent="0.2">
      <c r="B941" s="197" t="s">
        <v>340</v>
      </c>
      <c r="C941" s="307"/>
      <c r="D941" s="307"/>
      <c r="E941" s="308"/>
      <c r="F941" s="651"/>
      <c r="G941" s="308"/>
      <c r="H941" s="307"/>
      <c r="I941" s="307"/>
      <c r="J941" s="307"/>
      <c r="K941" s="307"/>
      <c r="L941" s="307"/>
      <c r="M941" s="307"/>
      <c r="N941" s="307"/>
      <c r="O941" s="307"/>
      <c r="P941" s="307"/>
      <c r="Q941" s="307"/>
      <c r="R941" s="307"/>
      <c r="S941" s="307"/>
      <c r="T941" s="307"/>
      <c r="U941" s="646"/>
      <c r="V941" s="438"/>
      <c r="W941" s="254"/>
    </row>
    <row r="942" spans="2:23" ht="15.05" thickBot="1" x14ac:dyDescent="0.35">
      <c r="B942" s="5042"/>
      <c r="C942" s="1056">
        <f>IF(B942=0,0,U927)</f>
        <v>0</v>
      </c>
      <c r="D942" s="1056">
        <f>IF(B942=0,0,VLOOKUP(B942,Precios!$B$216:$D$307,3,FALSE))</f>
        <v>0</v>
      </c>
      <c r="E942" s="5048"/>
      <c r="F942" s="1062">
        <f>IF(B942=0,0,VLOOKUP(B942,Precios!$B$216:$D$307,2,FALSE))</f>
        <v>0</v>
      </c>
      <c r="G942" s="1066">
        <f>E942*F942</f>
        <v>0</v>
      </c>
      <c r="H942" s="309"/>
      <c r="I942" s="1072">
        <f>IF($C942&gt;0,I$927*$E942,0)</f>
        <v>0</v>
      </c>
      <c r="J942" s="1252"/>
      <c r="K942" s="571"/>
      <c r="L942" s="571"/>
      <c r="M942" s="571"/>
      <c r="N942" s="571"/>
      <c r="O942" s="571"/>
      <c r="P942" s="571"/>
      <c r="Q942" s="571"/>
      <c r="R942" s="571"/>
      <c r="S942" s="571"/>
      <c r="T942" s="1253"/>
      <c r="U942" s="1073">
        <f>SUM(I942:T942)</f>
        <v>0</v>
      </c>
      <c r="V942" s="1516"/>
      <c r="W942" s="254"/>
    </row>
    <row r="943" spans="2:23" ht="15.05" thickBot="1" x14ac:dyDescent="0.35">
      <c r="B943" s="5044"/>
      <c r="C943" s="985">
        <f>IF(B943=0,0,U927)</f>
        <v>0</v>
      </c>
      <c r="D943" s="985">
        <f>IF(B943=0,0,VLOOKUP(B943,Precios!$B$216:$D$307,3,FALSE))</f>
        <v>0</v>
      </c>
      <c r="E943" s="5049"/>
      <c r="F943" s="1059">
        <f>IF(B943=0,0,VLOOKUP(B943,Precios!$B$216:$D$307,2,FALSE))</f>
        <v>0</v>
      </c>
      <c r="G943" s="1067">
        <f>E943*F943</f>
        <v>0</v>
      </c>
      <c r="H943" s="309"/>
      <c r="I943" s="1074">
        <f>IF($C943&gt;0,I$927*$E943,0)</f>
        <v>0</v>
      </c>
      <c r="J943" s="1254"/>
      <c r="K943" s="425"/>
      <c r="L943" s="425"/>
      <c r="M943" s="425"/>
      <c r="N943" s="425"/>
      <c r="O943" s="425"/>
      <c r="P943" s="425"/>
      <c r="Q943" s="425"/>
      <c r="R943" s="425"/>
      <c r="S943" s="425"/>
      <c r="T943" s="1255"/>
      <c r="U943" s="1075">
        <f>SUM(I943:T943)</f>
        <v>0</v>
      </c>
      <c r="V943" s="1516"/>
      <c r="W943" s="254"/>
    </row>
    <row r="944" spans="2:23" x14ac:dyDescent="0.3">
      <c r="B944" s="5081"/>
      <c r="C944" s="1260">
        <f>IF(B944=0,0,U927)</f>
        <v>0</v>
      </c>
      <c r="D944" s="1260">
        <f>IF(B944=0,0,VLOOKUP(B944,Precios!$B$216:$D$307,3,FALSE))</f>
        <v>0</v>
      </c>
      <c r="E944" s="5083"/>
      <c r="F944" s="1264">
        <f>IF(B944=0,0,VLOOKUP(B944,Precios!$B$216:$D$307,2,FALSE))</f>
        <v>0</v>
      </c>
      <c r="G944" s="1262">
        <f>E944*F944</f>
        <v>0</v>
      </c>
      <c r="H944" s="309"/>
      <c r="I944" s="1076">
        <f>IF($C944&gt;0,I$927*$E944,0)</f>
        <v>0</v>
      </c>
      <c r="J944" s="1265"/>
      <c r="K944" s="439"/>
      <c r="L944" s="439"/>
      <c r="M944" s="439"/>
      <c r="N944" s="439"/>
      <c r="O944" s="439"/>
      <c r="P944" s="439"/>
      <c r="Q944" s="439"/>
      <c r="R944" s="439"/>
      <c r="S944" s="425"/>
      <c r="T944" s="1255"/>
      <c r="U944" s="1078">
        <f>SUM(I944:T944)</f>
        <v>0</v>
      </c>
      <c r="V944" s="1516"/>
      <c r="W944" s="254"/>
    </row>
    <row r="945" spans="1:45" ht="15.05" thickBot="1" x14ac:dyDescent="0.35">
      <c r="B945" s="647" t="s">
        <v>1087</v>
      </c>
      <c r="C945" s="305"/>
      <c r="D945" s="305"/>
      <c r="E945" s="305"/>
      <c r="F945" s="305"/>
      <c r="G945" s="305"/>
      <c r="H945" s="306"/>
      <c r="I945" s="904">
        <f>SUM(I942:I944)</f>
        <v>0</v>
      </c>
      <c r="J945" s="1266"/>
      <c r="K945" s="1267"/>
      <c r="L945" s="1267"/>
      <c r="M945" s="1267"/>
      <c r="N945" s="1267"/>
      <c r="O945" s="1267"/>
      <c r="P945" s="1267"/>
      <c r="Q945" s="1267"/>
      <c r="R945" s="1267"/>
      <c r="S945" s="1267"/>
      <c r="T945" s="1268"/>
      <c r="U945" s="1269">
        <f>SUM(I945:T945)</f>
        <v>0</v>
      </c>
      <c r="V945" s="439"/>
      <c r="W945" s="254"/>
    </row>
    <row r="946" spans="1:45" ht="15.05" thickBot="1" x14ac:dyDescent="0.25">
      <c r="B946" s="1274" t="s">
        <v>1865</v>
      </c>
      <c r="C946" s="882" t="str">
        <f>+B926</f>
        <v>Maíz Grano</v>
      </c>
      <c r="D946" s="882"/>
      <c r="E946" s="357" t="s">
        <v>876</v>
      </c>
      <c r="F946" s="1275"/>
      <c r="G946" s="1276"/>
      <c r="H946" s="357"/>
      <c r="I946" s="358">
        <f>SUMPRODUCT($F930:$F944,I930:I944)</f>
        <v>0</v>
      </c>
      <c r="J946" s="1277"/>
      <c r="K946" s="357"/>
      <c r="L946" s="357"/>
      <c r="M946" s="357"/>
      <c r="N946" s="357"/>
      <c r="O946" s="357"/>
      <c r="P946" s="357"/>
      <c r="Q946" s="357"/>
      <c r="R946" s="357"/>
      <c r="S946" s="357"/>
      <c r="T946" s="1278"/>
      <c r="U946" s="934">
        <f>SUM(I946:T946)</f>
        <v>0</v>
      </c>
      <c r="V946" s="1517"/>
      <c r="W946" s="254"/>
    </row>
    <row r="947" spans="1:45" ht="15.05" thickBot="1" x14ac:dyDescent="0.25">
      <c r="V947" s="254"/>
      <c r="W947" s="254"/>
    </row>
    <row r="948" spans="1:45" ht="15.05" thickBot="1" x14ac:dyDescent="0.25">
      <c r="A948" s="1344">
        <f>+A925</f>
        <v>69</v>
      </c>
      <c r="B948" s="142" t="s">
        <v>2344</v>
      </c>
      <c r="C948" s="334"/>
      <c r="D948" s="334"/>
      <c r="E948" s="334"/>
      <c r="F948" s="334"/>
      <c r="G948" s="334"/>
      <c r="H948" s="334"/>
      <c r="I948" s="334"/>
      <c r="J948" s="334"/>
      <c r="K948" s="334"/>
      <c r="L948" s="334"/>
      <c r="M948" s="334"/>
      <c r="N948" s="334"/>
      <c r="O948" s="334"/>
      <c r="P948" s="334"/>
      <c r="Q948" s="334"/>
      <c r="R948" s="334"/>
      <c r="S948" s="334"/>
      <c r="T948" s="334"/>
      <c r="U948" s="360"/>
      <c r="V948" s="1571"/>
      <c r="W948" s="254"/>
      <c r="Y948" s="1271"/>
      <c r="Z948" s="372"/>
      <c r="AA948" s="372"/>
      <c r="AB948" s="372"/>
      <c r="AC948" s="372"/>
      <c r="AD948" s="372"/>
      <c r="AE948" s="372"/>
      <c r="AF948" s="372"/>
      <c r="AG948" s="372"/>
      <c r="AH948" s="372"/>
      <c r="AI948" s="372"/>
      <c r="AJ948" s="372"/>
      <c r="AK948" s="372"/>
      <c r="AL948" s="372"/>
      <c r="AM948" s="372"/>
      <c r="AN948" s="372"/>
      <c r="AO948" s="372"/>
      <c r="AP948" s="372"/>
      <c r="AQ948" s="372"/>
      <c r="AR948" s="767"/>
      <c r="AS948" s="254"/>
    </row>
    <row r="949" spans="1:45" x14ac:dyDescent="0.2">
      <c r="A949" s="1344" t="s">
        <v>1760</v>
      </c>
      <c r="B949" s="948" t="str">
        <f>+UsoSuelo!D350</f>
        <v>Sorgo grano</v>
      </c>
      <c r="C949" s="291"/>
      <c r="D949" s="291"/>
      <c r="E949" s="291"/>
      <c r="F949" s="291"/>
      <c r="G949" s="292" t="s">
        <v>883</v>
      </c>
      <c r="H949" s="222"/>
      <c r="I949" s="293" t="str">
        <f>+$I$6</f>
        <v>Ene</v>
      </c>
      <c r="J949" s="2138"/>
      <c r="K949" s="2138"/>
      <c r="L949" s="2138"/>
      <c r="M949" s="2138"/>
      <c r="N949" s="2138"/>
      <c r="O949" s="2138"/>
      <c r="P949" s="2138"/>
      <c r="Q949" s="2138"/>
      <c r="R949" s="2138"/>
      <c r="S949" s="2138"/>
      <c r="T949" s="2139"/>
      <c r="U949" s="640" t="s">
        <v>1106</v>
      </c>
      <c r="V949" s="1572"/>
      <c r="W949" s="254"/>
    </row>
    <row r="950" spans="1:45" x14ac:dyDescent="0.2">
      <c r="A950" s="739"/>
      <c r="B950" s="899" t="s">
        <v>721</v>
      </c>
      <c r="C950" s="900"/>
      <c r="D950" s="900"/>
      <c r="E950" s="900"/>
      <c r="F950" s="900"/>
      <c r="G950" s="900"/>
      <c r="H950" s="900"/>
      <c r="I950" s="1245">
        <f>+UsoSuelo!U350</f>
        <v>0</v>
      </c>
      <c r="J950" s="1246"/>
      <c r="K950" s="1247"/>
      <c r="L950" s="1247"/>
      <c r="M950" s="1247"/>
      <c r="N950" s="1247"/>
      <c r="O950" s="1247"/>
      <c r="P950" s="1247"/>
      <c r="Q950" s="1247"/>
      <c r="R950" s="1247"/>
      <c r="S950" s="1247"/>
      <c r="T950" s="1248"/>
      <c r="U950" s="903">
        <f>+I950</f>
        <v>0</v>
      </c>
      <c r="V950" s="1514"/>
      <c r="W950" s="254"/>
    </row>
    <row r="951" spans="1:45" x14ac:dyDescent="0.2">
      <c r="B951" s="641"/>
      <c r="C951" s="621" t="s">
        <v>885</v>
      </c>
      <c r="D951" s="621"/>
      <c r="E951" s="621" t="s">
        <v>881</v>
      </c>
      <c r="F951" s="621" t="s">
        <v>23</v>
      </c>
      <c r="G951" s="622"/>
      <c r="H951" s="623"/>
      <c r="I951" s="297"/>
      <c r="J951" s="296"/>
      <c r="K951" s="296"/>
      <c r="L951" s="296"/>
      <c r="M951" s="296"/>
      <c r="N951" s="297"/>
      <c r="O951" s="297"/>
      <c r="P951" s="297"/>
      <c r="Q951" s="297"/>
      <c r="R951" s="297"/>
      <c r="S951" s="297"/>
      <c r="T951" s="297"/>
      <c r="U951" s="642" t="s">
        <v>881</v>
      </c>
      <c r="V951" s="1515"/>
      <c r="W951" s="254"/>
    </row>
    <row r="952" spans="1:45" x14ac:dyDescent="0.2">
      <c r="B952" s="199" t="s">
        <v>869</v>
      </c>
      <c r="C952" s="3" t="s">
        <v>1105</v>
      </c>
      <c r="D952" s="3" t="s">
        <v>312</v>
      </c>
      <c r="E952" s="4" t="s">
        <v>882</v>
      </c>
      <c r="F952" s="3" t="s">
        <v>314</v>
      </c>
      <c r="G952" s="4" t="s">
        <v>313</v>
      </c>
      <c r="H952" s="299"/>
      <c r="I952" s="319" t="s">
        <v>2002</v>
      </c>
      <c r="J952" s="319"/>
      <c r="K952" s="319"/>
      <c r="L952" s="319"/>
      <c r="M952" s="320"/>
      <c r="N952" s="320"/>
      <c r="O952" s="320"/>
      <c r="P952" s="320"/>
      <c r="Q952" s="320"/>
      <c r="R952" s="320"/>
      <c r="S952" s="320"/>
      <c r="T952" s="320"/>
      <c r="U952" s="643" t="s">
        <v>891</v>
      </c>
      <c r="V952" s="1572"/>
      <c r="W952" s="254"/>
    </row>
    <row r="953" spans="1:45" ht="15.05" thickBot="1" x14ac:dyDescent="0.35">
      <c r="B953" s="5042"/>
      <c r="C953" s="1056">
        <f>IF(B953=0,0,U950)</f>
        <v>0</v>
      </c>
      <c r="D953" s="1056">
        <f>IF(B953=0,0,VLOOKUP(B953,Precios!$B$216:$D$307,3,FALSE))</f>
        <v>0</v>
      </c>
      <c r="E953" s="5043"/>
      <c r="F953" s="300"/>
      <c r="G953" s="300"/>
      <c r="H953" s="309"/>
      <c r="I953" s="1072">
        <f>IF($C953&gt;0,I950*$E953,0)</f>
        <v>0</v>
      </c>
      <c r="J953" s="1252"/>
      <c r="K953" s="571"/>
      <c r="L953" s="571"/>
      <c r="M953" s="571"/>
      <c r="N953" s="571"/>
      <c r="O953" s="571"/>
      <c r="P953" s="571"/>
      <c r="Q953" s="571"/>
      <c r="R953" s="571"/>
      <c r="S953" s="571"/>
      <c r="T953" s="1253"/>
      <c r="U953" s="1073">
        <f>SUM(I953:T953)</f>
        <v>0</v>
      </c>
      <c r="V953" s="232" t="str">
        <f>B953&amp;"propia"</f>
        <v>propia</v>
      </c>
      <c r="W953" s="254"/>
    </row>
    <row r="954" spans="1:45" x14ac:dyDescent="0.3">
      <c r="B954" s="5081"/>
      <c r="C954" s="1259">
        <f>IF(B954=0,0,U950)</f>
        <v>0</v>
      </c>
      <c r="D954" s="1260">
        <f>IF(B954=0,0,VLOOKUP(B954,Precios!$B$216:$D$307,3,FALSE))</f>
        <v>0</v>
      </c>
      <c r="E954" s="5082"/>
      <c r="F954" s="300"/>
      <c r="G954" s="300"/>
      <c r="H954" s="309"/>
      <c r="I954" s="1076">
        <f>IF($C954&gt;0,I950*$E954,0)</f>
        <v>0</v>
      </c>
      <c r="J954" s="1254"/>
      <c r="K954" s="425"/>
      <c r="L954" s="425"/>
      <c r="M954" s="425"/>
      <c r="N954" s="425"/>
      <c r="O954" s="425"/>
      <c r="P954" s="425"/>
      <c r="Q954" s="425"/>
      <c r="R954" s="425"/>
      <c r="S954" s="425"/>
      <c r="T954" s="1255"/>
      <c r="U954" s="1075">
        <f>SUM(I954:T954)</f>
        <v>0</v>
      </c>
      <c r="V954" s="232" t="str">
        <f>B954&amp;"propia"</f>
        <v>propia</v>
      </c>
      <c r="W954" s="254"/>
    </row>
    <row r="955" spans="1:45" x14ac:dyDescent="0.3">
      <c r="B955" s="647" t="s">
        <v>1083</v>
      </c>
      <c r="C955" s="305"/>
      <c r="D955" s="305"/>
      <c r="E955" s="305"/>
      <c r="F955" s="305"/>
      <c r="G955" s="305"/>
      <c r="H955" s="306"/>
      <c r="I955" s="904">
        <f>SUM(I953:I954)</f>
        <v>0</v>
      </c>
      <c r="J955" s="1256"/>
      <c r="K955" s="1257"/>
      <c r="L955" s="1257"/>
      <c r="M955" s="1257"/>
      <c r="N955" s="1257"/>
      <c r="O955" s="1257"/>
      <c r="P955" s="1257"/>
      <c r="Q955" s="1257"/>
      <c r="R955" s="1257"/>
      <c r="S955" s="1257"/>
      <c r="T955" s="1258"/>
      <c r="U955" s="905">
        <f>SUM(I955:T955)</f>
        <v>0</v>
      </c>
      <c r="V955" s="439"/>
      <c r="W955" s="254"/>
    </row>
    <row r="956" spans="1:45" x14ac:dyDescent="0.2">
      <c r="B956" s="197" t="s">
        <v>870</v>
      </c>
      <c r="C956" s="307"/>
      <c r="D956" s="307"/>
      <c r="E956" s="308"/>
      <c r="F956" s="308"/>
      <c r="G956" s="308"/>
      <c r="H956" s="307"/>
      <c r="I956" s="307"/>
      <c r="J956" s="307"/>
      <c r="K956" s="307"/>
      <c r="L956" s="307"/>
      <c r="M956" s="307"/>
      <c r="N956" s="307"/>
      <c r="O956" s="307"/>
      <c r="P956" s="307"/>
      <c r="Q956" s="307"/>
      <c r="R956" s="307"/>
      <c r="S956" s="307"/>
      <c r="T956" s="307"/>
      <c r="U956" s="646"/>
      <c r="V956" s="438"/>
      <c r="W956" s="254"/>
    </row>
    <row r="957" spans="1:45" ht="15.05" thickBot="1" x14ac:dyDescent="0.35">
      <c r="B957" s="5042"/>
      <c r="C957" s="1056">
        <f>IF(B957=0,0,U950)</f>
        <v>0</v>
      </c>
      <c r="D957" s="1056">
        <f>IF(B957=0,0,VLOOKUP(B957,Precios!$B$216:$D$307,3,FALSE))</f>
        <v>0</v>
      </c>
      <c r="E957" s="5048"/>
      <c r="F957" s="1249">
        <f>IF(B957=0,0,VLOOKUP(B957,Precios!$B$216:$D$307,2,FALSE))</f>
        <v>0</v>
      </c>
      <c r="G957" s="1066">
        <f>E957*F957</f>
        <v>0</v>
      </c>
      <c r="H957" s="309"/>
      <c r="I957" s="1072">
        <f>IF($C957&gt;0,I950*$E957,0)</f>
        <v>0</v>
      </c>
      <c r="J957" s="1252"/>
      <c r="K957" s="571"/>
      <c r="L957" s="571"/>
      <c r="M957" s="571"/>
      <c r="N957" s="571"/>
      <c r="O957" s="571"/>
      <c r="P957" s="571"/>
      <c r="Q957" s="571"/>
      <c r="R957" s="571"/>
      <c r="S957" s="571"/>
      <c r="T957" s="1253"/>
      <c r="U957" s="1073">
        <f>SUM(I957:T957)</f>
        <v>0</v>
      </c>
      <c r="V957" s="232" t="str">
        <f>B957&amp;"contratada"</f>
        <v>contratada</v>
      </c>
      <c r="W957" s="254"/>
    </row>
    <row r="958" spans="1:45" x14ac:dyDescent="0.3">
      <c r="B958" s="5081"/>
      <c r="C958" s="1259">
        <f>IF(B958=0,0,U950)</f>
        <v>0</v>
      </c>
      <c r="D958" s="1260">
        <f>IF(B958=0,0,VLOOKUP(B958,Precios!$B$216:$D$307,3,FALSE))</f>
        <v>0</v>
      </c>
      <c r="E958" s="5083"/>
      <c r="F958" s="1263">
        <f>IF(B958=0,0,VLOOKUP(B958,Precios!$B$216:$D$307,2,FALSE))</f>
        <v>0</v>
      </c>
      <c r="G958" s="1262">
        <f>E958*F958</f>
        <v>0</v>
      </c>
      <c r="H958" s="309"/>
      <c r="I958" s="1076">
        <f>IF($C958&gt;0,I950*$E958,0)</f>
        <v>0</v>
      </c>
      <c r="J958" s="1254"/>
      <c r="K958" s="425"/>
      <c r="L958" s="425"/>
      <c r="M958" s="425"/>
      <c r="N958" s="425"/>
      <c r="O958" s="425"/>
      <c r="P958" s="425"/>
      <c r="Q958" s="425"/>
      <c r="R958" s="425"/>
      <c r="S958" s="425"/>
      <c r="T958" s="1255"/>
      <c r="U958" s="1078">
        <f>SUM(I958:T958)</f>
        <v>0</v>
      </c>
      <c r="V958" s="232" t="str">
        <f>B958&amp;"contratada"</f>
        <v>contratada</v>
      </c>
      <c r="W958" s="254"/>
    </row>
    <row r="959" spans="1:45" x14ac:dyDescent="0.3">
      <c r="B959" s="647" t="s">
        <v>1084</v>
      </c>
      <c r="C959" s="305"/>
      <c r="D959" s="305"/>
      <c r="E959" s="305"/>
      <c r="F959" s="305"/>
      <c r="G959" s="305"/>
      <c r="H959" s="306"/>
      <c r="I959" s="904">
        <f>SUM(I957:I958)</f>
        <v>0</v>
      </c>
      <c r="J959" s="1250"/>
      <c r="K959" s="596"/>
      <c r="L959" s="596"/>
      <c r="M959" s="596"/>
      <c r="N959" s="596"/>
      <c r="O959" s="596"/>
      <c r="P959" s="596"/>
      <c r="Q959" s="596"/>
      <c r="R959" s="596"/>
      <c r="S959" s="596"/>
      <c r="T959" s="1251"/>
      <c r="U959" s="905">
        <f>SUM(I959:T959)</f>
        <v>0</v>
      </c>
      <c r="V959" s="439"/>
      <c r="W959" s="254"/>
    </row>
    <row r="960" spans="1:45" x14ac:dyDescent="0.2">
      <c r="B960" s="197" t="s">
        <v>339</v>
      </c>
      <c r="C960" s="307"/>
      <c r="D960" s="307"/>
      <c r="E960" s="308"/>
      <c r="F960" s="651"/>
      <c r="G960" s="308"/>
      <c r="H960" s="307"/>
      <c r="I960" s="307"/>
      <c r="J960" s="307"/>
      <c r="K960" s="307"/>
      <c r="L960" s="307"/>
      <c r="M960" s="307"/>
      <c r="N960" s="307"/>
      <c r="O960" s="307"/>
      <c r="P960" s="307"/>
      <c r="Q960" s="307"/>
      <c r="R960" s="307"/>
      <c r="S960" s="307"/>
      <c r="T960" s="307"/>
      <c r="U960" s="646"/>
      <c r="V960" s="438"/>
      <c r="W960" s="254"/>
    </row>
    <row r="961" spans="1:45" ht="15.05" thickBot="1" x14ac:dyDescent="0.35">
      <c r="B961" s="5042"/>
      <c r="C961" s="1056">
        <f>IF(B961=0,0,U950)</f>
        <v>0</v>
      </c>
      <c r="D961" s="1056">
        <f>IF(B961=0,0,VLOOKUP(B961,Precios!$B$216:$D$307,3,FALSE))</f>
        <v>0</v>
      </c>
      <c r="E961" s="5048"/>
      <c r="F961" s="1063">
        <f>IF(B961=0,0,VLOOKUP(B961,Precios!$B$216:$D$307,2,FALSE))</f>
        <v>0</v>
      </c>
      <c r="G961" s="1066">
        <f>E961*F961</f>
        <v>0</v>
      </c>
      <c r="H961" s="309"/>
      <c r="I961" s="1072">
        <f>IF($C961&gt;0,I950*$E961,0)</f>
        <v>0</v>
      </c>
      <c r="J961" s="1252"/>
      <c r="K961" s="571"/>
      <c r="L961" s="571"/>
      <c r="M961" s="571"/>
      <c r="N961" s="571"/>
      <c r="O961" s="571"/>
      <c r="P961" s="571"/>
      <c r="Q961" s="571"/>
      <c r="R961" s="571"/>
      <c r="S961" s="571"/>
      <c r="T961" s="1253"/>
      <c r="U961" s="1073">
        <f>SUM(I961:T961)</f>
        <v>0</v>
      </c>
      <c r="V961" s="1516"/>
      <c r="W961" s="254"/>
    </row>
    <row r="962" spans="1:45" x14ac:dyDescent="0.3">
      <c r="B962" s="5081"/>
      <c r="C962" s="1259">
        <f>IF(B962=0,0,U950)</f>
        <v>0</v>
      </c>
      <c r="D962" s="1260">
        <f>IF(B962=0,0,VLOOKUP(B962,Precios!$B$216:$D$307,3,FALSE))</f>
        <v>0</v>
      </c>
      <c r="E962" s="5083"/>
      <c r="F962" s="1261">
        <f>IF(B962=0,0,VLOOKUP(B962,Precios!$B$216:$D$307,2,FALSE))</f>
        <v>0</v>
      </c>
      <c r="G962" s="1262">
        <f>E962*F962</f>
        <v>0</v>
      </c>
      <c r="H962" s="309"/>
      <c r="I962" s="1076">
        <f>IF($C962&gt;0,I950*$E962,0)</f>
        <v>0</v>
      </c>
      <c r="J962" s="1254"/>
      <c r="K962" s="425"/>
      <c r="L962" s="425"/>
      <c r="M962" s="425"/>
      <c r="N962" s="425"/>
      <c r="O962" s="425"/>
      <c r="P962" s="425"/>
      <c r="Q962" s="425"/>
      <c r="R962" s="425"/>
      <c r="S962" s="425"/>
      <c r="T962" s="1255"/>
      <c r="U962" s="1078">
        <f>SUM(I962:T962)</f>
        <v>0</v>
      </c>
      <c r="V962" s="1516"/>
      <c r="W962" s="254"/>
    </row>
    <row r="963" spans="1:45" x14ac:dyDescent="0.3">
      <c r="B963" s="647" t="s">
        <v>1086</v>
      </c>
      <c r="C963" s="305"/>
      <c r="D963" s="305"/>
      <c r="E963" s="305"/>
      <c r="F963" s="305"/>
      <c r="G963" s="305"/>
      <c r="H963" s="306"/>
      <c r="I963" s="904">
        <f>SUM(I961:I962)</f>
        <v>0</v>
      </c>
      <c r="J963" s="1250"/>
      <c r="K963" s="596"/>
      <c r="L963" s="596"/>
      <c r="M963" s="596"/>
      <c r="N963" s="596"/>
      <c r="O963" s="596"/>
      <c r="P963" s="596"/>
      <c r="Q963" s="596"/>
      <c r="R963" s="596"/>
      <c r="S963" s="596"/>
      <c r="T963" s="1251"/>
      <c r="U963" s="905">
        <f>SUM(I963:T963)</f>
        <v>0</v>
      </c>
      <c r="V963" s="439"/>
      <c r="W963" s="254"/>
    </row>
    <row r="964" spans="1:45" x14ac:dyDescent="0.2">
      <c r="B964" s="197" t="s">
        <v>340</v>
      </c>
      <c r="C964" s="307"/>
      <c r="D964" s="307"/>
      <c r="E964" s="308"/>
      <c r="F964" s="651"/>
      <c r="G964" s="308"/>
      <c r="H964" s="307"/>
      <c r="I964" s="307"/>
      <c r="J964" s="307"/>
      <c r="K964" s="307"/>
      <c r="L964" s="307"/>
      <c r="M964" s="307"/>
      <c r="N964" s="307"/>
      <c r="O964" s="307"/>
      <c r="P964" s="307"/>
      <c r="Q964" s="307"/>
      <c r="R964" s="307"/>
      <c r="S964" s="307"/>
      <c r="T964" s="307"/>
      <c r="U964" s="646"/>
      <c r="V964" s="438"/>
      <c r="W964" s="254"/>
    </row>
    <row r="965" spans="1:45" ht="15.05" thickBot="1" x14ac:dyDescent="0.35">
      <c r="B965" s="5042"/>
      <c r="C965" s="1056">
        <f>IF(B965=0,0,U950)</f>
        <v>0</v>
      </c>
      <c r="D965" s="1056">
        <f>IF(B965=0,0,VLOOKUP(B965,Precios!$B$216:$D$307,3,FALSE))</f>
        <v>0</v>
      </c>
      <c r="E965" s="5048"/>
      <c r="F965" s="1062">
        <f>IF(B965=0,0,VLOOKUP(B965,Precios!$B$216:$D$307,2,FALSE))</f>
        <v>0</v>
      </c>
      <c r="G965" s="1066">
        <f>E965*F965</f>
        <v>0</v>
      </c>
      <c r="H965" s="309"/>
      <c r="I965" s="1072">
        <f>IF($C965&gt;0,I950*$E965,0)</f>
        <v>0</v>
      </c>
      <c r="J965" s="1252"/>
      <c r="K965" s="571"/>
      <c r="L965" s="571"/>
      <c r="M965" s="571"/>
      <c r="N965" s="571"/>
      <c r="O965" s="571"/>
      <c r="P965" s="571"/>
      <c r="Q965" s="571"/>
      <c r="R965" s="571"/>
      <c r="S965" s="571"/>
      <c r="T965" s="1253"/>
      <c r="U965" s="1073">
        <f>SUM(I965:T965)</f>
        <v>0</v>
      </c>
      <c r="V965" s="1516"/>
      <c r="W965" s="254"/>
    </row>
    <row r="966" spans="1:45" ht="15.05" thickBot="1" x14ac:dyDescent="0.35">
      <c r="B966" s="5044"/>
      <c r="C966" s="985">
        <f>IF(B966=0,0,U950)</f>
        <v>0</v>
      </c>
      <c r="D966" s="985">
        <f>IF(B966=0,0,VLOOKUP(B966,Precios!$B$216:$D$307,3,FALSE))</f>
        <v>0</v>
      </c>
      <c r="E966" s="5049"/>
      <c r="F966" s="1059">
        <f>IF(B966=0,0,VLOOKUP(B966,Precios!$B$216:$D$307,2,FALSE))</f>
        <v>0</v>
      </c>
      <c r="G966" s="1067">
        <f>E966*F966</f>
        <v>0</v>
      </c>
      <c r="H966" s="309"/>
      <c r="I966" s="1074">
        <f>IF($C966&gt;0,I950*$E966,0)</f>
        <v>0</v>
      </c>
      <c r="J966" s="1254"/>
      <c r="K966" s="425"/>
      <c r="L966" s="425"/>
      <c r="M966" s="425"/>
      <c r="N966" s="425"/>
      <c r="O966" s="425"/>
      <c r="P966" s="425"/>
      <c r="Q966" s="425"/>
      <c r="R966" s="425"/>
      <c r="S966" s="425"/>
      <c r="T966" s="1255"/>
      <c r="U966" s="1075">
        <f>SUM(I966:T966)</f>
        <v>0</v>
      </c>
      <c r="V966" s="1516"/>
      <c r="W966" s="254"/>
    </row>
    <row r="967" spans="1:45" x14ac:dyDescent="0.3">
      <c r="B967" s="5081"/>
      <c r="C967" s="1260">
        <f>IF(B967=0,0,U950)</f>
        <v>0</v>
      </c>
      <c r="D967" s="1260">
        <f>IF(B967=0,0,VLOOKUP(B967,Precios!$B$216:$D$307,3,FALSE))</f>
        <v>0</v>
      </c>
      <c r="E967" s="5083"/>
      <c r="F967" s="1264">
        <f>IF(B967=0,0,VLOOKUP(B967,Precios!$B$216:$D$307,2,FALSE))</f>
        <v>0</v>
      </c>
      <c r="G967" s="1262">
        <f>E967*F967</f>
        <v>0</v>
      </c>
      <c r="H967" s="309"/>
      <c r="I967" s="1076">
        <f>IF($C967&gt;0,I950*$E967,0)</f>
        <v>0</v>
      </c>
      <c r="J967" s="1265"/>
      <c r="K967" s="439"/>
      <c r="L967" s="439"/>
      <c r="M967" s="439"/>
      <c r="N967" s="439"/>
      <c r="O967" s="439"/>
      <c r="P967" s="439"/>
      <c r="Q967" s="439"/>
      <c r="R967" s="439"/>
      <c r="S967" s="425"/>
      <c r="T967" s="1255"/>
      <c r="U967" s="1078">
        <f>SUM(I967:T967)</f>
        <v>0</v>
      </c>
      <c r="V967" s="1516"/>
      <c r="W967" s="254"/>
    </row>
    <row r="968" spans="1:45" ht="15.05" thickBot="1" x14ac:dyDescent="0.35">
      <c r="B968" s="647" t="s">
        <v>1087</v>
      </c>
      <c r="C968" s="305"/>
      <c r="D968" s="305"/>
      <c r="E968" s="305"/>
      <c r="F968" s="305"/>
      <c r="G968" s="305"/>
      <c r="H968" s="306"/>
      <c r="I968" s="904">
        <f>SUM(I965:I967)</f>
        <v>0</v>
      </c>
      <c r="J968" s="1266"/>
      <c r="K968" s="1267"/>
      <c r="L968" s="1267"/>
      <c r="M968" s="1267"/>
      <c r="N968" s="1267"/>
      <c r="O968" s="1267"/>
      <c r="P968" s="1267"/>
      <c r="Q968" s="1267"/>
      <c r="R968" s="1267"/>
      <c r="S968" s="1267"/>
      <c r="T968" s="1268"/>
      <c r="U968" s="1269">
        <f>SUM(I968:T968)</f>
        <v>0</v>
      </c>
      <c r="V968" s="439"/>
      <c r="W968" s="254"/>
    </row>
    <row r="969" spans="1:45" ht="15.05" thickBot="1" x14ac:dyDescent="0.25">
      <c r="B969" s="1274" t="s">
        <v>1865</v>
      </c>
      <c r="C969" s="882" t="str">
        <f>+B949</f>
        <v>Sorgo grano</v>
      </c>
      <c r="D969" s="882"/>
      <c r="E969" s="357" t="s">
        <v>876</v>
      </c>
      <c r="F969" s="1275"/>
      <c r="G969" s="1276"/>
      <c r="H969" s="357"/>
      <c r="I969" s="358">
        <f>SUMPRODUCT($F953:$F967,I953:I967)</f>
        <v>0</v>
      </c>
      <c r="J969" s="1277"/>
      <c r="K969" s="357"/>
      <c r="L969" s="357"/>
      <c r="M969" s="357"/>
      <c r="N969" s="357"/>
      <c r="O969" s="357"/>
      <c r="P969" s="357"/>
      <c r="Q969" s="357"/>
      <c r="R969" s="357"/>
      <c r="S969" s="357"/>
      <c r="T969" s="1278"/>
      <c r="U969" s="934">
        <f>SUM(I969:T969)</f>
        <v>0</v>
      </c>
      <c r="V969" s="1517"/>
      <c r="W969" s="254"/>
    </row>
    <row r="970" spans="1:45" ht="15.05" thickBot="1" x14ac:dyDescent="0.25">
      <c r="V970" s="254"/>
      <c r="W970" s="254"/>
    </row>
    <row r="971" spans="1:45" ht="15.05" thickBot="1" x14ac:dyDescent="0.25">
      <c r="A971" s="1344">
        <f>+A948</f>
        <v>69</v>
      </c>
      <c r="B971" s="142" t="s">
        <v>2344</v>
      </c>
      <c r="C971" s="334"/>
      <c r="D971" s="334"/>
      <c r="E971" s="334"/>
      <c r="F971" s="334"/>
      <c r="G971" s="334"/>
      <c r="H971" s="334"/>
      <c r="I971" s="334"/>
      <c r="J971" s="334"/>
      <c r="K971" s="334"/>
      <c r="L971" s="334"/>
      <c r="M971" s="334"/>
      <c r="N971" s="334"/>
      <c r="O971" s="334"/>
      <c r="P971" s="334"/>
      <c r="Q971" s="334"/>
      <c r="R971" s="334"/>
      <c r="S971" s="334"/>
      <c r="T971" s="334"/>
      <c r="U971" s="360"/>
      <c r="V971" s="1571"/>
      <c r="W971" s="254"/>
      <c r="Y971" s="1271"/>
      <c r="Z971" s="372"/>
      <c r="AA971" s="372"/>
      <c r="AB971" s="372"/>
      <c r="AC971" s="372"/>
      <c r="AD971" s="372"/>
      <c r="AE971" s="372"/>
      <c r="AF971" s="372"/>
      <c r="AG971" s="372"/>
      <c r="AH971" s="372"/>
      <c r="AI971" s="372"/>
      <c r="AJ971" s="372"/>
      <c r="AK971" s="372"/>
      <c r="AL971" s="372"/>
      <c r="AM971" s="372"/>
      <c r="AN971" s="372"/>
      <c r="AO971" s="372"/>
      <c r="AP971" s="372"/>
      <c r="AQ971" s="372"/>
      <c r="AR971" s="767"/>
      <c r="AS971" s="254"/>
    </row>
    <row r="972" spans="1:45" x14ac:dyDescent="0.2">
      <c r="A972" s="1344" t="s">
        <v>1761</v>
      </c>
      <c r="B972" s="948" t="str">
        <f>UsoSuelo!D351</f>
        <v>Trigo grano</v>
      </c>
      <c r="C972" s="291"/>
      <c r="D972" s="291"/>
      <c r="E972" s="291"/>
      <c r="F972" s="291"/>
      <c r="G972" s="292" t="s">
        <v>883</v>
      </c>
      <c r="H972" s="222"/>
      <c r="I972" s="293" t="str">
        <f>+$I$6</f>
        <v>Ene</v>
      </c>
      <c r="J972" s="2138"/>
      <c r="K972" s="2138"/>
      <c r="L972" s="2138"/>
      <c r="M972" s="2138"/>
      <c r="N972" s="2138"/>
      <c r="O972" s="2138"/>
      <c r="P972" s="2138"/>
      <c r="Q972" s="2138"/>
      <c r="R972" s="2138"/>
      <c r="S972" s="2138"/>
      <c r="T972" s="2139"/>
      <c r="U972" s="640" t="s">
        <v>1106</v>
      </c>
      <c r="V972" s="1572"/>
      <c r="W972" s="254"/>
    </row>
    <row r="973" spans="1:45" x14ac:dyDescent="0.2">
      <c r="A973" s="739"/>
      <c r="B973" s="899" t="s">
        <v>721</v>
      </c>
      <c r="C973" s="900"/>
      <c r="D973" s="900"/>
      <c r="E973" s="900"/>
      <c r="F973" s="900"/>
      <c r="G973" s="900"/>
      <c r="H973" s="900"/>
      <c r="I973" s="1245">
        <f>+UsoSuelo!U351</f>
        <v>0</v>
      </c>
      <c r="J973" s="1246"/>
      <c r="K973" s="1247"/>
      <c r="L973" s="1247"/>
      <c r="M973" s="1247"/>
      <c r="N973" s="1247"/>
      <c r="O973" s="1247"/>
      <c r="P973" s="1247"/>
      <c r="Q973" s="1247"/>
      <c r="R973" s="1247"/>
      <c r="S973" s="1247"/>
      <c r="T973" s="1248"/>
      <c r="U973" s="903">
        <f>+I973</f>
        <v>0</v>
      </c>
      <c r="V973" s="1514"/>
      <c r="W973" s="254"/>
    </row>
    <row r="974" spans="1:45" x14ac:dyDescent="0.2">
      <c r="B974" s="641"/>
      <c r="C974" s="621" t="s">
        <v>885</v>
      </c>
      <c r="D974" s="621"/>
      <c r="E974" s="621" t="s">
        <v>881</v>
      </c>
      <c r="F974" s="621" t="s">
        <v>23</v>
      </c>
      <c r="G974" s="622"/>
      <c r="H974" s="623"/>
      <c r="I974" s="297"/>
      <c r="J974" s="296"/>
      <c r="K974" s="296"/>
      <c r="L974" s="296"/>
      <c r="M974" s="296"/>
      <c r="N974" s="297"/>
      <c r="O974" s="297"/>
      <c r="P974" s="297"/>
      <c r="Q974" s="297"/>
      <c r="R974" s="297"/>
      <c r="S974" s="297"/>
      <c r="T974" s="297"/>
      <c r="U974" s="642" t="s">
        <v>881</v>
      </c>
      <c r="V974" s="1515"/>
      <c r="W974" s="254"/>
    </row>
    <row r="975" spans="1:45" x14ac:dyDescent="0.2">
      <c r="B975" s="199" t="s">
        <v>869</v>
      </c>
      <c r="C975" s="3" t="s">
        <v>1105</v>
      </c>
      <c r="D975" s="3" t="s">
        <v>312</v>
      </c>
      <c r="E975" s="4" t="s">
        <v>882</v>
      </c>
      <c r="F975" s="3" t="s">
        <v>314</v>
      </c>
      <c r="G975" s="4" t="s">
        <v>313</v>
      </c>
      <c r="H975" s="299"/>
      <c r="I975" s="319" t="s">
        <v>2002</v>
      </c>
      <c r="J975" s="319"/>
      <c r="K975" s="319"/>
      <c r="L975" s="319"/>
      <c r="M975" s="320"/>
      <c r="N975" s="320"/>
      <c r="O975" s="320"/>
      <c r="P975" s="320"/>
      <c r="Q975" s="320"/>
      <c r="R975" s="320"/>
      <c r="S975" s="320"/>
      <c r="T975" s="320"/>
      <c r="U975" s="643" t="s">
        <v>891</v>
      </c>
      <c r="V975" s="1572"/>
      <c r="W975" s="254"/>
    </row>
    <row r="976" spans="1:45" ht="15.05" thickBot="1" x14ac:dyDescent="0.35">
      <c r="B976" s="5042"/>
      <c r="C976" s="1056">
        <f>IF(B976=0,0,U973)</f>
        <v>0</v>
      </c>
      <c r="D976" s="1056">
        <f>IF(B976=0,0,VLOOKUP(B976,Precios!$B$216:$D$307,3,FALSE))</f>
        <v>0</v>
      </c>
      <c r="E976" s="5043"/>
      <c r="F976" s="300"/>
      <c r="G976" s="300"/>
      <c r="H976" s="309"/>
      <c r="I976" s="1072">
        <f>IF($C976&gt;0,I973*$E976,0)</f>
        <v>0</v>
      </c>
      <c r="J976" s="1252"/>
      <c r="K976" s="571"/>
      <c r="L976" s="571"/>
      <c r="M976" s="571"/>
      <c r="N976" s="571"/>
      <c r="O976" s="571"/>
      <c r="P976" s="571"/>
      <c r="Q976" s="571"/>
      <c r="R976" s="571"/>
      <c r="S976" s="571"/>
      <c r="T976" s="1253"/>
      <c r="U976" s="1073">
        <f>SUM(I976:T976)</f>
        <v>0</v>
      </c>
      <c r="V976" s="232" t="str">
        <f>B976&amp;"propia"</f>
        <v>propia</v>
      </c>
      <c r="W976" s="254"/>
    </row>
    <row r="977" spans="2:23" x14ac:dyDescent="0.3">
      <c r="B977" s="5081"/>
      <c r="C977" s="1259">
        <f>IF(B977=0,0,U973)</f>
        <v>0</v>
      </c>
      <c r="D977" s="1260">
        <f>IF(B977=0,0,VLOOKUP(B977,Precios!$B$216:$D$307,3,FALSE))</f>
        <v>0</v>
      </c>
      <c r="E977" s="5082"/>
      <c r="F977" s="300"/>
      <c r="G977" s="300"/>
      <c r="H977" s="309"/>
      <c r="I977" s="1076">
        <f>IF($C977&gt;0,I973*$E977,0)</f>
        <v>0</v>
      </c>
      <c r="J977" s="1254"/>
      <c r="K977" s="425"/>
      <c r="L977" s="425"/>
      <c r="M977" s="425"/>
      <c r="N977" s="425"/>
      <c r="O977" s="425"/>
      <c r="P977" s="425"/>
      <c r="Q977" s="425"/>
      <c r="R977" s="425"/>
      <c r="S977" s="425"/>
      <c r="T977" s="1255"/>
      <c r="U977" s="1075">
        <f>SUM(I977:T977)</f>
        <v>0</v>
      </c>
      <c r="V977" s="232" t="str">
        <f>B977&amp;"propia"</f>
        <v>propia</v>
      </c>
      <c r="W977" s="254"/>
    </row>
    <row r="978" spans="2:23" x14ac:dyDescent="0.3">
      <c r="B978" s="647" t="s">
        <v>1083</v>
      </c>
      <c r="C978" s="305"/>
      <c r="D978" s="305"/>
      <c r="E978" s="305"/>
      <c r="F978" s="305"/>
      <c r="G978" s="305"/>
      <c r="H978" s="306"/>
      <c r="I978" s="904">
        <f>SUM(I976:I977)</f>
        <v>0</v>
      </c>
      <c r="J978" s="1256"/>
      <c r="K978" s="1257"/>
      <c r="L978" s="1257"/>
      <c r="M978" s="1257"/>
      <c r="N978" s="1257"/>
      <c r="O978" s="1257"/>
      <c r="P978" s="1257"/>
      <c r="Q978" s="1257"/>
      <c r="R978" s="1257"/>
      <c r="S978" s="1257"/>
      <c r="T978" s="1258"/>
      <c r="U978" s="905">
        <f>SUM(I978:T978)</f>
        <v>0</v>
      </c>
      <c r="V978" s="439"/>
      <c r="W978" s="254"/>
    </row>
    <row r="979" spans="2:23" x14ac:dyDescent="0.2">
      <c r="B979" s="197" t="s">
        <v>870</v>
      </c>
      <c r="C979" s="307"/>
      <c r="D979" s="307"/>
      <c r="E979" s="308"/>
      <c r="F979" s="308"/>
      <c r="G979" s="308"/>
      <c r="H979" s="307"/>
      <c r="I979" s="307"/>
      <c r="J979" s="307"/>
      <c r="K979" s="307"/>
      <c r="L979" s="307"/>
      <c r="M979" s="307"/>
      <c r="N979" s="307"/>
      <c r="O979" s="307"/>
      <c r="P979" s="307"/>
      <c r="Q979" s="307"/>
      <c r="R979" s="307"/>
      <c r="S979" s="307"/>
      <c r="T979" s="307"/>
      <c r="U979" s="646"/>
      <c r="V979" s="438"/>
      <c r="W979" s="254"/>
    </row>
    <row r="980" spans="2:23" ht="15.05" thickBot="1" x14ac:dyDescent="0.35">
      <c r="B980" s="5042"/>
      <c r="C980" s="1056">
        <f>IF(B980=0,0,U973)</f>
        <v>0</v>
      </c>
      <c r="D980" s="1056">
        <f>IF(B980=0,0,VLOOKUP(B980,Precios!$B$216:$D$307,3,FALSE))</f>
        <v>0</v>
      </c>
      <c r="E980" s="5048"/>
      <c r="F980" s="1249">
        <f>IF(B980=0,0,VLOOKUP(B980,Precios!$B$216:$D$307,2,FALSE))</f>
        <v>0</v>
      </c>
      <c r="G980" s="1066">
        <f>E980*F980</f>
        <v>0</v>
      </c>
      <c r="H980" s="309"/>
      <c r="I980" s="1072">
        <f>IF($C980&gt;0,I973*$E980,0)</f>
        <v>0</v>
      </c>
      <c r="J980" s="1252"/>
      <c r="K980" s="571"/>
      <c r="L980" s="571"/>
      <c r="M980" s="571"/>
      <c r="N980" s="571"/>
      <c r="O980" s="571"/>
      <c r="P980" s="571"/>
      <c r="Q980" s="571"/>
      <c r="R980" s="571"/>
      <c r="S980" s="571"/>
      <c r="T980" s="1253"/>
      <c r="U980" s="1073">
        <f>SUM(I980:T980)</f>
        <v>0</v>
      </c>
      <c r="V980" s="232" t="str">
        <f>B980&amp;"contratada"</f>
        <v>contratada</v>
      </c>
      <c r="W980" s="254"/>
    </row>
    <row r="981" spans="2:23" x14ac:dyDescent="0.3">
      <c r="B981" s="5081"/>
      <c r="C981" s="1259">
        <f>IF(B981=0,0,U973)</f>
        <v>0</v>
      </c>
      <c r="D981" s="1260">
        <f>IF(B981=0,0,VLOOKUP(B981,Precios!$B$216:$D$307,3,FALSE))</f>
        <v>0</v>
      </c>
      <c r="E981" s="5083"/>
      <c r="F981" s="1263">
        <f>IF(B981=0,0,VLOOKUP(B981,Precios!$B$216:$D$307,2,FALSE))</f>
        <v>0</v>
      </c>
      <c r="G981" s="1262">
        <f>E981*F981</f>
        <v>0</v>
      </c>
      <c r="H981" s="309"/>
      <c r="I981" s="1076">
        <f>IF($C981&gt;0,I973*$E981,0)</f>
        <v>0</v>
      </c>
      <c r="J981" s="1254"/>
      <c r="K981" s="425"/>
      <c r="L981" s="425"/>
      <c r="M981" s="425"/>
      <c r="N981" s="425"/>
      <c r="O981" s="425"/>
      <c r="P981" s="425"/>
      <c r="Q981" s="425"/>
      <c r="R981" s="425"/>
      <c r="S981" s="425"/>
      <c r="T981" s="1255"/>
      <c r="U981" s="1078">
        <f>SUM(I981:T981)</f>
        <v>0</v>
      </c>
      <c r="V981" s="232" t="str">
        <f>B981&amp;"contratada"</f>
        <v>contratada</v>
      </c>
      <c r="W981" s="254"/>
    </row>
    <row r="982" spans="2:23" x14ac:dyDescent="0.3">
      <c r="B982" s="647" t="s">
        <v>1084</v>
      </c>
      <c r="C982" s="305"/>
      <c r="D982" s="305"/>
      <c r="E982" s="305"/>
      <c r="F982" s="305"/>
      <c r="G982" s="305"/>
      <c r="H982" s="306"/>
      <c r="I982" s="904">
        <f>SUM(I980:I981)</f>
        <v>0</v>
      </c>
      <c r="J982" s="1250"/>
      <c r="K982" s="596"/>
      <c r="L982" s="596"/>
      <c r="M982" s="596"/>
      <c r="N982" s="596"/>
      <c r="O982" s="596"/>
      <c r="P982" s="596"/>
      <c r="Q982" s="596"/>
      <c r="R982" s="596"/>
      <c r="S982" s="596"/>
      <c r="T982" s="1251"/>
      <c r="U982" s="905">
        <f>SUM(I982:T982)</f>
        <v>0</v>
      </c>
      <c r="V982" s="439"/>
      <c r="W982" s="254"/>
    </row>
    <row r="983" spans="2:23" x14ac:dyDescent="0.2">
      <c r="B983" s="197" t="s">
        <v>339</v>
      </c>
      <c r="C983" s="307"/>
      <c r="D983" s="307"/>
      <c r="E983" s="308"/>
      <c r="F983" s="651"/>
      <c r="G983" s="308"/>
      <c r="H983" s="307"/>
      <c r="I983" s="307"/>
      <c r="J983" s="307"/>
      <c r="K983" s="307"/>
      <c r="L983" s="307"/>
      <c r="M983" s="307"/>
      <c r="N983" s="307"/>
      <c r="O983" s="307"/>
      <c r="P983" s="307"/>
      <c r="Q983" s="307"/>
      <c r="R983" s="307"/>
      <c r="S983" s="307"/>
      <c r="T983" s="307"/>
      <c r="U983" s="646"/>
      <c r="V983" s="438"/>
      <c r="W983" s="254"/>
    </row>
    <row r="984" spans="2:23" ht="15.05" thickBot="1" x14ac:dyDescent="0.35">
      <c r="B984" s="5042"/>
      <c r="C984" s="1056">
        <f>IF(B984=0,0,U973)</f>
        <v>0</v>
      </c>
      <c r="D984" s="1056">
        <f>IF(B984=0,0,VLOOKUP(B984,Precios!$B$216:$D$307,3,FALSE))</f>
        <v>0</v>
      </c>
      <c r="E984" s="5048"/>
      <c r="F984" s="1063">
        <f>IF(B984=0,0,VLOOKUP(B984,Precios!$B$216:$D$307,2,FALSE))</f>
        <v>0</v>
      </c>
      <c r="G984" s="1066">
        <f>E984*F984</f>
        <v>0</v>
      </c>
      <c r="H984" s="309"/>
      <c r="I984" s="1072">
        <f>IF($C984&gt;0,I973*$E984,0)</f>
        <v>0</v>
      </c>
      <c r="J984" s="1252"/>
      <c r="K984" s="571"/>
      <c r="L984" s="571"/>
      <c r="M984" s="571"/>
      <c r="N984" s="571"/>
      <c r="O984" s="571"/>
      <c r="P984" s="571"/>
      <c r="Q984" s="571"/>
      <c r="R984" s="571"/>
      <c r="S984" s="571"/>
      <c r="T984" s="1253"/>
      <c r="U984" s="1073">
        <f>SUM(I984:T984)</f>
        <v>0</v>
      </c>
      <c r="V984" s="1516"/>
      <c r="W984" s="254"/>
    </row>
    <row r="985" spans="2:23" x14ac:dyDescent="0.3">
      <c r="B985" s="5081"/>
      <c r="C985" s="1259">
        <f>IF(B985=0,0,U973)</f>
        <v>0</v>
      </c>
      <c r="D985" s="1260">
        <f>IF(B985=0,0,VLOOKUP(B985,Precios!$B$216:$D$307,3,FALSE))</f>
        <v>0</v>
      </c>
      <c r="E985" s="5083"/>
      <c r="F985" s="1261">
        <f>IF(B985=0,0,VLOOKUP(B985,Precios!$B$216:$D$307,2,FALSE))</f>
        <v>0</v>
      </c>
      <c r="G985" s="1262">
        <f>E985*F985</f>
        <v>0</v>
      </c>
      <c r="H985" s="309"/>
      <c r="I985" s="1076">
        <f>IF($C985&gt;0,I973*$E985,0)</f>
        <v>0</v>
      </c>
      <c r="J985" s="1254"/>
      <c r="K985" s="425"/>
      <c r="L985" s="425"/>
      <c r="M985" s="425"/>
      <c r="N985" s="425"/>
      <c r="O985" s="425"/>
      <c r="P985" s="425"/>
      <c r="Q985" s="425"/>
      <c r="R985" s="425"/>
      <c r="S985" s="425"/>
      <c r="T985" s="1255"/>
      <c r="U985" s="1078">
        <f>SUM(I985:T985)</f>
        <v>0</v>
      </c>
      <c r="V985" s="1516"/>
      <c r="W985" s="254"/>
    </row>
    <row r="986" spans="2:23" x14ac:dyDescent="0.3">
      <c r="B986" s="647" t="s">
        <v>1086</v>
      </c>
      <c r="C986" s="305"/>
      <c r="D986" s="305"/>
      <c r="E986" s="305"/>
      <c r="F986" s="305"/>
      <c r="G986" s="305"/>
      <c r="H986" s="306"/>
      <c r="I986" s="904">
        <f>SUM(I984:I985)</f>
        <v>0</v>
      </c>
      <c r="J986" s="1250"/>
      <c r="K986" s="596"/>
      <c r="L986" s="596"/>
      <c r="M986" s="596"/>
      <c r="N986" s="596"/>
      <c r="O986" s="596"/>
      <c r="P986" s="596"/>
      <c r="Q986" s="596"/>
      <c r="R986" s="596"/>
      <c r="S986" s="596"/>
      <c r="T986" s="1251"/>
      <c r="U986" s="905">
        <f>SUM(I986:T986)</f>
        <v>0</v>
      </c>
      <c r="V986" s="439"/>
      <c r="W986" s="254"/>
    </row>
    <row r="987" spans="2:23" x14ac:dyDescent="0.2">
      <c r="B987" s="197" t="s">
        <v>340</v>
      </c>
      <c r="C987" s="307"/>
      <c r="D987" s="307"/>
      <c r="E987" s="308"/>
      <c r="F987" s="651"/>
      <c r="G987" s="308"/>
      <c r="H987" s="307"/>
      <c r="I987" s="307"/>
      <c r="J987" s="307"/>
      <c r="K987" s="307"/>
      <c r="L987" s="307"/>
      <c r="M987" s="307"/>
      <c r="N987" s="307"/>
      <c r="O987" s="307"/>
      <c r="P987" s="307"/>
      <c r="Q987" s="307"/>
      <c r="R987" s="307"/>
      <c r="S987" s="307"/>
      <c r="T987" s="307"/>
      <c r="U987" s="646"/>
      <c r="V987" s="438"/>
      <c r="W987" s="254"/>
    </row>
    <row r="988" spans="2:23" ht="15.05" thickBot="1" x14ac:dyDescent="0.35">
      <c r="B988" s="5042"/>
      <c r="C988" s="1056">
        <f>IF(B988=0,0,U973)</f>
        <v>0</v>
      </c>
      <c r="D988" s="1056">
        <f>IF(B988=0,0,VLOOKUP(B988,Precios!$B$216:$D$307,3,FALSE))</f>
        <v>0</v>
      </c>
      <c r="E988" s="5048"/>
      <c r="F988" s="1062">
        <f>IF(B988=0,0,VLOOKUP(B988,Precios!$B$216:$D$307,2,FALSE))</f>
        <v>0</v>
      </c>
      <c r="G988" s="1066">
        <f>E988*F988</f>
        <v>0</v>
      </c>
      <c r="H988" s="309"/>
      <c r="I988" s="1072">
        <f>IF($C988&gt;0,I973*$E988,0)</f>
        <v>0</v>
      </c>
      <c r="J988" s="1252"/>
      <c r="K988" s="571"/>
      <c r="L988" s="571"/>
      <c r="M988" s="571"/>
      <c r="N988" s="571"/>
      <c r="O988" s="571"/>
      <c r="P988" s="571"/>
      <c r="Q988" s="571"/>
      <c r="R988" s="571"/>
      <c r="S988" s="571"/>
      <c r="T988" s="1253"/>
      <c r="U988" s="1073">
        <f>SUM(I988:T988)</f>
        <v>0</v>
      </c>
      <c r="V988" s="1516"/>
      <c r="W988" s="254"/>
    </row>
    <row r="989" spans="2:23" ht="15.05" thickBot="1" x14ac:dyDescent="0.35">
      <c r="B989" s="5044"/>
      <c r="C989" s="985">
        <f>IF(B989=0,0,U973)</f>
        <v>0</v>
      </c>
      <c r="D989" s="985">
        <f>IF(B989=0,0,VLOOKUP(B989,Precios!$B$216:$D$307,3,FALSE))</f>
        <v>0</v>
      </c>
      <c r="E989" s="5049"/>
      <c r="F989" s="1059">
        <f>IF(B989=0,0,VLOOKUP(B989,Precios!$B$216:$D$307,2,FALSE))</f>
        <v>0</v>
      </c>
      <c r="G989" s="1067">
        <f>E989*F989</f>
        <v>0</v>
      </c>
      <c r="H989" s="309"/>
      <c r="I989" s="1074">
        <f>IF($C989&gt;0,I973*$E989,0)</f>
        <v>0</v>
      </c>
      <c r="J989" s="1254"/>
      <c r="K989" s="425"/>
      <c r="L989" s="425"/>
      <c r="M989" s="425"/>
      <c r="N989" s="425"/>
      <c r="O989" s="425"/>
      <c r="P989" s="425"/>
      <c r="Q989" s="425"/>
      <c r="R989" s="425"/>
      <c r="S989" s="425"/>
      <c r="T989" s="1255"/>
      <c r="U989" s="1075">
        <f>SUM(I989:T989)</f>
        <v>0</v>
      </c>
      <c r="V989" s="1516"/>
      <c r="W989" s="254"/>
    </row>
    <row r="990" spans="2:23" x14ac:dyDescent="0.3">
      <c r="B990" s="5081"/>
      <c r="C990" s="1260">
        <f>IF(B990=0,0,U973)</f>
        <v>0</v>
      </c>
      <c r="D990" s="1260">
        <f>IF(B990=0,0,VLOOKUP(B990,Precios!$B$216:$D$307,3,FALSE))</f>
        <v>0</v>
      </c>
      <c r="E990" s="5083"/>
      <c r="F990" s="1264">
        <f>IF(B990=0,0,VLOOKUP(B990,Precios!$B$216:$D$307,2,FALSE))</f>
        <v>0</v>
      </c>
      <c r="G990" s="1262">
        <f>E990*F990</f>
        <v>0</v>
      </c>
      <c r="H990" s="309"/>
      <c r="I990" s="1076">
        <f>IF($C990&gt;0,I973*$E990,0)</f>
        <v>0</v>
      </c>
      <c r="J990" s="1265"/>
      <c r="K990" s="439"/>
      <c r="L990" s="439"/>
      <c r="M990" s="439"/>
      <c r="N990" s="439"/>
      <c r="O990" s="439"/>
      <c r="P990" s="439"/>
      <c r="Q990" s="439"/>
      <c r="R990" s="439"/>
      <c r="S990" s="425"/>
      <c r="T990" s="1255"/>
      <c r="U990" s="1078">
        <f>SUM(I990:T990)</f>
        <v>0</v>
      </c>
      <c r="V990" s="1516"/>
      <c r="W990" s="254"/>
    </row>
    <row r="991" spans="2:23" ht="15.05" thickBot="1" x14ac:dyDescent="0.35">
      <c r="B991" s="647" t="s">
        <v>1087</v>
      </c>
      <c r="C991" s="305"/>
      <c r="D991" s="305"/>
      <c r="E991" s="305"/>
      <c r="F991" s="305"/>
      <c r="G991" s="305"/>
      <c r="H991" s="306"/>
      <c r="I991" s="904">
        <f>SUM(I988:I990)</f>
        <v>0</v>
      </c>
      <c r="J991" s="1266"/>
      <c r="K991" s="1267"/>
      <c r="L991" s="1267"/>
      <c r="M991" s="1267"/>
      <c r="N991" s="1267"/>
      <c r="O991" s="1267"/>
      <c r="P991" s="1267"/>
      <c r="Q991" s="1267"/>
      <c r="R991" s="1267"/>
      <c r="S991" s="1267"/>
      <c r="T991" s="1268"/>
      <c r="U991" s="1269">
        <f>SUM(I991:T991)</f>
        <v>0</v>
      </c>
      <c r="V991" s="439"/>
      <c r="W991" s="254"/>
    </row>
    <row r="992" spans="2:23" ht="15.05" thickBot="1" x14ac:dyDescent="0.25">
      <c r="B992" s="1274" t="s">
        <v>1865</v>
      </c>
      <c r="C992" s="882" t="str">
        <f>+B972</f>
        <v>Trigo grano</v>
      </c>
      <c r="D992" s="882"/>
      <c r="E992" s="357" t="s">
        <v>876</v>
      </c>
      <c r="F992" s="1275"/>
      <c r="G992" s="1276"/>
      <c r="H992" s="357"/>
      <c r="I992" s="358">
        <f>SUMPRODUCT($F976:$F990,I976:I990)</f>
        <v>0</v>
      </c>
      <c r="J992" s="1277"/>
      <c r="K992" s="357"/>
      <c r="L992" s="357"/>
      <c r="M992" s="357"/>
      <c r="N992" s="357"/>
      <c r="O992" s="357"/>
      <c r="P992" s="357"/>
      <c r="Q992" s="357"/>
      <c r="R992" s="357"/>
      <c r="S992" s="357"/>
      <c r="T992" s="1278"/>
      <c r="U992" s="934">
        <f>SUM(I992:T992)</f>
        <v>0</v>
      </c>
      <c r="V992" s="1517"/>
      <c r="W992" s="254"/>
    </row>
    <row r="993" spans="1:45" ht="15.05" thickBot="1" x14ac:dyDescent="0.25">
      <c r="V993" s="254"/>
      <c r="W993" s="254"/>
    </row>
    <row r="994" spans="1:45" ht="15.05" thickBot="1" x14ac:dyDescent="0.25">
      <c r="A994" s="1344">
        <f>+A971</f>
        <v>69</v>
      </c>
      <c r="B994" s="142" t="s">
        <v>2344</v>
      </c>
      <c r="C994" s="334"/>
      <c r="D994" s="334"/>
      <c r="E994" s="334"/>
      <c r="F994" s="334"/>
      <c r="G994" s="334"/>
      <c r="H994" s="334"/>
      <c r="I994" s="334"/>
      <c r="J994" s="334"/>
      <c r="K994" s="334"/>
      <c r="L994" s="334"/>
      <c r="M994" s="334"/>
      <c r="N994" s="334"/>
      <c r="O994" s="334"/>
      <c r="P994" s="334"/>
      <c r="Q994" s="334"/>
      <c r="R994" s="334"/>
      <c r="S994" s="334"/>
      <c r="T994" s="334"/>
      <c r="U994" s="360"/>
      <c r="V994" s="1571"/>
      <c r="W994" s="254"/>
      <c r="Y994" s="1271"/>
      <c r="Z994" s="372"/>
      <c r="AA994" s="372"/>
      <c r="AB994" s="372"/>
      <c r="AC994" s="372"/>
      <c r="AD994" s="372"/>
      <c r="AE994" s="372"/>
      <c r="AF994" s="372"/>
      <c r="AG994" s="372"/>
      <c r="AH994" s="372"/>
      <c r="AI994" s="372"/>
      <c r="AJ994" s="372"/>
      <c r="AK994" s="372"/>
      <c r="AL994" s="372"/>
      <c r="AM994" s="372"/>
      <c r="AN994" s="372"/>
      <c r="AO994" s="372"/>
      <c r="AP994" s="372"/>
      <c r="AQ994" s="372"/>
      <c r="AR994" s="767"/>
      <c r="AS994" s="254"/>
    </row>
    <row r="995" spans="1:45" x14ac:dyDescent="0.2">
      <c r="A995" s="1344" t="s">
        <v>1866</v>
      </c>
      <c r="B995" s="948" t="str">
        <f>UsoSuelo!D352</f>
        <v>Cebada grano</v>
      </c>
      <c r="C995" s="291"/>
      <c r="D995" s="291"/>
      <c r="E995" s="291"/>
      <c r="F995" s="291"/>
      <c r="G995" s="292" t="s">
        <v>883</v>
      </c>
      <c r="H995" s="222"/>
      <c r="I995" s="293" t="str">
        <f>+$I$6</f>
        <v>Ene</v>
      </c>
      <c r="J995" s="2138"/>
      <c r="K995" s="2138"/>
      <c r="L995" s="2138"/>
      <c r="M995" s="2138"/>
      <c r="N995" s="2138"/>
      <c r="O995" s="2138"/>
      <c r="P995" s="2138"/>
      <c r="Q995" s="2138"/>
      <c r="R995" s="2138"/>
      <c r="S995" s="2138"/>
      <c r="T995" s="2139"/>
      <c r="U995" s="640" t="s">
        <v>1106</v>
      </c>
      <c r="V995" s="1572"/>
      <c r="W995" s="254"/>
    </row>
    <row r="996" spans="1:45" x14ac:dyDescent="0.2">
      <c r="A996" s="739"/>
      <c r="B996" s="899" t="s">
        <v>721</v>
      </c>
      <c r="C996" s="900"/>
      <c r="D996" s="900"/>
      <c r="E996" s="900"/>
      <c r="F996" s="900"/>
      <c r="G996" s="900"/>
      <c r="H996" s="900"/>
      <c r="I996" s="1245">
        <f>+UsoSuelo!U352</f>
        <v>0</v>
      </c>
      <c r="J996" s="1246"/>
      <c r="K996" s="1247"/>
      <c r="L996" s="1247"/>
      <c r="M996" s="1247"/>
      <c r="N996" s="1247"/>
      <c r="O996" s="1247"/>
      <c r="P996" s="1247"/>
      <c r="Q996" s="1247"/>
      <c r="R996" s="1247"/>
      <c r="S996" s="1247"/>
      <c r="T996" s="1248"/>
      <c r="U996" s="903">
        <f>+I996</f>
        <v>0</v>
      </c>
      <c r="V996" s="1514"/>
      <c r="W996" s="254"/>
    </row>
    <row r="997" spans="1:45" x14ac:dyDescent="0.2">
      <c r="B997" s="641"/>
      <c r="C997" s="621" t="s">
        <v>885</v>
      </c>
      <c r="D997" s="621"/>
      <c r="E997" s="621" t="s">
        <v>881</v>
      </c>
      <c r="F997" s="621" t="s">
        <v>23</v>
      </c>
      <c r="G997" s="622"/>
      <c r="H997" s="623"/>
      <c r="I997" s="297"/>
      <c r="J997" s="296"/>
      <c r="K997" s="296"/>
      <c r="L997" s="296"/>
      <c r="M997" s="296"/>
      <c r="N997" s="297"/>
      <c r="O997" s="297"/>
      <c r="P997" s="297"/>
      <c r="Q997" s="297"/>
      <c r="R997" s="297"/>
      <c r="S997" s="297"/>
      <c r="T997" s="297"/>
      <c r="U997" s="642" t="s">
        <v>881</v>
      </c>
      <c r="V997" s="1515"/>
      <c r="W997" s="254"/>
    </row>
    <row r="998" spans="1:45" x14ac:dyDescent="0.2">
      <c r="B998" s="199" t="s">
        <v>869</v>
      </c>
      <c r="C998" s="3" t="s">
        <v>1105</v>
      </c>
      <c r="D998" s="3" t="s">
        <v>312</v>
      </c>
      <c r="E998" s="4" t="s">
        <v>882</v>
      </c>
      <c r="F998" s="3" t="s">
        <v>314</v>
      </c>
      <c r="G998" s="4" t="s">
        <v>313</v>
      </c>
      <c r="H998" s="299"/>
      <c r="I998" s="319" t="s">
        <v>2002</v>
      </c>
      <c r="J998" s="319"/>
      <c r="K998" s="319"/>
      <c r="L998" s="319"/>
      <c r="M998" s="320"/>
      <c r="N998" s="320"/>
      <c r="O998" s="320"/>
      <c r="P998" s="320"/>
      <c r="Q998" s="320"/>
      <c r="R998" s="320"/>
      <c r="S998" s="320"/>
      <c r="T998" s="320"/>
      <c r="U998" s="643" t="s">
        <v>891</v>
      </c>
      <c r="V998" s="1572"/>
      <c r="W998" s="254"/>
    </row>
    <row r="999" spans="1:45" ht="15.05" thickBot="1" x14ac:dyDescent="0.35">
      <c r="B999" s="5042"/>
      <c r="C999" s="1056">
        <f>IF(B999=0,0,U996)</f>
        <v>0</v>
      </c>
      <c r="D999" s="1056">
        <f>IF(B999=0,0,VLOOKUP(B999,Precios!$B$216:$D$307,3,FALSE))</f>
        <v>0</v>
      </c>
      <c r="E999" s="5043"/>
      <c r="F999" s="300"/>
      <c r="G999" s="300"/>
      <c r="H999" s="309"/>
      <c r="I999" s="1072">
        <f>IF($C999&gt;0,I996*$E999,0)</f>
        <v>0</v>
      </c>
      <c r="J999" s="1252"/>
      <c r="K999" s="571"/>
      <c r="L999" s="571"/>
      <c r="M999" s="571"/>
      <c r="N999" s="571"/>
      <c r="O999" s="571"/>
      <c r="P999" s="571"/>
      <c r="Q999" s="571"/>
      <c r="R999" s="571"/>
      <c r="S999" s="571"/>
      <c r="T999" s="1253"/>
      <c r="U999" s="1073">
        <f>SUM(I999:T999)</f>
        <v>0</v>
      </c>
      <c r="V999" s="232" t="str">
        <f>B999&amp;"propia"</f>
        <v>propia</v>
      </c>
      <c r="W999" s="254"/>
    </row>
    <row r="1000" spans="1:45" x14ac:dyDescent="0.3">
      <c r="B1000" s="5081"/>
      <c r="C1000" s="1259">
        <f>IF(B1000=0,0,U996)</f>
        <v>0</v>
      </c>
      <c r="D1000" s="1260">
        <f>IF(B1000=0,0,VLOOKUP(B1000,Precios!$B$216:$D$307,3,FALSE))</f>
        <v>0</v>
      </c>
      <c r="E1000" s="5082"/>
      <c r="F1000" s="300"/>
      <c r="G1000" s="300"/>
      <c r="H1000" s="309"/>
      <c r="I1000" s="1076">
        <f>IF($C1000&gt;0,I996*$E1000,0)</f>
        <v>0</v>
      </c>
      <c r="J1000" s="1254"/>
      <c r="K1000" s="425"/>
      <c r="L1000" s="425"/>
      <c r="M1000" s="425"/>
      <c r="N1000" s="425"/>
      <c r="O1000" s="425"/>
      <c r="P1000" s="425"/>
      <c r="Q1000" s="425"/>
      <c r="R1000" s="425"/>
      <c r="S1000" s="425"/>
      <c r="T1000" s="1255"/>
      <c r="U1000" s="1075">
        <f>SUM(I1000:T1000)</f>
        <v>0</v>
      </c>
      <c r="V1000" s="232" t="str">
        <f>B1000&amp;"propia"</f>
        <v>propia</v>
      </c>
      <c r="W1000" s="254"/>
    </row>
    <row r="1001" spans="1:45" x14ac:dyDescent="0.3">
      <c r="B1001" s="647" t="s">
        <v>1083</v>
      </c>
      <c r="C1001" s="305"/>
      <c r="D1001" s="305"/>
      <c r="E1001" s="305"/>
      <c r="F1001" s="305"/>
      <c r="G1001" s="305"/>
      <c r="H1001" s="306"/>
      <c r="I1001" s="904">
        <f>SUM(I999:I1000)</f>
        <v>0</v>
      </c>
      <c r="J1001" s="1256"/>
      <c r="K1001" s="1257"/>
      <c r="L1001" s="1257"/>
      <c r="M1001" s="1257"/>
      <c r="N1001" s="1257"/>
      <c r="O1001" s="1257"/>
      <c r="P1001" s="1257"/>
      <c r="Q1001" s="1257"/>
      <c r="R1001" s="1257"/>
      <c r="S1001" s="1257"/>
      <c r="T1001" s="1258"/>
      <c r="U1001" s="905">
        <f>SUM(I1001:T1001)</f>
        <v>0</v>
      </c>
      <c r="V1001" s="439"/>
      <c r="W1001" s="254"/>
    </row>
    <row r="1002" spans="1:45" x14ac:dyDescent="0.2">
      <c r="B1002" s="197" t="s">
        <v>870</v>
      </c>
      <c r="C1002" s="307"/>
      <c r="D1002" s="307"/>
      <c r="E1002" s="308"/>
      <c r="F1002" s="308"/>
      <c r="G1002" s="308"/>
      <c r="H1002" s="307"/>
      <c r="I1002" s="307"/>
      <c r="J1002" s="307"/>
      <c r="K1002" s="307"/>
      <c r="L1002" s="307"/>
      <c r="M1002" s="307"/>
      <c r="N1002" s="307"/>
      <c r="O1002" s="307"/>
      <c r="P1002" s="307"/>
      <c r="Q1002" s="307"/>
      <c r="R1002" s="307"/>
      <c r="S1002" s="307"/>
      <c r="T1002" s="307"/>
      <c r="U1002" s="646"/>
      <c r="V1002" s="438"/>
      <c r="W1002" s="254"/>
    </row>
    <row r="1003" spans="1:45" ht="15.05" thickBot="1" x14ac:dyDescent="0.35">
      <c r="B1003" s="5042"/>
      <c r="C1003" s="1056">
        <f>IF(B1003=0,0,U996)</f>
        <v>0</v>
      </c>
      <c r="D1003" s="1056">
        <f>IF(B1003=0,0,VLOOKUP(B1003,Precios!$B$216:$D$307,3,FALSE))</f>
        <v>0</v>
      </c>
      <c r="E1003" s="5048"/>
      <c r="F1003" s="1249">
        <f>IF(B1003=0,0,VLOOKUP(B1003,Precios!$B$216:$D$307,2,FALSE))</f>
        <v>0</v>
      </c>
      <c r="G1003" s="1066">
        <f>E1003*F1003</f>
        <v>0</v>
      </c>
      <c r="H1003" s="309"/>
      <c r="I1003" s="1072">
        <f>IF($C1003&gt;0,I996*$E1003,0)</f>
        <v>0</v>
      </c>
      <c r="J1003" s="1252"/>
      <c r="K1003" s="571"/>
      <c r="L1003" s="571"/>
      <c r="M1003" s="571"/>
      <c r="N1003" s="571"/>
      <c r="O1003" s="571"/>
      <c r="P1003" s="571"/>
      <c r="Q1003" s="571"/>
      <c r="R1003" s="571"/>
      <c r="S1003" s="571"/>
      <c r="T1003" s="1253"/>
      <c r="U1003" s="1073">
        <f>SUM(I1003:T1003)</f>
        <v>0</v>
      </c>
      <c r="V1003" s="232" t="str">
        <f>B1003&amp;"contratada"</f>
        <v>contratada</v>
      </c>
      <c r="W1003" s="254"/>
    </row>
    <row r="1004" spans="1:45" x14ac:dyDescent="0.3">
      <c r="B1004" s="5081"/>
      <c r="C1004" s="1259">
        <f>IF(B1004=0,0,U996)</f>
        <v>0</v>
      </c>
      <c r="D1004" s="1260">
        <f>IF(B1004=0,0,VLOOKUP(B1004,Precios!$B$216:$D$307,3,FALSE))</f>
        <v>0</v>
      </c>
      <c r="E1004" s="5083"/>
      <c r="F1004" s="1263">
        <f>IF(B1004=0,0,VLOOKUP(B1004,Precios!$B$216:$D$307,2,FALSE))</f>
        <v>0</v>
      </c>
      <c r="G1004" s="1262">
        <f>E1004*F1004</f>
        <v>0</v>
      </c>
      <c r="H1004" s="309"/>
      <c r="I1004" s="1076">
        <f>IF($C1004&gt;0,I996*$E1004,0)</f>
        <v>0</v>
      </c>
      <c r="J1004" s="1254"/>
      <c r="K1004" s="425"/>
      <c r="L1004" s="425"/>
      <c r="M1004" s="425"/>
      <c r="N1004" s="425"/>
      <c r="O1004" s="425"/>
      <c r="P1004" s="425"/>
      <c r="Q1004" s="425"/>
      <c r="R1004" s="425"/>
      <c r="S1004" s="425"/>
      <c r="T1004" s="1255"/>
      <c r="U1004" s="1078">
        <f>SUM(I1004:T1004)</f>
        <v>0</v>
      </c>
      <c r="V1004" s="232" t="str">
        <f>B1004&amp;"contratada"</f>
        <v>contratada</v>
      </c>
      <c r="W1004" s="254"/>
    </row>
    <row r="1005" spans="1:45" x14ac:dyDescent="0.3">
      <c r="B1005" s="647" t="s">
        <v>1084</v>
      </c>
      <c r="C1005" s="305"/>
      <c r="D1005" s="305"/>
      <c r="E1005" s="305"/>
      <c r="F1005" s="305"/>
      <c r="G1005" s="305"/>
      <c r="H1005" s="306"/>
      <c r="I1005" s="904">
        <f>SUM(I1003:I1004)</f>
        <v>0</v>
      </c>
      <c r="J1005" s="1250"/>
      <c r="K1005" s="596"/>
      <c r="L1005" s="596"/>
      <c r="M1005" s="596"/>
      <c r="N1005" s="596"/>
      <c r="O1005" s="596"/>
      <c r="P1005" s="596"/>
      <c r="Q1005" s="596"/>
      <c r="R1005" s="596"/>
      <c r="S1005" s="596"/>
      <c r="T1005" s="1251"/>
      <c r="U1005" s="905">
        <f>SUM(I1005:T1005)</f>
        <v>0</v>
      </c>
      <c r="V1005" s="439"/>
      <c r="W1005" s="254"/>
    </row>
    <row r="1006" spans="1:45" x14ac:dyDescent="0.2">
      <c r="B1006" s="197" t="s">
        <v>339</v>
      </c>
      <c r="C1006" s="307"/>
      <c r="D1006" s="307"/>
      <c r="E1006" s="308"/>
      <c r="F1006" s="651"/>
      <c r="G1006" s="308"/>
      <c r="H1006" s="307"/>
      <c r="I1006" s="307"/>
      <c r="J1006" s="307"/>
      <c r="K1006" s="307"/>
      <c r="L1006" s="307"/>
      <c r="M1006" s="307"/>
      <c r="N1006" s="307"/>
      <c r="O1006" s="307"/>
      <c r="P1006" s="307"/>
      <c r="Q1006" s="307"/>
      <c r="R1006" s="307"/>
      <c r="S1006" s="307"/>
      <c r="T1006" s="307"/>
      <c r="U1006" s="646"/>
      <c r="V1006" s="438"/>
      <c r="W1006" s="254"/>
    </row>
    <row r="1007" spans="1:45" ht="15.05" thickBot="1" x14ac:dyDescent="0.35">
      <c r="B1007" s="5042"/>
      <c r="C1007" s="1056">
        <f>IF(B1007=0,0,U996)</f>
        <v>0</v>
      </c>
      <c r="D1007" s="1056">
        <f>IF(B1007=0,0,VLOOKUP(B1007,Precios!$B$216:$D$307,3,FALSE))</f>
        <v>0</v>
      </c>
      <c r="E1007" s="5048"/>
      <c r="F1007" s="1063">
        <f>IF(B1007=0,0,VLOOKUP(B1007,Precios!$B$216:$D$307,2,FALSE))</f>
        <v>0</v>
      </c>
      <c r="G1007" s="1066">
        <f>E1007*F1007</f>
        <v>0</v>
      </c>
      <c r="H1007" s="309"/>
      <c r="I1007" s="1072">
        <f>IF($C1007&gt;0,I996*$E1007,0)</f>
        <v>0</v>
      </c>
      <c r="J1007" s="1252"/>
      <c r="K1007" s="571"/>
      <c r="L1007" s="571"/>
      <c r="M1007" s="571"/>
      <c r="N1007" s="571"/>
      <c r="O1007" s="571"/>
      <c r="P1007" s="571"/>
      <c r="Q1007" s="571"/>
      <c r="R1007" s="571"/>
      <c r="S1007" s="571"/>
      <c r="T1007" s="1253"/>
      <c r="U1007" s="1073">
        <f>SUM(I1007:T1007)</f>
        <v>0</v>
      </c>
      <c r="V1007" s="1516"/>
      <c r="W1007" s="254"/>
    </row>
    <row r="1008" spans="1:45" x14ac:dyDescent="0.3">
      <c r="B1008" s="5081"/>
      <c r="C1008" s="1259">
        <f>IF(B1008=0,0,U996)</f>
        <v>0</v>
      </c>
      <c r="D1008" s="1260">
        <f>IF(B1008=0,0,VLOOKUP(B1008,Precios!$B$216:$D$307,3,FALSE))</f>
        <v>0</v>
      </c>
      <c r="E1008" s="5083"/>
      <c r="F1008" s="1261">
        <f>IF(B1008=0,0,VLOOKUP(B1008,Precios!$B$216:$D$307,2,FALSE))</f>
        <v>0</v>
      </c>
      <c r="G1008" s="1262">
        <f>E1008*F1008</f>
        <v>0</v>
      </c>
      <c r="H1008" s="309"/>
      <c r="I1008" s="1076">
        <f>IF($C1008&gt;0,I996*$E1008,0)</f>
        <v>0</v>
      </c>
      <c r="J1008" s="1254"/>
      <c r="K1008" s="425"/>
      <c r="L1008" s="425"/>
      <c r="M1008" s="425"/>
      <c r="N1008" s="425"/>
      <c r="O1008" s="425"/>
      <c r="P1008" s="425"/>
      <c r="Q1008" s="425"/>
      <c r="R1008" s="425"/>
      <c r="S1008" s="425"/>
      <c r="T1008" s="1255"/>
      <c r="U1008" s="1078">
        <f>SUM(I1008:T1008)</f>
        <v>0</v>
      </c>
      <c r="V1008" s="1516"/>
      <c r="W1008" s="254"/>
    </row>
    <row r="1009" spans="1:45" x14ac:dyDescent="0.3">
      <c r="B1009" s="647" t="s">
        <v>1086</v>
      </c>
      <c r="C1009" s="305"/>
      <c r="D1009" s="305"/>
      <c r="E1009" s="305"/>
      <c r="F1009" s="305"/>
      <c r="G1009" s="305"/>
      <c r="H1009" s="306"/>
      <c r="I1009" s="904">
        <f>SUM(I1007:I1008)</f>
        <v>0</v>
      </c>
      <c r="J1009" s="1250"/>
      <c r="K1009" s="596"/>
      <c r="L1009" s="596"/>
      <c r="M1009" s="596"/>
      <c r="N1009" s="596"/>
      <c r="O1009" s="596"/>
      <c r="P1009" s="596"/>
      <c r="Q1009" s="596"/>
      <c r="R1009" s="596"/>
      <c r="S1009" s="596"/>
      <c r="T1009" s="1251"/>
      <c r="U1009" s="905">
        <f>SUM(I1009:T1009)</f>
        <v>0</v>
      </c>
      <c r="V1009" s="439"/>
      <c r="W1009" s="254"/>
    </row>
    <row r="1010" spans="1:45" x14ac:dyDescent="0.2">
      <c r="B1010" s="197" t="s">
        <v>340</v>
      </c>
      <c r="C1010" s="307"/>
      <c r="D1010" s="307"/>
      <c r="E1010" s="308"/>
      <c r="F1010" s="651"/>
      <c r="G1010" s="308"/>
      <c r="H1010" s="307"/>
      <c r="I1010" s="307"/>
      <c r="J1010" s="307"/>
      <c r="K1010" s="307"/>
      <c r="L1010" s="307"/>
      <c r="M1010" s="307"/>
      <c r="N1010" s="307"/>
      <c r="O1010" s="307"/>
      <c r="P1010" s="307"/>
      <c r="Q1010" s="307"/>
      <c r="R1010" s="307"/>
      <c r="S1010" s="307"/>
      <c r="T1010" s="307"/>
      <c r="U1010" s="646"/>
      <c r="V1010" s="438"/>
      <c r="W1010" s="254"/>
    </row>
    <row r="1011" spans="1:45" ht="15.05" thickBot="1" x14ac:dyDescent="0.35">
      <c r="B1011" s="5042"/>
      <c r="C1011" s="1056">
        <f>IF(B1011=0,0,U996)</f>
        <v>0</v>
      </c>
      <c r="D1011" s="1056">
        <f>IF(B1011=0,0,VLOOKUP(B1011,Precios!$B$216:$D$307,3,FALSE))</f>
        <v>0</v>
      </c>
      <c r="E1011" s="5048"/>
      <c r="F1011" s="1062">
        <f>IF(B1011=0,0,VLOOKUP(B1011,Precios!$B$216:$D$307,2,FALSE))</f>
        <v>0</v>
      </c>
      <c r="G1011" s="1066">
        <f>E1011*F1011</f>
        <v>0</v>
      </c>
      <c r="H1011" s="309"/>
      <c r="I1011" s="1072">
        <f>IF($C1011&gt;0,I996*$E1011,0)</f>
        <v>0</v>
      </c>
      <c r="J1011" s="1252"/>
      <c r="K1011" s="571"/>
      <c r="L1011" s="571"/>
      <c r="M1011" s="571"/>
      <c r="N1011" s="571"/>
      <c r="O1011" s="571"/>
      <c r="P1011" s="571"/>
      <c r="Q1011" s="571"/>
      <c r="R1011" s="571"/>
      <c r="S1011" s="571"/>
      <c r="T1011" s="1253"/>
      <c r="U1011" s="1073">
        <f>SUM(I1011:T1011)</f>
        <v>0</v>
      </c>
      <c r="V1011" s="1516"/>
      <c r="W1011" s="254"/>
    </row>
    <row r="1012" spans="1:45" ht="15.05" thickBot="1" x14ac:dyDescent="0.35">
      <c r="B1012" s="5044"/>
      <c r="C1012" s="985">
        <f>IF(B1012=0,0,U996)</f>
        <v>0</v>
      </c>
      <c r="D1012" s="985">
        <f>IF(B1012=0,0,VLOOKUP(B1012,Precios!$B$216:$D$307,3,FALSE))</f>
        <v>0</v>
      </c>
      <c r="E1012" s="5049"/>
      <c r="F1012" s="1059">
        <f>IF(B1012=0,0,VLOOKUP(B1012,Precios!$B$216:$D$307,2,FALSE))</f>
        <v>0</v>
      </c>
      <c r="G1012" s="1067">
        <f>E1012*F1012</f>
        <v>0</v>
      </c>
      <c r="H1012" s="309"/>
      <c r="I1012" s="1074">
        <f>IF($C1012&gt;0,I996*$E1012,0)</f>
        <v>0</v>
      </c>
      <c r="J1012" s="1254"/>
      <c r="K1012" s="425"/>
      <c r="L1012" s="425"/>
      <c r="M1012" s="425"/>
      <c r="N1012" s="425"/>
      <c r="O1012" s="425"/>
      <c r="P1012" s="425"/>
      <c r="Q1012" s="425"/>
      <c r="R1012" s="425"/>
      <c r="S1012" s="425"/>
      <c r="T1012" s="1255"/>
      <c r="U1012" s="1075">
        <f>SUM(I1012:T1012)</f>
        <v>0</v>
      </c>
      <c r="V1012" s="1516"/>
      <c r="W1012" s="254"/>
    </row>
    <row r="1013" spans="1:45" x14ac:dyDescent="0.3">
      <c r="B1013" s="5081"/>
      <c r="C1013" s="1260">
        <f>IF(B1013=0,0,U996)</f>
        <v>0</v>
      </c>
      <c r="D1013" s="1260">
        <f>IF(B1013=0,0,VLOOKUP(B1013,Precios!$B$216:$D$307,3,FALSE))</f>
        <v>0</v>
      </c>
      <c r="E1013" s="5083"/>
      <c r="F1013" s="1264">
        <f>IF(B1013=0,0,VLOOKUP(B1013,Precios!$B$216:$D$307,2,FALSE))</f>
        <v>0</v>
      </c>
      <c r="G1013" s="1262">
        <f>E1013*F1013</f>
        <v>0</v>
      </c>
      <c r="H1013" s="309"/>
      <c r="I1013" s="1076">
        <f>IF($C1013&gt;0,I996*$E1013,0)</f>
        <v>0</v>
      </c>
      <c r="J1013" s="1265"/>
      <c r="K1013" s="439"/>
      <c r="L1013" s="439"/>
      <c r="M1013" s="439"/>
      <c r="N1013" s="439"/>
      <c r="O1013" s="439"/>
      <c r="P1013" s="439"/>
      <c r="Q1013" s="439"/>
      <c r="R1013" s="439"/>
      <c r="S1013" s="425"/>
      <c r="T1013" s="1255"/>
      <c r="U1013" s="1078">
        <f>SUM(I1013:T1013)</f>
        <v>0</v>
      </c>
      <c r="V1013" s="1516"/>
      <c r="W1013" s="254"/>
    </row>
    <row r="1014" spans="1:45" ht="15.05" thickBot="1" x14ac:dyDescent="0.35">
      <c r="B1014" s="647" t="s">
        <v>1087</v>
      </c>
      <c r="C1014" s="305"/>
      <c r="D1014" s="305"/>
      <c r="E1014" s="305"/>
      <c r="F1014" s="305"/>
      <c r="G1014" s="305"/>
      <c r="H1014" s="306"/>
      <c r="I1014" s="904">
        <f>SUM(I1011:I1013)</f>
        <v>0</v>
      </c>
      <c r="J1014" s="1266"/>
      <c r="K1014" s="1267"/>
      <c r="L1014" s="1267"/>
      <c r="M1014" s="1267"/>
      <c r="N1014" s="1267"/>
      <c r="O1014" s="1267"/>
      <c r="P1014" s="1267"/>
      <c r="Q1014" s="1267"/>
      <c r="R1014" s="1267"/>
      <c r="S1014" s="1267"/>
      <c r="T1014" s="1268"/>
      <c r="U1014" s="1269">
        <f>SUM(I1014:T1014)</f>
        <v>0</v>
      </c>
      <c r="V1014" s="439"/>
      <c r="W1014" s="254"/>
    </row>
    <row r="1015" spans="1:45" ht="15.05" thickBot="1" x14ac:dyDescent="0.25">
      <c r="B1015" s="1274" t="s">
        <v>1865</v>
      </c>
      <c r="C1015" s="882" t="str">
        <f>+B995</f>
        <v>Cebada grano</v>
      </c>
      <c r="D1015" s="882"/>
      <c r="E1015" s="357" t="s">
        <v>876</v>
      </c>
      <c r="F1015" s="1275"/>
      <c r="G1015" s="1276"/>
      <c r="H1015" s="357"/>
      <c r="I1015" s="358">
        <f>SUMPRODUCT($F999:$F1013,I999:I1013)</f>
        <v>0</v>
      </c>
      <c r="J1015" s="1277"/>
      <c r="K1015" s="357"/>
      <c r="L1015" s="357"/>
      <c r="M1015" s="357"/>
      <c r="N1015" s="357"/>
      <c r="O1015" s="357"/>
      <c r="P1015" s="357"/>
      <c r="Q1015" s="357"/>
      <c r="R1015" s="357"/>
      <c r="S1015" s="357"/>
      <c r="T1015" s="1278"/>
      <c r="U1015" s="934">
        <f>SUM(I1015:T1015)</f>
        <v>0</v>
      </c>
      <c r="V1015" s="1517"/>
      <c r="W1015" s="254"/>
    </row>
    <row r="1016" spans="1:45" ht="15.05" thickBot="1" x14ac:dyDescent="0.25">
      <c r="V1016" s="254"/>
      <c r="W1016" s="254"/>
    </row>
    <row r="1017" spans="1:45" ht="15.05" thickBot="1" x14ac:dyDescent="0.25">
      <c r="A1017" s="1344">
        <f>+A994</f>
        <v>69</v>
      </c>
      <c r="B1017" s="142" t="s">
        <v>2344</v>
      </c>
      <c r="C1017" s="334"/>
      <c r="D1017" s="334"/>
      <c r="E1017" s="334"/>
      <c r="F1017" s="334"/>
      <c r="G1017" s="334"/>
      <c r="H1017" s="334"/>
      <c r="I1017" s="334"/>
      <c r="J1017" s="334"/>
      <c r="K1017" s="334"/>
      <c r="L1017" s="334"/>
      <c r="M1017" s="334"/>
      <c r="N1017" s="334"/>
      <c r="O1017" s="334"/>
      <c r="P1017" s="334"/>
      <c r="Q1017" s="334"/>
      <c r="R1017" s="334"/>
      <c r="S1017" s="334"/>
      <c r="T1017" s="334"/>
      <c r="U1017" s="360"/>
      <c r="V1017" s="1571"/>
      <c r="W1017" s="254"/>
      <c r="Y1017" s="1271"/>
      <c r="Z1017" s="372"/>
      <c r="AA1017" s="372"/>
      <c r="AB1017" s="372"/>
      <c r="AC1017" s="372"/>
      <c r="AD1017" s="372"/>
      <c r="AE1017" s="372"/>
      <c r="AF1017" s="372"/>
      <c r="AG1017" s="372"/>
      <c r="AH1017" s="372"/>
      <c r="AI1017" s="372"/>
      <c r="AJ1017" s="372"/>
      <c r="AK1017" s="372"/>
      <c r="AL1017" s="372"/>
      <c r="AM1017" s="372"/>
      <c r="AN1017" s="372"/>
      <c r="AO1017" s="372"/>
      <c r="AP1017" s="372"/>
      <c r="AQ1017" s="372"/>
      <c r="AR1017" s="767"/>
      <c r="AS1017" s="254"/>
    </row>
    <row r="1018" spans="1:45" x14ac:dyDescent="0.2">
      <c r="A1018" s="1344" t="s">
        <v>1867</v>
      </c>
      <c r="B1018" s="948" t="str">
        <f>UsoSuelo!D353</f>
        <v>Avena grano</v>
      </c>
      <c r="C1018" s="291"/>
      <c r="D1018" s="291"/>
      <c r="E1018" s="291"/>
      <c r="F1018" s="291"/>
      <c r="G1018" s="292" t="s">
        <v>883</v>
      </c>
      <c r="H1018" s="222"/>
      <c r="I1018" s="293" t="str">
        <f>+$I$6</f>
        <v>Ene</v>
      </c>
      <c r="J1018" s="2138"/>
      <c r="K1018" s="2138"/>
      <c r="L1018" s="2138"/>
      <c r="M1018" s="2138"/>
      <c r="N1018" s="2138"/>
      <c r="O1018" s="2138"/>
      <c r="P1018" s="2138"/>
      <c r="Q1018" s="2138"/>
      <c r="R1018" s="2138"/>
      <c r="S1018" s="2138"/>
      <c r="T1018" s="2139"/>
      <c r="U1018" s="640" t="s">
        <v>1106</v>
      </c>
      <c r="V1018" s="1572"/>
      <c r="W1018" s="254"/>
    </row>
    <row r="1019" spans="1:45" x14ac:dyDescent="0.2">
      <c r="A1019" s="739"/>
      <c r="B1019" s="899" t="s">
        <v>721</v>
      </c>
      <c r="C1019" s="900"/>
      <c r="D1019" s="900"/>
      <c r="E1019" s="900"/>
      <c r="F1019" s="900"/>
      <c r="G1019" s="900"/>
      <c r="H1019" s="900"/>
      <c r="I1019" s="1245">
        <f>+UsoSuelo!U353</f>
        <v>0</v>
      </c>
      <c r="J1019" s="1246"/>
      <c r="K1019" s="1247"/>
      <c r="L1019" s="1247"/>
      <c r="M1019" s="1247"/>
      <c r="N1019" s="1247"/>
      <c r="O1019" s="1247"/>
      <c r="P1019" s="1247"/>
      <c r="Q1019" s="1247"/>
      <c r="R1019" s="1247"/>
      <c r="S1019" s="1247"/>
      <c r="T1019" s="1248"/>
      <c r="U1019" s="903">
        <f>+I1019</f>
        <v>0</v>
      </c>
      <c r="V1019" s="1514"/>
      <c r="W1019" s="254"/>
    </row>
    <row r="1020" spans="1:45" x14ac:dyDescent="0.2">
      <c r="B1020" s="641"/>
      <c r="C1020" s="621" t="s">
        <v>885</v>
      </c>
      <c r="D1020" s="621"/>
      <c r="E1020" s="621" t="s">
        <v>881</v>
      </c>
      <c r="F1020" s="621" t="s">
        <v>23</v>
      </c>
      <c r="G1020" s="622"/>
      <c r="H1020" s="623"/>
      <c r="I1020" s="297"/>
      <c r="J1020" s="296"/>
      <c r="K1020" s="296"/>
      <c r="L1020" s="296"/>
      <c r="M1020" s="296"/>
      <c r="N1020" s="297"/>
      <c r="O1020" s="297"/>
      <c r="P1020" s="297"/>
      <c r="Q1020" s="297"/>
      <c r="R1020" s="297"/>
      <c r="S1020" s="297"/>
      <c r="T1020" s="297"/>
      <c r="U1020" s="642" t="s">
        <v>881</v>
      </c>
      <c r="V1020" s="1515"/>
      <c r="W1020" s="254"/>
    </row>
    <row r="1021" spans="1:45" x14ac:dyDescent="0.2">
      <c r="B1021" s="199" t="s">
        <v>869</v>
      </c>
      <c r="C1021" s="3" t="s">
        <v>1105</v>
      </c>
      <c r="D1021" s="3" t="s">
        <v>312</v>
      </c>
      <c r="E1021" s="4" t="s">
        <v>882</v>
      </c>
      <c r="F1021" s="3" t="s">
        <v>314</v>
      </c>
      <c r="G1021" s="4" t="s">
        <v>313</v>
      </c>
      <c r="H1021" s="299"/>
      <c r="I1021" s="319" t="s">
        <v>2002</v>
      </c>
      <c r="J1021" s="319"/>
      <c r="K1021" s="319"/>
      <c r="L1021" s="319"/>
      <c r="M1021" s="320"/>
      <c r="N1021" s="320"/>
      <c r="O1021" s="320"/>
      <c r="P1021" s="320"/>
      <c r="Q1021" s="320"/>
      <c r="R1021" s="320"/>
      <c r="S1021" s="320"/>
      <c r="T1021" s="320"/>
      <c r="U1021" s="643" t="s">
        <v>891</v>
      </c>
      <c r="V1021" s="1572"/>
      <c r="W1021" s="254"/>
    </row>
    <row r="1022" spans="1:45" ht="15.05" thickBot="1" x14ac:dyDescent="0.35">
      <c r="B1022" s="5042"/>
      <c r="C1022" s="1056">
        <f>IF(B1022=0,0,U1019)</f>
        <v>0</v>
      </c>
      <c r="D1022" s="1056">
        <f>IF(B1022=0,0,VLOOKUP(B1022,Precios!$B$216:$D$307,3,FALSE))</f>
        <v>0</v>
      </c>
      <c r="E1022" s="5043"/>
      <c r="F1022" s="300"/>
      <c r="G1022" s="300"/>
      <c r="H1022" s="309"/>
      <c r="I1022" s="1072">
        <f>IF($C1022&gt;0,I1019*$E1022,0)</f>
        <v>0</v>
      </c>
      <c r="J1022" s="1252"/>
      <c r="K1022" s="571"/>
      <c r="L1022" s="571"/>
      <c r="M1022" s="571"/>
      <c r="N1022" s="571"/>
      <c r="O1022" s="571"/>
      <c r="P1022" s="571"/>
      <c r="Q1022" s="571"/>
      <c r="R1022" s="571"/>
      <c r="S1022" s="571"/>
      <c r="T1022" s="1253"/>
      <c r="U1022" s="1073">
        <f>SUM(I1022:T1022)</f>
        <v>0</v>
      </c>
      <c r="V1022" s="232" t="str">
        <f>B1022&amp;"propia"</f>
        <v>propia</v>
      </c>
      <c r="W1022" s="254"/>
    </row>
    <row r="1023" spans="1:45" x14ac:dyDescent="0.3">
      <c r="B1023" s="5081"/>
      <c r="C1023" s="1259">
        <f>IF(B1023=0,0,U1019)</f>
        <v>0</v>
      </c>
      <c r="D1023" s="1260">
        <f>IF(B1023=0,0,VLOOKUP(B1023,Precios!$B$216:$D$307,3,FALSE))</f>
        <v>0</v>
      </c>
      <c r="E1023" s="5082"/>
      <c r="F1023" s="300"/>
      <c r="G1023" s="300"/>
      <c r="H1023" s="309"/>
      <c r="I1023" s="1076">
        <f>IF($C1023&gt;0,I1019*$E1023,0)</f>
        <v>0</v>
      </c>
      <c r="J1023" s="1254"/>
      <c r="K1023" s="425"/>
      <c r="L1023" s="425"/>
      <c r="M1023" s="425"/>
      <c r="N1023" s="425"/>
      <c r="O1023" s="425"/>
      <c r="P1023" s="425"/>
      <c r="Q1023" s="425"/>
      <c r="R1023" s="425"/>
      <c r="S1023" s="425"/>
      <c r="T1023" s="1255"/>
      <c r="U1023" s="1075">
        <f>SUM(I1023:T1023)</f>
        <v>0</v>
      </c>
      <c r="V1023" s="232" t="str">
        <f>B1023&amp;"propia"</f>
        <v>propia</v>
      </c>
      <c r="W1023" s="254"/>
    </row>
    <row r="1024" spans="1:45" x14ac:dyDescent="0.3">
      <c r="B1024" s="647" t="s">
        <v>1083</v>
      </c>
      <c r="C1024" s="305"/>
      <c r="D1024" s="305"/>
      <c r="E1024" s="305"/>
      <c r="F1024" s="305"/>
      <c r="G1024" s="305"/>
      <c r="H1024" s="306"/>
      <c r="I1024" s="904">
        <f>SUM(I1022:I1023)</f>
        <v>0</v>
      </c>
      <c r="J1024" s="1256"/>
      <c r="K1024" s="1257"/>
      <c r="L1024" s="1257"/>
      <c r="M1024" s="1257"/>
      <c r="N1024" s="1257"/>
      <c r="O1024" s="1257"/>
      <c r="P1024" s="1257"/>
      <c r="Q1024" s="1257"/>
      <c r="R1024" s="1257"/>
      <c r="S1024" s="1257"/>
      <c r="T1024" s="1258"/>
      <c r="U1024" s="905">
        <f>SUM(I1024:T1024)</f>
        <v>0</v>
      </c>
      <c r="V1024" s="439"/>
      <c r="W1024" s="254"/>
    </row>
    <row r="1025" spans="1:45" x14ac:dyDescent="0.2">
      <c r="B1025" s="197" t="s">
        <v>870</v>
      </c>
      <c r="C1025" s="307"/>
      <c r="D1025" s="307"/>
      <c r="E1025" s="308"/>
      <c r="F1025" s="308"/>
      <c r="G1025" s="308"/>
      <c r="H1025" s="307"/>
      <c r="I1025" s="307"/>
      <c r="J1025" s="307"/>
      <c r="K1025" s="307"/>
      <c r="L1025" s="307"/>
      <c r="M1025" s="307"/>
      <c r="N1025" s="307"/>
      <c r="O1025" s="307"/>
      <c r="P1025" s="307"/>
      <c r="Q1025" s="307"/>
      <c r="R1025" s="307"/>
      <c r="S1025" s="307"/>
      <c r="T1025" s="307"/>
      <c r="U1025" s="646"/>
      <c r="V1025" s="438"/>
      <c r="W1025" s="254"/>
    </row>
    <row r="1026" spans="1:45" ht="15.05" thickBot="1" x14ac:dyDescent="0.35">
      <c r="B1026" s="5042"/>
      <c r="C1026" s="1056">
        <f>IF(B1026=0,0,U1019)</f>
        <v>0</v>
      </c>
      <c r="D1026" s="1056">
        <f>IF(B1026=0,0,VLOOKUP(B1026,Precios!$B$216:$D$307,3,FALSE))</f>
        <v>0</v>
      </c>
      <c r="E1026" s="5048"/>
      <c r="F1026" s="1249">
        <f>IF(B1026=0,0,VLOOKUP(B1026,Precios!$B$216:$D$307,2,FALSE))</f>
        <v>0</v>
      </c>
      <c r="G1026" s="1066">
        <f>E1026*F1026</f>
        <v>0</v>
      </c>
      <c r="H1026" s="309"/>
      <c r="I1026" s="1072">
        <f>IF($C1026&gt;0,I1019*$E1026,0)</f>
        <v>0</v>
      </c>
      <c r="J1026" s="1252"/>
      <c r="K1026" s="571"/>
      <c r="L1026" s="571"/>
      <c r="M1026" s="571"/>
      <c r="N1026" s="571"/>
      <c r="O1026" s="571"/>
      <c r="P1026" s="571"/>
      <c r="Q1026" s="571"/>
      <c r="R1026" s="571"/>
      <c r="S1026" s="571"/>
      <c r="T1026" s="1253"/>
      <c r="U1026" s="1073">
        <f>SUM(I1026:T1026)</f>
        <v>0</v>
      </c>
      <c r="V1026" s="232" t="str">
        <f>B1026&amp;"contratada"</f>
        <v>contratada</v>
      </c>
      <c r="W1026" s="254"/>
    </row>
    <row r="1027" spans="1:45" x14ac:dyDescent="0.3">
      <c r="B1027" s="5081"/>
      <c r="C1027" s="1259">
        <f>IF(B1027=0,0,U1019)</f>
        <v>0</v>
      </c>
      <c r="D1027" s="1260">
        <f>IF(B1027=0,0,VLOOKUP(B1027,Precios!$B$216:$D$307,3,FALSE))</f>
        <v>0</v>
      </c>
      <c r="E1027" s="5083"/>
      <c r="F1027" s="1263">
        <f>IF(B1027=0,0,VLOOKUP(B1027,Precios!$B$216:$D$307,2,FALSE))</f>
        <v>0</v>
      </c>
      <c r="G1027" s="1262">
        <f>E1027*F1027</f>
        <v>0</v>
      </c>
      <c r="H1027" s="309"/>
      <c r="I1027" s="1076">
        <f>IF($C1027&gt;0,I1019*$E1027,0)</f>
        <v>0</v>
      </c>
      <c r="J1027" s="1254"/>
      <c r="K1027" s="425"/>
      <c r="L1027" s="425"/>
      <c r="M1027" s="425"/>
      <c r="N1027" s="425"/>
      <c r="O1027" s="425"/>
      <c r="P1027" s="425"/>
      <c r="Q1027" s="425"/>
      <c r="R1027" s="425"/>
      <c r="S1027" s="425"/>
      <c r="T1027" s="1255"/>
      <c r="U1027" s="1078">
        <f>SUM(I1027:T1027)</f>
        <v>0</v>
      </c>
      <c r="V1027" s="232" t="str">
        <f>B1027&amp;"contratada"</f>
        <v>contratada</v>
      </c>
      <c r="W1027" s="254"/>
    </row>
    <row r="1028" spans="1:45" x14ac:dyDescent="0.3">
      <c r="B1028" s="647" t="s">
        <v>1084</v>
      </c>
      <c r="C1028" s="305"/>
      <c r="D1028" s="305"/>
      <c r="E1028" s="305"/>
      <c r="F1028" s="305"/>
      <c r="G1028" s="305"/>
      <c r="H1028" s="306"/>
      <c r="I1028" s="904">
        <f>SUM(I1026:I1027)</f>
        <v>0</v>
      </c>
      <c r="J1028" s="1250"/>
      <c r="K1028" s="596"/>
      <c r="L1028" s="596"/>
      <c r="M1028" s="596"/>
      <c r="N1028" s="596"/>
      <c r="O1028" s="596"/>
      <c r="P1028" s="596"/>
      <c r="Q1028" s="596"/>
      <c r="R1028" s="596"/>
      <c r="S1028" s="596"/>
      <c r="T1028" s="1251"/>
      <c r="U1028" s="905">
        <f>SUM(I1028:T1028)</f>
        <v>0</v>
      </c>
      <c r="V1028" s="439"/>
      <c r="W1028" s="254"/>
    </row>
    <row r="1029" spans="1:45" x14ac:dyDescent="0.2">
      <c r="B1029" s="197" t="s">
        <v>339</v>
      </c>
      <c r="C1029" s="307"/>
      <c r="D1029" s="307"/>
      <c r="E1029" s="308"/>
      <c r="F1029" s="651"/>
      <c r="G1029" s="308"/>
      <c r="H1029" s="307"/>
      <c r="I1029" s="307"/>
      <c r="J1029" s="307"/>
      <c r="K1029" s="307"/>
      <c r="L1029" s="307"/>
      <c r="M1029" s="307"/>
      <c r="N1029" s="307"/>
      <c r="O1029" s="307"/>
      <c r="P1029" s="307"/>
      <c r="Q1029" s="307"/>
      <c r="R1029" s="307"/>
      <c r="S1029" s="307"/>
      <c r="T1029" s="307"/>
      <c r="U1029" s="646"/>
      <c r="V1029" s="438"/>
      <c r="W1029" s="254"/>
    </row>
    <row r="1030" spans="1:45" ht="15.05" thickBot="1" x14ac:dyDescent="0.35">
      <c r="B1030" s="5042"/>
      <c r="C1030" s="1056">
        <f>IF(B1030=0,0,U1019)</f>
        <v>0</v>
      </c>
      <c r="D1030" s="1056">
        <f>IF(B1030=0,0,VLOOKUP(B1030,Precios!$B$216:$D$307,3,FALSE))</f>
        <v>0</v>
      </c>
      <c r="E1030" s="5048"/>
      <c r="F1030" s="1063">
        <f>IF(B1030=0,0,VLOOKUP(B1030,Precios!$B$216:$D$307,2,FALSE))</f>
        <v>0</v>
      </c>
      <c r="G1030" s="1066">
        <f>E1030*F1030</f>
        <v>0</v>
      </c>
      <c r="H1030" s="309"/>
      <c r="I1030" s="1072">
        <f>IF($C1030&gt;0,I1019*$E1030,0)</f>
        <v>0</v>
      </c>
      <c r="J1030" s="1252"/>
      <c r="K1030" s="571"/>
      <c r="L1030" s="571"/>
      <c r="M1030" s="571"/>
      <c r="N1030" s="571"/>
      <c r="O1030" s="571"/>
      <c r="P1030" s="571"/>
      <c r="Q1030" s="571"/>
      <c r="R1030" s="571"/>
      <c r="S1030" s="571"/>
      <c r="T1030" s="1253"/>
      <c r="U1030" s="1073">
        <f>SUM(I1030:T1030)</f>
        <v>0</v>
      </c>
      <c r="V1030" s="1516"/>
      <c r="W1030" s="254"/>
    </row>
    <row r="1031" spans="1:45" x14ac:dyDescent="0.3">
      <c r="B1031" s="5081"/>
      <c r="C1031" s="1259">
        <f>IF(B1031=0,0,U1019)</f>
        <v>0</v>
      </c>
      <c r="D1031" s="1260">
        <f>IF(B1031=0,0,VLOOKUP(B1031,Precios!$B$216:$D$307,3,FALSE))</f>
        <v>0</v>
      </c>
      <c r="E1031" s="5083"/>
      <c r="F1031" s="1261">
        <f>IF(B1031=0,0,VLOOKUP(B1031,Precios!$B$216:$D$307,2,FALSE))</f>
        <v>0</v>
      </c>
      <c r="G1031" s="1262">
        <f>E1031*F1031</f>
        <v>0</v>
      </c>
      <c r="H1031" s="309"/>
      <c r="I1031" s="1076">
        <f>IF($C1031&gt;0,I1019*$E1031,0)</f>
        <v>0</v>
      </c>
      <c r="J1031" s="1254"/>
      <c r="K1031" s="425"/>
      <c r="L1031" s="425"/>
      <c r="M1031" s="425"/>
      <c r="N1031" s="425"/>
      <c r="O1031" s="425"/>
      <c r="P1031" s="425"/>
      <c r="Q1031" s="425"/>
      <c r="R1031" s="425"/>
      <c r="S1031" s="425"/>
      <c r="T1031" s="1255"/>
      <c r="U1031" s="1078">
        <f>SUM(I1031:T1031)</f>
        <v>0</v>
      </c>
      <c r="V1031" s="1516"/>
      <c r="W1031" s="254"/>
    </row>
    <row r="1032" spans="1:45" x14ac:dyDescent="0.3">
      <c r="B1032" s="647" t="s">
        <v>1086</v>
      </c>
      <c r="C1032" s="305"/>
      <c r="D1032" s="305"/>
      <c r="E1032" s="305"/>
      <c r="F1032" s="305"/>
      <c r="G1032" s="305"/>
      <c r="H1032" s="306"/>
      <c r="I1032" s="904">
        <f>SUM(I1030:I1031)</f>
        <v>0</v>
      </c>
      <c r="J1032" s="1250"/>
      <c r="K1032" s="596"/>
      <c r="L1032" s="596"/>
      <c r="M1032" s="596"/>
      <c r="N1032" s="596"/>
      <c r="O1032" s="596"/>
      <c r="P1032" s="596"/>
      <c r="Q1032" s="596"/>
      <c r="R1032" s="596"/>
      <c r="S1032" s="596"/>
      <c r="T1032" s="1251"/>
      <c r="U1032" s="905">
        <f>SUM(I1032:T1032)</f>
        <v>0</v>
      </c>
      <c r="V1032" s="439"/>
      <c r="W1032" s="254"/>
    </row>
    <row r="1033" spans="1:45" x14ac:dyDescent="0.2">
      <c r="B1033" s="197" t="s">
        <v>340</v>
      </c>
      <c r="C1033" s="307"/>
      <c r="D1033" s="307"/>
      <c r="E1033" s="308"/>
      <c r="F1033" s="651"/>
      <c r="G1033" s="308"/>
      <c r="H1033" s="307"/>
      <c r="I1033" s="307"/>
      <c r="J1033" s="307"/>
      <c r="K1033" s="307"/>
      <c r="L1033" s="307"/>
      <c r="M1033" s="307"/>
      <c r="N1033" s="307"/>
      <c r="O1033" s="307"/>
      <c r="P1033" s="307"/>
      <c r="Q1033" s="307"/>
      <c r="R1033" s="307"/>
      <c r="S1033" s="307"/>
      <c r="T1033" s="307"/>
      <c r="U1033" s="646"/>
      <c r="V1033" s="438"/>
      <c r="W1033" s="254"/>
    </row>
    <row r="1034" spans="1:45" ht="15.05" thickBot="1" x14ac:dyDescent="0.35">
      <c r="B1034" s="5042"/>
      <c r="C1034" s="1056">
        <f>IF(B1034=0,0,U1019)</f>
        <v>0</v>
      </c>
      <c r="D1034" s="1056">
        <f>IF(B1034=0,0,VLOOKUP(B1034,Precios!$B$216:$D$307,3,FALSE))</f>
        <v>0</v>
      </c>
      <c r="E1034" s="5048"/>
      <c r="F1034" s="1062">
        <f>IF(B1034=0,0,VLOOKUP(B1034,Precios!$B$216:$D$307,2,FALSE))</f>
        <v>0</v>
      </c>
      <c r="G1034" s="1066">
        <f>E1034*F1034</f>
        <v>0</v>
      </c>
      <c r="H1034" s="309"/>
      <c r="I1034" s="1072">
        <f>IF($C1034&gt;0,I1019*$E1034,0)</f>
        <v>0</v>
      </c>
      <c r="J1034" s="1252"/>
      <c r="K1034" s="571"/>
      <c r="L1034" s="571"/>
      <c r="M1034" s="571"/>
      <c r="N1034" s="571"/>
      <c r="O1034" s="571"/>
      <c r="P1034" s="571"/>
      <c r="Q1034" s="571"/>
      <c r="R1034" s="571"/>
      <c r="S1034" s="571"/>
      <c r="T1034" s="1253"/>
      <c r="U1034" s="1073">
        <f>SUM(I1034:T1034)</f>
        <v>0</v>
      </c>
      <c r="V1034" s="1516"/>
      <c r="W1034" s="254"/>
    </row>
    <row r="1035" spans="1:45" ht="15.05" thickBot="1" x14ac:dyDescent="0.35">
      <c r="B1035" s="5044"/>
      <c r="C1035" s="985">
        <f>IF(B1035=0,0,U1019)</f>
        <v>0</v>
      </c>
      <c r="D1035" s="985">
        <f>IF(B1035=0,0,VLOOKUP(B1035,Precios!$B$216:$D$307,3,FALSE))</f>
        <v>0</v>
      </c>
      <c r="E1035" s="5049"/>
      <c r="F1035" s="1059">
        <f>IF(B1035=0,0,VLOOKUP(B1035,Precios!$B$216:$D$307,2,FALSE))</f>
        <v>0</v>
      </c>
      <c r="G1035" s="1067">
        <f>E1035*F1035</f>
        <v>0</v>
      </c>
      <c r="H1035" s="309"/>
      <c r="I1035" s="1074">
        <f>IF($C1035&gt;0,I1019*$E1035,0)</f>
        <v>0</v>
      </c>
      <c r="J1035" s="1254"/>
      <c r="K1035" s="425"/>
      <c r="L1035" s="425"/>
      <c r="M1035" s="425"/>
      <c r="N1035" s="425"/>
      <c r="O1035" s="425"/>
      <c r="P1035" s="425"/>
      <c r="Q1035" s="425"/>
      <c r="R1035" s="425"/>
      <c r="S1035" s="425"/>
      <c r="T1035" s="1255"/>
      <c r="U1035" s="1075">
        <f>SUM(I1035:T1035)</f>
        <v>0</v>
      </c>
      <c r="V1035" s="1516"/>
      <c r="W1035" s="254"/>
    </row>
    <row r="1036" spans="1:45" x14ac:dyDescent="0.3">
      <c r="B1036" s="5081"/>
      <c r="C1036" s="1260">
        <f>IF(B1036=0,0,U1019)</f>
        <v>0</v>
      </c>
      <c r="D1036" s="1260">
        <f>IF(B1036=0,0,VLOOKUP(B1036,Precios!$B$216:$D$307,3,FALSE))</f>
        <v>0</v>
      </c>
      <c r="E1036" s="5083"/>
      <c r="F1036" s="1264">
        <f>IF(B1036=0,0,VLOOKUP(B1036,Precios!$B$216:$D$307,2,FALSE))</f>
        <v>0</v>
      </c>
      <c r="G1036" s="1262">
        <f>E1036*F1036</f>
        <v>0</v>
      </c>
      <c r="H1036" s="309"/>
      <c r="I1036" s="1076">
        <f>IF($C1036&gt;0,I1019*$E1036,0)</f>
        <v>0</v>
      </c>
      <c r="J1036" s="1265"/>
      <c r="K1036" s="439"/>
      <c r="L1036" s="439"/>
      <c r="M1036" s="439"/>
      <c r="N1036" s="439"/>
      <c r="O1036" s="439"/>
      <c r="P1036" s="439"/>
      <c r="Q1036" s="439"/>
      <c r="R1036" s="439"/>
      <c r="S1036" s="425"/>
      <c r="T1036" s="1255"/>
      <c r="U1036" s="1078">
        <f>SUM(I1036:T1036)</f>
        <v>0</v>
      </c>
      <c r="V1036" s="1516"/>
      <c r="W1036" s="254"/>
    </row>
    <row r="1037" spans="1:45" ht="15.05" thickBot="1" x14ac:dyDescent="0.35">
      <c r="B1037" s="647" t="s">
        <v>1087</v>
      </c>
      <c r="C1037" s="305"/>
      <c r="D1037" s="305"/>
      <c r="E1037" s="305"/>
      <c r="F1037" s="305"/>
      <c r="G1037" s="305"/>
      <c r="H1037" s="306"/>
      <c r="I1037" s="904">
        <f>SUM(I1034:I1036)</f>
        <v>0</v>
      </c>
      <c r="J1037" s="1266"/>
      <c r="K1037" s="1267"/>
      <c r="L1037" s="1267"/>
      <c r="M1037" s="1267"/>
      <c r="N1037" s="1267"/>
      <c r="O1037" s="1267"/>
      <c r="P1037" s="1267"/>
      <c r="Q1037" s="1267"/>
      <c r="R1037" s="1267"/>
      <c r="S1037" s="1267"/>
      <c r="T1037" s="1268"/>
      <c r="U1037" s="1269">
        <f>SUM(I1037:T1037)</f>
        <v>0</v>
      </c>
      <c r="V1037" s="439"/>
      <c r="W1037" s="254"/>
    </row>
    <row r="1038" spans="1:45" ht="15.05" thickBot="1" x14ac:dyDescent="0.25">
      <c r="B1038" s="1274" t="s">
        <v>1865</v>
      </c>
      <c r="C1038" s="882" t="str">
        <f>+B1018</f>
        <v>Avena grano</v>
      </c>
      <c r="D1038" s="882"/>
      <c r="E1038" s="357" t="s">
        <v>876</v>
      </c>
      <c r="F1038" s="1275"/>
      <c r="G1038" s="1276"/>
      <c r="H1038" s="357"/>
      <c r="I1038" s="358">
        <f>SUMPRODUCT($F1022:$F1036,I1022:I1036)</f>
        <v>0</v>
      </c>
      <c r="J1038" s="1277"/>
      <c r="K1038" s="357"/>
      <c r="L1038" s="357"/>
      <c r="M1038" s="357"/>
      <c r="N1038" s="357"/>
      <c r="O1038" s="357"/>
      <c r="P1038" s="357"/>
      <c r="Q1038" s="357"/>
      <c r="R1038" s="357"/>
      <c r="S1038" s="357"/>
      <c r="T1038" s="1278"/>
      <c r="U1038" s="934">
        <f>SUM(I1038:T1038)</f>
        <v>0</v>
      </c>
      <c r="V1038" s="1517"/>
      <c r="W1038" s="254"/>
    </row>
    <row r="1039" spans="1:45" ht="15.05" thickBot="1" x14ac:dyDescent="0.25">
      <c r="V1039" s="254"/>
      <c r="W1039" s="254"/>
    </row>
    <row r="1040" spans="1:45" ht="15.05" thickBot="1" x14ac:dyDescent="0.25">
      <c r="A1040" s="1344">
        <f>+A1017</f>
        <v>69</v>
      </c>
      <c r="B1040" s="142" t="s">
        <v>2344</v>
      </c>
      <c r="C1040" s="334"/>
      <c r="D1040" s="334"/>
      <c r="E1040" s="334"/>
      <c r="F1040" s="334"/>
      <c r="G1040" s="334"/>
      <c r="H1040" s="334"/>
      <c r="I1040" s="334"/>
      <c r="J1040" s="334"/>
      <c r="K1040" s="334"/>
      <c r="L1040" s="334"/>
      <c r="M1040" s="334"/>
      <c r="N1040" s="334"/>
      <c r="O1040" s="334"/>
      <c r="P1040" s="334"/>
      <c r="Q1040" s="334"/>
      <c r="R1040" s="334"/>
      <c r="S1040" s="334"/>
      <c r="T1040" s="334"/>
      <c r="U1040" s="360"/>
      <c r="V1040" s="1571"/>
      <c r="W1040" s="254"/>
      <c r="Y1040" s="1271"/>
      <c r="Z1040" s="372"/>
      <c r="AA1040" s="372"/>
      <c r="AB1040" s="372"/>
      <c r="AC1040" s="372"/>
      <c r="AD1040" s="372"/>
      <c r="AE1040" s="372"/>
      <c r="AF1040" s="372"/>
      <c r="AG1040" s="372"/>
      <c r="AH1040" s="372"/>
      <c r="AI1040" s="372"/>
      <c r="AJ1040" s="372"/>
      <c r="AK1040" s="372"/>
      <c r="AL1040" s="372"/>
      <c r="AM1040" s="372"/>
      <c r="AN1040" s="372"/>
      <c r="AO1040" s="372"/>
      <c r="AP1040" s="372"/>
      <c r="AQ1040" s="372"/>
      <c r="AR1040" s="767"/>
      <c r="AS1040" s="254"/>
    </row>
    <row r="1041" spans="1:23" x14ac:dyDescent="0.2">
      <c r="A1041" s="1344" t="s">
        <v>1868</v>
      </c>
      <c r="B1041" s="948" t="str">
        <f>UsoSuelo!D354</f>
        <v>Colza grano</v>
      </c>
      <c r="C1041" s="291"/>
      <c r="D1041" s="291"/>
      <c r="E1041" s="291"/>
      <c r="F1041" s="291"/>
      <c r="G1041" s="292" t="s">
        <v>883</v>
      </c>
      <c r="H1041" s="222"/>
      <c r="I1041" s="293" t="str">
        <f>+$I$6</f>
        <v>Ene</v>
      </c>
      <c r="J1041" s="2138"/>
      <c r="K1041" s="2138"/>
      <c r="L1041" s="2138"/>
      <c r="M1041" s="2138"/>
      <c r="N1041" s="2138"/>
      <c r="O1041" s="2138"/>
      <c r="P1041" s="2138"/>
      <c r="Q1041" s="2138"/>
      <c r="R1041" s="2138"/>
      <c r="S1041" s="2138"/>
      <c r="T1041" s="2139"/>
      <c r="U1041" s="640" t="s">
        <v>1106</v>
      </c>
      <c r="V1041" s="1572"/>
      <c r="W1041" s="254"/>
    </row>
    <row r="1042" spans="1:23" x14ac:dyDescent="0.2">
      <c r="A1042" s="739"/>
      <c r="B1042" s="899" t="s">
        <v>721</v>
      </c>
      <c r="C1042" s="900"/>
      <c r="D1042" s="900"/>
      <c r="E1042" s="900"/>
      <c r="F1042" s="900"/>
      <c r="G1042" s="900"/>
      <c r="H1042" s="900"/>
      <c r="I1042" s="1245">
        <f>+UsoSuelo!U354</f>
        <v>0</v>
      </c>
      <c r="J1042" s="1246"/>
      <c r="K1042" s="1247"/>
      <c r="L1042" s="1247"/>
      <c r="M1042" s="1247"/>
      <c r="N1042" s="1247"/>
      <c r="O1042" s="1247"/>
      <c r="P1042" s="1247"/>
      <c r="Q1042" s="1247"/>
      <c r="R1042" s="1247"/>
      <c r="S1042" s="1247"/>
      <c r="T1042" s="1248"/>
      <c r="U1042" s="903">
        <f>+I1042</f>
        <v>0</v>
      </c>
      <c r="V1042" s="1514"/>
      <c r="W1042" s="254"/>
    </row>
    <row r="1043" spans="1:23" x14ac:dyDescent="0.2">
      <c r="B1043" s="641"/>
      <c r="C1043" s="621" t="s">
        <v>885</v>
      </c>
      <c r="D1043" s="621"/>
      <c r="E1043" s="621" t="s">
        <v>881</v>
      </c>
      <c r="F1043" s="621" t="s">
        <v>23</v>
      </c>
      <c r="G1043" s="622"/>
      <c r="H1043" s="623"/>
      <c r="I1043" s="297"/>
      <c r="J1043" s="296"/>
      <c r="K1043" s="296"/>
      <c r="L1043" s="296"/>
      <c r="M1043" s="296"/>
      <c r="N1043" s="297"/>
      <c r="O1043" s="297"/>
      <c r="P1043" s="297"/>
      <c r="Q1043" s="297"/>
      <c r="R1043" s="297"/>
      <c r="S1043" s="297"/>
      <c r="T1043" s="297"/>
      <c r="U1043" s="642" t="s">
        <v>881</v>
      </c>
      <c r="V1043" s="1515"/>
      <c r="W1043" s="254"/>
    </row>
    <row r="1044" spans="1:23" x14ac:dyDescent="0.2">
      <c r="B1044" s="199" t="s">
        <v>869</v>
      </c>
      <c r="C1044" s="3" t="s">
        <v>1105</v>
      </c>
      <c r="D1044" s="3" t="s">
        <v>312</v>
      </c>
      <c r="E1044" s="4" t="s">
        <v>882</v>
      </c>
      <c r="F1044" s="3" t="s">
        <v>314</v>
      </c>
      <c r="G1044" s="4" t="s">
        <v>313</v>
      </c>
      <c r="H1044" s="299"/>
      <c r="I1044" s="319" t="s">
        <v>2002</v>
      </c>
      <c r="J1044" s="319"/>
      <c r="K1044" s="319"/>
      <c r="L1044" s="319"/>
      <c r="M1044" s="320"/>
      <c r="N1044" s="320"/>
      <c r="O1044" s="320"/>
      <c r="P1044" s="320"/>
      <c r="Q1044" s="320"/>
      <c r="R1044" s="320"/>
      <c r="S1044" s="320"/>
      <c r="T1044" s="320"/>
      <c r="U1044" s="643" t="s">
        <v>891</v>
      </c>
      <c r="V1044" s="1572"/>
      <c r="W1044" s="254"/>
    </row>
    <row r="1045" spans="1:23" ht="15.05" thickBot="1" x14ac:dyDescent="0.35">
      <c r="B1045" s="5042"/>
      <c r="C1045" s="1056">
        <f>IF(B1045=0,0,U1042)</f>
        <v>0</v>
      </c>
      <c r="D1045" s="1056">
        <f>IF(B1045=0,0,VLOOKUP(B1045,Precios!$B$216:$D$307,3,FALSE))</f>
        <v>0</v>
      </c>
      <c r="E1045" s="5043"/>
      <c r="F1045" s="300"/>
      <c r="G1045" s="300"/>
      <c r="H1045" s="309"/>
      <c r="I1045" s="1072">
        <f>IF($C1045&gt;0,I1042*$E1045,0)</f>
        <v>0</v>
      </c>
      <c r="J1045" s="1252"/>
      <c r="K1045" s="571"/>
      <c r="L1045" s="571"/>
      <c r="M1045" s="571"/>
      <c r="N1045" s="571"/>
      <c r="O1045" s="571"/>
      <c r="P1045" s="571"/>
      <c r="Q1045" s="571"/>
      <c r="R1045" s="571"/>
      <c r="S1045" s="571"/>
      <c r="T1045" s="1253"/>
      <c r="U1045" s="1073">
        <f>SUM(I1045:T1045)</f>
        <v>0</v>
      </c>
      <c r="V1045" s="232" t="str">
        <f>B1045&amp;"propia"</f>
        <v>propia</v>
      </c>
      <c r="W1045" s="254"/>
    </row>
    <row r="1046" spans="1:23" x14ac:dyDescent="0.3">
      <c r="B1046" s="5081"/>
      <c r="C1046" s="1259">
        <f>IF(B1046=0,0,U1042)</f>
        <v>0</v>
      </c>
      <c r="D1046" s="1260">
        <f>IF(B1046=0,0,VLOOKUP(B1046,Precios!$B$216:$D$307,3,FALSE))</f>
        <v>0</v>
      </c>
      <c r="E1046" s="5082"/>
      <c r="F1046" s="300"/>
      <c r="G1046" s="300"/>
      <c r="H1046" s="309"/>
      <c r="I1046" s="1076">
        <f>IF($C1046&gt;0,I1042*$E1046,0)</f>
        <v>0</v>
      </c>
      <c r="J1046" s="1254"/>
      <c r="K1046" s="425"/>
      <c r="L1046" s="425"/>
      <c r="M1046" s="425"/>
      <c r="N1046" s="425"/>
      <c r="O1046" s="425"/>
      <c r="P1046" s="425"/>
      <c r="Q1046" s="425"/>
      <c r="R1046" s="425"/>
      <c r="S1046" s="425"/>
      <c r="T1046" s="1255"/>
      <c r="U1046" s="1075">
        <f>SUM(I1046:T1046)</f>
        <v>0</v>
      </c>
      <c r="V1046" s="232" t="str">
        <f>B1046&amp;"propia"</f>
        <v>propia</v>
      </c>
      <c r="W1046" s="254"/>
    </row>
    <row r="1047" spans="1:23" x14ac:dyDescent="0.3">
      <c r="B1047" s="647" t="s">
        <v>1083</v>
      </c>
      <c r="C1047" s="305"/>
      <c r="D1047" s="305"/>
      <c r="E1047" s="305"/>
      <c r="F1047" s="305"/>
      <c r="G1047" s="305"/>
      <c r="H1047" s="306"/>
      <c r="I1047" s="904">
        <f>SUM(I1045:I1046)</f>
        <v>0</v>
      </c>
      <c r="J1047" s="1256"/>
      <c r="K1047" s="1257"/>
      <c r="L1047" s="1257"/>
      <c r="M1047" s="1257"/>
      <c r="N1047" s="1257"/>
      <c r="O1047" s="1257"/>
      <c r="P1047" s="1257"/>
      <c r="Q1047" s="1257"/>
      <c r="R1047" s="1257"/>
      <c r="S1047" s="1257"/>
      <c r="T1047" s="1258"/>
      <c r="U1047" s="905">
        <f>SUM(I1047:T1047)</f>
        <v>0</v>
      </c>
      <c r="V1047" s="439"/>
      <c r="W1047" s="254"/>
    </row>
    <row r="1048" spans="1:23" x14ac:dyDescent="0.2">
      <c r="B1048" s="197" t="s">
        <v>870</v>
      </c>
      <c r="C1048" s="307"/>
      <c r="D1048" s="307"/>
      <c r="E1048" s="308"/>
      <c r="F1048" s="308"/>
      <c r="G1048" s="308"/>
      <c r="H1048" s="307"/>
      <c r="I1048" s="307"/>
      <c r="J1048" s="307"/>
      <c r="K1048" s="307"/>
      <c r="L1048" s="307"/>
      <c r="M1048" s="307"/>
      <c r="N1048" s="307"/>
      <c r="O1048" s="307"/>
      <c r="P1048" s="307"/>
      <c r="Q1048" s="307"/>
      <c r="R1048" s="307"/>
      <c r="S1048" s="307"/>
      <c r="T1048" s="307"/>
      <c r="U1048" s="646"/>
      <c r="V1048" s="438"/>
      <c r="W1048" s="254"/>
    </row>
    <row r="1049" spans="1:23" ht="15.05" thickBot="1" x14ac:dyDescent="0.35">
      <c r="B1049" s="5042"/>
      <c r="C1049" s="1056">
        <f>IF(B1049=0,0,U1042)</f>
        <v>0</v>
      </c>
      <c r="D1049" s="1056">
        <f>IF(B1049=0,0,VLOOKUP(B1049,Precios!$B$216:$D$307,3,FALSE))</f>
        <v>0</v>
      </c>
      <c r="E1049" s="5048"/>
      <c r="F1049" s="1249">
        <f>IF(B1049=0,0,VLOOKUP(B1049,Precios!$B$216:$D$307,2,FALSE))</f>
        <v>0</v>
      </c>
      <c r="G1049" s="1066">
        <f>E1049*F1049</f>
        <v>0</v>
      </c>
      <c r="H1049" s="309"/>
      <c r="I1049" s="1072">
        <f>IF($C1049&gt;0,I1042*$E1049,0)</f>
        <v>0</v>
      </c>
      <c r="J1049" s="1252"/>
      <c r="K1049" s="571"/>
      <c r="L1049" s="571"/>
      <c r="M1049" s="571"/>
      <c r="N1049" s="571"/>
      <c r="O1049" s="571"/>
      <c r="P1049" s="571"/>
      <c r="Q1049" s="571"/>
      <c r="R1049" s="571"/>
      <c r="S1049" s="571"/>
      <c r="T1049" s="1253"/>
      <c r="U1049" s="1073">
        <f>SUM(I1049:T1049)</f>
        <v>0</v>
      </c>
      <c r="V1049" s="232" t="str">
        <f>B1049&amp;"contratada"</f>
        <v>contratada</v>
      </c>
      <c r="W1049" s="254"/>
    </row>
    <row r="1050" spans="1:23" x14ac:dyDescent="0.3">
      <c r="B1050" s="5081"/>
      <c r="C1050" s="1259">
        <f>IF(B1050=0,0,U1042)</f>
        <v>0</v>
      </c>
      <c r="D1050" s="1260">
        <f>IF(B1050=0,0,VLOOKUP(B1050,Precios!$B$216:$D$307,3,FALSE))</f>
        <v>0</v>
      </c>
      <c r="E1050" s="5083"/>
      <c r="F1050" s="1263">
        <f>IF(B1050=0,0,VLOOKUP(B1050,Precios!$B$216:$D$307,2,FALSE))</f>
        <v>0</v>
      </c>
      <c r="G1050" s="1262">
        <f>E1050*F1050</f>
        <v>0</v>
      </c>
      <c r="H1050" s="309"/>
      <c r="I1050" s="1076">
        <f>IF($C1050&gt;0,I1042*$E1050,0)</f>
        <v>0</v>
      </c>
      <c r="J1050" s="1254"/>
      <c r="K1050" s="425"/>
      <c r="L1050" s="425"/>
      <c r="M1050" s="425"/>
      <c r="N1050" s="425"/>
      <c r="O1050" s="425"/>
      <c r="P1050" s="425"/>
      <c r="Q1050" s="425"/>
      <c r="R1050" s="425"/>
      <c r="S1050" s="425"/>
      <c r="T1050" s="1255"/>
      <c r="U1050" s="1078">
        <f>SUM(I1050:T1050)</f>
        <v>0</v>
      </c>
      <c r="V1050" s="232" t="str">
        <f>B1050&amp;"contratada"</f>
        <v>contratada</v>
      </c>
      <c r="W1050" s="254"/>
    </row>
    <row r="1051" spans="1:23" x14ac:dyDescent="0.3">
      <c r="B1051" s="647" t="s">
        <v>1084</v>
      </c>
      <c r="C1051" s="305"/>
      <c r="D1051" s="305"/>
      <c r="E1051" s="305"/>
      <c r="F1051" s="305"/>
      <c r="G1051" s="305"/>
      <c r="H1051" s="306"/>
      <c r="I1051" s="904">
        <f>SUM(I1049:I1050)</f>
        <v>0</v>
      </c>
      <c r="J1051" s="1250"/>
      <c r="K1051" s="596"/>
      <c r="L1051" s="596"/>
      <c r="M1051" s="596"/>
      <c r="N1051" s="596"/>
      <c r="O1051" s="596"/>
      <c r="P1051" s="596"/>
      <c r="Q1051" s="596"/>
      <c r="R1051" s="596"/>
      <c r="S1051" s="596"/>
      <c r="T1051" s="1251"/>
      <c r="U1051" s="905">
        <f>SUM(I1051:T1051)</f>
        <v>0</v>
      </c>
      <c r="V1051" s="439"/>
      <c r="W1051" s="254"/>
    </row>
    <row r="1052" spans="1:23" x14ac:dyDescent="0.2">
      <c r="B1052" s="197" t="s">
        <v>339</v>
      </c>
      <c r="C1052" s="307"/>
      <c r="D1052" s="307"/>
      <c r="E1052" s="308"/>
      <c r="F1052" s="651"/>
      <c r="G1052" s="308"/>
      <c r="H1052" s="307"/>
      <c r="I1052" s="307"/>
      <c r="J1052" s="307"/>
      <c r="K1052" s="307"/>
      <c r="L1052" s="307"/>
      <c r="M1052" s="307"/>
      <c r="N1052" s="307"/>
      <c r="O1052" s="307"/>
      <c r="P1052" s="307"/>
      <c r="Q1052" s="307"/>
      <c r="R1052" s="307"/>
      <c r="S1052" s="307"/>
      <c r="T1052" s="307"/>
      <c r="U1052" s="646"/>
      <c r="V1052" s="438"/>
      <c r="W1052" s="254"/>
    </row>
    <row r="1053" spans="1:23" ht="15.05" thickBot="1" x14ac:dyDescent="0.35">
      <c r="B1053" s="5042"/>
      <c r="C1053" s="1056">
        <f>IF(B1053=0,0,U1042)</f>
        <v>0</v>
      </c>
      <c r="D1053" s="1056">
        <f>IF(B1053=0,0,VLOOKUP(B1053,Precios!$B$216:$D$307,3,FALSE))</f>
        <v>0</v>
      </c>
      <c r="E1053" s="5048"/>
      <c r="F1053" s="1063">
        <f>IF(B1053=0,0,VLOOKUP(B1053,Precios!$B$216:$D$307,2,FALSE))</f>
        <v>0</v>
      </c>
      <c r="G1053" s="1066">
        <f>E1053*F1053</f>
        <v>0</v>
      </c>
      <c r="H1053" s="309"/>
      <c r="I1053" s="1072">
        <f>IF($C1053&gt;0,I1042*$E1053,0)</f>
        <v>0</v>
      </c>
      <c r="J1053" s="1252"/>
      <c r="K1053" s="571"/>
      <c r="L1053" s="571"/>
      <c r="M1053" s="571"/>
      <c r="N1053" s="571"/>
      <c r="O1053" s="571"/>
      <c r="P1053" s="571"/>
      <c r="Q1053" s="571"/>
      <c r="R1053" s="571"/>
      <c r="S1053" s="571"/>
      <c r="T1053" s="1253"/>
      <c r="U1053" s="1073">
        <f>SUM(I1053:T1053)</f>
        <v>0</v>
      </c>
      <c r="V1053" s="1516"/>
      <c r="W1053" s="254"/>
    </row>
    <row r="1054" spans="1:23" x14ac:dyDescent="0.3">
      <c r="B1054" s="5081"/>
      <c r="C1054" s="1259">
        <f>IF(B1054=0,0,U1042)</f>
        <v>0</v>
      </c>
      <c r="D1054" s="1260">
        <f>IF(B1054=0,0,VLOOKUP(B1054,Precios!$B$216:$D$307,3,FALSE))</f>
        <v>0</v>
      </c>
      <c r="E1054" s="5083"/>
      <c r="F1054" s="1261">
        <f>IF(B1054=0,0,VLOOKUP(B1054,Precios!$B$216:$D$307,2,FALSE))</f>
        <v>0</v>
      </c>
      <c r="G1054" s="1262">
        <f>E1054*F1054</f>
        <v>0</v>
      </c>
      <c r="H1054" s="309"/>
      <c r="I1054" s="1076">
        <f>IF($C1054&gt;0,I1042*$E1054,0)</f>
        <v>0</v>
      </c>
      <c r="J1054" s="1254"/>
      <c r="K1054" s="425"/>
      <c r="L1054" s="425"/>
      <c r="M1054" s="425"/>
      <c r="N1054" s="425"/>
      <c r="O1054" s="425"/>
      <c r="P1054" s="425"/>
      <c r="Q1054" s="425"/>
      <c r="R1054" s="425"/>
      <c r="S1054" s="425"/>
      <c r="T1054" s="1255"/>
      <c r="U1054" s="1078">
        <f>SUM(I1054:T1054)</f>
        <v>0</v>
      </c>
      <c r="V1054" s="1516"/>
      <c r="W1054" s="254"/>
    </row>
    <row r="1055" spans="1:23" x14ac:dyDescent="0.3">
      <c r="B1055" s="647" t="s">
        <v>1086</v>
      </c>
      <c r="C1055" s="305"/>
      <c r="D1055" s="305"/>
      <c r="E1055" s="305"/>
      <c r="F1055" s="305"/>
      <c r="G1055" s="305"/>
      <c r="H1055" s="306"/>
      <c r="I1055" s="904">
        <f>SUM(I1053:I1054)</f>
        <v>0</v>
      </c>
      <c r="J1055" s="1250"/>
      <c r="K1055" s="596"/>
      <c r="L1055" s="596"/>
      <c r="M1055" s="596"/>
      <c r="N1055" s="596"/>
      <c r="O1055" s="596"/>
      <c r="P1055" s="596"/>
      <c r="Q1055" s="596"/>
      <c r="R1055" s="596"/>
      <c r="S1055" s="596"/>
      <c r="T1055" s="1251"/>
      <c r="U1055" s="905">
        <f>SUM(I1055:T1055)</f>
        <v>0</v>
      </c>
      <c r="V1055" s="439"/>
      <c r="W1055" s="254"/>
    </row>
    <row r="1056" spans="1:23" x14ac:dyDescent="0.2">
      <c r="B1056" s="197" t="s">
        <v>340</v>
      </c>
      <c r="C1056" s="307"/>
      <c r="D1056" s="307"/>
      <c r="E1056" s="308"/>
      <c r="F1056" s="651"/>
      <c r="G1056" s="308"/>
      <c r="H1056" s="307"/>
      <c r="I1056" s="307"/>
      <c r="J1056" s="307"/>
      <c r="K1056" s="307"/>
      <c r="L1056" s="307"/>
      <c r="M1056" s="307"/>
      <c r="N1056" s="307"/>
      <c r="O1056" s="307"/>
      <c r="P1056" s="307"/>
      <c r="Q1056" s="307"/>
      <c r="R1056" s="307"/>
      <c r="S1056" s="307"/>
      <c r="T1056" s="307"/>
      <c r="U1056" s="646"/>
      <c r="V1056" s="438"/>
      <c r="W1056" s="254"/>
    </row>
    <row r="1057" spans="1:45" ht="15.05" thickBot="1" x14ac:dyDescent="0.35">
      <c r="B1057" s="5042"/>
      <c r="C1057" s="1056">
        <f>IF(B1057=0,0,U1042)</f>
        <v>0</v>
      </c>
      <c r="D1057" s="1056">
        <f>IF(B1057=0,0,VLOOKUP(B1057,Precios!$B$216:$D$307,3,FALSE))</f>
        <v>0</v>
      </c>
      <c r="E1057" s="5048"/>
      <c r="F1057" s="1062">
        <f>IF(B1057=0,0,VLOOKUP(B1057,Precios!$B$216:$D$307,2,FALSE))</f>
        <v>0</v>
      </c>
      <c r="G1057" s="1066">
        <f>E1057*F1057</f>
        <v>0</v>
      </c>
      <c r="H1057" s="309"/>
      <c r="I1057" s="1072">
        <f>IF($C1057&gt;0,I1042*$E1057,0)</f>
        <v>0</v>
      </c>
      <c r="J1057" s="1252"/>
      <c r="K1057" s="571"/>
      <c r="L1057" s="571"/>
      <c r="M1057" s="571"/>
      <c r="N1057" s="571"/>
      <c r="O1057" s="571"/>
      <c r="P1057" s="571"/>
      <c r="Q1057" s="571"/>
      <c r="R1057" s="571"/>
      <c r="S1057" s="571"/>
      <c r="T1057" s="1253"/>
      <c r="U1057" s="1073">
        <f>SUM(I1057:T1057)</f>
        <v>0</v>
      </c>
      <c r="V1057" s="1516"/>
      <c r="W1057" s="254"/>
    </row>
    <row r="1058" spans="1:45" ht="15.05" thickBot="1" x14ac:dyDescent="0.35">
      <c r="B1058" s="5044"/>
      <c r="C1058" s="985">
        <f>IF(B1058=0,0,U1042)</f>
        <v>0</v>
      </c>
      <c r="D1058" s="985">
        <f>IF(B1058=0,0,VLOOKUP(B1058,Precios!$B$216:$D$307,3,FALSE))</f>
        <v>0</v>
      </c>
      <c r="E1058" s="5049"/>
      <c r="F1058" s="1059">
        <f>IF(B1058=0,0,VLOOKUP(B1058,Precios!$B$216:$D$307,2,FALSE))</f>
        <v>0</v>
      </c>
      <c r="G1058" s="1067">
        <f>E1058*F1058</f>
        <v>0</v>
      </c>
      <c r="H1058" s="309"/>
      <c r="I1058" s="1074">
        <f>IF($C1058&gt;0,I1042*$E1058,0)</f>
        <v>0</v>
      </c>
      <c r="J1058" s="1254"/>
      <c r="K1058" s="425"/>
      <c r="L1058" s="425"/>
      <c r="M1058" s="425"/>
      <c r="N1058" s="425"/>
      <c r="O1058" s="425"/>
      <c r="P1058" s="425"/>
      <c r="Q1058" s="425"/>
      <c r="R1058" s="425"/>
      <c r="S1058" s="425"/>
      <c r="T1058" s="1255"/>
      <c r="U1058" s="1075">
        <f>SUM(I1058:T1058)</f>
        <v>0</v>
      </c>
      <c r="V1058" s="1516"/>
      <c r="W1058" s="254"/>
    </row>
    <row r="1059" spans="1:45" x14ac:dyDescent="0.3">
      <c r="B1059" s="5081"/>
      <c r="C1059" s="1260">
        <f>IF(B1059=0,0,U1042)</f>
        <v>0</v>
      </c>
      <c r="D1059" s="1260">
        <f>IF(B1059=0,0,VLOOKUP(B1059,Precios!$B$216:$D$307,3,FALSE))</f>
        <v>0</v>
      </c>
      <c r="E1059" s="5083"/>
      <c r="F1059" s="1264">
        <f>IF(B1059=0,0,VLOOKUP(B1059,Precios!$B$216:$D$307,2,FALSE))</f>
        <v>0</v>
      </c>
      <c r="G1059" s="1262">
        <f>E1059*F1059</f>
        <v>0</v>
      </c>
      <c r="H1059" s="309"/>
      <c r="I1059" s="1076">
        <f>IF($C1059&gt;0,I1042*$E1059,0)</f>
        <v>0</v>
      </c>
      <c r="J1059" s="1265"/>
      <c r="K1059" s="439"/>
      <c r="L1059" s="439"/>
      <c r="M1059" s="439"/>
      <c r="N1059" s="439"/>
      <c r="O1059" s="439"/>
      <c r="P1059" s="439"/>
      <c r="Q1059" s="439"/>
      <c r="R1059" s="439"/>
      <c r="S1059" s="425"/>
      <c r="T1059" s="1255"/>
      <c r="U1059" s="1078">
        <f>SUM(I1059:T1059)</f>
        <v>0</v>
      </c>
      <c r="V1059" s="1516"/>
      <c r="W1059" s="254"/>
    </row>
    <row r="1060" spans="1:45" ht="15.05" thickBot="1" x14ac:dyDescent="0.35">
      <c r="B1060" s="647" t="s">
        <v>1087</v>
      </c>
      <c r="C1060" s="305"/>
      <c r="D1060" s="305"/>
      <c r="E1060" s="305"/>
      <c r="F1060" s="305"/>
      <c r="G1060" s="305"/>
      <c r="H1060" s="306"/>
      <c r="I1060" s="904">
        <f>SUM(I1057:I1059)</f>
        <v>0</v>
      </c>
      <c r="J1060" s="1266"/>
      <c r="K1060" s="1267"/>
      <c r="L1060" s="1267"/>
      <c r="M1060" s="1267"/>
      <c r="N1060" s="1267"/>
      <c r="O1060" s="1267"/>
      <c r="P1060" s="1267"/>
      <c r="Q1060" s="1267"/>
      <c r="R1060" s="1267"/>
      <c r="S1060" s="1267"/>
      <c r="T1060" s="1268"/>
      <c r="U1060" s="1269">
        <f>SUM(I1060:T1060)</f>
        <v>0</v>
      </c>
      <c r="V1060" s="439"/>
      <c r="W1060" s="254"/>
    </row>
    <row r="1061" spans="1:45" ht="15.05" thickBot="1" x14ac:dyDescent="0.25">
      <c r="B1061" s="1274" t="s">
        <v>1865</v>
      </c>
      <c r="C1061" s="882" t="str">
        <f>+B1041</f>
        <v>Colza grano</v>
      </c>
      <c r="D1061" s="882"/>
      <c r="E1061" s="357" t="s">
        <v>876</v>
      </c>
      <c r="F1061" s="1275"/>
      <c r="G1061" s="1276"/>
      <c r="H1061" s="357"/>
      <c r="I1061" s="358">
        <f>SUMPRODUCT($F1045:$F1059,I1045:I1059)</f>
        <v>0</v>
      </c>
      <c r="J1061" s="1277"/>
      <c r="K1061" s="357"/>
      <c r="L1061" s="357"/>
      <c r="M1061" s="357"/>
      <c r="N1061" s="357"/>
      <c r="O1061" s="357"/>
      <c r="P1061" s="357"/>
      <c r="Q1061" s="357"/>
      <c r="R1061" s="357"/>
      <c r="S1061" s="357"/>
      <c r="T1061" s="1278"/>
      <c r="U1061" s="934">
        <f>SUM(I1061:T1061)</f>
        <v>0</v>
      </c>
      <c r="V1061" s="1517"/>
      <c r="W1061" s="254"/>
    </row>
    <row r="1062" spans="1:45" ht="15.05" thickBot="1" x14ac:dyDescent="0.25">
      <c r="V1062" s="254"/>
      <c r="W1062" s="254"/>
    </row>
    <row r="1063" spans="1:45" ht="15.05" thickBot="1" x14ac:dyDescent="0.25">
      <c r="A1063" s="1344">
        <f>+A1040</f>
        <v>69</v>
      </c>
      <c r="B1063" s="142" t="s">
        <v>2344</v>
      </c>
      <c r="C1063" s="334"/>
      <c r="D1063" s="334"/>
      <c r="E1063" s="334"/>
      <c r="F1063" s="334"/>
      <c r="G1063" s="334"/>
      <c r="H1063" s="334"/>
      <c r="I1063" s="334"/>
      <c r="J1063" s="334"/>
      <c r="K1063" s="334"/>
      <c r="L1063" s="334"/>
      <c r="M1063" s="334"/>
      <c r="N1063" s="334"/>
      <c r="O1063" s="334"/>
      <c r="P1063" s="334"/>
      <c r="Q1063" s="334"/>
      <c r="R1063" s="334"/>
      <c r="S1063" s="334"/>
      <c r="T1063" s="334"/>
      <c r="U1063" s="360"/>
      <c r="V1063" s="1571"/>
      <c r="W1063" s="254"/>
      <c r="Y1063" s="1271"/>
      <c r="Z1063" s="372"/>
      <c r="AA1063" s="372"/>
      <c r="AB1063" s="372"/>
      <c r="AC1063" s="372"/>
      <c r="AD1063" s="372"/>
      <c r="AE1063" s="372"/>
      <c r="AF1063" s="372"/>
      <c r="AG1063" s="372"/>
      <c r="AH1063" s="372"/>
      <c r="AI1063" s="372"/>
      <c r="AJ1063" s="372"/>
      <c r="AK1063" s="372"/>
      <c r="AL1063" s="372"/>
      <c r="AM1063" s="372"/>
      <c r="AN1063" s="372"/>
      <c r="AO1063" s="372"/>
      <c r="AP1063" s="372"/>
      <c r="AQ1063" s="372"/>
      <c r="AR1063" s="767"/>
      <c r="AS1063" s="254"/>
    </row>
    <row r="1064" spans="1:45" x14ac:dyDescent="0.2">
      <c r="A1064" s="1344" t="s">
        <v>58</v>
      </c>
      <c r="B1064" s="948">
        <f>UsoSuelo!D355</f>
        <v>0</v>
      </c>
      <c r="C1064" s="291"/>
      <c r="D1064" s="291"/>
      <c r="E1064" s="291"/>
      <c r="F1064" s="291"/>
      <c r="G1064" s="292" t="s">
        <v>883</v>
      </c>
      <c r="H1064" s="222"/>
      <c r="I1064" s="293" t="str">
        <f>+$I$6</f>
        <v>Ene</v>
      </c>
      <c r="J1064" s="2138"/>
      <c r="K1064" s="2138"/>
      <c r="L1064" s="2138"/>
      <c r="M1064" s="2138"/>
      <c r="N1064" s="2138"/>
      <c r="O1064" s="2138"/>
      <c r="P1064" s="2138"/>
      <c r="Q1064" s="2138"/>
      <c r="R1064" s="2138"/>
      <c r="S1064" s="2138"/>
      <c r="T1064" s="2139"/>
      <c r="U1064" s="640" t="s">
        <v>1106</v>
      </c>
      <c r="V1064" s="1572"/>
      <c r="W1064" s="254"/>
    </row>
    <row r="1065" spans="1:45" x14ac:dyDescent="0.2">
      <c r="A1065" s="739"/>
      <c r="B1065" s="899" t="s">
        <v>721</v>
      </c>
      <c r="C1065" s="900"/>
      <c r="D1065" s="900"/>
      <c r="E1065" s="900"/>
      <c r="F1065" s="900"/>
      <c r="G1065" s="900"/>
      <c r="H1065" s="900"/>
      <c r="I1065" s="1245">
        <f>+UsoSuelo!U355</f>
        <v>0</v>
      </c>
      <c r="J1065" s="1246"/>
      <c r="K1065" s="1247"/>
      <c r="L1065" s="1247"/>
      <c r="M1065" s="1247"/>
      <c r="N1065" s="1247"/>
      <c r="O1065" s="1247"/>
      <c r="P1065" s="1247"/>
      <c r="Q1065" s="1247"/>
      <c r="R1065" s="1247"/>
      <c r="S1065" s="1247"/>
      <c r="T1065" s="1248"/>
      <c r="U1065" s="903">
        <f>+I1065</f>
        <v>0</v>
      </c>
      <c r="V1065" s="1514"/>
      <c r="W1065" s="254"/>
    </row>
    <row r="1066" spans="1:45" x14ac:dyDescent="0.2">
      <c r="B1066" s="641"/>
      <c r="C1066" s="621" t="s">
        <v>885</v>
      </c>
      <c r="D1066" s="621"/>
      <c r="E1066" s="621" t="s">
        <v>881</v>
      </c>
      <c r="F1066" s="621" t="s">
        <v>23</v>
      </c>
      <c r="G1066" s="622"/>
      <c r="H1066" s="623"/>
      <c r="I1066" s="297"/>
      <c r="J1066" s="296"/>
      <c r="K1066" s="296"/>
      <c r="L1066" s="296"/>
      <c r="M1066" s="296"/>
      <c r="N1066" s="297"/>
      <c r="O1066" s="297"/>
      <c r="P1066" s="297"/>
      <c r="Q1066" s="297"/>
      <c r="R1066" s="297"/>
      <c r="S1066" s="297"/>
      <c r="T1066" s="297"/>
      <c r="U1066" s="642" t="s">
        <v>881</v>
      </c>
      <c r="V1066" s="1515"/>
      <c r="W1066" s="254"/>
    </row>
    <row r="1067" spans="1:45" x14ac:dyDescent="0.2">
      <c r="B1067" s="199" t="s">
        <v>869</v>
      </c>
      <c r="C1067" s="3" t="s">
        <v>1105</v>
      </c>
      <c r="D1067" s="3" t="s">
        <v>312</v>
      </c>
      <c r="E1067" s="4" t="s">
        <v>882</v>
      </c>
      <c r="F1067" s="3" t="s">
        <v>314</v>
      </c>
      <c r="G1067" s="4" t="s">
        <v>313</v>
      </c>
      <c r="H1067" s="299"/>
      <c r="I1067" s="319" t="s">
        <v>2002</v>
      </c>
      <c r="J1067" s="319"/>
      <c r="K1067" s="319"/>
      <c r="L1067" s="319"/>
      <c r="M1067" s="320"/>
      <c r="N1067" s="320"/>
      <c r="O1067" s="320"/>
      <c r="P1067" s="320"/>
      <c r="Q1067" s="320"/>
      <c r="R1067" s="320"/>
      <c r="S1067" s="320"/>
      <c r="T1067" s="320"/>
      <c r="U1067" s="643" t="s">
        <v>891</v>
      </c>
      <c r="V1067" s="1572"/>
      <c r="W1067" s="254"/>
    </row>
    <row r="1068" spans="1:45" ht="15.05" thickBot="1" x14ac:dyDescent="0.35">
      <c r="B1068" s="5042"/>
      <c r="C1068" s="1056">
        <f>IF(B1068=0,0,U1065)</f>
        <v>0</v>
      </c>
      <c r="D1068" s="1056">
        <f>IF(B1068=0,0,VLOOKUP(B1068,Precios!$B$216:$D$307,3,FALSE))</f>
        <v>0</v>
      </c>
      <c r="E1068" s="5043"/>
      <c r="F1068" s="300"/>
      <c r="G1068" s="300"/>
      <c r="H1068" s="309"/>
      <c r="I1068" s="1072">
        <f>IF($C1068&gt;0,I1065*$E1068,0)</f>
        <v>0</v>
      </c>
      <c r="J1068" s="1252"/>
      <c r="K1068" s="571"/>
      <c r="L1068" s="571"/>
      <c r="M1068" s="571"/>
      <c r="N1068" s="571"/>
      <c r="O1068" s="571"/>
      <c r="P1068" s="571"/>
      <c r="Q1068" s="571"/>
      <c r="R1068" s="571"/>
      <c r="S1068" s="571"/>
      <c r="T1068" s="1253"/>
      <c r="U1068" s="1073">
        <f>SUM(I1068:T1068)</f>
        <v>0</v>
      </c>
      <c r="V1068" s="232" t="str">
        <f>B1068&amp;"propia"</f>
        <v>propia</v>
      </c>
      <c r="W1068" s="254"/>
    </row>
    <row r="1069" spans="1:45" x14ac:dyDescent="0.3">
      <c r="B1069" s="5081"/>
      <c r="C1069" s="1259">
        <f>IF(B1069=0,0,U1065)</f>
        <v>0</v>
      </c>
      <c r="D1069" s="1260">
        <f>IF(B1069=0,0,VLOOKUP(B1069,Precios!$B$216:$D$307,3,FALSE))</f>
        <v>0</v>
      </c>
      <c r="E1069" s="5082"/>
      <c r="F1069" s="300"/>
      <c r="G1069" s="300"/>
      <c r="H1069" s="309"/>
      <c r="I1069" s="1076">
        <f>IF($C1069&gt;0,I1065*$E1069,0)</f>
        <v>0</v>
      </c>
      <c r="J1069" s="1254"/>
      <c r="K1069" s="425"/>
      <c r="L1069" s="425"/>
      <c r="M1069" s="425"/>
      <c r="N1069" s="425"/>
      <c r="O1069" s="425"/>
      <c r="P1069" s="425"/>
      <c r="Q1069" s="425"/>
      <c r="R1069" s="425"/>
      <c r="S1069" s="425"/>
      <c r="T1069" s="1255"/>
      <c r="U1069" s="1075">
        <f>SUM(I1069:T1069)</f>
        <v>0</v>
      </c>
      <c r="V1069" s="232" t="str">
        <f>B1069&amp;"propia"</f>
        <v>propia</v>
      </c>
      <c r="W1069" s="254"/>
    </row>
    <row r="1070" spans="1:45" x14ac:dyDescent="0.3">
      <c r="B1070" s="647" t="s">
        <v>1083</v>
      </c>
      <c r="C1070" s="305"/>
      <c r="D1070" s="305"/>
      <c r="E1070" s="305"/>
      <c r="F1070" s="305"/>
      <c r="G1070" s="305"/>
      <c r="H1070" s="306"/>
      <c r="I1070" s="904">
        <f>SUM(I1068:I1069)</f>
        <v>0</v>
      </c>
      <c r="J1070" s="1256"/>
      <c r="K1070" s="1257"/>
      <c r="L1070" s="1257"/>
      <c r="M1070" s="1257"/>
      <c r="N1070" s="1257"/>
      <c r="O1070" s="1257"/>
      <c r="P1070" s="1257"/>
      <c r="Q1070" s="1257"/>
      <c r="R1070" s="1257"/>
      <c r="S1070" s="1257"/>
      <c r="T1070" s="1258"/>
      <c r="U1070" s="905">
        <f>SUM(I1070:T1070)</f>
        <v>0</v>
      </c>
      <c r="V1070" s="254"/>
      <c r="W1070" s="254"/>
    </row>
    <row r="1071" spans="1:45" x14ac:dyDescent="0.2">
      <c r="B1071" s="197" t="s">
        <v>870</v>
      </c>
      <c r="C1071" s="307"/>
      <c r="D1071" s="307"/>
      <c r="E1071" s="308"/>
      <c r="F1071" s="308"/>
      <c r="G1071" s="308"/>
      <c r="H1071" s="307"/>
      <c r="I1071" s="307"/>
      <c r="J1071" s="307"/>
      <c r="K1071" s="307"/>
      <c r="L1071" s="307"/>
      <c r="M1071" s="307"/>
      <c r="N1071" s="307"/>
      <c r="O1071" s="307"/>
      <c r="P1071" s="307"/>
      <c r="Q1071" s="307"/>
      <c r="R1071" s="307"/>
      <c r="S1071" s="307"/>
      <c r="T1071" s="307"/>
      <c r="U1071" s="646"/>
      <c r="V1071" s="254"/>
      <c r="W1071" s="254"/>
    </row>
    <row r="1072" spans="1:45" ht="15.05" thickBot="1" x14ac:dyDescent="0.35">
      <c r="B1072" s="5042"/>
      <c r="C1072" s="1056">
        <f>IF(B1072=0,0,U1065)</f>
        <v>0</v>
      </c>
      <c r="D1072" s="1056">
        <f>IF(B1072=0,0,VLOOKUP(B1072,Precios!$B$216:$D$307,3,FALSE))</f>
        <v>0</v>
      </c>
      <c r="E1072" s="5048"/>
      <c r="F1072" s="1249">
        <f>IF(B1072=0,0,VLOOKUP(B1072,Precios!$B$216:$D$307,2,FALSE))</f>
        <v>0</v>
      </c>
      <c r="G1072" s="1066">
        <f>E1072*F1072</f>
        <v>0</v>
      </c>
      <c r="H1072" s="309"/>
      <c r="I1072" s="1072">
        <f>IF($C1072&gt;0,I1065*$E1072,0)</f>
        <v>0</v>
      </c>
      <c r="J1072" s="1252"/>
      <c r="K1072" s="571"/>
      <c r="L1072" s="571"/>
      <c r="M1072" s="571"/>
      <c r="N1072" s="571"/>
      <c r="O1072" s="571"/>
      <c r="P1072" s="571"/>
      <c r="Q1072" s="571"/>
      <c r="R1072" s="571"/>
      <c r="S1072" s="571"/>
      <c r="T1072" s="1253"/>
      <c r="U1072" s="1073">
        <f>SUM(I1072:T1072)</f>
        <v>0</v>
      </c>
      <c r="V1072" s="232" t="str">
        <f>B1072&amp;"contratada"</f>
        <v>contratada</v>
      </c>
      <c r="W1072" s="254"/>
    </row>
    <row r="1073" spans="1:45" x14ac:dyDescent="0.3">
      <c r="B1073" s="5081"/>
      <c r="C1073" s="1259">
        <f>IF(B1073=0,0,U1065)</f>
        <v>0</v>
      </c>
      <c r="D1073" s="1260">
        <f>IF(B1073=0,0,VLOOKUP(B1073,Precios!$B$216:$D$307,3,FALSE))</f>
        <v>0</v>
      </c>
      <c r="E1073" s="5083"/>
      <c r="F1073" s="1263">
        <f>IF(B1073=0,0,VLOOKUP(B1073,Precios!$B$216:$D$307,2,FALSE))</f>
        <v>0</v>
      </c>
      <c r="G1073" s="1262">
        <f>E1073*F1073</f>
        <v>0</v>
      </c>
      <c r="H1073" s="309"/>
      <c r="I1073" s="1076">
        <f>IF($C1073&gt;0,I1065*$E1073,0)</f>
        <v>0</v>
      </c>
      <c r="J1073" s="1254"/>
      <c r="K1073" s="425"/>
      <c r="L1073" s="425"/>
      <c r="M1073" s="425"/>
      <c r="N1073" s="425"/>
      <c r="O1073" s="425"/>
      <c r="P1073" s="425"/>
      <c r="Q1073" s="425"/>
      <c r="R1073" s="425"/>
      <c r="S1073" s="425"/>
      <c r="T1073" s="1255"/>
      <c r="U1073" s="1078">
        <f>SUM(I1073:T1073)</f>
        <v>0</v>
      </c>
      <c r="V1073" s="232" t="str">
        <f>B1073&amp;"contratada"</f>
        <v>contratada</v>
      </c>
      <c r="W1073" s="254"/>
    </row>
    <row r="1074" spans="1:45" x14ac:dyDescent="0.3">
      <c r="B1074" s="647" t="s">
        <v>1084</v>
      </c>
      <c r="C1074" s="305"/>
      <c r="D1074" s="305"/>
      <c r="E1074" s="305"/>
      <c r="F1074" s="305"/>
      <c r="G1074" s="305"/>
      <c r="H1074" s="306"/>
      <c r="I1074" s="904">
        <f>SUM(I1072:I1073)</f>
        <v>0</v>
      </c>
      <c r="J1074" s="1250"/>
      <c r="K1074" s="596"/>
      <c r="L1074" s="596"/>
      <c r="M1074" s="596"/>
      <c r="N1074" s="596"/>
      <c r="O1074" s="596"/>
      <c r="P1074" s="596"/>
      <c r="Q1074" s="596"/>
      <c r="R1074" s="596"/>
      <c r="S1074" s="596"/>
      <c r="T1074" s="1251"/>
      <c r="U1074" s="905">
        <f>SUM(I1074:T1074)</f>
        <v>0</v>
      </c>
      <c r="V1074" s="254"/>
      <c r="W1074" s="254"/>
    </row>
    <row r="1075" spans="1:45" x14ac:dyDescent="0.2">
      <c r="B1075" s="197" t="s">
        <v>339</v>
      </c>
      <c r="C1075" s="307"/>
      <c r="D1075" s="307"/>
      <c r="E1075" s="308"/>
      <c r="F1075" s="651"/>
      <c r="G1075" s="308"/>
      <c r="H1075" s="307"/>
      <c r="I1075" s="307"/>
      <c r="J1075" s="307"/>
      <c r="K1075" s="307"/>
      <c r="L1075" s="307"/>
      <c r="M1075" s="307"/>
      <c r="N1075" s="307"/>
      <c r="O1075" s="307"/>
      <c r="P1075" s="307"/>
      <c r="Q1075" s="307"/>
      <c r="R1075" s="307"/>
      <c r="S1075" s="307"/>
      <c r="T1075" s="307"/>
      <c r="U1075" s="646"/>
      <c r="V1075" s="254"/>
      <c r="W1075" s="254"/>
    </row>
    <row r="1076" spans="1:45" ht="15.05" thickBot="1" x14ac:dyDescent="0.35">
      <c r="B1076" s="5042"/>
      <c r="C1076" s="1056">
        <f>IF(B1076=0,0,U1065)</f>
        <v>0</v>
      </c>
      <c r="D1076" s="1056">
        <f>IF(B1076=0,0,VLOOKUP(B1076,Precios!$B$216:$D$307,3,FALSE))</f>
        <v>0</v>
      </c>
      <c r="E1076" s="5048"/>
      <c r="F1076" s="1063">
        <f>IF(B1076=0,0,VLOOKUP(B1076,Precios!$B$216:$D$307,2,FALSE))</f>
        <v>0</v>
      </c>
      <c r="G1076" s="1066">
        <f>E1076*F1076</f>
        <v>0</v>
      </c>
      <c r="H1076" s="309"/>
      <c r="I1076" s="1072">
        <f>IF($C1076&gt;0,I1065*$E1076,0)</f>
        <v>0</v>
      </c>
      <c r="J1076" s="1252"/>
      <c r="K1076" s="571"/>
      <c r="L1076" s="571"/>
      <c r="M1076" s="571"/>
      <c r="N1076" s="571"/>
      <c r="O1076" s="571"/>
      <c r="P1076" s="571"/>
      <c r="Q1076" s="571"/>
      <c r="R1076" s="571"/>
      <c r="S1076" s="571"/>
      <c r="T1076" s="1253"/>
      <c r="U1076" s="1073">
        <f>SUM(I1076:T1076)</f>
        <v>0</v>
      </c>
      <c r="V1076" s="254"/>
      <c r="W1076" s="254"/>
    </row>
    <row r="1077" spans="1:45" x14ac:dyDescent="0.3">
      <c r="B1077" s="5081"/>
      <c r="C1077" s="1259">
        <f>IF(B1077=0,0,U1065)</f>
        <v>0</v>
      </c>
      <c r="D1077" s="1260">
        <f>IF(B1077=0,0,VLOOKUP(B1077,Precios!$B$216:$D$307,3,FALSE))</f>
        <v>0</v>
      </c>
      <c r="E1077" s="5083"/>
      <c r="F1077" s="1261">
        <f>IF(B1077=0,0,VLOOKUP(B1077,Precios!$B$216:$D$307,2,FALSE))</f>
        <v>0</v>
      </c>
      <c r="G1077" s="1262">
        <f>E1077*F1077</f>
        <v>0</v>
      </c>
      <c r="H1077" s="309"/>
      <c r="I1077" s="1076">
        <f>IF($C1077&gt;0,I1065*$E1077,0)</f>
        <v>0</v>
      </c>
      <c r="J1077" s="1254"/>
      <c r="K1077" s="425"/>
      <c r="L1077" s="425"/>
      <c r="M1077" s="425"/>
      <c r="N1077" s="425"/>
      <c r="O1077" s="425"/>
      <c r="P1077" s="425"/>
      <c r="Q1077" s="425"/>
      <c r="R1077" s="425"/>
      <c r="S1077" s="425"/>
      <c r="T1077" s="1255"/>
      <c r="U1077" s="1078">
        <f>SUM(I1077:T1077)</f>
        <v>0</v>
      </c>
      <c r="V1077" s="254"/>
      <c r="W1077" s="254"/>
    </row>
    <row r="1078" spans="1:45" x14ac:dyDescent="0.3">
      <c r="B1078" s="647" t="s">
        <v>1086</v>
      </c>
      <c r="C1078" s="305"/>
      <c r="D1078" s="305"/>
      <c r="E1078" s="305"/>
      <c r="F1078" s="305"/>
      <c r="G1078" s="305"/>
      <c r="H1078" s="306"/>
      <c r="I1078" s="904">
        <f>SUM(I1076:I1077)</f>
        <v>0</v>
      </c>
      <c r="J1078" s="1250"/>
      <c r="K1078" s="596"/>
      <c r="L1078" s="596"/>
      <c r="M1078" s="596"/>
      <c r="N1078" s="596"/>
      <c r="O1078" s="596"/>
      <c r="P1078" s="596"/>
      <c r="Q1078" s="596"/>
      <c r="R1078" s="596"/>
      <c r="S1078" s="596"/>
      <c r="T1078" s="1251"/>
      <c r="U1078" s="905">
        <f>SUM(I1078:T1078)</f>
        <v>0</v>
      </c>
      <c r="V1078" s="254"/>
      <c r="W1078" s="254"/>
    </row>
    <row r="1079" spans="1:45" x14ac:dyDescent="0.2">
      <c r="B1079" s="197" t="s">
        <v>340</v>
      </c>
      <c r="C1079" s="307"/>
      <c r="D1079" s="307"/>
      <c r="E1079" s="308"/>
      <c r="F1079" s="651"/>
      <c r="G1079" s="308"/>
      <c r="H1079" s="307"/>
      <c r="I1079" s="307"/>
      <c r="J1079" s="307"/>
      <c r="K1079" s="307"/>
      <c r="L1079" s="307"/>
      <c r="M1079" s="307"/>
      <c r="N1079" s="307"/>
      <c r="O1079" s="307"/>
      <c r="P1079" s="307"/>
      <c r="Q1079" s="307"/>
      <c r="R1079" s="307"/>
      <c r="S1079" s="307"/>
      <c r="T1079" s="307"/>
      <c r="U1079" s="646"/>
      <c r="V1079" s="254"/>
      <c r="W1079" s="254"/>
    </row>
    <row r="1080" spans="1:45" ht="15.05" thickBot="1" x14ac:dyDescent="0.35">
      <c r="B1080" s="5042"/>
      <c r="C1080" s="1056">
        <f>IF(B1080=0,0,U1065)</f>
        <v>0</v>
      </c>
      <c r="D1080" s="1056">
        <f>IF(B1080=0,0,VLOOKUP(B1080,Precios!$B$216:$D$307,3,FALSE))</f>
        <v>0</v>
      </c>
      <c r="E1080" s="5048"/>
      <c r="F1080" s="1062">
        <f>IF(B1080=0,0,VLOOKUP(B1080,Precios!$B$216:$D$307,2,FALSE))</f>
        <v>0</v>
      </c>
      <c r="G1080" s="1066">
        <f>E1080*F1080</f>
        <v>0</v>
      </c>
      <c r="H1080" s="309"/>
      <c r="I1080" s="1072">
        <f>IF($C1080&gt;0,I1065*$E1080,0)</f>
        <v>0</v>
      </c>
      <c r="J1080" s="1252"/>
      <c r="K1080" s="571"/>
      <c r="L1080" s="571"/>
      <c r="M1080" s="571"/>
      <c r="N1080" s="571"/>
      <c r="O1080" s="571"/>
      <c r="P1080" s="571"/>
      <c r="Q1080" s="571"/>
      <c r="R1080" s="571"/>
      <c r="S1080" s="571"/>
      <c r="T1080" s="1253"/>
      <c r="U1080" s="1073">
        <f>SUM(I1080:T1080)</f>
        <v>0</v>
      </c>
      <c r="V1080" s="254"/>
      <c r="W1080" s="254"/>
    </row>
    <row r="1081" spans="1:45" ht="15.05" thickBot="1" x14ac:dyDescent="0.35">
      <c r="B1081" s="5044"/>
      <c r="C1081" s="985">
        <f>IF(B1081=0,0,U1065)</f>
        <v>0</v>
      </c>
      <c r="D1081" s="985">
        <f>IF(B1081=0,0,VLOOKUP(B1081,Precios!$B$216:$D$307,3,FALSE))</f>
        <v>0</v>
      </c>
      <c r="E1081" s="5049"/>
      <c r="F1081" s="1059">
        <f>IF(B1081=0,0,VLOOKUP(B1081,Precios!$B$216:$D$307,2,FALSE))</f>
        <v>0</v>
      </c>
      <c r="G1081" s="1067">
        <f>E1081*F1081</f>
        <v>0</v>
      </c>
      <c r="H1081" s="309"/>
      <c r="I1081" s="1074">
        <f>IF($C1081&gt;0,I1065*$E1081,0)</f>
        <v>0</v>
      </c>
      <c r="J1081" s="1254"/>
      <c r="K1081" s="425"/>
      <c r="L1081" s="425"/>
      <c r="M1081" s="425"/>
      <c r="N1081" s="425"/>
      <c r="O1081" s="425"/>
      <c r="P1081" s="425"/>
      <c r="Q1081" s="425"/>
      <c r="R1081" s="425"/>
      <c r="S1081" s="425"/>
      <c r="T1081" s="1255"/>
      <c r="U1081" s="1075">
        <f>SUM(I1081:T1081)</f>
        <v>0</v>
      </c>
      <c r="V1081" s="254"/>
      <c r="W1081" s="254"/>
    </row>
    <row r="1082" spans="1:45" x14ac:dyDescent="0.3">
      <c r="B1082" s="5081"/>
      <c r="C1082" s="1260">
        <f>IF(B1082=0,0,U1065)</f>
        <v>0</v>
      </c>
      <c r="D1082" s="1260">
        <f>IF(B1082=0,0,VLOOKUP(B1082,Precios!$B$216:$D$307,3,FALSE))</f>
        <v>0</v>
      </c>
      <c r="E1082" s="5083"/>
      <c r="F1082" s="1264">
        <f>IF(B1082=0,0,VLOOKUP(B1082,Precios!$B$216:$D$307,2,FALSE))</f>
        <v>0</v>
      </c>
      <c r="G1082" s="1262">
        <f>E1082*F1082</f>
        <v>0</v>
      </c>
      <c r="H1082" s="309"/>
      <c r="I1082" s="1076">
        <f>IF($C1082&gt;0,I1065*$E1082,0)</f>
        <v>0</v>
      </c>
      <c r="J1082" s="1265"/>
      <c r="K1082" s="439"/>
      <c r="L1082" s="439"/>
      <c r="M1082" s="439"/>
      <c r="N1082" s="439"/>
      <c r="O1082" s="439"/>
      <c r="P1082" s="439"/>
      <c r="Q1082" s="439"/>
      <c r="R1082" s="439"/>
      <c r="S1082" s="425"/>
      <c r="T1082" s="1255"/>
      <c r="U1082" s="1078">
        <f>SUM(I1082:T1082)</f>
        <v>0</v>
      </c>
      <c r="V1082" s="254"/>
      <c r="W1082" s="254"/>
    </row>
    <row r="1083" spans="1:45" ht="15.05" thickBot="1" x14ac:dyDescent="0.35">
      <c r="B1083" s="647" t="s">
        <v>1087</v>
      </c>
      <c r="C1083" s="305"/>
      <c r="D1083" s="305"/>
      <c r="E1083" s="305"/>
      <c r="F1083" s="305"/>
      <c r="G1083" s="305"/>
      <c r="H1083" s="306"/>
      <c r="I1083" s="904">
        <f>SUM(I1080:I1082)</f>
        <v>0</v>
      </c>
      <c r="J1083" s="1266"/>
      <c r="K1083" s="1267"/>
      <c r="L1083" s="1267"/>
      <c r="M1083" s="1267"/>
      <c r="N1083" s="1267"/>
      <c r="O1083" s="1267"/>
      <c r="P1083" s="1267"/>
      <c r="Q1083" s="1267"/>
      <c r="R1083" s="1267"/>
      <c r="S1083" s="1267"/>
      <c r="T1083" s="1268"/>
      <c r="U1083" s="1269">
        <f>SUM(I1083:T1083)</f>
        <v>0</v>
      </c>
      <c r="V1083" s="254"/>
      <c r="W1083" s="254"/>
    </row>
    <row r="1084" spans="1:45" ht="15.05" thickBot="1" x14ac:dyDescent="0.25">
      <c r="B1084" s="1274" t="s">
        <v>1865</v>
      </c>
      <c r="C1084" s="882">
        <f>+B1064</f>
        <v>0</v>
      </c>
      <c r="D1084" s="882"/>
      <c r="E1084" s="357" t="s">
        <v>876</v>
      </c>
      <c r="F1084" s="1275"/>
      <c r="G1084" s="1276"/>
      <c r="H1084" s="357"/>
      <c r="I1084" s="358">
        <f>SUMPRODUCT($F1068:$F1082,I1068:I1082)</f>
        <v>0</v>
      </c>
      <c r="J1084" s="1277"/>
      <c r="K1084" s="357"/>
      <c r="L1084" s="357"/>
      <c r="M1084" s="357"/>
      <c r="N1084" s="357"/>
      <c r="O1084" s="357"/>
      <c r="P1084" s="357"/>
      <c r="Q1084" s="357"/>
      <c r="R1084" s="357"/>
      <c r="S1084" s="357"/>
      <c r="T1084" s="1278"/>
      <c r="U1084" s="934">
        <f>SUM(I1084:T1084)</f>
        <v>0</v>
      </c>
      <c r="V1084" s="254"/>
      <c r="W1084" s="254"/>
    </row>
    <row r="1085" spans="1:45" ht="15.05" thickBot="1" x14ac:dyDescent="0.25">
      <c r="V1085" s="254"/>
      <c r="W1085" s="254"/>
    </row>
    <row r="1086" spans="1:45" ht="15.05" thickBot="1" x14ac:dyDescent="0.25">
      <c r="A1086" s="1344">
        <f>+A1063</f>
        <v>69</v>
      </c>
      <c r="B1086" s="142" t="s">
        <v>2344</v>
      </c>
      <c r="C1086" s="334"/>
      <c r="D1086" s="334"/>
      <c r="E1086" s="334"/>
      <c r="F1086" s="334"/>
      <c r="G1086" s="334"/>
      <c r="H1086" s="334"/>
      <c r="I1086" s="334"/>
      <c r="J1086" s="334"/>
      <c r="K1086" s="334"/>
      <c r="L1086" s="334"/>
      <c r="M1086" s="334"/>
      <c r="N1086" s="334"/>
      <c r="O1086" s="334"/>
      <c r="P1086" s="334"/>
      <c r="Q1086" s="334"/>
      <c r="R1086" s="334"/>
      <c r="S1086" s="334"/>
      <c r="T1086" s="334"/>
      <c r="U1086" s="360"/>
      <c r="V1086" s="1571"/>
      <c r="W1086" s="254"/>
      <c r="Y1086" s="1271"/>
      <c r="Z1086" s="372"/>
      <c r="AA1086" s="372"/>
      <c r="AB1086" s="372"/>
      <c r="AC1086" s="372"/>
      <c r="AD1086" s="372"/>
      <c r="AE1086" s="372"/>
      <c r="AF1086" s="372"/>
      <c r="AG1086" s="372"/>
      <c r="AH1086" s="372"/>
      <c r="AI1086" s="372"/>
      <c r="AJ1086" s="372"/>
      <c r="AK1086" s="372"/>
      <c r="AL1086" s="372"/>
      <c r="AM1086" s="372"/>
      <c r="AN1086" s="372"/>
      <c r="AO1086" s="372"/>
      <c r="AP1086" s="372"/>
      <c r="AQ1086" s="372"/>
      <c r="AR1086" s="767"/>
      <c r="AS1086" s="254"/>
    </row>
    <row r="1087" spans="1:45" x14ac:dyDescent="0.2">
      <c r="A1087" s="1344" t="s">
        <v>1869</v>
      </c>
      <c r="B1087" s="948">
        <f>UsoSuelo!D356</f>
        <v>0</v>
      </c>
      <c r="C1087" s="291"/>
      <c r="D1087" s="291"/>
      <c r="E1087" s="291"/>
      <c r="F1087" s="291"/>
      <c r="G1087" s="292" t="s">
        <v>883</v>
      </c>
      <c r="H1087" s="222"/>
      <c r="I1087" s="293" t="str">
        <f>+$I$6</f>
        <v>Ene</v>
      </c>
      <c r="J1087" s="2138"/>
      <c r="K1087" s="2138"/>
      <c r="L1087" s="2138"/>
      <c r="M1087" s="2138"/>
      <c r="N1087" s="2138"/>
      <c r="O1087" s="2138"/>
      <c r="P1087" s="2138"/>
      <c r="Q1087" s="2138"/>
      <c r="R1087" s="2138"/>
      <c r="S1087" s="2138"/>
      <c r="T1087" s="2139"/>
      <c r="U1087" s="640" t="s">
        <v>1106</v>
      </c>
      <c r="V1087" s="1572"/>
      <c r="W1087" s="254"/>
    </row>
    <row r="1088" spans="1:45" x14ac:dyDescent="0.2">
      <c r="A1088" s="739"/>
      <c r="B1088" s="899" t="s">
        <v>721</v>
      </c>
      <c r="C1088" s="900"/>
      <c r="D1088" s="900"/>
      <c r="E1088" s="900"/>
      <c r="F1088" s="900"/>
      <c r="G1088" s="900"/>
      <c r="H1088" s="900"/>
      <c r="I1088" s="1245">
        <f>+UsoSuelo!U356</f>
        <v>0</v>
      </c>
      <c r="J1088" s="1246"/>
      <c r="K1088" s="1247"/>
      <c r="L1088" s="1247"/>
      <c r="M1088" s="1247"/>
      <c r="N1088" s="1247"/>
      <c r="O1088" s="1247"/>
      <c r="P1088" s="1247"/>
      <c r="Q1088" s="1247"/>
      <c r="R1088" s="1247"/>
      <c r="S1088" s="1247"/>
      <c r="T1088" s="1248"/>
      <c r="U1088" s="903">
        <f>+I1088</f>
        <v>0</v>
      </c>
      <c r="V1088" s="1514"/>
      <c r="W1088" s="254"/>
    </row>
    <row r="1089" spans="2:23" x14ac:dyDescent="0.2">
      <c r="B1089" s="641"/>
      <c r="C1089" s="621" t="s">
        <v>885</v>
      </c>
      <c r="D1089" s="621"/>
      <c r="E1089" s="621" t="s">
        <v>881</v>
      </c>
      <c r="F1089" s="621" t="s">
        <v>23</v>
      </c>
      <c r="G1089" s="622"/>
      <c r="H1089" s="623"/>
      <c r="I1089" s="297"/>
      <c r="J1089" s="296"/>
      <c r="K1089" s="296"/>
      <c r="L1089" s="296"/>
      <c r="M1089" s="296"/>
      <c r="N1089" s="297"/>
      <c r="O1089" s="297"/>
      <c r="P1089" s="297"/>
      <c r="Q1089" s="297"/>
      <c r="R1089" s="297"/>
      <c r="S1089" s="297"/>
      <c r="T1089" s="297"/>
      <c r="U1089" s="642" t="s">
        <v>881</v>
      </c>
      <c r="V1089" s="1515"/>
      <c r="W1089" s="254"/>
    </row>
    <row r="1090" spans="2:23" x14ac:dyDescent="0.2">
      <c r="B1090" s="199" t="s">
        <v>869</v>
      </c>
      <c r="C1090" s="3" t="s">
        <v>1105</v>
      </c>
      <c r="D1090" s="3" t="s">
        <v>312</v>
      </c>
      <c r="E1090" s="4" t="s">
        <v>882</v>
      </c>
      <c r="F1090" s="3" t="s">
        <v>314</v>
      </c>
      <c r="G1090" s="4" t="s">
        <v>313</v>
      </c>
      <c r="H1090" s="299"/>
      <c r="I1090" s="319" t="s">
        <v>2002</v>
      </c>
      <c r="J1090" s="319"/>
      <c r="K1090" s="319"/>
      <c r="L1090" s="319"/>
      <c r="M1090" s="320"/>
      <c r="N1090" s="320"/>
      <c r="O1090" s="320"/>
      <c r="P1090" s="320"/>
      <c r="Q1090" s="320"/>
      <c r="R1090" s="320"/>
      <c r="S1090" s="320"/>
      <c r="T1090" s="320"/>
      <c r="U1090" s="643" t="s">
        <v>891</v>
      </c>
      <c r="V1090" s="1572"/>
      <c r="W1090" s="254"/>
    </row>
    <row r="1091" spans="2:23" ht="15.05" thickBot="1" x14ac:dyDescent="0.35">
      <c r="B1091" s="5042"/>
      <c r="C1091" s="1056">
        <f>IF(B1091=0,0,U1088)</f>
        <v>0</v>
      </c>
      <c r="D1091" s="1056">
        <f>IF(B1091=0,0,VLOOKUP(B1091,Precios!$B$216:$D$307,3,FALSE))</f>
        <v>0</v>
      </c>
      <c r="E1091" s="5043"/>
      <c r="F1091" s="300"/>
      <c r="G1091" s="300"/>
      <c r="H1091" s="309"/>
      <c r="I1091" s="1072">
        <f>IF($C1091&gt;0,I1088*$E1091,0)</f>
        <v>0</v>
      </c>
      <c r="J1091" s="1252"/>
      <c r="K1091" s="571"/>
      <c r="L1091" s="571"/>
      <c r="M1091" s="571"/>
      <c r="N1091" s="571"/>
      <c r="O1091" s="571"/>
      <c r="P1091" s="571"/>
      <c r="Q1091" s="571"/>
      <c r="R1091" s="571"/>
      <c r="S1091" s="571"/>
      <c r="T1091" s="1253"/>
      <c r="U1091" s="1073">
        <f>SUM(I1091:T1091)</f>
        <v>0</v>
      </c>
      <c r="V1091" s="232" t="str">
        <f>B1091&amp;"propia"</f>
        <v>propia</v>
      </c>
      <c r="W1091" s="254"/>
    </row>
    <row r="1092" spans="2:23" x14ac:dyDescent="0.3">
      <c r="B1092" s="5081"/>
      <c r="C1092" s="1259">
        <f>IF(B1092=0,0,U1088)</f>
        <v>0</v>
      </c>
      <c r="D1092" s="1260">
        <f>IF(B1092=0,0,VLOOKUP(B1092,Precios!$B$216:$D$307,3,FALSE))</f>
        <v>0</v>
      </c>
      <c r="E1092" s="5082"/>
      <c r="F1092" s="300"/>
      <c r="G1092" s="300"/>
      <c r="H1092" s="309"/>
      <c r="I1092" s="1076">
        <f>IF($C1092&gt;0,I1088*$E1092,0)</f>
        <v>0</v>
      </c>
      <c r="J1092" s="1254"/>
      <c r="K1092" s="425"/>
      <c r="L1092" s="425"/>
      <c r="M1092" s="425"/>
      <c r="N1092" s="425"/>
      <c r="O1092" s="425"/>
      <c r="P1092" s="425"/>
      <c r="Q1092" s="425"/>
      <c r="R1092" s="425"/>
      <c r="S1092" s="425"/>
      <c r="T1092" s="1255"/>
      <c r="U1092" s="1075">
        <f>SUM(I1092:T1092)</f>
        <v>0</v>
      </c>
      <c r="V1092" s="232" t="str">
        <f>B1092&amp;"propia"</f>
        <v>propia</v>
      </c>
      <c r="W1092" s="254"/>
    </row>
    <row r="1093" spans="2:23" x14ac:dyDescent="0.3">
      <c r="B1093" s="647" t="s">
        <v>1083</v>
      </c>
      <c r="C1093" s="305"/>
      <c r="D1093" s="305"/>
      <c r="E1093" s="305"/>
      <c r="F1093" s="305"/>
      <c r="G1093" s="305"/>
      <c r="H1093" s="306"/>
      <c r="I1093" s="904">
        <f>SUM(I1091:I1092)</f>
        <v>0</v>
      </c>
      <c r="J1093" s="1256"/>
      <c r="K1093" s="1257"/>
      <c r="L1093" s="1257"/>
      <c r="M1093" s="1257"/>
      <c r="N1093" s="1257"/>
      <c r="O1093" s="1257"/>
      <c r="P1093" s="1257"/>
      <c r="Q1093" s="1257"/>
      <c r="R1093" s="1257"/>
      <c r="S1093" s="1257"/>
      <c r="T1093" s="1258"/>
      <c r="U1093" s="905">
        <f>SUM(I1093:T1093)</f>
        <v>0</v>
      </c>
      <c r="V1093" s="254"/>
      <c r="W1093" s="254"/>
    </row>
    <row r="1094" spans="2:23" x14ac:dyDescent="0.2">
      <c r="B1094" s="197" t="s">
        <v>870</v>
      </c>
      <c r="C1094" s="307"/>
      <c r="D1094" s="307"/>
      <c r="E1094" s="308"/>
      <c r="F1094" s="308"/>
      <c r="G1094" s="308"/>
      <c r="H1094" s="307"/>
      <c r="I1094" s="307"/>
      <c r="J1094" s="307"/>
      <c r="K1094" s="307"/>
      <c r="L1094" s="307"/>
      <c r="M1094" s="307"/>
      <c r="N1094" s="307"/>
      <c r="O1094" s="307"/>
      <c r="P1094" s="307"/>
      <c r="Q1094" s="307"/>
      <c r="R1094" s="307"/>
      <c r="S1094" s="307"/>
      <c r="T1094" s="307"/>
      <c r="U1094" s="646"/>
      <c r="V1094" s="254"/>
      <c r="W1094" s="254"/>
    </row>
    <row r="1095" spans="2:23" ht="15.05" thickBot="1" x14ac:dyDescent="0.35">
      <c r="B1095" s="5042"/>
      <c r="C1095" s="1056">
        <f>IF(B1095=0,0,U1088)</f>
        <v>0</v>
      </c>
      <c r="D1095" s="1056">
        <f>IF(B1095=0,0,VLOOKUP(B1095,Precios!$B$216:$D$307,3,FALSE))</f>
        <v>0</v>
      </c>
      <c r="E1095" s="5048"/>
      <c r="F1095" s="1249">
        <f>IF(B1095=0,0,VLOOKUP(B1095,Precios!$B$216:$D$307,2,FALSE))</f>
        <v>0</v>
      </c>
      <c r="G1095" s="1066">
        <f>E1095*F1095</f>
        <v>0</v>
      </c>
      <c r="H1095" s="309"/>
      <c r="I1095" s="1072">
        <f>IF($C1095&gt;0,I1088*$E1095,0)</f>
        <v>0</v>
      </c>
      <c r="J1095" s="1252"/>
      <c r="K1095" s="571"/>
      <c r="L1095" s="571"/>
      <c r="M1095" s="571"/>
      <c r="N1095" s="571"/>
      <c r="O1095" s="571"/>
      <c r="P1095" s="571"/>
      <c r="Q1095" s="571"/>
      <c r="R1095" s="571"/>
      <c r="S1095" s="571"/>
      <c r="T1095" s="1253"/>
      <c r="U1095" s="1073">
        <f>SUM(I1095:T1095)</f>
        <v>0</v>
      </c>
      <c r="V1095" s="232" t="str">
        <f>B1095&amp;"contratada"</f>
        <v>contratada</v>
      </c>
      <c r="W1095" s="254"/>
    </row>
    <row r="1096" spans="2:23" x14ac:dyDescent="0.3">
      <c r="B1096" s="5081"/>
      <c r="C1096" s="1259">
        <f>IF(B1096=0,0,U1088)</f>
        <v>0</v>
      </c>
      <c r="D1096" s="1260">
        <f>IF(B1096=0,0,VLOOKUP(B1096,Precios!$B$216:$D$307,3,FALSE))</f>
        <v>0</v>
      </c>
      <c r="E1096" s="5083"/>
      <c r="F1096" s="1263">
        <f>IF(B1096=0,0,VLOOKUP(B1096,Precios!$B$216:$D$307,2,FALSE))</f>
        <v>0</v>
      </c>
      <c r="G1096" s="1262">
        <f>E1096*F1096</f>
        <v>0</v>
      </c>
      <c r="H1096" s="309"/>
      <c r="I1096" s="1076">
        <f>IF($C1096&gt;0,I1088*$E1096,0)</f>
        <v>0</v>
      </c>
      <c r="J1096" s="1254"/>
      <c r="K1096" s="425"/>
      <c r="L1096" s="425"/>
      <c r="M1096" s="425"/>
      <c r="N1096" s="425"/>
      <c r="O1096" s="425"/>
      <c r="P1096" s="425"/>
      <c r="Q1096" s="425"/>
      <c r="R1096" s="425"/>
      <c r="S1096" s="425"/>
      <c r="T1096" s="1255"/>
      <c r="U1096" s="1078">
        <f>SUM(I1096:T1096)</f>
        <v>0</v>
      </c>
      <c r="V1096" s="232" t="str">
        <f>B1096&amp;"contratada"</f>
        <v>contratada</v>
      </c>
      <c r="W1096" s="254"/>
    </row>
    <row r="1097" spans="2:23" x14ac:dyDescent="0.3">
      <c r="B1097" s="647" t="s">
        <v>1084</v>
      </c>
      <c r="C1097" s="305"/>
      <c r="D1097" s="305"/>
      <c r="E1097" s="305"/>
      <c r="F1097" s="305"/>
      <c r="G1097" s="305"/>
      <c r="H1097" s="306"/>
      <c r="I1097" s="904">
        <f>SUM(I1095:I1096)</f>
        <v>0</v>
      </c>
      <c r="J1097" s="1250"/>
      <c r="K1097" s="596"/>
      <c r="L1097" s="596"/>
      <c r="M1097" s="596"/>
      <c r="N1097" s="596"/>
      <c r="O1097" s="596"/>
      <c r="P1097" s="596"/>
      <c r="Q1097" s="596"/>
      <c r="R1097" s="596"/>
      <c r="S1097" s="596"/>
      <c r="T1097" s="1251"/>
      <c r="U1097" s="905">
        <f>SUM(I1097:T1097)</f>
        <v>0</v>
      </c>
      <c r="V1097" s="254"/>
      <c r="W1097" s="254"/>
    </row>
    <row r="1098" spans="2:23" x14ac:dyDescent="0.2">
      <c r="B1098" s="197" t="s">
        <v>339</v>
      </c>
      <c r="C1098" s="307"/>
      <c r="D1098" s="307"/>
      <c r="E1098" s="308"/>
      <c r="F1098" s="651"/>
      <c r="G1098" s="308"/>
      <c r="H1098" s="307"/>
      <c r="I1098" s="307"/>
      <c r="J1098" s="307"/>
      <c r="K1098" s="307"/>
      <c r="L1098" s="307"/>
      <c r="M1098" s="307"/>
      <c r="N1098" s="307"/>
      <c r="O1098" s="307"/>
      <c r="P1098" s="307"/>
      <c r="Q1098" s="307"/>
      <c r="R1098" s="307"/>
      <c r="S1098" s="307"/>
      <c r="T1098" s="307"/>
      <c r="U1098" s="646"/>
      <c r="V1098" s="254"/>
      <c r="W1098" s="254"/>
    </row>
    <row r="1099" spans="2:23" ht="15.05" thickBot="1" x14ac:dyDescent="0.35">
      <c r="B1099" s="5042"/>
      <c r="C1099" s="1056">
        <f>IF(B1099=0,0,U1088)</f>
        <v>0</v>
      </c>
      <c r="D1099" s="1056">
        <f>IF(B1099=0,0,VLOOKUP(B1099,Precios!$B$216:$D$307,3,FALSE))</f>
        <v>0</v>
      </c>
      <c r="E1099" s="5048"/>
      <c r="F1099" s="1063">
        <f>IF(B1099=0,0,VLOOKUP(B1099,Precios!$B$216:$D$307,2,FALSE))</f>
        <v>0</v>
      </c>
      <c r="G1099" s="1066">
        <f>E1099*F1099</f>
        <v>0</v>
      </c>
      <c r="H1099" s="309"/>
      <c r="I1099" s="1072">
        <f>IF($C1099&gt;0,I1088*$E1099,0)</f>
        <v>0</v>
      </c>
      <c r="J1099" s="1252"/>
      <c r="K1099" s="571"/>
      <c r="L1099" s="571"/>
      <c r="M1099" s="571"/>
      <c r="N1099" s="571"/>
      <c r="O1099" s="571"/>
      <c r="P1099" s="571"/>
      <c r="Q1099" s="571"/>
      <c r="R1099" s="571"/>
      <c r="S1099" s="571"/>
      <c r="T1099" s="1253"/>
      <c r="U1099" s="1073">
        <f>SUM(I1099:T1099)</f>
        <v>0</v>
      </c>
      <c r="V1099" s="254"/>
      <c r="W1099" s="254"/>
    </row>
    <row r="1100" spans="2:23" x14ac:dyDescent="0.3">
      <c r="B1100" s="5081"/>
      <c r="C1100" s="1259">
        <f>IF(B1100=0,0,U1088)</f>
        <v>0</v>
      </c>
      <c r="D1100" s="1260">
        <f>IF(B1100=0,0,VLOOKUP(B1100,Precios!$B$216:$D$307,3,FALSE))</f>
        <v>0</v>
      </c>
      <c r="E1100" s="5083"/>
      <c r="F1100" s="1261">
        <f>IF(B1100=0,0,VLOOKUP(B1100,Precios!$B$216:$D$307,2,FALSE))</f>
        <v>0</v>
      </c>
      <c r="G1100" s="1262">
        <f>E1100*F1100</f>
        <v>0</v>
      </c>
      <c r="H1100" s="309"/>
      <c r="I1100" s="1076">
        <f>IF($C1100&gt;0,I1088*$E1100,0)</f>
        <v>0</v>
      </c>
      <c r="J1100" s="1254"/>
      <c r="K1100" s="425"/>
      <c r="L1100" s="425"/>
      <c r="M1100" s="425"/>
      <c r="N1100" s="425"/>
      <c r="O1100" s="425"/>
      <c r="P1100" s="425"/>
      <c r="Q1100" s="425"/>
      <c r="R1100" s="425"/>
      <c r="S1100" s="425"/>
      <c r="T1100" s="1255"/>
      <c r="U1100" s="1078">
        <f>SUM(I1100:T1100)</f>
        <v>0</v>
      </c>
      <c r="V1100" s="254"/>
      <c r="W1100" s="254"/>
    </row>
    <row r="1101" spans="2:23" x14ac:dyDescent="0.3">
      <c r="B1101" s="647" t="s">
        <v>1086</v>
      </c>
      <c r="C1101" s="305"/>
      <c r="D1101" s="305"/>
      <c r="E1101" s="305"/>
      <c r="F1101" s="305"/>
      <c r="G1101" s="305"/>
      <c r="H1101" s="306"/>
      <c r="I1101" s="904">
        <f>SUM(I1099:I1100)</f>
        <v>0</v>
      </c>
      <c r="J1101" s="1250"/>
      <c r="K1101" s="596"/>
      <c r="L1101" s="596"/>
      <c r="M1101" s="596"/>
      <c r="N1101" s="596"/>
      <c r="O1101" s="596"/>
      <c r="P1101" s="596"/>
      <c r="Q1101" s="596"/>
      <c r="R1101" s="596"/>
      <c r="S1101" s="596"/>
      <c r="T1101" s="1251"/>
      <c r="U1101" s="905">
        <f>SUM(I1101:T1101)</f>
        <v>0</v>
      </c>
      <c r="V1101" s="254"/>
      <c r="W1101" s="254"/>
    </row>
    <row r="1102" spans="2:23" x14ac:dyDescent="0.2">
      <c r="B1102" s="197" t="s">
        <v>340</v>
      </c>
      <c r="C1102" s="307"/>
      <c r="D1102" s="307"/>
      <c r="E1102" s="308"/>
      <c r="F1102" s="651"/>
      <c r="G1102" s="308"/>
      <c r="H1102" s="307"/>
      <c r="I1102" s="307"/>
      <c r="J1102" s="307"/>
      <c r="K1102" s="307"/>
      <c r="L1102" s="307"/>
      <c r="M1102" s="307"/>
      <c r="N1102" s="307"/>
      <c r="O1102" s="307"/>
      <c r="P1102" s="307"/>
      <c r="Q1102" s="307"/>
      <c r="R1102" s="307"/>
      <c r="S1102" s="307"/>
      <c r="T1102" s="307"/>
      <c r="U1102" s="646"/>
      <c r="V1102" s="254"/>
      <c r="W1102" s="254"/>
    </row>
    <row r="1103" spans="2:23" ht="15.05" thickBot="1" x14ac:dyDescent="0.35">
      <c r="B1103" s="5042"/>
      <c r="C1103" s="1056">
        <f>IF(B1103=0,0,U1088)</f>
        <v>0</v>
      </c>
      <c r="D1103" s="1056">
        <f>IF(B1103=0,0,VLOOKUP(B1103,Precios!$B$216:$D$307,3,FALSE))</f>
        <v>0</v>
      </c>
      <c r="E1103" s="5048"/>
      <c r="F1103" s="1062">
        <f>IF(B1103=0,0,VLOOKUP(B1103,Precios!$B$216:$D$307,2,FALSE))</f>
        <v>0</v>
      </c>
      <c r="G1103" s="1066">
        <f>E1103*F1103</f>
        <v>0</v>
      </c>
      <c r="H1103" s="309"/>
      <c r="I1103" s="1072">
        <f>IF($C1103&gt;0,I1088*$E1103,0)</f>
        <v>0</v>
      </c>
      <c r="J1103" s="1252"/>
      <c r="K1103" s="571"/>
      <c r="L1103" s="571"/>
      <c r="M1103" s="571"/>
      <c r="N1103" s="571"/>
      <c r="O1103" s="571"/>
      <c r="P1103" s="571"/>
      <c r="Q1103" s="571"/>
      <c r="R1103" s="571"/>
      <c r="S1103" s="571"/>
      <c r="T1103" s="1253"/>
      <c r="U1103" s="1073">
        <f>SUM(I1103:T1103)</f>
        <v>0</v>
      </c>
      <c r="V1103" s="254"/>
      <c r="W1103" s="254"/>
    </row>
    <row r="1104" spans="2:23" ht="15.05" thickBot="1" x14ac:dyDescent="0.35">
      <c r="B1104" s="5044"/>
      <c r="C1104" s="985">
        <f>IF(B1104=0,0,U1088)</f>
        <v>0</v>
      </c>
      <c r="D1104" s="985">
        <f>IF(B1104=0,0,VLOOKUP(B1104,Precios!$B$216:$D$307,3,FALSE))</f>
        <v>0</v>
      </c>
      <c r="E1104" s="5049"/>
      <c r="F1104" s="1059">
        <f>IF(B1104=0,0,VLOOKUP(B1104,Precios!$B$216:$D$307,2,FALSE))</f>
        <v>0</v>
      </c>
      <c r="G1104" s="1067">
        <f>E1104*F1104</f>
        <v>0</v>
      </c>
      <c r="H1104" s="309"/>
      <c r="I1104" s="1074">
        <f>IF($C1104&gt;0,I1088*$E1104,0)</f>
        <v>0</v>
      </c>
      <c r="J1104" s="1254"/>
      <c r="K1104" s="425"/>
      <c r="L1104" s="425"/>
      <c r="M1104" s="425"/>
      <c r="N1104" s="425"/>
      <c r="O1104" s="425"/>
      <c r="P1104" s="425"/>
      <c r="Q1104" s="425"/>
      <c r="R1104" s="425"/>
      <c r="S1104" s="425"/>
      <c r="T1104" s="1255"/>
      <c r="U1104" s="1075">
        <f>SUM(I1104:T1104)</f>
        <v>0</v>
      </c>
      <c r="V1104" s="254"/>
      <c r="W1104" s="254"/>
    </row>
    <row r="1105" spans="1:45" x14ac:dyDescent="0.3">
      <c r="B1105" s="5081"/>
      <c r="C1105" s="1260">
        <f>IF(B1105=0,0,U1088)</f>
        <v>0</v>
      </c>
      <c r="D1105" s="1260">
        <f>IF(B1105=0,0,VLOOKUP(B1105,Precios!$B$216:$D$307,3,FALSE))</f>
        <v>0</v>
      </c>
      <c r="E1105" s="5083"/>
      <c r="F1105" s="1264">
        <f>IF(B1105=0,0,VLOOKUP(B1105,Precios!$B$216:$D$307,2,FALSE))</f>
        <v>0</v>
      </c>
      <c r="G1105" s="1262">
        <f>E1105*F1105</f>
        <v>0</v>
      </c>
      <c r="H1105" s="309"/>
      <c r="I1105" s="1076">
        <f>IF($C1105&gt;0,I1088*$E1105,0)</f>
        <v>0</v>
      </c>
      <c r="J1105" s="1265"/>
      <c r="K1105" s="439"/>
      <c r="L1105" s="439"/>
      <c r="M1105" s="439"/>
      <c r="N1105" s="439"/>
      <c r="O1105" s="439"/>
      <c r="P1105" s="439"/>
      <c r="Q1105" s="439"/>
      <c r="R1105" s="439"/>
      <c r="S1105" s="425"/>
      <c r="T1105" s="1255"/>
      <c r="U1105" s="1078">
        <f>SUM(I1105:T1105)</f>
        <v>0</v>
      </c>
      <c r="V1105" s="254"/>
      <c r="W1105" s="254"/>
    </row>
    <row r="1106" spans="1:45" ht="15.05" thickBot="1" x14ac:dyDescent="0.35">
      <c r="B1106" s="647" t="s">
        <v>1087</v>
      </c>
      <c r="C1106" s="305"/>
      <c r="D1106" s="305"/>
      <c r="E1106" s="305"/>
      <c r="F1106" s="305"/>
      <c r="G1106" s="305"/>
      <c r="H1106" s="306"/>
      <c r="I1106" s="904">
        <f>SUM(I1103:I1105)</f>
        <v>0</v>
      </c>
      <c r="J1106" s="1266"/>
      <c r="K1106" s="1267"/>
      <c r="L1106" s="1267"/>
      <c r="M1106" s="1267"/>
      <c r="N1106" s="1267"/>
      <c r="O1106" s="1267"/>
      <c r="P1106" s="1267"/>
      <c r="Q1106" s="1267"/>
      <c r="R1106" s="1267"/>
      <c r="S1106" s="1267"/>
      <c r="T1106" s="1268"/>
      <c r="U1106" s="1269">
        <f>SUM(I1106:T1106)</f>
        <v>0</v>
      </c>
      <c r="V1106" s="254"/>
      <c r="W1106" s="254"/>
    </row>
    <row r="1107" spans="1:45" ht="15.05" thickBot="1" x14ac:dyDescent="0.25">
      <c r="B1107" s="1274" t="s">
        <v>1865</v>
      </c>
      <c r="C1107" s="882">
        <f>+B1087</f>
        <v>0</v>
      </c>
      <c r="D1107" s="882"/>
      <c r="E1107" s="357" t="s">
        <v>876</v>
      </c>
      <c r="F1107" s="1275"/>
      <c r="G1107" s="1276"/>
      <c r="H1107" s="357"/>
      <c r="I1107" s="358">
        <f>SUMPRODUCT($F1091:$F1105,I1091:I1105)</f>
        <v>0</v>
      </c>
      <c r="J1107" s="1277"/>
      <c r="K1107" s="357"/>
      <c r="L1107" s="357"/>
      <c r="M1107" s="357"/>
      <c r="N1107" s="357"/>
      <c r="O1107" s="357"/>
      <c r="P1107" s="357"/>
      <c r="Q1107" s="357"/>
      <c r="R1107" s="357"/>
      <c r="S1107" s="357"/>
      <c r="T1107" s="1278"/>
      <c r="U1107" s="934">
        <f>SUM(I1107:T1107)</f>
        <v>0</v>
      </c>
      <c r="V1107" s="254"/>
      <c r="W1107" s="254"/>
    </row>
    <row r="1108" spans="1:45" ht="15.05" thickBot="1" x14ac:dyDescent="0.25">
      <c r="V1108" s="254"/>
      <c r="W1108" s="254"/>
    </row>
    <row r="1109" spans="1:45" ht="15.05" thickBot="1" x14ac:dyDescent="0.25">
      <c r="A1109" s="1344">
        <f>+A1086</f>
        <v>69</v>
      </c>
      <c r="B1109" s="142" t="s">
        <v>2344</v>
      </c>
      <c r="C1109" s="334"/>
      <c r="D1109" s="334"/>
      <c r="E1109" s="334"/>
      <c r="F1109" s="334"/>
      <c r="G1109" s="334"/>
      <c r="H1109" s="334"/>
      <c r="I1109" s="334"/>
      <c r="J1109" s="334"/>
      <c r="K1109" s="334"/>
      <c r="L1109" s="334"/>
      <c r="M1109" s="334"/>
      <c r="N1109" s="334"/>
      <c r="O1109" s="334"/>
      <c r="P1109" s="334"/>
      <c r="Q1109" s="334"/>
      <c r="R1109" s="334"/>
      <c r="S1109" s="334"/>
      <c r="T1109" s="334"/>
      <c r="U1109" s="360"/>
      <c r="V1109" s="1571"/>
      <c r="W1109" s="254"/>
      <c r="Y1109" s="1271"/>
      <c r="Z1109" s="372"/>
      <c r="AA1109" s="372"/>
      <c r="AB1109" s="372"/>
      <c r="AC1109" s="372"/>
      <c r="AD1109" s="372"/>
      <c r="AE1109" s="372"/>
      <c r="AF1109" s="372"/>
      <c r="AG1109" s="372"/>
      <c r="AH1109" s="372"/>
      <c r="AI1109" s="372"/>
      <c r="AJ1109" s="372"/>
      <c r="AK1109" s="372"/>
      <c r="AL1109" s="372"/>
      <c r="AM1109" s="372"/>
      <c r="AN1109" s="372"/>
      <c r="AO1109" s="372"/>
      <c r="AP1109" s="372"/>
      <c r="AQ1109" s="372"/>
      <c r="AR1109" s="767"/>
      <c r="AS1109" s="254"/>
    </row>
    <row r="1110" spans="1:45" x14ac:dyDescent="0.2">
      <c r="A1110" s="1344" t="s">
        <v>1870</v>
      </c>
      <c r="B1110" s="948">
        <f>UsoSuelo!D357</f>
        <v>0</v>
      </c>
      <c r="C1110" s="291"/>
      <c r="D1110" s="291"/>
      <c r="E1110" s="291"/>
      <c r="F1110" s="291"/>
      <c r="G1110" s="292" t="s">
        <v>883</v>
      </c>
      <c r="H1110" s="222"/>
      <c r="I1110" s="293" t="str">
        <f>+$I$6</f>
        <v>Ene</v>
      </c>
      <c r="J1110" s="2138"/>
      <c r="K1110" s="2138"/>
      <c r="L1110" s="2138"/>
      <c r="M1110" s="2138"/>
      <c r="N1110" s="2138"/>
      <c r="O1110" s="2138"/>
      <c r="P1110" s="2138"/>
      <c r="Q1110" s="2138"/>
      <c r="R1110" s="2138"/>
      <c r="S1110" s="2138"/>
      <c r="T1110" s="2139"/>
      <c r="U1110" s="640" t="s">
        <v>1106</v>
      </c>
      <c r="V1110" s="1572"/>
      <c r="W1110" s="254"/>
    </row>
    <row r="1111" spans="1:45" x14ac:dyDescent="0.2">
      <c r="A1111" s="739"/>
      <c r="B1111" s="899" t="s">
        <v>721</v>
      </c>
      <c r="C1111" s="900"/>
      <c r="D1111" s="900"/>
      <c r="E1111" s="900"/>
      <c r="F1111" s="900"/>
      <c r="G1111" s="900"/>
      <c r="H1111" s="900"/>
      <c r="I1111" s="1245">
        <f>+UsoSuelo!U357</f>
        <v>0</v>
      </c>
      <c r="J1111" s="1246"/>
      <c r="K1111" s="1247"/>
      <c r="L1111" s="1247"/>
      <c r="M1111" s="1247"/>
      <c r="N1111" s="1247"/>
      <c r="O1111" s="1247"/>
      <c r="P1111" s="1247"/>
      <c r="Q1111" s="1247"/>
      <c r="R1111" s="1247"/>
      <c r="S1111" s="1247"/>
      <c r="T1111" s="1248"/>
      <c r="U1111" s="903">
        <f>+I1111</f>
        <v>0</v>
      </c>
      <c r="V1111" s="1514"/>
      <c r="W1111" s="254"/>
    </row>
    <row r="1112" spans="1:45" x14ac:dyDescent="0.2">
      <c r="B1112" s="641"/>
      <c r="C1112" s="621" t="s">
        <v>885</v>
      </c>
      <c r="D1112" s="621"/>
      <c r="E1112" s="621" t="s">
        <v>881</v>
      </c>
      <c r="F1112" s="621" t="s">
        <v>23</v>
      </c>
      <c r="G1112" s="622"/>
      <c r="H1112" s="623"/>
      <c r="I1112" s="297"/>
      <c r="J1112" s="296"/>
      <c r="K1112" s="296"/>
      <c r="L1112" s="296"/>
      <c r="M1112" s="296"/>
      <c r="N1112" s="297"/>
      <c r="O1112" s="297"/>
      <c r="P1112" s="297"/>
      <c r="Q1112" s="297"/>
      <c r="R1112" s="297"/>
      <c r="S1112" s="297"/>
      <c r="T1112" s="297"/>
      <c r="U1112" s="642" t="s">
        <v>881</v>
      </c>
      <c r="V1112" s="1515"/>
      <c r="W1112" s="254"/>
    </row>
    <row r="1113" spans="1:45" x14ac:dyDescent="0.2">
      <c r="B1113" s="199" t="s">
        <v>869</v>
      </c>
      <c r="C1113" s="3" t="s">
        <v>1105</v>
      </c>
      <c r="D1113" s="3" t="s">
        <v>312</v>
      </c>
      <c r="E1113" s="4" t="s">
        <v>882</v>
      </c>
      <c r="F1113" s="3" t="s">
        <v>314</v>
      </c>
      <c r="G1113" s="4" t="s">
        <v>313</v>
      </c>
      <c r="H1113" s="299"/>
      <c r="I1113" s="319" t="s">
        <v>2002</v>
      </c>
      <c r="J1113" s="319"/>
      <c r="K1113" s="319"/>
      <c r="L1113" s="319"/>
      <c r="M1113" s="320"/>
      <c r="N1113" s="320"/>
      <c r="O1113" s="320"/>
      <c r="P1113" s="320"/>
      <c r="Q1113" s="320"/>
      <c r="R1113" s="320"/>
      <c r="S1113" s="320"/>
      <c r="T1113" s="320"/>
      <c r="U1113" s="643" t="s">
        <v>891</v>
      </c>
      <c r="V1113" s="1572"/>
      <c r="W1113" s="254"/>
    </row>
    <row r="1114" spans="1:45" ht="15.05" thickBot="1" x14ac:dyDescent="0.35">
      <c r="B1114" s="5042"/>
      <c r="C1114" s="1056">
        <f>IF(B1114=0,0,U1111)</f>
        <v>0</v>
      </c>
      <c r="D1114" s="1056">
        <f>IF(B1114=0,0,VLOOKUP(B1114,Precios!$B$216:$D$307,3,FALSE))</f>
        <v>0</v>
      </c>
      <c r="E1114" s="5043"/>
      <c r="F1114" s="300"/>
      <c r="G1114" s="300"/>
      <c r="H1114" s="309"/>
      <c r="I1114" s="1072">
        <f>IF($C1114&gt;0,I1111*$E1114,0)</f>
        <v>0</v>
      </c>
      <c r="J1114" s="1252"/>
      <c r="K1114" s="571"/>
      <c r="L1114" s="571"/>
      <c r="M1114" s="571"/>
      <c r="N1114" s="571"/>
      <c r="O1114" s="571"/>
      <c r="P1114" s="571"/>
      <c r="Q1114" s="571"/>
      <c r="R1114" s="571"/>
      <c r="S1114" s="571"/>
      <c r="T1114" s="1253"/>
      <c r="U1114" s="1073">
        <f>SUM(I1114:T1114)</f>
        <v>0</v>
      </c>
      <c r="V1114" s="232" t="str">
        <f>B1114&amp;"propia"</f>
        <v>propia</v>
      </c>
      <c r="W1114" s="254"/>
    </row>
    <row r="1115" spans="1:45" x14ac:dyDescent="0.3">
      <c r="B1115" s="5081"/>
      <c r="C1115" s="1259">
        <f>IF(B1115=0,0,U1111)</f>
        <v>0</v>
      </c>
      <c r="D1115" s="1260">
        <f>IF(B1115=0,0,VLOOKUP(B1115,Precios!$B$216:$D$307,3,FALSE))</f>
        <v>0</v>
      </c>
      <c r="E1115" s="5082"/>
      <c r="F1115" s="300"/>
      <c r="G1115" s="300"/>
      <c r="H1115" s="309"/>
      <c r="I1115" s="1076">
        <f>IF($C1115&gt;0,I1111*$E1115,0)</f>
        <v>0</v>
      </c>
      <c r="J1115" s="1254"/>
      <c r="K1115" s="425"/>
      <c r="L1115" s="425"/>
      <c r="M1115" s="425"/>
      <c r="N1115" s="425"/>
      <c r="O1115" s="425"/>
      <c r="P1115" s="425"/>
      <c r="Q1115" s="425"/>
      <c r="R1115" s="425"/>
      <c r="S1115" s="425"/>
      <c r="T1115" s="1255"/>
      <c r="U1115" s="1075">
        <f>SUM(I1115:T1115)</f>
        <v>0</v>
      </c>
      <c r="V1115" s="232" t="str">
        <f>B1115&amp;"propia"</f>
        <v>propia</v>
      </c>
      <c r="W1115" s="254"/>
    </row>
    <row r="1116" spans="1:45" x14ac:dyDescent="0.3">
      <c r="B1116" s="647" t="s">
        <v>1083</v>
      </c>
      <c r="C1116" s="305"/>
      <c r="D1116" s="305"/>
      <c r="E1116" s="305"/>
      <c r="F1116" s="305"/>
      <c r="G1116" s="305"/>
      <c r="H1116" s="306"/>
      <c r="I1116" s="904">
        <f>SUM(I1114:I1115)</f>
        <v>0</v>
      </c>
      <c r="J1116" s="1256"/>
      <c r="K1116" s="1257"/>
      <c r="L1116" s="1257"/>
      <c r="M1116" s="1257"/>
      <c r="N1116" s="1257"/>
      <c r="O1116" s="1257"/>
      <c r="P1116" s="1257"/>
      <c r="Q1116" s="1257"/>
      <c r="R1116" s="1257"/>
      <c r="S1116" s="1257"/>
      <c r="T1116" s="1258"/>
      <c r="U1116" s="905">
        <f>SUM(I1116:T1116)</f>
        <v>0</v>
      </c>
      <c r="V1116" s="254"/>
      <c r="W1116" s="254"/>
    </row>
    <row r="1117" spans="1:45" x14ac:dyDescent="0.2">
      <c r="B1117" s="197" t="s">
        <v>870</v>
      </c>
      <c r="C1117" s="307"/>
      <c r="D1117" s="307"/>
      <c r="E1117" s="308"/>
      <c r="F1117" s="308"/>
      <c r="G1117" s="308"/>
      <c r="H1117" s="307"/>
      <c r="I1117" s="307"/>
      <c r="J1117" s="307"/>
      <c r="K1117" s="307"/>
      <c r="L1117" s="307"/>
      <c r="M1117" s="307"/>
      <c r="N1117" s="307"/>
      <c r="O1117" s="307"/>
      <c r="P1117" s="307"/>
      <c r="Q1117" s="307"/>
      <c r="R1117" s="307"/>
      <c r="S1117" s="307"/>
      <c r="T1117" s="307"/>
      <c r="U1117" s="646"/>
      <c r="V1117" s="254"/>
      <c r="W1117" s="254"/>
    </row>
    <row r="1118" spans="1:45" ht="15.05" thickBot="1" x14ac:dyDescent="0.35">
      <c r="B1118" s="5042"/>
      <c r="C1118" s="1056">
        <f>IF(B1118=0,0,U1111)</f>
        <v>0</v>
      </c>
      <c r="D1118" s="1056">
        <f>IF(B1118=0,0,VLOOKUP(B1118,Precios!$B$216:$D$307,3,FALSE))</f>
        <v>0</v>
      </c>
      <c r="E1118" s="5048"/>
      <c r="F1118" s="1249">
        <f>IF(B1118=0,0,VLOOKUP(B1118,Precios!$B$216:$D$307,2,FALSE))</f>
        <v>0</v>
      </c>
      <c r="G1118" s="1066">
        <f>E1118*F1118</f>
        <v>0</v>
      </c>
      <c r="H1118" s="309"/>
      <c r="I1118" s="1072">
        <f>IF($C1118&gt;0,I1111*$E1118,0)</f>
        <v>0</v>
      </c>
      <c r="J1118" s="1252"/>
      <c r="K1118" s="571"/>
      <c r="L1118" s="571"/>
      <c r="M1118" s="571"/>
      <c r="N1118" s="571"/>
      <c r="O1118" s="571"/>
      <c r="P1118" s="571"/>
      <c r="Q1118" s="571"/>
      <c r="R1118" s="571"/>
      <c r="S1118" s="571"/>
      <c r="T1118" s="1253"/>
      <c r="U1118" s="1073">
        <f>SUM(I1118:T1118)</f>
        <v>0</v>
      </c>
      <c r="V1118" s="232" t="str">
        <f>B1118&amp;"contratada"</f>
        <v>contratada</v>
      </c>
      <c r="W1118" s="254"/>
    </row>
    <row r="1119" spans="1:45" x14ac:dyDescent="0.3">
      <c r="B1119" s="5081"/>
      <c r="C1119" s="1259">
        <f>IF(B1119=0,0,U1111)</f>
        <v>0</v>
      </c>
      <c r="D1119" s="1260">
        <f>IF(B1119=0,0,VLOOKUP(B1119,Precios!$B$216:$D$307,3,FALSE))</f>
        <v>0</v>
      </c>
      <c r="E1119" s="5083"/>
      <c r="F1119" s="1263">
        <f>IF(B1119=0,0,VLOOKUP(B1119,Precios!$B$216:$D$307,2,FALSE))</f>
        <v>0</v>
      </c>
      <c r="G1119" s="1262">
        <f>E1119*F1119</f>
        <v>0</v>
      </c>
      <c r="H1119" s="309"/>
      <c r="I1119" s="1076">
        <f>IF($C1119&gt;0,I1111*$E1119,0)</f>
        <v>0</v>
      </c>
      <c r="J1119" s="1254"/>
      <c r="K1119" s="425"/>
      <c r="L1119" s="425"/>
      <c r="M1119" s="425"/>
      <c r="N1119" s="425"/>
      <c r="O1119" s="425"/>
      <c r="P1119" s="425"/>
      <c r="Q1119" s="425"/>
      <c r="R1119" s="425"/>
      <c r="S1119" s="425"/>
      <c r="T1119" s="1255"/>
      <c r="U1119" s="1078">
        <f>SUM(I1119:T1119)</f>
        <v>0</v>
      </c>
      <c r="V1119" s="232" t="str">
        <f>B1119&amp;"contratada"</f>
        <v>contratada</v>
      </c>
      <c r="W1119" s="254"/>
    </row>
    <row r="1120" spans="1:45" x14ac:dyDescent="0.3">
      <c r="B1120" s="647" t="s">
        <v>1084</v>
      </c>
      <c r="C1120" s="305"/>
      <c r="D1120" s="305"/>
      <c r="E1120" s="305"/>
      <c r="F1120" s="305"/>
      <c r="G1120" s="305"/>
      <c r="H1120" s="306"/>
      <c r="I1120" s="904">
        <f>SUM(I1118:I1119)</f>
        <v>0</v>
      </c>
      <c r="J1120" s="1250"/>
      <c r="K1120" s="596"/>
      <c r="L1120" s="596"/>
      <c r="M1120" s="596"/>
      <c r="N1120" s="596"/>
      <c r="O1120" s="596"/>
      <c r="P1120" s="596"/>
      <c r="Q1120" s="596"/>
      <c r="R1120" s="596"/>
      <c r="S1120" s="596"/>
      <c r="T1120" s="1251"/>
      <c r="U1120" s="905">
        <f>SUM(I1120:T1120)</f>
        <v>0</v>
      </c>
      <c r="V1120" s="254"/>
      <c r="W1120" s="254"/>
    </row>
    <row r="1121" spans="1:45" x14ac:dyDescent="0.2">
      <c r="B1121" s="197" t="s">
        <v>339</v>
      </c>
      <c r="C1121" s="307"/>
      <c r="D1121" s="307"/>
      <c r="E1121" s="308"/>
      <c r="F1121" s="651"/>
      <c r="G1121" s="308"/>
      <c r="H1121" s="307"/>
      <c r="I1121" s="307"/>
      <c r="J1121" s="307"/>
      <c r="K1121" s="307"/>
      <c r="L1121" s="307"/>
      <c r="M1121" s="307"/>
      <c r="N1121" s="307"/>
      <c r="O1121" s="307"/>
      <c r="P1121" s="307"/>
      <c r="Q1121" s="307"/>
      <c r="R1121" s="307"/>
      <c r="S1121" s="307"/>
      <c r="T1121" s="307"/>
      <c r="U1121" s="646"/>
      <c r="V1121" s="254"/>
      <c r="W1121" s="254"/>
    </row>
    <row r="1122" spans="1:45" ht="15.05" thickBot="1" x14ac:dyDescent="0.35">
      <c r="B1122" s="5042"/>
      <c r="C1122" s="1056">
        <f>IF(B1122=0,0,U1111)</f>
        <v>0</v>
      </c>
      <c r="D1122" s="1056">
        <f>IF(B1122=0,0,VLOOKUP(B1122,Precios!$B$216:$D$307,3,FALSE))</f>
        <v>0</v>
      </c>
      <c r="E1122" s="5048"/>
      <c r="F1122" s="1063">
        <f>IF(B1122=0,0,VLOOKUP(B1122,Precios!$B$216:$D$307,2,FALSE))</f>
        <v>0</v>
      </c>
      <c r="G1122" s="1066">
        <f>E1122*F1122</f>
        <v>0</v>
      </c>
      <c r="H1122" s="309"/>
      <c r="I1122" s="1072">
        <f>IF($C1122&gt;0,I1111*$E1122,0)</f>
        <v>0</v>
      </c>
      <c r="J1122" s="1252"/>
      <c r="K1122" s="571"/>
      <c r="L1122" s="571"/>
      <c r="M1122" s="571"/>
      <c r="N1122" s="571"/>
      <c r="O1122" s="571"/>
      <c r="P1122" s="571"/>
      <c r="Q1122" s="571"/>
      <c r="R1122" s="571"/>
      <c r="S1122" s="571"/>
      <c r="T1122" s="1253"/>
      <c r="U1122" s="1073">
        <f>SUM(I1122:T1122)</f>
        <v>0</v>
      </c>
      <c r="V1122" s="254"/>
      <c r="W1122" s="254"/>
    </row>
    <row r="1123" spans="1:45" x14ac:dyDescent="0.3">
      <c r="B1123" s="5081"/>
      <c r="C1123" s="1259">
        <f>IF(B1123=0,0,U1111)</f>
        <v>0</v>
      </c>
      <c r="D1123" s="1260">
        <f>IF(B1123=0,0,VLOOKUP(B1123,Precios!$B$216:$D$307,3,FALSE))</f>
        <v>0</v>
      </c>
      <c r="E1123" s="5083"/>
      <c r="F1123" s="1261">
        <f>IF(B1123=0,0,VLOOKUP(B1123,Precios!$B$216:$D$307,2,FALSE))</f>
        <v>0</v>
      </c>
      <c r="G1123" s="1262">
        <f>E1123*F1123</f>
        <v>0</v>
      </c>
      <c r="H1123" s="309"/>
      <c r="I1123" s="1076">
        <f>IF($C1123&gt;0,I1111*$E1123,0)</f>
        <v>0</v>
      </c>
      <c r="J1123" s="1254"/>
      <c r="K1123" s="425"/>
      <c r="L1123" s="425"/>
      <c r="M1123" s="425"/>
      <c r="N1123" s="425"/>
      <c r="O1123" s="425"/>
      <c r="P1123" s="425"/>
      <c r="Q1123" s="425"/>
      <c r="R1123" s="425"/>
      <c r="S1123" s="425"/>
      <c r="T1123" s="1255"/>
      <c r="U1123" s="1078">
        <f>SUM(I1123:T1123)</f>
        <v>0</v>
      </c>
      <c r="V1123" s="254"/>
      <c r="W1123" s="254"/>
    </row>
    <row r="1124" spans="1:45" x14ac:dyDescent="0.3">
      <c r="B1124" s="647" t="s">
        <v>1086</v>
      </c>
      <c r="C1124" s="305"/>
      <c r="D1124" s="305"/>
      <c r="E1124" s="305"/>
      <c r="F1124" s="305"/>
      <c r="G1124" s="305"/>
      <c r="H1124" s="306"/>
      <c r="I1124" s="904">
        <f>SUM(I1122:I1123)</f>
        <v>0</v>
      </c>
      <c r="J1124" s="1250"/>
      <c r="K1124" s="596"/>
      <c r="L1124" s="596"/>
      <c r="M1124" s="596"/>
      <c r="N1124" s="596"/>
      <c r="O1124" s="596"/>
      <c r="P1124" s="596"/>
      <c r="Q1124" s="596"/>
      <c r="R1124" s="596"/>
      <c r="S1124" s="596"/>
      <c r="T1124" s="1251"/>
      <c r="U1124" s="905">
        <f>SUM(I1124:T1124)</f>
        <v>0</v>
      </c>
      <c r="V1124" s="254"/>
      <c r="W1124" s="254"/>
    </row>
    <row r="1125" spans="1:45" x14ac:dyDescent="0.2">
      <c r="B1125" s="197" t="s">
        <v>340</v>
      </c>
      <c r="C1125" s="307"/>
      <c r="D1125" s="307"/>
      <c r="E1125" s="308"/>
      <c r="F1125" s="651"/>
      <c r="G1125" s="308"/>
      <c r="H1125" s="307"/>
      <c r="I1125" s="307"/>
      <c r="J1125" s="307"/>
      <c r="K1125" s="307"/>
      <c r="L1125" s="307"/>
      <c r="M1125" s="307"/>
      <c r="N1125" s="307"/>
      <c r="O1125" s="307"/>
      <c r="P1125" s="307"/>
      <c r="Q1125" s="307"/>
      <c r="R1125" s="307"/>
      <c r="S1125" s="307"/>
      <c r="T1125" s="307"/>
      <c r="U1125" s="646"/>
      <c r="V1125" s="254"/>
      <c r="W1125" s="254"/>
    </row>
    <row r="1126" spans="1:45" ht="15.05" thickBot="1" x14ac:dyDescent="0.35">
      <c r="B1126" s="5042"/>
      <c r="C1126" s="1056">
        <f>IF(B1126=0,0,U1111)</f>
        <v>0</v>
      </c>
      <c r="D1126" s="1056">
        <f>IF(B1126=0,0,VLOOKUP(B1126,Precios!$B$216:$D$307,3,FALSE))</f>
        <v>0</v>
      </c>
      <c r="E1126" s="5048"/>
      <c r="F1126" s="1062">
        <f>IF(B1126=0,0,VLOOKUP(B1126,Precios!$B$216:$D$307,2,FALSE))</f>
        <v>0</v>
      </c>
      <c r="G1126" s="1066">
        <f>E1126*F1126</f>
        <v>0</v>
      </c>
      <c r="H1126" s="309"/>
      <c r="I1126" s="1072">
        <f>IF($C1126&gt;0,I1111*$E1126,0)</f>
        <v>0</v>
      </c>
      <c r="J1126" s="1252"/>
      <c r="K1126" s="571"/>
      <c r="L1126" s="571"/>
      <c r="M1126" s="571"/>
      <c r="N1126" s="571"/>
      <c r="O1126" s="571"/>
      <c r="P1126" s="571"/>
      <c r="Q1126" s="571"/>
      <c r="R1126" s="571"/>
      <c r="S1126" s="571"/>
      <c r="T1126" s="1253"/>
      <c r="U1126" s="1073">
        <f>SUM(I1126:T1126)</f>
        <v>0</v>
      </c>
      <c r="V1126" s="254"/>
      <c r="W1126" s="254"/>
    </row>
    <row r="1127" spans="1:45" ht="15.05" thickBot="1" x14ac:dyDescent="0.35">
      <c r="B1127" s="5044"/>
      <c r="C1127" s="985">
        <f>IF(B1127=0,0,U1111)</f>
        <v>0</v>
      </c>
      <c r="D1127" s="985">
        <f>IF(B1127=0,0,VLOOKUP(B1127,Precios!$B$216:$D$307,3,FALSE))</f>
        <v>0</v>
      </c>
      <c r="E1127" s="5049"/>
      <c r="F1127" s="1059">
        <f>IF(B1127=0,0,VLOOKUP(B1127,Precios!$B$216:$D$307,2,FALSE))</f>
        <v>0</v>
      </c>
      <c r="G1127" s="1067">
        <f>E1127*F1127</f>
        <v>0</v>
      </c>
      <c r="H1127" s="309"/>
      <c r="I1127" s="1074">
        <f>IF($C1127&gt;0,I1111*$E1127,0)</f>
        <v>0</v>
      </c>
      <c r="J1127" s="1254"/>
      <c r="K1127" s="425"/>
      <c r="L1127" s="425"/>
      <c r="M1127" s="425"/>
      <c r="N1127" s="425"/>
      <c r="O1127" s="425"/>
      <c r="P1127" s="425"/>
      <c r="Q1127" s="425"/>
      <c r="R1127" s="425"/>
      <c r="S1127" s="425"/>
      <c r="T1127" s="1255"/>
      <c r="U1127" s="1075">
        <f>SUM(I1127:T1127)</f>
        <v>0</v>
      </c>
      <c r="V1127" s="254"/>
      <c r="W1127" s="254"/>
    </row>
    <row r="1128" spans="1:45" x14ac:dyDescent="0.3">
      <c r="B1128" s="5081"/>
      <c r="C1128" s="1260">
        <f>IF(B1128=0,0,U1111)</f>
        <v>0</v>
      </c>
      <c r="D1128" s="1260">
        <f>IF(B1128=0,0,VLOOKUP(B1128,Precios!$B$216:$D$307,3,FALSE))</f>
        <v>0</v>
      </c>
      <c r="E1128" s="5083"/>
      <c r="F1128" s="1264">
        <f>IF(B1128=0,0,VLOOKUP(B1128,Precios!$B$216:$D$307,2,FALSE))</f>
        <v>0</v>
      </c>
      <c r="G1128" s="1262">
        <f>E1128*F1128</f>
        <v>0</v>
      </c>
      <c r="H1128" s="309"/>
      <c r="I1128" s="1076">
        <f>IF($C1128&gt;0,I1111*$E1128,0)</f>
        <v>0</v>
      </c>
      <c r="J1128" s="1265"/>
      <c r="K1128" s="439"/>
      <c r="L1128" s="439"/>
      <c r="M1128" s="439"/>
      <c r="N1128" s="439"/>
      <c r="O1128" s="439"/>
      <c r="P1128" s="439"/>
      <c r="Q1128" s="439"/>
      <c r="R1128" s="439"/>
      <c r="S1128" s="425"/>
      <c r="T1128" s="1255"/>
      <c r="U1128" s="1078">
        <f>SUM(I1128:T1128)</f>
        <v>0</v>
      </c>
      <c r="V1128" s="254"/>
      <c r="W1128" s="254"/>
    </row>
    <row r="1129" spans="1:45" ht="15.05" thickBot="1" x14ac:dyDescent="0.35">
      <c r="B1129" s="647" t="s">
        <v>1087</v>
      </c>
      <c r="C1129" s="305"/>
      <c r="D1129" s="305"/>
      <c r="E1129" s="305"/>
      <c r="F1129" s="305"/>
      <c r="G1129" s="305"/>
      <c r="H1129" s="306"/>
      <c r="I1129" s="904">
        <f>SUM(I1126:I1128)</f>
        <v>0</v>
      </c>
      <c r="J1129" s="1266"/>
      <c r="K1129" s="1267"/>
      <c r="L1129" s="1267"/>
      <c r="M1129" s="1267"/>
      <c r="N1129" s="1267"/>
      <c r="O1129" s="1267"/>
      <c r="P1129" s="1267"/>
      <c r="Q1129" s="1267"/>
      <c r="R1129" s="1267"/>
      <c r="S1129" s="1267"/>
      <c r="T1129" s="1268"/>
      <c r="U1129" s="1269">
        <f>SUM(I1129:T1129)</f>
        <v>0</v>
      </c>
      <c r="V1129" s="254"/>
      <c r="W1129" s="254"/>
    </row>
    <row r="1130" spans="1:45" ht="15.05" thickBot="1" x14ac:dyDescent="0.25">
      <c r="B1130" s="1274" t="s">
        <v>1865</v>
      </c>
      <c r="C1130" s="882">
        <f>+B1110</f>
        <v>0</v>
      </c>
      <c r="D1130" s="882"/>
      <c r="E1130" s="357" t="s">
        <v>876</v>
      </c>
      <c r="F1130" s="1275"/>
      <c r="G1130" s="1276"/>
      <c r="H1130" s="357"/>
      <c r="I1130" s="358">
        <f>SUMPRODUCT($F1114:$F1128,I1114:I1128)</f>
        <v>0</v>
      </c>
      <c r="J1130" s="1277"/>
      <c r="K1130" s="357"/>
      <c r="L1130" s="357"/>
      <c r="M1130" s="357"/>
      <c r="N1130" s="357"/>
      <c r="O1130" s="357"/>
      <c r="P1130" s="357"/>
      <c r="Q1130" s="357"/>
      <c r="R1130" s="357"/>
      <c r="S1130" s="357"/>
      <c r="T1130" s="1278"/>
      <c r="U1130" s="934">
        <f>SUM(I1130:T1130)</f>
        <v>0</v>
      </c>
      <c r="V1130" s="254"/>
      <c r="W1130" s="254"/>
    </row>
    <row r="1131" spans="1:45" ht="15.05" thickBot="1" x14ac:dyDescent="0.25">
      <c r="V1131" s="254"/>
      <c r="W1131" s="254"/>
    </row>
    <row r="1132" spans="1:45" ht="15.05" thickBot="1" x14ac:dyDescent="0.25">
      <c r="A1132" s="1344">
        <f>+A1109</f>
        <v>69</v>
      </c>
      <c r="B1132" s="142" t="s">
        <v>2344</v>
      </c>
      <c r="C1132" s="334"/>
      <c r="D1132" s="334"/>
      <c r="E1132" s="334"/>
      <c r="F1132" s="334"/>
      <c r="G1132" s="334"/>
      <c r="H1132" s="334"/>
      <c r="I1132" s="334"/>
      <c r="J1132" s="334"/>
      <c r="K1132" s="334"/>
      <c r="L1132" s="334"/>
      <c r="M1132" s="334"/>
      <c r="N1132" s="334"/>
      <c r="O1132" s="334"/>
      <c r="P1132" s="334"/>
      <c r="Q1132" s="334"/>
      <c r="R1132" s="334"/>
      <c r="S1132" s="334"/>
      <c r="T1132" s="334"/>
      <c r="U1132" s="360"/>
      <c r="V1132" s="1571"/>
      <c r="W1132" s="254"/>
      <c r="Y1132" s="1271"/>
      <c r="Z1132" s="372"/>
      <c r="AA1132" s="372"/>
      <c r="AB1132" s="372"/>
      <c r="AC1132" s="372"/>
      <c r="AD1132" s="372"/>
      <c r="AE1132" s="372"/>
      <c r="AF1132" s="372"/>
      <c r="AG1132" s="372"/>
      <c r="AH1132" s="372"/>
      <c r="AI1132" s="372"/>
      <c r="AJ1132" s="372"/>
      <c r="AK1132" s="372"/>
      <c r="AL1132" s="372"/>
      <c r="AM1132" s="372"/>
      <c r="AN1132" s="372"/>
      <c r="AO1132" s="372"/>
      <c r="AP1132" s="372"/>
      <c r="AQ1132" s="372"/>
      <c r="AR1132" s="767"/>
      <c r="AS1132" s="254"/>
    </row>
    <row r="1133" spans="1:45" x14ac:dyDescent="0.2">
      <c r="A1133" s="1344" t="s">
        <v>1871</v>
      </c>
      <c r="B1133" s="948">
        <f>UsoSuelo!D358</f>
        <v>0</v>
      </c>
      <c r="C1133" s="291"/>
      <c r="D1133" s="291"/>
      <c r="E1133" s="291"/>
      <c r="F1133" s="291"/>
      <c r="G1133" s="292" t="s">
        <v>883</v>
      </c>
      <c r="H1133" s="222"/>
      <c r="I1133" s="293" t="str">
        <f>+$I$6</f>
        <v>Ene</v>
      </c>
      <c r="J1133" s="2138"/>
      <c r="K1133" s="2138"/>
      <c r="L1133" s="2138"/>
      <c r="M1133" s="2138"/>
      <c r="N1133" s="2138"/>
      <c r="O1133" s="2138"/>
      <c r="P1133" s="2138"/>
      <c r="Q1133" s="2138"/>
      <c r="R1133" s="2138"/>
      <c r="S1133" s="2138"/>
      <c r="T1133" s="2139"/>
      <c r="U1133" s="640" t="s">
        <v>1106</v>
      </c>
      <c r="V1133" s="1572"/>
      <c r="W1133" s="254"/>
    </row>
    <row r="1134" spans="1:45" x14ac:dyDescent="0.2">
      <c r="A1134" s="739"/>
      <c r="B1134" s="899" t="s">
        <v>721</v>
      </c>
      <c r="C1134" s="900"/>
      <c r="D1134" s="900"/>
      <c r="E1134" s="900"/>
      <c r="F1134" s="900"/>
      <c r="G1134" s="900"/>
      <c r="H1134" s="900"/>
      <c r="I1134" s="1245">
        <f>+UsoSuelo!U358</f>
        <v>0</v>
      </c>
      <c r="J1134" s="1246"/>
      <c r="K1134" s="1247"/>
      <c r="L1134" s="1247"/>
      <c r="M1134" s="1247"/>
      <c r="N1134" s="1247"/>
      <c r="O1134" s="1247"/>
      <c r="P1134" s="1247"/>
      <c r="Q1134" s="1247"/>
      <c r="R1134" s="1247"/>
      <c r="S1134" s="1247"/>
      <c r="T1134" s="1248"/>
      <c r="U1134" s="903">
        <f>+I1134</f>
        <v>0</v>
      </c>
      <c r="V1134" s="1514"/>
      <c r="W1134" s="254"/>
    </row>
    <row r="1135" spans="1:45" x14ac:dyDescent="0.2">
      <c r="B1135" s="641"/>
      <c r="C1135" s="621" t="s">
        <v>885</v>
      </c>
      <c r="D1135" s="621"/>
      <c r="E1135" s="621" t="s">
        <v>881</v>
      </c>
      <c r="F1135" s="621" t="s">
        <v>23</v>
      </c>
      <c r="G1135" s="622"/>
      <c r="H1135" s="623"/>
      <c r="I1135" s="297"/>
      <c r="J1135" s="296"/>
      <c r="K1135" s="296"/>
      <c r="L1135" s="296"/>
      <c r="M1135" s="296"/>
      <c r="N1135" s="297"/>
      <c r="O1135" s="297"/>
      <c r="P1135" s="297"/>
      <c r="Q1135" s="297"/>
      <c r="R1135" s="297"/>
      <c r="S1135" s="297"/>
      <c r="T1135" s="297"/>
      <c r="U1135" s="642" t="s">
        <v>881</v>
      </c>
      <c r="V1135" s="1515"/>
      <c r="W1135" s="254"/>
    </row>
    <row r="1136" spans="1:45" x14ac:dyDescent="0.2">
      <c r="B1136" s="199" t="s">
        <v>869</v>
      </c>
      <c r="C1136" s="3" t="s">
        <v>1105</v>
      </c>
      <c r="D1136" s="3" t="s">
        <v>312</v>
      </c>
      <c r="E1136" s="4" t="s">
        <v>882</v>
      </c>
      <c r="F1136" s="3" t="s">
        <v>314</v>
      </c>
      <c r="G1136" s="4" t="s">
        <v>313</v>
      </c>
      <c r="H1136" s="299"/>
      <c r="I1136" s="319" t="s">
        <v>2002</v>
      </c>
      <c r="J1136" s="319"/>
      <c r="K1136" s="319"/>
      <c r="L1136" s="319"/>
      <c r="M1136" s="320"/>
      <c r="N1136" s="320"/>
      <c r="O1136" s="320"/>
      <c r="P1136" s="320"/>
      <c r="Q1136" s="320"/>
      <c r="R1136" s="320"/>
      <c r="S1136" s="320"/>
      <c r="T1136" s="320"/>
      <c r="U1136" s="643" t="s">
        <v>891</v>
      </c>
      <c r="V1136" s="1572"/>
      <c r="W1136" s="254"/>
    </row>
    <row r="1137" spans="2:23" ht="15.05" thickBot="1" x14ac:dyDescent="0.35">
      <c r="B1137" s="5042"/>
      <c r="C1137" s="1056">
        <f>IF(B1137=0,0,U1134)</f>
        <v>0</v>
      </c>
      <c r="D1137" s="1056">
        <f>IF(B1137=0,0,VLOOKUP(B1137,Precios!$B$216:$D$307,3,FALSE))</f>
        <v>0</v>
      </c>
      <c r="E1137" s="5043"/>
      <c r="F1137" s="300"/>
      <c r="G1137" s="300"/>
      <c r="H1137" s="309"/>
      <c r="I1137" s="1072">
        <f>IF($C1137&gt;0,I1134*$E1137,0)</f>
        <v>0</v>
      </c>
      <c r="J1137" s="1252"/>
      <c r="K1137" s="571"/>
      <c r="L1137" s="571"/>
      <c r="M1137" s="571"/>
      <c r="N1137" s="571"/>
      <c r="O1137" s="571"/>
      <c r="P1137" s="571"/>
      <c r="Q1137" s="571"/>
      <c r="R1137" s="571"/>
      <c r="S1137" s="571"/>
      <c r="T1137" s="1253"/>
      <c r="U1137" s="1073">
        <f>SUM(I1137:T1137)</f>
        <v>0</v>
      </c>
      <c r="V1137" s="232" t="str">
        <f>B1137&amp;"propia"</f>
        <v>propia</v>
      </c>
      <c r="W1137" s="254"/>
    </row>
    <row r="1138" spans="2:23" x14ac:dyDescent="0.3">
      <c r="B1138" s="5081"/>
      <c r="C1138" s="1259">
        <f>IF(B1138=0,0,U1134)</f>
        <v>0</v>
      </c>
      <c r="D1138" s="1260">
        <f>IF(B1138=0,0,VLOOKUP(B1138,Precios!$B$216:$D$307,3,FALSE))</f>
        <v>0</v>
      </c>
      <c r="E1138" s="5082"/>
      <c r="F1138" s="300"/>
      <c r="G1138" s="300"/>
      <c r="H1138" s="309"/>
      <c r="I1138" s="1076">
        <f>IF($C1138&gt;0,I1134*$E1138,0)</f>
        <v>0</v>
      </c>
      <c r="J1138" s="1254"/>
      <c r="K1138" s="425"/>
      <c r="L1138" s="425"/>
      <c r="M1138" s="425"/>
      <c r="N1138" s="425"/>
      <c r="O1138" s="425"/>
      <c r="P1138" s="425"/>
      <c r="Q1138" s="425"/>
      <c r="R1138" s="425"/>
      <c r="S1138" s="425"/>
      <c r="T1138" s="1255"/>
      <c r="U1138" s="1075">
        <f>SUM(I1138:T1138)</f>
        <v>0</v>
      </c>
      <c r="V1138" s="232" t="str">
        <f>B1138&amp;"propia"</f>
        <v>propia</v>
      </c>
      <c r="W1138" s="254"/>
    </row>
    <row r="1139" spans="2:23" x14ac:dyDescent="0.3">
      <c r="B1139" s="647" t="s">
        <v>1083</v>
      </c>
      <c r="C1139" s="305"/>
      <c r="D1139" s="305"/>
      <c r="E1139" s="305"/>
      <c r="F1139" s="305"/>
      <c r="G1139" s="305"/>
      <c r="H1139" s="306"/>
      <c r="I1139" s="904">
        <f>SUM(I1137:I1138)</f>
        <v>0</v>
      </c>
      <c r="J1139" s="1256"/>
      <c r="K1139" s="1257"/>
      <c r="L1139" s="1257"/>
      <c r="M1139" s="1257"/>
      <c r="N1139" s="1257"/>
      <c r="O1139" s="1257"/>
      <c r="P1139" s="1257"/>
      <c r="Q1139" s="1257"/>
      <c r="R1139" s="1257"/>
      <c r="S1139" s="1257"/>
      <c r="T1139" s="1258"/>
      <c r="U1139" s="905">
        <f>SUM(I1139:T1139)</f>
        <v>0</v>
      </c>
      <c r="V1139" s="254"/>
      <c r="W1139" s="254"/>
    </row>
    <row r="1140" spans="2:23" x14ac:dyDescent="0.2">
      <c r="B1140" s="197" t="s">
        <v>870</v>
      </c>
      <c r="C1140" s="307"/>
      <c r="D1140" s="307"/>
      <c r="E1140" s="308"/>
      <c r="F1140" s="308"/>
      <c r="G1140" s="308"/>
      <c r="H1140" s="307"/>
      <c r="I1140" s="307"/>
      <c r="J1140" s="307"/>
      <c r="K1140" s="307"/>
      <c r="L1140" s="307"/>
      <c r="M1140" s="307"/>
      <c r="N1140" s="307"/>
      <c r="O1140" s="307"/>
      <c r="P1140" s="307"/>
      <c r="Q1140" s="307"/>
      <c r="R1140" s="307"/>
      <c r="S1140" s="307"/>
      <c r="T1140" s="307"/>
      <c r="U1140" s="646"/>
      <c r="V1140" s="254"/>
      <c r="W1140" s="254"/>
    </row>
    <row r="1141" spans="2:23" ht="15.05" thickBot="1" x14ac:dyDescent="0.35">
      <c r="B1141" s="5042"/>
      <c r="C1141" s="1056">
        <f>IF(B1141=0,0,U1134)</f>
        <v>0</v>
      </c>
      <c r="D1141" s="1056">
        <f>IF(B1141=0,0,VLOOKUP(B1141,Precios!$B$216:$D$307,3,FALSE))</f>
        <v>0</v>
      </c>
      <c r="E1141" s="5048"/>
      <c r="F1141" s="1249">
        <f>IF(B1141=0,0,VLOOKUP(B1141,Precios!$B$216:$D$307,2,FALSE))</f>
        <v>0</v>
      </c>
      <c r="G1141" s="1066">
        <f>E1141*F1141</f>
        <v>0</v>
      </c>
      <c r="H1141" s="309"/>
      <c r="I1141" s="1072">
        <f>IF($C1141&gt;0,I1134*$E1141,0)</f>
        <v>0</v>
      </c>
      <c r="J1141" s="1252"/>
      <c r="K1141" s="571"/>
      <c r="L1141" s="571"/>
      <c r="M1141" s="571"/>
      <c r="N1141" s="571"/>
      <c r="O1141" s="571"/>
      <c r="P1141" s="571"/>
      <c r="Q1141" s="571"/>
      <c r="R1141" s="571"/>
      <c r="S1141" s="571"/>
      <c r="T1141" s="1253"/>
      <c r="U1141" s="1073">
        <f>SUM(I1141:T1141)</f>
        <v>0</v>
      </c>
      <c r="V1141" s="232" t="str">
        <f>B1141&amp;"contratada"</f>
        <v>contratada</v>
      </c>
      <c r="W1141" s="254"/>
    </row>
    <row r="1142" spans="2:23" x14ac:dyDescent="0.3">
      <c r="B1142" s="5081"/>
      <c r="C1142" s="1259">
        <f>IF(B1142=0,0,U1134)</f>
        <v>0</v>
      </c>
      <c r="D1142" s="1260">
        <f>IF(B1142=0,0,VLOOKUP(B1142,Precios!$B$216:$D$307,3,FALSE))</f>
        <v>0</v>
      </c>
      <c r="E1142" s="5083"/>
      <c r="F1142" s="1263">
        <f>IF(B1142=0,0,VLOOKUP(B1142,Precios!$B$216:$D$307,2,FALSE))</f>
        <v>0</v>
      </c>
      <c r="G1142" s="1262">
        <f>E1142*F1142</f>
        <v>0</v>
      </c>
      <c r="H1142" s="309"/>
      <c r="I1142" s="1076">
        <f>IF($C1142&gt;0,I1134*$E1142,0)</f>
        <v>0</v>
      </c>
      <c r="J1142" s="1254"/>
      <c r="K1142" s="425"/>
      <c r="L1142" s="425"/>
      <c r="M1142" s="425"/>
      <c r="N1142" s="425"/>
      <c r="O1142" s="425"/>
      <c r="P1142" s="425"/>
      <c r="Q1142" s="425"/>
      <c r="R1142" s="425"/>
      <c r="S1142" s="425"/>
      <c r="T1142" s="1255"/>
      <c r="U1142" s="1078">
        <f>SUM(I1142:T1142)</f>
        <v>0</v>
      </c>
      <c r="V1142" s="232" t="str">
        <f>B1142&amp;"contratada"</f>
        <v>contratada</v>
      </c>
      <c r="W1142" s="254"/>
    </row>
    <row r="1143" spans="2:23" x14ac:dyDescent="0.3">
      <c r="B1143" s="647" t="s">
        <v>1084</v>
      </c>
      <c r="C1143" s="305"/>
      <c r="D1143" s="305"/>
      <c r="E1143" s="305"/>
      <c r="F1143" s="305"/>
      <c r="G1143" s="305"/>
      <c r="H1143" s="306"/>
      <c r="I1143" s="904">
        <f>SUM(I1141:I1142)</f>
        <v>0</v>
      </c>
      <c r="J1143" s="1250"/>
      <c r="K1143" s="596"/>
      <c r="L1143" s="596"/>
      <c r="M1143" s="596"/>
      <c r="N1143" s="596"/>
      <c r="O1143" s="596"/>
      <c r="P1143" s="596"/>
      <c r="Q1143" s="596"/>
      <c r="R1143" s="596"/>
      <c r="S1143" s="596"/>
      <c r="T1143" s="1251"/>
      <c r="U1143" s="905">
        <f>SUM(I1143:T1143)</f>
        <v>0</v>
      </c>
      <c r="V1143" s="254"/>
      <c r="W1143" s="254"/>
    </row>
    <row r="1144" spans="2:23" x14ac:dyDescent="0.2">
      <c r="B1144" s="197" t="s">
        <v>339</v>
      </c>
      <c r="C1144" s="307"/>
      <c r="D1144" s="307"/>
      <c r="E1144" s="308"/>
      <c r="F1144" s="651"/>
      <c r="G1144" s="308"/>
      <c r="H1144" s="307"/>
      <c r="I1144" s="307"/>
      <c r="J1144" s="307"/>
      <c r="K1144" s="307"/>
      <c r="L1144" s="307"/>
      <c r="M1144" s="307"/>
      <c r="N1144" s="307"/>
      <c r="O1144" s="307"/>
      <c r="P1144" s="307"/>
      <c r="Q1144" s="307"/>
      <c r="R1144" s="307"/>
      <c r="S1144" s="307"/>
      <c r="T1144" s="307"/>
      <c r="U1144" s="646"/>
      <c r="V1144" s="254"/>
      <c r="W1144" s="254"/>
    </row>
    <row r="1145" spans="2:23" ht="15.05" thickBot="1" x14ac:dyDescent="0.35">
      <c r="B1145" s="5042"/>
      <c r="C1145" s="1056">
        <f>IF(B1145=0,0,U1134)</f>
        <v>0</v>
      </c>
      <c r="D1145" s="1056">
        <f>IF(B1145=0,0,VLOOKUP(B1145,Precios!$B$216:$D$307,3,FALSE))</f>
        <v>0</v>
      </c>
      <c r="E1145" s="5048"/>
      <c r="F1145" s="1063">
        <f>IF(B1145=0,0,VLOOKUP(B1145,Precios!$B$216:$D$307,2,FALSE))</f>
        <v>0</v>
      </c>
      <c r="G1145" s="1066">
        <f>E1145*F1145</f>
        <v>0</v>
      </c>
      <c r="H1145" s="309"/>
      <c r="I1145" s="1072">
        <f>IF($C1145&gt;0,I1134*$E1145,0)</f>
        <v>0</v>
      </c>
      <c r="J1145" s="1252"/>
      <c r="K1145" s="571"/>
      <c r="L1145" s="571"/>
      <c r="M1145" s="571"/>
      <c r="N1145" s="571"/>
      <c r="O1145" s="571"/>
      <c r="P1145" s="571"/>
      <c r="Q1145" s="571"/>
      <c r="R1145" s="571"/>
      <c r="S1145" s="571"/>
      <c r="T1145" s="1253"/>
      <c r="U1145" s="1073">
        <f>SUM(I1145:T1145)</f>
        <v>0</v>
      </c>
      <c r="V1145" s="254"/>
      <c r="W1145" s="254"/>
    </row>
    <row r="1146" spans="2:23" x14ac:dyDescent="0.3">
      <c r="B1146" s="5081"/>
      <c r="C1146" s="1259">
        <f>IF(B1146=0,0,U1134)</f>
        <v>0</v>
      </c>
      <c r="D1146" s="1260">
        <f>IF(B1146=0,0,VLOOKUP(B1146,Precios!$B$216:$D$307,3,FALSE))</f>
        <v>0</v>
      </c>
      <c r="E1146" s="5083"/>
      <c r="F1146" s="1261">
        <f>IF(B1146=0,0,VLOOKUP(B1146,Precios!$B$216:$D$307,2,FALSE))</f>
        <v>0</v>
      </c>
      <c r="G1146" s="1262">
        <f>E1146*F1146</f>
        <v>0</v>
      </c>
      <c r="H1146" s="309"/>
      <c r="I1146" s="1076">
        <f>IF($C1146&gt;0,I1134*$E1146,0)</f>
        <v>0</v>
      </c>
      <c r="J1146" s="1254"/>
      <c r="K1146" s="425"/>
      <c r="L1146" s="425"/>
      <c r="M1146" s="425"/>
      <c r="N1146" s="425"/>
      <c r="O1146" s="425"/>
      <c r="P1146" s="425"/>
      <c r="Q1146" s="425"/>
      <c r="R1146" s="425"/>
      <c r="S1146" s="425"/>
      <c r="T1146" s="1255"/>
      <c r="U1146" s="1078">
        <f>SUM(I1146:T1146)</f>
        <v>0</v>
      </c>
      <c r="V1146" s="254"/>
      <c r="W1146" s="254"/>
    </row>
    <row r="1147" spans="2:23" x14ac:dyDescent="0.3">
      <c r="B1147" s="647" t="s">
        <v>1086</v>
      </c>
      <c r="C1147" s="305"/>
      <c r="D1147" s="305"/>
      <c r="E1147" s="305"/>
      <c r="F1147" s="305"/>
      <c r="G1147" s="305"/>
      <c r="H1147" s="306"/>
      <c r="I1147" s="904">
        <f>SUM(I1145:I1146)</f>
        <v>0</v>
      </c>
      <c r="J1147" s="1250"/>
      <c r="K1147" s="596"/>
      <c r="L1147" s="596"/>
      <c r="M1147" s="596"/>
      <c r="N1147" s="596"/>
      <c r="O1147" s="596"/>
      <c r="P1147" s="596"/>
      <c r="Q1147" s="596"/>
      <c r="R1147" s="596"/>
      <c r="S1147" s="596"/>
      <c r="T1147" s="1251"/>
      <c r="U1147" s="905">
        <f>SUM(I1147:T1147)</f>
        <v>0</v>
      </c>
      <c r="V1147" s="254"/>
      <c r="W1147" s="254"/>
    </row>
    <row r="1148" spans="2:23" x14ac:dyDescent="0.2">
      <c r="B1148" s="197" t="s">
        <v>340</v>
      </c>
      <c r="C1148" s="307"/>
      <c r="D1148" s="307"/>
      <c r="E1148" s="308"/>
      <c r="F1148" s="651"/>
      <c r="G1148" s="308"/>
      <c r="H1148" s="307"/>
      <c r="I1148" s="307"/>
      <c r="J1148" s="307"/>
      <c r="K1148" s="307"/>
      <c r="L1148" s="307"/>
      <c r="M1148" s="307"/>
      <c r="N1148" s="307"/>
      <c r="O1148" s="307"/>
      <c r="P1148" s="307"/>
      <c r="Q1148" s="307"/>
      <c r="R1148" s="307"/>
      <c r="S1148" s="307"/>
      <c r="T1148" s="307"/>
      <c r="U1148" s="646"/>
      <c r="V1148" s="254"/>
      <c r="W1148" s="254"/>
    </row>
    <row r="1149" spans="2:23" ht="15.05" thickBot="1" x14ac:dyDescent="0.35">
      <c r="B1149" s="5042"/>
      <c r="C1149" s="1056">
        <f>IF(B1149=0,0,U1134)</f>
        <v>0</v>
      </c>
      <c r="D1149" s="1056">
        <f>IF(B1149=0,0,VLOOKUP(B1149,Precios!$B$216:$D$307,3,FALSE))</f>
        <v>0</v>
      </c>
      <c r="E1149" s="5048"/>
      <c r="F1149" s="1062">
        <f>IF(B1149=0,0,VLOOKUP(B1149,Precios!$B$216:$D$307,2,FALSE))</f>
        <v>0</v>
      </c>
      <c r="G1149" s="1066">
        <f>E1149*F1149</f>
        <v>0</v>
      </c>
      <c r="H1149" s="309"/>
      <c r="I1149" s="1072">
        <f>IF($C1149&gt;0,I1134*$E1149,0)</f>
        <v>0</v>
      </c>
      <c r="J1149" s="1252"/>
      <c r="K1149" s="571"/>
      <c r="L1149" s="571"/>
      <c r="M1149" s="571"/>
      <c r="N1149" s="571"/>
      <c r="O1149" s="571"/>
      <c r="P1149" s="571"/>
      <c r="Q1149" s="571"/>
      <c r="R1149" s="571"/>
      <c r="S1149" s="571"/>
      <c r="T1149" s="1253"/>
      <c r="U1149" s="1073">
        <f>SUM(I1149:T1149)</f>
        <v>0</v>
      </c>
      <c r="V1149" s="254"/>
      <c r="W1149" s="254"/>
    </row>
    <row r="1150" spans="2:23" ht="15.05" thickBot="1" x14ac:dyDescent="0.35">
      <c r="B1150" s="5044"/>
      <c r="C1150" s="985">
        <f>IF(B1150=0,0,U1134)</f>
        <v>0</v>
      </c>
      <c r="D1150" s="985">
        <f>IF(B1150=0,0,VLOOKUP(B1150,Precios!$B$216:$D$307,3,FALSE))</f>
        <v>0</v>
      </c>
      <c r="E1150" s="5049"/>
      <c r="F1150" s="1059">
        <f>IF(B1150=0,0,VLOOKUP(B1150,Precios!$B$216:$D$307,2,FALSE))</f>
        <v>0</v>
      </c>
      <c r="G1150" s="1067">
        <f>E1150*F1150</f>
        <v>0</v>
      </c>
      <c r="H1150" s="309"/>
      <c r="I1150" s="1074">
        <f>IF($C1150&gt;0,I1134*$E1150,0)</f>
        <v>0</v>
      </c>
      <c r="J1150" s="1254"/>
      <c r="K1150" s="425"/>
      <c r="L1150" s="425"/>
      <c r="M1150" s="425"/>
      <c r="N1150" s="425"/>
      <c r="O1150" s="425"/>
      <c r="P1150" s="425"/>
      <c r="Q1150" s="425"/>
      <c r="R1150" s="425"/>
      <c r="S1150" s="425"/>
      <c r="T1150" s="1255"/>
      <c r="U1150" s="1075">
        <f>SUM(I1150:T1150)</f>
        <v>0</v>
      </c>
      <c r="V1150" s="254"/>
      <c r="W1150" s="254"/>
    </row>
    <row r="1151" spans="2:23" x14ac:dyDescent="0.3">
      <c r="B1151" s="5081"/>
      <c r="C1151" s="1260">
        <f>IF(B1151=0,0,U1134)</f>
        <v>0</v>
      </c>
      <c r="D1151" s="1260">
        <f>IF(B1151=0,0,VLOOKUP(B1151,Precios!$B$216:$D$307,3,FALSE))</f>
        <v>0</v>
      </c>
      <c r="E1151" s="5083"/>
      <c r="F1151" s="1264">
        <f>IF(B1151=0,0,VLOOKUP(B1151,Precios!$B$216:$D$307,2,FALSE))</f>
        <v>0</v>
      </c>
      <c r="G1151" s="1262">
        <f>E1151*F1151</f>
        <v>0</v>
      </c>
      <c r="H1151" s="309"/>
      <c r="I1151" s="1076">
        <f>IF($C1151&gt;0,I1134*$E1151,0)</f>
        <v>0</v>
      </c>
      <c r="J1151" s="1265"/>
      <c r="K1151" s="439"/>
      <c r="L1151" s="439"/>
      <c r="M1151" s="439"/>
      <c r="N1151" s="439"/>
      <c r="O1151" s="439"/>
      <c r="P1151" s="439"/>
      <c r="Q1151" s="439"/>
      <c r="R1151" s="439"/>
      <c r="S1151" s="425"/>
      <c r="T1151" s="1255"/>
      <c r="U1151" s="1078">
        <f>SUM(I1151:T1151)</f>
        <v>0</v>
      </c>
      <c r="V1151" s="254"/>
      <c r="W1151" s="254"/>
    </row>
    <row r="1152" spans="2:23" ht="15.05" thickBot="1" x14ac:dyDescent="0.35">
      <c r="B1152" s="647" t="s">
        <v>1087</v>
      </c>
      <c r="C1152" s="305"/>
      <c r="D1152" s="305"/>
      <c r="E1152" s="305"/>
      <c r="F1152" s="305"/>
      <c r="G1152" s="305"/>
      <c r="H1152" s="306"/>
      <c r="I1152" s="904">
        <f>SUM(I1149:I1151)</f>
        <v>0</v>
      </c>
      <c r="J1152" s="1266"/>
      <c r="K1152" s="1267"/>
      <c r="L1152" s="1267"/>
      <c r="M1152" s="1267"/>
      <c r="N1152" s="1267"/>
      <c r="O1152" s="1267"/>
      <c r="P1152" s="1267"/>
      <c r="Q1152" s="1267"/>
      <c r="R1152" s="1267"/>
      <c r="S1152" s="1267"/>
      <c r="T1152" s="1268"/>
      <c r="U1152" s="1269">
        <f>SUM(I1152:T1152)</f>
        <v>0</v>
      </c>
      <c r="V1152" s="254"/>
      <c r="W1152" s="254"/>
    </row>
    <row r="1153" spans="1:45" ht="15.05" thickBot="1" x14ac:dyDescent="0.25">
      <c r="B1153" s="1274" t="s">
        <v>1865</v>
      </c>
      <c r="C1153" s="882">
        <f>+B1133</f>
        <v>0</v>
      </c>
      <c r="D1153" s="882"/>
      <c r="E1153" s="357" t="s">
        <v>876</v>
      </c>
      <c r="F1153" s="1275"/>
      <c r="G1153" s="1276"/>
      <c r="H1153" s="357"/>
      <c r="I1153" s="358">
        <f>SUMPRODUCT($F1137:$F1151,I1137:I1151)</f>
        <v>0</v>
      </c>
      <c r="J1153" s="1277"/>
      <c r="K1153" s="357"/>
      <c r="L1153" s="357"/>
      <c r="M1153" s="357"/>
      <c r="N1153" s="357"/>
      <c r="O1153" s="357"/>
      <c r="P1153" s="357"/>
      <c r="Q1153" s="357"/>
      <c r="R1153" s="357"/>
      <c r="S1153" s="357"/>
      <c r="T1153" s="1278"/>
      <c r="U1153" s="934">
        <f>SUM(I1153:T1153)</f>
        <v>0</v>
      </c>
      <c r="V1153" s="254"/>
      <c r="W1153" s="254"/>
    </row>
    <row r="1154" spans="1:45" x14ac:dyDescent="0.2">
      <c r="V1154" s="254"/>
      <c r="W1154" s="254"/>
    </row>
    <row r="1155" spans="1:45" x14ac:dyDescent="0.2">
      <c r="V1155" s="254"/>
      <c r="W1155" s="254"/>
    </row>
    <row r="1156" spans="1:45" ht="13.75" hidden="1" customHeight="1" x14ac:dyDescent="0.2">
      <c r="A1156" s="1743"/>
      <c r="B1156" s="1743" t="s">
        <v>941</v>
      </c>
      <c r="C1156" s="1745"/>
      <c r="D1156" s="1745"/>
      <c r="E1156" s="1745"/>
      <c r="F1156" s="1745"/>
      <c r="G1156" s="1745"/>
      <c r="H1156" s="1745"/>
      <c r="I1156" s="1745"/>
      <c r="J1156" s="1745"/>
      <c r="K1156" s="1745"/>
      <c r="L1156" s="1745"/>
      <c r="M1156" s="1745"/>
      <c r="N1156" s="1745"/>
      <c r="O1156" s="1745"/>
      <c r="P1156" s="1745"/>
      <c r="Q1156" s="1745"/>
      <c r="R1156" s="1745"/>
      <c r="S1156" s="1745"/>
      <c r="T1156" s="1745"/>
      <c r="U1156" s="1745"/>
      <c r="V1156" s="1746"/>
      <c r="W1156" s="1746"/>
      <c r="X1156" s="1743"/>
      <c r="Y1156" s="1743" t="s">
        <v>941</v>
      </c>
      <c r="Z1156" s="1745"/>
      <c r="AA1156" s="1745"/>
      <c r="AB1156" s="1745"/>
      <c r="AC1156" s="1745"/>
      <c r="AD1156" s="1745"/>
      <c r="AE1156" s="1745"/>
      <c r="AF1156" s="1745"/>
      <c r="AG1156" s="1745"/>
      <c r="AH1156" s="1745"/>
      <c r="AI1156" s="1745"/>
      <c r="AJ1156" s="1745"/>
      <c r="AK1156" s="1745"/>
      <c r="AL1156" s="1745"/>
      <c r="AM1156" s="1745"/>
      <c r="AN1156" s="1745"/>
      <c r="AO1156" s="1745"/>
      <c r="AP1156" s="1745"/>
      <c r="AQ1156" s="1745"/>
      <c r="AR1156" s="1745"/>
      <c r="AS1156" s="1743"/>
    </row>
    <row r="1157" spans="1:45" ht="13.75" hidden="1" customHeight="1" x14ac:dyDescent="0.2">
      <c r="V1157" s="254"/>
      <c r="W1157" s="254"/>
    </row>
    <row r="1158" spans="1:45" ht="14.4" hidden="1" customHeight="1" thickBot="1" x14ac:dyDescent="0.25">
      <c r="B1158" s="359" t="s">
        <v>1989</v>
      </c>
      <c r="D1158" s="359" t="s">
        <v>1989</v>
      </c>
      <c r="V1158" s="254"/>
      <c r="W1158" s="254"/>
    </row>
    <row r="1159" spans="1:45" ht="13.75" hidden="1" customHeight="1" x14ac:dyDescent="0.2">
      <c r="A1159" s="2188">
        <v>1078</v>
      </c>
      <c r="B1159" s="1526" t="s">
        <v>94</v>
      </c>
      <c r="D1159" s="1526" t="s">
        <v>119</v>
      </c>
      <c r="V1159" s="254"/>
      <c r="W1159" s="254"/>
    </row>
    <row r="1160" spans="1:45" ht="14.4" hidden="1" customHeight="1" thickBot="1" x14ac:dyDescent="0.25">
      <c r="B1160" s="1528" t="s">
        <v>612</v>
      </c>
      <c r="D1160" s="1527" t="s">
        <v>345</v>
      </c>
      <c r="V1160" s="254"/>
      <c r="W1160" s="254"/>
    </row>
    <row r="1161" spans="1:45" ht="14.4" hidden="1" customHeight="1" thickBot="1" x14ac:dyDescent="0.25">
      <c r="D1161" s="1528"/>
      <c r="V1161" s="254"/>
      <c r="W1161" s="254"/>
      <c r="Y1161" s="254"/>
    </row>
    <row r="1162" spans="1:45" ht="13.75" hidden="1" customHeight="1" x14ac:dyDescent="0.2">
      <c r="V1162" s="254"/>
      <c r="W1162" s="254"/>
      <c r="Y1162" s="254"/>
    </row>
    <row r="1163" spans="1:45" ht="13.75" hidden="1" customHeight="1" x14ac:dyDescent="0.2">
      <c r="V1163" s="254"/>
      <c r="W1163" s="254"/>
    </row>
    <row r="1164" spans="1:45" ht="13.75" hidden="1" customHeight="1" x14ac:dyDescent="0.2">
      <c r="V1164" s="254"/>
      <c r="W1164" s="254"/>
    </row>
    <row r="1165" spans="1:45" ht="13.75" hidden="1" customHeight="1" x14ac:dyDescent="0.2">
      <c r="I1165" s="193"/>
      <c r="J1165" s="193"/>
      <c r="V1165" s="254"/>
      <c r="W1165" s="254"/>
    </row>
    <row r="1166" spans="1:45" s="1546" customFormat="1" ht="24.55" hidden="1" customHeight="1" x14ac:dyDescent="0.2">
      <c r="B1166" s="1612" t="s">
        <v>1833</v>
      </c>
      <c r="C1166" s="1613"/>
      <c r="D1166" s="1613"/>
      <c r="E1166" s="1613"/>
      <c r="F1166" s="1613"/>
      <c r="G1166" s="1613"/>
      <c r="H1166" s="1613"/>
      <c r="I1166" s="1614"/>
      <c r="J1166" s="1614"/>
      <c r="K1166" s="1613"/>
      <c r="L1166" s="1613"/>
      <c r="M1166" s="1613"/>
      <c r="N1166" s="1613"/>
      <c r="O1166" s="1613"/>
      <c r="P1166" s="1613"/>
      <c r="Q1166" s="1613"/>
      <c r="R1166" s="1613"/>
      <c r="S1166" s="1613"/>
      <c r="T1166" s="1613"/>
      <c r="U1166" s="1613"/>
      <c r="V1166" s="1345"/>
      <c r="W1166" s="1345"/>
      <c r="X1166" s="1615"/>
      <c r="Y1166" s="1615"/>
      <c r="Z1166" s="1613"/>
      <c r="AA1166" s="1613"/>
      <c r="AB1166" s="1613"/>
      <c r="AC1166" s="1613"/>
      <c r="AD1166" s="1613"/>
      <c r="AE1166" s="1613"/>
      <c r="AF1166" s="1613"/>
      <c r="AG1166" s="1613"/>
      <c r="AH1166" s="1613"/>
      <c r="AI1166" s="1613"/>
      <c r="AJ1166" s="1613"/>
      <c r="AK1166" s="1613"/>
      <c r="AL1166" s="1613"/>
      <c r="AM1166" s="1613"/>
      <c r="AN1166" s="1613"/>
      <c r="AO1166" s="1613"/>
      <c r="AP1166" s="1613"/>
      <c r="AQ1166" s="1613"/>
      <c r="AR1166" s="1613"/>
    </row>
    <row r="1167" spans="1:45" ht="14.4" hidden="1" customHeight="1" thickBot="1" x14ac:dyDescent="0.25">
      <c r="V1167" s="254"/>
      <c r="W1167" s="254"/>
    </row>
    <row r="1168" spans="1:45" ht="14.4" hidden="1" customHeight="1" thickTop="1" x14ac:dyDescent="0.2">
      <c r="A1168" s="2188">
        <v>1080</v>
      </c>
      <c r="B1168" s="1625" t="s">
        <v>1830</v>
      </c>
      <c r="C1168" s="1624"/>
      <c r="D1168" s="1624"/>
      <c r="E1168" s="1624"/>
      <c r="F1168" s="1581"/>
      <c r="G1168" s="1581"/>
      <c r="H1168" s="1581"/>
      <c r="I1168" s="1624" t="s">
        <v>942</v>
      </c>
      <c r="J1168" s="1624"/>
      <c r="K1168" s="1624"/>
      <c r="L1168" s="1624"/>
      <c r="M1168" s="1624"/>
      <c r="N1168" s="1624"/>
      <c r="O1168" s="1624"/>
      <c r="P1168" s="1624"/>
      <c r="Q1168" s="1624"/>
      <c r="R1168" s="1624"/>
      <c r="S1168" s="1624"/>
      <c r="T1168" s="1626"/>
      <c r="V1168" s="254"/>
      <c r="W1168" s="254"/>
      <c r="X1168" s="2188">
        <v>1081</v>
      </c>
      <c r="Y1168" s="1625" t="s">
        <v>939</v>
      </c>
      <c r="Z1168" s="1624"/>
      <c r="AA1168" s="1624"/>
      <c r="AB1168" s="1624"/>
      <c r="AC1168" s="1581"/>
      <c r="AD1168" s="1581"/>
      <c r="AE1168" s="1581"/>
      <c r="AF1168" s="1624"/>
      <c r="AG1168" s="1624"/>
      <c r="AH1168" s="1624"/>
      <c r="AI1168" s="1624"/>
      <c r="AJ1168" s="1624"/>
      <c r="AK1168" s="1624"/>
      <c r="AL1168" s="1624"/>
      <c r="AM1168" s="1624"/>
      <c r="AN1168" s="1624"/>
      <c r="AO1168" s="1624"/>
      <c r="AP1168" s="1624"/>
      <c r="AQ1168" s="1626"/>
    </row>
    <row r="1169" spans="2:43" ht="13.75" hidden="1" customHeight="1" x14ac:dyDescent="0.2">
      <c r="B1169" s="1630" t="s">
        <v>924</v>
      </c>
      <c r="C1169" s="1635" t="s">
        <v>1998</v>
      </c>
      <c r="D1169" s="1201"/>
      <c r="E1169" s="1633"/>
      <c r="F1169" s="374"/>
      <c r="G1169" s="374"/>
      <c r="H1169" s="377"/>
      <c r="I1169" s="1178"/>
      <c r="J1169" s="1175"/>
      <c r="K1169" s="1175"/>
      <c r="L1169" s="1175"/>
      <c r="M1169" s="1627"/>
      <c r="N1169" s="1628" t="s">
        <v>938</v>
      </c>
      <c r="O1169" s="1627"/>
      <c r="P1169" s="1175"/>
      <c r="Q1169" s="1175"/>
      <c r="R1169" s="1175"/>
      <c r="S1169" s="1175"/>
      <c r="T1169" s="1629"/>
      <c r="V1169" s="254"/>
      <c r="W1169" s="254"/>
      <c r="Y1169" s="1630"/>
      <c r="Z1169" s="1635" t="s">
        <v>871</v>
      </c>
      <c r="AA1169" s="1201"/>
      <c r="AB1169" s="1633"/>
      <c r="AC1169" s="374"/>
      <c r="AD1169" s="374"/>
      <c r="AE1169" s="377"/>
      <c r="AF1169" s="1178"/>
      <c r="AG1169" s="1175"/>
      <c r="AH1169" s="1175"/>
      <c r="AI1169" s="1175"/>
      <c r="AJ1169" s="1627"/>
      <c r="AK1169" s="1628" t="s">
        <v>350</v>
      </c>
      <c r="AL1169" s="1627"/>
      <c r="AM1169" s="1175"/>
      <c r="AN1169" s="1175"/>
      <c r="AO1169" s="1175"/>
      <c r="AP1169" s="1175"/>
      <c r="AQ1169" s="1629"/>
    </row>
    <row r="1170" spans="2:43" ht="13.75" hidden="1" customHeight="1" x14ac:dyDescent="0.2">
      <c r="B1170" s="1616" t="str">
        <f>Precios!B87</f>
        <v>Siembra Directa  - Propia</v>
      </c>
      <c r="C1170" s="1184">
        <f>Precios!E87</f>
        <v>5</v>
      </c>
      <c r="D1170" s="1183"/>
      <c r="E1170" s="372"/>
      <c r="F1170" s="193"/>
      <c r="G1170" s="193"/>
      <c r="H1170" s="193"/>
      <c r="I1170" s="1185">
        <f>SUMIF($V$45:$V$1153,$B1170&amp;"propia",I$45:I$1153)</f>
        <v>0</v>
      </c>
      <c r="J1170" s="1185">
        <f t="shared" ref="J1170:T1179" si="434">SUMIF($V$45:$V$847,$B1170&amp;"propia",J$45:J$847)</f>
        <v>0</v>
      </c>
      <c r="K1170" s="1185">
        <f t="shared" si="434"/>
        <v>0</v>
      </c>
      <c r="L1170" s="1185">
        <f t="shared" si="434"/>
        <v>0</v>
      </c>
      <c r="M1170" s="1185">
        <f t="shared" si="434"/>
        <v>0</v>
      </c>
      <c r="N1170" s="1185">
        <f t="shared" si="434"/>
        <v>0</v>
      </c>
      <c r="O1170" s="1186">
        <f t="shared" si="434"/>
        <v>0</v>
      </c>
      <c r="P1170" s="1186">
        <f t="shared" si="434"/>
        <v>0</v>
      </c>
      <c r="Q1170" s="1186">
        <f t="shared" si="434"/>
        <v>0</v>
      </c>
      <c r="R1170" s="1186">
        <f t="shared" si="434"/>
        <v>0</v>
      </c>
      <c r="S1170" s="1186">
        <f t="shared" si="434"/>
        <v>0</v>
      </c>
      <c r="T1170" s="1617">
        <f t="shared" si="434"/>
        <v>0</v>
      </c>
      <c r="V1170" s="254"/>
      <c r="W1170" s="254"/>
      <c r="Y1170" s="1616" t="str">
        <f t="shared" ref="Y1170:Y1197" si="435">+B1170</f>
        <v>Siembra Directa  - Propia</v>
      </c>
      <c r="Z1170" s="1184">
        <f t="shared" ref="Z1170:Z1197" si="436">C1170</f>
        <v>5</v>
      </c>
      <c r="AA1170" s="1183"/>
      <c r="AB1170" s="372"/>
      <c r="AC1170" s="193"/>
      <c r="AD1170" s="193"/>
      <c r="AE1170" s="193"/>
      <c r="AF1170" s="1185">
        <f>SUMIF($AS$45:$AS$1152,$B1170&amp;"propia",AF$45:AF$1152)</f>
        <v>0</v>
      </c>
      <c r="AG1170" s="1185">
        <f t="shared" ref="AG1170:AQ1178" si="437">SUMIF($AS$45:$AS$1152,$B1170&amp;"propia",AG$45:AG$1152)</f>
        <v>0</v>
      </c>
      <c r="AH1170" s="1185">
        <f t="shared" si="437"/>
        <v>0</v>
      </c>
      <c r="AI1170" s="1185">
        <f t="shared" si="437"/>
        <v>0</v>
      </c>
      <c r="AJ1170" s="1185">
        <f t="shared" si="437"/>
        <v>0</v>
      </c>
      <c r="AK1170" s="1185">
        <f t="shared" si="437"/>
        <v>0</v>
      </c>
      <c r="AL1170" s="1185">
        <f t="shared" si="437"/>
        <v>0</v>
      </c>
      <c r="AM1170" s="1185">
        <f t="shared" si="437"/>
        <v>0</v>
      </c>
      <c r="AN1170" s="1185">
        <f t="shared" si="437"/>
        <v>0</v>
      </c>
      <c r="AO1170" s="1185">
        <f t="shared" si="437"/>
        <v>0</v>
      </c>
      <c r="AP1170" s="1185">
        <f t="shared" si="437"/>
        <v>0</v>
      </c>
      <c r="AQ1170" s="1185">
        <f t="shared" si="437"/>
        <v>0</v>
      </c>
    </row>
    <row r="1171" spans="2:43" ht="13.75" hidden="1" customHeight="1" x14ac:dyDescent="0.2">
      <c r="B1171" s="1586" t="str">
        <f>Precios!B88</f>
        <v>Siembra Directa  - Contratada</v>
      </c>
      <c r="C1171" s="1187">
        <f>Precios!E88</f>
        <v>5</v>
      </c>
      <c r="D1171" s="1183"/>
      <c r="E1171" s="372"/>
      <c r="F1171" s="193"/>
      <c r="G1171" s="193"/>
      <c r="H1171" s="193"/>
      <c r="I1171" s="1185">
        <f t="shared" ref="I1171:I1197" si="438">SUMIF($V$45:$V$1153,$B1171&amp;"propia",I$45:I$1153)</f>
        <v>0</v>
      </c>
      <c r="J1171" s="1172">
        <f t="shared" si="434"/>
        <v>0</v>
      </c>
      <c r="K1171" s="1172">
        <f t="shared" si="434"/>
        <v>0</v>
      </c>
      <c r="L1171" s="1172">
        <f t="shared" si="434"/>
        <v>0</v>
      </c>
      <c r="M1171" s="1172">
        <f t="shared" si="434"/>
        <v>0</v>
      </c>
      <c r="N1171" s="1172">
        <f t="shared" si="434"/>
        <v>0</v>
      </c>
      <c r="O1171" s="1172">
        <f t="shared" si="434"/>
        <v>0</v>
      </c>
      <c r="P1171" s="1172">
        <f t="shared" si="434"/>
        <v>0</v>
      </c>
      <c r="Q1171" s="1172">
        <f t="shared" si="434"/>
        <v>0</v>
      </c>
      <c r="R1171" s="1172">
        <f t="shared" si="434"/>
        <v>0</v>
      </c>
      <c r="S1171" s="1172">
        <f t="shared" si="434"/>
        <v>0</v>
      </c>
      <c r="T1171" s="1618">
        <f t="shared" si="434"/>
        <v>0</v>
      </c>
      <c r="V1171" s="254"/>
      <c r="W1171" s="254"/>
      <c r="Y1171" s="1586" t="str">
        <f t="shared" si="435"/>
        <v>Siembra Directa  - Contratada</v>
      </c>
      <c r="Z1171" s="1187">
        <f t="shared" si="436"/>
        <v>5</v>
      </c>
      <c r="AA1171" s="1183"/>
      <c r="AB1171" s="372"/>
      <c r="AC1171" s="193"/>
      <c r="AD1171" s="193"/>
      <c r="AE1171" s="193"/>
      <c r="AF1171" s="1172">
        <f t="shared" ref="AF1171:AF1197" si="439">SUMIF($AS$45:$AS$1152,$B1171&amp;"propia",AF$45:AF$1152)</f>
        <v>0</v>
      </c>
      <c r="AG1171" s="1172">
        <f t="shared" si="437"/>
        <v>0</v>
      </c>
      <c r="AH1171" s="1172">
        <f t="shared" si="437"/>
        <v>0</v>
      </c>
      <c r="AI1171" s="1172">
        <f t="shared" si="437"/>
        <v>0</v>
      </c>
      <c r="AJ1171" s="1172">
        <f t="shared" si="437"/>
        <v>0</v>
      </c>
      <c r="AK1171" s="1172">
        <f t="shared" si="437"/>
        <v>0</v>
      </c>
      <c r="AL1171" s="1172">
        <f t="shared" si="437"/>
        <v>0</v>
      </c>
      <c r="AM1171" s="1172">
        <f t="shared" si="437"/>
        <v>0</v>
      </c>
      <c r="AN1171" s="1172">
        <f t="shared" si="437"/>
        <v>0</v>
      </c>
      <c r="AO1171" s="1172">
        <f t="shared" si="437"/>
        <v>0</v>
      </c>
      <c r="AP1171" s="1172">
        <f t="shared" si="437"/>
        <v>0</v>
      </c>
      <c r="AQ1171" s="1618">
        <f t="shared" si="437"/>
        <v>0</v>
      </c>
    </row>
    <row r="1172" spans="2:43" ht="13.75" hidden="1" customHeight="1" x14ac:dyDescent="0.2">
      <c r="B1172" s="1586" t="str">
        <f>Precios!B89</f>
        <v>Aplicar herbicida - Propia</v>
      </c>
      <c r="C1172" s="1187">
        <f>Precios!E89</f>
        <v>1.5</v>
      </c>
      <c r="D1172" s="1183"/>
      <c r="E1172" s="372"/>
      <c r="F1172" s="193"/>
      <c r="G1172" s="193"/>
      <c r="H1172" s="193"/>
      <c r="I1172" s="1185">
        <f t="shared" si="438"/>
        <v>0</v>
      </c>
      <c r="J1172" s="1172">
        <f t="shared" si="434"/>
        <v>0</v>
      </c>
      <c r="K1172" s="1172">
        <f t="shared" si="434"/>
        <v>0</v>
      </c>
      <c r="L1172" s="1172">
        <f t="shared" si="434"/>
        <v>0</v>
      </c>
      <c r="M1172" s="1172">
        <f t="shared" si="434"/>
        <v>0</v>
      </c>
      <c r="N1172" s="1172">
        <f t="shared" si="434"/>
        <v>0</v>
      </c>
      <c r="O1172" s="1172">
        <f t="shared" si="434"/>
        <v>0</v>
      </c>
      <c r="P1172" s="1172">
        <f t="shared" si="434"/>
        <v>0</v>
      </c>
      <c r="Q1172" s="1172">
        <f t="shared" si="434"/>
        <v>0</v>
      </c>
      <c r="R1172" s="1172">
        <f t="shared" si="434"/>
        <v>0</v>
      </c>
      <c r="S1172" s="1172">
        <f t="shared" si="434"/>
        <v>0</v>
      </c>
      <c r="T1172" s="1618">
        <f t="shared" si="434"/>
        <v>0</v>
      </c>
      <c r="V1172" s="254"/>
      <c r="W1172" s="254"/>
      <c r="Y1172" s="1586" t="str">
        <f t="shared" si="435"/>
        <v>Aplicar herbicida - Propia</v>
      </c>
      <c r="Z1172" s="1187">
        <f t="shared" si="436"/>
        <v>1.5</v>
      </c>
      <c r="AA1172" s="1183"/>
      <c r="AB1172" s="372"/>
      <c r="AC1172" s="193"/>
      <c r="AD1172" s="193"/>
      <c r="AE1172" s="193"/>
      <c r="AF1172" s="1172">
        <f t="shared" si="439"/>
        <v>0</v>
      </c>
      <c r="AG1172" s="1172">
        <f t="shared" si="437"/>
        <v>0</v>
      </c>
      <c r="AH1172" s="1172">
        <f t="shared" si="437"/>
        <v>0</v>
      </c>
      <c r="AI1172" s="1172">
        <f t="shared" si="437"/>
        <v>0</v>
      </c>
      <c r="AJ1172" s="1172">
        <f t="shared" si="437"/>
        <v>0</v>
      </c>
      <c r="AK1172" s="1172">
        <f t="shared" si="437"/>
        <v>0</v>
      </c>
      <c r="AL1172" s="1172">
        <f t="shared" si="437"/>
        <v>0</v>
      </c>
      <c r="AM1172" s="1172">
        <f t="shared" si="437"/>
        <v>0</v>
      </c>
      <c r="AN1172" s="1172">
        <f t="shared" si="437"/>
        <v>0</v>
      </c>
      <c r="AO1172" s="1172">
        <f t="shared" si="437"/>
        <v>0</v>
      </c>
      <c r="AP1172" s="1172">
        <f t="shared" si="437"/>
        <v>0</v>
      </c>
      <c r="AQ1172" s="1618">
        <f t="shared" si="437"/>
        <v>0</v>
      </c>
    </row>
    <row r="1173" spans="2:43" ht="13.75" hidden="1" customHeight="1" x14ac:dyDescent="0.2">
      <c r="B1173" s="1586" t="str">
        <f>Precios!B90</f>
        <v>Aplicar herbicida - Contratada</v>
      </c>
      <c r="C1173" s="1187">
        <f>Precios!E90</f>
        <v>1.5</v>
      </c>
      <c r="D1173" s="1183"/>
      <c r="E1173" s="372"/>
      <c r="F1173" s="193"/>
      <c r="G1173" s="193"/>
      <c r="H1173" s="193"/>
      <c r="I1173" s="1185">
        <f t="shared" si="438"/>
        <v>0</v>
      </c>
      <c r="J1173" s="1172">
        <f t="shared" si="434"/>
        <v>0</v>
      </c>
      <c r="K1173" s="1172">
        <f t="shared" si="434"/>
        <v>0</v>
      </c>
      <c r="L1173" s="1172">
        <f t="shared" si="434"/>
        <v>0</v>
      </c>
      <c r="M1173" s="1172">
        <f t="shared" si="434"/>
        <v>0</v>
      </c>
      <c r="N1173" s="1172">
        <f t="shared" si="434"/>
        <v>0</v>
      </c>
      <c r="O1173" s="1172">
        <f t="shared" si="434"/>
        <v>0</v>
      </c>
      <c r="P1173" s="1172">
        <f t="shared" si="434"/>
        <v>0</v>
      </c>
      <c r="Q1173" s="1172">
        <f t="shared" si="434"/>
        <v>0</v>
      </c>
      <c r="R1173" s="1172">
        <f t="shared" si="434"/>
        <v>0</v>
      </c>
      <c r="S1173" s="1172">
        <f t="shared" si="434"/>
        <v>0</v>
      </c>
      <c r="T1173" s="1618">
        <f t="shared" si="434"/>
        <v>0</v>
      </c>
      <c r="V1173" s="254"/>
      <c r="W1173" s="254"/>
      <c r="Y1173" s="1586" t="str">
        <f t="shared" si="435"/>
        <v>Aplicar herbicida - Contratada</v>
      </c>
      <c r="Z1173" s="1187">
        <f t="shared" si="436"/>
        <v>1.5</v>
      </c>
      <c r="AA1173" s="1183"/>
      <c r="AB1173" s="372"/>
      <c r="AC1173" s="193"/>
      <c r="AD1173" s="193"/>
      <c r="AE1173" s="193"/>
      <c r="AF1173" s="1172">
        <f t="shared" si="439"/>
        <v>0</v>
      </c>
      <c r="AG1173" s="1172">
        <f t="shared" si="437"/>
        <v>0</v>
      </c>
      <c r="AH1173" s="1172">
        <f t="shared" si="437"/>
        <v>0</v>
      </c>
      <c r="AI1173" s="1172">
        <f t="shared" si="437"/>
        <v>0</v>
      </c>
      <c r="AJ1173" s="1172">
        <f t="shared" si="437"/>
        <v>0</v>
      </c>
      <c r="AK1173" s="1172">
        <f t="shared" si="437"/>
        <v>0</v>
      </c>
      <c r="AL1173" s="1172">
        <f t="shared" si="437"/>
        <v>0</v>
      </c>
      <c r="AM1173" s="1172">
        <f t="shared" si="437"/>
        <v>0</v>
      </c>
      <c r="AN1173" s="1172">
        <f t="shared" si="437"/>
        <v>0</v>
      </c>
      <c r="AO1173" s="1172">
        <f t="shared" si="437"/>
        <v>0</v>
      </c>
      <c r="AP1173" s="1172">
        <f t="shared" si="437"/>
        <v>0</v>
      </c>
      <c r="AQ1173" s="1618">
        <f t="shared" si="437"/>
        <v>0</v>
      </c>
    </row>
    <row r="1174" spans="2:43" ht="13.75" hidden="1" customHeight="1" x14ac:dyDescent="0.2">
      <c r="B1174" s="1586" t="str">
        <f>Precios!B91</f>
        <v>Fertilizar - Propia</v>
      </c>
      <c r="C1174" s="1187">
        <f>Precios!E91</f>
        <v>3</v>
      </c>
      <c r="D1174" s="1183"/>
      <c r="E1174" s="372"/>
      <c r="F1174" s="193"/>
      <c r="G1174" s="193"/>
      <c r="H1174" s="193"/>
      <c r="I1174" s="1185">
        <f t="shared" si="438"/>
        <v>0</v>
      </c>
      <c r="J1174" s="1172">
        <f t="shared" si="434"/>
        <v>0</v>
      </c>
      <c r="K1174" s="1172">
        <f t="shared" si="434"/>
        <v>0</v>
      </c>
      <c r="L1174" s="1172">
        <f t="shared" si="434"/>
        <v>0</v>
      </c>
      <c r="M1174" s="1172">
        <f t="shared" si="434"/>
        <v>0</v>
      </c>
      <c r="N1174" s="1172">
        <f t="shared" si="434"/>
        <v>0</v>
      </c>
      <c r="O1174" s="1172">
        <f t="shared" si="434"/>
        <v>0</v>
      </c>
      <c r="P1174" s="1172">
        <f t="shared" si="434"/>
        <v>0</v>
      </c>
      <c r="Q1174" s="1172">
        <f t="shared" si="434"/>
        <v>0</v>
      </c>
      <c r="R1174" s="1172">
        <f t="shared" si="434"/>
        <v>0</v>
      </c>
      <c r="S1174" s="1172">
        <f t="shared" si="434"/>
        <v>0</v>
      </c>
      <c r="T1174" s="1618">
        <f t="shared" si="434"/>
        <v>0</v>
      </c>
      <c r="V1174" s="254"/>
      <c r="W1174" s="254"/>
      <c r="Y1174" s="1586" t="str">
        <f t="shared" si="435"/>
        <v>Fertilizar - Propia</v>
      </c>
      <c r="Z1174" s="1187">
        <f t="shared" si="436"/>
        <v>3</v>
      </c>
      <c r="AA1174" s="1183"/>
      <c r="AB1174" s="372"/>
      <c r="AC1174" s="193"/>
      <c r="AD1174" s="193"/>
      <c r="AE1174" s="193"/>
      <c r="AF1174" s="1172">
        <f t="shared" si="439"/>
        <v>0</v>
      </c>
      <c r="AG1174" s="1172">
        <f t="shared" si="437"/>
        <v>0</v>
      </c>
      <c r="AH1174" s="1172">
        <f t="shared" si="437"/>
        <v>0</v>
      </c>
      <c r="AI1174" s="1172">
        <f t="shared" si="437"/>
        <v>0</v>
      </c>
      <c r="AJ1174" s="1172">
        <f t="shared" si="437"/>
        <v>0</v>
      </c>
      <c r="AK1174" s="1172">
        <f t="shared" si="437"/>
        <v>0</v>
      </c>
      <c r="AL1174" s="1172">
        <f t="shared" si="437"/>
        <v>0</v>
      </c>
      <c r="AM1174" s="1172">
        <f t="shared" si="437"/>
        <v>0</v>
      </c>
      <c r="AN1174" s="1172">
        <f t="shared" si="437"/>
        <v>0</v>
      </c>
      <c r="AO1174" s="1172">
        <f t="shared" si="437"/>
        <v>0</v>
      </c>
      <c r="AP1174" s="1172">
        <f t="shared" si="437"/>
        <v>0</v>
      </c>
      <c r="AQ1174" s="1618">
        <f t="shared" si="437"/>
        <v>0</v>
      </c>
    </row>
    <row r="1175" spans="2:43" ht="13.75" hidden="1" customHeight="1" x14ac:dyDescent="0.2">
      <c r="B1175" s="1586" t="str">
        <f>Precios!B92</f>
        <v>Fertilizar - Contratada</v>
      </c>
      <c r="C1175" s="1187">
        <f>Precios!E92</f>
        <v>3</v>
      </c>
      <c r="D1175" s="1183"/>
      <c r="E1175" s="372"/>
      <c r="F1175" s="193"/>
      <c r="G1175" s="193"/>
      <c r="H1175" s="193"/>
      <c r="I1175" s="1185">
        <f t="shared" si="438"/>
        <v>0</v>
      </c>
      <c r="J1175" s="1172">
        <f t="shared" si="434"/>
        <v>0</v>
      </c>
      <c r="K1175" s="1172">
        <f t="shared" si="434"/>
        <v>0</v>
      </c>
      <c r="L1175" s="1172">
        <f t="shared" si="434"/>
        <v>0</v>
      </c>
      <c r="M1175" s="1172">
        <f t="shared" si="434"/>
        <v>0</v>
      </c>
      <c r="N1175" s="1172">
        <f t="shared" si="434"/>
        <v>0</v>
      </c>
      <c r="O1175" s="1172">
        <f t="shared" si="434"/>
        <v>0</v>
      </c>
      <c r="P1175" s="1172">
        <f t="shared" si="434"/>
        <v>0</v>
      </c>
      <c r="Q1175" s="1172">
        <f t="shared" si="434"/>
        <v>0</v>
      </c>
      <c r="R1175" s="1172">
        <f t="shared" si="434"/>
        <v>0</v>
      </c>
      <c r="S1175" s="1172">
        <f t="shared" si="434"/>
        <v>0</v>
      </c>
      <c r="T1175" s="1618">
        <f t="shared" si="434"/>
        <v>0</v>
      </c>
      <c r="V1175" s="254"/>
      <c r="W1175" s="254"/>
      <c r="Y1175" s="1586" t="str">
        <f t="shared" si="435"/>
        <v>Fertilizar - Contratada</v>
      </c>
      <c r="Z1175" s="1187">
        <f t="shared" si="436"/>
        <v>3</v>
      </c>
      <c r="AA1175" s="1183"/>
      <c r="AB1175" s="372"/>
      <c r="AC1175" s="193"/>
      <c r="AD1175" s="193"/>
      <c r="AE1175" s="193"/>
      <c r="AF1175" s="1172">
        <f t="shared" si="439"/>
        <v>0</v>
      </c>
      <c r="AG1175" s="1172">
        <f t="shared" si="437"/>
        <v>0</v>
      </c>
      <c r="AH1175" s="1172">
        <f t="shared" si="437"/>
        <v>0</v>
      </c>
      <c r="AI1175" s="1172">
        <f t="shared" si="437"/>
        <v>0</v>
      </c>
      <c r="AJ1175" s="1172">
        <f t="shared" si="437"/>
        <v>0</v>
      </c>
      <c r="AK1175" s="1172">
        <f t="shared" si="437"/>
        <v>0</v>
      </c>
      <c r="AL1175" s="1172">
        <f t="shared" si="437"/>
        <v>0</v>
      </c>
      <c r="AM1175" s="1172">
        <f t="shared" si="437"/>
        <v>0</v>
      </c>
      <c r="AN1175" s="1172">
        <f t="shared" si="437"/>
        <v>0</v>
      </c>
      <c r="AO1175" s="1172">
        <f t="shared" si="437"/>
        <v>0</v>
      </c>
      <c r="AP1175" s="1172">
        <f t="shared" si="437"/>
        <v>0</v>
      </c>
      <c r="AQ1175" s="1618">
        <f t="shared" si="437"/>
        <v>0</v>
      </c>
    </row>
    <row r="1176" spans="2:43" ht="13.75" hidden="1" customHeight="1" x14ac:dyDescent="0.2">
      <c r="B1176" s="1586" t="str">
        <f>Precios!B93</f>
        <v>Siembra Maíz - Contratada</v>
      </c>
      <c r="C1176" s="1187">
        <f>Precios!E93</f>
        <v>9</v>
      </c>
      <c r="D1176" s="1183"/>
      <c r="E1176" s="372"/>
      <c r="F1176" s="193"/>
      <c r="G1176" s="193"/>
      <c r="H1176" s="193"/>
      <c r="I1176" s="1185">
        <f t="shared" si="438"/>
        <v>0</v>
      </c>
      <c r="J1176" s="1172">
        <f t="shared" si="434"/>
        <v>0</v>
      </c>
      <c r="K1176" s="1172">
        <f t="shared" si="434"/>
        <v>0</v>
      </c>
      <c r="L1176" s="1172">
        <f t="shared" si="434"/>
        <v>0</v>
      </c>
      <c r="M1176" s="1172">
        <f t="shared" si="434"/>
        <v>0</v>
      </c>
      <c r="N1176" s="1172">
        <f t="shared" si="434"/>
        <v>0</v>
      </c>
      <c r="O1176" s="1172">
        <f t="shared" si="434"/>
        <v>0</v>
      </c>
      <c r="P1176" s="1172">
        <f t="shared" si="434"/>
        <v>0</v>
      </c>
      <c r="Q1176" s="1172">
        <f t="shared" si="434"/>
        <v>0</v>
      </c>
      <c r="R1176" s="1172">
        <f t="shared" si="434"/>
        <v>0</v>
      </c>
      <c r="S1176" s="1172">
        <f t="shared" si="434"/>
        <v>0</v>
      </c>
      <c r="T1176" s="1618">
        <f t="shared" si="434"/>
        <v>0</v>
      </c>
      <c r="V1176" s="254"/>
      <c r="W1176" s="254"/>
      <c r="Y1176" s="1586" t="str">
        <f t="shared" si="435"/>
        <v>Siembra Maíz - Contratada</v>
      </c>
      <c r="Z1176" s="1187">
        <f t="shared" si="436"/>
        <v>9</v>
      </c>
      <c r="AA1176" s="1183"/>
      <c r="AB1176" s="372"/>
      <c r="AC1176" s="193"/>
      <c r="AD1176" s="193"/>
      <c r="AE1176" s="193"/>
      <c r="AF1176" s="1172">
        <f t="shared" si="439"/>
        <v>0</v>
      </c>
      <c r="AG1176" s="1172">
        <f t="shared" si="437"/>
        <v>0</v>
      </c>
      <c r="AH1176" s="1172">
        <f t="shared" si="437"/>
        <v>0</v>
      </c>
      <c r="AI1176" s="1172">
        <f t="shared" si="437"/>
        <v>0</v>
      </c>
      <c r="AJ1176" s="1172">
        <f t="shared" si="437"/>
        <v>0</v>
      </c>
      <c r="AK1176" s="1172">
        <f t="shared" si="437"/>
        <v>0</v>
      </c>
      <c r="AL1176" s="1172">
        <f t="shared" si="437"/>
        <v>0</v>
      </c>
      <c r="AM1176" s="1172">
        <f t="shared" si="437"/>
        <v>0</v>
      </c>
      <c r="AN1176" s="1172">
        <f t="shared" si="437"/>
        <v>0</v>
      </c>
      <c r="AO1176" s="1172">
        <f t="shared" si="437"/>
        <v>0</v>
      </c>
      <c r="AP1176" s="1172">
        <f t="shared" si="437"/>
        <v>0</v>
      </c>
      <c r="AQ1176" s="1618">
        <f t="shared" si="437"/>
        <v>0</v>
      </c>
    </row>
    <row r="1177" spans="2:43" ht="13.75" hidden="1" customHeight="1" x14ac:dyDescent="0.2">
      <c r="B1177" s="1586">
        <f>Precios!B94</f>
        <v>0</v>
      </c>
      <c r="C1177" s="1187">
        <f>Precios!E94</f>
        <v>0</v>
      </c>
      <c r="D1177" s="1183"/>
      <c r="E1177" s="372"/>
      <c r="F1177" s="193"/>
      <c r="G1177" s="193"/>
      <c r="H1177" s="193"/>
      <c r="I1177" s="1185">
        <f t="shared" si="438"/>
        <v>0</v>
      </c>
      <c r="J1177" s="1172">
        <f t="shared" si="434"/>
        <v>0</v>
      </c>
      <c r="K1177" s="1172">
        <f t="shared" si="434"/>
        <v>0</v>
      </c>
      <c r="L1177" s="1172">
        <f t="shared" si="434"/>
        <v>0</v>
      </c>
      <c r="M1177" s="1172">
        <f t="shared" si="434"/>
        <v>0</v>
      </c>
      <c r="N1177" s="1172">
        <f t="shared" si="434"/>
        <v>0</v>
      </c>
      <c r="O1177" s="1172">
        <f t="shared" si="434"/>
        <v>0</v>
      </c>
      <c r="P1177" s="1172">
        <f t="shared" si="434"/>
        <v>0</v>
      </c>
      <c r="Q1177" s="1172">
        <f t="shared" si="434"/>
        <v>0</v>
      </c>
      <c r="R1177" s="1172">
        <f t="shared" si="434"/>
        <v>0</v>
      </c>
      <c r="S1177" s="1172">
        <f t="shared" si="434"/>
        <v>0</v>
      </c>
      <c r="T1177" s="1618">
        <f t="shared" si="434"/>
        <v>0</v>
      </c>
      <c r="V1177" s="254"/>
      <c r="W1177" s="254"/>
      <c r="Y1177" s="1586">
        <f t="shared" si="435"/>
        <v>0</v>
      </c>
      <c r="Z1177" s="1187">
        <f t="shared" si="436"/>
        <v>0</v>
      </c>
      <c r="AA1177" s="1183"/>
      <c r="AB1177" s="372"/>
      <c r="AC1177" s="193"/>
      <c r="AD1177" s="193"/>
      <c r="AE1177" s="193"/>
      <c r="AF1177" s="1172">
        <f t="shared" si="439"/>
        <v>0</v>
      </c>
      <c r="AG1177" s="1172">
        <f t="shared" si="437"/>
        <v>0</v>
      </c>
      <c r="AH1177" s="1172">
        <f t="shared" si="437"/>
        <v>0</v>
      </c>
      <c r="AI1177" s="1172">
        <f t="shared" si="437"/>
        <v>0</v>
      </c>
      <c r="AJ1177" s="1172">
        <f t="shared" si="437"/>
        <v>0</v>
      </c>
      <c r="AK1177" s="1172">
        <f t="shared" si="437"/>
        <v>0</v>
      </c>
      <c r="AL1177" s="1172">
        <f t="shared" si="437"/>
        <v>0</v>
      </c>
      <c r="AM1177" s="1172">
        <f t="shared" si="437"/>
        <v>0</v>
      </c>
      <c r="AN1177" s="1172">
        <f t="shared" si="437"/>
        <v>0</v>
      </c>
      <c r="AO1177" s="1172">
        <f t="shared" si="437"/>
        <v>0</v>
      </c>
      <c r="AP1177" s="1172">
        <f t="shared" si="437"/>
        <v>0</v>
      </c>
      <c r="AQ1177" s="1618">
        <f t="shared" si="437"/>
        <v>0</v>
      </c>
    </row>
    <row r="1178" spans="2:43" ht="13.75" hidden="1" customHeight="1" x14ac:dyDescent="0.2">
      <c r="B1178" s="1586">
        <f>Precios!B95</f>
        <v>0</v>
      </c>
      <c r="C1178" s="1187">
        <f>Precios!E95</f>
        <v>0</v>
      </c>
      <c r="D1178" s="1183"/>
      <c r="E1178" s="372"/>
      <c r="F1178" s="193"/>
      <c r="G1178" s="193"/>
      <c r="H1178" s="193"/>
      <c r="I1178" s="1185">
        <f t="shared" si="438"/>
        <v>0</v>
      </c>
      <c r="J1178" s="1172">
        <f t="shared" si="434"/>
        <v>0</v>
      </c>
      <c r="K1178" s="1172">
        <f t="shared" si="434"/>
        <v>0</v>
      </c>
      <c r="L1178" s="1172">
        <f t="shared" si="434"/>
        <v>0</v>
      </c>
      <c r="M1178" s="1172">
        <f t="shared" si="434"/>
        <v>0</v>
      </c>
      <c r="N1178" s="1172">
        <f t="shared" si="434"/>
        <v>0</v>
      </c>
      <c r="O1178" s="1172">
        <f t="shared" si="434"/>
        <v>0</v>
      </c>
      <c r="P1178" s="1172">
        <f t="shared" si="434"/>
        <v>0</v>
      </c>
      <c r="Q1178" s="1172">
        <f t="shared" si="434"/>
        <v>0</v>
      </c>
      <c r="R1178" s="1172">
        <f t="shared" si="434"/>
        <v>0</v>
      </c>
      <c r="S1178" s="1172">
        <f t="shared" si="434"/>
        <v>0</v>
      </c>
      <c r="T1178" s="1618">
        <f t="shared" si="434"/>
        <v>0</v>
      </c>
      <c r="V1178" s="254"/>
      <c r="W1178" s="254"/>
      <c r="Y1178" s="1586">
        <f t="shared" si="435"/>
        <v>0</v>
      </c>
      <c r="Z1178" s="1187">
        <f t="shared" si="436"/>
        <v>0</v>
      </c>
      <c r="AA1178" s="1183"/>
      <c r="AB1178" s="372"/>
      <c r="AC1178" s="193"/>
      <c r="AD1178" s="193"/>
      <c r="AE1178" s="193"/>
      <c r="AF1178" s="1172">
        <f t="shared" si="439"/>
        <v>0</v>
      </c>
      <c r="AG1178" s="1172">
        <f t="shared" si="437"/>
        <v>0</v>
      </c>
      <c r="AH1178" s="1172">
        <f t="shared" si="437"/>
        <v>0</v>
      </c>
      <c r="AI1178" s="1172">
        <f t="shared" ref="AG1178:AQ1197" si="440">SUMIF($AS$45:$AS$1152,$B1178&amp;"propia",AI$45:AI$1152)</f>
        <v>0</v>
      </c>
      <c r="AJ1178" s="1172">
        <f t="shared" si="440"/>
        <v>0</v>
      </c>
      <c r="AK1178" s="1172">
        <f t="shared" si="440"/>
        <v>0</v>
      </c>
      <c r="AL1178" s="1172">
        <f t="shared" si="440"/>
        <v>0</v>
      </c>
      <c r="AM1178" s="1172">
        <f t="shared" si="440"/>
        <v>0</v>
      </c>
      <c r="AN1178" s="1172">
        <f t="shared" si="440"/>
        <v>0</v>
      </c>
      <c r="AO1178" s="1172">
        <f t="shared" si="440"/>
        <v>0</v>
      </c>
      <c r="AP1178" s="1172">
        <f t="shared" si="440"/>
        <v>0</v>
      </c>
      <c r="AQ1178" s="1618">
        <f t="shared" si="440"/>
        <v>0</v>
      </c>
    </row>
    <row r="1179" spans="2:43" ht="13.75" hidden="1" customHeight="1" x14ac:dyDescent="0.2">
      <c r="B1179" s="1586">
        <f>Precios!B96</f>
        <v>0</v>
      </c>
      <c r="C1179" s="1187">
        <f>Precios!E96</f>
        <v>0</v>
      </c>
      <c r="D1179" s="1183"/>
      <c r="E1179" s="372"/>
      <c r="F1179" s="193"/>
      <c r="G1179" s="193"/>
      <c r="H1179" s="193"/>
      <c r="I1179" s="1185">
        <f t="shared" si="438"/>
        <v>0</v>
      </c>
      <c r="J1179" s="1172">
        <f t="shared" si="434"/>
        <v>0</v>
      </c>
      <c r="K1179" s="1172">
        <f t="shared" si="434"/>
        <v>0</v>
      </c>
      <c r="L1179" s="1172">
        <f t="shared" si="434"/>
        <v>0</v>
      </c>
      <c r="M1179" s="1172">
        <f t="shared" si="434"/>
        <v>0</v>
      </c>
      <c r="N1179" s="1172">
        <f t="shared" si="434"/>
        <v>0</v>
      </c>
      <c r="O1179" s="1172">
        <f t="shared" si="434"/>
        <v>0</v>
      </c>
      <c r="P1179" s="1172">
        <f t="shared" si="434"/>
        <v>0</v>
      </c>
      <c r="Q1179" s="1172">
        <f t="shared" si="434"/>
        <v>0</v>
      </c>
      <c r="R1179" s="1172">
        <f t="shared" si="434"/>
        <v>0</v>
      </c>
      <c r="S1179" s="1172">
        <f t="shared" si="434"/>
        <v>0</v>
      </c>
      <c r="T1179" s="1618">
        <f t="shared" si="434"/>
        <v>0</v>
      </c>
      <c r="V1179" s="254"/>
      <c r="W1179" s="254"/>
      <c r="Y1179" s="1586">
        <f t="shared" si="435"/>
        <v>0</v>
      </c>
      <c r="Z1179" s="1187">
        <f t="shared" si="436"/>
        <v>0</v>
      </c>
      <c r="AA1179" s="1183"/>
      <c r="AB1179" s="372"/>
      <c r="AC1179" s="193"/>
      <c r="AD1179" s="193"/>
      <c r="AE1179" s="193"/>
      <c r="AF1179" s="1172">
        <f t="shared" si="439"/>
        <v>0</v>
      </c>
      <c r="AG1179" s="1172">
        <f t="shared" si="440"/>
        <v>0</v>
      </c>
      <c r="AH1179" s="1172">
        <f t="shared" si="440"/>
        <v>0</v>
      </c>
      <c r="AI1179" s="1172">
        <f t="shared" si="440"/>
        <v>0</v>
      </c>
      <c r="AJ1179" s="1172">
        <f t="shared" si="440"/>
        <v>0</v>
      </c>
      <c r="AK1179" s="1172">
        <f t="shared" si="440"/>
        <v>0</v>
      </c>
      <c r="AL1179" s="1172">
        <f t="shared" si="440"/>
        <v>0</v>
      </c>
      <c r="AM1179" s="1172">
        <f t="shared" si="440"/>
        <v>0</v>
      </c>
      <c r="AN1179" s="1172">
        <f t="shared" si="440"/>
        <v>0</v>
      </c>
      <c r="AO1179" s="1172">
        <f t="shared" si="440"/>
        <v>0</v>
      </c>
      <c r="AP1179" s="1172">
        <f t="shared" si="440"/>
        <v>0</v>
      </c>
      <c r="AQ1179" s="1618">
        <f t="shared" si="440"/>
        <v>0</v>
      </c>
    </row>
    <row r="1180" spans="2:43" ht="13.75" hidden="1" customHeight="1" x14ac:dyDescent="0.2">
      <c r="B1180" s="1586">
        <f>Precios!B97</f>
        <v>0</v>
      </c>
      <c r="C1180" s="1187">
        <f>Precios!E97</f>
        <v>0</v>
      </c>
      <c r="D1180" s="1183"/>
      <c r="E1180" s="372"/>
      <c r="F1180" s="193"/>
      <c r="G1180" s="193"/>
      <c r="H1180" s="193"/>
      <c r="I1180" s="1185">
        <f t="shared" si="438"/>
        <v>0</v>
      </c>
      <c r="J1180" s="1172">
        <f t="shared" ref="J1180:T1189" si="441">SUMIF($V$45:$V$847,$B1180&amp;"propia",J$45:J$847)</f>
        <v>0</v>
      </c>
      <c r="K1180" s="1172">
        <f t="shared" si="441"/>
        <v>0</v>
      </c>
      <c r="L1180" s="1172">
        <f t="shared" si="441"/>
        <v>0</v>
      </c>
      <c r="M1180" s="1172">
        <f t="shared" si="441"/>
        <v>0</v>
      </c>
      <c r="N1180" s="1172">
        <f t="shared" si="441"/>
        <v>0</v>
      </c>
      <c r="O1180" s="1172">
        <f t="shared" si="441"/>
        <v>0</v>
      </c>
      <c r="P1180" s="1172">
        <f t="shared" si="441"/>
        <v>0</v>
      </c>
      <c r="Q1180" s="1172">
        <f t="shared" si="441"/>
        <v>0</v>
      </c>
      <c r="R1180" s="1172">
        <f t="shared" si="441"/>
        <v>0</v>
      </c>
      <c r="S1180" s="1172">
        <f t="shared" si="441"/>
        <v>0</v>
      </c>
      <c r="T1180" s="1618">
        <f t="shared" si="441"/>
        <v>0</v>
      </c>
      <c r="V1180" s="254"/>
      <c r="W1180" s="254"/>
      <c r="Y1180" s="1586">
        <f t="shared" si="435"/>
        <v>0</v>
      </c>
      <c r="Z1180" s="1187">
        <f t="shared" si="436"/>
        <v>0</v>
      </c>
      <c r="AA1180" s="1183"/>
      <c r="AB1180" s="372"/>
      <c r="AC1180" s="193"/>
      <c r="AD1180" s="193"/>
      <c r="AE1180" s="193"/>
      <c r="AF1180" s="1172">
        <f t="shared" si="439"/>
        <v>0</v>
      </c>
      <c r="AG1180" s="1172">
        <f t="shared" si="440"/>
        <v>0</v>
      </c>
      <c r="AH1180" s="1172">
        <f t="shared" si="440"/>
        <v>0</v>
      </c>
      <c r="AI1180" s="1172">
        <f t="shared" si="440"/>
        <v>0</v>
      </c>
      <c r="AJ1180" s="1172">
        <f t="shared" si="440"/>
        <v>0</v>
      </c>
      <c r="AK1180" s="1172">
        <f t="shared" si="440"/>
        <v>0</v>
      </c>
      <c r="AL1180" s="1172">
        <f t="shared" si="440"/>
        <v>0</v>
      </c>
      <c r="AM1180" s="1172">
        <f t="shared" si="440"/>
        <v>0</v>
      </c>
      <c r="AN1180" s="1172">
        <f t="shared" si="440"/>
        <v>0</v>
      </c>
      <c r="AO1180" s="1172">
        <f t="shared" si="440"/>
        <v>0</v>
      </c>
      <c r="AP1180" s="1172">
        <f t="shared" si="440"/>
        <v>0</v>
      </c>
      <c r="AQ1180" s="1618">
        <f t="shared" si="440"/>
        <v>0</v>
      </c>
    </row>
    <row r="1181" spans="2:43" ht="13.75" hidden="1" customHeight="1" x14ac:dyDescent="0.2">
      <c r="B1181" s="1586">
        <f>Precios!B98</f>
        <v>0</v>
      </c>
      <c r="C1181" s="1187">
        <f>Precios!E98</f>
        <v>0</v>
      </c>
      <c r="D1181" s="1183"/>
      <c r="E1181" s="372"/>
      <c r="F1181" s="193"/>
      <c r="G1181" s="193"/>
      <c r="H1181" s="193"/>
      <c r="I1181" s="1185">
        <f t="shared" si="438"/>
        <v>0</v>
      </c>
      <c r="J1181" s="1172">
        <f t="shared" si="441"/>
        <v>0</v>
      </c>
      <c r="K1181" s="1172">
        <f t="shared" si="441"/>
        <v>0</v>
      </c>
      <c r="L1181" s="1172">
        <f t="shared" si="441"/>
        <v>0</v>
      </c>
      <c r="M1181" s="1172">
        <f t="shared" si="441"/>
        <v>0</v>
      </c>
      <c r="N1181" s="1172">
        <f t="shared" si="441"/>
        <v>0</v>
      </c>
      <c r="O1181" s="1172">
        <f t="shared" si="441"/>
        <v>0</v>
      </c>
      <c r="P1181" s="1172">
        <f t="shared" si="441"/>
        <v>0</v>
      </c>
      <c r="Q1181" s="1172">
        <f t="shared" si="441"/>
        <v>0</v>
      </c>
      <c r="R1181" s="1172">
        <f t="shared" si="441"/>
        <v>0</v>
      </c>
      <c r="S1181" s="1172">
        <f t="shared" si="441"/>
        <v>0</v>
      </c>
      <c r="T1181" s="1618">
        <f t="shared" si="441"/>
        <v>0</v>
      </c>
      <c r="V1181" s="254"/>
      <c r="W1181" s="254"/>
      <c r="Y1181" s="1586">
        <f t="shared" si="435"/>
        <v>0</v>
      </c>
      <c r="Z1181" s="1187">
        <f t="shared" si="436"/>
        <v>0</v>
      </c>
      <c r="AA1181" s="1183"/>
      <c r="AB1181" s="372"/>
      <c r="AC1181" s="193"/>
      <c r="AD1181" s="193"/>
      <c r="AE1181" s="193"/>
      <c r="AF1181" s="1172">
        <f t="shared" si="439"/>
        <v>0</v>
      </c>
      <c r="AG1181" s="1172">
        <f t="shared" si="440"/>
        <v>0</v>
      </c>
      <c r="AH1181" s="1172">
        <f t="shared" si="440"/>
        <v>0</v>
      </c>
      <c r="AI1181" s="1172">
        <f t="shared" si="440"/>
        <v>0</v>
      </c>
      <c r="AJ1181" s="1172">
        <f t="shared" si="440"/>
        <v>0</v>
      </c>
      <c r="AK1181" s="1172">
        <f t="shared" si="440"/>
        <v>0</v>
      </c>
      <c r="AL1181" s="1172">
        <f t="shared" si="440"/>
        <v>0</v>
      </c>
      <c r="AM1181" s="1172">
        <f t="shared" si="440"/>
        <v>0</v>
      </c>
      <c r="AN1181" s="1172">
        <f t="shared" si="440"/>
        <v>0</v>
      </c>
      <c r="AO1181" s="1172">
        <f t="shared" si="440"/>
        <v>0</v>
      </c>
      <c r="AP1181" s="1172">
        <f t="shared" si="440"/>
        <v>0</v>
      </c>
      <c r="AQ1181" s="1618">
        <f t="shared" si="440"/>
        <v>0</v>
      </c>
    </row>
    <row r="1182" spans="2:43" ht="13.75" hidden="1" customHeight="1" x14ac:dyDescent="0.2">
      <c r="B1182" s="1586">
        <f>Precios!B99</f>
        <v>0</v>
      </c>
      <c r="C1182" s="1187">
        <f>Precios!E99</f>
        <v>0</v>
      </c>
      <c r="D1182" s="1183"/>
      <c r="E1182" s="372"/>
      <c r="F1182" s="193"/>
      <c r="G1182" s="193"/>
      <c r="H1182" s="193"/>
      <c r="I1182" s="1185">
        <f t="shared" si="438"/>
        <v>0</v>
      </c>
      <c r="J1182" s="1172">
        <f t="shared" si="441"/>
        <v>0</v>
      </c>
      <c r="K1182" s="1172">
        <f t="shared" si="441"/>
        <v>0</v>
      </c>
      <c r="L1182" s="1172">
        <f t="shared" si="441"/>
        <v>0</v>
      </c>
      <c r="M1182" s="1172">
        <f t="shared" si="441"/>
        <v>0</v>
      </c>
      <c r="N1182" s="1172">
        <f t="shared" si="441"/>
        <v>0</v>
      </c>
      <c r="O1182" s="1172">
        <f t="shared" si="441"/>
        <v>0</v>
      </c>
      <c r="P1182" s="1172">
        <f t="shared" si="441"/>
        <v>0</v>
      </c>
      <c r="Q1182" s="1172">
        <f t="shared" si="441"/>
        <v>0</v>
      </c>
      <c r="R1182" s="1172">
        <f t="shared" si="441"/>
        <v>0</v>
      </c>
      <c r="S1182" s="1172">
        <f t="shared" si="441"/>
        <v>0</v>
      </c>
      <c r="T1182" s="1618">
        <f t="shared" si="441"/>
        <v>0</v>
      </c>
      <c r="V1182" s="254"/>
      <c r="W1182" s="254"/>
      <c r="Y1182" s="1586">
        <f t="shared" si="435"/>
        <v>0</v>
      </c>
      <c r="Z1182" s="1187">
        <f t="shared" si="436"/>
        <v>0</v>
      </c>
      <c r="AA1182" s="1183"/>
      <c r="AB1182" s="372"/>
      <c r="AC1182" s="193"/>
      <c r="AD1182" s="193"/>
      <c r="AE1182" s="193"/>
      <c r="AF1182" s="1172">
        <f t="shared" si="439"/>
        <v>0</v>
      </c>
      <c r="AG1182" s="1172">
        <f t="shared" si="440"/>
        <v>0</v>
      </c>
      <c r="AH1182" s="1172">
        <f t="shared" si="440"/>
        <v>0</v>
      </c>
      <c r="AI1182" s="1172">
        <f t="shared" si="440"/>
        <v>0</v>
      </c>
      <c r="AJ1182" s="1172">
        <f t="shared" si="440"/>
        <v>0</v>
      </c>
      <c r="AK1182" s="1172">
        <f t="shared" si="440"/>
        <v>0</v>
      </c>
      <c r="AL1182" s="1172">
        <f t="shared" si="440"/>
        <v>0</v>
      </c>
      <c r="AM1182" s="1172">
        <f t="shared" si="440"/>
        <v>0</v>
      </c>
      <c r="AN1182" s="1172">
        <f t="shared" si="440"/>
        <v>0</v>
      </c>
      <c r="AO1182" s="1172">
        <f t="shared" si="440"/>
        <v>0</v>
      </c>
      <c r="AP1182" s="1172">
        <f t="shared" si="440"/>
        <v>0</v>
      </c>
      <c r="AQ1182" s="1618">
        <f t="shared" si="440"/>
        <v>0</v>
      </c>
    </row>
    <row r="1183" spans="2:43" ht="13.75" hidden="1" customHeight="1" x14ac:dyDescent="0.2">
      <c r="B1183" s="1586">
        <f>Precios!B100</f>
        <v>0</v>
      </c>
      <c r="C1183" s="1187">
        <f>Precios!E100</f>
        <v>0</v>
      </c>
      <c r="D1183" s="1183"/>
      <c r="E1183" s="372"/>
      <c r="F1183" s="193"/>
      <c r="G1183" s="193"/>
      <c r="H1183" s="193"/>
      <c r="I1183" s="1185">
        <f t="shared" si="438"/>
        <v>0</v>
      </c>
      <c r="J1183" s="1172">
        <f t="shared" si="441"/>
        <v>0</v>
      </c>
      <c r="K1183" s="1172">
        <f t="shared" si="441"/>
        <v>0</v>
      </c>
      <c r="L1183" s="1172">
        <f t="shared" si="441"/>
        <v>0</v>
      </c>
      <c r="M1183" s="1172">
        <f t="shared" si="441"/>
        <v>0</v>
      </c>
      <c r="N1183" s="1172">
        <f t="shared" si="441"/>
        <v>0</v>
      </c>
      <c r="O1183" s="1172">
        <f t="shared" si="441"/>
        <v>0</v>
      </c>
      <c r="P1183" s="1172">
        <f t="shared" si="441"/>
        <v>0</v>
      </c>
      <c r="Q1183" s="1172">
        <f t="shared" si="441"/>
        <v>0</v>
      </c>
      <c r="R1183" s="1172">
        <f t="shared" si="441"/>
        <v>0</v>
      </c>
      <c r="S1183" s="1172">
        <f t="shared" si="441"/>
        <v>0</v>
      </c>
      <c r="T1183" s="1618">
        <f t="shared" si="441"/>
        <v>0</v>
      </c>
      <c r="V1183" s="254"/>
      <c r="W1183" s="254"/>
      <c r="Y1183" s="1586">
        <f t="shared" si="435"/>
        <v>0</v>
      </c>
      <c r="Z1183" s="1187">
        <f t="shared" si="436"/>
        <v>0</v>
      </c>
      <c r="AA1183" s="1183"/>
      <c r="AB1183" s="372"/>
      <c r="AC1183" s="193"/>
      <c r="AD1183" s="193"/>
      <c r="AE1183" s="193"/>
      <c r="AF1183" s="1172">
        <f t="shared" si="439"/>
        <v>0</v>
      </c>
      <c r="AG1183" s="1172">
        <f t="shared" si="440"/>
        <v>0</v>
      </c>
      <c r="AH1183" s="1172">
        <f t="shared" si="440"/>
        <v>0</v>
      </c>
      <c r="AI1183" s="1172">
        <f t="shared" si="440"/>
        <v>0</v>
      </c>
      <c r="AJ1183" s="1172">
        <f t="shared" si="440"/>
        <v>0</v>
      </c>
      <c r="AK1183" s="1172">
        <f t="shared" si="440"/>
        <v>0</v>
      </c>
      <c r="AL1183" s="1172">
        <f t="shared" si="440"/>
        <v>0</v>
      </c>
      <c r="AM1183" s="1172">
        <f t="shared" si="440"/>
        <v>0</v>
      </c>
      <c r="AN1183" s="1172">
        <f t="shared" si="440"/>
        <v>0</v>
      </c>
      <c r="AO1183" s="1172">
        <f t="shared" si="440"/>
        <v>0</v>
      </c>
      <c r="AP1183" s="1172">
        <f t="shared" si="440"/>
        <v>0</v>
      </c>
      <c r="AQ1183" s="1618">
        <f t="shared" si="440"/>
        <v>0</v>
      </c>
    </row>
    <row r="1184" spans="2:43" ht="13.75" hidden="1" customHeight="1" x14ac:dyDescent="0.2">
      <c r="B1184" s="1586" t="str">
        <f>+Precios!H87</f>
        <v>Cosechar cultivos de invierno contratada</v>
      </c>
      <c r="C1184" s="1187">
        <f>+Precios!K87</f>
        <v>12</v>
      </c>
      <c r="D1184" s="1183"/>
      <c r="E1184" s="372"/>
      <c r="F1184" s="193"/>
      <c r="G1184" s="193"/>
      <c r="H1184" s="193"/>
      <c r="I1184" s="1185">
        <f t="shared" si="438"/>
        <v>0</v>
      </c>
      <c r="J1184" s="1172">
        <f t="shared" si="441"/>
        <v>0</v>
      </c>
      <c r="K1184" s="1172">
        <f t="shared" si="441"/>
        <v>0</v>
      </c>
      <c r="L1184" s="1172">
        <f t="shared" si="441"/>
        <v>0</v>
      </c>
      <c r="M1184" s="1172">
        <f t="shared" si="441"/>
        <v>0</v>
      </c>
      <c r="N1184" s="1172">
        <f t="shared" si="441"/>
        <v>0</v>
      </c>
      <c r="O1184" s="1172">
        <f t="shared" si="441"/>
        <v>0</v>
      </c>
      <c r="P1184" s="1172">
        <f t="shared" si="441"/>
        <v>0</v>
      </c>
      <c r="Q1184" s="1172">
        <f t="shared" si="441"/>
        <v>0</v>
      </c>
      <c r="R1184" s="1172">
        <f t="shared" si="441"/>
        <v>0</v>
      </c>
      <c r="S1184" s="1172">
        <f t="shared" si="441"/>
        <v>0</v>
      </c>
      <c r="T1184" s="1618">
        <f t="shared" si="441"/>
        <v>0</v>
      </c>
      <c r="V1184" s="254"/>
      <c r="W1184" s="254"/>
      <c r="Y1184" s="1586" t="str">
        <f t="shared" si="435"/>
        <v>Cosechar cultivos de invierno contratada</v>
      </c>
      <c r="Z1184" s="1187">
        <f t="shared" si="436"/>
        <v>12</v>
      </c>
      <c r="AA1184" s="1183"/>
      <c r="AB1184" s="372"/>
      <c r="AC1184" s="193"/>
      <c r="AD1184" s="193"/>
      <c r="AE1184" s="193"/>
      <c r="AF1184" s="1172">
        <f t="shared" si="439"/>
        <v>0</v>
      </c>
      <c r="AG1184" s="1172">
        <f t="shared" si="440"/>
        <v>0</v>
      </c>
      <c r="AH1184" s="1172">
        <f t="shared" si="440"/>
        <v>0</v>
      </c>
      <c r="AI1184" s="1172">
        <f t="shared" si="440"/>
        <v>0</v>
      </c>
      <c r="AJ1184" s="1172">
        <f t="shared" si="440"/>
        <v>0</v>
      </c>
      <c r="AK1184" s="1172">
        <f t="shared" si="440"/>
        <v>0</v>
      </c>
      <c r="AL1184" s="1172">
        <f t="shared" si="440"/>
        <v>0</v>
      </c>
      <c r="AM1184" s="1172">
        <f t="shared" si="440"/>
        <v>0</v>
      </c>
      <c r="AN1184" s="1172">
        <f t="shared" si="440"/>
        <v>0</v>
      </c>
      <c r="AO1184" s="1172">
        <f t="shared" si="440"/>
        <v>0</v>
      </c>
      <c r="AP1184" s="1172">
        <f t="shared" si="440"/>
        <v>0</v>
      </c>
      <c r="AQ1184" s="1618">
        <f t="shared" si="440"/>
        <v>0</v>
      </c>
    </row>
    <row r="1185" spans="2:44" ht="13.75" hidden="1" customHeight="1" x14ac:dyDescent="0.2">
      <c r="B1185" s="1586" t="str">
        <f>+Precios!H88</f>
        <v>Cosechar cultivos de verano contratada</v>
      </c>
      <c r="C1185" s="1187">
        <f>+Precios!K88</f>
        <v>17</v>
      </c>
      <c r="D1185" s="1183"/>
      <c r="E1185" s="372"/>
      <c r="F1185" s="193"/>
      <c r="G1185" s="193"/>
      <c r="H1185" s="193"/>
      <c r="I1185" s="1185">
        <f>SUMIF($V$45:$V$1153,$B1185&amp;"propia",I$45:I$1153)</f>
        <v>0</v>
      </c>
      <c r="J1185" s="1172">
        <f t="shared" si="441"/>
        <v>0</v>
      </c>
      <c r="K1185" s="1172">
        <f t="shared" si="441"/>
        <v>0</v>
      </c>
      <c r="L1185" s="1172">
        <f t="shared" si="441"/>
        <v>0</v>
      </c>
      <c r="M1185" s="1172">
        <f t="shared" si="441"/>
        <v>0</v>
      </c>
      <c r="N1185" s="1172">
        <f t="shared" si="441"/>
        <v>0</v>
      </c>
      <c r="O1185" s="1172">
        <f t="shared" si="441"/>
        <v>0</v>
      </c>
      <c r="P1185" s="1172">
        <f t="shared" si="441"/>
        <v>0</v>
      </c>
      <c r="Q1185" s="1172">
        <f t="shared" si="441"/>
        <v>0</v>
      </c>
      <c r="R1185" s="1172">
        <f t="shared" si="441"/>
        <v>0</v>
      </c>
      <c r="S1185" s="1172">
        <f t="shared" si="441"/>
        <v>0</v>
      </c>
      <c r="T1185" s="1618">
        <f t="shared" si="441"/>
        <v>0</v>
      </c>
      <c r="V1185" s="254"/>
      <c r="W1185" s="254"/>
      <c r="Y1185" s="1586" t="str">
        <f t="shared" si="435"/>
        <v>Cosechar cultivos de verano contratada</v>
      </c>
      <c r="Z1185" s="1187">
        <f t="shared" si="436"/>
        <v>17</v>
      </c>
      <c r="AA1185" s="1183"/>
      <c r="AB1185" s="372"/>
      <c r="AC1185" s="193"/>
      <c r="AD1185" s="193"/>
      <c r="AE1185" s="193"/>
      <c r="AF1185" s="1172">
        <f t="shared" si="439"/>
        <v>0</v>
      </c>
      <c r="AG1185" s="1172">
        <f t="shared" si="440"/>
        <v>0</v>
      </c>
      <c r="AH1185" s="1172">
        <f t="shared" si="440"/>
        <v>0</v>
      </c>
      <c r="AI1185" s="1172">
        <f t="shared" si="440"/>
        <v>0</v>
      </c>
      <c r="AJ1185" s="1172">
        <f t="shared" si="440"/>
        <v>0</v>
      </c>
      <c r="AK1185" s="1172">
        <f t="shared" si="440"/>
        <v>0</v>
      </c>
      <c r="AL1185" s="1172">
        <f t="shared" si="440"/>
        <v>0</v>
      </c>
      <c r="AM1185" s="1172">
        <f t="shared" si="440"/>
        <v>0</v>
      </c>
      <c r="AN1185" s="1172">
        <f t="shared" si="440"/>
        <v>0</v>
      </c>
      <c r="AO1185" s="1172">
        <f t="shared" si="440"/>
        <v>0</v>
      </c>
      <c r="AP1185" s="1172">
        <f t="shared" si="440"/>
        <v>0</v>
      </c>
      <c r="AQ1185" s="1618">
        <f t="shared" si="440"/>
        <v>0</v>
      </c>
    </row>
    <row r="1186" spans="2:44" ht="13.75" hidden="1" customHeight="1" x14ac:dyDescent="0.2">
      <c r="B1186" s="1586" t="str">
        <f>+Precios!H89</f>
        <v>Cosechar cultivos de invierno propia</v>
      </c>
      <c r="C1186" s="1187">
        <f>+Precios!K89</f>
        <v>12</v>
      </c>
      <c r="D1186" s="1183"/>
      <c r="E1186" s="372"/>
      <c r="F1186" s="193"/>
      <c r="G1186" s="193"/>
      <c r="H1186" s="193"/>
      <c r="I1186" s="1185">
        <f>SUMIF($V$45:$V$1153,$B1186&amp;"propia",I$45:I$1153)</f>
        <v>0</v>
      </c>
      <c r="J1186" s="1172">
        <f t="shared" si="441"/>
        <v>0</v>
      </c>
      <c r="K1186" s="1172">
        <f t="shared" si="441"/>
        <v>0</v>
      </c>
      <c r="L1186" s="1172">
        <f t="shared" si="441"/>
        <v>0</v>
      </c>
      <c r="M1186" s="1172">
        <f t="shared" si="441"/>
        <v>0</v>
      </c>
      <c r="N1186" s="1172">
        <f t="shared" si="441"/>
        <v>0</v>
      </c>
      <c r="O1186" s="1172">
        <f t="shared" si="441"/>
        <v>0</v>
      </c>
      <c r="P1186" s="1172">
        <f t="shared" si="441"/>
        <v>0</v>
      </c>
      <c r="Q1186" s="1172">
        <f t="shared" si="441"/>
        <v>0</v>
      </c>
      <c r="R1186" s="1172">
        <f t="shared" si="441"/>
        <v>0</v>
      </c>
      <c r="S1186" s="1172">
        <f t="shared" si="441"/>
        <v>0</v>
      </c>
      <c r="T1186" s="1618">
        <f t="shared" si="441"/>
        <v>0</v>
      </c>
      <c r="V1186" s="254"/>
      <c r="W1186" s="254"/>
      <c r="Y1186" s="1586" t="str">
        <f t="shared" si="435"/>
        <v>Cosechar cultivos de invierno propia</v>
      </c>
      <c r="Z1186" s="1187">
        <f t="shared" si="436"/>
        <v>12</v>
      </c>
      <c r="AA1186" s="1183"/>
      <c r="AB1186" s="372"/>
      <c r="AC1186" s="193"/>
      <c r="AD1186" s="193"/>
      <c r="AE1186" s="193"/>
      <c r="AF1186" s="1172">
        <f t="shared" si="439"/>
        <v>0</v>
      </c>
      <c r="AG1186" s="1172">
        <f t="shared" si="440"/>
        <v>0</v>
      </c>
      <c r="AH1186" s="1172">
        <f t="shared" si="440"/>
        <v>0</v>
      </c>
      <c r="AI1186" s="1172">
        <f t="shared" si="440"/>
        <v>0</v>
      </c>
      <c r="AJ1186" s="1172">
        <f t="shared" si="440"/>
        <v>0</v>
      </c>
      <c r="AK1186" s="1172">
        <f t="shared" si="440"/>
        <v>0</v>
      </c>
      <c r="AL1186" s="1172">
        <f t="shared" si="440"/>
        <v>0</v>
      </c>
      <c r="AM1186" s="1172">
        <f t="shared" si="440"/>
        <v>0</v>
      </c>
      <c r="AN1186" s="1172">
        <f t="shared" si="440"/>
        <v>0</v>
      </c>
      <c r="AO1186" s="1172">
        <f t="shared" si="440"/>
        <v>0</v>
      </c>
      <c r="AP1186" s="1172">
        <f t="shared" si="440"/>
        <v>0</v>
      </c>
      <c r="AQ1186" s="1618">
        <f t="shared" si="440"/>
        <v>0</v>
      </c>
    </row>
    <row r="1187" spans="2:44" ht="13.75" hidden="1" customHeight="1" x14ac:dyDescent="0.2">
      <c r="B1187" s="1586" t="str">
        <f>+Precios!H90</f>
        <v>Cosechar cultivos de verano propia</v>
      </c>
      <c r="C1187" s="1187">
        <f>+Precios!K90</f>
        <v>15</v>
      </c>
      <c r="D1187" s="1183"/>
      <c r="E1187" s="372"/>
      <c r="F1187" s="193"/>
      <c r="G1187" s="193"/>
      <c r="H1187" s="193"/>
      <c r="I1187" s="1185">
        <f t="shared" si="438"/>
        <v>0</v>
      </c>
      <c r="J1187" s="1172">
        <f t="shared" si="441"/>
        <v>0</v>
      </c>
      <c r="K1187" s="1172">
        <f t="shared" si="441"/>
        <v>0</v>
      </c>
      <c r="L1187" s="1172">
        <f t="shared" si="441"/>
        <v>0</v>
      </c>
      <c r="M1187" s="1172">
        <f t="shared" si="441"/>
        <v>0</v>
      </c>
      <c r="N1187" s="1172">
        <f t="shared" si="441"/>
        <v>0</v>
      </c>
      <c r="O1187" s="1172">
        <f t="shared" si="441"/>
        <v>0</v>
      </c>
      <c r="P1187" s="1172">
        <f t="shared" si="441"/>
        <v>0</v>
      </c>
      <c r="Q1187" s="1172">
        <f t="shared" si="441"/>
        <v>0</v>
      </c>
      <c r="R1187" s="1172">
        <f t="shared" si="441"/>
        <v>0</v>
      </c>
      <c r="S1187" s="1172">
        <f t="shared" si="441"/>
        <v>0</v>
      </c>
      <c r="T1187" s="1618">
        <f t="shared" si="441"/>
        <v>0</v>
      </c>
      <c r="V1187" s="254"/>
      <c r="W1187" s="254"/>
      <c r="Y1187" s="1586" t="str">
        <f t="shared" si="435"/>
        <v>Cosechar cultivos de verano propia</v>
      </c>
      <c r="Z1187" s="1187">
        <f t="shared" si="436"/>
        <v>15</v>
      </c>
      <c r="AA1187" s="1183"/>
      <c r="AB1187" s="372"/>
      <c r="AC1187" s="193"/>
      <c r="AD1187" s="193"/>
      <c r="AE1187" s="193"/>
      <c r="AF1187" s="1172">
        <f t="shared" si="439"/>
        <v>0</v>
      </c>
      <c r="AG1187" s="1172">
        <f t="shared" si="440"/>
        <v>0</v>
      </c>
      <c r="AH1187" s="1172">
        <f t="shared" si="440"/>
        <v>0</v>
      </c>
      <c r="AI1187" s="1172">
        <f t="shared" si="440"/>
        <v>0</v>
      </c>
      <c r="AJ1187" s="1172">
        <f t="shared" si="440"/>
        <v>0</v>
      </c>
      <c r="AK1187" s="1172">
        <f t="shared" si="440"/>
        <v>0</v>
      </c>
      <c r="AL1187" s="1172">
        <f t="shared" si="440"/>
        <v>0</v>
      </c>
      <c r="AM1187" s="1172">
        <f t="shared" si="440"/>
        <v>0</v>
      </c>
      <c r="AN1187" s="1172">
        <f t="shared" si="440"/>
        <v>0</v>
      </c>
      <c r="AO1187" s="1172">
        <f t="shared" si="440"/>
        <v>0</v>
      </c>
      <c r="AP1187" s="1172">
        <f t="shared" si="440"/>
        <v>0</v>
      </c>
      <c r="AQ1187" s="1618">
        <f t="shared" si="440"/>
        <v>0</v>
      </c>
    </row>
    <row r="1188" spans="2:44" ht="13.75" hidden="1" customHeight="1" x14ac:dyDescent="0.2">
      <c r="B1188" s="1586" t="str">
        <f>+Precios!H91</f>
        <v>Cosechar maíz</v>
      </c>
      <c r="C1188" s="1187">
        <f>+Precios!K91</f>
        <v>15</v>
      </c>
      <c r="D1188" s="1183"/>
      <c r="E1188" s="372"/>
      <c r="F1188" s="193"/>
      <c r="G1188" s="193"/>
      <c r="H1188" s="193"/>
      <c r="I1188" s="1185">
        <f t="shared" si="438"/>
        <v>0</v>
      </c>
      <c r="J1188" s="1172">
        <f t="shared" si="441"/>
        <v>0</v>
      </c>
      <c r="K1188" s="1172">
        <f t="shared" si="441"/>
        <v>0</v>
      </c>
      <c r="L1188" s="1172">
        <f t="shared" si="441"/>
        <v>0</v>
      </c>
      <c r="M1188" s="1172">
        <f t="shared" si="441"/>
        <v>0</v>
      </c>
      <c r="N1188" s="1172">
        <f t="shared" si="441"/>
        <v>0</v>
      </c>
      <c r="O1188" s="1172">
        <f t="shared" si="441"/>
        <v>0</v>
      </c>
      <c r="P1188" s="1172">
        <f t="shared" si="441"/>
        <v>0</v>
      </c>
      <c r="Q1188" s="1172">
        <f t="shared" si="441"/>
        <v>0</v>
      </c>
      <c r="R1188" s="1172">
        <f t="shared" si="441"/>
        <v>0</v>
      </c>
      <c r="S1188" s="1172">
        <f t="shared" si="441"/>
        <v>0</v>
      </c>
      <c r="T1188" s="1618">
        <f t="shared" si="441"/>
        <v>0</v>
      </c>
      <c r="V1188" s="254"/>
      <c r="W1188" s="254"/>
      <c r="Y1188" s="1586" t="str">
        <f t="shared" si="435"/>
        <v>Cosechar maíz</v>
      </c>
      <c r="Z1188" s="1187">
        <f t="shared" si="436"/>
        <v>15</v>
      </c>
      <c r="AA1188" s="1183"/>
      <c r="AB1188" s="372"/>
      <c r="AC1188" s="193"/>
      <c r="AD1188" s="193"/>
      <c r="AE1188" s="193"/>
      <c r="AF1188" s="1172">
        <f t="shared" si="439"/>
        <v>0</v>
      </c>
      <c r="AG1188" s="1172">
        <f t="shared" si="440"/>
        <v>0</v>
      </c>
      <c r="AH1188" s="1172">
        <f t="shared" si="440"/>
        <v>0</v>
      </c>
      <c r="AI1188" s="1172">
        <f t="shared" si="440"/>
        <v>0</v>
      </c>
      <c r="AJ1188" s="1172">
        <f t="shared" si="440"/>
        <v>0</v>
      </c>
      <c r="AK1188" s="1172">
        <f t="shared" si="440"/>
        <v>0</v>
      </c>
      <c r="AL1188" s="1172">
        <f t="shared" si="440"/>
        <v>0</v>
      </c>
      <c r="AM1188" s="1172">
        <f t="shared" si="440"/>
        <v>0</v>
      </c>
      <c r="AN1188" s="1172">
        <f t="shared" si="440"/>
        <v>0</v>
      </c>
      <c r="AO1188" s="1172">
        <f t="shared" si="440"/>
        <v>0</v>
      </c>
      <c r="AP1188" s="1172">
        <f t="shared" si="440"/>
        <v>0</v>
      </c>
      <c r="AQ1188" s="1618">
        <f t="shared" si="440"/>
        <v>0</v>
      </c>
    </row>
    <row r="1189" spans="2:44" ht="13.75" hidden="1" customHeight="1" x14ac:dyDescent="0.2">
      <c r="B1189" s="1586" t="str">
        <f>+Precios!H92</f>
        <v xml:space="preserve">Cosecha + hilerado </v>
      </c>
      <c r="C1189" s="1187">
        <f>+Precios!K92</f>
        <v>15</v>
      </c>
      <c r="D1189" s="1183"/>
      <c r="E1189" s="372"/>
      <c r="F1189" s="193"/>
      <c r="G1189" s="193"/>
      <c r="H1189" s="193"/>
      <c r="I1189" s="1185">
        <f t="shared" si="438"/>
        <v>0</v>
      </c>
      <c r="J1189" s="1172">
        <f t="shared" si="441"/>
        <v>0</v>
      </c>
      <c r="K1189" s="1172">
        <f t="shared" si="441"/>
        <v>0</v>
      </c>
      <c r="L1189" s="1172">
        <f t="shared" si="441"/>
        <v>0</v>
      </c>
      <c r="M1189" s="1172">
        <f t="shared" si="441"/>
        <v>0</v>
      </c>
      <c r="N1189" s="1172">
        <f t="shared" si="441"/>
        <v>0</v>
      </c>
      <c r="O1189" s="1172">
        <f t="shared" si="441"/>
        <v>0</v>
      </c>
      <c r="P1189" s="1172">
        <f t="shared" si="441"/>
        <v>0</v>
      </c>
      <c r="Q1189" s="1172">
        <f t="shared" si="441"/>
        <v>0</v>
      </c>
      <c r="R1189" s="1172">
        <f t="shared" si="441"/>
        <v>0</v>
      </c>
      <c r="S1189" s="1172">
        <f t="shared" si="441"/>
        <v>0</v>
      </c>
      <c r="T1189" s="1618">
        <f t="shared" si="441"/>
        <v>0</v>
      </c>
      <c r="V1189" s="254"/>
      <c r="W1189" s="254"/>
      <c r="Y1189" s="1586" t="str">
        <f t="shared" si="435"/>
        <v xml:space="preserve">Cosecha + hilerado </v>
      </c>
      <c r="Z1189" s="1187">
        <f t="shared" si="436"/>
        <v>15</v>
      </c>
      <c r="AA1189" s="1183"/>
      <c r="AB1189" s="372"/>
      <c r="AC1189" s="193"/>
      <c r="AD1189" s="193"/>
      <c r="AE1189" s="193"/>
      <c r="AF1189" s="1172">
        <f t="shared" si="439"/>
        <v>0</v>
      </c>
      <c r="AG1189" s="1172">
        <f t="shared" si="440"/>
        <v>0</v>
      </c>
      <c r="AH1189" s="1172">
        <f t="shared" si="440"/>
        <v>0</v>
      </c>
      <c r="AI1189" s="1172">
        <f t="shared" si="440"/>
        <v>0</v>
      </c>
      <c r="AJ1189" s="1172">
        <f t="shared" si="440"/>
        <v>0</v>
      </c>
      <c r="AK1189" s="1172">
        <f t="shared" si="440"/>
        <v>0</v>
      </c>
      <c r="AL1189" s="1172">
        <f t="shared" si="440"/>
        <v>0</v>
      </c>
      <c r="AM1189" s="1172">
        <f t="shared" si="440"/>
        <v>0</v>
      </c>
      <c r="AN1189" s="1172">
        <f t="shared" si="440"/>
        <v>0</v>
      </c>
      <c r="AO1189" s="1172">
        <f t="shared" si="440"/>
        <v>0</v>
      </c>
      <c r="AP1189" s="1172">
        <f t="shared" si="440"/>
        <v>0</v>
      </c>
      <c r="AQ1189" s="1618">
        <f t="shared" si="440"/>
        <v>0</v>
      </c>
    </row>
    <row r="1190" spans="2:44" ht="13.75" hidden="1" customHeight="1" x14ac:dyDescent="0.2">
      <c r="B1190" s="1586" t="str">
        <f>+Precios!H93</f>
        <v>Embolsar grano U$D/t (incluye materiales)</v>
      </c>
      <c r="C1190" s="1187">
        <f>+Precios!K93</f>
        <v>0</v>
      </c>
      <c r="D1190" s="1183"/>
      <c r="E1190" s="372"/>
      <c r="F1190" s="193"/>
      <c r="G1190" s="193"/>
      <c r="H1190" s="193"/>
      <c r="I1190" s="1185">
        <f t="shared" si="438"/>
        <v>0</v>
      </c>
      <c r="J1190" s="1172">
        <f t="shared" ref="J1190:T1197" si="442">SUMIF($V$45:$V$847,$B1190&amp;"propia",J$45:J$847)</f>
        <v>0</v>
      </c>
      <c r="K1190" s="1172">
        <f t="shared" si="442"/>
        <v>0</v>
      </c>
      <c r="L1190" s="1172">
        <f t="shared" si="442"/>
        <v>0</v>
      </c>
      <c r="M1190" s="1172">
        <f t="shared" si="442"/>
        <v>0</v>
      </c>
      <c r="N1190" s="1172">
        <f t="shared" si="442"/>
        <v>0</v>
      </c>
      <c r="O1190" s="1172">
        <f t="shared" si="442"/>
        <v>0</v>
      </c>
      <c r="P1190" s="1172">
        <f t="shared" si="442"/>
        <v>0</v>
      </c>
      <c r="Q1190" s="1172">
        <f t="shared" si="442"/>
        <v>0</v>
      </c>
      <c r="R1190" s="1172">
        <f t="shared" si="442"/>
        <v>0</v>
      </c>
      <c r="S1190" s="1172">
        <f t="shared" si="442"/>
        <v>0</v>
      </c>
      <c r="T1190" s="1618">
        <f t="shared" si="442"/>
        <v>0</v>
      </c>
      <c r="V1190" s="254"/>
      <c r="W1190" s="254"/>
      <c r="Y1190" s="1586" t="str">
        <f t="shared" si="435"/>
        <v>Embolsar grano U$D/t (incluye materiales)</v>
      </c>
      <c r="Z1190" s="1187">
        <f t="shared" si="436"/>
        <v>0</v>
      </c>
      <c r="AA1190" s="1183"/>
      <c r="AB1190" s="372"/>
      <c r="AC1190" s="193"/>
      <c r="AD1190" s="193"/>
      <c r="AE1190" s="193"/>
      <c r="AF1190" s="1172">
        <f t="shared" si="439"/>
        <v>0</v>
      </c>
      <c r="AG1190" s="1172">
        <f t="shared" si="440"/>
        <v>0</v>
      </c>
      <c r="AH1190" s="1172">
        <f t="shared" si="440"/>
        <v>0</v>
      </c>
      <c r="AI1190" s="1172">
        <f t="shared" si="440"/>
        <v>0</v>
      </c>
      <c r="AJ1190" s="1172">
        <f t="shared" si="440"/>
        <v>0</v>
      </c>
      <c r="AK1190" s="1172">
        <f t="shared" si="440"/>
        <v>0</v>
      </c>
      <c r="AL1190" s="1172">
        <f t="shared" si="440"/>
        <v>0</v>
      </c>
      <c r="AM1190" s="1172">
        <f t="shared" si="440"/>
        <v>0</v>
      </c>
      <c r="AN1190" s="1172">
        <f t="shared" si="440"/>
        <v>0</v>
      </c>
      <c r="AO1190" s="1172">
        <f t="shared" si="440"/>
        <v>0</v>
      </c>
      <c r="AP1190" s="1172">
        <f t="shared" si="440"/>
        <v>0</v>
      </c>
      <c r="AQ1190" s="1618">
        <f t="shared" si="440"/>
        <v>0</v>
      </c>
    </row>
    <row r="1191" spans="2:44" ht="13.75" hidden="1" customHeight="1" x14ac:dyDescent="0.2">
      <c r="B1191" s="1586" t="str">
        <f>+Precios!H94</f>
        <v>Cosechar semillero de leguminosa</v>
      </c>
      <c r="C1191" s="1187">
        <f>+Precios!K94</f>
        <v>15</v>
      </c>
      <c r="D1191" s="1183"/>
      <c r="E1191" s="372"/>
      <c r="F1191" s="193"/>
      <c r="G1191" s="193"/>
      <c r="H1191" s="193"/>
      <c r="I1191" s="1185">
        <f t="shared" si="438"/>
        <v>0</v>
      </c>
      <c r="J1191" s="1172">
        <f t="shared" si="442"/>
        <v>0</v>
      </c>
      <c r="K1191" s="1172">
        <f t="shared" si="442"/>
        <v>0</v>
      </c>
      <c r="L1191" s="1172">
        <f t="shared" si="442"/>
        <v>0</v>
      </c>
      <c r="M1191" s="1172">
        <f t="shared" si="442"/>
        <v>0</v>
      </c>
      <c r="N1191" s="1172">
        <f t="shared" si="442"/>
        <v>0</v>
      </c>
      <c r="O1191" s="1172">
        <f t="shared" si="442"/>
        <v>0</v>
      </c>
      <c r="P1191" s="1172">
        <f t="shared" si="442"/>
        <v>0</v>
      </c>
      <c r="Q1191" s="1172">
        <f t="shared" si="442"/>
        <v>0</v>
      </c>
      <c r="R1191" s="1172">
        <f t="shared" si="442"/>
        <v>0</v>
      </c>
      <c r="S1191" s="1172">
        <f t="shared" si="442"/>
        <v>0</v>
      </c>
      <c r="T1191" s="1618">
        <f t="shared" si="442"/>
        <v>0</v>
      </c>
      <c r="V1191" s="254"/>
      <c r="W1191" s="254"/>
      <c r="Y1191" s="1586" t="str">
        <f t="shared" si="435"/>
        <v>Cosechar semillero de leguminosa</v>
      </c>
      <c r="Z1191" s="1187">
        <f t="shared" si="436"/>
        <v>15</v>
      </c>
      <c r="AA1191" s="1183"/>
      <c r="AB1191" s="372"/>
      <c r="AC1191" s="193"/>
      <c r="AD1191" s="193"/>
      <c r="AE1191" s="193"/>
      <c r="AF1191" s="1172">
        <f t="shared" si="439"/>
        <v>0</v>
      </c>
      <c r="AG1191" s="1172">
        <f t="shared" si="440"/>
        <v>0</v>
      </c>
      <c r="AH1191" s="1172">
        <f t="shared" si="440"/>
        <v>0</v>
      </c>
      <c r="AI1191" s="1172">
        <f t="shared" si="440"/>
        <v>0</v>
      </c>
      <c r="AJ1191" s="1172">
        <f t="shared" si="440"/>
        <v>0</v>
      </c>
      <c r="AK1191" s="1172">
        <f t="shared" si="440"/>
        <v>0</v>
      </c>
      <c r="AL1191" s="1172">
        <f t="shared" si="440"/>
        <v>0</v>
      </c>
      <c r="AM1191" s="1172">
        <f t="shared" si="440"/>
        <v>0</v>
      </c>
      <c r="AN1191" s="1172">
        <f t="shared" si="440"/>
        <v>0</v>
      </c>
      <c r="AO1191" s="1172">
        <f t="shared" si="440"/>
        <v>0</v>
      </c>
      <c r="AP1191" s="1172">
        <f t="shared" si="440"/>
        <v>0</v>
      </c>
      <c r="AQ1191" s="1618">
        <f t="shared" si="440"/>
        <v>0</v>
      </c>
    </row>
    <row r="1192" spans="2:44" ht="13.75" hidden="1" customHeight="1" x14ac:dyDescent="0.2">
      <c r="B1192" s="1586" t="str">
        <f>+Precios!H95</f>
        <v>Cosechar semillero de gramínea</v>
      </c>
      <c r="C1192" s="1187">
        <f>+Precios!K95</f>
        <v>15</v>
      </c>
      <c r="D1192" s="1183"/>
      <c r="E1192" s="372"/>
      <c r="F1192" s="193"/>
      <c r="G1192" s="193"/>
      <c r="H1192" s="193"/>
      <c r="I1192" s="1185">
        <f t="shared" si="438"/>
        <v>0</v>
      </c>
      <c r="J1192" s="1172">
        <f t="shared" si="442"/>
        <v>0</v>
      </c>
      <c r="K1192" s="1172">
        <f t="shared" si="442"/>
        <v>0</v>
      </c>
      <c r="L1192" s="1172">
        <f t="shared" si="442"/>
        <v>0</v>
      </c>
      <c r="M1192" s="1172">
        <f t="shared" si="442"/>
        <v>0</v>
      </c>
      <c r="N1192" s="1172">
        <f t="shared" si="442"/>
        <v>0</v>
      </c>
      <c r="O1192" s="1172">
        <f t="shared" si="442"/>
        <v>0</v>
      </c>
      <c r="P1192" s="1172">
        <f t="shared" si="442"/>
        <v>0</v>
      </c>
      <c r="Q1192" s="1172">
        <f t="shared" si="442"/>
        <v>0</v>
      </c>
      <c r="R1192" s="1172">
        <f t="shared" si="442"/>
        <v>0</v>
      </c>
      <c r="S1192" s="1172">
        <f t="shared" si="442"/>
        <v>0</v>
      </c>
      <c r="T1192" s="1618">
        <f t="shared" si="442"/>
        <v>0</v>
      </c>
      <c r="V1192" s="254"/>
      <c r="W1192" s="254"/>
      <c r="Y1192" s="1586" t="str">
        <f t="shared" si="435"/>
        <v>Cosechar semillero de gramínea</v>
      </c>
      <c r="Z1192" s="1187">
        <f t="shared" si="436"/>
        <v>15</v>
      </c>
      <c r="AA1192" s="1183"/>
      <c r="AB1192" s="372"/>
      <c r="AC1192" s="193"/>
      <c r="AD1192" s="193"/>
      <c r="AE1192" s="193"/>
      <c r="AF1192" s="1172">
        <f t="shared" si="439"/>
        <v>0</v>
      </c>
      <c r="AG1192" s="1172">
        <f t="shared" si="440"/>
        <v>0</v>
      </c>
      <c r="AH1192" s="1172">
        <f t="shared" si="440"/>
        <v>0</v>
      </c>
      <c r="AI1192" s="1172">
        <f t="shared" si="440"/>
        <v>0</v>
      </c>
      <c r="AJ1192" s="1172">
        <f t="shared" si="440"/>
        <v>0</v>
      </c>
      <c r="AK1192" s="1172">
        <f t="shared" si="440"/>
        <v>0</v>
      </c>
      <c r="AL1192" s="1172">
        <f t="shared" si="440"/>
        <v>0</v>
      </c>
      <c r="AM1192" s="1172">
        <f t="shared" si="440"/>
        <v>0</v>
      </c>
      <c r="AN1192" s="1172">
        <f t="shared" si="440"/>
        <v>0</v>
      </c>
      <c r="AO1192" s="1172">
        <f t="shared" si="440"/>
        <v>0</v>
      </c>
      <c r="AP1192" s="1172">
        <f t="shared" si="440"/>
        <v>0</v>
      </c>
      <c r="AQ1192" s="1618">
        <f t="shared" si="440"/>
        <v>0</v>
      </c>
    </row>
    <row r="1193" spans="2:44" ht="13.75" hidden="1" customHeight="1" x14ac:dyDescent="0.2">
      <c r="B1193" s="1586" t="str">
        <f>+Precios!H96</f>
        <v>Ensilar Silo de Maíz</v>
      </c>
      <c r="C1193" s="1187">
        <f>+Precios!K96</f>
        <v>38</v>
      </c>
      <c r="D1193" s="1183"/>
      <c r="E1193" s="372"/>
      <c r="F1193" s="193"/>
      <c r="G1193" s="193"/>
      <c r="H1193" s="193"/>
      <c r="I1193" s="1185">
        <f t="shared" si="438"/>
        <v>0</v>
      </c>
      <c r="J1193" s="1172">
        <f t="shared" si="442"/>
        <v>0</v>
      </c>
      <c r="K1193" s="1172">
        <f t="shared" si="442"/>
        <v>0</v>
      </c>
      <c r="L1193" s="1172">
        <f t="shared" si="442"/>
        <v>0</v>
      </c>
      <c r="M1193" s="1172">
        <f t="shared" si="442"/>
        <v>0</v>
      </c>
      <c r="N1193" s="1172">
        <f t="shared" si="442"/>
        <v>0</v>
      </c>
      <c r="O1193" s="1172">
        <f t="shared" si="442"/>
        <v>0</v>
      </c>
      <c r="P1193" s="1172">
        <f t="shared" si="442"/>
        <v>0</v>
      </c>
      <c r="Q1193" s="1172">
        <f t="shared" si="442"/>
        <v>0</v>
      </c>
      <c r="R1193" s="1172">
        <f t="shared" si="442"/>
        <v>0</v>
      </c>
      <c r="S1193" s="1172">
        <f t="shared" si="442"/>
        <v>0</v>
      </c>
      <c r="T1193" s="1618">
        <f t="shared" si="442"/>
        <v>0</v>
      </c>
      <c r="V1193" s="254"/>
      <c r="W1193" s="254"/>
      <c r="Y1193" s="1586" t="str">
        <f t="shared" si="435"/>
        <v>Ensilar Silo de Maíz</v>
      </c>
      <c r="Z1193" s="1187">
        <f t="shared" si="436"/>
        <v>38</v>
      </c>
      <c r="AA1193" s="1183"/>
      <c r="AB1193" s="372"/>
      <c r="AC1193" s="193"/>
      <c r="AD1193" s="193"/>
      <c r="AE1193" s="193"/>
      <c r="AF1193" s="1172">
        <f t="shared" si="439"/>
        <v>0</v>
      </c>
      <c r="AG1193" s="1172">
        <f t="shared" si="440"/>
        <v>0</v>
      </c>
      <c r="AH1193" s="1172">
        <f t="shared" si="440"/>
        <v>0</v>
      </c>
      <c r="AI1193" s="1172">
        <f t="shared" si="440"/>
        <v>0</v>
      </c>
      <c r="AJ1193" s="1172">
        <f t="shared" si="440"/>
        <v>0</v>
      </c>
      <c r="AK1193" s="1172">
        <f t="shared" si="440"/>
        <v>0</v>
      </c>
      <c r="AL1193" s="1172">
        <f t="shared" si="440"/>
        <v>0</v>
      </c>
      <c r="AM1193" s="1172">
        <f t="shared" si="440"/>
        <v>0</v>
      </c>
      <c r="AN1193" s="1172">
        <f t="shared" si="440"/>
        <v>0</v>
      </c>
      <c r="AO1193" s="1172">
        <f t="shared" si="440"/>
        <v>0</v>
      </c>
      <c r="AP1193" s="1172">
        <f t="shared" si="440"/>
        <v>0</v>
      </c>
      <c r="AQ1193" s="1618">
        <f t="shared" si="440"/>
        <v>0</v>
      </c>
    </row>
    <row r="1194" spans="2:44" ht="13.75" hidden="1" customHeight="1" x14ac:dyDescent="0.2">
      <c r="B1194" s="1586" t="str">
        <f>+Precios!H97</f>
        <v>Enfardar</v>
      </c>
      <c r="C1194" s="1187">
        <f>+Precios!K97</f>
        <v>1.8</v>
      </c>
      <c r="D1194" s="1183"/>
      <c r="E1194" s="372"/>
      <c r="F1194" s="193"/>
      <c r="G1194" s="193"/>
      <c r="H1194" s="193"/>
      <c r="I1194" s="1185">
        <f t="shared" si="438"/>
        <v>0</v>
      </c>
      <c r="J1194" s="1172">
        <f t="shared" si="442"/>
        <v>0</v>
      </c>
      <c r="K1194" s="1172">
        <f t="shared" si="442"/>
        <v>0</v>
      </c>
      <c r="L1194" s="1172">
        <f t="shared" si="442"/>
        <v>0</v>
      </c>
      <c r="M1194" s="1172">
        <f t="shared" si="442"/>
        <v>0</v>
      </c>
      <c r="N1194" s="1172">
        <f t="shared" si="442"/>
        <v>0</v>
      </c>
      <c r="O1194" s="1172">
        <f t="shared" si="442"/>
        <v>0</v>
      </c>
      <c r="P1194" s="1172">
        <f t="shared" si="442"/>
        <v>0</v>
      </c>
      <c r="Q1194" s="1172">
        <f t="shared" si="442"/>
        <v>0</v>
      </c>
      <c r="R1194" s="1172">
        <f t="shared" si="442"/>
        <v>0</v>
      </c>
      <c r="S1194" s="1172">
        <f t="shared" si="442"/>
        <v>0</v>
      </c>
      <c r="T1194" s="1618">
        <f t="shared" si="442"/>
        <v>0</v>
      </c>
      <c r="V1194" s="254"/>
      <c r="W1194" s="254"/>
      <c r="Y1194" s="1586" t="str">
        <f t="shared" si="435"/>
        <v>Enfardar</v>
      </c>
      <c r="Z1194" s="1187">
        <f t="shared" si="436"/>
        <v>1.8</v>
      </c>
      <c r="AA1194" s="1183"/>
      <c r="AB1194" s="372"/>
      <c r="AC1194" s="193"/>
      <c r="AD1194" s="193"/>
      <c r="AE1194" s="193"/>
      <c r="AF1194" s="1172">
        <f t="shared" si="439"/>
        <v>0</v>
      </c>
      <c r="AG1194" s="1172">
        <f t="shared" si="440"/>
        <v>0</v>
      </c>
      <c r="AH1194" s="1172">
        <f t="shared" si="440"/>
        <v>0</v>
      </c>
      <c r="AI1194" s="1172">
        <f t="shared" si="440"/>
        <v>0</v>
      </c>
      <c r="AJ1194" s="1172">
        <f t="shared" si="440"/>
        <v>0</v>
      </c>
      <c r="AK1194" s="1172">
        <f t="shared" si="440"/>
        <v>0</v>
      </c>
      <c r="AL1194" s="1172">
        <f t="shared" si="440"/>
        <v>0</v>
      </c>
      <c r="AM1194" s="1172">
        <f t="shared" si="440"/>
        <v>0</v>
      </c>
      <c r="AN1194" s="1172">
        <f t="shared" si="440"/>
        <v>0</v>
      </c>
      <c r="AO1194" s="1172">
        <f t="shared" si="440"/>
        <v>0</v>
      </c>
      <c r="AP1194" s="1172">
        <f t="shared" si="440"/>
        <v>0</v>
      </c>
      <c r="AQ1194" s="1618">
        <f t="shared" si="440"/>
        <v>0</v>
      </c>
    </row>
    <row r="1195" spans="2:44" ht="13.75" hidden="1" customHeight="1" x14ac:dyDescent="0.2">
      <c r="B1195" s="1586" t="str">
        <f>+Precios!H98</f>
        <v>Ensilar Verdeos de Invierno / Praderas</v>
      </c>
      <c r="C1195" s="1187">
        <f>+Precios!K98</f>
        <v>38</v>
      </c>
      <c r="D1195" s="1183"/>
      <c r="E1195" s="372"/>
      <c r="F1195" s="193"/>
      <c r="G1195" s="193"/>
      <c r="H1195" s="193"/>
      <c r="I1195" s="1185">
        <f t="shared" si="438"/>
        <v>0</v>
      </c>
      <c r="J1195" s="1172">
        <f t="shared" si="442"/>
        <v>0</v>
      </c>
      <c r="K1195" s="1172">
        <f t="shared" si="442"/>
        <v>0</v>
      </c>
      <c r="L1195" s="1172">
        <f t="shared" si="442"/>
        <v>0</v>
      </c>
      <c r="M1195" s="1172">
        <f t="shared" si="442"/>
        <v>0</v>
      </c>
      <c r="N1195" s="1172">
        <f t="shared" si="442"/>
        <v>0</v>
      </c>
      <c r="O1195" s="1172">
        <f t="shared" si="442"/>
        <v>0</v>
      </c>
      <c r="P1195" s="1172">
        <f t="shared" si="442"/>
        <v>0</v>
      </c>
      <c r="Q1195" s="1172">
        <f t="shared" si="442"/>
        <v>0</v>
      </c>
      <c r="R1195" s="1172">
        <f t="shared" si="442"/>
        <v>0</v>
      </c>
      <c r="S1195" s="1172">
        <f t="shared" si="442"/>
        <v>0</v>
      </c>
      <c r="T1195" s="1618">
        <f t="shared" si="442"/>
        <v>0</v>
      </c>
      <c r="V1195" s="254"/>
      <c r="W1195" s="254"/>
      <c r="Y1195" s="1586" t="str">
        <f t="shared" si="435"/>
        <v>Ensilar Verdeos de Invierno / Praderas</v>
      </c>
      <c r="Z1195" s="1187">
        <f t="shared" si="436"/>
        <v>38</v>
      </c>
      <c r="AA1195" s="1183"/>
      <c r="AB1195" s="372"/>
      <c r="AC1195" s="193"/>
      <c r="AD1195" s="193"/>
      <c r="AE1195" s="193"/>
      <c r="AF1195" s="1172">
        <f t="shared" si="439"/>
        <v>0</v>
      </c>
      <c r="AG1195" s="1172">
        <f t="shared" si="440"/>
        <v>0</v>
      </c>
      <c r="AH1195" s="1172">
        <f t="shared" si="440"/>
        <v>0</v>
      </c>
      <c r="AI1195" s="1172">
        <f t="shared" si="440"/>
        <v>0</v>
      </c>
      <c r="AJ1195" s="1172">
        <f t="shared" si="440"/>
        <v>0</v>
      </c>
      <c r="AK1195" s="1172">
        <f t="shared" si="440"/>
        <v>0</v>
      </c>
      <c r="AL1195" s="1172">
        <f t="shared" si="440"/>
        <v>0</v>
      </c>
      <c r="AM1195" s="1172">
        <f t="shared" si="440"/>
        <v>0</v>
      </c>
      <c r="AN1195" s="1172">
        <f t="shared" si="440"/>
        <v>0</v>
      </c>
      <c r="AO1195" s="1172">
        <f t="shared" si="440"/>
        <v>0</v>
      </c>
      <c r="AP1195" s="1172">
        <f t="shared" si="440"/>
        <v>0</v>
      </c>
      <c r="AQ1195" s="1618">
        <f t="shared" si="440"/>
        <v>0</v>
      </c>
    </row>
    <row r="1196" spans="2:44" ht="13.75" hidden="1" customHeight="1" x14ac:dyDescent="0.2">
      <c r="B1196" s="1586">
        <f>+Precios!H99</f>
        <v>0</v>
      </c>
      <c r="C1196" s="1187">
        <f>+Precios!K99</f>
        <v>0</v>
      </c>
      <c r="D1196" s="1183"/>
      <c r="E1196" s="372"/>
      <c r="F1196" s="193"/>
      <c r="G1196" s="193"/>
      <c r="H1196" s="193"/>
      <c r="I1196" s="1185">
        <f t="shared" si="438"/>
        <v>0</v>
      </c>
      <c r="J1196" s="1172">
        <f t="shared" si="442"/>
        <v>0</v>
      </c>
      <c r="K1196" s="1172">
        <f t="shared" si="442"/>
        <v>0</v>
      </c>
      <c r="L1196" s="1172">
        <f t="shared" si="442"/>
        <v>0</v>
      </c>
      <c r="M1196" s="1172">
        <f t="shared" si="442"/>
        <v>0</v>
      </c>
      <c r="N1196" s="1172">
        <f t="shared" si="442"/>
        <v>0</v>
      </c>
      <c r="O1196" s="1172">
        <f t="shared" si="442"/>
        <v>0</v>
      </c>
      <c r="P1196" s="1172">
        <f t="shared" si="442"/>
        <v>0</v>
      </c>
      <c r="Q1196" s="1172">
        <f t="shared" si="442"/>
        <v>0</v>
      </c>
      <c r="R1196" s="1172">
        <f t="shared" si="442"/>
        <v>0</v>
      </c>
      <c r="S1196" s="1172">
        <f t="shared" si="442"/>
        <v>0</v>
      </c>
      <c r="T1196" s="1618">
        <f t="shared" si="442"/>
        <v>0</v>
      </c>
      <c r="V1196" s="254"/>
      <c r="W1196" s="254"/>
      <c r="Y1196" s="1586">
        <f t="shared" si="435"/>
        <v>0</v>
      </c>
      <c r="Z1196" s="1187">
        <f t="shared" si="436"/>
        <v>0</v>
      </c>
      <c r="AA1196" s="1183"/>
      <c r="AB1196" s="372"/>
      <c r="AC1196" s="193"/>
      <c r="AD1196" s="193"/>
      <c r="AE1196" s="193"/>
      <c r="AF1196" s="1172">
        <f t="shared" si="439"/>
        <v>0</v>
      </c>
      <c r="AG1196" s="1172">
        <f t="shared" si="440"/>
        <v>0</v>
      </c>
      <c r="AH1196" s="1172">
        <f t="shared" si="440"/>
        <v>0</v>
      </c>
      <c r="AI1196" s="1172">
        <f t="shared" si="440"/>
        <v>0</v>
      </c>
      <c r="AJ1196" s="1172">
        <f t="shared" si="440"/>
        <v>0</v>
      </c>
      <c r="AK1196" s="1172">
        <f t="shared" si="440"/>
        <v>0</v>
      </c>
      <c r="AL1196" s="1172">
        <f t="shared" si="440"/>
        <v>0</v>
      </c>
      <c r="AM1196" s="1172">
        <f t="shared" si="440"/>
        <v>0</v>
      </c>
      <c r="AN1196" s="1172">
        <f t="shared" si="440"/>
        <v>0</v>
      </c>
      <c r="AO1196" s="1172">
        <f t="shared" si="440"/>
        <v>0</v>
      </c>
      <c r="AP1196" s="1172">
        <f t="shared" si="440"/>
        <v>0</v>
      </c>
      <c r="AQ1196" s="1618">
        <f t="shared" si="440"/>
        <v>0</v>
      </c>
    </row>
    <row r="1197" spans="2:44" ht="14.4" hidden="1" customHeight="1" thickBot="1" x14ac:dyDescent="0.25">
      <c r="B1197" s="1619">
        <f>+Precios!H100</f>
        <v>0</v>
      </c>
      <c r="C1197" s="1188">
        <f>+Precios!K100</f>
        <v>0</v>
      </c>
      <c r="D1197" s="1183"/>
      <c r="E1197" s="372"/>
      <c r="F1197" s="193"/>
      <c r="G1197" s="193"/>
      <c r="H1197" s="193"/>
      <c r="I1197" s="1185">
        <f t="shared" si="438"/>
        <v>0</v>
      </c>
      <c r="J1197" s="1189">
        <f t="shared" si="442"/>
        <v>0</v>
      </c>
      <c r="K1197" s="1189">
        <f t="shared" si="442"/>
        <v>0</v>
      </c>
      <c r="L1197" s="1189">
        <f t="shared" si="442"/>
        <v>0</v>
      </c>
      <c r="M1197" s="1189">
        <f t="shared" si="442"/>
        <v>0</v>
      </c>
      <c r="N1197" s="1189">
        <f t="shared" si="442"/>
        <v>0</v>
      </c>
      <c r="O1197" s="1189">
        <f t="shared" si="442"/>
        <v>0</v>
      </c>
      <c r="P1197" s="1189">
        <f t="shared" si="442"/>
        <v>0</v>
      </c>
      <c r="Q1197" s="1189">
        <f t="shared" si="442"/>
        <v>0</v>
      </c>
      <c r="R1197" s="1189">
        <f t="shared" si="442"/>
        <v>0</v>
      </c>
      <c r="S1197" s="1189">
        <f t="shared" si="442"/>
        <v>0</v>
      </c>
      <c r="T1197" s="1620">
        <f t="shared" si="442"/>
        <v>0</v>
      </c>
      <c r="V1197" s="254"/>
      <c r="W1197" s="254"/>
      <c r="Y1197" s="1619">
        <f t="shared" si="435"/>
        <v>0</v>
      </c>
      <c r="Z1197" s="1188">
        <f t="shared" si="436"/>
        <v>0</v>
      </c>
      <c r="AA1197" s="1183"/>
      <c r="AB1197" s="372"/>
      <c r="AC1197" s="193"/>
      <c r="AD1197" s="193"/>
      <c r="AE1197" s="193"/>
      <c r="AF1197" s="1189">
        <f t="shared" si="439"/>
        <v>0</v>
      </c>
      <c r="AG1197" s="1189">
        <f t="shared" si="440"/>
        <v>0</v>
      </c>
      <c r="AH1197" s="1189">
        <f t="shared" si="440"/>
        <v>0</v>
      </c>
      <c r="AI1197" s="1189">
        <f t="shared" si="440"/>
        <v>0</v>
      </c>
      <c r="AJ1197" s="1189">
        <f t="shared" si="440"/>
        <v>0</v>
      </c>
      <c r="AK1197" s="1189">
        <f t="shared" si="440"/>
        <v>0</v>
      </c>
      <c r="AL1197" s="1189">
        <f t="shared" si="440"/>
        <v>0</v>
      </c>
      <c r="AM1197" s="1189">
        <f t="shared" si="440"/>
        <v>0</v>
      </c>
      <c r="AN1197" s="1189">
        <f t="shared" si="440"/>
        <v>0</v>
      </c>
      <c r="AO1197" s="1189">
        <f t="shared" si="440"/>
        <v>0</v>
      </c>
      <c r="AP1197" s="1189">
        <f t="shared" si="440"/>
        <v>0</v>
      </c>
      <c r="AQ1197" s="1620">
        <f t="shared" si="440"/>
        <v>0</v>
      </c>
    </row>
    <row r="1198" spans="2:44" ht="14.4" hidden="1" customHeight="1" thickTop="1" x14ac:dyDescent="0.2">
      <c r="B1198" s="1586" t="str">
        <f>+B837</f>
        <v>Maquinaria</v>
      </c>
      <c r="C1198" s="1187">
        <f>+Precios!F119</f>
        <v>0</v>
      </c>
      <c r="D1198" s="1201" t="s">
        <v>611</v>
      </c>
      <c r="E1198" s="1633"/>
      <c r="F1198" s="374"/>
      <c r="G1198" s="374"/>
      <c r="H1198" s="374"/>
      <c r="I1198" s="1172">
        <f ca="1">SUMIF($V$837:$W$839,$B1198&amp;"propia",I$837:I$839)</f>
        <v>0</v>
      </c>
      <c r="J1198" s="1172">
        <f t="shared" ref="J1198:T1198" ca="1" si="443">SUMIF($V$837:$W$839,$B1198&amp;"propia",J$837:J$839)</f>
        <v>0</v>
      </c>
      <c r="K1198" s="1172">
        <f t="shared" ca="1" si="443"/>
        <v>0</v>
      </c>
      <c r="L1198" s="1172">
        <f t="shared" ca="1" si="443"/>
        <v>0</v>
      </c>
      <c r="M1198" s="1172">
        <f t="shared" ca="1" si="443"/>
        <v>0</v>
      </c>
      <c r="N1198" s="1172">
        <f t="shared" ca="1" si="443"/>
        <v>0</v>
      </c>
      <c r="O1198" s="1172">
        <f t="shared" ca="1" si="443"/>
        <v>0</v>
      </c>
      <c r="P1198" s="1172">
        <f t="shared" ca="1" si="443"/>
        <v>0</v>
      </c>
      <c r="Q1198" s="1172">
        <f t="shared" ca="1" si="443"/>
        <v>0</v>
      </c>
      <c r="R1198" s="1172">
        <f t="shared" ca="1" si="443"/>
        <v>0</v>
      </c>
      <c r="S1198" s="1172">
        <f t="shared" ca="1" si="443"/>
        <v>0</v>
      </c>
      <c r="T1198" s="1172">
        <f t="shared" ca="1" si="443"/>
        <v>0</v>
      </c>
      <c r="V1198" s="254"/>
      <c r="W1198" s="254"/>
      <c r="Y1198" s="1637"/>
      <c r="Z1198" s="1638"/>
      <c r="AA1198" s="374"/>
      <c r="AB1198" s="1633"/>
      <c r="AC1198" s="374"/>
      <c r="AD1198" s="374"/>
      <c r="AE1198" s="374"/>
      <c r="AF1198" s="1633"/>
      <c r="AG1198" s="1633"/>
      <c r="AH1198" s="1633"/>
      <c r="AI1198" s="1633"/>
      <c r="AJ1198" s="1633"/>
      <c r="AK1198" s="1633"/>
      <c r="AL1198" s="1633"/>
      <c r="AM1198" s="1633"/>
      <c r="AN1198" s="1633"/>
      <c r="AO1198" s="1633"/>
      <c r="AP1198" s="1633"/>
      <c r="AQ1198" s="1633"/>
      <c r="AR1198" s="1636"/>
    </row>
    <row r="1199" spans="2:44" ht="13.75" hidden="1" customHeight="1" x14ac:dyDescent="0.2">
      <c r="B1199" s="1586" t="str">
        <f>+B841</f>
        <v>Maquinaria</v>
      </c>
      <c r="C1199" s="1187">
        <f>+Precios!F136</f>
        <v>1.7542857142857142</v>
      </c>
      <c r="D1199" s="1183" t="s">
        <v>1996</v>
      </c>
      <c r="E1199" s="372"/>
      <c r="F1199" s="193"/>
      <c r="G1199" s="193"/>
      <c r="H1199" s="193"/>
      <c r="I1199" s="1172">
        <f>SUMIF($V$841:$V$843,$B1199&amp;"propia",I$841:I$843)</f>
        <v>0</v>
      </c>
      <c r="J1199" s="1172">
        <f t="shared" ref="J1199:T1199" si="444">SUMIF($V$841:$V$843,$B1199&amp;"propia",J$841:J$843)</f>
        <v>0</v>
      </c>
      <c r="K1199" s="1172">
        <f t="shared" si="444"/>
        <v>0</v>
      </c>
      <c r="L1199" s="1172">
        <f t="shared" si="444"/>
        <v>0</v>
      </c>
      <c r="M1199" s="1172">
        <f t="shared" si="444"/>
        <v>0</v>
      </c>
      <c r="N1199" s="1172">
        <f t="shared" si="444"/>
        <v>0</v>
      </c>
      <c r="O1199" s="1172">
        <f t="shared" si="444"/>
        <v>0</v>
      </c>
      <c r="P1199" s="1172">
        <f t="shared" si="444"/>
        <v>0</v>
      </c>
      <c r="Q1199" s="1172">
        <f t="shared" si="444"/>
        <v>0</v>
      </c>
      <c r="R1199" s="1172">
        <f t="shared" si="444"/>
        <v>0</v>
      </c>
      <c r="S1199" s="1172">
        <f t="shared" si="444"/>
        <v>0</v>
      </c>
      <c r="T1199" s="1172">
        <f t="shared" si="444"/>
        <v>0</v>
      </c>
      <c r="V1199" s="254"/>
      <c r="W1199" s="254"/>
      <c r="Y1199" s="1639"/>
      <c r="Z1199" s="877"/>
      <c r="AA1199" s="193"/>
      <c r="AB1199" s="372"/>
      <c r="AC1199" s="193"/>
      <c r="AD1199" s="193"/>
      <c r="AE1199" s="193"/>
      <c r="AF1199" s="372"/>
      <c r="AG1199" s="372"/>
      <c r="AH1199" s="372"/>
      <c r="AI1199" s="372"/>
      <c r="AJ1199" s="372"/>
      <c r="AK1199" s="372"/>
      <c r="AL1199" s="372"/>
      <c r="AM1199" s="372"/>
      <c r="AN1199" s="372"/>
      <c r="AO1199" s="372"/>
      <c r="AP1199" s="372"/>
      <c r="AQ1199" s="372"/>
      <c r="AR1199" s="1568"/>
    </row>
    <row r="1200" spans="2:44" ht="14.4" hidden="1" customHeight="1" thickBot="1" x14ac:dyDescent="0.25">
      <c r="B1200" s="1588" t="str">
        <f>+B845</f>
        <v>Maquinaria</v>
      </c>
      <c r="C1200" s="1621">
        <f>+Precios!E153</f>
        <v>63</v>
      </c>
      <c r="D1200" s="1208" t="s">
        <v>1997</v>
      </c>
      <c r="E1200" s="1634"/>
      <c r="F1200" s="1199"/>
      <c r="G1200" s="1199"/>
      <c r="H1200" s="1199"/>
      <c r="I1200" s="1622">
        <f>SUMIF($V$845:$V$847,$B1200&amp;"propia",I$845:I$847)</f>
        <v>0</v>
      </c>
      <c r="J1200" s="1622">
        <f t="shared" ref="J1200:T1200" si="445">SUMIF($V$845:$V$847,$B1200&amp;"propia",J$845:J$847)</f>
        <v>0</v>
      </c>
      <c r="K1200" s="1622">
        <f t="shared" si="445"/>
        <v>0</v>
      </c>
      <c r="L1200" s="1622">
        <f t="shared" si="445"/>
        <v>0</v>
      </c>
      <c r="M1200" s="1622">
        <f t="shared" si="445"/>
        <v>0</v>
      </c>
      <c r="N1200" s="1622">
        <f t="shared" si="445"/>
        <v>0</v>
      </c>
      <c r="O1200" s="1622">
        <f t="shared" si="445"/>
        <v>0</v>
      </c>
      <c r="P1200" s="1622">
        <f t="shared" si="445"/>
        <v>0</v>
      </c>
      <c r="Q1200" s="1622">
        <f t="shared" si="445"/>
        <v>0</v>
      </c>
      <c r="R1200" s="1622">
        <f t="shared" si="445"/>
        <v>0</v>
      </c>
      <c r="S1200" s="1622">
        <f t="shared" si="445"/>
        <v>0</v>
      </c>
      <c r="T1200" s="1622">
        <f t="shared" si="445"/>
        <v>0</v>
      </c>
      <c r="V1200" s="254"/>
      <c r="W1200" s="254"/>
      <c r="Y1200" s="1639"/>
      <c r="Z1200" s="877"/>
      <c r="AA1200" s="193"/>
      <c r="AB1200" s="372"/>
      <c r="AC1200" s="193"/>
      <c r="AD1200" s="193"/>
      <c r="AE1200" s="193"/>
      <c r="AF1200" s="372"/>
      <c r="AG1200" s="372"/>
      <c r="AH1200" s="372"/>
      <c r="AI1200" s="372"/>
      <c r="AJ1200" s="372"/>
      <c r="AK1200" s="372"/>
      <c r="AL1200" s="372"/>
      <c r="AM1200" s="372"/>
      <c r="AN1200" s="372"/>
      <c r="AO1200" s="372"/>
      <c r="AP1200" s="372"/>
      <c r="AQ1200" s="372"/>
      <c r="AR1200" s="1568"/>
    </row>
    <row r="1201" spans="1:47" ht="14.4" hidden="1" customHeight="1" thickTop="1" x14ac:dyDescent="0.2">
      <c r="A1201" s="141"/>
      <c r="B1201" s="141"/>
      <c r="F1201" s="193"/>
      <c r="V1201" s="193"/>
      <c r="W1201" s="193"/>
      <c r="X1201" s="141"/>
      <c r="Y1201" s="141"/>
      <c r="AS1201" s="141"/>
      <c r="AT1201" s="141"/>
      <c r="AU1201" s="141"/>
    </row>
    <row r="1202" spans="1:47" ht="14.4" hidden="1" customHeight="1" thickBot="1" x14ac:dyDescent="0.25">
      <c r="A1202" s="141"/>
      <c r="B1202" s="141"/>
      <c r="F1202" s="193"/>
      <c r="V1202" s="193"/>
      <c r="W1202" s="193"/>
      <c r="X1202" s="141"/>
      <c r="Y1202" s="141"/>
      <c r="AS1202" s="141"/>
      <c r="AT1202" s="141"/>
      <c r="AU1202" s="141"/>
    </row>
    <row r="1203" spans="1:47" ht="14.4" hidden="1" customHeight="1" thickTop="1" x14ac:dyDescent="0.2">
      <c r="A1203" s="2188">
        <v>1082</v>
      </c>
      <c r="B1203" s="1625" t="s">
        <v>1104</v>
      </c>
      <c r="C1203" s="1624"/>
      <c r="D1203" s="1624"/>
      <c r="E1203" s="1624"/>
      <c r="F1203" s="1581"/>
      <c r="G1203" s="1581"/>
      <c r="H1203" s="1581"/>
      <c r="I1203" s="1624" t="s">
        <v>942</v>
      </c>
      <c r="J1203" s="1624"/>
      <c r="K1203" s="1624"/>
      <c r="L1203" s="1624"/>
      <c r="M1203" s="1624"/>
      <c r="N1203" s="1624"/>
      <c r="O1203" s="1624"/>
      <c r="P1203" s="1624"/>
      <c r="Q1203" s="1624"/>
      <c r="R1203" s="1624"/>
      <c r="S1203" s="1624"/>
      <c r="T1203" s="1626"/>
      <c r="U1203" s="193"/>
      <c r="V1203" s="254"/>
      <c r="W1203" s="254"/>
      <c r="X1203" s="2188">
        <v>1083</v>
      </c>
      <c r="Y1203" s="1625" t="s">
        <v>940</v>
      </c>
      <c r="Z1203" s="1624"/>
      <c r="AA1203" s="1624"/>
      <c r="AB1203" s="1624"/>
      <c r="AC1203" s="1581"/>
      <c r="AD1203" s="1581"/>
      <c r="AE1203" s="1581"/>
      <c r="AF1203" s="1624"/>
      <c r="AG1203" s="1624"/>
      <c r="AH1203" s="1624"/>
      <c r="AI1203" s="1624"/>
      <c r="AJ1203" s="1624"/>
      <c r="AK1203" s="1624"/>
      <c r="AL1203" s="1624"/>
      <c r="AM1203" s="1624"/>
      <c r="AN1203" s="1624"/>
      <c r="AO1203" s="1624"/>
      <c r="AP1203" s="1624"/>
      <c r="AQ1203" s="1626"/>
    </row>
    <row r="1204" spans="1:47" ht="13.75" hidden="1" customHeight="1" x14ac:dyDescent="0.2">
      <c r="B1204" s="1630" t="s">
        <v>924</v>
      </c>
      <c r="C1204" s="1635" t="s">
        <v>871</v>
      </c>
      <c r="D1204" s="1201"/>
      <c r="E1204" s="1633"/>
      <c r="F1204" s="374"/>
      <c r="G1204" s="374"/>
      <c r="H1204" s="377"/>
      <c r="I1204" s="1178"/>
      <c r="J1204" s="1175"/>
      <c r="K1204" s="1175"/>
      <c r="L1204" s="1175"/>
      <c r="M1204" s="1627"/>
      <c r="N1204" s="1628" t="s">
        <v>938</v>
      </c>
      <c r="O1204" s="1627"/>
      <c r="P1204" s="1175"/>
      <c r="Q1204" s="1175"/>
      <c r="R1204" s="1175"/>
      <c r="S1204" s="1175"/>
      <c r="T1204" s="1629"/>
      <c r="V1204" s="254"/>
      <c r="W1204" s="254"/>
      <c r="Y1204" s="1630"/>
      <c r="Z1204" s="1635" t="s">
        <v>871</v>
      </c>
      <c r="AA1204" s="1201"/>
      <c r="AB1204" s="1633"/>
      <c r="AC1204" s="374"/>
      <c r="AD1204" s="374"/>
      <c r="AE1204" s="377"/>
      <c r="AF1204" s="1178"/>
      <c r="AG1204" s="1175"/>
      <c r="AH1204" s="1175"/>
      <c r="AI1204" s="1175"/>
      <c r="AJ1204" s="1627"/>
      <c r="AK1204" s="1628" t="s">
        <v>938</v>
      </c>
      <c r="AL1204" s="1627"/>
      <c r="AM1204" s="1175"/>
      <c r="AN1204" s="1175"/>
      <c r="AO1204" s="1175"/>
      <c r="AP1204" s="1175"/>
      <c r="AQ1204" s="1629"/>
    </row>
    <row r="1205" spans="1:47" ht="13.75" hidden="1" customHeight="1" x14ac:dyDescent="0.2">
      <c r="B1205" s="1616" t="str">
        <f t="shared" ref="B1205:B1235" si="446">B1170</f>
        <v>Siembra Directa  - Propia</v>
      </c>
      <c r="C1205" s="1184">
        <f t="shared" ref="C1205:C1234" si="447">+C1170</f>
        <v>5</v>
      </c>
      <c r="D1205" s="1183"/>
      <c r="E1205" s="372"/>
      <c r="F1205" s="193"/>
      <c r="G1205" s="193"/>
      <c r="H1205" s="193"/>
      <c r="I1205" s="1185">
        <f>SUMIF($V$44:$V$1152,$B1205&amp;"contratada",I$44:I$1152)</f>
        <v>0</v>
      </c>
      <c r="J1205" s="1185">
        <f t="shared" ref="J1205:T1213" si="448">SUMIF($V$44:$V$1152,$B1205&amp;"contratada",J$44:J$1152)</f>
        <v>0</v>
      </c>
      <c r="K1205" s="1185">
        <f t="shared" si="448"/>
        <v>0</v>
      </c>
      <c r="L1205" s="1185">
        <f t="shared" si="448"/>
        <v>0</v>
      </c>
      <c r="M1205" s="1185">
        <f t="shared" si="448"/>
        <v>0</v>
      </c>
      <c r="N1205" s="1185">
        <f t="shared" si="448"/>
        <v>0</v>
      </c>
      <c r="O1205" s="1186">
        <f t="shared" si="448"/>
        <v>0</v>
      </c>
      <c r="P1205" s="1186">
        <f t="shared" si="448"/>
        <v>0</v>
      </c>
      <c r="Q1205" s="1186">
        <f t="shared" si="448"/>
        <v>0</v>
      </c>
      <c r="R1205" s="1186">
        <f t="shared" si="448"/>
        <v>0</v>
      </c>
      <c r="S1205" s="1186">
        <f t="shared" si="448"/>
        <v>0</v>
      </c>
      <c r="T1205" s="1617">
        <f t="shared" si="448"/>
        <v>0</v>
      </c>
      <c r="V1205" s="254"/>
      <c r="W1205" s="254"/>
      <c r="Y1205" s="1616" t="str">
        <f t="shared" ref="Y1205:Z1232" si="449">Y1170</f>
        <v>Siembra Directa  - Propia</v>
      </c>
      <c r="Z1205" s="1184">
        <f t="shared" si="449"/>
        <v>5</v>
      </c>
      <c r="AA1205" s="1183"/>
      <c r="AB1205" s="372"/>
      <c r="AC1205" s="193"/>
      <c r="AD1205" s="193"/>
      <c r="AE1205" s="193"/>
      <c r="AF1205" s="1185">
        <f>SUMIF($AS$45:$AS$1152,$B1205&amp;"contratada",AF$45:AF$1152)</f>
        <v>0</v>
      </c>
      <c r="AG1205" s="1185">
        <f t="shared" ref="AG1205:AQ1213" si="450">SUMIF($AS$45:$AS$1152,$B1205&amp;"contratada",AG$45:AG$1152)</f>
        <v>0</v>
      </c>
      <c r="AH1205" s="1185">
        <f t="shared" si="450"/>
        <v>0</v>
      </c>
      <c r="AI1205" s="1185">
        <f t="shared" si="450"/>
        <v>0</v>
      </c>
      <c r="AJ1205" s="1185">
        <f t="shared" si="450"/>
        <v>0</v>
      </c>
      <c r="AK1205" s="1185">
        <f t="shared" si="450"/>
        <v>0</v>
      </c>
      <c r="AL1205" s="1186">
        <f t="shared" si="450"/>
        <v>0</v>
      </c>
      <c r="AM1205" s="1186">
        <f t="shared" si="450"/>
        <v>0</v>
      </c>
      <c r="AN1205" s="1186">
        <f t="shared" si="450"/>
        <v>0</v>
      </c>
      <c r="AO1205" s="1186">
        <f t="shared" si="450"/>
        <v>0</v>
      </c>
      <c r="AP1205" s="1186">
        <f t="shared" si="450"/>
        <v>0</v>
      </c>
      <c r="AQ1205" s="1617">
        <f t="shared" si="450"/>
        <v>0</v>
      </c>
    </row>
    <row r="1206" spans="1:47" ht="13.75" hidden="1" customHeight="1" x14ac:dyDescent="0.2">
      <c r="B1206" s="1586" t="str">
        <f t="shared" si="446"/>
        <v>Siembra Directa  - Contratada</v>
      </c>
      <c r="C1206" s="1187">
        <f t="shared" si="447"/>
        <v>5</v>
      </c>
      <c r="D1206" s="1183"/>
      <c r="E1206" s="372"/>
      <c r="F1206" s="193"/>
      <c r="G1206" s="193"/>
      <c r="H1206" s="193"/>
      <c r="I1206" s="1172">
        <f t="shared" ref="I1206:I1232" si="451">SUMIF($V$44:$V$1152,$B1206&amp;"contratada",I$44:I$1152)</f>
        <v>0</v>
      </c>
      <c r="J1206" s="1172">
        <f t="shared" si="448"/>
        <v>0</v>
      </c>
      <c r="K1206" s="1172">
        <f t="shared" si="448"/>
        <v>0</v>
      </c>
      <c r="L1206" s="1172">
        <f t="shared" si="448"/>
        <v>0</v>
      </c>
      <c r="M1206" s="1172">
        <f t="shared" si="448"/>
        <v>0</v>
      </c>
      <c r="N1206" s="1172">
        <f t="shared" si="448"/>
        <v>0</v>
      </c>
      <c r="O1206" s="1172">
        <f t="shared" si="448"/>
        <v>0</v>
      </c>
      <c r="P1206" s="1172">
        <f t="shared" si="448"/>
        <v>0</v>
      </c>
      <c r="Q1206" s="1172">
        <f t="shared" si="448"/>
        <v>0</v>
      </c>
      <c r="R1206" s="1172">
        <f t="shared" si="448"/>
        <v>0</v>
      </c>
      <c r="S1206" s="1172">
        <f t="shared" si="448"/>
        <v>0</v>
      </c>
      <c r="T1206" s="1618">
        <f t="shared" si="448"/>
        <v>0</v>
      </c>
      <c r="V1206" s="254"/>
      <c r="W1206" s="254"/>
      <c r="Y1206" s="1586" t="str">
        <f t="shared" si="449"/>
        <v>Siembra Directa  - Contratada</v>
      </c>
      <c r="Z1206" s="1187">
        <f t="shared" si="449"/>
        <v>5</v>
      </c>
      <c r="AA1206" s="1183"/>
      <c r="AB1206" s="372"/>
      <c r="AC1206" s="193"/>
      <c r="AD1206" s="193"/>
      <c r="AE1206" s="193"/>
      <c r="AF1206" s="1172">
        <f t="shared" ref="AF1206:AF1232" si="452">SUMIF($AS$45:$AS$1152,$B1206&amp;"contratada",AF$45:AF$1152)</f>
        <v>0</v>
      </c>
      <c r="AG1206" s="1172">
        <f t="shared" si="450"/>
        <v>0</v>
      </c>
      <c r="AH1206" s="1172">
        <f t="shared" si="450"/>
        <v>0</v>
      </c>
      <c r="AI1206" s="1172">
        <f t="shared" si="450"/>
        <v>0</v>
      </c>
      <c r="AJ1206" s="1172">
        <f t="shared" si="450"/>
        <v>0</v>
      </c>
      <c r="AK1206" s="1172">
        <f t="shared" si="450"/>
        <v>0</v>
      </c>
      <c r="AL1206" s="1172">
        <f t="shared" si="450"/>
        <v>0</v>
      </c>
      <c r="AM1206" s="1172">
        <f t="shared" si="450"/>
        <v>0</v>
      </c>
      <c r="AN1206" s="1172">
        <f t="shared" si="450"/>
        <v>0</v>
      </c>
      <c r="AO1206" s="1172">
        <f t="shared" si="450"/>
        <v>0</v>
      </c>
      <c r="AP1206" s="1172">
        <f t="shared" si="450"/>
        <v>0</v>
      </c>
      <c r="AQ1206" s="1618">
        <f t="shared" si="450"/>
        <v>0</v>
      </c>
    </row>
    <row r="1207" spans="1:47" ht="13.75" hidden="1" customHeight="1" x14ac:dyDescent="0.2">
      <c r="B1207" s="1586" t="str">
        <f t="shared" si="446"/>
        <v>Aplicar herbicida - Propia</v>
      </c>
      <c r="C1207" s="1187">
        <f t="shared" si="447"/>
        <v>1.5</v>
      </c>
      <c r="D1207" s="1183"/>
      <c r="E1207" s="372"/>
      <c r="F1207" s="193"/>
      <c r="G1207" s="193"/>
      <c r="H1207" s="193"/>
      <c r="I1207" s="1172">
        <f t="shared" si="451"/>
        <v>0</v>
      </c>
      <c r="J1207" s="1172">
        <f t="shared" si="448"/>
        <v>0</v>
      </c>
      <c r="K1207" s="1172">
        <f t="shared" si="448"/>
        <v>0</v>
      </c>
      <c r="L1207" s="1172">
        <f t="shared" si="448"/>
        <v>0</v>
      </c>
      <c r="M1207" s="1172">
        <f t="shared" si="448"/>
        <v>0</v>
      </c>
      <c r="N1207" s="1172">
        <f t="shared" si="448"/>
        <v>0</v>
      </c>
      <c r="O1207" s="1172">
        <f t="shared" si="448"/>
        <v>0</v>
      </c>
      <c r="P1207" s="1172">
        <f t="shared" si="448"/>
        <v>0</v>
      </c>
      <c r="Q1207" s="1172">
        <f t="shared" si="448"/>
        <v>0</v>
      </c>
      <c r="R1207" s="1172">
        <f t="shared" si="448"/>
        <v>0</v>
      </c>
      <c r="S1207" s="1172">
        <f t="shared" si="448"/>
        <v>0</v>
      </c>
      <c r="T1207" s="1618">
        <f t="shared" si="448"/>
        <v>0</v>
      </c>
      <c r="V1207" s="254"/>
      <c r="W1207" s="254"/>
      <c r="Y1207" s="1586" t="str">
        <f t="shared" si="449"/>
        <v>Aplicar herbicida - Propia</v>
      </c>
      <c r="Z1207" s="1187">
        <f t="shared" si="449"/>
        <v>1.5</v>
      </c>
      <c r="AA1207" s="1183"/>
      <c r="AB1207" s="372"/>
      <c r="AC1207" s="193"/>
      <c r="AD1207" s="193"/>
      <c r="AE1207" s="193"/>
      <c r="AF1207" s="1172">
        <f t="shared" si="452"/>
        <v>0</v>
      </c>
      <c r="AG1207" s="1172">
        <f t="shared" si="450"/>
        <v>0</v>
      </c>
      <c r="AH1207" s="1172">
        <f t="shared" si="450"/>
        <v>0</v>
      </c>
      <c r="AI1207" s="1172">
        <f t="shared" si="450"/>
        <v>0</v>
      </c>
      <c r="AJ1207" s="1172">
        <f t="shared" si="450"/>
        <v>0</v>
      </c>
      <c r="AK1207" s="1172">
        <f t="shared" si="450"/>
        <v>0</v>
      </c>
      <c r="AL1207" s="1172">
        <f t="shared" si="450"/>
        <v>0</v>
      </c>
      <c r="AM1207" s="1172">
        <f t="shared" si="450"/>
        <v>0</v>
      </c>
      <c r="AN1207" s="1172">
        <f t="shared" si="450"/>
        <v>0</v>
      </c>
      <c r="AO1207" s="1172">
        <f t="shared" si="450"/>
        <v>0</v>
      </c>
      <c r="AP1207" s="1172">
        <f t="shared" si="450"/>
        <v>0</v>
      </c>
      <c r="AQ1207" s="1618">
        <f t="shared" si="450"/>
        <v>0</v>
      </c>
    </row>
    <row r="1208" spans="1:47" ht="13.75" hidden="1" customHeight="1" x14ac:dyDescent="0.2">
      <c r="B1208" s="1586" t="str">
        <f t="shared" si="446"/>
        <v>Aplicar herbicida - Contratada</v>
      </c>
      <c r="C1208" s="1187">
        <f t="shared" si="447"/>
        <v>1.5</v>
      </c>
      <c r="D1208" s="1183"/>
      <c r="E1208" s="372"/>
      <c r="F1208" s="193"/>
      <c r="G1208" s="193"/>
      <c r="H1208" s="193"/>
      <c r="I1208" s="1172">
        <f t="shared" si="451"/>
        <v>0</v>
      </c>
      <c r="J1208" s="1172">
        <f t="shared" si="448"/>
        <v>0</v>
      </c>
      <c r="K1208" s="1172">
        <f t="shared" si="448"/>
        <v>0</v>
      </c>
      <c r="L1208" s="1172">
        <f t="shared" si="448"/>
        <v>0</v>
      </c>
      <c r="M1208" s="1172">
        <f t="shared" si="448"/>
        <v>0</v>
      </c>
      <c r="N1208" s="1172">
        <f t="shared" si="448"/>
        <v>0</v>
      </c>
      <c r="O1208" s="1172">
        <f t="shared" si="448"/>
        <v>0</v>
      </c>
      <c r="P1208" s="1172">
        <f t="shared" si="448"/>
        <v>0</v>
      </c>
      <c r="Q1208" s="1172">
        <f t="shared" si="448"/>
        <v>0</v>
      </c>
      <c r="R1208" s="1172">
        <f t="shared" si="448"/>
        <v>0</v>
      </c>
      <c r="S1208" s="1172">
        <f t="shared" si="448"/>
        <v>0</v>
      </c>
      <c r="T1208" s="1618">
        <f t="shared" si="448"/>
        <v>0</v>
      </c>
      <c r="V1208" s="254"/>
      <c r="W1208" s="254"/>
      <c r="Y1208" s="1586" t="str">
        <f t="shared" si="449"/>
        <v>Aplicar herbicida - Contratada</v>
      </c>
      <c r="Z1208" s="1187">
        <f t="shared" si="449"/>
        <v>1.5</v>
      </c>
      <c r="AA1208" s="1183"/>
      <c r="AB1208" s="372"/>
      <c r="AC1208" s="193"/>
      <c r="AD1208" s="193"/>
      <c r="AE1208" s="193"/>
      <c r="AF1208" s="1172">
        <f t="shared" si="452"/>
        <v>0</v>
      </c>
      <c r="AG1208" s="1172">
        <f t="shared" si="450"/>
        <v>0</v>
      </c>
      <c r="AH1208" s="1172">
        <f t="shared" si="450"/>
        <v>0</v>
      </c>
      <c r="AI1208" s="1172">
        <f t="shared" si="450"/>
        <v>0</v>
      </c>
      <c r="AJ1208" s="1172">
        <f t="shared" si="450"/>
        <v>0</v>
      </c>
      <c r="AK1208" s="1172">
        <f t="shared" si="450"/>
        <v>0</v>
      </c>
      <c r="AL1208" s="1172">
        <f t="shared" si="450"/>
        <v>0</v>
      </c>
      <c r="AM1208" s="1172">
        <f t="shared" si="450"/>
        <v>0</v>
      </c>
      <c r="AN1208" s="1172">
        <f t="shared" si="450"/>
        <v>0</v>
      </c>
      <c r="AO1208" s="1172">
        <f t="shared" si="450"/>
        <v>0</v>
      </c>
      <c r="AP1208" s="1172">
        <f t="shared" si="450"/>
        <v>0</v>
      </c>
      <c r="AQ1208" s="1618">
        <f t="shared" si="450"/>
        <v>0</v>
      </c>
    </row>
    <row r="1209" spans="1:47" ht="13.75" hidden="1" customHeight="1" x14ac:dyDescent="0.2">
      <c r="B1209" s="1586" t="str">
        <f t="shared" si="446"/>
        <v>Fertilizar - Propia</v>
      </c>
      <c r="C1209" s="1187">
        <f t="shared" si="447"/>
        <v>3</v>
      </c>
      <c r="D1209" s="1183"/>
      <c r="E1209" s="372"/>
      <c r="F1209" s="193"/>
      <c r="G1209" s="193"/>
      <c r="H1209" s="193"/>
      <c r="I1209" s="1172">
        <f t="shared" si="451"/>
        <v>0</v>
      </c>
      <c r="J1209" s="1172">
        <f t="shared" si="448"/>
        <v>0</v>
      </c>
      <c r="K1209" s="1172">
        <f t="shared" si="448"/>
        <v>0</v>
      </c>
      <c r="L1209" s="1172">
        <f t="shared" si="448"/>
        <v>0</v>
      </c>
      <c r="M1209" s="1172">
        <f t="shared" si="448"/>
        <v>0</v>
      </c>
      <c r="N1209" s="1172">
        <f t="shared" si="448"/>
        <v>0</v>
      </c>
      <c r="O1209" s="1172">
        <f t="shared" si="448"/>
        <v>0</v>
      </c>
      <c r="P1209" s="1172">
        <f t="shared" si="448"/>
        <v>0</v>
      </c>
      <c r="Q1209" s="1172">
        <f t="shared" si="448"/>
        <v>0</v>
      </c>
      <c r="R1209" s="1172">
        <f t="shared" si="448"/>
        <v>0</v>
      </c>
      <c r="S1209" s="1172">
        <f t="shared" si="448"/>
        <v>0</v>
      </c>
      <c r="T1209" s="1618">
        <f t="shared" si="448"/>
        <v>0</v>
      </c>
      <c r="V1209" s="254"/>
      <c r="W1209" s="254"/>
      <c r="Y1209" s="1586" t="str">
        <f t="shared" si="449"/>
        <v>Fertilizar - Propia</v>
      </c>
      <c r="Z1209" s="1187">
        <f t="shared" si="449"/>
        <v>3</v>
      </c>
      <c r="AA1209" s="1183"/>
      <c r="AB1209" s="372"/>
      <c r="AC1209" s="193"/>
      <c r="AD1209" s="193"/>
      <c r="AE1209" s="193"/>
      <c r="AF1209" s="1172">
        <f t="shared" si="452"/>
        <v>0</v>
      </c>
      <c r="AG1209" s="1172">
        <f t="shared" si="450"/>
        <v>0</v>
      </c>
      <c r="AH1209" s="1172">
        <f t="shared" si="450"/>
        <v>0</v>
      </c>
      <c r="AI1209" s="1172">
        <f t="shared" si="450"/>
        <v>0</v>
      </c>
      <c r="AJ1209" s="1172">
        <f t="shared" si="450"/>
        <v>0</v>
      </c>
      <c r="AK1209" s="1172">
        <f t="shared" si="450"/>
        <v>0</v>
      </c>
      <c r="AL1209" s="1172">
        <f t="shared" si="450"/>
        <v>0</v>
      </c>
      <c r="AM1209" s="1172">
        <f t="shared" si="450"/>
        <v>0</v>
      </c>
      <c r="AN1209" s="1172">
        <f t="shared" si="450"/>
        <v>0</v>
      </c>
      <c r="AO1209" s="1172">
        <f t="shared" si="450"/>
        <v>0</v>
      </c>
      <c r="AP1209" s="1172">
        <f t="shared" si="450"/>
        <v>0</v>
      </c>
      <c r="AQ1209" s="1618">
        <f t="shared" si="450"/>
        <v>0</v>
      </c>
    </row>
    <row r="1210" spans="1:47" ht="13.75" hidden="1" customHeight="1" x14ac:dyDescent="0.2">
      <c r="B1210" s="1586" t="str">
        <f t="shared" si="446"/>
        <v>Fertilizar - Contratada</v>
      </c>
      <c r="C1210" s="1187">
        <f t="shared" si="447"/>
        <v>3</v>
      </c>
      <c r="D1210" s="1183"/>
      <c r="E1210" s="372"/>
      <c r="F1210" s="193"/>
      <c r="G1210" s="193"/>
      <c r="H1210" s="193"/>
      <c r="I1210" s="1172">
        <f t="shared" si="451"/>
        <v>0</v>
      </c>
      <c r="J1210" s="1172">
        <f t="shared" si="448"/>
        <v>0</v>
      </c>
      <c r="K1210" s="1172">
        <f t="shared" si="448"/>
        <v>0</v>
      </c>
      <c r="L1210" s="1172">
        <f t="shared" si="448"/>
        <v>0</v>
      </c>
      <c r="M1210" s="1172">
        <f t="shared" si="448"/>
        <v>0</v>
      </c>
      <c r="N1210" s="1172">
        <f t="shared" si="448"/>
        <v>0</v>
      </c>
      <c r="O1210" s="1172">
        <f t="shared" si="448"/>
        <v>0</v>
      </c>
      <c r="P1210" s="1172">
        <f t="shared" si="448"/>
        <v>0</v>
      </c>
      <c r="Q1210" s="1172">
        <f t="shared" si="448"/>
        <v>0</v>
      </c>
      <c r="R1210" s="1172">
        <f t="shared" si="448"/>
        <v>0</v>
      </c>
      <c r="S1210" s="1172">
        <f t="shared" si="448"/>
        <v>0</v>
      </c>
      <c r="T1210" s="1618">
        <f t="shared" si="448"/>
        <v>0</v>
      </c>
      <c r="V1210" s="254"/>
      <c r="W1210" s="254"/>
      <c r="Y1210" s="1586" t="str">
        <f t="shared" si="449"/>
        <v>Fertilizar - Contratada</v>
      </c>
      <c r="Z1210" s="1187">
        <f t="shared" si="449"/>
        <v>3</v>
      </c>
      <c r="AA1210" s="1183"/>
      <c r="AB1210" s="372"/>
      <c r="AC1210" s="193"/>
      <c r="AD1210" s="193"/>
      <c r="AE1210" s="193"/>
      <c r="AF1210" s="1172">
        <f t="shared" si="452"/>
        <v>0</v>
      </c>
      <c r="AG1210" s="1172">
        <f t="shared" si="450"/>
        <v>0</v>
      </c>
      <c r="AH1210" s="1172">
        <f t="shared" si="450"/>
        <v>0</v>
      </c>
      <c r="AI1210" s="1172">
        <f t="shared" si="450"/>
        <v>0</v>
      </c>
      <c r="AJ1210" s="1172">
        <f t="shared" si="450"/>
        <v>0</v>
      </c>
      <c r="AK1210" s="1172">
        <f t="shared" si="450"/>
        <v>0</v>
      </c>
      <c r="AL1210" s="1172">
        <f t="shared" si="450"/>
        <v>0</v>
      </c>
      <c r="AM1210" s="1172">
        <f t="shared" si="450"/>
        <v>0</v>
      </c>
      <c r="AN1210" s="1172">
        <f t="shared" si="450"/>
        <v>0</v>
      </c>
      <c r="AO1210" s="1172">
        <f t="shared" si="450"/>
        <v>0</v>
      </c>
      <c r="AP1210" s="1172">
        <f t="shared" si="450"/>
        <v>0</v>
      </c>
      <c r="AQ1210" s="1618">
        <f t="shared" si="450"/>
        <v>0</v>
      </c>
    </row>
    <row r="1211" spans="1:47" ht="13.75" hidden="1" customHeight="1" x14ac:dyDescent="0.2">
      <c r="B1211" s="1586" t="str">
        <f t="shared" si="446"/>
        <v>Siembra Maíz - Contratada</v>
      </c>
      <c r="C1211" s="1187">
        <f t="shared" si="447"/>
        <v>9</v>
      </c>
      <c r="D1211" s="1183"/>
      <c r="E1211" s="372"/>
      <c r="F1211" s="193"/>
      <c r="G1211" s="193"/>
      <c r="H1211" s="193"/>
      <c r="I1211" s="1172">
        <f t="shared" si="451"/>
        <v>0</v>
      </c>
      <c r="J1211" s="1172">
        <f t="shared" si="448"/>
        <v>0</v>
      </c>
      <c r="K1211" s="1172">
        <f t="shared" si="448"/>
        <v>0</v>
      </c>
      <c r="L1211" s="1172">
        <f t="shared" si="448"/>
        <v>0</v>
      </c>
      <c r="M1211" s="1172">
        <f t="shared" si="448"/>
        <v>0</v>
      </c>
      <c r="N1211" s="1172">
        <f t="shared" si="448"/>
        <v>0</v>
      </c>
      <c r="O1211" s="1172">
        <f t="shared" si="448"/>
        <v>0</v>
      </c>
      <c r="P1211" s="1172">
        <f t="shared" si="448"/>
        <v>0</v>
      </c>
      <c r="Q1211" s="1172">
        <f t="shared" si="448"/>
        <v>0</v>
      </c>
      <c r="R1211" s="1172">
        <f t="shared" si="448"/>
        <v>0</v>
      </c>
      <c r="S1211" s="1172">
        <f t="shared" si="448"/>
        <v>0</v>
      </c>
      <c r="T1211" s="1618">
        <f t="shared" si="448"/>
        <v>0</v>
      </c>
      <c r="V1211" s="254"/>
      <c r="W1211" s="254"/>
      <c r="Y1211" s="1586" t="str">
        <f t="shared" si="449"/>
        <v>Siembra Maíz - Contratada</v>
      </c>
      <c r="Z1211" s="1187">
        <f t="shared" si="449"/>
        <v>9</v>
      </c>
      <c r="AA1211" s="1183"/>
      <c r="AB1211" s="372"/>
      <c r="AC1211" s="193"/>
      <c r="AD1211" s="193"/>
      <c r="AE1211" s="193"/>
      <c r="AF1211" s="1172">
        <f t="shared" si="452"/>
        <v>0</v>
      </c>
      <c r="AG1211" s="1172">
        <f t="shared" si="450"/>
        <v>0</v>
      </c>
      <c r="AH1211" s="1172">
        <f t="shared" si="450"/>
        <v>0</v>
      </c>
      <c r="AI1211" s="1172">
        <f t="shared" si="450"/>
        <v>0</v>
      </c>
      <c r="AJ1211" s="1172">
        <f t="shared" si="450"/>
        <v>0</v>
      </c>
      <c r="AK1211" s="1172">
        <f t="shared" si="450"/>
        <v>0</v>
      </c>
      <c r="AL1211" s="1172">
        <f t="shared" si="450"/>
        <v>0</v>
      </c>
      <c r="AM1211" s="1172">
        <f t="shared" si="450"/>
        <v>0</v>
      </c>
      <c r="AN1211" s="1172">
        <f t="shared" si="450"/>
        <v>0</v>
      </c>
      <c r="AO1211" s="1172">
        <f t="shared" si="450"/>
        <v>0</v>
      </c>
      <c r="AP1211" s="1172">
        <f t="shared" si="450"/>
        <v>0</v>
      </c>
      <c r="AQ1211" s="1618">
        <f t="shared" si="450"/>
        <v>0</v>
      </c>
    </row>
    <row r="1212" spans="1:47" ht="13.75" hidden="1" customHeight="1" x14ac:dyDescent="0.2">
      <c r="B1212" s="1586">
        <f t="shared" si="446"/>
        <v>0</v>
      </c>
      <c r="C1212" s="1187">
        <f t="shared" si="447"/>
        <v>0</v>
      </c>
      <c r="D1212" s="1183"/>
      <c r="E1212" s="372"/>
      <c r="F1212" s="193"/>
      <c r="G1212" s="193"/>
      <c r="H1212" s="193"/>
      <c r="I1212" s="1172">
        <f t="shared" si="451"/>
        <v>0</v>
      </c>
      <c r="J1212" s="1172">
        <f t="shared" si="448"/>
        <v>0</v>
      </c>
      <c r="K1212" s="1172">
        <f t="shared" si="448"/>
        <v>0</v>
      </c>
      <c r="L1212" s="1172">
        <f t="shared" si="448"/>
        <v>0</v>
      </c>
      <c r="M1212" s="1172">
        <f t="shared" si="448"/>
        <v>0</v>
      </c>
      <c r="N1212" s="1172">
        <f t="shared" si="448"/>
        <v>0</v>
      </c>
      <c r="O1212" s="1172">
        <f t="shared" si="448"/>
        <v>0</v>
      </c>
      <c r="P1212" s="1172">
        <f t="shared" si="448"/>
        <v>0</v>
      </c>
      <c r="Q1212" s="1172">
        <f t="shared" si="448"/>
        <v>0</v>
      </c>
      <c r="R1212" s="1172">
        <f t="shared" si="448"/>
        <v>0</v>
      </c>
      <c r="S1212" s="1172">
        <f t="shared" si="448"/>
        <v>0</v>
      </c>
      <c r="T1212" s="1618">
        <f t="shared" si="448"/>
        <v>0</v>
      </c>
      <c r="V1212" s="254"/>
      <c r="W1212" s="254"/>
      <c r="Y1212" s="1586">
        <f t="shared" si="449"/>
        <v>0</v>
      </c>
      <c r="Z1212" s="1187">
        <f t="shared" si="449"/>
        <v>0</v>
      </c>
      <c r="AA1212" s="1183"/>
      <c r="AB1212" s="372"/>
      <c r="AC1212" s="193"/>
      <c r="AD1212" s="193"/>
      <c r="AE1212" s="193"/>
      <c r="AF1212" s="1172">
        <f t="shared" si="452"/>
        <v>0</v>
      </c>
      <c r="AG1212" s="1172">
        <f t="shared" si="450"/>
        <v>0</v>
      </c>
      <c r="AH1212" s="1172">
        <f t="shared" si="450"/>
        <v>0</v>
      </c>
      <c r="AI1212" s="1172">
        <f t="shared" si="450"/>
        <v>0</v>
      </c>
      <c r="AJ1212" s="1172">
        <f t="shared" si="450"/>
        <v>0</v>
      </c>
      <c r="AK1212" s="1172">
        <f t="shared" si="450"/>
        <v>0</v>
      </c>
      <c r="AL1212" s="1172">
        <f t="shared" si="450"/>
        <v>0</v>
      </c>
      <c r="AM1212" s="1172">
        <f t="shared" si="450"/>
        <v>0</v>
      </c>
      <c r="AN1212" s="1172">
        <f t="shared" si="450"/>
        <v>0</v>
      </c>
      <c r="AO1212" s="1172">
        <f t="shared" si="450"/>
        <v>0</v>
      </c>
      <c r="AP1212" s="1172">
        <f t="shared" si="450"/>
        <v>0</v>
      </c>
      <c r="AQ1212" s="1618">
        <f t="shared" si="450"/>
        <v>0</v>
      </c>
    </row>
    <row r="1213" spans="1:47" ht="13.75" hidden="1" customHeight="1" x14ac:dyDescent="0.2">
      <c r="B1213" s="1586">
        <f t="shared" si="446"/>
        <v>0</v>
      </c>
      <c r="C1213" s="1187">
        <f t="shared" si="447"/>
        <v>0</v>
      </c>
      <c r="D1213" s="1183"/>
      <c r="E1213" s="372"/>
      <c r="F1213" s="193"/>
      <c r="G1213" s="193"/>
      <c r="H1213" s="193"/>
      <c r="I1213" s="1172">
        <f t="shared" si="451"/>
        <v>0</v>
      </c>
      <c r="J1213" s="1172">
        <f t="shared" si="448"/>
        <v>0</v>
      </c>
      <c r="K1213" s="1172">
        <f t="shared" si="448"/>
        <v>0</v>
      </c>
      <c r="L1213" s="1172">
        <f t="shared" ref="J1213:T1232" si="453">SUMIF($V$44:$V$1152,$B1213&amp;"contratada",L$44:L$1152)</f>
        <v>0</v>
      </c>
      <c r="M1213" s="1172">
        <f t="shared" si="453"/>
        <v>0</v>
      </c>
      <c r="N1213" s="1172">
        <f t="shared" si="453"/>
        <v>0</v>
      </c>
      <c r="O1213" s="1172">
        <f t="shared" si="453"/>
        <v>0</v>
      </c>
      <c r="P1213" s="1172">
        <f t="shared" si="453"/>
        <v>0</v>
      </c>
      <c r="Q1213" s="1172">
        <f t="shared" si="453"/>
        <v>0</v>
      </c>
      <c r="R1213" s="1172">
        <f t="shared" si="453"/>
        <v>0</v>
      </c>
      <c r="S1213" s="1172">
        <f t="shared" si="453"/>
        <v>0</v>
      </c>
      <c r="T1213" s="1618">
        <f t="shared" si="453"/>
        <v>0</v>
      </c>
      <c r="V1213" s="254"/>
      <c r="W1213" s="254"/>
      <c r="Y1213" s="1586">
        <f t="shared" si="449"/>
        <v>0</v>
      </c>
      <c r="Z1213" s="1187">
        <f t="shared" si="449"/>
        <v>0</v>
      </c>
      <c r="AA1213" s="1183"/>
      <c r="AB1213" s="372"/>
      <c r="AC1213" s="193"/>
      <c r="AD1213" s="193"/>
      <c r="AE1213" s="193"/>
      <c r="AF1213" s="1172">
        <f t="shared" si="452"/>
        <v>0</v>
      </c>
      <c r="AG1213" s="1172">
        <f t="shared" si="450"/>
        <v>0</v>
      </c>
      <c r="AH1213" s="1172">
        <f t="shared" si="450"/>
        <v>0</v>
      </c>
      <c r="AI1213" s="1172">
        <f t="shared" ref="AG1213:AQ1232" si="454">SUMIF($AS$45:$AS$1152,$B1213&amp;"contratada",AI$45:AI$1152)</f>
        <v>0</v>
      </c>
      <c r="AJ1213" s="1172">
        <f t="shared" si="454"/>
        <v>0</v>
      </c>
      <c r="AK1213" s="1172">
        <f t="shared" si="454"/>
        <v>0</v>
      </c>
      <c r="AL1213" s="1172">
        <f t="shared" si="454"/>
        <v>0</v>
      </c>
      <c r="AM1213" s="1172">
        <f t="shared" si="454"/>
        <v>0</v>
      </c>
      <c r="AN1213" s="1172">
        <f t="shared" si="454"/>
        <v>0</v>
      </c>
      <c r="AO1213" s="1172">
        <f t="shared" si="454"/>
        <v>0</v>
      </c>
      <c r="AP1213" s="1172">
        <f t="shared" si="454"/>
        <v>0</v>
      </c>
      <c r="AQ1213" s="1618">
        <f t="shared" si="454"/>
        <v>0</v>
      </c>
    </row>
    <row r="1214" spans="1:47" ht="13.75" hidden="1" customHeight="1" x14ac:dyDescent="0.2">
      <c r="B1214" s="1586">
        <f t="shared" si="446"/>
        <v>0</v>
      </c>
      <c r="C1214" s="1187">
        <f t="shared" si="447"/>
        <v>0</v>
      </c>
      <c r="D1214" s="1183"/>
      <c r="E1214" s="372"/>
      <c r="F1214" s="193"/>
      <c r="G1214" s="193"/>
      <c r="H1214" s="193"/>
      <c r="I1214" s="1172">
        <f t="shared" si="451"/>
        <v>0</v>
      </c>
      <c r="J1214" s="1172">
        <f t="shared" si="453"/>
        <v>0</v>
      </c>
      <c r="K1214" s="1172">
        <f t="shared" si="453"/>
        <v>0</v>
      </c>
      <c r="L1214" s="1172">
        <f t="shared" si="453"/>
        <v>0</v>
      </c>
      <c r="M1214" s="1172">
        <f t="shared" si="453"/>
        <v>0</v>
      </c>
      <c r="N1214" s="1172">
        <f t="shared" si="453"/>
        <v>0</v>
      </c>
      <c r="O1214" s="1172">
        <f t="shared" si="453"/>
        <v>0</v>
      </c>
      <c r="P1214" s="1172">
        <f t="shared" si="453"/>
        <v>0</v>
      </c>
      <c r="Q1214" s="1172">
        <f t="shared" si="453"/>
        <v>0</v>
      </c>
      <c r="R1214" s="1172">
        <f t="shared" si="453"/>
        <v>0</v>
      </c>
      <c r="S1214" s="1172">
        <f t="shared" si="453"/>
        <v>0</v>
      </c>
      <c r="T1214" s="1618">
        <f t="shared" si="453"/>
        <v>0</v>
      </c>
      <c r="V1214" s="254"/>
      <c r="W1214" s="254"/>
      <c r="Y1214" s="1586">
        <f t="shared" si="449"/>
        <v>0</v>
      </c>
      <c r="Z1214" s="1187">
        <f t="shared" si="449"/>
        <v>0</v>
      </c>
      <c r="AA1214" s="1183"/>
      <c r="AB1214" s="372"/>
      <c r="AC1214" s="193"/>
      <c r="AD1214" s="193"/>
      <c r="AE1214" s="193"/>
      <c r="AF1214" s="1172">
        <f t="shared" si="452"/>
        <v>0</v>
      </c>
      <c r="AG1214" s="1172">
        <f t="shared" si="454"/>
        <v>0</v>
      </c>
      <c r="AH1214" s="1172">
        <f t="shared" si="454"/>
        <v>0</v>
      </c>
      <c r="AI1214" s="1172">
        <f t="shared" si="454"/>
        <v>0</v>
      </c>
      <c r="AJ1214" s="1172">
        <f t="shared" si="454"/>
        <v>0</v>
      </c>
      <c r="AK1214" s="1172">
        <f t="shared" si="454"/>
        <v>0</v>
      </c>
      <c r="AL1214" s="1172">
        <f t="shared" si="454"/>
        <v>0</v>
      </c>
      <c r="AM1214" s="1172">
        <f t="shared" si="454"/>
        <v>0</v>
      </c>
      <c r="AN1214" s="1172">
        <f t="shared" si="454"/>
        <v>0</v>
      </c>
      <c r="AO1214" s="1172">
        <f t="shared" si="454"/>
        <v>0</v>
      </c>
      <c r="AP1214" s="1172">
        <f t="shared" si="454"/>
        <v>0</v>
      </c>
      <c r="AQ1214" s="1618">
        <f t="shared" si="454"/>
        <v>0</v>
      </c>
    </row>
    <row r="1215" spans="1:47" ht="13.75" hidden="1" customHeight="1" x14ac:dyDescent="0.2">
      <c r="B1215" s="1586">
        <f t="shared" si="446"/>
        <v>0</v>
      </c>
      <c r="C1215" s="1187">
        <f t="shared" si="447"/>
        <v>0</v>
      </c>
      <c r="D1215" s="1183"/>
      <c r="E1215" s="372"/>
      <c r="F1215" s="193"/>
      <c r="G1215" s="193"/>
      <c r="H1215" s="193"/>
      <c r="I1215" s="1172">
        <f t="shared" si="451"/>
        <v>0</v>
      </c>
      <c r="J1215" s="1172">
        <f t="shared" si="453"/>
        <v>0</v>
      </c>
      <c r="K1215" s="1172">
        <f t="shared" si="453"/>
        <v>0</v>
      </c>
      <c r="L1215" s="1172">
        <f t="shared" si="453"/>
        <v>0</v>
      </c>
      <c r="M1215" s="1172">
        <f t="shared" si="453"/>
        <v>0</v>
      </c>
      <c r="N1215" s="1172">
        <f t="shared" si="453"/>
        <v>0</v>
      </c>
      <c r="O1215" s="1172">
        <f t="shared" si="453"/>
        <v>0</v>
      </c>
      <c r="P1215" s="1172">
        <f t="shared" si="453"/>
        <v>0</v>
      </c>
      <c r="Q1215" s="1172">
        <f t="shared" si="453"/>
        <v>0</v>
      </c>
      <c r="R1215" s="1172">
        <f t="shared" si="453"/>
        <v>0</v>
      </c>
      <c r="S1215" s="1172">
        <f t="shared" si="453"/>
        <v>0</v>
      </c>
      <c r="T1215" s="1618">
        <f t="shared" si="453"/>
        <v>0</v>
      </c>
      <c r="V1215" s="254"/>
      <c r="W1215" s="254"/>
      <c r="Y1215" s="1586">
        <f t="shared" si="449"/>
        <v>0</v>
      </c>
      <c r="Z1215" s="1187">
        <f t="shared" si="449"/>
        <v>0</v>
      </c>
      <c r="AA1215" s="1183"/>
      <c r="AB1215" s="372"/>
      <c r="AC1215" s="193"/>
      <c r="AD1215" s="193"/>
      <c r="AE1215" s="193"/>
      <c r="AF1215" s="1172">
        <f t="shared" si="452"/>
        <v>0</v>
      </c>
      <c r="AG1215" s="1172">
        <f t="shared" si="454"/>
        <v>0</v>
      </c>
      <c r="AH1215" s="1172">
        <f t="shared" si="454"/>
        <v>0</v>
      </c>
      <c r="AI1215" s="1172">
        <f t="shared" si="454"/>
        <v>0</v>
      </c>
      <c r="AJ1215" s="1172">
        <f t="shared" si="454"/>
        <v>0</v>
      </c>
      <c r="AK1215" s="1172">
        <f t="shared" si="454"/>
        <v>0</v>
      </c>
      <c r="AL1215" s="1172">
        <f t="shared" si="454"/>
        <v>0</v>
      </c>
      <c r="AM1215" s="1172">
        <f t="shared" si="454"/>
        <v>0</v>
      </c>
      <c r="AN1215" s="1172">
        <f t="shared" si="454"/>
        <v>0</v>
      </c>
      <c r="AO1215" s="1172">
        <f t="shared" si="454"/>
        <v>0</v>
      </c>
      <c r="AP1215" s="1172">
        <f t="shared" si="454"/>
        <v>0</v>
      </c>
      <c r="AQ1215" s="1618">
        <f t="shared" si="454"/>
        <v>0</v>
      </c>
    </row>
    <row r="1216" spans="1:47" ht="13.75" hidden="1" customHeight="1" x14ac:dyDescent="0.2">
      <c r="B1216" s="1586">
        <f t="shared" si="446"/>
        <v>0</v>
      </c>
      <c r="C1216" s="1187">
        <f t="shared" si="447"/>
        <v>0</v>
      </c>
      <c r="D1216" s="1183"/>
      <c r="E1216" s="372"/>
      <c r="F1216" s="193"/>
      <c r="G1216" s="193"/>
      <c r="H1216" s="193"/>
      <c r="I1216" s="1172">
        <f t="shared" si="451"/>
        <v>0</v>
      </c>
      <c r="J1216" s="1172">
        <f t="shared" si="453"/>
        <v>0</v>
      </c>
      <c r="K1216" s="1172">
        <f t="shared" si="453"/>
        <v>0</v>
      </c>
      <c r="L1216" s="1172">
        <f t="shared" si="453"/>
        <v>0</v>
      </c>
      <c r="M1216" s="1172">
        <f t="shared" si="453"/>
        <v>0</v>
      </c>
      <c r="N1216" s="1172">
        <f t="shared" si="453"/>
        <v>0</v>
      </c>
      <c r="O1216" s="1172">
        <f t="shared" si="453"/>
        <v>0</v>
      </c>
      <c r="P1216" s="1172">
        <f t="shared" si="453"/>
        <v>0</v>
      </c>
      <c r="Q1216" s="1172">
        <f t="shared" si="453"/>
        <v>0</v>
      </c>
      <c r="R1216" s="1172">
        <f t="shared" si="453"/>
        <v>0</v>
      </c>
      <c r="S1216" s="1172">
        <f t="shared" si="453"/>
        <v>0</v>
      </c>
      <c r="T1216" s="1618">
        <f t="shared" si="453"/>
        <v>0</v>
      </c>
      <c r="V1216" s="254"/>
      <c r="W1216" s="254"/>
      <c r="Y1216" s="1586">
        <f t="shared" si="449"/>
        <v>0</v>
      </c>
      <c r="Z1216" s="1187">
        <f t="shared" si="449"/>
        <v>0</v>
      </c>
      <c r="AA1216" s="1183"/>
      <c r="AB1216" s="372"/>
      <c r="AC1216" s="193"/>
      <c r="AD1216" s="193"/>
      <c r="AE1216" s="193"/>
      <c r="AF1216" s="1172">
        <f t="shared" si="452"/>
        <v>0</v>
      </c>
      <c r="AG1216" s="1172">
        <f t="shared" si="454"/>
        <v>0</v>
      </c>
      <c r="AH1216" s="1172">
        <f t="shared" si="454"/>
        <v>0</v>
      </c>
      <c r="AI1216" s="1172">
        <f t="shared" si="454"/>
        <v>0</v>
      </c>
      <c r="AJ1216" s="1172">
        <f t="shared" si="454"/>
        <v>0</v>
      </c>
      <c r="AK1216" s="1172">
        <f t="shared" si="454"/>
        <v>0</v>
      </c>
      <c r="AL1216" s="1172">
        <f t="shared" si="454"/>
        <v>0</v>
      </c>
      <c r="AM1216" s="1172">
        <f t="shared" si="454"/>
        <v>0</v>
      </c>
      <c r="AN1216" s="1172">
        <f t="shared" si="454"/>
        <v>0</v>
      </c>
      <c r="AO1216" s="1172">
        <f t="shared" si="454"/>
        <v>0</v>
      </c>
      <c r="AP1216" s="1172">
        <f t="shared" si="454"/>
        <v>0</v>
      </c>
      <c r="AQ1216" s="1618">
        <f t="shared" si="454"/>
        <v>0</v>
      </c>
    </row>
    <row r="1217" spans="2:43" ht="13.75" hidden="1" customHeight="1" x14ac:dyDescent="0.2">
      <c r="B1217" s="1586">
        <f t="shared" si="446"/>
        <v>0</v>
      </c>
      <c r="C1217" s="1187">
        <f t="shared" si="447"/>
        <v>0</v>
      </c>
      <c r="D1217" s="1183"/>
      <c r="E1217" s="372"/>
      <c r="F1217" s="193"/>
      <c r="G1217" s="193"/>
      <c r="H1217" s="193"/>
      <c r="I1217" s="1172">
        <f t="shared" si="451"/>
        <v>0</v>
      </c>
      <c r="J1217" s="1172">
        <f t="shared" si="453"/>
        <v>0</v>
      </c>
      <c r="K1217" s="1172">
        <f t="shared" si="453"/>
        <v>0</v>
      </c>
      <c r="L1217" s="1172">
        <f t="shared" si="453"/>
        <v>0</v>
      </c>
      <c r="M1217" s="1172">
        <f t="shared" si="453"/>
        <v>0</v>
      </c>
      <c r="N1217" s="1172">
        <f t="shared" si="453"/>
        <v>0</v>
      </c>
      <c r="O1217" s="1172">
        <f t="shared" si="453"/>
        <v>0</v>
      </c>
      <c r="P1217" s="1172">
        <f t="shared" si="453"/>
        <v>0</v>
      </c>
      <c r="Q1217" s="1172">
        <f t="shared" si="453"/>
        <v>0</v>
      </c>
      <c r="R1217" s="1172">
        <f t="shared" si="453"/>
        <v>0</v>
      </c>
      <c r="S1217" s="1172">
        <f t="shared" si="453"/>
        <v>0</v>
      </c>
      <c r="T1217" s="1618">
        <f t="shared" si="453"/>
        <v>0</v>
      </c>
      <c r="V1217" s="254"/>
      <c r="W1217" s="254"/>
      <c r="Y1217" s="1586">
        <f t="shared" si="449"/>
        <v>0</v>
      </c>
      <c r="Z1217" s="1187">
        <f t="shared" si="449"/>
        <v>0</v>
      </c>
      <c r="AA1217" s="1183"/>
      <c r="AB1217" s="372"/>
      <c r="AC1217" s="193"/>
      <c r="AD1217" s="193"/>
      <c r="AE1217" s="193"/>
      <c r="AF1217" s="1172">
        <f t="shared" si="452"/>
        <v>0</v>
      </c>
      <c r="AG1217" s="1172">
        <f t="shared" si="454"/>
        <v>0</v>
      </c>
      <c r="AH1217" s="1172">
        <f t="shared" si="454"/>
        <v>0</v>
      </c>
      <c r="AI1217" s="1172">
        <f t="shared" si="454"/>
        <v>0</v>
      </c>
      <c r="AJ1217" s="1172">
        <f t="shared" si="454"/>
        <v>0</v>
      </c>
      <c r="AK1217" s="1172">
        <f t="shared" si="454"/>
        <v>0</v>
      </c>
      <c r="AL1217" s="1172">
        <f t="shared" si="454"/>
        <v>0</v>
      </c>
      <c r="AM1217" s="1172">
        <f t="shared" si="454"/>
        <v>0</v>
      </c>
      <c r="AN1217" s="1172">
        <f t="shared" si="454"/>
        <v>0</v>
      </c>
      <c r="AO1217" s="1172">
        <f t="shared" si="454"/>
        <v>0</v>
      </c>
      <c r="AP1217" s="1172">
        <f t="shared" si="454"/>
        <v>0</v>
      </c>
      <c r="AQ1217" s="1618">
        <f t="shared" si="454"/>
        <v>0</v>
      </c>
    </row>
    <row r="1218" spans="2:43" ht="13.75" hidden="1" customHeight="1" x14ac:dyDescent="0.2">
      <c r="B1218" s="1586">
        <f t="shared" si="446"/>
        <v>0</v>
      </c>
      <c r="C1218" s="1187">
        <f t="shared" si="447"/>
        <v>0</v>
      </c>
      <c r="D1218" s="1183"/>
      <c r="E1218" s="372"/>
      <c r="F1218" s="193"/>
      <c r="G1218" s="193"/>
      <c r="H1218" s="193"/>
      <c r="I1218" s="1172">
        <f t="shared" si="451"/>
        <v>0</v>
      </c>
      <c r="J1218" s="1172">
        <f t="shared" si="453"/>
        <v>0</v>
      </c>
      <c r="K1218" s="1172">
        <f t="shared" si="453"/>
        <v>0</v>
      </c>
      <c r="L1218" s="1172">
        <f t="shared" si="453"/>
        <v>0</v>
      </c>
      <c r="M1218" s="1172">
        <f t="shared" si="453"/>
        <v>0</v>
      </c>
      <c r="N1218" s="1172">
        <f t="shared" si="453"/>
        <v>0</v>
      </c>
      <c r="O1218" s="1172">
        <f t="shared" si="453"/>
        <v>0</v>
      </c>
      <c r="P1218" s="1172">
        <f t="shared" si="453"/>
        <v>0</v>
      </c>
      <c r="Q1218" s="1172">
        <f t="shared" si="453"/>
        <v>0</v>
      </c>
      <c r="R1218" s="1172">
        <f t="shared" si="453"/>
        <v>0</v>
      </c>
      <c r="S1218" s="1172">
        <f t="shared" si="453"/>
        <v>0</v>
      </c>
      <c r="T1218" s="1618">
        <f t="shared" si="453"/>
        <v>0</v>
      </c>
      <c r="V1218" s="254"/>
      <c r="W1218" s="254"/>
      <c r="Y1218" s="1586">
        <f t="shared" si="449"/>
        <v>0</v>
      </c>
      <c r="Z1218" s="1187">
        <f t="shared" si="449"/>
        <v>0</v>
      </c>
      <c r="AA1218" s="1183"/>
      <c r="AB1218" s="372"/>
      <c r="AC1218" s="193"/>
      <c r="AD1218" s="193"/>
      <c r="AE1218" s="193"/>
      <c r="AF1218" s="1172">
        <f t="shared" si="452"/>
        <v>0</v>
      </c>
      <c r="AG1218" s="1172">
        <f t="shared" si="454"/>
        <v>0</v>
      </c>
      <c r="AH1218" s="1172">
        <f t="shared" si="454"/>
        <v>0</v>
      </c>
      <c r="AI1218" s="1172">
        <f t="shared" si="454"/>
        <v>0</v>
      </c>
      <c r="AJ1218" s="1172">
        <f t="shared" si="454"/>
        <v>0</v>
      </c>
      <c r="AK1218" s="1172">
        <f t="shared" si="454"/>
        <v>0</v>
      </c>
      <c r="AL1218" s="1172">
        <f t="shared" si="454"/>
        <v>0</v>
      </c>
      <c r="AM1218" s="1172">
        <f t="shared" si="454"/>
        <v>0</v>
      </c>
      <c r="AN1218" s="1172">
        <f t="shared" si="454"/>
        <v>0</v>
      </c>
      <c r="AO1218" s="1172">
        <f t="shared" si="454"/>
        <v>0</v>
      </c>
      <c r="AP1218" s="1172">
        <f t="shared" si="454"/>
        <v>0</v>
      </c>
      <c r="AQ1218" s="1618">
        <f t="shared" si="454"/>
        <v>0</v>
      </c>
    </row>
    <row r="1219" spans="2:43" ht="13.75" hidden="1" customHeight="1" x14ac:dyDescent="0.2">
      <c r="B1219" s="1586" t="str">
        <f t="shared" si="446"/>
        <v>Cosechar cultivos de invierno contratada</v>
      </c>
      <c r="C1219" s="1187">
        <f t="shared" si="447"/>
        <v>12</v>
      </c>
      <c r="D1219" s="1183"/>
      <c r="E1219" s="372"/>
      <c r="F1219" s="193"/>
      <c r="G1219" s="193"/>
      <c r="H1219" s="193"/>
      <c r="I1219" s="1172">
        <f t="shared" si="451"/>
        <v>0</v>
      </c>
      <c r="J1219" s="1172">
        <f t="shared" si="453"/>
        <v>0</v>
      </c>
      <c r="K1219" s="1172">
        <f t="shared" si="453"/>
        <v>0</v>
      </c>
      <c r="L1219" s="1172">
        <f t="shared" si="453"/>
        <v>0</v>
      </c>
      <c r="M1219" s="1172">
        <f t="shared" si="453"/>
        <v>0</v>
      </c>
      <c r="N1219" s="1172">
        <f t="shared" si="453"/>
        <v>0</v>
      </c>
      <c r="O1219" s="1172">
        <f t="shared" si="453"/>
        <v>0</v>
      </c>
      <c r="P1219" s="1172">
        <f t="shared" si="453"/>
        <v>0</v>
      </c>
      <c r="Q1219" s="1172">
        <f t="shared" si="453"/>
        <v>0</v>
      </c>
      <c r="R1219" s="1172">
        <f t="shared" si="453"/>
        <v>0</v>
      </c>
      <c r="S1219" s="1172">
        <f t="shared" si="453"/>
        <v>0</v>
      </c>
      <c r="T1219" s="1618">
        <f t="shared" si="453"/>
        <v>0</v>
      </c>
      <c r="V1219" s="254"/>
      <c r="W1219" s="254"/>
      <c r="Y1219" s="1586" t="str">
        <f t="shared" si="449"/>
        <v>Cosechar cultivos de invierno contratada</v>
      </c>
      <c r="Z1219" s="1187">
        <f t="shared" si="449"/>
        <v>12</v>
      </c>
      <c r="AA1219" s="1183"/>
      <c r="AB1219" s="372"/>
      <c r="AC1219" s="193"/>
      <c r="AD1219" s="193"/>
      <c r="AE1219" s="193"/>
      <c r="AF1219" s="1172">
        <f t="shared" si="452"/>
        <v>0</v>
      </c>
      <c r="AG1219" s="1172">
        <f t="shared" si="454"/>
        <v>0</v>
      </c>
      <c r="AH1219" s="1172">
        <f t="shared" si="454"/>
        <v>0</v>
      </c>
      <c r="AI1219" s="1172">
        <f t="shared" si="454"/>
        <v>0</v>
      </c>
      <c r="AJ1219" s="1172">
        <f t="shared" si="454"/>
        <v>0</v>
      </c>
      <c r="AK1219" s="1172">
        <f t="shared" si="454"/>
        <v>0</v>
      </c>
      <c r="AL1219" s="1172">
        <f t="shared" si="454"/>
        <v>0</v>
      </c>
      <c r="AM1219" s="1172">
        <f t="shared" si="454"/>
        <v>0</v>
      </c>
      <c r="AN1219" s="1172">
        <f t="shared" si="454"/>
        <v>0</v>
      </c>
      <c r="AO1219" s="1172">
        <f t="shared" si="454"/>
        <v>0</v>
      </c>
      <c r="AP1219" s="1172">
        <f t="shared" si="454"/>
        <v>0</v>
      </c>
      <c r="AQ1219" s="1618">
        <f t="shared" si="454"/>
        <v>0</v>
      </c>
    </row>
    <row r="1220" spans="2:43" ht="13.75" hidden="1" customHeight="1" x14ac:dyDescent="0.2">
      <c r="B1220" s="1586" t="str">
        <f t="shared" si="446"/>
        <v>Cosechar cultivos de verano contratada</v>
      </c>
      <c r="C1220" s="1187">
        <f t="shared" si="447"/>
        <v>17</v>
      </c>
      <c r="D1220" s="1183"/>
      <c r="E1220" s="372"/>
      <c r="F1220" s="193"/>
      <c r="G1220" s="193"/>
      <c r="H1220" s="193"/>
      <c r="I1220" s="1172">
        <f t="shared" si="451"/>
        <v>0</v>
      </c>
      <c r="J1220" s="1172">
        <f t="shared" si="453"/>
        <v>0</v>
      </c>
      <c r="K1220" s="1172">
        <f t="shared" si="453"/>
        <v>0</v>
      </c>
      <c r="L1220" s="1172">
        <f t="shared" si="453"/>
        <v>0</v>
      </c>
      <c r="M1220" s="1172">
        <f t="shared" si="453"/>
        <v>0</v>
      </c>
      <c r="N1220" s="1172">
        <f t="shared" si="453"/>
        <v>0</v>
      </c>
      <c r="O1220" s="1172">
        <f t="shared" si="453"/>
        <v>0</v>
      </c>
      <c r="P1220" s="1172">
        <f t="shared" si="453"/>
        <v>0</v>
      </c>
      <c r="Q1220" s="1172">
        <f t="shared" si="453"/>
        <v>0</v>
      </c>
      <c r="R1220" s="1172">
        <f t="shared" si="453"/>
        <v>0</v>
      </c>
      <c r="S1220" s="1172">
        <f t="shared" si="453"/>
        <v>0</v>
      </c>
      <c r="T1220" s="1618">
        <f t="shared" si="453"/>
        <v>0</v>
      </c>
      <c r="V1220" s="254"/>
      <c r="W1220" s="254"/>
      <c r="Y1220" s="1586" t="str">
        <f t="shared" si="449"/>
        <v>Cosechar cultivos de verano contratada</v>
      </c>
      <c r="Z1220" s="1187">
        <f t="shared" si="449"/>
        <v>17</v>
      </c>
      <c r="AA1220" s="1183"/>
      <c r="AB1220" s="372"/>
      <c r="AC1220" s="193"/>
      <c r="AD1220" s="193"/>
      <c r="AE1220" s="193"/>
      <c r="AF1220" s="1172">
        <f t="shared" si="452"/>
        <v>0</v>
      </c>
      <c r="AG1220" s="1172">
        <f t="shared" si="454"/>
        <v>0</v>
      </c>
      <c r="AH1220" s="1172">
        <f t="shared" si="454"/>
        <v>0</v>
      </c>
      <c r="AI1220" s="1172">
        <f t="shared" si="454"/>
        <v>0</v>
      </c>
      <c r="AJ1220" s="1172">
        <f t="shared" si="454"/>
        <v>0</v>
      </c>
      <c r="AK1220" s="1172">
        <f t="shared" si="454"/>
        <v>0</v>
      </c>
      <c r="AL1220" s="1172">
        <f t="shared" si="454"/>
        <v>0</v>
      </c>
      <c r="AM1220" s="1172">
        <f t="shared" si="454"/>
        <v>0</v>
      </c>
      <c r="AN1220" s="1172">
        <f t="shared" si="454"/>
        <v>0</v>
      </c>
      <c r="AO1220" s="1172">
        <f t="shared" si="454"/>
        <v>0</v>
      </c>
      <c r="AP1220" s="1172">
        <f t="shared" si="454"/>
        <v>0</v>
      </c>
      <c r="AQ1220" s="1618">
        <f t="shared" si="454"/>
        <v>0</v>
      </c>
    </row>
    <row r="1221" spans="2:43" ht="13.75" hidden="1" customHeight="1" x14ac:dyDescent="0.2">
      <c r="B1221" s="1586" t="str">
        <f t="shared" si="446"/>
        <v>Cosechar cultivos de invierno propia</v>
      </c>
      <c r="C1221" s="1187">
        <f t="shared" si="447"/>
        <v>12</v>
      </c>
      <c r="D1221" s="1183"/>
      <c r="E1221" s="372"/>
      <c r="F1221" s="193"/>
      <c r="G1221" s="193"/>
      <c r="H1221" s="193"/>
      <c r="I1221" s="1172">
        <f t="shared" si="451"/>
        <v>0</v>
      </c>
      <c r="J1221" s="1172">
        <f t="shared" si="453"/>
        <v>0</v>
      </c>
      <c r="K1221" s="1172">
        <f t="shared" si="453"/>
        <v>0</v>
      </c>
      <c r="L1221" s="1172">
        <f t="shared" si="453"/>
        <v>0</v>
      </c>
      <c r="M1221" s="1172">
        <f t="shared" si="453"/>
        <v>0</v>
      </c>
      <c r="N1221" s="1172">
        <f t="shared" si="453"/>
        <v>0</v>
      </c>
      <c r="O1221" s="1172">
        <f t="shared" si="453"/>
        <v>0</v>
      </c>
      <c r="P1221" s="1172">
        <f t="shared" si="453"/>
        <v>0</v>
      </c>
      <c r="Q1221" s="1172">
        <f t="shared" si="453"/>
        <v>0</v>
      </c>
      <c r="R1221" s="1172">
        <f t="shared" si="453"/>
        <v>0</v>
      </c>
      <c r="S1221" s="1172">
        <f t="shared" si="453"/>
        <v>0</v>
      </c>
      <c r="T1221" s="1618">
        <f t="shared" si="453"/>
        <v>0</v>
      </c>
      <c r="V1221" s="254"/>
      <c r="W1221" s="254"/>
      <c r="Y1221" s="1586" t="str">
        <f t="shared" si="449"/>
        <v>Cosechar cultivos de invierno propia</v>
      </c>
      <c r="Z1221" s="1187">
        <f t="shared" si="449"/>
        <v>12</v>
      </c>
      <c r="AA1221" s="1183"/>
      <c r="AB1221" s="372"/>
      <c r="AC1221" s="193"/>
      <c r="AD1221" s="193"/>
      <c r="AE1221" s="193"/>
      <c r="AF1221" s="1172">
        <f t="shared" si="452"/>
        <v>0</v>
      </c>
      <c r="AG1221" s="1172">
        <f t="shared" si="454"/>
        <v>0</v>
      </c>
      <c r="AH1221" s="1172">
        <f t="shared" si="454"/>
        <v>0</v>
      </c>
      <c r="AI1221" s="1172">
        <f t="shared" si="454"/>
        <v>0</v>
      </c>
      <c r="AJ1221" s="1172">
        <f t="shared" si="454"/>
        <v>0</v>
      </c>
      <c r="AK1221" s="1172">
        <f t="shared" si="454"/>
        <v>0</v>
      </c>
      <c r="AL1221" s="1172">
        <f t="shared" si="454"/>
        <v>0</v>
      </c>
      <c r="AM1221" s="1172">
        <f t="shared" si="454"/>
        <v>0</v>
      </c>
      <c r="AN1221" s="1172">
        <f t="shared" si="454"/>
        <v>0</v>
      </c>
      <c r="AO1221" s="1172">
        <f t="shared" si="454"/>
        <v>0</v>
      </c>
      <c r="AP1221" s="1172">
        <f t="shared" si="454"/>
        <v>0</v>
      </c>
      <c r="AQ1221" s="1618">
        <f t="shared" si="454"/>
        <v>0</v>
      </c>
    </row>
    <row r="1222" spans="2:43" ht="13.75" hidden="1" customHeight="1" x14ac:dyDescent="0.2">
      <c r="B1222" s="1586" t="str">
        <f t="shared" si="446"/>
        <v>Cosechar cultivos de verano propia</v>
      </c>
      <c r="C1222" s="1187">
        <f t="shared" si="447"/>
        <v>15</v>
      </c>
      <c r="D1222" s="1183"/>
      <c r="E1222" s="372"/>
      <c r="F1222" s="193"/>
      <c r="G1222" s="193"/>
      <c r="H1222" s="193"/>
      <c r="I1222" s="1172">
        <f t="shared" si="451"/>
        <v>0</v>
      </c>
      <c r="J1222" s="1172">
        <f t="shared" si="453"/>
        <v>0</v>
      </c>
      <c r="K1222" s="1172">
        <f t="shared" si="453"/>
        <v>0</v>
      </c>
      <c r="L1222" s="1172">
        <f t="shared" si="453"/>
        <v>0</v>
      </c>
      <c r="M1222" s="1172">
        <f t="shared" si="453"/>
        <v>0</v>
      </c>
      <c r="N1222" s="1172">
        <f t="shared" si="453"/>
        <v>0</v>
      </c>
      <c r="O1222" s="1172">
        <f t="shared" si="453"/>
        <v>0</v>
      </c>
      <c r="P1222" s="1172">
        <f t="shared" si="453"/>
        <v>0</v>
      </c>
      <c r="Q1222" s="1172">
        <f t="shared" si="453"/>
        <v>0</v>
      </c>
      <c r="R1222" s="1172">
        <f t="shared" si="453"/>
        <v>0</v>
      </c>
      <c r="S1222" s="1172">
        <f t="shared" si="453"/>
        <v>0</v>
      </c>
      <c r="T1222" s="1618">
        <f t="shared" si="453"/>
        <v>0</v>
      </c>
      <c r="V1222" s="254"/>
      <c r="W1222" s="254"/>
      <c r="Y1222" s="1586" t="str">
        <f t="shared" si="449"/>
        <v>Cosechar cultivos de verano propia</v>
      </c>
      <c r="Z1222" s="1187">
        <f t="shared" si="449"/>
        <v>15</v>
      </c>
      <c r="AA1222" s="1183"/>
      <c r="AB1222" s="372"/>
      <c r="AC1222" s="193"/>
      <c r="AD1222" s="193"/>
      <c r="AE1222" s="193"/>
      <c r="AF1222" s="1172">
        <f t="shared" si="452"/>
        <v>0</v>
      </c>
      <c r="AG1222" s="1172">
        <f t="shared" si="454"/>
        <v>0</v>
      </c>
      <c r="AH1222" s="1172">
        <f t="shared" si="454"/>
        <v>0</v>
      </c>
      <c r="AI1222" s="1172">
        <f t="shared" si="454"/>
        <v>0</v>
      </c>
      <c r="AJ1222" s="1172">
        <f t="shared" si="454"/>
        <v>0</v>
      </c>
      <c r="AK1222" s="1172">
        <f t="shared" si="454"/>
        <v>0</v>
      </c>
      <c r="AL1222" s="1172">
        <f t="shared" si="454"/>
        <v>0</v>
      </c>
      <c r="AM1222" s="1172">
        <f t="shared" si="454"/>
        <v>0</v>
      </c>
      <c r="AN1222" s="1172">
        <f t="shared" si="454"/>
        <v>0</v>
      </c>
      <c r="AO1222" s="1172">
        <f t="shared" si="454"/>
        <v>0</v>
      </c>
      <c r="AP1222" s="1172">
        <f t="shared" si="454"/>
        <v>0</v>
      </c>
      <c r="AQ1222" s="1618">
        <f t="shared" si="454"/>
        <v>0</v>
      </c>
    </row>
    <row r="1223" spans="2:43" ht="13.75" hidden="1" customHeight="1" x14ac:dyDescent="0.2">
      <c r="B1223" s="1586" t="str">
        <f t="shared" si="446"/>
        <v>Cosechar maíz</v>
      </c>
      <c r="C1223" s="1187">
        <f t="shared" si="447"/>
        <v>15</v>
      </c>
      <c r="D1223" s="1183"/>
      <c r="E1223" s="372"/>
      <c r="F1223" s="193"/>
      <c r="G1223" s="193"/>
      <c r="H1223" s="193"/>
      <c r="I1223" s="1172">
        <f t="shared" si="451"/>
        <v>0</v>
      </c>
      <c r="J1223" s="1172">
        <f t="shared" si="453"/>
        <v>0</v>
      </c>
      <c r="K1223" s="1172">
        <f t="shared" si="453"/>
        <v>0</v>
      </c>
      <c r="L1223" s="1172">
        <f t="shared" si="453"/>
        <v>0</v>
      </c>
      <c r="M1223" s="1172">
        <f t="shared" si="453"/>
        <v>0</v>
      </c>
      <c r="N1223" s="1172">
        <f t="shared" si="453"/>
        <v>0</v>
      </c>
      <c r="O1223" s="1172">
        <f t="shared" si="453"/>
        <v>0</v>
      </c>
      <c r="P1223" s="1172">
        <f t="shared" si="453"/>
        <v>0</v>
      </c>
      <c r="Q1223" s="1172">
        <f t="shared" si="453"/>
        <v>0</v>
      </c>
      <c r="R1223" s="1172">
        <f t="shared" si="453"/>
        <v>0</v>
      </c>
      <c r="S1223" s="1172">
        <f t="shared" si="453"/>
        <v>0</v>
      </c>
      <c r="T1223" s="1618">
        <f t="shared" si="453"/>
        <v>0</v>
      </c>
      <c r="V1223" s="254"/>
      <c r="W1223" s="254"/>
      <c r="Y1223" s="1586" t="str">
        <f t="shared" si="449"/>
        <v>Cosechar maíz</v>
      </c>
      <c r="Z1223" s="1187">
        <f t="shared" si="449"/>
        <v>15</v>
      </c>
      <c r="AA1223" s="1183"/>
      <c r="AB1223" s="372"/>
      <c r="AC1223" s="193"/>
      <c r="AD1223" s="193"/>
      <c r="AE1223" s="193"/>
      <c r="AF1223" s="1172">
        <f t="shared" si="452"/>
        <v>0</v>
      </c>
      <c r="AG1223" s="1172">
        <f t="shared" si="454"/>
        <v>0</v>
      </c>
      <c r="AH1223" s="1172">
        <f t="shared" si="454"/>
        <v>0</v>
      </c>
      <c r="AI1223" s="1172">
        <f t="shared" si="454"/>
        <v>0</v>
      </c>
      <c r="AJ1223" s="1172">
        <f t="shared" si="454"/>
        <v>0</v>
      </c>
      <c r="AK1223" s="1172">
        <f t="shared" si="454"/>
        <v>0</v>
      </c>
      <c r="AL1223" s="1172">
        <f t="shared" si="454"/>
        <v>0</v>
      </c>
      <c r="AM1223" s="1172">
        <f t="shared" si="454"/>
        <v>0</v>
      </c>
      <c r="AN1223" s="1172">
        <f t="shared" si="454"/>
        <v>0</v>
      </c>
      <c r="AO1223" s="1172">
        <f t="shared" si="454"/>
        <v>0</v>
      </c>
      <c r="AP1223" s="1172">
        <f t="shared" si="454"/>
        <v>0</v>
      </c>
      <c r="AQ1223" s="1618">
        <f t="shared" si="454"/>
        <v>0</v>
      </c>
    </row>
    <row r="1224" spans="2:43" ht="13.75" hidden="1" customHeight="1" x14ac:dyDescent="0.2">
      <c r="B1224" s="1586" t="str">
        <f t="shared" si="446"/>
        <v xml:space="preserve">Cosecha + hilerado </v>
      </c>
      <c r="C1224" s="1187">
        <f t="shared" si="447"/>
        <v>15</v>
      </c>
      <c r="D1224" s="1183"/>
      <c r="E1224" s="372"/>
      <c r="F1224" s="193"/>
      <c r="G1224" s="193"/>
      <c r="H1224" s="193"/>
      <c r="I1224" s="1172">
        <f t="shared" si="451"/>
        <v>0</v>
      </c>
      <c r="J1224" s="1172">
        <f t="shared" si="453"/>
        <v>0</v>
      </c>
      <c r="K1224" s="1172">
        <f t="shared" si="453"/>
        <v>0</v>
      </c>
      <c r="L1224" s="1172">
        <f t="shared" si="453"/>
        <v>0</v>
      </c>
      <c r="M1224" s="1172">
        <f t="shared" si="453"/>
        <v>0</v>
      </c>
      <c r="N1224" s="1172">
        <f t="shared" si="453"/>
        <v>0</v>
      </c>
      <c r="O1224" s="1172">
        <f t="shared" si="453"/>
        <v>0</v>
      </c>
      <c r="P1224" s="1172">
        <f t="shared" si="453"/>
        <v>0</v>
      </c>
      <c r="Q1224" s="1172">
        <f t="shared" si="453"/>
        <v>0</v>
      </c>
      <c r="R1224" s="1172">
        <f t="shared" si="453"/>
        <v>0</v>
      </c>
      <c r="S1224" s="1172">
        <f t="shared" si="453"/>
        <v>0</v>
      </c>
      <c r="T1224" s="1618">
        <f t="shared" si="453"/>
        <v>0</v>
      </c>
      <c r="V1224" s="254"/>
      <c r="W1224" s="254"/>
      <c r="Y1224" s="1586" t="str">
        <f t="shared" si="449"/>
        <v xml:space="preserve">Cosecha + hilerado </v>
      </c>
      <c r="Z1224" s="1187">
        <f t="shared" si="449"/>
        <v>15</v>
      </c>
      <c r="AA1224" s="1183"/>
      <c r="AB1224" s="372"/>
      <c r="AC1224" s="193"/>
      <c r="AD1224" s="193"/>
      <c r="AE1224" s="193"/>
      <c r="AF1224" s="1172">
        <f t="shared" si="452"/>
        <v>0</v>
      </c>
      <c r="AG1224" s="1172">
        <f t="shared" si="454"/>
        <v>0</v>
      </c>
      <c r="AH1224" s="1172">
        <f t="shared" si="454"/>
        <v>0</v>
      </c>
      <c r="AI1224" s="1172">
        <f t="shared" si="454"/>
        <v>0</v>
      </c>
      <c r="AJ1224" s="1172">
        <f t="shared" si="454"/>
        <v>0</v>
      </c>
      <c r="AK1224" s="1172">
        <f t="shared" si="454"/>
        <v>0</v>
      </c>
      <c r="AL1224" s="1172">
        <f t="shared" si="454"/>
        <v>0</v>
      </c>
      <c r="AM1224" s="1172">
        <f t="shared" si="454"/>
        <v>0</v>
      </c>
      <c r="AN1224" s="1172">
        <f t="shared" si="454"/>
        <v>0</v>
      </c>
      <c r="AO1224" s="1172">
        <f t="shared" si="454"/>
        <v>0</v>
      </c>
      <c r="AP1224" s="1172">
        <f t="shared" si="454"/>
        <v>0</v>
      </c>
      <c r="AQ1224" s="1618">
        <f t="shared" si="454"/>
        <v>0</v>
      </c>
    </row>
    <row r="1225" spans="2:43" ht="13.75" hidden="1" customHeight="1" x14ac:dyDescent="0.2">
      <c r="B1225" s="1586" t="str">
        <f t="shared" si="446"/>
        <v>Embolsar grano U$D/t (incluye materiales)</v>
      </c>
      <c r="C1225" s="1187">
        <f t="shared" si="447"/>
        <v>0</v>
      </c>
      <c r="D1225" s="1183"/>
      <c r="E1225" s="372"/>
      <c r="F1225" s="193"/>
      <c r="G1225" s="193"/>
      <c r="H1225" s="193"/>
      <c r="I1225" s="1172">
        <f t="shared" si="451"/>
        <v>0</v>
      </c>
      <c r="J1225" s="1172">
        <f t="shared" si="453"/>
        <v>0</v>
      </c>
      <c r="K1225" s="1172">
        <f t="shared" si="453"/>
        <v>0</v>
      </c>
      <c r="L1225" s="1172">
        <f t="shared" si="453"/>
        <v>0</v>
      </c>
      <c r="M1225" s="1172">
        <f t="shared" si="453"/>
        <v>0</v>
      </c>
      <c r="N1225" s="1172">
        <f t="shared" si="453"/>
        <v>0</v>
      </c>
      <c r="O1225" s="1172">
        <f t="shared" si="453"/>
        <v>0</v>
      </c>
      <c r="P1225" s="1172">
        <f t="shared" si="453"/>
        <v>0</v>
      </c>
      <c r="Q1225" s="1172">
        <f t="shared" si="453"/>
        <v>0</v>
      </c>
      <c r="R1225" s="1172">
        <f t="shared" si="453"/>
        <v>0</v>
      </c>
      <c r="S1225" s="1172">
        <f t="shared" si="453"/>
        <v>0</v>
      </c>
      <c r="T1225" s="1618">
        <f t="shared" si="453"/>
        <v>0</v>
      </c>
      <c r="V1225" s="254"/>
      <c r="W1225" s="254"/>
      <c r="Y1225" s="1586" t="str">
        <f t="shared" si="449"/>
        <v>Embolsar grano U$D/t (incluye materiales)</v>
      </c>
      <c r="Z1225" s="1187">
        <f t="shared" si="449"/>
        <v>0</v>
      </c>
      <c r="AA1225" s="1183"/>
      <c r="AB1225" s="372"/>
      <c r="AC1225" s="193"/>
      <c r="AD1225" s="193"/>
      <c r="AE1225" s="193"/>
      <c r="AF1225" s="1172">
        <f t="shared" si="452"/>
        <v>0</v>
      </c>
      <c r="AG1225" s="1172">
        <f t="shared" si="454"/>
        <v>0</v>
      </c>
      <c r="AH1225" s="1172">
        <f t="shared" si="454"/>
        <v>0</v>
      </c>
      <c r="AI1225" s="1172">
        <f t="shared" si="454"/>
        <v>0</v>
      </c>
      <c r="AJ1225" s="1172">
        <f t="shared" si="454"/>
        <v>0</v>
      </c>
      <c r="AK1225" s="1172">
        <f t="shared" si="454"/>
        <v>0</v>
      </c>
      <c r="AL1225" s="1172">
        <f t="shared" si="454"/>
        <v>0</v>
      </c>
      <c r="AM1225" s="1172">
        <f t="shared" si="454"/>
        <v>0</v>
      </c>
      <c r="AN1225" s="1172">
        <f t="shared" si="454"/>
        <v>0</v>
      </c>
      <c r="AO1225" s="1172">
        <f t="shared" si="454"/>
        <v>0</v>
      </c>
      <c r="AP1225" s="1172">
        <f t="shared" si="454"/>
        <v>0</v>
      </c>
      <c r="AQ1225" s="1618">
        <f t="shared" si="454"/>
        <v>0</v>
      </c>
    </row>
    <row r="1226" spans="2:43" ht="13.75" hidden="1" customHeight="1" x14ac:dyDescent="0.2">
      <c r="B1226" s="1586" t="str">
        <f t="shared" si="446"/>
        <v>Cosechar semillero de leguminosa</v>
      </c>
      <c r="C1226" s="1187">
        <f t="shared" si="447"/>
        <v>15</v>
      </c>
      <c r="D1226" s="1183"/>
      <c r="E1226" s="372"/>
      <c r="F1226" s="193"/>
      <c r="G1226" s="193"/>
      <c r="H1226" s="193"/>
      <c r="I1226" s="1172">
        <f t="shared" si="451"/>
        <v>0</v>
      </c>
      <c r="J1226" s="1172">
        <f t="shared" si="453"/>
        <v>0</v>
      </c>
      <c r="K1226" s="1172">
        <f t="shared" si="453"/>
        <v>0</v>
      </c>
      <c r="L1226" s="1172">
        <f t="shared" si="453"/>
        <v>0</v>
      </c>
      <c r="M1226" s="1172">
        <f t="shared" si="453"/>
        <v>0</v>
      </c>
      <c r="N1226" s="1172">
        <f t="shared" si="453"/>
        <v>0</v>
      </c>
      <c r="O1226" s="1172">
        <f t="shared" si="453"/>
        <v>0</v>
      </c>
      <c r="P1226" s="1172">
        <f t="shared" si="453"/>
        <v>0</v>
      </c>
      <c r="Q1226" s="1172">
        <f t="shared" si="453"/>
        <v>0</v>
      </c>
      <c r="R1226" s="1172">
        <f t="shared" si="453"/>
        <v>0</v>
      </c>
      <c r="S1226" s="1172">
        <f t="shared" si="453"/>
        <v>0</v>
      </c>
      <c r="T1226" s="1618">
        <f t="shared" si="453"/>
        <v>0</v>
      </c>
      <c r="V1226" s="254"/>
      <c r="W1226" s="254"/>
      <c r="Y1226" s="1586" t="str">
        <f t="shared" si="449"/>
        <v>Cosechar semillero de leguminosa</v>
      </c>
      <c r="Z1226" s="1187">
        <f t="shared" si="449"/>
        <v>15</v>
      </c>
      <c r="AA1226" s="1183"/>
      <c r="AB1226" s="372"/>
      <c r="AC1226" s="193"/>
      <c r="AD1226" s="193"/>
      <c r="AE1226" s="193"/>
      <c r="AF1226" s="1172">
        <f t="shared" si="452"/>
        <v>0</v>
      </c>
      <c r="AG1226" s="1172">
        <f t="shared" si="454"/>
        <v>0</v>
      </c>
      <c r="AH1226" s="1172">
        <f t="shared" si="454"/>
        <v>0</v>
      </c>
      <c r="AI1226" s="1172">
        <f t="shared" si="454"/>
        <v>0</v>
      </c>
      <c r="AJ1226" s="1172">
        <f t="shared" si="454"/>
        <v>0</v>
      </c>
      <c r="AK1226" s="1172">
        <f t="shared" si="454"/>
        <v>0</v>
      </c>
      <c r="AL1226" s="1172">
        <f t="shared" si="454"/>
        <v>0</v>
      </c>
      <c r="AM1226" s="1172">
        <f t="shared" si="454"/>
        <v>0</v>
      </c>
      <c r="AN1226" s="1172">
        <f t="shared" si="454"/>
        <v>0</v>
      </c>
      <c r="AO1226" s="1172">
        <f t="shared" si="454"/>
        <v>0</v>
      </c>
      <c r="AP1226" s="1172">
        <f t="shared" si="454"/>
        <v>0</v>
      </c>
      <c r="AQ1226" s="1618">
        <f t="shared" si="454"/>
        <v>0</v>
      </c>
    </row>
    <row r="1227" spans="2:43" ht="13.75" hidden="1" customHeight="1" x14ac:dyDescent="0.2">
      <c r="B1227" s="1586" t="str">
        <f t="shared" si="446"/>
        <v>Cosechar semillero de gramínea</v>
      </c>
      <c r="C1227" s="1187">
        <f t="shared" si="447"/>
        <v>15</v>
      </c>
      <c r="D1227" s="1183"/>
      <c r="E1227" s="372"/>
      <c r="F1227" s="193"/>
      <c r="G1227" s="193"/>
      <c r="H1227" s="193"/>
      <c r="I1227" s="1172">
        <f t="shared" si="451"/>
        <v>0</v>
      </c>
      <c r="J1227" s="1172">
        <f t="shared" si="453"/>
        <v>0</v>
      </c>
      <c r="K1227" s="1172">
        <f t="shared" si="453"/>
        <v>0</v>
      </c>
      <c r="L1227" s="1172">
        <f t="shared" si="453"/>
        <v>0</v>
      </c>
      <c r="M1227" s="1172">
        <f t="shared" si="453"/>
        <v>0</v>
      </c>
      <c r="N1227" s="1172">
        <f t="shared" si="453"/>
        <v>0</v>
      </c>
      <c r="O1227" s="1172">
        <f t="shared" si="453"/>
        <v>0</v>
      </c>
      <c r="P1227" s="1172">
        <f t="shared" si="453"/>
        <v>0</v>
      </c>
      <c r="Q1227" s="1172">
        <f t="shared" si="453"/>
        <v>0</v>
      </c>
      <c r="R1227" s="1172">
        <f t="shared" si="453"/>
        <v>0</v>
      </c>
      <c r="S1227" s="1172">
        <f t="shared" si="453"/>
        <v>0</v>
      </c>
      <c r="T1227" s="1618">
        <f t="shared" si="453"/>
        <v>0</v>
      </c>
      <c r="V1227" s="254"/>
      <c r="W1227" s="254"/>
      <c r="Y1227" s="1586" t="str">
        <f t="shared" si="449"/>
        <v>Cosechar semillero de gramínea</v>
      </c>
      <c r="Z1227" s="1187">
        <f t="shared" si="449"/>
        <v>15</v>
      </c>
      <c r="AA1227" s="1183"/>
      <c r="AB1227" s="372"/>
      <c r="AC1227" s="193"/>
      <c r="AD1227" s="193"/>
      <c r="AE1227" s="193"/>
      <c r="AF1227" s="1172">
        <f t="shared" si="452"/>
        <v>0</v>
      </c>
      <c r="AG1227" s="1172">
        <f t="shared" si="454"/>
        <v>0</v>
      </c>
      <c r="AH1227" s="1172">
        <f t="shared" si="454"/>
        <v>0</v>
      </c>
      <c r="AI1227" s="1172">
        <f t="shared" si="454"/>
        <v>0</v>
      </c>
      <c r="AJ1227" s="1172">
        <f t="shared" si="454"/>
        <v>0</v>
      </c>
      <c r="AK1227" s="1172">
        <f t="shared" si="454"/>
        <v>0</v>
      </c>
      <c r="AL1227" s="1172">
        <f t="shared" si="454"/>
        <v>0</v>
      </c>
      <c r="AM1227" s="1172">
        <f t="shared" si="454"/>
        <v>0</v>
      </c>
      <c r="AN1227" s="1172">
        <f t="shared" si="454"/>
        <v>0</v>
      </c>
      <c r="AO1227" s="1172">
        <f t="shared" si="454"/>
        <v>0</v>
      </c>
      <c r="AP1227" s="1172">
        <f t="shared" si="454"/>
        <v>0</v>
      </c>
      <c r="AQ1227" s="1618">
        <f t="shared" si="454"/>
        <v>0</v>
      </c>
    </row>
    <row r="1228" spans="2:43" ht="13.75" hidden="1" customHeight="1" x14ac:dyDescent="0.2">
      <c r="B1228" s="1586" t="str">
        <f t="shared" si="446"/>
        <v>Ensilar Silo de Maíz</v>
      </c>
      <c r="C1228" s="1187">
        <f t="shared" si="447"/>
        <v>38</v>
      </c>
      <c r="D1228" s="1183"/>
      <c r="E1228" s="372"/>
      <c r="F1228" s="193"/>
      <c r="G1228" s="193"/>
      <c r="H1228" s="193"/>
      <c r="I1228" s="1172">
        <f t="shared" si="451"/>
        <v>0</v>
      </c>
      <c r="J1228" s="1172">
        <f t="shared" si="453"/>
        <v>0</v>
      </c>
      <c r="K1228" s="1172">
        <f t="shared" si="453"/>
        <v>0</v>
      </c>
      <c r="L1228" s="1172">
        <f t="shared" si="453"/>
        <v>0</v>
      </c>
      <c r="M1228" s="1172">
        <f t="shared" si="453"/>
        <v>0</v>
      </c>
      <c r="N1228" s="1172">
        <f t="shared" si="453"/>
        <v>0</v>
      </c>
      <c r="O1228" s="1172">
        <f t="shared" si="453"/>
        <v>0</v>
      </c>
      <c r="P1228" s="1172">
        <f t="shared" si="453"/>
        <v>0</v>
      </c>
      <c r="Q1228" s="1172">
        <f t="shared" si="453"/>
        <v>0</v>
      </c>
      <c r="R1228" s="1172">
        <f t="shared" si="453"/>
        <v>0</v>
      </c>
      <c r="S1228" s="1172">
        <f t="shared" si="453"/>
        <v>0</v>
      </c>
      <c r="T1228" s="1618">
        <f t="shared" si="453"/>
        <v>0</v>
      </c>
      <c r="V1228" s="254"/>
      <c r="W1228" s="254"/>
      <c r="Y1228" s="1586" t="str">
        <f t="shared" si="449"/>
        <v>Ensilar Silo de Maíz</v>
      </c>
      <c r="Z1228" s="1187">
        <f t="shared" si="449"/>
        <v>38</v>
      </c>
      <c r="AA1228" s="1183"/>
      <c r="AB1228" s="372"/>
      <c r="AC1228" s="193"/>
      <c r="AD1228" s="193"/>
      <c r="AE1228" s="193"/>
      <c r="AF1228" s="1172">
        <f t="shared" si="452"/>
        <v>0</v>
      </c>
      <c r="AG1228" s="1172">
        <f t="shared" si="454"/>
        <v>0</v>
      </c>
      <c r="AH1228" s="1172">
        <f t="shared" si="454"/>
        <v>0</v>
      </c>
      <c r="AI1228" s="1172">
        <f t="shared" si="454"/>
        <v>0</v>
      </c>
      <c r="AJ1228" s="1172">
        <f t="shared" si="454"/>
        <v>0</v>
      </c>
      <c r="AK1228" s="1172">
        <f t="shared" si="454"/>
        <v>0</v>
      </c>
      <c r="AL1228" s="1172">
        <f t="shared" si="454"/>
        <v>0</v>
      </c>
      <c r="AM1228" s="1172">
        <f t="shared" si="454"/>
        <v>0</v>
      </c>
      <c r="AN1228" s="1172">
        <f t="shared" si="454"/>
        <v>0</v>
      </c>
      <c r="AO1228" s="1172">
        <f t="shared" si="454"/>
        <v>0</v>
      </c>
      <c r="AP1228" s="1172">
        <f t="shared" si="454"/>
        <v>0</v>
      </c>
      <c r="AQ1228" s="1618">
        <f t="shared" si="454"/>
        <v>0</v>
      </c>
    </row>
    <row r="1229" spans="2:43" ht="13.75" hidden="1" customHeight="1" x14ac:dyDescent="0.2">
      <c r="B1229" s="1586" t="str">
        <f t="shared" si="446"/>
        <v>Enfardar</v>
      </c>
      <c r="C1229" s="1187">
        <f t="shared" si="447"/>
        <v>1.8</v>
      </c>
      <c r="D1229" s="1183"/>
      <c r="E1229" s="372"/>
      <c r="F1229" s="193"/>
      <c r="G1229" s="193"/>
      <c r="H1229" s="193"/>
      <c r="I1229" s="1172">
        <f t="shared" si="451"/>
        <v>0</v>
      </c>
      <c r="J1229" s="1172">
        <f t="shared" si="453"/>
        <v>0</v>
      </c>
      <c r="K1229" s="1172">
        <f t="shared" si="453"/>
        <v>0</v>
      </c>
      <c r="L1229" s="1172">
        <f t="shared" si="453"/>
        <v>0</v>
      </c>
      <c r="M1229" s="1172">
        <f t="shared" si="453"/>
        <v>0</v>
      </c>
      <c r="N1229" s="1172">
        <f t="shared" si="453"/>
        <v>0</v>
      </c>
      <c r="O1229" s="1172">
        <f t="shared" si="453"/>
        <v>0</v>
      </c>
      <c r="P1229" s="1172">
        <f t="shared" si="453"/>
        <v>0</v>
      </c>
      <c r="Q1229" s="1172">
        <f t="shared" si="453"/>
        <v>0</v>
      </c>
      <c r="R1229" s="1172">
        <f t="shared" si="453"/>
        <v>0</v>
      </c>
      <c r="S1229" s="1172">
        <f t="shared" si="453"/>
        <v>0</v>
      </c>
      <c r="T1229" s="1618">
        <f t="shared" si="453"/>
        <v>0</v>
      </c>
      <c r="V1229" s="254"/>
      <c r="W1229" s="254"/>
      <c r="Y1229" s="1586" t="str">
        <f t="shared" si="449"/>
        <v>Enfardar</v>
      </c>
      <c r="Z1229" s="1187">
        <f t="shared" si="449"/>
        <v>1.8</v>
      </c>
      <c r="AA1229" s="1183"/>
      <c r="AB1229" s="372"/>
      <c r="AC1229" s="193"/>
      <c r="AD1229" s="193"/>
      <c r="AE1229" s="193"/>
      <c r="AF1229" s="1172">
        <f t="shared" si="452"/>
        <v>0</v>
      </c>
      <c r="AG1229" s="1172">
        <f t="shared" si="454"/>
        <v>0</v>
      </c>
      <c r="AH1229" s="1172">
        <f t="shared" si="454"/>
        <v>0</v>
      </c>
      <c r="AI1229" s="1172">
        <f t="shared" si="454"/>
        <v>0</v>
      </c>
      <c r="AJ1229" s="1172">
        <f t="shared" si="454"/>
        <v>0</v>
      </c>
      <c r="AK1229" s="1172">
        <f t="shared" si="454"/>
        <v>0</v>
      </c>
      <c r="AL1229" s="1172">
        <f t="shared" si="454"/>
        <v>0</v>
      </c>
      <c r="AM1229" s="1172">
        <f t="shared" si="454"/>
        <v>0</v>
      </c>
      <c r="AN1229" s="1172">
        <f t="shared" si="454"/>
        <v>0</v>
      </c>
      <c r="AO1229" s="1172">
        <f t="shared" si="454"/>
        <v>0</v>
      </c>
      <c r="AP1229" s="1172">
        <f t="shared" si="454"/>
        <v>0</v>
      </c>
      <c r="AQ1229" s="1618">
        <f t="shared" si="454"/>
        <v>0</v>
      </c>
    </row>
    <row r="1230" spans="2:43" ht="13.75" hidden="1" customHeight="1" x14ac:dyDescent="0.2">
      <c r="B1230" s="1586" t="str">
        <f t="shared" si="446"/>
        <v>Ensilar Verdeos de Invierno / Praderas</v>
      </c>
      <c r="C1230" s="1187">
        <f t="shared" si="447"/>
        <v>38</v>
      </c>
      <c r="D1230" s="1183"/>
      <c r="E1230" s="372"/>
      <c r="F1230" s="193"/>
      <c r="G1230" s="193"/>
      <c r="H1230" s="193"/>
      <c r="I1230" s="1172">
        <f t="shared" si="451"/>
        <v>0</v>
      </c>
      <c r="J1230" s="1172">
        <f t="shared" si="453"/>
        <v>0</v>
      </c>
      <c r="K1230" s="1172">
        <f t="shared" si="453"/>
        <v>0</v>
      </c>
      <c r="L1230" s="1172">
        <f t="shared" si="453"/>
        <v>0</v>
      </c>
      <c r="M1230" s="1172">
        <f t="shared" si="453"/>
        <v>0</v>
      </c>
      <c r="N1230" s="1172">
        <f t="shared" si="453"/>
        <v>0</v>
      </c>
      <c r="O1230" s="1172">
        <f t="shared" si="453"/>
        <v>0</v>
      </c>
      <c r="P1230" s="1172">
        <f t="shared" si="453"/>
        <v>0</v>
      </c>
      <c r="Q1230" s="1172">
        <f t="shared" si="453"/>
        <v>0</v>
      </c>
      <c r="R1230" s="1172">
        <f t="shared" si="453"/>
        <v>0</v>
      </c>
      <c r="S1230" s="1172">
        <f t="shared" si="453"/>
        <v>0</v>
      </c>
      <c r="T1230" s="1618">
        <f t="shared" si="453"/>
        <v>0</v>
      </c>
      <c r="V1230" s="254"/>
      <c r="W1230" s="254"/>
      <c r="Y1230" s="1586" t="str">
        <f t="shared" si="449"/>
        <v>Ensilar Verdeos de Invierno / Praderas</v>
      </c>
      <c r="Z1230" s="1187">
        <f t="shared" si="449"/>
        <v>38</v>
      </c>
      <c r="AA1230" s="1183"/>
      <c r="AB1230" s="372"/>
      <c r="AC1230" s="193"/>
      <c r="AD1230" s="193"/>
      <c r="AE1230" s="193"/>
      <c r="AF1230" s="1172">
        <f t="shared" si="452"/>
        <v>0</v>
      </c>
      <c r="AG1230" s="1172">
        <f t="shared" si="454"/>
        <v>0</v>
      </c>
      <c r="AH1230" s="1172">
        <f t="shared" si="454"/>
        <v>0</v>
      </c>
      <c r="AI1230" s="1172">
        <f t="shared" si="454"/>
        <v>0</v>
      </c>
      <c r="AJ1230" s="1172">
        <f t="shared" si="454"/>
        <v>0</v>
      </c>
      <c r="AK1230" s="1172">
        <f t="shared" si="454"/>
        <v>0</v>
      </c>
      <c r="AL1230" s="1172">
        <f t="shared" si="454"/>
        <v>0</v>
      </c>
      <c r="AM1230" s="1172">
        <f t="shared" si="454"/>
        <v>0</v>
      </c>
      <c r="AN1230" s="1172">
        <f t="shared" si="454"/>
        <v>0</v>
      </c>
      <c r="AO1230" s="1172">
        <f t="shared" si="454"/>
        <v>0</v>
      </c>
      <c r="AP1230" s="1172">
        <f t="shared" si="454"/>
        <v>0</v>
      </c>
      <c r="AQ1230" s="1618">
        <f t="shared" si="454"/>
        <v>0</v>
      </c>
    </row>
    <row r="1231" spans="2:43" ht="13.75" hidden="1" customHeight="1" x14ac:dyDescent="0.2">
      <c r="B1231" s="1586">
        <f t="shared" si="446"/>
        <v>0</v>
      </c>
      <c r="C1231" s="1187">
        <f t="shared" si="447"/>
        <v>0</v>
      </c>
      <c r="D1231" s="1183"/>
      <c r="E1231" s="372"/>
      <c r="F1231" s="193"/>
      <c r="G1231" s="193"/>
      <c r="H1231" s="193"/>
      <c r="I1231" s="1172">
        <f t="shared" si="451"/>
        <v>0</v>
      </c>
      <c r="J1231" s="1172">
        <f t="shared" si="453"/>
        <v>0</v>
      </c>
      <c r="K1231" s="1172">
        <f t="shared" si="453"/>
        <v>0</v>
      </c>
      <c r="L1231" s="1172">
        <f t="shared" si="453"/>
        <v>0</v>
      </c>
      <c r="M1231" s="1172">
        <f t="shared" si="453"/>
        <v>0</v>
      </c>
      <c r="N1231" s="1172">
        <f t="shared" si="453"/>
        <v>0</v>
      </c>
      <c r="O1231" s="1172">
        <f t="shared" si="453"/>
        <v>0</v>
      </c>
      <c r="P1231" s="1172">
        <f t="shared" si="453"/>
        <v>0</v>
      </c>
      <c r="Q1231" s="1172">
        <f t="shared" si="453"/>
        <v>0</v>
      </c>
      <c r="R1231" s="1172">
        <f t="shared" si="453"/>
        <v>0</v>
      </c>
      <c r="S1231" s="1172">
        <f t="shared" si="453"/>
        <v>0</v>
      </c>
      <c r="T1231" s="1618">
        <f t="shared" si="453"/>
        <v>0</v>
      </c>
      <c r="V1231" s="254"/>
      <c r="W1231" s="254"/>
      <c r="Y1231" s="1586">
        <f t="shared" si="449"/>
        <v>0</v>
      </c>
      <c r="Z1231" s="1187">
        <f t="shared" si="449"/>
        <v>0</v>
      </c>
      <c r="AA1231" s="1183"/>
      <c r="AB1231" s="372"/>
      <c r="AC1231" s="193"/>
      <c r="AD1231" s="193"/>
      <c r="AE1231" s="193"/>
      <c r="AF1231" s="1172">
        <f t="shared" si="452"/>
        <v>0</v>
      </c>
      <c r="AG1231" s="1172">
        <f t="shared" si="454"/>
        <v>0</v>
      </c>
      <c r="AH1231" s="1172">
        <f t="shared" si="454"/>
        <v>0</v>
      </c>
      <c r="AI1231" s="1172">
        <f t="shared" si="454"/>
        <v>0</v>
      </c>
      <c r="AJ1231" s="1172">
        <f t="shared" si="454"/>
        <v>0</v>
      </c>
      <c r="AK1231" s="1172">
        <f t="shared" si="454"/>
        <v>0</v>
      </c>
      <c r="AL1231" s="1172">
        <f t="shared" si="454"/>
        <v>0</v>
      </c>
      <c r="AM1231" s="1172">
        <f t="shared" si="454"/>
        <v>0</v>
      </c>
      <c r="AN1231" s="1172">
        <f t="shared" si="454"/>
        <v>0</v>
      </c>
      <c r="AO1231" s="1172">
        <f t="shared" si="454"/>
        <v>0</v>
      </c>
      <c r="AP1231" s="1172">
        <f t="shared" si="454"/>
        <v>0</v>
      </c>
      <c r="AQ1231" s="1618">
        <f t="shared" si="454"/>
        <v>0</v>
      </c>
    </row>
    <row r="1232" spans="2:43" ht="13.75" hidden="1" customHeight="1" x14ac:dyDescent="0.2">
      <c r="B1232" s="1619">
        <f t="shared" si="446"/>
        <v>0</v>
      </c>
      <c r="C1232" s="1188">
        <f t="shared" si="447"/>
        <v>0</v>
      </c>
      <c r="D1232" s="1183"/>
      <c r="E1232" s="372"/>
      <c r="F1232" s="193"/>
      <c r="G1232" s="193"/>
      <c r="H1232" s="193"/>
      <c r="I1232" s="1189">
        <f t="shared" si="451"/>
        <v>0</v>
      </c>
      <c r="J1232" s="1189">
        <f t="shared" si="453"/>
        <v>0</v>
      </c>
      <c r="K1232" s="1189">
        <f t="shared" si="453"/>
        <v>0</v>
      </c>
      <c r="L1232" s="1189">
        <f t="shared" si="453"/>
        <v>0</v>
      </c>
      <c r="M1232" s="1189">
        <f t="shared" si="453"/>
        <v>0</v>
      </c>
      <c r="N1232" s="1189">
        <f t="shared" si="453"/>
        <v>0</v>
      </c>
      <c r="O1232" s="1189">
        <f t="shared" si="453"/>
        <v>0</v>
      </c>
      <c r="P1232" s="1189">
        <f t="shared" si="453"/>
        <v>0</v>
      </c>
      <c r="Q1232" s="1189">
        <f t="shared" si="453"/>
        <v>0</v>
      </c>
      <c r="R1232" s="1189">
        <f t="shared" si="453"/>
        <v>0</v>
      </c>
      <c r="S1232" s="1189">
        <f t="shared" si="453"/>
        <v>0</v>
      </c>
      <c r="T1232" s="1620">
        <f t="shared" si="453"/>
        <v>0</v>
      </c>
      <c r="V1232" s="254"/>
      <c r="W1232" s="254"/>
      <c r="Y1232" s="1619">
        <f t="shared" si="449"/>
        <v>0</v>
      </c>
      <c r="Z1232" s="1188">
        <f t="shared" si="449"/>
        <v>0</v>
      </c>
      <c r="AA1232" s="1183"/>
      <c r="AB1232" s="372"/>
      <c r="AC1232" s="193"/>
      <c r="AD1232" s="193"/>
      <c r="AE1232" s="193"/>
      <c r="AF1232" s="1189">
        <f t="shared" si="452"/>
        <v>0</v>
      </c>
      <c r="AG1232" s="1189">
        <f t="shared" si="454"/>
        <v>0</v>
      </c>
      <c r="AH1232" s="1189">
        <f t="shared" si="454"/>
        <v>0</v>
      </c>
      <c r="AI1232" s="1189">
        <f t="shared" si="454"/>
        <v>0</v>
      </c>
      <c r="AJ1232" s="1189">
        <f t="shared" si="454"/>
        <v>0</v>
      </c>
      <c r="AK1232" s="1189">
        <f t="shared" si="454"/>
        <v>0</v>
      </c>
      <c r="AL1232" s="1189">
        <f t="shared" si="454"/>
        <v>0</v>
      </c>
      <c r="AM1232" s="1189">
        <f t="shared" si="454"/>
        <v>0</v>
      </c>
      <c r="AN1232" s="1189">
        <f t="shared" si="454"/>
        <v>0</v>
      </c>
      <c r="AO1232" s="1189">
        <f t="shared" si="454"/>
        <v>0</v>
      </c>
      <c r="AP1232" s="1189">
        <f t="shared" si="454"/>
        <v>0</v>
      </c>
      <c r="AQ1232" s="1620">
        <f t="shared" si="454"/>
        <v>0</v>
      </c>
    </row>
    <row r="1233" spans="1:43" ht="13.75" hidden="1" customHeight="1" x14ac:dyDescent="0.2">
      <c r="B1233" s="1586" t="str">
        <f t="shared" si="446"/>
        <v>Maquinaria</v>
      </c>
      <c r="C1233" s="1187">
        <f t="shared" si="447"/>
        <v>0</v>
      </c>
      <c r="D1233" s="1201"/>
      <c r="E1233" s="1633"/>
      <c r="F1233" s="374"/>
      <c r="G1233" s="374"/>
      <c r="H1233" s="374"/>
      <c r="I1233" s="1172">
        <f>SUMIF($V$837:$V$839,$B1233&amp;"contratada",I$837:I$839)</f>
        <v>0</v>
      </c>
      <c r="J1233" s="1172">
        <f t="shared" ref="J1233:T1233" si="455">SUMIF($V$837:$V$839,$B1233&amp;"contratada",J$837:J$839)</f>
        <v>0</v>
      </c>
      <c r="K1233" s="1172">
        <f t="shared" si="455"/>
        <v>0</v>
      </c>
      <c r="L1233" s="1172">
        <f>SUMIF($V$837:$V$839,$B1233&amp;"contratada",L$837:L$839)</f>
        <v>0</v>
      </c>
      <c r="M1233" s="1172">
        <f t="shared" si="455"/>
        <v>0</v>
      </c>
      <c r="N1233" s="1172">
        <f t="shared" si="455"/>
        <v>0</v>
      </c>
      <c r="O1233" s="1172">
        <f t="shared" si="455"/>
        <v>0</v>
      </c>
      <c r="P1233" s="1172">
        <f t="shared" si="455"/>
        <v>0</v>
      </c>
      <c r="Q1233" s="1172">
        <f t="shared" si="455"/>
        <v>0</v>
      </c>
      <c r="R1233" s="1172">
        <f t="shared" si="455"/>
        <v>0</v>
      </c>
      <c r="S1233" s="1172">
        <f t="shared" si="455"/>
        <v>0</v>
      </c>
      <c r="T1233" s="1618">
        <f t="shared" si="455"/>
        <v>0</v>
      </c>
      <c r="V1233" s="254"/>
      <c r="W1233" s="254"/>
      <c r="Y1233" s="1637"/>
      <c r="Z1233" s="1638"/>
      <c r="AA1233" s="374"/>
      <c r="AB1233" s="1633"/>
      <c r="AC1233" s="374"/>
      <c r="AD1233" s="374"/>
      <c r="AE1233" s="374"/>
      <c r="AF1233" s="1633"/>
      <c r="AG1233" s="1633"/>
      <c r="AH1233" s="1633"/>
      <c r="AI1233" s="1633"/>
      <c r="AJ1233" s="1633"/>
      <c r="AK1233" s="1633"/>
      <c r="AL1233" s="1633"/>
      <c r="AM1233" s="1633"/>
      <c r="AN1233" s="1633"/>
      <c r="AO1233" s="1633"/>
      <c r="AP1233" s="1633"/>
      <c r="AQ1233" s="1633"/>
    </row>
    <row r="1234" spans="1:43" ht="13.75" hidden="1" customHeight="1" x14ac:dyDescent="0.2">
      <c r="B1234" s="1586" t="str">
        <f t="shared" si="446"/>
        <v>Maquinaria</v>
      </c>
      <c r="C1234" s="1187">
        <f t="shared" si="447"/>
        <v>1.7542857142857142</v>
      </c>
      <c r="D1234" s="1183"/>
      <c r="E1234" s="372"/>
      <c r="F1234" s="193"/>
      <c r="G1234" s="193"/>
      <c r="H1234" s="193"/>
      <c r="I1234" s="1172">
        <f>SUMIF($V$841:$V$843,$B1234&amp;"contratada",I$841:I$843)</f>
        <v>0</v>
      </c>
      <c r="J1234" s="1172">
        <f t="shared" ref="J1234:T1234" si="456">SUMIF($V$841:$V$843,$B1234&amp;"contratada",J$841:J$843)</f>
        <v>0</v>
      </c>
      <c r="K1234" s="1172">
        <f t="shared" si="456"/>
        <v>0</v>
      </c>
      <c r="L1234" s="1172">
        <f t="shared" si="456"/>
        <v>0</v>
      </c>
      <c r="M1234" s="1172">
        <f t="shared" si="456"/>
        <v>0</v>
      </c>
      <c r="N1234" s="1172">
        <f t="shared" si="456"/>
        <v>0</v>
      </c>
      <c r="O1234" s="1172">
        <f t="shared" si="456"/>
        <v>0</v>
      </c>
      <c r="P1234" s="1172">
        <f t="shared" si="456"/>
        <v>0</v>
      </c>
      <c r="Q1234" s="1172">
        <f t="shared" si="456"/>
        <v>0</v>
      </c>
      <c r="R1234" s="1172">
        <f t="shared" si="456"/>
        <v>0</v>
      </c>
      <c r="S1234" s="1172">
        <f t="shared" si="456"/>
        <v>0</v>
      </c>
      <c r="T1234" s="1618">
        <f t="shared" si="456"/>
        <v>0</v>
      </c>
      <c r="V1234" s="254"/>
      <c r="W1234" s="254"/>
      <c r="Y1234" s="1639"/>
      <c r="Z1234" s="877"/>
      <c r="AA1234" s="193"/>
      <c r="AB1234" s="372"/>
      <c r="AC1234" s="193"/>
      <c r="AD1234" s="193"/>
      <c r="AE1234" s="193"/>
      <c r="AF1234" s="372"/>
      <c r="AG1234" s="372"/>
      <c r="AH1234" s="372"/>
      <c r="AI1234" s="372"/>
      <c r="AJ1234" s="372"/>
      <c r="AK1234" s="372"/>
      <c r="AL1234" s="372"/>
      <c r="AM1234" s="372"/>
      <c r="AN1234" s="372"/>
      <c r="AO1234" s="372"/>
      <c r="AP1234" s="372"/>
      <c r="AQ1234" s="372"/>
    </row>
    <row r="1235" spans="1:43" ht="14.4" hidden="1" customHeight="1" thickBot="1" x14ac:dyDescent="0.25">
      <c r="B1235" s="1588" t="str">
        <f t="shared" si="446"/>
        <v>Maquinaria</v>
      </c>
      <c r="C1235" s="1621">
        <f>+C1200</f>
        <v>63</v>
      </c>
      <c r="D1235" s="1208"/>
      <c r="E1235" s="1634"/>
      <c r="F1235" s="1199"/>
      <c r="G1235" s="1199"/>
      <c r="H1235" s="1199"/>
      <c r="I1235" s="1622">
        <f>SUMIF($V$845:$V$847,$B1235&amp;"contratada",I$845:I$847)</f>
        <v>0</v>
      </c>
      <c r="J1235" s="1622">
        <f t="shared" ref="J1235:T1235" si="457">SUMIF($V$845:$V$847,$B1235&amp;"contratada",J$845:J$847)</f>
        <v>0</v>
      </c>
      <c r="K1235" s="1622">
        <f t="shared" si="457"/>
        <v>0</v>
      </c>
      <c r="L1235" s="1622">
        <f t="shared" si="457"/>
        <v>0</v>
      </c>
      <c r="M1235" s="1622">
        <f t="shared" si="457"/>
        <v>0</v>
      </c>
      <c r="N1235" s="1622">
        <f t="shared" si="457"/>
        <v>0</v>
      </c>
      <c r="O1235" s="1622">
        <f t="shared" si="457"/>
        <v>0</v>
      </c>
      <c r="P1235" s="1622">
        <f t="shared" si="457"/>
        <v>0</v>
      </c>
      <c r="Q1235" s="1622">
        <f t="shared" si="457"/>
        <v>0</v>
      </c>
      <c r="R1235" s="1622">
        <f t="shared" si="457"/>
        <v>0</v>
      </c>
      <c r="S1235" s="1622">
        <f t="shared" si="457"/>
        <v>0</v>
      </c>
      <c r="T1235" s="1623">
        <f t="shared" si="457"/>
        <v>0</v>
      </c>
      <c r="V1235" s="254"/>
      <c r="W1235" s="254"/>
      <c r="Y1235" s="1639"/>
      <c r="Z1235" s="877"/>
      <c r="AA1235" s="193"/>
      <c r="AB1235" s="372"/>
      <c r="AC1235" s="193"/>
      <c r="AD1235" s="193"/>
      <c r="AE1235" s="193"/>
      <c r="AF1235" s="372"/>
      <c r="AG1235" s="372"/>
      <c r="AH1235" s="372"/>
      <c r="AI1235" s="372"/>
      <c r="AJ1235" s="372"/>
      <c r="AK1235" s="372"/>
      <c r="AL1235" s="372"/>
      <c r="AM1235" s="372"/>
      <c r="AN1235" s="372"/>
      <c r="AO1235" s="372"/>
      <c r="AP1235" s="372"/>
      <c r="AQ1235" s="372"/>
    </row>
    <row r="1236" spans="1:43" ht="14.4" hidden="1" customHeight="1" thickTop="1" x14ac:dyDescent="0.2">
      <c r="B1236" s="381"/>
      <c r="C1236" s="877"/>
      <c r="D1236" s="193"/>
      <c r="E1236" s="193"/>
      <c r="I1236" s="372"/>
      <c r="J1236" s="372"/>
      <c r="K1236" s="372"/>
      <c r="L1236" s="372"/>
      <c r="M1236" s="372"/>
      <c r="N1236" s="372"/>
      <c r="O1236" s="372"/>
      <c r="P1236" s="372"/>
      <c r="Q1236" s="372"/>
      <c r="R1236" s="372"/>
      <c r="S1236" s="372"/>
      <c r="T1236" s="372"/>
      <c r="U1236" s="193"/>
      <c r="V1236" s="254"/>
      <c r="W1236" s="254"/>
      <c r="Y1236" s="381"/>
      <c r="Z1236" s="877"/>
      <c r="AA1236" s="193"/>
      <c r="AB1236" s="193"/>
      <c r="AF1236" s="372"/>
      <c r="AG1236" s="372"/>
      <c r="AH1236" s="372"/>
      <c r="AI1236" s="372"/>
      <c r="AJ1236" s="372"/>
      <c r="AK1236" s="372"/>
      <c r="AL1236" s="372"/>
      <c r="AM1236" s="372"/>
      <c r="AN1236" s="372"/>
      <c r="AO1236" s="372"/>
      <c r="AP1236" s="372"/>
      <c r="AQ1236" s="372"/>
    </row>
    <row r="1237" spans="1:43" ht="13.75" hidden="1" customHeight="1" x14ac:dyDescent="0.2">
      <c r="B1237" s="381"/>
      <c r="C1237" s="372"/>
      <c r="D1237" s="193"/>
      <c r="E1237" s="193"/>
      <c r="I1237" s="193"/>
      <c r="J1237" s="193"/>
      <c r="K1237" s="193"/>
      <c r="L1237" s="193"/>
      <c r="M1237" s="193"/>
      <c r="N1237" s="193"/>
      <c r="O1237" s="193"/>
      <c r="P1237" s="193"/>
      <c r="Q1237" s="193"/>
      <c r="R1237" s="193"/>
      <c r="S1237" s="193"/>
      <c r="T1237" s="193"/>
      <c r="V1237" s="254"/>
      <c r="W1237" s="254"/>
      <c r="Y1237" s="381"/>
      <c r="Z1237" s="372"/>
      <c r="AA1237" s="193"/>
      <c r="AB1237" s="193"/>
      <c r="AF1237" s="193"/>
      <c r="AG1237" s="193"/>
      <c r="AH1237" s="193"/>
      <c r="AI1237" s="193"/>
      <c r="AJ1237" s="193"/>
      <c r="AK1237" s="193"/>
      <c r="AL1237" s="193"/>
      <c r="AM1237" s="193"/>
      <c r="AN1237" s="193"/>
      <c r="AO1237" s="193"/>
      <c r="AP1237" s="193"/>
      <c r="AQ1237" s="193"/>
    </row>
    <row r="1238" spans="1:43" ht="14.4" hidden="1" customHeight="1" thickBot="1" x14ac:dyDescent="0.25">
      <c r="B1238" s="1191"/>
      <c r="C1238" s="1530"/>
      <c r="D1238" s="1171"/>
      <c r="E1238" s="1171"/>
      <c r="I1238" s="1171"/>
      <c r="J1238" s="1171"/>
      <c r="K1238" s="1171"/>
      <c r="L1238" s="1171"/>
      <c r="M1238" s="1171"/>
      <c r="N1238" s="1171"/>
      <c r="O1238" s="1171"/>
      <c r="P1238" s="1171"/>
      <c r="Q1238" s="1171"/>
      <c r="R1238" s="1171"/>
      <c r="S1238" s="1171"/>
      <c r="T1238" s="1171"/>
      <c r="V1238" s="254"/>
      <c r="W1238" s="254"/>
      <c r="Y1238" s="1191"/>
      <c r="Z1238" s="1530"/>
      <c r="AA1238" s="1171"/>
      <c r="AB1238" s="1171"/>
      <c r="AF1238" s="1171"/>
      <c r="AG1238" s="1171"/>
      <c r="AH1238" s="1171"/>
      <c r="AI1238" s="1171"/>
      <c r="AJ1238" s="1171"/>
      <c r="AK1238" s="1171"/>
      <c r="AL1238" s="1171"/>
      <c r="AM1238" s="1171"/>
      <c r="AN1238" s="1171"/>
      <c r="AO1238" s="1171"/>
      <c r="AP1238" s="1171"/>
      <c r="AQ1238" s="1171"/>
    </row>
    <row r="1239" spans="1:43" ht="14.4" hidden="1" customHeight="1" thickTop="1" x14ac:dyDescent="0.2">
      <c r="A1239" s="2188">
        <v>1084</v>
      </c>
      <c r="B1239" s="1625" t="s">
        <v>1831</v>
      </c>
      <c r="C1239" s="1624"/>
      <c r="D1239" s="1624"/>
      <c r="E1239" s="1624"/>
      <c r="F1239" s="1581"/>
      <c r="G1239" s="1581"/>
      <c r="H1239" s="1581"/>
      <c r="I1239" s="1624"/>
      <c r="J1239" s="1624"/>
      <c r="K1239" s="1624"/>
      <c r="L1239" s="1624"/>
      <c r="M1239" s="1624"/>
      <c r="N1239" s="1624" t="s">
        <v>875</v>
      </c>
      <c r="O1239" s="1624"/>
      <c r="P1239" s="1624"/>
      <c r="Q1239" s="1624"/>
      <c r="R1239" s="1624"/>
      <c r="S1239" s="1624"/>
      <c r="T1239" s="1626"/>
      <c r="V1239" s="254"/>
      <c r="W1239" s="254"/>
      <c r="X1239" s="2188">
        <v>1085</v>
      </c>
      <c r="Y1239" s="1625" t="str">
        <f>+B1239</f>
        <v xml:space="preserve">Consumo de gasoil  - maquinaria propia </v>
      </c>
      <c r="Z1239" s="1624"/>
      <c r="AA1239" s="1624"/>
      <c r="AB1239" s="1624"/>
      <c r="AC1239" s="1581"/>
      <c r="AD1239" s="1581"/>
      <c r="AE1239" s="1581"/>
      <c r="AF1239" s="1640"/>
      <c r="AG1239" s="1624"/>
      <c r="AH1239" s="1624"/>
      <c r="AI1239" s="1624"/>
      <c r="AJ1239" s="1624"/>
      <c r="AK1239" s="1624" t="s">
        <v>875</v>
      </c>
      <c r="AL1239" s="1624"/>
      <c r="AM1239" s="1624"/>
      <c r="AN1239" s="1624"/>
      <c r="AO1239" s="1624"/>
      <c r="AP1239" s="1624"/>
      <c r="AQ1239" s="1626"/>
    </row>
    <row r="1240" spans="1:43" ht="13.75" hidden="1" customHeight="1" x14ac:dyDescent="0.2">
      <c r="B1240" s="1616" t="str">
        <f t="shared" ref="B1240:B1270" si="458">B1170</f>
        <v>Siembra Directa  - Propia</v>
      </c>
      <c r="C1240" s="1184"/>
      <c r="D1240" s="1183"/>
      <c r="E1240" s="372"/>
      <c r="F1240" s="193"/>
      <c r="G1240" s="193"/>
      <c r="H1240" s="193"/>
      <c r="I1240" s="1185">
        <f t="shared" ref="I1240:T1240" si="459">I1170*$C1170</f>
        <v>0</v>
      </c>
      <c r="J1240" s="1185">
        <f t="shared" si="459"/>
        <v>0</v>
      </c>
      <c r="K1240" s="1185">
        <f t="shared" si="459"/>
        <v>0</v>
      </c>
      <c r="L1240" s="1185">
        <f t="shared" si="459"/>
        <v>0</v>
      </c>
      <c r="M1240" s="1185">
        <f t="shared" si="459"/>
        <v>0</v>
      </c>
      <c r="N1240" s="1185">
        <f t="shared" si="459"/>
        <v>0</v>
      </c>
      <c r="O1240" s="1186">
        <f t="shared" si="459"/>
        <v>0</v>
      </c>
      <c r="P1240" s="1186">
        <f t="shared" si="459"/>
        <v>0</v>
      </c>
      <c r="Q1240" s="1186">
        <f t="shared" si="459"/>
        <v>0</v>
      </c>
      <c r="R1240" s="1186">
        <f t="shared" si="459"/>
        <v>0</v>
      </c>
      <c r="S1240" s="1186">
        <f t="shared" si="459"/>
        <v>0</v>
      </c>
      <c r="T1240" s="1617">
        <f t="shared" si="459"/>
        <v>0</v>
      </c>
      <c r="V1240" s="254"/>
      <c r="W1240" s="254"/>
      <c r="Y1240" s="1616" t="str">
        <f t="shared" ref="Y1240:Y1267" si="460">Y1170</f>
        <v>Siembra Directa  - Propia</v>
      </c>
      <c r="Z1240" s="1184"/>
      <c r="AA1240" s="1183"/>
      <c r="AB1240" s="372"/>
      <c r="AC1240" s="193"/>
      <c r="AD1240" s="193"/>
      <c r="AE1240" s="193"/>
      <c r="AF1240" s="1185">
        <f t="shared" ref="AF1240:AQ1240" si="461">AF1170*$C1170</f>
        <v>0</v>
      </c>
      <c r="AG1240" s="1185">
        <f t="shared" si="461"/>
        <v>0</v>
      </c>
      <c r="AH1240" s="1185">
        <f t="shared" si="461"/>
        <v>0</v>
      </c>
      <c r="AI1240" s="1185">
        <f t="shared" si="461"/>
        <v>0</v>
      </c>
      <c r="AJ1240" s="1185">
        <f t="shared" si="461"/>
        <v>0</v>
      </c>
      <c r="AK1240" s="1185">
        <f t="shared" si="461"/>
        <v>0</v>
      </c>
      <c r="AL1240" s="1186">
        <f t="shared" si="461"/>
        <v>0</v>
      </c>
      <c r="AM1240" s="1186">
        <f t="shared" si="461"/>
        <v>0</v>
      </c>
      <c r="AN1240" s="1186">
        <f t="shared" si="461"/>
        <v>0</v>
      </c>
      <c r="AO1240" s="1186">
        <f t="shared" si="461"/>
        <v>0</v>
      </c>
      <c r="AP1240" s="1186">
        <f t="shared" si="461"/>
        <v>0</v>
      </c>
      <c r="AQ1240" s="1617">
        <f t="shared" si="461"/>
        <v>0</v>
      </c>
    </row>
    <row r="1241" spans="1:43" ht="13.75" hidden="1" customHeight="1" x14ac:dyDescent="0.2">
      <c r="B1241" s="1586" t="str">
        <f t="shared" si="458"/>
        <v>Siembra Directa  - Contratada</v>
      </c>
      <c r="C1241" s="1187"/>
      <c r="D1241" s="1183"/>
      <c r="E1241" s="372"/>
      <c r="F1241" s="193"/>
      <c r="G1241" s="193"/>
      <c r="H1241" s="193"/>
      <c r="I1241" s="1172">
        <f t="shared" ref="I1241:T1241" si="462">I1171*$C1171</f>
        <v>0</v>
      </c>
      <c r="J1241" s="1172">
        <f t="shared" si="462"/>
        <v>0</v>
      </c>
      <c r="K1241" s="1172">
        <f t="shared" si="462"/>
        <v>0</v>
      </c>
      <c r="L1241" s="1172">
        <f t="shared" si="462"/>
        <v>0</v>
      </c>
      <c r="M1241" s="1172">
        <f t="shared" si="462"/>
        <v>0</v>
      </c>
      <c r="N1241" s="1172">
        <f t="shared" si="462"/>
        <v>0</v>
      </c>
      <c r="O1241" s="1172">
        <f t="shared" si="462"/>
        <v>0</v>
      </c>
      <c r="P1241" s="1172">
        <f t="shared" si="462"/>
        <v>0</v>
      </c>
      <c r="Q1241" s="1172">
        <f t="shared" si="462"/>
        <v>0</v>
      </c>
      <c r="R1241" s="1172">
        <f t="shared" si="462"/>
        <v>0</v>
      </c>
      <c r="S1241" s="1172">
        <f t="shared" si="462"/>
        <v>0</v>
      </c>
      <c r="T1241" s="1618">
        <f t="shared" si="462"/>
        <v>0</v>
      </c>
      <c r="Y1241" s="1586" t="str">
        <f t="shared" si="460"/>
        <v>Siembra Directa  - Contratada</v>
      </c>
      <c r="Z1241" s="1187"/>
      <c r="AA1241" s="1183"/>
      <c r="AB1241" s="372"/>
      <c r="AC1241" s="193"/>
      <c r="AD1241" s="193"/>
      <c r="AE1241" s="193"/>
      <c r="AF1241" s="1172">
        <f t="shared" ref="AF1241:AQ1241" si="463">AF1171*$C1171</f>
        <v>0</v>
      </c>
      <c r="AG1241" s="1172">
        <f t="shared" si="463"/>
        <v>0</v>
      </c>
      <c r="AH1241" s="1172">
        <f t="shared" si="463"/>
        <v>0</v>
      </c>
      <c r="AI1241" s="1172">
        <f t="shared" si="463"/>
        <v>0</v>
      </c>
      <c r="AJ1241" s="1172">
        <f t="shared" si="463"/>
        <v>0</v>
      </c>
      <c r="AK1241" s="1172">
        <f t="shared" si="463"/>
        <v>0</v>
      </c>
      <c r="AL1241" s="1172">
        <f t="shared" si="463"/>
        <v>0</v>
      </c>
      <c r="AM1241" s="1172">
        <f t="shared" si="463"/>
        <v>0</v>
      </c>
      <c r="AN1241" s="1172">
        <f t="shared" si="463"/>
        <v>0</v>
      </c>
      <c r="AO1241" s="1172">
        <f t="shared" si="463"/>
        <v>0</v>
      </c>
      <c r="AP1241" s="1172">
        <f t="shared" si="463"/>
        <v>0</v>
      </c>
      <c r="AQ1241" s="1618">
        <f t="shared" si="463"/>
        <v>0</v>
      </c>
    </row>
    <row r="1242" spans="1:43" ht="13.75" hidden="1" customHeight="1" x14ac:dyDescent="0.2">
      <c r="B1242" s="1586" t="str">
        <f t="shared" si="458"/>
        <v>Aplicar herbicida - Propia</v>
      </c>
      <c r="C1242" s="1187"/>
      <c r="D1242" s="1183"/>
      <c r="E1242" s="372"/>
      <c r="F1242" s="193"/>
      <c r="G1242" s="193"/>
      <c r="H1242" s="193"/>
      <c r="I1242" s="1172">
        <f t="shared" ref="I1242:T1242" si="464">I1172*$C1172</f>
        <v>0</v>
      </c>
      <c r="J1242" s="1172">
        <f t="shared" si="464"/>
        <v>0</v>
      </c>
      <c r="K1242" s="1172">
        <f t="shared" si="464"/>
        <v>0</v>
      </c>
      <c r="L1242" s="1172">
        <f t="shared" si="464"/>
        <v>0</v>
      </c>
      <c r="M1242" s="1172">
        <f t="shared" si="464"/>
        <v>0</v>
      </c>
      <c r="N1242" s="1172">
        <f t="shared" si="464"/>
        <v>0</v>
      </c>
      <c r="O1242" s="1172">
        <f t="shared" si="464"/>
        <v>0</v>
      </c>
      <c r="P1242" s="1172">
        <f t="shared" si="464"/>
        <v>0</v>
      </c>
      <c r="Q1242" s="1172">
        <f t="shared" si="464"/>
        <v>0</v>
      </c>
      <c r="R1242" s="1172">
        <f t="shared" si="464"/>
        <v>0</v>
      </c>
      <c r="S1242" s="1172">
        <f t="shared" si="464"/>
        <v>0</v>
      </c>
      <c r="T1242" s="1618">
        <f t="shared" si="464"/>
        <v>0</v>
      </c>
      <c r="Y1242" s="1586" t="str">
        <f t="shared" si="460"/>
        <v>Aplicar herbicida - Propia</v>
      </c>
      <c r="Z1242" s="1187"/>
      <c r="AA1242" s="1183"/>
      <c r="AB1242" s="372"/>
      <c r="AC1242" s="193"/>
      <c r="AD1242" s="193"/>
      <c r="AE1242" s="193"/>
      <c r="AF1242" s="1172">
        <f t="shared" ref="AF1242:AQ1242" si="465">AF1172*$C1172</f>
        <v>0</v>
      </c>
      <c r="AG1242" s="1172">
        <f t="shared" si="465"/>
        <v>0</v>
      </c>
      <c r="AH1242" s="1172">
        <f t="shared" si="465"/>
        <v>0</v>
      </c>
      <c r="AI1242" s="1172">
        <f t="shared" si="465"/>
        <v>0</v>
      </c>
      <c r="AJ1242" s="1172">
        <f t="shared" si="465"/>
        <v>0</v>
      </c>
      <c r="AK1242" s="1172">
        <f t="shared" si="465"/>
        <v>0</v>
      </c>
      <c r="AL1242" s="1172">
        <f t="shared" si="465"/>
        <v>0</v>
      </c>
      <c r="AM1242" s="1172">
        <f t="shared" si="465"/>
        <v>0</v>
      </c>
      <c r="AN1242" s="1172">
        <f t="shared" si="465"/>
        <v>0</v>
      </c>
      <c r="AO1242" s="1172">
        <f t="shared" si="465"/>
        <v>0</v>
      </c>
      <c r="AP1242" s="1172">
        <f t="shared" si="465"/>
        <v>0</v>
      </c>
      <c r="AQ1242" s="1618">
        <f t="shared" si="465"/>
        <v>0</v>
      </c>
    </row>
    <row r="1243" spans="1:43" ht="13.75" hidden="1" customHeight="1" x14ac:dyDescent="0.2">
      <c r="B1243" s="1586" t="str">
        <f t="shared" si="458"/>
        <v>Aplicar herbicida - Contratada</v>
      </c>
      <c r="C1243" s="1187"/>
      <c r="D1243" s="1183"/>
      <c r="E1243" s="372"/>
      <c r="F1243" s="193"/>
      <c r="G1243" s="193"/>
      <c r="H1243" s="193"/>
      <c r="I1243" s="1172">
        <f t="shared" ref="I1243:T1243" si="466">I1173*$C1173</f>
        <v>0</v>
      </c>
      <c r="J1243" s="1172">
        <f t="shared" si="466"/>
        <v>0</v>
      </c>
      <c r="K1243" s="1172">
        <f t="shared" si="466"/>
        <v>0</v>
      </c>
      <c r="L1243" s="1172">
        <f t="shared" si="466"/>
        <v>0</v>
      </c>
      <c r="M1243" s="1172">
        <f t="shared" si="466"/>
        <v>0</v>
      </c>
      <c r="N1243" s="1172">
        <f t="shared" si="466"/>
        <v>0</v>
      </c>
      <c r="O1243" s="1172">
        <f t="shared" si="466"/>
        <v>0</v>
      </c>
      <c r="P1243" s="1172">
        <f t="shared" si="466"/>
        <v>0</v>
      </c>
      <c r="Q1243" s="1172">
        <f t="shared" si="466"/>
        <v>0</v>
      </c>
      <c r="R1243" s="1172">
        <f t="shared" si="466"/>
        <v>0</v>
      </c>
      <c r="S1243" s="1172">
        <f t="shared" si="466"/>
        <v>0</v>
      </c>
      <c r="T1243" s="1618">
        <f t="shared" si="466"/>
        <v>0</v>
      </c>
      <c r="Y1243" s="1586" t="str">
        <f t="shared" si="460"/>
        <v>Aplicar herbicida - Contratada</v>
      </c>
      <c r="Z1243" s="1187"/>
      <c r="AA1243" s="1183"/>
      <c r="AB1243" s="372"/>
      <c r="AC1243" s="193"/>
      <c r="AD1243" s="193"/>
      <c r="AE1243" s="193"/>
      <c r="AF1243" s="1172">
        <f t="shared" ref="AF1243:AQ1243" si="467">AF1173*$C1173</f>
        <v>0</v>
      </c>
      <c r="AG1243" s="1172">
        <f t="shared" si="467"/>
        <v>0</v>
      </c>
      <c r="AH1243" s="1172">
        <f t="shared" si="467"/>
        <v>0</v>
      </c>
      <c r="AI1243" s="1172">
        <f t="shared" si="467"/>
        <v>0</v>
      </c>
      <c r="AJ1243" s="1172">
        <f t="shared" si="467"/>
        <v>0</v>
      </c>
      <c r="AK1243" s="1172">
        <f t="shared" si="467"/>
        <v>0</v>
      </c>
      <c r="AL1243" s="1172">
        <f t="shared" si="467"/>
        <v>0</v>
      </c>
      <c r="AM1243" s="1172">
        <f t="shared" si="467"/>
        <v>0</v>
      </c>
      <c r="AN1243" s="1172">
        <f t="shared" si="467"/>
        <v>0</v>
      </c>
      <c r="AO1243" s="1172">
        <f t="shared" si="467"/>
        <v>0</v>
      </c>
      <c r="AP1243" s="1172">
        <f t="shared" si="467"/>
        <v>0</v>
      </c>
      <c r="AQ1243" s="1618">
        <f t="shared" si="467"/>
        <v>0</v>
      </c>
    </row>
    <row r="1244" spans="1:43" ht="13.75" hidden="1" customHeight="1" x14ac:dyDescent="0.2">
      <c r="B1244" s="1586" t="str">
        <f t="shared" si="458"/>
        <v>Fertilizar - Propia</v>
      </c>
      <c r="C1244" s="1187"/>
      <c r="D1244" s="1183"/>
      <c r="E1244" s="372"/>
      <c r="F1244" s="193"/>
      <c r="G1244" s="193"/>
      <c r="H1244" s="193"/>
      <c r="I1244" s="1172">
        <f t="shared" ref="I1244:T1244" si="468">I1174*$C1174</f>
        <v>0</v>
      </c>
      <c r="J1244" s="1172">
        <f t="shared" si="468"/>
        <v>0</v>
      </c>
      <c r="K1244" s="1172">
        <f t="shared" si="468"/>
        <v>0</v>
      </c>
      <c r="L1244" s="1172">
        <f t="shared" si="468"/>
        <v>0</v>
      </c>
      <c r="M1244" s="1172">
        <f t="shared" si="468"/>
        <v>0</v>
      </c>
      <c r="N1244" s="1172">
        <f t="shared" si="468"/>
        <v>0</v>
      </c>
      <c r="O1244" s="1172">
        <f t="shared" si="468"/>
        <v>0</v>
      </c>
      <c r="P1244" s="1172">
        <f t="shared" si="468"/>
        <v>0</v>
      </c>
      <c r="Q1244" s="1172">
        <f t="shared" si="468"/>
        <v>0</v>
      </c>
      <c r="R1244" s="1172">
        <f t="shared" si="468"/>
        <v>0</v>
      </c>
      <c r="S1244" s="1172">
        <f t="shared" si="468"/>
        <v>0</v>
      </c>
      <c r="T1244" s="1618">
        <f t="shared" si="468"/>
        <v>0</v>
      </c>
      <c r="Y1244" s="1586" t="str">
        <f t="shared" si="460"/>
        <v>Fertilizar - Propia</v>
      </c>
      <c r="Z1244" s="1187"/>
      <c r="AA1244" s="1183"/>
      <c r="AB1244" s="372"/>
      <c r="AC1244" s="193"/>
      <c r="AD1244" s="193"/>
      <c r="AE1244" s="193"/>
      <c r="AF1244" s="1172">
        <f t="shared" ref="AF1244:AQ1244" si="469">AF1174*$C1174</f>
        <v>0</v>
      </c>
      <c r="AG1244" s="1172">
        <f t="shared" si="469"/>
        <v>0</v>
      </c>
      <c r="AH1244" s="1172">
        <f t="shared" si="469"/>
        <v>0</v>
      </c>
      <c r="AI1244" s="1172">
        <f t="shared" si="469"/>
        <v>0</v>
      </c>
      <c r="AJ1244" s="1172">
        <f t="shared" si="469"/>
        <v>0</v>
      </c>
      <c r="AK1244" s="1172">
        <f t="shared" si="469"/>
        <v>0</v>
      </c>
      <c r="AL1244" s="1172">
        <f t="shared" si="469"/>
        <v>0</v>
      </c>
      <c r="AM1244" s="1172">
        <f t="shared" si="469"/>
        <v>0</v>
      </c>
      <c r="AN1244" s="1172">
        <f t="shared" si="469"/>
        <v>0</v>
      </c>
      <c r="AO1244" s="1172">
        <f t="shared" si="469"/>
        <v>0</v>
      </c>
      <c r="AP1244" s="1172">
        <f t="shared" si="469"/>
        <v>0</v>
      </c>
      <c r="AQ1244" s="1618">
        <f t="shared" si="469"/>
        <v>0</v>
      </c>
    </row>
    <row r="1245" spans="1:43" ht="13.75" hidden="1" customHeight="1" x14ac:dyDescent="0.2">
      <c r="B1245" s="1586" t="str">
        <f t="shared" si="458"/>
        <v>Fertilizar - Contratada</v>
      </c>
      <c r="C1245" s="1187"/>
      <c r="D1245" s="1183"/>
      <c r="E1245" s="372"/>
      <c r="F1245" s="193"/>
      <c r="G1245" s="193"/>
      <c r="H1245" s="193"/>
      <c r="I1245" s="1172">
        <f t="shared" ref="I1245:T1245" si="470">I1175*$C1175</f>
        <v>0</v>
      </c>
      <c r="J1245" s="1172">
        <f t="shared" si="470"/>
        <v>0</v>
      </c>
      <c r="K1245" s="1172">
        <f t="shared" si="470"/>
        <v>0</v>
      </c>
      <c r="L1245" s="1172">
        <f t="shared" si="470"/>
        <v>0</v>
      </c>
      <c r="M1245" s="1172">
        <f t="shared" si="470"/>
        <v>0</v>
      </c>
      <c r="N1245" s="1172">
        <f t="shared" si="470"/>
        <v>0</v>
      </c>
      <c r="O1245" s="1172">
        <f t="shared" si="470"/>
        <v>0</v>
      </c>
      <c r="P1245" s="1172">
        <f t="shared" si="470"/>
        <v>0</v>
      </c>
      <c r="Q1245" s="1172">
        <f t="shared" si="470"/>
        <v>0</v>
      </c>
      <c r="R1245" s="1172">
        <f t="shared" si="470"/>
        <v>0</v>
      </c>
      <c r="S1245" s="1172">
        <f t="shared" si="470"/>
        <v>0</v>
      </c>
      <c r="T1245" s="1618">
        <f t="shared" si="470"/>
        <v>0</v>
      </c>
      <c r="Y1245" s="1586" t="str">
        <f t="shared" si="460"/>
        <v>Fertilizar - Contratada</v>
      </c>
      <c r="Z1245" s="1187"/>
      <c r="AA1245" s="1183"/>
      <c r="AB1245" s="372"/>
      <c r="AC1245" s="193"/>
      <c r="AD1245" s="193"/>
      <c r="AE1245" s="193"/>
      <c r="AF1245" s="1172">
        <f t="shared" ref="AF1245:AQ1245" si="471">AF1175*$C1175</f>
        <v>0</v>
      </c>
      <c r="AG1245" s="1172">
        <f t="shared" si="471"/>
        <v>0</v>
      </c>
      <c r="AH1245" s="1172">
        <f t="shared" si="471"/>
        <v>0</v>
      </c>
      <c r="AI1245" s="1172">
        <f t="shared" si="471"/>
        <v>0</v>
      </c>
      <c r="AJ1245" s="1172">
        <f t="shared" si="471"/>
        <v>0</v>
      </c>
      <c r="AK1245" s="1172">
        <f t="shared" si="471"/>
        <v>0</v>
      </c>
      <c r="AL1245" s="1172">
        <f t="shared" si="471"/>
        <v>0</v>
      </c>
      <c r="AM1245" s="1172">
        <f t="shared" si="471"/>
        <v>0</v>
      </c>
      <c r="AN1245" s="1172">
        <f t="shared" si="471"/>
        <v>0</v>
      </c>
      <c r="AO1245" s="1172">
        <f t="shared" si="471"/>
        <v>0</v>
      </c>
      <c r="AP1245" s="1172">
        <f t="shared" si="471"/>
        <v>0</v>
      </c>
      <c r="AQ1245" s="1618">
        <f t="shared" si="471"/>
        <v>0</v>
      </c>
    </row>
    <row r="1246" spans="1:43" ht="13.75" hidden="1" customHeight="1" x14ac:dyDescent="0.2">
      <c r="B1246" s="1586" t="str">
        <f t="shared" si="458"/>
        <v>Siembra Maíz - Contratada</v>
      </c>
      <c r="C1246" s="1187"/>
      <c r="D1246" s="1183"/>
      <c r="E1246" s="372"/>
      <c r="F1246" s="193"/>
      <c r="G1246" s="193"/>
      <c r="H1246" s="193"/>
      <c r="I1246" s="1172">
        <f t="shared" ref="I1246:T1246" si="472">I1176*$C1176</f>
        <v>0</v>
      </c>
      <c r="J1246" s="1172">
        <f t="shared" si="472"/>
        <v>0</v>
      </c>
      <c r="K1246" s="1172">
        <f t="shared" si="472"/>
        <v>0</v>
      </c>
      <c r="L1246" s="1172">
        <f t="shared" si="472"/>
        <v>0</v>
      </c>
      <c r="M1246" s="1172">
        <f t="shared" si="472"/>
        <v>0</v>
      </c>
      <c r="N1246" s="1172">
        <f t="shared" si="472"/>
        <v>0</v>
      </c>
      <c r="O1246" s="1172">
        <f t="shared" si="472"/>
        <v>0</v>
      </c>
      <c r="P1246" s="1172">
        <f t="shared" si="472"/>
        <v>0</v>
      </c>
      <c r="Q1246" s="1172">
        <f t="shared" si="472"/>
        <v>0</v>
      </c>
      <c r="R1246" s="1172">
        <f t="shared" si="472"/>
        <v>0</v>
      </c>
      <c r="S1246" s="1172">
        <f t="shared" si="472"/>
        <v>0</v>
      </c>
      <c r="T1246" s="1618">
        <f t="shared" si="472"/>
        <v>0</v>
      </c>
      <c r="Y1246" s="1586" t="str">
        <f t="shared" si="460"/>
        <v>Siembra Maíz - Contratada</v>
      </c>
      <c r="Z1246" s="1187"/>
      <c r="AA1246" s="1183"/>
      <c r="AB1246" s="372"/>
      <c r="AC1246" s="193"/>
      <c r="AD1246" s="193"/>
      <c r="AE1246" s="193"/>
      <c r="AF1246" s="1172">
        <f t="shared" ref="AF1246:AQ1246" si="473">AF1176*$C1176</f>
        <v>0</v>
      </c>
      <c r="AG1246" s="1172">
        <f t="shared" si="473"/>
        <v>0</v>
      </c>
      <c r="AH1246" s="1172">
        <f t="shared" si="473"/>
        <v>0</v>
      </c>
      <c r="AI1246" s="1172">
        <f t="shared" si="473"/>
        <v>0</v>
      </c>
      <c r="AJ1246" s="1172">
        <f t="shared" si="473"/>
        <v>0</v>
      </c>
      <c r="AK1246" s="1172">
        <f t="shared" si="473"/>
        <v>0</v>
      </c>
      <c r="AL1246" s="1172">
        <f t="shared" si="473"/>
        <v>0</v>
      </c>
      <c r="AM1246" s="1172">
        <f t="shared" si="473"/>
        <v>0</v>
      </c>
      <c r="AN1246" s="1172">
        <f t="shared" si="473"/>
        <v>0</v>
      </c>
      <c r="AO1246" s="1172">
        <f t="shared" si="473"/>
        <v>0</v>
      </c>
      <c r="AP1246" s="1172">
        <f t="shared" si="473"/>
        <v>0</v>
      </c>
      <c r="AQ1246" s="1618">
        <f t="shared" si="473"/>
        <v>0</v>
      </c>
    </row>
    <row r="1247" spans="1:43" ht="13.75" hidden="1" customHeight="1" x14ac:dyDescent="0.2">
      <c r="B1247" s="1586">
        <f t="shared" si="458"/>
        <v>0</v>
      </c>
      <c r="C1247" s="1187"/>
      <c r="D1247" s="1183"/>
      <c r="E1247" s="372"/>
      <c r="F1247" s="193"/>
      <c r="G1247" s="193"/>
      <c r="H1247" s="193"/>
      <c r="I1247" s="1172">
        <f t="shared" ref="I1247:T1247" si="474">I1177*$C1177</f>
        <v>0</v>
      </c>
      <c r="J1247" s="1172">
        <f t="shared" si="474"/>
        <v>0</v>
      </c>
      <c r="K1247" s="1172">
        <f t="shared" si="474"/>
        <v>0</v>
      </c>
      <c r="L1247" s="1172">
        <f t="shared" si="474"/>
        <v>0</v>
      </c>
      <c r="M1247" s="1172">
        <f t="shared" si="474"/>
        <v>0</v>
      </c>
      <c r="N1247" s="1172">
        <f t="shared" si="474"/>
        <v>0</v>
      </c>
      <c r="O1247" s="1172">
        <f t="shared" si="474"/>
        <v>0</v>
      </c>
      <c r="P1247" s="1172">
        <f t="shared" si="474"/>
        <v>0</v>
      </c>
      <c r="Q1247" s="1172">
        <f t="shared" si="474"/>
        <v>0</v>
      </c>
      <c r="R1247" s="1172">
        <f t="shared" si="474"/>
        <v>0</v>
      </c>
      <c r="S1247" s="1172">
        <f t="shared" si="474"/>
        <v>0</v>
      </c>
      <c r="T1247" s="1618">
        <f t="shared" si="474"/>
        <v>0</v>
      </c>
      <c r="Y1247" s="1586">
        <f t="shared" si="460"/>
        <v>0</v>
      </c>
      <c r="Z1247" s="1187"/>
      <c r="AA1247" s="1183"/>
      <c r="AB1247" s="372"/>
      <c r="AC1247" s="193"/>
      <c r="AD1247" s="193"/>
      <c r="AE1247" s="193"/>
      <c r="AF1247" s="1172">
        <f t="shared" ref="AF1247:AQ1247" si="475">AF1177*$C1177</f>
        <v>0</v>
      </c>
      <c r="AG1247" s="1172">
        <f t="shared" si="475"/>
        <v>0</v>
      </c>
      <c r="AH1247" s="1172">
        <f t="shared" si="475"/>
        <v>0</v>
      </c>
      <c r="AI1247" s="1172">
        <f t="shared" si="475"/>
        <v>0</v>
      </c>
      <c r="AJ1247" s="1172">
        <f t="shared" si="475"/>
        <v>0</v>
      </c>
      <c r="AK1247" s="1172">
        <f t="shared" si="475"/>
        <v>0</v>
      </c>
      <c r="AL1247" s="1172">
        <f t="shared" si="475"/>
        <v>0</v>
      </c>
      <c r="AM1247" s="1172">
        <f t="shared" si="475"/>
        <v>0</v>
      </c>
      <c r="AN1247" s="1172">
        <f t="shared" si="475"/>
        <v>0</v>
      </c>
      <c r="AO1247" s="1172">
        <f t="shared" si="475"/>
        <v>0</v>
      </c>
      <c r="AP1247" s="1172">
        <f t="shared" si="475"/>
        <v>0</v>
      </c>
      <c r="AQ1247" s="1618">
        <f t="shared" si="475"/>
        <v>0</v>
      </c>
    </row>
    <row r="1248" spans="1:43" ht="13.75" hidden="1" customHeight="1" x14ac:dyDescent="0.2">
      <c r="B1248" s="1586">
        <f t="shared" si="458"/>
        <v>0</v>
      </c>
      <c r="C1248" s="1187"/>
      <c r="D1248" s="1183"/>
      <c r="E1248" s="372"/>
      <c r="F1248" s="193"/>
      <c r="G1248" s="193"/>
      <c r="H1248" s="193"/>
      <c r="I1248" s="1172">
        <f t="shared" ref="I1248:T1248" si="476">I1178*$C1178</f>
        <v>0</v>
      </c>
      <c r="J1248" s="1172">
        <f t="shared" si="476"/>
        <v>0</v>
      </c>
      <c r="K1248" s="1172">
        <f t="shared" si="476"/>
        <v>0</v>
      </c>
      <c r="L1248" s="1172">
        <f t="shared" si="476"/>
        <v>0</v>
      </c>
      <c r="M1248" s="1172">
        <f t="shared" si="476"/>
        <v>0</v>
      </c>
      <c r="N1248" s="1172">
        <f t="shared" si="476"/>
        <v>0</v>
      </c>
      <c r="O1248" s="1172">
        <f t="shared" si="476"/>
        <v>0</v>
      </c>
      <c r="P1248" s="1172">
        <f t="shared" si="476"/>
        <v>0</v>
      </c>
      <c r="Q1248" s="1172">
        <f t="shared" si="476"/>
        <v>0</v>
      </c>
      <c r="R1248" s="1172">
        <f t="shared" si="476"/>
        <v>0</v>
      </c>
      <c r="S1248" s="1172">
        <f t="shared" si="476"/>
        <v>0</v>
      </c>
      <c r="T1248" s="1618">
        <f t="shared" si="476"/>
        <v>0</v>
      </c>
      <c r="Y1248" s="1586">
        <f t="shared" si="460"/>
        <v>0</v>
      </c>
      <c r="Z1248" s="1187"/>
      <c r="AA1248" s="1183"/>
      <c r="AB1248" s="372"/>
      <c r="AC1248" s="193"/>
      <c r="AD1248" s="193"/>
      <c r="AE1248" s="193"/>
      <c r="AF1248" s="1172">
        <f t="shared" ref="AF1248:AQ1248" si="477">AF1178*$C1178</f>
        <v>0</v>
      </c>
      <c r="AG1248" s="1172">
        <f t="shared" si="477"/>
        <v>0</v>
      </c>
      <c r="AH1248" s="1172">
        <f t="shared" si="477"/>
        <v>0</v>
      </c>
      <c r="AI1248" s="1172">
        <f t="shared" si="477"/>
        <v>0</v>
      </c>
      <c r="AJ1248" s="1172">
        <f t="shared" si="477"/>
        <v>0</v>
      </c>
      <c r="AK1248" s="1172">
        <f t="shared" si="477"/>
        <v>0</v>
      </c>
      <c r="AL1248" s="1172">
        <f t="shared" si="477"/>
        <v>0</v>
      </c>
      <c r="AM1248" s="1172">
        <f t="shared" si="477"/>
        <v>0</v>
      </c>
      <c r="AN1248" s="1172">
        <f t="shared" si="477"/>
        <v>0</v>
      </c>
      <c r="AO1248" s="1172">
        <f t="shared" si="477"/>
        <v>0</v>
      </c>
      <c r="AP1248" s="1172">
        <f t="shared" si="477"/>
        <v>0</v>
      </c>
      <c r="AQ1248" s="1618">
        <f t="shared" si="477"/>
        <v>0</v>
      </c>
    </row>
    <row r="1249" spans="2:43" ht="13.75" hidden="1" customHeight="1" x14ac:dyDescent="0.2">
      <c r="B1249" s="1586">
        <f t="shared" si="458"/>
        <v>0</v>
      </c>
      <c r="C1249" s="1187"/>
      <c r="D1249" s="1183"/>
      <c r="E1249" s="372"/>
      <c r="F1249" s="193"/>
      <c r="G1249" s="193"/>
      <c r="H1249" s="193"/>
      <c r="I1249" s="1172">
        <f t="shared" ref="I1249:T1249" si="478">I1179*$C1179</f>
        <v>0</v>
      </c>
      <c r="J1249" s="1172">
        <f t="shared" si="478"/>
        <v>0</v>
      </c>
      <c r="K1249" s="1172">
        <f t="shared" si="478"/>
        <v>0</v>
      </c>
      <c r="L1249" s="1172">
        <f t="shared" si="478"/>
        <v>0</v>
      </c>
      <c r="M1249" s="1172">
        <f t="shared" si="478"/>
        <v>0</v>
      </c>
      <c r="N1249" s="1172">
        <f t="shared" si="478"/>
        <v>0</v>
      </c>
      <c r="O1249" s="1172">
        <f t="shared" si="478"/>
        <v>0</v>
      </c>
      <c r="P1249" s="1172">
        <f t="shared" si="478"/>
        <v>0</v>
      </c>
      <c r="Q1249" s="1172">
        <f t="shared" si="478"/>
        <v>0</v>
      </c>
      <c r="R1249" s="1172">
        <f t="shared" si="478"/>
        <v>0</v>
      </c>
      <c r="S1249" s="1172">
        <f t="shared" si="478"/>
        <v>0</v>
      </c>
      <c r="T1249" s="1618">
        <f t="shared" si="478"/>
        <v>0</v>
      </c>
      <c r="Y1249" s="1586">
        <f t="shared" si="460"/>
        <v>0</v>
      </c>
      <c r="Z1249" s="1187"/>
      <c r="AA1249" s="1183"/>
      <c r="AB1249" s="372"/>
      <c r="AC1249" s="193"/>
      <c r="AD1249" s="193"/>
      <c r="AE1249" s="193"/>
      <c r="AF1249" s="1172">
        <f t="shared" ref="AF1249:AQ1249" si="479">AF1179*$C1179</f>
        <v>0</v>
      </c>
      <c r="AG1249" s="1172">
        <f t="shared" si="479"/>
        <v>0</v>
      </c>
      <c r="AH1249" s="1172">
        <f t="shared" si="479"/>
        <v>0</v>
      </c>
      <c r="AI1249" s="1172">
        <f t="shared" si="479"/>
        <v>0</v>
      </c>
      <c r="AJ1249" s="1172">
        <f t="shared" si="479"/>
        <v>0</v>
      </c>
      <c r="AK1249" s="1172">
        <f t="shared" si="479"/>
        <v>0</v>
      </c>
      <c r="AL1249" s="1172">
        <f t="shared" si="479"/>
        <v>0</v>
      </c>
      <c r="AM1249" s="1172">
        <f t="shared" si="479"/>
        <v>0</v>
      </c>
      <c r="AN1249" s="1172">
        <f t="shared" si="479"/>
        <v>0</v>
      </c>
      <c r="AO1249" s="1172">
        <f t="shared" si="479"/>
        <v>0</v>
      </c>
      <c r="AP1249" s="1172">
        <f t="shared" si="479"/>
        <v>0</v>
      </c>
      <c r="AQ1249" s="1618">
        <f t="shared" si="479"/>
        <v>0</v>
      </c>
    </row>
    <row r="1250" spans="2:43" ht="13.75" hidden="1" customHeight="1" x14ac:dyDescent="0.2">
      <c r="B1250" s="1586">
        <f t="shared" si="458"/>
        <v>0</v>
      </c>
      <c r="C1250" s="1187"/>
      <c r="D1250" s="1183"/>
      <c r="E1250" s="372"/>
      <c r="F1250" s="193"/>
      <c r="G1250" s="193"/>
      <c r="H1250" s="193"/>
      <c r="I1250" s="1172">
        <f t="shared" ref="I1250:T1250" si="480">I1180*$C1180</f>
        <v>0</v>
      </c>
      <c r="J1250" s="1172">
        <f t="shared" si="480"/>
        <v>0</v>
      </c>
      <c r="K1250" s="1172">
        <f t="shared" si="480"/>
        <v>0</v>
      </c>
      <c r="L1250" s="1172">
        <f t="shared" si="480"/>
        <v>0</v>
      </c>
      <c r="M1250" s="1172">
        <f t="shared" si="480"/>
        <v>0</v>
      </c>
      <c r="N1250" s="1172">
        <f t="shared" si="480"/>
        <v>0</v>
      </c>
      <c r="O1250" s="1172">
        <f t="shared" si="480"/>
        <v>0</v>
      </c>
      <c r="P1250" s="1172">
        <f t="shared" si="480"/>
        <v>0</v>
      </c>
      <c r="Q1250" s="1172">
        <f t="shared" si="480"/>
        <v>0</v>
      </c>
      <c r="R1250" s="1172">
        <f t="shared" si="480"/>
        <v>0</v>
      </c>
      <c r="S1250" s="1172">
        <f t="shared" si="480"/>
        <v>0</v>
      </c>
      <c r="T1250" s="1618">
        <f t="shared" si="480"/>
        <v>0</v>
      </c>
      <c r="Y1250" s="1586">
        <f t="shared" si="460"/>
        <v>0</v>
      </c>
      <c r="Z1250" s="1187"/>
      <c r="AA1250" s="1183"/>
      <c r="AB1250" s="372"/>
      <c r="AC1250" s="193"/>
      <c r="AD1250" s="193"/>
      <c r="AE1250" s="193"/>
      <c r="AF1250" s="1172">
        <f t="shared" ref="AF1250:AQ1250" si="481">AF1180*$C1180</f>
        <v>0</v>
      </c>
      <c r="AG1250" s="1172">
        <f t="shared" si="481"/>
        <v>0</v>
      </c>
      <c r="AH1250" s="1172">
        <f t="shared" si="481"/>
        <v>0</v>
      </c>
      <c r="AI1250" s="1172">
        <f t="shared" si="481"/>
        <v>0</v>
      </c>
      <c r="AJ1250" s="1172">
        <f t="shared" si="481"/>
        <v>0</v>
      </c>
      <c r="AK1250" s="1172">
        <f t="shared" si="481"/>
        <v>0</v>
      </c>
      <c r="AL1250" s="1172">
        <f t="shared" si="481"/>
        <v>0</v>
      </c>
      <c r="AM1250" s="1172">
        <f t="shared" si="481"/>
        <v>0</v>
      </c>
      <c r="AN1250" s="1172">
        <f t="shared" si="481"/>
        <v>0</v>
      </c>
      <c r="AO1250" s="1172">
        <f t="shared" si="481"/>
        <v>0</v>
      </c>
      <c r="AP1250" s="1172">
        <f t="shared" si="481"/>
        <v>0</v>
      </c>
      <c r="AQ1250" s="1618">
        <f t="shared" si="481"/>
        <v>0</v>
      </c>
    </row>
    <row r="1251" spans="2:43" ht="13.75" hidden="1" customHeight="1" x14ac:dyDescent="0.2">
      <c r="B1251" s="1586">
        <f t="shared" si="458"/>
        <v>0</v>
      </c>
      <c r="C1251" s="1187"/>
      <c r="D1251" s="1183"/>
      <c r="E1251" s="372"/>
      <c r="F1251" s="193"/>
      <c r="G1251" s="193"/>
      <c r="H1251" s="193"/>
      <c r="I1251" s="1172">
        <f t="shared" ref="I1251:T1251" si="482">I1181*$C1181</f>
        <v>0</v>
      </c>
      <c r="J1251" s="1172">
        <f t="shared" si="482"/>
        <v>0</v>
      </c>
      <c r="K1251" s="1172">
        <f t="shared" si="482"/>
        <v>0</v>
      </c>
      <c r="L1251" s="1172">
        <f t="shared" si="482"/>
        <v>0</v>
      </c>
      <c r="M1251" s="1172">
        <f t="shared" si="482"/>
        <v>0</v>
      </c>
      <c r="N1251" s="1172">
        <f t="shared" si="482"/>
        <v>0</v>
      </c>
      <c r="O1251" s="1172">
        <f t="shared" si="482"/>
        <v>0</v>
      </c>
      <c r="P1251" s="1172">
        <f t="shared" si="482"/>
        <v>0</v>
      </c>
      <c r="Q1251" s="1172">
        <f t="shared" si="482"/>
        <v>0</v>
      </c>
      <c r="R1251" s="1172">
        <f t="shared" si="482"/>
        <v>0</v>
      </c>
      <c r="S1251" s="1172">
        <f t="shared" si="482"/>
        <v>0</v>
      </c>
      <c r="T1251" s="1618">
        <f t="shared" si="482"/>
        <v>0</v>
      </c>
      <c r="Y1251" s="1586">
        <f t="shared" si="460"/>
        <v>0</v>
      </c>
      <c r="Z1251" s="1187"/>
      <c r="AA1251" s="1183"/>
      <c r="AB1251" s="372"/>
      <c r="AC1251" s="193"/>
      <c r="AD1251" s="193"/>
      <c r="AE1251" s="193"/>
      <c r="AF1251" s="1172">
        <f t="shared" ref="AF1251:AQ1251" si="483">AF1181*$C1181</f>
        <v>0</v>
      </c>
      <c r="AG1251" s="1172">
        <f t="shared" si="483"/>
        <v>0</v>
      </c>
      <c r="AH1251" s="1172">
        <f t="shared" si="483"/>
        <v>0</v>
      </c>
      <c r="AI1251" s="1172">
        <f t="shared" si="483"/>
        <v>0</v>
      </c>
      <c r="AJ1251" s="1172">
        <f t="shared" si="483"/>
        <v>0</v>
      </c>
      <c r="AK1251" s="1172">
        <f t="shared" si="483"/>
        <v>0</v>
      </c>
      <c r="AL1251" s="1172">
        <f t="shared" si="483"/>
        <v>0</v>
      </c>
      <c r="AM1251" s="1172">
        <f t="shared" si="483"/>
        <v>0</v>
      </c>
      <c r="AN1251" s="1172">
        <f t="shared" si="483"/>
        <v>0</v>
      </c>
      <c r="AO1251" s="1172">
        <f t="shared" si="483"/>
        <v>0</v>
      </c>
      <c r="AP1251" s="1172">
        <f t="shared" si="483"/>
        <v>0</v>
      </c>
      <c r="AQ1251" s="1618">
        <f t="shared" si="483"/>
        <v>0</v>
      </c>
    </row>
    <row r="1252" spans="2:43" ht="13.75" hidden="1" customHeight="1" x14ac:dyDescent="0.2">
      <c r="B1252" s="1586">
        <f t="shared" si="458"/>
        <v>0</v>
      </c>
      <c r="C1252" s="1187"/>
      <c r="D1252" s="1183"/>
      <c r="E1252" s="372"/>
      <c r="F1252" s="193"/>
      <c r="G1252" s="193"/>
      <c r="H1252" s="193"/>
      <c r="I1252" s="1172">
        <f t="shared" ref="I1252:T1252" si="484">I1182*$C1182</f>
        <v>0</v>
      </c>
      <c r="J1252" s="1172">
        <f t="shared" si="484"/>
        <v>0</v>
      </c>
      <c r="K1252" s="1172">
        <f t="shared" si="484"/>
        <v>0</v>
      </c>
      <c r="L1252" s="1172">
        <f t="shared" si="484"/>
        <v>0</v>
      </c>
      <c r="M1252" s="1172">
        <f t="shared" si="484"/>
        <v>0</v>
      </c>
      <c r="N1252" s="1172">
        <f t="shared" si="484"/>
        <v>0</v>
      </c>
      <c r="O1252" s="1172">
        <f t="shared" si="484"/>
        <v>0</v>
      </c>
      <c r="P1252" s="1172">
        <f t="shared" si="484"/>
        <v>0</v>
      </c>
      <c r="Q1252" s="1172">
        <f t="shared" si="484"/>
        <v>0</v>
      </c>
      <c r="R1252" s="1172">
        <f t="shared" si="484"/>
        <v>0</v>
      </c>
      <c r="S1252" s="1172">
        <f t="shared" si="484"/>
        <v>0</v>
      </c>
      <c r="T1252" s="1618">
        <f t="shared" si="484"/>
        <v>0</v>
      </c>
      <c r="Y1252" s="1586">
        <f t="shared" si="460"/>
        <v>0</v>
      </c>
      <c r="Z1252" s="1187"/>
      <c r="AA1252" s="1183"/>
      <c r="AB1252" s="372"/>
      <c r="AC1252" s="193"/>
      <c r="AD1252" s="193"/>
      <c r="AE1252" s="193"/>
      <c r="AF1252" s="1172">
        <f t="shared" ref="AF1252:AQ1252" si="485">AF1182*$C1182</f>
        <v>0</v>
      </c>
      <c r="AG1252" s="1172">
        <f t="shared" si="485"/>
        <v>0</v>
      </c>
      <c r="AH1252" s="1172">
        <f t="shared" si="485"/>
        <v>0</v>
      </c>
      <c r="AI1252" s="1172">
        <f t="shared" si="485"/>
        <v>0</v>
      </c>
      <c r="AJ1252" s="1172">
        <f t="shared" si="485"/>
        <v>0</v>
      </c>
      <c r="AK1252" s="1172">
        <f t="shared" si="485"/>
        <v>0</v>
      </c>
      <c r="AL1252" s="1172">
        <f t="shared" si="485"/>
        <v>0</v>
      </c>
      <c r="AM1252" s="1172">
        <f t="shared" si="485"/>
        <v>0</v>
      </c>
      <c r="AN1252" s="1172">
        <f t="shared" si="485"/>
        <v>0</v>
      </c>
      <c r="AO1252" s="1172">
        <f t="shared" si="485"/>
        <v>0</v>
      </c>
      <c r="AP1252" s="1172">
        <f t="shared" si="485"/>
        <v>0</v>
      </c>
      <c r="AQ1252" s="1618">
        <f t="shared" si="485"/>
        <v>0</v>
      </c>
    </row>
    <row r="1253" spans="2:43" ht="13.75" hidden="1" customHeight="1" x14ac:dyDescent="0.2">
      <c r="B1253" s="1586">
        <f t="shared" si="458"/>
        <v>0</v>
      </c>
      <c r="C1253" s="1187"/>
      <c r="D1253" s="1183"/>
      <c r="E1253" s="372"/>
      <c r="F1253" s="193"/>
      <c r="G1253" s="193"/>
      <c r="H1253" s="193"/>
      <c r="I1253" s="1172">
        <f t="shared" ref="I1253:T1253" si="486">I1183*$C1183</f>
        <v>0</v>
      </c>
      <c r="J1253" s="1172">
        <f t="shared" si="486"/>
        <v>0</v>
      </c>
      <c r="K1253" s="1172">
        <f t="shared" si="486"/>
        <v>0</v>
      </c>
      <c r="L1253" s="1172">
        <f t="shared" si="486"/>
        <v>0</v>
      </c>
      <c r="M1253" s="1172">
        <f t="shared" si="486"/>
        <v>0</v>
      </c>
      <c r="N1253" s="1172">
        <f t="shared" si="486"/>
        <v>0</v>
      </c>
      <c r="O1253" s="1172">
        <f t="shared" si="486"/>
        <v>0</v>
      </c>
      <c r="P1253" s="1172">
        <f t="shared" si="486"/>
        <v>0</v>
      </c>
      <c r="Q1253" s="1172">
        <f t="shared" si="486"/>
        <v>0</v>
      </c>
      <c r="R1253" s="1172">
        <f t="shared" si="486"/>
        <v>0</v>
      </c>
      <c r="S1253" s="1172">
        <f t="shared" si="486"/>
        <v>0</v>
      </c>
      <c r="T1253" s="1618">
        <f t="shared" si="486"/>
        <v>0</v>
      </c>
      <c r="Y1253" s="1586">
        <f t="shared" si="460"/>
        <v>0</v>
      </c>
      <c r="Z1253" s="1187"/>
      <c r="AA1253" s="1183"/>
      <c r="AB1253" s="372"/>
      <c r="AC1253" s="193"/>
      <c r="AD1253" s="193"/>
      <c r="AE1253" s="193"/>
      <c r="AF1253" s="1172">
        <f t="shared" ref="AF1253:AQ1253" si="487">AF1183*$C1183</f>
        <v>0</v>
      </c>
      <c r="AG1253" s="1172">
        <f t="shared" si="487"/>
        <v>0</v>
      </c>
      <c r="AH1253" s="1172">
        <f t="shared" si="487"/>
        <v>0</v>
      </c>
      <c r="AI1253" s="1172">
        <f t="shared" si="487"/>
        <v>0</v>
      </c>
      <c r="AJ1253" s="1172">
        <f t="shared" si="487"/>
        <v>0</v>
      </c>
      <c r="AK1253" s="1172">
        <f t="shared" si="487"/>
        <v>0</v>
      </c>
      <c r="AL1253" s="1172">
        <f t="shared" si="487"/>
        <v>0</v>
      </c>
      <c r="AM1253" s="1172">
        <f t="shared" si="487"/>
        <v>0</v>
      </c>
      <c r="AN1253" s="1172">
        <f t="shared" si="487"/>
        <v>0</v>
      </c>
      <c r="AO1253" s="1172">
        <f t="shared" si="487"/>
        <v>0</v>
      </c>
      <c r="AP1253" s="1172">
        <f t="shared" si="487"/>
        <v>0</v>
      </c>
      <c r="AQ1253" s="1618">
        <f t="shared" si="487"/>
        <v>0</v>
      </c>
    </row>
    <row r="1254" spans="2:43" ht="13.75" hidden="1" customHeight="1" x14ac:dyDescent="0.2">
      <c r="B1254" s="1586" t="str">
        <f t="shared" si="458"/>
        <v>Cosechar cultivos de invierno contratada</v>
      </c>
      <c r="C1254" s="1187"/>
      <c r="D1254" s="1183"/>
      <c r="E1254" s="372"/>
      <c r="F1254" s="193"/>
      <c r="G1254" s="193"/>
      <c r="H1254" s="193"/>
      <c r="I1254" s="1172">
        <f t="shared" ref="I1254:T1254" si="488">I1184*$C1184</f>
        <v>0</v>
      </c>
      <c r="J1254" s="1172">
        <f t="shared" si="488"/>
        <v>0</v>
      </c>
      <c r="K1254" s="1172">
        <f t="shared" si="488"/>
        <v>0</v>
      </c>
      <c r="L1254" s="1172">
        <f t="shared" si="488"/>
        <v>0</v>
      </c>
      <c r="M1254" s="1172">
        <f t="shared" si="488"/>
        <v>0</v>
      </c>
      <c r="N1254" s="1172">
        <f t="shared" si="488"/>
        <v>0</v>
      </c>
      <c r="O1254" s="1172">
        <f t="shared" si="488"/>
        <v>0</v>
      </c>
      <c r="P1254" s="1172">
        <f t="shared" si="488"/>
        <v>0</v>
      </c>
      <c r="Q1254" s="1172">
        <f t="shared" si="488"/>
        <v>0</v>
      </c>
      <c r="R1254" s="1172">
        <f t="shared" si="488"/>
        <v>0</v>
      </c>
      <c r="S1254" s="1172">
        <f t="shared" si="488"/>
        <v>0</v>
      </c>
      <c r="T1254" s="1618">
        <f t="shared" si="488"/>
        <v>0</v>
      </c>
      <c r="Y1254" s="1586" t="str">
        <f t="shared" si="460"/>
        <v>Cosechar cultivos de invierno contratada</v>
      </c>
      <c r="Z1254" s="1187"/>
      <c r="AA1254" s="1183"/>
      <c r="AB1254" s="372"/>
      <c r="AC1254" s="193"/>
      <c r="AD1254" s="193"/>
      <c r="AE1254" s="193"/>
      <c r="AF1254" s="1172">
        <f t="shared" ref="AF1254:AQ1254" si="489">AF1184*$C1184</f>
        <v>0</v>
      </c>
      <c r="AG1254" s="1172">
        <f t="shared" si="489"/>
        <v>0</v>
      </c>
      <c r="AH1254" s="1172">
        <f t="shared" si="489"/>
        <v>0</v>
      </c>
      <c r="AI1254" s="1172">
        <f t="shared" si="489"/>
        <v>0</v>
      </c>
      <c r="AJ1254" s="1172">
        <f t="shared" si="489"/>
        <v>0</v>
      </c>
      <c r="AK1254" s="1172">
        <f t="shared" si="489"/>
        <v>0</v>
      </c>
      <c r="AL1254" s="1172">
        <f t="shared" si="489"/>
        <v>0</v>
      </c>
      <c r="AM1254" s="1172">
        <f t="shared" si="489"/>
        <v>0</v>
      </c>
      <c r="AN1254" s="1172">
        <f t="shared" si="489"/>
        <v>0</v>
      </c>
      <c r="AO1254" s="1172">
        <f t="shared" si="489"/>
        <v>0</v>
      </c>
      <c r="AP1254" s="1172">
        <f t="shared" si="489"/>
        <v>0</v>
      </c>
      <c r="AQ1254" s="1618">
        <f t="shared" si="489"/>
        <v>0</v>
      </c>
    </row>
    <row r="1255" spans="2:43" ht="13.75" hidden="1" customHeight="1" x14ac:dyDescent="0.2">
      <c r="B1255" s="1586" t="str">
        <f t="shared" si="458"/>
        <v>Cosechar cultivos de verano contratada</v>
      </c>
      <c r="C1255" s="1187"/>
      <c r="D1255" s="1183"/>
      <c r="E1255" s="372"/>
      <c r="F1255" s="193"/>
      <c r="G1255" s="193"/>
      <c r="H1255" s="193"/>
      <c r="I1255" s="1172">
        <f t="shared" ref="I1255:T1255" si="490">I1185*$C1185</f>
        <v>0</v>
      </c>
      <c r="J1255" s="1172">
        <f t="shared" si="490"/>
        <v>0</v>
      </c>
      <c r="K1255" s="1172">
        <f t="shared" si="490"/>
        <v>0</v>
      </c>
      <c r="L1255" s="1172">
        <f t="shared" si="490"/>
        <v>0</v>
      </c>
      <c r="M1255" s="1172">
        <f t="shared" si="490"/>
        <v>0</v>
      </c>
      <c r="N1255" s="1172">
        <f t="shared" si="490"/>
        <v>0</v>
      </c>
      <c r="O1255" s="1172">
        <f t="shared" si="490"/>
        <v>0</v>
      </c>
      <c r="P1255" s="1172">
        <f t="shared" si="490"/>
        <v>0</v>
      </c>
      <c r="Q1255" s="1172">
        <f t="shared" si="490"/>
        <v>0</v>
      </c>
      <c r="R1255" s="1172">
        <f t="shared" si="490"/>
        <v>0</v>
      </c>
      <c r="S1255" s="1172">
        <f t="shared" si="490"/>
        <v>0</v>
      </c>
      <c r="T1255" s="1618">
        <f t="shared" si="490"/>
        <v>0</v>
      </c>
      <c r="Y1255" s="1586" t="str">
        <f t="shared" si="460"/>
        <v>Cosechar cultivos de verano contratada</v>
      </c>
      <c r="Z1255" s="1187"/>
      <c r="AA1255" s="1183"/>
      <c r="AB1255" s="372"/>
      <c r="AC1255" s="193"/>
      <c r="AD1255" s="193"/>
      <c r="AE1255" s="193"/>
      <c r="AF1255" s="1172">
        <f t="shared" ref="AF1255:AQ1255" si="491">AF1185*$C1185</f>
        <v>0</v>
      </c>
      <c r="AG1255" s="1172">
        <f t="shared" si="491"/>
        <v>0</v>
      </c>
      <c r="AH1255" s="1172">
        <f t="shared" si="491"/>
        <v>0</v>
      </c>
      <c r="AI1255" s="1172">
        <f t="shared" si="491"/>
        <v>0</v>
      </c>
      <c r="AJ1255" s="1172">
        <f t="shared" si="491"/>
        <v>0</v>
      </c>
      <c r="AK1255" s="1172">
        <f t="shared" si="491"/>
        <v>0</v>
      </c>
      <c r="AL1255" s="1172">
        <f t="shared" si="491"/>
        <v>0</v>
      </c>
      <c r="AM1255" s="1172">
        <f t="shared" si="491"/>
        <v>0</v>
      </c>
      <c r="AN1255" s="1172">
        <f t="shared" si="491"/>
        <v>0</v>
      </c>
      <c r="AO1255" s="1172">
        <f t="shared" si="491"/>
        <v>0</v>
      </c>
      <c r="AP1255" s="1172">
        <f t="shared" si="491"/>
        <v>0</v>
      </c>
      <c r="AQ1255" s="1618">
        <f t="shared" si="491"/>
        <v>0</v>
      </c>
    </row>
    <row r="1256" spans="2:43" ht="13.75" hidden="1" customHeight="1" x14ac:dyDescent="0.2">
      <c r="B1256" s="1586" t="str">
        <f t="shared" si="458"/>
        <v>Cosechar cultivos de invierno propia</v>
      </c>
      <c r="C1256" s="1187"/>
      <c r="D1256" s="1183"/>
      <c r="E1256" s="372"/>
      <c r="F1256" s="193"/>
      <c r="G1256" s="193"/>
      <c r="H1256" s="193"/>
      <c r="I1256" s="1172">
        <f t="shared" ref="I1256:T1256" si="492">I1186*$C1186</f>
        <v>0</v>
      </c>
      <c r="J1256" s="1172">
        <f t="shared" si="492"/>
        <v>0</v>
      </c>
      <c r="K1256" s="1172">
        <f t="shared" si="492"/>
        <v>0</v>
      </c>
      <c r="L1256" s="1172">
        <f t="shared" si="492"/>
        <v>0</v>
      </c>
      <c r="M1256" s="1172">
        <f t="shared" si="492"/>
        <v>0</v>
      </c>
      <c r="N1256" s="1172">
        <f t="shared" si="492"/>
        <v>0</v>
      </c>
      <c r="O1256" s="1172">
        <f t="shared" si="492"/>
        <v>0</v>
      </c>
      <c r="P1256" s="1172">
        <f t="shared" si="492"/>
        <v>0</v>
      </c>
      <c r="Q1256" s="1172">
        <f t="shared" si="492"/>
        <v>0</v>
      </c>
      <c r="R1256" s="1172">
        <f t="shared" si="492"/>
        <v>0</v>
      </c>
      <c r="S1256" s="1172">
        <f t="shared" si="492"/>
        <v>0</v>
      </c>
      <c r="T1256" s="1618">
        <f t="shared" si="492"/>
        <v>0</v>
      </c>
      <c r="Y1256" s="1586" t="str">
        <f t="shared" si="460"/>
        <v>Cosechar cultivos de invierno propia</v>
      </c>
      <c r="Z1256" s="1187"/>
      <c r="AA1256" s="1183"/>
      <c r="AB1256" s="372"/>
      <c r="AC1256" s="193"/>
      <c r="AD1256" s="193"/>
      <c r="AE1256" s="193"/>
      <c r="AF1256" s="1172">
        <f t="shared" ref="AF1256:AQ1256" si="493">AF1186*$C1186</f>
        <v>0</v>
      </c>
      <c r="AG1256" s="1172">
        <f t="shared" si="493"/>
        <v>0</v>
      </c>
      <c r="AH1256" s="1172">
        <f t="shared" si="493"/>
        <v>0</v>
      </c>
      <c r="AI1256" s="1172">
        <f t="shared" si="493"/>
        <v>0</v>
      </c>
      <c r="AJ1256" s="1172">
        <f t="shared" si="493"/>
        <v>0</v>
      </c>
      <c r="AK1256" s="1172">
        <f t="shared" si="493"/>
        <v>0</v>
      </c>
      <c r="AL1256" s="1172">
        <f t="shared" si="493"/>
        <v>0</v>
      </c>
      <c r="AM1256" s="1172">
        <f t="shared" si="493"/>
        <v>0</v>
      </c>
      <c r="AN1256" s="1172">
        <f t="shared" si="493"/>
        <v>0</v>
      </c>
      <c r="AO1256" s="1172">
        <f t="shared" si="493"/>
        <v>0</v>
      </c>
      <c r="AP1256" s="1172">
        <f t="shared" si="493"/>
        <v>0</v>
      </c>
      <c r="AQ1256" s="1618">
        <f t="shared" si="493"/>
        <v>0</v>
      </c>
    </row>
    <row r="1257" spans="2:43" ht="13.75" hidden="1" customHeight="1" x14ac:dyDescent="0.2">
      <c r="B1257" s="1586" t="str">
        <f t="shared" si="458"/>
        <v>Cosechar cultivos de verano propia</v>
      </c>
      <c r="C1257" s="1187"/>
      <c r="D1257" s="1183"/>
      <c r="E1257" s="372"/>
      <c r="F1257" s="193"/>
      <c r="G1257" s="193"/>
      <c r="H1257" s="193"/>
      <c r="I1257" s="1172">
        <f t="shared" ref="I1257:T1257" si="494">I1187*$C1187</f>
        <v>0</v>
      </c>
      <c r="J1257" s="1172">
        <f t="shared" si="494"/>
        <v>0</v>
      </c>
      <c r="K1257" s="1172">
        <f t="shared" si="494"/>
        <v>0</v>
      </c>
      <c r="L1257" s="1172">
        <f t="shared" si="494"/>
        <v>0</v>
      </c>
      <c r="M1257" s="1172">
        <f t="shared" si="494"/>
        <v>0</v>
      </c>
      <c r="N1257" s="1172">
        <f t="shared" si="494"/>
        <v>0</v>
      </c>
      <c r="O1257" s="1172">
        <f t="shared" si="494"/>
        <v>0</v>
      </c>
      <c r="P1257" s="1172">
        <f t="shared" si="494"/>
        <v>0</v>
      </c>
      <c r="Q1257" s="1172">
        <f t="shared" si="494"/>
        <v>0</v>
      </c>
      <c r="R1257" s="1172">
        <f t="shared" si="494"/>
        <v>0</v>
      </c>
      <c r="S1257" s="1172">
        <f t="shared" si="494"/>
        <v>0</v>
      </c>
      <c r="T1257" s="1618">
        <f t="shared" si="494"/>
        <v>0</v>
      </c>
      <c r="Y1257" s="1586" t="str">
        <f t="shared" si="460"/>
        <v>Cosechar cultivos de verano propia</v>
      </c>
      <c r="Z1257" s="1187"/>
      <c r="AA1257" s="1183"/>
      <c r="AB1257" s="372"/>
      <c r="AC1257" s="193"/>
      <c r="AD1257" s="193"/>
      <c r="AE1257" s="193"/>
      <c r="AF1257" s="1172">
        <f t="shared" ref="AF1257:AQ1257" si="495">AF1187*$C1187</f>
        <v>0</v>
      </c>
      <c r="AG1257" s="1172">
        <f t="shared" si="495"/>
        <v>0</v>
      </c>
      <c r="AH1257" s="1172">
        <f t="shared" si="495"/>
        <v>0</v>
      </c>
      <c r="AI1257" s="1172">
        <f t="shared" si="495"/>
        <v>0</v>
      </c>
      <c r="AJ1257" s="1172">
        <f t="shared" si="495"/>
        <v>0</v>
      </c>
      <c r="AK1257" s="1172">
        <f t="shared" si="495"/>
        <v>0</v>
      </c>
      <c r="AL1257" s="1172">
        <f t="shared" si="495"/>
        <v>0</v>
      </c>
      <c r="AM1257" s="1172">
        <f t="shared" si="495"/>
        <v>0</v>
      </c>
      <c r="AN1257" s="1172">
        <f t="shared" si="495"/>
        <v>0</v>
      </c>
      <c r="AO1257" s="1172">
        <f t="shared" si="495"/>
        <v>0</v>
      </c>
      <c r="AP1257" s="1172">
        <f t="shared" si="495"/>
        <v>0</v>
      </c>
      <c r="AQ1257" s="1618">
        <f t="shared" si="495"/>
        <v>0</v>
      </c>
    </row>
    <row r="1258" spans="2:43" ht="13.75" hidden="1" customHeight="1" x14ac:dyDescent="0.2">
      <c r="B1258" s="1586" t="str">
        <f t="shared" si="458"/>
        <v>Cosechar maíz</v>
      </c>
      <c r="C1258" s="1187"/>
      <c r="D1258" s="1183"/>
      <c r="E1258" s="372"/>
      <c r="F1258" s="193"/>
      <c r="G1258" s="193"/>
      <c r="H1258" s="193"/>
      <c r="I1258" s="1172">
        <f t="shared" ref="I1258:T1258" si="496">I1188*$C1188</f>
        <v>0</v>
      </c>
      <c r="J1258" s="1172">
        <f t="shared" si="496"/>
        <v>0</v>
      </c>
      <c r="K1258" s="1172">
        <f t="shared" si="496"/>
        <v>0</v>
      </c>
      <c r="L1258" s="1172">
        <f t="shared" si="496"/>
        <v>0</v>
      </c>
      <c r="M1258" s="1172">
        <f t="shared" si="496"/>
        <v>0</v>
      </c>
      <c r="N1258" s="1172">
        <f t="shared" si="496"/>
        <v>0</v>
      </c>
      <c r="O1258" s="1172">
        <f t="shared" si="496"/>
        <v>0</v>
      </c>
      <c r="P1258" s="1172">
        <f t="shared" si="496"/>
        <v>0</v>
      </c>
      <c r="Q1258" s="1172">
        <f t="shared" si="496"/>
        <v>0</v>
      </c>
      <c r="R1258" s="1172">
        <f t="shared" si="496"/>
        <v>0</v>
      </c>
      <c r="S1258" s="1172">
        <f t="shared" si="496"/>
        <v>0</v>
      </c>
      <c r="T1258" s="1618">
        <f t="shared" si="496"/>
        <v>0</v>
      </c>
      <c r="Y1258" s="1586" t="str">
        <f t="shared" si="460"/>
        <v>Cosechar maíz</v>
      </c>
      <c r="Z1258" s="1187"/>
      <c r="AA1258" s="1183"/>
      <c r="AB1258" s="372"/>
      <c r="AC1258" s="193"/>
      <c r="AD1258" s="193"/>
      <c r="AE1258" s="193"/>
      <c r="AF1258" s="1172">
        <f t="shared" ref="AF1258:AQ1258" si="497">AF1188*$C1188</f>
        <v>0</v>
      </c>
      <c r="AG1258" s="1172">
        <f t="shared" si="497"/>
        <v>0</v>
      </c>
      <c r="AH1258" s="1172">
        <f t="shared" si="497"/>
        <v>0</v>
      </c>
      <c r="AI1258" s="1172">
        <f t="shared" si="497"/>
        <v>0</v>
      </c>
      <c r="AJ1258" s="1172">
        <f t="shared" si="497"/>
        <v>0</v>
      </c>
      <c r="AK1258" s="1172">
        <f t="shared" si="497"/>
        <v>0</v>
      </c>
      <c r="AL1258" s="1172">
        <f t="shared" si="497"/>
        <v>0</v>
      </c>
      <c r="AM1258" s="1172">
        <f t="shared" si="497"/>
        <v>0</v>
      </c>
      <c r="AN1258" s="1172">
        <f t="shared" si="497"/>
        <v>0</v>
      </c>
      <c r="AO1258" s="1172">
        <f t="shared" si="497"/>
        <v>0</v>
      </c>
      <c r="AP1258" s="1172">
        <f t="shared" si="497"/>
        <v>0</v>
      </c>
      <c r="AQ1258" s="1618">
        <f t="shared" si="497"/>
        <v>0</v>
      </c>
    </row>
    <row r="1259" spans="2:43" ht="13.75" hidden="1" customHeight="1" x14ac:dyDescent="0.2">
      <c r="B1259" s="1586" t="str">
        <f t="shared" si="458"/>
        <v xml:space="preserve">Cosecha + hilerado </v>
      </c>
      <c r="C1259" s="1187"/>
      <c r="D1259" s="1183"/>
      <c r="E1259" s="372"/>
      <c r="F1259" s="193"/>
      <c r="G1259" s="193"/>
      <c r="H1259" s="193"/>
      <c r="I1259" s="1172">
        <f t="shared" ref="I1259:T1259" si="498">I1189*$C1189</f>
        <v>0</v>
      </c>
      <c r="J1259" s="1172">
        <f t="shared" si="498"/>
        <v>0</v>
      </c>
      <c r="K1259" s="1172">
        <f t="shared" si="498"/>
        <v>0</v>
      </c>
      <c r="L1259" s="1172">
        <f t="shared" si="498"/>
        <v>0</v>
      </c>
      <c r="M1259" s="1172">
        <f t="shared" si="498"/>
        <v>0</v>
      </c>
      <c r="N1259" s="1172">
        <f t="shared" si="498"/>
        <v>0</v>
      </c>
      <c r="O1259" s="1172">
        <f t="shared" si="498"/>
        <v>0</v>
      </c>
      <c r="P1259" s="1172">
        <f t="shared" si="498"/>
        <v>0</v>
      </c>
      <c r="Q1259" s="1172">
        <f t="shared" si="498"/>
        <v>0</v>
      </c>
      <c r="R1259" s="1172">
        <f t="shared" si="498"/>
        <v>0</v>
      </c>
      <c r="S1259" s="1172">
        <f t="shared" si="498"/>
        <v>0</v>
      </c>
      <c r="T1259" s="1618">
        <f t="shared" si="498"/>
        <v>0</v>
      </c>
      <c r="Y1259" s="1586" t="str">
        <f t="shared" si="460"/>
        <v xml:space="preserve">Cosecha + hilerado </v>
      </c>
      <c r="Z1259" s="1187"/>
      <c r="AA1259" s="1183"/>
      <c r="AB1259" s="372"/>
      <c r="AC1259" s="193"/>
      <c r="AD1259" s="193"/>
      <c r="AE1259" s="193"/>
      <c r="AF1259" s="1172">
        <f t="shared" ref="AF1259:AQ1259" si="499">AF1189*$C1189</f>
        <v>0</v>
      </c>
      <c r="AG1259" s="1172">
        <f t="shared" si="499"/>
        <v>0</v>
      </c>
      <c r="AH1259" s="1172">
        <f t="shared" si="499"/>
        <v>0</v>
      </c>
      <c r="AI1259" s="1172">
        <f t="shared" si="499"/>
        <v>0</v>
      </c>
      <c r="AJ1259" s="1172">
        <f t="shared" si="499"/>
        <v>0</v>
      </c>
      <c r="AK1259" s="1172">
        <f t="shared" si="499"/>
        <v>0</v>
      </c>
      <c r="AL1259" s="1172">
        <f t="shared" si="499"/>
        <v>0</v>
      </c>
      <c r="AM1259" s="1172">
        <f t="shared" si="499"/>
        <v>0</v>
      </c>
      <c r="AN1259" s="1172">
        <f t="shared" si="499"/>
        <v>0</v>
      </c>
      <c r="AO1259" s="1172">
        <f t="shared" si="499"/>
        <v>0</v>
      </c>
      <c r="AP1259" s="1172">
        <f t="shared" si="499"/>
        <v>0</v>
      </c>
      <c r="AQ1259" s="1618">
        <f t="shared" si="499"/>
        <v>0</v>
      </c>
    </row>
    <row r="1260" spans="2:43" ht="13.75" hidden="1" customHeight="1" x14ac:dyDescent="0.2">
      <c r="B1260" s="1586" t="str">
        <f t="shared" si="458"/>
        <v>Embolsar grano U$D/t (incluye materiales)</v>
      </c>
      <c r="C1260" s="1187"/>
      <c r="D1260" s="1183"/>
      <c r="E1260" s="372"/>
      <c r="F1260" s="193"/>
      <c r="G1260" s="193"/>
      <c r="H1260" s="193"/>
      <c r="I1260" s="1172">
        <f t="shared" ref="I1260:T1260" si="500">I1190*$C1190</f>
        <v>0</v>
      </c>
      <c r="J1260" s="1172">
        <f t="shared" si="500"/>
        <v>0</v>
      </c>
      <c r="K1260" s="1172">
        <f t="shared" si="500"/>
        <v>0</v>
      </c>
      <c r="L1260" s="1172">
        <f t="shared" si="500"/>
        <v>0</v>
      </c>
      <c r="M1260" s="1172">
        <f t="shared" si="500"/>
        <v>0</v>
      </c>
      <c r="N1260" s="1172">
        <f t="shared" si="500"/>
        <v>0</v>
      </c>
      <c r="O1260" s="1172">
        <f t="shared" si="500"/>
        <v>0</v>
      </c>
      <c r="P1260" s="1172">
        <f t="shared" si="500"/>
        <v>0</v>
      </c>
      <c r="Q1260" s="1172">
        <f t="shared" si="500"/>
        <v>0</v>
      </c>
      <c r="R1260" s="1172">
        <f t="shared" si="500"/>
        <v>0</v>
      </c>
      <c r="S1260" s="1172">
        <f t="shared" si="500"/>
        <v>0</v>
      </c>
      <c r="T1260" s="1618">
        <f t="shared" si="500"/>
        <v>0</v>
      </c>
      <c r="Y1260" s="1586" t="str">
        <f t="shared" si="460"/>
        <v>Embolsar grano U$D/t (incluye materiales)</v>
      </c>
      <c r="Z1260" s="1187"/>
      <c r="AA1260" s="1183"/>
      <c r="AB1260" s="372"/>
      <c r="AC1260" s="193"/>
      <c r="AD1260" s="193"/>
      <c r="AE1260" s="193"/>
      <c r="AF1260" s="1172">
        <f t="shared" ref="AF1260:AQ1260" si="501">AF1190*$C1190</f>
        <v>0</v>
      </c>
      <c r="AG1260" s="1172">
        <f t="shared" si="501"/>
        <v>0</v>
      </c>
      <c r="AH1260" s="1172">
        <f t="shared" si="501"/>
        <v>0</v>
      </c>
      <c r="AI1260" s="1172">
        <f t="shared" si="501"/>
        <v>0</v>
      </c>
      <c r="AJ1260" s="1172">
        <f t="shared" si="501"/>
        <v>0</v>
      </c>
      <c r="AK1260" s="1172">
        <f t="shared" si="501"/>
        <v>0</v>
      </c>
      <c r="AL1260" s="1172">
        <f t="shared" si="501"/>
        <v>0</v>
      </c>
      <c r="AM1260" s="1172">
        <f t="shared" si="501"/>
        <v>0</v>
      </c>
      <c r="AN1260" s="1172">
        <f t="shared" si="501"/>
        <v>0</v>
      </c>
      <c r="AO1260" s="1172">
        <f t="shared" si="501"/>
        <v>0</v>
      </c>
      <c r="AP1260" s="1172">
        <f t="shared" si="501"/>
        <v>0</v>
      </c>
      <c r="AQ1260" s="1618">
        <f t="shared" si="501"/>
        <v>0</v>
      </c>
    </row>
    <row r="1261" spans="2:43" ht="13.75" hidden="1" customHeight="1" x14ac:dyDescent="0.2">
      <c r="B1261" s="1586" t="str">
        <f t="shared" si="458"/>
        <v>Cosechar semillero de leguminosa</v>
      </c>
      <c r="C1261" s="1187"/>
      <c r="D1261" s="1183"/>
      <c r="E1261" s="372"/>
      <c r="F1261" s="193"/>
      <c r="G1261" s="193"/>
      <c r="H1261" s="193"/>
      <c r="I1261" s="1172">
        <f t="shared" ref="I1261:T1261" si="502">I1191*$C1191</f>
        <v>0</v>
      </c>
      <c r="J1261" s="1172">
        <f t="shared" si="502"/>
        <v>0</v>
      </c>
      <c r="K1261" s="1172">
        <f t="shared" si="502"/>
        <v>0</v>
      </c>
      <c r="L1261" s="1172">
        <f t="shared" si="502"/>
        <v>0</v>
      </c>
      <c r="M1261" s="1172">
        <f t="shared" si="502"/>
        <v>0</v>
      </c>
      <c r="N1261" s="1172">
        <f t="shared" si="502"/>
        <v>0</v>
      </c>
      <c r="O1261" s="1172">
        <f t="shared" si="502"/>
        <v>0</v>
      </c>
      <c r="P1261" s="1172">
        <f t="shared" si="502"/>
        <v>0</v>
      </c>
      <c r="Q1261" s="1172">
        <f t="shared" si="502"/>
        <v>0</v>
      </c>
      <c r="R1261" s="1172">
        <f t="shared" si="502"/>
        <v>0</v>
      </c>
      <c r="S1261" s="1172">
        <f t="shared" si="502"/>
        <v>0</v>
      </c>
      <c r="T1261" s="1618">
        <f t="shared" si="502"/>
        <v>0</v>
      </c>
      <c r="Y1261" s="1586" t="str">
        <f t="shared" si="460"/>
        <v>Cosechar semillero de leguminosa</v>
      </c>
      <c r="Z1261" s="1187"/>
      <c r="AA1261" s="1183"/>
      <c r="AB1261" s="372"/>
      <c r="AC1261" s="193"/>
      <c r="AD1261" s="193"/>
      <c r="AE1261" s="193"/>
      <c r="AF1261" s="1172">
        <f t="shared" ref="AF1261:AQ1261" si="503">AF1191*$C1191</f>
        <v>0</v>
      </c>
      <c r="AG1261" s="1172">
        <f t="shared" si="503"/>
        <v>0</v>
      </c>
      <c r="AH1261" s="1172">
        <f t="shared" si="503"/>
        <v>0</v>
      </c>
      <c r="AI1261" s="1172">
        <f t="shared" si="503"/>
        <v>0</v>
      </c>
      <c r="AJ1261" s="1172">
        <f t="shared" si="503"/>
        <v>0</v>
      </c>
      <c r="AK1261" s="1172">
        <f t="shared" si="503"/>
        <v>0</v>
      </c>
      <c r="AL1261" s="1172">
        <f t="shared" si="503"/>
        <v>0</v>
      </c>
      <c r="AM1261" s="1172">
        <f t="shared" si="503"/>
        <v>0</v>
      </c>
      <c r="AN1261" s="1172">
        <f t="shared" si="503"/>
        <v>0</v>
      </c>
      <c r="AO1261" s="1172">
        <f t="shared" si="503"/>
        <v>0</v>
      </c>
      <c r="AP1261" s="1172">
        <f t="shared" si="503"/>
        <v>0</v>
      </c>
      <c r="AQ1261" s="1618">
        <f t="shared" si="503"/>
        <v>0</v>
      </c>
    </row>
    <row r="1262" spans="2:43" ht="13.75" hidden="1" customHeight="1" x14ac:dyDescent="0.2">
      <c r="B1262" s="1586" t="str">
        <f t="shared" si="458"/>
        <v>Cosechar semillero de gramínea</v>
      </c>
      <c r="C1262" s="1187"/>
      <c r="D1262" s="1183"/>
      <c r="E1262" s="372"/>
      <c r="F1262" s="193"/>
      <c r="G1262" s="193"/>
      <c r="H1262" s="193"/>
      <c r="I1262" s="1172">
        <f t="shared" ref="I1262:T1262" si="504">I1192*$C1192</f>
        <v>0</v>
      </c>
      <c r="J1262" s="1172">
        <f t="shared" si="504"/>
        <v>0</v>
      </c>
      <c r="K1262" s="1172">
        <f t="shared" si="504"/>
        <v>0</v>
      </c>
      <c r="L1262" s="1172">
        <f t="shared" si="504"/>
        <v>0</v>
      </c>
      <c r="M1262" s="1172">
        <f t="shared" si="504"/>
        <v>0</v>
      </c>
      <c r="N1262" s="1172">
        <f t="shared" si="504"/>
        <v>0</v>
      </c>
      <c r="O1262" s="1172">
        <f t="shared" si="504"/>
        <v>0</v>
      </c>
      <c r="P1262" s="1172">
        <f t="shared" si="504"/>
        <v>0</v>
      </c>
      <c r="Q1262" s="1172">
        <f t="shared" si="504"/>
        <v>0</v>
      </c>
      <c r="R1262" s="1172">
        <f t="shared" si="504"/>
        <v>0</v>
      </c>
      <c r="S1262" s="1172">
        <f t="shared" si="504"/>
        <v>0</v>
      </c>
      <c r="T1262" s="1618">
        <f t="shared" si="504"/>
        <v>0</v>
      </c>
      <c r="Y1262" s="1586" t="str">
        <f t="shared" si="460"/>
        <v>Cosechar semillero de gramínea</v>
      </c>
      <c r="Z1262" s="1187"/>
      <c r="AA1262" s="1183"/>
      <c r="AB1262" s="372"/>
      <c r="AC1262" s="193"/>
      <c r="AD1262" s="193"/>
      <c r="AE1262" s="193"/>
      <c r="AF1262" s="1172">
        <f t="shared" ref="AF1262:AQ1262" si="505">AF1192*$C1192</f>
        <v>0</v>
      </c>
      <c r="AG1262" s="1172">
        <f t="shared" si="505"/>
        <v>0</v>
      </c>
      <c r="AH1262" s="1172">
        <f t="shared" si="505"/>
        <v>0</v>
      </c>
      <c r="AI1262" s="1172">
        <f t="shared" si="505"/>
        <v>0</v>
      </c>
      <c r="AJ1262" s="1172">
        <f t="shared" si="505"/>
        <v>0</v>
      </c>
      <c r="AK1262" s="1172">
        <f t="shared" si="505"/>
        <v>0</v>
      </c>
      <c r="AL1262" s="1172">
        <f t="shared" si="505"/>
        <v>0</v>
      </c>
      <c r="AM1262" s="1172">
        <f t="shared" si="505"/>
        <v>0</v>
      </c>
      <c r="AN1262" s="1172">
        <f t="shared" si="505"/>
        <v>0</v>
      </c>
      <c r="AO1262" s="1172">
        <f t="shared" si="505"/>
        <v>0</v>
      </c>
      <c r="AP1262" s="1172">
        <f t="shared" si="505"/>
        <v>0</v>
      </c>
      <c r="AQ1262" s="1618">
        <f t="shared" si="505"/>
        <v>0</v>
      </c>
    </row>
    <row r="1263" spans="2:43" ht="13.75" hidden="1" customHeight="1" x14ac:dyDescent="0.2">
      <c r="B1263" s="1586" t="str">
        <f t="shared" si="458"/>
        <v>Ensilar Silo de Maíz</v>
      </c>
      <c r="C1263" s="1187"/>
      <c r="D1263" s="1183"/>
      <c r="E1263" s="372"/>
      <c r="F1263" s="193"/>
      <c r="G1263" s="193"/>
      <c r="H1263" s="193"/>
      <c r="I1263" s="1172">
        <f t="shared" ref="I1263:T1263" si="506">I1193*$C1193</f>
        <v>0</v>
      </c>
      <c r="J1263" s="1172">
        <f t="shared" si="506"/>
        <v>0</v>
      </c>
      <c r="K1263" s="1172">
        <f t="shared" si="506"/>
        <v>0</v>
      </c>
      <c r="L1263" s="1172">
        <f t="shared" si="506"/>
        <v>0</v>
      </c>
      <c r="M1263" s="1172">
        <f t="shared" si="506"/>
        <v>0</v>
      </c>
      <c r="N1263" s="1172">
        <f t="shared" si="506"/>
        <v>0</v>
      </c>
      <c r="O1263" s="1172">
        <f t="shared" si="506"/>
        <v>0</v>
      </c>
      <c r="P1263" s="1172">
        <f t="shared" si="506"/>
        <v>0</v>
      </c>
      <c r="Q1263" s="1172">
        <f t="shared" si="506"/>
        <v>0</v>
      </c>
      <c r="R1263" s="1172">
        <f t="shared" si="506"/>
        <v>0</v>
      </c>
      <c r="S1263" s="1172">
        <f t="shared" si="506"/>
        <v>0</v>
      </c>
      <c r="T1263" s="1618">
        <f t="shared" si="506"/>
        <v>0</v>
      </c>
      <c r="Y1263" s="1586" t="str">
        <f t="shared" si="460"/>
        <v>Ensilar Silo de Maíz</v>
      </c>
      <c r="Z1263" s="1187"/>
      <c r="AA1263" s="1183"/>
      <c r="AB1263" s="372"/>
      <c r="AC1263" s="193"/>
      <c r="AD1263" s="193"/>
      <c r="AE1263" s="193"/>
      <c r="AF1263" s="1172">
        <f t="shared" ref="AF1263:AQ1263" si="507">AF1193*$C1193</f>
        <v>0</v>
      </c>
      <c r="AG1263" s="1172">
        <f t="shared" si="507"/>
        <v>0</v>
      </c>
      <c r="AH1263" s="1172">
        <f t="shared" si="507"/>
        <v>0</v>
      </c>
      <c r="AI1263" s="1172">
        <f t="shared" si="507"/>
        <v>0</v>
      </c>
      <c r="AJ1263" s="1172">
        <f t="shared" si="507"/>
        <v>0</v>
      </c>
      <c r="AK1263" s="1172">
        <f t="shared" si="507"/>
        <v>0</v>
      </c>
      <c r="AL1263" s="1172">
        <f t="shared" si="507"/>
        <v>0</v>
      </c>
      <c r="AM1263" s="1172">
        <f t="shared" si="507"/>
        <v>0</v>
      </c>
      <c r="AN1263" s="1172">
        <f t="shared" si="507"/>
        <v>0</v>
      </c>
      <c r="AO1263" s="1172">
        <f t="shared" si="507"/>
        <v>0</v>
      </c>
      <c r="AP1263" s="1172">
        <f t="shared" si="507"/>
        <v>0</v>
      </c>
      <c r="AQ1263" s="1618">
        <f t="shared" si="507"/>
        <v>0</v>
      </c>
    </row>
    <row r="1264" spans="2:43" ht="13.75" hidden="1" customHeight="1" x14ac:dyDescent="0.2">
      <c r="B1264" s="1586" t="str">
        <f t="shared" si="458"/>
        <v>Enfardar</v>
      </c>
      <c r="C1264" s="1187"/>
      <c r="D1264" s="1183"/>
      <c r="E1264" s="372"/>
      <c r="F1264" s="193"/>
      <c r="G1264" s="193"/>
      <c r="H1264" s="193"/>
      <c r="I1264" s="1172">
        <f t="shared" ref="I1264:T1264" si="508">I1194*$C1194</f>
        <v>0</v>
      </c>
      <c r="J1264" s="1172">
        <f t="shared" si="508"/>
        <v>0</v>
      </c>
      <c r="K1264" s="1172">
        <f t="shared" si="508"/>
        <v>0</v>
      </c>
      <c r="L1264" s="1172">
        <f t="shared" si="508"/>
        <v>0</v>
      </c>
      <c r="M1264" s="1172">
        <f t="shared" si="508"/>
        <v>0</v>
      </c>
      <c r="N1264" s="1172">
        <f t="shared" si="508"/>
        <v>0</v>
      </c>
      <c r="O1264" s="1172">
        <f t="shared" si="508"/>
        <v>0</v>
      </c>
      <c r="P1264" s="1172">
        <f t="shared" si="508"/>
        <v>0</v>
      </c>
      <c r="Q1264" s="1172">
        <f t="shared" si="508"/>
        <v>0</v>
      </c>
      <c r="R1264" s="1172">
        <f t="shared" si="508"/>
        <v>0</v>
      </c>
      <c r="S1264" s="1172">
        <f t="shared" si="508"/>
        <v>0</v>
      </c>
      <c r="T1264" s="1618">
        <f t="shared" si="508"/>
        <v>0</v>
      </c>
      <c r="Y1264" s="1586" t="str">
        <f t="shared" si="460"/>
        <v>Enfardar</v>
      </c>
      <c r="Z1264" s="1187"/>
      <c r="AA1264" s="1183"/>
      <c r="AB1264" s="372"/>
      <c r="AC1264" s="193"/>
      <c r="AD1264" s="193"/>
      <c r="AE1264" s="193"/>
      <c r="AF1264" s="1172">
        <f t="shared" ref="AF1264:AQ1264" si="509">AF1194*$C1194</f>
        <v>0</v>
      </c>
      <c r="AG1264" s="1172">
        <f t="shared" si="509"/>
        <v>0</v>
      </c>
      <c r="AH1264" s="1172">
        <f t="shared" si="509"/>
        <v>0</v>
      </c>
      <c r="AI1264" s="1172">
        <f t="shared" si="509"/>
        <v>0</v>
      </c>
      <c r="AJ1264" s="1172">
        <f t="shared" si="509"/>
        <v>0</v>
      </c>
      <c r="AK1264" s="1172">
        <f t="shared" si="509"/>
        <v>0</v>
      </c>
      <c r="AL1264" s="1172">
        <f t="shared" si="509"/>
        <v>0</v>
      </c>
      <c r="AM1264" s="1172">
        <f t="shared" si="509"/>
        <v>0</v>
      </c>
      <c r="AN1264" s="1172">
        <f t="shared" si="509"/>
        <v>0</v>
      </c>
      <c r="AO1264" s="1172">
        <f t="shared" si="509"/>
        <v>0</v>
      </c>
      <c r="AP1264" s="1172">
        <f t="shared" si="509"/>
        <v>0</v>
      </c>
      <c r="AQ1264" s="1618">
        <f t="shared" si="509"/>
        <v>0</v>
      </c>
    </row>
    <row r="1265" spans="1:43" ht="13.75" hidden="1" customHeight="1" x14ac:dyDescent="0.2">
      <c r="B1265" s="1586" t="str">
        <f t="shared" si="458"/>
        <v>Ensilar Verdeos de Invierno / Praderas</v>
      </c>
      <c r="C1265" s="1187"/>
      <c r="D1265" s="1183"/>
      <c r="E1265" s="372"/>
      <c r="F1265" s="193"/>
      <c r="G1265" s="193"/>
      <c r="H1265" s="193"/>
      <c r="I1265" s="1172">
        <f t="shared" ref="I1265:T1265" si="510">I1195*$C1195</f>
        <v>0</v>
      </c>
      <c r="J1265" s="1172">
        <f t="shared" si="510"/>
        <v>0</v>
      </c>
      <c r="K1265" s="1172">
        <f t="shared" si="510"/>
        <v>0</v>
      </c>
      <c r="L1265" s="1172">
        <f t="shared" si="510"/>
        <v>0</v>
      </c>
      <c r="M1265" s="1172">
        <f t="shared" si="510"/>
        <v>0</v>
      </c>
      <c r="N1265" s="1172">
        <f t="shared" si="510"/>
        <v>0</v>
      </c>
      <c r="O1265" s="1172">
        <f t="shared" si="510"/>
        <v>0</v>
      </c>
      <c r="P1265" s="1172">
        <f t="shared" si="510"/>
        <v>0</v>
      </c>
      <c r="Q1265" s="1172">
        <f t="shared" si="510"/>
        <v>0</v>
      </c>
      <c r="R1265" s="1172">
        <f t="shared" si="510"/>
        <v>0</v>
      </c>
      <c r="S1265" s="1172">
        <f t="shared" si="510"/>
        <v>0</v>
      </c>
      <c r="T1265" s="1618">
        <f t="shared" si="510"/>
        <v>0</v>
      </c>
      <c r="Y1265" s="1586" t="str">
        <f t="shared" si="460"/>
        <v>Ensilar Verdeos de Invierno / Praderas</v>
      </c>
      <c r="Z1265" s="1187"/>
      <c r="AA1265" s="1183"/>
      <c r="AB1265" s="372"/>
      <c r="AC1265" s="193"/>
      <c r="AD1265" s="193"/>
      <c r="AE1265" s="193"/>
      <c r="AF1265" s="1172">
        <f t="shared" ref="AF1265:AQ1265" si="511">AF1195*$C1195</f>
        <v>0</v>
      </c>
      <c r="AG1265" s="1172">
        <f t="shared" si="511"/>
        <v>0</v>
      </c>
      <c r="AH1265" s="1172">
        <f t="shared" si="511"/>
        <v>0</v>
      </c>
      <c r="AI1265" s="1172">
        <f t="shared" si="511"/>
        <v>0</v>
      </c>
      <c r="AJ1265" s="1172">
        <f t="shared" si="511"/>
        <v>0</v>
      </c>
      <c r="AK1265" s="1172">
        <f t="shared" si="511"/>
        <v>0</v>
      </c>
      <c r="AL1265" s="1172">
        <f t="shared" si="511"/>
        <v>0</v>
      </c>
      <c r="AM1265" s="1172">
        <f t="shared" si="511"/>
        <v>0</v>
      </c>
      <c r="AN1265" s="1172">
        <f t="shared" si="511"/>
        <v>0</v>
      </c>
      <c r="AO1265" s="1172">
        <f t="shared" si="511"/>
        <v>0</v>
      </c>
      <c r="AP1265" s="1172">
        <f t="shared" si="511"/>
        <v>0</v>
      </c>
      <c r="AQ1265" s="1618">
        <f t="shared" si="511"/>
        <v>0</v>
      </c>
    </row>
    <row r="1266" spans="1:43" ht="13.75" hidden="1" customHeight="1" x14ac:dyDescent="0.2">
      <c r="B1266" s="1586">
        <f t="shared" si="458"/>
        <v>0</v>
      </c>
      <c r="C1266" s="1187"/>
      <c r="D1266" s="1183"/>
      <c r="E1266" s="372"/>
      <c r="F1266" s="193"/>
      <c r="G1266" s="193"/>
      <c r="H1266" s="193"/>
      <c r="I1266" s="1172">
        <f t="shared" ref="I1266:T1266" si="512">I1196*$C1196</f>
        <v>0</v>
      </c>
      <c r="J1266" s="1172">
        <f t="shared" si="512"/>
        <v>0</v>
      </c>
      <c r="K1266" s="1172">
        <f t="shared" si="512"/>
        <v>0</v>
      </c>
      <c r="L1266" s="1172">
        <f t="shared" si="512"/>
        <v>0</v>
      </c>
      <c r="M1266" s="1172">
        <f t="shared" si="512"/>
        <v>0</v>
      </c>
      <c r="N1266" s="1172">
        <f t="shared" si="512"/>
        <v>0</v>
      </c>
      <c r="O1266" s="1172">
        <f t="shared" si="512"/>
        <v>0</v>
      </c>
      <c r="P1266" s="1172">
        <f t="shared" si="512"/>
        <v>0</v>
      </c>
      <c r="Q1266" s="1172">
        <f t="shared" si="512"/>
        <v>0</v>
      </c>
      <c r="R1266" s="1172">
        <f t="shared" si="512"/>
        <v>0</v>
      </c>
      <c r="S1266" s="1172">
        <f t="shared" si="512"/>
        <v>0</v>
      </c>
      <c r="T1266" s="1618">
        <f t="shared" si="512"/>
        <v>0</v>
      </c>
      <c r="Y1266" s="1586">
        <f t="shared" si="460"/>
        <v>0</v>
      </c>
      <c r="Z1266" s="1187"/>
      <c r="AA1266" s="1183"/>
      <c r="AB1266" s="372"/>
      <c r="AC1266" s="193"/>
      <c r="AD1266" s="193"/>
      <c r="AE1266" s="193"/>
      <c r="AF1266" s="1172">
        <f t="shared" ref="AF1266:AQ1266" si="513">AF1196*$C1196</f>
        <v>0</v>
      </c>
      <c r="AG1266" s="1172">
        <f t="shared" si="513"/>
        <v>0</v>
      </c>
      <c r="AH1266" s="1172">
        <f t="shared" si="513"/>
        <v>0</v>
      </c>
      <c r="AI1266" s="1172">
        <f t="shared" si="513"/>
        <v>0</v>
      </c>
      <c r="AJ1266" s="1172">
        <f t="shared" si="513"/>
        <v>0</v>
      </c>
      <c r="AK1266" s="1172">
        <f t="shared" si="513"/>
        <v>0</v>
      </c>
      <c r="AL1266" s="1172">
        <f t="shared" si="513"/>
        <v>0</v>
      </c>
      <c r="AM1266" s="1172">
        <f t="shared" si="513"/>
        <v>0</v>
      </c>
      <c r="AN1266" s="1172">
        <f t="shared" si="513"/>
        <v>0</v>
      </c>
      <c r="AO1266" s="1172">
        <f t="shared" si="513"/>
        <v>0</v>
      </c>
      <c r="AP1266" s="1172">
        <f t="shared" si="513"/>
        <v>0</v>
      </c>
      <c r="AQ1266" s="1618">
        <f t="shared" si="513"/>
        <v>0</v>
      </c>
    </row>
    <row r="1267" spans="1:43" ht="13.75" hidden="1" customHeight="1" x14ac:dyDescent="0.2">
      <c r="B1267" s="1619">
        <f t="shared" si="458"/>
        <v>0</v>
      </c>
      <c r="C1267" s="1188"/>
      <c r="D1267" s="1183"/>
      <c r="E1267" s="372"/>
      <c r="F1267" s="193"/>
      <c r="G1267" s="193"/>
      <c r="H1267" s="193"/>
      <c r="I1267" s="1189">
        <f t="shared" ref="I1267:T1267" si="514">I1197*$C1197</f>
        <v>0</v>
      </c>
      <c r="J1267" s="1189">
        <f t="shared" si="514"/>
        <v>0</v>
      </c>
      <c r="K1267" s="1189">
        <f t="shared" si="514"/>
        <v>0</v>
      </c>
      <c r="L1267" s="1189">
        <f t="shared" si="514"/>
        <v>0</v>
      </c>
      <c r="M1267" s="1189">
        <f t="shared" si="514"/>
        <v>0</v>
      </c>
      <c r="N1267" s="1189">
        <f t="shared" si="514"/>
        <v>0</v>
      </c>
      <c r="O1267" s="1189">
        <f t="shared" si="514"/>
        <v>0</v>
      </c>
      <c r="P1267" s="1189">
        <f t="shared" si="514"/>
        <v>0</v>
      </c>
      <c r="Q1267" s="1189">
        <f t="shared" si="514"/>
        <v>0</v>
      </c>
      <c r="R1267" s="1189">
        <f t="shared" si="514"/>
        <v>0</v>
      </c>
      <c r="S1267" s="1189">
        <f t="shared" si="514"/>
        <v>0</v>
      </c>
      <c r="T1267" s="1620">
        <f t="shared" si="514"/>
        <v>0</v>
      </c>
      <c r="Y1267" s="1619">
        <f t="shared" si="460"/>
        <v>0</v>
      </c>
      <c r="Z1267" s="1188"/>
      <c r="AA1267" s="1183"/>
      <c r="AB1267" s="372"/>
      <c r="AC1267" s="193"/>
      <c r="AD1267" s="193"/>
      <c r="AE1267" s="193"/>
      <c r="AF1267" s="1189">
        <f t="shared" ref="AF1267:AQ1267" si="515">AF1197*$C1197</f>
        <v>0</v>
      </c>
      <c r="AG1267" s="1189">
        <f t="shared" si="515"/>
        <v>0</v>
      </c>
      <c r="AH1267" s="1189">
        <f t="shared" si="515"/>
        <v>0</v>
      </c>
      <c r="AI1267" s="1189">
        <f t="shared" si="515"/>
        <v>0</v>
      </c>
      <c r="AJ1267" s="1189">
        <f t="shared" si="515"/>
        <v>0</v>
      </c>
      <c r="AK1267" s="1189">
        <f t="shared" si="515"/>
        <v>0</v>
      </c>
      <c r="AL1267" s="1189">
        <f t="shared" si="515"/>
        <v>0</v>
      </c>
      <c r="AM1267" s="1189">
        <f t="shared" si="515"/>
        <v>0</v>
      </c>
      <c r="AN1267" s="1189">
        <f t="shared" si="515"/>
        <v>0</v>
      </c>
      <c r="AO1267" s="1189">
        <f t="shared" si="515"/>
        <v>0</v>
      </c>
      <c r="AP1267" s="1189">
        <f t="shared" si="515"/>
        <v>0</v>
      </c>
      <c r="AQ1267" s="1620">
        <f t="shared" si="515"/>
        <v>0</v>
      </c>
    </row>
    <row r="1268" spans="1:43" ht="13.75" hidden="1" customHeight="1" x14ac:dyDescent="0.2">
      <c r="B1268" s="1586" t="str">
        <f t="shared" si="458"/>
        <v>Maquinaria</v>
      </c>
      <c r="C1268" s="1187"/>
      <c r="D1268" s="1201"/>
      <c r="E1268" s="1633"/>
      <c r="F1268" s="374"/>
      <c r="G1268" s="374"/>
      <c r="H1268" s="374"/>
      <c r="I1268" s="1172">
        <f ca="1">I1198*$C1198</f>
        <v>0</v>
      </c>
      <c r="J1268" s="1172">
        <f t="shared" ref="J1268:T1268" ca="1" si="516">J1198*$C1198</f>
        <v>0</v>
      </c>
      <c r="K1268" s="1172">
        <f t="shared" ca="1" si="516"/>
        <v>0</v>
      </c>
      <c r="L1268" s="1172">
        <f t="shared" ca="1" si="516"/>
        <v>0</v>
      </c>
      <c r="M1268" s="1172">
        <f t="shared" ca="1" si="516"/>
        <v>0</v>
      </c>
      <c r="N1268" s="1172">
        <f t="shared" ca="1" si="516"/>
        <v>0</v>
      </c>
      <c r="O1268" s="1172">
        <f t="shared" ca="1" si="516"/>
        <v>0</v>
      </c>
      <c r="P1268" s="1172">
        <f t="shared" ca="1" si="516"/>
        <v>0</v>
      </c>
      <c r="Q1268" s="1172">
        <f t="shared" ca="1" si="516"/>
        <v>0</v>
      </c>
      <c r="R1268" s="1172">
        <f t="shared" ca="1" si="516"/>
        <v>0</v>
      </c>
      <c r="S1268" s="1172">
        <f t="shared" ca="1" si="516"/>
        <v>0</v>
      </c>
      <c r="T1268" s="1618">
        <f t="shared" ca="1" si="516"/>
        <v>0</v>
      </c>
      <c r="Y1268" s="1637"/>
      <c r="Z1268" s="1638"/>
      <c r="AA1268" s="374"/>
      <c r="AB1268" s="1633"/>
      <c r="AC1268" s="374"/>
      <c r="AD1268" s="374"/>
      <c r="AE1268" s="374"/>
      <c r="AF1268" s="1633"/>
      <c r="AG1268" s="1633"/>
      <c r="AH1268" s="1633"/>
      <c r="AI1268" s="1633"/>
      <c r="AJ1268" s="1633"/>
      <c r="AK1268" s="1633"/>
      <c r="AL1268" s="1633"/>
      <c r="AM1268" s="1633"/>
      <c r="AN1268" s="1633"/>
      <c r="AO1268" s="1633"/>
      <c r="AP1268" s="1633"/>
      <c r="AQ1268" s="1633"/>
    </row>
    <row r="1269" spans="1:43" ht="13.75" hidden="1" customHeight="1" x14ac:dyDescent="0.2">
      <c r="B1269" s="1586" t="str">
        <f t="shared" si="458"/>
        <v>Maquinaria</v>
      </c>
      <c r="C1269" s="1187"/>
      <c r="D1269" s="1183"/>
      <c r="E1269" s="372"/>
      <c r="F1269" s="193"/>
      <c r="G1269" s="193"/>
      <c r="H1269" s="193"/>
      <c r="I1269" s="1172">
        <f t="shared" ref="I1269:T1269" si="517">I1199*$C1199</f>
        <v>0</v>
      </c>
      <c r="J1269" s="1172">
        <f t="shared" si="517"/>
        <v>0</v>
      </c>
      <c r="K1269" s="1172">
        <f t="shared" si="517"/>
        <v>0</v>
      </c>
      <c r="L1269" s="1172">
        <f t="shared" si="517"/>
        <v>0</v>
      </c>
      <c r="M1269" s="1172">
        <f t="shared" si="517"/>
        <v>0</v>
      </c>
      <c r="N1269" s="1172">
        <f t="shared" si="517"/>
        <v>0</v>
      </c>
      <c r="O1269" s="1172">
        <f t="shared" si="517"/>
        <v>0</v>
      </c>
      <c r="P1269" s="1172">
        <f t="shared" si="517"/>
        <v>0</v>
      </c>
      <c r="Q1269" s="1172">
        <f t="shared" si="517"/>
        <v>0</v>
      </c>
      <c r="R1269" s="1172">
        <f t="shared" si="517"/>
        <v>0</v>
      </c>
      <c r="S1269" s="1172">
        <f t="shared" si="517"/>
        <v>0</v>
      </c>
      <c r="T1269" s="1618">
        <f t="shared" si="517"/>
        <v>0</v>
      </c>
      <c r="Y1269" s="1637"/>
      <c r="Z1269" s="1638"/>
      <c r="AA1269" s="374"/>
      <c r="AB1269" s="1633"/>
      <c r="AC1269" s="374"/>
      <c r="AD1269" s="374"/>
      <c r="AE1269" s="374"/>
      <c r="AF1269" s="1633"/>
      <c r="AG1269" s="1633"/>
      <c r="AH1269" s="1633"/>
      <c r="AI1269" s="1633"/>
      <c r="AJ1269" s="1633"/>
      <c r="AK1269" s="1633"/>
      <c r="AL1269" s="1633"/>
      <c r="AM1269" s="1633"/>
      <c r="AN1269" s="1633"/>
      <c r="AO1269" s="1633"/>
      <c r="AP1269" s="1633"/>
      <c r="AQ1269" s="1633"/>
    </row>
    <row r="1270" spans="1:43" ht="14.4" hidden="1" customHeight="1" thickBot="1" x14ac:dyDescent="0.25">
      <c r="B1270" s="1588" t="str">
        <f t="shared" si="458"/>
        <v>Maquinaria</v>
      </c>
      <c r="C1270" s="1621"/>
      <c r="D1270" s="1208"/>
      <c r="E1270" s="1634"/>
      <c r="F1270" s="1199"/>
      <c r="G1270" s="1199"/>
      <c r="H1270" s="1199"/>
      <c r="I1270" s="1622">
        <f t="shared" ref="I1270:T1270" si="518">I1200*$C1200</f>
        <v>0</v>
      </c>
      <c r="J1270" s="1622">
        <f t="shared" si="518"/>
        <v>0</v>
      </c>
      <c r="K1270" s="1622">
        <f t="shared" si="518"/>
        <v>0</v>
      </c>
      <c r="L1270" s="1622">
        <f t="shared" si="518"/>
        <v>0</v>
      </c>
      <c r="M1270" s="1622">
        <f t="shared" si="518"/>
        <v>0</v>
      </c>
      <c r="N1270" s="1622">
        <f t="shared" si="518"/>
        <v>0</v>
      </c>
      <c r="O1270" s="1622">
        <f t="shared" si="518"/>
        <v>0</v>
      </c>
      <c r="P1270" s="1622">
        <f t="shared" si="518"/>
        <v>0</v>
      </c>
      <c r="Q1270" s="1622">
        <f t="shared" si="518"/>
        <v>0</v>
      </c>
      <c r="R1270" s="1622">
        <f t="shared" si="518"/>
        <v>0</v>
      </c>
      <c r="S1270" s="1622">
        <f t="shared" si="518"/>
        <v>0</v>
      </c>
      <c r="T1270" s="1623">
        <f t="shared" si="518"/>
        <v>0</v>
      </c>
      <c r="Y1270" s="1639"/>
      <c r="Z1270" s="877"/>
      <c r="AA1270" s="193"/>
      <c r="AB1270" s="372"/>
      <c r="AC1270" s="193"/>
      <c r="AD1270" s="193"/>
      <c r="AE1270" s="193"/>
      <c r="AF1270" s="372"/>
      <c r="AG1270" s="372"/>
      <c r="AH1270" s="372"/>
      <c r="AI1270" s="372"/>
      <c r="AJ1270" s="372"/>
      <c r="AK1270" s="372"/>
      <c r="AL1270" s="372"/>
      <c r="AM1270" s="372"/>
      <c r="AN1270" s="372"/>
      <c r="AO1270" s="372"/>
      <c r="AP1270" s="372"/>
      <c r="AQ1270" s="372"/>
    </row>
    <row r="1271" spans="1:43" ht="29" hidden="1" customHeight="1" thickTop="1" thickBot="1" x14ac:dyDescent="0.25">
      <c r="B1271" s="1191"/>
      <c r="C1271" s="1192"/>
      <c r="D1271" s="1168"/>
      <c r="E1271" s="1168"/>
      <c r="I1271" s="1192"/>
      <c r="J1271" s="1192"/>
      <c r="K1271" s="1192"/>
      <c r="L1271" s="1192"/>
      <c r="M1271" s="1192"/>
      <c r="N1271" s="1192"/>
      <c r="O1271" s="1192"/>
      <c r="P1271" s="1192"/>
      <c r="Q1271" s="1192"/>
      <c r="R1271" s="1192"/>
      <c r="S1271" s="1192"/>
      <c r="T1271" s="1192"/>
      <c r="Y1271" s="1639"/>
      <c r="Z1271" s="877"/>
      <c r="AA1271" s="193"/>
      <c r="AB1271" s="372"/>
      <c r="AC1271" s="193"/>
      <c r="AD1271" s="193"/>
      <c r="AE1271" s="193"/>
      <c r="AF1271" s="372"/>
      <c r="AG1271" s="372"/>
      <c r="AH1271" s="372"/>
      <c r="AI1271" s="372"/>
      <c r="AJ1271" s="372"/>
      <c r="AK1271" s="372"/>
      <c r="AL1271" s="372"/>
      <c r="AM1271" s="372"/>
      <c r="AN1271" s="372"/>
      <c r="AO1271" s="372"/>
      <c r="AP1271" s="372"/>
      <c r="AQ1271" s="372"/>
    </row>
    <row r="1272" spans="1:43" ht="14.4" hidden="1" customHeight="1" thickTop="1" x14ac:dyDescent="0.2">
      <c r="A1272" s="2188">
        <v>1087</v>
      </c>
      <c r="B1272" s="1625" t="s">
        <v>1832</v>
      </c>
      <c r="C1272" s="1624"/>
      <c r="D1272" s="1624"/>
      <c r="E1272" s="1624"/>
      <c r="F1272" s="1581"/>
      <c r="G1272" s="1581"/>
      <c r="H1272" s="1581"/>
      <c r="I1272" s="1624"/>
      <c r="J1272" s="1624"/>
      <c r="K1272" s="1624"/>
      <c r="L1272" s="1624"/>
      <c r="M1272" s="1624"/>
      <c r="N1272" s="1624" t="s">
        <v>875</v>
      </c>
      <c r="O1272" s="1624"/>
      <c r="P1272" s="1624"/>
      <c r="Q1272" s="1624"/>
      <c r="R1272" s="1624"/>
      <c r="S1272" s="1624"/>
      <c r="T1272" s="1626"/>
      <c r="X1272" s="2188">
        <v>1088</v>
      </c>
      <c r="Y1272" s="1625" t="str">
        <f>+B1272</f>
        <v>Consumo de gasoil  - maquinaria contratada</v>
      </c>
      <c r="Z1272" s="1624"/>
      <c r="AA1272" s="1624"/>
      <c r="AB1272" s="1624"/>
      <c r="AC1272" s="1581"/>
      <c r="AD1272" s="1581"/>
      <c r="AE1272" s="1581"/>
      <c r="AF1272" s="1624">
        <f>AF1204</f>
        <v>0</v>
      </c>
      <c r="AG1272" s="1624"/>
      <c r="AH1272" s="1624"/>
      <c r="AI1272" s="1624"/>
      <c r="AJ1272" s="1624"/>
      <c r="AK1272" s="1624" t="s">
        <v>875</v>
      </c>
      <c r="AL1272" s="1624"/>
      <c r="AM1272" s="1624"/>
      <c r="AN1272" s="1624"/>
      <c r="AO1272" s="1624"/>
      <c r="AP1272" s="1624"/>
      <c r="AQ1272" s="1626"/>
    </row>
    <row r="1273" spans="1:43" ht="13.75" hidden="1" customHeight="1" x14ac:dyDescent="0.2">
      <c r="B1273" s="1616" t="str">
        <f t="shared" ref="B1273:B1303" si="519">B1205</f>
        <v>Siembra Directa  - Propia</v>
      </c>
      <c r="C1273" s="1184"/>
      <c r="D1273" s="1183"/>
      <c r="E1273" s="372"/>
      <c r="F1273" s="193"/>
      <c r="G1273" s="193"/>
      <c r="H1273" s="193"/>
      <c r="I1273" s="1185">
        <f>I1205*$C1205</f>
        <v>0</v>
      </c>
      <c r="J1273" s="1185">
        <f t="shared" ref="J1273:T1273" si="520">J1205*$C1205</f>
        <v>0</v>
      </c>
      <c r="K1273" s="1185">
        <f t="shared" si="520"/>
        <v>0</v>
      </c>
      <c r="L1273" s="1185">
        <f t="shared" si="520"/>
        <v>0</v>
      </c>
      <c r="M1273" s="1185">
        <f t="shared" si="520"/>
        <v>0</v>
      </c>
      <c r="N1273" s="1185">
        <f t="shared" si="520"/>
        <v>0</v>
      </c>
      <c r="O1273" s="1186">
        <f t="shared" si="520"/>
        <v>0</v>
      </c>
      <c r="P1273" s="1186">
        <f t="shared" si="520"/>
        <v>0</v>
      </c>
      <c r="Q1273" s="1186">
        <f t="shared" si="520"/>
        <v>0</v>
      </c>
      <c r="R1273" s="1186">
        <f t="shared" si="520"/>
        <v>0</v>
      </c>
      <c r="S1273" s="1186">
        <f t="shared" si="520"/>
        <v>0</v>
      </c>
      <c r="T1273" s="1617">
        <f t="shared" si="520"/>
        <v>0</v>
      </c>
      <c r="Y1273" s="1616" t="str">
        <f t="shared" ref="Y1273:Y1300" si="521">Y1205</f>
        <v>Siembra Directa  - Propia</v>
      </c>
      <c r="Z1273" s="1184"/>
      <c r="AA1273" s="1183"/>
      <c r="AB1273" s="372"/>
      <c r="AC1273" s="193"/>
      <c r="AD1273" s="193"/>
      <c r="AE1273" s="193"/>
      <c r="AF1273" s="1185">
        <f t="shared" ref="AF1273:AQ1273" si="522">AF1205*$C1205</f>
        <v>0</v>
      </c>
      <c r="AG1273" s="1185">
        <f t="shared" si="522"/>
        <v>0</v>
      </c>
      <c r="AH1273" s="1185">
        <f t="shared" si="522"/>
        <v>0</v>
      </c>
      <c r="AI1273" s="1185">
        <f t="shared" si="522"/>
        <v>0</v>
      </c>
      <c r="AJ1273" s="1185">
        <f t="shared" si="522"/>
        <v>0</v>
      </c>
      <c r="AK1273" s="1185">
        <f t="shared" si="522"/>
        <v>0</v>
      </c>
      <c r="AL1273" s="1186">
        <f t="shared" si="522"/>
        <v>0</v>
      </c>
      <c r="AM1273" s="1186">
        <f t="shared" si="522"/>
        <v>0</v>
      </c>
      <c r="AN1273" s="1186">
        <f t="shared" si="522"/>
        <v>0</v>
      </c>
      <c r="AO1273" s="1186">
        <f t="shared" si="522"/>
        <v>0</v>
      </c>
      <c r="AP1273" s="1186">
        <f t="shared" si="522"/>
        <v>0</v>
      </c>
      <c r="AQ1273" s="1617">
        <f t="shared" si="522"/>
        <v>0</v>
      </c>
    </row>
    <row r="1274" spans="1:43" ht="13.75" hidden="1" customHeight="1" x14ac:dyDescent="0.2">
      <c r="B1274" s="1586" t="str">
        <f t="shared" si="519"/>
        <v>Siembra Directa  - Contratada</v>
      </c>
      <c r="C1274" s="1187"/>
      <c r="D1274" s="1183"/>
      <c r="E1274" s="372"/>
      <c r="F1274" s="193"/>
      <c r="G1274" s="193"/>
      <c r="H1274" s="193"/>
      <c r="I1274" s="1172">
        <f t="shared" ref="I1274:T1274" si="523">I1206*$C1206</f>
        <v>0</v>
      </c>
      <c r="J1274" s="1172">
        <f t="shared" si="523"/>
        <v>0</v>
      </c>
      <c r="K1274" s="1172">
        <f t="shared" si="523"/>
        <v>0</v>
      </c>
      <c r="L1274" s="1172">
        <f t="shared" si="523"/>
        <v>0</v>
      </c>
      <c r="M1274" s="1172">
        <f t="shared" si="523"/>
        <v>0</v>
      </c>
      <c r="N1274" s="1172">
        <f t="shared" si="523"/>
        <v>0</v>
      </c>
      <c r="O1274" s="1172">
        <f t="shared" si="523"/>
        <v>0</v>
      </c>
      <c r="P1274" s="1172">
        <f t="shared" si="523"/>
        <v>0</v>
      </c>
      <c r="Q1274" s="1172">
        <f t="shared" si="523"/>
        <v>0</v>
      </c>
      <c r="R1274" s="1172">
        <f t="shared" si="523"/>
        <v>0</v>
      </c>
      <c r="S1274" s="1172">
        <f t="shared" si="523"/>
        <v>0</v>
      </c>
      <c r="T1274" s="1618">
        <f t="shared" si="523"/>
        <v>0</v>
      </c>
      <c r="Y1274" s="1586" t="str">
        <f t="shared" si="521"/>
        <v>Siembra Directa  - Contratada</v>
      </c>
      <c r="Z1274" s="1187"/>
      <c r="AA1274" s="1183"/>
      <c r="AB1274" s="372"/>
      <c r="AC1274" s="193"/>
      <c r="AD1274" s="193"/>
      <c r="AE1274" s="193"/>
      <c r="AF1274" s="1172">
        <f t="shared" ref="AF1274:AQ1274" si="524">AF1206*$C1206</f>
        <v>0</v>
      </c>
      <c r="AG1274" s="1172">
        <f t="shared" si="524"/>
        <v>0</v>
      </c>
      <c r="AH1274" s="1172">
        <f t="shared" si="524"/>
        <v>0</v>
      </c>
      <c r="AI1274" s="1172">
        <f t="shared" si="524"/>
        <v>0</v>
      </c>
      <c r="AJ1274" s="1172">
        <f t="shared" si="524"/>
        <v>0</v>
      </c>
      <c r="AK1274" s="1172">
        <f t="shared" si="524"/>
        <v>0</v>
      </c>
      <c r="AL1274" s="1172">
        <f t="shared" si="524"/>
        <v>0</v>
      </c>
      <c r="AM1274" s="1172">
        <f t="shared" si="524"/>
        <v>0</v>
      </c>
      <c r="AN1274" s="1172">
        <f t="shared" si="524"/>
        <v>0</v>
      </c>
      <c r="AO1274" s="1172">
        <f t="shared" si="524"/>
        <v>0</v>
      </c>
      <c r="AP1274" s="1172">
        <f t="shared" si="524"/>
        <v>0</v>
      </c>
      <c r="AQ1274" s="1618">
        <f t="shared" si="524"/>
        <v>0</v>
      </c>
    </row>
    <row r="1275" spans="1:43" ht="13.75" hidden="1" customHeight="1" x14ac:dyDescent="0.2">
      <c r="B1275" s="1586" t="str">
        <f t="shared" si="519"/>
        <v>Aplicar herbicida - Propia</v>
      </c>
      <c r="C1275" s="1187"/>
      <c r="D1275" s="1183"/>
      <c r="E1275" s="372"/>
      <c r="F1275" s="193"/>
      <c r="G1275" s="193"/>
      <c r="H1275" s="193"/>
      <c r="I1275" s="1172">
        <f t="shared" ref="I1275:T1275" si="525">I1207*$C1207</f>
        <v>0</v>
      </c>
      <c r="J1275" s="1172">
        <f t="shared" si="525"/>
        <v>0</v>
      </c>
      <c r="K1275" s="1172">
        <f t="shared" si="525"/>
        <v>0</v>
      </c>
      <c r="L1275" s="1172">
        <f t="shared" si="525"/>
        <v>0</v>
      </c>
      <c r="M1275" s="1172">
        <f t="shared" si="525"/>
        <v>0</v>
      </c>
      <c r="N1275" s="1172">
        <f t="shared" si="525"/>
        <v>0</v>
      </c>
      <c r="O1275" s="1172">
        <f t="shared" si="525"/>
        <v>0</v>
      </c>
      <c r="P1275" s="1172">
        <f t="shared" si="525"/>
        <v>0</v>
      </c>
      <c r="Q1275" s="1172">
        <f t="shared" si="525"/>
        <v>0</v>
      </c>
      <c r="R1275" s="1172">
        <f t="shared" si="525"/>
        <v>0</v>
      </c>
      <c r="S1275" s="1172">
        <f t="shared" si="525"/>
        <v>0</v>
      </c>
      <c r="T1275" s="1618">
        <f t="shared" si="525"/>
        <v>0</v>
      </c>
      <c r="Y1275" s="1586" t="str">
        <f t="shared" si="521"/>
        <v>Aplicar herbicida - Propia</v>
      </c>
      <c r="Z1275" s="1187"/>
      <c r="AA1275" s="1183"/>
      <c r="AB1275" s="372"/>
      <c r="AC1275" s="193"/>
      <c r="AD1275" s="193"/>
      <c r="AE1275" s="193"/>
      <c r="AF1275" s="1172">
        <f t="shared" ref="AF1275:AQ1275" si="526">AF1207*$C1207</f>
        <v>0</v>
      </c>
      <c r="AG1275" s="1172">
        <f t="shared" si="526"/>
        <v>0</v>
      </c>
      <c r="AH1275" s="1172">
        <f t="shared" si="526"/>
        <v>0</v>
      </c>
      <c r="AI1275" s="1172">
        <f t="shared" si="526"/>
        <v>0</v>
      </c>
      <c r="AJ1275" s="1172">
        <f t="shared" si="526"/>
        <v>0</v>
      </c>
      <c r="AK1275" s="1172">
        <f t="shared" si="526"/>
        <v>0</v>
      </c>
      <c r="AL1275" s="1172">
        <f t="shared" si="526"/>
        <v>0</v>
      </c>
      <c r="AM1275" s="1172">
        <f t="shared" si="526"/>
        <v>0</v>
      </c>
      <c r="AN1275" s="1172">
        <f t="shared" si="526"/>
        <v>0</v>
      </c>
      <c r="AO1275" s="1172">
        <f t="shared" si="526"/>
        <v>0</v>
      </c>
      <c r="AP1275" s="1172">
        <f t="shared" si="526"/>
        <v>0</v>
      </c>
      <c r="AQ1275" s="1618">
        <f t="shared" si="526"/>
        <v>0</v>
      </c>
    </row>
    <row r="1276" spans="1:43" ht="13.75" hidden="1" customHeight="1" x14ac:dyDescent="0.2">
      <c r="B1276" s="1586" t="str">
        <f t="shared" si="519"/>
        <v>Aplicar herbicida - Contratada</v>
      </c>
      <c r="C1276" s="1187"/>
      <c r="D1276" s="1183"/>
      <c r="E1276" s="372"/>
      <c r="F1276" s="193"/>
      <c r="G1276" s="193"/>
      <c r="H1276" s="193"/>
      <c r="I1276" s="1172">
        <f t="shared" ref="I1276:T1276" si="527">I1208*$C1208</f>
        <v>0</v>
      </c>
      <c r="J1276" s="1172">
        <f t="shared" si="527"/>
        <v>0</v>
      </c>
      <c r="K1276" s="1172">
        <f t="shared" si="527"/>
        <v>0</v>
      </c>
      <c r="L1276" s="1172">
        <f t="shared" si="527"/>
        <v>0</v>
      </c>
      <c r="M1276" s="1172">
        <f t="shared" si="527"/>
        <v>0</v>
      </c>
      <c r="N1276" s="1172">
        <f t="shared" si="527"/>
        <v>0</v>
      </c>
      <c r="O1276" s="1172">
        <f t="shared" si="527"/>
        <v>0</v>
      </c>
      <c r="P1276" s="1172">
        <f t="shared" si="527"/>
        <v>0</v>
      </c>
      <c r="Q1276" s="1172">
        <f t="shared" si="527"/>
        <v>0</v>
      </c>
      <c r="R1276" s="1172">
        <f t="shared" si="527"/>
        <v>0</v>
      </c>
      <c r="S1276" s="1172">
        <f t="shared" si="527"/>
        <v>0</v>
      </c>
      <c r="T1276" s="1618">
        <f t="shared" si="527"/>
        <v>0</v>
      </c>
      <c r="Y1276" s="1586" t="str">
        <f t="shared" si="521"/>
        <v>Aplicar herbicida - Contratada</v>
      </c>
      <c r="Z1276" s="1187"/>
      <c r="AA1276" s="1183"/>
      <c r="AB1276" s="372"/>
      <c r="AC1276" s="193"/>
      <c r="AD1276" s="193"/>
      <c r="AE1276" s="193"/>
      <c r="AF1276" s="1172">
        <f t="shared" ref="AF1276:AQ1276" si="528">AF1208*$C1208</f>
        <v>0</v>
      </c>
      <c r="AG1276" s="1172">
        <f t="shared" si="528"/>
        <v>0</v>
      </c>
      <c r="AH1276" s="1172">
        <f t="shared" si="528"/>
        <v>0</v>
      </c>
      <c r="AI1276" s="1172">
        <f t="shared" si="528"/>
        <v>0</v>
      </c>
      <c r="AJ1276" s="1172">
        <f t="shared" si="528"/>
        <v>0</v>
      </c>
      <c r="AK1276" s="1172">
        <f t="shared" si="528"/>
        <v>0</v>
      </c>
      <c r="AL1276" s="1172">
        <f t="shared" si="528"/>
        <v>0</v>
      </c>
      <c r="AM1276" s="1172">
        <f t="shared" si="528"/>
        <v>0</v>
      </c>
      <c r="AN1276" s="1172">
        <f t="shared" si="528"/>
        <v>0</v>
      </c>
      <c r="AO1276" s="1172">
        <f t="shared" si="528"/>
        <v>0</v>
      </c>
      <c r="AP1276" s="1172">
        <f t="shared" si="528"/>
        <v>0</v>
      </c>
      <c r="AQ1276" s="1618">
        <f t="shared" si="528"/>
        <v>0</v>
      </c>
    </row>
    <row r="1277" spans="1:43" ht="13.75" hidden="1" customHeight="1" x14ac:dyDescent="0.2">
      <c r="B1277" s="1586" t="str">
        <f t="shared" si="519"/>
        <v>Fertilizar - Propia</v>
      </c>
      <c r="C1277" s="1187"/>
      <c r="D1277" s="1183"/>
      <c r="E1277" s="372"/>
      <c r="F1277" s="193"/>
      <c r="G1277" s="193"/>
      <c r="H1277" s="193"/>
      <c r="I1277" s="1172">
        <f t="shared" ref="I1277:T1277" si="529">I1209*$C1209</f>
        <v>0</v>
      </c>
      <c r="J1277" s="1172">
        <f t="shared" si="529"/>
        <v>0</v>
      </c>
      <c r="K1277" s="1172">
        <f t="shared" si="529"/>
        <v>0</v>
      </c>
      <c r="L1277" s="1172">
        <f t="shared" si="529"/>
        <v>0</v>
      </c>
      <c r="M1277" s="1172">
        <f t="shared" si="529"/>
        <v>0</v>
      </c>
      <c r="N1277" s="1172">
        <f t="shared" si="529"/>
        <v>0</v>
      </c>
      <c r="O1277" s="1172">
        <f t="shared" si="529"/>
        <v>0</v>
      </c>
      <c r="P1277" s="1172">
        <f t="shared" si="529"/>
        <v>0</v>
      </c>
      <c r="Q1277" s="1172">
        <f t="shared" si="529"/>
        <v>0</v>
      </c>
      <c r="R1277" s="1172">
        <f t="shared" si="529"/>
        <v>0</v>
      </c>
      <c r="S1277" s="1172">
        <f t="shared" si="529"/>
        <v>0</v>
      </c>
      <c r="T1277" s="1618">
        <f t="shared" si="529"/>
        <v>0</v>
      </c>
      <c r="Y1277" s="1586" t="str">
        <f t="shared" si="521"/>
        <v>Fertilizar - Propia</v>
      </c>
      <c r="Z1277" s="1187"/>
      <c r="AA1277" s="1183"/>
      <c r="AB1277" s="372"/>
      <c r="AC1277" s="193"/>
      <c r="AD1277" s="193"/>
      <c r="AE1277" s="193"/>
      <c r="AF1277" s="1172">
        <f t="shared" ref="AF1277:AQ1277" si="530">AF1209*$C1209</f>
        <v>0</v>
      </c>
      <c r="AG1277" s="1172">
        <f t="shared" si="530"/>
        <v>0</v>
      </c>
      <c r="AH1277" s="1172">
        <f t="shared" si="530"/>
        <v>0</v>
      </c>
      <c r="AI1277" s="1172">
        <f t="shared" si="530"/>
        <v>0</v>
      </c>
      <c r="AJ1277" s="1172">
        <f t="shared" si="530"/>
        <v>0</v>
      </c>
      <c r="AK1277" s="1172">
        <f t="shared" si="530"/>
        <v>0</v>
      </c>
      <c r="AL1277" s="1172">
        <f t="shared" si="530"/>
        <v>0</v>
      </c>
      <c r="AM1277" s="1172">
        <f t="shared" si="530"/>
        <v>0</v>
      </c>
      <c r="AN1277" s="1172">
        <f t="shared" si="530"/>
        <v>0</v>
      </c>
      <c r="AO1277" s="1172">
        <f t="shared" si="530"/>
        <v>0</v>
      </c>
      <c r="AP1277" s="1172">
        <f t="shared" si="530"/>
        <v>0</v>
      </c>
      <c r="AQ1277" s="1618">
        <f t="shared" si="530"/>
        <v>0</v>
      </c>
    </row>
    <row r="1278" spans="1:43" ht="13.75" hidden="1" customHeight="1" x14ac:dyDescent="0.2">
      <c r="B1278" s="1586" t="str">
        <f t="shared" si="519"/>
        <v>Fertilizar - Contratada</v>
      </c>
      <c r="C1278" s="1187"/>
      <c r="D1278" s="1183"/>
      <c r="E1278" s="372"/>
      <c r="F1278" s="193"/>
      <c r="G1278" s="193"/>
      <c r="H1278" s="193"/>
      <c r="I1278" s="1172">
        <f t="shared" ref="I1278:T1278" si="531">I1210*$C1210</f>
        <v>0</v>
      </c>
      <c r="J1278" s="1172">
        <f t="shared" si="531"/>
        <v>0</v>
      </c>
      <c r="K1278" s="1172">
        <f t="shared" si="531"/>
        <v>0</v>
      </c>
      <c r="L1278" s="1172">
        <f t="shared" si="531"/>
        <v>0</v>
      </c>
      <c r="M1278" s="1172">
        <f t="shared" si="531"/>
        <v>0</v>
      </c>
      <c r="N1278" s="1172">
        <f t="shared" si="531"/>
        <v>0</v>
      </c>
      <c r="O1278" s="1172">
        <f t="shared" si="531"/>
        <v>0</v>
      </c>
      <c r="P1278" s="1172">
        <f t="shared" si="531"/>
        <v>0</v>
      </c>
      <c r="Q1278" s="1172">
        <f t="shared" si="531"/>
        <v>0</v>
      </c>
      <c r="R1278" s="1172">
        <f t="shared" si="531"/>
        <v>0</v>
      </c>
      <c r="S1278" s="1172">
        <f t="shared" si="531"/>
        <v>0</v>
      </c>
      <c r="T1278" s="1618">
        <f t="shared" si="531"/>
        <v>0</v>
      </c>
      <c r="Y1278" s="1586" t="str">
        <f t="shared" si="521"/>
        <v>Fertilizar - Contratada</v>
      </c>
      <c r="Z1278" s="1187"/>
      <c r="AA1278" s="1183"/>
      <c r="AB1278" s="372"/>
      <c r="AC1278" s="193"/>
      <c r="AD1278" s="193"/>
      <c r="AE1278" s="193"/>
      <c r="AF1278" s="1172">
        <f t="shared" ref="AF1278:AQ1278" si="532">AF1210*$C1210</f>
        <v>0</v>
      </c>
      <c r="AG1278" s="1172">
        <f t="shared" si="532"/>
        <v>0</v>
      </c>
      <c r="AH1278" s="1172">
        <f t="shared" si="532"/>
        <v>0</v>
      </c>
      <c r="AI1278" s="1172">
        <f t="shared" si="532"/>
        <v>0</v>
      </c>
      <c r="AJ1278" s="1172">
        <f t="shared" si="532"/>
        <v>0</v>
      </c>
      <c r="AK1278" s="1172">
        <f t="shared" si="532"/>
        <v>0</v>
      </c>
      <c r="AL1278" s="1172">
        <f t="shared" si="532"/>
        <v>0</v>
      </c>
      <c r="AM1278" s="1172">
        <f t="shared" si="532"/>
        <v>0</v>
      </c>
      <c r="AN1278" s="1172">
        <f t="shared" si="532"/>
        <v>0</v>
      </c>
      <c r="AO1278" s="1172">
        <f t="shared" si="532"/>
        <v>0</v>
      </c>
      <c r="AP1278" s="1172">
        <f t="shared" si="532"/>
        <v>0</v>
      </c>
      <c r="AQ1278" s="1618">
        <f t="shared" si="532"/>
        <v>0</v>
      </c>
    </row>
    <row r="1279" spans="1:43" ht="13.75" hidden="1" customHeight="1" x14ac:dyDescent="0.2">
      <c r="B1279" s="1586" t="str">
        <f t="shared" si="519"/>
        <v>Siembra Maíz - Contratada</v>
      </c>
      <c r="C1279" s="1187"/>
      <c r="D1279" s="1183"/>
      <c r="E1279" s="372"/>
      <c r="F1279" s="193"/>
      <c r="G1279" s="193"/>
      <c r="H1279" s="193"/>
      <c r="I1279" s="1172">
        <f t="shared" ref="I1279:T1279" si="533">I1211*$C1211</f>
        <v>0</v>
      </c>
      <c r="J1279" s="1172">
        <f t="shared" si="533"/>
        <v>0</v>
      </c>
      <c r="K1279" s="1172">
        <f t="shared" si="533"/>
        <v>0</v>
      </c>
      <c r="L1279" s="1172">
        <f t="shared" si="533"/>
        <v>0</v>
      </c>
      <c r="M1279" s="1172">
        <f t="shared" si="533"/>
        <v>0</v>
      </c>
      <c r="N1279" s="1172">
        <f t="shared" si="533"/>
        <v>0</v>
      </c>
      <c r="O1279" s="1172">
        <f t="shared" si="533"/>
        <v>0</v>
      </c>
      <c r="P1279" s="1172">
        <f t="shared" si="533"/>
        <v>0</v>
      </c>
      <c r="Q1279" s="1172">
        <f t="shared" si="533"/>
        <v>0</v>
      </c>
      <c r="R1279" s="1172">
        <f t="shared" si="533"/>
        <v>0</v>
      </c>
      <c r="S1279" s="1172">
        <f t="shared" si="533"/>
        <v>0</v>
      </c>
      <c r="T1279" s="1618">
        <f t="shared" si="533"/>
        <v>0</v>
      </c>
      <c r="Y1279" s="1586" t="str">
        <f t="shared" si="521"/>
        <v>Siembra Maíz - Contratada</v>
      </c>
      <c r="Z1279" s="1187"/>
      <c r="AA1279" s="1183"/>
      <c r="AB1279" s="372"/>
      <c r="AC1279" s="193"/>
      <c r="AD1279" s="193"/>
      <c r="AE1279" s="193"/>
      <c r="AF1279" s="1172">
        <f t="shared" ref="AF1279:AQ1279" si="534">AF1211*$C1211</f>
        <v>0</v>
      </c>
      <c r="AG1279" s="1172">
        <f t="shared" si="534"/>
        <v>0</v>
      </c>
      <c r="AH1279" s="1172">
        <f t="shared" si="534"/>
        <v>0</v>
      </c>
      <c r="AI1279" s="1172">
        <f t="shared" si="534"/>
        <v>0</v>
      </c>
      <c r="AJ1279" s="1172">
        <f t="shared" si="534"/>
        <v>0</v>
      </c>
      <c r="AK1279" s="1172">
        <f t="shared" si="534"/>
        <v>0</v>
      </c>
      <c r="AL1279" s="1172">
        <f t="shared" si="534"/>
        <v>0</v>
      </c>
      <c r="AM1279" s="1172">
        <f t="shared" si="534"/>
        <v>0</v>
      </c>
      <c r="AN1279" s="1172">
        <f t="shared" si="534"/>
        <v>0</v>
      </c>
      <c r="AO1279" s="1172">
        <f t="shared" si="534"/>
        <v>0</v>
      </c>
      <c r="AP1279" s="1172">
        <f t="shared" si="534"/>
        <v>0</v>
      </c>
      <c r="AQ1279" s="1618">
        <f t="shared" si="534"/>
        <v>0</v>
      </c>
    </row>
    <row r="1280" spans="1:43" ht="13.75" hidden="1" customHeight="1" x14ac:dyDescent="0.2">
      <c r="B1280" s="1586">
        <f t="shared" si="519"/>
        <v>0</v>
      </c>
      <c r="C1280" s="1187"/>
      <c r="D1280" s="1183"/>
      <c r="E1280" s="372"/>
      <c r="F1280" s="193"/>
      <c r="G1280" s="193"/>
      <c r="H1280" s="193"/>
      <c r="I1280" s="1172">
        <f t="shared" ref="I1280:T1280" si="535">I1212*$C1212</f>
        <v>0</v>
      </c>
      <c r="J1280" s="1172">
        <f t="shared" si="535"/>
        <v>0</v>
      </c>
      <c r="K1280" s="1172">
        <f t="shared" si="535"/>
        <v>0</v>
      </c>
      <c r="L1280" s="1172">
        <f t="shared" si="535"/>
        <v>0</v>
      </c>
      <c r="M1280" s="1172">
        <f t="shared" si="535"/>
        <v>0</v>
      </c>
      <c r="N1280" s="1172">
        <f t="shared" si="535"/>
        <v>0</v>
      </c>
      <c r="O1280" s="1172">
        <f t="shared" si="535"/>
        <v>0</v>
      </c>
      <c r="P1280" s="1172">
        <f t="shared" si="535"/>
        <v>0</v>
      </c>
      <c r="Q1280" s="1172">
        <f t="shared" si="535"/>
        <v>0</v>
      </c>
      <c r="R1280" s="1172">
        <f t="shared" si="535"/>
        <v>0</v>
      </c>
      <c r="S1280" s="1172">
        <f t="shared" si="535"/>
        <v>0</v>
      </c>
      <c r="T1280" s="1618">
        <f t="shared" si="535"/>
        <v>0</v>
      </c>
      <c r="Y1280" s="1586">
        <f t="shared" si="521"/>
        <v>0</v>
      </c>
      <c r="Z1280" s="1187"/>
      <c r="AA1280" s="1183"/>
      <c r="AB1280" s="372"/>
      <c r="AC1280" s="193"/>
      <c r="AD1280" s="193"/>
      <c r="AE1280" s="193"/>
      <c r="AF1280" s="1172">
        <f t="shared" ref="AF1280:AQ1280" si="536">AF1212*$C1212</f>
        <v>0</v>
      </c>
      <c r="AG1280" s="1172">
        <f t="shared" si="536"/>
        <v>0</v>
      </c>
      <c r="AH1280" s="1172">
        <f t="shared" si="536"/>
        <v>0</v>
      </c>
      <c r="AI1280" s="1172">
        <f t="shared" si="536"/>
        <v>0</v>
      </c>
      <c r="AJ1280" s="1172">
        <f t="shared" si="536"/>
        <v>0</v>
      </c>
      <c r="AK1280" s="1172">
        <f t="shared" si="536"/>
        <v>0</v>
      </c>
      <c r="AL1280" s="1172">
        <f t="shared" si="536"/>
        <v>0</v>
      </c>
      <c r="AM1280" s="1172">
        <f t="shared" si="536"/>
        <v>0</v>
      </c>
      <c r="AN1280" s="1172">
        <f t="shared" si="536"/>
        <v>0</v>
      </c>
      <c r="AO1280" s="1172">
        <f t="shared" si="536"/>
        <v>0</v>
      </c>
      <c r="AP1280" s="1172">
        <f t="shared" si="536"/>
        <v>0</v>
      </c>
      <c r="AQ1280" s="1618">
        <f t="shared" si="536"/>
        <v>0</v>
      </c>
    </row>
    <row r="1281" spans="2:43" ht="13.75" hidden="1" customHeight="1" x14ac:dyDescent="0.2">
      <c r="B1281" s="1586">
        <f t="shared" si="519"/>
        <v>0</v>
      </c>
      <c r="C1281" s="1187"/>
      <c r="D1281" s="1183"/>
      <c r="E1281" s="372"/>
      <c r="F1281" s="193"/>
      <c r="G1281" s="193"/>
      <c r="H1281" s="193"/>
      <c r="I1281" s="1172">
        <f t="shared" ref="I1281:T1281" si="537">I1213*$C1213</f>
        <v>0</v>
      </c>
      <c r="J1281" s="1172">
        <f t="shared" si="537"/>
        <v>0</v>
      </c>
      <c r="K1281" s="1172">
        <f t="shared" si="537"/>
        <v>0</v>
      </c>
      <c r="L1281" s="1172">
        <f t="shared" si="537"/>
        <v>0</v>
      </c>
      <c r="M1281" s="1172">
        <f t="shared" si="537"/>
        <v>0</v>
      </c>
      <c r="N1281" s="1172">
        <f t="shared" si="537"/>
        <v>0</v>
      </c>
      <c r="O1281" s="1172">
        <f t="shared" si="537"/>
        <v>0</v>
      </c>
      <c r="P1281" s="1172">
        <f t="shared" si="537"/>
        <v>0</v>
      </c>
      <c r="Q1281" s="1172">
        <f t="shared" si="537"/>
        <v>0</v>
      </c>
      <c r="R1281" s="1172">
        <f t="shared" si="537"/>
        <v>0</v>
      </c>
      <c r="S1281" s="1172">
        <f t="shared" si="537"/>
        <v>0</v>
      </c>
      <c r="T1281" s="1618">
        <f t="shared" si="537"/>
        <v>0</v>
      </c>
      <c r="Y1281" s="1586">
        <f t="shared" si="521"/>
        <v>0</v>
      </c>
      <c r="Z1281" s="1187"/>
      <c r="AA1281" s="1183"/>
      <c r="AB1281" s="372"/>
      <c r="AC1281" s="193"/>
      <c r="AD1281" s="193"/>
      <c r="AE1281" s="193"/>
      <c r="AF1281" s="1172">
        <f t="shared" ref="AF1281:AQ1281" si="538">AF1213*$C1213</f>
        <v>0</v>
      </c>
      <c r="AG1281" s="1172">
        <f t="shared" si="538"/>
        <v>0</v>
      </c>
      <c r="AH1281" s="1172">
        <f t="shared" si="538"/>
        <v>0</v>
      </c>
      <c r="AI1281" s="1172">
        <f t="shared" si="538"/>
        <v>0</v>
      </c>
      <c r="AJ1281" s="1172">
        <f t="shared" si="538"/>
        <v>0</v>
      </c>
      <c r="AK1281" s="1172">
        <f t="shared" si="538"/>
        <v>0</v>
      </c>
      <c r="AL1281" s="1172">
        <f t="shared" si="538"/>
        <v>0</v>
      </c>
      <c r="AM1281" s="1172">
        <f t="shared" si="538"/>
        <v>0</v>
      </c>
      <c r="AN1281" s="1172">
        <f t="shared" si="538"/>
        <v>0</v>
      </c>
      <c r="AO1281" s="1172">
        <f t="shared" si="538"/>
        <v>0</v>
      </c>
      <c r="AP1281" s="1172">
        <f t="shared" si="538"/>
        <v>0</v>
      </c>
      <c r="AQ1281" s="1618">
        <f t="shared" si="538"/>
        <v>0</v>
      </c>
    </row>
    <row r="1282" spans="2:43" ht="13.75" hidden="1" customHeight="1" x14ac:dyDescent="0.2">
      <c r="B1282" s="1586">
        <f t="shared" si="519"/>
        <v>0</v>
      </c>
      <c r="C1282" s="1187"/>
      <c r="D1282" s="1183"/>
      <c r="E1282" s="372"/>
      <c r="F1282" s="193"/>
      <c r="G1282" s="193"/>
      <c r="H1282" s="193"/>
      <c r="I1282" s="1172">
        <f t="shared" ref="I1282:T1282" si="539">I1214*$C1214</f>
        <v>0</v>
      </c>
      <c r="J1282" s="1172">
        <f t="shared" si="539"/>
        <v>0</v>
      </c>
      <c r="K1282" s="1172">
        <f t="shared" si="539"/>
        <v>0</v>
      </c>
      <c r="L1282" s="1172">
        <f t="shared" si="539"/>
        <v>0</v>
      </c>
      <c r="M1282" s="1172">
        <f t="shared" si="539"/>
        <v>0</v>
      </c>
      <c r="N1282" s="1172">
        <f t="shared" si="539"/>
        <v>0</v>
      </c>
      <c r="O1282" s="1172">
        <f t="shared" si="539"/>
        <v>0</v>
      </c>
      <c r="P1282" s="1172">
        <f t="shared" si="539"/>
        <v>0</v>
      </c>
      <c r="Q1282" s="1172">
        <f t="shared" si="539"/>
        <v>0</v>
      </c>
      <c r="R1282" s="1172">
        <f t="shared" si="539"/>
        <v>0</v>
      </c>
      <c r="S1282" s="1172">
        <f t="shared" si="539"/>
        <v>0</v>
      </c>
      <c r="T1282" s="1618">
        <f t="shared" si="539"/>
        <v>0</v>
      </c>
      <c r="Y1282" s="1586">
        <f t="shared" si="521"/>
        <v>0</v>
      </c>
      <c r="Z1282" s="1187"/>
      <c r="AA1282" s="1183"/>
      <c r="AB1282" s="372"/>
      <c r="AC1282" s="193"/>
      <c r="AD1282" s="193"/>
      <c r="AE1282" s="193"/>
      <c r="AF1282" s="1172">
        <f t="shared" ref="AF1282:AQ1282" si="540">AF1214*$C1214</f>
        <v>0</v>
      </c>
      <c r="AG1282" s="1172">
        <f t="shared" si="540"/>
        <v>0</v>
      </c>
      <c r="AH1282" s="1172">
        <f t="shared" si="540"/>
        <v>0</v>
      </c>
      <c r="AI1282" s="1172">
        <f t="shared" si="540"/>
        <v>0</v>
      </c>
      <c r="AJ1282" s="1172">
        <f t="shared" si="540"/>
        <v>0</v>
      </c>
      <c r="AK1282" s="1172">
        <f t="shared" si="540"/>
        <v>0</v>
      </c>
      <c r="AL1282" s="1172">
        <f t="shared" si="540"/>
        <v>0</v>
      </c>
      <c r="AM1282" s="1172">
        <f t="shared" si="540"/>
        <v>0</v>
      </c>
      <c r="AN1282" s="1172">
        <f t="shared" si="540"/>
        <v>0</v>
      </c>
      <c r="AO1282" s="1172">
        <f t="shared" si="540"/>
        <v>0</v>
      </c>
      <c r="AP1282" s="1172">
        <f t="shared" si="540"/>
        <v>0</v>
      </c>
      <c r="AQ1282" s="1618">
        <f t="shared" si="540"/>
        <v>0</v>
      </c>
    </row>
    <row r="1283" spans="2:43" ht="13.75" hidden="1" customHeight="1" x14ac:dyDescent="0.2">
      <c r="B1283" s="1586">
        <f t="shared" si="519"/>
        <v>0</v>
      </c>
      <c r="C1283" s="1187"/>
      <c r="D1283" s="1183"/>
      <c r="E1283" s="372"/>
      <c r="F1283" s="193"/>
      <c r="G1283" s="193"/>
      <c r="H1283" s="193"/>
      <c r="I1283" s="1172">
        <f t="shared" ref="I1283:T1283" si="541">I1215*$C1215</f>
        <v>0</v>
      </c>
      <c r="J1283" s="1172">
        <f t="shared" si="541"/>
        <v>0</v>
      </c>
      <c r="K1283" s="1172">
        <f t="shared" si="541"/>
        <v>0</v>
      </c>
      <c r="L1283" s="1172">
        <f t="shared" si="541"/>
        <v>0</v>
      </c>
      <c r="M1283" s="1172">
        <f t="shared" si="541"/>
        <v>0</v>
      </c>
      <c r="N1283" s="1172">
        <f t="shared" si="541"/>
        <v>0</v>
      </c>
      <c r="O1283" s="1172">
        <f t="shared" si="541"/>
        <v>0</v>
      </c>
      <c r="P1283" s="1172">
        <f t="shared" si="541"/>
        <v>0</v>
      </c>
      <c r="Q1283" s="1172">
        <f t="shared" si="541"/>
        <v>0</v>
      </c>
      <c r="R1283" s="1172">
        <f t="shared" si="541"/>
        <v>0</v>
      </c>
      <c r="S1283" s="1172">
        <f t="shared" si="541"/>
        <v>0</v>
      </c>
      <c r="T1283" s="1618">
        <f t="shared" si="541"/>
        <v>0</v>
      </c>
      <c r="Y1283" s="1586">
        <f t="shared" si="521"/>
        <v>0</v>
      </c>
      <c r="Z1283" s="1187"/>
      <c r="AA1283" s="1183"/>
      <c r="AB1283" s="372"/>
      <c r="AC1283" s="193"/>
      <c r="AD1283" s="193"/>
      <c r="AE1283" s="193"/>
      <c r="AF1283" s="1172">
        <f t="shared" ref="AF1283:AQ1283" si="542">AF1215*$C1215</f>
        <v>0</v>
      </c>
      <c r="AG1283" s="1172">
        <f t="shared" si="542"/>
        <v>0</v>
      </c>
      <c r="AH1283" s="1172">
        <f t="shared" si="542"/>
        <v>0</v>
      </c>
      <c r="AI1283" s="1172">
        <f t="shared" si="542"/>
        <v>0</v>
      </c>
      <c r="AJ1283" s="1172">
        <f t="shared" si="542"/>
        <v>0</v>
      </c>
      <c r="AK1283" s="1172">
        <f t="shared" si="542"/>
        <v>0</v>
      </c>
      <c r="AL1283" s="1172">
        <f t="shared" si="542"/>
        <v>0</v>
      </c>
      <c r="AM1283" s="1172">
        <f t="shared" si="542"/>
        <v>0</v>
      </c>
      <c r="AN1283" s="1172">
        <f t="shared" si="542"/>
        <v>0</v>
      </c>
      <c r="AO1283" s="1172">
        <f t="shared" si="542"/>
        <v>0</v>
      </c>
      <c r="AP1283" s="1172">
        <f t="shared" si="542"/>
        <v>0</v>
      </c>
      <c r="AQ1283" s="1618">
        <f t="shared" si="542"/>
        <v>0</v>
      </c>
    </row>
    <row r="1284" spans="2:43" ht="13.75" hidden="1" customHeight="1" x14ac:dyDescent="0.2">
      <c r="B1284" s="1586">
        <f t="shared" si="519"/>
        <v>0</v>
      </c>
      <c r="C1284" s="1187"/>
      <c r="D1284" s="1183"/>
      <c r="E1284" s="372"/>
      <c r="F1284" s="193"/>
      <c r="G1284" s="193"/>
      <c r="H1284" s="193"/>
      <c r="I1284" s="1172">
        <f t="shared" ref="I1284:T1284" si="543">I1216*$C1216</f>
        <v>0</v>
      </c>
      <c r="J1284" s="1172">
        <f t="shared" si="543"/>
        <v>0</v>
      </c>
      <c r="K1284" s="1172">
        <f t="shared" si="543"/>
        <v>0</v>
      </c>
      <c r="L1284" s="1172">
        <f t="shared" si="543"/>
        <v>0</v>
      </c>
      <c r="M1284" s="1172">
        <f t="shared" si="543"/>
        <v>0</v>
      </c>
      <c r="N1284" s="1172">
        <f t="shared" si="543"/>
        <v>0</v>
      </c>
      <c r="O1284" s="1172">
        <f t="shared" si="543"/>
        <v>0</v>
      </c>
      <c r="P1284" s="1172">
        <f t="shared" si="543"/>
        <v>0</v>
      </c>
      <c r="Q1284" s="1172">
        <f t="shared" si="543"/>
        <v>0</v>
      </c>
      <c r="R1284" s="1172">
        <f t="shared" si="543"/>
        <v>0</v>
      </c>
      <c r="S1284" s="1172">
        <f t="shared" si="543"/>
        <v>0</v>
      </c>
      <c r="T1284" s="1618">
        <f t="shared" si="543"/>
        <v>0</v>
      </c>
      <c r="Y1284" s="1586">
        <f t="shared" si="521"/>
        <v>0</v>
      </c>
      <c r="Z1284" s="1187"/>
      <c r="AA1284" s="1183"/>
      <c r="AB1284" s="372"/>
      <c r="AC1284" s="193"/>
      <c r="AD1284" s="193"/>
      <c r="AE1284" s="193"/>
      <c r="AF1284" s="1172">
        <f t="shared" ref="AF1284:AQ1284" si="544">AF1216*$C1216</f>
        <v>0</v>
      </c>
      <c r="AG1284" s="1172">
        <f t="shared" si="544"/>
        <v>0</v>
      </c>
      <c r="AH1284" s="1172">
        <f t="shared" si="544"/>
        <v>0</v>
      </c>
      <c r="AI1284" s="1172">
        <f t="shared" si="544"/>
        <v>0</v>
      </c>
      <c r="AJ1284" s="1172">
        <f t="shared" si="544"/>
        <v>0</v>
      </c>
      <c r="AK1284" s="1172">
        <f t="shared" si="544"/>
        <v>0</v>
      </c>
      <c r="AL1284" s="1172">
        <f t="shared" si="544"/>
        <v>0</v>
      </c>
      <c r="AM1284" s="1172">
        <f t="shared" si="544"/>
        <v>0</v>
      </c>
      <c r="AN1284" s="1172">
        <f t="shared" si="544"/>
        <v>0</v>
      </c>
      <c r="AO1284" s="1172">
        <f t="shared" si="544"/>
        <v>0</v>
      </c>
      <c r="AP1284" s="1172">
        <f t="shared" si="544"/>
        <v>0</v>
      </c>
      <c r="AQ1284" s="1618">
        <f t="shared" si="544"/>
        <v>0</v>
      </c>
    </row>
    <row r="1285" spans="2:43" ht="13.75" hidden="1" customHeight="1" x14ac:dyDescent="0.2">
      <c r="B1285" s="1586">
        <f t="shared" si="519"/>
        <v>0</v>
      </c>
      <c r="C1285" s="1187"/>
      <c r="D1285" s="1183"/>
      <c r="E1285" s="372"/>
      <c r="F1285" s="193"/>
      <c r="G1285" s="193"/>
      <c r="H1285" s="193"/>
      <c r="I1285" s="1172">
        <f t="shared" ref="I1285:T1285" si="545">I1217*$C1217</f>
        <v>0</v>
      </c>
      <c r="J1285" s="1172">
        <f t="shared" si="545"/>
        <v>0</v>
      </c>
      <c r="K1285" s="1172">
        <f t="shared" si="545"/>
        <v>0</v>
      </c>
      <c r="L1285" s="1172">
        <f t="shared" si="545"/>
        <v>0</v>
      </c>
      <c r="M1285" s="1172">
        <f t="shared" si="545"/>
        <v>0</v>
      </c>
      <c r="N1285" s="1172">
        <f t="shared" si="545"/>
        <v>0</v>
      </c>
      <c r="O1285" s="1172">
        <f t="shared" si="545"/>
        <v>0</v>
      </c>
      <c r="P1285" s="1172">
        <f t="shared" si="545"/>
        <v>0</v>
      </c>
      <c r="Q1285" s="1172">
        <f t="shared" si="545"/>
        <v>0</v>
      </c>
      <c r="R1285" s="1172">
        <f t="shared" si="545"/>
        <v>0</v>
      </c>
      <c r="S1285" s="1172">
        <f t="shared" si="545"/>
        <v>0</v>
      </c>
      <c r="T1285" s="1618">
        <f t="shared" si="545"/>
        <v>0</v>
      </c>
      <c r="Y1285" s="1586">
        <f t="shared" si="521"/>
        <v>0</v>
      </c>
      <c r="Z1285" s="1187"/>
      <c r="AA1285" s="1183"/>
      <c r="AB1285" s="372"/>
      <c r="AC1285" s="193"/>
      <c r="AD1285" s="193"/>
      <c r="AE1285" s="193"/>
      <c r="AF1285" s="1172">
        <f t="shared" ref="AF1285:AQ1285" si="546">AF1217*$C1217</f>
        <v>0</v>
      </c>
      <c r="AG1285" s="1172">
        <f t="shared" si="546"/>
        <v>0</v>
      </c>
      <c r="AH1285" s="1172">
        <f t="shared" si="546"/>
        <v>0</v>
      </c>
      <c r="AI1285" s="1172">
        <f t="shared" si="546"/>
        <v>0</v>
      </c>
      <c r="AJ1285" s="1172">
        <f t="shared" si="546"/>
        <v>0</v>
      </c>
      <c r="AK1285" s="1172">
        <f t="shared" si="546"/>
        <v>0</v>
      </c>
      <c r="AL1285" s="1172">
        <f t="shared" si="546"/>
        <v>0</v>
      </c>
      <c r="AM1285" s="1172">
        <f t="shared" si="546"/>
        <v>0</v>
      </c>
      <c r="AN1285" s="1172">
        <f t="shared" si="546"/>
        <v>0</v>
      </c>
      <c r="AO1285" s="1172">
        <f t="shared" si="546"/>
        <v>0</v>
      </c>
      <c r="AP1285" s="1172">
        <f t="shared" si="546"/>
        <v>0</v>
      </c>
      <c r="AQ1285" s="1618">
        <f t="shared" si="546"/>
        <v>0</v>
      </c>
    </row>
    <row r="1286" spans="2:43" ht="13.75" hidden="1" customHeight="1" x14ac:dyDescent="0.2">
      <c r="B1286" s="1586">
        <f t="shared" si="519"/>
        <v>0</v>
      </c>
      <c r="C1286" s="1187"/>
      <c r="D1286" s="1183"/>
      <c r="E1286" s="372"/>
      <c r="F1286" s="193"/>
      <c r="G1286" s="193"/>
      <c r="H1286" s="193"/>
      <c r="I1286" s="1172">
        <f t="shared" ref="I1286:T1286" si="547">I1218*$C1218</f>
        <v>0</v>
      </c>
      <c r="J1286" s="1172">
        <f t="shared" si="547"/>
        <v>0</v>
      </c>
      <c r="K1286" s="1172">
        <f t="shared" si="547"/>
        <v>0</v>
      </c>
      <c r="L1286" s="1172">
        <f t="shared" si="547"/>
        <v>0</v>
      </c>
      <c r="M1286" s="1172">
        <f t="shared" si="547"/>
        <v>0</v>
      </c>
      <c r="N1286" s="1172">
        <f t="shared" si="547"/>
        <v>0</v>
      </c>
      <c r="O1286" s="1172">
        <f t="shared" si="547"/>
        <v>0</v>
      </c>
      <c r="P1286" s="1172">
        <f t="shared" si="547"/>
        <v>0</v>
      </c>
      <c r="Q1286" s="1172">
        <f t="shared" si="547"/>
        <v>0</v>
      </c>
      <c r="R1286" s="1172">
        <f t="shared" si="547"/>
        <v>0</v>
      </c>
      <c r="S1286" s="1172">
        <f t="shared" si="547"/>
        <v>0</v>
      </c>
      <c r="T1286" s="1618">
        <f t="shared" si="547"/>
        <v>0</v>
      </c>
      <c r="Y1286" s="1586">
        <f t="shared" si="521"/>
        <v>0</v>
      </c>
      <c r="Z1286" s="1187"/>
      <c r="AA1286" s="1183"/>
      <c r="AB1286" s="372"/>
      <c r="AC1286" s="193"/>
      <c r="AD1286" s="193"/>
      <c r="AE1286" s="193"/>
      <c r="AF1286" s="1172">
        <f t="shared" ref="AF1286:AQ1286" si="548">AF1218*$C1218</f>
        <v>0</v>
      </c>
      <c r="AG1286" s="1172">
        <f t="shared" si="548"/>
        <v>0</v>
      </c>
      <c r="AH1286" s="1172">
        <f t="shared" si="548"/>
        <v>0</v>
      </c>
      <c r="AI1286" s="1172">
        <f t="shared" si="548"/>
        <v>0</v>
      </c>
      <c r="AJ1286" s="1172">
        <f t="shared" si="548"/>
        <v>0</v>
      </c>
      <c r="AK1286" s="1172">
        <f t="shared" si="548"/>
        <v>0</v>
      </c>
      <c r="AL1286" s="1172">
        <f t="shared" si="548"/>
        <v>0</v>
      </c>
      <c r="AM1286" s="1172">
        <f t="shared" si="548"/>
        <v>0</v>
      </c>
      <c r="AN1286" s="1172">
        <f t="shared" si="548"/>
        <v>0</v>
      </c>
      <c r="AO1286" s="1172">
        <f t="shared" si="548"/>
        <v>0</v>
      </c>
      <c r="AP1286" s="1172">
        <f t="shared" si="548"/>
        <v>0</v>
      </c>
      <c r="AQ1286" s="1618">
        <f t="shared" si="548"/>
        <v>0</v>
      </c>
    </row>
    <row r="1287" spans="2:43" ht="13.75" hidden="1" customHeight="1" x14ac:dyDescent="0.2">
      <c r="B1287" s="1586" t="str">
        <f t="shared" si="519"/>
        <v>Cosechar cultivos de invierno contratada</v>
      </c>
      <c r="C1287" s="1187"/>
      <c r="D1287" s="1183"/>
      <c r="E1287" s="372"/>
      <c r="F1287" s="193"/>
      <c r="G1287" s="193"/>
      <c r="H1287" s="193"/>
      <c r="I1287" s="1172">
        <f t="shared" ref="I1287:T1287" si="549">I1219*$C1219</f>
        <v>0</v>
      </c>
      <c r="J1287" s="1172">
        <f t="shared" si="549"/>
        <v>0</v>
      </c>
      <c r="K1287" s="1172">
        <f t="shared" si="549"/>
        <v>0</v>
      </c>
      <c r="L1287" s="1172">
        <f t="shared" si="549"/>
        <v>0</v>
      </c>
      <c r="M1287" s="1172">
        <f t="shared" si="549"/>
        <v>0</v>
      </c>
      <c r="N1287" s="1172">
        <f t="shared" si="549"/>
        <v>0</v>
      </c>
      <c r="O1287" s="1172">
        <f t="shared" si="549"/>
        <v>0</v>
      </c>
      <c r="P1287" s="1172">
        <f t="shared" si="549"/>
        <v>0</v>
      </c>
      <c r="Q1287" s="1172">
        <f t="shared" si="549"/>
        <v>0</v>
      </c>
      <c r="R1287" s="1172">
        <f t="shared" si="549"/>
        <v>0</v>
      </c>
      <c r="S1287" s="1172">
        <f t="shared" si="549"/>
        <v>0</v>
      </c>
      <c r="T1287" s="1618">
        <f t="shared" si="549"/>
        <v>0</v>
      </c>
      <c r="Y1287" s="1586" t="str">
        <f t="shared" si="521"/>
        <v>Cosechar cultivos de invierno contratada</v>
      </c>
      <c r="Z1287" s="1187"/>
      <c r="AA1287" s="1183"/>
      <c r="AB1287" s="372"/>
      <c r="AC1287" s="193"/>
      <c r="AD1287" s="193"/>
      <c r="AE1287" s="193"/>
      <c r="AF1287" s="1172">
        <f t="shared" ref="AF1287:AQ1287" si="550">AF1219*$C1219</f>
        <v>0</v>
      </c>
      <c r="AG1287" s="1172">
        <f t="shared" si="550"/>
        <v>0</v>
      </c>
      <c r="AH1287" s="1172">
        <f t="shared" si="550"/>
        <v>0</v>
      </c>
      <c r="AI1287" s="1172">
        <f t="shared" si="550"/>
        <v>0</v>
      </c>
      <c r="AJ1287" s="1172">
        <f t="shared" si="550"/>
        <v>0</v>
      </c>
      <c r="AK1287" s="1172">
        <f t="shared" si="550"/>
        <v>0</v>
      </c>
      <c r="AL1287" s="1172">
        <f t="shared" si="550"/>
        <v>0</v>
      </c>
      <c r="AM1287" s="1172">
        <f t="shared" si="550"/>
        <v>0</v>
      </c>
      <c r="AN1287" s="1172">
        <f t="shared" si="550"/>
        <v>0</v>
      </c>
      <c r="AO1287" s="1172">
        <f t="shared" si="550"/>
        <v>0</v>
      </c>
      <c r="AP1287" s="1172">
        <f t="shared" si="550"/>
        <v>0</v>
      </c>
      <c r="AQ1287" s="1618">
        <f t="shared" si="550"/>
        <v>0</v>
      </c>
    </row>
    <row r="1288" spans="2:43" ht="13.75" hidden="1" customHeight="1" x14ac:dyDescent="0.2">
      <c r="B1288" s="1586" t="str">
        <f t="shared" si="519"/>
        <v>Cosechar cultivos de verano contratada</v>
      </c>
      <c r="C1288" s="1187"/>
      <c r="D1288" s="1183"/>
      <c r="E1288" s="372"/>
      <c r="F1288" s="193"/>
      <c r="G1288" s="193"/>
      <c r="H1288" s="193"/>
      <c r="I1288" s="1172">
        <f t="shared" ref="I1288:T1288" si="551">I1220*$C1220</f>
        <v>0</v>
      </c>
      <c r="J1288" s="1172">
        <f t="shared" si="551"/>
        <v>0</v>
      </c>
      <c r="K1288" s="1172">
        <f t="shared" si="551"/>
        <v>0</v>
      </c>
      <c r="L1288" s="1172">
        <f t="shared" si="551"/>
        <v>0</v>
      </c>
      <c r="M1288" s="1172">
        <f t="shared" si="551"/>
        <v>0</v>
      </c>
      <c r="N1288" s="1172">
        <f t="shared" si="551"/>
        <v>0</v>
      </c>
      <c r="O1288" s="1172">
        <f t="shared" si="551"/>
        <v>0</v>
      </c>
      <c r="P1288" s="1172">
        <f t="shared" si="551"/>
        <v>0</v>
      </c>
      <c r="Q1288" s="1172">
        <f t="shared" si="551"/>
        <v>0</v>
      </c>
      <c r="R1288" s="1172">
        <f t="shared" si="551"/>
        <v>0</v>
      </c>
      <c r="S1288" s="1172">
        <f t="shared" si="551"/>
        <v>0</v>
      </c>
      <c r="T1288" s="1618">
        <f t="shared" si="551"/>
        <v>0</v>
      </c>
      <c r="Y1288" s="1586" t="str">
        <f t="shared" si="521"/>
        <v>Cosechar cultivos de verano contratada</v>
      </c>
      <c r="Z1288" s="1187"/>
      <c r="AA1288" s="1183"/>
      <c r="AB1288" s="372"/>
      <c r="AC1288" s="193"/>
      <c r="AD1288" s="193"/>
      <c r="AE1288" s="193"/>
      <c r="AF1288" s="1172">
        <f t="shared" ref="AF1288:AQ1288" si="552">AF1220*$C1220</f>
        <v>0</v>
      </c>
      <c r="AG1288" s="1172">
        <f t="shared" si="552"/>
        <v>0</v>
      </c>
      <c r="AH1288" s="1172">
        <f t="shared" si="552"/>
        <v>0</v>
      </c>
      <c r="AI1288" s="1172">
        <f t="shared" si="552"/>
        <v>0</v>
      </c>
      <c r="AJ1288" s="1172">
        <f t="shared" si="552"/>
        <v>0</v>
      </c>
      <c r="AK1288" s="1172">
        <f t="shared" si="552"/>
        <v>0</v>
      </c>
      <c r="AL1288" s="1172">
        <f t="shared" si="552"/>
        <v>0</v>
      </c>
      <c r="AM1288" s="1172">
        <f t="shared" si="552"/>
        <v>0</v>
      </c>
      <c r="AN1288" s="1172">
        <f t="shared" si="552"/>
        <v>0</v>
      </c>
      <c r="AO1288" s="1172">
        <f t="shared" si="552"/>
        <v>0</v>
      </c>
      <c r="AP1288" s="1172">
        <f t="shared" si="552"/>
        <v>0</v>
      </c>
      <c r="AQ1288" s="1618">
        <f t="shared" si="552"/>
        <v>0</v>
      </c>
    </row>
    <row r="1289" spans="2:43" ht="13.75" hidden="1" customHeight="1" x14ac:dyDescent="0.2">
      <c r="B1289" s="1586" t="str">
        <f t="shared" si="519"/>
        <v>Cosechar cultivos de invierno propia</v>
      </c>
      <c r="C1289" s="1187"/>
      <c r="D1289" s="1183"/>
      <c r="E1289" s="372"/>
      <c r="F1289" s="193"/>
      <c r="G1289" s="193"/>
      <c r="H1289" s="193"/>
      <c r="I1289" s="1172">
        <f t="shared" ref="I1289:T1289" si="553">I1221*$C1221</f>
        <v>0</v>
      </c>
      <c r="J1289" s="1172">
        <f t="shared" si="553"/>
        <v>0</v>
      </c>
      <c r="K1289" s="1172">
        <f t="shared" si="553"/>
        <v>0</v>
      </c>
      <c r="L1289" s="1172">
        <f t="shared" si="553"/>
        <v>0</v>
      </c>
      <c r="M1289" s="1172">
        <f t="shared" si="553"/>
        <v>0</v>
      </c>
      <c r="N1289" s="1172">
        <f t="shared" si="553"/>
        <v>0</v>
      </c>
      <c r="O1289" s="1172">
        <f t="shared" si="553"/>
        <v>0</v>
      </c>
      <c r="P1289" s="1172">
        <f t="shared" si="553"/>
        <v>0</v>
      </c>
      <c r="Q1289" s="1172">
        <f t="shared" si="553"/>
        <v>0</v>
      </c>
      <c r="R1289" s="1172">
        <f t="shared" si="553"/>
        <v>0</v>
      </c>
      <c r="S1289" s="1172">
        <f t="shared" si="553"/>
        <v>0</v>
      </c>
      <c r="T1289" s="1618">
        <f t="shared" si="553"/>
        <v>0</v>
      </c>
      <c r="Y1289" s="1586" t="str">
        <f t="shared" si="521"/>
        <v>Cosechar cultivos de invierno propia</v>
      </c>
      <c r="Z1289" s="1187"/>
      <c r="AA1289" s="1183"/>
      <c r="AB1289" s="372"/>
      <c r="AC1289" s="193"/>
      <c r="AD1289" s="193"/>
      <c r="AE1289" s="193"/>
      <c r="AF1289" s="1172">
        <f t="shared" ref="AF1289:AQ1289" si="554">AF1221*$C1221</f>
        <v>0</v>
      </c>
      <c r="AG1289" s="1172">
        <f t="shared" si="554"/>
        <v>0</v>
      </c>
      <c r="AH1289" s="1172">
        <f t="shared" si="554"/>
        <v>0</v>
      </c>
      <c r="AI1289" s="1172">
        <f t="shared" si="554"/>
        <v>0</v>
      </c>
      <c r="AJ1289" s="1172">
        <f t="shared" si="554"/>
        <v>0</v>
      </c>
      <c r="AK1289" s="1172">
        <f t="shared" si="554"/>
        <v>0</v>
      </c>
      <c r="AL1289" s="1172">
        <f t="shared" si="554"/>
        <v>0</v>
      </c>
      <c r="AM1289" s="1172">
        <f t="shared" si="554"/>
        <v>0</v>
      </c>
      <c r="AN1289" s="1172">
        <f t="shared" si="554"/>
        <v>0</v>
      </c>
      <c r="AO1289" s="1172">
        <f t="shared" si="554"/>
        <v>0</v>
      </c>
      <c r="AP1289" s="1172">
        <f t="shared" si="554"/>
        <v>0</v>
      </c>
      <c r="AQ1289" s="1618">
        <f t="shared" si="554"/>
        <v>0</v>
      </c>
    </row>
    <row r="1290" spans="2:43" ht="13.75" hidden="1" customHeight="1" x14ac:dyDescent="0.2">
      <c r="B1290" s="1586" t="str">
        <f t="shared" si="519"/>
        <v>Cosechar cultivos de verano propia</v>
      </c>
      <c r="C1290" s="1187"/>
      <c r="D1290" s="1183"/>
      <c r="E1290" s="372"/>
      <c r="F1290" s="193"/>
      <c r="G1290" s="193"/>
      <c r="H1290" s="193"/>
      <c r="I1290" s="1172">
        <f t="shared" ref="I1290:T1290" si="555">I1222*$C1222</f>
        <v>0</v>
      </c>
      <c r="J1290" s="1172">
        <f t="shared" si="555"/>
        <v>0</v>
      </c>
      <c r="K1290" s="1172">
        <f t="shared" si="555"/>
        <v>0</v>
      </c>
      <c r="L1290" s="1172">
        <f t="shared" si="555"/>
        <v>0</v>
      </c>
      <c r="M1290" s="1172">
        <f t="shared" si="555"/>
        <v>0</v>
      </c>
      <c r="N1290" s="1172">
        <f t="shared" si="555"/>
        <v>0</v>
      </c>
      <c r="O1290" s="1172">
        <f t="shared" si="555"/>
        <v>0</v>
      </c>
      <c r="P1290" s="1172">
        <f t="shared" si="555"/>
        <v>0</v>
      </c>
      <c r="Q1290" s="1172">
        <f t="shared" si="555"/>
        <v>0</v>
      </c>
      <c r="R1290" s="1172">
        <f t="shared" si="555"/>
        <v>0</v>
      </c>
      <c r="S1290" s="1172">
        <f t="shared" si="555"/>
        <v>0</v>
      </c>
      <c r="T1290" s="1618">
        <f t="shared" si="555"/>
        <v>0</v>
      </c>
      <c r="Y1290" s="1586" t="str">
        <f t="shared" si="521"/>
        <v>Cosechar cultivos de verano propia</v>
      </c>
      <c r="Z1290" s="1187"/>
      <c r="AA1290" s="1183"/>
      <c r="AB1290" s="372"/>
      <c r="AC1290" s="193"/>
      <c r="AD1290" s="193"/>
      <c r="AE1290" s="193"/>
      <c r="AF1290" s="1172">
        <f t="shared" ref="AF1290:AQ1290" si="556">AF1222*$C1222</f>
        <v>0</v>
      </c>
      <c r="AG1290" s="1172">
        <f t="shared" si="556"/>
        <v>0</v>
      </c>
      <c r="AH1290" s="1172">
        <f t="shared" si="556"/>
        <v>0</v>
      </c>
      <c r="AI1290" s="1172">
        <f t="shared" si="556"/>
        <v>0</v>
      </c>
      <c r="AJ1290" s="1172">
        <f t="shared" si="556"/>
        <v>0</v>
      </c>
      <c r="AK1290" s="1172">
        <f t="shared" si="556"/>
        <v>0</v>
      </c>
      <c r="AL1290" s="1172">
        <f t="shared" si="556"/>
        <v>0</v>
      </c>
      <c r="AM1290" s="1172">
        <f t="shared" si="556"/>
        <v>0</v>
      </c>
      <c r="AN1290" s="1172">
        <f t="shared" si="556"/>
        <v>0</v>
      </c>
      <c r="AO1290" s="1172">
        <f t="shared" si="556"/>
        <v>0</v>
      </c>
      <c r="AP1290" s="1172">
        <f t="shared" si="556"/>
        <v>0</v>
      </c>
      <c r="AQ1290" s="1618">
        <f t="shared" si="556"/>
        <v>0</v>
      </c>
    </row>
    <row r="1291" spans="2:43" ht="13.75" hidden="1" customHeight="1" x14ac:dyDescent="0.2">
      <c r="B1291" s="1586" t="str">
        <f t="shared" si="519"/>
        <v>Cosechar maíz</v>
      </c>
      <c r="C1291" s="1187"/>
      <c r="D1291" s="1183"/>
      <c r="E1291" s="372"/>
      <c r="F1291" s="193"/>
      <c r="G1291" s="193"/>
      <c r="H1291" s="193"/>
      <c r="I1291" s="1172">
        <f t="shared" ref="I1291:T1291" si="557">I1223*$C1223</f>
        <v>0</v>
      </c>
      <c r="J1291" s="1172">
        <f t="shared" si="557"/>
        <v>0</v>
      </c>
      <c r="K1291" s="1172">
        <f t="shared" si="557"/>
        <v>0</v>
      </c>
      <c r="L1291" s="1172">
        <f t="shared" si="557"/>
        <v>0</v>
      </c>
      <c r="M1291" s="1172">
        <f t="shared" si="557"/>
        <v>0</v>
      </c>
      <c r="N1291" s="1172">
        <f t="shared" si="557"/>
        <v>0</v>
      </c>
      <c r="O1291" s="1172">
        <f t="shared" si="557"/>
        <v>0</v>
      </c>
      <c r="P1291" s="1172">
        <f t="shared" si="557"/>
        <v>0</v>
      </c>
      <c r="Q1291" s="1172">
        <f t="shared" si="557"/>
        <v>0</v>
      </c>
      <c r="R1291" s="1172">
        <f t="shared" si="557"/>
        <v>0</v>
      </c>
      <c r="S1291" s="1172">
        <f t="shared" si="557"/>
        <v>0</v>
      </c>
      <c r="T1291" s="1618">
        <f t="shared" si="557"/>
        <v>0</v>
      </c>
      <c r="Y1291" s="1586" t="str">
        <f t="shared" si="521"/>
        <v>Cosechar maíz</v>
      </c>
      <c r="Z1291" s="1187"/>
      <c r="AA1291" s="1183"/>
      <c r="AB1291" s="372"/>
      <c r="AC1291" s="193"/>
      <c r="AD1291" s="193"/>
      <c r="AE1291" s="193"/>
      <c r="AF1291" s="1172">
        <f t="shared" ref="AF1291:AQ1291" si="558">AF1223*$C1223</f>
        <v>0</v>
      </c>
      <c r="AG1291" s="1172">
        <f t="shared" si="558"/>
        <v>0</v>
      </c>
      <c r="AH1291" s="1172">
        <f t="shared" si="558"/>
        <v>0</v>
      </c>
      <c r="AI1291" s="1172">
        <f t="shared" si="558"/>
        <v>0</v>
      </c>
      <c r="AJ1291" s="1172">
        <f t="shared" si="558"/>
        <v>0</v>
      </c>
      <c r="AK1291" s="1172">
        <f t="shared" si="558"/>
        <v>0</v>
      </c>
      <c r="AL1291" s="1172">
        <f t="shared" si="558"/>
        <v>0</v>
      </c>
      <c r="AM1291" s="1172">
        <f t="shared" si="558"/>
        <v>0</v>
      </c>
      <c r="AN1291" s="1172">
        <f t="shared" si="558"/>
        <v>0</v>
      </c>
      <c r="AO1291" s="1172">
        <f t="shared" si="558"/>
        <v>0</v>
      </c>
      <c r="AP1291" s="1172">
        <f t="shared" si="558"/>
        <v>0</v>
      </c>
      <c r="AQ1291" s="1618">
        <f t="shared" si="558"/>
        <v>0</v>
      </c>
    </row>
    <row r="1292" spans="2:43" ht="13.75" hidden="1" customHeight="1" x14ac:dyDescent="0.2">
      <c r="B1292" s="1586" t="str">
        <f t="shared" si="519"/>
        <v xml:space="preserve">Cosecha + hilerado </v>
      </c>
      <c r="C1292" s="1187"/>
      <c r="D1292" s="1183"/>
      <c r="E1292" s="372"/>
      <c r="F1292" s="193"/>
      <c r="G1292" s="193"/>
      <c r="H1292" s="193"/>
      <c r="I1292" s="1172">
        <f t="shared" ref="I1292:T1292" si="559">I1224*$C1224</f>
        <v>0</v>
      </c>
      <c r="J1292" s="1172">
        <f t="shared" si="559"/>
        <v>0</v>
      </c>
      <c r="K1292" s="1172">
        <f t="shared" si="559"/>
        <v>0</v>
      </c>
      <c r="L1292" s="1172">
        <f t="shared" si="559"/>
        <v>0</v>
      </c>
      <c r="M1292" s="1172">
        <f t="shared" si="559"/>
        <v>0</v>
      </c>
      <c r="N1292" s="1172">
        <f t="shared" si="559"/>
        <v>0</v>
      </c>
      <c r="O1292" s="1172">
        <f t="shared" si="559"/>
        <v>0</v>
      </c>
      <c r="P1292" s="1172">
        <f t="shared" si="559"/>
        <v>0</v>
      </c>
      <c r="Q1292" s="1172">
        <f t="shared" si="559"/>
        <v>0</v>
      </c>
      <c r="R1292" s="1172">
        <f t="shared" si="559"/>
        <v>0</v>
      </c>
      <c r="S1292" s="1172">
        <f t="shared" si="559"/>
        <v>0</v>
      </c>
      <c r="T1292" s="1618">
        <f t="shared" si="559"/>
        <v>0</v>
      </c>
      <c r="Y1292" s="1586" t="str">
        <f t="shared" si="521"/>
        <v xml:space="preserve">Cosecha + hilerado </v>
      </c>
      <c r="Z1292" s="1187"/>
      <c r="AA1292" s="1183"/>
      <c r="AB1292" s="372"/>
      <c r="AC1292" s="193"/>
      <c r="AD1292" s="193"/>
      <c r="AE1292" s="193"/>
      <c r="AF1292" s="1172">
        <f t="shared" ref="AF1292:AQ1292" si="560">AF1224*$C1224</f>
        <v>0</v>
      </c>
      <c r="AG1292" s="1172">
        <f t="shared" si="560"/>
        <v>0</v>
      </c>
      <c r="AH1292" s="1172">
        <f t="shared" si="560"/>
        <v>0</v>
      </c>
      <c r="AI1292" s="1172">
        <f t="shared" si="560"/>
        <v>0</v>
      </c>
      <c r="AJ1292" s="1172">
        <f t="shared" si="560"/>
        <v>0</v>
      </c>
      <c r="AK1292" s="1172">
        <f t="shared" si="560"/>
        <v>0</v>
      </c>
      <c r="AL1292" s="1172">
        <f t="shared" si="560"/>
        <v>0</v>
      </c>
      <c r="AM1292" s="1172">
        <f t="shared" si="560"/>
        <v>0</v>
      </c>
      <c r="AN1292" s="1172">
        <f t="shared" si="560"/>
        <v>0</v>
      </c>
      <c r="AO1292" s="1172">
        <f t="shared" si="560"/>
        <v>0</v>
      </c>
      <c r="AP1292" s="1172">
        <f t="shared" si="560"/>
        <v>0</v>
      </c>
      <c r="AQ1292" s="1618">
        <f t="shared" si="560"/>
        <v>0</v>
      </c>
    </row>
    <row r="1293" spans="2:43" ht="13.75" hidden="1" customHeight="1" x14ac:dyDescent="0.2">
      <c r="B1293" s="1586" t="str">
        <f t="shared" si="519"/>
        <v>Embolsar grano U$D/t (incluye materiales)</v>
      </c>
      <c r="C1293" s="1187"/>
      <c r="D1293" s="1183"/>
      <c r="E1293" s="372"/>
      <c r="F1293" s="193"/>
      <c r="G1293" s="193"/>
      <c r="H1293" s="193"/>
      <c r="I1293" s="1172">
        <f t="shared" ref="I1293:T1293" si="561">I1225*$C1225</f>
        <v>0</v>
      </c>
      <c r="J1293" s="1172">
        <f t="shared" si="561"/>
        <v>0</v>
      </c>
      <c r="K1293" s="1172">
        <f t="shared" si="561"/>
        <v>0</v>
      </c>
      <c r="L1293" s="1172">
        <f t="shared" si="561"/>
        <v>0</v>
      </c>
      <c r="M1293" s="1172">
        <f t="shared" si="561"/>
        <v>0</v>
      </c>
      <c r="N1293" s="1172">
        <f t="shared" si="561"/>
        <v>0</v>
      </c>
      <c r="O1293" s="1172">
        <f t="shared" si="561"/>
        <v>0</v>
      </c>
      <c r="P1293" s="1172">
        <f t="shared" si="561"/>
        <v>0</v>
      </c>
      <c r="Q1293" s="1172">
        <f t="shared" si="561"/>
        <v>0</v>
      </c>
      <c r="R1293" s="1172">
        <f t="shared" si="561"/>
        <v>0</v>
      </c>
      <c r="S1293" s="1172">
        <f t="shared" si="561"/>
        <v>0</v>
      </c>
      <c r="T1293" s="1618">
        <f t="shared" si="561"/>
        <v>0</v>
      </c>
      <c r="Y1293" s="1586" t="str">
        <f t="shared" si="521"/>
        <v>Embolsar grano U$D/t (incluye materiales)</v>
      </c>
      <c r="Z1293" s="1187"/>
      <c r="AA1293" s="1183"/>
      <c r="AB1293" s="372"/>
      <c r="AC1293" s="193"/>
      <c r="AD1293" s="193"/>
      <c r="AE1293" s="193"/>
      <c r="AF1293" s="1172">
        <f t="shared" ref="AF1293:AQ1293" si="562">AF1225*$C1225</f>
        <v>0</v>
      </c>
      <c r="AG1293" s="1172">
        <f t="shared" si="562"/>
        <v>0</v>
      </c>
      <c r="AH1293" s="1172">
        <f t="shared" si="562"/>
        <v>0</v>
      </c>
      <c r="AI1293" s="1172">
        <f t="shared" si="562"/>
        <v>0</v>
      </c>
      <c r="AJ1293" s="1172">
        <f t="shared" si="562"/>
        <v>0</v>
      </c>
      <c r="AK1293" s="1172">
        <f t="shared" si="562"/>
        <v>0</v>
      </c>
      <c r="AL1293" s="1172">
        <f t="shared" si="562"/>
        <v>0</v>
      </c>
      <c r="AM1293" s="1172">
        <f t="shared" si="562"/>
        <v>0</v>
      </c>
      <c r="AN1293" s="1172">
        <f t="shared" si="562"/>
        <v>0</v>
      </c>
      <c r="AO1293" s="1172">
        <f t="shared" si="562"/>
        <v>0</v>
      </c>
      <c r="AP1293" s="1172">
        <f t="shared" si="562"/>
        <v>0</v>
      </c>
      <c r="AQ1293" s="1618">
        <f t="shared" si="562"/>
        <v>0</v>
      </c>
    </row>
    <row r="1294" spans="2:43" ht="13.75" hidden="1" customHeight="1" x14ac:dyDescent="0.2">
      <c r="B1294" s="1586" t="str">
        <f t="shared" si="519"/>
        <v>Cosechar semillero de leguminosa</v>
      </c>
      <c r="C1294" s="1187"/>
      <c r="D1294" s="1183"/>
      <c r="E1294" s="372"/>
      <c r="F1294" s="193"/>
      <c r="G1294" s="193"/>
      <c r="H1294" s="193"/>
      <c r="I1294" s="1172">
        <f t="shared" ref="I1294:T1294" si="563">I1226*$C1226</f>
        <v>0</v>
      </c>
      <c r="J1294" s="1172">
        <f t="shared" si="563"/>
        <v>0</v>
      </c>
      <c r="K1294" s="1172">
        <f t="shared" si="563"/>
        <v>0</v>
      </c>
      <c r="L1294" s="1172">
        <f t="shared" si="563"/>
        <v>0</v>
      </c>
      <c r="M1294" s="1172">
        <f t="shared" si="563"/>
        <v>0</v>
      </c>
      <c r="N1294" s="1172">
        <f t="shared" si="563"/>
        <v>0</v>
      </c>
      <c r="O1294" s="1172">
        <f t="shared" si="563"/>
        <v>0</v>
      </c>
      <c r="P1294" s="1172">
        <f t="shared" si="563"/>
        <v>0</v>
      </c>
      <c r="Q1294" s="1172">
        <f t="shared" si="563"/>
        <v>0</v>
      </c>
      <c r="R1294" s="1172">
        <f t="shared" si="563"/>
        <v>0</v>
      </c>
      <c r="S1294" s="1172">
        <f t="shared" si="563"/>
        <v>0</v>
      </c>
      <c r="T1294" s="1618">
        <f t="shared" si="563"/>
        <v>0</v>
      </c>
      <c r="Y1294" s="1586" t="str">
        <f t="shared" si="521"/>
        <v>Cosechar semillero de leguminosa</v>
      </c>
      <c r="Z1294" s="1187"/>
      <c r="AA1294" s="1183"/>
      <c r="AB1294" s="372"/>
      <c r="AC1294" s="193"/>
      <c r="AD1294" s="193"/>
      <c r="AE1294" s="193"/>
      <c r="AF1294" s="1172">
        <f t="shared" ref="AF1294:AQ1294" si="564">AF1226*$C1226</f>
        <v>0</v>
      </c>
      <c r="AG1294" s="1172">
        <f t="shared" si="564"/>
        <v>0</v>
      </c>
      <c r="AH1294" s="1172">
        <f t="shared" si="564"/>
        <v>0</v>
      </c>
      <c r="AI1294" s="1172">
        <f t="shared" si="564"/>
        <v>0</v>
      </c>
      <c r="AJ1294" s="1172">
        <f t="shared" si="564"/>
        <v>0</v>
      </c>
      <c r="AK1294" s="1172">
        <f t="shared" si="564"/>
        <v>0</v>
      </c>
      <c r="AL1294" s="1172">
        <f t="shared" si="564"/>
        <v>0</v>
      </c>
      <c r="AM1294" s="1172">
        <f t="shared" si="564"/>
        <v>0</v>
      </c>
      <c r="AN1294" s="1172">
        <f t="shared" si="564"/>
        <v>0</v>
      </c>
      <c r="AO1294" s="1172">
        <f t="shared" si="564"/>
        <v>0</v>
      </c>
      <c r="AP1294" s="1172">
        <f t="shared" si="564"/>
        <v>0</v>
      </c>
      <c r="AQ1294" s="1618">
        <f t="shared" si="564"/>
        <v>0</v>
      </c>
    </row>
    <row r="1295" spans="2:43" ht="13.75" hidden="1" customHeight="1" x14ac:dyDescent="0.2">
      <c r="B1295" s="1586" t="str">
        <f t="shared" si="519"/>
        <v>Cosechar semillero de gramínea</v>
      </c>
      <c r="C1295" s="1187"/>
      <c r="D1295" s="1183"/>
      <c r="E1295" s="372"/>
      <c r="F1295" s="193"/>
      <c r="G1295" s="193"/>
      <c r="H1295" s="193"/>
      <c r="I1295" s="1172">
        <f t="shared" ref="I1295:T1295" si="565">I1227*$C1227</f>
        <v>0</v>
      </c>
      <c r="J1295" s="1172">
        <f t="shared" si="565"/>
        <v>0</v>
      </c>
      <c r="K1295" s="1172">
        <f t="shared" si="565"/>
        <v>0</v>
      </c>
      <c r="L1295" s="1172">
        <f t="shared" si="565"/>
        <v>0</v>
      </c>
      <c r="M1295" s="1172">
        <f t="shared" si="565"/>
        <v>0</v>
      </c>
      <c r="N1295" s="1172">
        <f t="shared" si="565"/>
        <v>0</v>
      </c>
      <c r="O1295" s="1172">
        <f t="shared" si="565"/>
        <v>0</v>
      </c>
      <c r="P1295" s="1172">
        <f t="shared" si="565"/>
        <v>0</v>
      </c>
      <c r="Q1295" s="1172">
        <f t="shared" si="565"/>
        <v>0</v>
      </c>
      <c r="R1295" s="1172">
        <f t="shared" si="565"/>
        <v>0</v>
      </c>
      <c r="S1295" s="1172">
        <f t="shared" si="565"/>
        <v>0</v>
      </c>
      <c r="T1295" s="1618">
        <f t="shared" si="565"/>
        <v>0</v>
      </c>
      <c r="Y1295" s="1586" t="str">
        <f t="shared" si="521"/>
        <v>Cosechar semillero de gramínea</v>
      </c>
      <c r="Z1295" s="1187"/>
      <c r="AA1295" s="1183"/>
      <c r="AB1295" s="372"/>
      <c r="AC1295" s="193"/>
      <c r="AD1295" s="193"/>
      <c r="AE1295" s="193"/>
      <c r="AF1295" s="1172">
        <f t="shared" ref="AF1295:AQ1295" si="566">AF1227*$C1227</f>
        <v>0</v>
      </c>
      <c r="AG1295" s="1172">
        <f t="shared" si="566"/>
        <v>0</v>
      </c>
      <c r="AH1295" s="1172">
        <f t="shared" si="566"/>
        <v>0</v>
      </c>
      <c r="AI1295" s="1172">
        <f t="shared" si="566"/>
        <v>0</v>
      </c>
      <c r="AJ1295" s="1172">
        <f t="shared" si="566"/>
        <v>0</v>
      </c>
      <c r="AK1295" s="1172">
        <f t="shared" si="566"/>
        <v>0</v>
      </c>
      <c r="AL1295" s="1172">
        <f t="shared" si="566"/>
        <v>0</v>
      </c>
      <c r="AM1295" s="1172">
        <f t="shared" si="566"/>
        <v>0</v>
      </c>
      <c r="AN1295" s="1172">
        <f t="shared" si="566"/>
        <v>0</v>
      </c>
      <c r="AO1295" s="1172">
        <f t="shared" si="566"/>
        <v>0</v>
      </c>
      <c r="AP1295" s="1172">
        <f t="shared" si="566"/>
        <v>0</v>
      </c>
      <c r="AQ1295" s="1618">
        <f t="shared" si="566"/>
        <v>0</v>
      </c>
    </row>
    <row r="1296" spans="2:43" ht="13.75" hidden="1" customHeight="1" x14ac:dyDescent="0.2">
      <c r="B1296" s="1586" t="str">
        <f t="shared" si="519"/>
        <v>Ensilar Silo de Maíz</v>
      </c>
      <c r="C1296" s="1187"/>
      <c r="D1296" s="1183"/>
      <c r="E1296" s="372"/>
      <c r="F1296" s="193"/>
      <c r="G1296" s="193"/>
      <c r="H1296" s="193"/>
      <c r="I1296" s="1172">
        <f t="shared" ref="I1296:T1296" si="567">I1228*$C1228</f>
        <v>0</v>
      </c>
      <c r="J1296" s="1172">
        <f t="shared" si="567"/>
        <v>0</v>
      </c>
      <c r="K1296" s="1172">
        <f t="shared" si="567"/>
        <v>0</v>
      </c>
      <c r="L1296" s="1172">
        <f t="shared" si="567"/>
        <v>0</v>
      </c>
      <c r="M1296" s="1172">
        <f t="shared" si="567"/>
        <v>0</v>
      </c>
      <c r="N1296" s="1172">
        <f t="shared" si="567"/>
        <v>0</v>
      </c>
      <c r="O1296" s="1172">
        <f t="shared" si="567"/>
        <v>0</v>
      </c>
      <c r="P1296" s="1172">
        <f t="shared" si="567"/>
        <v>0</v>
      </c>
      <c r="Q1296" s="1172">
        <f t="shared" si="567"/>
        <v>0</v>
      </c>
      <c r="R1296" s="1172">
        <f t="shared" si="567"/>
        <v>0</v>
      </c>
      <c r="S1296" s="1172">
        <f t="shared" si="567"/>
        <v>0</v>
      </c>
      <c r="T1296" s="1618">
        <f t="shared" si="567"/>
        <v>0</v>
      </c>
      <c r="Y1296" s="1586" t="str">
        <f t="shared" si="521"/>
        <v>Ensilar Silo de Maíz</v>
      </c>
      <c r="Z1296" s="1187"/>
      <c r="AA1296" s="1183"/>
      <c r="AB1296" s="372"/>
      <c r="AC1296" s="193"/>
      <c r="AD1296" s="193"/>
      <c r="AE1296" s="193"/>
      <c r="AF1296" s="1172">
        <f t="shared" ref="AF1296:AQ1296" si="568">AF1228*$C1228</f>
        <v>0</v>
      </c>
      <c r="AG1296" s="1172">
        <f t="shared" si="568"/>
        <v>0</v>
      </c>
      <c r="AH1296" s="1172">
        <f t="shared" si="568"/>
        <v>0</v>
      </c>
      <c r="AI1296" s="1172">
        <f t="shared" si="568"/>
        <v>0</v>
      </c>
      <c r="AJ1296" s="1172">
        <f t="shared" si="568"/>
        <v>0</v>
      </c>
      <c r="AK1296" s="1172">
        <f t="shared" si="568"/>
        <v>0</v>
      </c>
      <c r="AL1296" s="1172">
        <f t="shared" si="568"/>
        <v>0</v>
      </c>
      <c r="AM1296" s="1172">
        <f t="shared" si="568"/>
        <v>0</v>
      </c>
      <c r="AN1296" s="1172">
        <f t="shared" si="568"/>
        <v>0</v>
      </c>
      <c r="AO1296" s="1172">
        <f t="shared" si="568"/>
        <v>0</v>
      </c>
      <c r="AP1296" s="1172">
        <f t="shared" si="568"/>
        <v>0</v>
      </c>
      <c r="AQ1296" s="1618">
        <f t="shared" si="568"/>
        <v>0</v>
      </c>
    </row>
    <row r="1297" spans="1:46" ht="13.75" hidden="1" customHeight="1" x14ac:dyDescent="0.2">
      <c r="B1297" s="1586" t="str">
        <f t="shared" si="519"/>
        <v>Enfardar</v>
      </c>
      <c r="C1297" s="1187"/>
      <c r="D1297" s="1183"/>
      <c r="E1297" s="372"/>
      <c r="F1297" s="193"/>
      <c r="G1297" s="193"/>
      <c r="H1297" s="193"/>
      <c r="I1297" s="1172">
        <f t="shared" ref="I1297:T1297" si="569">I1229*$C1229</f>
        <v>0</v>
      </c>
      <c r="J1297" s="1172">
        <f t="shared" si="569"/>
        <v>0</v>
      </c>
      <c r="K1297" s="1172">
        <f t="shared" si="569"/>
        <v>0</v>
      </c>
      <c r="L1297" s="1172">
        <f t="shared" si="569"/>
        <v>0</v>
      </c>
      <c r="M1297" s="1172">
        <f t="shared" si="569"/>
        <v>0</v>
      </c>
      <c r="N1297" s="1172">
        <f t="shared" si="569"/>
        <v>0</v>
      </c>
      <c r="O1297" s="1172">
        <f t="shared" si="569"/>
        <v>0</v>
      </c>
      <c r="P1297" s="1172">
        <f t="shared" si="569"/>
        <v>0</v>
      </c>
      <c r="Q1297" s="1172">
        <f t="shared" si="569"/>
        <v>0</v>
      </c>
      <c r="R1297" s="1172">
        <f t="shared" si="569"/>
        <v>0</v>
      </c>
      <c r="S1297" s="1172">
        <f t="shared" si="569"/>
        <v>0</v>
      </c>
      <c r="T1297" s="1618">
        <f t="shared" si="569"/>
        <v>0</v>
      </c>
      <c r="Y1297" s="1586" t="str">
        <f t="shared" si="521"/>
        <v>Enfardar</v>
      </c>
      <c r="Z1297" s="1187"/>
      <c r="AA1297" s="1183"/>
      <c r="AB1297" s="372"/>
      <c r="AC1297" s="193"/>
      <c r="AD1297" s="193"/>
      <c r="AE1297" s="193"/>
      <c r="AF1297" s="1172">
        <f t="shared" ref="AF1297:AQ1297" si="570">AF1229*$C1229</f>
        <v>0</v>
      </c>
      <c r="AG1297" s="1172">
        <f t="shared" si="570"/>
        <v>0</v>
      </c>
      <c r="AH1297" s="1172">
        <f t="shared" si="570"/>
        <v>0</v>
      </c>
      <c r="AI1297" s="1172">
        <f t="shared" si="570"/>
        <v>0</v>
      </c>
      <c r="AJ1297" s="1172">
        <f t="shared" si="570"/>
        <v>0</v>
      </c>
      <c r="AK1297" s="1172">
        <f t="shared" si="570"/>
        <v>0</v>
      </c>
      <c r="AL1297" s="1172">
        <f t="shared" si="570"/>
        <v>0</v>
      </c>
      <c r="AM1297" s="1172">
        <f t="shared" si="570"/>
        <v>0</v>
      </c>
      <c r="AN1297" s="1172">
        <f t="shared" si="570"/>
        <v>0</v>
      </c>
      <c r="AO1297" s="1172">
        <f t="shared" si="570"/>
        <v>0</v>
      </c>
      <c r="AP1297" s="1172">
        <f t="shared" si="570"/>
        <v>0</v>
      </c>
      <c r="AQ1297" s="1618">
        <f t="shared" si="570"/>
        <v>0</v>
      </c>
    </row>
    <row r="1298" spans="1:46" ht="13.75" hidden="1" customHeight="1" x14ac:dyDescent="0.2">
      <c r="B1298" s="1586" t="str">
        <f t="shared" si="519"/>
        <v>Ensilar Verdeos de Invierno / Praderas</v>
      </c>
      <c r="C1298" s="1187"/>
      <c r="D1298" s="1183"/>
      <c r="E1298" s="372"/>
      <c r="F1298" s="193"/>
      <c r="G1298" s="193"/>
      <c r="H1298" s="193"/>
      <c r="I1298" s="1172">
        <f t="shared" ref="I1298:T1298" si="571">I1230*$C1230</f>
        <v>0</v>
      </c>
      <c r="J1298" s="1172">
        <f t="shared" si="571"/>
        <v>0</v>
      </c>
      <c r="K1298" s="1172">
        <f t="shared" si="571"/>
        <v>0</v>
      </c>
      <c r="L1298" s="1172">
        <f t="shared" si="571"/>
        <v>0</v>
      </c>
      <c r="M1298" s="1172">
        <f t="shared" si="571"/>
        <v>0</v>
      </c>
      <c r="N1298" s="1172">
        <f t="shared" si="571"/>
        <v>0</v>
      </c>
      <c r="O1298" s="1172">
        <f t="shared" si="571"/>
        <v>0</v>
      </c>
      <c r="P1298" s="1172">
        <f t="shared" si="571"/>
        <v>0</v>
      </c>
      <c r="Q1298" s="1172">
        <f t="shared" si="571"/>
        <v>0</v>
      </c>
      <c r="R1298" s="1172">
        <f t="shared" si="571"/>
        <v>0</v>
      </c>
      <c r="S1298" s="1172">
        <f t="shared" si="571"/>
        <v>0</v>
      </c>
      <c r="T1298" s="1618">
        <f t="shared" si="571"/>
        <v>0</v>
      </c>
      <c r="Y1298" s="1586" t="str">
        <f t="shared" si="521"/>
        <v>Ensilar Verdeos de Invierno / Praderas</v>
      </c>
      <c r="Z1298" s="1187"/>
      <c r="AA1298" s="1183"/>
      <c r="AB1298" s="372"/>
      <c r="AC1298" s="193"/>
      <c r="AD1298" s="193"/>
      <c r="AE1298" s="193"/>
      <c r="AF1298" s="1172">
        <f t="shared" ref="AF1298:AQ1298" si="572">AF1230*$C1230</f>
        <v>0</v>
      </c>
      <c r="AG1298" s="1172">
        <f t="shared" si="572"/>
        <v>0</v>
      </c>
      <c r="AH1298" s="1172">
        <f t="shared" si="572"/>
        <v>0</v>
      </c>
      <c r="AI1298" s="1172">
        <f t="shared" si="572"/>
        <v>0</v>
      </c>
      <c r="AJ1298" s="1172">
        <f t="shared" si="572"/>
        <v>0</v>
      </c>
      <c r="AK1298" s="1172">
        <f t="shared" si="572"/>
        <v>0</v>
      </c>
      <c r="AL1298" s="1172">
        <f t="shared" si="572"/>
        <v>0</v>
      </c>
      <c r="AM1298" s="1172">
        <f t="shared" si="572"/>
        <v>0</v>
      </c>
      <c r="AN1298" s="1172">
        <f t="shared" si="572"/>
        <v>0</v>
      </c>
      <c r="AO1298" s="1172">
        <f t="shared" si="572"/>
        <v>0</v>
      </c>
      <c r="AP1298" s="1172">
        <f t="shared" si="572"/>
        <v>0</v>
      </c>
      <c r="AQ1298" s="1618">
        <f t="shared" si="572"/>
        <v>0</v>
      </c>
    </row>
    <row r="1299" spans="1:46" ht="13.75" hidden="1" customHeight="1" x14ac:dyDescent="0.2">
      <c r="B1299" s="1586">
        <f t="shared" si="519"/>
        <v>0</v>
      </c>
      <c r="C1299" s="1187"/>
      <c r="D1299" s="1183"/>
      <c r="E1299" s="372"/>
      <c r="F1299" s="193"/>
      <c r="G1299" s="193"/>
      <c r="H1299" s="193"/>
      <c r="I1299" s="1172">
        <f t="shared" ref="I1299:T1299" si="573">I1231*$C1231</f>
        <v>0</v>
      </c>
      <c r="J1299" s="1172">
        <f t="shared" si="573"/>
        <v>0</v>
      </c>
      <c r="K1299" s="1172">
        <f t="shared" si="573"/>
        <v>0</v>
      </c>
      <c r="L1299" s="1172">
        <f t="shared" si="573"/>
        <v>0</v>
      </c>
      <c r="M1299" s="1172">
        <f t="shared" si="573"/>
        <v>0</v>
      </c>
      <c r="N1299" s="1172">
        <f t="shared" si="573"/>
        <v>0</v>
      </c>
      <c r="O1299" s="1172">
        <f t="shared" si="573"/>
        <v>0</v>
      </c>
      <c r="P1299" s="1172">
        <f t="shared" si="573"/>
        <v>0</v>
      </c>
      <c r="Q1299" s="1172">
        <f t="shared" si="573"/>
        <v>0</v>
      </c>
      <c r="R1299" s="1172">
        <f t="shared" si="573"/>
        <v>0</v>
      </c>
      <c r="S1299" s="1172">
        <f t="shared" si="573"/>
        <v>0</v>
      </c>
      <c r="T1299" s="1618">
        <f t="shared" si="573"/>
        <v>0</v>
      </c>
      <c r="Y1299" s="1586">
        <f t="shared" si="521"/>
        <v>0</v>
      </c>
      <c r="Z1299" s="1187"/>
      <c r="AA1299" s="1183"/>
      <c r="AB1299" s="372"/>
      <c r="AC1299" s="193"/>
      <c r="AD1299" s="193"/>
      <c r="AE1299" s="193"/>
      <c r="AF1299" s="1172">
        <f t="shared" ref="AF1299:AQ1299" si="574">AF1231*$C1231</f>
        <v>0</v>
      </c>
      <c r="AG1299" s="1172">
        <f t="shared" si="574"/>
        <v>0</v>
      </c>
      <c r="AH1299" s="1172">
        <f t="shared" si="574"/>
        <v>0</v>
      </c>
      <c r="AI1299" s="1172">
        <f t="shared" si="574"/>
        <v>0</v>
      </c>
      <c r="AJ1299" s="1172">
        <f t="shared" si="574"/>
        <v>0</v>
      </c>
      <c r="AK1299" s="1172">
        <f t="shared" si="574"/>
        <v>0</v>
      </c>
      <c r="AL1299" s="1172">
        <f t="shared" si="574"/>
        <v>0</v>
      </c>
      <c r="AM1299" s="1172">
        <f t="shared" si="574"/>
        <v>0</v>
      </c>
      <c r="AN1299" s="1172">
        <f t="shared" si="574"/>
        <v>0</v>
      </c>
      <c r="AO1299" s="1172">
        <f t="shared" si="574"/>
        <v>0</v>
      </c>
      <c r="AP1299" s="1172">
        <f t="shared" si="574"/>
        <v>0</v>
      </c>
      <c r="AQ1299" s="1618">
        <f t="shared" si="574"/>
        <v>0</v>
      </c>
    </row>
    <row r="1300" spans="1:46" ht="13.75" hidden="1" customHeight="1" x14ac:dyDescent="0.2">
      <c r="B1300" s="1619">
        <f t="shared" si="519"/>
        <v>0</v>
      </c>
      <c r="C1300" s="1188"/>
      <c r="D1300" s="1183"/>
      <c r="E1300" s="372"/>
      <c r="F1300" s="193"/>
      <c r="G1300" s="193"/>
      <c r="H1300" s="193"/>
      <c r="I1300" s="1189">
        <f t="shared" ref="I1300:T1300" si="575">I1232*$C1232</f>
        <v>0</v>
      </c>
      <c r="J1300" s="1189">
        <f t="shared" si="575"/>
        <v>0</v>
      </c>
      <c r="K1300" s="1189">
        <f t="shared" si="575"/>
        <v>0</v>
      </c>
      <c r="L1300" s="1189">
        <f t="shared" si="575"/>
        <v>0</v>
      </c>
      <c r="M1300" s="1189">
        <f t="shared" si="575"/>
        <v>0</v>
      </c>
      <c r="N1300" s="1189">
        <f t="shared" si="575"/>
        <v>0</v>
      </c>
      <c r="O1300" s="1189">
        <f t="shared" si="575"/>
        <v>0</v>
      </c>
      <c r="P1300" s="1189">
        <f t="shared" si="575"/>
        <v>0</v>
      </c>
      <c r="Q1300" s="1189">
        <f t="shared" si="575"/>
        <v>0</v>
      </c>
      <c r="R1300" s="1189">
        <f t="shared" si="575"/>
        <v>0</v>
      </c>
      <c r="S1300" s="1189">
        <f t="shared" si="575"/>
        <v>0</v>
      </c>
      <c r="T1300" s="1620">
        <f t="shared" si="575"/>
        <v>0</v>
      </c>
      <c r="Y1300" s="1619">
        <f t="shared" si="521"/>
        <v>0</v>
      </c>
      <c r="Z1300" s="1188"/>
      <c r="AA1300" s="1183"/>
      <c r="AB1300" s="372"/>
      <c r="AC1300" s="193"/>
      <c r="AD1300" s="193"/>
      <c r="AE1300" s="193"/>
      <c r="AF1300" s="1189">
        <f t="shared" ref="AF1300:AQ1300" si="576">AF1232*$C1232</f>
        <v>0</v>
      </c>
      <c r="AG1300" s="1189">
        <f t="shared" si="576"/>
        <v>0</v>
      </c>
      <c r="AH1300" s="1189">
        <f t="shared" si="576"/>
        <v>0</v>
      </c>
      <c r="AI1300" s="1189">
        <f t="shared" si="576"/>
        <v>0</v>
      </c>
      <c r="AJ1300" s="1189">
        <f t="shared" si="576"/>
        <v>0</v>
      </c>
      <c r="AK1300" s="1189">
        <f t="shared" si="576"/>
        <v>0</v>
      </c>
      <c r="AL1300" s="1189">
        <f t="shared" si="576"/>
        <v>0</v>
      </c>
      <c r="AM1300" s="1189">
        <f t="shared" si="576"/>
        <v>0</v>
      </c>
      <c r="AN1300" s="1189">
        <f t="shared" si="576"/>
        <v>0</v>
      </c>
      <c r="AO1300" s="1189">
        <f t="shared" si="576"/>
        <v>0</v>
      </c>
      <c r="AP1300" s="1189">
        <f t="shared" si="576"/>
        <v>0</v>
      </c>
      <c r="AQ1300" s="1620">
        <f t="shared" si="576"/>
        <v>0</v>
      </c>
    </row>
    <row r="1301" spans="1:46" ht="13.75" hidden="1" customHeight="1" x14ac:dyDescent="0.2">
      <c r="B1301" s="1586" t="str">
        <f t="shared" si="519"/>
        <v>Maquinaria</v>
      </c>
      <c r="C1301" s="1187"/>
      <c r="D1301" s="1201"/>
      <c r="E1301" s="1633"/>
      <c r="F1301" s="374"/>
      <c r="G1301" s="374"/>
      <c r="H1301" s="374"/>
      <c r="I1301" s="1172">
        <f>I1233*$C1233</f>
        <v>0</v>
      </c>
      <c r="J1301" s="1172">
        <f t="shared" ref="J1301:T1301" si="577">J1233*$C1233</f>
        <v>0</v>
      </c>
      <c r="K1301" s="1172">
        <f t="shared" si="577"/>
        <v>0</v>
      </c>
      <c r="L1301" s="1172">
        <f t="shared" si="577"/>
        <v>0</v>
      </c>
      <c r="M1301" s="1172">
        <f t="shared" si="577"/>
        <v>0</v>
      </c>
      <c r="N1301" s="1172">
        <f t="shared" si="577"/>
        <v>0</v>
      </c>
      <c r="O1301" s="1172">
        <f t="shared" si="577"/>
        <v>0</v>
      </c>
      <c r="P1301" s="1172">
        <f t="shared" si="577"/>
        <v>0</v>
      </c>
      <c r="Q1301" s="1172">
        <f t="shared" si="577"/>
        <v>0</v>
      </c>
      <c r="R1301" s="1172">
        <f t="shared" si="577"/>
        <v>0</v>
      </c>
      <c r="S1301" s="1172">
        <f t="shared" si="577"/>
        <v>0</v>
      </c>
      <c r="T1301" s="1618">
        <f t="shared" si="577"/>
        <v>0</v>
      </c>
      <c r="Y1301" s="1637"/>
      <c r="Z1301" s="1638"/>
      <c r="AA1301" s="374"/>
      <c r="AB1301" s="1633"/>
      <c r="AC1301" s="374"/>
      <c r="AD1301" s="374"/>
      <c r="AE1301" s="374"/>
      <c r="AF1301" s="1633"/>
      <c r="AG1301" s="1633"/>
      <c r="AH1301" s="1633"/>
      <c r="AI1301" s="1633"/>
      <c r="AJ1301" s="1633"/>
      <c r="AK1301" s="1633"/>
      <c r="AL1301" s="1633"/>
      <c r="AM1301" s="1633"/>
      <c r="AN1301" s="1633"/>
      <c r="AO1301" s="1633"/>
      <c r="AP1301" s="1633"/>
      <c r="AQ1301" s="1633"/>
    </row>
    <row r="1302" spans="1:46" ht="13.75" hidden="1" customHeight="1" x14ac:dyDescent="0.2">
      <c r="B1302" s="1586" t="str">
        <f t="shared" si="519"/>
        <v>Maquinaria</v>
      </c>
      <c r="C1302" s="1187"/>
      <c r="D1302" s="1183"/>
      <c r="E1302" s="372"/>
      <c r="F1302" s="193"/>
      <c r="G1302" s="193"/>
      <c r="H1302" s="193"/>
      <c r="I1302" s="1172">
        <f t="shared" ref="I1302:T1302" si="578">I1234*$C1234</f>
        <v>0</v>
      </c>
      <c r="J1302" s="1172">
        <f t="shared" si="578"/>
        <v>0</v>
      </c>
      <c r="K1302" s="1172">
        <f t="shared" si="578"/>
        <v>0</v>
      </c>
      <c r="L1302" s="1172">
        <f t="shared" si="578"/>
        <v>0</v>
      </c>
      <c r="M1302" s="1172">
        <f t="shared" si="578"/>
        <v>0</v>
      </c>
      <c r="N1302" s="1172">
        <f t="shared" si="578"/>
        <v>0</v>
      </c>
      <c r="O1302" s="1172">
        <f t="shared" si="578"/>
        <v>0</v>
      </c>
      <c r="P1302" s="1172">
        <f t="shared" si="578"/>
        <v>0</v>
      </c>
      <c r="Q1302" s="1172">
        <f t="shared" si="578"/>
        <v>0</v>
      </c>
      <c r="R1302" s="1172">
        <f t="shared" si="578"/>
        <v>0</v>
      </c>
      <c r="S1302" s="1172">
        <f t="shared" si="578"/>
        <v>0</v>
      </c>
      <c r="T1302" s="1618">
        <f t="shared" si="578"/>
        <v>0</v>
      </c>
      <c r="Y1302" s="1637"/>
      <c r="Z1302" s="1638"/>
      <c r="AA1302" s="374"/>
      <c r="AB1302" s="1633"/>
      <c r="AC1302" s="374"/>
      <c r="AD1302" s="374"/>
      <c r="AE1302" s="374"/>
      <c r="AF1302" s="1633"/>
      <c r="AG1302" s="1633"/>
      <c r="AH1302" s="1633"/>
      <c r="AI1302" s="1633"/>
      <c r="AJ1302" s="1633"/>
      <c r="AK1302" s="1633"/>
      <c r="AL1302" s="1633"/>
      <c r="AM1302" s="1633"/>
      <c r="AN1302" s="1633"/>
      <c r="AO1302" s="1633"/>
      <c r="AP1302" s="1633"/>
      <c r="AQ1302" s="1633"/>
    </row>
    <row r="1303" spans="1:46" ht="14.4" hidden="1" customHeight="1" thickBot="1" x14ac:dyDescent="0.25">
      <c r="B1303" s="1588" t="str">
        <f t="shared" si="519"/>
        <v>Maquinaria</v>
      </c>
      <c r="C1303" s="1621"/>
      <c r="D1303" s="1208"/>
      <c r="E1303" s="1634"/>
      <c r="F1303" s="1199"/>
      <c r="G1303" s="1199"/>
      <c r="H1303" s="1199"/>
      <c r="I1303" s="1622">
        <f>I1235*$C1235</f>
        <v>0</v>
      </c>
      <c r="J1303" s="1622">
        <f t="shared" ref="J1303:T1303" si="579">J1235*$C1235</f>
        <v>0</v>
      </c>
      <c r="K1303" s="1622">
        <f t="shared" si="579"/>
        <v>0</v>
      </c>
      <c r="L1303" s="1622">
        <f t="shared" si="579"/>
        <v>0</v>
      </c>
      <c r="M1303" s="1622">
        <f t="shared" si="579"/>
        <v>0</v>
      </c>
      <c r="N1303" s="1622">
        <f t="shared" si="579"/>
        <v>0</v>
      </c>
      <c r="O1303" s="1622">
        <f t="shared" si="579"/>
        <v>0</v>
      </c>
      <c r="P1303" s="1622">
        <f t="shared" si="579"/>
        <v>0</v>
      </c>
      <c r="Q1303" s="1622">
        <f t="shared" si="579"/>
        <v>0</v>
      </c>
      <c r="R1303" s="1622">
        <f t="shared" si="579"/>
        <v>0</v>
      </c>
      <c r="S1303" s="1622">
        <f t="shared" si="579"/>
        <v>0</v>
      </c>
      <c r="T1303" s="1623">
        <f t="shared" si="579"/>
        <v>0</v>
      </c>
      <c r="Y1303" s="1639"/>
      <c r="Z1303" s="877"/>
      <c r="AA1303" s="193"/>
      <c r="AB1303" s="372"/>
      <c r="AC1303" s="193"/>
      <c r="AD1303" s="193"/>
      <c r="AE1303" s="193"/>
      <c r="AF1303" s="372"/>
      <c r="AG1303" s="372"/>
      <c r="AH1303" s="372"/>
      <c r="AI1303" s="372"/>
      <c r="AJ1303" s="372"/>
      <c r="AK1303" s="372"/>
      <c r="AL1303" s="372"/>
      <c r="AM1303" s="372"/>
      <c r="AN1303" s="372"/>
      <c r="AO1303" s="372"/>
      <c r="AP1303" s="372"/>
      <c r="AQ1303" s="372"/>
    </row>
    <row r="1304" spans="1:46" ht="15.05" hidden="1" customHeight="1" thickTop="1" thickBot="1" x14ac:dyDescent="0.25">
      <c r="B1304" s="1641"/>
      <c r="C1304" s="1642"/>
      <c r="D1304" s="1642"/>
      <c r="E1304" s="1642"/>
      <c r="F1304" s="1194"/>
      <c r="G1304" s="1194"/>
      <c r="H1304" s="1194"/>
      <c r="I1304" s="1642"/>
      <c r="J1304" s="1642"/>
      <c r="K1304" s="1642"/>
      <c r="L1304" s="1642"/>
      <c r="M1304" s="1642"/>
      <c r="N1304" s="1642"/>
      <c r="O1304" s="1642"/>
      <c r="P1304" s="1642"/>
      <c r="Q1304" s="1642"/>
      <c r="R1304" s="1642"/>
      <c r="S1304" s="1642"/>
      <c r="T1304" s="1642"/>
      <c r="Y1304" s="1639"/>
      <c r="Z1304" s="877"/>
      <c r="AA1304" s="193"/>
      <c r="AB1304" s="372"/>
      <c r="AC1304" s="193"/>
      <c r="AD1304" s="193"/>
      <c r="AE1304" s="193"/>
      <c r="AF1304" s="372"/>
      <c r="AG1304" s="372"/>
      <c r="AH1304" s="372"/>
      <c r="AI1304" s="372"/>
      <c r="AJ1304" s="372"/>
      <c r="AK1304" s="372"/>
      <c r="AL1304" s="372"/>
      <c r="AM1304" s="372"/>
      <c r="AN1304" s="372"/>
      <c r="AO1304" s="372"/>
      <c r="AP1304" s="372"/>
      <c r="AQ1304" s="372"/>
    </row>
    <row r="1305" spans="1:46" ht="14.4" hidden="1" customHeight="1" thickTop="1" x14ac:dyDescent="0.2">
      <c r="A1305" s="2188">
        <v>1089</v>
      </c>
      <c r="B1305" s="1643" t="s">
        <v>1999</v>
      </c>
      <c r="C1305" s="1644"/>
      <c r="D1305" s="1645"/>
      <c r="E1305" s="1646"/>
      <c r="F1305" s="1194"/>
      <c r="G1305" s="1194"/>
      <c r="H1305" s="1194"/>
      <c r="I1305" s="1647"/>
      <c r="J1305" s="1647"/>
      <c r="K1305" s="1647"/>
      <c r="L1305" s="1647"/>
      <c r="M1305" s="1647"/>
      <c r="N1305" s="1647" t="s">
        <v>2000</v>
      </c>
      <c r="O1305" s="1647"/>
      <c r="P1305" s="1647"/>
      <c r="Q1305" s="1647"/>
      <c r="R1305" s="1647"/>
      <c r="S1305" s="1647"/>
      <c r="T1305" s="1648"/>
      <c r="X1305" s="2188">
        <v>1090</v>
      </c>
      <c r="Y1305" s="1643" t="s">
        <v>2001</v>
      </c>
      <c r="Z1305" s="1644"/>
      <c r="AA1305" s="1645"/>
      <c r="AB1305" s="1646"/>
      <c r="AC1305" s="1194"/>
      <c r="AD1305" s="1194"/>
      <c r="AE1305" s="1194"/>
      <c r="AF1305" s="1647"/>
      <c r="AG1305" s="1647"/>
      <c r="AH1305" s="1647"/>
      <c r="AI1305" s="1647"/>
      <c r="AJ1305" s="1647"/>
      <c r="AK1305" s="1647" t="s">
        <v>2000</v>
      </c>
      <c r="AL1305" s="1647"/>
      <c r="AM1305" s="1647"/>
      <c r="AN1305" s="1647"/>
      <c r="AO1305" s="1647"/>
      <c r="AP1305" s="1647"/>
      <c r="AQ1305" s="1648"/>
    </row>
    <row r="1306" spans="1:46" ht="13.75" hidden="1" customHeight="1" x14ac:dyDescent="0.2">
      <c r="B1306" s="1594"/>
      <c r="C1306" s="193"/>
      <c r="D1306" s="193"/>
      <c r="E1306" s="193"/>
      <c r="F1306" s="193"/>
      <c r="G1306" s="193"/>
      <c r="H1306" s="193"/>
      <c r="I1306" s="1651" t="str">
        <f>+I6</f>
        <v>Ene</v>
      </c>
      <c r="J1306" s="1631" t="str">
        <f t="shared" ref="J1306:T1306" si="580">+J6</f>
        <v>Feb</v>
      </c>
      <c r="K1306" s="1631" t="str">
        <f t="shared" si="580"/>
        <v>Mar</v>
      </c>
      <c r="L1306" s="1631" t="str">
        <f t="shared" si="580"/>
        <v>Abr</v>
      </c>
      <c r="M1306" s="1631" t="str">
        <f t="shared" si="580"/>
        <v>May</v>
      </c>
      <c r="N1306" s="1631" t="str">
        <f t="shared" si="580"/>
        <v>Jun</v>
      </c>
      <c r="O1306" s="1631" t="str">
        <f t="shared" si="580"/>
        <v>Jul</v>
      </c>
      <c r="P1306" s="1631" t="str">
        <f t="shared" si="580"/>
        <v>Ago</v>
      </c>
      <c r="Q1306" s="1631" t="str">
        <f t="shared" si="580"/>
        <v>Set</v>
      </c>
      <c r="R1306" s="1631" t="str">
        <f t="shared" si="580"/>
        <v>Oct</v>
      </c>
      <c r="S1306" s="1631" t="str">
        <f t="shared" si="580"/>
        <v>Nov</v>
      </c>
      <c r="T1306" s="1632" t="str">
        <f t="shared" si="580"/>
        <v>Dic</v>
      </c>
      <c r="Y1306" s="1594"/>
      <c r="Z1306" s="193"/>
      <c r="AA1306" s="193"/>
      <c r="AB1306" s="193"/>
      <c r="AC1306" s="193"/>
      <c r="AD1306" s="193"/>
      <c r="AE1306" s="193"/>
      <c r="AF1306" s="1651" t="str">
        <f t="shared" ref="AF1306:AQ1306" si="581">+I1306</f>
        <v>Ene</v>
      </c>
      <c r="AG1306" s="1631" t="str">
        <f t="shared" si="581"/>
        <v>Feb</v>
      </c>
      <c r="AH1306" s="1631" t="str">
        <f t="shared" si="581"/>
        <v>Mar</v>
      </c>
      <c r="AI1306" s="1631" t="str">
        <f t="shared" si="581"/>
        <v>Abr</v>
      </c>
      <c r="AJ1306" s="1631" t="str">
        <f t="shared" si="581"/>
        <v>May</v>
      </c>
      <c r="AK1306" s="1631" t="str">
        <f t="shared" si="581"/>
        <v>Jun</v>
      </c>
      <c r="AL1306" s="1631" t="str">
        <f t="shared" si="581"/>
        <v>Jul</v>
      </c>
      <c r="AM1306" s="1631" t="str">
        <f t="shared" si="581"/>
        <v>Ago</v>
      </c>
      <c r="AN1306" s="1631" t="str">
        <f t="shared" si="581"/>
        <v>Set</v>
      </c>
      <c r="AO1306" s="1631" t="str">
        <f t="shared" si="581"/>
        <v>Oct</v>
      </c>
      <c r="AP1306" s="1631" t="str">
        <f t="shared" si="581"/>
        <v>Nov</v>
      </c>
      <c r="AQ1306" s="1632" t="str">
        <f t="shared" si="581"/>
        <v>Dic</v>
      </c>
    </row>
    <row r="1307" spans="1:46" ht="13.75" hidden="1" customHeight="1" x14ac:dyDescent="0.2">
      <c r="B1307" s="1656" t="s">
        <v>872</v>
      </c>
      <c r="C1307" s="1531"/>
      <c r="D1307" s="1531"/>
      <c r="E1307" s="1531"/>
      <c r="F1307" s="1175"/>
      <c r="G1307" s="1175"/>
      <c r="H1307" s="1175"/>
      <c r="I1307" s="1652">
        <f ca="1">SUM(I1240:I1270)+SUM(I1273:I1303)</f>
        <v>0</v>
      </c>
      <c r="J1307" s="743">
        <f t="shared" ref="J1307:T1307" ca="1" si="582">SUM(J1240:J1270)+SUM(J1273:J1303)</f>
        <v>0</v>
      </c>
      <c r="K1307" s="743">
        <f t="shared" ca="1" si="582"/>
        <v>0</v>
      </c>
      <c r="L1307" s="743">
        <f t="shared" ca="1" si="582"/>
        <v>0</v>
      </c>
      <c r="M1307" s="743">
        <f t="shared" ca="1" si="582"/>
        <v>0</v>
      </c>
      <c r="N1307" s="743">
        <f t="shared" ca="1" si="582"/>
        <v>0</v>
      </c>
      <c r="O1307" s="743">
        <f t="shared" ca="1" si="582"/>
        <v>0</v>
      </c>
      <c r="P1307" s="743">
        <f t="shared" ca="1" si="582"/>
        <v>0</v>
      </c>
      <c r="Q1307" s="743">
        <f t="shared" ca="1" si="582"/>
        <v>0</v>
      </c>
      <c r="R1307" s="743">
        <f t="shared" ca="1" si="582"/>
        <v>0</v>
      </c>
      <c r="S1307" s="743">
        <f t="shared" ca="1" si="582"/>
        <v>0</v>
      </c>
      <c r="T1307" s="1653">
        <f t="shared" ca="1" si="582"/>
        <v>0</v>
      </c>
      <c r="Y1307" s="1656" t="s">
        <v>872</v>
      </c>
      <c r="Z1307" s="1531"/>
      <c r="AA1307" s="1531"/>
      <c r="AB1307" s="1531"/>
      <c r="AC1307" s="1175"/>
      <c r="AD1307" s="1175"/>
      <c r="AE1307" s="1175"/>
      <c r="AF1307" s="1652">
        <f t="shared" ref="AF1307:AQ1307" si="583">SUM(AF1240:AF1270)+SUM(AF1273:AF1303)</f>
        <v>0</v>
      </c>
      <c r="AG1307" s="743">
        <f t="shared" si="583"/>
        <v>0</v>
      </c>
      <c r="AH1307" s="743">
        <f t="shared" si="583"/>
        <v>0</v>
      </c>
      <c r="AI1307" s="743">
        <f t="shared" si="583"/>
        <v>0</v>
      </c>
      <c r="AJ1307" s="743">
        <f t="shared" si="583"/>
        <v>0</v>
      </c>
      <c r="AK1307" s="743">
        <f t="shared" si="583"/>
        <v>0</v>
      </c>
      <c r="AL1307" s="743">
        <f t="shared" si="583"/>
        <v>0</v>
      </c>
      <c r="AM1307" s="743">
        <f t="shared" si="583"/>
        <v>0</v>
      </c>
      <c r="AN1307" s="743">
        <f t="shared" si="583"/>
        <v>0</v>
      </c>
      <c r="AO1307" s="743">
        <f t="shared" si="583"/>
        <v>0</v>
      </c>
      <c r="AP1307" s="743">
        <f t="shared" si="583"/>
        <v>0</v>
      </c>
      <c r="AQ1307" s="1653">
        <f t="shared" si="583"/>
        <v>0</v>
      </c>
    </row>
    <row r="1308" spans="1:46" ht="13.75" hidden="1" customHeight="1" x14ac:dyDescent="0.2">
      <c r="B1308" s="1656" t="s">
        <v>873</v>
      </c>
      <c r="C1308" s="1531"/>
      <c r="D1308" s="1531"/>
      <c r="E1308" s="1531"/>
      <c r="F1308" s="1175"/>
      <c r="G1308" s="1175"/>
      <c r="H1308" s="1175"/>
      <c r="I1308" s="1652">
        <f ca="1">$C$1309*I1307</f>
        <v>0</v>
      </c>
      <c r="J1308" s="743">
        <f t="shared" ref="J1308:T1308" ca="1" si="584">$C$1309*J1307</f>
        <v>0</v>
      </c>
      <c r="K1308" s="743">
        <f t="shared" ca="1" si="584"/>
        <v>0</v>
      </c>
      <c r="L1308" s="743">
        <f t="shared" ca="1" si="584"/>
        <v>0</v>
      </c>
      <c r="M1308" s="743">
        <f t="shared" ca="1" si="584"/>
        <v>0</v>
      </c>
      <c r="N1308" s="743">
        <f t="shared" ca="1" si="584"/>
        <v>0</v>
      </c>
      <c r="O1308" s="743">
        <f t="shared" ca="1" si="584"/>
        <v>0</v>
      </c>
      <c r="P1308" s="743">
        <f t="shared" ca="1" si="584"/>
        <v>0</v>
      </c>
      <c r="Q1308" s="743">
        <f t="shared" ca="1" si="584"/>
        <v>0</v>
      </c>
      <c r="R1308" s="743">
        <f t="shared" ca="1" si="584"/>
        <v>0</v>
      </c>
      <c r="S1308" s="743">
        <f t="shared" ca="1" si="584"/>
        <v>0</v>
      </c>
      <c r="T1308" s="1653">
        <f t="shared" ca="1" si="584"/>
        <v>0</v>
      </c>
      <c r="Y1308" s="1656" t="s">
        <v>873</v>
      </c>
      <c r="Z1308" s="1531"/>
      <c r="AA1308" s="1531"/>
      <c r="AB1308" s="1531"/>
      <c r="AC1308" s="1175"/>
      <c r="AD1308" s="1175"/>
      <c r="AE1308" s="1175"/>
      <c r="AF1308" s="1652">
        <f t="shared" ref="AF1308:AQ1308" si="585">$C$1309*AF1307</f>
        <v>0</v>
      </c>
      <c r="AG1308" s="743">
        <f t="shared" si="585"/>
        <v>0</v>
      </c>
      <c r="AH1308" s="743">
        <f t="shared" si="585"/>
        <v>0</v>
      </c>
      <c r="AI1308" s="743">
        <f t="shared" si="585"/>
        <v>0</v>
      </c>
      <c r="AJ1308" s="743">
        <f t="shared" si="585"/>
        <v>0</v>
      </c>
      <c r="AK1308" s="743">
        <f t="shared" si="585"/>
        <v>0</v>
      </c>
      <c r="AL1308" s="743">
        <f t="shared" si="585"/>
        <v>0</v>
      </c>
      <c r="AM1308" s="743">
        <f t="shared" si="585"/>
        <v>0</v>
      </c>
      <c r="AN1308" s="743">
        <f t="shared" si="585"/>
        <v>0</v>
      </c>
      <c r="AO1308" s="743">
        <f t="shared" si="585"/>
        <v>0</v>
      </c>
      <c r="AP1308" s="743">
        <f t="shared" si="585"/>
        <v>0</v>
      </c>
      <c r="AQ1308" s="1653">
        <f t="shared" si="585"/>
        <v>0</v>
      </c>
    </row>
    <row r="1309" spans="1:46" ht="14.4" hidden="1" customHeight="1" thickBot="1" x14ac:dyDescent="0.25">
      <c r="B1309" s="1649" t="s">
        <v>874</v>
      </c>
      <c r="C1309" s="1650">
        <f>Precios!C102</f>
        <v>1.2</v>
      </c>
      <c r="D1309" s="1199"/>
      <c r="E1309" s="1199"/>
      <c r="F1309" s="1199"/>
      <c r="G1309" s="1199"/>
      <c r="H1309" s="1199"/>
      <c r="I1309" s="1654"/>
      <c r="J1309" s="1590"/>
      <c r="K1309" s="1590"/>
      <c r="L1309" s="1590"/>
      <c r="M1309" s="1590"/>
      <c r="N1309" s="1590"/>
      <c r="O1309" s="1590"/>
      <c r="P1309" s="1590"/>
      <c r="Q1309" s="1590"/>
      <c r="R1309" s="1590"/>
      <c r="S1309" s="1590"/>
      <c r="T1309" s="1655"/>
      <c r="Y1309" s="1649" t="s">
        <v>874</v>
      </c>
      <c r="Z1309" s="1650">
        <f>C1309</f>
        <v>1.2</v>
      </c>
      <c r="AA1309" s="1199"/>
      <c r="AB1309" s="1199"/>
      <c r="AC1309" s="1199"/>
      <c r="AD1309" s="1199"/>
      <c r="AE1309" s="1199"/>
      <c r="AF1309" s="1654"/>
      <c r="AG1309" s="1590"/>
      <c r="AH1309" s="1590"/>
      <c r="AI1309" s="1590"/>
      <c r="AJ1309" s="1590"/>
      <c r="AK1309" s="1590"/>
      <c r="AL1309" s="1590"/>
      <c r="AM1309" s="1590"/>
      <c r="AN1309" s="1590"/>
      <c r="AO1309" s="1590"/>
      <c r="AP1309" s="1590"/>
      <c r="AQ1309" s="1655"/>
    </row>
    <row r="1310" spans="1:46" ht="14.4" hidden="1" customHeight="1" thickTop="1" x14ac:dyDescent="0.2"/>
    <row r="1311" spans="1:46" ht="24.55" hidden="1" customHeight="1" thickBot="1" x14ac:dyDescent="0.25">
      <c r="B1311" s="1580" t="s">
        <v>1834</v>
      </c>
      <c r="C1311" s="1574"/>
      <c r="D1311" s="1574"/>
      <c r="E1311" s="1574"/>
      <c r="F1311" s="1574"/>
      <c r="G1311" s="1574"/>
      <c r="H1311" s="1574"/>
      <c r="I1311" s="1575"/>
      <c r="J1311" s="1575"/>
      <c r="K1311" s="1574"/>
      <c r="L1311" s="1574"/>
      <c r="M1311" s="1574"/>
      <c r="N1311" s="1574"/>
      <c r="O1311" s="1574"/>
      <c r="P1311" s="1574"/>
      <c r="Q1311" s="1574"/>
      <c r="R1311" s="1574"/>
      <c r="S1311" s="1574"/>
      <c r="T1311" s="1574"/>
      <c r="U1311" s="1574"/>
      <c r="V1311" s="1576"/>
      <c r="W1311" s="1576"/>
      <c r="X1311" s="1576"/>
      <c r="Y1311" s="1576"/>
      <c r="Z1311" s="1574"/>
      <c r="AA1311" s="1574"/>
      <c r="AB1311" s="1574"/>
      <c r="AC1311" s="1574"/>
      <c r="AD1311" s="1574"/>
      <c r="AE1311" s="1574"/>
      <c r="AF1311" s="1574"/>
      <c r="AG1311" s="1574"/>
      <c r="AH1311" s="1574"/>
      <c r="AI1311" s="1574"/>
      <c r="AJ1311" s="1574"/>
      <c r="AK1311" s="1574"/>
      <c r="AL1311" s="1574"/>
      <c r="AM1311" s="1574"/>
      <c r="AN1311" s="1574"/>
      <c r="AO1311" s="1574"/>
      <c r="AP1311" s="1574"/>
      <c r="AQ1311" s="1574"/>
      <c r="AR1311" s="1574"/>
      <c r="AS1311" s="1576"/>
      <c r="AT1311" s="1576"/>
    </row>
    <row r="1312" spans="1:46" ht="15.05" hidden="1" customHeight="1" thickTop="1" thickBot="1" x14ac:dyDescent="0.25">
      <c r="B1312" s="1684" t="str">
        <f>+B1456</f>
        <v>Siembras de Otoño e Invierno - Plan de Siembra y Uso de insumos</v>
      </c>
      <c r="C1312" s="1685"/>
      <c r="D1312" s="1685"/>
      <c r="E1312" s="1685"/>
      <c r="F1312" s="1685"/>
      <c r="G1312" s="1685"/>
      <c r="H1312" s="1685"/>
      <c r="I1312" s="1685"/>
      <c r="J1312" s="1685"/>
      <c r="K1312" s="1685"/>
      <c r="L1312" s="1685"/>
      <c r="M1312" s="1685"/>
      <c r="N1312" s="1685"/>
      <c r="O1312" s="1685"/>
      <c r="P1312" s="1685"/>
      <c r="Q1312" s="1685"/>
      <c r="R1312" s="1685"/>
      <c r="S1312" s="1685"/>
      <c r="T1312" s="1685"/>
      <c r="U1312" s="1685"/>
      <c r="V1312" s="1686"/>
      <c r="W1312" s="1687"/>
      <c r="Y1312" s="1684" t="str">
        <f>+Y1456</f>
        <v xml:space="preserve">Siembras de Primavera y Verano - Plan de Siembra y Uso de insumos </v>
      </c>
      <c r="Z1312" s="1685"/>
      <c r="AA1312" s="1685"/>
      <c r="AB1312" s="1685"/>
      <c r="AC1312" s="1685"/>
      <c r="AD1312" s="1685"/>
      <c r="AE1312" s="1685"/>
      <c r="AF1312" s="1685"/>
      <c r="AG1312" s="1685"/>
      <c r="AH1312" s="1685"/>
      <c r="AI1312" s="1685"/>
      <c r="AJ1312" s="1685"/>
      <c r="AK1312" s="1685"/>
      <c r="AL1312" s="1685"/>
      <c r="AM1312" s="1685"/>
      <c r="AN1312" s="1685"/>
      <c r="AO1312" s="1685"/>
      <c r="AP1312" s="1685"/>
      <c r="AQ1312" s="1685"/>
      <c r="AR1312" s="1685"/>
      <c r="AS1312" s="1686"/>
      <c r="AT1312" s="1687"/>
    </row>
    <row r="1313" spans="1:46" ht="14.4" hidden="1" customHeight="1" thickTop="1" x14ac:dyDescent="0.2">
      <c r="A1313" s="2188">
        <v>1091</v>
      </c>
      <c r="B1313" s="1681" t="s">
        <v>2005</v>
      </c>
      <c r="C1313" s="1662"/>
      <c r="D1313" s="732"/>
      <c r="E1313" s="732"/>
      <c r="F1313" s="732"/>
      <c r="G1313" s="732"/>
      <c r="H1313" s="732"/>
      <c r="I1313" s="732"/>
      <c r="J1313" s="732"/>
      <c r="K1313" s="732"/>
      <c r="L1313" s="732"/>
      <c r="M1313" s="732"/>
      <c r="N1313" s="732"/>
      <c r="O1313" s="732"/>
      <c r="P1313" s="732"/>
      <c r="Q1313" s="732"/>
      <c r="R1313" s="732"/>
      <c r="S1313" s="732"/>
      <c r="T1313" s="732"/>
      <c r="U1313" s="193"/>
      <c r="V1313" s="254"/>
      <c r="W1313" s="1587"/>
      <c r="X1313" s="2188">
        <v>1092</v>
      </c>
      <c r="Y1313" s="1681" t="s">
        <v>2005</v>
      </c>
      <c r="Z1313" s="1662"/>
      <c r="AA1313" s="732"/>
      <c r="AB1313" s="732"/>
      <c r="AC1313" s="732"/>
      <c r="AD1313" s="732"/>
      <c r="AE1313" s="732"/>
      <c r="AF1313" s="732"/>
      <c r="AG1313" s="732"/>
      <c r="AH1313" s="732"/>
      <c r="AI1313" s="732"/>
      <c r="AJ1313" s="732"/>
      <c r="AK1313" s="732"/>
      <c r="AL1313" s="732"/>
      <c r="AM1313" s="732"/>
      <c r="AN1313" s="732"/>
      <c r="AO1313" s="732"/>
      <c r="AP1313" s="732"/>
      <c r="AQ1313" s="732"/>
      <c r="AR1313" s="193"/>
      <c r="AS1313" s="254"/>
      <c r="AT1313" s="1587"/>
    </row>
    <row r="1314" spans="1:46" ht="14.4" hidden="1" customHeight="1" thickBot="1" x14ac:dyDescent="0.25">
      <c r="B1314" s="1649" t="s">
        <v>2004</v>
      </c>
      <c r="C1314" s="1682"/>
      <c r="D1314" s="1682"/>
      <c r="E1314" s="1682"/>
      <c r="F1314" s="1682"/>
      <c r="G1314" s="1682"/>
      <c r="H1314" s="1682"/>
      <c r="I1314" s="1676" t="s">
        <v>876</v>
      </c>
      <c r="J1314" s="1199"/>
      <c r="K1314" s="1683"/>
      <c r="L1314" s="1683"/>
      <c r="M1314" s="1683"/>
      <c r="N1314" s="1683"/>
      <c r="O1314" s="1683"/>
      <c r="P1314" s="1683"/>
      <c r="Q1314" s="1683"/>
      <c r="R1314" s="1683"/>
      <c r="S1314" s="1683"/>
      <c r="T1314" s="1683"/>
      <c r="U1314" s="1199"/>
      <c r="V1314" s="1682"/>
      <c r="W1314" s="1591"/>
      <c r="Y1314" s="1649" t="s">
        <v>2006</v>
      </c>
      <c r="Z1314" s="1682"/>
      <c r="AA1314" s="1682"/>
      <c r="AB1314" s="1682"/>
      <c r="AC1314" s="1682"/>
      <c r="AD1314" s="1682"/>
      <c r="AE1314" s="1682"/>
      <c r="AF1314" s="1676" t="s">
        <v>876</v>
      </c>
      <c r="AG1314" s="1199"/>
      <c r="AH1314" s="1683"/>
      <c r="AI1314" s="1683"/>
      <c r="AJ1314" s="1683"/>
      <c r="AK1314" s="1683"/>
      <c r="AL1314" s="1683"/>
      <c r="AM1314" s="1683"/>
      <c r="AN1314" s="1683"/>
      <c r="AO1314" s="1683"/>
      <c r="AP1314" s="1683"/>
      <c r="AQ1314" s="1683"/>
      <c r="AR1314" s="1199"/>
      <c r="AS1314" s="1682"/>
      <c r="AT1314" s="1591"/>
    </row>
    <row r="1315" spans="1:46" ht="14.4" hidden="1" customHeight="1" thickTop="1" x14ac:dyDescent="0.2">
      <c r="B1315" s="1675">
        <f>C40</f>
        <v>0</v>
      </c>
      <c r="C1315" s="1194"/>
      <c r="D1315" s="1194"/>
      <c r="E1315" s="1194"/>
      <c r="F1315" s="1194"/>
      <c r="G1315" s="1671" t="s">
        <v>321</v>
      </c>
      <c r="H1315" s="1671"/>
      <c r="I1315" s="1667">
        <f t="shared" ref="I1315:T1315" si="586">SUMPRODUCT(I52:I56,$F$52:$F$56)</f>
        <v>0</v>
      </c>
      <c r="J1315" s="1668">
        <f t="shared" si="586"/>
        <v>0</v>
      </c>
      <c r="K1315" s="1668">
        <f t="shared" si="586"/>
        <v>0</v>
      </c>
      <c r="L1315" s="1668">
        <f t="shared" si="586"/>
        <v>0</v>
      </c>
      <c r="M1315" s="1668">
        <f t="shared" si="586"/>
        <v>0</v>
      </c>
      <c r="N1315" s="1668">
        <f t="shared" si="586"/>
        <v>0</v>
      </c>
      <c r="O1315" s="1668">
        <f t="shared" si="586"/>
        <v>0</v>
      </c>
      <c r="P1315" s="1668">
        <f t="shared" si="586"/>
        <v>0</v>
      </c>
      <c r="Q1315" s="1668">
        <f t="shared" si="586"/>
        <v>0</v>
      </c>
      <c r="R1315" s="1668">
        <f t="shared" si="586"/>
        <v>0</v>
      </c>
      <c r="S1315" s="1668">
        <f t="shared" si="586"/>
        <v>0</v>
      </c>
      <c r="T1315" s="1669">
        <f t="shared" si="586"/>
        <v>0</v>
      </c>
      <c r="U1315" s="1194"/>
      <c r="V1315" s="1671" t="str">
        <f>W57</f>
        <v>Labores con maquinaria contratada0</v>
      </c>
      <c r="W1315" s="1593"/>
      <c r="Y1315" s="1675">
        <f>Z40</f>
        <v>0</v>
      </c>
      <c r="Z1315" s="1194"/>
      <c r="AA1315" s="1194"/>
      <c r="AB1315" s="1194"/>
      <c r="AC1315" s="1194"/>
      <c r="AD1315" s="1671" t="s">
        <v>321</v>
      </c>
      <c r="AE1315" s="1671"/>
      <c r="AF1315" s="1667">
        <f t="shared" ref="AF1315:AQ1315" si="587">SUMPRODUCT(AF52:AF56,$AC$52:$AC$56)</f>
        <v>0</v>
      </c>
      <c r="AG1315" s="1668">
        <f t="shared" si="587"/>
        <v>0</v>
      </c>
      <c r="AH1315" s="1668">
        <f t="shared" si="587"/>
        <v>0</v>
      </c>
      <c r="AI1315" s="1668">
        <f t="shared" si="587"/>
        <v>0</v>
      </c>
      <c r="AJ1315" s="1668">
        <f t="shared" si="587"/>
        <v>0</v>
      </c>
      <c r="AK1315" s="1668">
        <f t="shared" si="587"/>
        <v>0</v>
      </c>
      <c r="AL1315" s="1668">
        <f t="shared" si="587"/>
        <v>0</v>
      </c>
      <c r="AM1315" s="1668">
        <f t="shared" si="587"/>
        <v>0</v>
      </c>
      <c r="AN1315" s="1668">
        <f t="shared" si="587"/>
        <v>0</v>
      </c>
      <c r="AO1315" s="1668">
        <f t="shared" si="587"/>
        <v>0</v>
      </c>
      <c r="AP1315" s="1668">
        <f t="shared" si="587"/>
        <v>0</v>
      </c>
      <c r="AQ1315" s="1669">
        <f t="shared" si="587"/>
        <v>0</v>
      </c>
      <c r="AR1315" s="1194"/>
      <c r="AS1315" s="1671" t="str">
        <f>AT57</f>
        <v>Labores con maquinaria contratada0</v>
      </c>
      <c r="AT1315" s="1593"/>
    </row>
    <row r="1316" spans="1:46" ht="13.75" hidden="1" customHeight="1" x14ac:dyDescent="0.2">
      <c r="B1316" s="1665"/>
      <c r="C1316" s="193"/>
      <c r="D1316" s="193"/>
      <c r="E1316" s="193"/>
      <c r="F1316" s="193"/>
      <c r="G1316" s="1175" t="s">
        <v>687</v>
      </c>
      <c r="H1316" s="1175"/>
      <c r="I1316" s="1179">
        <f t="shared" ref="I1316:T1316" si="588">SUMPRODUCT(I59:I66,$F$59:$F$66)</f>
        <v>0</v>
      </c>
      <c r="J1316" s="1283">
        <f t="shared" si="588"/>
        <v>0</v>
      </c>
      <c r="K1316" s="1283">
        <f t="shared" si="588"/>
        <v>0</v>
      </c>
      <c r="L1316" s="1283">
        <f t="shared" si="588"/>
        <v>0</v>
      </c>
      <c r="M1316" s="1283">
        <f t="shared" si="588"/>
        <v>0</v>
      </c>
      <c r="N1316" s="1283">
        <f t="shared" si="588"/>
        <v>0</v>
      </c>
      <c r="O1316" s="1283">
        <f t="shared" si="588"/>
        <v>0</v>
      </c>
      <c r="P1316" s="1283">
        <f t="shared" si="588"/>
        <v>0</v>
      </c>
      <c r="Q1316" s="1283">
        <f t="shared" si="588"/>
        <v>0</v>
      </c>
      <c r="R1316" s="1283">
        <f t="shared" si="588"/>
        <v>0</v>
      </c>
      <c r="S1316" s="1283">
        <f t="shared" si="588"/>
        <v>0</v>
      </c>
      <c r="T1316" s="1178">
        <f t="shared" si="588"/>
        <v>0</v>
      </c>
      <c r="U1316" s="193"/>
      <c r="V1316" s="1175" t="str">
        <f>W68</f>
        <v>Semillas0</v>
      </c>
      <c r="W1316" s="1673"/>
      <c r="Y1316" s="1665"/>
      <c r="Z1316" s="193"/>
      <c r="AA1316" s="193"/>
      <c r="AB1316" s="193"/>
      <c r="AC1316" s="193"/>
      <c r="AD1316" s="1175" t="s">
        <v>687</v>
      </c>
      <c r="AE1316" s="1175"/>
      <c r="AF1316" s="1179">
        <f t="shared" ref="AF1316:AQ1316" si="589">SUMPRODUCT(AF59:AF66,$AC$59:$AC$66)</f>
        <v>0</v>
      </c>
      <c r="AG1316" s="1283">
        <f t="shared" si="589"/>
        <v>0</v>
      </c>
      <c r="AH1316" s="1283">
        <f t="shared" si="589"/>
        <v>0</v>
      </c>
      <c r="AI1316" s="1283">
        <f t="shared" si="589"/>
        <v>0</v>
      </c>
      <c r="AJ1316" s="1283">
        <f t="shared" si="589"/>
        <v>0</v>
      </c>
      <c r="AK1316" s="1283">
        <f t="shared" si="589"/>
        <v>0</v>
      </c>
      <c r="AL1316" s="1283">
        <f t="shared" si="589"/>
        <v>0</v>
      </c>
      <c r="AM1316" s="1283">
        <f t="shared" si="589"/>
        <v>0</v>
      </c>
      <c r="AN1316" s="1283">
        <f t="shared" si="589"/>
        <v>0</v>
      </c>
      <c r="AO1316" s="1283">
        <f t="shared" si="589"/>
        <v>0</v>
      </c>
      <c r="AP1316" s="1283">
        <f t="shared" si="589"/>
        <v>0</v>
      </c>
      <c r="AQ1316" s="1178">
        <f t="shared" si="589"/>
        <v>0</v>
      </c>
      <c r="AR1316" s="193"/>
      <c r="AS1316" s="1175" t="str">
        <f>AT68</f>
        <v>Semillas0</v>
      </c>
      <c r="AT1316" s="1673"/>
    </row>
    <row r="1317" spans="1:46" ht="13.75" hidden="1" customHeight="1" x14ac:dyDescent="0.2">
      <c r="B1317" s="1665"/>
      <c r="C1317" s="193"/>
      <c r="D1317" s="193"/>
      <c r="E1317" s="193"/>
      <c r="F1317" s="193"/>
      <c r="G1317" s="1175" t="s">
        <v>688</v>
      </c>
      <c r="H1317" s="1175"/>
      <c r="I1317" s="1179">
        <f t="shared" ref="I1317:T1317" si="590">SUMPRODUCT(I69:I71,$F$69:$F$71)</f>
        <v>0</v>
      </c>
      <c r="J1317" s="1283">
        <f t="shared" si="590"/>
        <v>0</v>
      </c>
      <c r="K1317" s="1283">
        <f t="shared" si="590"/>
        <v>0</v>
      </c>
      <c r="L1317" s="1283">
        <f t="shared" si="590"/>
        <v>0</v>
      </c>
      <c r="M1317" s="1283">
        <f t="shared" si="590"/>
        <v>0</v>
      </c>
      <c r="N1317" s="1283">
        <f t="shared" si="590"/>
        <v>0</v>
      </c>
      <c r="O1317" s="1283">
        <f t="shared" si="590"/>
        <v>0</v>
      </c>
      <c r="P1317" s="1283">
        <f t="shared" si="590"/>
        <v>0</v>
      </c>
      <c r="Q1317" s="1283">
        <f t="shared" si="590"/>
        <v>0</v>
      </c>
      <c r="R1317" s="1283">
        <f t="shared" si="590"/>
        <v>0</v>
      </c>
      <c r="S1317" s="1283">
        <f t="shared" si="590"/>
        <v>0</v>
      </c>
      <c r="T1317" s="1178">
        <f t="shared" si="590"/>
        <v>0</v>
      </c>
      <c r="U1317" s="193"/>
      <c r="V1317" s="1175" t="str">
        <f>W73</f>
        <v>Fertilizantes 0</v>
      </c>
      <c r="W1317" s="1673"/>
      <c r="Y1317" s="1665"/>
      <c r="Z1317" s="193"/>
      <c r="AA1317" s="193"/>
      <c r="AB1317" s="193"/>
      <c r="AC1317" s="193"/>
      <c r="AD1317" s="1175" t="s">
        <v>688</v>
      </c>
      <c r="AE1317" s="1175"/>
      <c r="AF1317" s="1179">
        <f t="shared" ref="AF1317:AQ1317" si="591">SUMPRODUCT(AF69:AF71,$AC$69:$AC$71)</f>
        <v>0</v>
      </c>
      <c r="AG1317" s="1283">
        <f t="shared" si="591"/>
        <v>0</v>
      </c>
      <c r="AH1317" s="1283">
        <f t="shared" si="591"/>
        <v>0</v>
      </c>
      <c r="AI1317" s="1283">
        <f t="shared" si="591"/>
        <v>0</v>
      </c>
      <c r="AJ1317" s="1283">
        <f t="shared" si="591"/>
        <v>0</v>
      </c>
      <c r="AK1317" s="1283">
        <f t="shared" si="591"/>
        <v>0</v>
      </c>
      <c r="AL1317" s="1283">
        <f t="shared" si="591"/>
        <v>0</v>
      </c>
      <c r="AM1317" s="1283">
        <f t="shared" si="591"/>
        <v>0</v>
      </c>
      <c r="AN1317" s="1283">
        <f t="shared" si="591"/>
        <v>0</v>
      </c>
      <c r="AO1317" s="1283">
        <f t="shared" si="591"/>
        <v>0</v>
      </c>
      <c r="AP1317" s="1283">
        <f t="shared" si="591"/>
        <v>0</v>
      </c>
      <c r="AQ1317" s="1178">
        <f t="shared" si="591"/>
        <v>0</v>
      </c>
      <c r="AR1317" s="193"/>
      <c r="AS1317" s="1175" t="str">
        <f>AT73</f>
        <v>Fertilizantes 0</v>
      </c>
      <c r="AT1317" s="1673"/>
    </row>
    <row r="1318" spans="1:46" ht="14.4" hidden="1" customHeight="1" thickBot="1" x14ac:dyDescent="0.25">
      <c r="B1318" s="1666"/>
      <c r="C1318" s="1199"/>
      <c r="D1318" s="1199"/>
      <c r="E1318" s="1199"/>
      <c r="F1318" s="1199"/>
      <c r="G1318" s="1672" t="s">
        <v>689</v>
      </c>
      <c r="H1318" s="1672"/>
      <c r="I1318" s="1654">
        <f t="shared" ref="I1318:T1318" si="592">SUMPRODUCT(I74:I76,$F$74:$F$76)</f>
        <v>0</v>
      </c>
      <c r="J1318" s="1590">
        <f t="shared" si="592"/>
        <v>0</v>
      </c>
      <c r="K1318" s="1590">
        <f t="shared" si="592"/>
        <v>0</v>
      </c>
      <c r="L1318" s="1590">
        <f t="shared" si="592"/>
        <v>0</v>
      </c>
      <c r="M1318" s="1590">
        <f t="shared" si="592"/>
        <v>0</v>
      </c>
      <c r="N1318" s="1590">
        <f t="shared" si="592"/>
        <v>0</v>
      </c>
      <c r="O1318" s="1590">
        <f t="shared" si="592"/>
        <v>0</v>
      </c>
      <c r="P1318" s="1590">
        <f t="shared" si="592"/>
        <v>0</v>
      </c>
      <c r="Q1318" s="1590">
        <f t="shared" si="592"/>
        <v>0</v>
      </c>
      <c r="R1318" s="1590">
        <f t="shared" si="592"/>
        <v>0</v>
      </c>
      <c r="S1318" s="1590">
        <f t="shared" si="592"/>
        <v>0</v>
      </c>
      <c r="T1318" s="1670">
        <f t="shared" si="592"/>
        <v>0</v>
      </c>
      <c r="U1318" s="1199"/>
      <c r="V1318" s="1672" t="str">
        <f>W77</f>
        <v>Agroquímicos 0</v>
      </c>
      <c r="W1318" s="1674"/>
      <c r="Y1318" s="1666"/>
      <c r="Z1318" s="1199"/>
      <c r="AA1318" s="1199"/>
      <c r="AB1318" s="1199"/>
      <c r="AC1318" s="1199"/>
      <c r="AD1318" s="1672" t="s">
        <v>689</v>
      </c>
      <c r="AE1318" s="1672"/>
      <c r="AF1318" s="1654">
        <f t="shared" ref="AF1318:AQ1318" si="593">SUMPRODUCT(AF74:AF76,$AC$74:$AC$76)</f>
        <v>0</v>
      </c>
      <c r="AG1318" s="1590">
        <f t="shared" si="593"/>
        <v>0</v>
      </c>
      <c r="AH1318" s="1590">
        <f t="shared" si="593"/>
        <v>0</v>
      </c>
      <c r="AI1318" s="1590">
        <f t="shared" si="593"/>
        <v>0</v>
      </c>
      <c r="AJ1318" s="1590">
        <f t="shared" si="593"/>
        <v>0</v>
      </c>
      <c r="AK1318" s="1590">
        <f t="shared" si="593"/>
        <v>0</v>
      </c>
      <c r="AL1318" s="1590">
        <f t="shared" si="593"/>
        <v>0</v>
      </c>
      <c r="AM1318" s="1590">
        <f t="shared" si="593"/>
        <v>0</v>
      </c>
      <c r="AN1318" s="1590">
        <f t="shared" si="593"/>
        <v>0</v>
      </c>
      <c r="AO1318" s="1590">
        <f t="shared" si="593"/>
        <v>0</v>
      </c>
      <c r="AP1318" s="1590">
        <f t="shared" si="593"/>
        <v>0</v>
      </c>
      <c r="AQ1318" s="1670">
        <f t="shared" si="593"/>
        <v>0</v>
      </c>
      <c r="AR1318" s="1199"/>
      <c r="AS1318" s="1672" t="str">
        <f>AT77</f>
        <v>Agroquímicos 0</v>
      </c>
      <c r="AT1318" s="1674"/>
    </row>
    <row r="1319" spans="1:46" ht="14.4" hidden="1" customHeight="1" thickTop="1" x14ac:dyDescent="0.2">
      <c r="B1319" s="1675">
        <f>C81</f>
        <v>0</v>
      </c>
      <c r="C1319" s="1194"/>
      <c r="D1319" s="1194"/>
      <c r="E1319" s="1194"/>
      <c r="F1319" s="1194"/>
      <c r="G1319" s="1671" t="s">
        <v>321</v>
      </c>
      <c r="H1319" s="1671"/>
      <c r="I1319" s="1667">
        <f>SUMPRODUCT(I93:I97,$F$93:$F$97)</f>
        <v>0</v>
      </c>
      <c r="J1319" s="1668">
        <f>SUMPRODUCT(J93:J97,$F$93:$F$97)</f>
        <v>0</v>
      </c>
      <c r="K1319" s="1668">
        <f t="shared" ref="K1319:T1319" si="594">SUMPRODUCT(K93:K97,$F$93:$F$97)</f>
        <v>0</v>
      </c>
      <c r="L1319" s="1668">
        <f t="shared" si="594"/>
        <v>0</v>
      </c>
      <c r="M1319" s="1668">
        <f t="shared" si="594"/>
        <v>0</v>
      </c>
      <c r="N1319" s="1668">
        <f t="shared" si="594"/>
        <v>0</v>
      </c>
      <c r="O1319" s="1668">
        <f t="shared" si="594"/>
        <v>0</v>
      </c>
      <c r="P1319" s="1668">
        <f t="shared" si="594"/>
        <v>0</v>
      </c>
      <c r="Q1319" s="1668">
        <f t="shared" si="594"/>
        <v>0</v>
      </c>
      <c r="R1319" s="1668">
        <f t="shared" si="594"/>
        <v>0</v>
      </c>
      <c r="S1319" s="1668">
        <f t="shared" si="594"/>
        <v>0</v>
      </c>
      <c r="T1319" s="1669">
        <f t="shared" si="594"/>
        <v>0</v>
      </c>
      <c r="U1319" s="1194"/>
      <c r="V1319" s="1671" t="str">
        <f>W98</f>
        <v>Labores con maquinaria contratada0</v>
      </c>
      <c r="W1319" s="1593"/>
      <c r="Y1319" s="1675">
        <f>Z81</f>
        <v>0</v>
      </c>
      <c r="Z1319" s="1194"/>
      <c r="AA1319" s="1194"/>
      <c r="AB1319" s="1194"/>
      <c r="AC1319" s="1194"/>
      <c r="AD1319" s="1671" t="s">
        <v>321</v>
      </c>
      <c r="AE1319" s="1671"/>
      <c r="AF1319" s="1667">
        <f t="shared" ref="AF1319:AQ1319" si="595">SUMPRODUCT(AF93:AF97,$AC$93:$AC$97)</f>
        <v>0</v>
      </c>
      <c r="AG1319" s="1668">
        <f t="shared" si="595"/>
        <v>0</v>
      </c>
      <c r="AH1319" s="1668">
        <f t="shared" si="595"/>
        <v>0</v>
      </c>
      <c r="AI1319" s="1668">
        <f t="shared" si="595"/>
        <v>0</v>
      </c>
      <c r="AJ1319" s="1668">
        <f t="shared" si="595"/>
        <v>0</v>
      </c>
      <c r="AK1319" s="1668">
        <f t="shared" si="595"/>
        <v>0</v>
      </c>
      <c r="AL1319" s="1668">
        <f t="shared" si="595"/>
        <v>0</v>
      </c>
      <c r="AM1319" s="1668">
        <f t="shared" si="595"/>
        <v>0</v>
      </c>
      <c r="AN1319" s="1668">
        <f t="shared" si="595"/>
        <v>0</v>
      </c>
      <c r="AO1319" s="1668">
        <f t="shared" si="595"/>
        <v>0</v>
      </c>
      <c r="AP1319" s="1668">
        <f t="shared" si="595"/>
        <v>0</v>
      </c>
      <c r="AQ1319" s="1669">
        <f t="shared" si="595"/>
        <v>0</v>
      </c>
      <c r="AR1319" s="1194"/>
      <c r="AS1319" s="1671" t="str">
        <f>AT98</f>
        <v>Labores con maquinaria contratada0</v>
      </c>
      <c r="AT1319" s="1593"/>
    </row>
    <row r="1320" spans="1:46" ht="13.75" hidden="1" customHeight="1" x14ac:dyDescent="0.2">
      <c r="B1320" s="1665"/>
      <c r="C1320" s="193"/>
      <c r="D1320" s="193"/>
      <c r="E1320" s="193"/>
      <c r="F1320" s="193"/>
      <c r="G1320" s="1175" t="s">
        <v>687</v>
      </c>
      <c r="H1320" s="1175"/>
      <c r="I1320" s="1179">
        <f t="shared" ref="I1320:T1320" si="596">SUMPRODUCT(I100:I107,$F$100:$F$107)</f>
        <v>0</v>
      </c>
      <c r="J1320" s="1283">
        <f t="shared" si="596"/>
        <v>0</v>
      </c>
      <c r="K1320" s="1283">
        <f t="shared" si="596"/>
        <v>0</v>
      </c>
      <c r="L1320" s="1283">
        <f t="shared" si="596"/>
        <v>0</v>
      </c>
      <c r="M1320" s="1283">
        <f t="shared" si="596"/>
        <v>0</v>
      </c>
      <c r="N1320" s="1283">
        <f t="shared" si="596"/>
        <v>0</v>
      </c>
      <c r="O1320" s="1283">
        <f t="shared" si="596"/>
        <v>0</v>
      </c>
      <c r="P1320" s="1283">
        <f t="shared" si="596"/>
        <v>0</v>
      </c>
      <c r="Q1320" s="1283">
        <f t="shared" si="596"/>
        <v>0</v>
      </c>
      <c r="R1320" s="1283">
        <f t="shared" si="596"/>
        <v>0</v>
      </c>
      <c r="S1320" s="1283">
        <f t="shared" si="596"/>
        <v>0</v>
      </c>
      <c r="T1320" s="1178">
        <f t="shared" si="596"/>
        <v>0</v>
      </c>
      <c r="U1320" s="193"/>
      <c r="V1320" s="1175" t="str">
        <f>W108</f>
        <v>Semillas0</v>
      </c>
      <c r="W1320" s="1673"/>
      <c r="Y1320" s="1665"/>
      <c r="Z1320" s="193"/>
      <c r="AA1320" s="193"/>
      <c r="AB1320" s="193"/>
      <c r="AC1320" s="193"/>
      <c r="AD1320" s="1175" t="s">
        <v>687</v>
      </c>
      <c r="AE1320" s="1175"/>
      <c r="AF1320" s="1179">
        <f t="shared" ref="AF1320:AQ1320" si="597">SUMPRODUCT(AF100:AF107,$AC$100:$AC$107)</f>
        <v>0</v>
      </c>
      <c r="AG1320" s="1283">
        <f t="shared" si="597"/>
        <v>0</v>
      </c>
      <c r="AH1320" s="1283">
        <f t="shared" si="597"/>
        <v>0</v>
      </c>
      <c r="AI1320" s="1283">
        <f t="shared" si="597"/>
        <v>0</v>
      </c>
      <c r="AJ1320" s="1283">
        <f t="shared" si="597"/>
        <v>0</v>
      </c>
      <c r="AK1320" s="1283">
        <f t="shared" si="597"/>
        <v>0</v>
      </c>
      <c r="AL1320" s="1283">
        <f t="shared" si="597"/>
        <v>0</v>
      </c>
      <c r="AM1320" s="1283">
        <f t="shared" si="597"/>
        <v>0</v>
      </c>
      <c r="AN1320" s="1283">
        <f t="shared" si="597"/>
        <v>0</v>
      </c>
      <c r="AO1320" s="1283">
        <f t="shared" si="597"/>
        <v>0</v>
      </c>
      <c r="AP1320" s="1283">
        <f t="shared" si="597"/>
        <v>0</v>
      </c>
      <c r="AQ1320" s="1178">
        <f t="shared" si="597"/>
        <v>0</v>
      </c>
      <c r="AR1320" s="193"/>
      <c r="AS1320" s="1175" t="str">
        <f>AT108</f>
        <v>Semillas0</v>
      </c>
      <c r="AT1320" s="1673"/>
    </row>
    <row r="1321" spans="1:46" ht="13.75" hidden="1" customHeight="1" x14ac:dyDescent="0.2">
      <c r="B1321" s="1665"/>
      <c r="C1321" s="193"/>
      <c r="D1321" s="193"/>
      <c r="E1321" s="193"/>
      <c r="F1321" s="193"/>
      <c r="G1321" s="1175" t="s">
        <v>688</v>
      </c>
      <c r="H1321" s="1175"/>
      <c r="I1321" s="1179">
        <f t="shared" ref="I1321:T1321" si="598">SUMPRODUCT(I110:I112,$F$110:$F$112)</f>
        <v>0</v>
      </c>
      <c r="J1321" s="1283">
        <f t="shared" si="598"/>
        <v>0</v>
      </c>
      <c r="K1321" s="1283">
        <f t="shared" si="598"/>
        <v>0</v>
      </c>
      <c r="L1321" s="1283">
        <f t="shared" si="598"/>
        <v>0</v>
      </c>
      <c r="M1321" s="1283">
        <f t="shared" si="598"/>
        <v>0</v>
      </c>
      <c r="N1321" s="1283">
        <f t="shared" si="598"/>
        <v>0</v>
      </c>
      <c r="O1321" s="1283">
        <f t="shared" si="598"/>
        <v>0</v>
      </c>
      <c r="P1321" s="1283">
        <f t="shared" si="598"/>
        <v>0</v>
      </c>
      <c r="Q1321" s="1283">
        <f t="shared" si="598"/>
        <v>0</v>
      </c>
      <c r="R1321" s="1283">
        <f t="shared" si="598"/>
        <v>0</v>
      </c>
      <c r="S1321" s="1283">
        <f t="shared" si="598"/>
        <v>0</v>
      </c>
      <c r="T1321" s="1178">
        <f t="shared" si="598"/>
        <v>0</v>
      </c>
      <c r="U1321" s="193"/>
      <c r="V1321" s="1175" t="str">
        <f>W113</f>
        <v>Fertilizantes 0</v>
      </c>
      <c r="W1321" s="1673"/>
      <c r="Y1321" s="1665"/>
      <c r="Z1321" s="193"/>
      <c r="AA1321" s="193"/>
      <c r="AB1321" s="193"/>
      <c r="AC1321" s="193"/>
      <c r="AD1321" s="1175" t="s">
        <v>688</v>
      </c>
      <c r="AE1321" s="1175"/>
      <c r="AF1321" s="1179">
        <f t="shared" ref="AF1321:AQ1321" si="599">SUMPRODUCT(AF110:AF112,$AC$110:$AC$112)</f>
        <v>0</v>
      </c>
      <c r="AG1321" s="1283">
        <f t="shared" si="599"/>
        <v>0</v>
      </c>
      <c r="AH1321" s="1283">
        <f t="shared" si="599"/>
        <v>0</v>
      </c>
      <c r="AI1321" s="1283">
        <f t="shared" si="599"/>
        <v>0</v>
      </c>
      <c r="AJ1321" s="1283">
        <f t="shared" si="599"/>
        <v>0</v>
      </c>
      <c r="AK1321" s="1283">
        <f t="shared" si="599"/>
        <v>0</v>
      </c>
      <c r="AL1321" s="1283">
        <f t="shared" si="599"/>
        <v>0</v>
      </c>
      <c r="AM1321" s="1283">
        <f t="shared" si="599"/>
        <v>0</v>
      </c>
      <c r="AN1321" s="1283">
        <f t="shared" si="599"/>
        <v>0</v>
      </c>
      <c r="AO1321" s="1283">
        <f t="shared" si="599"/>
        <v>0</v>
      </c>
      <c r="AP1321" s="1283">
        <f t="shared" si="599"/>
        <v>0</v>
      </c>
      <c r="AQ1321" s="1178">
        <f t="shared" si="599"/>
        <v>0</v>
      </c>
      <c r="AR1321" s="193"/>
      <c r="AS1321" s="1175" t="str">
        <f>AT113</f>
        <v>Fertilizantes 0</v>
      </c>
      <c r="AT1321" s="1673"/>
    </row>
    <row r="1322" spans="1:46" ht="14.4" hidden="1" customHeight="1" thickBot="1" x14ac:dyDescent="0.25">
      <c r="B1322" s="1666"/>
      <c r="C1322" s="1199"/>
      <c r="D1322" s="1199"/>
      <c r="E1322" s="1199"/>
      <c r="F1322" s="1199"/>
      <c r="G1322" s="1672" t="s">
        <v>689</v>
      </c>
      <c r="H1322" s="1672"/>
      <c r="I1322" s="1654">
        <f t="shared" ref="I1322:T1322" si="600">SUMPRODUCT(I115:I117,$F$115:$F$117)</f>
        <v>0</v>
      </c>
      <c r="J1322" s="1590">
        <f t="shared" si="600"/>
        <v>0</v>
      </c>
      <c r="K1322" s="1590">
        <f t="shared" si="600"/>
        <v>0</v>
      </c>
      <c r="L1322" s="1590">
        <f t="shared" si="600"/>
        <v>0</v>
      </c>
      <c r="M1322" s="1590">
        <f t="shared" si="600"/>
        <v>0</v>
      </c>
      <c r="N1322" s="1590">
        <f t="shared" si="600"/>
        <v>0</v>
      </c>
      <c r="O1322" s="1590">
        <f t="shared" si="600"/>
        <v>0</v>
      </c>
      <c r="P1322" s="1590">
        <f t="shared" si="600"/>
        <v>0</v>
      </c>
      <c r="Q1322" s="1590">
        <f t="shared" si="600"/>
        <v>0</v>
      </c>
      <c r="R1322" s="1590">
        <f t="shared" si="600"/>
        <v>0</v>
      </c>
      <c r="S1322" s="1590">
        <f t="shared" si="600"/>
        <v>0</v>
      </c>
      <c r="T1322" s="1670">
        <f t="shared" si="600"/>
        <v>0</v>
      </c>
      <c r="U1322" s="1199"/>
      <c r="V1322" s="1672" t="str">
        <f>W118</f>
        <v>Agroquímicos 0</v>
      </c>
      <c r="W1322" s="1674"/>
      <c r="Y1322" s="1666"/>
      <c r="Z1322" s="1199"/>
      <c r="AA1322" s="1199"/>
      <c r="AB1322" s="1199"/>
      <c r="AC1322" s="1199"/>
      <c r="AD1322" s="1672" t="s">
        <v>689</v>
      </c>
      <c r="AE1322" s="1672"/>
      <c r="AF1322" s="1654">
        <f t="shared" ref="AF1322:AQ1322" si="601">SUMPRODUCT(AF115:AF117,$AC$115:$AC$117)</f>
        <v>0</v>
      </c>
      <c r="AG1322" s="1590">
        <f t="shared" si="601"/>
        <v>0</v>
      </c>
      <c r="AH1322" s="1590">
        <f t="shared" si="601"/>
        <v>0</v>
      </c>
      <c r="AI1322" s="1590">
        <f t="shared" si="601"/>
        <v>0</v>
      </c>
      <c r="AJ1322" s="1590">
        <f t="shared" si="601"/>
        <v>0</v>
      </c>
      <c r="AK1322" s="1590">
        <f t="shared" si="601"/>
        <v>0</v>
      </c>
      <c r="AL1322" s="1590">
        <f t="shared" si="601"/>
        <v>0</v>
      </c>
      <c r="AM1322" s="1590">
        <f t="shared" si="601"/>
        <v>0</v>
      </c>
      <c r="AN1322" s="1590">
        <f t="shared" si="601"/>
        <v>0</v>
      </c>
      <c r="AO1322" s="1590">
        <f t="shared" si="601"/>
        <v>0</v>
      </c>
      <c r="AP1322" s="1590">
        <f t="shared" si="601"/>
        <v>0</v>
      </c>
      <c r="AQ1322" s="1670">
        <f t="shared" si="601"/>
        <v>0</v>
      </c>
      <c r="AR1322" s="1199"/>
      <c r="AS1322" s="1672" t="str">
        <f>AT118</f>
        <v>Agroquímicos 0</v>
      </c>
      <c r="AT1322" s="1674"/>
    </row>
    <row r="1323" spans="1:46" ht="14.4" hidden="1" customHeight="1" thickTop="1" x14ac:dyDescent="0.2">
      <c r="B1323" s="1675">
        <f>C122</f>
        <v>0</v>
      </c>
      <c r="C1323" s="1194"/>
      <c r="D1323" s="1194"/>
      <c r="E1323" s="1194"/>
      <c r="F1323" s="1194"/>
      <c r="G1323" s="1671" t="s">
        <v>321</v>
      </c>
      <c r="H1323" s="1671"/>
      <c r="I1323" s="1667">
        <f t="shared" ref="I1323:T1323" si="602">SUMPRODUCT(I134:I138,$F$134:$F$138)</f>
        <v>0</v>
      </c>
      <c r="J1323" s="1668">
        <f t="shared" si="602"/>
        <v>0</v>
      </c>
      <c r="K1323" s="1668">
        <f t="shared" si="602"/>
        <v>0</v>
      </c>
      <c r="L1323" s="1668">
        <f t="shared" si="602"/>
        <v>0</v>
      </c>
      <c r="M1323" s="1668">
        <f t="shared" si="602"/>
        <v>0</v>
      </c>
      <c r="N1323" s="1668">
        <f t="shared" si="602"/>
        <v>0</v>
      </c>
      <c r="O1323" s="1668">
        <f t="shared" si="602"/>
        <v>0</v>
      </c>
      <c r="P1323" s="1668">
        <f t="shared" si="602"/>
        <v>0</v>
      </c>
      <c r="Q1323" s="1668">
        <f t="shared" si="602"/>
        <v>0</v>
      </c>
      <c r="R1323" s="1668">
        <f t="shared" si="602"/>
        <v>0</v>
      </c>
      <c r="S1323" s="1668">
        <f t="shared" si="602"/>
        <v>0</v>
      </c>
      <c r="T1323" s="1669">
        <f t="shared" si="602"/>
        <v>0</v>
      </c>
      <c r="U1323" s="1194"/>
      <c r="V1323" s="1671" t="str">
        <f>W139</f>
        <v>Labores con maquinaria contratada0</v>
      </c>
      <c r="W1323" s="1593"/>
      <c r="Y1323" s="1675">
        <f>Z122</f>
        <v>0</v>
      </c>
      <c r="Z1323" s="1194"/>
      <c r="AA1323" s="1194"/>
      <c r="AB1323" s="1194"/>
      <c r="AC1323" s="1194"/>
      <c r="AD1323" s="1671" t="s">
        <v>321</v>
      </c>
      <c r="AE1323" s="1671"/>
      <c r="AF1323" s="1667">
        <f t="shared" ref="AF1323:AQ1323" si="603">SUMPRODUCT(AF134:AF138,$AC$134:$AC$138)</f>
        <v>0</v>
      </c>
      <c r="AG1323" s="1668">
        <f t="shared" si="603"/>
        <v>0</v>
      </c>
      <c r="AH1323" s="1668">
        <f t="shared" si="603"/>
        <v>0</v>
      </c>
      <c r="AI1323" s="1668">
        <f t="shared" si="603"/>
        <v>0</v>
      </c>
      <c r="AJ1323" s="1668">
        <f t="shared" si="603"/>
        <v>0</v>
      </c>
      <c r="AK1323" s="1668">
        <f t="shared" si="603"/>
        <v>0</v>
      </c>
      <c r="AL1323" s="1668">
        <f t="shared" si="603"/>
        <v>0</v>
      </c>
      <c r="AM1323" s="1668">
        <f t="shared" si="603"/>
        <v>0</v>
      </c>
      <c r="AN1323" s="1668">
        <f t="shared" si="603"/>
        <v>0</v>
      </c>
      <c r="AO1323" s="1668">
        <f t="shared" si="603"/>
        <v>0</v>
      </c>
      <c r="AP1323" s="1668">
        <f t="shared" si="603"/>
        <v>0</v>
      </c>
      <c r="AQ1323" s="1669">
        <f t="shared" si="603"/>
        <v>0</v>
      </c>
      <c r="AR1323" s="1194"/>
      <c r="AS1323" s="1671" t="str">
        <f>AT139</f>
        <v>Labores con maquinaria contratada0</v>
      </c>
      <c r="AT1323" s="1593"/>
    </row>
    <row r="1324" spans="1:46" ht="13.75" hidden="1" customHeight="1" x14ac:dyDescent="0.2">
      <c r="B1324" s="1665"/>
      <c r="C1324" s="193"/>
      <c r="D1324" s="193"/>
      <c r="E1324" s="193"/>
      <c r="F1324" s="193"/>
      <c r="G1324" s="1175" t="s">
        <v>687</v>
      </c>
      <c r="H1324" s="1175"/>
      <c r="I1324" s="1179">
        <f t="shared" ref="I1324:T1324" si="604">SUMPRODUCT(I141:I148,$F$141:$F$148)</f>
        <v>0</v>
      </c>
      <c r="J1324" s="1283">
        <f t="shared" si="604"/>
        <v>0</v>
      </c>
      <c r="K1324" s="1283">
        <f t="shared" si="604"/>
        <v>0</v>
      </c>
      <c r="L1324" s="1283">
        <f t="shared" si="604"/>
        <v>0</v>
      </c>
      <c r="M1324" s="1283">
        <f t="shared" si="604"/>
        <v>0</v>
      </c>
      <c r="N1324" s="1283">
        <f t="shared" si="604"/>
        <v>0</v>
      </c>
      <c r="O1324" s="1283">
        <f t="shared" si="604"/>
        <v>0</v>
      </c>
      <c r="P1324" s="1283">
        <f t="shared" si="604"/>
        <v>0</v>
      </c>
      <c r="Q1324" s="1283">
        <f t="shared" si="604"/>
        <v>0</v>
      </c>
      <c r="R1324" s="1283">
        <f t="shared" si="604"/>
        <v>0</v>
      </c>
      <c r="S1324" s="1283">
        <f t="shared" si="604"/>
        <v>0</v>
      </c>
      <c r="T1324" s="1178">
        <f t="shared" si="604"/>
        <v>0</v>
      </c>
      <c r="U1324" s="193"/>
      <c r="V1324" s="1175" t="str">
        <f>W149</f>
        <v>Semillas0</v>
      </c>
      <c r="W1324" s="1673"/>
      <c r="Y1324" s="1665"/>
      <c r="Z1324" s="193"/>
      <c r="AA1324" s="193"/>
      <c r="AB1324" s="193"/>
      <c r="AC1324" s="193"/>
      <c r="AD1324" s="1175" t="s">
        <v>687</v>
      </c>
      <c r="AE1324" s="1175"/>
      <c r="AF1324" s="1179">
        <f t="shared" ref="AF1324:AQ1324" si="605">SUMPRODUCT(AF141:AF148,$AC$141:$AC$148)</f>
        <v>0</v>
      </c>
      <c r="AG1324" s="1283">
        <f t="shared" si="605"/>
        <v>0</v>
      </c>
      <c r="AH1324" s="1283">
        <f t="shared" si="605"/>
        <v>0</v>
      </c>
      <c r="AI1324" s="1283">
        <f t="shared" si="605"/>
        <v>0</v>
      </c>
      <c r="AJ1324" s="1283">
        <f t="shared" si="605"/>
        <v>0</v>
      </c>
      <c r="AK1324" s="1283">
        <f t="shared" si="605"/>
        <v>0</v>
      </c>
      <c r="AL1324" s="1283">
        <f t="shared" si="605"/>
        <v>0</v>
      </c>
      <c r="AM1324" s="1283">
        <f t="shared" si="605"/>
        <v>0</v>
      </c>
      <c r="AN1324" s="1283">
        <f t="shared" si="605"/>
        <v>0</v>
      </c>
      <c r="AO1324" s="1283">
        <f t="shared" si="605"/>
        <v>0</v>
      </c>
      <c r="AP1324" s="1283">
        <f t="shared" si="605"/>
        <v>0</v>
      </c>
      <c r="AQ1324" s="1178">
        <f t="shared" si="605"/>
        <v>0</v>
      </c>
      <c r="AR1324" s="193"/>
      <c r="AS1324" s="1175" t="str">
        <f>AT149</f>
        <v>Semillas0</v>
      </c>
      <c r="AT1324" s="1673"/>
    </row>
    <row r="1325" spans="1:46" ht="13.75" hidden="1" customHeight="1" x14ac:dyDescent="0.2">
      <c r="B1325" s="1665"/>
      <c r="C1325" s="193"/>
      <c r="D1325" s="193"/>
      <c r="E1325" s="193"/>
      <c r="F1325" s="193"/>
      <c r="G1325" s="1175" t="s">
        <v>688</v>
      </c>
      <c r="H1325" s="1175"/>
      <c r="I1325" s="1179">
        <f t="shared" ref="I1325:T1325" si="606">SUMPRODUCT(I151:I153,$F$151:$F$153)</f>
        <v>0</v>
      </c>
      <c r="J1325" s="1283">
        <f t="shared" si="606"/>
        <v>0</v>
      </c>
      <c r="K1325" s="1283">
        <f t="shared" si="606"/>
        <v>0</v>
      </c>
      <c r="L1325" s="1283">
        <f t="shared" si="606"/>
        <v>0</v>
      </c>
      <c r="M1325" s="1283">
        <f t="shared" si="606"/>
        <v>0</v>
      </c>
      <c r="N1325" s="1283">
        <f t="shared" si="606"/>
        <v>0</v>
      </c>
      <c r="O1325" s="1283">
        <f t="shared" si="606"/>
        <v>0</v>
      </c>
      <c r="P1325" s="1283">
        <f t="shared" si="606"/>
        <v>0</v>
      </c>
      <c r="Q1325" s="1283">
        <f t="shared" si="606"/>
        <v>0</v>
      </c>
      <c r="R1325" s="1283">
        <f t="shared" si="606"/>
        <v>0</v>
      </c>
      <c r="S1325" s="1283">
        <f t="shared" si="606"/>
        <v>0</v>
      </c>
      <c r="T1325" s="1178">
        <f t="shared" si="606"/>
        <v>0</v>
      </c>
      <c r="U1325" s="193"/>
      <c r="V1325" s="1175" t="str">
        <f>W154</f>
        <v>Fertilizantes 0</v>
      </c>
      <c r="W1325" s="1673"/>
      <c r="Y1325" s="1665"/>
      <c r="Z1325" s="193"/>
      <c r="AA1325" s="193"/>
      <c r="AB1325" s="193"/>
      <c r="AC1325" s="193"/>
      <c r="AD1325" s="1175" t="s">
        <v>688</v>
      </c>
      <c r="AE1325" s="1175"/>
      <c r="AF1325" s="1179">
        <f t="shared" ref="AF1325:AQ1325" si="607">SUMPRODUCT(AF151:AF153,$AC$151:$AC$153)</f>
        <v>0</v>
      </c>
      <c r="AG1325" s="1283">
        <f t="shared" si="607"/>
        <v>0</v>
      </c>
      <c r="AH1325" s="1283">
        <f t="shared" si="607"/>
        <v>0</v>
      </c>
      <c r="AI1325" s="1283">
        <f t="shared" si="607"/>
        <v>0</v>
      </c>
      <c r="AJ1325" s="1283">
        <f t="shared" si="607"/>
        <v>0</v>
      </c>
      <c r="AK1325" s="1283">
        <f t="shared" si="607"/>
        <v>0</v>
      </c>
      <c r="AL1325" s="1283">
        <f t="shared" si="607"/>
        <v>0</v>
      </c>
      <c r="AM1325" s="1283">
        <f t="shared" si="607"/>
        <v>0</v>
      </c>
      <c r="AN1325" s="1283">
        <f t="shared" si="607"/>
        <v>0</v>
      </c>
      <c r="AO1325" s="1283">
        <f t="shared" si="607"/>
        <v>0</v>
      </c>
      <c r="AP1325" s="1283">
        <f t="shared" si="607"/>
        <v>0</v>
      </c>
      <c r="AQ1325" s="1178">
        <f t="shared" si="607"/>
        <v>0</v>
      </c>
      <c r="AR1325" s="193"/>
      <c r="AS1325" s="1175" t="str">
        <f>AT154</f>
        <v>Fertilizantes 0</v>
      </c>
      <c r="AT1325" s="1673"/>
    </row>
    <row r="1326" spans="1:46" ht="14.4" hidden="1" customHeight="1" thickBot="1" x14ac:dyDescent="0.25">
      <c r="B1326" s="1666"/>
      <c r="C1326" s="1199"/>
      <c r="D1326" s="1199"/>
      <c r="E1326" s="1199"/>
      <c r="F1326" s="1199"/>
      <c r="G1326" s="1672" t="s">
        <v>689</v>
      </c>
      <c r="H1326" s="1672"/>
      <c r="I1326" s="1654">
        <f t="shared" ref="I1326:T1326" si="608">SUMPRODUCT(I156:I158,$F$156:$F$158)</f>
        <v>0</v>
      </c>
      <c r="J1326" s="1590">
        <f t="shared" si="608"/>
        <v>0</v>
      </c>
      <c r="K1326" s="1590">
        <f t="shared" si="608"/>
        <v>0</v>
      </c>
      <c r="L1326" s="1590">
        <f t="shared" si="608"/>
        <v>0</v>
      </c>
      <c r="M1326" s="1590">
        <f t="shared" si="608"/>
        <v>0</v>
      </c>
      <c r="N1326" s="1590">
        <f t="shared" si="608"/>
        <v>0</v>
      </c>
      <c r="O1326" s="1590">
        <f t="shared" si="608"/>
        <v>0</v>
      </c>
      <c r="P1326" s="1590">
        <f t="shared" si="608"/>
        <v>0</v>
      </c>
      <c r="Q1326" s="1590">
        <f t="shared" si="608"/>
        <v>0</v>
      </c>
      <c r="R1326" s="1590">
        <f t="shared" si="608"/>
        <v>0</v>
      </c>
      <c r="S1326" s="1590">
        <f t="shared" si="608"/>
        <v>0</v>
      </c>
      <c r="T1326" s="1670">
        <f t="shared" si="608"/>
        <v>0</v>
      </c>
      <c r="U1326" s="1199"/>
      <c r="V1326" s="1672" t="str">
        <f>W159</f>
        <v>Agroquímicos 0</v>
      </c>
      <c r="W1326" s="1674"/>
      <c r="Y1326" s="1666"/>
      <c r="Z1326" s="1199"/>
      <c r="AA1326" s="1199"/>
      <c r="AB1326" s="1199"/>
      <c r="AC1326" s="1199"/>
      <c r="AD1326" s="1672" t="s">
        <v>689</v>
      </c>
      <c r="AE1326" s="1672"/>
      <c r="AF1326" s="1654">
        <f t="shared" ref="AF1326:AQ1326" si="609">SUMPRODUCT(AF156:AF158,$AC$156:$AC$158)</f>
        <v>0</v>
      </c>
      <c r="AG1326" s="1590">
        <f t="shared" si="609"/>
        <v>0</v>
      </c>
      <c r="AH1326" s="1590">
        <f t="shared" si="609"/>
        <v>0</v>
      </c>
      <c r="AI1326" s="1590">
        <f t="shared" si="609"/>
        <v>0</v>
      </c>
      <c r="AJ1326" s="1590">
        <f t="shared" si="609"/>
        <v>0</v>
      </c>
      <c r="AK1326" s="1590">
        <f t="shared" si="609"/>
        <v>0</v>
      </c>
      <c r="AL1326" s="1590">
        <f t="shared" si="609"/>
        <v>0</v>
      </c>
      <c r="AM1326" s="1590">
        <f t="shared" si="609"/>
        <v>0</v>
      </c>
      <c r="AN1326" s="1590">
        <f t="shared" si="609"/>
        <v>0</v>
      </c>
      <c r="AO1326" s="1590">
        <f t="shared" si="609"/>
        <v>0</v>
      </c>
      <c r="AP1326" s="1590">
        <f t="shared" si="609"/>
        <v>0</v>
      </c>
      <c r="AQ1326" s="1670">
        <f t="shared" si="609"/>
        <v>0</v>
      </c>
      <c r="AR1326" s="1199"/>
      <c r="AS1326" s="1672" t="str">
        <f>AT159</f>
        <v>Agroquímicos 0</v>
      </c>
      <c r="AT1326" s="1674"/>
    </row>
    <row r="1327" spans="1:46" ht="14.4" hidden="1" customHeight="1" thickTop="1" x14ac:dyDescent="0.2">
      <c r="B1327" s="1675">
        <f>C163</f>
        <v>0</v>
      </c>
      <c r="C1327" s="1194"/>
      <c r="D1327" s="1194"/>
      <c r="E1327" s="1194"/>
      <c r="F1327" s="1194"/>
      <c r="G1327" s="1671" t="s">
        <v>321</v>
      </c>
      <c r="H1327" s="1671"/>
      <c r="I1327" s="1667">
        <f t="shared" ref="I1327:T1327" si="610">SUMPRODUCT(I175:I179,$F$175:$F$179)</f>
        <v>0</v>
      </c>
      <c r="J1327" s="1668">
        <f t="shared" si="610"/>
        <v>0</v>
      </c>
      <c r="K1327" s="1668">
        <f t="shared" si="610"/>
        <v>0</v>
      </c>
      <c r="L1327" s="1668">
        <f t="shared" si="610"/>
        <v>0</v>
      </c>
      <c r="M1327" s="1668">
        <f t="shared" si="610"/>
        <v>0</v>
      </c>
      <c r="N1327" s="1668">
        <f t="shared" si="610"/>
        <v>0</v>
      </c>
      <c r="O1327" s="1668">
        <f t="shared" si="610"/>
        <v>0</v>
      </c>
      <c r="P1327" s="1668">
        <f t="shared" si="610"/>
        <v>0</v>
      </c>
      <c r="Q1327" s="1668">
        <f t="shared" si="610"/>
        <v>0</v>
      </c>
      <c r="R1327" s="1668">
        <f t="shared" si="610"/>
        <v>0</v>
      </c>
      <c r="S1327" s="1668">
        <f t="shared" si="610"/>
        <v>0</v>
      </c>
      <c r="T1327" s="1669">
        <f t="shared" si="610"/>
        <v>0</v>
      </c>
      <c r="U1327" s="1194"/>
      <c r="V1327" s="1671" t="str">
        <f>W180</f>
        <v>Labores con maquinaria contratada0</v>
      </c>
      <c r="W1327" s="1593"/>
      <c r="Y1327" s="1675">
        <f>Z163</f>
        <v>0</v>
      </c>
      <c r="Z1327" s="1194"/>
      <c r="AA1327" s="1194"/>
      <c r="AB1327" s="1194"/>
      <c r="AC1327" s="1194"/>
      <c r="AD1327" s="1671" t="s">
        <v>321</v>
      </c>
      <c r="AE1327" s="1671"/>
      <c r="AF1327" s="1667">
        <f t="shared" ref="AF1327:AQ1327" si="611">SUMPRODUCT(AF175:AF179,$AC$175:$AC$179)</f>
        <v>0</v>
      </c>
      <c r="AG1327" s="1668">
        <f t="shared" si="611"/>
        <v>0</v>
      </c>
      <c r="AH1327" s="1668">
        <f t="shared" si="611"/>
        <v>0</v>
      </c>
      <c r="AI1327" s="1668">
        <f t="shared" si="611"/>
        <v>0</v>
      </c>
      <c r="AJ1327" s="1668">
        <f t="shared" si="611"/>
        <v>0</v>
      </c>
      <c r="AK1327" s="1668">
        <f t="shared" si="611"/>
        <v>0</v>
      </c>
      <c r="AL1327" s="1668">
        <f t="shared" si="611"/>
        <v>0</v>
      </c>
      <c r="AM1327" s="1668">
        <f t="shared" si="611"/>
        <v>0</v>
      </c>
      <c r="AN1327" s="1668">
        <f t="shared" si="611"/>
        <v>0</v>
      </c>
      <c r="AO1327" s="1668">
        <f t="shared" si="611"/>
        <v>0</v>
      </c>
      <c r="AP1327" s="1668">
        <f t="shared" si="611"/>
        <v>0</v>
      </c>
      <c r="AQ1327" s="1669">
        <f t="shared" si="611"/>
        <v>0</v>
      </c>
      <c r="AR1327" s="1194"/>
      <c r="AS1327" s="1671" t="str">
        <f>AT180</f>
        <v>Labores con maquinaria contratada0</v>
      </c>
      <c r="AT1327" s="1593"/>
    </row>
    <row r="1328" spans="1:46" ht="13.75" hidden="1" customHeight="1" x14ac:dyDescent="0.2">
      <c r="B1328" s="1665"/>
      <c r="C1328" s="193"/>
      <c r="D1328" s="193"/>
      <c r="E1328" s="193"/>
      <c r="F1328" s="193"/>
      <c r="G1328" s="1175" t="s">
        <v>687</v>
      </c>
      <c r="H1328" s="1175"/>
      <c r="I1328" s="1179">
        <f t="shared" ref="I1328:T1328" si="612">SUMPRODUCT(I182:I189,$F$182:$F$189)</f>
        <v>0</v>
      </c>
      <c r="J1328" s="1283">
        <f t="shared" si="612"/>
        <v>0</v>
      </c>
      <c r="K1328" s="1283">
        <f t="shared" si="612"/>
        <v>0</v>
      </c>
      <c r="L1328" s="1283">
        <f t="shared" si="612"/>
        <v>0</v>
      </c>
      <c r="M1328" s="1283">
        <f t="shared" si="612"/>
        <v>0</v>
      </c>
      <c r="N1328" s="1283">
        <f t="shared" si="612"/>
        <v>0</v>
      </c>
      <c r="O1328" s="1283">
        <f t="shared" si="612"/>
        <v>0</v>
      </c>
      <c r="P1328" s="1283">
        <f t="shared" si="612"/>
        <v>0</v>
      </c>
      <c r="Q1328" s="1283">
        <f t="shared" si="612"/>
        <v>0</v>
      </c>
      <c r="R1328" s="1283">
        <f t="shared" si="612"/>
        <v>0</v>
      </c>
      <c r="S1328" s="1283">
        <f t="shared" si="612"/>
        <v>0</v>
      </c>
      <c r="T1328" s="1178">
        <f t="shared" si="612"/>
        <v>0</v>
      </c>
      <c r="U1328" s="193"/>
      <c r="V1328" s="1175" t="str">
        <f>W190</f>
        <v>Semillas0</v>
      </c>
      <c r="W1328" s="1673"/>
      <c r="Y1328" s="1665"/>
      <c r="Z1328" s="193"/>
      <c r="AA1328" s="193"/>
      <c r="AB1328" s="193"/>
      <c r="AC1328" s="193"/>
      <c r="AD1328" s="1175" t="s">
        <v>687</v>
      </c>
      <c r="AE1328" s="1175"/>
      <c r="AF1328" s="1179">
        <f t="shared" ref="AF1328:AQ1328" si="613">SUMPRODUCT(AF182:AF189,$AC$182:$AC$189)</f>
        <v>0</v>
      </c>
      <c r="AG1328" s="1283">
        <f t="shared" si="613"/>
        <v>0</v>
      </c>
      <c r="AH1328" s="1283">
        <f t="shared" si="613"/>
        <v>0</v>
      </c>
      <c r="AI1328" s="1283">
        <f t="shared" si="613"/>
        <v>0</v>
      </c>
      <c r="AJ1328" s="1283">
        <f t="shared" si="613"/>
        <v>0</v>
      </c>
      <c r="AK1328" s="1283">
        <f t="shared" si="613"/>
        <v>0</v>
      </c>
      <c r="AL1328" s="1283">
        <f t="shared" si="613"/>
        <v>0</v>
      </c>
      <c r="AM1328" s="1283">
        <f t="shared" si="613"/>
        <v>0</v>
      </c>
      <c r="AN1328" s="1283">
        <f t="shared" si="613"/>
        <v>0</v>
      </c>
      <c r="AO1328" s="1283">
        <f t="shared" si="613"/>
        <v>0</v>
      </c>
      <c r="AP1328" s="1283">
        <f t="shared" si="613"/>
        <v>0</v>
      </c>
      <c r="AQ1328" s="1178">
        <f t="shared" si="613"/>
        <v>0</v>
      </c>
      <c r="AR1328" s="193"/>
      <c r="AS1328" s="1175" t="str">
        <f>AT190</f>
        <v>Semillas0</v>
      </c>
      <c r="AT1328" s="1673"/>
    </row>
    <row r="1329" spans="2:46" ht="13.75" hidden="1" customHeight="1" x14ac:dyDescent="0.2">
      <c r="B1329" s="1665"/>
      <c r="C1329" s="193"/>
      <c r="D1329" s="193"/>
      <c r="E1329" s="193"/>
      <c r="F1329" s="193"/>
      <c r="G1329" s="1175" t="s">
        <v>688</v>
      </c>
      <c r="H1329" s="1175"/>
      <c r="I1329" s="1179">
        <f t="shared" ref="I1329:T1329" si="614">SUMPRODUCT(I192:I194,$F$192:$F$194)</f>
        <v>0</v>
      </c>
      <c r="J1329" s="1283">
        <f t="shared" si="614"/>
        <v>0</v>
      </c>
      <c r="K1329" s="1283">
        <f t="shared" si="614"/>
        <v>0</v>
      </c>
      <c r="L1329" s="1283">
        <f t="shared" si="614"/>
        <v>0</v>
      </c>
      <c r="M1329" s="1283">
        <f t="shared" si="614"/>
        <v>0</v>
      </c>
      <c r="N1329" s="1283">
        <f t="shared" si="614"/>
        <v>0</v>
      </c>
      <c r="O1329" s="1283">
        <f t="shared" si="614"/>
        <v>0</v>
      </c>
      <c r="P1329" s="1283">
        <f t="shared" si="614"/>
        <v>0</v>
      </c>
      <c r="Q1329" s="1283">
        <f t="shared" si="614"/>
        <v>0</v>
      </c>
      <c r="R1329" s="1283">
        <f t="shared" si="614"/>
        <v>0</v>
      </c>
      <c r="S1329" s="1283">
        <f t="shared" si="614"/>
        <v>0</v>
      </c>
      <c r="T1329" s="1178">
        <f t="shared" si="614"/>
        <v>0</v>
      </c>
      <c r="U1329" s="193"/>
      <c r="V1329" s="1175" t="str">
        <f>W195</f>
        <v>Fertilizantes 0</v>
      </c>
      <c r="W1329" s="1673"/>
      <c r="Y1329" s="1665"/>
      <c r="Z1329" s="193"/>
      <c r="AA1329" s="193"/>
      <c r="AB1329" s="193"/>
      <c r="AC1329" s="193"/>
      <c r="AD1329" s="1175" t="s">
        <v>688</v>
      </c>
      <c r="AE1329" s="1175"/>
      <c r="AF1329" s="1179">
        <f t="shared" ref="AF1329:AQ1329" si="615">SUMPRODUCT(AF192:AF194,$AC$192:$AC$194)</f>
        <v>0</v>
      </c>
      <c r="AG1329" s="1283">
        <f t="shared" si="615"/>
        <v>0</v>
      </c>
      <c r="AH1329" s="1283">
        <f t="shared" si="615"/>
        <v>0</v>
      </c>
      <c r="AI1329" s="1283">
        <f t="shared" si="615"/>
        <v>0</v>
      </c>
      <c r="AJ1329" s="1283">
        <f t="shared" si="615"/>
        <v>0</v>
      </c>
      <c r="AK1329" s="1283">
        <f t="shared" si="615"/>
        <v>0</v>
      </c>
      <c r="AL1329" s="1283">
        <f t="shared" si="615"/>
        <v>0</v>
      </c>
      <c r="AM1329" s="1283">
        <f t="shared" si="615"/>
        <v>0</v>
      </c>
      <c r="AN1329" s="1283">
        <f t="shared" si="615"/>
        <v>0</v>
      </c>
      <c r="AO1329" s="1283">
        <f t="shared" si="615"/>
        <v>0</v>
      </c>
      <c r="AP1329" s="1283">
        <f t="shared" si="615"/>
        <v>0</v>
      </c>
      <c r="AQ1329" s="1178">
        <f t="shared" si="615"/>
        <v>0</v>
      </c>
      <c r="AR1329" s="193"/>
      <c r="AS1329" s="1175" t="str">
        <f>AT195</f>
        <v>Fertilizantes 0</v>
      </c>
      <c r="AT1329" s="1673"/>
    </row>
    <row r="1330" spans="2:46" ht="14.4" hidden="1" customHeight="1" thickBot="1" x14ac:dyDescent="0.25">
      <c r="B1330" s="1666"/>
      <c r="C1330" s="1199"/>
      <c r="D1330" s="1199"/>
      <c r="E1330" s="1199"/>
      <c r="F1330" s="1199"/>
      <c r="G1330" s="1672" t="s">
        <v>689</v>
      </c>
      <c r="H1330" s="1672"/>
      <c r="I1330" s="1654">
        <f t="shared" ref="I1330:T1330" si="616">SUMPRODUCT(I197:I199,$F$197:$F$199)</f>
        <v>0</v>
      </c>
      <c r="J1330" s="1590">
        <f t="shared" si="616"/>
        <v>0</v>
      </c>
      <c r="K1330" s="1590">
        <f t="shared" si="616"/>
        <v>0</v>
      </c>
      <c r="L1330" s="1590">
        <f t="shared" si="616"/>
        <v>0</v>
      </c>
      <c r="M1330" s="1590">
        <f t="shared" si="616"/>
        <v>0</v>
      </c>
      <c r="N1330" s="1590">
        <f t="shared" si="616"/>
        <v>0</v>
      </c>
      <c r="O1330" s="1590">
        <f t="shared" si="616"/>
        <v>0</v>
      </c>
      <c r="P1330" s="1590">
        <f t="shared" si="616"/>
        <v>0</v>
      </c>
      <c r="Q1330" s="1590">
        <f t="shared" si="616"/>
        <v>0</v>
      </c>
      <c r="R1330" s="1590">
        <f t="shared" si="616"/>
        <v>0</v>
      </c>
      <c r="S1330" s="1590">
        <f t="shared" si="616"/>
        <v>0</v>
      </c>
      <c r="T1330" s="1670">
        <f t="shared" si="616"/>
        <v>0</v>
      </c>
      <c r="U1330" s="1199"/>
      <c r="V1330" s="1672" t="str">
        <f>W200</f>
        <v>Agroquímicos 0</v>
      </c>
      <c r="W1330" s="1674"/>
      <c r="Y1330" s="1666"/>
      <c r="Z1330" s="1199"/>
      <c r="AA1330" s="1199"/>
      <c r="AB1330" s="1199"/>
      <c r="AC1330" s="1199"/>
      <c r="AD1330" s="1672" t="s">
        <v>689</v>
      </c>
      <c r="AE1330" s="1672"/>
      <c r="AF1330" s="1654">
        <f t="shared" ref="AF1330:AQ1330" si="617">SUMPRODUCT(AF197:AF199,$AC$197:$AC$199)</f>
        <v>0</v>
      </c>
      <c r="AG1330" s="1590">
        <f t="shared" si="617"/>
        <v>0</v>
      </c>
      <c r="AH1330" s="1590">
        <f t="shared" si="617"/>
        <v>0</v>
      </c>
      <c r="AI1330" s="1590">
        <f t="shared" si="617"/>
        <v>0</v>
      </c>
      <c r="AJ1330" s="1590">
        <f t="shared" si="617"/>
        <v>0</v>
      </c>
      <c r="AK1330" s="1590">
        <f t="shared" si="617"/>
        <v>0</v>
      </c>
      <c r="AL1330" s="1590">
        <f t="shared" si="617"/>
        <v>0</v>
      </c>
      <c r="AM1330" s="1590">
        <f t="shared" si="617"/>
        <v>0</v>
      </c>
      <c r="AN1330" s="1590">
        <f t="shared" si="617"/>
        <v>0</v>
      </c>
      <c r="AO1330" s="1590">
        <f t="shared" si="617"/>
        <v>0</v>
      </c>
      <c r="AP1330" s="1590">
        <f t="shared" si="617"/>
        <v>0</v>
      </c>
      <c r="AQ1330" s="1670">
        <f t="shared" si="617"/>
        <v>0</v>
      </c>
      <c r="AR1330" s="1199"/>
      <c r="AS1330" s="1672" t="str">
        <f>AT200</f>
        <v>Agroquímicos 0</v>
      </c>
      <c r="AT1330" s="1674"/>
    </row>
    <row r="1331" spans="2:46" ht="14.4" hidden="1" customHeight="1" thickTop="1" x14ac:dyDescent="0.2">
      <c r="B1331" s="1675">
        <f>C204</f>
        <v>0</v>
      </c>
      <c r="C1331" s="1194"/>
      <c r="D1331" s="1194"/>
      <c r="E1331" s="1194"/>
      <c r="F1331" s="1194"/>
      <c r="G1331" s="1671" t="s">
        <v>321</v>
      </c>
      <c r="H1331" s="1671"/>
      <c r="I1331" s="1667">
        <f t="shared" ref="I1331:T1331" si="618">SUMPRODUCT(I216:I220,$F$216:$F$220)</f>
        <v>0</v>
      </c>
      <c r="J1331" s="1668">
        <f t="shared" si="618"/>
        <v>0</v>
      </c>
      <c r="K1331" s="1668">
        <f t="shared" si="618"/>
        <v>0</v>
      </c>
      <c r="L1331" s="1668">
        <f t="shared" si="618"/>
        <v>0</v>
      </c>
      <c r="M1331" s="1668">
        <f t="shared" si="618"/>
        <v>0</v>
      </c>
      <c r="N1331" s="1668">
        <f t="shared" si="618"/>
        <v>0</v>
      </c>
      <c r="O1331" s="1668">
        <f t="shared" si="618"/>
        <v>0</v>
      </c>
      <c r="P1331" s="1668">
        <f t="shared" si="618"/>
        <v>0</v>
      </c>
      <c r="Q1331" s="1668">
        <f t="shared" si="618"/>
        <v>0</v>
      </c>
      <c r="R1331" s="1668">
        <f t="shared" si="618"/>
        <v>0</v>
      </c>
      <c r="S1331" s="1668">
        <f t="shared" si="618"/>
        <v>0</v>
      </c>
      <c r="T1331" s="1669">
        <f t="shared" si="618"/>
        <v>0</v>
      </c>
      <c r="U1331" s="1194"/>
      <c r="V1331" s="1671" t="str">
        <f>W221</f>
        <v>Labores con maquinaria contratada0</v>
      </c>
      <c r="W1331" s="1593"/>
      <c r="Y1331" s="1675">
        <f>Z204</f>
        <v>0</v>
      </c>
      <c r="Z1331" s="1194"/>
      <c r="AA1331" s="1194"/>
      <c r="AB1331" s="1194"/>
      <c r="AC1331" s="1194"/>
      <c r="AD1331" s="1671" t="s">
        <v>321</v>
      </c>
      <c r="AE1331" s="1671"/>
      <c r="AF1331" s="1667">
        <f t="shared" ref="AF1331:AQ1331" si="619">SUMPRODUCT(AF216:AF220,$AC$216:$AC$220)</f>
        <v>0</v>
      </c>
      <c r="AG1331" s="1668">
        <f t="shared" si="619"/>
        <v>0</v>
      </c>
      <c r="AH1331" s="1668">
        <f t="shared" si="619"/>
        <v>0</v>
      </c>
      <c r="AI1331" s="1668">
        <f t="shared" si="619"/>
        <v>0</v>
      </c>
      <c r="AJ1331" s="1668">
        <f t="shared" si="619"/>
        <v>0</v>
      </c>
      <c r="AK1331" s="1668">
        <f t="shared" si="619"/>
        <v>0</v>
      </c>
      <c r="AL1331" s="1668">
        <f t="shared" si="619"/>
        <v>0</v>
      </c>
      <c r="AM1331" s="1668">
        <f t="shared" si="619"/>
        <v>0</v>
      </c>
      <c r="AN1331" s="1668">
        <f t="shared" si="619"/>
        <v>0</v>
      </c>
      <c r="AO1331" s="1668">
        <f t="shared" si="619"/>
        <v>0</v>
      </c>
      <c r="AP1331" s="1668">
        <f t="shared" si="619"/>
        <v>0</v>
      </c>
      <c r="AQ1331" s="1669">
        <f t="shared" si="619"/>
        <v>0</v>
      </c>
      <c r="AR1331" s="1194"/>
      <c r="AS1331" s="1671" t="str">
        <f>AT221</f>
        <v>Labores con maquinaria contratada0</v>
      </c>
      <c r="AT1331" s="1593"/>
    </row>
    <row r="1332" spans="2:46" ht="13.75" hidden="1" customHeight="1" x14ac:dyDescent="0.2">
      <c r="B1332" s="1665"/>
      <c r="C1332" s="193"/>
      <c r="D1332" s="193"/>
      <c r="E1332" s="193"/>
      <c r="F1332" s="193"/>
      <c r="G1332" s="1175" t="s">
        <v>687</v>
      </c>
      <c r="H1332" s="1175"/>
      <c r="I1332" s="1179">
        <f t="shared" ref="I1332:T1332" si="620">SUMPRODUCT(I223:I230,$F$223:$F$230)</f>
        <v>0</v>
      </c>
      <c r="J1332" s="1283">
        <f t="shared" si="620"/>
        <v>0</v>
      </c>
      <c r="K1332" s="1283">
        <f t="shared" si="620"/>
        <v>0</v>
      </c>
      <c r="L1332" s="1283">
        <f t="shared" si="620"/>
        <v>0</v>
      </c>
      <c r="M1332" s="1283">
        <f t="shared" si="620"/>
        <v>0</v>
      </c>
      <c r="N1332" s="1283">
        <f t="shared" si="620"/>
        <v>0</v>
      </c>
      <c r="O1332" s="1283">
        <f t="shared" si="620"/>
        <v>0</v>
      </c>
      <c r="P1332" s="1283">
        <f t="shared" si="620"/>
        <v>0</v>
      </c>
      <c r="Q1332" s="1283">
        <f t="shared" si="620"/>
        <v>0</v>
      </c>
      <c r="R1332" s="1283">
        <f t="shared" si="620"/>
        <v>0</v>
      </c>
      <c r="S1332" s="1283">
        <f t="shared" si="620"/>
        <v>0</v>
      </c>
      <c r="T1332" s="1178">
        <f t="shared" si="620"/>
        <v>0</v>
      </c>
      <c r="U1332" s="193"/>
      <c r="V1332" s="1175" t="str">
        <f>W231</f>
        <v>Semillas0</v>
      </c>
      <c r="W1332" s="1673"/>
      <c r="Y1332" s="1665"/>
      <c r="Z1332" s="193"/>
      <c r="AA1332" s="193"/>
      <c r="AB1332" s="193"/>
      <c r="AC1332" s="193"/>
      <c r="AD1332" s="1175" t="s">
        <v>687</v>
      </c>
      <c r="AE1332" s="1175"/>
      <c r="AF1332" s="1179">
        <f t="shared" ref="AF1332:AQ1332" si="621">SUMPRODUCT(AF223:AF230,$AC$223:$AC$230)</f>
        <v>0</v>
      </c>
      <c r="AG1332" s="1283">
        <f t="shared" si="621"/>
        <v>0</v>
      </c>
      <c r="AH1332" s="1283">
        <f t="shared" si="621"/>
        <v>0</v>
      </c>
      <c r="AI1332" s="1283">
        <f t="shared" si="621"/>
        <v>0</v>
      </c>
      <c r="AJ1332" s="1283">
        <f t="shared" si="621"/>
        <v>0</v>
      </c>
      <c r="AK1332" s="1283">
        <f t="shared" si="621"/>
        <v>0</v>
      </c>
      <c r="AL1332" s="1283">
        <f t="shared" si="621"/>
        <v>0</v>
      </c>
      <c r="AM1332" s="1283">
        <f t="shared" si="621"/>
        <v>0</v>
      </c>
      <c r="AN1332" s="1283">
        <f t="shared" si="621"/>
        <v>0</v>
      </c>
      <c r="AO1332" s="1283">
        <f t="shared" si="621"/>
        <v>0</v>
      </c>
      <c r="AP1332" s="1283">
        <f t="shared" si="621"/>
        <v>0</v>
      </c>
      <c r="AQ1332" s="1178">
        <f t="shared" si="621"/>
        <v>0</v>
      </c>
      <c r="AR1332" s="193"/>
      <c r="AS1332" s="1175" t="str">
        <f>AT231</f>
        <v>Semillas0</v>
      </c>
      <c r="AT1332" s="1673"/>
    </row>
    <row r="1333" spans="2:46" ht="13.75" hidden="1" customHeight="1" x14ac:dyDescent="0.2">
      <c r="B1333" s="1665"/>
      <c r="C1333" s="193"/>
      <c r="D1333" s="193"/>
      <c r="E1333" s="193"/>
      <c r="F1333" s="193"/>
      <c r="G1333" s="1175" t="s">
        <v>688</v>
      </c>
      <c r="H1333" s="1175"/>
      <c r="I1333" s="1179">
        <f t="shared" ref="I1333:T1333" si="622">SUMPRODUCT(I233:I235,$F$233:$F$235)</f>
        <v>0</v>
      </c>
      <c r="J1333" s="1283">
        <f t="shared" si="622"/>
        <v>0</v>
      </c>
      <c r="K1333" s="1283">
        <f t="shared" si="622"/>
        <v>0</v>
      </c>
      <c r="L1333" s="1283">
        <f t="shared" si="622"/>
        <v>0</v>
      </c>
      <c r="M1333" s="1283">
        <f t="shared" si="622"/>
        <v>0</v>
      </c>
      <c r="N1333" s="1283">
        <f t="shared" si="622"/>
        <v>0</v>
      </c>
      <c r="O1333" s="1283">
        <f t="shared" si="622"/>
        <v>0</v>
      </c>
      <c r="P1333" s="1283">
        <f t="shared" si="622"/>
        <v>0</v>
      </c>
      <c r="Q1333" s="1283">
        <f t="shared" si="622"/>
        <v>0</v>
      </c>
      <c r="R1333" s="1283">
        <f t="shared" si="622"/>
        <v>0</v>
      </c>
      <c r="S1333" s="1283">
        <f t="shared" si="622"/>
        <v>0</v>
      </c>
      <c r="T1333" s="1178">
        <f t="shared" si="622"/>
        <v>0</v>
      </c>
      <c r="U1333" s="193"/>
      <c r="V1333" s="1175" t="str">
        <f>W236</f>
        <v>Fertilizantes 0</v>
      </c>
      <c r="W1333" s="1673"/>
      <c r="Y1333" s="1665"/>
      <c r="Z1333" s="193"/>
      <c r="AA1333" s="193"/>
      <c r="AB1333" s="193"/>
      <c r="AC1333" s="193"/>
      <c r="AD1333" s="1175" t="s">
        <v>688</v>
      </c>
      <c r="AE1333" s="1175"/>
      <c r="AF1333" s="1179">
        <f t="shared" ref="AF1333:AQ1333" si="623">SUMPRODUCT(AF233:AF235,$AC$233:$AC$235)</f>
        <v>0</v>
      </c>
      <c r="AG1333" s="1283">
        <f t="shared" si="623"/>
        <v>0</v>
      </c>
      <c r="AH1333" s="1283">
        <f t="shared" si="623"/>
        <v>0</v>
      </c>
      <c r="AI1333" s="1283">
        <f t="shared" si="623"/>
        <v>0</v>
      </c>
      <c r="AJ1333" s="1283">
        <f t="shared" si="623"/>
        <v>0</v>
      </c>
      <c r="AK1333" s="1283">
        <f t="shared" si="623"/>
        <v>0</v>
      </c>
      <c r="AL1333" s="1283">
        <f t="shared" si="623"/>
        <v>0</v>
      </c>
      <c r="AM1333" s="1283">
        <f t="shared" si="623"/>
        <v>0</v>
      </c>
      <c r="AN1333" s="1283">
        <f t="shared" si="623"/>
        <v>0</v>
      </c>
      <c r="AO1333" s="1283">
        <f t="shared" si="623"/>
        <v>0</v>
      </c>
      <c r="AP1333" s="1283">
        <f t="shared" si="623"/>
        <v>0</v>
      </c>
      <c r="AQ1333" s="1178">
        <f t="shared" si="623"/>
        <v>0</v>
      </c>
      <c r="AR1333" s="193"/>
      <c r="AS1333" s="1175" t="str">
        <f>AT236</f>
        <v>Fertilizantes 0</v>
      </c>
      <c r="AT1333" s="1673"/>
    </row>
    <row r="1334" spans="2:46" ht="14.4" hidden="1" customHeight="1" thickBot="1" x14ac:dyDescent="0.25">
      <c r="B1334" s="1666"/>
      <c r="C1334" s="1199"/>
      <c r="D1334" s="1199"/>
      <c r="E1334" s="1199"/>
      <c r="F1334" s="1199"/>
      <c r="G1334" s="1672" t="s">
        <v>689</v>
      </c>
      <c r="H1334" s="1672"/>
      <c r="I1334" s="1654">
        <f t="shared" ref="I1334:T1334" si="624">SUMPRODUCT(I238:I240,$F$238:$F$240)</f>
        <v>0</v>
      </c>
      <c r="J1334" s="1590">
        <f t="shared" si="624"/>
        <v>0</v>
      </c>
      <c r="K1334" s="1590">
        <f t="shared" si="624"/>
        <v>0</v>
      </c>
      <c r="L1334" s="1590">
        <f t="shared" si="624"/>
        <v>0</v>
      </c>
      <c r="M1334" s="1590">
        <f t="shared" si="624"/>
        <v>0</v>
      </c>
      <c r="N1334" s="1590">
        <f t="shared" si="624"/>
        <v>0</v>
      </c>
      <c r="O1334" s="1590">
        <f t="shared" si="624"/>
        <v>0</v>
      </c>
      <c r="P1334" s="1590">
        <f t="shared" si="624"/>
        <v>0</v>
      </c>
      <c r="Q1334" s="1590">
        <f t="shared" si="624"/>
        <v>0</v>
      </c>
      <c r="R1334" s="1590">
        <f t="shared" si="624"/>
        <v>0</v>
      </c>
      <c r="S1334" s="1590">
        <f t="shared" si="624"/>
        <v>0</v>
      </c>
      <c r="T1334" s="1670">
        <f t="shared" si="624"/>
        <v>0</v>
      </c>
      <c r="U1334" s="1199"/>
      <c r="V1334" s="1672" t="str">
        <f>W241</f>
        <v>Agroquímicos 0</v>
      </c>
      <c r="W1334" s="1674"/>
      <c r="Y1334" s="1666"/>
      <c r="Z1334" s="1199"/>
      <c r="AA1334" s="1199"/>
      <c r="AB1334" s="1199"/>
      <c r="AC1334" s="1199"/>
      <c r="AD1334" s="1672" t="s">
        <v>689</v>
      </c>
      <c r="AE1334" s="1672"/>
      <c r="AF1334" s="1654">
        <f t="shared" ref="AF1334:AQ1334" si="625">SUMPRODUCT(AF238:AF240,$AC$238:$AC$240)</f>
        <v>0</v>
      </c>
      <c r="AG1334" s="1590">
        <f t="shared" si="625"/>
        <v>0</v>
      </c>
      <c r="AH1334" s="1590">
        <f t="shared" si="625"/>
        <v>0</v>
      </c>
      <c r="AI1334" s="1590">
        <f t="shared" si="625"/>
        <v>0</v>
      </c>
      <c r="AJ1334" s="1590">
        <f t="shared" si="625"/>
        <v>0</v>
      </c>
      <c r="AK1334" s="1590">
        <f t="shared" si="625"/>
        <v>0</v>
      </c>
      <c r="AL1334" s="1590">
        <f t="shared" si="625"/>
        <v>0</v>
      </c>
      <c r="AM1334" s="1590">
        <f t="shared" si="625"/>
        <v>0</v>
      </c>
      <c r="AN1334" s="1590">
        <f t="shared" si="625"/>
        <v>0</v>
      </c>
      <c r="AO1334" s="1590">
        <f t="shared" si="625"/>
        <v>0</v>
      </c>
      <c r="AP1334" s="1590">
        <f t="shared" si="625"/>
        <v>0</v>
      </c>
      <c r="AQ1334" s="1670">
        <f t="shared" si="625"/>
        <v>0</v>
      </c>
      <c r="AR1334" s="1199"/>
      <c r="AS1334" s="1672" t="str">
        <f>AT241</f>
        <v>Agroquímicos 0</v>
      </c>
      <c r="AT1334" s="1674"/>
    </row>
    <row r="1335" spans="2:46" ht="14.4" hidden="1" customHeight="1" thickTop="1" x14ac:dyDescent="0.2">
      <c r="B1335" s="1675">
        <f>C245</f>
        <v>0</v>
      </c>
      <c r="C1335" s="1194"/>
      <c r="D1335" s="1194"/>
      <c r="E1335" s="1194"/>
      <c r="F1335" s="1194"/>
      <c r="G1335" s="1671" t="s">
        <v>321</v>
      </c>
      <c r="H1335" s="1671"/>
      <c r="I1335" s="1667">
        <f t="shared" ref="I1335:T1335" si="626">SUMPRODUCT(I257:I261,$F$257:$F$261)</f>
        <v>0</v>
      </c>
      <c r="J1335" s="1668">
        <f t="shared" si="626"/>
        <v>0</v>
      </c>
      <c r="K1335" s="1668">
        <f t="shared" si="626"/>
        <v>0</v>
      </c>
      <c r="L1335" s="1668">
        <f t="shared" si="626"/>
        <v>0</v>
      </c>
      <c r="M1335" s="1668">
        <f t="shared" si="626"/>
        <v>0</v>
      </c>
      <c r="N1335" s="1668">
        <f t="shared" si="626"/>
        <v>0</v>
      </c>
      <c r="O1335" s="1668">
        <f t="shared" si="626"/>
        <v>0</v>
      </c>
      <c r="P1335" s="1668">
        <f t="shared" si="626"/>
        <v>0</v>
      </c>
      <c r="Q1335" s="1668">
        <f t="shared" si="626"/>
        <v>0</v>
      </c>
      <c r="R1335" s="1668">
        <f t="shared" si="626"/>
        <v>0</v>
      </c>
      <c r="S1335" s="1668">
        <f t="shared" si="626"/>
        <v>0</v>
      </c>
      <c r="T1335" s="1669">
        <f t="shared" si="626"/>
        <v>0</v>
      </c>
      <c r="U1335" s="1194"/>
      <c r="V1335" s="1671" t="str">
        <f>W262</f>
        <v>Labores con maquinaria contratada0</v>
      </c>
      <c r="W1335" s="1593"/>
      <c r="Y1335" s="1675">
        <f>Z245</f>
        <v>0</v>
      </c>
      <c r="Z1335" s="1194"/>
      <c r="AA1335" s="1194"/>
      <c r="AB1335" s="1194"/>
      <c r="AC1335" s="1194"/>
      <c r="AD1335" s="1671" t="s">
        <v>321</v>
      </c>
      <c r="AE1335" s="1671"/>
      <c r="AF1335" s="1667">
        <f t="shared" ref="AF1335:AQ1335" si="627">SUMPRODUCT(AF257:AF261,$AC$257:$AC$261)</f>
        <v>0</v>
      </c>
      <c r="AG1335" s="1668">
        <f t="shared" si="627"/>
        <v>0</v>
      </c>
      <c r="AH1335" s="1668">
        <f t="shared" si="627"/>
        <v>0</v>
      </c>
      <c r="AI1335" s="1668">
        <f t="shared" si="627"/>
        <v>0</v>
      </c>
      <c r="AJ1335" s="1668">
        <f t="shared" si="627"/>
        <v>0</v>
      </c>
      <c r="AK1335" s="1668">
        <f t="shared" si="627"/>
        <v>0</v>
      </c>
      <c r="AL1335" s="1668">
        <f t="shared" si="627"/>
        <v>0</v>
      </c>
      <c r="AM1335" s="1668">
        <f t="shared" si="627"/>
        <v>0</v>
      </c>
      <c r="AN1335" s="1668">
        <f t="shared" si="627"/>
        <v>0</v>
      </c>
      <c r="AO1335" s="1668">
        <f t="shared" si="627"/>
        <v>0</v>
      </c>
      <c r="AP1335" s="1668">
        <f t="shared" si="627"/>
        <v>0</v>
      </c>
      <c r="AQ1335" s="1669">
        <f t="shared" si="627"/>
        <v>0</v>
      </c>
      <c r="AR1335" s="1194"/>
      <c r="AS1335" s="1671" t="str">
        <f>AT262</f>
        <v>Labores con maquinaria contratada0</v>
      </c>
      <c r="AT1335" s="1593"/>
    </row>
    <row r="1336" spans="2:46" ht="13.75" hidden="1" customHeight="1" x14ac:dyDescent="0.2">
      <c r="B1336" s="1665"/>
      <c r="C1336" s="193"/>
      <c r="D1336" s="193"/>
      <c r="E1336" s="193"/>
      <c r="F1336" s="193"/>
      <c r="G1336" s="1175" t="s">
        <v>687</v>
      </c>
      <c r="H1336" s="1175"/>
      <c r="I1336" s="1179">
        <f t="shared" ref="I1336:T1336" si="628">SUMPRODUCT(I264:I271,$F$264:$F$271)</f>
        <v>0</v>
      </c>
      <c r="J1336" s="1283">
        <f t="shared" si="628"/>
        <v>0</v>
      </c>
      <c r="K1336" s="1283">
        <f t="shared" si="628"/>
        <v>0</v>
      </c>
      <c r="L1336" s="1283">
        <f t="shared" si="628"/>
        <v>0</v>
      </c>
      <c r="M1336" s="1283">
        <f t="shared" si="628"/>
        <v>0</v>
      </c>
      <c r="N1336" s="1283">
        <f t="shared" si="628"/>
        <v>0</v>
      </c>
      <c r="O1336" s="1283">
        <f t="shared" si="628"/>
        <v>0</v>
      </c>
      <c r="P1336" s="1283">
        <f t="shared" si="628"/>
        <v>0</v>
      </c>
      <c r="Q1336" s="1283">
        <f t="shared" si="628"/>
        <v>0</v>
      </c>
      <c r="R1336" s="1283">
        <f t="shared" si="628"/>
        <v>0</v>
      </c>
      <c r="S1336" s="1283">
        <f t="shared" si="628"/>
        <v>0</v>
      </c>
      <c r="T1336" s="1178">
        <f t="shared" si="628"/>
        <v>0</v>
      </c>
      <c r="U1336" s="193"/>
      <c r="V1336" s="1175" t="str">
        <f>W272</f>
        <v>Semillas0</v>
      </c>
      <c r="W1336" s="1673"/>
      <c r="Y1336" s="1665"/>
      <c r="Z1336" s="193"/>
      <c r="AA1336" s="193"/>
      <c r="AB1336" s="193"/>
      <c r="AC1336" s="193"/>
      <c r="AD1336" s="1175" t="s">
        <v>687</v>
      </c>
      <c r="AE1336" s="1175"/>
      <c r="AF1336" s="1179">
        <f t="shared" ref="AF1336:AQ1336" si="629">SUMPRODUCT(AF264:AF271,$AC$264:$AC$271)</f>
        <v>0</v>
      </c>
      <c r="AG1336" s="1283">
        <f t="shared" si="629"/>
        <v>0</v>
      </c>
      <c r="AH1336" s="1283">
        <f t="shared" si="629"/>
        <v>0</v>
      </c>
      <c r="AI1336" s="1283">
        <f t="shared" si="629"/>
        <v>0</v>
      </c>
      <c r="AJ1336" s="1283">
        <f t="shared" si="629"/>
        <v>0</v>
      </c>
      <c r="AK1336" s="1283">
        <f t="shared" si="629"/>
        <v>0</v>
      </c>
      <c r="AL1336" s="1283">
        <f t="shared" si="629"/>
        <v>0</v>
      </c>
      <c r="AM1336" s="1283">
        <f t="shared" si="629"/>
        <v>0</v>
      </c>
      <c r="AN1336" s="1283">
        <f t="shared" si="629"/>
        <v>0</v>
      </c>
      <c r="AO1336" s="1283">
        <f t="shared" si="629"/>
        <v>0</v>
      </c>
      <c r="AP1336" s="1283">
        <f t="shared" si="629"/>
        <v>0</v>
      </c>
      <c r="AQ1336" s="1178">
        <f t="shared" si="629"/>
        <v>0</v>
      </c>
      <c r="AR1336" s="193"/>
      <c r="AS1336" s="1175" t="str">
        <f>AT272</f>
        <v>Semillas0</v>
      </c>
      <c r="AT1336" s="1673"/>
    </row>
    <row r="1337" spans="2:46" ht="13.75" hidden="1" customHeight="1" x14ac:dyDescent="0.2">
      <c r="B1337" s="1665"/>
      <c r="C1337" s="193"/>
      <c r="D1337" s="193"/>
      <c r="E1337" s="193"/>
      <c r="F1337" s="193"/>
      <c r="G1337" s="1175" t="s">
        <v>688</v>
      </c>
      <c r="H1337" s="1175"/>
      <c r="I1337" s="1179">
        <f t="shared" ref="I1337:T1337" si="630">SUMPRODUCT(I274:I276,$F$274:$F$276)</f>
        <v>0</v>
      </c>
      <c r="J1337" s="1283">
        <f t="shared" si="630"/>
        <v>0</v>
      </c>
      <c r="K1337" s="1283">
        <f t="shared" si="630"/>
        <v>0</v>
      </c>
      <c r="L1337" s="1283">
        <f t="shared" si="630"/>
        <v>0</v>
      </c>
      <c r="M1337" s="1283">
        <f t="shared" si="630"/>
        <v>0</v>
      </c>
      <c r="N1337" s="1283">
        <f t="shared" si="630"/>
        <v>0</v>
      </c>
      <c r="O1337" s="1283">
        <f t="shared" si="630"/>
        <v>0</v>
      </c>
      <c r="P1337" s="1283">
        <f t="shared" si="630"/>
        <v>0</v>
      </c>
      <c r="Q1337" s="1283">
        <f t="shared" si="630"/>
        <v>0</v>
      </c>
      <c r="R1337" s="1283">
        <f t="shared" si="630"/>
        <v>0</v>
      </c>
      <c r="S1337" s="1283">
        <f t="shared" si="630"/>
        <v>0</v>
      </c>
      <c r="T1337" s="1178">
        <f t="shared" si="630"/>
        <v>0</v>
      </c>
      <c r="U1337" s="193"/>
      <c r="V1337" s="1175" t="str">
        <f>W277</f>
        <v>Fertilizantes 0</v>
      </c>
      <c r="W1337" s="1673"/>
      <c r="Y1337" s="1665"/>
      <c r="Z1337" s="193"/>
      <c r="AA1337" s="193"/>
      <c r="AB1337" s="193"/>
      <c r="AC1337" s="193"/>
      <c r="AD1337" s="1175" t="s">
        <v>688</v>
      </c>
      <c r="AE1337" s="1175"/>
      <c r="AF1337" s="1179">
        <f t="shared" ref="AF1337:AQ1337" si="631">SUMPRODUCT(AF274:AF276,$AC$274:$AC$276)</f>
        <v>0</v>
      </c>
      <c r="AG1337" s="1283">
        <f t="shared" si="631"/>
        <v>0</v>
      </c>
      <c r="AH1337" s="1283">
        <f t="shared" si="631"/>
        <v>0</v>
      </c>
      <c r="AI1337" s="1283">
        <f t="shared" si="631"/>
        <v>0</v>
      </c>
      <c r="AJ1337" s="1283">
        <f t="shared" si="631"/>
        <v>0</v>
      </c>
      <c r="AK1337" s="1283">
        <f t="shared" si="631"/>
        <v>0</v>
      </c>
      <c r="AL1337" s="1283">
        <f t="shared" si="631"/>
        <v>0</v>
      </c>
      <c r="AM1337" s="1283">
        <f t="shared" si="631"/>
        <v>0</v>
      </c>
      <c r="AN1337" s="1283">
        <f t="shared" si="631"/>
        <v>0</v>
      </c>
      <c r="AO1337" s="1283">
        <f t="shared" si="631"/>
        <v>0</v>
      </c>
      <c r="AP1337" s="1283">
        <f t="shared" si="631"/>
        <v>0</v>
      </c>
      <c r="AQ1337" s="1178">
        <f t="shared" si="631"/>
        <v>0</v>
      </c>
      <c r="AR1337" s="193"/>
      <c r="AS1337" s="1175" t="str">
        <f>AT277</f>
        <v>Fertilizantes 0</v>
      </c>
      <c r="AT1337" s="1673"/>
    </row>
    <row r="1338" spans="2:46" ht="14.4" hidden="1" customHeight="1" thickBot="1" x14ac:dyDescent="0.25">
      <c r="B1338" s="1666"/>
      <c r="C1338" s="1199"/>
      <c r="D1338" s="1199"/>
      <c r="E1338" s="1199"/>
      <c r="F1338" s="1199"/>
      <c r="G1338" s="1672" t="s">
        <v>689</v>
      </c>
      <c r="H1338" s="1672"/>
      <c r="I1338" s="1654">
        <f t="shared" ref="I1338:T1338" si="632">SUMPRODUCT(I279:I281,$F$279:$F$281)</f>
        <v>0</v>
      </c>
      <c r="J1338" s="1590">
        <f t="shared" si="632"/>
        <v>0</v>
      </c>
      <c r="K1338" s="1590">
        <f t="shared" si="632"/>
        <v>0</v>
      </c>
      <c r="L1338" s="1590">
        <f t="shared" si="632"/>
        <v>0</v>
      </c>
      <c r="M1338" s="1590">
        <f t="shared" si="632"/>
        <v>0</v>
      </c>
      <c r="N1338" s="1590">
        <f t="shared" si="632"/>
        <v>0</v>
      </c>
      <c r="O1338" s="1590">
        <f t="shared" si="632"/>
        <v>0</v>
      </c>
      <c r="P1338" s="1590">
        <f t="shared" si="632"/>
        <v>0</v>
      </c>
      <c r="Q1338" s="1590">
        <f t="shared" si="632"/>
        <v>0</v>
      </c>
      <c r="R1338" s="1590">
        <f t="shared" si="632"/>
        <v>0</v>
      </c>
      <c r="S1338" s="1590">
        <f t="shared" si="632"/>
        <v>0</v>
      </c>
      <c r="T1338" s="1670">
        <f t="shared" si="632"/>
        <v>0</v>
      </c>
      <c r="U1338" s="1199"/>
      <c r="V1338" s="1672" t="str">
        <f>W282</f>
        <v>Agroquímicos 0</v>
      </c>
      <c r="W1338" s="1674"/>
      <c r="Y1338" s="1666"/>
      <c r="Z1338" s="1199"/>
      <c r="AA1338" s="1199"/>
      <c r="AB1338" s="1199"/>
      <c r="AC1338" s="1199"/>
      <c r="AD1338" s="1672" t="s">
        <v>689</v>
      </c>
      <c r="AE1338" s="1672"/>
      <c r="AF1338" s="1654">
        <f t="shared" ref="AF1338:AQ1338" si="633">SUMPRODUCT(AF279:AF281,$AC$279:$AC$281)</f>
        <v>0</v>
      </c>
      <c r="AG1338" s="1590">
        <f t="shared" si="633"/>
        <v>0</v>
      </c>
      <c r="AH1338" s="1590">
        <f t="shared" si="633"/>
        <v>0</v>
      </c>
      <c r="AI1338" s="1590">
        <f t="shared" si="633"/>
        <v>0</v>
      </c>
      <c r="AJ1338" s="1590">
        <f t="shared" si="633"/>
        <v>0</v>
      </c>
      <c r="AK1338" s="1590">
        <f t="shared" si="633"/>
        <v>0</v>
      </c>
      <c r="AL1338" s="1590">
        <f t="shared" si="633"/>
        <v>0</v>
      </c>
      <c r="AM1338" s="1590">
        <f t="shared" si="633"/>
        <v>0</v>
      </c>
      <c r="AN1338" s="1590">
        <f t="shared" si="633"/>
        <v>0</v>
      </c>
      <c r="AO1338" s="1590">
        <f t="shared" si="633"/>
        <v>0</v>
      </c>
      <c r="AP1338" s="1590">
        <f t="shared" si="633"/>
        <v>0</v>
      </c>
      <c r="AQ1338" s="1670">
        <f t="shared" si="633"/>
        <v>0</v>
      </c>
      <c r="AR1338" s="1199"/>
      <c r="AS1338" s="1672" t="str">
        <f>AT282</f>
        <v>Agroquímicos 0</v>
      </c>
      <c r="AT1338" s="1674"/>
    </row>
    <row r="1339" spans="2:46" ht="14.4" hidden="1" customHeight="1" thickTop="1" x14ac:dyDescent="0.2">
      <c r="B1339" s="1675">
        <f>C286</f>
        <v>0</v>
      </c>
      <c r="C1339" s="1194"/>
      <c r="D1339" s="1194"/>
      <c r="E1339" s="1194"/>
      <c r="F1339" s="1194"/>
      <c r="G1339" s="1671" t="s">
        <v>321</v>
      </c>
      <c r="H1339" s="1671"/>
      <c r="I1339" s="1667">
        <f t="shared" ref="I1339:T1339" si="634">SUMPRODUCT(I298:I302,$F$298:$F$302)</f>
        <v>0</v>
      </c>
      <c r="J1339" s="1668">
        <f t="shared" si="634"/>
        <v>0</v>
      </c>
      <c r="K1339" s="1668">
        <f t="shared" si="634"/>
        <v>0</v>
      </c>
      <c r="L1339" s="1668">
        <f t="shared" si="634"/>
        <v>0</v>
      </c>
      <c r="M1339" s="1668">
        <f t="shared" si="634"/>
        <v>0</v>
      </c>
      <c r="N1339" s="1668">
        <f t="shared" si="634"/>
        <v>0</v>
      </c>
      <c r="O1339" s="1668">
        <f t="shared" si="634"/>
        <v>0</v>
      </c>
      <c r="P1339" s="1668">
        <f t="shared" si="634"/>
        <v>0</v>
      </c>
      <c r="Q1339" s="1668">
        <f t="shared" si="634"/>
        <v>0</v>
      </c>
      <c r="R1339" s="1668">
        <f t="shared" si="634"/>
        <v>0</v>
      </c>
      <c r="S1339" s="1668">
        <f t="shared" si="634"/>
        <v>0</v>
      </c>
      <c r="T1339" s="1669">
        <f t="shared" si="634"/>
        <v>0</v>
      </c>
      <c r="U1339" s="1194"/>
      <c r="V1339" s="1671" t="str">
        <f>W303</f>
        <v>Labores con maquinaria contratada0</v>
      </c>
      <c r="W1339" s="1593"/>
      <c r="Y1339" s="1675">
        <f>Z286</f>
        <v>0</v>
      </c>
      <c r="Z1339" s="1194"/>
      <c r="AA1339" s="1194"/>
      <c r="AB1339" s="1194"/>
      <c r="AC1339" s="1194"/>
      <c r="AD1339" s="1671" t="s">
        <v>321</v>
      </c>
      <c r="AE1339" s="1671"/>
      <c r="AF1339" s="1667">
        <f t="shared" ref="AF1339:AQ1339" si="635">SUMPRODUCT(AF298:AF302,$AC$298:$AC$302)</f>
        <v>0</v>
      </c>
      <c r="AG1339" s="1668">
        <f t="shared" si="635"/>
        <v>0</v>
      </c>
      <c r="AH1339" s="1668">
        <f t="shared" si="635"/>
        <v>0</v>
      </c>
      <c r="AI1339" s="1668">
        <f t="shared" si="635"/>
        <v>0</v>
      </c>
      <c r="AJ1339" s="1668">
        <f t="shared" si="635"/>
        <v>0</v>
      </c>
      <c r="AK1339" s="1668">
        <f t="shared" si="635"/>
        <v>0</v>
      </c>
      <c r="AL1339" s="1668">
        <f t="shared" si="635"/>
        <v>0</v>
      </c>
      <c r="AM1339" s="1668">
        <f t="shared" si="635"/>
        <v>0</v>
      </c>
      <c r="AN1339" s="1668">
        <f t="shared" si="635"/>
        <v>0</v>
      </c>
      <c r="AO1339" s="1668">
        <f t="shared" si="635"/>
        <v>0</v>
      </c>
      <c r="AP1339" s="1668">
        <f t="shared" si="635"/>
        <v>0</v>
      </c>
      <c r="AQ1339" s="1669">
        <f t="shared" si="635"/>
        <v>0</v>
      </c>
      <c r="AR1339" s="1194"/>
      <c r="AS1339" s="1671" t="str">
        <f>AT303</f>
        <v>Labores con maquinaria contratada0</v>
      </c>
      <c r="AT1339" s="1593"/>
    </row>
    <row r="1340" spans="2:46" ht="13.75" hidden="1" customHeight="1" x14ac:dyDescent="0.2">
      <c r="B1340" s="1665"/>
      <c r="C1340" s="193"/>
      <c r="D1340" s="193"/>
      <c r="E1340" s="193"/>
      <c r="F1340" s="193"/>
      <c r="G1340" s="1175" t="s">
        <v>687</v>
      </c>
      <c r="H1340" s="1175"/>
      <c r="I1340" s="1179">
        <f t="shared" ref="I1340:T1340" si="636">SUMPRODUCT(I305:I312,$F$305:$F$312)</f>
        <v>0</v>
      </c>
      <c r="J1340" s="1283">
        <f t="shared" si="636"/>
        <v>0</v>
      </c>
      <c r="K1340" s="1283">
        <f t="shared" si="636"/>
        <v>0</v>
      </c>
      <c r="L1340" s="1283">
        <f t="shared" si="636"/>
        <v>0</v>
      </c>
      <c r="M1340" s="1283">
        <f t="shared" si="636"/>
        <v>0</v>
      </c>
      <c r="N1340" s="1283">
        <f t="shared" si="636"/>
        <v>0</v>
      </c>
      <c r="O1340" s="1283">
        <f t="shared" si="636"/>
        <v>0</v>
      </c>
      <c r="P1340" s="1283">
        <f t="shared" si="636"/>
        <v>0</v>
      </c>
      <c r="Q1340" s="1283">
        <f t="shared" si="636"/>
        <v>0</v>
      </c>
      <c r="R1340" s="1283">
        <f t="shared" si="636"/>
        <v>0</v>
      </c>
      <c r="S1340" s="1283">
        <f t="shared" si="636"/>
        <v>0</v>
      </c>
      <c r="T1340" s="1178">
        <f t="shared" si="636"/>
        <v>0</v>
      </c>
      <c r="U1340" s="193"/>
      <c r="V1340" s="1175" t="str">
        <f>W313</f>
        <v>Semillas0</v>
      </c>
      <c r="W1340" s="1673"/>
      <c r="Y1340" s="1665"/>
      <c r="Z1340" s="193"/>
      <c r="AA1340" s="193"/>
      <c r="AB1340" s="193"/>
      <c r="AC1340" s="193"/>
      <c r="AD1340" s="1175" t="s">
        <v>687</v>
      </c>
      <c r="AE1340" s="1175"/>
      <c r="AF1340" s="1179">
        <f t="shared" ref="AF1340:AQ1340" si="637">SUMPRODUCT(AF305:AF312,$AC$305:$AC$312)</f>
        <v>0</v>
      </c>
      <c r="AG1340" s="1283">
        <f t="shared" si="637"/>
        <v>0</v>
      </c>
      <c r="AH1340" s="1283">
        <f t="shared" si="637"/>
        <v>0</v>
      </c>
      <c r="AI1340" s="1283">
        <f t="shared" si="637"/>
        <v>0</v>
      </c>
      <c r="AJ1340" s="1283">
        <f t="shared" si="637"/>
        <v>0</v>
      </c>
      <c r="AK1340" s="1283">
        <f t="shared" si="637"/>
        <v>0</v>
      </c>
      <c r="AL1340" s="1283">
        <f t="shared" si="637"/>
        <v>0</v>
      </c>
      <c r="AM1340" s="1283">
        <f t="shared" si="637"/>
        <v>0</v>
      </c>
      <c r="AN1340" s="1283">
        <f t="shared" si="637"/>
        <v>0</v>
      </c>
      <c r="AO1340" s="1283">
        <f t="shared" si="637"/>
        <v>0</v>
      </c>
      <c r="AP1340" s="1283">
        <f t="shared" si="637"/>
        <v>0</v>
      </c>
      <c r="AQ1340" s="1178">
        <f t="shared" si="637"/>
        <v>0</v>
      </c>
      <c r="AR1340" s="193"/>
      <c r="AS1340" s="1175" t="str">
        <f>AT313</f>
        <v>Semillas0</v>
      </c>
      <c r="AT1340" s="1673"/>
    </row>
    <row r="1341" spans="2:46" ht="13.75" hidden="1" customHeight="1" x14ac:dyDescent="0.2">
      <c r="B1341" s="1665"/>
      <c r="C1341" s="193"/>
      <c r="D1341" s="193"/>
      <c r="E1341" s="193"/>
      <c r="F1341" s="193"/>
      <c r="G1341" s="1175" t="s">
        <v>688</v>
      </c>
      <c r="H1341" s="1175"/>
      <c r="I1341" s="1179">
        <f t="shared" ref="I1341:T1341" si="638">SUMPRODUCT(I315:I317,$F$315:$F$317)</f>
        <v>0</v>
      </c>
      <c r="J1341" s="1283">
        <f t="shared" si="638"/>
        <v>0</v>
      </c>
      <c r="K1341" s="1283">
        <f t="shared" si="638"/>
        <v>0</v>
      </c>
      <c r="L1341" s="1283">
        <f t="shared" si="638"/>
        <v>0</v>
      </c>
      <c r="M1341" s="1283">
        <f t="shared" si="638"/>
        <v>0</v>
      </c>
      <c r="N1341" s="1283">
        <f t="shared" si="638"/>
        <v>0</v>
      </c>
      <c r="O1341" s="1283">
        <f t="shared" si="638"/>
        <v>0</v>
      </c>
      <c r="P1341" s="1283">
        <f t="shared" si="638"/>
        <v>0</v>
      </c>
      <c r="Q1341" s="1283">
        <f t="shared" si="638"/>
        <v>0</v>
      </c>
      <c r="R1341" s="1283">
        <f t="shared" si="638"/>
        <v>0</v>
      </c>
      <c r="S1341" s="1283">
        <f t="shared" si="638"/>
        <v>0</v>
      </c>
      <c r="T1341" s="1178">
        <f t="shared" si="638"/>
        <v>0</v>
      </c>
      <c r="U1341" s="193"/>
      <c r="V1341" s="1175" t="str">
        <f>W318</f>
        <v>Fertilizantes 0</v>
      </c>
      <c r="W1341" s="1673"/>
      <c r="Y1341" s="1665"/>
      <c r="Z1341" s="193"/>
      <c r="AA1341" s="193"/>
      <c r="AB1341" s="193"/>
      <c r="AC1341" s="193"/>
      <c r="AD1341" s="1175" t="s">
        <v>688</v>
      </c>
      <c r="AE1341" s="1175"/>
      <c r="AF1341" s="1179">
        <f t="shared" ref="AF1341:AQ1341" si="639">SUMPRODUCT(AF315:AF317,$AC$315:$AC$317)</f>
        <v>0</v>
      </c>
      <c r="AG1341" s="1283">
        <f t="shared" si="639"/>
        <v>0</v>
      </c>
      <c r="AH1341" s="1283">
        <f t="shared" si="639"/>
        <v>0</v>
      </c>
      <c r="AI1341" s="1283">
        <f t="shared" si="639"/>
        <v>0</v>
      </c>
      <c r="AJ1341" s="1283">
        <f t="shared" si="639"/>
        <v>0</v>
      </c>
      <c r="AK1341" s="1283">
        <f t="shared" si="639"/>
        <v>0</v>
      </c>
      <c r="AL1341" s="1283">
        <f t="shared" si="639"/>
        <v>0</v>
      </c>
      <c r="AM1341" s="1283">
        <f t="shared" si="639"/>
        <v>0</v>
      </c>
      <c r="AN1341" s="1283">
        <f t="shared" si="639"/>
        <v>0</v>
      </c>
      <c r="AO1341" s="1283">
        <f t="shared" si="639"/>
        <v>0</v>
      </c>
      <c r="AP1341" s="1283">
        <f t="shared" si="639"/>
        <v>0</v>
      </c>
      <c r="AQ1341" s="1178">
        <f t="shared" si="639"/>
        <v>0</v>
      </c>
      <c r="AR1341" s="193"/>
      <c r="AS1341" s="1175" t="str">
        <f>AT318</f>
        <v>Fertilizantes 0</v>
      </c>
      <c r="AT1341" s="1673"/>
    </row>
    <row r="1342" spans="2:46" ht="14.4" hidden="1" customHeight="1" thickBot="1" x14ac:dyDescent="0.25">
      <c r="B1342" s="1666"/>
      <c r="C1342" s="1199"/>
      <c r="D1342" s="1199"/>
      <c r="E1342" s="1199"/>
      <c r="F1342" s="1199"/>
      <c r="G1342" s="1672" t="s">
        <v>689</v>
      </c>
      <c r="H1342" s="1672"/>
      <c r="I1342" s="1654">
        <f t="shared" ref="I1342:T1342" si="640">SUMPRODUCT(I320:I322,$F$320:$F$322)</f>
        <v>0</v>
      </c>
      <c r="J1342" s="1590">
        <f t="shared" si="640"/>
        <v>0</v>
      </c>
      <c r="K1342" s="1590">
        <f t="shared" si="640"/>
        <v>0</v>
      </c>
      <c r="L1342" s="1590">
        <f t="shared" si="640"/>
        <v>0</v>
      </c>
      <c r="M1342" s="1590">
        <f t="shared" si="640"/>
        <v>0</v>
      </c>
      <c r="N1342" s="1590">
        <f t="shared" si="640"/>
        <v>0</v>
      </c>
      <c r="O1342" s="1590">
        <f t="shared" si="640"/>
        <v>0</v>
      </c>
      <c r="P1342" s="1590">
        <f t="shared" si="640"/>
        <v>0</v>
      </c>
      <c r="Q1342" s="1590">
        <f t="shared" si="640"/>
        <v>0</v>
      </c>
      <c r="R1342" s="1590">
        <f t="shared" si="640"/>
        <v>0</v>
      </c>
      <c r="S1342" s="1590">
        <f t="shared" si="640"/>
        <v>0</v>
      </c>
      <c r="T1342" s="1670">
        <f t="shared" si="640"/>
        <v>0</v>
      </c>
      <c r="U1342" s="1199"/>
      <c r="V1342" s="1672" t="str">
        <f>W323</f>
        <v>Agroquímicos 0</v>
      </c>
      <c r="W1342" s="1674"/>
      <c r="Y1342" s="1666"/>
      <c r="Z1342" s="1199"/>
      <c r="AA1342" s="1199"/>
      <c r="AB1342" s="1199"/>
      <c r="AC1342" s="1199"/>
      <c r="AD1342" s="1672" t="s">
        <v>689</v>
      </c>
      <c r="AE1342" s="1672"/>
      <c r="AF1342" s="1654">
        <f t="shared" ref="AF1342:AQ1342" si="641">SUMPRODUCT(AF320:AF322,$AC$320:$AC$322)</f>
        <v>0</v>
      </c>
      <c r="AG1342" s="1590">
        <f t="shared" si="641"/>
        <v>0</v>
      </c>
      <c r="AH1342" s="1590">
        <f t="shared" si="641"/>
        <v>0</v>
      </c>
      <c r="AI1342" s="1590">
        <f t="shared" si="641"/>
        <v>0</v>
      </c>
      <c r="AJ1342" s="1590">
        <f t="shared" si="641"/>
        <v>0</v>
      </c>
      <c r="AK1342" s="1590">
        <f t="shared" si="641"/>
        <v>0</v>
      </c>
      <c r="AL1342" s="1590">
        <f t="shared" si="641"/>
        <v>0</v>
      </c>
      <c r="AM1342" s="1590">
        <f t="shared" si="641"/>
        <v>0</v>
      </c>
      <c r="AN1342" s="1590">
        <f t="shared" si="641"/>
        <v>0</v>
      </c>
      <c r="AO1342" s="1590">
        <f t="shared" si="641"/>
        <v>0</v>
      </c>
      <c r="AP1342" s="1590">
        <f t="shared" si="641"/>
        <v>0</v>
      </c>
      <c r="AQ1342" s="1670">
        <f t="shared" si="641"/>
        <v>0</v>
      </c>
      <c r="AR1342" s="1199"/>
      <c r="AS1342" s="1672" t="str">
        <f>AT323</f>
        <v>Agroquímicos 0</v>
      </c>
      <c r="AT1342" s="1674"/>
    </row>
    <row r="1343" spans="2:46" ht="14.4" hidden="1" customHeight="1" thickTop="1" x14ac:dyDescent="0.2">
      <c r="B1343" s="1675">
        <f>C327</f>
        <v>0</v>
      </c>
      <c r="C1343" s="1194"/>
      <c r="D1343" s="1194"/>
      <c r="E1343" s="1194"/>
      <c r="F1343" s="1194"/>
      <c r="G1343" s="1671" t="s">
        <v>321</v>
      </c>
      <c r="H1343" s="1671"/>
      <c r="I1343" s="1667">
        <f t="shared" ref="I1343:T1343" si="642">SUMPRODUCT(I339:I343,$F$339:$F$343)</f>
        <v>0</v>
      </c>
      <c r="J1343" s="1668">
        <f t="shared" si="642"/>
        <v>0</v>
      </c>
      <c r="K1343" s="1668">
        <f t="shared" si="642"/>
        <v>0</v>
      </c>
      <c r="L1343" s="1668">
        <f t="shared" si="642"/>
        <v>0</v>
      </c>
      <c r="M1343" s="1668">
        <f t="shared" si="642"/>
        <v>0</v>
      </c>
      <c r="N1343" s="1668">
        <f t="shared" si="642"/>
        <v>0</v>
      </c>
      <c r="O1343" s="1668">
        <f t="shared" si="642"/>
        <v>0</v>
      </c>
      <c r="P1343" s="1668">
        <f t="shared" si="642"/>
        <v>0</v>
      </c>
      <c r="Q1343" s="1668">
        <f t="shared" si="642"/>
        <v>0</v>
      </c>
      <c r="R1343" s="1668">
        <f t="shared" si="642"/>
        <v>0</v>
      </c>
      <c r="S1343" s="1668">
        <f t="shared" si="642"/>
        <v>0</v>
      </c>
      <c r="T1343" s="1669">
        <f t="shared" si="642"/>
        <v>0</v>
      </c>
      <c r="U1343" s="1194"/>
      <c r="V1343" s="1671" t="str">
        <f>W344</f>
        <v>Labores con maquinaria contratada0</v>
      </c>
      <c r="W1343" s="1593"/>
      <c r="Y1343" s="1675">
        <f>Z327</f>
        <v>0</v>
      </c>
      <c r="Z1343" s="1194"/>
      <c r="AA1343" s="1194"/>
      <c r="AB1343" s="1194"/>
      <c r="AC1343" s="1194"/>
      <c r="AD1343" s="1671" t="s">
        <v>321</v>
      </c>
      <c r="AE1343" s="1671"/>
      <c r="AF1343" s="1667">
        <f t="shared" ref="AF1343:AQ1343" si="643">SUMPRODUCT(AF339:AF343,$AC$339:$AC$343)</f>
        <v>0</v>
      </c>
      <c r="AG1343" s="1668">
        <f t="shared" si="643"/>
        <v>0</v>
      </c>
      <c r="AH1343" s="1668">
        <f t="shared" si="643"/>
        <v>0</v>
      </c>
      <c r="AI1343" s="1668">
        <f t="shared" si="643"/>
        <v>0</v>
      </c>
      <c r="AJ1343" s="1668">
        <f t="shared" si="643"/>
        <v>0</v>
      </c>
      <c r="AK1343" s="1668">
        <f t="shared" si="643"/>
        <v>0</v>
      </c>
      <c r="AL1343" s="1668">
        <f t="shared" si="643"/>
        <v>0</v>
      </c>
      <c r="AM1343" s="1668">
        <f t="shared" si="643"/>
        <v>0</v>
      </c>
      <c r="AN1343" s="1668">
        <f t="shared" si="643"/>
        <v>0</v>
      </c>
      <c r="AO1343" s="1668">
        <f t="shared" si="643"/>
        <v>0</v>
      </c>
      <c r="AP1343" s="1668">
        <f t="shared" si="643"/>
        <v>0</v>
      </c>
      <c r="AQ1343" s="1669">
        <f t="shared" si="643"/>
        <v>0</v>
      </c>
      <c r="AR1343" s="1194"/>
      <c r="AS1343" s="1671" t="str">
        <f>AT344</f>
        <v>Labores con maquinaria contratada0</v>
      </c>
      <c r="AT1343" s="1593"/>
    </row>
    <row r="1344" spans="2:46" ht="13.75" hidden="1" customHeight="1" x14ac:dyDescent="0.2">
      <c r="B1344" s="1665"/>
      <c r="C1344" s="193"/>
      <c r="D1344" s="193"/>
      <c r="E1344" s="193"/>
      <c r="F1344" s="193"/>
      <c r="G1344" s="1175" t="s">
        <v>687</v>
      </c>
      <c r="H1344" s="1175"/>
      <c r="I1344" s="1179">
        <f t="shared" ref="I1344:T1344" si="644">SUMPRODUCT(I346:I353,$F$346:$F$353)</f>
        <v>0</v>
      </c>
      <c r="J1344" s="1283">
        <f t="shared" si="644"/>
        <v>0</v>
      </c>
      <c r="K1344" s="1283">
        <f t="shared" si="644"/>
        <v>0</v>
      </c>
      <c r="L1344" s="1283">
        <f t="shared" si="644"/>
        <v>0</v>
      </c>
      <c r="M1344" s="1283">
        <f t="shared" si="644"/>
        <v>0</v>
      </c>
      <c r="N1344" s="1283">
        <f t="shared" si="644"/>
        <v>0</v>
      </c>
      <c r="O1344" s="1283">
        <f t="shared" si="644"/>
        <v>0</v>
      </c>
      <c r="P1344" s="1283">
        <f t="shared" si="644"/>
        <v>0</v>
      </c>
      <c r="Q1344" s="1283">
        <f t="shared" si="644"/>
        <v>0</v>
      </c>
      <c r="R1344" s="1283">
        <f t="shared" si="644"/>
        <v>0</v>
      </c>
      <c r="S1344" s="1283">
        <f t="shared" si="644"/>
        <v>0</v>
      </c>
      <c r="T1344" s="1178">
        <f t="shared" si="644"/>
        <v>0</v>
      </c>
      <c r="U1344" s="193"/>
      <c r="V1344" s="1175" t="str">
        <f>W354</f>
        <v>Semillas0</v>
      </c>
      <c r="W1344" s="1673"/>
      <c r="Y1344" s="1665"/>
      <c r="Z1344" s="193"/>
      <c r="AA1344" s="193"/>
      <c r="AB1344" s="193"/>
      <c r="AC1344" s="193"/>
      <c r="AD1344" s="1175" t="s">
        <v>687</v>
      </c>
      <c r="AE1344" s="1175"/>
      <c r="AF1344" s="1179">
        <f t="shared" ref="AF1344:AQ1344" si="645">SUMPRODUCT(AF346:AF353,$AC$346:$AC$353)</f>
        <v>0</v>
      </c>
      <c r="AG1344" s="1283">
        <f t="shared" si="645"/>
        <v>0</v>
      </c>
      <c r="AH1344" s="1283">
        <f t="shared" si="645"/>
        <v>0</v>
      </c>
      <c r="AI1344" s="1283">
        <f t="shared" si="645"/>
        <v>0</v>
      </c>
      <c r="AJ1344" s="1283">
        <f t="shared" si="645"/>
        <v>0</v>
      </c>
      <c r="AK1344" s="1283">
        <f t="shared" si="645"/>
        <v>0</v>
      </c>
      <c r="AL1344" s="1283">
        <f t="shared" si="645"/>
        <v>0</v>
      </c>
      <c r="AM1344" s="1283">
        <f t="shared" si="645"/>
        <v>0</v>
      </c>
      <c r="AN1344" s="1283">
        <f t="shared" si="645"/>
        <v>0</v>
      </c>
      <c r="AO1344" s="1283">
        <f t="shared" si="645"/>
        <v>0</v>
      </c>
      <c r="AP1344" s="1283">
        <f t="shared" si="645"/>
        <v>0</v>
      </c>
      <c r="AQ1344" s="1178">
        <f t="shared" si="645"/>
        <v>0</v>
      </c>
      <c r="AR1344" s="193"/>
      <c r="AS1344" s="1175" t="str">
        <f>AT354</f>
        <v>Semillas0</v>
      </c>
      <c r="AT1344" s="1673"/>
    </row>
    <row r="1345" spans="2:46" ht="13.75" hidden="1" customHeight="1" x14ac:dyDescent="0.2">
      <c r="B1345" s="1665"/>
      <c r="C1345" s="193"/>
      <c r="D1345" s="193"/>
      <c r="E1345" s="193"/>
      <c r="F1345" s="193"/>
      <c r="G1345" s="1175" t="s">
        <v>688</v>
      </c>
      <c r="H1345" s="1175"/>
      <c r="I1345" s="1179">
        <f t="shared" ref="I1345:T1345" si="646">SUMPRODUCT(I356:I358,$F$356:$F$358)</f>
        <v>0</v>
      </c>
      <c r="J1345" s="1283">
        <f t="shared" si="646"/>
        <v>0</v>
      </c>
      <c r="K1345" s="1283">
        <f t="shared" si="646"/>
        <v>0</v>
      </c>
      <c r="L1345" s="1283">
        <f t="shared" si="646"/>
        <v>0</v>
      </c>
      <c r="M1345" s="1283">
        <f t="shared" si="646"/>
        <v>0</v>
      </c>
      <c r="N1345" s="1283">
        <f t="shared" si="646"/>
        <v>0</v>
      </c>
      <c r="O1345" s="1283">
        <f t="shared" si="646"/>
        <v>0</v>
      </c>
      <c r="P1345" s="1283">
        <f t="shared" si="646"/>
        <v>0</v>
      </c>
      <c r="Q1345" s="1283">
        <f t="shared" si="646"/>
        <v>0</v>
      </c>
      <c r="R1345" s="1283">
        <f t="shared" si="646"/>
        <v>0</v>
      </c>
      <c r="S1345" s="1283">
        <f t="shared" si="646"/>
        <v>0</v>
      </c>
      <c r="T1345" s="1178">
        <f t="shared" si="646"/>
        <v>0</v>
      </c>
      <c r="U1345" s="193"/>
      <c r="V1345" s="1175" t="str">
        <f>W359</f>
        <v>Fertilizantes 0</v>
      </c>
      <c r="W1345" s="1673"/>
      <c r="Y1345" s="1665"/>
      <c r="Z1345" s="193"/>
      <c r="AA1345" s="193"/>
      <c r="AB1345" s="193"/>
      <c r="AC1345" s="193"/>
      <c r="AD1345" s="1175" t="s">
        <v>688</v>
      </c>
      <c r="AE1345" s="1175"/>
      <c r="AF1345" s="1179">
        <f t="shared" ref="AF1345:AQ1345" si="647">SUMPRODUCT(AF356:AF358,$AC$356:$AC$358)</f>
        <v>0</v>
      </c>
      <c r="AG1345" s="1283">
        <f t="shared" si="647"/>
        <v>0</v>
      </c>
      <c r="AH1345" s="1283">
        <f t="shared" si="647"/>
        <v>0</v>
      </c>
      <c r="AI1345" s="1283">
        <f t="shared" si="647"/>
        <v>0</v>
      </c>
      <c r="AJ1345" s="1283">
        <f t="shared" si="647"/>
        <v>0</v>
      </c>
      <c r="AK1345" s="1283">
        <f t="shared" si="647"/>
        <v>0</v>
      </c>
      <c r="AL1345" s="1283">
        <f t="shared" si="647"/>
        <v>0</v>
      </c>
      <c r="AM1345" s="1283">
        <f t="shared" si="647"/>
        <v>0</v>
      </c>
      <c r="AN1345" s="1283">
        <f t="shared" si="647"/>
        <v>0</v>
      </c>
      <c r="AO1345" s="1283">
        <f t="shared" si="647"/>
        <v>0</v>
      </c>
      <c r="AP1345" s="1283">
        <f t="shared" si="647"/>
        <v>0</v>
      </c>
      <c r="AQ1345" s="1178">
        <f t="shared" si="647"/>
        <v>0</v>
      </c>
      <c r="AR1345" s="193"/>
      <c r="AS1345" s="1175" t="str">
        <f>AT359</f>
        <v>Fertilizantes 0</v>
      </c>
      <c r="AT1345" s="1673"/>
    </row>
    <row r="1346" spans="2:46" ht="14.4" hidden="1" customHeight="1" thickBot="1" x14ac:dyDescent="0.25">
      <c r="B1346" s="1666"/>
      <c r="C1346" s="1199"/>
      <c r="D1346" s="1199"/>
      <c r="E1346" s="1199"/>
      <c r="F1346" s="1199"/>
      <c r="G1346" s="1672" t="s">
        <v>689</v>
      </c>
      <c r="H1346" s="1672"/>
      <c r="I1346" s="1654">
        <f t="shared" ref="I1346:T1346" si="648">SUMPRODUCT(I361:I363,$F$361:$F$363)</f>
        <v>0</v>
      </c>
      <c r="J1346" s="1590">
        <f t="shared" si="648"/>
        <v>0</v>
      </c>
      <c r="K1346" s="1590">
        <f t="shared" si="648"/>
        <v>0</v>
      </c>
      <c r="L1346" s="1590">
        <f t="shared" si="648"/>
        <v>0</v>
      </c>
      <c r="M1346" s="1590">
        <f t="shared" si="648"/>
        <v>0</v>
      </c>
      <c r="N1346" s="1590">
        <f t="shared" si="648"/>
        <v>0</v>
      </c>
      <c r="O1346" s="1590">
        <f t="shared" si="648"/>
        <v>0</v>
      </c>
      <c r="P1346" s="1590">
        <f t="shared" si="648"/>
        <v>0</v>
      </c>
      <c r="Q1346" s="1590">
        <f t="shared" si="648"/>
        <v>0</v>
      </c>
      <c r="R1346" s="1590">
        <f t="shared" si="648"/>
        <v>0</v>
      </c>
      <c r="S1346" s="1590">
        <f t="shared" si="648"/>
        <v>0</v>
      </c>
      <c r="T1346" s="1670">
        <f t="shared" si="648"/>
        <v>0</v>
      </c>
      <c r="U1346" s="1199"/>
      <c r="V1346" s="1672" t="str">
        <f>W364</f>
        <v>Agroquímicos 0</v>
      </c>
      <c r="W1346" s="1674"/>
      <c r="Y1346" s="1666"/>
      <c r="Z1346" s="1199"/>
      <c r="AA1346" s="1199"/>
      <c r="AB1346" s="1199"/>
      <c r="AC1346" s="1199"/>
      <c r="AD1346" s="1672" t="s">
        <v>689</v>
      </c>
      <c r="AE1346" s="1672"/>
      <c r="AF1346" s="1654">
        <f t="shared" ref="AF1346:AQ1346" si="649">SUMPRODUCT(AF361:AF363,$AC$361:$AC$363)</f>
        <v>0</v>
      </c>
      <c r="AG1346" s="1590">
        <f t="shared" si="649"/>
        <v>0</v>
      </c>
      <c r="AH1346" s="1590">
        <f t="shared" si="649"/>
        <v>0</v>
      </c>
      <c r="AI1346" s="1590">
        <f t="shared" si="649"/>
        <v>0</v>
      </c>
      <c r="AJ1346" s="1590">
        <f t="shared" si="649"/>
        <v>0</v>
      </c>
      <c r="AK1346" s="1590">
        <f t="shared" si="649"/>
        <v>0</v>
      </c>
      <c r="AL1346" s="1590">
        <f t="shared" si="649"/>
        <v>0</v>
      </c>
      <c r="AM1346" s="1590">
        <f t="shared" si="649"/>
        <v>0</v>
      </c>
      <c r="AN1346" s="1590">
        <f t="shared" si="649"/>
        <v>0</v>
      </c>
      <c r="AO1346" s="1590">
        <f t="shared" si="649"/>
        <v>0</v>
      </c>
      <c r="AP1346" s="1590">
        <f t="shared" si="649"/>
        <v>0</v>
      </c>
      <c r="AQ1346" s="1670">
        <f t="shared" si="649"/>
        <v>0</v>
      </c>
      <c r="AR1346" s="1199"/>
      <c r="AS1346" s="1672" t="str">
        <f>AT364</f>
        <v>Agroquímicos 0</v>
      </c>
      <c r="AT1346" s="1674"/>
    </row>
    <row r="1347" spans="2:46" ht="14.4" hidden="1" customHeight="1" thickTop="1" x14ac:dyDescent="0.2">
      <c r="B1347" s="1675">
        <f>C368</f>
        <v>0</v>
      </c>
      <c r="C1347" s="1194"/>
      <c r="D1347" s="1194"/>
      <c r="E1347" s="1194"/>
      <c r="F1347" s="1194"/>
      <c r="G1347" s="1671" t="s">
        <v>321</v>
      </c>
      <c r="H1347" s="1671"/>
      <c r="I1347" s="1667">
        <f t="shared" ref="I1347:T1347" si="650">SUMPRODUCT(I380:I384,$F$380:$F$384)</f>
        <v>0</v>
      </c>
      <c r="J1347" s="1668">
        <f t="shared" si="650"/>
        <v>0</v>
      </c>
      <c r="K1347" s="1668">
        <f t="shared" si="650"/>
        <v>0</v>
      </c>
      <c r="L1347" s="1668">
        <f t="shared" si="650"/>
        <v>0</v>
      </c>
      <c r="M1347" s="1668">
        <f t="shared" si="650"/>
        <v>0</v>
      </c>
      <c r="N1347" s="1668">
        <f t="shared" si="650"/>
        <v>0</v>
      </c>
      <c r="O1347" s="1668">
        <f t="shared" si="650"/>
        <v>0</v>
      </c>
      <c r="P1347" s="1668">
        <f t="shared" si="650"/>
        <v>0</v>
      </c>
      <c r="Q1347" s="1668">
        <f t="shared" si="650"/>
        <v>0</v>
      </c>
      <c r="R1347" s="1668">
        <f t="shared" si="650"/>
        <v>0</v>
      </c>
      <c r="S1347" s="1668">
        <f t="shared" si="650"/>
        <v>0</v>
      </c>
      <c r="T1347" s="1669">
        <f t="shared" si="650"/>
        <v>0</v>
      </c>
      <c r="U1347" s="1194"/>
      <c r="V1347" s="1671" t="str">
        <f>W385</f>
        <v>Labores con maquinaria contratada0</v>
      </c>
      <c r="W1347" s="1593"/>
      <c r="Y1347" s="1675">
        <f>Z368</f>
        <v>0</v>
      </c>
      <c r="Z1347" s="1194"/>
      <c r="AA1347" s="1194"/>
      <c r="AB1347" s="1194"/>
      <c r="AC1347" s="1194"/>
      <c r="AD1347" s="1671" t="s">
        <v>321</v>
      </c>
      <c r="AE1347" s="1671"/>
      <c r="AF1347" s="1667">
        <f t="shared" ref="AF1347:AQ1347" si="651">SUMPRODUCT(AF380:AF384,$AC$380:$AC$384)</f>
        <v>0</v>
      </c>
      <c r="AG1347" s="1668">
        <f t="shared" si="651"/>
        <v>0</v>
      </c>
      <c r="AH1347" s="1668">
        <f t="shared" si="651"/>
        <v>0</v>
      </c>
      <c r="AI1347" s="1668">
        <f t="shared" si="651"/>
        <v>0</v>
      </c>
      <c r="AJ1347" s="1668">
        <f t="shared" si="651"/>
        <v>0</v>
      </c>
      <c r="AK1347" s="1668">
        <f t="shared" si="651"/>
        <v>0</v>
      </c>
      <c r="AL1347" s="1668">
        <f t="shared" si="651"/>
        <v>0</v>
      </c>
      <c r="AM1347" s="1668">
        <f t="shared" si="651"/>
        <v>0</v>
      </c>
      <c r="AN1347" s="1668">
        <f t="shared" si="651"/>
        <v>0</v>
      </c>
      <c r="AO1347" s="1668">
        <f t="shared" si="651"/>
        <v>0</v>
      </c>
      <c r="AP1347" s="1668">
        <f t="shared" si="651"/>
        <v>0</v>
      </c>
      <c r="AQ1347" s="1669">
        <f t="shared" si="651"/>
        <v>0</v>
      </c>
      <c r="AR1347" s="1194"/>
      <c r="AS1347" s="1671" t="str">
        <f>AT385</f>
        <v>Labores con maquinaria contratada0</v>
      </c>
      <c r="AT1347" s="1593"/>
    </row>
    <row r="1348" spans="2:46" ht="13.75" hidden="1" customHeight="1" x14ac:dyDescent="0.2">
      <c r="B1348" s="1665"/>
      <c r="C1348" s="193"/>
      <c r="D1348" s="193"/>
      <c r="E1348" s="193"/>
      <c r="F1348" s="193"/>
      <c r="G1348" s="1175" t="s">
        <v>687</v>
      </c>
      <c r="H1348" s="1175"/>
      <c r="I1348" s="1179">
        <f t="shared" ref="I1348:T1348" si="652">SUMPRODUCT(I387:I394,$F$387:$F$394)</f>
        <v>0</v>
      </c>
      <c r="J1348" s="1283">
        <f t="shared" si="652"/>
        <v>0</v>
      </c>
      <c r="K1348" s="1283">
        <f t="shared" si="652"/>
        <v>0</v>
      </c>
      <c r="L1348" s="1283">
        <f t="shared" si="652"/>
        <v>0</v>
      </c>
      <c r="M1348" s="1283">
        <f t="shared" si="652"/>
        <v>0</v>
      </c>
      <c r="N1348" s="1283">
        <f t="shared" si="652"/>
        <v>0</v>
      </c>
      <c r="O1348" s="1283">
        <f t="shared" si="652"/>
        <v>0</v>
      </c>
      <c r="P1348" s="1283">
        <f t="shared" si="652"/>
        <v>0</v>
      </c>
      <c r="Q1348" s="1283">
        <f t="shared" si="652"/>
        <v>0</v>
      </c>
      <c r="R1348" s="1283">
        <f t="shared" si="652"/>
        <v>0</v>
      </c>
      <c r="S1348" s="1283">
        <f t="shared" si="652"/>
        <v>0</v>
      </c>
      <c r="T1348" s="1178">
        <f t="shared" si="652"/>
        <v>0</v>
      </c>
      <c r="U1348" s="193"/>
      <c r="V1348" s="1175" t="str">
        <f>W395</f>
        <v>Semillas0</v>
      </c>
      <c r="W1348" s="1673"/>
      <c r="Y1348" s="1665"/>
      <c r="Z1348" s="193"/>
      <c r="AA1348" s="193"/>
      <c r="AB1348" s="193"/>
      <c r="AC1348" s="193"/>
      <c r="AD1348" s="1175" t="s">
        <v>687</v>
      </c>
      <c r="AE1348" s="1175"/>
      <c r="AF1348" s="1179">
        <f t="shared" ref="AF1348:AQ1348" si="653">SUMPRODUCT(AF387:AF394,$AC$387:$AC$394)</f>
        <v>0</v>
      </c>
      <c r="AG1348" s="1283">
        <f t="shared" si="653"/>
        <v>0</v>
      </c>
      <c r="AH1348" s="1283">
        <f t="shared" si="653"/>
        <v>0</v>
      </c>
      <c r="AI1348" s="1283">
        <f t="shared" si="653"/>
        <v>0</v>
      </c>
      <c r="AJ1348" s="1283">
        <f t="shared" si="653"/>
        <v>0</v>
      </c>
      <c r="AK1348" s="1283">
        <f t="shared" si="653"/>
        <v>0</v>
      </c>
      <c r="AL1348" s="1283">
        <f t="shared" si="653"/>
        <v>0</v>
      </c>
      <c r="AM1348" s="1283">
        <f t="shared" si="653"/>
        <v>0</v>
      </c>
      <c r="AN1348" s="1283">
        <f t="shared" si="653"/>
        <v>0</v>
      </c>
      <c r="AO1348" s="1283">
        <f t="shared" si="653"/>
        <v>0</v>
      </c>
      <c r="AP1348" s="1283">
        <f t="shared" si="653"/>
        <v>0</v>
      </c>
      <c r="AQ1348" s="1178">
        <f t="shared" si="653"/>
        <v>0</v>
      </c>
      <c r="AR1348" s="193"/>
      <c r="AS1348" s="1175" t="str">
        <f>AT395</f>
        <v>Semillas0</v>
      </c>
      <c r="AT1348" s="1673"/>
    </row>
    <row r="1349" spans="2:46" ht="13.75" hidden="1" customHeight="1" x14ac:dyDescent="0.2">
      <c r="B1349" s="1665"/>
      <c r="C1349" s="193"/>
      <c r="D1349" s="193"/>
      <c r="E1349" s="193"/>
      <c r="F1349" s="193"/>
      <c r="G1349" s="1175" t="s">
        <v>688</v>
      </c>
      <c r="H1349" s="1175"/>
      <c r="I1349" s="1179">
        <f t="shared" ref="I1349:T1349" si="654">SUMPRODUCT(I397:I399,$F$397:$F$399)</f>
        <v>0</v>
      </c>
      <c r="J1349" s="1283">
        <f t="shared" si="654"/>
        <v>0</v>
      </c>
      <c r="K1349" s="1283">
        <f t="shared" si="654"/>
        <v>0</v>
      </c>
      <c r="L1349" s="1283">
        <f t="shared" si="654"/>
        <v>0</v>
      </c>
      <c r="M1349" s="1283">
        <f t="shared" si="654"/>
        <v>0</v>
      </c>
      <c r="N1349" s="1283">
        <f t="shared" si="654"/>
        <v>0</v>
      </c>
      <c r="O1349" s="1283">
        <f t="shared" si="654"/>
        <v>0</v>
      </c>
      <c r="P1349" s="1283">
        <f t="shared" si="654"/>
        <v>0</v>
      </c>
      <c r="Q1349" s="1283">
        <f t="shared" si="654"/>
        <v>0</v>
      </c>
      <c r="R1349" s="1283">
        <f t="shared" si="654"/>
        <v>0</v>
      </c>
      <c r="S1349" s="1283">
        <f t="shared" si="654"/>
        <v>0</v>
      </c>
      <c r="T1349" s="1178">
        <f t="shared" si="654"/>
        <v>0</v>
      </c>
      <c r="U1349" s="193"/>
      <c r="V1349" s="1175" t="str">
        <f>W400</f>
        <v>Fertilizantes 0</v>
      </c>
      <c r="W1349" s="1673"/>
      <c r="Y1349" s="1665"/>
      <c r="Z1349" s="193"/>
      <c r="AA1349" s="193"/>
      <c r="AB1349" s="193"/>
      <c r="AC1349" s="193"/>
      <c r="AD1349" s="1175" t="s">
        <v>688</v>
      </c>
      <c r="AE1349" s="1175"/>
      <c r="AF1349" s="1179">
        <f t="shared" ref="AF1349:AQ1349" si="655">SUMPRODUCT(AF397:AF399,$AC$397:$AC$399)</f>
        <v>0</v>
      </c>
      <c r="AG1349" s="1283">
        <f t="shared" si="655"/>
        <v>0</v>
      </c>
      <c r="AH1349" s="1283">
        <f t="shared" si="655"/>
        <v>0</v>
      </c>
      <c r="AI1349" s="1283">
        <f t="shared" si="655"/>
        <v>0</v>
      </c>
      <c r="AJ1349" s="1283">
        <f t="shared" si="655"/>
        <v>0</v>
      </c>
      <c r="AK1349" s="1283">
        <f t="shared" si="655"/>
        <v>0</v>
      </c>
      <c r="AL1349" s="1283">
        <f t="shared" si="655"/>
        <v>0</v>
      </c>
      <c r="AM1349" s="1283">
        <f t="shared" si="655"/>
        <v>0</v>
      </c>
      <c r="AN1349" s="1283">
        <f t="shared" si="655"/>
        <v>0</v>
      </c>
      <c r="AO1349" s="1283">
        <f t="shared" si="655"/>
        <v>0</v>
      </c>
      <c r="AP1349" s="1283">
        <f t="shared" si="655"/>
        <v>0</v>
      </c>
      <c r="AQ1349" s="1178">
        <f t="shared" si="655"/>
        <v>0</v>
      </c>
      <c r="AR1349" s="193"/>
      <c r="AS1349" s="1175" t="str">
        <f>AT400</f>
        <v>Fertilizantes 0</v>
      </c>
      <c r="AT1349" s="1673"/>
    </row>
    <row r="1350" spans="2:46" ht="14.4" hidden="1" customHeight="1" thickBot="1" x14ac:dyDescent="0.25">
      <c r="B1350" s="1666"/>
      <c r="C1350" s="1199"/>
      <c r="D1350" s="1199"/>
      <c r="E1350" s="1199"/>
      <c r="F1350" s="1199"/>
      <c r="G1350" s="1672" t="s">
        <v>689</v>
      </c>
      <c r="H1350" s="1672"/>
      <c r="I1350" s="1654">
        <f t="shared" ref="I1350:T1350" si="656">SUMPRODUCT(I402:I404,$F$402:$F$404)</f>
        <v>0</v>
      </c>
      <c r="J1350" s="1590">
        <f t="shared" si="656"/>
        <v>0</v>
      </c>
      <c r="K1350" s="1590">
        <f t="shared" si="656"/>
        <v>0</v>
      </c>
      <c r="L1350" s="1590">
        <f t="shared" si="656"/>
        <v>0</v>
      </c>
      <c r="M1350" s="1590">
        <f t="shared" si="656"/>
        <v>0</v>
      </c>
      <c r="N1350" s="1590">
        <f t="shared" si="656"/>
        <v>0</v>
      </c>
      <c r="O1350" s="1590">
        <f t="shared" si="656"/>
        <v>0</v>
      </c>
      <c r="P1350" s="1590">
        <f t="shared" si="656"/>
        <v>0</v>
      </c>
      <c r="Q1350" s="1590">
        <f t="shared" si="656"/>
        <v>0</v>
      </c>
      <c r="R1350" s="1590">
        <f t="shared" si="656"/>
        <v>0</v>
      </c>
      <c r="S1350" s="1590">
        <f t="shared" si="656"/>
        <v>0</v>
      </c>
      <c r="T1350" s="1670">
        <f t="shared" si="656"/>
        <v>0</v>
      </c>
      <c r="U1350" s="1199"/>
      <c r="V1350" s="1672" t="str">
        <f>W405</f>
        <v>Agroquímicos 0</v>
      </c>
      <c r="W1350" s="1674"/>
      <c r="Y1350" s="1666"/>
      <c r="Z1350" s="1199"/>
      <c r="AA1350" s="1199"/>
      <c r="AB1350" s="1199"/>
      <c r="AC1350" s="1199"/>
      <c r="AD1350" s="1672" t="s">
        <v>689</v>
      </c>
      <c r="AE1350" s="1672"/>
      <c r="AF1350" s="1654">
        <f t="shared" ref="AF1350:AQ1350" si="657">SUMPRODUCT(AF402:AF404,$AC$402:$AC$404)</f>
        <v>0</v>
      </c>
      <c r="AG1350" s="1590">
        <f t="shared" si="657"/>
        <v>0</v>
      </c>
      <c r="AH1350" s="1590">
        <f t="shared" si="657"/>
        <v>0</v>
      </c>
      <c r="AI1350" s="1590">
        <f t="shared" si="657"/>
        <v>0</v>
      </c>
      <c r="AJ1350" s="1590">
        <f t="shared" si="657"/>
        <v>0</v>
      </c>
      <c r="AK1350" s="1590">
        <f t="shared" si="657"/>
        <v>0</v>
      </c>
      <c r="AL1350" s="1590">
        <f t="shared" si="657"/>
        <v>0</v>
      </c>
      <c r="AM1350" s="1590">
        <f t="shared" si="657"/>
        <v>0</v>
      </c>
      <c r="AN1350" s="1590">
        <f t="shared" si="657"/>
        <v>0</v>
      </c>
      <c r="AO1350" s="1590">
        <f t="shared" si="657"/>
        <v>0</v>
      </c>
      <c r="AP1350" s="1590">
        <f t="shared" si="657"/>
        <v>0</v>
      </c>
      <c r="AQ1350" s="1670">
        <f t="shared" si="657"/>
        <v>0</v>
      </c>
      <c r="AR1350" s="1199"/>
      <c r="AS1350" s="1672" t="str">
        <f>AT405</f>
        <v>Agroquímicos 0</v>
      </c>
      <c r="AT1350" s="1674"/>
    </row>
    <row r="1351" spans="2:46" ht="14.4" hidden="1" customHeight="1" thickTop="1" x14ac:dyDescent="0.2">
      <c r="B1351" s="1675">
        <f>C409</f>
        <v>0</v>
      </c>
      <c r="C1351" s="1194"/>
      <c r="D1351" s="1194"/>
      <c r="E1351" s="1194"/>
      <c r="F1351" s="1194"/>
      <c r="G1351" s="1671" t="s">
        <v>321</v>
      </c>
      <c r="H1351" s="1671"/>
      <c r="I1351" s="1667">
        <f t="shared" ref="I1351:T1351" si="658">SUMPRODUCT(I421:I425,$F$421:$F$425)</f>
        <v>0</v>
      </c>
      <c r="J1351" s="1668">
        <f t="shared" si="658"/>
        <v>0</v>
      </c>
      <c r="K1351" s="1668">
        <f t="shared" si="658"/>
        <v>0</v>
      </c>
      <c r="L1351" s="1668">
        <f t="shared" si="658"/>
        <v>0</v>
      </c>
      <c r="M1351" s="1668">
        <f t="shared" si="658"/>
        <v>0</v>
      </c>
      <c r="N1351" s="1668">
        <f t="shared" si="658"/>
        <v>0</v>
      </c>
      <c r="O1351" s="1668">
        <f t="shared" si="658"/>
        <v>0</v>
      </c>
      <c r="P1351" s="1668">
        <f t="shared" si="658"/>
        <v>0</v>
      </c>
      <c r="Q1351" s="1668">
        <f t="shared" si="658"/>
        <v>0</v>
      </c>
      <c r="R1351" s="1668">
        <f t="shared" si="658"/>
        <v>0</v>
      </c>
      <c r="S1351" s="1668">
        <f t="shared" si="658"/>
        <v>0</v>
      </c>
      <c r="T1351" s="1669">
        <f t="shared" si="658"/>
        <v>0</v>
      </c>
      <c r="U1351" s="1194"/>
      <c r="V1351" s="1671" t="str">
        <f>W426</f>
        <v>Labores con maquinaria contratada0</v>
      </c>
      <c r="W1351" s="1593"/>
      <c r="Y1351" s="1675">
        <f>Z409</f>
        <v>0</v>
      </c>
      <c r="Z1351" s="1194"/>
      <c r="AA1351" s="1194"/>
      <c r="AB1351" s="1194"/>
      <c r="AC1351" s="1194"/>
      <c r="AD1351" s="1671" t="s">
        <v>321</v>
      </c>
      <c r="AE1351" s="1671"/>
      <c r="AF1351" s="1667">
        <f t="shared" ref="AF1351:AQ1351" si="659">SUMPRODUCT(AF421:AF425,$AC$421:$AC$425)</f>
        <v>0</v>
      </c>
      <c r="AG1351" s="1668">
        <f t="shared" si="659"/>
        <v>0</v>
      </c>
      <c r="AH1351" s="1668">
        <f t="shared" si="659"/>
        <v>0</v>
      </c>
      <c r="AI1351" s="1668">
        <f t="shared" si="659"/>
        <v>0</v>
      </c>
      <c r="AJ1351" s="1668">
        <f t="shared" si="659"/>
        <v>0</v>
      </c>
      <c r="AK1351" s="1668">
        <f t="shared" si="659"/>
        <v>0</v>
      </c>
      <c r="AL1351" s="1668">
        <f t="shared" si="659"/>
        <v>0</v>
      </c>
      <c r="AM1351" s="1668">
        <f t="shared" si="659"/>
        <v>0</v>
      </c>
      <c r="AN1351" s="1668">
        <f t="shared" si="659"/>
        <v>0</v>
      </c>
      <c r="AO1351" s="1668">
        <f t="shared" si="659"/>
        <v>0</v>
      </c>
      <c r="AP1351" s="1668">
        <f t="shared" si="659"/>
        <v>0</v>
      </c>
      <c r="AQ1351" s="1669">
        <f t="shared" si="659"/>
        <v>0</v>
      </c>
      <c r="AR1351" s="1194"/>
      <c r="AS1351" s="1671" t="str">
        <f>AT426</f>
        <v>Labores con maquinaria contratada0</v>
      </c>
      <c r="AT1351" s="1593"/>
    </row>
    <row r="1352" spans="2:46" ht="13.75" hidden="1" customHeight="1" x14ac:dyDescent="0.2">
      <c r="B1352" s="1665"/>
      <c r="C1352" s="193"/>
      <c r="D1352" s="193"/>
      <c r="E1352" s="193"/>
      <c r="F1352" s="193"/>
      <c r="G1352" s="1175" t="s">
        <v>687</v>
      </c>
      <c r="H1352" s="1175"/>
      <c r="I1352" s="1179">
        <f t="shared" ref="I1352:T1352" si="660">SUMPRODUCT(I428:I435,$F$428:$F$435)</f>
        <v>0</v>
      </c>
      <c r="J1352" s="1283">
        <f t="shared" si="660"/>
        <v>0</v>
      </c>
      <c r="K1352" s="1283">
        <f t="shared" si="660"/>
        <v>0</v>
      </c>
      <c r="L1352" s="1283">
        <f t="shared" si="660"/>
        <v>0</v>
      </c>
      <c r="M1352" s="1283">
        <f t="shared" si="660"/>
        <v>0</v>
      </c>
      <c r="N1352" s="1283">
        <f t="shared" si="660"/>
        <v>0</v>
      </c>
      <c r="O1352" s="1283">
        <f t="shared" si="660"/>
        <v>0</v>
      </c>
      <c r="P1352" s="1283">
        <f t="shared" si="660"/>
        <v>0</v>
      </c>
      <c r="Q1352" s="1283">
        <f t="shared" si="660"/>
        <v>0</v>
      </c>
      <c r="R1352" s="1283">
        <f t="shared" si="660"/>
        <v>0</v>
      </c>
      <c r="S1352" s="1283">
        <f t="shared" si="660"/>
        <v>0</v>
      </c>
      <c r="T1352" s="1178">
        <f t="shared" si="660"/>
        <v>0</v>
      </c>
      <c r="U1352" s="193"/>
      <c r="V1352" s="1175" t="str">
        <f>W436</f>
        <v>Semillas0</v>
      </c>
      <c r="W1352" s="1673"/>
      <c r="Y1352" s="1665"/>
      <c r="Z1352" s="193"/>
      <c r="AA1352" s="193"/>
      <c r="AB1352" s="193"/>
      <c r="AC1352" s="193"/>
      <c r="AD1352" s="1175" t="s">
        <v>687</v>
      </c>
      <c r="AE1352" s="1175"/>
      <c r="AF1352" s="1179">
        <f t="shared" ref="AF1352:AQ1352" si="661">SUMPRODUCT(AF428:AF435,$AC$428:$AC$435)</f>
        <v>0</v>
      </c>
      <c r="AG1352" s="1283">
        <f t="shared" si="661"/>
        <v>0</v>
      </c>
      <c r="AH1352" s="1283">
        <f t="shared" si="661"/>
        <v>0</v>
      </c>
      <c r="AI1352" s="1283">
        <f t="shared" si="661"/>
        <v>0</v>
      </c>
      <c r="AJ1352" s="1283">
        <f t="shared" si="661"/>
        <v>0</v>
      </c>
      <c r="AK1352" s="1283">
        <f t="shared" si="661"/>
        <v>0</v>
      </c>
      <c r="AL1352" s="1283">
        <f t="shared" si="661"/>
        <v>0</v>
      </c>
      <c r="AM1352" s="1283">
        <f t="shared" si="661"/>
        <v>0</v>
      </c>
      <c r="AN1352" s="1283">
        <f t="shared" si="661"/>
        <v>0</v>
      </c>
      <c r="AO1352" s="1283">
        <f t="shared" si="661"/>
        <v>0</v>
      </c>
      <c r="AP1352" s="1283">
        <f t="shared" si="661"/>
        <v>0</v>
      </c>
      <c r="AQ1352" s="1178">
        <f t="shared" si="661"/>
        <v>0</v>
      </c>
      <c r="AR1352" s="193"/>
      <c r="AS1352" s="1175" t="str">
        <f>AT436</f>
        <v>Semillas0</v>
      </c>
      <c r="AT1352" s="1673"/>
    </row>
    <row r="1353" spans="2:46" ht="13.75" hidden="1" customHeight="1" x14ac:dyDescent="0.2">
      <c r="B1353" s="1665"/>
      <c r="C1353" s="193"/>
      <c r="D1353" s="193"/>
      <c r="E1353" s="193"/>
      <c r="F1353" s="193"/>
      <c r="G1353" s="1175" t="s">
        <v>688</v>
      </c>
      <c r="H1353" s="1175"/>
      <c r="I1353" s="1179">
        <f t="shared" ref="I1353:T1353" si="662">SUMPRODUCT(I438:I440,$F$438:$F$440)</f>
        <v>0</v>
      </c>
      <c r="J1353" s="1283">
        <f t="shared" si="662"/>
        <v>0</v>
      </c>
      <c r="K1353" s="1283">
        <f t="shared" si="662"/>
        <v>0</v>
      </c>
      <c r="L1353" s="1283">
        <f t="shared" si="662"/>
        <v>0</v>
      </c>
      <c r="M1353" s="1283">
        <f t="shared" si="662"/>
        <v>0</v>
      </c>
      <c r="N1353" s="1283">
        <f t="shared" si="662"/>
        <v>0</v>
      </c>
      <c r="O1353" s="1283">
        <f t="shared" si="662"/>
        <v>0</v>
      </c>
      <c r="P1353" s="1283">
        <f t="shared" si="662"/>
        <v>0</v>
      </c>
      <c r="Q1353" s="1283">
        <f t="shared" si="662"/>
        <v>0</v>
      </c>
      <c r="R1353" s="1283">
        <f t="shared" si="662"/>
        <v>0</v>
      </c>
      <c r="S1353" s="1283">
        <f t="shared" si="662"/>
        <v>0</v>
      </c>
      <c r="T1353" s="1178">
        <f t="shared" si="662"/>
        <v>0</v>
      </c>
      <c r="U1353" s="193"/>
      <c r="V1353" s="1175" t="str">
        <f>W441</f>
        <v>Fertilizantes 0</v>
      </c>
      <c r="W1353" s="1673"/>
      <c r="Y1353" s="1665"/>
      <c r="Z1353" s="193"/>
      <c r="AA1353" s="193"/>
      <c r="AB1353" s="193"/>
      <c r="AC1353" s="193"/>
      <c r="AD1353" s="1175" t="s">
        <v>688</v>
      </c>
      <c r="AE1353" s="1175"/>
      <c r="AF1353" s="1179">
        <f t="shared" ref="AF1353:AQ1353" si="663">SUMPRODUCT(AF438:AF440,$AC$438:$AC$440)</f>
        <v>0</v>
      </c>
      <c r="AG1353" s="1283">
        <f t="shared" si="663"/>
        <v>0</v>
      </c>
      <c r="AH1353" s="1283">
        <f t="shared" si="663"/>
        <v>0</v>
      </c>
      <c r="AI1353" s="1283">
        <f t="shared" si="663"/>
        <v>0</v>
      </c>
      <c r="AJ1353" s="1283">
        <f t="shared" si="663"/>
        <v>0</v>
      </c>
      <c r="AK1353" s="1283">
        <f t="shared" si="663"/>
        <v>0</v>
      </c>
      <c r="AL1353" s="1283">
        <f t="shared" si="663"/>
        <v>0</v>
      </c>
      <c r="AM1353" s="1283">
        <f t="shared" si="663"/>
        <v>0</v>
      </c>
      <c r="AN1353" s="1283">
        <f t="shared" si="663"/>
        <v>0</v>
      </c>
      <c r="AO1353" s="1283">
        <f t="shared" si="663"/>
        <v>0</v>
      </c>
      <c r="AP1353" s="1283">
        <f t="shared" si="663"/>
        <v>0</v>
      </c>
      <c r="AQ1353" s="1178">
        <f t="shared" si="663"/>
        <v>0</v>
      </c>
      <c r="AR1353" s="193"/>
      <c r="AS1353" s="1175" t="str">
        <f>AT441</f>
        <v>Fertilizantes 0</v>
      </c>
      <c r="AT1353" s="1673"/>
    </row>
    <row r="1354" spans="2:46" ht="14.4" hidden="1" customHeight="1" thickBot="1" x14ac:dyDescent="0.25">
      <c r="B1354" s="1666"/>
      <c r="C1354" s="1199"/>
      <c r="D1354" s="1199"/>
      <c r="E1354" s="1199"/>
      <c r="F1354" s="1199"/>
      <c r="G1354" s="1672" t="s">
        <v>689</v>
      </c>
      <c r="H1354" s="1672"/>
      <c r="I1354" s="1654">
        <f t="shared" ref="I1354:T1354" si="664">SUMPRODUCT(I443:I445,$F$443:$F$445)</f>
        <v>0</v>
      </c>
      <c r="J1354" s="1590">
        <f t="shared" si="664"/>
        <v>0</v>
      </c>
      <c r="K1354" s="1590">
        <f t="shared" si="664"/>
        <v>0</v>
      </c>
      <c r="L1354" s="1590">
        <f t="shared" si="664"/>
        <v>0</v>
      </c>
      <c r="M1354" s="1590">
        <f t="shared" si="664"/>
        <v>0</v>
      </c>
      <c r="N1354" s="1590">
        <f t="shared" si="664"/>
        <v>0</v>
      </c>
      <c r="O1354" s="1590">
        <f t="shared" si="664"/>
        <v>0</v>
      </c>
      <c r="P1354" s="1590">
        <f t="shared" si="664"/>
        <v>0</v>
      </c>
      <c r="Q1354" s="1590">
        <f t="shared" si="664"/>
        <v>0</v>
      </c>
      <c r="R1354" s="1590">
        <f t="shared" si="664"/>
        <v>0</v>
      </c>
      <c r="S1354" s="1590">
        <f t="shared" si="664"/>
        <v>0</v>
      </c>
      <c r="T1354" s="1670">
        <f t="shared" si="664"/>
        <v>0</v>
      </c>
      <c r="U1354" s="1199"/>
      <c r="V1354" s="1672" t="str">
        <f>W446</f>
        <v>Agroquímicos 0</v>
      </c>
      <c r="W1354" s="1674"/>
      <c r="Y1354" s="1666"/>
      <c r="Z1354" s="1199"/>
      <c r="AA1354" s="1199"/>
      <c r="AB1354" s="1199"/>
      <c r="AC1354" s="1199"/>
      <c r="AD1354" s="1672" t="s">
        <v>689</v>
      </c>
      <c r="AE1354" s="1672"/>
      <c r="AF1354" s="1654">
        <f t="shared" ref="AF1354:AQ1354" si="665">SUMPRODUCT(AF443:AF445,$AC$443:$AC$445)</f>
        <v>0</v>
      </c>
      <c r="AG1354" s="1590">
        <f t="shared" si="665"/>
        <v>0</v>
      </c>
      <c r="AH1354" s="1590">
        <f t="shared" si="665"/>
        <v>0</v>
      </c>
      <c r="AI1354" s="1590">
        <f t="shared" si="665"/>
        <v>0</v>
      </c>
      <c r="AJ1354" s="1590">
        <f t="shared" si="665"/>
        <v>0</v>
      </c>
      <c r="AK1354" s="1590">
        <f t="shared" si="665"/>
        <v>0</v>
      </c>
      <c r="AL1354" s="1590">
        <f t="shared" si="665"/>
        <v>0</v>
      </c>
      <c r="AM1354" s="1590">
        <f t="shared" si="665"/>
        <v>0</v>
      </c>
      <c r="AN1354" s="1590">
        <f t="shared" si="665"/>
        <v>0</v>
      </c>
      <c r="AO1354" s="1590">
        <f t="shared" si="665"/>
        <v>0</v>
      </c>
      <c r="AP1354" s="1590">
        <f t="shared" si="665"/>
        <v>0</v>
      </c>
      <c r="AQ1354" s="1670">
        <f t="shared" si="665"/>
        <v>0</v>
      </c>
      <c r="AR1354" s="1199"/>
      <c r="AS1354" s="1672" t="str">
        <f>AT446</f>
        <v>Agroquímicos 0</v>
      </c>
      <c r="AT1354" s="1674"/>
    </row>
    <row r="1355" spans="2:46" ht="14.4" hidden="1" customHeight="1" thickTop="1" x14ac:dyDescent="0.2">
      <c r="B1355" s="1675">
        <f>C450</f>
        <v>0</v>
      </c>
      <c r="C1355" s="1194"/>
      <c r="D1355" s="1194"/>
      <c r="E1355" s="1194"/>
      <c r="F1355" s="1194"/>
      <c r="G1355" s="1671" t="s">
        <v>321</v>
      </c>
      <c r="H1355" s="1671"/>
      <c r="I1355" s="1667">
        <f t="shared" ref="I1355:T1355" si="666">SUMPRODUCT(I462:I466,$F$462:$F$466)</f>
        <v>0</v>
      </c>
      <c r="J1355" s="1668">
        <f t="shared" si="666"/>
        <v>0</v>
      </c>
      <c r="K1355" s="1668">
        <f t="shared" si="666"/>
        <v>0</v>
      </c>
      <c r="L1355" s="1668">
        <f t="shared" si="666"/>
        <v>0</v>
      </c>
      <c r="M1355" s="1668">
        <f t="shared" si="666"/>
        <v>0</v>
      </c>
      <c r="N1355" s="1668">
        <f t="shared" si="666"/>
        <v>0</v>
      </c>
      <c r="O1355" s="1668">
        <f t="shared" si="666"/>
        <v>0</v>
      </c>
      <c r="P1355" s="1668">
        <f t="shared" si="666"/>
        <v>0</v>
      </c>
      <c r="Q1355" s="1668">
        <f t="shared" si="666"/>
        <v>0</v>
      </c>
      <c r="R1355" s="1668">
        <f t="shared" si="666"/>
        <v>0</v>
      </c>
      <c r="S1355" s="1668">
        <f t="shared" si="666"/>
        <v>0</v>
      </c>
      <c r="T1355" s="1669">
        <f t="shared" si="666"/>
        <v>0</v>
      </c>
      <c r="U1355" s="1194"/>
      <c r="V1355" s="1671" t="str">
        <f>W467</f>
        <v>Labores con maquinaria contratada0</v>
      </c>
      <c r="W1355" s="1593"/>
      <c r="Y1355" s="1675">
        <f>Z450</f>
        <v>0</v>
      </c>
      <c r="Z1355" s="1194"/>
      <c r="AA1355" s="1194"/>
      <c r="AB1355" s="1194"/>
      <c r="AC1355" s="1194"/>
      <c r="AD1355" s="1671" t="s">
        <v>321</v>
      </c>
      <c r="AE1355" s="1671"/>
      <c r="AF1355" s="1667">
        <f t="shared" ref="AF1355:AQ1355" si="667">SUMPRODUCT(AF462:AF466,$AC$462:$AC$466)</f>
        <v>0</v>
      </c>
      <c r="AG1355" s="1668">
        <f t="shared" si="667"/>
        <v>0</v>
      </c>
      <c r="AH1355" s="1668">
        <f t="shared" si="667"/>
        <v>0</v>
      </c>
      <c r="AI1355" s="1668">
        <f t="shared" si="667"/>
        <v>0</v>
      </c>
      <c r="AJ1355" s="1668">
        <f t="shared" si="667"/>
        <v>0</v>
      </c>
      <c r="AK1355" s="1668">
        <f t="shared" si="667"/>
        <v>0</v>
      </c>
      <c r="AL1355" s="1668">
        <f t="shared" si="667"/>
        <v>0</v>
      </c>
      <c r="AM1355" s="1668">
        <f t="shared" si="667"/>
        <v>0</v>
      </c>
      <c r="AN1355" s="1668">
        <f t="shared" si="667"/>
        <v>0</v>
      </c>
      <c r="AO1355" s="1668">
        <f t="shared" si="667"/>
        <v>0</v>
      </c>
      <c r="AP1355" s="1668">
        <f t="shared" si="667"/>
        <v>0</v>
      </c>
      <c r="AQ1355" s="1669">
        <f t="shared" si="667"/>
        <v>0</v>
      </c>
      <c r="AR1355" s="1194"/>
      <c r="AS1355" s="1671" t="str">
        <f>AT467</f>
        <v>Labores con maquinaria contratada0</v>
      </c>
      <c r="AT1355" s="1593"/>
    </row>
    <row r="1356" spans="2:46" ht="13.75" hidden="1" customHeight="1" x14ac:dyDescent="0.2">
      <c r="B1356" s="1665"/>
      <c r="C1356" s="193"/>
      <c r="D1356" s="193"/>
      <c r="E1356" s="193"/>
      <c r="F1356" s="193"/>
      <c r="G1356" s="1175" t="s">
        <v>687</v>
      </c>
      <c r="H1356" s="1175"/>
      <c r="I1356" s="1179">
        <f t="shared" ref="I1356:T1356" si="668">SUMPRODUCT(I469:I476,$F$469:$F$476)</f>
        <v>0</v>
      </c>
      <c r="J1356" s="1283">
        <f t="shared" si="668"/>
        <v>0</v>
      </c>
      <c r="K1356" s="1283">
        <f t="shared" si="668"/>
        <v>0</v>
      </c>
      <c r="L1356" s="1283">
        <f t="shared" si="668"/>
        <v>0</v>
      </c>
      <c r="M1356" s="1283">
        <f t="shared" si="668"/>
        <v>0</v>
      </c>
      <c r="N1356" s="1283">
        <f t="shared" si="668"/>
        <v>0</v>
      </c>
      <c r="O1356" s="1283">
        <f t="shared" si="668"/>
        <v>0</v>
      </c>
      <c r="P1356" s="1283">
        <f t="shared" si="668"/>
        <v>0</v>
      </c>
      <c r="Q1356" s="1283">
        <f t="shared" si="668"/>
        <v>0</v>
      </c>
      <c r="R1356" s="1283">
        <f t="shared" si="668"/>
        <v>0</v>
      </c>
      <c r="S1356" s="1283">
        <f t="shared" si="668"/>
        <v>0</v>
      </c>
      <c r="T1356" s="1178">
        <f t="shared" si="668"/>
        <v>0</v>
      </c>
      <c r="U1356" s="193"/>
      <c r="V1356" s="1175" t="str">
        <f>W477</f>
        <v>Semillas0</v>
      </c>
      <c r="W1356" s="1673"/>
      <c r="Y1356" s="1665"/>
      <c r="Z1356" s="193"/>
      <c r="AA1356" s="193"/>
      <c r="AB1356" s="193"/>
      <c r="AC1356" s="193"/>
      <c r="AD1356" s="1175" t="s">
        <v>687</v>
      </c>
      <c r="AE1356" s="1175"/>
      <c r="AF1356" s="1179">
        <f t="shared" ref="AF1356:AQ1356" si="669">SUMPRODUCT(AF469:AF476,$AC$469:$AC$476)</f>
        <v>0</v>
      </c>
      <c r="AG1356" s="1283">
        <f t="shared" si="669"/>
        <v>0</v>
      </c>
      <c r="AH1356" s="1283">
        <f t="shared" si="669"/>
        <v>0</v>
      </c>
      <c r="AI1356" s="1283">
        <f t="shared" si="669"/>
        <v>0</v>
      </c>
      <c r="AJ1356" s="1283">
        <f t="shared" si="669"/>
        <v>0</v>
      </c>
      <c r="AK1356" s="1283">
        <f t="shared" si="669"/>
        <v>0</v>
      </c>
      <c r="AL1356" s="1283">
        <f t="shared" si="669"/>
        <v>0</v>
      </c>
      <c r="AM1356" s="1283">
        <f t="shared" si="669"/>
        <v>0</v>
      </c>
      <c r="AN1356" s="1283">
        <f t="shared" si="669"/>
        <v>0</v>
      </c>
      <c r="AO1356" s="1283">
        <f t="shared" si="669"/>
        <v>0</v>
      </c>
      <c r="AP1356" s="1283">
        <f t="shared" si="669"/>
        <v>0</v>
      </c>
      <c r="AQ1356" s="1178">
        <f t="shared" si="669"/>
        <v>0</v>
      </c>
      <c r="AR1356" s="193"/>
      <c r="AS1356" s="1175" t="str">
        <f>AT477</f>
        <v>Semillas0</v>
      </c>
      <c r="AT1356" s="1673"/>
    </row>
    <row r="1357" spans="2:46" ht="13.75" hidden="1" customHeight="1" x14ac:dyDescent="0.2">
      <c r="B1357" s="1665"/>
      <c r="C1357" s="193"/>
      <c r="D1357" s="193"/>
      <c r="E1357" s="193"/>
      <c r="F1357" s="193"/>
      <c r="G1357" s="1175" t="s">
        <v>688</v>
      </c>
      <c r="H1357" s="1175"/>
      <c r="I1357" s="1179">
        <f t="shared" ref="I1357:T1357" si="670">SUMPRODUCT(I479:I481,$F$479:$F$481)</f>
        <v>0</v>
      </c>
      <c r="J1357" s="1283">
        <f t="shared" si="670"/>
        <v>0</v>
      </c>
      <c r="K1357" s="1283">
        <f t="shared" si="670"/>
        <v>0</v>
      </c>
      <c r="L1357" s="1283">
        <f t="shared" si="670"/>
        <v>0</v>
      </c>
      <c r="M1357" s="1283">
        <f t="shared" si="670"/>
        <v>0</v>
      </c>
      <c r="N1357" s="1283">
        <f t="shared" si="670"/>
        <v>0</v>
      </c>
      <c r="O1357" s="1283">
        <f t="shared" si="670"/>
        <v>0</v>
      </c>
      <c r="P1357" s="1283">
        <f t="shared" si="670"/>
        <v>0</v>
      </c>
      <c r="Q1357" s="1283">
        <f t="shared" si="670"/>
        <v>0</v>
      </c>
      <c r="R1357" s="1283">
        <f t="shared" si="670"/>
        <v>0</v>
      </c>
      <c r="S1357" s="1283">
        <f t="shared" si="670"/>
        <v>0</v>
      </c>
      <c r="T1357" s="1178">
        <f t="shared" si="670"/>
        <v>0</v>
      </c>
      <c r="U1357" s="193"/>
      <c r="V1357" s="1175" t="str">
        <f>W482</f>
        <v>Fertilizantes 0</v>
      </c>
      <c r="W1357" s="1673"/>
      <c r="Y1357" s="1665"/>
      <c r="Z1357" s="193"/>
      <c r="AA1357" s="193"/>
      <c r="AB1357" s="193"/>
      <c r="AC1357" s="193"/>
      <c r="AD1357" s="1175" t="s">
        <v>688</v>
      </c>
      <c r="AE1357" s="1175"/>
      <c r="AF1357" s="1179">
        <f t="shared" ref="AF1357:AQ1357" si="671">SUMPRODUCT(AF479:AF481,$AC$479:$AC$481)</f>
        <v>0</v>
      </c>
      <c r="AG1357" s="1283">
        <f t="shared" si="671"/>
        <v>0</v>
      </c>
      <c r="AH1357" s="1283">
        <f t="shared" si="671"/>
        <v>0</v>
      </c>
      <c r="AI1357" s="1283">
        <f t="shared" si="671"/>
        <v>0</v>
      </c>
      <c r="AJ1357" s="1283">
        <f t="shared" si="671"/>
        <v>0</v>
      </c>
      <c r="AK1357" s="1283">
        <f t="shared" si="671"/>
        <v>0</v>
      </c>
      <c r="AL1357" s="1283">
        <f t="shared" si="671"/>
        <v>0</v>
      </c>
      <c r="AM1357" s="1283">
        <f t="shared" si="671"/>
        <v>0</v>
      </c>
      <c r="AN1357" s="1283">
        <f t="shared" si="671"/>
        <v>0</v>
      </c>
      <c r="AO1357" s="1283">
        <f t="shared" si="671"/>
        <v>0</v>
      </c>
      <c r="AP1357" s="1283">
        <f t="shared" si="671"/>
        <v>0</v>
      </c>
      <c r="AQ1357" s="1178">
        <f t="shared" si="671"/>
        <v>0</v>
      </c>
      <c r="AR1357" s="193"/>
      <c r="AS1357" s="1175" t="str">
        <f>AT482</f>
        <v>Fertilizantes 0</v>
      </c>
      <c r="AT1357" s="1673"/>
    </row>
    <row r="1358" spans="2:46" ht="14.4" hidden="1" customHeight="1" thickBot="1" x14ac:dyDescent="0.25">
      <c r="B1358" s="1666"/>
      <c r="C1358" s="1199"/>
      <c r="D1358" s="1199"/>
      <c r="E1358" s="1199"/>
      <c r="F1358" s="1199"/>
      <c r="G1358" s="1672" t="s">
        <v>689</v>
      </c>
      <c r="H1358" s="1672"/>
      <c r="I1358" s="1654">
        <f t="shared" ref="I1358:T1358" si="672">SUMPRODUCT(I484:I486,$F$484:$F$486)</f>
        <v>0</v>
      </c>
      <c r="J1358" s="1590">
        <f t="shared" si="672"/>
        <v>0</v>
      </c>
      <c r="K1358" s="1590">
        <f t="shared" si="672"/>
        <v>0</v>
      </c>
      <c r="L1358" s="1590">
        <f t="shared" si="672"/>
        <v>0</v>
      </c>
      <c r="M1358" s="1590">
        <f t="shared" si="672"/>
        <v>0</v>
      </c>
      <c r="N1358" s="1590">
        <f t="shared" si="672"/>
        <v>0</v>
      </c>
      <c r="O1358" s="1590">
        <f t="shared" si="672"/>
        <v>0</v>
      </c>
      <c r="P1358" s="1590">
        <f t="shared" si="672"/>
        <v>0</v>
      </c>
      <c r="Q1358" s="1590">
        <f t="shared" si="672"/>
        <v>0</v>
      </c>
      <c r="R1358" s="1590">
        <f t="shared" si="672"/>
        <v>0</v>
      </c>
      <c r="S1358" s="1590">
        <f t="shared" si="672"/>
        <v>0</v>
      </c>
      <c r="T1358" s="1670">
        <f t="shared" si="672"/>
        <v>0</v>
      </c>
      <c r="U1358" s="1199"/>
      <c r="V1358" s="1672" t="str">
        <f>W487</f>
        <v>Agroquímicos 0</v>
      </c>
      <c r="W1358" s="1674"/>
      <c r="Y1358" s="1666"/>
      <c r="Z1358" s="1199"/>
      <c r="AA1358" s="1199"/>
      <c r="AB1358" s="1199"/>
      <c r="AC1358" s="1199"/>
      <c r="AD1358" s="1672" t="s">
        <v>689</v>
      </c>
      <c r="AE1358" s="1672"/>
      <c r="AF1358" s="1654">
        <f t="shared" ref="AF1358:AQ1358" si="673">SUMPRODUCT(AF484:AF486,$AC$484:$AC$486)</f>
        <v>0</v>
      </c>
      <c r="AG1358" s="1590">
        <f t="shared" si="673"/>
        <v>0</v>
      </c>
      <c r="AH1358" s="1590">
        <f t="shared" si="673"/>
        <v>0</v>
      </c>
      <c r="AI1358" s="1590">
        <f t="shared" si="673"/>
        <v>0</v>
      </c>
      <c r="AJ1358" s="1590">
        <f t="shared" si="673"/>
        <v>0</v>
      </c>
      <c r="AK1358" s="1590">
        <f t="shared" si="673"/>
        <v>0</v>
      </c>
      <c r="AL1358" s="1590">
        <f t="shared" si="673"/>
        <v>0</v>
      </c>
      <c r="AM1358" s="1590">
        <f t="shared" si="673"/>
        <v>0</v>
      </c>
      <c r="AN1358" s="1590">
        <f t="shared" si="673"/>
        <v>0</v>
      </c>
      <c r="AO1358" s="1590">
        <f t="shared" si="673"/>
        <v>0</v>
      </c>
      <c r="AP1358" s="1590">
        <f t="shared" si="673"/>
        <v>0</v>
      </c>
      <c r="AQ1358" s="1670">
        <f t="shared" si="673"/>
        <v>0</v>
      </c>
      <c r="AR1358" s="1199"/>
      <c r="AS1358" s="1672" t="str">
        <f>AT487</f>
        <v>Agroquímicos 0</v>
      </c>
      <c r="AT1358" s="1674"/>
    </row>
    <row r="1359" spans="2:46" ht="14.4" hidden="1" customHeight="1" thickTop="1" x14ac:dyDescent="0.2">
      <c r="B1359" s="1675">
        <f>C491</f>
        <v>0</v>
      </c>
      <c r="C1359" s="1194"/>
      <c r="D1359" s="1194"/>
      <c r="E1359" s="1194"/>
      <c r="F1359" s="1194"/>
      <c r="G1359" s="1671" t="s">
        <v>321</v>
      </c>
      <c r="H1359" s="1671"/>
      <c r="I1359" s="1667">
        <f t="shared" ref="I1359:T1359" si="674">SUMPRODUCT(I503:I507,$F$503:$F$507)</f>
        <v>0</v>
      </c>
      <c r="J1359" s="1668">
        <f t="shared" si="674"/>
        <v>0</v>
      </c>
      <c r="K1359" s="1668">
        <f t="shared" si="674"/>
        <v>0</v>
      </c>
      <c r="L1359" s="1668">
        <f t="shared" si="674"/>
        <v>0</v>
      </c>
      <c r="M1359" s="1668">
        <f t="shared" si="674"/>
        <v>0</v>
      </c>
      <c r="N1359" s="1668">
        <f t="shared" si="674"/>
        <v>0</v>
      </c>
      <c r="O1359" s="1668">
        <f t="shared" si="674"/>
        <v>0</v>
      </c>
      <c r="P1359" s="1668">
        <f t="shared" si="674"/>
        <v>0</v>
      </c>
      <c r="Q1359" s="1668">
        <f t="shared" si="674"/>
        <v>0</v>
      </c>
      <c r="R1359" s="1668">
        <f t="shared" si="674"/>
        <v>0</v>
      </c>
      <c r="S1359" s="1668">
        <f t="shared" si="674"/>
        <v>0</v>
      </c>
      <c r="T1359" s="1669">
        <f t="shared" si="674"/>
        <v>0</v>
      </c>
      <c r="U1359" s="1194"/>
      <c r="V1359" s="1671" t="str">
        <f>W508</f>
        <v>Labores con maquinaria contratada0</v>
      </c>
      <c r="W1359" s="1593"/>
      <c r="Y1359" s="1675">
        <f>Y492</f>
        <v>0</v>
      </c>
      <c r="Z1359" s="1194"/>
      <c r="AA1359" s="1194"/>
      <c r="AB1359" s="1194"/>
      <c r="AC1359" s="1194"/>
      <c r="AD1359" s="1671" t="s">
        <v>321</v>
      </c>
      <c r="AE1359" s="1671"/>
      <c r="AF1359" s="1667">
        <f t="shared" ref="AF1359:AQ1359" si="675">SUMPRODUCT(AF503:AF507,$AC$503:$AC$507)</f>
        <v>0</v>
      </c>
      <c r="AG1359" s="1668">
        <f t="shared" si="675"/>
        <v>0</v>
      </c>
      <c r="AH1359" s="1668">
        <f t="shared" si="675"/>
        <v>0</v>
      </c>
      <c r="AI1359" s="1668">
        <f t="shared" si="675"/>
        <v>0</v>
      </c>
      <c r="AJ1359" s="1668">
        <f t="shared" si="675"/>
        <v>0</v>
      </c>
      <c r="AK1359" s="1668">
        <f t="shared" si="675"/>
        <v>0</v>
      </c>
      <c r="AL1359" s="1668">
        <f t="shared" si="675"/>
        <v>0</v>
      </c>
      <c r="AM1359" s="1668">
        <f t="shared" si="675"/>
        <v>0</v>
      </c>
      <c r="AN1359" s="1668">
        <f t="shared" si="675"/>
        <v>0</v>
      </c>
      <c r="AO1359" s="1668">
        <f t="shared" si="675"/>
        <v>0</v>
      </c>
      <c r="AP1359" s="1668">
        <f t="shared" si="675"/>
        <v>0</v>
      </c>
      <c r="AQ1359" s="1669">
        <f t="shared" si="675"/>
        <v>0</v>
      </c>
      <c r="AR1359" s="1194"/>
      <c r="AS1359" s="1671" t="str">
        <f>AT508</f>
        <v>Labores con maquinaria contratada0</v>
      </c>
      <c r="AT1359" s="1593"/>
    </row>
    <row r="1360" spans="2:46" ht="13.75" hidden="1" customHeight="1" x14ac:dyDescent="0.2">
      <c r="B1360" s="1665"/>
      <c r="C1360" s="193"/>
      <c r="D1360" s="193"/>
      <c r="E1360" s="193"/>
      <c r="F1360" s="193"/>
      <c r="G1360" s="1175" t="s">
        <v>687</v>
      </c>
      <c r="H1360" s="1175"/>
      <c r="I1360" s="1179">
        <f t="shared" ref="I1360:T1360" si="676">SUMPRODUCT(I510:I517,$F$510:$F$517)</f>
        <v>0</v>
      </c>
      <c r="J1360" s="1283">
        <f t="shared" si="676"/>
        <v>0</v>
      </c>
      <c r="K1360" s="1283">
        <f t="shared" si="676"/>
        <v>0</v>
      </c>
      <c r="L1360" s="1283">
        <f t="shared" si="676"/>
        <v>0</v>
      </c>
      <c r="M1360" s="1283">
        <f t="shared" si="676"/>
        <v>0</v>
      </c>
      <c r="N1360" s="1283">
        <f t="shared" si="676"/>
        <v>0</v>
      </c>
      <c r="O1360" s="1283">
        <f t="shared" si="676"/>
        <v>0</v>
      </c>
      <c r="P1360" s="1283">
        <f t="shared" si="676"/>
        <v>0</v>
      </c>
      <c r="Q1360" s="1283">
        <f t="shared" si="676"/>
        <v>0</v>
      </c>
      <c r="R1360" s="1283">
        <f t="shared" si="676"/>
        <v>0</v>
      </c>
      <c r="S1360" s="1283">
        <f t="shared" si="676"/>
        <v>0</v>
      </c>
      <c r="T1360" s="1178">
        <f t="shared" si="676"/>
        <v>0</v>
      </c>
      <c r="U1360" s="193"/>
      <c r="V1360" s="1175" t="str">
        <f>W518</f>
        <v>Semillas0</v>
      </c>
      <c r="W1360" s="1673"/>
      <c r="Y1360" s="1665"/>
      <c r="Z1360" s="193"/>
      <c r="AA1360" s="193"/>
      <c r="AB1360" s="193"/>
      <c r="AC1360" s="193"/>
      <c r="AD1360" s="1175" t="s">
        <v>687</v>
      </c>
      <c r="AE1360" s="1175"/>
      <c r="AF1360" s="1179">
        <f t="shared" ref="AF1360:AQ1360" si="677">SUMPRODUCT(AF510:AF517,$AC$510:$AC$517)</f>
        <v>0</v>
      </c>
      <c r="AG1360" s="1283">
        <f t="shared" si="677"/>
        <v>0</v>
      </c>
      <c r="AH1360" s="1283">
        <f t="shared" si="677"/>
        <v>0</v>
      </c>
      <c r="AI1360" s="1283">
        <f t="shared" si="677"/>
        <v>0</v>
      </c>
      <c r="AJ1360" s="1283">
        <f t="shared" si="677"/>
        <v>0</v>
      </c>
      <c r="AK1360" s="1283">
        <f t="shared" si="677"/>
        <v>0</v>
      </c>
      <c r="AL1360" s="1283">
        <f t="shared" si="677"/>
        <v>0</v>
      </c>
      <c r="AM1360" s="1283">
        <f t="shared" si="677"/>
        <v>0</v>
      </c>
      <c r="AN1360" s="1283">
        <f t="shared" si="677"/>
        <v>0</v>
      </c>
      <c r="AO1360" s="1283">
        <f t="shared" si="677"/>
        <v>0</v>
      </c>
      <c r="AP1360" s="1283">
        <f t="shared" si="677"/>
        <v>0</v>
      </c>
      <c r="AQ1360" s="1178">
        <f t="shared" si="677"/>
        <v>0</v>
      </c>
      <c r="AR1360" s="193"/>
      <c r="AS1360" s="1175" t="str">
        <f>AT518</f>
        <v>Semillas0</v>
      </c>
      <c r="AT1360" s="1673"/>
    </row>
    <row r="1361" spans="1:47" ht="13.75" hidden="1" customHeight="1" x14ac:dyDescent="0.2">
      <c r="B1361" s="1665"/>
      <c r="C1361" s="193"/>
      <c r="D1361" s="193"/>
      <c r="E1361" s="193"/>
      <c r="F1361" s="193"/>
      <c r="G1361" s="1175" t="s">
        <v>688</v>
      </c>
      <c r="H1361" s="1175"/>
      <c r="I1361" s="1179">
        <f t="shared" ref="I1361:T1361" si="678">SUMPRODUCT(I520:I522,$F$520:$F$522)</f>
        <v>0</v>
      </c>
      <c r="J1361" s="1283">
        <f t="shared" si="678"/>
        <v>0</v>
      </c>
      <c r="K1361" s="1283">
        <f t="shared" si="678"/>
        <v>0</v>
      </c>
      <c r="L1361" s="1283">
        <f t="shared" si="678"/>
        <v>0</v>
      </c>
      <c r="M1361" s="1283">
        <f t="shared" si="678"/>
        <v>0</v>
      </c>
      <c r="N1361" s="1283">
        <f t="shared" si="678"/>
        <v>0</v>
      </c>
      <c r="O1361" s="1283">
        <f t="shared" si="678"/>
        <v>0</v>
      </c>
      <c r="P1361" s="1283">
        <f t="shared" si="678"/>
        <v>0</v>
      </c>
      <c r="Q1361" s="1283">
        <f t="shared" si="678"/>
        <v>0</v>
      </c>
      <c r="R1361" s="1283">
        <f t="shared" si="678"/>
        <v>0</v>
      </c>
      <c r="S1361" s="1283">
        <f t="shared" si="678"/>
        <v>0</v>
      </c>
      <c r="T1361" s="1178">
        <f t="shared" si="678"/>
        <v>0</v>
      </c>
      <c r="U1361" s="193"/>
      <c r="V1361" s="1175" t="str">
        <f>W523</f>
        <v>Fertilizantes 0</v>
      </c>
      <c r="W1361" s="1673"/>
      <c r="Y1361" s="1665"/>
      <c r="Z1361" s="193"/>
      <c r="AA1361" s="193"/>
      <c r="AB1361" s="193"/>
      <c r="AC1361" s="193"/>
      <c r="AD1361" s="1175" t="s">
        <v>688</v>
      </c>
      <c r="AE1361" s="1175"/>
      <c r="AF1361" s="1179">
        <f t="shared" ref="AF1361:AQ1361" si="679">SUMPRODUCT(AF520:AF522,$AC$520:$AC$522)</f>
        <v>0</v>
      </c>
      <c r="AG1361" s="1283">
        <f t="shared" si="679"/>
        <v>0</v>
      </c>
      <c r="AH1361" s="1283">
        <f t="shared" si="679"/>
        <v>0</v>
      </c>
      <c r="AI1361" s="1283">
        <f t="shared" si="679"/>
        <v>0</v>
      </c>
      <c r="AJ1361" s="1283">
        <f t="shared" si="679"/>
        <v>0</v>
      </c>
      <c r="AK1361" s="1283">
        <f t="shared" si="679"/>
        <v>0</v>
      </c>
      <c r="AL1361" s="1283">
        <f t="shared" si="679"/>
        <v>0</v>
      </c>
      <c r="AM1361" s="1283">
        <f t="shared" si="679"/>
        <v>0</v>
      </c>
      <c r="AN1361" s="1283">
        <f t="shared" si="679"/>
        <v>0</v>
      </c>
      <c r="AO1361" s="1283">
        <f t="shared" si="679"/>
        <v>0</v>
      </c>
      <c r="AP1361" s="1283">
        <f t="shared" si="679"/>
        <v>0</v>
      </c>
      <c r="AQ1361" s="1178">
        <f t="shared" si="679"/>
        <v>0</v>
      </c>
      <c r="AR1361" s="193"/>
      <c r="AS1361" s="1175" t="str">
        <f>AT523</f>
        <v>Fertilizantes 0</v>
      </c>
      <c r="AT1361" s="1673"/>
    </row>
    <row r="1362" spans="1:47" ht="14.4" hidden="1" customHeight="1" thickBot="1" x14ac:dyDescent="0.25">
      <c r="B1362" s="1666"/>
      <c r="C1362" s="1199"/>
      <c r="D1362" s="1199"/>
      <c r="E1362" s="1199"/>
      <c r="F1362" s="1199"/>
      <c r="G1362" s="1672" t="s">
        <v>689</v>
      </c>
      <c r="H1362" s="1672"/>
      <c r="I1362" s="1654">
        <f t="shared" ref="I1362:T1362" si="680">SUMPRODUCT(I525:I527,$F$525:$F$527)</f>
        <v>0</v>
      </c>
      <c r="J1362" s="1590">
        <f t="shared" si="680"/>
        <v>0</v>
      </c>
      <c r="K1362" s="1590">
        <f t="shared" si="680"/>
        <v>0</v>
      </c>
      <c r="L1362" s="1590">
        <f t="shared" si="680"/>
        <v>0</v>
      </c>
      <c r="M1362" s="1590">
        <f t="shared" si="680"/>
        <v>0</v>
      </c>
      <c r="N1362" s="1590">
        <f t="shared" si="680"/>
        <v>0</v>
      </c>
      <c r="O1362" s="1590">
        <f t="shared" si="680"/>
        <v>0</v>
      </c>
      <c r="P1362" s="1590">
        <f t="shared" si="680"/>
        <v>0</v>
      </c>
      <c r="Q1362" s="1590">
        <f t="shared" si="680"/>
        <v>0</v>
      </c>
      <c r="R1362" s="1590">
        <f t="shared" si="680"/>
        <v>0</v>
      </c>
      <c r="S1362" s="1590">
        <f t="shared" si="680"/>
        <v>0</v>
      </c>
      <c r="T1362" s="1670">
        <f t="shared" si="680"/>
        <v>0</v>
      </c>
      <c r="U1362" s="1199"/>
      <c r="V1362" s="1672" t="str">
        <f>W528</f>
        <v>Agroquímicos 0</v>
      </c>
      <c r="W1362" s="1674"/>
      <c r="Y1362" s="1666"/>
      <c r="Z1362" s="1199"/>
      <c r="AA1362" s="1199"/>
      <c r="AB1362" s="1199"/>
      <c r="AC1362" s="1199"/>
      <c r="AD1362" s="1672" t="s">
        <v>689</v>
      </c>
      <c r="AE1362" s="1672"/>
      <c r="AF1362" s="1654">
        <f t="shared" ref="AF1362:AQ1362" si="681">SUMPRODUCT(AF525:AF527,$AC$525:$AC$527)</f>
        <v>0</v>
      </c>
      <c r="AG1362" s="1590">
        <f t="shared" si="681"/>
        <v>0</v>
      </c>
      <c r="AH1362" s="1590">
        <f t="shared" si="681"/>
        <v>0</v>
      </c>
      <c r="AI1362" s="1590">
        <f t="shared" si="681"/>
        <v>0</v>
      </c>
      <c r="AJ1362" s="1590">
        <f t="shared" si="681"/>
        <v>0</v>
      </c>
      <c r="AK1362" s="1590">
        <f t="shared" si="681"/>
        <v>0</v>
      </c>
      <c r="AL1362" s="1590">
        <f t="shared" si="681"/>
        <v>0</v>
      </c>
      <c r="AM1362" s="1590">
        <f t="shared" si="681"/>
        <v>0</v>
      </c>
      <c r="AN1362" s="1590">
        <f t="shared" si="681"/>
        <v>0</v>
      </c>
      <c r="AO1362" s="1590">
        <f t="shared" si="681"/>
        <v>0</v>
      </c>
      <c r="AP1362" s="1590">
        <f t="shared" si="681"/>
        <v>0</v>
      </c>
      <c r="AQ1362" s="1670">
        <f t="shared" si="681"/>
        <v>0</v>
      </c>
      <c r="AR1362" s="1199"/>
      <c r="AS1362" s="1672" t="str">
        <f>AT528</f>
        <v>Agroquímicos 0</v>
      </c>
      <c r="AT1362" s="1674"/>
    </row>
    <row r="1363" spans="1:47" ht="14.4" hidden="1" customHeight="1" thickTop="1" x14ac:dyDescent="0.2">
      <c r="B1363" s="1677" t="s">
        <v>230</v>
      </c>
      <c r="C1363" s="1678"/>
      <c r="D1363" s="1678"/>
      <c r="E1363" s="1678"/>
      <c r="F1363" s="1678"/>
      <c r="G1363" s="1678"/>
      <c r="H1363" s="1678"/>
      <c r="I1363" s="1678">
        <f>+SUM(I1315:I1362)</f>
        <v>0</v>
      </c>
      <c r="J1363" s="1678">
        <f t="shared" ref="J1363:T1363" si="682">+SUM(J1315:J1362)</f>
        <v>0</v>
      </c>
      <c r="K1363" s="1678">
        <f t="shared" si="682"/>
        <v>0</v>
      </c>
      <c r="L1363" s="1678">
        <f t="shared" si="682"/>
        <v>0</v>
      </c>
      <c r="M1363" s="1678">
        <f t="shared" si="682"/>
        <v>0</v>
      </c>
      <c r="N1363" s="1678">
        <f t="shared" si="682"/>
        <v>0</v>
      </c>
      <c r="O1363" s="1678">
        <f t="shared" si="682"/>
        <v>0</v>
      </c>
      <c r="P1363" s="1678">
        <f t="shared" si="682"/>
        <v>0</v>
      </c>
      <c r="Q1363" s="1678">
        <f t="shared" si="682"/>
        <v>0</v>
      </c>
      <c r="R1363" s="1678">
        <f t="shared" si="682"/>
        <v>0</v>
      </c>
      <c r="S1363" s="1678">
        <f t="shared" si="682"/>
        <v>0</v>
      </c>
      <c r="T1363" s="1678">
        <f t="shared" si="682"/>
        <v>0</v>
      </c>
      <c r="U1363" s="1194"/>
      <c r="V1363" s="1194"/>
      <c r="W1363" s="1599"/>
      <c r="X1363" s="193"/>
      <c r="Y1363" s="1677" t="s">
        <v>1822</v>
      </c>
      <c r="Z1363" s="1678"/>
      <c r="AA1363" s="1678"/>
      <c r="AB1363" s="1678"/>
      <c r="AC1363" s="1678"/>
      <c r="AD1363" s="1678"/>
      <c r="AE1363" s="1678"/>
      <c r="AF1363" s="1678">
        <f t="shared" ref="AF1363:AQ1363" si="683">+SUM(AF1315:AF1362)</f>
        <v>0</v>
      </c>
      <c r="AG1363" s="1678">
        <f t="shared" si="683"/>
        <v>0</v>
      </c>
      <c r="AH1363" s="1678">
        <f t="shared" si="683"/>
        <v>0</v>
      </c>
      <c r="AI1363" s="1678">
        <f t="shared" si="683"/>
        <v>0</v>
      </c>
      <c r="AJ1363" s="1678">
        <f t="shared" si="683"/>
        <v>0</v>
      </c>
      <c r="AK1363" s="1678">
        <f t="shared" si="683"/>
        <v>0</v>
      </c>
      <c r="AL1363" s="1678">
        <f t="shared" si="683"/>
        <v>0</v>
      </c>
      <c r="AM1363" s="1678">
        <f t="shared" si="683"/>
        <v>0</v>
      </c>
      <c r="AN1363" s="1678">
        <f t="shared" si="683"/>
        <v>0</v>
      </c>
      <c r="AO1363" s="1678">
        <f t="shared" si="683"/>
        <v>0</v>
      </c>
      <c r="AP1363" s="1678">
        <f t="shared" si="683"/>
        <v>0</v>
      </c>
      <c r="AQ1363" s="1678">
        <f t="shared" si="683"/>
        <v>0</v>
      </c>
      <c r="AR1363" s="1194"/>
      <c r="AS1363" s="1194"/>
      <c r="AT1363" s="1599"/>
      <c r="AU1363" s="193"/>
    </row>
    <row r="1364" spans="1:47" ht="14.4" hidden="1" customHeight="1" thickBot="1" x14ac:dyDescent="0.25">
      <c r="B1364" s="1666" t="s">
        <v>1823</v>
      </c>
      <c r="C1364" s="1199"/>
      <c r="D1364" s="1199"/>
      <c r="E1364" s="1199"/>
      <c r="F1364" s="1199"/>
      <c r="G1364" s="1199"/>
      <c r="H1364" s="1199"/>
      <c r="I1364" s="1199">
        <f t="shared" ref="I1364:T1364" si="684">+I529+I488+I447+I406+I365+I324+I283+I242+I201+I160+I119+I78</f>
        <v>0</v>
      </c>
      <c r="J1364" s="1199">
        <f t="shared" si="684"/>
        <v>0</v>
      </c>
      <c r="K1364" s="1199">
        <f t="shared" si="684"/>
        <v>0</v>
      </c>
      <c r="L1364" s="1199">
        <f t="shared" si="684"/>
        <v>0</v>
      </c>
      <c r="M1364" s="1199">
        <f t="shared" si="684"/>
        <v>0</v>
      </c>
      <c r="N1364" s="1199">
        <f t="shared" si="684"/>
        <v>0</v>
      </c>
      <c r="O1364" s="1199">
        <f t="shared" si="684"/>
        <v>0</v>
      </c>
      <c r="P1364" s="1199">
        <f t="shared" si="684"/>
        <v>0</v>
      </c>
      <c r="Q1364" s="1199">
        <f t="shared" si="684"/>
        <v>0</v>
      </c>
      <c r="R1364" s="1199">
        <f t="shared" si="684"/>
        <v>0</v>
      </c>
      <c r="S1364" s="1199">
        <f t="shared" si="684"/>
        <v>0</v>
      </c>
      <c r="T1364" s="1199">
        <f t="shared" si="684"/>
        <v>0</v>
      </c>
      <c r="U1364" s="1199"/>
      <c r="V1364" s="1199"/>
      <c r="W1364" s="1602"/>
      <c r="X1364" s="193"/>
      <c r="Y1364" s="1666" t="s">
        <v>1823</v>
      </c>
      <c r="Z1364" s="1199"/>
      <c r="AA1364" s="1199"/>
      <c r="AB1364" s="1199"/>
      <c r="AC1364" s="1199"/>
      <c r="AD1364" s="1199"/>
      <c r="AE1364" s="1199"/>
      <c r="AF1364" s="1199">
        <f t="shared" ref="AF1364:AQ1364" si="685">+AF529+AF488+AF447+AF406+AF365+AF324+AF283+AF242+AF201+AF160+AF119+AF78</f>
        <v>0</v>
      </c>
      <c r="AG1364" s="1199">
        <f t="shared" si="685"/>
        <v>0</v>
      </c>
      <c r="AH1364" s="1199">
        <f t="shared" si="685"/>
        <v>0</v>
      </c>
      <c r="AI1364" s="1199">
        <f t="shared" si="685"/>
        <v>0</v>
      </c>
      <c r="AJ1364" s="1199">
        <f t="shared" si="685"/>
        <v>0</v>
      </c>
      <c r="AK1364" s="1199">
        <f t="shared" si="685"/>
        <v>0</v>
      </c>
      <c r="AL1364" s="1199">
        <f t="shared" si="685"/>
        <v>0</v>
      </c>
      <c r="AM1364" s="1199">
        <f t="shared" si="685"/>
        <v>0</v>
      </c>
      <c r="AN1364" s="1199">
        <f t="shared" si="685"/>
        <v>0</v>
      </c>
      <c r="AO1364" s="1199">
        <f t="shared" si="685"/>
        <v>0</v>
      </c>
      <c r="AP1364" s="1199">
        <f t="shared" si="685"/>
        <v>0</v>
      </c>
      <c r="AQ1364" s="1199">
        <f t="shared" si="685"/>
        <v>0</v>
      </c>
      <c r="AR1364" s="1199"/>
      <c r="AS1364" s="1199"/>
      <c r="AT1364" s="1602"/>
      <c r="AU1364" s="193"/>
    </row>
    <row r="1365" spans="1:47" ht="15.05" hidden="1" customHeight="1" thickTop="1" thickBot="1" x14ac:dyDescent="0.25">
      <c r="B1365" s="1688"/>
      <c r="C1365" s="193"/>
      <c r="D1365" s="193"/>
      <c r="E1365" s="193"/>
      <c r="F1365" s="193"/>
      <c r="G1365" s="193"/>
      <c r="H1365" s="193"/>
      <c r="I1365" s="193"/>
      <c r="J1365" s="193"/>
      <c r="K1365" s="193"/>
      <c r="L1365" s="193"/>
      <c r="M1365" s="193"/>
      <c r="N1365" s="193"/>
      <c r="O1365" s="193"/>
      <c r="P1365" s="193"/>
      <c r="Q1365" s="193"/>
      <c r="R1365" s="193"/>
      <c r="S1365" s="193"/>
      <c r="T1365" s="193"/>
      <c r="U1365" s="193"/>
      <c r="V1365" s="193"/>
      <c r="W1365" s="193"/>
      <c r="X1365" s="193"/>
      <c r="Y1365" s="1688"/>
      <c r="Z1365" s="193"/>
      <c r="AA1365" s="193"/>
      <c r="AB1365" s="193"/>
      <c r="AC1365" s="193"/>
      <c r="AD1365" s="193"/>
      <c r="AE1365" s="193"/>
      <c r="AF1365" s="193"/>
      <c r="AG1365" s="193"/>
      <c r="AH1365" s="193"/>
      <c r="AI1365" s="193"/>
      <c r="AJ1365" s="193"/>
      <c r="AK1365" s="193"/>
      <c r="AL1365" s="193"/>
      <c r="AM1365" s="193"/>
      <c r="AN1365" s="193"/>
      <c r="AO1365" s="193"/>
      <c r="AP1365" s="193"/>
      <c r="AQ1365" s="193"/>
      <c r="AR1365" s="1194"/>
      <c r="AS1365" s="1194"/>
      <c r="AT1365" s="1194"/>
      <c r="AU1365" s="193"/>
    </row>
    <row r="1366" spans="1:47" ht="15.05" hidden="1" customHeight="1" thickTop="1" thickBot="1" x14ac:dyDescent="0.25">
      <c r="A1366" s="2188">
        <v>1093</v>
      </c>
      <c r="B1366" s="1689" t="s">
        <v>1835</v>
      </c>
      <c r="C1366" s="1678"/>
      <c r="D1366" s="1678"/>
      <c r="E1366" s="1678"/>
      <c r="F1366" s="1678"/>
      <c r="G1366" s="1678"/>
      <c r="H1366" s="1678"/>
      <c r="I1366" s="1678" t="s">
        <v>2009</v>
      </c>
      <c r="J1366" s="1678"/>
      <c r="K1366" s="1678"/>
      <c r="L1366" s="1678"/>
      <c r="M1366" s="1678"/>
      <c r="N1366" s="1678"/>
      <c r="O1366" s="1678"/>
      <c r="P1366" s="1678"/>
      <c r="Q1366" s="1678"/>
      <c r="R1366" s="1678"/>
      <c r="S1366" s="1678"/>
      <c r="T1366" s="1690"/>
      <c r="U1366" s="193"/>
      <c r="V1366" s="254"/>
      <c r="W1366" s="254"/>
      <c r="X1366" s="2188">
        <v>1094</v>
      </c>
      <c r="Y1366" s="1689" t="str">
        <f>+B1366</f>
        <v>GASTOS ECONÓMICOS RESÚMEN</v>
      </c>
      <c r="Z1366" s="1581"/>
      <c r="AA1366" s="1581"/>
      <c r="AB1366" s="1581"/>
      <c r="AC1366" s="1581"/>
      <c r="AD1366" s="1581"/>
      <c r="AE1366" s="1581"/>
      <c r="AF1366" s="1678" t="s">
        <v>2009</v>
      </c>
      <c r="AG1366" s="1581"/>
      <c r="AH1366" s="1581"/>
      <c r="AI1366" s="1581"/>
      <c r="AJ1366" s="1581"/>
      <c r="AK1366" s="1581"/>
      <c r="AL1366" s="1581"/>
      <c r="AM1366" s="1581"/>
      <c r="AN1366" s="1581"/>
      <c r="AO1366" s="1581"/>
      <c r="AP1366" s="1581"/>
      <c r="AQ1366" s="1697"/>
      <c r="AR1366" s="193"/>
      <c r="AS1366" s="254"/>
      <c r="AT1366" s="254"/>
    </row>
    <row r="1367" spans="1:47" ht="14.4" hidden="1" customHeight="1" thickTop="1" x14ac:dyDescent="0.2">
      <c r="B1367" s="1677" t="str">
        <f>$D$1159</f>
        <v>Agricultura</v>
      </c>
      <c r="C1367" s="1194"/>
      <c r="D1367" s="1194"/>
      <c r="E1367" s="1194"/>
      <c r="F1367" s="1194"/>
      <c r="G1367" s="1194"/>
      <c r="H1367" s="1194"/>
      <c r="I1367" s="1642"/>
      <c r="J1367" s="1642"/>
      <c r="K1367" s="1642"/>
      <c r="L1367" s="1642"/>
      <c r="M1367" s="1642"/>
      <c r="N1367" s="1642"/>
      <c r="O1367" s="1642"/>
      <c r="P1367" s="1642"/>
      <c r="Q1367" s="1642"/>
      <c r="R1367" s="1642"/>
      <c r="S1367" s="1642"/>
      <c r="T1367" s="1692"/>
      <c r="U1367" s="193"/>
      <c r="V1367" s="193"/>
      <c r="W1367" s="193"/>
      <c r="X1367" s="193"/>
      <c r="Y1367" s="1677" t="str">
        <f>$D$1159</f>
        <v>Agricultura</v>
      </c>
      <c r="Z1367" s="1194"/>
      <c r="AA1367" s="1194"/>
      <c r="AB1367" s="1194"/>
      <c r="AC1367" s="1194"/>
      <c r="AD1367" s="1194"/>
      <c r="AE1367" s="1194"/>
      <c r="AF1367" s="1642"/>
      <c r="AG1367" s="1642"/>
      <c r="AH1367" s="1642"/>
      <c r="AI1367" s="1642"/>
      <c r="AJ1367" s="1642"/>
      <c r="AK1367" s="1642"/>
      <c r="AL1367" s="1642"/>
      <c r="AM1367" s="1642"/>
      <c r="AN1367" s="1642"/>
      <c r="AO1367" s="1642"/>
      <c r="AP1367" s="1642"/>
      <c r="AQ1367" s="1692"/>
      <c r="AR1367" s="193"/>
      <c r="AS1367" s="193"/>
      <c r="AT1367" s="193"/>
      <c r="AU1367" s="193"/>
    </row>
    <row r="1368" spans="1:47" ht="13.75" hidden="1" customHeight="1" x14ac:dyDescent="0.2">
      <c r="B1368" s="1695" t="s">
        <v>1096</v>
      </c>
      <c r="C1368" s="1175"/>
      <c r="D1368" s="1175"/>
      <c r="E1368" s="1175"/>
      <c r="F1368" s="1175"/>
      <c r="G1368" s="1175"/>
      <c r="H1368" s="193"/>
      <c r="I1368" s="1172">
        <f>SUMIF($V$1315:$V$1362,#REF!&amp;"Agrícola",I$1315:I$1362)</f>
        <v>0</v>
      </c>
      <c r="J1368" s="1172">
        <f>SUMIF($V$1315:$V$1362,#REF!&amp;"Agrícola",J$1315:J$1362)</f>
        <v>0</v>
      </c>
      <c r="K1368" s="1172">
        <f>SUMIF($V$1315:$V$1362,#REF!&amp;"Agrícola",K$1315:K$1362)</f>
        <v>0</v>
      </c>
      <c r="L1368" s="1172">
        <f>SUMIF($V$1315:$V$1362,#REF!&amp;"Agrícola",L$1315:L$1362)</f>
        <v>0</v>
      </c>
      <c r="M1368" s="1172">
        <f>SUMIF($V$1315:$V$1362,#REF!&amp;"Agrícola",M$1315:M$1362)</f>
        <v>0</v>
      </c>
      <c r="N1368" s="1172">
        <f>SUMIF($V$1315:$V$1362,#REF!&amp;"Agrícola",N$1315:N$1362)</f>
        <v>0</v>
      </c>
      <c r="O1368" s="1172">
        <f>SUMIF($V$1315:$V$1362,#REF!&amp;"Agrícola",O$1315:O$1362)</f>
        <v>0</v>
      </c>
      <c r="P1368" s="1172">
        <f>SUMIF($V$1315:$V$1362,#REF!&amp;"Agrícola",P$1315:P$1362)</f>
        <v>0</v>
      </c>
      <c r="Q1368" s="1172">
        <f>SUMIF($V$1315:$V$1362,#REF!&amp;"Agrícola",Q$1315:Q$1362)</f>
        <v>0</v>
      </c>
      <c r="R1368" s="1172">
        <f>SUMIF($V$1315:$V$1362,#REF!&amp;"Agrícola",R$1315:R$1362)</f>
        <v>0</v>
      </c>
      <c r="S1368" s="1172">
        <f>SUMIF($V$1315:$V$1362,#REF!&amp;"Agrícola",S$1315:S$1362)</f>
        <v>0</v>
      </c>
      <c r="T1368" s="1618">
        <f>SUMIF($V$1315:$V$1362,#REF!&amp;"Agrícola",T$1315:T$1362)</f>
        <v>0</v>
      </c>
      <c r="U1368" s="193"/>
      <c r="V1368" s="193"/>
      <c r="W1368" s="193"/>
      <c r="X1368" s="193"/>
      <c r="Y1368" s="1695" t="s">
        <v>1096</v>
      </c>
      <c r="Z1368" s="1175"/>
      <c r="AA1368" s="1175"/>
      <c r="AB1368" s="1175"/>
      <c r="AC1368" s="1175"/>
      <c r="AD1368" s="1175"/>
      <c r="AE1368" s="193"/>
      <c r="AF1368" s="1172">
        <f t="shared" ref="AF1368:AQ1371" si="686">SUMIF($AS$1315:$AS$1362,$Y1368,AF$1315:AF$1362)</f>
        <v>0</v>
      </c>
      <c r="AG1368" s="1172">
        <f t="shared" si="686"/>
        <v>0</v>
      </c>
      <c r="AH1368" s="1172">
        <f t="shared" si="686"/>
        <v>0</v>
      </c>
      <c r="AI1368" s="1172">
        <f t="shared" si="686"/>
        <v>0</v>
      </c>
      <c r="AJ1368" s="1172">
        <f t="shared" si="686"/>
        <v>0</v>
      </c>
      <c r="AK1368" s="1172">
        <f t="shared" si="686"/>
        <v>0</v>
      </c>
      <c r="AL1368" s="1172">
        <f t="shared" si="686"/>
        <v>0</v>
      </c>
      <c r="AM1368" s="1172">
        <f t="shared" si="686"/>
        <v>0</v>
      </c>
      <c r="AN1368" s="1172">
        <f t="shared" si="686"/>
        <v>0</v>
      </c>
      <c r="AO1368" s="1172">
        <f t="shared" si="686"/>
        <v>0</v>
      </c>
      <c r="AP1368" s="1172">
        <f t="shared" si="686"/>
        <v>0</v>
      </c>
      <c r="AQ1368" s="1618">
        <f t="shared" si="686"/>
        <v>0</v>
      </c>
      <c r="AR1368" s="193"/>
      <c r="AS1368" s="193"/>
      <c r="AT1368" s="193"/>
      <c r="AU1368" s="193"/>
    </row>
    <row r="1369" spans="1:47" ht="13.75" hidden="1" customHeight="1" x14ac:dyDescent="0.2">
      <c r="B1369" s="1695" t="s">
        <v>807</v>
      </c>
      <c r="C1369" s="1175"/>
      <c r="D1369" s="1175"/>
      <c r="E1369" s="1175"/>
      <c r="F1369" s="1175"/>
      <c r="G1369" s="1175"/>
      <c r="H1369" s="193"/>
      <c r="I1369" s="1172">
        <f t="shared" ref="I1369:T1371" si="687">SUMIF($V$1315:$V$1362,$B1369,I$1315:I$1362)</f>
        <v>0</v>
      </c>
      <c r="J1369" s="1172">
        <f t="shared" si="687"/>
        <v>0</v>
      </c>
      <c r="K1369" s="1172">
        <f t="shared" si="687"/>
        <v>0</v>
      </c>
      <c r="L1369" s="1172">
        <f t="shared" si="687"/>
        <v>0</v>
      </c>
      <c r="M1369" s="1172">
        <f t="shared" si="687"/>
        <v>0</v>
      </c>
      <c r="N1369" s="1172">
        <f t="shared" si="687"/>
        <v>0</v>
      </c>
      <c r="O1369" s="1172">
        <f t="shared" si="687"/>
        <v>0</v>
      </c>
      <c r="P1369" s="1172">
        <f t="shared" si="687"/>
        <v>0</v>
      </c>
      <c r="Q1369" s="1172">
        <f t="shared" si="687"/>
        <v>0</v>
      </c>
      <c r="R1369" s="1172">
        <f t="shared" si="687"/>
        <v>0</v>
      </c>
      <c r="S1369" s="1172">
        <f t="shared" si="687"/>
        <v>0</v>
      </c>
      <c r="T1369" s="1618">
        <f t="shared" si="687"/>
        <v>0</v>
      </c>
      <c r="U1369" s="193"/>
      <c r="V1369" s="193"/>
      <c r="W1369" s="193"/>
      <c r="X1369" s="193"/>
      <c r="Y1369" s="1695" t="s">
        <v>807</v>
      </c>
      <c r="Z1369" s="1175"/>
      <c r="AA1369" s="1175"/>
      <c r="AB1369" s="1175"/>
      <c r="AC1369" s="1175"/>
      <c r="AD1369" s="1175"/>
      <c r="AE1369" s="193"/>
      <c r="AF1369" s="1172">
        <f t="shared" si="686"/>
        <v>0</v>
      </c>
      <c r="AG1369" s="1172">
        <f t="shared" si="686"/>
        <v>0</v>
      </c>
      <c r="AH1369" s="1172">
        <f t="shared" si="686"/>
        <v>0</v>
      </c>
      <c r="AI1369" s="1172">
        <f t="shared" si="686"/>
        <v>0</v>
      </c>
      <c r="AJ1369" s="1172">
        <f t="shared" si="686"/>
        <v>0</v>
      </c>
      <c r="AK1369" s="1172">
        <f t="shared" si="686"/>
        <v>0</v>
      </c>
      <c r="AL1369" s="1172">
        <f t="shared" si="686"/>
        <v>0</v>
      </c>
      <c r="AM1369" s="1172">
        <f t="shared" si="686"/>
        <v>0</v>
      </c>
      <c r="AN1369" s="1172">
        <f t="shared" si="686"/>
        <v>0</v>
      </c>
      <c r="AO1369" s="1172">
        <f t="shared" si="686"/>
        <v>0</v>
      </c>
      <c r="AP1369" s="1172">
        <f t="shared" si="686"/>
        <v>0</v>
      </c>
      <c r="AQ1369" s="1618">
        <f t="shared" si="686"/>
        <v>0</v>
      </c>
      <c r="AR1369" s="193"/>
      <c r="AS1369" s="193"/>
      <c r="AT1369" s="193"/>
      <c r="AU1369" s="193"/>
    </row>
    <row r="1370" spans="1:47" ht="13.75" hidden="1" customHeight="1" x14ac:dyDescent="0.2">
      <c r="B1370" s="1695" t="s">
        <v>808</v>
      </c>
      <c r="C1370" s="1175"/>
      <c r="D1370" s="1175"/>
      <c r="E1370" s="1175"/>
      <c r="F1370" s="1175"/>
      <c r="G1370" s="1175"/>
      <c r="H1370" s="193"/>
      <c r="I1370" s="1172">
        <f t="shared" si="687"/>
        <v>0</v>
      </c>
      <c r="J1370" s="1172">
        <f t="shared" si="687"/>
        <v>0</v>
      </c>
      <c r="K1370" s="1172">
        <f t="shared" si="687"/>
        <v>0</v>
      </c>
      <c r="L1370" s="1172">
        <f t="shared" si="687"/>
        <v>0</v>
      </c>
      <c r="M1370" s="1172">
        <f t="shared" si="687"/>
        <v>0</v>
      </c>
      <c r="N1370" s="1172">
        <f t="shared" si="687"/>
        <v>0</v>
      </c>
      <c r="O1370" s="1172">
        <f t="shared" si="687"/>
        <v>0</v>
      </c>
      <c r="P1370" s="1172">
        <f t="shared" si="687"/>
        <v>0</v>
      </c>
      <c r="Q1370" s="1172">
        <f t="shared" si="687"/>
        <v>0</v>
      </c>
      <c r="R1370" s="1172">
        <f t="shared" si="687"/>
        <v>0</v>
      </c>
      <c r="S1370" s="1172">
        <f t="shared" si="687"/>
        <v>0</v>
      </c>
      <c r="T1370" s="1618">
        <f t="shared" si="687"/>
        <v>0</v>
      </c>
      <c r="U1370" s="193"/>
      <c r="V1370" s="193"/>
      <c r="W1370" s="193"/>
      <c r="X1370" s="193"/>
      <c r="Y1370" s="1695" t="s">
        <v>808</v>
      </c>
      <c r="Z1370" s="1175"/>
      <c r="AA1370" s="1175"/>
      <c r="AB1370" s="1175"/>
      <c r="AC1370" s="1175"/>
      <c r="AD1370" s="1175"/>
      <c r="AE1370" s="193"/>
      <c r="AF1370" s="1172">
        <f t="shared" si="686"/>
        <v>0</v>
      </c>
      <c r="AG1370" s="1172">
        <f t="shared" si="686"/>
        <v>0</v>
      </c>
      <c r="AH1370" s="1172">
        <f t="shared" si="686"/>
        <v>0</v>
      </c>
      <c r="AI1370" s="1172">
        <f t="shared" si="686"/>
        <v>0</v>
      </c>
      <c r="AJ1370" s="1172">
        <f t="shared" si="686"/>
        <v>0</v>
      </c>
      <c r="AK1370" s="1172">
        <f t="shared" si="686"/>
        <v>0</v>
      </c>
      <c r="AL1370" s="1172">
        <f t="shared" si="686"/>
        <v>0</v>
      </c>
      <c r="AM1370" s="1172">
        <f t="shared" si="686"/>
        <v>0</v>
      </c>
      <c r="AN1370" s="1172">
        <f t="shared" si="686"/>
        <v>0</v>
      </c>
      <c r="AO1370" s="1172">
        <f t="shared" si="686"/>
        <v>0</v>
      </c>
      <c r="AP1370" s="1172">
        <f t="shared" si="686"/>
        <v>0</v>
      </c>
      <c r="AQ1370" s="1618">
        <f t="shared" si="686"/>
        <v>0</v>
      </c>
      <c r="AR1370" s="193"/>
      <c r="AS1370" s="193"/>
      <c r="AT1370" s="193"/>
      <c r="AU1370" s="193"/>
    </row>
    <row r="1371" spans="1:47" ht="14.4" hidden="1" customHeight="1" thickBot="1" x14ac:dyDescent="0.25">
      <c r="B1371" s="1696" t="s">
        <v>809</v>
      </c>
      <c r="C1371" s="1672"/>
      <c r="D1371" s="1672"/>
      <c r="E1371" s="1672"/>
      <c r="F1371" s="1672"/>
      <c r="G1371" s="1672"/>
      <c r="H1371" s="1199"/>
      <c r="I1371" s="1622">
        <f t="shared" si="687"/>
        <v>0</v>
      </c>
      <c r="J1371" s="1622">
        <f t="shared" si="687"/>
        <v>0</v>
      </c>
      <c r="K1371" s="1622">
        <f t="shared" si="687"/>
        <v>0</v>
      </c>
      <c r="L1371" s="1622">
        <f t="shared" si="687"/>
        <v>0</v>
      </c>
      <c r="M1371" s="1622">
        <f t="shared" si="687"/>
        <v>0</v>
      </c>
      <c r="N1371" s="1622">
        <f t="shared" si="687"/>
        <v>0</v>
      </c>
      <c r="O1371" s="1622">
        <f t="shared" si="687"/>
        <v>0</v>
      </c>
      <c r="P1371" s="1622">
        <f t="shared" si="687"/>
        <v>0</v>
      </c>
      <c r="Q1371" s="1622">
        <f t="shared" si="687"/>
        <v>0</v>
      </c>
      <c r="R1371" s="1622">
        <f t="shared" si="687"/>
        <v>0</v>
      </c>
      <c r="S1371" s="1622">
        <f t="shared" si="687"/>
        <v>0</v>
      </c>
      <c r="T1371" s="1623">
        <f t="shared" si="687"/>
        <v>0</v>
      </c>
      <c r="U1371" s="193"/>
      <c r="V1371" s="193"/>
      <c r="W1371" s="193"/>
      <c r="X1371" s="193"/>
      <c r="Y1371" s="1696" t="s">
        <v>809</v>
      </c>
      <c r="Z1371" s="1672"/>
      <c r="AA1371" s="1672"/>
      <c r="AB1371" s="1672"/>
      <c r="AC1371" s="1672"/>
      <c r="AD1371" s="1672"/>
      <c r="AE1371" s="1199"/>
      <c r="AF1371" s="1622">
        <f t="shared" si="686"/>
        <v>0</v>
      </c>
      <c r="AG1371" s="1622">
        <f t="shared" si="686"/>
        <v>0</v>
      </c>
      <c r="AH1371" s="1622">
        <f t="shared" si="686"/>
        <v>0</v>
      </c>
      <c r="AI1371" s="1622">
        <f t="shared" si="686"/>
        <v>0</v>
      </c>
      <c r="AJ1371" s="1622">
        <f t="shared" si="686"/>
        <v>0</v>
      </c>
      <c r="AK1371" s="1622">
        <f t="shared" si="686"/>
        <v>0</v>
      </c>
      <c r="AL1371" s="1622">
        <f t="shared" si="686"/>
        <v>0</v>
      </c>
      <c r="AM1371" s="1622">
        <f t="shared" si="686"/>
        <v>0</v>
      </c>
      <c r="AN1371" s="1622">
        <f t="shared" si="686"/>
        <v>0</v>
      </c>
      <c r="AO1371" s="1622">
        <f t="shared" si="686"/>
        <v>0</v>
      </c>
      <c r="AP1371" s="1622">
        <f t="shared" si="686"/>
        <v>0</v>
      </c>
      <c r="AQ1371" s="1623">
        <f t="shared" si="686"/>
        <v>0</v>
      </c>
      <c r="AR1371" s="193"/>
      <c r="AS1371" s="193"/>
      <c r="AT1371" s="193"/>
      <c r="AU1371" s="193"/>
    </row>
    <row r="1372" spans="1:47" ht="14.4" hidden="1" customHeight="1" thickTop="1" x14ac:dyDescent="0.2">
      <c r="B1372" s="1689" t="s">
        <v>248</v>
      </c>
      <c r="C1372" s="1194"/>
      <c r="D1372" s="1194"/>
      <c r="E1372" s="1194"/>
      <c r="F1372" s="1194"/>
      <c r="G1372" s="1194"/>
      <c r="H1372" s="1194"/>
      <c r="I1372" s="1210"/>
      <c r="J1372" s="1210"/>
      <c r="K1372" s="1210"/>
      <c r="L1372" s="1210"/>
      <c r="M1372" s="1210"/>
      <c r="N1372" s="1210"/>
      <c r="O1372" s="1210"/>
      <c r="P1372" s="1210"/>
      <c r="Q1372" s="1210"/>
      <c r="R1372" s="1210"/>
      <c r="S1372" s="1210"/>
      <c r="T1372" s="1585"/>
      <c r="U1372" s="193"/>
      <c r="V1372" s="193"/>
      <c r="W1372" s="193"/>
      <c r="X1372" s="193"/>
      <c r="Y1372" s="1689" t="s">
        <v>248</v>
      </c>
      <c r="Z1372" s="1194"/>
      <c r="AA1372" s="1194"/>
      <c r="AB1372" s="1194"/>
      <c r="AC1372" s="1194"/>
      <c r="AD1372" s="1194"/>
      <c r="AE1372" s="1194"/>
      <c r="AF1372" s="1210"/>
      <c r="AG1372" s="1210"/>
      <c r="AH1372" s="1210"/>
      <c r="AI1372" s="1210"/>
      <c r="AJ1372" s="1210"/>
      <c r="AK1372" s="1210"/>
      <c r="AL1372" s="1210"/>
      <c r="AM1372" s="1210"/>
      <c r="AN1372" s="1210"/>
      <c r="AO1372" s="1210"/>
      <c r="AP1372" s="1210"/>
      <c r="AQ1372" s="1585"/>
      <c r="AR1372" s="193"/>
      <c r="AS1372" s="193"/>
      <c r="AT1372" s="193"/>
      <c r="AU1372" s="193"/>
    </row>
    <row r="1373" spans="1:47" ht="13.75" hidden="1" customHeight="1" x14ac:dyDescent="0.2">
      <c r="B1373" s="1695" t="s">
        <v>1825</v>
      </c>
      <c r="C1373" s="1175"/>
      <c r="D1373" s="1175"/>
      <c r="E1373" s="1175"/>
      <c r="F1373" s="1175"/>
      <c r="G1373" s="1175"/>
      <c r="H1373" s="193"/>
      <c r="I1373" s="1176">
        <f>SUMIF($V$1315:$V$1362,$B1373,I$1315:I$1362)</f>
        <v>0</v>
      </c>
      <c r="J1373" s="1176">
        <f t="shared" ref="J1373:S1373" si="688">SUMIF($V$1315:$V$1362,$B1373,J$1315:J$1362)</f>
        <v>0</v>
      </c>
      <c r="K1373" s="1176">
        <f t="shared" si="688"/>
        <v>0</v>
      </c>
      <c r="L1373" s="1176">
        <f t="shared" si="688"/>
        <v>0</v>
      </c>
      <c r="M1373" s="1176">
        <f t="shared" si="688"/>
        <v>0</v>
      </c>
      <c r="N1373" s="1176">
        <f t="shared" si="688"/>
        <v>0</v>
      </c>
      <c r="O1373" s="1176">
        <f t="shared" si="688"/>
        <v>0</v>
      </c>
      <c r="P1373" s="1176">
        <f t="shared" si="688"/>
        <v>0</v>
      </c>
      <c r="Q1373" s="1176">
        <f t="shared" si="688"/>
        <v>0</v>
      </c>
      <c r="R1373" s="1176">
        <f t="shared" si="688"/>
        <v>0</v>
      </c>
      <c r="S1373" s="1176">
        <f t="shared" si="688"/>
        <v>0</v>
      </c>
      <c r="T1373" s="1691">
        <f>SUMIF($V$1315:$V$1362,$B1373,T$1315:T$1362)</f>
        <v>0</v>
      </c>
      <c r="U1373" s="193"/>
      <c r="V1373" s="193"/>
      <c r="W1373" s="193"/>
      <c r="X1373" s="193"/>
      <c r="Y1373" s="1695" t="s">
        <v>1825</v>
      </c>
      <c r="Z1373" s="1175"/>
      <c r="AA1373" s="1175"/>
      <c r="AB1373" s="1175"/>
      <c r="AC1373" s="1175"/>
      <c r="AD1373" s="1175"/>
      <c r="AE1373" s="193"/>
      <c r="AF1373" s="1176">
        <f>SUMIF($AS$1315:$AS$1362,$Y1373,AF$1315:AF$1362)</f>
        <v>0</v>
      </c>
      <c r="AG1373" s="1176">
        <f t="shared" ref="AG1373:AQ1373" si="689">SUMIF($AS$1315:$AS$1362,$Y1373,AG$1315:AG$1362)</f>
        <v>0</v>
      </c>
      <c r="AH1373" s="1176">
        <f t="shared" si="689"/>
        <v>0</v>
      </c>
      <c r="AI1373" s="1176">
        <f t="shared" si="689"/>
        <v>0</v>
      </c>
      <c r="AJ1373" s="1176">
        <f t="shared" si="689"/>
        <v>0</v>
      </c>
      <c r="AK1373" s="1176">
        <f t="shared" si="689"/>
        <v>0</v>
      </c>
      <c r="AL1373" s="1176">
        <f t="shared" si="689"/>
        <v>0</v>
      </c>
      <c r="AM1373" s="1176">
        <f t="shared" si="689"/>
        <v>0</v>
      </c>
      <c r="AN1373" s="1176">
        <f t="shared" si="689"/>
        <v>0</v>
      </c>
      <c r="AO1373" s="1176">
        <f t="shared" si="689"/>
        <v>0</v>
      </c>
      <c r="AP1373" s="1176">
        <f t="shared" si="689"/>
        <v>0</v>
      </c>
      <c r="AQ1373" s="1691">
        <f t="shared" si="689"/>
        <v>0</v>
      </c>
      <c r="AR1373" s="193"/>
      <c r="AS1373" s="193"/>
      <c r="AT1373" s="193"/>
      <c r="AU1373" s="193"/>
    </row>
    <row r="1374" spans="1:47" ht="13.75" hidden="1" customHeight="1" x14ac:dyDescent="0.2">
      <c r="B1374" s="1695" t="s">
        <v>1826</v>
      </c>
      <c r="C1374" s="1175"/>
      <c r="D1374" s="1175"/>
      <c r="E1374" s="1175"/>
      <c r="F1374" s="1175"/>
      <c r="G1374" s="1175"/>
      <c r="H1374" s="193"/>
      <c r="I1374" s="1176">
        <f t="shared" ref="I1374:T1376" si="690">SUMIF($V$1315:$V$1362,$B1374,I$1315:I$1362)</f>
        <v>0</v>
      </c>
      <c r="J1374" s="1176">
        <f t="shared" si="690"/>
        <v>0</v>
      </c>
      <c r="K1374" s="1176">
        <f t="shared" si="690"/>
        <v>0</v>
      </c>
      <c r="L1374" s="1176">
        <f t="shared" si="690"/>
        <v>0</v>
      </c>
      <c r="M1374" s="1176">
        <f t="shared" si="690"/>
        <v>0</v>
      </c>
      <c r="N1374" s="1176">
        <f t="shared" si="690"/>
        <v>0</v>
      </c>
      <c r="O1374" s="1176">
        <f t="shared" si="690"/>
        <v>0</v>
      </c>
      <c r="P1374" s="1176">
        <f t="shared" si="690"/>
        <v>0</v>
      </c>
      <c r="Q1374" s="1176">
        <f t="shared" si="690"/>
        <v>0</v>
      </c>
      <c r="R1374" s="1176">
        <f t="shared" si="690"/>
        <v>0</v>
      </c>
      <c r="S1374" s="1176">
        <f t="shared" si="690"/>
        <v>0</v>
      </c>
      <c r="T1374" s="1691">
        <f t="shared" si="690"/>
        <v>0</v>
      </c>
      <c r="U1374" s="193"/>
      <c r="V1374" s="193"/>
      <c r="W1374" s="193"/>
      <c r="X1374" s="193"/>
      <c r="Y1374" s="1695" t="s">
        <v>1826</v>
      </c>
      <c r="Z1374" s="1175"/>
      <c r="AA1374" s="1175"/>
      <c r="AB1374" s="1175"/>
      <c r="AC1374" s="1175"/>
      <c r="AD1374" s="1175"/>
      <c r="AE1374" s="193"/>
      <c r="AF1374" s="1176">
        <f t="shared" ref="AF1374:AQ1376" si="691">SUMIF($AS$1315:$AS$1362,$Y1374,AF$1315:AF$1362)</f>
        <v>0</v>
      </c>
      <c r="AG1374" s="1176">
        <f t="shared" si="691"/>
        <v>0</v>
      </c>
      <c r="AH1374" s="1176">
        <f t="shared" si="691"/>
        <v>0</v>
      </c>
      <c r="AI1374" s="1176">
        <f t="shared" si="691"/>
        <v>0</v>
      </c>
      <c r="AJ1374" s="1176">
        <f t="shared" si="691"/>
        <v>0</v>
      </c>
      <c r="AK1374" s="1176">
        <f t="shared" si="691"/>
        <v>0</v>
      </c>
      <c r="AL1374" s="1176">
        <f t="shared" si="691"/>
        <v>0</v>
      </c>
      <c r="AM1374" s="1176">
        <f t="shared" si="691"/>
        <v>0</v>
      </c>
      <c r="AN1374" s="1176">
        <f t="shared" si="691"/>
        <v>0</v>
      </c>
      <c r="AO1374" s="1176">
        <f t="shared" si="691"/>
        <v>0</v>
      </c>
      <c r="AP1374" s="1176">
        <f t="shared" si="691"/>
        <v>0</v>
      </c>
      <c r="AQ1374" s="1691">
        <f t="shared" si="691"/>
        <v>0</v>
      </c>
      <c r="AR1374" s="193"/>
      <c r="AS1374" s="193"/>
      <c r="AT1374" s="193"/>
      <c r="AU1374" s="193"/>
    </row>
    <row r="1375" spans="1:47" ht="13.75" hidden="1" customHeight="1" x14ac:dyDescent="0.2">
      <c r="B1375" s="1695" t="s">
        <v>1827</v>
      </c>
      <c r="C1375" s="1175"/>
      <c r="D1375" s="1175"/>
      <c r="E1375" s="1175"/>
      <c r="F1375" s="1175"/>
      <c r="G1375" s="1175"/>
      <c r="H1375" s="193"/>
      <c r="I1375" s="1176">
        <f t="shared" si="690"/>
        <v>0</v>
      </c>
      <c r="J1375" s="1176">
        <f t="shared" si="690"/>
        <v>0</v>
      </c>
      <c r="K1375" s="1176">
        <f t="shared" si="690"/>
        <v>0</v>
      </c>
      <c r="L1375" s="1176">
        <f t="shared" si="690"/>
        <v>0</v>
      </c>
      <c r="M1375" s="1176">
        <f t="shared" si="690"/>
        <v>0</v>
      </c>
      <c r="N1375" s="1176">
        <f t="shared" si="690"/>
        <v>0</v>
      </c>
      <c r="O1375" s="1176">
        <f t="shared" si="690"/>
        <v>0</v>
      </c>
      <c r="P1375" s="1176">
        <f t="shared" si="690"/>
        <v>0</v>
      </c>
      <c r="Q1375" s="1176">
        <f t="shared" si="690"/>
        <v>0</v>
      </c>
      <c r="R1375" s="1176">
        <f t="shared" si="690"/>
        <v>0</v>
      </c>
      <c r="S1375" s="1176">
        <f t="shared" si="690"/>
        <v>0</v>
      </c>
      <c r="T1375" s="1691">
        <f t="shared" si="690"/>
        <v>0</v>
      </c>
      <c r="U1375" s="193"/>
      <c r="V1375" s="193"/>
      <c r="W1375" s="193"/>
      <c r="X1375" s="193"/>
      <c r="Y1375" s="1695" t="s">
        <v>1827</v>
      </c>
      <c r="Z1375" s="1175"/>
      <c r="AA1375" s="1175"/>
      <c r="AB1375" s="1175"/>
      <c r="AC1375" s="1175"/>
      <c r="AD1375" s="1175"/>
      <c r="AE1375" s="193"/>
      <c r="AF1375" s="1176">
        <f t="shared" si="691"/>
        <v>0</v>
      </c>
      <c r="AG1375" s="1176">
        <f t="shared" si="691"/>
        <v>0</v>
      </c>
      <c r="AH1375" s="1176">
        <f t="shared" si="691"/>
        <v>0</v>
      </c>
      <c r="AI1375" s="1176">
        <f t="shared" si="691"/>
        <v>0</v>
      </c>
      <c r="AJ1375" s="1176">
        <f t="shared" si="691"/>
        <v>0</v>
      </c>
      <c r="AK1375" s="1176">
        <f t="shared" si="691"/>
        <v>0</v>
      </c>
      <c r="AL1375" s="1176">
        <f t="shared" si="691"/>
        <v>0</v>
      </c>
      <c r="AM1375" s="1176">
        <f t="shared" si="691"/>
        <v>0</v>
      </c>
      <c r="AN1375" s="1176">
        <f t="shared" si="691"/>
        <v>0</v>
      </c>
      <c r="AO1375" s="1176">
        <f t="shared" si="691"/>
        <v>0</v>
      </c>
      <c r="AP1375" s="1176">
        <f t="shared" si="691"/>
        <v>0</v>
      </c>
      <c r="AQ1375" s="1691">
        <f t="shared" si="691"/>
        <v>0</v>
      </c>
      <c r="AR1375" s="193"/>
      <c r="AS1375" s="193"/>
      <c r="AT1375" s="193"/>
      <c r="AU1375" s="193"/>
    </row>
    <row r="1376" spans="1:47" ht="14.4" hidden="1" customHeight="1" thickBot="1" x14ac:dyDescent="0.25">
      <c r="B1376" s="1696" t="s">
        <v>1828</v>
      </c>
      <c r="C1376" s="1672"/>
      <c r="D1376" s="1672"/>
      <c r="E1376" s="1672"/>
      <c r="F1376" s="1672"/>
      <c r="G1376" s="1672"/>
      <c r="H1376" s="1199"/>
      <c r="I1376" s="1693">
        <f t="shared" si="690"/>
        <v>0</v>
      </c>
      <c r="J1376" s="1693">
        <f t="shared" si="690"/>
        <v>0</v>
      </c>
      <c r="K1376" s="1693">
        <f t="shared" si="690"/>
        <v>0</v>
      </c>
      <c r="L1376" s="1693">
        <f t="shared" si="690"/>
        <v>0</v>
      </c>
      <c r="M1376" s="1693">
        <f t="shared" si="690"/>
        <v>0</v>
      </c>
      <c r="N1376" s="1693">
        <f t="shared" si="690"/>
        <v>0</v>
      </c>
      <c r="O1376" s="1693">
        <f t="shared" si="690"/>
        <v>0</v>
      </c>
      <c r="P1376" s="1693">
        <f t="shared" si="690"/>
        <v>0</v>
      </c>
      <c r="Q1376" s="1693">
        <f t="shared" si="690"/>
        <v>0</v>
      </c>
      <c r="R1376" s="1693">
        <f t="shared" si="690"/>
        <v>0</v>
      </c>
      <c r="S1376" s="1693">
        <f t="shared" si="690"/>
        <v>0</v>
      </c>
      <c r="T1376" s="1694">
        <f t="shared" si="690"/>
        <v>0</v>
      </c>
      <c r="U1376" s="193"/>
      <c r="V1376" s="193"/>
      <c r="W1376" s="193"/>
      <c r="X1376" s="193"/>
      <c r="Y1376" s="1696" t="s">
        <v>1828</v>
      </c>
      <c r="Z1376" s="1672"/>
      <c r="AA1376" s="1672"/>
      <c r="AB1376" s="1672"/>
      <c r="AC1376" s="1672"/>
      <c r="AD1376" s="1672"/>
      <c r="AE1376" s="1199"/>
      <c r="AF1376" s="1176">
        <f t="shared" si="691"/>
        <v>0</v>
      </c>
      <c r="AG1376" s="1693">
        <f t="shared" si="691"/>
        <v>0</v>
      </c>
      <c r="AH1376" s="1693">
        <f t="shared" si="691"/>
        <v>0</v>
      </c>
      <c r="AI1376" s="1693">
        <f t="shared" si="691"/>
        <v>0</v>
      </c>
      <c r="AJ1376" s="1693">
        <f t="shared" si="691"/>
        <v>0</v>
      </c>
      <c r="AK1376" s="1693">
        <f t="shared" si="691"/>
        <v>0</v>
      </c>
      <c r="AL1376" s="1693">
        <f t="shared" si="691"/>
        <v>0</v>
      </c>
      <c r="AM1376" s="1693">
        <f t="shared" si="691"/>
        <v>0</v>
      </c>
      <c r="AN1376" s="1693">
        <f t="shared" si="691"/>
        <v>0</v>
      </c>
      <c r="AO1376" s="1693">
        <f t="shared" si="691"/>
        <v>0</v>
      </c>
      <c r="AP1376" s="1693">
        <f t="shared" si="691"/>
        <v>0</v>
      </c>
      <c r="AQ1376" s="1694">
        <f t="shared" si="691"/>
        <v>0</v>
      </c>
      <c r="AR1376" s="193"/>
      <c r="AS1376" s="193"/>
      <c r="AT1376" s="193"/>
      <c r="AU1376" s="193"/>
    </row>
    <row r="1377" spans="1:46" ht="14.4" hidden="1" customHeight="1" thickTop="1" x14ac:dyDescent="0.2">
      <c r="B1377" s="1689" t="s">
        <v>345</v>
      </c>
      <c r="C1377" s="1194"/>
      <c r="D1377" s="1194"/>
      <c r="E1377" s="1194"/>
      <c r="F1377" s="1194"/>
      <c r="G1377" s="1194"/>
      <c r="H1377" s="1194"/>
      <c r="I1377" s="1194"/>
      <c r="J1377" s="1194"/>
      <c r="K1377" s="1194"/>
      <c r="L1377" s="1194"/>
      <c r="M1377" s="1194"/>
      <c r="N1377" s="1194"/>
      <c r="O1377" s="1194"/>
      <c r="P1377" s="1194"/>
      <c r="Q1377" s="1194"/>
      <c r="R1377" s="1194"/>
      <c r="S1377" s="1194"/>
      <c r="T1377" s="1599"/>
      <c r="U1377" s="193"/>
      <c r="V1377" s="254"/>
      <c r="W1377" s="254"/>
      <c r="X1377" s="254"/>
      <c r="Y1377" s="1689" t="s">
        <v>345</v>
      </c>
      <c r="Z1377" s="1194"/>
      <c r="AA1377" s="1194"/>
      <c r="AB1377" s="1194"/>
      <c r="AC1377" s="1194"/>
      <c r="AD1377" s="1194"/>
      <c r="AE1377" s="1194"/>
      <c r="AF1377" s="1194"/>
      <c r="AG1377" s="1194"/>
      <c r="AH1377" s="1194"/>
      <c r="AI1377" s="1194"/>
      <c r="AJ1377" s="1194"/>
      <c r="AK1377" s="1194"/>
      <c r="AL1377" s="1194"/>
      <c r="AM1377" s="1194"/>
      <c r="AN1377" s="1194"/>
      <c r="AO1377" s="1194"/>
      <c r="AP1377" s="1194"/>
      <c r="AQ1377" s="1599"/>
      <c r="AR1377" s="193"/>
      <c r="AS1377" s="254"/>
      <c r="AT1377" s="254"/>
    </row>
    <row r="1378" spans="1:46" ht="13.75" hidden="1" customHeight="1" x14ac:dyDescent="0.2">
      <c r="B1378" s="1695" t="s">
        <v>1095</v>
      </c>
      <c r="C1378" s="1175"/>
      <c r="D1378" s="1175"/>
      <c r="E1378" s="1175"/>
      <c r="F1378" s="1175"/>
      <c r="G1378" s="1175"/>
      <c r="H1378" s="193"/>
      <c r="I1378" s="1172">
        <f>SUMIF($V$1315:$V$1362,$B1378,I$1315:I$1362)</f>
        <v>0</v>
      </c>
      <c r="J1378" s="1172">
        <f t="shared" ref="I1378:T1381" si="692">SUMIF($V$1315:$V$1362,$B1378,J$1315:J$1362)</f>
        <v>0</v>
      </c>
      <c r="K1378" s="1172">
        <f t="shared" si="692"/>
        <v>0</v>
      </c>
      <c r="L1378" s="1172">
        <f t="shared" si="692"/>
        <v>0</v>
      </c>
      <c r="M1378" s="1172">
        <f t="shared" si="692"/>
        <v>0</v>
      </c>
      <c r="N1378" s="1172">
        <f t="shared" si="692"/>
        <v>0</v>
      </c>
      <c r="O1378" s="1172">
        <f t="shared" si="692"/>
        <v>0</v>
      </c>
      <c r="P1378" s="1172">
        <f t="shared" si="692"/>
        <v>0</v>
      </c>
      <c r="Q1378" s="1172">
        <f t="shared" si="692"/>
        <v>0</v>
      </c>
      <c r="R1378" s="1172">
        <f t="shared" si="692"/>
        <v>0</v>
      </c>
      <c r="S1378" s="1172">
        <f t="shared" si="692"/>
        <v>0</v>
      </c>
      <c r="T1378" s="1618">
        <f t="shared" si="692"/>
        <v>0</v>
      </c>
      <c r="U1378" s="193"/>
      <c r="V1378" s="254"/>
      <c r="W1378" s="254"/>
      <c r="X1378" s="254"/>
      <c r="Y1378" s="1695" t="s">
        <v>1829</v>
      </c>
      <c r="Z1378" s="1175"/>
      <c r="AA1378" s="1175"/>
      <c r="AB1378" s="1175"/>
      <c r="AC1378" s="1175"/>
      <c r="AD1378" s="1175"/>
      <c r="AE1378" s="193"/>
      <c r="AF1378" s="1172">
        <f t="shared" ref="AF1378:AQ1381" si="693">SUMIF($AS$1315:$AS$1362,$B1378,AF$1315:AF$1362)</f>
        <v>0</v>
      </c>
      <c r="AG1378" s="1172">
        <f t="shared" si="693"/>
        <v>0</v>
      </c>
      <c r="AH1378" s="1172">
        <f t="shared" si="693"/>
        <v>0</v>
      </c>
      <c r="AI1378" s="1172">
        <f t="shared" si="693"/>
        <v>0</v>
      </c>
      <c r="AJ1378" s="1172">
        <f t="shared" si="693"/>
        <v>0</v>
      </c>
      <c r="AK1378" s="1172">
        <f t="shared" si="693"/>
        <v>0</v>
      </c>
      <c r="AL1378" s="1172">
        <f t="shared" si="693"/>
        <v>0</v>
      </c>
      <c r="AM1378" s="1172">
        <f t="shared" si="693"/>
        <v>0</v>
      </c>
      <c r="AN1378" s="1172">
        <f t="shared" si="693"/>
        <v>0</v>
      </c>
      <c r="AO1378" s="1172">
        <f t="shared" si="693"/>
        <v>0</v>
      </c>
      <c r="AP1378" s="1172">
        <f t="shared" si="693"/>
        <v>0</v>
      </c>
      <c r="AQ1378" s="1618">
        <f t="shared" si="693"/>
        <v>0</v>
      </c>
      <c r="AR1378" s="193"/>
      <c r="AS1378" s="254"/>
      <c r="AT1378" s="254"/>
    </row>
    <row r="1379" spans="1:46" ht="13.75" hidden="1" customHeight="1" x14ac:dyDescent="0.2">
      <c r="B1379" s="1695" t="s">
        <v>804</v>
      </c>
      <c r="C1379" s="1175"/>
      <c r="D1379" s="1175"/>
      <c r="E1379" s="1175"/>
      <c r="F1379" s="1175"/>
      <c r="G1379" s="1175"/>
      <c r="H1379" s="193"/>
      <c r="I1379" s="1172">
        <f t="shared" si="692"/>
        <v>0</v>
      </c>
      <c r="J1379" s="1172">
        <f t="shared" si="692"/>
        <v>0</v>
      </c>
      <c r="K1379" s="1172">
        <f t="shared" si="692"/>
        <v>0</v>
      </c>
      <c r="L1379" s="1172">
        <f t="shared" si="692"/>
        <v>0</v>
      </c>
      <c r="M1379" s="1172">
        <f t="shared" si="692"/>
        <v>0</v>
      </c>
      <c r="N1379" s="1172">
        <f t="shared" si="692"/>
        <v>0</v>
      </c>
      <c r="O1379" s="1172">
        <f t="shared" si="692"/>
        <v>0</v>
      </c>
      <c r="P1379" s="1172">
        <f t="shared" si="692"/>
        <v>0</v>
      </c>
      <c r="Q1379" s="1172">
        <f t="shared" si="692"/>
        <v>0</v>
      </c>
      <c r="R1379" s="1172">
        <f t="shared" si="692"/>
        <v>0</v>
      </c>
      <c r="S1379" s="1172">
        <f t="shared" si="692"/>
        <v>0</v>
      </c>
      <c r="T1379" s="1618">
        <f t="shared" si="692"/>
        <v>0</v>
      </c>
      <c r="U1379" s="193"/>
      <c r="V1379" s="254"/>
      <c r="W1379" s="254"/>
      <c r="X1379" s="254"/>
      <c r="Y1379" s="1695" t="s">
        <v>804</v>
      </c>
      <c r="Z1379" s="1175"/>
      <c r="AA1379" s="1175"/>
      <c r="AB1379" s="1175"/>
      <c r="AC1379" s="1175"/>
      <c r="AD1379" s="1175"/>
      <c r="AE1379" s="193"/>
      <c r="AF1379" s="1172">
        <f t="shared" si="693"/>
        <v>0</v>
      </c>
      <c r="AG1379" s="1172">
        <f t="shared" si="693"/>
        <v>0</v>
      </c>
      <c r="AH1379" s="1172">
        <f t="shared" si="693"/>
        <v>0</v>
      </c>
      <c r="AI1379" s="1172">
        <f t="shared" si="693"/>
        <v>0</v>
      </c>
      <c r="AJ1379" s="1172">
        <f t="shared" si="693"/>
        <v>0</v>
      </c>
      <c r="AK1379" s="1172">
        <f t="shared" si="693"/>
        <v>0</v>
      </c>
      <c r="AL1379" s="1172">
        <f t="shared" si="693"/>
        <v>0</v>
      </c>
      <c r="AM1379" s="1172">
        <f t="shared" si="693"/>
        <v>0</v>
      </c>
      <c r="AN1379" s="1172">
        <f t="shared" si="693"/>
        <v>0</v>
      </c>
      <c r="AO1379" s="1172">
        <f t="shared" si="693"/>
        <v>0</v>
      </c>
      <c r="AP1379" s="1172">
        <f t="shared" si="693"/>
        <v>0</v>
      </c>
      <c r="AQ1379" s="1618">
        <f t="shared" si="693"/>
        <v>0</v>
      </c>
      <c r="AR1379" s="193"/>
      <c r="AS1379" s="254"/>
      <c r="AT1379" s="254"/>
    </row>
    <row r="1380" spans="1:46" ht="13.75" hidden="1" customHeight="1" x14ac:dyDescent="0.2">
      <c r="B1380" s="1695" t="s">
        <v>805</v>
      </c>
      <c r="C1380" s="1175"/>
      <c r="D1380" s="1175"/>
      <c r="E1380" s="1175"/>
      <c r="F1380" s="1175"/>
      <c r="G1380" s="1175"/>
      <c r="H1380" s="193"/>
      <c r="I1380" s="1172">
        <f t="shared" si="692"/>
        <v>0</v>
      </c>
      <c r="J1380" s="1172">
        <f t="shared" si="692"/>
        <v>0</v>
      </c>
      <c r="K1380" s="1172">
        <f t="shared" si="692"/>
        <v>0</v>
      </c>
      <c r="L1380" s="1172">
        <f t="shared" si="692"/>
        <v>0</v>
      </c>
      <c r="M1380" s="1172">
        <f t="shared" si="692"/>
        <v>0</v>
      </c>
      <c r="N1380" s="1172">
        <f t="shared" si="692"/>
        <v>0</v>
      </c>
      <c r="O1380" s="1172">
        <f t="shared" si="692"/>
        <v>0</v>
      </c>
      <c r="P1380" s="1172">
        <f t="shared" si="692"/>
        <v>0</v>
      </c>
      <c r="Q1380" s="1172">
        <f t="shared" si="692"/>
        <v>0</v>
      </c>
      <c r="R1380" s="1172">
        <f t="shared" si="692"/>
        <v>0</v>
      </c>
      <c r="S1380" s="1172">
        <f t="shared" si="692"/>
        <v>0</v>
      </c>
      <c r="T1380" s="1618">
        <f t="shared" si="692"/>
        <v>0</v>
      </c>
      <c r="U1380" s="193"/>
      <c r="V1380" s="254"/>
      <c r="W1380" s="254"/>
      <c r="X1380" s="254"/>
      <c r="Y1380" s="1695" t="s">
        <v>805</v>
      </c>
      <c r="Z1380" s="1175"/>
      <c r="AA1380" s="1175"/>
      <c r="AB1380" s="1175"/>
      <c r="AC1380" s="1175"/>
      <c r="AD1380" s="1175"/>
      <c r="AE1380" s="193"/>
      <c r="AF1380" s="1172">
        <f t="shared" si="693"/>
        <v>0</v>
      </c>
      <c r="AG1380" s="1172">
        <f t="shared" si="693"/>
        <v>0</v>
      </c>
      <c r="AH1380" s="1172">
        <f t="shared" si="693"/>
        <v>0</v>
      </c>
      <c r="AI1380" s="1172">
        <f t="shared" si="693"/>
        <v>0</v>
      </c>
      <c r="AJ1380" s="1172">
        <f t="shared" si="693"/>
        <v>0</v>
      </c>
      <c r="AK1380" s="1172">
        <f t="shared" si="693"/>
        <v>0</v>
      </c>
      <c r="AL1380" s="1172">
        <f t="shared" si="693"/>
        <v>0</v>
      </c>
      <c r="AM1380" s="1172">
        <f t="shared" si="693"/>
        <v>0</v>
      </c>
      <c r="AN1380" s="1172">
        <f t="shared" si="693"/>
        <v>0</v>
      </c>
      <c r="AO1380" s="1172">
        <f t="shared" si="693"/>
        <v>0</v>
      </c>
      <c r="AP1380" s="1172">
        <f t="shared" si="693"/>
        <v>0</v>
      </c>
      <c r="AQ1380" s="1618">
        <f t="shared" si="693"/>
        <v>0</v>
      </c>
      <c r="AR1380" s="193"/>
      <c r="AS1380" s="254"/>
      <c r="AT1380" s="254"/>
    </row>
    <row r="1381" spans="1:46" ht="14.4" hidden="1" customHeight="1" thickBot="1" x14ac:dyDescent="0.25">
      <c r="B1381" s="1696" t="s">
        <v>806</v>
      </c>
      <c r="C1381" s="1672"/>
      <c r="D1381" s="1672"/>
      <c r="E1381" s="1672"/>
      <c r="F1381" s="1672"/>
      <c r="G1381" s="1672"/>
      <c r="H1381" s="1199"/>
      <c r="I1381" s="1622">
        <f t="shared" si="692"/>
        <v>0</v>
      </c>
      <c r="J1381" s="1622">
        <f t="shared" si="692"/>
        <v>0</v>
      </c>
      <c r="K1381" s="1622">
        <f t="shared" si="692"/>
        <v>0</v>
      </c>
      <c r="L1381" s="1622">
        <f t="shared" si="692"/>
        <v>0</v>
      </c>
      <c r="M1381" s="1622">
        <f t="shared" si="692"/>
        <v>0</v>
      </c>
      <c r="N1381" s="1622">
        <f t="shared" si="692"/>
        <v>0</v>
      </c>
      <c r="O1381" s="1622">
        <f t="shared" si="692"/>
        <v>0</v>
      </c>
      <c r="P1381" s="1622">
        <f t="shared" si="692"/>
        <v>0</v>
      </c>
      <c r="Q1381" s="1622">
        <f t="shared" si="692"/>
        <v>0</v>
      </c>
      <c r="R1381" s="1622">
        <f t="shared" si="692"/>
        <v>0</v>
      </c>
      <c r="S1381" s="1622">
        <f t="shared" si="692"/>
        <v>0</v>
      </c>
      <c r="T1381" s="1623">
        <f t="shared" si="692"/>
        <v>0</v>
      </c>
      <c r="U1381" s="193"/>
      <c r="V1381" s="254"/>
      <c r="W1381" s="254"/>
      <c r="X1381" s="254"/>
      <c r="Y1381" s="1696" t="s">
        <v>806</v>
      </c>
      <c r="Z1381" s="1672"/>
      <c r="AA1381" s="1672"/>
      <c r="AB1381" s="1672"/>
      <c r="AC1381" s="1672"/>
      <c r="AD1381" s="1672"/>
      <c r="AE1381" s="1199"/>
      <c r="AF1381" s="1622">
        <f t="shared" si="693"/>
        <v>0</v>
      </c>
      <c r="AG1381" s="1622">
        <f t="shared" si="693"/>
        <v>0</v>
      </c>
      <c r="AH1381" s="1622">
        <f t="shared" si="693"/>
        <v>0</v>
      </c>
      <c r="AI1381" s="1622">
        <f t="shared" si="693"/>
        <v>0</v>
      </c>
      <c r="AJ1381" s="1622">
        <f t="shared" si="693"/>
        <v>0</v>
      </c>
      <c r="AK1381" s="1622">
        <f t="shared" si="693"/>
        <v>0</v>
      </c>
      <c r="AL1381" s="1622">
        <f t="shared" si="693"/>
        <v>0</v>
      </c>
      <c r="AM1381" s="1622">
        <f t="shared" si="693"/>
        <v>0</v>
      </c>
      <c r="AN1381" s="1622">
        <f t="shared" si="693"/>
        <v>0</v>
      </c>
      <c r="AO1381" s="1622">
        <f t="shared" si="693"/>
        <v>0</v>
      </c>
      <c r="AP1381" s="1622">
        <f t="shared" si="693"/>
        <v>0</v>
      </c>
      <c r="AQ1381" s="1623">
        <f t="shared" si="693"/>
        <v>0</v>
      </c>
      <c r="AR1381" s="193"/>
      <c r="AS1381" s="254"/>
      <c r="AT1381" s="254"/>
    </row>
    <row r="1382" spans="1:46" ht="14.4" hidden="1" customHeight="1" thickTop="1" x14ac:dyDescent="0.2">
      <c r="B1382" s="1594" t="s">
        <v>1824</v>
      </c>
      <c r="C1382" s="193"/>
      <c r="D1382" s="193"/>
      <c r="E1382" s="193"/>
      <c r="F1382" s="193"/>
      <c r="G1382" s="193"/>
      <c r="H1382" s="193"/>
      <c r="I1382" s="1186">
        <f t="shared" ref="I1382:T1382" si="694">+I1363+AF1363</f>
        <v>0</v>
      </c>
      <c r="J1382" s="1186">
        <f t="shared" si="694"/>
        <v>0</v>
      </c>
      <c r="K1382" s="1186">
        <f t="shared" si="694"/>
        <v>0</v>
      </c>
      <c r="L1382" s="1186">
        <f t="shared" si="694"/>
        <v>0</v>
      </c>
      <c r="M1382" s="1186">
        <f t="shared" si="694"/>
        <v>0</v>
      </c>
      <c r="N1382" s="1186">
        <f t="shared" si="694"/>
        <v>0</v>
      </c>
      <c r="O1382" s="1186">
        <f t="shared" si="694"/>
        <v>0</v>
      </c>
      <c r="P1382" s="1186">
        <f t="shared" si="694"/>
        <v>0</v>
      </c>
      <c r="Q1382" s="1186">
        <f t="shared" si="694"/>
        <v>0</v>
      </c>
      <c r="R1382" s="1186">
        <f t="shared" si="694"/>
        <v>0</v>
      </c>
      <c r="S1382" s="1186">
        <f t="shared" si="694"/>
        <v>0</v>
      </c>
      <c r="T1382" s="1617">
        <f t="shared" si="694"/>
        <v>0</v>
      </c>
      <c r="U1382" s="204"/>
      <c r="V1382" s="254"/>
      <c r="W1382" s="254"/>
      <c r="X1382" s="254"/>
      <c r="Y1382" s="1641"/>
      <c r="Z1382" s="1194"/>
      <c r="AA1382" s="1194"/>
      <c r="AB1382" s="1194"/>
      <c r="AC1382" s="1194"/>
      <c r="AD1382" s="1194"/>
      <c r="AE1382" s="1194"/>
      <c r="AF1382" s="1642"/>
      <c r="AG1382" s="1642"/>
      <c r="AH1382" s="1642"/>
      <c r="AI1382" s="1642"/>
      <c r="AJ1382" s="1642"/>
      <c r="AK1382" s="1642"/>
      <c r="AL1382" s="1642"/>
      <c r="AM1382" s="1642"/>
      <c r="AN1382" s="1642"/>
      <c r="AO1382" s="1642"/>
      <c r="AP1382" s="1642"/>
      <c r="AQ1382" s="1642"/>
      <c r="AR1382" s="193"/>
      <c r="AS1382" s="254"/>
      <c r="AT1382" s="254"/>
    </row>
    <row r="1383" spans="1:46" ht="13.75" hidden="1" customHeight="1" x14ac:dyDescent="0.2">
      <c r="B1383" s="1594"/>
      <c r="C1383" s="193"/>
      <c r="D1383" s="193"/>
      <c r="E1383" s="193"/>
      <c r="F1383" s="193"/>
      <c r="G1383" s="193"/>
      <c r="H1383" s="193"/>
      <c r="I1383" s="1172">
        <f t="shared" ref="I1383:T1383" si="695">+SUM(I1368:I1381)+SUM(AF1368:AF1381)</f>
        <v>0</v>
      </c>
      <c r="J1383" s="1172">
        <f t="shared" si="695"/>
        <v>0</v>
      </c>
      <c r="K1383" s="1172">
        <f t="shared" si="695"/>
        <v>0</v>
      </c>
      <c r="L1383" s="1172">
        <f t="shared" si="695"/>
        <v>0</v>
      </c>
      <c r="M1383" s="1172">
        <f t="shared" si="695"/>
        <v>0</v>
      </c>
      <c r="N1383" s="1172">
        <f t="shared" si="695"/>
        <v>0</v>
      </c>
      <c r="O1383" s="1172">
        <f t="shared" si="695"/>
        <v>0</v>
      </c>
      <c r="P1383" s="1172">
        <f t="shared" si="695"/>
        <v>0</v>
      </c>
      <c r="Q1383" s="1172">
        <f t="shared" si="695"/>
        <v>0</v>
      </c>
      <c r="R1383" s="1172">
        <f t="shared" si="695"/>
        <v>0</v>
      </c>
      <c r="S1383" s="1172">
        <f t="shared" si="695"/>
        <v>0</v>
      </c>
      <c r="T1383" s="1618">
        <f t="shared" si="695"/>
        <v>0</v>
      </c>
      <c r="U1383" s="193"/>
      <c r="V1383" s="254"/>
      <c r="W1383" s="254"/>
      <c r="X1383" s="254"/>
      <c r="Y1383" s="381"/>
      <c r="Z1383" s="193"/>
      <c r="AA1383" s="193"/>
      <c r="AB1383" s="193"/>
      <c r="AC1383" s="193"/>
      <c r="AD1383" s="193"/>
      <c r="AE1383" s="193"/>
      <c r="AF1383" s="372"/>
      <c r="AG1383" s="372"/>
      <c r="AH1383" s="372"/>
      <c r="AI1383" s="372"/>
      <c r="AJ1383" s="372"/>
      <c r="AK1383" s="372"/>
      <c r="AL1383" s="372"/>
      <c r="AM1383" s="372"/>
      <c r="AN1383" s="372"/>
      <c r="AO1383" s="372"/>
      <c r="AP1383" s="372"/>
      <c r="AQ1383" s="372"/>
      <c r="AR1383" s="193"/>
      <c r="AS1383" s="254"/>
      <c r="AT1383" s="254"/>
    </row>
    <row r="1384" spans="1:46" ht="14.4" hidden="1" customHeight="1" thickBot="1" x14ac:dyDescent="0.25">
      <c r="B1384" s="1596"/>
      <c r="C1384" s="1199"/>
      <c r="D1384" s="1199"/>
      <c r="E1384" s="1199"/>
      <c r="F1384" s="1199"/>
      <c r="G1384" s="1199"/>
      <c r="H1384" s="1199"/>
      <c r="I1384" s="1622">
        <f>+I1383-I1382</f>
        <v>0</v>
      </c>
      <c r="J1384" s="1622">
        <f t="shared" ref="J1384:T1384" si="696">+J1383-J1382</f>
        <v>0</v>
      </c>
      <c r="K1384" s="1622">
        <f t="shared" si="696"/>
        <v>0</v>
      </c>
      <c r="L1384" s="1622">
        <f t="shared" si="696"/>
        <v>0</v>
      </c>
      <c r="M1384" s="1622">
        <f t="shared" si="696"/>
        <v>0</v>
      </c>
      <c r="N1384" s="1622">
        <f t="shared" si="696"/>
        <v>0</v>
      </c>
      <c r="O1384" s="1622">
        <f t="shared" si="696"/>
        <v>0</v>
      </c>
      <c r="P1384" s="1622">
        <f t="shared" si="696"/>
        <v>0</v>
      </c>
      <c r="Q1384" s="1622">
        <f t="shared" si="696"/>
        <v>0</v>
      </c>
      <c r="R1384" s="1622">
        <f t="shared" si="696"/>
        <v>0</v>
      </c>
      <c r="S1384" s="1622">
        <f t="shared" si="696"/>
        <v>0</v>
      </c>
      <c r="T1384" s="1623">
        <f t="shared" si="696"/>
        <v>0</v>
      </c>
      <c r="U1384" s="1195"/>
      <c r="V1384" s="254"/>
      <c r="W1384" s="254"/>
      <c r="X1384" s="254"/>
      <c r="Y1384" s="381"/>
      <c r="Z1384" s="193"/>
      <c r="AA1384" s="193"/>
      <c r="AB1384" s="193"/>
      <c r="AC1384" s="193"/>
      <c r="AD1384" s="193"/>
      <c r="AE1384" s="193"/>
      <c r="AF1384" s="372"/>
      <c r="AG1384" s="372"/>
      <c r="AH1384" s="372"/>
      <c r="AI1384" s="372"/>
      <c r="AJ1384" s="372"/>
      <c r="AK1384" s="372"/>
      <c r="AL1384" s="372"/>
      <c r="AM1384" s="372"/>
      <c r="AN1384" s="372"/>
      <c r="AO1384" s="372"/>
      <c r="AP1384" s="372"/>
      <c r="AQ1384" s="372"/>
      <c r="AR1384" s="193"/>
      <c r="AS1384" s="254"/>
      <c r="AT1384" s="254"/>
    </row>
    <row r="1385" spans="1:46" ht="14.4" hidden="1" customHeight="1" thickTop="1" x14ac:dyDescent="0.2"/>
    <row r="1386" spans="1:46" ht="24.55" hidden="1" customHeight="1" thickBot="1" x14ac:dyDescent="0.25">
      <c r="A1386" s="2188">
        <v>1095</v>
      </c>
      <c r="B1386" s="1580" t="s">
        <v>1990</v>
      </c>
      <c r="C1386" s="1574"/>
      <c r="D1386" s="1574"/>
      <c r="E1386" s="1574"/>
      <c r="F1386" s="1574"/>
      <c r="G1386" s="1574"/>
      <c r="H1386" s="1574"/>
      <c r="I1386" s="1575" t="s">
        <v>2009</v>
      </c>
      <c r="J1386" s="1575"/>
      <c r="K1386" s="1574"/>
      <c r="L1386" s="1574"/>
      <c r="M1386" s="1574"/>
      <c r="N1386" s="1574"/>
      <c r="O1386" s="1574"/>
      <c r="P1386" s="1574"/>
      <c r="Q1386" s="1574"/>
      <c r="R1386" s="1574"/>
      <c r="S1386" s="1574"/>
      <c r="T1386" s="1574"/>
      <c r="U1386" s="1574"/>
      <c r="V1386" s="1576"/>
    </row>
    <row r="1387" spans="1:46" ht="14.4" hidden="1" customHeight="1" thickTop="1" x14ac:dyDescent="0.2">
      <c r="B1387" s="1698" t="s">
        <v>724</v>
      </c>
      <c r="C1387" s="1669" t="s">
        <v>341</v>
      </c>
      <c r="D1387" s="1671"/>
      <c r="E1387" s="1194"/>
      <c r="F1387" s="1671"/>
      <c r="G1387" s="1671"/>
      <c r="H1387" s="1667"/>
      <c r="I1387" s="1699">
        <f t="shared" ref="I1387:T1387" si="697">SUMPRODUCT(I551:I553,$F$551:$F$553)+SUMPRODUCT(I594:I596,$F$594:$F$596)</f>
        <v>0</v>
      </c>
      <c r="J1387" s="1699">
        <f t="shared" si="697"/>
        <v>0</v>
      </c>
      <c r="K1387" s="1699">
        <f t="shared" si="697"/>
        <v>0</v>
      </c>
      <c r="L1387" s="1699">
        <f t="shared" si="697"/>
        <v>0</v>
      </c>
      <c r="M1387" s="1699">
        <f t="shared" si="697"/>
        <v>0</v>
      </c>
      <c r="N1387" s="1699">
        <f t="shared" si="697"/>
        <v>0</v>
      </c>
      <c r="O1387" s="1699">
        <f t="shared" si="697"/>
        <v>0</v>
      </c>
      <c r="P1387" s="1699">
        <f t="shared" si="697"/>
        <v>0</v>
      </c>
      <c r="Q1387" s="1699">
        <f t="shared" si="697"/>
        <v>0</v>
      </c>
      <c r="R1387" s="1699">
        <f t="shared" si="697"/>
        <v>0</v>
      </c>
      <c r="S1387" s="1699">
        <f t="shared" si="697"/>
        <v>0</v>
      </c>
      <c r="T1387" s="1700">
        <f t="shared" si="697"/>
        <v>0</v>
      </c>
      <c r="U1387" s="193"/>
      <c r="V1387" s="254"/>
    </row>
    <row r="1388" spans="1:46" ht="13.75" hidden="1" customHeight="1" x14ac:dyDescent="0.2">
      <c r="B1388" s="1701"/>
      <c r="C1388" s="1178" t="s">
        <v>337</v>
      </c>
      <c r="D1388" s="1175"/>
      <c r="E1388" s="193"/>
      <c r="F1388" s="1175"/>
      <c r="G1388" s="1175"/>
      <c r="H1388" s="1179"/>
      <c r="I1388" s="1172">
        <f t="shared" ref="I1388:T1388" si="698">SUMPRODUCT(I556,$F$556)+SUMPRODUCT(I599,$F$599)</f>
        <v>0</v>
      </c>
      <c r="J1388" s="1172">
        <f t="shared" si="698"/>
        <v>0</v>
      </c>
      <c r="K1388" s="1172">
        <f t="shared" si="698"/>
        <v>0</v>
      </c>
      <c r="L1388" s="1172">
        <f t="shared" si="698"/>
        <v>0</v>
      </c>
      <c r="M1388" s="1172">
        <f t="shared" si="698"/>
        <v>0</v>
      </c>
      <c r="N1388" s="1172">
        <f t="shared" si="698"/>
        <v>0</v>
      </c>
      <c r="O1388" s="1172">
        <f t="shared" si="698"/>
        <v>0</v>
      </c>
      <c r="P1388" s="1172">
        <f t="shared" si="698"/>
        <v>0</v>
      </c>
      <c r="Q1388" s="1172">
        <f t="shared" si="698"/>
        <v>0</v>
      </c>
      <c r="R1388" s="1172">
        <f t="shared" si="698"/>
        <v>0</v>
      </c>
      <c r="S1388" s="1172">
        <f t="shared" si="698"/>
        <v>0</v>
      </c>
      <c r="T1388" s="1618">
        <f t="shared" si="698"/>
        <v>0</v>
      </c>
      <c r="U1388" s="193"/>
      <c r="V1388" s="254"/>
    </row>
    <row r="1389" spans="1:46" ht="13.75" hidden="1" customHeight="1" x14ac:dyDescent="0.2">
      <c r="B1389" s="1701" t="s">
        <v>2007</v>
      </c>
      <c r="C1389" s="1178" t="s">
        <v>341</v>
      </c>
      <c r="D1389" s="1175"/>
      <c r="E1389" s="254"/>
      <c r="F1389" s="1175"/>
      <c r="G1389" s="1175"/>
      <c r="H1389" s="1179"/>
      <c r="I1389" s="1172">
        <f>SUMPRODUCT(I559:I561,$F$559:$F$561
)+SUMPRODUCT(I602:I604,$F$602:$F$604)</f>
        <v>0</v>
      </c>
      <c r="J1389" s="1172">
        <f t="shared" ref="J1389:T1389" si="699">SUMPRODUCT(J559:J561,$F$559:$F$561)+SUMPRODUCT(J602:J604,$F$602:$F$604)</f>
        <v>0</v>
      </c>
      <c r="K1389" s="1172">
        <f t="shared" si="699"/>
        <v>0</v>
      </c>
      <c r="L1389" s="1172">
        <f t="shared" si="699"/>
        <v>0</v>
      </c>
      <c r="M1389" s="1172">
        <f t="shared" si="699"/>
        <v>0</v>
      </c>
      <c r="N1389" s="1172">
        <f t="shared" si="699"/>
        <v>0</v>
      </c>
      <c r="O1389" s="1172">
        <f t="shared" si="699"/>
        <v>0</v>
      </c>
      <c r="P1389" s="1172">
        <f t="shared" si="699"/>
        <v>0</v>
      </c>
      <c r="Q1389" s="1172">
        <f t="shared" si="699"/>
        <v>0</v>
      </c>
      <c r="R1389" s="1172">
        <f t="shared" si="699"/>
        <v>0</v>
      </c>
      <c r="S1389" s="1172">
        <f t="shared" si="699"/>
        <v>0</v>
      </c>
      <c r="T1389" s="1618">
        <f t="shared" si="699"/>
        <v>0</v>
      </c>
      <c r="U1389" s="193"/>
      <c r="V1389" s="254"/>
    </row>
    <row r="1390" spans="1:46" ht="13.75" hidden="1" customHeight="1" x14ac:dyDescent="0.2">
      <c r="B1390" s="1701"/>
      <c r="C1390" s="1178" t="s">
        <v>337</v>
      </c>
      <c r="D1390" s="1175"/>
      <c r="E1390" s="254"/>
      <c r="F1390" s="1175"/>
      <c r="G1390" s="1175"/>
      <c r="H1390" s="1179"/>
      <c r="I1390" s="1172">
        <f t="shared" ref="I1390:T1390" si="700">SUMPRODUCT(I564,$F$564)+SUMPRODUCT(I607,$F$607)</f>
        <v>0</v>
      </c>
      <c r="J1390" s="1172">
        <f t="shared" si="700"/>
        <v>0</v>
      </c>
      <c r="K1390" s="1172">
        <f t="shared" si="700"/>
        <v>0</v>
      </c>
      <c r="L1390" s="1172">
        <f t="shared" si="700"/>
        <v>0</v>
      </c>
      <c r="M1390" s="1172">
        <f t="shared" si="700"/>
        <v>0</v>
      </c>
      <c r="N1390" s="1172">
        <f t="shared" si="700"/>
        <v>0</v>
      </c>
      <c r="O1390" s="1172">
        <f t="shared" si="700"/>
        <v>0</v>
      </c>
      <c r="P1390" s="1172">
        <f t="shared" si="700"/>
        <v>0</v>
      </c>
      <c r="Q1390" s="1172">
        <f t="shared" si="700"/>
        <v>0</v>
      </c>
      <c r="R1390" s="1172">
        <f t="shared" si="700"/>
        <v>0</v>
      </c>
      <c r="S1390" s="1172">
        <f t="shared" si="700"/>
        <v>0</v>
      </c>
      <c r="T1390" s="1618">
        <f t="shared" si="700"/>
        <v>0</v>
      </c>
      <c r="U1390" s="193"/>
      <c r="V1390" s="254"/>
    </row>
    <row r="1391" spans="1:46" ht="13.75" hidden="1" customHeight="1" x14ac:dyDescent="0.2">
      <c r="B1391" s="1701" t="s">
        <v>1090</v>
      </c>
      <c r="C1391" s="1178" t="s">
        <v>341</v>
      </c>
      <c r="D1391" s="1175"/>
      <c r="E1391" s="254"/>
      <c r="F1391" s="1175"/>
      <c r="G1391" s="1175"/>
      <c r="H1391" s="1179"/>
      <c r="I1391" s="1172">
        <f>SUMPRODUCT(I583:I585,$F$583:$F$585)+SUMPRODUCT(I610:I612,$F$610:$F$612)</f>
        <v>0</v>
      </c>
      <c r="J1391" s="1172">
        <f t="shared" ref="J1391:T1391" si="701">SUMPRODUCT(J567:J569,$F$567:$F$569)+SUMPRODUCT(J605:J607,$F$602:$F$604)</f>
        <v>0</v>
      </c>
      <c r="K1391" s="1172">
        <f t="shared" si="701"/>
        <v>0</v>
      </c>
      <c r="L1391" s="1172">
        <f t="shared" si="701"/>
        <v>0</v>
      </c>
      <c r="M1391" s="1172">
        <f t="shared" si="701"/>
        <v>0</v>
      </c>
      <c r="N1391" s="1172">
        <f t="shared" si="701"/>
        <v>0</v>
      </c>
      <c r="O1391" s="1172">
        <f t="shared" si="701"/>
        <v>0</v>
      </c>
      <c r="P1391" s="1172">
        <f t="shared" si="701"/>
        <v>0</v>
      </c>
      <c r="Q1391" s="1172">
        <f t="shared" si="701"/>
        <v>0</v>
      </c>
      <c r="R1391" s="1172">
        <f t="shared" si="701"/>
        <v>0</v>
      </c>
      <c r="S1391" s="1172">
        <f t="shared" si="701"/>
        <v>0</v>
      </c>
      <c r="T1391" s="1618">
        <f t="shared" si="701"/>
        <v>0</v>
      </c>
      <c r="U1391" s="193"/>
      <c r="V1391" s="254"/>
    </row>
    <row r="1392" spans="1:46" ht="13.75" hidden="1" customHeight="1" x14ac:dyDescent="0.2">
      <c r="B1392" s="1701"/>
      <c r="C1392" s="1178" t="s">
        <v>337</v>
      </c>
      <c r="D1392" s="1175"/>
      <c r="E1392" s="254"/>
      <c r="F1392" s="1175"/>
      <c r="G1392" s="1175"/>
      <c r="H1392" s="1179"/>
      <c r="I1392" s="1172">
        <f t="shared" ref="I1392:T1392" si="702">SUMPRODUCT(I572,$F$572)+SUMPRODUCT(I615,$F$615)</f>
        <v>0</v>
      </c>
      <c r="J1392" s="1172">
        <f t="shared" si="702"/>
        <v>0</v>
      </c>
      <c r="K1392" s="1172">
        <f t="shared" si="702"/>
        <v>0</v>
      </c>
      <c r="L1392" s="1172">
        <f t="shared" si="702"/>
        <v>0</v>
      </c>
      <c r="M1392" s="1172">
        <f t="shared" si="702"/>
        <v>0</v>
      </c>
      <c r="N1392" s="1172">
        <f t="shared" si="702"/>
        <v>0</v>
      </c>
      <c r="O1392" s="1172">
        <f t="shared" si="702"/>
        <v>0</v>
      </c>
      <c r="P1392" s="1172">
        <f t="shared" si="702"/>
        <v>0</v>
      </c>
      <c r="Q1392" s="1172">
        <f t="shared" si="702"/>
        <v>0</v>
      </c>
      <c r="R1392" s="1172">
        <f t="shared" si="702"/>
        <v>0</v>
      </c>
      <c r="S1392" s="1172">
        <f t="shared" si="702"/>
        <v>0</v>
      </c>
      <c r="T1392" s="1618">
        <f t="shared" si="702"/>
        <v>0</v>
      </c>
      <c r="U1392" s="193"/>
      <c r="V1392" s="254"/>
    </row>
    <row r="1393" spans="1:25" ht="13.75" hidden="1" customHeight="1" x14ac:dyDescent="0.2">
      <c r="B1393" s="1701" t="s">
        <v>2008</v>
      </c>
      <c r="C1393" s="1178" t="s">
        <v>341</v>
      </c>
      <c r="D1393" s="1175"/>
      <c r="E1393" s="254"/>
      <c r="F1393" s="1175"/>
      <c r="G1393" s="1175"/>
      <c r="H1393" s="1179"/>
      <c r="I1393" s="1172">
        <f>SUMPRODUCT(I575:I577,$F$575:$F$577)+SUMPRODUCT(I618:I620,$F$618:$F$620)</f>
        <v>0</v>
      </c>
      <c r="J1393" s="1172">
        <f t="shared" ref="J1393:T1393" si="703">SUMPRODUCT(J575:J577,$F$575:$F$577)+SUMPRODUCT(J610:J612,$F$610:$F$612)</f>
        <v>0</v>
      </c>
      <c r="K1393" s="1172">
        <f t="shared" si="703"/>
        <v>0</v>
      </c>
      <c r="L1393" s="1172">
        <f t="shared" si="703"/>
        <v>0</v>
      </c>
      <c r="M1393" s="1172">
        <f t="shared" si="703"/>
        <v>0</v>
      </c>
      <c r="N1393" s="1172">
        <f t="shared" si="703"/>
        <v>0</v>
      </c>
      <c r="O1393" s="1172">
        <f t="shared" si="703"/>
        <v>0</v>
      </c>
      <c r="P1393" s="1172">
        <f t="shared" si="703"/>
        <v>0</v>
      </c>
      <c r="Q1393" s="1172">
        <f t="shared" si="703"/>
        <v>0</v>
      </c>
      <c r="R1393" s="1172">
        <f t="shared" si="703"/>
        <v>0</v>
      </c>
      <c r="S1393" s="1172">
        <f t="shared" si="703"/>
        <v>0</v>
      </c>
      <c r="T1393" s="1618">
        <f t="shared" si="703"/>
        <v>0</v>
      </c>
      <c r="U1393" s="193"/>
      <c r="V1393" s="254"/>
    </row>
    <row r="1394" spans="1:25" ht="13.75" hidden="1" customHeight="1" x14ac:dyDescent="0.2">
      <c r="B1394" s="1701"/>
      <c r="C1394" s="1178" t="s">
        <v>337</v>
      </c>
      <c r="D1394" s="1175"/>
      <c r="E1394" s="254"/>
      <c r="F1394" s="1175"/>
      <c r="G1394" s="1175"/>
      <c r="H1394" s="1179"/>
      <c r="I1394" s="1172">
        <f t="shared" ref="I1394:T1394" si="704">SUMPRODUCT(I580,$F$580)+SUMPRODUCT(I623,$G$623)</f>
        <v>0</v>
      </c>
      <c r="J1394" s="1172">
        <f t="shared" si="704"/>
        <v>0</v>
      </c>
      <c r="K1394" s="1172">
        <f t="shared" si="704"/>
        <v>0</v>
      </c>
      <c r="L1394" s="1172">
        <f t="shared" si="704"/>
        <v>0</v>
      </c>
      <c r="M1394" s="1172">
        <f t="shared" si="704"/>
        <v>0</v>
      </c>
      <c r="N1394" s="1172">
        <f t="shared" si="704"/>
        <v>0</v>
      </c>
      <c r="O1394" s="1172">
        <f t="shared" si="704"/>
        <v>0</v>
      </c>
      <c r="P1394" s="1172">
        <f t="shared" si="704"/>
        <v>0</v>
      </c>
      <c r="Q1394" s="1172">
        <f t="shared" si="704"/>
        <v>0</v>
      </c>
      <c r="R1394" s="1172">
        <f t="shared" si="704"/>
        <v>0</v>
      </c>
      <c r="S1394" s="1172">
        <f t="shared" si="704"/>
        <v>0</v>
      </c>
      <c r="T1394" s="1618">
        <f t="shared" si="704"/>
        <v>0</v>
      </c>
      <c r="U1394" s="193"/>
      <c r="V1394" s="254"/>
    </row>
    <row r="1395" spans="1:25" ht="13.75" hidden="1" customHeight="1" x14ac:dyDescent="0.2">
      <c r="B1395" s="1701" t="s">
        <v>1099</v>
      </c>
      <c r="C1395" s="1178" t="s">
        <v>341</v>
      </c>
      <c r="D1395" s="1175"/>
      <c r="E1395" s="254"/>
      <c r="F1395" s="1175"/>
      <c r="G1395" s="1175"/>
      <c r="H1395" s="1179"/>
      <c r="I1395" s="1172">
        <f t="shared" ref="I1395:T1395" si="705">SUMPRODUCT(I583:I585,$F$583:$F$585)+SUMPRODUCT(I626:I628,$F$626:$F$628)</f>
        <v>0</v>
      </c>
      <c r="J1395" s="1172">
        <f t="shared" si="705"/>
        <v>0</v>
      </c>
      <c r="K1395" s="1172">
        <f t="shared" si="705"/>
        <v>0</v>
      </c>
      <c r="L1395" s="1172">
        <f t="shared" si="705"/>
        <v>0</v>
      </c>
      <c r="M1395" s="1172">
        <f t="shared" si="705"/>
        <v>0</v>
      </c>
      <c r="N1395" s="1172">
        <f t="shared" si="705"/>
        <v>0</v>
      </c>
      <c r="O1395" s="1172">
        <f t="shared" si="705"/>
        <v>0</v>
      </c>
      <c r="P1395" s="1172">
        <f t="shared" si="705"/>
        <v>0</v>
      </c>
      <c r="Q1395" s="1172">
        <f t="shared" si="705"/>
        <v>0</v>
      </c>
      <c r="R1395" s="1172">
        <f t="shared" si="705"/>
        <v>0</v>
      </c>
      <c r="S1395" s="1172">
        <f t="shared" si="705"/>
        <v>0</v>
      </c>
      <c r="T1395" s="1618">
        <f t="shared" si="705"/>
        <v>0</v>
      </c>
      <c r="U1395" s="193"/>
      <c r="V1395" s="254"/>
    </row>
    <row r="1396" spans="1:25" ht="14.4" hidden="1" customHeight="1" thickBot="1" x14ac:dyDescent="0.25">
      <c r="B1396" s="1596"/>
      <c r="C1396" s="1670" t="s">
        <v>337</v>
      </c>
      <c r="D1396" s="1672"/>
      <c r="E1396" s="1672"/>
      <c r="F1396" s="1672"/>
      <c r="G1396" s="1672"/>
      <c r="H1396" s="1654"/>
      <c r="I1396" s="1622">
        <f t="shared" ref="I1396:T1396" si="706">SUMPRODUCT(I588,$F$588)+SUMPRODUCT(I631,$G$631)</f>
        <v>0</v>
      </c>
      <c r="J1396" s="1622">
        <f t="shared" si="706"/>
        <v>0</v>
      </c>
      <c r="K1396" s="1622">
        <f t="shared" si="706"/>
        <v>0</v>
      </c>
      <c r="L1396" s="1622">
        <f t="shared" si="706"/>
        <v>0</v>
      </c>
      <c r="M1396" s="1622">
        <f t="shared" si="706"/>
        <v>0</v>
      </c>
      <c r="N1396" s="1622">
        <f t="shared" si="706"/>
        <v>0</v>
      </c>
      <c r="O1396" s="1622">
        <f t="shared" si="706"/>
        <v>0</v>
      </c>
      <c r="P1396" s="1622">
        <f t="shared" si="706"/>
        <v>0</v>
      </c>
      <c r="Q1396" s="1622">
        <f t="shared" si="706"/>
        <v>0</v>
      </c>
      <c r="R1396" s="1622">
        <f t="shared" si="706"/>
        <v>0</v>
      </c>
      <c r="S1396" s="1622">
        <f t="shared" si="706"/>
        <v>0</v>
      </c>
      <c r="T1396" s="1623">
        <f t="shared" si="706"/>
        <v>0</v>
      </c>
      <c r="U1396" s="193"/>
      <c r="V1396" s="254"/>
    </row>
    <row r="1397" spans="1:25" ht="14.4" hidden="1" customHeight="1" thickTop="1" x14ac:dyDescent="0.2"/>
    <row r="1398" spans="1:25" ht="24.55" hidden="1" customHeight="1" x14ac:dyDescent="0.2">
      <c r="A1398" s="2188">
        <v>1096</v>
      </c>
      <c r="B1398" s="1580" t="s">
        <v>1836</v>
      </c>
      <c r="C1398" s="1574"/>
      <c r="D1398" s="1574"/>
      <c r="E1398" s="1574"/>
      <c r="F1398" s="1574"/>
      <c r="G1398" s="1574"/>
      <c r="H1398" s="1574"/>
      <c r="I1398" s="1575" t="s">
        <v>2009</v>
      </c>
      <c r="J1398" s="1575"/>
      <c r="K1398" s="1574"/>
      <c r="L1398" s="1574"/>
      <c r="M1398" s="1574"/>
      <c r="N1398" s="1574"/>
      <c r="O1398" s="1574"/>
      <c r="P1398" s="1574"/>
      <c r="Q1398" s="1574"/>
      <c r="R1398" s="1574"/>
      <c r="S1398" s="1574"/>
      <c r="T1398" s="1574"/>
      <c r="U1398" s="1574"/>
      <c r="V1398" s="1576"/>
    </row>
    <row r="1399" spans="1:25" ht="13.75" hidden="1" customHeight="1" x14ac:dyDescent="0.2">
      <c r="B1399" s="1177" t="s">
        <v>520</v>
      </c>
      <c r="C1399" s="1174"/>
      <c r="D1399" s="1175"/>
      <c r="E1399" s="1175"/>
      <c r="F1399" s="1175"/>
      <c r="G1399" s="1175"/>
      <c r="H1399" s="193"/>
      <c r="I1399" s="1172">
        <f>SUMPRODUCT(I668:I722,$F$668:$F$722)</f>
        <v>0</v>
      </c>
      <c r="J1399" s="1172">
        <f t="shared" ref="J1399:T1399" si="707">SUMPRODUCT(J668:J722,$F$668:$F$722)</f>
        <v>0</v>
      </c>
      <c r="K1399" s="1172">
        <f t="shared" si="707"/>
        <v>0</v>
      </c>
      <c r="L1399" s="1172">
        <f t="shared" si="707"/>
        <v>0</v>
      </c>
      <c r="M1399" s="1172">
        <f t="shared" si="707"/>
        <v>0</v>
      </c>
      <c r="N1399" s="1172">
        <f t="shared" si="707"/>
        <v>0</v>
      </c>
      <c r="O1399" s="1172">
        <f t="shared" si="707"/>
        <v>0</v>
      </c>
      <c r="P1399" s="1172">
        <f t="shared" si="707"/>
        <v>0</v>
      </c>
      <c r="Q1399" s="1172">
        <f t="shared" si="707"/>
        <v>0</v>
      </c>
      <c r="R1399" s="1172">
        <f t="shared" si="707"/>
        <v>0</v>
      </c>
      <c r="S1399" s="1172">
        <f t="shared" si="707"/>
        <v>0</v>
      </c>
      <c r="T1399" s="1172">
        <f t="shared" si="707"/>
        <v>0</v>
      </c>
      <c r="U1399" s="372"/>
      <c r="V1399" s="1170"/>
    </row>
    <row r="1400" spans="1:25" ht="13.75" hidden="1" customHeight="1" x14ac:dyDescent="0.2">
      <c r="B1400" s="1177" t="s">
        <v>521</v>
      </c>
      <c r="C1400" s="1174"/>
      <c r="D1400" s="1175"/>
      <c r="E1400" s="1175"/>
      <c r="F1400" s="1175"/>
      <c r="G1400" s="1175"/>
      <c r="H1400" s="193"/>
      <c r="I1400" s="1172">
        <f>SUMPRODUCT(I725:I772,$F$725:$F$772)*2</f>
        <v>0</v>
      </c>
      <c r="J1400" s="1172">
        <f t="shared" ref="J1400:T1400" si="708">SUMPRODUCT(J725:J771,$F$725:$F$771)</f>
        <v>0</v>
      </c>
      <c r="K1400" s="1172">
        <f t="shared" si="708"/>
        <v>0</v>
      </c>
      <c r="L1400" s="1172">
        <f t="shared" si="708"/>
        <v>0</v>
      </c>
      <c r="M1400" s="1172">
        <f t="shared" si="708"/>
        <v>0</v>
      </c>
      <c r="N1400" s="1172">
        <f t="shared" si="708"/>
        <v>0</v>
      </c>
      <c r="O1400" s="1172">
        <f t="shared" si="708"/>
        <v>0</v>
      </c>
      <c r="P1400" s="1172">
        <f t="shared" si="708"/>
        <v>0</v>
      </c>
      <c r="Q1400" s="1172">
        <f t="shared" si="708"/>
        <v>0</v>
      </c>
      <c r="R1400" s="1172">
        <f t="shared" si="708"/>
        <v>0</v>
      </c>
      <c r="S1400" s="1172">
        <f t="shared" si="708"/>
        <v>0</v>
      </c>
      <c r="T1400" s="1172">
        <f t="shared" si="708"/>
        <v>0</v>
      </c>
      <c r="U1400" s="372"/>
      <c r="V1400" s="1170"/>
    </row>
    <row r="1401" spans="1:25" ht="14.4" hidden="1" customHeight="1" thickBot="1" x14ac:dyDescent="0.25">
      <c r="B1401" s="1181" t="s">
        <v>522</v>
      </c>
      <c r="C1401" s="1182"/>
      <c r="D1401" s="1180"/>
      <c r="E1401" s="1180"/>
      <c r="F1401" s="1180"/>
      <c r="G1401" s="1180"/>
      <c r="H1401" s="1168"/>
      <c r="I1401" s="1173">
        <f t="shared" ref="I1401:T1401" si="709">SUMPRODUCT(I775:I830,$F$775:$F$830)</f>
        <v>0</v>
      </c>
      <c r="J1401" s="1173">
        <f t="shared" si="709"/>
        <v>0</v>
      </c>
      <c r="K1401" s="1173">
        <f t="shared" si="709"/>
        <v>0</v>
      </c>
      <c r="L1401" s="1173">
        <f t="shared" si="709"/>
        <v>0</v>
      </c>
      <c r="M1401" s="1173">
        <f t="shared" si="709"/>
        <v>0</v>
      </c>
      <c r="N1401" s="1173">
        <f t="shared" si="709"/>
        <v>0</v>
      </c>
      <c r="O1401" s="1173">
        <f t="shared" si="709"/>
        <v>0</v>
      </c>
      <c r="P1401" s="1173">
        <f t="shared" si="709"/>
        <v>0</v>
      </c>
      <c r="Q1401" s="1173">
        <f t="shared" si="709"/>
        <v>0</v>
      </c>
      <c r="R1401" s="1173">
        <f t="shared" si="709"/>
        <v>0</v>
      </c>
      <c r="S1401" s="1173">
        <f t="shared" si="709"/>
        <v>0</v>
      </c>
      <c r="T1401" s="1173">
        <f t="shared" si="709"/>
        <v>0</v>
      </c>
      <c r="U1401" s="1192"/>
      <c r="V1401" s="1169"/>
      <c r="Y1401" s="254"/>
    </row>
    <row r="1402" spans="1:25" ht="13.75" hidden="1" customHeight="1" x14ac:dyDescent="0.2"/>
    <row r="1403" spans="1:25" ht="14.4" hidden="1" customHeight="1" x14ac:dyDescent="0.2"/>
    <row r="1404" spans="1:25" ht="24.55" hidden="1" customHeight="1" x14ac:dyDescent="0.2">
      <c r="A1404" s="2188">
        <v>1097</v>
      </c>
      <c r="B1404" s="1580" t="s">
        <v>1877</v>
      </c>
      <c r="C1404" s="1574"/>
      <c r="D1404" s="1574"/>
      <c r="E1404" s="1574"/>
      <c r="F1404" s="1574"/>
      <c r="G1404" s="1574"/>
      <c r="H1404" s="1574"/>
      <c r="I1404" s="1575" t="s">
        <v>2010</v>
      </c>
      <c r="J1404" s="1575"/>
      <c r="K1404" s="1574"/>
      <c r="L1404" s="1574"/>
      <c r="M1404" s="1574"/>
      <c r="N1404" s="1574"/>
      <c r="O1404" s="1574"/>
      <c r="P1404" s="1574"/>
      <c r="Q1404" s="1574"/>
      <c r="R1404" s="1574"/>
      <c r="S1404" s="1574"/>
      <c r="T1404" s="1574"/>
      <c r="U1404" s="1574"/>
      <c r="V1404" s="1576"/>
    </row>
    <row r="1405" spans="1:25" ht="13.75" hidden="1" customHeight="1" x14ac:dyDescent="0.2">
      <c r="B1405" s="1577" t="s">
        <v>1995</v>
      </c>
    </row>
    <row r="1406" spans="1:25" ht="13.75" hidden="1" customHeight="1" x14ac:dyDescent="0.2">
      <c r="B1406" s="232"/>
      <c r="F1406" s="1657" t="s">
        <v>1878</v>
      </c>
      <c r="G1406" s="1175"/>
      <c r="H1406" s="1175"/>
      <c r="I1406" s="1283">
        <f>+SUMPRODUCT(I1141:I1142,F1141:F1142)+SUMPRODUCT(I1118:I1119,F1118:F1119)+SUMPRODUCT(I1095:I1096,F1095:F1096)+SUMPRODUCT(I1072:I1073,F1072:F1073)+SUMPRODUCT(I1049:I1050,F1049:F1050)+SUMPRODUCT(I1026:I1027,F1026:F1027)+SUMPRODUCT(I1003:I1004,F1003:F1004)+SUMPRODUCT(I980:I981,F980:F981)+SUMPRODUCT(I957:I958,F957:F958)+SUMPRODUCT(I934:I935,F934:F935)+SUMPRODUCT(I911:I912,F911:F912)+SUMPRODUCT(I888:I889,F888:F889)</f>
        <v>0</v>
      </c>
      <c r="J1406" s="1183"/>
      <c r="K1406" s="193" t="s">
        <v>2003</v>
      </c>
      <c r="L1406" s="193"/>
      <c r="M1406" s="193"/>
      <c r="N1406" s="193"/>
      <c r="O1406" s="193"/>
      <c r="P1406" s="193"/>
      <c r="Q1406" s="193"/>
      <c r="R1406" s="193"/>
      <c r="S1406" s="193"/>
      <c r="T1406" s="193"/>
    </row>
    <row r="1407" spans="1:25" ht="13.75" hidden="1" customHeight="1" x14ac:dyDescent="0.2">
      <c r="B1407" s="232"/>
      <c r="J1407" s="193"/>
      <c r="K1407" s="193" t="s">
        <v>2014</v>
      </c>
      <c r="L1407" s="193"/>
      <c r="M1407" s="193"/>
      <c r="N1407" s="193"/>
      <c r="O1407" s="193"/>
      <c r="P1407" s="193"/>
      <c r="Q1407" s="193"/>
      <c r="R1407" s="193"/>
      <c r="S1407" s="193"/>
      <c r="T1407" s="193"/>
    </row>
    <row r="1408" spans="1:25" ht="13.75" hidden="1" customHeight="1" x14ac:dyDescent="0.2">
      <c r="B1408" s="232"/>
      <c r="E1408" s="1658" t="s">
        <v>1887</v>
      </c>
      <c r="F1408" s="376" t="s">
        <v>646</v>
      </c>
      <c r="G1408" s="374"/>
      <c r="H1408" s="374"/>
      <c r="I1408" s="1283">
        <f>+SUMPRODUCT(I1145:I1146,F1145:F1146)+SUMPRODUCT(I1122:I1123,F1122:F1123)+SUMPRODUCT(I1099:I1100,F1099:F1100)+SUMPRODUCT(I1076:I1077,F1076:F1077)+SUMPRODUCT(I1053:I1054,F1053:F1054)+SUMPRODUCT(I1030:I1031,F1030:F1031)+SUMPRODUCT(I1007:I1008,F1007:F1008)+SUMPRODUCT(I984:I985,F984:F985)+SUMPRODUCT(I961:I962,F961:F962)+SUMPRODUCT(I938:I939,F938:F939)+SUMPRODUCT(I915:I916,F915:F916)+SUMPRODUCT(I892:I893,F892:F893)</f>
        <v>0</v>
      </c>
      <c r="J1408" s="1183"/>
      <c r="K1408" s="193" t="s">
        <v>2015</v>
      </c>
      <c r="L1408" s="193"/>
      <c r="M1408" s="193"/>
      <c r="N1408" s="193"/>
      <c r="O1408" s="193"/>
      <c r="P1408" s="193"/>
      <c r="Q1408" s="193"/>
      <c r="R1408" s="193"/>
      <c r="S1408" s="193"/>
      <c r="T1408" s="193"/>
    </row>
    <row r="1409" spans="1:22" ht="13.75" hidden="1" customHeight="1" x14ac:dyDescent="0.2">
      <c r="B1409" s="232"/>
      <c r="E1409" s="1659"/>
      <c r="F1409" s="1660" t="s">
        <v>340</v>
      </c>
      <c r="G1409" s="1175"/>
      <c r="H1409" s="1179"/>
      <c r="I1409" s="1283">
        <f>+SUMPRODUCT(I1149:I1151,F1149:F1151)+SUMPRODUCT(I1126:I1128,F1126:F1128)+SUMPRODUCT(I1103:I1105,F1103:F1105)+SUMPRODUCT(I1080:I1082,F1080:F1082)+SUMPRODUCT(I1057:I1059,F1057:F1059)+SUMPRODUCT(I1034:I1036,F1034:F1036)+SUMPRODUCT(I1011:I1013,F1011:F1013)+SUMPRODUCT(I988:I990,F988:F990)+SUMPRODUCT(I965:I967,F965:F967)+SUMPRODUCT(I942:I944,F942:F944)+SUMPRODUCT(I919:I921,F919:F921)+SUMPRODUCT(I896:I898,F896:F898)</f>
        <v>0</v>
      </c>
      <c r="J1409" s="1183"/>
      <c r="K1409" s="193"/>
      <c r="L1409" s="193"/>
      <c r="M1409" s="193"/>
      <c r="N1409" s="193"/>
      <c r="O1409" s="193"/>
      <c r="P1409" s="193"/>
      <c r="Q1409" s="193"/>
      <c r="R1409" s="193"/>
      <c r="S1409" s="193"/>
      <c r="T1409" s="193"/>
    </row>
    <row r="1410" spans="1:22" ht="13.75" hidden="1" customHeight="1" x14ac:dyDescent="0.2"/>
    <row r="1411" spans="1:22" ht="24.55" hidden="1" customHeight="1" thickBot="1" x14ac:dyDescent="0.25">
      <c r="B1411" s="1580" t="s">
        <v>1879</v>
      </c>
      <c r="C1411" s="1574"/>
      <c r="D1411" s="1574"/>
      <c r="E1411" s="1574"/>
      <c r="F1411" s="1574"/>
      <c r="G1411" s="1574"/>
      <c r="H1411" s="1574"/>
      <c r="I1411" s="1575"/>
      <c r="J1411" s="1575"/>
      <c r="K1411" s="1574"/>
      <c r="L1411" s="1574"/>
      <c r="M1411" s="1574"/>
      <c r="N1411" s="1574"/>
      <c r="O1411" s="1574"/>
      <c r="P1411" s="1574"/>
      <c r="Q1411" s="1574"/>
      <c r="R1411" s="1574"/>
      <c r="S1411" s="1574"/>
      <c r="T1411" s="1574"/>
      <c r="U1411" s="1574"/>
      <c r="V1411" s="1576"/>
    </row>
    <row r="1412" spans="1:22" ht="14.4" hidden="1" customHeight="1" thickTop="1" x14ac:dyDescent="0.2">
      <c r="A1412" s="2188">
        <v>1098</v>
      </c>
      <c r="B1412" s="1592" t="s">
        <v>1882</v>
      </c>
      <c r="C1412" s="1194" t="s">
        <v>247</v>
      </c>
      <c r="D1412" s="1194" t="s">
        <v>1883</v>
      </c>
      <c r="E1412" s="1194"/>
      <c r="F1412" s="1194"/>
      <c r="G1412" s="1194" t="s">
        <v>1886</v>
      </c>
      <c r="H1412" s="1194"/>
      <c r="I1412" s="1194" t="s">
        <v>2011</v>
      </c>
      <c r="J1412" s="1194"/>
      <c r="K1412" s="1194"/>
      <c r="L1412" s="1194"/>
      <c r="M1412" s="1194"/>
      <c r="N1412" s="1194"/>
      <c r="O1412" s="1194"/>
      <c r="P1412" s="1194"/>
      <c r="Q1412" s="1194"/>
      <c r="R1412" s="1194"/>
      <c r="S1412" s="1194"/>
      <c r="T1412" s="1194"/>
      <c r="U1412" s="1194"/>
      <c r="V1412" s="1585"/>
    </row>
    <row r="1413" spans="1:22" ht="13.75" hidden="1" customHeight="1" x14ac:dyDescent="0.2">
      <c r="B1413" s="1586">
        <f>+B14</f>
        <v>0</v>
      </c>
      <c r="C1413" s="1282">
        <f>+C14</f>
        <v>0</v>
      </c>
      <c r="D1413" s="1283">
        <f>U78</f>
        <v>0</v>
      </c>
      <c r="E1413" s="193"/>
      <c r="F1413" s="193"/>
      <c r="G1413" s="1283">
        <f>+SUM(I1467:U1467)</f>
        <v>0</v>
      </c>
      <c r="H1413" s="193"/>
      <c r="I1413" s="1283">
        <f>+D1413-G1413</f>
        <v>0</v>
      </c>
      <c r="J1413" s="193"/>
      <c r="K1413" s="193"/>
      <c r="L1413" s="193"/>
      <c r="M1413" s="1702" t="s">
        <v>2012</v>
      </c>
      <c r="N1413" s="193"/>
      <c r="O1413" s="193"/>
      <c r="P1413" s="193"/>
      <c r="Q1413" s="193"/>
      <c r="R1413" s="193"/>
      <c r="S1413" s="193"/>
      <c r="T1413" s="193"/>
      <c r="U1413" s="193"/>
      <c r="V1413" s="1587"/>
    </row>
    <row r="1414" spans="1:22" ht="13.75" hidden="1" customHeight="1" x14ac:dyDescent="0.2">
      <c r="B1414" s="1586">
        <f>+B16</f>
        <v>0</v>
      </c>
      <c r="C1414" s="1282">
        <f>+C16</f>
        <v>0</v>
      </c>
      <c r="D1414" s="1283">
        <f>+U119</f>
        <v>0</v>
      </c>
      <c r="E1414" s="193"/>
      <c r="F1414" s="193"/>
      <c r="G1414" s="1283">
        <f>+SUM(I1480:U1480)</f>
        <v>0</v>
      </c>
      <c r="H1414" s="193"/>
      <c r="I1414" s="1283">
        <f t="shared" ref="I1414:I1436" si="710">+D1414-G1414</f>
        <v>0</v>
      </c>
      <c r="J1414" s="193"/>
      <c r="K1414" s="193"/>
      <c r="L1414" s="193"/>
      <c r="M1414" s="193"/>
      <c r="N1414" s="193"/>
      <c r="O1414" s="193"/>
      <c r="P1414" s="193"/>
      <c r="Q1414" s="193"/>
      <c r="R1414" s="193"/>
      <c r="S1414" s="193"/>
      <c r="T1414" s="193"/>
      <c r="U1414" s="193"/>
      <c r="V1414" s="1587"/>
    </row>
    <row r="1415" spans="1:22" ht="13.75" hidden="1" customHeight="1" x14ac:dyDescent="0.2">
      <c r="B1415" s="1586">
        <f>+B18</f>
        <v>0</v>
      </c>
      <c r="C1415" s="1282">
        <f>+C18</f>
        <v>0</v>
      </c>
      <c r="D1415" s="1283">
        <f>+U160</f>
        <v>0</v>
      </c>
      <c r="E1415" s="193"/>
      <c r="F1415" s="193"/>
      <c r="G1415" s="1283">
        <f>+SUM(I1493:U1493)</f>
        <v>0</v>
      </c>
      <c r="H1415" s="193"/>
      <c r="I1415" s="1283">
        <f t="shared" si="710"/>
        <v>0</v>
      </c>
      <c r="J1415" s="193"/>
      <c r="K1415" s="193"/>
      <c r="L1415" s="193"/>
      <c r="M1415" s="193"/>
      <c r="N1415" s="193"/>
      <c r="O1415" s="193"/>
      <c r="P1415" s="193"/>
      <c r="Q1415" s="193"/>
      <c r="R1415" s="193"/>
      <c r="S1415" s="193"/>
      <c r="T1415" s="193"/>
      <c r="U1415" s="193"/>
      <c r="V1415" s="1587"/>
    </row>
    <row r="1416" spans="1:22" ht="13.75" hidden="1" customHeight="1" x14ac:dyDescent="0.2">
      <c r="B1416" s="1586">
        <f>+B20</f>
        <v>0</v>
      </c>
      <c r="C1416" s="1282">
        <f>+C20</f>
        <v>0</v>
      </c>
      <c r="D1416" s="1283">
        <f>+U201</f>
        <v>0</v>
      </c>
      <c r="E1416" s="193"/>
      <c r="F1416" s="193"/>
      <c r="G1416" s="1283">
        <f>+SUM(I1506:U1506)</f>
        <v>0</v>
      </c>
      <c r="H1416" s="193"/>
      <c r="I1416" s="1283">
        <f t="shared" si="710"/>
        <v>0</v>
      </c>
      <c r="J1416" s="193"/>
      <c r="K1416" s="193"/>
      <c r="L1416" s="193"/>
      <c r="M1416" s="193"/>
      <c r="N1416" s="193"/>
      <c r="O1416" s="193"/>
      <c r="P1416" s="193"/>
      <c r="Q1416" s="193"/>
      <c r="R1416" s="193"/>
      <c r="S1416" s="193"/>
      <c r="T1416" s="193"/>
      <c r="U1416" s="193"/>
      <c r="V1416" s="1587"/>
    </row>
    <row r="1417" spans="1:22" ht="13.75" hidden="1" customHeight="1" x14ac:dyDescent="0.2">
      <c r="B1417" s="1586">
        <f>+B22</f>
        <v>0</v>
      </c>
      <c r="C1417" s="1282">
        <f>+C22</f>
        <v>0</v>
      </c>
      <c r="D1417" s="1283">
        <f>+U242</f>
        <v>0</v>
      </c>
      <c r="E1417" s="193"/>
      <c r="F1417" s="193"/>
      <c r="G1417" s="1283">
        <f>+SUM(I1519:U1519)</f>
        <v>0</v>
      </c>
      <c r="H1417" s="193"/>
      <c r="I1417" s="1283">
        <f t="shared" si="710"/>
        <v>0</v>
      </c>
      <c r="J1417" s="193"/>
      <c r="K1417" s="193"/>
      <c r="L1417" s="193"/>
      <c r="M1417" s="193"/>
      <c r="N1417" s="193"/>
      <c r="O1417" s="193"/>
      <c r="P1417" s="193"/>
      <c r="Q1417" s="193"/>
      <c r="R1417" s="193"/>
      <c r="S1417" s="193"/>
      <c r="T1417" s="193"/>
      <c r="U1417" s="193"/>
      <c r="V1417" s="1587"/>
    </row>
    <row r="1418" spans="1:22" ht="13.75" hidden="1" customHeight="1" x14ac:dyDescent="0.2">
      <c r="B1418" s="1586">
        <f>+B24</f>
        <v>0</v>
      </c>
      <c r="C1418" s="1282">
        <f>+C24</f>
        <v>0</v>
      </c>
      <c r="D1418" s="1283">
        <f>+U283</f>
        <v>0</v>
      </c>
      <c r="E1418" s="193"/>
      <c r="F1418" s="193"/>
      <c r="G1418" s="1283">
        <f>+SUM(I1532:U1532)</f>
        <v>0</v>
      </c>
      <c r="H1418" s="193"/>
      <c r="I1418" s="1283">
        <f t="shared" si="710"/>
        <v>0</v>
      </c>
      <c r="J1418" s="193"/>
      <c r="K1418" s="193"/>
      <c r="L1418" s="193"/>
      <c r="M1418" s="193"/>
      <c r="N1418" s="193"/>
      <c r="O1418" s="193"/>
      <c r="P1418" s="193"/>
      <c r="Q1418" s="193"/>
      <c r="R1418" s="193"/>
      <c r="S1418" s="193"/>
      <c r="T1418" s="193"/>
      <c r="U1418" s="193"/>
      <c r="V1418" s="1587"/>
    </row>
    <row r="1419" spans="1:22" ht="13.75" hidden="1" customHeight="1" x14ac:dyDescent="0.2">
      <c r="B1419" s="1586">
        <f>+B26</f>
        <v>0</v>
      </c>
      <c r="C1419" s="1282">
        <f>+C26</f>
        <v>0</v>
      </c>
      <c r="D1419" s="1283">
        <f>+U324</f>
        <v>0</v>
      </c>
      <c r="E1419" s="193"/>
      <c r="F1419" s="193"/>
      <c r="G1419" s="1283">
        <f>+SUM(I1545:U1545)</f>
        <v>0</v>
      </c>
      <c r="H1419" s="193"/>
      <c r="I1419" s="1283">
        <f t="shared" si="710"/>
        <v>0</v>
      </c>
      <c r="J1419" s="193"/>
      <c r="K1419" s="193"/>
      <c r="L1419" s="193"/>
      <c r="M1419" s="193"/>
      <c r="N1419" s="193"/>
      <c r="O1419" s="193"/>
      <c r="P1419" s="193"/>
      <c r="Q1419" s="193"/>
      <c r="R1419" s="193"/>
      <c r="S1419" s="193"/>
      <c r="T1419" s="193"/>
      <c r="U1419" s="193"/>
      <c r="V1419" s="1587"/>
    </row>
    <row r="1420" spans="1:22" ht="13.75" hidden="1" customHeight="1" x14ac:dyDescent="0.2">
      <c r="B1420" s="1586">
        <f>+B28</f>
        <v>0</v>
      </c>
      <c r="C1420" s="1282">
        <f>+C28</f>
        <v>0</v>
      </c>
      <c r="D1420" s="1283">
        <f>+U365</f>
        <v>0</v>
      </c>
      <c r="E1420" s="193"/>
      <c r="F1420" s="193"/>
      <c r="G1420" s="1283">
        <f>+SUM(I1558:U1558)</f>
        <v>0</v>
      </c>
      <c r="H1420" s="193"/>
      <c r="I1420" s="1283">
        <f t="shared" si="710"/>
        <v>0</v>
      </c>
      <c r="J1420" s="193"/>
      <c r="K1420" s="193"/>
      <c r="L1420" s="193"/>
      <c r="M1420" s="193"/>
      <c r="N1420" s="193"/>
      <c r="O1420" s="193"/>
      <c r="P1420" s="193"/>
      <c r="Q1420" s="193"/>
      <c r="R1420" s="193"/>
      <c r="S1420" s="193"/>
      <c r="T1420" s="193"/>
      <c r="U1420" s="193"/>
      <c r="V1420" s="1587"/>
    </row>
    <row r="1421" spans="1:22" ht="13.75" hidden="1" customHeight="1" x14ac:dyDescent="0.2">
      <c r="B1421" s="1586">
        <f>+B30</f>
        <v>0</v>
      </c>
      <c r="C1421" s="1282">
        <f>+C30</f>
        <v>0</v>
      </c>
      <c r="D1421" s="1283">
        <f>+U406</f>
        <v>0</v>
      </c>
      <c r="E1421" s="193"/>
      <c r="F1421" s="193"/>
      <c r="G1421" s="1283">
        <f>+SUM(I1571:U1571)</f>
        <v>0</v>
      </c>
      <c r="H1421" s="193"/>
      <c r="I1421" s="1283">
        <f t="shared" si="710"/>
        <v>0</v>
      </c>
      <c r="J1421" s="193"/>
      <c r="K1421" s="193"/>
      <c r="L1421" s="193"/>
      <c r="M1421" s="193"/>
      <c r="N1421" s="193"/>
      <c r="O1421" s="193"/>
      <c r="P1421" s="193"/>
      <c r="Q1421" s="193"/>
      <c r="R1421" s="193"/>
      <c r="S1421" s="193"/>
      <c r="T1421" s="193"/>
      <c r="U1421" s="193"/>
      <c r="V1421" s="1587"/>
    </row>
    <row r="1422" spans="1:22" ht="13.75" hidden="1" customHeight="1" x14ac:dyDescent="0.2">
      <c r="B1422" s="1586">
        <f>+B32</f>
        <v>0</v>
      </c>
      <c r="C1422" s="1282">
        <f>+C32</f>
        <v>0</v>
      </c>
      <c r="D1422" s="1283">
        <f>+U447</f>
        <v>0</v>
      </c>
      <c r="E1422" s="193"/>
      <c r="F1422" s="193"/>
      <c r="G1422" s="1283">
        <f>+SUM(I1584:U1584)</f>
        <v>0</v>
      </c>
      <c r="H1422" s="193"/>
      <c r="I1422" s="1283">
        <f t="shared" si="710"/>
        <v>0</v>
      </c>
      <c r="J1422" s="193"/>
      <c r="K1422" s="193"/>
      <c r="L1422" s="193"/>
      <c r="M1422" s="193"/>
      <c r="N1422" s="193"/>
      <c r="O1422" s="193"/>
      <c r="P1422" s="193"/>
      <c r="Q1422" s="193"/>
      <c r="R1422" s="193"/>
      <c r="S1422" s="193"/>
      <c r="T1422" s="193"/>
      <c r="U1422" s="193"/>
      <c r="V1422" s="1587"/>
    </row>
    <row r="1423" spans="1:22" ht="13.75" hidden="1" customHeight="1" x14ac:dyDescent="0.2">
      <c r="B1423" s="1586">
        <f>+B34</f>
        <v>0</v>
      </c>
      <c r="C1423" s="1282">
        <f>+C34</f>
        <v>0</v>
      </c>
      <c r="D1423" s="1283">
        <f>+U488</f>
        <v>0</v>
      </c>
      <c r="E1423" s="193"/>
      <c r="F1423" s="193"/>
      <c r="G1423" s="1283">
        <f>+SUM(I1597:U1597)</f>
        <v>0</v>
      </c>
      <c r="H1423" s="193"/>
      <c r="I1423" s="1283">
        <f t="shared" si="710"/>
        <v>0</v>
      </c>
      <c r="J1423" s="193"/>
      <c r="K1423" s="193"/>
      <c r="L1423" s="193"/>
      <c r="M1423" s="193"/>
      <c r="N1423" s="193"/>
      <c r="O1423" s="193"/>
      <c r="P1423" s="193"/>
      <c r="Q1423" s="193"/>
      <c r="R1423" s="193"/>
      <c r="S1423" s="193"/>
      <c r="T1423" s="193"/>
      <c r="U1423" s="193"/>
      <c r="V1423" s="1587"/>
    </row>
    <row r="1424" spans="1:22" ht="13.75" hidden="1" customHeight="1" x14ac:dyDescent="0.2">
      <c r="B1424" s="1586">
        <f>+B38</f>
        <v>0</v>
      </c>
      <c r="C1424" s="1282">
        <f>+C38</f>
        <v>0</v>
      </c>
      <c r="D1424" s="1283">
        <f>+U529</f>
        <v>0</v>
      </c>
      <c r="E1424" s="193"/>
      <c r="F1424" s="193"/>
      <c r="G1424" s="1283">
        <f>+SUM(I1610:U1610)</f>
        <v>0</v>
      </c>
      <c r="H1424" s="193"/>
      <c r="I1424" s="1283">
        <f t="shared" si="710"/>
        <v>0</v>
      </c>
      <c r="J1424" s="193"/>
      <c r="K1424" s="193"/>
      <c r="L1424" s="193"/>
      <c r="M1424" s="193"/>
      <c r="N1424" s="193"/>
      <c r="O1424" s="193"/>
      <c r="P1424" s="193"/>
      <c r="Q1424" s="193"/>
      <c r="R1424" s="193"/>
      <c r="S1424" s="193"/>
      <c r="T1424" s="193"/>
      <c r="U1424" s="193"/>
      <c r="V1424" s="1587"/>
    </row>
    <row r="1425" spans="1:37" ht="13.75" hidden="1" customHeight="1" x14ac:dyDescent="0.2">
      <c r="B1425" s="1586">
        <f>+Y14</f>
        <v>0</v>
      </c>
      <c r="C1425" s="1282">
        <f>+Z14</f>
        <v>0</v>
      </c>
      <c r="D1425" s="1283">
        <f>+AR78</f>
        <v>0</v>
      </c>
      <c r="E1425" s="193"/>
      <c r="F1425" s="193"/>
      <c r="G1425" s="1283">
        <f>+SUM(AF1467:AQ1467)</f>
        <v>0</v>
      </c>
      <c r="H1425" s="193"/>
      <c r="I1425" s="1283">
        <f t="shared" si="710"/>
        <v>0</v>
      </c>
      <c r="J1425" s="193"/>
      <c r="K1425" s="193"/>
      <c r="L1425" s="193"/>
      <c r="M1425" s="193"/>
      <c r="N1425" s="193"/>
      <c r="O1425" s="193"/>
      <c r="P1425" s="193"/>
      <c r="Q1425" s="193"/>
      <c r="R1425" s="193"/>
      <c r="S1425" s="193"/>
      <c r="T1425" s="193"/>
      <c r="U1425" s="193"/>
      <c r="V1425" s="1587"/>
    </row>
    <row r="1426" spans="1:37" ht="13.75" hidden="1" customHeight="1" x14ac:dyDescent="0.2">
      <c r="B1426" s="1586">
        <f>+Y16</f>
        <v>0</v>
      </c>
      <c r="C1426" s="1282">
        <f>+Z16</f>
        <v>0</v>
      </c>
      <c r="D1426" s="1283">
        <f>+AR119</f>
        <v>0</v>
      </c>
      <c r="E1426" s="193"/>
      <c r="F1426" s="193"/>
      <c r="G1426" s="1283">
        <f>+SUM(AF1480:AQ1480)</f>
        <v>0</v>
      </c>
      <c r="H1426" s="193"/>
      <c r="I1426" s="1283">
        <f t="shared" si="710"/>
        <v>0</v>
      </c>
      <c r="J1426" s="193"/>
      <c r="K1426" s="193"/>
      <c r="L1426" s="193"/>
      <c r="M1426" s="193"/>
      <c r="N1426" s="193"/>
      <c r="O1426" s="193"/>
      <c r="P1426" s="193"/>
      <c r="Q1426" s="193"/>
      <c r="R1426" s="193"/>
      <c r="S1426" s="193"/>
      <c r="T1426" s="193"/>
      <c r="U1426" s="193"/>
      <c r="V1426" s="1587"/>
    </row>
    <row r="1427" spans="1:37" ht="13.75" hidden="1" customHeight="1" x14ac:dyDescent="0.2">
      <c r="B1427" s="1586">
        <f>+Y18</f>
        <v>0</v>
      </c>
      <c r="C1427" s="1282">
        <f>+Z18</f>
        <v>0</v>
      </c>
      <c r="D1427" s="1283">
        <f>+AR160</f>
        <v>0</v>
      </c>
      <c r="E1427" s="193"/>
      <c r="F1427" s="193"/>
      <c r="G1427" s="1283">
        <f>+SUM(AF1493:AQ1493)</f>
        <v>0</v>
      </c>
      <c r="H1427" s="193"/>
      <c r="I1427" s="1283">
        <f t="shared" si="710"/>
        <v>0</v>
      </c>
      <c r="J1427" s="193"/>
      <c r="K1427" s="193"/>
      <c r="L1427" s="193"/>
      <c r="M1427" s="193"/>
      <c r="N1427" s="193"/>
      <c r="O1427" s="193"/>
      <c r="P1427" s="193"/>
      <c r="Q1427" s="193"/>
      <c r="R1427" s="193"/>
      <c r="S1427" s="193"/>
      <c r="T1427" s="193"/>
      <c r="U1427" s="193"/>
      <c r="V1427" s="1587"/>
    </row>
    <row r="1428" spans="1:37" ht="13.75" hidden="1" customHeight="1" x14ac:dyDescent="0.2">
      <c r="B1428" s="1586">
        <f>+Y20</f>
        <v>0</v>
      </c>
      <c r="C1428" s="1282">
        <f>+Z20</f>
        <v>0</v>
      </c>
      <c r="D1428" s="1283">
        <f>+AR201</f>
        <v>0</v>
      </c>
      <c r="E1428" s="193"/>
      <c r="F1428" s="193"/>
      <c r="G1428" s="1283">
        <f>+SUM(AF1506:AQ1506)</f>
        <v>0</v>
      </c>
      <c r="H1428" s="193"/>
      <c r="I1428" s="1283">
        <f t="shared" si="710"/>
        <v>0</v>
      </c>
      <c r="J1428" s="193"/>
      <c r="K1428" s="193"/>
      <c r="L1428" s="193"/>
      <c r="M1428" s="193"/>
      <c r="N1428" s="193"/>
      <c r="O1428" s="193"/>
      <c r="P1428" s="193"/>
      <c r="Q1428" s="193"/>
      <c r="R1428" s="193"/>
      <c r="S1428" s="193"/>
      <c r="T1428" s="193"/>
      <c r="U1428" s="193"/>
      <c r="V1428" s="1587"/>
    </row>
    <row r="1429" spans="1:37" ht="13.75" hidden="1" customHeight="1" x14ac:dyDescent="0.2">
      <c r="B1429" s="1586">
        <f>+Y22</f>
        <v>0</v>
      </c>
      <c r="C1429" s="1282">
        <f>+Z22</f>
        <v>0</v>
      </c>
      <c r="D1429" s="1283">
        <f>+AR242</f>
        <v>0</v>
      </c>
      <c r="E1429" s="193"/>
      <c r="F1429" s="193"/>
      <c r="G1429" s="1283">
        <f>+SUM(AF1519:AQ1519)</f>
        <v>0</v>
      </c>
      <c r="H1429" s="193"/>
      <c r="I1429" s="1283">
        <f t="shared" si="710"/>
        <v>0</v>
      </c>
      <c r="J1429" s="193"/>
      <c r="K1429" s="193"/>
      <c r="L1429" s="193"/>
      <c r="M1429" s="193"/>
      <c r="N1429" s="193"/>
      <c r="O1429" s="193"/>
      <c r="P1429" s="193"/>
      <c r="Q1429" s="193"/>
      <c r="R1429" s="193"/>
      <c r="S1429" s="193"/>
      <c r="T1429" s="193"/>
      <c r="U1429" s="193"/>
      <c r="V1429" s="1587"/>
    </row>
    <row r="1430" spans="1:37" ht="13.75" hidden="1" customHeight="1" x14ac:dyDescent="0.2">
      <c r="B1430" s="1586">
        <f>+Y24</f>
        <v>0</v>
      </c>
      <c r="C1430" s="1282">
        <f>+Z24</f>
        <v>0</v>
      </c>
      <c r="D1430" s="1283">
        <f>+AR283</f>
        <v>0</v>
      </c>
      <c r="E1430" s="193"/>
      <c r="F1430" s="193"/>
      <c r="G1430" s="1283">
        <f>+SUM(AF1532:AQ1532)</f>
        <v>0</v>
      </c>
      <c r="H1430" s="193"/>
      <c r="I1430" s="1283">
        <f t="shared" si="710"/>
        <v>0</v>
      </c>
      <c r="J1430" s="193"/>
      <c r="K1430" s="193"/>
      <c r="L1430" s="193"/>
      <c r="M1430" s="193"/>
      <c r="N1430" s="193"/>
      <c r="O1430" s="193"/>
      <c r="P1430" s="193"/>
      <c r="Q1430" s="193"/>
      <c r="R1430" s="193"/>
      <c r="S1430" s="193"/>
      <c r="T1430" s="193"/>
      <c r="U1430" s="193"/>
      <c r="V1430" s="1587"/>
    </row>
    <row r="1431" spans="1:37" ht="13.75" hidden="1" customHeight="1" x14ac:dyDescent="0.2">
      <c r="B1431" s="1586">
        <f>+Y26</f>
        <v>0</v>
      </c>
      <c r="C1431" s="1282">
        <f>+Z26</f>
        <v>0</v>
      </c>
      <c r="D1431" s="1283">
        <f>+AR324</f>
        <v>0</v>
      </c>
      <c r="E1431" s="193"/>
      <c r="F1431" s="193"/>
      <c r="G1431" s="1283">
        <f>+SUM(AF1545:AQ1545)</f>
        <v>0</v>
      </c>
      <c r="H1431" s="193"/>
      <c r="I1431" s="1283">
        <f t="shared" si="710"/>
        <v>0</v>
      </c>
      <c r="J1431" s="193"/>
      <c r="K1431" s="193"/>
      <c r="L1431" s="193"/>
      <c r="M1431" s="193"/>
      <c r="N1431" s="193"/>
      <c r="O1431" s="193"/>
      <c r="P1431" s="193"/>
      <c r="Q1431" s="193"/>
      <c r="R1431" s="193"/>
      <c r="S1431" s="193"/>
      <c r="T1431" s="193"/>
      <c r="U1431" s="193"/>
      <c r="V1431" s="1587"/>
    </row>
    <row r="1432" spans="1:37" ht="13.75" hidden="1" customHeight="1" x14ac:dyDescent="0.2">
      <c r="B1432" s="1586">
        <f>+Y28</f>
        <v>0</v>
      </c>
      <c r="C1432" s="1282">
        <f>+Z28</f>
        <v>0</v>
      </c>
      <c r="D1432" s="1283">
        <f>+AR365</f>
        <v>0</v>
      </c>
      <c r="E1432" s="193"/>
      <c r="F1432" s="193"/>
      <c r="G1432" s="1283">
        <f>+SUM(AF1558:AQ1558)</f>
        <v>0</v>
      </c>
      <c r="H1432" s="193"/>
      <c r="I1432" s="1283">
        <f t="shared" si="710"/>
        <v>0</v>
      </c>
      <c r="J1432" s="193"/>
      <c r="K1432" s="193"/>
      <c r="L1432" s="193"/>
      <c r="M1432" s="193"/>
      <c r="N1432" s="193"/>
      <c r="O1432" s="193"/>
      <c r="P1432" s="193"/>
      <c r="Q1432" s="193"/>
      <c r="R1432" s="193"/>
      <c r="S1432" s="193"/>
      <c r="T1432" s="193"/>
      <c r="U1432" s="193"/>
      <c r="V1432" s="1587"/>
    </row>
    <row r="1433" spans="1:37" ht="13.75" hidden="1" customHeight="1" x14ac:dyDescent="0.2">
      <c r="B1433" s="1586">
        <f>+Y30</f>
        <v>0</v>
      </c>
      <c r="C1433" s="1282">
        <f>+Z30</f>
        <v>0</v>
      </c>
      <c r="D1433" s="1283">
        <f>+AR406</f>
        <v>0</v>
      </c>
      <c r="E1433" s="193"/>
      <c r="F1433" s="193"/>
      <c r="G1433" s="1283">
        <f>+SUM(AF1571:AQ1571)</f>
        <v>0</v>
      </c>
      <c r="H1433" s="193"/>
      <c r="I1433" s="1283">
        <f t="shared" si="710"/>
        <v>0</v>
      </c>
      <c r="J1433" s="193"/>
      <c r="K1433" s="193"/>
      <c r="L1433" s="193"/>
      <c r="M1433" s="193"/>
      <c r="N1433" s="193"/>
      <c r="O1433" s="193"/>
      <c r="P1433" s="193"/>
      <c r="Q1433" s="193"/>
      <c r="R1433" s="193"/>
      <c r="S1433" s="193"/>
      <c r="T1433" s="193"/>
      <c r="U1433" s="193"/>
      <c r="V1433" s="1587"/>
    </row>
    <row r="1434" spans="1:37" ht="13.75" hidden="1" customHeight="1" x14ac:dyDescent="0.2">
      <c r="B1434" s="1586">
        <f>+Y32</f>
        <v>0</v>
      </c>
      <c r="C1434" s="1282">
        <f>+Z32</f>
        <v>0</v>
      </c>
      <c r="D1434" s="1283">
        <f>+AR447</f>
        <v>0</v>
      </c>
      <c r="E1434" s="193"/>
      <c r="F1434" s="193"/>
      <c r="G1434" s="1283">
        <f>+SUM(AF1584:AQ1584)</f>
        <v>0</v>
      </c>
      <c r="H1434" s="193"/>
      <c r="I1434" s="1283">
        <f t="shared" si="710"/>
        <v>0</v>
      </c>
      <c r="J1434" s="193"/>
      <c r="K1434" s="193"/>
      <c r="L1434" s="193"/>
      <c r="M1434" s="193"/>
      <c r="N1434" s="193"/>
      <c r="O1434" s="193"/>
      <c r="P1434" s="193"/>
      <c r="Q1434" s="193"/>
      <c r="R1434" s="193"/>
      <c r="S1434" s="193"/>
      <c r="T1434" s="193"/>
      <c r="U1434" s="193"/>
      <c r="V1434" s="1587"/>
    </row>
    <row r="1435" spans="1:37" ht="13.75" hidden="1" customHeight="1" x14ac:dyDescent="0.2">
      <c r="B1435" s="1586">
        <f>+Y34</f>
        <v>0</v>
      </c>
      <c r="C1435" s="1282">
        <f>+Z34</f>
        <v>0</v>
      </c>
      <c r="D1435" s="1283">
        <f>+AR488</f>
        <v>0</v>
      </c>
      <c r="E1435" s="193"/>
      <c r="F1435" s="193"/>
      <c r="G1435" s="1283">
        <f>+SUM(AF1597:AQ1597)</f>
        <v>0</v>
      </c>
      <c r="H1435" s="193"/>
      <c r="I1435" s="1283">
        <f t="shared" si="710"/>
        <v>0</v>
      </c>
      <c r="J1435" s="193"/>
      <c r="K1435" s="193"/>
      <c r="L1435" s="193"/>
      <c r="M1435" s="193"/>
      <c r="N1435" s="193"/>
      <c r="O1435" s="193"/>
      <c r="P1435" s="193"/>
      <c r="Q1435" s="193"/>
      <c r="R1435" s="193"/>
      <c r="S1435" s="193"/>
      <c r="T1435" s="193"/>
      <c r="U1435" s="193"/>
      <c r="V1435" s="1587"/>
    </row>
    <row r="1436" spans="1:37" ht="14.4" hidden="1" customHeight="1" thickBot="1" x14ac:dyDescent="0.25">
      <c r="B1436" s="1588">
        <f>+Y38</f>
        <v>0</v>
      </c>
      <c r="C1436" s="1589">
        <f>+Z38</f>
        <v>0</v>
      </c>
      <c r="D1436" s="1590">
        <f>+AR529</f>
        <v>0</v>
      </c>
      <c r="E1436" s="1199"/>
      <c r="F1436" s="1199"/>
      <c r="G1436" s="1590">
        <f>+SUM(AF1610:AQ1610)</f>
        <v>0</v>
      </c>
      <c r="H1436" s="1199"/>
      <c r="I1436" s="1590">
        <f t="shared" si="710"/>
        <v>0</v>
      </c>
      <c r="J1436" s="1199"/>
      <c r="K1436" s="1199"/>
      <c r="L1436" s="1199"/>
      <c r="M1436" s="1199"/>
      <c r="N1436" s="1199"/>
      <c r="O1436" s="1199"/>
      <c r="P1436" s="1199"/>
      <c r="Q1436" s="1199"/>
      <c r="R1436" s="1199"/>
      <c r="S1436" s="1199"/>
      <c r="T1436" s="1199"/>
      <c r="U1436" s="1199"/>
      <c r="V1436" s="1591"/>
    </row>
    <row r="1437" spans="1:37" ht="15.05" hidden="1" customHeight="1" thickTop="1" thickBot="1" x14ac:dyDescent="0.25">
      <c r="B1437" s="373"/>
      <c r="I1437" s="193"/>
      <c r="J1437" s="193"/>
    </row>
    <row r="1438" spans="1:37" ht="14.4" hidden="1" customHeight="1" thickTop="1" x14ac:dyDescent="0.2">
      <c r="B1438" s="1584"/>
      <c r="C1438" s="1194"/>
      <c r="D1438" s="1194"/>
      <c r="E1438" s="1194"/>
      <c r="F1438" s="1599"/>
      <c r="G1438" s="1194"/>
      <c r="H1438" s="1603" t="s">
        <v>1993</v>
      </c>
      <c r="I1438" s="1604"/>
      <c r="J1438" s="1604"/>
      <c r="K1438" s="1604" t="s">
        <v>736</v>
      </c>
      <c r="L1438" s="1604"/>
      <c r="M1438" s="1194"/>
      <c r="N1438" s="1194"/>
      <c r="O1438" s="1194"/>
      <c r="P1438" s="1210"/>
      <c r="Q1438" s="1605" t="s">
        <v>1888</v>
      </c>
      <c r="R1438" s="1606"/>
      <c r="S1438" s="1604"/>
      <c r="T1438" s="1607"/>
      <c r="U1438" s="1604"/>
      <c r="V1438" s="1593"/>
      <c r="W1438" s="1611"/>
      <c r="X1438" s="254"/>
    </row>
    <row r="1439" spans="1:37" ht="13.75" hidden="1" customHeight="1" x14ac:dyDescent="0.2">
      <c r="A1439" s="2188">
        <v>1099</v>
      </c>
      <c r="B1439" s="1594" t="s">
        <v>1991</v>
      </c>
      <c r="C1439" s="193" t="s">
        <v>1880</v>
      </c>
      <c r="D1439" s="193"/>
      <c r="E1439" s="193"/>
      <c r="F1439" s="1600" t="s">
        <v>1881</v>
      </c>
      <c r="G1439" s="1535"/>
      <c r="H1439" s="1534" t="s">
        <v>230</v>
      </c>
      <c r="I1439" s="1535" t="s">
        <v>1042</v>
      </c>
      <c r="J1439" s="204" t="s">
        <v>1994</v>
      </c>
      <c r="K1439" s="1535"/>
      <c r="L1439" s="193"/>
      <c r="M1439" s="1535"/>
      <c r="N1439" s="1535"/>
      <c r="O1439" s="1535"/>
      <c r="P1439" s="1535"/>
      <c r="Q1439" s="1534" t="s">
        <v>230</v>
      </c>
      <c r="R1439" s="1535" t="s">
        <v>1042</v>
      </c>
      <c r="S1439" s="204" t="s">
        <v>1884</v>
      </c>
      <c r="T1439" s="193"/>
      <c r="U1439" s="193"/>
      <c r="V1439" s="1587"/>
      <c r="W1439" s="1611"/>
      <c r="X1439" s="254"/>
      <c r="Z1439" s="1533"/>
      <c r="AA1439" s="1533"/>
      <c r="AB1439" s="1533"/>
      <c r="AC1439" s="1533"/>
      <c r="AD1439" s="1533"/>
      <c r="AE1439" s="1533"/>
      <c r="AF1439" s="1533"/>
      <c r="AG1439" s="1533"/>
      <c r="AH1439" s="1533"/>
      <c r="AI1439" s="1533"/>
      <c r="AJ1439" s="1533"/>
      <c r="AK1439" s="1533"/>
    </row>
    <row r="1440" spans="1:37" ht="13.75" hidden="1" customHeight="1" x14ac:dyDescent="0.2">
      <c r="B1440" s="1595" t="str">
        <f>+UsoSuelo!D347</f>
        <v>Soja</v>
      </c>
      <c r="C1440" s="1283">
        <f>+UsoSuelo!X347</f>
        <v>0</v>
      </c>
      <c r="D1440" s="193"/>
      <c r="E1440" s="193"/>
      <c r="F1440" s="1601">
        <f>IF(C1440&gt;0,VLOOKUP($B1440,$B$1413:$C$1436,2,FALSE),0)</f>
        <v>0</v>
      </c>
      <c r="G1440" s="193"/>
      <c r="H1440" s="1283">
        <f>IF(C1440&gt;0,VLOOKUP($B1440,$B$1413:$I$1436,8,FALSE),0)</f>
        <v>0</v>
      </c>
      <c r="I1440" s="1283">
        <f t="shared" ref="I1440:I1451" si="711">IF(F1440&gt;0,H1440/F1440,0)</f>
        <v>0</v>
      </c>
      <c r="J1440" s="1283">
        <f t="shared" ref="J1440:J1451" si="712">+I1440*C1440</f>
        <v>0</v>
      </c>
      <c r="K1440" s="193"/>
      <c r="L1440" s="193"/>
      <c r="M1440" s="193"/>
      <c r="N1440" s="193"/>
      <c r="O1440" s="193"/>
      <c r="P1440" s="193"/>
      <c r="Q1440" s="1283">
        <f>IF(C1440&gt;0,VLOOKUP($B1440,$B$1413:$I$1436,6,FALSE),0)</f>
        <v>0</v>
      </c>
      <c r="R1440" s="1283">
        <f t="shared" ref="R1440:R1451" si="713">IF(F1440&gt;0,Q1440/F1440,0)</f>
        <v>0</v>
      </c>
      <c r="S1440" s="1283">
        <f t="shared" ref="S1440:S1451" si="714">+R1440*C1440</f>
        <v>0</v>
      </c>
      <c r="T1440" s="193"/>
      <c r="U1440" s="193"/>
      <c r="V1440" s="1587"/>
      <c r="W1440" s="1611"/>
      <c r="X1440" s="254"/>
      <c r="Z1440" s="1533"/>
      <c r="AA1440" s="1533"/>
      <c r="AB1440" s="1533"/>
      <c r="AC1440" s="1533"/>
      <c r="AD1440" s="1533"/>
      <c r="AE1440" s="1533"/>
      <c r="AF1440" s="1533"/>
      <c r="AG1440" s="1533"/>
      <c r="AH1440" s="1533"/>
      <c r="AI1440" s="1533"/>
      <c r="AJ1440" s="1533"/>
      <c r="AK1440" s="1533"/>
    </row>
    <row r="1441" spans="1:43" ht="13.75" hidden="1" customHeight="1" x14ac:dyDescent="0.2">
      <c r="B1441" s="1595" t="str">
        <f>+UsoSuelo!D348</f>
        <v>Soja 2ª</v>
      </c>
      <c r="C1441" s="1283">
        <f>+UsoSuelo!X348</f>
        <v>0</v>
      </c>
      <c r="D1441" s="193"/>
      <c r="E1441" s="193"/>
      <c r="F1441" s="1601">
        <f t="shared" ref="F1441:F1451" si="715">IF(C1441&gt;0,VLOOKUP($B1441,$B$1413:$C$1436,2,FALSE),0)</f>
        <v>0</v>
      </c>
      <c r="G1441" s="193"/>
      <c r="H1441" s="1283">
        <f t="shared" ref="H1441:H1451" si="716">IF(C1441&gt;0,VLOOKUP($B1441,$B$1413:$I$1436,8,FALSE),0)</f>
        <v>0</v>
      </c>
      <c r="I1441" s="1283">
        <f t="shared" si="711"/>
        <v>0</v>
      </c>
      <c r="J1441" s="1283">
        <f t="shared" si="712"/>
        <v>0</v>
      </c>
      <c r="K1441" s="193"/>
      <c r="L1441" s="193"/>
      <c r="M1441" s="193"/>
      <c r="N1441" s="193"/>
      <c r="O1441" s="193"/>
      <c r="P1441" s="193"/>
      <c r="Q1441" s="1283">
        <f t="shared" ref="Q1441:Q1451" si="717">IF(C1441&gt;0,VLOOKUP($B1441,$B$1413:$I$1436,6,FALSE),0)</f>
        <v>0</v>
      </c>
      <c r="R1441" s="1283">
        <f t="shared" si="713"/>
        <v>0</v>
      </c>
      <c r="S1441" s="1283">
        <f t="shared" si="714"/>
        <v>0</v>
      </c>
      <c r="T1441" s="193"/>
      <c r="U1441" s="193"/>
      <c r="V1441" s="1587"/>
      <c r="W1441" s="1611"/>
      <c r="X1441" s="254"/>
      <c r="Z1441" s="1533"/>
      <c r="AA1441" s="1533"/>
      <c r="AB1441" s="1533"/>
      <c r="AC1441" s="1533"/>
      <c r="AD1441" s="1533"/>
      <c r="AE1441" s="1533"/>
      <c r="AF1441" s="1533"/>
      <c r="AG1441" s="1533"/>
      <c r="AH1441" s="1533"/>
      <c r="AI1441" s="1533"/>
      <c r="AJ1441" s="1533"/>
      <c r="AK1441" s="1533"/>
    </row>
    <row r="1442" spans="1:43" ht="13.75" hidden="1" customHeight="1" x14ac:dyDescent="0.2">
      <c r="B1442" s="1595" t="str">
        <f>+UsoSuelo!D349</f>
        <v>Maíz Grano</v>
      </c>
      <c r="C1442" s="1283">
        <f>+UsoSuelo!X349</f>
        <v>0</v>
      </c>
      <c r="D1442" s="193"/>
      <c r="E1442" s="193"/>
      <c r="F1442" s="1601">
        <f t="shared" si="715"/>
        <v>0</v>
      </c>
      <c r="G1442" s="193"/>
      <c r="H1442" s="1283">
        <f t="shared" si="716"/>
        <v>0</v>
      </c>
      <c r="I1442" s="1283">
        <f t="shared" si="711"/>
        <v>0</v>
      </c>
      <c r="J1442" s="1283">
        <f t="shared" si="712"/>
        <v>0</v>
      </c>
      <c r="K1442" s="193"/>
      <c r="L1442" s="193"/>
      <c r="M1442" s="193"/>
      <c r="N1442" s="193"/>
      <c r="O1442" s="193"/>
      <c r="P1442" s="193"/>
      <c r="Q1442" s="1283">
        <f t="shared" si="717"/>
        <v>0</v>
      </c>
      <c r="R1442" s="1283">
        <f t="shared" si="713"/>
        <v>0</v>
      </c>
      <c r="S1442" s="1283">
        <f t="shared" si="714"/>
        <v>0</v>
      </c>
      <c r="T1442" s="193"/>
      <c r="U1442" s="193"/>
      <c r="V1442" s="1587"/>
      <c r="W1442" s="1611"/>
      <c r="X1442" s="254"/>
      <c r="Z1442" s="1533"/>
      <c r="AA1442" s="1533"/>
      <c r="AB1442" s="1533"/>
      <c r="AC1442" s="1533"/>
      <c r="AD1442" s="1533"/>
      <c r="AE1442" s="1533"/>
      <c r="AF1442" s="1533"/>
      <c r="AG1442" s="1533"/>
      <c r="AH1442" s="1533"/>
      <c r="AI1442" s="1533"/>
      <c r="AJ1442" s="1533"/>
      <c r="AK1442" s="1533"/>
    </row>
    <row r="1443" spans="1:43" ht="13.75" hidden="1" customHeight="1" x14ac:dyDescent="0.2">
      <c r="B1443" s="1595" t="str">
        <f>+UsoSuelo!D350</f>
        <v>Sorgo grano</v>
      </c>
      <c r="C1443" s="1283">
        <f>+UsoSuelo!X350</f>
        <v>0</v>
      </c>
      <c r="D1443" s="193"/>
      <c r="E1443" s="193"/>
      <c r="F1443" s="1601">
        <f t="shared" si="715"/>
        <v>0</v>
      </c>
      <c r="G1443" s="193"/>
      <c r="H1443" s="1283">
        <f t="shared" si="716"/>
        <v>0</v>
      </c>
      <c r="I1443" s="1283">
        <f t="shared" si="711"/>
        <v>0</v>
      </c>
      <c r="J1443" s="1283">
        <f t="shared" si="712"/>
        <v>0</v>
      </c>
      <c r="K1443" s="193"/>
      <c r="L1443" s="193"/>
      <c r="M1443" s="193"/>
      <c r="N1443" s="193"/>
      <c r="O1443" s="193"/>
      <c r="P1443" s="193"/>
      <c r="Q1443" s="1283">
        <f t="shared" si="717"/>
        <v>0</v>
      </c>
      <c r="R1443" s="1283">
        <f t="shared" si="713"/>
        <v>0</v>
      </c>
      <c r="S1443" s="1283">
        <f t="shared" si="714"/>
        <v>0</v>
      </c>
      <c r="T1443" s="193"/>
      <c r="U1443" s="193"/>
      <c r="V1443" s="1587"/>
      <c r="W1443" s="1611"/>
      <c r="X1443" s="254"/>
      <c r="Z1443" s="1533"/>
      <c r="AA1443" s="1533"/>
      <c r="AB1443" s="1533"/>
      <c r="AC1443" s="1533"/>
      <c r="AD1443" s="1533"/>
      <c r="AE1443" s="1533"/>
      <c r="AF1443" s="1533"/>
      <c r="AG1443" s="1533"/>
      <c r="AH1443" s="1533"/>
      <c r="AI1443" s="1533"/>
      <c r="AJ1443" s="1533"/>
      <c r="AK1443" s="1533"/>
    </row>
    <row r="1444" spans="1:43" ht="13.75" hidden="1" customHeight="1" x14ac:dyDescent="0.2">
      <c r="B1444" s="1595" t="str">
        <f>+UsoSuelo!D351</f>
        <v>Trigo grano</v>
      </c>
      <c r="C1444" s="1283">
        <f>+UsoSuelo!X351</f>
        <v>0</v>
      </c>
      <c r="D1444" s="193"/>
      <c r="E1444" s="193"/>
      <c r="F1444" s="1601">
        <f t="shared" si="715"/>
        <v>0</v>
      </c>
      <c r="G1444" s="193"/>
      <c r="H1444" s="1283">
        <f t="shared" si="716"/>
        <v>0</v>
      </c>
      <c r="I1444" s="1283">
        <f t="shared" si="711"/>
        <v>0</v>
      </c>
      <c r="J1444" s="1283">
        <f t="shared" si="712"/>
        <v>0</v>
      </c>
      <c r="K1444" s="193"/>
      <c r="L1444" s="193"/>
      <c r="M1444" s="193"/>
      <c r="N1444" s="193"/>
      <c r="O1444" s="193"/>
      <c r="P1444" s="193"/>
      <c r="Q1444" s="1283">
        <f t="shared" si="717"/>
        <v>0</v>
      </c>
      <c r="R1444" s="1283">
        <f t="shared" si="713"/>
        <v>0</v>
      </c>
      <c r="S1444" s="1283">
        <f t="shared" si="714"/>
        <v>0</v>
      </c>
      <c r="T1444" s="193"/>
      <c r="U1444" s="193"/>
      <c r="V1444" s="1587"/>
      <c r="W1444" s="1611"/>
      <c r="X1444" s="254"/>
      <c r="Z1444" s="1533"/>
      <c r="AA1444" s="1533"/>
      <c r="AB1444" s="1533"/>
      <c r="AC1444" s="1533"/>
      <c r="AD1444" s="1533"/>
      <c r="AE1444" s="1533"/>
      <c r="AF1444" s="1533"/>
      <c r="AG1444" s="1533"/>
      <c r="AH1444" s="1533"/>
      <c r="AI1444" s="1533"/>
      <c r="AJ1444" s="1533"/>
      <c r="AK1444" s="1533"/>
    </row>
    <row r="1445" spans="1:43" ht="13.75" hidden="1" customHeight="1" x14ac:dyDescent="0.2">
      <c r="B1445" s="1595" t="str">
        <f>+UsoSuelo!D352</f>
        <v>Cebada grano</v>
      </c>
      <c r="C1445" s="1283">
        <f>+UsoSuelo!X352</f>
        <v>0</v>
      </c>
      <c r="D1445" s="193"/>
      <c r="E1445" s="193"/>
      <c r="F1445" s="1601">
        <f t="shared" si="715"/>
        <v>0</v>
      </c>
      <c r="G1445" s="193"/>
      <c r="H1445" s="1283">
        <f t="shared" si="716"/>
        <v>0</v>
      </c>
      <c r="I1445" s="1283">
        <f t="shared" si="711"/>
        <v>0</v>
      </c>
      <c r="J1445" s="1283">
        <f t="shared" si="712"/>
        <v>0</v>
      </c>
      <c r="K1445" s="193"/>
      <c r="L1445" s="193"/>
      <c r="M1445" s="193"/>
      <c r="N1445" s="193"/>
      <c r="O1445" s="193"/>
      <c r="P1445" s="193"/>
      <c r="Q1445" s="1283">
        <f t="shared" si="717"/>
        <v>0</v>
      </c>
      <c r="R1445" s="1283">
        <f t="shared" si="713"/>
        <v>0</v>
      </c>
      <c r="S1445" s="1283">
        <f t="shared" si="714"/>
        <v>0</v>
      </c>
      <c r="T1445" s="193"/>
      <c r="U1445" s="193"/>
      <c r="V1445" s="1587"/>
      <c r="W1445" s="1611"/>
      <c r="X1445" s="254"/>
      <c r="Z1445" s="1533"/>
      <c r="AA1445" s="1533"/>
      <c r="AB1445" s="1533"/>
      <c r="AC1445" s="1533"/>
      <c r="AD1445" s="1533"/>
      <c r="AE1445" s="1533"/>
      <c r="AF1445" s="1533"/>
      <c r="AG1445" s="1533"/>
      <c r="AH1445" s="1533"/>
      <c r="AI1445" s="1533"/>
      <c r="AJ1445" s="1533"/>
      <c r="AK1445" s="1533"/>
    </row>
    <row r="1446" spans="1:43" ht="13.75" hidden="1" customHeight="1" x14ac:dyDescent="0.2">
      <c r="B1446" s="1595" t="str">
        <f>+UsoSuelo!D353</f>
        <v>Avena grano</v>
      </c>
      <c r="C1446" s="1283">
        <f>+UsoSuelo!X353</f>
        <v>0</v>
      </c>
      <c r="D1446" s="193"/>
      <c r="E1446" s="193"/>
      <c r="F1446" s="1601">
        <f t="shared" si="715"/>
        <v>0</v>
      </c>
      <c r="G1446" s="193"/>
      <c r="H1446" s="1283">
        <f t="shared" si="716"/>
        <v>0</v>
      </c>
      <c r="I1446" s="1283">
        <f t="shared" si="711"/>
        <v>0</v>
      </c>
      <c r="J1446" s="1283">
        <f t="shared" si="712"/>
        <v>0</v>
      </c>
      <c r="K1446" s="193"/>
      <c r="L1446" s="193"/>
      <c r="M1446" s="193"/>
      <c r="N1446" s="193"/>
      <c r="O1446" s="193"/>
      <c r="P1446" s="193"/>
      <c r="Q1446" s="1283">
        <f t="shared" si="717"/>
        <v>0</v>
      </c>
      <c r="R1446" s="1283">
        <f t="shared" si="713"/>
        <v>0</v>
      </c>
      <c r="S1446" s="1283">
        <f t="shared" si="714"/>
        <v>0</v>
      </c>
      <c r="T1446" s="193"/>
      <c r="U1446" s="193"/>
      <c r="V1446" s="1587"/>
      <c r="W1446" s="1611"/>
      <c r="X1446" s="254"/>
      <c r="Z1446" s="1533"/>
      <c r="AA1446" s="1533"/>
      <c r="AB1446" s="1533"/>
      <c r="AC1446" s="1533"/>
      <c r="AD1446" s="1533"/>
      <c r="AE1446" s="1533"/>
      <c r="AF1446" s="1533"/>
      <c r="AG1446" s="1533"/>
      <c r="AH1446" s="1533"/>
      <c r="AI1446" s="1533"/>
      <c r="AJ1446" s="1533"/>
      <c r="AK1446" s="1533"/>
    </row>
    <row r="1447" spans="1:43" ht="13.75" hidden="1" customHeight="1" x14ac:dyDescent="0.2">
      <c r="B1447" s="1595" t="str">
        <f>+UsoSuelo!D354</f>
        <v>Colza grano</v>
      </c>
      <c r="C1447" s="1283">
        <f>+UsoSuelo!X354</f>
        <v>0</v>
      </c>
      <c r="D1447" s="193"/>
      <c r="E1447" s="193"/>
      <c r="F1447" s="1601">
        <f t="shared" si="715"/>
        <v>0</v>
      </c>
      <c r="G1447" s="193"/>
      <c r="H1447" s="1283">
        <f t="shared" si="716"/>
        <v>0</v>
      </c>
      <c r="I1447" s="1283">
        <f t="shared" si="711"/>
        <v>0</v>
      </c>
      <c r="J1447" s="1283">
        <f t="shared" si="712"/>
        <v>0</v>
      </c>
      <c r="K1447" s="193"/>
      <c r="L1447" s="193"/>
      <c r="M1447" s="193"/>
      <c r="N1447" s="193"/>
      <c r="O1447" s="193"/>
      <c r="P1447" s="193"/>
      <c r="Q1447" s="1283">
        <f t="shared" si="717"/>
        <v>0</v>
      </c>
      <c r="R1447" s="1283">
        <f t="shared" si="713"/>
        <v>0</v>
      </c>
      <c r="S1447" s="1283">
        <f t="shared" si="714"/>
        <v>0</v>
      </c>
      <c r="T1447" s="193"/>
      <c r="U1447" s="193"/>
      <c r="V1447" s="1587"/>
      <c r="W1447" s="1611"/>
      <c r="X1447" s="254"/>
      <c r="Z1447" s="1533"/>
      <c r="AA1447" s="1533"/>
      <c r="AB1447" s="1533"/>
      <c r="AC1447" s="1533"/>
      <c r="AD1447" s="1533"/>
      <c r="AE1447" s="1533"/>
      <c r="AF1447" s="1533"/>
      <c r="AG1447" s="1533"/>
      <c r="AH1447" s="1533"/>
      <c r="AI1447" s="1533"/>
      <c r="AJ1447" s="1533"/>
      <c r="AK1447" s="1533"/>
    </row>
    <row r="1448" spans="1:43" ht="13.75" hidden="1" customHeight="1" x14ac:dyDescent="0.2">
      <c r="B1448" s="1595">
        <f>+UsoSuelo!D355</f>
        <v>0</v>
      </c>
      <c r="C1448" s="1283">
        <f>+UsoSuelo!X355</f>
        <v>0</v>
      </c>
      <c r="D1448" s="193"/>
      <c r="E1448" s="193"/>
      <c r="F1448" s="1601">
        <f t="shared" si="715"/>
        <v>0</v>
      </c>
      <c r="G1448" s="193"/>
      <c r="H1448" s="1283">
        <f t="shared" si="716"/>
        <v>0</v>
      </c>
      <c r="I1448" s="1283">
        <f t="shared" si="711"/>
        <v>0</v>
      </c>
      <c r="J1448" s="1283">
        <f t="shared" si="712"/>
        <v>0</v>
      </c>
      <c r="K1448" s="193"/>
      <c r="L1448" s="193"/>
      <c r="M1448" s="193"/>
      <c r="N1448" s="193"/>
      <c r="O1448" s="193"/>
      <c r="P1448" s="193"/>
      <c r="Q1448" s="1283">
        <f t="shared" si="717"/>
        <v>0</v>
      </c>
      <c r="R1448" s="1283">
        <f t="shared" si="713"/>
        <v>0</v>
      </c>
      <c r="S1448" s="1283">
        <f t="shared" si="714"/>
        <v>0</v>
      </c>
      <c r="T1448" s="193"/>
      <c r="U1448" s="193"/>
      <c r="V1448" s="1587"/>
      <c r="W1448" s="1611"/>
      <c r="X1448" s="254"/>
      <c r="Z1448" s="1533"/>
      <c r="AA1448" s="1533"/>
      <c r="AB1448" s="1533"/>
      <c r="AC1448" s="1533"/>
      <c r="AD1448" s="1533"/>
      <c r="AE1448" s="1533"/>
      <c r="AF1448" s="1533"/>
      <c r="AG1448" s="1533"/>
      <c r="AH1448" s="1533"/>
      <c r="AI1448" s="1533"/>
      <c r="AJ1448" s="1533"/>
      <c r="AK1448" s="1533"/>
    </row>
    <row r="1449" spans="1:43" ht="13.75" hidden="1" customHeight="1" x14ac:dyDescent="0.2">
      <c r="B1449" s="1595">
        <f>+UsoSuelo!D356</f>
        <v>0</v>
      </c>
      <c r="C1449" s="1283">
        <f>+UsoSuelo!X356</f>
        <v>0</v>
      </c>
      <c r="D1449" s="193"/>
      <c r="E1449" s="193"/>
      <c r="F1449" s="1601">
        <f t="shared" si="715"/>
        <v>0</v>
      </c>
      <c r="G1449" s="193"/>
      <c r="H1449" s="1283">
        <f t="shared" si="716"/>
        <v>0</v>
      </c>
      <c r="I1449" s="1283">
        <f t="shared" si="711"/>
        <v>0</v>
      </c>
      <c r="J1449" s="1283">
        <f t="shared" si="712"/>
        <v>0</v>
      </c>
      <c r="K1449" s="193"/>
      <c r="L1449" s="193"/>
      <c r="M1449" s="193"/>
      <c r="N1449" s="193"/>
      <c r="O1449" s="193"/>
      <c r="P1449" s="193"/>
      <c r="Q1449" s="1283">
        <f t="shared" si="717"/>
        <v>0</v>
      </c>
      <c r="R1449" s="1283">
        <f t="shared" si="713"/>
        <v>0</v>
      </c>
      <c r="S1449" s="1283">
        <f t="shared" si="714"/>
        <v>0</v>
      </c>
      <c r="T1449" s="193"/>
      <c r="U1449" s="193"/>
      <c r="V1449" s="1587"/>
      <c r="W1449" s="1611"/>
      <c r="X1449" s="254"/>
      <c r="Z1449" s="1533"/>
      <c r="AA1449" s="1533"/>
      <c r="AB1449" s="1533"/>
      <c r="AC1449" s="1533"/>
      <c r="AD1449" s="1533"/>
      <c r="AE1449" s="1533"/>
      <c r="AF1449" s="1533"/>
      <c r="AG1449" s="1533"/>
      <c r="AH1449" s="1533"/>
      <c r="AI1449" s="1533"/>
      <c r="AJ1449" s="1533"/>
      <c r="AK1449" s="1533"/>
    </row>
    <row r="1450" spans="1:43" ht="13.75" hidden="1" customHeight="1" x14ac:dyDescent="0.2">
      <c r="B1450" s="1595">
        <f>+UsoSuelo!D357</f>
        <v>0</v>
      </c>
      <c r="C1450" s="1283">
        <f>+UsoSuelo!X357</f>
        <v>0</v>
      </c>
      <c r="D1450" s="193"/>
      <c r="E1450" s="193"/>
      <c r="F1450" s="1601">
        <f t="shared" si="715"/>
        <v>0</v>
      </c>
      <c r="G1450" s="193"/>
      <c r="H1450" s="1283">
        <f t="shared" si="716"/>
        <v>0</v>
      </c>
      <c r="I1450" s="1283">
        <f t="shared" si="711"/>
        <v>0</v>
      </c>
      <c r="J1450" s="1283">
        <f t="shared" si="712"/>
        <v>0</v>
      </c>
      <c r="K1450" s="193"/>
      <c r="L1450" s="193"/>
      <c r="M1450" s="193"/>
      <c r="N1450" s="193"/>
      <c r="O1450" s="193"/>
      <c r="P1450" s="193"/>
      <c r="Q1450" s="1283">
        <f t="shared" si="717"/>
        <v>0</v>
      </c>
      <c r="R1450" s="1283">
        <f t="shared" si="713"/>
        <v>0</v>
      </c>
      <c r="S1450" s="1283">
        <f t="shared" si="714"/>
        <v>0</v>
      </c>
      <c r="T1450" s="193"/>
      <c r="U1450" s="193"/>
      <c r="V1450" s="1587"/>
      <c r="W1450" s="1611"/>
      <c r="X1450" s="254"/>
      <c r="Z1450" s="1533"/>
      <c r="AA1450" s="1533"/>
      <c r="AB1450" s="1533"/>
      <c r="AC1450" s="1533"/>
      <c r="AD1450" s="1533"/>
      <c r="AE1450" s="1533"/>
      <c r="AF1450" s="1533"/>
      <c r="AG1450" s="1533"/>
      <c r="AH1450" s="1533"/>
      <c r="AI1450" s="1533"/>
      <c r="AJ1450" s="1533"/>
      <c r="AK1450" s="1533"/>
    </row>
    <row r="1451" spans="1:43" ht="13.75" hidden="1" customHeight="1" x14ac:dyDescent="0.2">
      <c r="B1451" s="1595">
        <f>+UsoSuelo!D358</f>
        <v>0</v>
      </c>
      <c r="C1451" s="1283">
        <f>+UsoSuelo!X358</f>
        <v>0</v>
      </c>
      <c r="D1451" s="193"/>
      <c r="E1451" s="193"/>
      <c r="F1451" s="1601">
        <f t="shared" si="715"/>
        <v>0</v>
      </c>
      <c r="G1451" s="193"/>
      <c r="H1451" s="1283">
        <f t="shared" si="716"/>
        <v>0</v>
      </c>
      <c r="I1451" s="1283">
        <f t="shared" si="711"/>
        <v>0</v>
      </c>
      <c r="J1451" s="1283">
        <f t="shared" si="712"/>
        <v>0</v>
      </c>
      <c r="K1451" s="193"/>
      <c r="L1451" s="193"/>
      <c r="M1451" s="193"/>
      <c r="N1451" s="193"/>
      <c r="O1451" s="193"/>
      <c r="P1451" s="193"/>
      <c r="Q1451" s="1283">
        <f t="shared" si="717"/>
        <v>0</v>
      </c>
      <c r="R1451" s="1283">
        <f t="shared" si="713"/>
        <v>0</v>
      </c>
      <c r="S1451" s="1283">
        <f t="shared" si="714"/>
        <v>0</v>
      </c>
      <c r="T1451" s="193"/>
      <c r="U1451" s="193"/>
      <c r="V1451" s="1587"/>
      <c r="W1451" s="1611"/>
      <c r="X1451" s="254"/>
      <c r="Z1451" s="1533"/>
      <c r="AA1451" s="1533"/>
      <c r="AB1451" s="1533"/>
      <c r="AC1451" s="1533"/>
      <c r="AD1451" s="1533"/>
      <c r="AE1451" s="1533"/>
      <c r="AF1451" s="1533"/>
      <c r="AG1451" s="1533"/>
      <c r="AH1451" s="1533"/>
      <c r="AI1451" s="1533"/>
      <c r="AJ1451" s="1533"/>
      <c r="AK1451" s="1533"/>
    </row>
    <row r="1452" spans="1:43" ht="13.75" hidden="1" customHeight="1" x14ac:dyDescent="0.2">
      <c r="B1452" s="1594"/>
      <c r="C1452" s="193"/>
      <c r="D1452" s="193"/>
      <c r="E1452" s="193"/>
      <c r="F1452" s="1600"/>
      <c r="G1452" s="193"/>
      <c r="H1452" s="1610" t="s">
        <v>230</v>
      </c>
      <c r="I1452" s="193"/>
      <c r="J1452" s="1609">
        <f>+SUM(J1440:J1451)</f>
        <v>0</v>
      </c>
      <c r="K1452" s="193"/>
      <c r="L1452" s="193"/>
      <c r="M1452" s="193"/>
      <c r="N1452" s="193"/>
      <c r="O1452" s="193"/>
      <c r="P1452" s="193"/>
      <c r="Q1452" s="374" t="s">
        <v>230</v>
      </c>
      <c r="R1452" s="193"/>
      <c r="S1452" s="1608">
        <f>+SUM(S1440:S1451)</f>
        <v>0</v>
      </c>
      <c r="T1452" s="193"/>
      <c r="U1452" s="193"/>
      <c r="V1452" s="1587"/>
      <c r="W1452" s="1611"/>
      <c r="X1452" s="254"/>
    </row>
    <row r="1453" spans="1:43" ht="14.4" hidden="1" customHeight="1" thickBot="1" x14ac:dyDescent="0.25">
      <c r="B1453" s="1596"/>
      <c r="C1453" s="1199"/>
      <c r="D1453" s="1199"/>
      <c r="E1453" s="1199"/>
      <c r="F1453" s="1602"/>
      <c r="G1453" s="1199"/>
      <c r="H1453" s="1199"/>
      <c r="I1453" s="1199"/>
      <c r="J1453" s="1597" t="s">
        <v>1885</v>
      </c>
      <c r="K1453" s="1199"/>
      <c r="L1453" s="1199"/>
      <c r="M1453" s="1199"/>
      <c r="N1453" s="1199"/>
      <c r="O1453" s="1199"/>
      <c r="P1453" s="1199"/>
      <c r="Q1453" s="1199"/>
      <c r="R1453" s="1199"/>
      <c r="S1453" s="1598" t="s">
        <v>1889</v>
      </c>
      <c r="T1453" s="1199"/>
      <c r="U1453" s="1199"/>
      <c r="V1453" s="1591"/>
      <c r="W1453" s="1611"/>
      <c r="X1453" s="254"/>
    </row>
    <row r="1454" spans="1:43" ht="14.4" hidden="1" customHeight="1" thickTop="1" x14ac:dyDescent="0.2">
      <c r="J1454" s="1284"/>
      <c r="S1454" s="1536"/>
    </row>
    <row r="1455" spans="1:43" ht="24.55" hidden="1" customHeight="1" x14ac:dyDescent="0.2">
      <c r="B1455" s="1580" t="s">
        <v>2016</v>
      </c>
      <c r="C1455" s="1574"/>
      <c r="D1455" s="1574"/>
      <c r="E1455" s="1574"/>
      <c r="F1455" s="1574"/>
      <c r="G1455" s="1574"/>
      <c r="H1455" s="1574"/>
      <c r="I1455" s="1575"/>
      <c r="J1455" s="1575"/>
      <c r="K1455" s="1574"/>
      <c r="L1455" s="1574"/>
      <c r="M1455" s="1574"/>
      <c r="N1455" s="1574"/>
      <c r="O1455" s="1574"/>
      <c r="P1455" s="1574"/>
      <c r="Q1455" s="1574"/>
      <c r="R1455" s="1574"/>
      <c r="S1455" s="1574"/>
      <c r="T1455" s="1574"/>
      <c r="U1455" s="1574"/>
      <c r="V1455" s="1576"/>
      <c r="W1455" s="1576"/>
      <c r="X1455" s="1576"/>
      <c r="Y1455" s="1576"/>
      <c r="Z1455" s="1574"/>
      <c r="AA1455" s="1574"/>
      <c r="AB1455" s="1574"/>
      <c r="AC1455" s="1574"/>
      <c r="AD1455" s="1574"/>
      <c r="AE1455" s="1574"/>
      <c r="AF1455" s="1574"/>
      <c r="AG1455" s="1574"/>
      <c r="AH1455" s="1574"/>
      <c r="AI1455" s="1574"/>
      <c r="AJ1455" s="1574"/>
      <c r="AK1455" s="1574"/>
      <c r="AL1455" s="1574"/>
      <c r="AM1455" s="1574"/>
      <c r="AN1455" s="1574"/>
      <c r="AO1455" s="1574"/>
      <c r="AP1455" s="1574"/>
      <c r="AQ1455" s="1574"/>
    </row>
    <row r="1456" spans="1:43" ht="14.4" hidden="1" customHeight="1" thickBot="1" x14ac:dyDescent="0.25">
      <c r="A1456" s="2188">
        <v>1100</v>
      </c>
      <c r="B1456" s="1583" t="str">
        <f>+B1</f>
        <v>Siembras de Otoño e Invierno - Plan de Siembra y Uso de insumos</v>
      </c>
      <c r="C1456" s="1578"/>
      <c r="D1456" s="1578"/>
      <c r="E1456" s="1578"/>
      <c r="F1456" s="1578"/>
      <c r="G1456" s="1578"/>
      <c r="H1456" s="1578"/>
      <c r="I1456" s="1579"/>
      <c r="J1456" s="1579"/>
      <c r="K1456" s="1578"/>
      <c r="L1456" s="1578"/>
      <c r="M1456" s="1578"/>
      <c r="N1456" s="1578"/>
      <c r="O1456" s="1578"/>
      <c r="P1456" s="1578"/>
      <c r="Q1456" s="1578"/>
      <c r="R1456" s="1578"/>
      <c r="S1456" s="1578"/>
      <c r="T1456" s="1578"/>
      <c r="X1456" s="2188">
        <v>1101</v>
      </c>
      <c r="Y1456" s="1583" t="str">
        <f>+Y1</f>
        <v xml:space="preserve">Siembras de Primavera y Verano - Plan de Siembra y Uso de insumos </v>
      </c>
      <c r="Z1456" s="1578"/>
      <c r="AA1456" s="1578"/>
      <c r="AB1456" s="1578"/>
      <c r="AC1456" s="1578"/>
      <c r="AD1456" s="1578"/>
      <c r="AE1456" s="1578"/>
      <c r="AF1456" s="1579"/>
      <c r="AG1456" s="1579"/>
      <c r="AH1456" s="1578"/>
      <c r="AI1456" s="1578"/>
      <c r="AJ1456" s="1578"/>
      <c r="AK1456" s="1578"/>
      <c r="AL1456" s="1578"/>
      <c r="AM1456" s="1578"/>
      <c r="AN1456" s="1578"/>
      <c r="AO1456" s="1578"/>
      <c r="AP1456" s="1578"/>
      <c r="AQ1456" s="1578"/>
    </row>
    <row r="1457" spans="2:44" ht="14.4" hidden="1" customHeight="1" thickTop="1" x14ac:dyDescent="0.2">
      <c r="B1457" s="1537">
        <f>+B41</f>
        <v>0</v>
      </c>
      <c r="C1457" s="1581">
        <f>+C40</f>
        <v>0</v>
      </c>
      <c r="D1457" s="1194"/>
      <c r="E1457" s="1194"/>
      <c r="F1457" s="1194"/>
      <c r="G1457" s="1194"/>
      <c r="H1457" s="1194"/>
      <c r="I1457" s="1538"/>
      <c r="J1457" s="1539"/>
      <c r="K1457" s="1539"/>
      <c r="L1457" s="1539"/>
      <c r="M1457" s="1539"/>
      <c r="N1457" s="1539"/>
      <c r="O1457" s="1539"/>
      <c r="P1457" s="1539"/>
      <c r="Q1457" s="1539"/>
      <c r="R1457" s="1539"/>
      <c r="S1457" s="1539"/>
      <c r="T1457" s="1540"/>
      <c r="U1457" s="1195"/>
      <c r="Y1457" s="1537">
        <f>+Y41</f>
        <v>0</v>
      </c>
      <c r="Z1457" s="1581">
        <f>+Z40</f>
        <v>0</v>
      </c>
      <c r="AA1457" s="1194"/>
      <c r="AB1457" s="1194"/>
      <c r="AC1457" s="1194"/>
      <c r="AD1457" s="1194"/>
      <c r="AE1457" s="1194"/>
      <c r="AF1457" s="1538"/>
      <c r="AG1457" s="1539"/>
      <c r="AH1457" s="1539"/>
      <c r="AI1457" s="1539"/>
      <c r="AJ1457" s="1539"/>
      <c r="AK1457" s="1539"/>
      <c r="AL1457" s="1539"/>
      <c r="AM1457" s="1539"/>
      <c r="AN1457" s="1539"/>
      <c r="AO1457" s="1539"/>
      <c r="AP1457" s="1539"/>
      <c r="AQ1457" s="1540"/>
      <c r="AR1457" s="1195"/>
    </row>
    <row r="1458" spans="2:44" ht="13.75" hidden="1" customHeight="1" x14ac:dyDescent="0.2">
      <c r="B1458" s="1195" t="s">
        <v>721</v>
      </c>
      <c r="C1458" s="193"/>
      <c r="D1458" s="193"/>
      <c r="E1458" s="254"/>
      <c r="F1458" s="193" t="s">
        <v>247</v>
      </c>
      <c r="G1458" s="193" t="s">
        <v>691</v>
      </c>
      <c r="H1458" s="193"/>
      <c r="I1458" s="378">
        <f>VLOOKUP(C1457,UsoSuelo!$CA$1127:$CM$1194,2,FALSE)</f>
        <v>0</v>
      </c>
      <c r="J1458" s="1193">
        <f>VLOOKUP(C1457,UsoSuelo!$CA$1127:$CM$1194,3,FALSE)</f>
        <v>0</v>
      </c>
      <c r="K1458" s="1193">
        <f>VLOOKUP(C1457,UsoSuelo!$CA$1127:$CM$1194,4,FALSE)</f>
        <v>0</v>
      </c>
      <c r="L1458" s="1193">
        <f>VLOOKUP(C1457,UsoSuelo!$CA$1127:$CM$1194,5,FALSE)</f>
        <v>0</v>
      </c>
      <c r="M1458" s="1193">
        <f>VLOOKUP(C1457,UsoSuelo!$CA$1127:$CM$1194,6,FALSE)</f>
        <v>0</v>
      </c>
      <c r="N1458" s="1193">
        <f>VLOOKUP(C1457,UsoSuelo!$CA$1127:$CM$1194,7,FALSE)</f>
        <v>0</v>
      </c>
      <c r="O1458" s="1193">
        <f>VLOOKUP(C1457,UsoSuelo!$CA$1127:$CM$1194,8,FALSE)</f>
        <v>0</v>
      </c>
      <c r="P1458" s="1193">
        <f>VLOOKUP(C1457,UsoSuelo!$CA$1127:$CM$1194,9,FALSE)</f>
        <v>0</v>
      </c>
      <c r="Q1458" s="1193">
        <f>VLOOKUP(C1457,UsoSuelo!$CA$1127:$CM$1194,10,FALSE)</f>
        <v>0</v>
      </c>
      <c r="R1458" s="1193">
        <f>VLOOKUP(C1457,UsoSuelo!$CA$1127:$CM$1194,11,FALSE)</f>
        <v>0</v>
      </c>
      <c r="S1458" s="1193">
        <f>VLOOKUP(C1457,UsoSuelo!$CA$1127:$CM$1194,12,FALSE)</f>
        <v>0</v>
      </c>
      <c r="T1458" s="1183">
        <f>VLOOKUP(C1457,UsoSuelo!$CA$1127:$CM$1194,13,FALSE)</f>
        <v>0</v>
      </c>
      <c r="U1458" s="1195"/>
      <c r="Y1458" s="1195" t="s">
        <v>721</v>
      </c>
      <c r="Z1458" s="193"/>
      <c r="AA1458" s="193"/>
      <c r="AB1458" s="254"/>
      <c r="AC1458" s="193" t="s">
        <v>247</v>
      </c>
      <c r="AD1458" s="193" t="s">
        <v>691</v>
      </c>
      <c r="AE1458" s="193"/>
      <c r="AF1458" s="378">
        <f>VLOOKUP($Z1457,UsoSuelo!$CO$1054:$DA$1120,2,FALSE)</f>
        <v>0</v>
      </c>
      <c r="AG1458" s="1193">
        <f>VLOOKUP($Z1457,UsoSuelo!$CO$1054:$DA$1120,3,FALSE)</f>
        <v>0</v>
      </c>
      <c r="AH1458" s="1193">
        <f>VLOOKUP($Z1457,UsoSuelo!$CO$1054:$DA$1120,4,FALSE)</f>
        <v>0</v>
      </c>
      <c r="AI1458" s="1193">
        <f>VLOOKUP($Z1457,UsoSuelo!$CO$1054:$DA$1120,5,FALSE)</f>
        <v>0</v>
      </c>
      <c r="AJ1458" s="1193">
        <f>VLOOKUP($Z1457,UsoSuelo!$CO$1054:$DA$1120,6,FALSE)</f>
        <v>0</v>
      </c>
      <c r="AK1458" s="1193">
        <f>VLOOKUP($Z1457,UsoSuelo!$CO$1054:$DA$1120,7,FALSE)</f>
        <v>0</v>
      </c>
      <c r="AL1458" s="1193">
        <f>VLOOKUP($Z1457,UsoSuelo!$CO$1054:$DA$1120,8,FALSE)</f>
        <v>0</v>
      </c>
      <c r="AM1458" s="1193">
        <f>VLOOKUP($Z1457,UsoSuelo!$CO$1054:$DA$1120,9,FALSE)</f>
        <v>0</v>
      </c>
      <c r="AN1458" s="1193">
        <f>VLOOKUP($Z1457,UsoSuelo!$CO$1054:$DA$1120,10,FALSE)</f>
        <v>0</v>
      </c>
      <c r="AO1458" s="1193">
        <f>VLOOKUP($Z1457,UsoSuelo!$CO$1054:$DA$1120,11,FALSE)</f>
        <v>0</v>
      </c>
      <c r="AP1458" s="1193">
        <f>VLOOKUP($Z1457,UsoSuelo!$CO$1054:$DA$1120,12,FALSE)</f>
        <v>0</v>
      </c>
      <c r="AQ1458" s="1183">
        <f>VLOOKUP($Z1457,UsoSuelo!$CO$1054:$DA$1120,13,FALSE)</f>
        <v>0</v>
      </c>
      <c r="AR1458" s="1195"/>
    </row>
    <row r="1459" spans="2:44" ht="13.75" hidden="1" customHeight="1" x14ac:dyDescent="0.2">
      <c r="B1459" s="1195"/>
      <c r="C1459" s="193"/>
      <c r="D1459" s="193"/>
      <c r="E1459" s="193"/>
      <c r="F1459" s="193" t="s">
        <v>344</v>
      </c>
      <c r="G1459" s="193" t="s">
        <v>693</v>
      </c>
      <c r="H1459" s="193"/>
      <c r="I1459" s="378">
        <f>VLOOKUP(C1457,UsoSuelo!$CB$1275:$CN$1341,2,FALSE)</f>
        <v>0</v>
      </c>
      <c r="J1459" s="1193">
        <f>VLOOKUP(C1457,UsoSuelo!$CB$1275:$CN$1341,3,FALSE)</f>
        <v>0</v>
      </c>
      <c r="K1459" s="1193">
        <f>VLOOKUP(C1457,UsoSuelo!$CB$1275:$CN$1341,4,FALSE)</f>
        <v>0</v>
      </c>
      <c r="L1459" s="1193">
        <f>VLOOKUP(C1457,UsoSuelo!$CB$1275:$CN$1341,5,FALSE)</f>
        <v>0</v>
      </c>
      <c r="M1459" s="1193">
        <f>VLOOKUP(C1457,UsoSuelo!$CB$1275:$CN$1341,6,FALSE)</f>
        <v>0</v>
      </c>
      <c r="N1459" s="1193">
        <f>VLOOKUP(C1457,UsoSuelo!$CB$1275:$CN$1341,7,FALSE)</f>
        <v>0</v>
      </c>
      <c r="O1459" s="1193">
        <f>VLOOKUP(C1457,UsoSuelo!$CB$1275:$CN$1341,8,FALSE)</f>
        <v>0</v>
      </c>
      <c r="P1459" s="1193">
        <f>VLOOKUP(C1457,UsoSuelo!$CB$1275:$CN$1341,9,FALSE)</f>
        <v>0</v>
      </c>
      <c r="Q1459" s="1193">
        <f>VLOOKUP(C1457,UsoSuelo!$CB$1275:$CN$1341,10,FALSE)</f>
        <v>0</v>
      </c>
      <c r="R1459" s="1193">
        <f>VLOOKUP(C1457,UsoSuelo!$CB$1275:$CN$1341,11,FALSE)</f>
        <v>0</v>
      </c>
      <c r="S1459" s="1193">
        <f>VLOOKUP(C1457,UsoSuelo!$CB$1275:$CN$1341,12,FALSE)</f>
        <v>0</v>
      </c>
      <c r="T1459" s="1183">
        <f>VLOOKUP(C1457,UsoSuelo!$CB$1275:$CN$1341,13,FALSE)</f>
        <v>0</v>
      </c>
      <c r="U1459" s="1195"/>
      <c r="Y1459" s="1195"/>
      <c r="Z1459" s="193"/>
      <c r="AA1459" s="193"/>
      <c r="AB1459" s="193"/>
      <c r="AC1459" s="193" t="s">
        <v>344</v>
      </c>
      <c r="AD1459" s="193" t="s">
        <v>693</v>
      </c>
      <c r="AE1459" s="193"/>
      <c r="AF1459" s="378">
        <f>VLOOKUP($Z1457,UsoSuelo!$DB$1201:$DN$1267,2,FALSE)</f>
        <v>0</v>
      </c>
      <c r="AG1459" s="1193">
        <f>VLOOKUP($Z1457,UsoSuelo!$DB$1201:$DN$1267,3,FALSE)</f>
        <v>0</v>
      </c>
      <c r="AH1459" s="1193">
        <f>VLOOKUP($Z1457,UsoSuelo!$DB$1201:$DN$1267,4,FALSE)</f>
        <v>0</v>
      </c>
      <c r="AI1459" s="1193">
        <f>VLOOKUP($Z1457,UsoSuelo!$DB$1201:$DN$1267,5,FALSE)</f>
        <v>0</v>
      </c>
      <c r="AJ1459" s="1193">
        <f>VLOOKUP($Z1457,UsoSuelo!$DB$1201:$DN$1267,6,FALSE)</f>
        <v>0</v>
      </c>
      <c r="AK1459" s="1193">
        <f>VLOOKUP($Z1457,UsoSuelo!$DB$1201:$DN$1267,7,FALSE)</f>
        <v>0</v>
      </c>
      <c r="AL1459" s="1193">
        <f>VLOOKUP($Z1457,UsoSuelo!$DB$1201:$DN$1267,8,FALSE)</f>
        <v>0</v>
      </c>
      <c r="AM1459" s="1193">
        <f>VLOOKUP($Z1457,UsoSuelo!$DB$1201:$DN$1267,9,FALSE)</f>
        <v>0</v>
      </c>
      <c r="AN1459" s="1193">
        <f>VLOOKUP($Z1457,UsoSuelo!$DB$1201:$DN$1267,10,FALSE)</f>
        <v>0</v>
      </c>
      <c r="AO1459" s="1193">
        <f>VLOOKUP($Z1457,UsoSuelo!$DB$1201:$DN$1267,11,FALSE)</f>
        <v>0</v>
      </c>
      <c r="AP1459" s="1193">
        <f>VLOOKUP($Z1457,UsoSuelo!$DB$1201:$DN$1267,12,FALSE)</f>
        <v>0</v>
      </c>
      <c r="AQ1459" s="1183">
        <f>VLOOKUP($Z1457,UsoSuelo!$DB$1201:$DN$1267,13,FALSE)</f>
        <v>0</v>
      </c>
      <c r="AR1459" s="1195"/>
    </row>
    <row r="1460" spans="2:44" ht="13.75" hidden="1" customHeight="1" x14ac:dyDescent="0.2">
      <c r="B1460" s="1195"/>
      <c r="C1460" s="193"/>
      <c r="D1460" s="193"/>
      <c r="E1460" s="193"/>
      <c r="F1460" s="193" t="s">
        <v>344</v>
      </c>
      <c r="G1460" s="193" t="s">
        <v>694</v>
      </c>
      <c r="H1460" s="193"/>
      <c r="I1460" s="378">
        <f t="shared" ref="I1460:T1460" si="718">+I42</f>
        <v>0</v>
      </c>
      <c r="J1460" s="1193">
        <f t="shared" si="718"/>
        <v>0</v>
      </c>
      <c r="K1460" s="1193">
        <f t="shared" si="718"/>
        <v>0</v>
      </c>
      <c r="L1460" s="1193">
        <f t="shared" si="718"/>
        <v>0</v>
      </c>
      <c r="M1460" s="1193">
        <f t="shared" si="718"/>
        <v>0</v>
      </c>
      <c r="N1460" s="1193">
        <f t="shared" si="718"/>
        <v>0</v>
      </c>
      <c r="O1460" s="1193">
        <f t="shared" si="718"/>
        <v>0</v>
      </c>
      <c r="P1460" s="1193">
        <f t="shared" si="718"/>
        <v>0</v>
      </c>
      <c r="Q1460" s="1193">
        <f t="shared" si="718"/>
        <v>0</v>
      </c>
      <c r="R1460" s="1193">
        <f t="shared" si="718"/>
        <v>0</v>
      </c>
      <c r="S1460" s="1193">
        <f t="shared" si="718"/>
        <v>0</v>
      </c>
      <c r="T1460" s="1183">
        <f t="shared" si="718"/>
        <v>0</v>
      </c>
      <c r="U1460" s="1195"/>
      <c r="Y1460" s="1195"/>
      <c r="Z1460" s="193"/>
      <c r="AA1460" s="193"/>
      <c r="AB1460" s="193"/>
      <c r="AC1460" s="193" t="s">
        <v>344</v>
      </c>
      <c r="AD1460" s="193" t="s">
        <v>694</v>
      </c>
      <c r="AE1460" s="193"/>
      <c r="AF1460" s="378">
        <f t="shared" ref="AF1460:AQ1460" si="719">+AF42</f>
        <v>0</v>
      </c>
      <c r="AG1460" s="1193">
        <f t="shared" si="719"/>
        <v>0</v>
      </c>
      <c r="AH1460" s="1193">
        <f t="shared" si="719"/>
        <v>0</v>
      </c>
      <c r="AI1460" s="1193">
        <f t="shared" si="719"/>
        <v>0</v>
      </c>
      <c r="AJ1460" s="1193">
        <f t="shared" si="719"/>
        <v>0</v>
      </c>
      <c r="AK1460" s="1193">
        <f t="shared" si="719"/>
        <v>0</v>
      </c>
      <c r="AL1460" s="1193">
        <f t="shared" si="719"/>
        <v>0</v>
      </c>
      <c r="AM1460" s="1193">
        <f t="shared" si="719"/>
        <v>0</v>
      </c>
      <c r="AN1460" s="1193">
        <f t="shared" si="719"/>
        <v>0</v>
      </c>
      <c r="AO1460" s="1193">
        <f t="shared" si="719"/>
        <v>0</v>
      </c>
      <c r="AP1460" s="1193">
        <f t="shared" si="719"/>
        <v>0</v>
      </c>
      <c r="AQ1460" s="1183">
        <f t="shared" si="719"/>
        <v>0</v>
      </c>
      <c r="AR1460" s="1195"/>
    </row>
    <row r="1461" spans="2:44" ht="13.75" hidden="1" customHeight="1" x14ac:dyDescent="0.2">
      <c r="B1461" s="1196"/>
      <c r="C1461" s="374"/>
      <c r="D1461" s="374"/>
      <c r="E1461" s="374"/>
      <c r="F1461" s="374" t="s">
        <v>811</v>
      </c>
      <c r="G1461" s="374"/>
      <c r="H1461" s="374"/>
      <c r="I1461" s="377">
        <f>+IF($B1457="Agrícola",0,I1460)</f>
        <v>0</v>
      </c>
      <c r="J1461" s="1200">
        <f>+IF($B1457="Agrícola",0,J1460)</f>
        <v>0</v>
      </c>
      <c r="K1461" s="1200">
        <f t="shared" ref="K1461:T1461" si="720">+IF($B1457="Agrícola",0,K1460)</f>
        <v>0</v>
      </c>
      <c r="L1461" s="1200">
        <f t="shared" si="720"/>
        <v>0</v>
      </c>
      <c r="M1461" s="1200">
        <f t="shared" si="720"/>
        <v>0</v>
      </c>
      <c r="N1461" s="1200">
        <f t="shared" si="720"/>
        <v>0</v>
      </c>
      <c r="O1461" s="1200">
        <f t="shared" si="720"/>
        <v>0</v>
      </c>
      <c r="P1461" s="1200">
        <f t="shared" si="720"/>
        <v>0</v>
      </c>
      <c r="Q1461" s="1200">
        <f t="shared" si="720"/>
        <v>0</v>
      </c>
      <c r="R1461" s="1200">
        <f t="shared" si="720"/>
        <v>0</v>
      </c>
      <c r="S1461" s="1200">
        <f t="shared" si="720"/>
        <v>0</v>
      </c>
      <c r="T1461" s="1201">
        <f t="shared" si="720"/>
        <v>0</v>
      </c>
      <c r="U1461" s="1195"/>
      <c r="Y1461" s="1196"/>
      <c r="Z1461" s="374"/>
      <c r="AA1461" s="374"/>
      <c r="AB1461" s="374"/>
      <c r="AC1461" s="374" t="s">
        <v>811</v>
      </c>
      <c r="AD1461" s="374"/>
      <c r="AE1461" s="374"/>
      <c r="AF1461" s="377">
        <f t="shared" ref="AF1461:AQ1461" si="721">+IF($Y1457="Agrícola",0,AF1460)</f>
        <v>0</v>
      </c>
      <c r="AG1461" s="1200">
        <f t="shared" si="721"/>
        <v>0</v>
      </c>
      <c r="AH1461" s="1200">
        <f t="shared" si="721"/>
        <v>0</v>
      </c>
      <c r="AI1461" s="1200">
        <f t="shared" si="721"/>
        <v>0</v>
      </c>
      <c r="AJ1461" s="1200">
        <f t="shared" si="721"/>
        <v>0</v>
      </c>
      <c r="AK1461" s="1200">
        <f t="shared" si="721"/>
        <v>0</v>
      </c>
      <c r="AL1461" s="1200">
        <f t="shared" si="721"/>
        <v>0</v>
      </c>
      <c r="AM1461" s="1200">
        <f t="shared" si="721"/>
        <v>0</v>
      </c>
      <c r="AN1461" s="1200">
        <f t="shared" si="721"/>
        <v>0</v>
      </c>
      <c r="AO1461" s="1200">
        <f t="shared" si="721"/>
        <v>0</v>
      </c>
      <c r="AP1461" s="1200">
        <f t="shared" si="721"/>
        <v>0</v>
      </c>
      <c r="AQ1461" s="1201">
        <f t="shared" si="721"/>
        <v>0</v>
      </c>
      <c r="AR1461" s="1195"/>
    </row>
    <row r="1462" spans="2:44" ht="13.75" hidden="1" customHeight="1" x14ac:dyDescent="0.2">
      <c r="B1462" s="1195"/>
      <c r="C1462" s="193"/>
      <c r="D1462" s="193"/>
      <c r="E1462" s="193"/>
      <c r="F1462" s="193" t="s">
        <v>695</v>
      </c>
      <c r="G1462" s="193"/>
      <c r="H1462" s="193"/>
      <c r="I1462" s="1202">
        <f>IFERROR(I1458/I1461,0)</f>
        <v>0</v>
      </c>
      <c r="J1462" s="1203">
        <f t="shared" ref="J1462:T1462" si="722">IFERROR(J1458/J1461,0)</f>
        <v>0</v>
      </c>
      <c r="K1462" s="1203">
        <f t="shared" si="722"/>
        <v>0</v>
      </c>
      <c r="L1462" s="1203">
        <f t="shared" si="722"/>
        <v>0</v>
      </c>
      <c r="M1462" s="1203">
        <f t="shared" si="722"/>
        <v>0</v>
      </c>
      <c r="N1462" s="1203">
        <f t="shared" si="722"/>
        <v>0</v>
      </c>
      <c r="O1462" s="1203">
        <f t="shared" si="722"/>
        <v>0</v>
      </c>
      <c r="P1462" s="1203">
        <f t="shared" si="722"/>
        <v>0</v>
      </c>
      <c r="Q1462" s="1203">
        <f t="shared" si="722"/>
        <v>0</v>
      </c>
      <c r="R1462" s="1203">
        <f t="shared" si="722"/>
        <v>0</v>
      </c>
      <c r="S1462" s="1203">
        <f t="shared" si="722"/>
        <v>0</v>
      </c>
      <c r="T1462" s="1204">
        <f t="shared" si="722"/>
        <v>0</v>
      </c>
      <c r="U1462" s="1582"/>
      <c r="Y1462" s="1195"/>
      <c r="Z1462" s="193"/>
      <c r="AA1462" s="193"/>
      <c r="AB1462" s="193"/>
      <c r="AC1462" s="193" t="s">
        <v>695</v>
      </c>
      <c r="AD1462" s="193"/>
      <c r="AE1462" s="193"/>
      <c r="AF1462" s="1202">
        <f>IFERROR(AF1458/AF1461,0)</f>
        <v>0</v>
      </c>
      <c r="AG1462" s="1203">
        <f t="shared" ref="AG1462:AQ1462" si="723">IFERROR(AG1458/AG1461,0)</f>
        <v>0</v>
      </c>
      <c r="AH1462" s="1203">
        <f t="shared" si="723"/>
        <v>0</v>
      </c>
      <c r="AI1462" s="1203">
        <f t="shared" si="723"/>
        <v>0</v>
      </c>
      <c r="AJ1462" s="1203">
        <f t="shared" si="723"/>
        <v>0</v>
      </c>
      <c r="AK1462" s="1203">
        <f t="shared" si="723"/>
        <v>0</v>
      </c>
      <c r="AL1462" s="1203">
        <f t="shared" si="723"/>
        <v>0</v>
      </c>
      <c r="AM1462" s="1203">
        <f t="shared" si="723"/>
        <v>0</v>
      </c>
      <c r="AN1462" s="1203">
        <f t="shared" si="723"/>
        <v>0</v>
      </c>
      <c r="AO1462" s="1203">
        <f t="shared" si="723"/>
        <v>0</v>
      </c>
      <c r="AP1462" s="1203">
        <f t="shared" si="723"/>
        <v>0</v>
      </c>
      <c r="AQ1462" s="1204">
        <f t="shared" si="723"/>
        <v>0</v>
      </c>
      <c r="AR1462" s="1582"/>
    </row>
    <row r="1463" spans="2:44" ht="13.75" hidden="1" customHeight="1" x14ac:dyDescent="0.2">
      <c r="B1463" s="1195"/>
      <c r="C1463" s="193"/>
      <c r="D1463" s="193"/>
      <c r="E1463" s="193"/>
      <c r="F1463" s="193" t="s">
        <v>696</v>
      </c>
      <c r="G1463" s="193"/>
      <c r="H1463" s="193"/>
      <c r="I1463" s="1202">
        <f>IFERROR(I1459/I1461,0)</f>
        <v>0</v>
      </c>
      <c r="J1463" s="1203">
        <f t="shared" ref="J1463:T1463" si="724">IFERROR(J1459/J1461,0)</f>
        <v>0</v>
      </c>
      <c r="K1463" s="1203">
        <f t="shared" si="724"/>
        <v>0</v>
      </c>
      <c r="L1463" s="1203">
        <f t="shared" si="724"/>
        <v>0</v>
      </c>
      <c r="M1463" s="1203">
        <f t="shared" si="724"/>
        <v>0</v>
      </c>
      <c r="N1463" s="1203">
        <f t="shared" si="724"/>
        <v>0</v>
      </c>
      <c r="O1463" s="1203">
        <f t="shared" si="724"/>
        <v>0</v>
      </c>
      <c r="P1463" s="1203">
        <f t="shared" si="724"/>
        <v>0</v>
      </c>
      <c r="Q1463" s="1203">
        <f t="shared" si="724"/>
        <v>0</v>
      </c>
      <c r="R1463" s="1203">
        <f t="shared" si="724"/>
        <v>0</v>
      </c>
      <c r="S1463" s="1203">
        <f t="shared" si="724"/>
        <v>0</v>
      </c>
      <c r="T1463" s="1204">
        <f t="shared" si="724"/>
        <v>0</v>
      </c>
      <c r="U1463" s="1582"/>
      <c r="Y1463" s="1195"/>
      <c r="Z1463" s="193"/>
      <c r="AA1463" s="193"/>
      <c r="AB1463" s="193"/>
      <c r="AC1463" s="193" t="s">
        <v>696</v>
      </c>
      <c r="AD1463" s="193"/>
      <c r="AE1463" s="193"/>
      <c r="AF1463" s="1202">
        <f>IFERROR(AF1459/AF1461,0)</f>
        <v>0</v>
      </c>
      <c r="AG1463" s="1203">
        <f t="shared" ref="AG1463:AQ1463" si="725">IFERROR(AG1459/AG1461,0)</f>
        <v>0</v>
      </c>
      <c r="AH1463" s="1203">
        <f t="shared" si="725"/>
        <v>0</v>
      </c>
      <c r="AI1463" s="1203">
        <f t="shared" si="725"/>
        <v>0</v>
      </c>
      <c r="AJ1463" s="1203">
        <f t="shared" si="725"/>
        <v>0</v>
      </c>
      <c r="AK1463" s="1203">
        <f t="shared" si="725"/>
        <v>0</v>
      </c>
      <c r="AL1463" s="1203">
        <f t="shared" si="725"/>
        <v>0</v>
      </c>
      <c r="AM1463" s="1203">
        <f t="shared" si="725"/>
        <v>0</v>
      </c>
      <c r="AN1463" s="1203">
        <f t="shared" si="725"/>
        <v>0</v>
      </c>
      <c r="AO1463" s="1203">
        <f t="shared" si="725"/>
        <v>0</v>
      </c>
      <c r="AP1463" s="1203">
        <f t="shared" si="725"/>
        <v>0</v>
      </c>
      <c r="AQ1463" s="1204">
        <f t="shared" si="725"/>
        <v>0</v>
      </c>
      <c r="AR1463" s="1582"/>
    </row>
    <row r="1464" spans="2:44" ht="13.75" hidden="1" customHeight="1" x14ac:dyDescent="0.2">
      <c r="B1464" s="1196" t="s">
        <v>803</v>
      </c>
      <c r="C1464" s="374"/>
      <c r="D1464" s="374"/>
      <c r="E1464" s="374"/>
      <c r="F1464" s="374" t="s">
        <v>697</v>
      </c>
      <c r="G1464" s="374" t="s">
        <v>694</v>
      </c>
      <c r="H1464" s="193"/>
      <c r="I1464" s="377">
        <f t="shared" ref="I1464:T1464" si="726">SUMPRODUCT($F59:$F77,I59:I77)</f>
        <v>0</v>
      </c>
      <c r="J1464" s="1200">
        <f t="shared" si="726"/>
        <v>0</v>
      </c>
      <c r="K1464" s="1200">
        <f t="shared" si="726"/>
        <v>0</v>
      </c>
      <c r="L1464" s="1200">
        <f t="shared" si="726"/>
        <v>0</v>
      </c>
      <c r="M1464" s="1200">
        <f t="shared" si="726"/>
        <v>0</v>
      </c>
      <c r="N1464" s="1200">
        <f t="shared" si="726"/>
        <v>0</v>
      </c>
      <c r="O1464" s="1200">
        <f t="shared" si="726"/>
        <v>0</v>
      </c>
      <c r="P1464" s="1200">
        <f t="shared" si="726"/>
        <v>0</v>
      </c>
      <c r="Q1464" s="1200">
        <f t="shared" si="726"/>
        <v>0</v>
      </c>
      <c r="R1464" s="1200">
        <f t="shared" si="726"/>
        <v>0</v>
      </c>
      <c r="S1464" s="1200">
        <f t="shared" si="726"/>
        <v>0</v>
      </c>
      <c r="T1464" s="1201">
        <f t="shared" si="726"/>
        <v>0</v>
      </c>
      <c r="U1464" s="1195"/>
      <c r="Y1464" s="1196" t="s">
        <v>803</v>
      </c>
      <c r="Z1464" s="374"/>
      <c r="AA1464" s="374"/>
      <c r="AB1464" s="374"/>
      <c r="AC1464" s="374" t="s">
        <v>697</v>
      </c>
      <c r="AD1464" s="374" t="s">
        <v>694</v>
      </c>
      <c r="AE1464" s="193"/>
      <c r="AF1464" s="377">
        <f t="shared" ref="AF1464:AQ1464" si="727">SUMPRODUCT($AC59:$AC77,AF59:AF77)</f>
        <v>0</v>
      </c>
      <c r="AG1464" s="1200">
        <f t="shared" si="727"/>
        <v>0</v>
      </c>
      <c r="AH1464" s="1200">
        <f t="shared" si="727"/>
        <v>0</v>
      </c>
      <c r="AI1464" s="1200">
        <f t="shared" si="727"/>
        <v>0</v>
      </c>
      <c r="AJ1464" s="1200">
        <f t="shared" si="727"/>
        <v>0</v>
      </c>
      <c r="AK1464" s="1200">
        <f t="shared" si="727"/>
        <v>0</v>
      </c>
      <c r="AL1464" s="1200">
        <f t="shared" si="727"/>
        <v>0</v>
      </c>
      <c r="AM1464" s="1200">
        <f t="shared" si="727"/>
        <v>0</v>
      </c>
      <c r="AN1464" s="1200">
        <f t="shared" si="727"/>
        <v>0</v>
      </c>
      <c r="AO1464" s="1200">
        <f t="shared" si="727"/>
        <v>0</v>
      </c>
      <c r="AP1464" s="1200">
        <f t="shared" si="727"/>
        <v>0</v>
      </c>
      <c r="AQ1464" s="1201">
        <f t="shared" si="727"/>
        <v>0</v>
      </c>
      <c r="AR1464" s="1195"/>
    </row>
    <row r="1465" spans="2:44" ht="13.75" hidden="1" customHeight="1" x14ac:dyDescent="0.2">
      <c r="B1465" s="1195"/>
      <c r="C1465" s="193"/>
      <c r="D1465" s="193"/>
      <c r="E1465" s="193"/>
      <c r="F1465" s="193" t="s">
        <v>697</v>
      </c>
      <c r="G1465" s="193" t="s">
        <v>698</v>
      </c>
      <c r="H1465" s="193"/>
      <c r="I1465" s="378">
        <f>+I1464*I1462</f>
        <v>0</v>
      </c>
      <c r="J1465" s="1193">
        <f t="shared" ref="J1465:T1465" si="728">+J1464*J1462</f>
        <v>0</v>
      </c>
      <c r="K1465" s="1193">
        <f t="shared" si="728"/>
        <v>0</v>
      </c>
      <c r="L1465" s="1193">
        <f t="shared" si="728"/>
        <v>0</v>
      </c>
      <c r="M1465" s="1193">
        <f t="shared" si="728"/>
        <v>0</v>
      </c>
      <c r="N1465" s="1193">
        <f t="shared" si="728"/>
        <v>0</v>
      </c>
      <c r="O1465" s="1193">
        <f t="shared" si="728"/>
        <v>0</v>
      </c>
      <c r="P1465" s="1193">
        <f t="shared" si="728"/>
        <v>0</v>
      </c>
      <c r="Q1465" s="1193">
        <f t="shared" si="728"/>
        <v>0</v>
      </c>
      <c r="R1465" s="1193">
        <f t="shared" si="728"/>
        <v>0</v>
      </c>
      <c r="S1465" s="1193">
        <f t="shared" si="728"/>
        <v>0</v>
      </c>
      <c r="T1465" s="1183">
        <f t="shared" si="728"/>
        <v>0</v>
      </c>
      <c r="U1465" s="1195"/>
      <c r="Y1465" s="1195"/>
      <c r="Z1465" s="193"/>
      <c r="AA1465" s="193"/>
      <c r="AB1465" s="193"/>
      <c r="AC1465" s="193" t="s">
        <v>697</v>
      </c>
      <c r="AD1465" s="193" t="s">
        <v>698</v>
      </c>
      <c r="AE1465" s="193"/>
      <c r="AF1465" s="378">
        <f>+AF1464*AF1462</f>
        <v>0</v>
      </c>
      <c r="AG1465" s="1193">
        <f t="shared" ref="AG1465:AQ1465" si="729">+AG1464*AG1462</f>
        <v>0</v>
      </c>
      <c r="AH1465" s="1193">
        <f t="shared" si="729"/>
        <v>0</v>
      </c>
      <c r="AI1465" s="1193">
        <f t="shared" si="729"/>
        <v>0</v>
      </c>
      <c r="AJ1465" s="1193">
        <f t="shared" si="729"/>
        <v>0</v>
      </c>
      <c r="AK1465" s="1193">
        <f t="shared" si="729"/>
        <v>0</v>
      </c>
      <c r="AL1465" s="1193">
        <f t="shared" si="729"/>
        <v>0</v>
      </c>
      <c r="AM1465" s="1193">
        <f t="shared" si="729"/>
        <v>0</v>
      </c>
      <c r="AN1465" s="1193">
        <f t="shared" si="729"/>
        <v>0</v>
      </c>
      <c r="AO1465" s="1193">
        <f t="shared" si="729"/>
        <v>0</v>
      </c>
      <c r="AP1465" s="1193">
        <f t="shared" si="729"/>
        <v>0</v>
      </c>
      <c r="AQ1465" s="1183">
        <f t="shared" si="729"/>
        <v>0</v>
      </c>
      <c r="AR1465" s="1195"/>
    </row>
    <row r="1466" spans="2:44" ht="13.75" hidden="1" customHeight="1" x14ac:dyDescent="0.2">
      <c r="B1466" s="1197"/>
      <c r="C1466" s="379"/>
      <c r="D1466" s="379"/>
      <c r="E1466" s="379"/>
      <c r="F1466" s="379" t="s">
        <v>30</v>
      </c>
      <c r="G1466" s="379" t="s">
        <v>699</v>
      </c>
      <c r="H1466" s="193"/>
      <c r="I1466" s="380">
        <f>+I1464*I1463</f>
        <v>0</v>
      </c>
      <c r="J1466" s="1205">
        <f t="shared" ref="J1466:T1466" si="730">+J1464*J1463</f>
        <v>0</v>
      </c>
      <c r="K1466" s="1205">
        <f t="shared" si="730"/>
        <v>0</v>
      </c>
      <c r="L1466" s="1205">
        <f t="shared" si="730"/>
        <v>0</v>
      </c>
      <c r="M1466" s="1205">
        <f t="shared" si="730"/>
        <v>0</v>
      </c>
      <c r="N1466" s="1205">
        <f t="shared" si="730"/>
        <v>0</v>
      </c>
      <c r="O1466" s="1205">
        <f t="shared" si="730"/>
        <v>0</v>
      </c>
      <c r="P1466" s="1205">
        <f t="shared" si="730"/>
        <v>0</v>
      </c>
      <c r="Q1466" s="1205">
        <f t="shared" si="730"/>
        <v>0</v>
      </c>
      <c r="R1466" s="1205">
        <f t="shared" si="730"/>
        <v>0</v>
      </c>
      <c r="S1466" s="1205">
        <f t="shared" si="730"/>
        <v>0</v>
      </c>
      <c r="T1466" s="1190">
        <f t="shared" si="730"/>
        <v>0</v>
      </c>
      <c r="U1466" s="1195"/>
      <c r="Y1466" s="1197"/>
      <c r="Z1466" s="379"/>
      <c r="AA1466" s="379"/>
      <c r="AB1466" s="379"/>
      <c r="AC1466" s="379" t="s">
        <v>30</v>
      </c>
      <c r="AD1466" s="379" t="s">
        <v>699</v>
      </c>
      <c r="AE1466" s="193"/>
      <c r="AF1466" s="380">
        <f>+AF1464*AF1463</f>
        <v>0</v>
      </c>
      <c r="AG1466" s="1205">
        <f t="shared" ref="AG1466:AQ1466" si="731">+AG1464*AG1463</f>
        <v>0</v>
      </c>
      <c r="AH1466" s="1205">
        <f t="shared" si="731"/>
        <v>0</v>
      </c>
      <c r="AI1466" s="1205">
        <f t="shared" si="731"/>
        <v>0</v>
      </c>
      <c r="AJ1466" s="1205">
        <f t="shared" si="731"/>
        <v>0</v>
      </c>
      <c r="AK1466" s="1205">
        <f t="shared" si="731"/>
        <v>0</v>
      </c>
      <c r="AL1466" s="1205">
        <f t="shared" si="731"/>
        <v>0</v>
      </c>
      <c r="AM1466" s="1205">
        <f t="shared" si="731"/>
        <v>0</v>
      </c>
      <c r="AN1466" s="1205">
        <f t="shared" si="731"/>
        <v>0</v>
      </c>
      <c r="AO1466" s="1205">
        <f t="shared" si="731"/>
        <v>0</v>
      </c>
      <c r="AP1466" s="1205">
        <f t="shared" si="731"/>
        <v>0</v>
      </c>
      <c r="AQ1466" s="1190">
        <f t="shared" si="731"/>
        <v>0</v>
      </c>
      <c r="AR1466" s="1195"/>
    </row>
    <row r="1467" spans="2:44" ht="13.75" hidden="1" customHeight="1" x14ac:dyDescent="0.2">
      <c r="B1467" s="1196" t="s">
        <v>447</v>
      </c>
      <c r="C1467" s="374"/>
      <c r="D1467" s="374"/>
      <c r="E1467" s="374"/>
      <c r="F1467" s="374" t="s">
        <v>697</v>
      </c>
      <c r="G1467" s="374" t="s">
        <v>694</v>
      </c>
      <c r="H1467" s="193"/>
      <c r="I1467" s="377">
        <f t="shared" ref="I1467:T1467" si="732">SUMPRODUCT(I52:I56,$F52:$F56)</f>
        <v>0</v>
      </c>
      <c r="J1467" s="1200">
        <f t="shared" si="732"/>
        <v>0</v>
      </c>
      <c r="K1467" s="1200">
        <f t="shared" si="732"/>
        <v>0</v>
      </c>
      <c r="L1467" s="1200">
        <f t="shared" si="732"/>
        <v>0</v>
      </c>
      <c r="M1467" s="1200">
        <f t="shared" si="732"/>
        <v>0</v>
      </c>
      <c r="N1467" s="1200">
        <f t="shared" si="732"/>
        <v>0</v>
      </c>
      <c r="O1467" s="1200">
        <f t="shared" si="732"/>
        <v>0</v>
      </c>
      <c r="P1467" s="1200">
        <f t="shared" si="732"/>
        <v>0</v>
      </c>
      <c r="Q1467" s="1200">
        <f t="shared" si="732"/>
        <v>0</v>
      </c>
      <c r="R1467" s="1200">
        <f t="shared" si="732"/>
        <v>0</v>
      </c>
      <c r="S1467" s="1200">
        <f t="shared" si="732"/>
        <v>0</v>
      </c>
      <c r="T1467" s="1201">
        <f t="shared" si="732"/>
        <v>0</v>
      </c>
      <c r="U1467" s="1195"/>
      <c r="Y1467" s="1196" t="s">
        <v>447</v>
      </c>
      <c r="Z1467" s="374"/>
      <c r="AA1467" s="374"/>
      <c r="AB1467" s="374"/>
      <c r="AC1467" s="374" t="s">
        <v>697</v>
      </c>
      <c r="AD1467" s="374" t="s">
        <v>694</v>
      </c>
      <c r="AE1467" s="193"/>
      <c r="AF1467" s="377">
        <f t="shared" ref="AF1467:AQ1467" si="733">SUMPRODUCT(AF52:AF56,$AC52:$AC56)</f>
        <v>0</v>
      </c>
      <c r="AG1467" s="1200">
        <f t="shared" si="733"/>
        <v>0</v>
      </c>
      <c r="AH1467" s="1200">
        <f t="shared" si="733"/>
        <v>0</v>
      </c>
      <c r="AI1467" s="1200">
        <f t="shared" si="733"/>
        <v>0</v>
      </c>
      <c r="AJ1467" s="1200">
        <f t="shared" si="733"/>
        <v>0</v>
      </c>
      <c r="AK1467" s="1200">
        <f t="shared" si="733"/>
        <v>0</v>
      </c>
      <c r="AL1467" s="1200">
        <f t="shared" si="733"/>
        <v>0</v>
      </c>
      <c r="AM1467" s="1200">
        <f t="shared" si="733"/>
        <v>0</v>
      </c>
      <c r="AN1467" s="1200">
        <f t="shared" si="733"/>
        <v>0</v>
      </c>
      <c r="AO1467" s="1200">
        <f t="shared" si="733"/>
        <v>0</v>
      </c>
      <c r="AP1467" s="1200">
        <f t="shared" si="733"/>
        <v>0</v>
      </c>
      <c r="AQ1467" s="1201">
        <f t="shared" si="733"/>
        <v>0</v>
      </c>
      <c r="AR1467" s="1195"/>
    </row>
    <row r="1468" spans="2:44" ht="13.75" hidden="1" customHeight="1" x14ac:dyDescent="0.2">
      <c r="B1468" s="1195"/>
      <c r="C1468" s="193"/>
      <c r="D1468" s="193"/>
      <c r="E1468" s="193"/>
      <c r="F1468" s="193" t="s">
        <v>697</v>
      </c>
      <c r="G1468" s="193" t="s">
        <v>698</v>
      </c>
      <c r="H1468" s="193"/>
      <c r="I1468" s="378">
        <f>+I1467*I1462</f>
        <v>0</v>
      </c>
      <c r="J1468" s="1193">
        <f t="shared" ref="J1468:T1468" si="734">+J1467*J1462</f>
        <v>0</v>
      </c>
      <c r="K1468" s="1193">
        <f t="shared" si="734"/>
        <v>0</v>
      </c>
      <c r="L1468" s="1193">
        <f t="shared" si="734"/>
        <v>0</v>
      </c>
      <c r="M1468" s="1193">
        <f t="shared" si="734"/>
        <v>0</v>
      </c>
      <c r="N1468" s="1193">
        <f t="shared" si="734"/>
        <v>0</v>
      </c>
      <c r="O1468" s="1193">
        <f t="shared" si="734"/>
        <v>0</v>
      </c>
      <c r="P1468" s="1193">
        <f t="shared" si="734"/>
        <v>0</v>
      </c>
      <c r="Q1468" s="1193">
        <f t="shared" si="734"/>
        <v>0</v>
      </c>
      <c r="R1468" s="1193">
        <f t="shared" si="734"/>
        <v>0</v>
      </c>
      <c r="S1468" s="1193">
        <f t="shared" si="734"/>
        <v>0</v>
      </c>
      <c r="T1468" s="1183">
        <f t="shared" si="734"/>
        <v>0</v>
      </c>
      <c r="U1468" s="1195"/>
      <c r="Y1468" s="1195"/>
      <c r="Z1468" s="193"/>
      <c r="AA1468" s="193"/>
      <c r="AB1468" s="193"/>
      <c r="AC1468" s="193" t="s">
        <v>697</v>
      </c>
      <c r="AD1468" s="193" t="s">
        <v>698</v>
      </c>
      <c r="AE1468" s="193"/>
      <c r="AF1468" s="378">
        <f t="shared" ref="AF1468:AQ1468" si="735">+AF1467*AF1462</f>
        <v>0</v>
      </c>
      <c r="AG1468" s="1193">
        <f t="shared" si="735"/>
        <v>0</v>
      </c>
      <c r="AH1468" s="1193">
        <f t="shared" si="735"/>
        <v>0</v>
      </c>
      <c r="AI1468" s="1193">
        <f t="shared" si="735"/>
        <v>0</v>
      </c>
      <c r="AJ1468" s="1193">
        <f t="shared" si="735"/>
        <v>0</v>
      </c>
      <c r="AK1468" s="1193">
        <f t="shared" si="735"/>
        <v>0</v>
      </c>
      <c r="AL1468" s="1193">
        <f t="shared" si="735"/>
        <v>0</v>
      </c>
      <c r="AM1468" s="1193">
        <f t="shared" si="735"/>
        <v>0</v>
      </c>
      <c r="AN1468" s="1193">
        <f t="shared" si="735"/>
        <v>0</v>
      </c>
      <c r="AO1468" s="1193">
        <f t="shared" si="735"/>
        <v>0</v>
      </c>
      <c r="AP1468" s="1193">
        <f t="shared" si="735"/>
        <v>0</v>
      </c>
      <c r="AQ1468" s="1183">
        <f t="shared" si="735"/>
        <v>0</v>
      </c>
      <c r="AR1468" s="1195"/>
    </row>
    <row r="1469" spans="2:44" ht="14.4" hidden="1" customHeight="1" thickBot="1" x14ac:dyDescent="0.25">
      <c r="B1469" s="1198"/>
      <c r="C1469" s="1199"/>
      <c r="D1469" s="1199"/>
      <c r="E1469" s="1199"/>
      <c r="F1469" s="1199" t="s">
        <v>30</v>
      </c>
      <c r="G1469" s="1199" t="s">
        <v>699</v>
      </c>
      <c r="H1469" s="1199"/>
      <c r="I1469" s="1206">
        <f>+I1467*I1463</f>
        <v>0</v>
      </c>
      <c r="J1469" s="1207">
        <f t="shared" ref="J1469:T1469" si="736">+J1467*J1463</f>
        <v>0</v>
      </c>
      <c r="K1469" s="1207">
        <f t="shared" si="736"/>
        <v>0</v>
      </c>
      <c r="L1469" s="1207">
        <f t="shared" si="736"/>
        <v>0</v>
      </c>
      <c r="M1469" s="1207">
        <f t="shared" si="736"/>
        <v>0</v>
      </c>
      <c r="N1469" s="1207">
        <f t="shared" si="736"/>
        <v>0</v>
      </c>
      <c r="O1469" s="1207">
        <f t="shared" si="736"/>
        <v>0</v>
      </c>
      <c r="P1469" s="1207">
        <f t="shared" si="736"/>
        <v>0</v>
      </c>
      <c r="Q1469" s="1207">
        <f t="shared" si="736"/>
        <v>0</v>
      </c>
      <c r="R1469" s="1207">
        <f t="shared" si="736"/>
        <v>0</v>
      </c>
      <c r="S1469" s="1207">
        <f t="shared" si="736"/>
        <v>0</v>
      </c>
      <c r="T1469" s="1208">
        <f t="shared" si="736"/>
        <v>0</v>
      </c>
      <c r="U1469" s="1195"/>
      <c r="Y1469" s="1198"/>
      <c r="Z1469" s="1199"/>
      <c r="AA1469" s="1199"/>
      <c r="AB1469" s="1199"/>
      <c r="AC1469" s="1199" t="s">
        <v>30</v>
      </c>
      <c r="AD1469" s="1199" t="s">
        <v>699</v>
      </c>
      <c r="AE1469" s="1199"/>
      <c r="AF1469" s="1206">
        <f>+AF1467*AF1463</f>
        <v>0</v>
      </c>
      <c r="AG1469" s="1207">
        <f t="shared" ref="AG1469:AQ1469" si="737">+AG1467*AG1463</f>
        <v>0</v>
      </c>
      <c r="AH1469" s="1207">
        <f t="shared" si="737"/>
        <v>0</v>
      </c>
      <c r="AI1469" s="1207">
        <f t="shared" si="737"/>
        <v>0</v>
      </c>
      <c r="AJ1469" s="1207">
        <f>+AJ1467*AJ1463</f>
        <v>0</v>
      </c>
      <c r="AK1469" s="1207">
        <f t="shared" si="737"/>
        <v>0</v>
      </c>
      <c r="AL1469" s="1207">
        <f t="shared" si="737"/>
        <v>0</v>
      </c>
      <c r="AM1469" s="1207">
        <f t="shared" si="737"/>
        <v>0</v>
      </c>
      <c r="AN1469" s="1207">
        <f t="shared" si="737"/>
        <v>0</v>
      </c>
      <c r="AO1469" s="1207">
        <f t="shared" si="737"/>
        <v>0</v>
      </c>
      <c r="AP1469" s="1207">
        <f t="shared" si="737"/>
        <v>0</v>
      </c>
      <c r="AQ1469" s="1208">
        <f t="shared" si="737"/>
        <v>0</v>
      </c>
      <c r="AR1469" s="1195"/>
    </row>
    <row r="1470" spans="2:44" ht="14.4" hidden="1" customHeight="1" thickTop="1" x14ac:dyDescent="0.2">
      <c r="B1470" s="1537">
        <f>+B82</f>
        <v>0</v>
      </c>
      <c r="C1470" s="1581">
        <f>+C81</f>
        <v>0</v>
      </c>
      <c r="D1470" s="1194"/>
      <c r="E1470" s="1194"/>
      <c r="F1470" s="1194"/>
      <c r="G1470" s="1194"/>
      <c r="H1470" s="1194"/>
      <c r="I1470" s="1538"/>
      <c r="J1470" s="1539"/>
      <c r="K1470" s="1539"/>
      <c r="L1470" s="1539"/>
      <c r="M1470" s="1539"/>
      <c r="N1470" s="1539"/>
      <c r="O1470" s="1539"/>
      <c r="P1470" s="1539"/>
      <c r="Q1470" s="1539"/>
      <c r="R1470" s="1539"/>
      <c r="S1470" s="1539"/>
      <c r="T1470" s="1540"/>
      <c r="U1470" s="1195"/>
      <c r="Y1470" s="1537">
        <f>+Y82</f>
        <v>0</v>
      </c>
      <c r="Z1470" s="1581">
        <f>+Z81</f>
        <v>0</v>
      </c>
      <c r="AA1470" s="1194"/>
      <c r="AB1470" s="1194"/>
      <c r="AC1470" s="1194"/>
      <c r="AD1470" s="1194"/>
      <c r="AE1470" s="1194"/>
      <c r="AF1470" s="1538"/>
      <c r="AG1470" s="1539"/>
      <c r="AH1470" s="1539"/>
      <c r="AI1470" s="1539"/>
      <c r="AJ1470" s="1539"/>
      <c r="AK1470" s="1539"/>
      <c r="AL1470" s="1539"/>
      <c r="AM1470" s="1539"/>
      <c r="AN1470" s="1539"/>
      <c r="AO1470" s="1539"/>
      <c r="AP1470" s="1539"/>
      <c r="AQ1470" s="1540"/>
      <c r="AR1470" s="1195"/>
    </row>
    <row r="1471" spans="2:44" ht="13.75" hidden="1" customHeight="1" x14ac:dyDescent="0.2">
      <c r="B1471" s="1195" t="s">
        <v>721</v>
      </c>
      <c r="C1471" s="193"/>
      <c r="D1471" s="193"/>
      <c r="E1471" s="254"/>
      <c r="F1471" s="193" t="s">
        <v>247</v>
      </c>
      <c r="G1471" s="193" t="s">
        <v>691</v>
      </c>
      <c r="H1471" s="193"/>
      <c r="I1471" s="378">
        <f>VLOOKUP(C1470,UsoSuelo!$CA$1127:$CM$1194,2,FALSE)</f>
        <v>0</v>
      </c>
      <c r="J1471" s="1193">
        <f>VLOOKUP(C1470,UsoSuelo!$CA$1127:$CM$1194,3,FALSE)</f>
        <v>0</v>
      </c>
      <c r="K1471" s="1193">
        <f>VLOOKUP(C1470,UsoSuelo!$CA$1127:$CM$1194,4,FALSE)</f>
        <v>0</v>
      </c>
      <c r="L1471" s="1193">
        <f>VLOOKUP(C1470,UsoSuelo!$CA$1127:$CM$1194,5,FALSE)</f>
        <v>0</v>
      </c>
      <c r="M1471" s="1193">
        <f>VLOOKUP(C1470,UsoSuelo!$CA$1127:$CM$1194,6,FALSE)</f>
        <v>0</v>
      </c>
      <c r="N1471" s="1193">
        <f>VLOOKUP(C1470,UsoSuelo!$CA$1127:$CM$1194,7,FALSE)</f>
        <v>0</v>
      </c>
      <c r="O1471" s="1193">
        <f>VLOOKUP(C1470,UsoSuelo!$CA$1127:$CM$1194,8,FALSE)</f>
        <v>0</v>
      </c>
      <c r="P1471" s="1193">
        <f>VLOOKUP(C1470,UsoSuelo!$CA$1127:$CM$1194,9,FALSE)</f>
        <v>0</v>
      </c>
      <c r="Q1471" s="1193">
        <f>VLOOKUP(C1470,UsoSuelo!$CA$1127:$CM$1194,10,FALSE)</f>
        <v>0</v>
      </c>
      <c r="R1471" s="1193">
        <f>VLOOKUP(C1470,UsoSuelo!$CA$1127:$CM$1194,11,FALSE)</f>
        <v>0</v>
      </c>
      <c r="S1471" s="1193">
        <f>VLOOKUP(C1470,UsoSuelo!$CA$1127:$CM$1194,12,FALSE)</f>
        <v>0</v>
      </c>
      <c r="T1471" s="1183">
        <f>VLOOKUP(C1470,UsoSuelo!$CA$1127:$CM$1194,13,FALSE)</f>
        <v>0</v>
      </c>
      <c r="U1471" s="1195"/>
      <c r="Y1471" s="1195" t="s">
        <v>721</v>
      </c>
      <c r="Z1471" s="193"/>
      <c r="AA1471" s="193"/>
      <c r="AB1471" s="254"/>
      <c r="AC1471" s="193" t="s">
        <v>247</v>
      </c>
      <c r="AD1471" s="193" t="s">
        <v>691</v>
      </c>
      <c r="AE1471" s="193"/>
      <c r="AF1471" s="378">
        <f>VLOOKUP($Z1470,UsoSuelo!$CO$1054:$DA$1120,2,FALSE)</f>
        <v>0</v>
      </c>
      <c r="AG1471" s="1193">
        <f>VLOOKUP($Z1470,UsoSuelo!$CO$1054:$DA$1120,3,FALSE)</f>
        <v>0</v>
      </c>
      <c r="AH1471" s="1193">
        <f>VLOOKUP($Z1470,UsoSuelo!$CO$1054:$DA$1120,4,FALSE)</f>
        <v>0</v>
      </c>
      <c r="AI1471" s="1193">
        <f>VLOOKUP($Z1470,UsoSuelo!$CO$1054:$DA$1120,5,FALSE)</f>
        <v>0</v>
      </c>
      <c r="AJ1471" s="1193">
        <f>VLOOKUP($Z1470,UsoSuelo!$CO$1054:$DA$1120,6,FALSE)</f>
        <v>0</v>
      </c>
      <c r="AK1471" s="1193">
        <f>VLOOKUP($Z1470,UsoSuelo!$CO$1054:$DA$1120,7,FALSE)</f>
        <v>0</v>
      </c>
      <c r="AL1471" s="1193">
        <f>VLOOKUP($Z1470,UsoSuelo!$CO$1054:$DA$1120,8,FALSE)</f>
        <v>0</v>
      </c>
      <c r="AM1471" s="1193">
        <f>VLOOKUP($Z1470,UsoSuelo!$CO$1054:$DA$1120,9,FALSE)</f>
        <v>0</v>
      </c>
      <c r="AN1471" s="1193">
        <f>VLOOKUP($Z1470,UsoSuelo!$CO$1054:$DA$1120,10,FALSE)</f>
        <v>0</v>
      </c>
      <c r="AO1471" s="1193">
        <f>VLOOKUP($Z1470,UsoSuelo!$CO$1054:$DA$1120,11,FALSE)</f>
        <v>0</v>
      </c>
      <c r="AP1471" s="1193">
        <f>VLOOKUP($Z1470,UsoSuelo!$CO$1054:$DA$1120,12,FALSE)</f>
        <v>0</v>
      </c>
      <c r="AQ1471" s="1183">
        <f>VLOOKUP($Z1470,UsoSuelo!$CO$1054:$DA$1120,13,FALSE)</f>
        <v>0</v>
      </c>
      <c r="AR1471" s="1195"/>
    </row>
    <row r="1472" spans="2:44" ht="13.75" hidden="1" customHeight="1" x14ac:dyDescent="0.2">
      <c r="B1472" s="1195"/>
      <c r="C1472" s="193"/>
      <c r="D1472" s="193"/>
      <c r="E1472" s="193"/>
      <c r="F1472" s="193" t="s">
        <v>344</v>
      </c>
      <c r="G1472" s="193" t="s">
        <v>693</v>
      </c>
      <c r="H1472" s="193"/>
      <c r="I1472" s="378">
        <f>VLOOKUP(C1470,UsoSuelo!$CB$1275:$CN$1341,2,FALSE)</f>
        <v>0</v>
      </c>
      <c r="J1472" s="1193">
        <f>VLOOKUP(C1470,UsoSuelo!$CB$1275:$CN$1341,3,FALSE)</f>
        <v>0</v>
      </c>
      <c r="K1472" s="1193">
        <f>VLOOKUP(C1470,UsoSuelo!$CB$1275:$CN$1341,4,FALSE)</f>
        <v>0</v>
      </c>
      <c r="L1472" s="1193">
        <f>VLOOKUP(C1470,UsoSuelo!$CB$1275:$CN$1341,5,FALSE)</f>
        <v>0</v>
      </c>
      <c r="M1472" s="1193">
        <f>VLOOKUP(C1470,UsoSuelo!$CB$1275:$CN$1341,6,FALSE)</f>
        <v>0</v>
      </c>
      <c r="N1472" s="1193">
        <f>VLOOKUP(C1470,UsoSuelo!$CB$1275:$CN$1341,7,FALSE)</f>
        <v>0</v>
      </c>
      <c r="O1472" s="1193">
        <f>VLOOKUP(C1470,UsoSuelo!$CB$1275:$CN$1341,8,FALSE)</f>
        <v>0</v>
      </c>
      <c r="P1472" s="1193">
        <f>VLOOKUP(C1470,UsoSuelo!$CB$1275:$CN$1341,9,FALSE)</f>
        <v>0</v>
      </c>
      <c r="Q1472" s="1193">
        <f>VLOOKUP(C1470,UsoSuelo!$CB$1275:$CN$1341,10,FALSE)</f>
        <v>0</v>
      </c>
      <c r="R1472" s="1193">
        <f>VLOOKUP(C1470,UsoSuelo!$CB$1275:$CN$1341,11,FALSE)</f>
        <v>0</v>
      </c>
      <c r="S1472" s="1193">
        <f>VLOOKUP(C1470,UsoSuelo!$CB$1275:$CN$1341,12,FALSE)</f>
        <v>0</v>
      </c>
      <c r="T1472" s="1183">
        <f>VLOOKUP(C1470,UsoSuelo!$CB$1275:$CN$1341,13,FALSE)</f>
        <v>0</v>
      </c>
      <c r="U1472" s="1195"/>
      <c r="Y1472" s="1195"/>
      <c r="Z1472" s="193"/>
      <c r="AA1472" s="193"/>
      <c r="AB1472" s="193"/>
      <c r="AC1472" s="193" t="s">
        <v>247</v>
      </c>
      <c r="AD1472" s="193" t="s">
        <v>699</v>
      </c>
      <c r="AE1472" s="193"/>
      <c r="AF1472" s="378">
        <f>VLOOKUP($Z1470,UsoSuelo!$DB$1201:$DN$1267,2,FALSE)</f>
        <v>0</v>
      </c>
      <c r="AG1472" s="1193">
        <f>VLOOKUP($Z1470,UsoSuelo!$DB$1201:$DN$1267,3,FALSE)</f>
        <v>0</v>
      </c>
      <c r="AH1472" s="1193">
        <f>VLOOKUP($Z1470,UsoSuelo!$DB$1201:$DN$1267,4,FALSE)</f>
        <v>0</v>
      </c>
      <c r="AI1472" s="1193">
        <f>VLOOKUP($Z1470,UsoSuelo!$DB$1201:$DN$1267,5,FALSE)</f>
        <v>0</v>
      </c>
      <c r="AJ1472" s="1193">
        <f>VLOOKUP($Z1470,UsoSuelo!$DB$1201:$DN$1267,6,FALSE)</f>
        <v>0</v>
      </c>
      <c r="AK1472" s="1193">
        <f>VLOOKUP($Z1470,UsoSuelo!$DB$1201:$DN$1267,7,FALSE)</f>
        <v>0</v>
      </c>
      <c r="AL1472" s="1193">
        <f>VLOOKUP($Z1470,UsoSuelo!$DB$1201:$DN$1267,8,FALSE)</f>
        <v>0</v>
      </c>
      <c r="AM1472" s="1193">
        <f>VLOOKUP($Z1470,UsoSuelo!$DB$1201:$DN$1267,9,FALSE)</f>
        <v>0</v>
      </c>
      <c r="AN1472" s="1193">
        <f>VLOOKUP($Z1470,UsoSuelo!$DB$1201:$DN$1267,10,FALSE)</f>
        <v>0</v>
      </c>
      <c r="AO1472" s="1193">
        <f>VLOOKUP($Z1470,UsoSuelo!$DB$1201:$DN$1267,11,FALSE)</f>
        <v>0</v>
      </c>
      <c r="AP1472" s="1193">
        <f>VLOOKUP($Z1470,UsoSuelo!$DB$1201:$DN$1267,12,FALSE)</f>
        <v>0</v>
      </c>
      <c r="AQ1472" s="1183">
        <f>VLOOKUP($Z1470,UsoSuelo!$DB$1201:$DN$1267,13,FALSE)</f>
        <v>0</v>
      </c>
      <c r="AR1472" s="1195"/>
    </row>
    <row r="1473" spans="2:44" ht="13.75" hidden="1" customHeight="1" x14ac:dyDescent="0.2">
      <c r="B1473" s="1195"/>
      <c r="C1473" s="193"/>
      <c r="D1473" s="193"/>
      <c r="E1473" s="193"/>
      <c r="F1473" s="193" t="s">
        <v>230</v>
      </c>
      <c r="G1473" s="193"/>
      <c r="H1473" s="193"/>
      <c r="I1473" s="378">
        <f t="shared" ref="I1473:T1473" si="738">+I83</f>
        <v>0</v>
      </c>
      <c r="J1473" s="1193">
        <f t="shared" si="738"/>
        <v>0</v>
      </c>
      <c r="K1473" s="1193">
        <f t="shared" si="738"/>
        <v>0</v>
      </c>
      <c r="L1473" s="1193">
        <f t="shared" si="738"/>
        <v>0</v>
      </c>
      <c r="M1473" s="1193">
        <f t="shared" si="738"/>
        <v>0</v>
      </c>
      <c r="N1473" s="1193">
        <f t="shared" si="738"/>
        <v>0</v>
      </c>
      <c r="O1473" s="1193">
        <f t="shared" si="738"/>
        <v>0</v>
      </c>
      <c r="P1473" s="1193">
        <f t="shared" si="738"/>
        <v>0</v>
      </c>
      <c r="Q1473" s="1193">
        <f t="shared" si="738"/>
        <v>0</v>
      </c>
      <c r="R1473" s="1193">
        <f t="shared" si="738"/>
        <v>0</v>
      </c>
      <c r="S1473" s="1193">
        <f t="shared" si="738"/>
        <v>0</v>
      </c>
      <c r="T1473" s="1183">
        <f t="shared" si="738"/>
        <v>0</v>
      </c>
      <c r="U1473" s="1195"/>
      <c r="Y1473" s="1195"/>
      <c r="Z1473" s="193"/>
      <c r="AA1473" s="193"/>
      <c r="AB1473" s="193"/>
      <c r="AC1473" s="193" t="s">
        <v>230</v>
      </c>
      <c r="AD1473" s="193"/>
      <c r="AE1473" s="193"/>
      <c r="AF1473" s="378">
        <f t="shared" ref="AF1473:AQ1473" si="739">+AF83</f>
        <v>0</v>
      </c>
      <c r="AG1473" s="1193">
        <f t="shared" si="739"/>
        <v>0</v>
      </c>
      <c r="AH1473" s="1193">
        <f t="shared" si="739"/>
        <v>0</v>
      </c>
      <c r="AI1473" s="1193">
        <f t="shared" si="739"/>
        <v>0</v>
      </c>
      <c r="AJ1473" s="1193">
        <f t="shared" si="739"/>
        <v>0</v>
      </c>
      <c r="AK1473" s="1193">
        <f t="shared" si="739"/>
        <v>0</v>
      </c>
      <c r="AL1473" s="1193">
        <f t="shared" si="739"/>
        <v>0</v>
      </c>
      <c r="AM1473" s="1193">
        <f t="shared" si="739"/>
        <v>0</v>
      </c>
      <c r="AN1473" s="1193">
        <f t="shared" si="739"/>
        <v>0</v>
      </c>
      <c r="AO1473" s="1193">
        <f t="shared" si="739"/>
        <v>0</v>
      </c>
      <c r="AP1473" s="1193">
        <f t="shared" si="739"/>
        <v>0</v>
      </c>
      <c r="AQ1473" s="1183">
        <f t="shared" si="739"/>
        <v>0</v>
      </c>
      <c r="AR1473" s="1195"/>
    </row>
    <row r="1474" spans="2:44" ht="13.75" hidden="1" customHeight="1" x14ac:dyDescent="0.2">
      <c r="B1474" s="1196"/>
      <c r="C1474" s="374"/>
      <c r="D1474" s="374"/>
      <c r="E1474" s="374"/>
      <c r="F1474" s="374" t="s">
        <v>810</v>
      </c>
      <c r="G1474" s="374"/>
      <c r="H1474" s="374"/>
      <c r="I1474" s="377">
        <f t="shared" ref="I1474:T1474" si="740">+IF($B1470="Agrícola",0,I1473)</f>
        <v>0</v>
      </c>
      <c r="J1474" s="1200">
        <f t="shared" si="740"/>
        <v>0</v>
      </c>
      <c r="K1474" s="1200">
        <f t="shared" si="740"/>
        <v>0</v>
      </c>
      <c r="L1474" s="1200">
        <f t="shared" si="740"/>
        <v>0</v>
      </c>
      <c r="M1474" s="1200">
        <f t="shared" si="740"/>
        <v>0</v>
      </c>
      <c r="N1474" s="1200">
        <f t="shared" si="740"/>
        <v>0</v>
      </c>
      <c r="O1474" s="1200">
        <f t="shared" si="740"/>
        <v>0</v>
      </c>
      <c r="P1474" s="1200">
        <f t="shared" si="740"/>
        <v>0</v>
      </c>
      <c r="Q1474" s="1200">
        <f t="shared" si="740"/>
        <v>0</v>
      </c>
      <c r="R1474" s="1200">
        <f t="shared" si="740"/>
        <v>0</v>
      </c>
      <c r="S1474" s="1200">
        <f t="shared" si="740"/>
        <v>0</v>
      </c>
      <c r="T1474" s="1201">
        <f t="shared" si="740"/>
        <v>0</v>
      </c>
      <c r="U1474" s="1195"/>
      <c r="Y1474" s="1196"/>
      <c r="Z1474" s="374"/>
      <c r="AA1474" s="374"/>
      <c r="AB1474" s="374"/>
      <c r="AC1474" s="374" t="s">
        <v>811</v>
      </c>
      <c r="AD1474" s="374"/>
      <c r="AE1474" s="374"/>
      <c r="AF1474" s="377">
        <f t="shared" ref="AF1474:AQ1474" si="741">+IF($Y1470="Agrícola",0,AF1473)</f>
        <v>0</v>
      </c>
      <c r="AG1474" s="1200">
        <f t="shared" si="741"/>
        <v>0</v>
      </c>
      <c r="AH1474" s="1200">
        <f t="shared" si="741"/>
        <v>0</v>
      </c>
      <c r="AI1474" s="1200">
        <f t="shared" si="741"/>
        <v>0</v>
      </c>
      <c r="AJ1474" s="1200">
        <f t="shared" si="741"/>
        <v>0</v>
      </c>
      <c r="AK1474" s="1200">
        <f t="shared" si="741"/>
        <v>0</v>
      </c>
      <c r="AL1474" s="1200">
        <f t="shared" si="741"/>
        <v>0</v>
      </c>
      <c r="AM1474" s="1200">
        <f t="shared" si="741"/>
        <v>0</v>
      </c>
      <c r="AN1474" s="1200">
        <f t="shared" si="741"/>
        <v>0</v>
      </c>
      <c r="AO1474" s="1200">
        <f t="shared" si="741"/>
        <v>0</v>
      </c>
      <c r="AP1474" s="1200">
        <f t="shared" si="741"/>
        <v>0</v>
      </c>
      <c r="AQ1474" s="1201">
        <f t="shared" si="741"/>
        <v>0</v>
      </c>
      <c r="AR1474" s="1195"/>
    </row>
    <row r="1475" spans="2:44" ht="13.75" hidden="1" customHeight="1" x14ac:dyDescent="0.2">
      <c r="B1475" s="1195"/>
      <c r="C1475" s="193"/>
      <c r="D1475" s="193"/>
      <c r="E1475" s="193"/>
      <c r="F1475" s="193" t="s">
        <v>695</v>
      </c>
      <c r="G1475" s="193"/>
      <c r="H1475" s="193"/>
      <c r="I1475" s="1202">
        <f t="shared" ref="I1475:T1475" si="742">IFERROR(I1471/I1474,0)</f>
        <v>0</v>
      </c>
      <c r="J1475" s="1203">
        <f t="shared" si="742"/>
        <v>0</v>
      </c>
      <c r="K1475" s="1203">
        <f t="shared" si="742"/>
        <v>0</v>
      </c>
      <c r="L1475" s="1203">
        <f t="shared" si="742"/>
        <v>0</v>
      </c>
      <c r="M1475" s="1203">
        <f t="shared" si="742"/>
        <v>0</v>
      </c>
      <c r="N1475" s="1203">
        <f t="shared" si="742"/>
        <v>0</v>
      </c>
      <c r="O1475" s="1203">
        <f t="shared" si="742"/>
        <v>0</v>
      </c>
      <c r="P1475" s="1203">
        <f t="shared" si="742"/>
        <v>0</v>
      </c>
      <c r="Q1475" s="1203">
        <f t="shared" si="742"/>
        <v>0</v>
      </c>
      <c r="R1475" s="1203">
        <f t="shared" si="742"/>
        <v>0</v>
      </c>
      <c r="S1475" s="1203">
        <f t="shared" si="742"/>
        <v>0</v>
      </c>
      <c r="T1475" s="1204">
        <f t="shared" si="742"/>
        <v>0</v>
      </c>
      <c r="U1475" s="1582"/>
      <c r="Y1475" s="1195"/>
      <c r="Z1475" s="193"/>
      <c r="AA1475" s="193"/>
      <c r="AB1475" s="193"/>
      <c r="AC1475" s="193" t="s">
        <v>695</v>
      </c>
      <c r="AD1475" s="193"/>
      <c r="AE1475" s="193"/>
      <c r="AF1475" s="1202">
        <f t="shared" ref="AF1475:AQ1475" si="743">IFERROR(AF1471/AF1474,0)</f>
        <v>0</v>
      </c>
      <c r="AG1475" s="1203">
        <f t="shared" si="743"/>
        <v>0</v>
      </c>
      <c r="AH1475" s="1203">
        <f t="shared" si="743"/>
        <v>0</v>
      </c>
      <c r="AI1475" s="1203">
        <f t="shared" si="743"/>
        <v>0</v>
      </c>
      <c r="AJ1475" s="1203">
        <f t="shared" si="743"/>
        <v>0</v>
      </c>
      <c r="AK1475" s="1203">
        <f t="shared" si="743"/>
        <v>0</v>
      </c>
      <c r="AL1475" s="1203">
        <f t="shared" si="743"/>
        <v>0</v>
      </c>
      <c r="AM1475" s="1203">
        <f t="shared" si="743"/>
        <v>0</v>
      </c>
      <c r="AN1475" s="1203">
        <f t="shared" si="743"/>
        <v>0</v>
      </c>
      <c r="AO1475" s="1203">
        <f t="shared" si="743"/>
        <v>0</v>
      </c>
      <c r="AP1475" s="1203">
        <f t="shared" si="743"/>
        <v>0</v>
      </c>
      <c r="AQ1475" s="1204">
        <f t="shared" si="743"/>
        <v>0</v>
      </c>
      <c r="AR1475" s="1582"/>
    </row>
    <row r="1476" spans="2:44" ht="13.75" hidden="1" customHeight="1" x14ac:dyDescent="0.2">
      <c r="B1476" s="1195"/>
      <c r="C1476" s="193"/>
      <c r="D1476" s="193"/>
      <c r="E1476" s="193"/>
      <c r="F1476" s="193" t="s">
        <v>696</v>
      </c>
      <c r="G1476" s="193"/>
      <c r="H1476" s="193"/>
      <c r="I1476" s="1202">
        <f>IFERROR(I1472/I1474,0)</f>
        <v>0</v>
      </c>
      <c r="J1476" s="1203">
        <f t="shared" ref="J1476:T1476" si="744">IFERROR(J1472/J1474,0)</f>
        <v>0</v>
      </c>
      <c r="K1476" s="1203">
        <f t="shared" si="744"/>
        <v>0</v>
      </c>
      <c r="L1476" s="1203">
        <f t="shared" si="744"/>
        <v>0</v>
      </c>
      <c r="M1476" s="1203">
        <f t="shared" si="744"/>
        <v>0</v>
      </c>
      <c r="N1476" s="1203">
        <f t="shared" si="744"/>
        <v>0</v>
      </c>
      <c r="O1476" s="1203">
        <f t="shared" si="744"/>
        <v>0</v>
      </c>
      <c r="P1476" s="1203">
        <f t="shared" si="744"/>
        <v>0</v>
      </c>
      <c r="Q1476" s="1203">
        <f t="shared" si="744"/>
        <v>0</v>
      </c>
      <c r="R1476" s="1203">
        <f t="shared" si="744"/>
        <v>0</v>
      </c>
      <c r="S1476" s="1203">
        <f t="shared" si="744"/>
        <v>0</v>
      </c>
      <c r="T1476" s="1204">
        <f t="shared" si="744"/>
        <v>0</v>
      </c>
      <c r="U1476" s="1582"/>
      <c r="Y1476" s="1195"/>
      <c r="Z1476" s="193"/>
      <c r="AA1476" s="193"/>
      <c r="AB1476" s="193"/>
      <c r="AC1476" s="193" t="s">
        <v>696</v>
      </c>
      <c r="AD1476" s="193"/>
      <c r="AE1476" s="193"/>
      <c r="AF1476" s="1202">
        <f>IFERROR(AF1472/AF1474,0)</f>
        <v>0</v>
      </c>
      <c r="AG1476" s="1203">
        <f t="shared" ref="AG1476:AQ1476" si="745">IFERROR(AG1472/AG1474,0)</f>
        <v>0</v>
      </c>
      <c r="AH1476" s="1203">
        <f t="shared" si="745"/>
        <v>0</v>
      </c>
      <c r="AI1476" s="1203">
        <f t="shared" si="745"/>
        <v>0</v>
      </c>
      <c r="AJ1476" s="1203">
        <f t="shared" si="745"/>
        <v>0</v>
      </c>
      <c r="AK1476" s="1203">
        <f t="shared" si="745"/>
        <v>0</v>
      </c>
      <c r="AL1476" s="1203">
        <f t="shared" si="745"/>
        <v>0</v>
      </c>
      <c r="AM1476" s="1203">
        <f t="shared" si="745"/>
        <v>0</v>
      </c>
      <c r="AN1476" s="1203">
        <f t="shared" si="745"/>
        <v>0</v>
      </c>
      <c r="AO1476" s="1203">
        <f t="shared" si="745"/>
        <v>0</v>
      </c>
      <c r="AP1476" s="1203">
        <f t="shared" si="745"/>
        <v>0</v>
      </c>
      <c r="AQ1476" s="1204">
        <f t="shared" si="745"/>
        <v>0</v>
      </c>
      <c r="AR1476" s="1582"/>
    </row>
    <row r="1477" spans="2:44" ht="13.75" hidden="1" customHeight="1" x14ac:dyDescent="0.2">
      <c r="B1477" s="1196" t="s">
        <v>803</v>
      </c>
      <c r="C1477" s="374"/>
      <c r="D1477" s="374"/>
      <c r="E1477" s="374"/>
      <c r="F1477" s="374" t="s">
        <v>697</v>
      </c>
      <c r="G1477" s="374" t="s">
        <v>694</v>
      </c>
      <c r="H1477" s="193"/>
      <c r="I1477" s="377">
        <f t="shared" ref="I1477:T1477" si="746">SUMPRODUCT(I100:I117,$F100:$F117)</f>
        <v>0</v>
      </c>
      <c r="J1477" s="1200">
        <f t="shared" si="746"/>
        <v>0</v>
      </c>
      <c r="K1477" s="1200">
        <f t="shared" si="746"/>
        <v>0</v>
      </c>
      <c r="L1477" s="1200">
        <f t="shared" si="746"/>
        <v>0</v>
      </c>
      <c r="M1477" s="1200">
        <f t="shared" si="746"/>
        <v>0</v>
      </c>
      <c r="N1477" s="1200">
        <f t="shared" si="746"/>
        <v>0</v>
      </c>
      <c r="O1477" s="1200">
        <f t="shared" si="746"/>
        <v>0</v>
      </c>
      <c r="P1477" s="1200">
        <f t="shared" si="746"/>
        <v>0</v>
      </c>
      <c r="Q1477" s="1200">
        <f t="shared" si="746"/>
        <v>0</v>
      </c>
      <c r="R1477" s="1200">
        <f t="shared" si="746"/>
        <v>0</v>
      </c>
      <c r="S1477" s="1200">
        <f t="shared" si="746"/>
        <v>0</v>
      </c>
      <c r="T1477" s="1201">
        <f t="shared" si="746"/>
        <v>0</v>
      </c>
      <c r="U1477" s="1195"/>
      <c r="Y1477" s="1196" t="s">
        <v>803</v>
      </c>
      <c r="Z1477" s="374"/>
      <c r="AA1477" s="374"/>
      <c r="AB1477" s="374"/>
      <c r="AC1477" s="374" t="s">
        <v>697</v>
      </c>
      <c r="AD1477" s="374" t="s">
        <v>694</v>
      </c>
      <c r="AE1477" s="193"/>
      <c r="AF1477" s="377">
        <f t="shared" ref="AF1477:AQ1477" si="747">SUMPRODUCT(AF100:AF117,$AC100:$AC117)</f>
        <v>0</v>
      </c>
      <c r="AG1477" s="1200">
        <f t="shared" si="747"/>
        <v>0</v>
      </c>
      <c r="AH1477" s="1200">
        <f t="shared" si="747"/>
        <v>0</v>
      </c>
      <c r="AI1477" s="1200">
        <f t="shared" si="747"/>
        <v>0</v>
      </c>
      <c r="AJ1477" s="1200">
        <f t="shared" si="747"/>
        <v>0</v>
      </c>
      <c r="AK1477" s="1200">
        <f t="shared" si="747"/>
        <v>0</v>
      </c>
      <c r="AL1477" s="1200">
        <f t="shared" si="747"/>
        <v>0</v>
      </c>
      <c r="AM1477" s="1200">
        <f t="shared" si="747"/>
        <v>0</v>
      </c>
      <c r="AN1477" s="1200">
        <f t="shared" si="747"/>
        <v>0</v>
      </c>
      <c r="AO1477" s="1200">
        <f t="shared" si="747"/>
        <v>0</v>
      </c>
      <c r="AP1477" s="1200">
        <f t="shared" si="747"/>
        <v>0</v>
      </c>
      <c r="AQ1477" s="1201">
        <f t="shared" si="747"/>
        <v>0</v>
      </c>
      <c r="AR1477" s="1195"/>
    </row>
    <row r="1478" spans="2:44" ht="13.75" hidden="1" customHeight="1" x14ac:dyDescent="0.2">
      <c r="B1478" s="1195"/>
      <c r="C1478" s="193"/>
      <c r="D1478" s="193"/>
      <c r="E1478" s="193"/>
      <c r="F1478" s="193" t="s">
        <v>697</v>
      </c>
      <c r="G1478" s="193" t="s">
        <v>698</v>
      </c>
      <c r="H1478" s="193"/>
      <c r="I1478" s="378">
        <f>+I1477*I1475</f>
        <v>0</v>
      </c>
      <c r="J1478" s="1193">
        <f t="shared" ref="J1478:T1478" si="748">+J1477*J1475</f>
        <v>0</v>
      </c>
      <c r="K1478" s="1193">
        <f t="shared" si="748"/>
        <v>0</v>
      </c>
      <c r="L1478" s="1193">
        <f t="shared" si="748"/>
        <v>0</v>
      </c>
      <c r="M1478" s="1193">
        <f t="shared" si="748"/>
        <v>0</v>
      </c>
      <c r="N1478" s="1193">
        <f t="shared" si="748"/>
        <v>0</v>
      </c>
      <c r="O1478" s="1193">
        <f t="shared" si="748"/>
        <v>0</v>
      </c>
      <c r="P1478" s="1193">
        <f t="shared" si="748"/>
        <v>0</v>
      </c>
      <c r="Q1478" s="1193">
        <f t="shared" si="748"/>
        <v>0</v>
      </c>
      <c r="R1478" s="1193">
        <f t="shared" si="748"/>
        <v>0</v>
      </c>
      <c r="S1478" s="1193">
        <f t="shared" si="748"/>
        <v>0</v>
      </c>
      <c r="T1478" s="1183">
        <f t="shared" si="748"/>
        <v>0</v>
      </c>
      <c r="U1478" s="1195"/>
      <c r="Y1478" s="1195"/>
      <c r="Z1478" s="193"/>
      <c r="AA1478" s="193"/>
      <c r="AB1478" s="193"/>
      <c r="AC1478" s="193" t="s">
        <v>697</v>
      </c>
      <c r="AD1478" s="193" t="s">
        <v>698</v>
      </c>
      <c r="AE1478" s="193"/>
      <c r="AF1478" s="378">
        <f>+AF1477*AF1475</f>
        <v>0</v>
      </c>
      <c r="AG1478" s="1193">
        <f t="shared" ref="AG1478:AQ1478" si="749">+AG1477*AG1475</f>
        <v>0</v>
      </c>
      <c r="AH1478" s="1193">
        <f t="shared" si="749"/>
        <v>0</v>
      </c>
      <c r="AI1478" s="1193">
        <f t="shared" si="749"/>
        <v>0</v>
      </c>
      <c r="AJ1478" s="1193">
        <f t="shared" si="749"/>
        <v>0</v>
      </c>
      <c r="AK1478" s="1193">
        <f t="shared" si="749"/>
        <v>0</v>
      </c>
      <c r="AL1478" s="1193">
        <f t="shared" si="749"/>
        <v>0</v>
      </c>
      <c r="AM1478" s="1193">
        <f t="shared" si="749"/>
        <v>0</v>
      </c>
      <c r="AN1478" s="1193">
        <f t="shared" si="749"/>
        <v>0</v>
      </c>
      <c r="AO1478" s="1193">
        <f t="shared" si="749"/>
        <v>0</v>
      </c>
      <c r="AP1478" s="1193">
        <f t="shared" si="749"/>
        <v>0</v>
      </c>
      <c r="AQ1478" s="1183">
        <f t="shared" si="749"/>
        <v>0</v>
      </c>
      <c r="AR1478" s="1195"/>
    </row>
    <row r="1479" spans="2:44" ht="13.75" hidden="1" customHeight="1" x14ac:dyDescent="0.2">
      <c r="B1479" s="1197"/>
      <c r="C1479" s="379"/>
      <c r="D1479" s="379"/>
      <c r="E1479" s="379"/>
      <c r="F1479" s="379" t="s">
        <v>30</v>
      </c>
      <c r="G1479" s="379" t="s">
        <v>699</v>
      </c>
      <c r="H1479" s="193"/>
      <c r="I1479" s="380">
        <f>+I1477*I1476</f>
        <v>0</v>
      </c>
      <c r="J1479" s="1205">
        <f t="shared" ref="J1479:T1479" si="750">+J1477*J1476</f>
        <v>0</v>
      </c>
      <c r="K1479" s="1205">
        <f t="shared" si="750"/>
        <v>0</v>
      </c>
      <c r="L1479" s="1205">
        <f t="shared" si="750"/>
        <v>0</v>
      </c>
      <c r="M1479" s="1205">
        <f t="shared" si="750"/>
        <v>0</v>
      </c>
      <c r="N1479" s="1205">
        <f t="shared" si="750"/>
        <v>0</v>
      </c>
      <c r="O1479" s="1205">
        <f t="shared" si="750"/>
        <v>0</v>
      </c>
      <c r="P1479" s="1205">
        <f t="shared" si="750"/>
        <v>0</v>
      </c>
      <c r="Q1479" s="1205">
        <f t="shared" si="750"/>
        <v>0</v>
      </c>
      <c r="R1479" s="1205">
        <f t="shared" si="750"/>
        <v>0</v>
      </c>
      <c r="S1479" s="1205">
        <f t="shared" si="750"/>
        <v>0</v>
      </c>
      <c r="T1479" s="1190">
        <f t="shared" si="750"/>
        <v>0</v>
      </c>
      <c r="U1479" s="1195"/>
      <c r="Y1479" s="1197"/>
      <c r="Z1479" s="379"/>
      <c r="AA1479" s="379"/>
      <c r="AB1479" s="379"/>
      <c r="AC1479" s="379" t="s">
        <v>30</v>
      </c>
      <c r="AD1479" s="379" t="s">
        <v>699</v>
      </c>
      <c r="AE1479" s="193"/>
      <c r="AF1479" s="380">
        <f>+AF1477*AF1476</f>
        <v>0</v>
      </c>
      <c r="AG1479" s="1205">
        <f t="shared" ref="AG1479:AQ1479" si="751">+AG1477*AG1476</f>
        <v>0</v>
      </c>
      <c r="AH1479" s="1205">
        <f t="shared" si="751"/>
        <v>0</v>
      </c>
      <c r="AI1479" s="1205">
        <f t="shared" si="751"/>
        <v>0</v>
      </c>
      <c r="AJ1479" s="1205">
        <f t="shared" si="751"/>
        <v>0</v>
      </c>
      <c r="AK1479" s="1205">
        <f t="shared" si="751"/>
        <v>0</v>
      </c>
      <c r="AL1479" s="1205">
        <f t="shared" si="751"/>
        <v>0</v>
      </c>
      <c r="AM1479" s="1205">
        <f t="shared" si="751"/>
        <v>0</v>
      </c>
      <c r="AN1479" s="1205">
        <f t="shared" si="751"/>
        <v>0</v>
      </c>
      <c r="AO1479" s="1205">
        <f t="shared" si="751"/>
        <v>0</v>
      </c>
      <c r="AP1479" s="1205">
        <f t="shared" si="751"/>
        <v>0</v>
      </c>
      <c r="AQ1479" s="1190">
        <f t="shared" si="751"/>
        <v>0</v>
      </c>
      <c r="AR1479" s="1195"/>
    </row>
    <row r="1480" spans="2:44" ht="13.75" hidden="1" customHeight="1" x14ac:dyDescent="0.2">
      <c r="B1480" s="1196" t="s">
        <v>447</v>
      </c>
      <c r="C1480" s="374"/>
      <c r="D1480" s="374"/>
      <c r="E1480" s="374"/>
      <c r="F1480" s="374" t="s">
        <v>697</v>
      </c>
      <c r="G1480" s="374" t="s">
        <v>694</v>
      </c>
      <c r="H1480" s="193"/>
      <c r="I1480" s="377">
        <f t="shared" ref="I1480:T1480" si="752">SUMPRODUCT(I93:I97,$F93:$F97)</f>
        <v>0</v>
      </c>
      <c r="J1480" s="1200">
        <f t="shared" si="752"/>
        <v>0</v>
      </c>
      <c r="K1480" s="1200">
        <f t="shared" si="752"/>
        <v>0</v>
      </c>
      <c r="L1480" s="1200">
        <f t="shared" si="752"/>
        <v>0</v>
      </c>
      <c r="M1480" s="1200">
        <f t="shared" si="752"/>
        <v>0</v>
      </c>
      <c r="N1480" s="1200">
        <f t="shared" si="752"/>
        <v>0</v>
      </c>
      <c r="O1480" s="1200">
        <f t="shared" si="752"/>
        <v>0</v>
      </c>
      <c r="P1480" s="1200">
        <f t="shared" si="752"/>
        <v>0</v>
      </c>
      <c r="Q1480" s="1200">
        <f t="shared" si="752"/>
        <v>0</v>
      </c>
      <c r="R1480" s="1200">
        <f t="shared" si="752"/>
        <v>0</v>
      </c>
      <c r="S1480" s="1200">
        <f t="shared" si="752"/>
        <v>0</v>
      </c>
      <c r="T1480" s="1201">
        <f t="shared" si="752"/>
        <v>0</v>
      </c>
      <c r="U1480" s="1195"/>
      <c r="Y1480" s="1196" t="s">
        <v>447</v>
      </c>
      <c r="Z1480" s="374"/>
      <c r="AA1480" s="374"/>
      <c r="AB1480" s="374"/>
      <c r="AC1480" s="374" t="s">
        <v>697</v>
      </c>
      <c r="AD1480" s="374" t="s">
        <v>694</v>
      </c>
      <c r="AE1480" s="193"/>
      <c r="AF1480" s="377">
        <f t="shared" ref="AF1480:AQ1480" si="753">SUMPRODUCT(AF93:AF97,$AC93:$AC97)</f>
        <v>0</v>
      </c>
      <c r="AG1480" s="1200">
        <f t="shared" si="753"/>
        <v>0</v>
      </c>
      <c r="AH1480" s="1200">
        <f t="shared" si="753"/>
        <v>0</v>
      </c>
      <c r="AI1480" s="1200">
        <f t="shared" si="753"/>
        <v>0</v>
      </c>
      <c r="AJ1480" s="1200">
        <f t="shared" si="753"/>
        <v>0</v>
      </c>
      <c r="AK1480" s="1200">
        <f t="shared" si="753"/>
        <v>0</v>
      </c>
      <c r="AL1480" s="1200">
        <f t="shared" si="753"/>
        <v>0</v>
      </c>
      <c r="AM1480" s="1200">
        <f t="shared" si="753"/>
        <v>0</v>
      </c>
      <c r="AN1480" s="1200">
        <f t="shared" si="753"/>
        <v>0</v>
      </c>
      <c r="AO1480" s="1200">
        <f t="shared" si="753"/>
        <v>0</v>
      </c>
      <c r="AP1480" s="1200">
        <f t="shared" si="753"/>
        <v>0</v>
      </c>
      <c r="AQ1480" s="1201">
        <f t="shared" si="753"/>
        <v>0</v>
      </c>
      <c r="AR1480" s="1195"/>
    </row>
    <row r="1481" spans="2:44" ht="13.75" hidden="1" customHeight="1" x14ac:dyDescent="0.2">
      <c r="B1481" s="1195"/>
      <c r="C1481" s="193"/>
      <c r="D1481" s="193"/>
      <c r="E1481" s="193"/>
      <c r="F1481" s="193" t="s">
        <v>697</v>
      </c>
      <c r="G1481" s="193" t="s">
        <v>698</v>
      </c>
      <c r="H1481" s="193"/>
      <c r="I1481" s="378">
        <f t="shared" ref="I1481:T1481" si="754">+I1480*I1475</f>
        <v>0</v>
      </c>
      <c r="J1481" s="1193">
        <f t="shared" si="754"/>
        <v>0</v>
      </c>
      <c r="K1481" s="1193">
        <f t="shared" si="754"/>
        <v>0</v>
      </c>
      <c r="L1481" s="1193">
        <f t="shared" si="754"/>
        <v>0</v>
      </c>
      <c r="M1481" s="1193">
        <f t="shared" si="754"/>
        <v>0</v>
      </c>
      <c r="N1481" s="1193">
        <f t="shared" si="754"/>
        <v>0</v>
      </c>
      <c r="O1481" s="1193">
        <f t="shared" si="754"/>
        <v>0</v>
      </c>
      <c r="P1481" s="1193">
        <f t="shared" si="754"/>
        <v>0</v>
      </c>
      <c r="Q1481" s="1193">
        <f t="shared" si="754"/>
        <v>0</v>
      </c>
      <c r="R1481" s="1193">
        <f t="shared" si="754"/>
        <v>0</v>
      </c>
      <c r="S1481" s="1193">
        <f t="shared" si="754"/>
        <v>0</v>
      </c>
      <c r="T1481" s="1183">
        <f t="shared" si="754"/>
        <v>0</v>
      </c>
      <c r="U1481" s="1195"/>
      <c r="Y1481" s="1195"/>
      <c r="Z1481" s="193"/>
      <c r="AA1481" s="193"/>
      <c r="AB1481" s="193"/>
      <c r="AC1481" s="193" t="s">
        <v>697</v>
      </c>
      <c r="AD1481" s="193" t="s">
        <v>698</v>
      </c>
      <c r="AE1481" s="193"/>
      <c r="AF1481" s="378">
        <f t="shared" ref="AF1481:AQ1481" si="755">+AF1480*AF1475</f>
        <v>0</v>
      </c>
      <c r="AG1481" s="1193">
        <f t="shared" si="755"/>
        <v>0</v>
      </c>
      <c r="AH1481" s="1193">
        <f t="shared" si="755"/>
        <v>0</v>
      </c>
      <c r="AI1481" s="1193">
        <f t="shared" si="755"/>
        <v>0</v>
      </c>
      <c r="AJ1481" s="1193">
        <f t="shared" si="755"/>
        <v>0</v>
      </c>
      <c r="AK1481" s="1193">
        <f t="shared" si="755"/>
        <v>0</v>
      </c>
      <c r="AL1481" s="1193">
        <f t="shared" si="755"/>
        <v>0</v>
      </c>
      <c r="AM1481" s="1193">
        <f t="shared" si="755"/>
        <v>0</v>
      </c>
      <c r="AN1481" s="1193">
        <f t="shared" si="755"/>
        <v>0</v>
      </c>
      <c r="AO1481" s="1193">
        <f t="shared" si="755"/>
        <v>0</v>
      </c>
      <c r="AP1481" s="1193">
        <f t="shared" si="755"/>
        <v>0</v>
      </c>
      <c r="AQ1481" s="1183">
        <f t="shared" si="755"/>
        <v>0</v>
      </c>
      <c r="AR1481" s="1195"/>
    </row>
    <row r="1482" spans="2:44" ht="14.4" hidden="1" customHeight="1" thickBot="1" x14ac:dyDescent="0.25">
      <c r="B1482" s="1198"/>
      <c r="C1482" s="1199"/>
      <c r="D1482" s="1199"/>
      <c r="E1482" s="1199"/>
      <c r="F1482" s="1199" t="s">
        <v>30</v>
      </c>
      <c r="G1482" s="1199" t="s">
        <v>699</v>
      </c>
      <c r="H1482" s="1199"/>
      <c r="I1482" s="1206">
        <f>+I1480*I1476</f>
        <v>0</v>
      </c>
      <c r="J1482" s="1207">
        <f t="shared" ref="J1482:T1482" si="756">+J1480*J1476</f>
        <v>0</v>
      </c>
      <c r="K1482" s="1207">
        <f t="shared" si="756"/>
        <v>0</v>
      </c>
      <c r="L1482" s="1207">
        <f t="shared" si="756"/>
        <v>0</v>
      </c>
      <c r="M1482" s="1207">
        <f t="shared" si="756"/>
        <v>0</v>
      </c>
      <c r="N1482" s="1207">
        <f t="shared" si="756"/>
        <v>0</v>
      </c>
      <c r="O1482" s="1207">
        <f t="shared" si="756"/>
        <v>0</v>
      </c>
      <c r="P1482" s="1207">
        <f t="shared" si="756"/>
        <v>0</v>
      </c>
      <c r="Q1482" s="1207">
        <f t="shared" si="756"/>
        <v>0</v>
      </c>
      <c r="R1482" s="1207">
        <f t="shared" si="756"/>
        <v>0</v>
      </c>
      <c r="S1482" s="1207">
        <f t="shared" si="756"/>
        <v>0</v>
      </c>
      <c r="T1482" s="1208">
        <f t="shared" si="756"/>
        <v>0</v>
      </c>
      <c r="U1482" s="1195"/>
      <c r="Y1482" s="1198"/>
      <c r="Z1482" s="1199"/>
      <c r="AA1482" s="1199"/>
      <c r="AB1482" s="1199"/>
      <c r="AC1482" s="1199" t="s">
        <v>30</v>
      </c>
      <c r="AD1482" s="1199" t="s">
        <v>699</v>
      </c>
      <c r="AE1482" s="1199"/>
      <c r="AF1482" s="1206">
        <f>+AF1480*AF1476</f>
        <v>0</v>
      </c>
      <c r="AG1482" s="1207">
        <f t="shared" ref="AG1482:AQ1482" si="757">+AG1480*AG1476</f>
        <v>0</v>
      </c>
      <c r="AH1482" s="1207">
        <f t="shared" si="757"/>
        <v>0</v>
      </c>
      <c r="AI1482" s="1207">
        <f t="shared" si="757"/>
        <v>0</v>
      </c>
      <c r="AJ1482" s="1207">
        <f t="shared" si="757"/>
        <v>0</v>
      </c>
      <c r="AK1482" s="1207">
        <f t="shared" si="757"/>
        <v>0</v>
      </c>
      <c r="AL1482" s="1207">
        <f t="shared" si="757"/>
        <v>0</v>
      </c>
      <c r="AM1482" s="1207">
        <f t="shared" si="757"/>
        <v>0</v>
      </c>
      <c r="AN1482" s="1207">
        <f t="shared" si="757"/>
        <v>0</v>
      </c>
      <c r="AO1482" s="1207">
        <f t="shared" si="757"/>
        <v>0</v>
      </c>
      <c r="AP1482" s="1207">
        <f t="shared" si="757"/>
        <v>0</v>
      </c>
      <c r="AQ1482" s="1208">
        <f t="shared" si="757"/>
        <v>0</v>
      </c>
      <c r="AR1482" s="1195"/>
    </row>
    <row r="1483" spans="2:44" ht="14.4" hidden="1" customHeight="1" thickTop="1" x14ac:dyDescent="0.2">
      <c r="B1483" s="1537">
        <f>+B123</f>
        <v>0</v>
      </c>
      <c r="C1483" s="1581">
        <f>+C122</f>
        <v>0</v>
      </c>
      <c r="D1483" s="1194"/>
      <c r="E1483" s="1194"/>
      <c r="F1483" s="1194"/>
      <c r="G1483" s="1194"/>
      <c r="H1483" s="1194"/>
      <c r="I1483" s="1538"/>
      <c r="J1483" s="1539"/>
      <c r="K1483" s="1539"/>
      <c r="L1483" s="1539"/>
      <c r="M1483" s="1539"/>
      <c r="N1483" s="1539"/>
      <c r="O1483" s="1539"/>
      <c r="P1483" s="1539"/>
      <c r="Q1483" s="1539"/>
      <c r="R1483" s="1539"/>
      <c r="S1483" s="1539"/>
      <c r="T1483" s="1540"/>
      <c r="U1483" s="1195"/>
      <c r="Y1483" s="1537">
        <f>+Y123</f>
        <v>0</v>
      </c>
      <c r="Z1483" s="1581">
        <f>+Z122</f>
        <v>0</v>
      </c>
      <c r="AA1483" s="1194"/>
      <c r="AB1483" s="1194"/>
      <c r="AC1483" s="1194"/>
      <c r="AD1483" s="1194"/>
      <c r="AE1483" s="1194"/>
      <c r="AF1483" s="1538"/>
      <c r="AG1483" s="1539"/>
      <c r="AH1483" s="1539"/>
      <c r="AI1483" s="1539"/>
      <c r="AJ1483" s="1539"/>
      <c r="AK1483" s="1539"/>
      <c r="AL1483" s="1539"/>
      <c r="AM1483" s="1539"/>
      <c r="AN1483" s="1539"/>
      <c r="AO1483" s="1539"/>
      <c r="AP1483" s="1539"/>
      <c r="AQ1483" s="1540"/>
      <c r="AR1483" s="1195"/>
    </row>
    <row r="1484" spans="2:44" ht="13.75" hidden="1" customHeight="1" x14ac:dyDescent="0.2">
      <c r="B1484" s="1195" t="s">
        <v>721</v>
      </c>
      <c r="C1484" s="193"/>
      <c r="D1484" s="193"/>
      <c r="E1484" s="254"/>
      <c r="F1484" s="193" t="s">
        <v>247</v>
      </c>
      <c r="G1484" s="193" t="s">
        <v>691</v>
      </c>
      <c r="H1484" s="193"/>
      <c r="I1484" s="378">
        <f>VLOOKUP(C1483,UsoSuelo!$CA$1127:$CM$1194,2,FALSE)</f>
        <v>0</v>
      </c>
      <c r="J1484" s="1193">
        <f>VLOOKUP(C1483,UsoSuelo!$CA$1127:$CM$1194,3,FALSE)</f>
        <v>0</v>
      </c>
      <c r="K1484" s="1193">
        <f>VLOOKUP(C1483,UsoSuelo!$CA$1127:$CM$1194,4,FALSE)</f>
        <v>0</v>
      </c>
      <c r="L1484" s="1193">
        <f>VLOOKUP(C1483,UsoSuelo!$CA$1127:$CM$1194,5,FALSE)</f>
        <v>0</v>
      </c>
      <c r="M1484" s="1193">
        <f>VLOOKUP(C1483,UsoSuelo!$CA$1127:$CM$1194,6,FALSE)</f>
        <v>0</v>
      </c>
      <c r="N1484" s="1193">
        <f>VLOOKUP(C1483,UsoSuelo!$CA$1127:$CM$1194,7,FALSE)</f>
        <v>0</v>
      </c>
      <c r="O1484" s="1193">
        <f>VLOOKUP(C1483,UsoSuelo!$CA$1127:$CM$1194,8,FALSE)</f>
        <v>0</v>
      </c>
      <c r="P1484" s="1193">
        <f>VLOOKUP(C1483,UsoSuelo!$CA$1127:$CM$1194,9,FALSE)</f>
        <v>0</v>
      </c>
      <c r="Q1484" s="1193">
        <f>VLOOKUP(C1483,UsoSuelo!$CA$1127:$CM$1194,10,FALSE)</f>
        <v>0</v>
      </c>
      <c r="R1484" s="1193">
        <f>VLOOKUP(C1483,UsoSuelo!$CA$1127:$CM$1194,11,FALSE)</f>
        <v>0</v>
      </c>
      <c r="S1484" s="1193">
        <f>VLOOKUP(C1483,UsoSuelo!$CA$1127:$CM$1194,12,FALSE)</f>
        <v>0</v>
      </c>
      <c r="T1484" s="1183">
        <f>VLOOKUP(C1483,UsoSuelo!$CA$1127:$CM$1194,13,FALSE)</f>
        <v>0</v>
      </c>
      <c r="U1484" s="1195"/>
      <c r="Y1484" s="1195" t="s">
        <v>721</v>
      </c>
      <c r="Z1484" s="193"/>
      <c r="AA1484" s="193"/>
      <c r="AB1484" s="254"/>
      <c r="AC1484" s="193" t="s">
        <v>247</v>
      </c>
      <c r="AD1484" s="193" t="s">
        <v>691</v>
      </c>
      <c r="AE1484" s="193"/>
      <c r="AF1484" s="378">
        <f>VLOOKUP($Z1483,UsoSuelo!$CO$1054:$DA$1120,2,FALSE)</f>
        <v>0</v>
      </c>
      <c r="AG1484" s="1193">
        <f>VLOOKUP($Z1483,UsoSuelo!$CO$1054:$DA$1120,3,FALSE)</f>
        <v>0</v>
      </c>
      <c r="AH1484" s="1193">
        <f>VLOOKUP($Z1483,UsoSuelo!$CO$1054:$DA$1120,4,FALSE)</f>
        <v>0</v>
      </c>
      <c r="AI1484" s="1193">
        <f>VLOOKUP($Z1483,UsoSuelo!$CO$1054:$DA$1120,5,FALSE)</f>
        <v>0</v>
      </c>
      <c r="AJ1484" s="1193">
        <f>VLOOKUP($Z1483,UsoSuelo!$CO$1054:$DA$1120,6,FALSE)</f>
        <v>0</v>
      </c>
      <c r="AK1484" s="1193">
        <f>VLOOKUP($Z1483,UsoSuelo!$CO$1054:$DA$1120,7,FALSE)</f>
        <v>0</v>
      </c>
      <c r="AL1484" s="1193">
        <f>VLOOKUP($Z1483,UsoSuelo!$CO$1054:$DA$1120,8,FALSE)</f>
        <v>0</v>
      </c>
      <c r="AM1484" s="1193">
        <f>VLOOKUP($Z1483,UsoSuelo!$CO$1054:$DA$1120,9,FALSE)</f>
        <v>0</v>
      </c>
      <c r="AN1484" s="1193">
        <f>VLOOKUP($Z1483,UsoSuelo!$CO$1054:$DA$1120,10,FALSE)</f>
        <v>0</v>
      </c>
      <c r="AO1484" s="1193">
        <f>VLOOKUP($Z1483,UsoSuelo!$CO$1054:$DA$1120,11,FALSE)</f>
        <v>0</v>
      </c>
      <c r="AP1484" s="1193">
        <f>VLOOKUP($Z1483,UsoSuelo!$CO$1054:$DA$1120,12,FALSE)</f>
        <v>0</v>
      </c>
      <c r="AQ1484" s="1183">
        <f>VLOOKUP($Z1483,UsoSuelo!$CO$1054:$DA$1120,13,FALSE)</f>
        <v>0</v>
      </c>
      <c r="AR1484" s="1195"/>
    </row>
    <row r="1485" spans="2:44" ht="13.75" hidden="1" customHeight="1" x14ac:dyDescent="0.2">
      <c r="B1485" s="1195"/>
      <c r="C1485" s="193"/>
      <c r="D1485" s="193"/>
      <c r="E1485" s="193"/>
      <c r="F1485" s="193" t="s">
        <v>692</v>
      </c>
      <c r="G1485" s="193"/>
      <c r="H1485" s="193"/>
      <c r="I1485" s="378">
        <f>VLOOKUP(C1483,UsoSuelo!$CB$1275:$CN$1341,2,FALSE)</f>
        <v>0</v>
      </c>
      <c r="J1485" s="1193">
        <f>VLOOKUP(C1483,UsoSuelo!$CB$1275:$CN$1341,3,FALSE)</f>
        <v>0</v>
      </c>
      <c r="K1485" s="1193">
        <f>VLOOKUP(C1483,UsoSuelo!$CB$1275:$CN$1341,4,FALSE)</f>
        <v>0</v>
      </c>
      <c r="L1485" s="1193">
        <f>VLOOKUP(C1483,UsoSuelo!$CB$1275:$CN$1341,5,FALSE)</f>
        <v>0</v>
      </c>
      <c r="M1485" s="1193">
        <f>VLOOKUP(C1483,UsoSuelo!$CB$1275:$CN$1341,6,FALSE)</f>
        <v>0</v>
      </c>
      <c r="N1485" s="1193">
        <f>VLOOKUP(C1483,UsoSuelo!$CB$1275:$CN$1341,7,FALSE)</f>
        <v>0</v>
      </c>
      <c r="O1485" s="1193">
        <f>VLOOKUP(C1483,UsoSuelo!$CB$1275:$CN$1341,8,FALSE)</f>
        <v>0</v>
      </c>
      <c r="P1485" s="1193">
        <f>VLOOKUP(C1483,UsoSuelo!$CB$1275:$CN$1341,9,FALSE)</f>
        <v>0</v>
      </c>
      <c r="Q1485" s="1193">
        <f>VLOOKUP(C1483,UsoSuelo!$CB$1275:$CN$1341,10,FALSE)</f>
        <v>0</v>
      </c>
      <c r="R1485" s="1193">
        <f>VLOOKUP(C1483,UsoSuelo!$CB$1275:$CN$1341,11,FALSE)</f>
        <v>0</v>
      </c>
      <c r="S1485" s="1193">
        <f>VLOOKUP(C1483,UsoSuelo!$CB$1275:$CN$1341,12,FALSE)</f>
        <v>0</v>
      </c>
      <c r="T1485" s="1183">
        <f>VLOOKUP(C1483,UsoSuelo!$CB$1275:$CN$1341,13,FALSE)</f>
        <v>0</v>
      </c>
      <c r="U1485" s="1195"/>
      <c r="Y1485" s="1195"/>
      <c r="Z1485" s="193"/>
      <c r="AA1485" s="193"/>
      <c r="AB1485" s="193"/>
      <c r="AC1485" s="193" t="s">
        <v>247</v>
      </c>
      <c r="AD1485" s="193" t="s">
        <v>699</v>
      </c>
      <c r="AE1485" s="193"/>
      <c r="AF1485" s="378">
        <f>VLOOKUP($Z1483,UsoSuelo!$DB$1201:$DN$1267,2,FALSE)</f>
        <v>0</v>
      </c>
      <c r="AG1485" s="1193">
        <f>VLOOKUP($Z1483,UsoSuelo!$DB$1201:$DN$1267,3,FALSE)</f>
        <v>0</v>
      </c>
      <c r="AH1485" s="1193">
        <f>VLOOKUP($Z1483,UsoSuelo!$DB$1201:$DN$1267,4,FALSE)</f>
        <v>0</v>
      </c>
      <c r="AI1485" s="1193">
        <f>VLOOKUP($Z1483,UsoSuelo!$DB$1201:$DN$1267,5,FALSE)</f>
        <v>0</v>
      </c>
      <c r="AJ1485" s="1193">
        <f>VLOOKUP($Z1483,UsoSuelo!$DB$1201:$DN$1267,6,FALSE)</f>
        <v>0</v>
      </c>
      <c r="AK1485" s="1193">
        <f>VLOOKUP($Z1483,UsoSuelo!$DB$1201:$DN$1267,7,FALSE)</f>
        <v>0</v>
      </c>
      <c r="AL1485" s="1193">
        <f>VLOOKUP($Z1483,UsoSuelo!$DB$1201:$DN$1267,8,FALSE)</f>
        <v>0</v>
      </c>
      <c r="AM1485" s="1193">
        <f>VLOOKUP($Z1483,UsoSuelo!$DB$1201:$DN$1267,9,FALSE)</f>
        <v>0</v>
      </c>
      <c r="AN1485" s="1193">
        <f>VLOOKUP($Z1483,UsoSuelo!$DB$1201:$DN$1267,10,FALSE)</f>
        <v>0</v>
      </c>
      <c r="AO1485" s="1193">
        <f>VLOOKUP($Z1483,UsoSuelo!$DB$1201:$DN$1267,11,FALSE)</f>
        <v>0</v>
      </c>
      <c r="AP1485" s="1193">
        <f>VLOOKUP($Z1483,UsoSuelo!$DB$1201:$DN$1267,12,FALSE)</f>
        <v>0</v>
      </c>
      <c r="AQ1485" s="1183">
        <f>VLOOKUP($Z1483,UsoSuelo!$DB$1201:$DN$1267,13,FALSE)</f>
        <v>0</v>
      </c>
      <c r="AR1485" s="1195"/>
    </row>
    <row r="1486" spans="2:44" ht="13.75" hidden="1" customHeight="1" x14ac:dyDescent="0.2">
      <c r="B1486" s="1195"/>
      <c r="C1486" s="193"/>
      <c r="D1486" s="193"/>
      <c r="E1486" s="193"/>
      <c r="F1486" s="193" t="s">
        <v>230</v>
      </c>
      <c r="G1486" s="193"/>
      <c r="H1486" s="193"/>
      <c r="I1486" s="378">
        <f t="shared" ref="I1486:T1486" si="758">+I124</f>
        <v>0</v>
      </c>
      <c r="J1486" s="1193">
        <f t="shared" si="758"/>
        <v>0</v>
      </c>
      <c r="K1486" s="1193">
        <f t="shared" si="758"/>
        <v>0</v>
      </c>
      <c r="L1486" s="1193">
        <f t="shared" si="758"/>
        <v>0</v>
      </c>
      <c r="M1486" s="1193">
        <f t="shared" si="758"/>
        <v>0</v>
      </c>
      <c r="N1486" s="1193">
        <f t="shared" si="758"/>
        <v>0</v>
      </c>
      <c r="O1486" s="1193">
        <f t="shared" si="758"/>
        <v>0</v>
      </c>
      <c r="P1486" s="1193">
        <f t="shared" si="758"/>
        <v>0</v>
      </c>
      <c r="Q1486" s="1193">
        <f t="shared" si="758"/>
        <v>0</v>
      </c>
      <c r="R1486" s="1193">
        <f t="shared" si="758"/>
        <v>0</v>
      </c>
      <c r="S1486" s="1193">
        <f t="shared" si="758"/>
        <v>0</v>
      </c>
      <c r="T1486" s="1183">
        <f t="shared" si="758"/>
        <v>0</v>
      </c>
      <c r="U1486" s="1195"/>
      <c r="Y1486" s="1195"/>
      <c r="Z1486" s="193"/>
      <c r="AA1486" s="193"/>
      <c r="AB1486" s="193"/>
      <c r="AC1486" s="193" t="s">
        <v>230</v>
      </c>
      <c r="AD1486" s="193"/>
      <c r="AE1486" s="193"/>
      <c r="AF1486" s="378">
        <f t="shared" ref="AF1486:AQ1486" si="759">+AF124</f>
        <v>0</v>
      </c>
      <c r="AG1486" s="1193">
        <f t="shared" si="759"/>
        <v>0</v>
      </c>
      <c r="AH1486" s="1193">
        <f t="shared" si="759"/>
        <v>0</v>
      </c>
      <c r="AI1486" s="1193">
        <f t="shared" si="759"/>
        <v>0</v>
      </c>
      <c r="AJ1486" s="1193">
        <f t="shared" si="759"/>
        <v>0</v>
      </c>
      <c r="AK1486" s="1193">
        <f t="shared" si="759"/>
        <v>0</v>
      </c>
      <c r="AL1486" s="1193">
        <f t="shared" si="759"/>
        <v>0</v>
      </c>
      <c r="AM1486" s="1193">
        <f t="shared" si="759"/>
        <v>0</v>
      </c>
      <c r="AN1486" s="1193">
        <f t="shared" si="759"/>
        <v>0</v>
      </c>
      <c r="AO1486" s="1193">
        <f t="shared" si="759"/>
        <v>0</v>
      </c>
      <c r="AP1486" s="1193">
        <f t="shared" si="759"/>
        <v>0</v>
      </c>
      <c r="AQ1486" s="1183">
        <f t="shared" si="759"/>
        <v>0</v>
      </c>
      <c r="AR1486" s="1195"/>
    </row>
    <row r="1487" spans="2:44" ht="13.75" hidden="1" customHeight="1" x14ac:dyDescent="0.2">
      <c r="B1487" s="1196"/>
      <c r="C1487" s="374"/>
      <c r="D1487" s="374"/>
      <c r="E1487" s="374"/>
      <c r="F1487" s="374" t="s">
        <v>810</v>
      </c>
      <c r="G1487" s="374"/>
      <c r="H1487" s="374"/>
      <c r="I1487" s="377">
        <f t="shared" ref="I1487:T1487" si="760">+IF($B1483="Agrícola",0,I1486)</f>
        <v>0</v>
      </c>
      <c r="J1487" s="1200">
        <f t="shared" si="760"/>
        <v>0</v>
      </c>
      <c r="K1487" s="1200">
        <f t="shared" si="760"/>
        <v>0</v>
      </c>
      <c r="L1487" s="1200">
        <f t="shared" si="760"/>
        <v>0</v>
      </c>
      <c r="M1487" s="1200">
        <f t="shared" si="760"/>
        <v>0</v>
      </c>
      <c r="N1487" s="1200">
        <f t="shared" si="760"/>
        <v>0</v>
      </c>
      <c r="O1487" s="1200">
        <f t="shared" si="760"/>
        <v>0</v>
      </c>
      <c r="P1487" s="1200">
        <f t="shared" si="760"/>
        <v>0</v>
      </c>
      <c r="Q1487" s="1200">
        <f t="shared" si="760"/>
        <v>0</v>
      </c>
      <c r="R1487" s="1200">
        <f t="shared" si="760"/>
        <v>0</v>
      </c>
      <c r="S1487" s="1200">
        <f t="shared" si="760"/>
        <v>0</v>
      </c>
      <c r="T1487" s="1201">
        <f t="shared" si="760"/>
        <v>0</v>
      </c>
      <c r="U1487" s="1195"/>
      <c r="Y1487" s="1196"/>
      <c r="Z1487" s="374"/>
      <c r="AA1487" s="374"/>
      <c r="AB1487" s="374"/>
      <c r="AC1487" s="374" t="s">
        <v>811</v>
      </c>
      <c r="AD1487" s="374"/>
      <c r="AE1487" s="374"/>
      <c r="AF1487" s="377">
        <f t="shared" ref="AF1487:AQ1487" si="761">+IF($Y1483="Agrícola",0,AF1486)</f>
        <v>0</v>
      </c>
      <c r="AG1487" s="1200">
        <f t="shared" si="761"/>
        <v>0</v>
      </c>
      <c r="AH1487" s="1200">
        <f t="shared" si="761"/>
        <v>0</v>
      </c>
      <c r="AI1487" s="1200">
        <f t="shared" si="761"/>
        <v>0</v>
      </c>
      <c r="AJ1487" s="1200">
        <f t="shared" si="761"/>
        <v>0</v>
      </c>
      <c r="AK1487" s="1200">
        <f t="shared" si="761"/>
        <v>0</v>
      </c>
      <c r="AL1487" s="1200">
        <f t="shared" si="761"/>
        <v>0</v>
      </c>
      <c r="AM1487" s="1200">
        <f t="shared" si="761"/>
        <v>0</v>
      </c>
      <c r="AN1487" s="1200">
        <f t="shared" si="761"/>
        <v>0</v>
      </c>
      <c r="AO1487" s="1200">
        <f t="shared" si="761"/>
        <v>0</v>
      </c>
      <c r="AP1487" s="1200">
        <f t="shared" si="761"/>
        <v>0</v>
      </c>
      <c r="AQ1487" s="1201">
        <f t="shared" si="761"/>
        <v>0</v>
      </c>
      <c r="AR1487" s="1195"/>
    </row>
    <row r="1488" spans="2:44" ht="13.75" hidden="1" customHeight="1" x14ac:dyDescent="0.2">
      <c r="B1488" s="1195"/>
      <c r="C1488" s="193"/>
      <c r="D1488" s="193"/>
      <c r="E1488" s="193"/>
      <c r="F1488" s="193" t="s">
        <v>695</v>
      </c>
      <c r="G1488" s="193"/>
      <c r="H1488" s="193"/>
      <c r="I1488" s="1202">
        <f t="shared" ref="I1488:T1488" si="762">IFERROR(I1484/I1487,0)</f>
        <v>0</v>
      </c>
      <c r="J1488" s="1203">
        <f t="shared" si="762"/>
        <v>0</v>
      </c>
      <c r="K1488" s="1203">
        <f t="shared" si="762"/>
        <v>0</v>
      </c>
      <c r="L1488" s="1203">
        <f t="shared" si="762"/>
        <v>0</v>
      </c>
      <c r="M1488" s="1203">
        <f t="shared" si="762"/>
        <v>0</v>
      </c>
      <c r="N1488" s="1203">
        <f t="shared" si="762"/>
        <v>0</v>
      </c>
      <c r="O1488" s="1203">
        <f t="shared" si="762"/>
        <v>0</v>
      </c>
      <c r="P1488" s="1203">
        <f t="shared" si="762"/>
        <v>0</v>
      </c>
      <c r="Q1488" s="1203">
        <f t="shared" si="762"/>
        <v>0</v>
      </c>
      <c r="R1488" s="1203">
        <f t="shared" si="762"/>
        <v>0</v>
      </c>
      <c r="S1488" s="1203">
        <f t="shared" si="762"/>
        <v>0</v>
      </c>
      <c r="T1488" s="1204">
        <f t="shared" si="762"/>
        <v>0</v>
      </c>
      <c r="U1488" s="1582"/>
      <c r="Y1488" s="1195"/>
      <c r="Z1488" s="193"/>
      <c r="AA1488" s="193"/>
      <c r="AB1488" s="193"/>
      <c r="AC1488" s="193" t="s">
        <v>695</v>
      </c>
      <c r="AD1488" s="193"/>
      <c r="AE1488" s="193"/>
      <c r="AF1488" s="1202">
        <f t="shared" ref="AF1488:AQ1488" si="763">IFERROR(AF1484/AF1487,0)</f>
        <v>0</v>
      </c>
      <c r="AG1488" s="1203">
        <f t="shared" si="763"/>
        <v>0</v>
      </c>
      <c r="AH1488" s="1203">
        <f t="shared" si="763"/>
        <v>0</v>
      </c>
      <c r="AI1488" s="1203">
        <f t="shared" si="763"/>
        <v>0</v>
      </c>
      <c r="AJ1488" s="1203">
        <f t="shared" si="763"/>
        <v>0</v>
      </c>
      <c r="AK1488" s="1203">
        <f t="shared" si="763"/>
        <v>0</v>
      </c>
      <c r="AL1488" s="1203">
        <f t="shared" si="763"/>
        <v>0</v>
      </c>
      <c r="AM1488" s="1203">
        <f t="shared" si="763"/>
        <v>0</v>
      </c>
      <c r="AN1488" s="1203">
        <f t="shared" si="763"/>
        <v>0</v>
      </c>
      <c r="AO1488" s="1203">
        <f t="shared" si="763"/>
        <v>0</v>
      </c>
      <c r="AP1488" s="1203">
        <f t="shared" si="763"/>
        <v>0</v>
      </c>
      <c r="AQ1488" s="1204">
        <f t="shared" si="763"/>
        <v>0</v>
      </c>
      <c r="AR1488" s="1582"/>
    </row>
    <row r="1489" spans="2:44" ht="13.75" hidden="1" customHeight="1" x14ac:dyDescent="0.2">
      <c r="B1489" s="1195"/>
      <c r="C1489" s="193"/>
      <c r="D1489" s="193"/>
      <c r="E1489" s="193"/>
      <c r="F1489" s="193" t="s">
        <v>696</v>
      </c>
      <c r="G1489" s="193"/>
      <c r="H1489" s="193"/>
      <c r="I1489" s="1202">
        <f>IFERROR(I1485/I1487,0)</f>
        <v>0</v>
      </c>
      <c r="J1489" s="1203">
        <f t="shared" ref="J1489:T1489" si="764">IFERROR(J1485/J1487,0)</f>
        <v>0</v>
      </c>
      <c r="K1489" s="1203">
        <f t="shared" si="764"/>
        <v>0</v>
      </c>
      <c r="L1489" s="1203">
        <f t="shared" si="764"/>
        <v>0</v>
      </c>
      <c r="M1489" s="1203">
        <f t="shared" si="764"/>
        <v>0</v>
      </c>
      <c r="N1489" s="1203">
        <f t="shared" si="764"/>
        <v>0</v>
      </c>
      <c r="O1489" s="1203">
        <f t="shared" si="764"/>
        <v>0</v>
      </c>
      <c r="P1489" s="1203">
        <f t="shared" si="764"/>
        <v>0</v>
      </c>
      <c r="Q1489" s="1203">
        <f t="shared" si="764"/>
        <v>0</v>
      </c>
      <c r="R1489" s="1203">
        <f t="shared" si="764"/>
        <v>0</v>
      </c>
      <c r="S1489" s="1203">
        <f t="shared" si="764"/>
        <v>0</v>
      </c>
      <c r="T1489" s="1204">
        <f t="shared" si="764"/>
        <v>0</v>
      </c>
      <c r="U1489" s="1582"/>
      <c r="Y1489" s="1195"/>
      <c r="Z1489" s="193"/>
      <c r="AA1489" s="193"/>
      <c r="AB1489" s="193"/>
      <c r="AC1489" s="193" t="s">
        <v>696</v>
      </c>
      <c r="AD1489" s="193"/>
      <c r="AE1489" s="193"/>
      <c r="AF1489" s="1202">
        <f>IFERROR(AF1485/AF1487,0)</f>
        <v>0</v>
      </c>
      <c r="AG1489" s="1203">
        <f t="shared" ref="AG1489:AQ1489" si="765">IFERROR(AG1485/AG1487,0)</f>
        <v>0</v>
      </c>
      <c r="AH1489" s="1203">
        <f t="shared" si="765"/>
        <v>0</v>
      </c>
      <c r="AI1489" s="1203">
        <f t="shared" si="765"/>
        <v>0</v>
      </c>
      <c r="AJ1489" s="1203">
        <f t="shared" si="765"/>
        <v>0</v>
      </c>
      <c r="AK1489" s="1203">
        <f t="shared" si="765"/>
        <v>0</v>
      </c>
      <c r="AL1489" s="1203">
        <f t="shared" si="765"/>
        <v>0</v>
      </c>
      <c r="AM1489" s="1203">
        <f t="shared" si="765"/>
        <v>0</v>
      </c>
      <c r="AN1489" s="1203">
        <f t="shared" si="765"/>
        <v>0</v>
      </c>
      <c r="AO1489" s="1203">
        <f t="shared" si="765"/>
        <v>0</v>
      </c>
      <c r="AP1489" s="1203">
        <f t="shared" si="765"/>
        <v>0</v>
      </c>
      <c r="AQ1489" s="1204">
        <f t="shared" si="765"/>
        <v>0</v>
      </c>
      <c r="AR1489" s="1582"/>
    </row>
    <row r="1490" spans="2:44" ht="13.75" hidden="1" customHeight="1" x14ac:dyDescent="0.2">
      <c r="B1490" s="1196" t="s">
        <v>803</v>
      </c>
      <c r="C1490" s="374"/>
      <c r="D1490" s="374"/>
      <c r="E1490" s="374"/>
      <c r="F1490" s="374" t="s">
        <v>697</v>
      </c>
      <c r="G1490" s="374" t="s">
        <v>694</v>
      </c>
      <c r="H1490" s="193"/>
      <c r="I1490" s="377">
        <f t="shared" ref="I1490:T1490" si="766">+SUMPRODUCT(I141:I158,$F141:$F158)</f>
        <v>0</v>
      </c>
      <c r="J1490" s="1200">
        <f t="shared" si="766"/>
        <v>0</v>
      </c>
      <c r="K1490" s="1200">
        <f t="shared" si="766"/>
        <v>0</v>
      </c>
      <c r="L1490" s="1200">
        <f t="shared" si="766"/>
        <v>0</v>
      </c>
      <c r="M1490" s="1200">
        <f t="shared" si="766"/>
        <v>0</v>
      </c>
      <c r="N1490" s="1200">
        <f t="shared" si="766"/>
        <v>0</v>
      </c>
      <c r="O1490" s="1200">
        <f t="shared" si="766"/>
        <v>0</v>
      </c>
      <c r="P1490" s="1200">
        <f t="shared" si="766"/>
        <v>0</v>
      </c>
      <c r="Q1490" s="1200">
        <f t="shared" si="766"/>
        <v>0</v>
      </c>
      <c r="R1490" s="1200">
        <f t="shared" si="766"/>
        <v>0</v>
      </c>
      <c r="S1490" s="1200">
        <f t="shared" si="766"/>
        <v>0</v>
      </c>
      <c r="T1490" s="1201">
        <f t="shared" si="766"/>
        <v>0</v>
      </c>
      <c r="U1490" s="1195"/>
      <c r="Y1490" s="1196" t="s">
        <v>803</v>
      </c>
      <c r="Z1490" s="374"/>
      <c r="AA1490" s="374"/>
      <c r="AB1490" s="374"/>
      <c r="AC1490" s="374" t="s">
        <v>697</v>
      </c>
      <c r="AD1490" s="374" t="s">
        <v>694</v>
      </c>
      <c r="AE1490" s="193"/>
      <c r="AF1490" s="377">
        <f t="shared" ref="AF1490:AQ1490" si="767">+SUMPRODUCT(AF141:AF158,$AC141:$AC158)</f>
        <v>0</v>
      </c>
      <c r="AG1490" s="1200">
        <f t="shared" si="767"/>
        <v>0</v>
      </c>
      <c r="AH1490" s="1200">
        <f t="shared" si="767"/>
        <v>0</v>
      </c>
      <c r="AI1490" s="1200">
        <f t="shared" si="767"/>
        <v>0</v>
      </c>
      <c r="AJ1490" s="1200">
        <f t="shared" si="767"/>
        <v>0</v>
      </c>
      <c r="AK1490" s="1200">
        <f t="shared" si="767"/>
        <v>0</v>
      </c>
      <c r="AL1490" s="1200">
        <f t="shared" si="767"/>
        <v>0</v>
      </c>
      <c r="AM1490" s="1200">
        <f t="shared" si="767"/>
        <v>0</v>
      </c>
      <c r="AN1490" s="1200">
        <f t="shared" si="767"/>
        <v>0</v>
      </c>
      <c r="AO1490" s="1200">
        <f t="shared" si="767"/>
        <v>0</v>
      </c>
      <c r="AP1490" s="1200">
        <f t="shared" si="767"/>
        <v>0</v>
      </c>
      <c r="AQ1490" s="1201">
        <f t="shared" si="767"/>
        <v>0</v>
      </c>
      <c r="AR1490" s="1195"/>
    </row>
    <row r="1491" spans="2:44" ht="13.75" hidden="1" customHeight="1" x14ac:dyDescent="0.2">
      <c r="B1491" s="1195"/>
      <c r="C1491" s="193"/>
      <c r="D1491" s="193"/>
      <c r="E1491" s="193"/>
      <c r="F1491" s="193" t="s">
        <v>697</v>
      </c>
      <c r="G1491" s="193" t="s">
        <v>698</v>
      </c>
      <c r="H1491" s="193"/>
      <c r="I1491" s="378">
        <f>+I1490*I1488</f>
        <v>0</v>
      </c>
      <c r="J1491" s="1193">
        <f t="shared" ref="J1491:T1491" si="768">+J1490*J1488</f>
        <v>0</v>
      </c>
      <c r="K1491" s="1193">
        <f t="shared" si="768"/>
        <v>0</v>
      </c>
      <c r="L1491" s="1193">
        <f t="shared" si="768"/>
        <v>0</v>
      </c>
      <c r="M1491" s="1193">
        <f t="shared" si="768"/>
        <v>0</v>
      </c>
      <c r="N1491" s="1193">
        <f t="shared" si="768"/>
        <v>0</v>
      </c>
      <c r="O1491" s="1193">
        <f t="shared" si="768"/>
        <v>0</v>
      </c>
      <c r="P1491" s="1193">
        <f t="shared" si="768"/>
        <v>0</v>
      </c>
      <c r="Q1491" s="1193">
        <f t="shared" si="768"/>
        <v>0</v>
      </c>
      <c r="R1491" s="1193">
        <f t="shared" si="768"/>
        <v>0</v>
      </c>
      <c r="S1491" s="1193">
        <f t="shared" si="768"/>
        <v>0</v>
      </c>
      <c r="T1491" s="1183">
        <f t="shared" si="768"/>
        <v>0</v>
      </c>
      <c r="U1491" s="1195"/>
      <c r="Y1491" s="1195"/>
      <c r="Z1491" s="193"/>
      <c r="AA1491" s="193"/>
      <c r="AB1491" s="193"/>
      <c r="AC1491" s="193" t="s">
        <v>697</v>
      </c>
      <c r="AD1491" s="193" t="s">
        <v>698</v>
      </c>
      <c r="AE1491" s="193"/>
      <c r="AF1491" s="378">
        <f>+AF1490*AF1488</f>
        <v>0</v>
      </c>
      <c r="AG1491" s="1193">
        <f t="shared" ref="AG1491:AQ1491" si="769">+AG1490*AG1488</f>
        <v>0</v>
      </c>
      <c r="AH1491" s="1193">
        <f t="shared" si="769"/>
        <v>0</v>
      </c>
      <c r="AI1491" s="1193">
        <f t="shared" si="769"/>
        <v>0</v>
      </c>
      <c r="AJ1491" s="1193">
        <f t="shared" si="769"/>
        <v>0</v>
      </c>
      <c r="AK1491" s="1193">
        <f t="shared" si="769"/>
        <v>0</v>
      </c>
      <c r="AL1491" s="1193">
        <f t="shared" si="769"/>
        <v>0</v>
      </c>
      <c r="AM1491" s="1193">
        <f t="shared" si="769"/>
        <v>0</v>
      </c>
      <c r="AN1491" s="1193">
        <f t="shared" si="769"/>
        <v>0</v>
      </c>
      <c r="AO1491" s="1193">
        <f t="shared" si="769"/>
        <v>0</v>
      </c>
      <c r="AP1491" s="1193">
        <f t="shared" si="769"/>
        <v>0</v>
      </c>
      <c r="AQ1491" s="1183">
        <f t="shared" si="769"/>
        <v>0</v>
      </c>
      <c r="AR1491" s="1195"/>
    </row>
    <row r="1492" spans="2:44" ht="13.75" hidden="1" customHeight="1" x14ac:dyDescent="0.2">
      <c r="B1492" s="1197"/>
      <c r="C1492" s="379"/>
      <c r="D1492" s="379"/>
      <c r="E1492" s="379"/>
      <c r="F1492" s="379" t="s">
        <v>30</v>
      </c>
      <c r="G1492" s="379" t="s">
        <v>699</v>
      </c>
      <c r="H1492" s="193"/>
      <c r="I1492" s="380">
        <f>+I1490*I1489</f>
        <v>0</v>
      </c>
      <c r="J1492" s="1205">
        <f t="shared" ref="J1492:T1492" si="770">+J1490*J1489</f>
        <v>0</v>
      </c>
      <c r="K1492" s="1205">
        <f t="shared" si="770"/>
        <v>0</v>
      </c>
      <c r="L1492" s="1205">
        <f t="shared" si="770"/>
        <v>0</v>
      </c>
      <c r="M1492" s="1205">
        <f t="shared" si="770"/>
        <v>0</v>
      </c>
      <c r="N1492" s="1205">
        <f t="shared" si="770"/>
        <v>0</v>
      </c>
      <c r="O1492" s="1205">
        <f t="shared" si="770"/>
        <v>0</v>
      </c>
      <c r="P1492" s="1205">
        <f t="shared" si="770"/>
        <v>0</v>
      </c>
      <c r="Q1492" s="1205">
        <f t="shared" si="770"/>
        <v>0</v>
      </c>
      <c r="R1492" s="1205">
        <f t="shared" si="770"/>
        <v>0</v>
      </c>
      <c r="S1492" s="1205">
        <f t="shared" si="770"/>
        <v>0</v>
      </c>
      <c r="T1492" s="1190">
        <f t="shared" si="770"/>
        <v>0</v>
      </c>
      <c r="U1492" s="1195"/>
      <c r="Y1492" s="1197"/>
      <c r="Z1492" s="379"/>
      <c r="AA1492" s="379"/>
      <c r="AB1492" s="379"/>
      <c r="AC1492" s="379" t="s">
        <v>30</v>
      </c>
      <c r="AD1492" s="379" t="s">
        <v>699</v>
      </c>
      <c r="AE1492" s="193"/>
      <c r="AF1492" s="380">
        <f>+AF1490*AF1489</f>
        <v>0</v>
      </c>
      <c r="AG1492" s="1205">
        <f t="shared" ref="AG1492:AQ1492" si="771">+AG1490*AG1489</f>
        <v>0</v>
      </c>
      <c r="AH1492" s="1205">
        <f t="shared" si="771"/>
        <v>0</v>
      </c>
      <c r="AI1492" s="1205">
        <f t="shared" si="771"/>
        <v>0</v>
      </c>
      <c r="AJ1492" s="1205">
        <f t="shared" si="771"/>
        <v>0</v>
      </c>
      <c r="AK1492" s="1205">
        <f t="shared" si="771"/>
        <v>0</v>
      </c>
      <c r="AL1492" s="1205">
        <f t="shared" si="771"/>
        <v>0</v>
      </c>
      <c r="AM1492" s="1205">
        <f t="shared" si="771"/>
        <v>0</v>
      </c>
      <c r="AN1492" s="1205">
        <f t="shared" si="771"/>
        <v>0</v>
      </c>
      <c r="AO1492" s="1205">
        <f t="shared" si="771"/>
        <v>0</v>
      </c>
      <c r="AP1492" s="1205">
        <f t="shared" si="771"/>
        <v>0</v>
      </c>
      <c r="AQ1492" s="1190">
        <f t="shared" si="771"/>
        <v>0</v>
      </c>
      <c r="AR1492" s="1195"/>
    </row>
    <row r="1493" spans="2:44" ht="13.75" hidden="1" customHeight="1" x14ac:dyDescent="0.2">
      <c r="B1493" s="1196" t="s">
        <v>447</v>
      </c>
      <c r="C1493" s="374"/>
      <c r="D1493" s="374"/>
      <c r="E1493" s="374"/>
      <c r="F1493" s="374" t="s">
        <v>697</v>
      </c>
      <c r="G1493" s="374" t="s">
        <v>694</v>
      </c>
      <c r="H1493" s="193"/>
      <c r="I1493" s="377">
        <f t="shared" ref="I1493:T1493" si="772">+SUMPRODUCT(I134:I138,$F134:$F138)</f>
        <v>0</v>
      </c>
      <c r="J1493" s="1200">
        <f t="shared" si="772"/>
        <v>0</v>
      </c>
      <c r="K1493" s="1200">
        <f t="shared" si="772"/>
        <v>0</v>
      </c>
      <c r="L1493" s="1200">
        <f t="shared" si="772"/>
        <v>0</v>
      </c>
      <c r="M1493" s="1200">
        <f t="shared" si="772"/>
        <v>0</v>
      </c>
      <c r="N1493" s="1200">
        <f t="shared" si="772"/>
        <v>0</v>
      </c>
      <c r="O1493" s="1200">
        <f t="shared" si="772"/>
        <v>0</v>
      </c>
      <c r="P1493" s="1200">
        <f t="shared" si="772"/>
        <v>0</v>
      </c>
      <c r="Q1493" s="1200">
        <f t="shared" si="772"/>
        <v>0</v>
      </c>
      <c r="R1493" s="1200">
        <f t="shared" si="772"/>
        <v>0</v>
      </c>
      <c r="S1493" s="1200">
        <f t="shared" si="772"/>
        <v>0</v>
      </c>
      <c r="T1493" s="1201">
        <f t="shared" si="772"/>
        <v>0</v>
      </c>
      <c r="U1493" s="1195"/>
      <c r="Y1493" s="1196" t="s">
        <v>447</v>
      </c>
      <c r="Z1493" s="374"/>
      <c r="AA1493" s="374"/>
      <c r="AB1493" s="374"/>
      <c r="AC1493" s="374" t="s">
        <v>697</v>
      </c>
      <c r="AD1493" s="374" t="s">
        <v>694</v>
      </c>
      <c r="AE1493" s="193"/>
      <c r="AF1493" s="377">
        <f t="shared" ref="AF1493:AQ1493" si="773">+SUMPRODUCT(AF134:AF138,$AC134:$AC138)</f>
        <v>0</v>
      </c>
      <c r="AG1493" s="1200">
        <f t="shared" si="773"/>
        <v>0</v>
      </c>
      <c r="AH1493" s="1200">
        <f t="shared" si="773"/>
        <v>0</v>
      </c>
      <c r="AI1493" s="1200">
        <f t="shared" si="773"/>
        <v>0</v>
      </c>
      <c r="AJ1493" s="1200">
        <f t="shared" si="773"/>
        <v>0</v>
      </c>
      <c r="AK1493" s="1200">
        <f t="shared" si="773"/>
        <v>0</v>
      </c>
      <c r="AL1493" s="1200">
        <f t="shared" si="773"/>
        <v>0</v>
      </c>
      <c r="AM1493" s="1200">
        <f t="shared" si="773"/>
        <v>0</v>
      </c>
      <c r="AN1493" s="1200">
        <f t="shared" si="773"/>
        <v>0</v>
      </c>
      <c r="AO1493" s="1200">
        <f t="shared" si="773"/>
        <v>0</v>
      </c>
      <c r="AP1493" s="1200">
        <f t="shared" si="773"/>
        <v>0</v>
      </c>
      <c r="AQ1493" s="1201">
        <f t="shared" si="773"/>
        <v>0</v>
      </c>
      <c r="AR1493" s="1195"/>
    </row>
    <row r="1494" spans="2:44" ht="13.75" hidden="1" customHeight="1" x14ac:dyDescent="0.2">
      <c r="B1494" s="1195"/>
      <c r="C1494" s="193"/>
      <c r="D1494" s="193"/>
      <c r="E1494" s="193"/>
      <c r="F1494" s="193" t="s">
        <v>697</v>
      </c>
      <c r="G1494" s="193" t="s">
        <v>698</v>
      </c>
      <c r="H1494" s="193"/>
      <c r="I1494" s="378">
        <f t="shared" ref="I1494:T1494" si="774">+I1493*I1488</f>
        <v>0</v>
      </c>
      <c r="J1494" s="1193">
        <f t="shared" si="774"/>
        <v>0</v>
      </c>
      <c r="K1494" s="1193">
        <f t="shared" si="774"/>
        <v>0</v>
      </c>
      <c r="L1494" s="1193">
        <f t="shared" si="774"/>
        <v>0</v>
      </c>
      <c r="M1494" s="1193">
        <f t="shared" si="774"/>
        <v>0</v>
      </c>
      <c r="N1494" s="1193">
        <f t="shared" si="774"/>
        <v>0</v>
      </c>
      <c r="O1494" s="1193">
        <f t="shared" si="774"/>
        <v>0</v>
      </c>
      <c r="P1494" s="1193">
        <f t="shared" si="774"/>
        <v>0</v>
      </c>
      <c r="Q1494" s="1193">
        <f t="shared" si="774"/>
        <v>0</v>
      </c>
      <c r="R1494" s="1193">
        <f t="shared" si="774"/>
        <v>0</v>
      </c>
      <c r="S1494" s="1193">
        <f t="shared" si="774"/>
        <v>0</v>
      </c>
      <c r="T1494" s="1183">
        <f t="shared" si="774"/>
        <v>0</v>
      </c>
      <c r="U1494" s="1195"/>
      <c r="Y1494" s="1195"/>
      <c r="Z1494" s="193"/>
      <c r="AA1494" s="193"/>
      <c r="AB1494" s="193"/>
      <c r="AC1494" s="193" t="s">
        <v>697</v>
      </c>
      <c r="AD1494" s="193" t="s">
        <v>698</v>
      </c>
      <c r="AE1494" s="193"/>
      <c r="AF1494" s="378">
        <f t="shared" ref="AF1494:AQ1494" si="775">+AF1493*AF1488</f>
        <v>0</v>
      </c>
      <c r="AG1494" s="1193">
        <f t="shared" si="775"/>
        <v>0</v>
      </c>
      <c r="AH1494" s="1193">
        <f t="shared" si="775"/>
        <v>0</v>
      </c>
      <c r="AI1494" s="1193">
        <f t="shared" si="775"/>
        <v>0</v>
      </c>
      <c r="AJ1494" s="1193">
        <f t="shared" si="775"/>
        <v>0</v>
      </c>
      <c r="AK1494" s="1193">
        <f t="shared" si="775"/>
        <v>0</v>
      </c>
      <c r="AL1494" s="1193">
        <f t="shared" si="775"/>
        <v>0</v>
      </c>
      <c r="AM1494" s="1193">
        <f t="shared" si="775"/>
        <v>0</v>
      </c>
      <c r="AN1494" s="1193">
        <f t="shared" si="775"/>
        <v>0</v>
      </c>
      <c r="AO1494" s="1193">
        <f t="shared" si="775"/>
        <v>0</v>
      </c>
      <c r="AP1494" s="1193">
        <f t="shared" si="775"/>
        <v>0</v>
      </c>
      <c r="AQ1494" s="1183">
        <f t="shared" si="775"/>
        <v>0</v>
      </c>
      <c r="AR1494" s="1195"/>
    </row>
    <row r="1495" spans="2:44" ht="14.4" hidden="1" customHeight="1" thickBot="1" x14ac:dyDescent="0.25">
      <c r="B1495" s="1198"/>
      <c r="C1495" s="1199"/>
      <c r="D1495" s="1199"/>
      <c r="E1495" s="1199"/>
      <c r="F1495" s="1199" t="s">
        <v>30</v>
      </c>
      <c r="G1495" s="1199" t="s">
        <v>699</v>
      </c>
      <c r="H1495" s="1199"/>
      <c r="I1495" s="1206">
        <f>+I1493*I1489</f>
        <v>0</v>
      </c>
      <c r="J1495" s="1207">
        <f t="shared" ref="J1495:T1495" si="776">+J1493*J1489</f>
        <v>0</v>
      </c>
      <c r="K1495" s="1207">
        <f t="shared" si="776"/>
        <v>0</v>
      </c>
      <c r="L1495" s="1207">
        <f t="shared" si="776"/>
        <v>0</v>
      </c>
      <c r="M1495" s="1207">
        <f t="shared" si="776"/>
        <v>0</v>
      </c>
      <c r="N1495" s="1207">
        <f t="shared" si="776"/>
        <v>0</v>
      </c>
      <c r="O1495" s="1207">
        <f t="shared" si="776"/>
        <v>0</v>
      </c>
      <c r="P1495" s="1207">
        <f t="shared" si="776"/>
        <v>0</v>
      </c>
      <c r="Q1495" s="1207">
        <f t="shared" si="776"/>
        <v>0</v>
      </c>
      <c r="R1495" s="1207">
        <f t="shared" si="776"/>
        <v>0</v>
      </c>
      <c r="S1495" s="1207">
        <f t="shared" si="776"/>
        <v>0</v>
      </c>
      <c r="T1495" s="1208">
        <f t="shared" si="776"/>
        <v>0</v>
      </c>
      <c r="U1495" s="1195"/>
      <c r="Y1495" s="1198"/>
      <c r="Z1495" s="1199"/>
      <c r="AA1495" s="1199"/>
      <c r="AB1495" s="1199"/>
      <c r="AC1495" s="1199" t="s">
        <v>30</v>
      </c>
      <c r="AD1495" s="1199" t="s">
        <v>699</v>
      </c>
      <c r="AE1495" s="1199"/>
      <c r="AF1495" s="1206">
        <f>+AF1493*AF1489</f>
        <v>0</v>
      </c>
      <c r="AG1495" s="1207">
        <f t="shared" ref="AG1495:AQ1495" si="777">+AG1493*AG1489</f>
        <v>0</v>
      </c>
      <c r="AH1495" s="1207">
        <f t="shared" si="777"/>
        <v>0</v>
      </c>
      <c r="AI1495" s="1207">
        <f t="shared" si="777"/>
        <v>0</v>
      </c>
      <c r="AJ1495" s="1207">
        <f t="shared" si="777"/>
        <v>0</v>
      </c>
      <c r="AK1495" s="1207">
        <f t="shared" si="777"/>
        <v>0</v>
      </c>
      <c r="AL1495" s="1207">
        <f t="shared" si="777"/>
        <v>0</v>
      </c>
      <c r="AM1495" s="1207">
        <f t="shared" si="777"/>
        <v>0</v>
      </c>
      <c r="AN1495" s="1207">
        <f t="shared" si="777"/>
        <v>0</v>
      </c>
      <c r="AO1495" s="1207">
        <f t="shared" si="777"/>
        <v>0</v>
      </c>
      <c r="AP1495" s="1207">
        <f t="shared" si="777"/>
        <v>0</v>
      </c>
      <c r="AQ1495" s="1208">
        <f t="shared" si="777"/>
        <v>0</v>
      </c>
      <c r="AR1495" s="1195"/>
    </row>
    <row r="1496" spans="2:44" ht="14.4" hidden="1" customHeight="1" thickTop="1" x14ac:dyDescent="0.2">
      <c r="B1496" s="1537">
        <f>+B164</f>
        <v>0</v>
      </c>
      <c r="C1496" s="1581">
        <f>+C163</f>
        <v>0</v>
      </c>
      <c r="D1496" s="1194"/>
      <c r="E1496" s="1194"/>
      <c r="F1496" s="1194"/>
      <c r="G1496" s="1194"/>
      <c r="H1496" s="1194"/>
      <c r="I1496" s="1538"/>
      <c r="J1496" s="1539"/>
      <c r="K1496" s="1539"/>
      <c r="L1496" s="1539"/>
      <c r="M1496" s="1539"/>
      <c r="N1496" s="1539"/>
      <c r="O1496" s="1539"/>
      <c r="P1496" s="1539"/>
      <c r="Q1496" s="1539"/>
      <c r="R1496" s="1539"/>
      <c r="S1496" s="1539"/>
      <c r="T1496" s="1540"/>
      <c r="U1496" s="1195"/>
      <c r="Y1496" s="1537">
        <f>+Y164</f>
        <v>0</v>
      </c>
      <c r="Z1496" s="1581">
        <f>+Z163</f>
        <v>0</v>
      </c>
      <c r="AA1496" s="1194"/>
      <c r="AB1496" s="1194"/>
      <c r="AC1496" s="1194"/>
      <c r="AD1496" s="1194"/>
      <c r="AE1496" s="1194"/>
      <c r="AF1496" s="1538"/>
      <c r="AG1496" s="1539"/>
      <c r="AH1496" s="1539"/>
      <c r="AI1496" s="1539"/>
      <c r="AJ1496" s="1539"/>
      <c r="AK1496" s="1539"/>
      <c r="AL1496" s="1539"/>
      <c r="AM1496" s="1539"/>
      <c r="AN1496" s="1539"/>
      <c r="AO1496" s="1539"/>
      <c r="AP1496" s="1539"/>
      <c r="AQ1496" s="1540"/>
      <c r="AR1496" s="1195"/>
    </row>
    <row r="1497" spans="2:44" ht="13.75" hidden="1" customHeight="1" x14ac:dyDescent="0.2">
      <c r="B1497" s="1195" t="s">
        <v>721</v>
      </c>
      <c r="C1497" s="193"/>
      <c r="D1497" s="193"/>
      <c r="E1497" s="254"/>
      <c r="F1497" s="193" t="s">
        <v>247</v>
      </c>
      <c r="G1497" s="193" t="s">
        <v>691</v>
      </c>
      <c r="H1497" s="193"/>
      <c r="I1497" s="378">
        <f>VLOOKUP(C1496,UsoSuelo!$CA$1127:$CM$1194,2,FALSE)</f>
        <v>0</v>
      </c>
      <c r="J1497" s="1193">
        <f>VLOOKUP(C1496,UsoSuelo!$CA$1127:$CM$1194,3,FALSE)</f>
        <v>0</v>
      </c>
      <c r="K1497" s="1193">
        <f>VLOOKUP(C1496,UsoSuelo!$CA$1127:$CM$1194,4,FALSE)</f>
        <v>0</v>
      </c>
      <c r="L1497" s="1193">
        <f>VLOOKUP(C1496,UsoSuelo!$CA$1127:$CM$1194,5,FALSE)</f>
        <v>0</v>
      </c>
      <c r="M1497" s="1193">
        <f>VLOOKUP(C1496,UsoSuelo!$CA$1127:$CM$1194,6,FALSE)</f>
        <v>0</v>
      </c>
      <c r="N1497" s="1193">
        <f>VLOOKUP(C1496,UsoSuelo!$CA$1127:$CM$1194,7,FALSE)</f>
        <v>0</v>
      </c>
      <c r="O1497" s="1193">
        <f>VLOOKUP(C1496,UsoSuelo!$CA$1127:$CM$1194,8,FALSE)</f>
        <v>0</v>
      </c>
      <c r="P1497" s="1193">
        <f>VLOOKUP(C1496,UsoSuelo!$CA$1127:$CM$1194,9,FALSE)</f>
        <v>0</v>
      </c>
      <c r="Q1497" s="1193">
        <f>VLOOKUP(C1496,UsoSuelo!$CA$1127:$CM$1194,10,FALSE)</f>
        <v>0</v>
      </c>
      <c r="R1497" s="1193">
        <f>VLOOKUP(C1496,UsoSuelo!$CA$1127:$CM$1194,11,FALSE)</f>
        <v>0</v>
      </c>
      <c r="S1497" s="1193">
        <f>VLOOKUP(C1496,UsoSuelo!$CA$1127:$CM$1194,12,FALSE)</f>
        <v>0</v>
      </c>
      <c r="T1497" s="1183">
        <f>VLOOKUP(C1496,UsoSuelo!$CA$1127:$CM$1194,13,FALSE)</f>
        <v>0</v>
      </c>
      <c r="U1497" s="1195"/>
      <c r="Y1497" s="1195" t="s">
        <v>721</v>
      </c>
      <c r="Z1497" s="193"/>
      <c r="AA1497" s="193"/>
      <c r="AB1497" s="254"/>
      <c r="AC1497" s="193" t="s">
        <v>247</v>
      </c>
      <c r="AD1497" s="193" t="s">
        <v>691</v>
      </c>
      <c r="AE1497" s="193"/>
      <c r="AF1497" s="378">
        <f>VLOOKUP($Z1496,UsoSuelo!$CO$1054:$DA$1120,2,FALSE)</f>
        <v>0</v>
      </c>
      <c r="AG1497" s="1193">
        <f>VLOOKUP($Z1496,UsoSuelo!$CO$1054:$DA$1120,3,FALSE)</f>
        <v>0</v>
      </c>
      <c r="AH1497" s="1193">
        <f>VLOOKUP($Z1496,UsoSuelo!$CO$1054:$DA$1120,4,FALSE)</f>
        <v>0</v>
      </c>
      <c r="AI1497" s="1193">
        <f>VLOOKUP($Z1496,UsoSuelo!$CO$1054:$DA$1120,5,FALSE)</f>
        <v>0</v>
      </c>
      <c r="AJ1497" s="1193">
        <f>VLOOKUP($Z1496,UsoSuelo!$CO$1054:$DA$1120,6,FALSE)</f>
        <v>0</v>
      </c>
      <c r="AK1497" s="1193">
        <f>VLOOKUP($Z1496,UsoSuelo!$CO$1054:$DA$1120,7,FALSE)</f>
        <v>0</v>
      </c>
      <c r="AL1497" s="1193">
        <f>VLOOKUP($Z1496,UsoSuelo!$CO$1054:$DA$1120,8,FALSE)</f>
        <v>0</v>
      </c>
      <c r="AM1497" s="1193">
        <f>VLOOKUP($Z1496,UsoSuelo!$CO$1054:$DA$1120,9,FALSE)</f>
        <v>0</v>
      </c>
      <c r="AN1497" s="1193">
        <f>VLOOKUP($Z1496,UsoSuelo!$CO$1054:$DA$1120,10,FALSE)</f>
        <v>0</v>
      </c>
      <c r="AO1497" s="1193">
        <f>VLOOKUP($Z1496,UsoSuelo!$CO$1054:$DA$1120,11,FALSE)</f>
        <v>0</v>
      </c>
      <c r="AP1497" s="1193">
        <f>VLOOKUP($Z1496,UsoSuelo!$CO$1054:$DA$1120,12,FALSE)</f>
        <v>0</v>
      </c>
      <c r="AQ1497" s="1183">
        <f>VLOOKUP($Z1496,UsoSuelo!$CO$1054:$DA$1120,13,FALSE)</f>
        <v>0</v>
      </c>
      <c r="AR1497" s="1195"/>
    </row>
    <row r="1498" spans="2:44" ht="13.75" hidden="1" customHeight="1" x14ac:dyDescent="0.2">
      <c r="B1498" s="1195"/>
      <c r="C1498" s="193"/>
      <c r="D1498" s="193"/>
      <c r="E1498" s="193"/>
      <c r="F1498" s="193" t="s">
        <v>247</v>
      </c>
      <c r="G1498" s="193" t="s">
        <v>699</v>
      </c>
      <c r="H1498" s="193"/>
      <c r="I1498" s="378">
        <f>VLOOKUP(C1496,UsoSuelo!$CB$1275:$CN$1341,2,FALSE)</f>
        <v>0</v>
      </c>
      <c r="J1498" s="1193">
        <f>VLOOKUP(C1496,UsoSuelo!$CB$1275:$CN$1341,3,FALSE)</f>
        <v>0</v>
      </c>
      <c r="K1498" s="1193">
        <f>VLOOKUP(C1496,UsoSuelo!$CB$1275:$CN$1341,4,FALSE)</f>
        <v>0</v>
      </c>
      <c r="L1498" s="1193">
        <f>VLOOKUP(C1496,UsoSuelo!$CB$1275:$CN$1341,5,FALSE)</f>
        <v>0</v>
      </c>
      <c r="M1498" s="1193">
        <f>VLOOKUP(C1496,UsoSuelo!$CB$1275:$CN$1341,6,FALSE)</f>
        <v>0</v>
      </c>
      <c r="N1498" s="1193">
        <f>VLOOKUP(C1496,UsoSuelo!$CB$1275:$CN$1341,7,FALSE)</f>
        <v>0</v>
      </c>
      <c r="O1498" s="1193">
        <f>VLOOKUP(C1496,UsoSuelo!$CB$1275:$CN$1341,8,FALSE)</f>
        <v>0</v>
      </c>
      <c r="P1498" s="1193">
        <f>VLOOKUP(C1496,UsoSuelo!$CB$1275:$CN$1341,9,FALSE)</f>
        <v>0</v>
      </c>
      <c r="Q1498" s="1193">
        <f>VLOOKUP(C1496,UsoSuelo!$CB$1275:$CN$1341,10,FALSE)</f>
        <v>0</v>
      </c>
      <c r="R1498" s="1193">
        <f>VLOOKUP(C1496,UsoSuelo!$CB$1275:$CN$1341,11,FALSE)</f>
        <v>0</v>
      </c>
      <c r="S1498" s="1193">
        <f>VLOOKUP(C1496,UsoSuelo!$CB$1275:$CN$1341,12,FALSE)</f>
        <v>0</v>
      </c>
      <c r="T1498" s="1183">
        <f>VLOOKUP(C1496,UsoSuelo!$CB$1275:$CN$1341,13,FALSE)</f>
        <v>0</v>
      </c>
      <c r="U1498" s="1195"/>
      <c r="Y1498" s="1195"/>
      <c r="Z1498" s="193"/>
      <c r="AA1498" s="193"/>
      <c r="AB1498" s="193"/>
      <c r="AC1498" s="193" t="s">
        <v>247</v>
      </c>
      <c r="AD1498" s="193" t="s">
        <v>699</v>
      </c>
      <c r="AE1498" s="193"/>
      <c r="AF1498" s="378">
        <f>VLOOKUP($Z1496,UsoSuelo!$DB$1201:$DN$1267,2,FALSE)</f>
        <v>0</v>
      </c>
      <c r="AG1498" s="1193">
        <f>VLOOKUP($Z1496,UsoSuelo!$DB$1201:$DN$1267,3,FALSE)</f>
        <v>0</v>
      </c>
      <c r="AH1498" s="1193">
        <f>VLOOKUP($Z1496,UsoSuelo!$DB$1201:$DN$1267,4,FALSE)</f>
        <v>0</v>
      </c>
      <c r="AI1498" s="1193">
        <f>VLOOKUP($Z1496,UsoSuelo!$DB$1201:$DN$1267,5,FALSE)</f>
        <v>0</v>
      </c>
      <c r="AJ1498" s="1193">
        <f>VLOOKUP($Z1496,UsoSuelo!$DB$1201:$DN$1267,6,FALSE)</f>
        <v>0</v>
      </c>
      <c r="AK1498" s="1193">
        <f>VLOOKUP($Z1496,UsoSuelo!$DB$1201:$DN$1267,7,FALSE)</f>
        <v>0</v>
      </c>
      <c r="AL1498" s="1193">
        <f>VLOOKUP($Z1496,UsoSuelo!$DB$1201:$DN$1267,8,FALSE)</f>
        <v>0</v>
      </c>
      <c r="AM1498" s="1193">
        <f>VLOOKUP($Z1496,UsoSuelo!$DB$1201:$DN$1267,9,FALSE)</f>
        <v>0</v>
      </c>
      <c r="AN1498" s="1193">
        <f>VLOOKUP($Z1496,UsoSuelo!$DB$1201:$DN$1267,10,FALSE)</f>
        <v>0</v>
      </c>
      <c r="AO1498" s="1193">
        <f>VLOOKUP($Z1496,UsoSuelo!$DB$1201:$DN$1267,11,FALSE)</f>
        <v>0</v>
      </c>
      <c r="AP1498" s="1193">
        <f>VLOOKUP($Z1496,UsoSuelo!$DB$1201:$DN$1267,12,FALSE)</f>
        <v>0</v>
      </c>
      <c r="AQ1498" s="1183">
        <f>VLOOKUP($Z1496,UsoSuelo!$DB$1201:$DN$1267,13,FALSE)</f>
        <v>0</v>
      </c>
      <c r="AR1498" s="1195"/>
    </row>
    <row r="1499" spans="2:44" ht="13.75" hidden="1" customHeight="1" x14ac:dyDescent="0.2">
      <c r="B1499" s="1195"/>
      <c r="C1499" s="193"/>
      <c r="D1499" s="193"/>
      <c r="E1499" s="193"/>
      <c r="F1499" s="193" t="s">
        <v>230</v>
      </c>
      <c r="G1499" s="193"/>
      <c r="H1499" s="193"/>
      <c r="I1499" s="378">
        <f t="shared" ref="I1499:T1499" si="778">+I165</f>
        <v>0</v>
      </c>
      <c r="J1499" s="1193">
        <f t="shared" si="778"/>
        <v>0</v>
      </c>
      <c r="K1499" s="1193">
        <f t="shared" si="778"/>
        <v>0</v>
      </c>
      <c r="L1499" s="1193">
        <f t="shared" si="778"/>
        <v>0</v>
      </c>
      <c r="M1499" s="1193">
        <f t="shared" si="778"/>
        <v>0</v>
      </c>
      <c r="N1499" s="1193">
        <f t="shared" si="778"/>
        <v>0</v>
      </c>
      <c r="O1499" s="1193">
        <f t="shared" si="778"/>
        <v>0</v>
      </c>
      <c r="P1499" s="1193">
        <f t="shared" si="778"/>
        <v>0</v>
      </c>
      <c r="Q1499" s="1193">
        <f t="shared" si="778"/>
        <v>0</v>
      </c>
      <c r="R1499" s="1193">
        <f t="shared" si="778"/>
        <v>0</v>
      </c>
      <c r="S1499" s="1193">
        <f t="shared" si="778"/>
        <v>0</v>
      </c>
      <c r="T1499" s="1183">
        <f t="shared" si="778"/>
        <v>0</v>
      </c>
      <c r="U1499" s="1195"/>
      <c r="Y1499" s="1195"/>
      <c r="Z1499" s="193"/>
      <c r="AA1499" s="193"/>
      <c r="AB1499" s="193"/>
      <c r="AC1499" s="193" t="s">
        <v>230</v>
      </c>
      <c r="AD1499" s="193"/>
      <c r="AE1499" s="193"/>
      <c r="AF1499" s="378">
        <f t="shared" ref="AF1499:AQ1499" si="779">AF165</f>
        <v>0</v>
      </c>
      <c r="AG1499" s="1193">
        <f t="shared" si="779"/>
        <v>0</v>
      </c>
      <c r="AH1499" s="1193">
        <f t="shared" si="779"/>
        <v>0</v>
      </c>
      <c r="AI1499" s="1193">
        <f t="shared" si="779"/>
        <v>0</v>
      </c>
      <c r="AJ1499" s="1193">
        <f t="shared" si="779"/>
        <v>0</v>
      </c>
      <c r="AK1499" s="1193">
        <f t="shared" si="779"/>
        <v>0</v>
      </c>
      <c r="AL1499" s="1193">
        <f t="shared" si="779"/>
        <v>0</v>
      </c>
      <c r="AM1499" s="1193">
        <f t="shared" si="779"/>
        <v>0</v>
      </c>
      <c r="AN1499" s="1193">
        <f t="shared" si="779"/>
        <v>0</v>
      </c>
      <c r="AO1499" s="1193">
        <f t="shared" si="779"/>
        <v>0</v>
      </c>
      <c r="AP1499" s="1193">
        <f t="shared" si="779"/>
        <v>0</v>
      </c>
      <c r="AQ1499" s="1183">
        <f t="shared" si="779"/>
        <v>0</v>
      </c>
      <c r="AR1499" s="1195"/>
    </row>
    <row r="1500" spans="2:44" ht="13.75" hidden="1" customHeight="1" x14ac:dyDescent="0.2">
      <c r="B1500" s="1196"/>
      <c r="C1500" s="374"/>
      <c r="D1500" s="374"/>
      <c r="E1500" s="374"/>
      <c r="F1500" s="374" t="s">
        <v>810</v>
      </c>
      <c r="G1500" s="374"/>
      <c r="H1500" s="374"/>
      <c r="I1500" s="377">
        <f t="shared" ref="I1500:T1500" si="780">+IF($B1496="Agrícola",0,I1499)</f>
        <v>0</v>
      </c>
      <c r="J1500" s="1200">
        <f t="shared" si="780"/>
        <v>0</v>
      </c>
      <c r="K1500" s="1200">
        <f t="shared" si="780"/>
        <v>0</v>
      </c>
      <c r="L1500" s="1200">
        <f t="shared" si="780"/>
        <v>0</v>
      </c>
      <c r="M1500" s="1200">
        <f t="shared" si="780"/>
        <v>0</v>
      </c>
      <c r="N1500" s="1200">
        <f t="shared" si="780"/>
        <v>0</v>
      </c>
      <c r="O1500" s="1200">
        <f t="shared" si="780"/>
        <v>0</v>
      </c>
      <c r="P1500" s="1200">
        <f t="shared" si="780"/>
        <v>0</v>
      </c>
      <c r="Q1500" s="1200">
        <f t="shared" si="780"/>
        <v>0</v>
      </c>
      <c r="R1500" s="1200">
        <f t="shared" si="780"/>
        <v>0</v>
      </c>
      <c r="S1500" s="1200">
        <f t="shared" si="780"/>
        <v>0</v>
      </c>
      <c r="T1500" s="1201">
        <f t="shared" si="780"/>
        <v>0</v>
      </c>
      <c r="U1500" s="1195"/>
      <c r="Y1500" s="1196"/>
      <c r="Z1500" s="374"/>
      <c r="AA1500" s="374"/>
      <c r="AB1500" s="374"/>
      <c r="AC1500" s="374" t="s">
        <v>811</v>
      </c>
      <c r="AD1500" s="374"/>
      <c r="AE1500" s="374"/>
      <c r="AF1500" s="377">
        <f>+IF($Y1496="Agrícola",0,AF1499)</f>
        <v>0</v>
      </c>
      <c r="AG1500" s="1200">
        <f t="shared" ref="AG1500:AQ1500" si="781">+IF($Y1496="Agrícola",0,AG1499)</f>
        <v>0</v>
      </c>
      <c r="AH1500" s="1200">
        <f t="shared" si="781"/>
        <v>0</v>
      </c>
      <c r="AI1500" s="1200">
        <f t="shared" si="781"/>
        <v>0</v>
      </c>
      <c r="AJ1500" s="1200">
        <f t="shared" si="781"/>
        <v>0</v>
      </c>
      <c r="AK1500" s="1200">
        <f t="shared" si="781"/>
        <v>0</v>
      </c>
      <c r="AL1500" s="1200">
        <f t="shared" si="781"/>
        <v>0</v>
      </c>
      <c r="AM1500" s="1200">
        <f t="shared" si="781"/>
        <v>0</v>
      </c>
      <c r="AN1500" s="1200">
        <f t="shared" si="781"/>
        <v>0</v>
      </c>
      <c r="AO1500" s="1200">
        <f t="shared" si="781"/>
        <v>0</v>
      </c>
      <c r="AP1500" s="1200">
        <f t="shared" si="781"/>
        <v>0</v>
      </c>
      <c r="AQ1500" s="1201">
        <f t="shared" si="781"/>
        <v>0</v>
      </c>
      <c r="AR1500" s="1195"/>
    </row>
    <row r="1501" spans="2:44" ht="13.75" hidden="1" customHeight="1" x14ac:dyDescent="0.2">
      <c r="B1501" s="1195"/>
      <c r="C1501" s="193"/>
      <c r="D1501" s="193"/>
      <c r="E1501" s="193"/>
      <c r="F1501" s="193" t="s">
        <v>695</v>
      </c>
      <c r="G1501" s="193"/>
      <c r="H1501" s="193"/>
      <c r="I1501" s="1202">
        <f t="shared" ref="I1501:T1501" si="782">IFERROR(I1497/I1500,0)</f>
        <v>0</v>
      </c>
      <c r="J1501" s="1203">
        <f t="shared" si="782"/>
        <v>0</v>
      </c>
      <c r="K1501" s="1203">
        <f t="shared" si="782"/>
        <v>0</v>
      </c>
      <c r="L1501" s="1203">
        <f t="shared" si="782"/>
        <v>0</v>
      </c>
      <c r="M1501" s="1203">
        <f t="shared" si="782"/>
        <v>0</v>
      </c>
      <c r="N1501" s="1203">
        <f t="shared" si="782"/>
        <v>0</v>
      </c>
      <c r="O1501" s="1203">
        <f t="shared" si="782"/>
        <v>0</v>
      </c>
      <c r="P1501" s="1203">
        <f t="shared" si="782"/>
        <v>0</v>
      </c>
      <c r="Q1501" s="1203">
        <f t="shared" si="782"/>
        <v>0</v>
      </c>
      <c r="R1501" s="1203">
        <f t="shared" si="782"/>
        <v>0</v>
      </c>
      <c r="S1501" s="1203">
        <f t="shared" si="782"/>
        <v>0</v>
      </c>
      <c r="T1501" s="1204">
        <f t="shared" si="782"/>
        <v>0</v>
      </c>
      <c r="U1501" s="1582"/>
      <c r="Y1501" s="1195"/>
      <c r="Z1501" s="193"/>
      <c r="AA1501" s="193"/>
      <c r="AB1501" s="193"/>
      <c r="AC1501" s="193" t="s">
        <v>695</v>
      </c>
      <c r="AD1501" s="193"/>
      <c r="AE1501" s="193"/>
      <c r="AF1501" s="1202">
        <f t="shared" ref="AF1501:AQ1501" si="783">IFERROR(AF1497/AF1500,0)</f>
        <v>0</v>
      </c>
      <c r="AG1501" s="1203">
        <f t="shared" si="783"/>
        <v>0</v>
      </c>
      <c r="AH1501" s="1203">
        <f t="shared" si="783"/>
        <v>0</v>
      </c>
      <c r="AI1501" s="1203">
        <f t="shared" si="783"/>
        <v>0</v>
      </c>
      <c r="AJ1501" s="1203">
        <f t="shared" si="783"/>
        <v>0</v>
      </c>
      <c r="AK1501" s="1203">
        <f t="shared" si="783"/>
        <v>0</v>
      </c>
      <c r="AL1501" s="1203">
        <f t="shared" si="783"/>
        <v>0</v>
      </c>
      <c r="AM1501" s="1203">
        <f t="shared" si="783"/>
        <v>0</v>
      </c>
      <c r="AN1501" s="1203">
        <f t="shared" si="783"/>
        <v>0</v>
      </c>
      <c r="AO1501" s="1203">
        <f t="shared" si="783"/>
        <v>0</v>
      </c>
      <c r="AP1501" s="1203">
        <f t="shared" si="783"/>
        <v>0</v>
      </c>
      <c r="AQ1501" s="1204">
        <f t="shared" si="783"/>
        <v>0</v>
      </c>
      <c r="AR1501" s="1582"/>
    </row>
    <row r="1502" spans="2:44" ht="13.75" hidden="1" customHeight="1" x14ac:dyDescent="0.2">
      <c r="B1502" s="1195"/>
      <c r="C1502" s="193"/>
      <c r="D1502" s="193"/>
      <c r="E1502" s="193"/>
      <c r="F1502" s="193" t="s">
        <v>696</v>
      </c>
      <c r="G1502" s="193"/>
      <c r="H1502" s="193"/>
      <c r="I1502" s="1202">
        <f>IFERROR(I1498/I1500,0)</f>
        <v>0</v>
      </c>
      <c r="J1502" s="1203">
        <f t="shared" ref="J1502:T1502" si="784">IFERROR(J1498/J1500,0)</f>
        <v>0</v>
      </c>
      <c r="K1502" s="1203">
        <f t="shared" si="784"/>
        <v>0</v>
      </c>
      <c r="L1502" s="1203">
        <f t="shared" si="784"/>
        <v>0</v>
      </c>
      <c r="M1502" s="1203">
        <f t="shared" si="784"/>
        <v>0</v>
      </c>
      <c r="N1502" s="1203">
        <f t="shared" si="784"/>
        <v>0</v>
      </c>
      <c r="O1502" s="1203">
        <f t="shared" si="784"/>
        <v>0</v>
      </c>
      <c r="P1502" s="1203">
        <f t="shared" si="784"/>
        <v>0</v>
      </c>
      <c r="Q1502" s="1203">
        <f t="shared" si="784"/>
        <v>0</v>
      </c>
      <c r="R1502" s="1203">
        <f t="shared" si="784"/>
        <v>0</v>
      </c>
      <c r="S1502" s="1203">
        <f t="shared" si="784"/>
        <v>0</v>
      </c>
      <c r="T1502" s="1204">
        <f t="shared" si="784"/>
        <v>0</v>
      </c>
      <c r="U1502" s="1582"/>
      <c r="Y1502" s="1195"/>
      <c r="Z1502" s="193"/>
      <c r="AA1502" s="193"/>
      <c r="AB1502" s="193"/>
      <c r="AC1502" s="193" t="s">
        <v>696</v>
      </c>
      <c r="AD1502" s="193"/>
      <c r="AE1502" s="193"/>
      <c r="AF1502" s="1202">
        <f>IFERROR(AF1498/AF1500,0)</f>
        <v>0</v>
      </c>
      <c r="AG1502" s="1203">
        <f t="shared" ref="AG1502:AQ1502" si="785">IFERROR(AG1498/AG1500,0)</f>
        <v>0</v>
      </c>
      <c r="AH1502" s="1203">
        <f t="shared" si="785"/>
        <v>0</v>
      </c>
      <c r="AI1502" s="1203">
        <f t="shared" si="785"/>
        <v>0</v>
      </c>
      <c r="AJ1502" s="1203">
        <f t="shared" si="785"/>
        <v>0</v>
      </c>
      <c r="AK1502" s="1203">
        <f t="shared" si="785"/>
        <v>0</v>
      </c>
      <c r="AL1502" s="1203">
        <f t="shared" si="785"/>
        <v>0</v>
      </c>
      <c r="AM1502" s="1203">
        <f t="shared" si="785"/>
        <v>0</v>
      </c>
      <c r="AN1502" s="1203">
        <f t="shared" si="785"/>
        <v>0</v>
      </c>
      <c r="AO1502" s="1203">
        <f t="shared" si="785"/>
        <v>0</v>
      </c>
      <c r="AP1502" s="1203">
        <f t="shared" si="785"/>
        <v>0</v>
      </c>
      <c r="AQ1502" s="1204">
        <f t="shared" si="785"/>
        <v>0</v>
      </c>
      <c r="AR1502" s="1582"/>
    </row>
    <row r="1503" spans="2:44" ht="13.75" hidden="1" customHeight="1" x14ac:dyDescent="0.2">
      <c r="B1503" s="1196" t="s">
        <v>803</v>
      </c>
      <c r="C1503" s="374"/>
      <c r="D1503" s="374"/>
      <c r="E1503" s="374"/>
      <c r="F1503" s="374" t="s">
        <v>697</v>
      </c>
      <c r="G1503" s="374" t="s">
        <v>694</v>
      </c>
      <c r="H1503" s="193"/>
      <c r="I1503" s="377">
        <f t="shared" ref="I1503:T1503" si="786">+SUMPRODUCT(I182:I199,$F182:$F199)</f>
        <v>0</v>
      </c>
      <c r="J1503" s="1200">
        <f t="shared" si="786"/>
        <v>0</v>
      </c>
      <c r="K1503" s="1200">
        <f t="shared" si="786"/>
        <v>0</v>
      </c>
      <c r="L1503" s="1200">
        <f t="shared" si="786"/>
        <v>0</v>
      </c>
      <c r="M1503" s="1200">
        <f t="shared" si="786"/>
        <v>0</v>
      </c>
      <c r="N1503" s="1200">
        <f t="shared" si="786"/>
        <v>0</v>
      </c>
      <c r="O1503" s="1200">
        <f t="shared" si="786"/>
        <v>0</v>
      </c>
      <c r="P1503" s="1200">
        <f t="shared" si="786"/>
        <v>0</v>
      </c>
      <c r="Q1503" s="1200">
        <f t="shared" si="786"/>
        <v>0</v>
      </c>
      <c r="R1503" s="1200">
        <f t="shared" si="786"/>
        <v>0</v>
      </c>
      <c r="S1503" s="1200">
        <f t="shared" si="786"/>
        <v>0</v>
      </c>
      <c r="T1503" s="1201">
        <f t="shared" si="786"/>
        <v>0</v>
      </c>
      <c r="U1503" s="1195"/>
      <c r="Y1503" s="1196" t="s">
        <v>803</v>
      </c>
      <c r="Z1503" s="374"/>
      <c r="AA1503" s="374"/>
      <c r="AB1503" s="374"/>
      <c r="AC1503" s="374" t="s">
        <v>697</v>
      </c>
      <c r="AD1503" s="374" t="s">
        <v>694</v>
      </c>
      <c r="AE1503" s="193"/>
      <c r="AF1503" s="377">
        <f t="shared" ref="AF1503:AQ1503" si="787">+SUMPRODUCT(AF182:AF199,$AC182:$AC199)</f>
        <v>0</v>
      </c>
      <c r="AG1503" s="1200">
        <f t="shared" si="787"/>
        <v>0</v>
      </c>
      <c r="AH1503" s="1200">
        <f t="shared" si="787"/>
        <v>0</v>
      </c>
      <c r="AI1503" s="1200">
        <f t="shared" si="787"/>
        <v>0</v>
      </c>
      <c r="AJ1503" s="1200">
        <f t="shared" si="787"/>
        <v>0</v>
      </c>
      <c r="AK1503" s="1200">
        <f t="shared" si="787"/>
        <v>0</v>
      </c>
      <c r="AL1503" s="1200">
        <f t="shared" si="787"/>
        <v>0</v>
      </c>
      <c r="AM1503" s="1200">
        <f t="shared" si="787"/>
        <v>0</v>
      </c>
      <c r="AN1503" s="1200">
        <f t="shared" si="787"/>
        <v>0</v>
      </c>
      <c r="AO1503" s="1200">
        <f t="shared" si="787"/>
        <v>0</v>
      </c>
      <c r="AP1503" s="1200">
        <f t="shared" si="787"/>
        <v>0</v>
      </c>
      <c r="AQ1503" s="1201">
        <f t="shared" si="787"/>
        <v>0</v>
      </c>
      <c r="AR1503" s="1195"/>
    </row>
    <row r="1504" spans="2:44" ht="13.75" hidden="1" customHeight="1" x14ac:dyDescent="0.2">
      <c r="B1504" s="1195"/>
      <c r="C1504" s="193"/>
      <c r="D1504" s="193"/>
      <c r="E1504" s="193"/>
      <c r="F1504" s="193" t="s">
        <v>697</v>
      </c>
      <c r="G1504" s="193" t="s">
        <v>698</v>
      </c>
      <c r="H1504" s="193"/>
      <c r="I1504" s="378">
        <f>+I1503*I1501</f>
        <v>0</v>
      </c>
      <c r="J1504" s="1193">
        <f t="shared" ref="J1504:T1504" si="788">+J1503*J1501</f>
        <v>0</v>
      </c>
      <c r="K1504" s="1193">
        <f t="shared" si="788"/>
        <v>0</v>
      </c>
      <c r="L1504" s="1193">
        <f t="shared" si="788"/>
        <v>0</v>
      </c>
      <c r="M1504" s="1193">
        <f t="shared" si="788"/>
        <v>0</v>
      </c>
      <c r="N1504" s="1193">
        <f t="shared" si="788"/>
        <v>0</v>
      </c>
      <c r="O1504" s="1193">
        <f t="shared" si="788"/>
        <v>0</v>
      </c>
      <c r="P1504" s="1193">
        <f t="shared" si="788"/>
        <v>0</v>
      </c>
      <c r="Q1504" s="1193">
        <f t="shared" si="788"/>
        <v>0</v>
      </c>
      <c r="R1504" s="1193">
        <f t="shared" si="788"/>
        <v>0</v>
      </c>
      <c r="S1504" s="1193">
        <f t="shared" si="788"/>
        <v>0</v>
      </c>
      <c r="T1504" s="1183">
        <f t="shared" si="788"/>
        <v>0</v>
      </c>
      <c r="U1504" s="1195"/>
      <c r="Y1504" s="1195"/>
      <c r="Z1504" s="193"/>
      <c r="AA1504" s="193"/>
      <c r="AB1504" s="193"/>
      <c r="AC1504" s="193" t="s">
        <v>697</v>
      </c>
      <c r="AD1504" s="193" t="s">
        <v>698</v>
      </c>
      <c r="AE1504" s="193"/>
      <c r="AF1504" s="378">
        <f>+AF1503*AF1501</f>
        <v>0</v>
      </c>
      <c r="AG1504" s="1193">
        <f t="shared" ref="AG1504:AQ1504" si="789">+AG1503*AG1501</f>
        <v>0</v>
      </c>
      <c r="AH1504" s="1193">
        <f t="shared" si="789"/>
        <v>0</v>
      </c>
      <c r="AI1504" s="1193">
        <f t="shared" si="789"/>
        <v>0</v>
      </c>
      <c r="AJ1504" s="1193">
        <f t="shared" si="789"/>
        <v>0</v>
      </c>
      <c r="AK1504" s="1193">
        <f t="shared" si="789"/>
        <v>0</v>
      </c>
      <c r="AL1504" s="1193">
        <f t="shared" si="789"/>
        <v>0</v>
      </c>
      <c r="AM1504" s="1193">
        <f t="shared" si="789"/>
        <v>0</v>
      </c>
      <c r="AN1504" s="1193">
        <f t="shared" si="789"/>
        <v>0</v>
      </c>
      <c r="AO1504" s="1193">
        <f t="shared" si="789"/>
        <v>0</v>
      </c>
      <c r="AP1504" s="1193">
        <f t="shared" si="789"/>
        <v>0</v>
      </c>
      <c r="AQ1504" s="1183">
        <f t="shared" si="789"/>
        <v>0</v>
      </c>
      <c r="AR1504" s="1195"/>
    </row>
    <row r="1505" spans="2:44" ht="13.75" hidden="1" customHeight="1" x14ac:dyDescent="0.2">
      <c r="B1505" s="1197"/>
      <c r="C1505" s="379"/>
      <c r="D1505" s="379"/>
      <c r="E1505" s="379"/>
      <c r="F1505" s="379" t="s">
        <v>30</v>
      </c>
      <c r="G1505" s="379" t="s">
        <v>699</v>
      </c>
      <c r="H1505" s="193"/>
      <c r="I1505" s="380">
        <f>+I1503*I1502</f>
        <v>0</v>
      </c>
      <c r="J1505" s="1205">
        <f t="shared" ref="J1505:T1505" si="790">+J1503*J1502</f>
        <v>0</v>
      </c>
      <c r="K1505" s="1205">
        <f t="shared" si="790"/>
        <v>0</v>
      </c>
      <c r="L1505" s="1205">
        <f t="shared" si="790"/>
        <v>0</v>
      </c>
      <c r="M1505" s="1205">
        <f t="shared" si="790"/>
        <v>0</v>
      </c>
      <c r="N1505" s="1205">
        <f t="shared" si="790"/>
        <v>0</v>
      </c>
      <c r="O1505" s="1205">
        <f t="shared" si="790"/>
        <v>0</v>
      </c>
      <c r="P1505" s="1205">
        <f t="shared" si="790"/>
        <v>0</v>
      </c>
      <c r="Q1505" s="1205">
        <f t="shared" si="790"/>
        <v>0</v>
      </c>
      <c r="R1505" s="1205">
        <f t="shared" si="790"/>
        <v>0</v>
      </c>
      <c r="S1505" s="1205">
        <f t="shared" si="790"/>
        <v>0</v>
      </c>
      <c r="T1505" s="1190">
        <f t="shared" si="790"/>
        <v>0</v>
      </c>
      <c r="U1505" s="1195"/>
      <c r="Y1505" s="1197"/>
      <c r="Z1505" s="379"/>
      <c r="AA1505" s="379"/>
      <c r="AB1505" s="379"/>
      <c r="AC1505" s="379" t="s">
        <v>30</v>
      </c>
      <c r="AD1505" s="379" t="s">
        <v>699</v>
      </c>
      <c r="AE1505" s="193"/>
      <c r="AF1505" s="380">
        <f>+AF1503*AF1502</f>
        <v>0</v>
      </c>
      <c r="AG1505" s="1205">
        <f t="shared" ref="AG1505:AQ1505" si="791">+AG1503*AG1502</f>
        <v>0</v>
      </c>
      <c r="AH1505" s="1205">
        <f t="shared" si="791"/>
        <v>0</v>
      </c>
      <c r="AI1505" s="1205">
        <f t="shared" si="791"/>
        <v>0</v>
      </c>
      <c r="AJ1505" s="1205">
        <f t="shared" si="791"/>
        <v>0</v>
      </c>
      <c r="AK1505" s="1205">
        <f t="shared" si="791"/>
        <v>0</v>
      </c>
      <c r="AL1505" s="1205">
        <f t="shared" si="791"/>
        <v>0</v>
      </c>
      <c r="AM1505" s="1205">
        <f t="shared" si="791"/>
        <v>0</v>
      </c>
      <c r="AN1505" s="1205">
        <f t="shared" si="791"/>
        <v>0</v>
      </c>
      <c r="AO1505" s="1205">
        <f t="shared" si="791"/>
        <v>0</v>
      </c>
      <c r="AP1505" s="1205">
        <f t="shared" si="791"/>
        <v>0</v>
      </c>
      <c r="AQ1505" s="1190">
        <f t="shared" si="791"/>
        <v>0</v>
      </c>
      <c r="AR1505" s="1195"/>
    </row>
    <row r="1506" spans="2:44" ht="13.75" hidden="1" customHeight="1" x14ac:dyDescent="0.2">
      <c r="B1506" s="1196" t="s">
        <v>447</v>
      </c>
      <c r="C1506" s="374"/>
      <c r="D1506" s="374"/>
      <c r="E1506" s="374"/>
      <c r="F1506" s="374" t="s">
        <v>697</v>
      </c>
      <c r="G1506" s="374" t="s">
        <v>694</v>
      </c>
      <c r="H1506" s="193"/>
      <c r="I1506" s="377">
        <f t="shared" ref="I1506:T1506" si="792">+SUMPRODUCT(I175:I179,$F175:$F179)</f>
        <v>0</v>
      </c>
      <c r="J1506" s="1200">
        <f t="shared" si="792"/>
        <v>0</v>
      </c>
      <c r="K1506" s="1200">
        <f t="shared" si="792"/>
        <v>0</v>
      </c>
      <c r="L1506" s="1200">
        <f t="shared" si="792"/>
        <v>0</v>
      </c>
      <c r="M1506" s="1200">
        <f t="shared" si="792"/>
        <v>0</v>
      </c>
      <c r="N1506" s="1200">
        <f t="shared" si="792"/>
        <v>0</v>
      </c>
      <c r="O1506" s="1200">
        <f t="shared" si="792"/>
        <v>0</v>
      </c>
      <c r="P1506" s="1200">
        <f t="shared" si="792"/>
        <v>0</v>
      </c>
      <c r="Q1506" s="1200">
        <f t="shared" si="792"/>
        <v>0</v>
      </c>
      <c r="R1506" s="1200">
        <f t="shared" si="792"/>
        <v>0</v>
      </c>
      <c r="S1506" s="1200">
        <f t="shared" si="792"/>
        <v>0</v>
      </c>
      <c r="T1506" s="1201">
        <f t="shared" si="792"/>
        <v>0</v>
      </c>
      <c r="U1506" s="1195"/>
      <c r="Y1506" s="1196" t="s">
        <v>447</v>
      </c>
      <c r="Z1506" s="374"/>
      <c r="AA1506" s="374"/>
      <c r="AB1506" s="374"/>
      <c r="AC1506" s="374" t="s">
        <v>697</v>
      </c>
      <c r="AD1506" s="374" t="s">
        <v>694</v>
      </c>
      <c r="AE1506" s="193"/>
      <c r="AF1506" s="377">
        <f t="shared" ref="AF1506:AQ1506" si="793">+SUMPRODUCT(AF175:AF179,$AC175:$AC179)</f>
        <v>0</v>
      </c>
      <c r="AG1506" s="1200">
        <f t="shared" si="793"/>
        <v>0</v>
      </c>
      <c r="AH1506" s="1200">
        <f t="shared" si="793"/>
        <v>0</v>
      </c>
      <c r="AI1506" s="1200">
        <f t="shared" si="793"/>
        <v>0</v>
      </c>
      <c r="AJ1506" s="1200">
        <f t="shared" si="793"/>
        <v>0</v>
      </c>
      <c r="AK1506" s="1200">
        <f t="shared" si="793"/>
        <v>0</v>
      </c>
      <c r="AL1506" s="1200">
        <f t="shared" si="793"/>
        <v>0</v>
      </c>
      <c r="AM1506" s="1200">
        <f t="shared" si="793"/>
        <v>0</v>
      </c>
      <c r="AN1506" s="1200">
        <f t="shared" si="793"/>
        <v>0</v>
      </c>
      <c r="AO1506" s="1200">
        <f t="shared" si="793"/>
        <v>0</v>
      </c>
      <c r="AP1506" s="1200">
        <f t="shared" si="793"/>
        <v>0</v>
      </c>
      <c r="AQ1506" s="1201">
        <f t="shared" si="793"/>
        <v>0</v>
      </c>
      <c r="AR1506" s="1195"/>
    </row>
    <row r="1507" spans="2:44" ht="13.75" hidden="1" customHeight="1" x14ac:dyDescent="0.2">
      <c r="B1507" s="1195"/>
      <c r="C1507" s="193"/>
      <c r="D1507" s="193"/>
      <c r="E1507" s="193"/>
      <c r="F1507" s="193" t="s">
        <v>697</v>
      </c>
      <c r="G1507" s="193" t="s">
        <v>698</v>
      </c>
      <c r="H1507" s="193"/>
      <c r="I1507" s="378">
        <f t="shared" ref="I1507:T1507" si="794">+I1506*I1501</f>
        <v>0</v>
      </c>
      <c r="J1507" s="1193">
        <f t="shared" si="794"/>
        <v>0</v>
      </c>
      <c r="K1507" s="1193">
        <f t="shared" si="794"/>
        <v>0</v>
      </c>
      <c r="L1507" s="1193">
        <f t="shared" si="794"/>
        <v>0</v>
      </c>
      <c r="M1507" s="1193">
        <f t="shared" si="794"/>
        <v>0</v>
      </c>
      <c r="N1507" s="1193">
        <f t="shared" si="794"/>
        <v>0</v>
      </c>
      <c r="O1507" s="1193">
        <f t="shared" si="794"/>
        <v>0</v>
      </c>
      <c r="P1507" s="1193">
        <f t="shared" si="794"/>
        <v>0</v>
      </c>
      <c r="Q1507" s="1193">
        <f t="shared" si="794"/>
        <v>0</v>
      </c>
      <c r="R1507" s="1193">
        <f t="shared" si="794"/>
        <v>0</v>
      </c>
      <c r="S1507" s="1193">
        <f t="shared" si="794"/>
        <v>0</v>
      </c>
      <c r="T1507" s="1183">
        <f t="shared" si="794"/>
        <v>0</v>
      </c>
      <c r="U1507" s="1195"/>
      <c r="Y1507" s="1195"/>
      <c r="Z1507" s="193"/>
      <c r="AA1507" s="193"/>
      <c r="AB1507" s="193"/>
      <c r="AC1507" s="193" t="s">
        <v>697</v>
      </c>
      <c r="AD1507" s="193" t="s">
        <v>698</v>
      </c>
      <c r="AE1507" s="193"/>
      <c r="AF1507" s="378">
        <f t="shared" ref="AF1507:AQ1507" si="795">+AF1506*AF1501</f>
        <v>0</v>
      </c>
      <c r="AG1507" s="1193">
        <f t="shared" si="795"/>
        <v>0</v>
      </c>
      <c r="AH1507" s="1193">
        <f t="shared" si="795"/>
        <v>0</v>
      </c>
      <c r="AI1507" s="1193">
        <f t="shared" si="795"/>
        <v>0</v>
      </c>
      <c r="AJ1507" s="1193">
        <f t="shared" si="795"/>
        <v>0</v>
      </c>
      <c r="AK1507" s="1193">
        <f t="shared" si="795"/>
        <v>0</v>
      </c>
      <c r="AL1507" s="1193">
        <f t="shared" si="795"/>
        <v>0</v>
      </c>
      <c r="AM1507" s="1193">
        <f t="shared" si="795"/>
        <v>0</v>
      </c>
      <c r="AN1507" s="1193">
        <f t="shared" si="795"/>
        <v>0</v>
      </c>
      <c r="AO1507" s="1193">
        <f t="shared" si="795"/>
        <v>0</v>
      </c>
      <c r="AP1507" s="1193">
        <f t="shared" si="795"/>
        <v>0</v>
      </c>
      <c r="AQ1507" s="1183">
        <f t="shared" si="795"/>
        <v>0</v>
      </c>
      <c r="AR1507" s="1195"/>
    </row>
    <row r="1508" spans="2:44" ht="14.4" hidden="1" customHeight="1" thickBot="1" x14ac:dyDescent="0.25">
      <c r="B1508" s="1198"/>
      <c r="C1508" s="1199"/>
      <c r="D1508" s="1199"/>
      <c r="E1508" s="1199"/>
      <c r="F1508" s="1199" t="s">
        <v>30</v>
      </c>
      <c r="G1508" s="1199" t="s">
        <v>699</v>
      </c>
      <c r="H1508" s="1199"/>
      <c r="I1508" s="1206">
        <f>+I1506*I1502</f>
        <v>0</v>
      </c>
      <c r="J1508" s="1207">
        <f t="shared" ref="J1508:T1508" si="796">+J1506*J1502</f>
        <v>0</v>
      </c>
      <c r="K1508" s="1207">
        <f t="shared" si="796"/>
        <v>0</v>
      </c>
      <c r="L1508" s="1207">
        <f t="shared" si="796"/>
        <v>0</v>
      </c>
      <c r="M1508" s="1207">
        <f t="shared" si="796"/>
        <v>0</v>
      </c>
      <c r="N1508" s="1207">
        <f t="shared" si="796"/>
        <v>0</v>
      </c>
      <c r="O1508" s="1207">
        <f t="shared" si="796"/>
        <v>0</v>
      </c>
      <c r="P1508" s="1207">
        <f t="shared" si="796"/>
        <v>0</v>
      </c>
      <c r="Q1508" s="1207">
        <f t="shared" si="796"/>
        <v>0</v>
      </c>
      <c r="R1508" s="1207">
        <f t="shared" si="796"/>
        <v>0</v>
      </c>
      <c r="S1508" s="1207">
        <f t="shared" si="796"/>
        <v>0</v>
      </c>
      <c r="T1508" s="1208">
        <f t="shared" si="796"/>
        <v>0</v>
      </c>
      <c r="U1508" s="1195"/>
      <c r="Y1508" s="1198"/>
      <c r="Z1508" s="1199"/>
      <c r="AA1508" s="1199"/>
      <c r="AB1508" s="1199"/>
      <c r="AC1508" s="1199" t="s">
        <v>30</v>
      </c>
      <c r="AD1508" s="1199" t="s">
        <v>699</v>
      </c>
      <c r="AE1508" s="1199"/>
      <c r="AF1508" s="1206">
        <f>+AF1506*AF1502</f>
        <v>0</v>
      </c>
      <c r="AG1508" s="1207">
        <f t="shared" ref="AG1508:AQ1508" si="797">+AG1506*AG1502</f>
        <v>0</v>
      </c>
      <c r="AH1508" s="1207">
        <f t="shared" si="797"/>
        <v>0</v>
      </c>
      <c r="AI1508" s="1207">
        <f t="shared" si="797"/>
        <v>0</v>
      </c>
      <c r="AJ1508" s="1207">
        <f t="shared" si="797"/>
        <v>0</v>
      </c>
      <c r="AK1508" s="1207">
        <f t="shared" si="797"/>
        <v>0</v>
      </c>
      <c r="AL1508" s="1207">
        <f t="shared" si="797"/>
        <v>0</v>
      </c>
      <c r="AM1508" s="1207">
        <f t="shared" si="797"/>
        <v>0</v>
      </c>
      <c r="AN1508" s="1207">
        <f t="shared" si="797"/>
        <v>0</v>
      </c>
      <c r="AO1508" s="1207">
        <f t="shared" si="797"/>
        <v>0</v>
      </c>
      <c r="AP1508" s="1207">
        <f t="shared" si="797"/>
        <v>0</v>
      </c>
      <c r="AQ1508" s="1208">
        <f t="shared" si="797"/>
        <v>0</v>
      </c>
      <c r="AR1508" s="1195"/>
    </row>
    <row r="1509" spans="2:44" ht="14.4" hidden="1" customHeight="1" thickTop="1" x14ac:dyDescent="0.2">
      <c r="B1509" s="1537">
        <f>+B205</f>
        <v>0</v>
      </c>
      <c r="C1509" s="1581">
        <f>+C204</f>
        <v>0</v>
      </c>
      <c r="D1509" s="1194"/>
      <c r="E1509" s="1194"/>
      <c r="F1509" s="1194"/>
      <c r="G1509" s="1194"/>
      <c r="H1509" s="1194"/>
      <c r="I1509" s="1538"/>
      <c r="J1509" s="1539"/>
      <c r="K1509" s="1539"/>
      <c r="L1509" s="1539"/>
      <c r="M1509" s="1539"/>
      <c r="N1509" s="1539"/>
      <c r="O1509" s="1539"/>
      <c r="P1509" s="1539"/>
      <c r="Q1509" s="1539"/>
      <c r="R1509" s="1539"/>
      <c r="S1509" s="1539"/>
      <c r="T1509" s="1540"/>
      <c r="U1509" s="1195"/>
      <c r="Y1509" s="1537">
        <f>+Y205</f>
        <v>0</v>
      </c>
      <c r="Z1509" s="1581">
        <f>+Z204</f>
        <v>0</v>
      </c>
      <c r="AA1509" s="1194"/>
      <c r="AB1509" s="1194"/>
      <c r="AC1509" s="1194"/>
      <c r="AD1509" s="1194"/>
      <c r="AE1509" s="1194"/>
      <c r="AF1509" s="1538"/>
      <c r="AG1509" s="1539"/>
      <c r="AH1509" s="1539"/>
      <c r="AI1509" s="1539"/>
      <c r="AJ1509" s="1539"/>
      <c r="AK1509" s="1539"/>
      <c r="AL1509" s="1539"/>
      <c r="AM1509" s="1539"/>
      <c r="AN1509" s="1539"/>
      <c r="AO1509" s="1539"/>
      <c r="AP1509" s="1539"/>
      <c r="AQ1509" s="1540"/>
      <c r="AR1509" s="1195"/>
    </row>
    <row r="1510" spans="2:44" ht="13.75" hidden="1" customHeight="1" x14ac:dyDescent="0.2">
      <c r="B1510" s="1195" t="s">
        <v>721</v>
      </c>
      <c r="C1510" s="193"/>
      <c r="D1510" s="193"/>
      <c r="E1510" s="254"/>
      <c r="F1510" s="193" t="s">
        <v>247</v>
      </c>
      <c r="G1510" s="193" t="s">
        <v>691</v>
      </c>
      <c r="H1510" s="193"/>
      <c r="I1510" s="378">
        <f>VLOOKUP(C1509,UsoSuelo!$CA$1127:$CM$1194,2,FALSE)</f>
        <v>0</v>
      </c>
      <c r="J1510" s="1193">
        <f>VLOOKUP(C1509,UsoSuelo!$CA$1127:$CM$1194,3,FALSE)</f>
        <v>0</v>
      </c>
      <c r="K1510" s="1193">
        <f>VLOOKUP(C1509,UsoSuelo!$CA$1127:$CM$1194,4,FALSE)</f>
        <v>0</v>
      </c>
      <c r="L1510" s="1193">
        <f>VLOOKUP(C1509,UsoSuelo!$CA$1127:$CM$1194,5,FALSE)</f>
        <v>0</v>
      </c>
      <c r="M1510" s="1193">
        <f>VLOOKUP(C1509,UsoSuelo!$CA$1127:$CM$1194,6,FALSE)</f>
        <v>0</v>
      </c>
      <c r="N1510" s="1193">
        <f>VLOOKUP(C1509,UsoSuelo!$CA$1127:$CM$1194,7,FALSE)</f>
        <v>0</v>
      </c>
      <c r="O1510" s="1193">
        <f>VLOOKUP(C1509,UsoSuelo!$CA$1127:$CM$1194,8,FALSE)</f>
        <v>0</v>
      </c>
      <c r="P1510" s="1193">
        <f>VLOOKUP(C1509,UsoSuelo!$CA$1127:$CM$1194,9,FALSE)</f>
        <v>0</v>
      </c>
      <c r="Q1510" s="1193">
        <f>VLOOKUP(C1509,UsoSuelo!$CA$1127:$CM$1194,10,FALSE)</f>
        <v>0</v>
      </c>
      <c r="R1510" s="1193">
        <f>VLOOKUP(C1509,UsoSuelo!$CA$1127:$CM$1194,11,FALSE)</f>
        <v>0</v>
      </c>
      <c r="S1510" s="1193">
        <f>VLOOKUP(C1509,UsoSuelo!$CA$1127:$CM$1194,12,FALSE)</f>
        <v>0</v>
      </c>
      <c r="T1510" s="1183">
        <f>VLOOKUP(C1509,UsoSuelo!$CA$1127:$CM$1194,13,FALSE)</f>
        <v>0</v>
      </c>
      <c r="U1510" s="1195"/>
      <c r="Y1510" s="1195" t="s">
        <v>721</v>
      </c>
      <c r="Z1510" s="193"/>
      <c r="AA1510" s="193"/>
      <c r="AB1510" s="254"/>
      <c r="AC1510" s="193" t="s">
        <v>247</v>
      </c>
      <c r="AD1510" s="193" t="s">
        <v>691</v>
      </c>
      <c r="AE1510" s="193"/>
      <c r="AF1510" s="378">
        <f>VLOOKUP($Z1509,UsoSuelo!$CO$1054:$DA$1120,2,FALSE)</f>
        <v>0</v>
      </c>
      <c r="AG1510" s="1193">
        <f>VLOOKUP($Z1509,UsoSuelo!$CO$1054:$DA$1120,3,FALSE)</f>
        <v>0</v>
      </c>
      <c r="AH1510" s="1193">
        <f>VLOOKUP($Z1509,UsoSuelo!$CO$1054:$DA$1120,4,FALSE)</f>
        <v>0</v>
      </c>
      <c r="AI1510" s="1193">
        <f>VLOOKUP($Z1509,UsoSuelo!$CO$1054:$DA$1120,5,FALSE)</f>
        <v>0</v>
      </c>
      <c r="AJ1510" s="1193">
        <f>VLOOKUP($Z1509,UsoSuelo!$CO$1054:$DA$1120,6,FALSE)</f>
        <v>0</v>
      </c>
      <c r="AK1510" s="1193">
        <f>VLOOKUP($Z1509,UsoSuelo!$CO$1054:$DA$1120,7,FALSE)</f>
        <v>0</v>
      </c>
      <c r="AL1510" s="1193">
        <f>VLOOKUP($Z1509,UsoSuelo!$CO$1054:$DA$1120,8,FALSE)</f>
        <v>0</v>
      </c>
      <c r="AM1510" s="1193">
        <f>VLOOKUP($Z1509,UsoSuelo!$CO$1054:$DA$1120,9,FALSE)</f>
        <v>0</v>
      </c>
      <c r="AN1510" s="1193">
        <f>VLOOKUP($Z1509,UsoSuelo!$CO$1054:$DA$1120,10,FALSE)</f>
        <v>0</v>
      </c>
      <c r="AO1510" s="1193">
        <f>VLOOKUP($Z1509,UsoSuelo!$CO$1054:$DA$1120,11,FALSE)</f>
        <v>0</v>
      </c>
      <c r="AP1510" s="1193">
        <f>VLOOKUP($Z1509,UsoSuelo!$CO$1054:$DA$1120,12,FALSE)</f>
        <v>0</v>
      </c>
      <c r="AQ1510" s="1183">
        <f>VLOOKUP($Z1509,UsoSuelo!$CO$1054:$DA$1120,13,FALSE)</f>
        <v>0</v>
      </c>
      <c r="AR1510" s="1195"/>
    </row>
    <row r="1511" spans="2:44" ht="13.75" hidden="1" customHeight="1" x14ac:dyDescent="0.2">
      <c r="B1511" s="1195"/>
      <c r="C1511" s="193"/>
      <c r="D1511" s="193"/>
      <c r="E1511" s="193"/>
      <c r="F1511" s="193" t="s">
        <v>692</v>
      </c>
      <c r="G1511" s="193"/>
      <c r="H1511" s="193"/>
      <c r="I1511" s="378">
        <f>VLOOKUP(C1509,UsoSuelo!$CB$1275:$CN$1341,2,FALSE)</f>
        <v>0</v>
      </c>
      <c r="J1511" s="1193">
        <f>VLOOKUP(C1509,UsoSuelo!$CB$1275:$CN$1341,3,FALSE)</f>
        <v>0</v>
      </c>
      <c r="K1511" s="1193">
        <f>VLOOKUP(C1509,UsoSuelo!$CB$1275:$CN$1341,4,FALSE)</f>
        <v>0</v>
      </c>
      <c r="L1511" s="1193">
        <f>VLOOKUP(C1509,UsoSuelo!$CB$1275:$CN$1341,5,FALSE)</f>
        <v>0</v>
      </c>
      <c r="M1511" s="1193">
        <f>VLOOKUP(C1509,UsoSuelo!$CB$1275:$CN$1341,6,FALSE)</f>
        <v>0</v>
      </c>
      <c r="N1511" s="1193">
        <f>VLOOKUP(C1509,UsoSuelo!$CB$1275:$CN$1341,7,FALSE)</f>
        <v>0</v>
      </c>
      <c r="O1511" s="1193">
        <f>VLOOKUP(C1509,UsoSuelo!$CB$1275:$CN$1341,8,FALSE)</f>
        <v>0</v>
      </c>
      <c r="P1511" s="1193">
        <f>VLOOKUP(C1509,UsoSuelo!$CB$1275:$CN$1341,9,FALSE)</f>
        <v>0</v>
      </c>
      <c r="Q1511" s="1193">
        <f>VLOOKUP(C1509,UsoSuelo!$CB$1275:$CN$1341,10,FALSE)</f>
        <v>0</v>
      </c>
      <c r="R1511" s="1193">
        <f>VLOOKUP(C1509,UsoSuelo!$CB$1275:$CN$1341,11,FALSE)</f>
        <v>0</v>
      </c>
      <c r="S1511" s="1193">
        <f>VLOOKUP(C1509,UsoSuelo!$CB$1275:$CN$1341,12,FALSE)</f>
        <v>0</v>
      </c>
      <c r="T1511" s="1183">
        <f>VLOOKUP(C1509,UsoSuelo!$CB$1275:$CN$1341,13,FALSE)</f>
        <v>0</v>
      </c>
      <c r="U1511" s="1195"/>
      <c r="Y1511" s="1195"/>
      <c r="Z1511" s="193"/>
      <c r="AA1511" s="193"/>
      <c r="AB1511" s="193"/>
      <c r="AC1511" s="193" t="s">
        <v>247</v>
      </c>
      <c r="AD1511" s="193" t="s">
        <v>699</v>
      </c>
      <c r="AE1511" s="193"/>
      <c r="AF1511" s="378">
        <f>VLOOKUP($Z1509,UsoSuelo!$DB$1201:$DN$1267,2,FALSE)</f>
        <v>0</v>
      </c>
      <c r="AG1511" s="1193">
        <f>VLOOKUP($Z1509,UsoSuelo!$DB$1201:$DN$1267,3,FALSE)</f>
        <v>0</v>
      </c>
      <c r="AH1511" s="1193">
        <f>VLOOKUP($Z1509,UsoSuelo!$DB$1201:$DN$1267,4,FALSE)</f>
        <v>0</v>
      </c>
      <c r="AI1511" s="1193">
        <f>VLOOKUP($Z1509,UsoSuelo!$DB$1201:$DN$1267,5,FALSE)</f>
        <v>0</v>
      </c>
      <c r="AJ1511" s="1193">
        <f>VLOOKUP($Z1509,UsoSuelo!$DB$1201:$DN$1267,6,FALSE)</f>
        <v>0</v>
      </c>
      <c r="AK1511" s="1193">
        <f>VLOOKUP($Z1509,UsoSuelo!$DB$1201:$DN$1267,7,FALSE)</f>
        <v>0</v>
      </c>
      <c r="AL1511" s="1193">
        <f>VLOOKUP($Z1509,UsoSuelo!$DB$1201:$DN$1267,8,FALSE)</f>
        <v>0</v>
      </c>
      <c r="AM1511" s="1193">
        <f>VLOOKUP($Z1509,UsoSuelo!$DB$1201:$DN$1267,9,FALSE)</f>
        <v>0</v>
      </c>
      <c r="AN1511" s="1193">
        <f>VLOOKUP($Z1509,UsoSuelo!$DB$1201:$DN$1267,10,FALSE)</f>
        <v>0</v>
      </c>
      <c r="AO1511" s="1193">
        <f>VLOOKUP($Z1509,UsoSuelo!$DB$1201:$DN$1267,11,FALSE)</f>
        <v>0</v>
      </c>
      <c r="AP1511" s="1193">
        <f>VLOOKUP($Z1509,UsoSuelo!$DB$1201:$DN$1267,12,FALSE)</f>
        <v>0</v>
      </c>
      <c r="AQ1511" s="1183">
        <f>VLOOKUP($Z1509,UsoSuelo!$DB$1201:$DN$1267,13,FALSE)</f>
        <v>0</v>
      </c>
      <c r="AR1511" s="1195"/>
    </row>
    <row r="1512" spans="2:44" ht="13.75" hidden="1" customHeight="1" x14ac:dyDescent="0.2">
      <c r="B1512" s="1195"/>
      <c r="C1512" s="193"/>
      <c r="D1512" s="193"/>
      <c r="E1512" s="193"/>
      <c r="F1512" s="193" t="s">
        <v>230</v>
      </c>
      <c r="G1512" s="193"/>
      <c r="H1512" s="193"/>
      <c r="I1512" s="378">
        <f t="shared" ref="I1512:T1512" si="798">I206</f>
        <v>0</v>
      </c>
      <c r="J1512" s="1193">
        <f t="shared" si="798"/>
        <v>0</v>
      </c>
      <c r="K1512" s="1193">
        <f t="shared" si="798"/>
        <v>0</v>
      </c>
      <c r="L1512" s="1193">
        <f t="shared" si="798"/>
        <v>0</v>
      </c>
      <c r="M1512" s="1193">
        <f t="shared" si="798"/>
        <v>0</v>
      </c>
      <c r="N1512" s="1193">
        <f t="shared" si="798"/>
        <v>0</v>
      </c>
      <c r="O1512" s="1193">
        <f t="shared" si="798"/>
        <v>0</v>
      </c>
      <c r="P1512" s="1193">
        <f t="shared" si="798"/>
        <v>0</v>
      </c>
      <c r="Q1512" s="1193">
        <f t="shared" si="798"/>
        <v>0</v>
      </c>
      <c r="R1512" s="1193">
        <f t="shared" si="798"/>
        <v>0</v>
      </c>
      <c r="S1512" s="1193">
        <f t="shared" si="798"/>
        <v>0</v>
      </c>
      <c r="T1512" s="1183">
        <f t="shared" si="798"/>
        <v>0</v>
      </c>
      <c r="U1512" s="1195"/>
      <c r="Y1512" s="1195"/>
      <c r="Z1512" s="193"/>
      <c r="AA1512" s="193"/>
      <c r="AB1512" s="193"/>
      <c r="AC1512" s="193" t="s">
        <v>230</v>
      </c>
      <c r="AD1512" s="193"/>
      <c r="AE1512" s="193"/>
      <c r="AF1512" s="378">
        <f t="shared" ref="AF1512:AQ1512" si="799">AF206</f>
        <v>0</v>
      </c>
      <c r="AG1512" s="1193">
        <f t="shared" si="799"/>
        <v>0</v>
      </c>
      <c r="AH1512" s="1193">
        <f t="shared" si="799"/>
        <v>0</v>
      </c>
      <c r="AI1512" s="1193">
        <f t="shared" si="799"/>
        <v>0</v>
      </c>
      <c r="AJ1512" s="1193">
        <f t="shared" si="799"/>
        <v>0</v>
      </c>
      <c r="AK1512" s="1193">
        <f t="shared" si="799"/>
        <v>0</v>
      </c>
      <c r="AL1512" s="1193">
        <f t="shared" si="799"/>
        <v>0</v>
      </c>
      <c r="AM1512" s="1193">
        <f t="shared" si="799"/>
        <v>0</v>
      </c>
      <c r="AN1512" s="1193">
        <f t="shared" si="799"/>
        <v>0</v>
      </c>
      <c r="AO1512" s="1193">
        <f t="shared" si="799"/>
        <v>0</v>
      </c>
      <c r="AP1512" s="1193">
        <f t="shared" si="799"/>
        <v>0</v>
      </c>
      <c r="AQ1512" s="1183">
        <f t="shared" si="799"/>
        <v>0</v>
      </c>
      <c r="AR1512" s="1195"/>
    </row>
    <row r="1513" spans="2:44" ht="13.75" hidden="1" customHeight="1" x14ac:dyDescent="0.2">
      <c r="B1513" s="1196"/>
      <c r="C1513" s="374"/>
      <c r="D1513" s="374"/>
      <c r="E1513" s="374"/>
      <c r="F1513" s="374" t="s">
        <v>810</v>
      </c>
      <c r="G1513" s="374"/>
      <c r="H1513" s="374"/>
      <c r="I1513" s="377">
        <f t="shared" ref="I1513:T1513" si="800">+IF($B1509="Agrícola",0,I1512)</f>
        <v>0</v>
      </c>
      <c r="J1513" s="1200">
        <f t="shared" si="800"/>
        <v>0</v>
      </c>
      <c r="K1513" s="1200">
        <f t="shared" si="800"/>
        <v>0</v>
      </c>
      <c r="L1513" s="1200">
        <f t="shared" si="800"/>
        <v>0</v>
      </c>
      <c r="M1513" s="1200">
        <f t="shared" si="800"/>
        <v>0</v>
      </c>
      <c r="N1513" s="1200">
        <f t="shared" si="800"/>
        <v>0</v>
      </c>
      <c r="O1513" s="1200">
        <f t="shared" si="800"/>
        <v>0</v>
      </c>
      <c r="P1513" s="1200">
        <f t="shared" si="800"/>
        <v>0</v>
      </c>
      <c r="Q1513" s="1200">
        <f t="shared" si="800"/>
        <v>0</v>
      </c>
      <c r="R1513" s="1200">
        <f t="shared" si="800"/>
        <v>0</v>
      </c>
      <c r="S1513" s="1200">
        <f t="shared" si="800"/>
        <v>0</v>
      </c>
      <c r="T1513" s="1201">
        <f t="shared" si="800"/>
        <v>0</v>
      </c>
      <c r="U1513" s="1195"/>
      <c r="Y1513" s="1196"/>
      <c r="Z1513" s="374"/>
      <c r="AA1513" s="374"/>
      <c r="AB1513" s="374"/>
      <c r="AC1513" s="374" t="s">
        <v>811</v>
      </c>
      <c r="AD1513" s="374"/>
      <c r="AE1513" s="374"/>
      <c r="AF1513" s="377">
        <f t="shared" ref="AF1513:AQ1513" si="801">+IF($Y1509="Agrícola",0,AF1512)</f>
        <v>0</v>
      </c>
      <c r="AG1513" s="1200">
        <f t="shared" si="801"/>
        <v>0</v>
      </c>
      <c r="AH1513" s="1200">
        <f t="shared" si="801"/>
        <v>0</v>
      </c>
      <c r="AI1513" s="1200">
        <f t="shared" si="801"/>
        <v>0</v>
      </c>
      <c r="AJ1513" s="1200">
        <f t="shared" si="801"/>
        <v>0</v>
      </c>
      <c r="AK1513" s="1200">
        <f t="shared" si="801"/>
        <v>0</v>
      </c>
      <c r="AL1513" s="1200">
        <f t="shared" si="801"/>
        <v>0</v>
      </c>
      <c r="AM1513" s="1200">
        <f t="shared" si="801"/>
        <v>0</v>
      </c>
      <c r="AN1513" s="1200">
        <f t="shared" si="801"/>
        <v>0</v>
      </c>
      <c r="AO1513" s="1200">
        <f t="shared" si="801"/>
        <v>0</v>
      </c>
      <c r="AP1513" s="1200">
        <f t="shared" si="801"/>
        <v>0</v>
      </c>
      <c r="AQ1513" s="1201">
        <f t="shared" si="801"/>
        <v>0</v>
      </c>
      <c r="AR1513" s="1195"/>
    </row>
    <row r="1514" spans="2:44" ht="13.75" hidden="1" customHeight="1" x14ac:dyDescent="0.2">
      <c r="B1514" s="1195"/>
      <c r="C1514" s="193"/>
      <c r="D1514" s="193"/>
      <c r="E1514" s="193"/>
      <c r="F1514" s="193" t="s">
        <v>695</v>
      </c>
      <c r="G1514" s="193"/>
      <c r="H1514" s="193"/>
      <c r="I1514" s="1202">
        <f t="shared" ref="I1514:T1514" si="802">IFERROR(I1510/I1513,0)</f>
        <v>0</v>
      </c>
      <c r="J1514" s="1203">
        <f t="shared" si="802"/>
        <v>0</v>
      </c>
      <c r="K1514" s="1203">
        <f t="shared" si="802"/>
        <v>0</v>
      </c>
      <c r="L1514" s="1203">
        <f t="shared" si="802"/>
        <v>0</v>
      </c>
      <c r="M1514" s="1203">
        <f t="shared" si="802"/>
        <v>0</v>
      </c>
      <c r="N1514" s="1203">
        <f t="shared" si="802"/>
        <v>0</v>
      </c>
      <c r="O1514" s="1203">
        <f t="shared" si="802"/>
        <v>0</v>
      </c>
      <c r="P1514" s="1203">
        <f t="shared" si="802"/>
        <v>0</v>
      </c>
      <c r="Q1514" s="1203">
        <f t="shared" si="802"/>
        <v>0</v>
      </c>
      <c r="R1514" s="1203">
        <f t="shared" si="802"/>
        <v>0</v>
      </c>
      <c r="S1514" s="1203">
        <f t="shared" si="802"/>
        <v>0</v>
      </c>
      <c r="T1514" s="1204">
        <f t="shared" si="802"/>
        <v>0</v>
      </c>
      <c r="U1514" s="1582"/>
      <c r="Y1514" s="1195"/>
      <c r="Z1514" s="193"/>
      <c r="AA1514" s="193"/>
      <c r="AB1514" s="193"/>
      <c r="AC1514" s="193" t="s">
        <v>695</v>
      </c>
      <c r="AD1514" s="193"/>
      <c r="AE1514" s="193"/>
      <c r="AF1514" s="1202">
        <f t="shared" ref="AF1514:AQ1514" si="803">IFERROR(AF1510/AF1513,0)</f>
        <v>0</v>
      </c>
      <c r="AG1514" s="1203">
        <f t="shared" si="803"/>
        <v>0</v>
      </c>
      <c r="AH1514" s="1203">
        <f t="shared" si="803"/>
        <v>0</v>
      </c>
      <c r="AI1514" s="1203">
        <f t="shared" si="803"/>
        <v>0</v>
      </c>
      <c r="AJ1514" s="1203">
        <f t="shared" si="803"/>
        <v>0</v>
      </c>
      <c r="AK1514" s="1203">
        <f t="shared" si="803"/>
        <v>0</v>
      </c>
      <c r="AL1514" s="1203">
        <f t="shared" si="803"/>
        <v>0</v>
      </c>
      <c r="AM1514" s="1203">
        <f t="shared" si="803"/>
        <v>0</v>
      </c>
      <c r="AN1514" s="1203">
        <f t="shared" si="803"/>
        <v>0</v>
      </c>
      <c r="AO1514" s="1203">
        <f t="shared" si="803"/>
        <v>0</v>
      </c>
      <c r="AP1514" s="1203">
        <f t="shared" si="803"/>
        <v>0</v>
      </c>
      <c r="AQ1514" s="1204">
        <f t="shared" si="803"/>
        <v>0</v>
      </c>
      <c r="AR1514" s="1582"/>
    </row>
    <row r="1515" spans="2:44" ht="13.75" hidden="1" customHeight="1" x14ac:dyDescent="0.2">
      <c r="B1515" s="1195"/>
      <c r="C1515" s="193"/>
      <c r="D1515" s="193"/>
      <c r="E1515" s="193"/>
      <c r="F1515" s="193" t="s">
        <v>696</v>
      </c>
      <c r="G1515" s="193"/>
      <c r="H1515" s="193"/>
      <c r="I1515" s="1202">
        <f>IFERROR(I1511/I1513,0)</f>
        <v>0</v>
      </c>
      <c r="J1515" s="1203">
        <f t="shared" ref="J1515:T1515" si="804">IFERROR(J1511/J1513,0)</f>
        <v>0</v>
      </c>
      <c r="K1515" s="1203">
        <f t="shared" si="804"/>
        <v>0</v>
      </c>
      <c r="L1515" s="1203">
        <f t="shared" si="804"/>
        <v>0</v>
      </c>
      <c r="M1515" s="1203">
        <f t="shared" si="804"/>
        <v>0</v>
      </c>
      <c r="N1515" s="1203">
        <f t="shared" si="804"/>
        <v>0</v>
      </c>
      <c r="O1515" s="1203">
        <f t="shared" si="804"/>
        <v>0</v>
      </c>
      <c r="P1515" s="1203">
        <f t="shared" si="804"/>
        <v>0</v>
      </c>
      <c r="Q1515" s="1203">
        <f t="shared" si="804"/>
        <v>0</v>
      </c>
      <c r="R1515" s="1203">
        <f t="shared" si="804"/>
        <v>0</v>
      </c>
      <c r="S1515" s="1203">
        <f t="shared" si="804"/>
        <v>0</v>
      </c>
      <c r="T1515" s="1204">
        <f t="shared" si="804"/>
        <v>0</v>
      </c>
      <c r="U1515" s="1582"/>
      <c r="Y1515" s="1195"/>
      <c r="Z1515" s="193"/>
      <c r="AA1515" s="193"/>
      <c r="AB1515" s="193"/>
      <c r="AC1515" s="193" t="s">
        <v>696</v>
      </c>
      <c r="AD1515" s="193"/>
      <c r="AE1515" s="193"/>
      <c r="AF1515" s="1202">
        <f>IFERROR(AF1511/AF1513,0)</f>
        <v>0</v>
      </c>
      <c r="AG1515" s="1203">
        <f t="shared" ref="AG1515:AQ1515" si="805">IFERROR(AG1511/AG1513,0)</f>
        <v>0</v>
      </c>
      <c r="AH1515" s="1203">
        <f t="shared" si="805"/>
        <v>0</v>
      </c>
      <c r="AI1515" s="1203">
        <f t="shared" si="805"/>
        <v>0</v>
      </c>
      <c r="AJ1515" s="1203">
        <f t="shared" si="805"/>
        <v>0</v>
      </c>
      <c r="AK1515" s="1203">
        <f t="shared" si="805"/>
        <v>0</v>
      </c>
      <c r="AL1515" s="1203">
        <f t="shared" si="805"/>
        <v>0</v>
      </c>
      <c r="AM1515" s="1203">
        <f t="shared" si="805"/>
        <v>0</v>
      </c>
      <c r="AN1515" s="1203">
        <f t="shared" si="805"/>
        <v>0</v>
      </c>
      <c r="AO1515" s="1203">
        <f t="shared" si="805"/>
        <v>0</v>
      </c>
      <c r="AP1515" s="1203">
        <f t="shared" si="805"/>
        <v>0</v>
      </c>
      <c r="AQ1515" s="1204">
        <f t="shared" si="805"/>
        <v>0</v>
      </c>
      <c r="AR1515" s="1582"/>
    </row>
    <row r="1516" spans="2:44" ht="13.75" hidden="1" customHeight="1" x14ac:dyDescent="0.2">
      <c r="B1516" s="1196" t="s">
        <v>803</v>
      </c>
      <c r="C1516" s="374"/>
      <c r="D1516" s="374"/>
      <c r="E1516" s="374"/>
      <c r="F1516" s="374" t="s">
        <v>697</v>
      </c>
      <c r="G1516" s="374" t="s">
        <v>694</v>
      </c>
      <c r="H1516" s="193"/>
      <c r="I1516" s="377">
        <f t="shared" ref="I1516:T1516" si="806">+SUMPRODUCT(I223:I240,$F223:$F240)</f>
        <v>0</v>
      </c>
      <c r="J1516" s="1200">
        <f t="shared" si="806"/>
        <v>0</v>
      </c>
      <c r="K1516" s="1200">
        <f t="shared" si="806"/>
        <v>0</v>
      </c>
      <c r="L1516" s="1200">
        <f t="shared" si="806"/>
        <v>0</v>
      </c>
      <c r="M1516" s="1200">
        <f t="shared" si="806"/>
        <v>0</v>
      </c>
      <c r="N1516" s="1200">
        <f t="shared" si="806"/>
        <v>0</v>
      </c>
      <c r="O1516" s="1200">
        <f t="shared" si="806"/>
        <v>0</v>
      </c>
      <c r="P1516" s="1200">
        <f t="shared" si="806"/>
        <v>0</v>
      </c>
      <c r="Q1516" s="1200">
        <f t="shared" si="806"/>
        <v>0</v>
      </c>
      <c r="R1516" s="1200">
        <f t="shared" si="806"/>
        <v>0</v>
      </c>
      <c r="S1516" s="1200">
        <f t="shared" si="806"/>
        <v>0</v>
      </c>
      <c r="T1516" s="1201">
        <f t="shared" si="806"/>
        <v>0</v>
      </c>
      <c r="U1516" s="1195"/>
      <c r="Y1516" s="1196" t="s">
        <v>803</v>
      </c>
      <c r="Z1516" s="374"/>
      <c r="AA1516" s="374"/>
      <c r="AB1516" s="374"/>
      <c r="AC1516" s="374" t="s">
        <v>697</v>
      </c>
      <c r="AD1516" s="374" t="s">
        <v>694</v>
      </c>
      <c r="AE1516" s="193"/>
      <c r="AF1516" s="377">
        <f>+SUMPRODUCT(AF223:AF240,$AC223:$AC240)</f>
        <v>0</v>
      </c>
      <c r="AG1516" s="1200">
        <f t="shared" ref="AG1516:AQ1516" si="807">+SUMPRODUCT(AG223:AG240,$F223:$F240)</f>
        <v>0</v>
      </c>
      <c r="AH1516" s="1200">
        <f t="shared" si="807"/>
        <v>0</v>
      </c>
      <c r="AI1516" s="1200">
        <f t="shared" si="807"/>
        <v>0</v>
      </c>
      <c r="AJ1516" s="1200">
        <f t="shared" si="807"/>
        <v>0</v>
      </c>
      <c r="AK1516" s="1200">
        <f t="shared" si="807"/>
        <v>0</v>
      </c>
      <c r="AL1516" s="1200">
        <f t="shared" si="807"/>
        <v>0</v>
      </c>
      <c r="AM1516" s="1200">
        <f t="shared" si="807"/>
        <v>0</v>
      </c>
      <c r="AN1516" s="1200">
        <f t="shared" si="807"/>
        <v>0</v>
      </c>
      <c r="AO1516" s="1200">
        <f t="shared" si="807"/>
        <v>0</v>
      </c>
      <c r="AP1516" s="1200">
        <f t="shared" si="807"/>
        <v>0</v>
      </c>
      <c r="AQ1516" s="1201">
        <f t="shared" si="807"/>
        <v>0</v>
      </c>
      <c r="AR1516" s="1195"/>
    </row>
    <row r="1517" spans="2:44" ht="13.75" hidden="1" customHeight="1" x14ac:dyDescent="0.2">
      <c r="B1517" s="1195"/>
      <c r="C1517" s="193"/>
      <c r="D1517" s="193"/>
      <c r="E1517" s="193"/>
      <c r="F1517" s="193" t="s">
        <v>697</v>
      </c>
      <c r="G1517" s="193" t="s">
        <v>698</v>
      </c>
      <c r="H1517" s="193"/>
      <c r="I1517" s="378">
        <f>+I1516*I1514</f>
        <v>0</v>
      </c>
      <c r="J1517" s="1193">
        <f t="shared" ref="J1517:T1517" si="808">+J1516*J1514</f>
        <v>0</v>
      </c>
      <c r="K1517" s="1193">
        <f t="shared" si="808"/>
        <v>0</v>
      </c>
      <c r="L1517" s="1193">
        <f t="shared" si="808"/>
        <v>0</v>
      </c>
      <c r="M1517" s="1193">
        <f t="shared" si="808"/>
        <v>0</v>
      </c>
      <c r="N1517" s="1193">
        <f t="shared" si="808"/>
        <v>0</v>
      </c>
      <c r="O1517" s="1193">
        <f t="shared" si="808"/>
        <v>0</v>
      </c>
      <c r="P1517" s="1193">
        <f t="shared" si="808"/>
        <v>0</v>
      </c>
      <c r="Q1517" s="1193">
        <f t="shared" si="808"/>
        <v>0</v>
      </c>
      <c r="R1517" s="1193">
        <f t="shared" si="808"/>
        <v>0</v>
      </c>
      <c r="S1517" s="1193">
        <f t="shared" si="808"/>
        <v>0</v>
      </c>
      <c r="T1517" s="1183">
        <f t="shared" si="808"/>
        <v>0</v>
      </c>
      <c r="U1517" s="1195"/>
      <c r="Y1517" s="1195"/>
      <c r="Z1517" s="193"/>
      <c r="AA1517" s="193"/>
      <c r="AB1517" s="193"/>
      <c r="AC1517" s="193" t="s">
        <v>697</v>
      </c>
      <c r="AD1517" s="193" t="s">
        <v>698</v>
      </c>
      <c r="AE1517" s="193"/>
      <c r="AF1517" s="378">
        <f>+AF1516*AF1514</f>
        <v>0</v>
      </c>
      <c r="AG1517" s="1193">
        <f t="shared" ref="AG1517:AQ1517" si="809">+AG1516*AG1514</f>
        <v>0</v>
      </c>
      <c r="AH1517" s="1193">
        <f t="shared" si="809"/>
        <v>0</v>
      </c>
      <c r="AI1517" s="1193">
        <f t="shared" si="809"/>
        <v>0</v>
      </c>
      <c r="AJ1517" s="1193">
        <f t="shared" si="809"/>
        <v>0</v>
      </c>
      <c r="AK1517" s="1193">
        <f t="shared" si="809"/>
        <v>0</v>
      </c>
      <c r="AL1517" s="1193">
        <f t="shared" si="809"/>
        <v>0</v>
      </c>
      <c r="AM1517" s="1193">
        <f t="shared" si="809"/>
        <v>0</v>
      </c>
      <c r="AN1517" s="1193">
        <f t="shared" si="809"/>
        <v>0</v>
      </c>
      <c r="AO1517" s="1193">
        <f t="shared" si="809"/>
        <v>0</v>
      </c>
      <c r="AP1517" s="1193">
        <f t="shared" si="809"/>
        <v>0</v>
      </c>
      <c r="AQ1517" s="1183">
        <f t="shared" si="809"/>
        <v>0</v>
      </c>
      <c r="AR1517" s="1195"/>
    </row>
    <row r="1518" spans="2:44" ht="13.75" hidden="1" customHeight="1" x14ac:dyDescent="0.2">
      <c r="B1518" s="1197"/>
      <c r="C1518" s="379"/>
      <c r="D1518" s="379"/>
      <c r="E1518" s="379"/>
      <c r="F1518" s="379" t="s">
        <v>30</v>
      </c>
      <c r="G1518" s="379" t="s">
        <v>699</v>
      </c>
      <c r="H1518" s="193"/>
      <c r="I1518" s="380">
        <f>+I1516*I1515</f>
        <v>0</v>
      </c>
      <c r="J1518" s="1205">
        <f t="shared" ref="J1518:T1518" si="810">+J1516*J1515</f>
        <v>0</v>
      </c>
      <c r="K1518" s="1205">
        <f t="shared" si="810"/>
        <v>0</v>
      </c>
      <c r="L1518" s="1205">
        <f t="shared" si="810"/>
        <v>0</v>
      </c>
      <c r="M1518" s="1205">
        <f t="shared" si="810"/>
        <v>0</v>
      </c>
      <c r="N1518" s="1205">
        <f t="shared" si="810"/>
        <v>0</v>
      </c>
      <c r="O1518" s="1205">
        <f t="shared" si="810"/>
        <v>0</v>
      </c>
      <c r="P1518" s="1205">
        <f t="shared" si="810"/>
        <v>0</v>
      </c>
      <c r="Q1518" s="1205">
        <f t="shared" si="810"/>
        <v>0</v>
      </c>
      <c r="R1518" s="1205">
        <f t="shared" si="810"/>
        <v>0</v>
      </c>
      <c r="S1518" s="1205">
        <f t="shared" si="810"/>
        <v>0</v>
      </c>
      <c r="T1518" s="1190">
        <f t="shared" si="810"/>
        <v>0</v>
      </c>
      <c r="U1518" s="1195"/>
      <c r="Y1518" s="1197"/>
      <c r="Z1518" s="379"/>
      <c r="AA1518" s="379"/>
      <c r="AB1518" s="379"/>
      <c r="AC1518" s="379" t="s">
        <v>30</v>
      </c>
      <c r="AD1518" s="379" t="s">
        <v>699</v>
      </c>
      <c r="AE1518" s="193"/>
      <c r="AF1518" s="380">
        <f>+AF1516*AF1515</f>
        <v>0</v>
      </c>
      <c r="AG1518" s="1205">
        <f t="shared" ref="AG1518:AQ1518" si="811">+AG1516*AG1515</f>
        <v>0</v>
      </c>
      <c r="AH1518" s="1205">
        <f t="shared" si="811"/>
        <v>0</v>
      </c>
      <c r="AI1518" s="1205">
        <f t="shared" si="811"/>
        <v>0</v>
      </c>
      <c r="AJ1518" s="1205">
        <f t="shared" si="811"/>
        <v>0</v>
      </c>
      <c r="AK1518" s="1205">
        <f t="shared" si="811"/>
        <v>0</v>
      </c>
      <c r="AL1518" s="1205">
        <f t="shared" si="811"/>
        <v>0</v>
      </c>
      <c r="AM1518" s="1205">
        <f t="shared" si="811"/>
        <v>0</v>
      </c>
      <c r="AN1518" s="1205">
        <f t="shared" si="811"/>
        <v>0</v>
      </c>
      <c r="AO1518" s="1205">
        <f t="shared" si="811"/>
        <v>0</v>
      </c>
      <c r="AP1518" s="1205">
        <f t="shared" si="811"/>
        <v>0</v>
      </c>
      <c r="AQ1518" s="1190">
        <f t="shared" si="811"/>
        <v>0</v>
      </c>
      <c r="AR1518" s="1195"/>
    </row>
    <row r="1519" spans="2:44" ht="13.75" hidden="1" customHeight="1" x14ac:dyDescent="0.2">
      <c r="B1519" s="1196" t="s">
        <v>447</v>
      </c>
      <c r="C1519" s="374"/>
      <c r="D1519" s="374"/>
      <c r="E1519" s="374"/>
      <c r="F1519" s="374" t="s">
        <v>697</v>
      </c>
      <c r="G1519" s="374" t="s">
        <v>694</v>
      </c>
      <c r="H1519" s="193"/>
      <c r="I1519" s="377">
        <f t="shared" ref="I1519:T1519" si="812">+SUMPRODUCT(I216:I220,$F216:$F220)</f>
        <v>0</v>
      </c>
      <c r="J1519" s="1200">
        <f t="shared" si="812"/>
        <v>0</v>
      </c>
      <c r="K1519" s="1200">
        <f t="shared" si="812"/>
        <v>0</v>
      </c>
      <c r="L1519" s="1200">
        <f t="shared" si="812"/>
        <v>0</v>
      </c>
      <c r="M1519" s="1200">
        <f t="shared" si="812"/>
        <v>0</v>
      </c>
      <c r="N1519" s="1200">
        <f t="shared" si="812"/>
        <v>0</v>
      </c>
      <c r="O1519" s="1200">
        <f t="shared" si="812"/>
        <v>0</v>
      </c>
      <c r="P1519" s="1200">
        <f t="shared" si="812"/>
        <v>0</v>
      </c>
      <c r="Q1519" s="1200">
        <f t="shared" si="812"/>
        <v>0</v>
      </c>
      <c r="R1519" s="1200">
        <f t="shared" si="812"/>
        <v>0</v>
      </c>
      <c r="S1519" s="1200">
        <f t="shared" si="812"/>
        <v>0</v>
      </c>
      <c r="T1519" s="1201">
        <f t="shared" si="812"/>
        <v>0</v>
      </c>
      <c r="U1519" s="1195"/>
      <c r="Y1519" s="1196" t="s">
        <v>447</v>
      </c>
      <c r="Z1519" s="374"/>
      <c r="AA1519" s="374"/>
      <c r="AB1519" s="374"/>
      <c r="AC1519" s="374" t="s">
        <v>697</v>
      </c>
      <c r="AD1519" s="374" t="s">
        <v>694</v>
      </c>
      <c r="AE1519" s="193"/>
      <c r="AF1519" s="377">
        <f t="shared" ref="AF1519:AQ1519" si="813">+SUMPRODUCT(AF216:AF220,$AC216:$AC220)</f>
        <v>0</v>
      </c>
      <c r="AG1519" s="1200">
        <f t="shared" si="813"/>
        <v>0</v>
      </c>
      <c r="AH1519" s="1200">
        <f t="shared" si="813"/>
        <v>0</v>
      </c>
      <c r="AI1519" s="1200">
        <f t="shared" si="813"/>
        <v>0</v>
      </c>
      <c r="AJ1519" s="1200">
        <f t="shared" si="813"/>
        <v>0</v>
      </c>
      <c r="AK1519" s="1200">
        <f t="shared" si="813"/>
        <v>0</v>
      </c>
      <c r="AL1519" s="1200">
        <f t="shared" si="813"/>
        <v>0</v>
      </c>
      <c r="AM1519" s="1200">
        <f t="shared" si="813"/>
        <v>0</v>
      </c>
      <c r="AN1519" s="1200">
        <f t="shared" si="813"/>
        <v>0</v>
      </c>
      <c r="AO1519" s="1200">
        <f t="shared" si="813"/>
        <v>0</v>
      </c>
      <c r="AP1519" s="1200">
        <f t="shared" si="813"/>
        <v>0</v>
      </c>
      <c r="AQ1519" s="1201">
        <f t="shared" si="813"/>
        <v>0</v>
      </c>
      <c r="AR1519" s="1195"/>
    </row>
    <row r="1520" spans="2:44" ht="13.75" hidden="1" customHeight="1" x14ac:dyDescent="0.2">
      <c r="B1520" s="1195"/>
      <c r="C1520" s="193"/>
      <c r="D1520" s="193"/>
      <c r="E1520" s="193"/>
      <c r="F1520" s="193" t="s">
        <v>697</v>
      </c>
      <c r="G1520" s="193" t="s">
        <v>698</v>
      </c>
      <c r="H1520" s="193"/>
      <c r="I1520" s="378">
        <f t="shared" ref="I1520:T1520" si="814">+I1519*I1514</f>
        <v>0</v>
      </c>
      <c r="J1520" s="1193">
        <f t="shared" si="814"/>
        <v>0</v>
      </c>
      <c r="K1520" s="1193">
        <f t="shared" si="814"/>
        <v>0</v>
      </c>
      <c r="L1520" s="1193">
        <f t="shared" si="814"/>
        <v>0</v>
      </c>
      <c r="M1520" s="1193">
        <f t="shared" si="814"/>
        <v>0</v>
      </c>
      <c r="N1520" s="1193">
        <f t="shared" si="814"/>
        <v>0</v>
      </c>
      <c r="O1520" s="1193">
        <f t="shared" si="814"/>
        <v>0</v>
      </c>
      <c r="P1520" s="1193">
        <f t="shared" si="814"/>
        <v>0</v>
      </c>
      <c r="Q1520" s="1193">
        <f t="shared" si="814"/>
        <v>0</v>
      </c>
      <c r="R1520" s="1193">
        <f t="shared" si="814"/>
        <v>0</v>
      </c>
      <c r="S1520" s="1193">
        <f t="shared" si="814"/>
        <v>0</v>
      </c>
      <c r="T1520" s="1183">
        <f t="shared" si="814"/>
        <v>0</v>
      </c>
      <c r="U1520" s="1195"/>
      <c r="Y1520" s="1195"/>
      <c r="Z1520" s="193"/>
      <c r="AA1520" s="193"/>
      <c r="AB1520" s="193"/>
      <c r="AC1520" s="193" t="s">
        <v>697</v>
      </c>
      <c r="AD1520" s="193" t="s">
        <v>698</v>
      </c>
      <c r="AE1520" s="193"/>
      <c r="AF1520" s="378">
        <f t="shared" ref="AF1520:AQ1520" si="815">+AF1519*AF1514</f>
        <v>0</v>
      </c>
      <c r="AG1520" s="1193">
        <f t="shared" si="815"/>
        <v>0</v>
      </c>
      <c r="AH1520" s="1193">
        <f t="shared" si="815"/>
        <v>0</v>
      </c>
      <c r="AI1520" s="1193">
        <f t="shared" si="815"/>
        <v>0</v>
      </c>
      <c r="AJ1520" s="1193">
        <f t="shared" si="815"/>
        <v>0</v>
      </c>
      <c r="AK1520" s="1193">
        <f t="shared" si="815"/>
        <v>0</v>
      </c>
      <c r="AL1520" s="1193">
        <f t="shared" si="815"/>
        <v>0</v>
      </c>
      <c r="AM1520" s="1193">
        <f t="shared" si="815"/>
        <v>0</v>
      </c>
      <c r="AN1520" s="1193">
        <f t="shared" si="815"/>
        <v>0</v>
      </c>
      <c r="AO1520" s="1193">
        <f t="shared" si="815"/>
        <v>0</v>
      </c>
      <c r="AP1520" s="1193">
        <f t="shared" si="815"/>
        <v>0</v>
      </c>
      <c r="AQ1520" s="1183">
        <f t="shared" si="815"/>
        <v>0</v>
      </c>
      <c r="AR1520" s="1195"/>
    </row>
    <row r="1521" spans="2:44" ht="14.4" hidden="1" customHeight="1" thickBot="1" x14ac:dyDescent="0.25">
      <c r="B1521" s="1198"/>
      <c r="C1521" s="1199"/>
      <c r="D1521" s="1199"/>
      <c r="E1521" s="1199"/>
      <c r="F1521" s="1199" t="s">
        <v>30</v>
      </c>
      <c r="G1521" s="1199" t="s">
        <v>699</v>
      </c>
      <c r="H1521" s="1199"/>
      <c r="I1521" s="1206">
        <f>+I1519*I1515</f>
        <v>0</v>
      </c>
      <c r="J1521" s="1207">
        <f t="shared" ref="J1521:T1521" si="816">+J1519*J1515</f>
        <v>0</v>
      </c>
      <c r="K1521" s="1207">
        <f t="shared" si="816"/>
        <v>0</v>
      </c>
      <c r="L1521" s="1207">
        <f t="shared" si="816"/>
        <v>0</v>
      </c>
      <c r="M1521" s="1207">
        <f t="shared" si="816"/>
        <v>0</v>
      </c>
      <c r="N1521" s="1207">
        <f t="shared" si="816"/>
        <v>0</v>
      </c>
      <c r="O1521" s="1207">
        <f t="shared" si="816"/>
        <v>0</v>
      </c>
      <c r="P1521" s="1207">
        <f t="shared" si="816"/>
        <v>0</v>
      </c>
      <c r="Q1521" s="1207">
        <f t="shared" si="816"/>
        <v>0</v>
      </c>
      <c r="R1521" s="1207">
        <f t="shared" si="816"/>
        <v>0</v>
      </c>
      <c r="S1521" s="1207">
        <f t="shared" si="816"/>
        <v>0</v>
      </c>
      <c r="T1521" s="1208">
        <f t="shared" si="816"/>
        <v>0</v>
      </c>
      <c r="U1521" s="1195"/>
      <c r="Y1521" s="1198"/>
      <c r="Z1521" s="1199"/>
      <c r="AA1521" s="1199"/>
      <c r="AB1521" s="1199"/>
      <c r="AC1521" s="1199" t="s">
        <v>30</v>
      </c>
      <c r="AD1521" s="1199" t="s">
        <v>699</v>
      </c>
      <c r="AE1521" s="1199"/>
      <c r="AF1521" s="1206">
        <f>+AF1519*AF1515</f>
        <v>0</v>
      </c>
      <c r="AG1521" s="1207">
        <f t="shared" ref="AG1521:AQ1521" si="817">+AG1519*AG1515</f>
        <v>0</v>
      </c>
      <c r="AH1521" s="1207">
        <f t="shared" si="817"/>
        <v>0</v>
      </c>
      <c r="AI1521" s="1207">
        <f t="shared" si="817"/>
        <v>0</v>
      </c>
      <c r="AJ1521" s="1207">
        <f t="shared" si="817"/>
        <v>0</v>
      </c>
      <c r="AK1521" s="1207">
        <f t="shared" si="817"/>
        <v>0</v>
      </c>
      <c r="AL1521" s="1207">
        <f t="shared" si="817"/>
        <v>0</v>
      </c>
      <c r="AM1521" s="1207">
        <f t="shared" si="817"/>
        <v>0</v>
      </c>
      <c r="AN1521" s="1207">
        <f t="shared" si="817"/>
        <v>0</v>
      </c>
      <c r="AO1521" s="1207">
        <f t="shared" si="817"/>
        <v>0</v>
      </c>
      <c r="AP1521" s="1207">
        <f t="shared" si="817"/>
        <v>0</v>
      </c>
      <c r="AQ1521" s="1208">
        <f t="shared" si="817"/>
        <v>0</v>
      </c>
      <c r="AR1521" s="1195"/>
    </row>
    <row r="1522" spans="2:44" ht="14.4" hidden="1" customHeight="1" thickTop="1" x14ac:dyDescent="0.2">
      <c r="B1522" s="1537">
        <f>+B246</f>
        <v>0</v>
      </c>
      <c r="C1522" s="1581">
        <f>+C245</f>
        <v>0</v>
      </c>
      <c r="E1522" s="1194"/>
      <c r="F1522" s="1194"/>
      <c r="G1522" s="1194"/>
      <c r="H1522" s="1194"/>
      <c r="I1522" s="1538"/>
      <c r="J1522" s="1539"/>
      <c r="K1522" s="1539"/>
      <c r="L1522" s="1539"/>
      <c r="M1522" s="1539"/>
      <c r="N1522" s="1539"/>
      <c r="O1522" s="1539"/>
      <c r="P1522" s="1539"/>
      <c r="Q1522" s="1539"/>
      <c r="R1522" s="1539"/>
      <c r="S1522" s="1539"/>
      <c r="T1522" s="1540"/>
      <c r="U1522" s="1195"/>
      <c r="Y1522" s="1537">
        <f>+Y246</f>
        <v>0</v>
      </c>
      <c r="Z1522" s="1581">
        <f>+Z245</f>
        <v>0</v>
      </c>
      <c r="AA1522" s="1194"/>
      <c r="AB1522" s="1194"/>
      <c r="AC1522" s="1194"/>
      <c r="AD1522" s="1194"/>
      <c r="AE1522" s="1194"/>
      <c r="AF1522" s="1538"/>
      <c r="AG1522" s="1539"/>
      <c r="AH1522" s="1539"/>
      <c r="AI1522" s="1539"/>
      <c r="AJ1522" s="1539"/>
      <c r="AK1522" s="1539"/>
      <c r="AL1522" s="1539"/>
      <c r="AM1522" s="1539"/>
      <c r="AN1522" s="1539"/>
      <c r="AO1522" s="1539"/>
      <c r="AP1522" s="1539"/>
      <c r="AQ1522" s="1540"/>
      <c r="AR1522" s="1195"/>
    </row>
    <row r="1523" spans="2:44" ht="13.75" hidden="1" customHeight="1" x14ac:dyDescent="0.2">
      <c r="B1523" s="1195" t="s">
        <v>1563</v>
      </c>
      <c r="C1523" s="193"/>
      <c r="D1523" s="193"/>
      <c r="E1523" s="254"/>
      <c r="F1523" s="193" t="s">
        <v>247</v>
      </c>
      <c r="G1523" s="193" t="s">
        <v>691</v>
      </c>
      <c r="H1523" s="193"/>
      <c r="I1523" s="378">
        <f>VLOOKUP(C1522,UsoSuelo!$CA$1127:$CM$1194,2,FALSE)</f>
        <v>0</v>
      </c>
      <c r="J1523" s="1193">
        <f>VLOOKUP(C1522,UsoSuelo!$CA$1127:$CM$1194,3,FALSE)</f>
        <v>0</v>
      </c>
      <c r="K1523" s="1193">
        <f>VLOOKUP(C1522,UsoSuelo!$CA$1127:$CM$1194,4,FALSE)</f>
        <v>0</v>
      </c>
      <c r="L1523" s="1193">
        <f>VLOOKUP(C1522,UsoSuelo!$CA$1127:$CM$1194,5,FALSE)</f>
        <v>0</v>
      </c>
      <c r="M1523" s="1193">
        <f>VLOOKUP(C1522,UsoSuelo!$CA$1127:$CM$1194,6,FALSE)</f>
        <v>0</v>
      </c>
      <c r="N1523" s="1193">
        <f>VLOOKUP(C1522,UsoSuelo!$CA$1127:$CM$1194,7,FALSE)</f>
        <v>0</v>
      </c>
      <c r="O1523" s="1193">
        <f>VLOOKUP(C1522,UsoSuelo!$CA$1127:$CM$1194,8,FALSE)</f>
        <v>0</v>
      </c>
      <c r="P1523" s="1193">
        <f>VLOOKUP(C1522,UsoSuelo!$CA$1127:$CM$1194,9,FALSE)</f>
        <v>0</v>
      </c>
      <c r="Q1523" s="1193">
        <f>VLOOKUP(C1522,UsoSuelo!$CA$1127:$CM$1194,10,FALSE)</f>
        <v>0</v>
      </c>
      <c r="R1523" s="1193">
        <f>VLOOKUP(C1522,UsoSuelo!$CA$1127:$CM$1194,11,FALSE)</f>
        <v>0</v>
      </c>
      <c r="S1523" s="1193">
        <f>VLOOKUP(C1522,UsoSuelo!$CA$1127:$CM$1194,12,FALSE)</f>
        <v>0</v>
      </c>
      <c r="T1523" s="1183">
        <f>VLOOKUP(C1522,UsoSuelo!$CA$1127:$CM$1194,13,FALSE)</f>
        <v>0</v>
      </c>
      <c r="U1523" s="1195"/>
      <c r="Y1523" s="1195" t="s">
        <v>721</v>
      </c>
      <c r="Z1523" s="193"/>
      <c r="AA1523" s="193"/>
      <c r="AB1523" s="254"/>
      <c r="AC1523" s="193" t="s">
        <v>247</v>
      </c>
      <c r="AD1523" s="193" t="s">
        <v>691</v>
      </c>
      <c r="AE1523" s="193"/>
      <c r="AF1523" s="378">
        <f>VLOOKUP($Z1522,UsoSuelo!$CO$1054:$DA$1120,2,FALSE)</f>
        <v>0</v>
      </c>
      <c r="AG1523" s="1193">
        <f>VLOOKUP($Z1522,UsoSuelo!$CO$1054:$DA$1120,3,FALSE)</f>
        <v>0</v>
      </c>
      <c r="AH1523" s="1193">
        <f>VLOOKUP($Z1522,UsoSuelo!$CO$1054:$DA$1120,4,FALSE)</f>
        <v>0</v>
      </c>
      <c r="AI1523" s="1193">
        <f>VLOOKUP($Z1522,UsoSuelo!$CO$1054:$DA$1120,5,FALSE)</f>
        <v>0</v>
      </c>
      <c r="AJ1523" s="1193">
        <f>VLOOKUP($Z1522,UsoSuelo!$CO$1054:$DA$1120,6,FALSE)</f>
        <v>0</v>
      </c>
      <c r="AK1523" s="1193">
        <f>VLOOKUP($Z1522,UsoSuelo!$CO$1054:$DA$1120,7,FALSE)</f>
        <v>0</v>
      </c>
      <c r="AL1523" s="1193">
        <f>VLOOKUP($Z1522,UsoSuelo!$CO$1054:$DA$1120,8,FALSE)</f>
        <v>0</v>
      </c>
      <c r="AM1523" s="1193">
        <f>VLOOKUP($Z1522,UsoSuelo!$CO$1054:$DA$1120,9,FALSE)</f>
        <v>0</v>
      </c>
      <c r="AN1523" s="1193">
        <f>VLOOKUP($Z1522,UsoSuelo!$CO$1054:$DA$1120,10,FALSE)</f>
        <v>0</v>
      </c>
      <c r="AO1523" s="1193">
        <f>VLOOKUP($Z1522,UsoSuelo!$CO$1054:$DA$1120,11,FALSE)</f>
        <v>0</v>
      </c>
      <c r="AP1523" s="1193">
        <f>VLOOKUP($Z1522,UsoSuelo!$CO$1054:$DA$1120,12,FALSE)</f>
        <v>0</v>
      </c>
      <c r="AQ1523" s="1183">
        <f>VLOOKUP($Z1522,UsoSuelo!$CO$1054:$DA$1120,13,FALSE)</f>
        <v>0</v>
      </c>
      <c r="AR1523" s="1195"/>
    </row>
    <row r="1524" spans="2:44" ht="13.75" hidden="1" customHeight="1" x14ac:dyDescent="0.2">
      <c r="B1524" s="1195"/>
      <c r="C1524" s="193"/>
      <c r="D1524" s="193"/>
      <c r="E1524" s="193"/>
      <c r="F1524" s="193" t="s">
        <v>344</v>
      </c>
      <c r="G1524" s="193" t="s">
        <v>699</v>
      </c>
      <c r="H1524" s="193"/>
      <c r="I1524" s="378">
        <f>VLOOKUP(C1522,UsoSuelo!$CB$1275:$CN$1341,2,FALSE)</f>
        <v>0</v>
      </c>
      <c r="J1524" s="1193">
        <f>VLOOKUP(C1522,UsoSuelo!$CB$1275:$CN$1341,3,FALSE)</f>
        <v>0</v>
      </c>
      <c r="K1524" s="1193">
        <f>VLOOKUP(C1522,UsoSuelo!$CB$1275:$CN$1341,4,FALSE)</f>
        <v>0</v>
      </c>
      <c r="L1524" s="1193">
        <f>VLOOKUP(C1522,UsoSuelo!$CB$1275:$CN$1341,5,FALSE)</f>
        <v>0</v>
      </c>
      <c r="M1524" s="1193">
        <f>VLOOKUP(C1522,UsoSuelo!$CB$1275:$CN$1341,6,FALSE)</f>
        <v>0</v>
      </c>
      <c r="N1524" s="1193">
        <f>VLOOKUP(C1522,UsoSuelo!$CB$1275:$CN$1341,7,FALSE)</f>
        <v>0</v>
      </c>
      <c r="O1524" s="1193">
        <f>VLOOKUP(C1522,UsoSuelo!$CB$1275:$CN$1341,8,FALSE)</f>
        <v>0</v>
      </c>
      <c r="P1524" s="1193">
        <f>VLOOKUP(C1522,UsoSuelo!$CB$1275:$CN$1341,9,FALSE)</f>
        <v>0</v>
      </c>
      <c r="Q1524" s="1193">
        <f>VLOOKUP(C1522,UsoSuelo!$CB$1275:$CN$1341,10,FALSE)</f>
        <v>0</v>
      </c>
      <c r="R1524" s="1193">
        <f>VLOOKUP(C1522,UsoSuelo!$CB$1275:$CN$1341,11,FALSE)</f>
        <v>0</v>
      </c>
      <c r="S1524" s="1193">
        <f>VLOOKUP(C1522,UsoSuelo!$CB$1275:$CN$1341,12,FALSE)</f>
        <v>0</v>
      </c>
      <c r="T1524" s="1183">
        <f>VLOOKUP(C1522,UsoSuelo!$CB$1275:$CN$1341,13,FALSE)</f>
        <v>0</v>
      </c>
      <c r="U1524" s="1195"/>
      <c r="Y1524" s="1195"/>
      <c r="Z1524" s="193"/>
      <c r="AA1524" s="193"/>
      <c r="AB1524" s="193"/>
      <c r="AC1524" s="193" t="s">
        <v>247</v>
      </c>
      <c r="AD1524" s="193" t="s">
        <v>699</v>
      </c>
      <c r="AE1524" s="193"/>
      <c r="AF1524" s="378">
        <f>VLOOKUP($Z1522,UsoSuelo!$DB$1201:$DN$1267,2,FALSE)</f>
        <v>0</v>
      </c>
      <c r="AG1524" s="1193">
        <f>VLOOKUP($Z1522,UsoSuelo!$DB$1201:$DN$1267,3,FALSE)</f>
        <v>0</v>
      </c>
      <c r="AH1524" s="1193">
        <f>VLOOKUP($Z1522,UsoSuelo!$DB$1201:$DN$1267,4,FALSE)</f>
        <v>0</v>
      </c>
      <c r="AI1524" s="1193">
        <f>VLOOKUP($Z1522,UsoSuelo!$DB$1201:$DN$1267,5,FALSE)</f>
        <v>0</v>
      </c>
      <c r="AJ1524" s="1193">
        <f>VLOOKUP($Z1522,UsoSuelo!$DB$1201:$DN$1267,6,FALSE)</f>
        <v>0</v>
      </c>
      <c r="AK1524" s="1193">
        <f>VLOOKUP($Z1522,UsoSuelo!$DB$1201:$DN$1267,7,FALSE)</f>
        <v>0</v>
      </c>
      <c r="AL1524" s="1193">
        <f>VLOOKUP($Z1522,UsoSuelo!$DB$1201:$DN$1267,8,FALSE)</f>
        <v>0</v>
      </c>
      <c r="AM1524" s="1193">
        <f>VLOOKUP($Z1522,UsoSuelo!$DB$1201:$DN$1267,9,FALSE)</f>
        <v>0</v>
      </c>
      <c r="AN1524" s="1193">
        <f>VLOOKUP($Z1522,UsoSuelo!$DB$1201:$DN$1267,10,FALSE)</f>
        <v>0</v>
      </c>
      <c r="AO1524" s="1193">
        <f>VLOOKUP($Z1522,UsoSuelo!$DB$1201:$DN$1267,11,FALSE)</f>
        <v>0</v>
      </c>
      <c r="AP1524" s="1193">
        <f>VLOOKUP($Z1522,UsoSuelo!$DB$1201:$DN$1267,12,FALSE)</f>
        <v>0</v>
      </c>
      <c r="AQ1524" s="1183">
        <f>VLOOKUP($Z1522,UsoSuelo!$DB$1201:$DN$1267,13,FALSE)</f>
        <v>0</v>
      </c>
      <c r="AR1524" s="1195"/>
    </row>
    <row r="1525" spans="2:44" ht="13.75" hidden="1" customHeight="1" x14ac:dyDescent="0.2">
      <c r="B1525" s="1195"/>
      <c r="C1525" s="193"/>
      <c r="D1525" s="193"/>
      <c r="E1525" s="193"/>
      <c r="F1525" s="193" t="s">
        <v>230</v>
      </c>
      <c r="G1525" s="193"/>
      <c r="H1525" s="193"/>
      <c r="I1525" s="378">
        <f t="shared" ref="I1525:T1525" si="818">+I247</f>
        <v>0</v>
      </c>
      <c r="J1525" s="1193">
        <f t="shared" si="818"/>
        <v>0</v>
      </c>
      <c r="K1525" s="1193">
        <f t="shared" si="818"/>
        <v>0</v>
      </c>
      <c r="L1525" s="1193">
        <f t="shared" si="818"/>
        <v>0</v>
      </c>
      <c r="M1525" s="1193">
        <f t="shared" si="818"/>
        <v>0</v>
      </c>
      <c r="N1525" s="1193">
        <f t="shared" si="818"/>
        <v>0</v>
      </c>
      <c r="O1525" s="1193">
        <f t="shared" si="818"/>
        <v>0</v>
      </c>
      <c r="P1525" s="1193">
        <f t="shared" si="818"/>
        <v>0</v>
      </c>
      <c r="Q1525" s="1193">
        <f t="shared" si="818"/>
        <v>0</v>
      </c>
      <c r="R1525" s="1193">
        <f t="shared" si="818"/>
        <v>0</v>
      </c>
      <c r="S1525" s="1193">
        <f t="shared" si="818"/>
        <v>0</v>
      </c>
      <c r="T1525" s="1183">
        <f t="shared" si="818"/>
        <v>0</v>
      </c>
      <c r="U1525" s="1195"/>
      <c r="Y1525" s="1195"/>
      <c r="Z1525" s="193"/>
      <c r="AA1525" s="193"/>
      <c r="AB1525" s="193"/>
      <c r="AC1525" s="193" t="s">
        <v>230</v>
      </c>
      <c r="AD1525" s="193"/>
      <c r="AE1525" s="193"/>
      <c r="AF1525" s="378">
        <f t="shared" ref="AF1525:AQ1525" si="819">+AF247</f>
        <v>0</v>
      </c>
      <c r="AG1525" s="1193">
        <f t="shared" si="819"/>
        <v>0</v>
      </c>
      <c r="AH1525" s="1193">
        <f t="shared" si="819"/>
        <v>0</v>
      </c>
      <c r="AI1525" s="1193">
        <f t="shared" si="819"/>
        <v>0</v>
      </c>
      <c r="AJ1525" s="1193">
        <f t="shared" si="819"/>
        <v>0</v>
      </c>
      <c r="AK1525" s="1193">
        <f t="shared" si="819"/>
        <v>0</v>
      </c>
      <c r="AL1525" s="1193">
        <f t="shared" si="819"/>
        <v>0</v>
      </c>
      <c r="AM1525" s="1193">
        <f t="shared" si="819"/>
        <v>0</v>
      </c>
      <c r="AN1525" s="1193">
        <f t="shared" si="819"/>
        <v>0</v>
      </c>
      <c r="AO1525" s="1193">
        <f t="shared" si="819"/>
        <v>0</v>
      </c>
      <c r="AP1525" s="1193">
        <f t="shared" si="819"/>
        <v>0</v>
      </c>
      <c r="AQ1525" s="1183">
        <f t="shared" si="819"/>
        <v>0</v>
      </c>
      <c r="AR1525" s="1195"/>
    </row>
    <row r="1526" spans="2:44" ht="13.75" hidden="1" customHeight="1" x14ac:dyDescent="0.2">
      <c r="B1526" s="1196"/>
      <c r="C1526" s="374"/>
      <c r="D1526" s="374"/>
      <c r="E1526" s="374"/>
      <c r="F1526" s="374" t="s">
        <v>810</v>
      </c>
      <c r="G1526" s="374"/>
      <c r="H1526" s="374"/>
      <c r="I1526" s="377">
        <f t="shared" ref="I1526:T1526" si="820">+IF($B1522="Agrícola",0,I1525)</f>
        <v>0</v>
      </c>
      <c r="J1526" s="1200">
        <f t="shared" si="820"/>
        <v>0</v>
      </c>
      <c r="K1526" s="1200">
        <f t="shared" si="820"/>
        <v>0</v>
      </c>
      <c r="L1526" s="1200">
        <f t="shared" si="820"/>
        <v>0</v>
      </c>
      <c r="M1526" s="1200">
        <f t="shared" si="820"/>
        <v>0</v>
      </c>
      <c r="N1526" s="1200">
        <f t="shared" si="820"/>
        <v>0</v>
      </c>
      <c r="O1526" s="1200">
        <f t="shared" si="820"/>
        <v>0</v>
      </c>
      <c r="P1526" s="1200">
        <f t="shared" si="820"/>
        <v>0</v>
      </c>
      <c r="Q1526" s="1200">
        <f t="shared" si="820"/>
        <v>0</v>
      </c>
      <c r="R1526" s="1200">
        <f t="shared" si="820"/>
        <v>0</v>
      </c>
      <c r="S1526" s="1200">
        <f t="shared" si="820"/>
        <v>0</v>
      </c>
      <c r="T1526" s="1201">
        <f t="shared" si="820"/>
        <v>0</v>
      </c>
      <c r="U1526" s="1195"/>
      <c r="Y1526" s="1196"/>
      <c r="Z1526" s="374"/>
      <c r="AA1526" s="374"/>
      <c r="AB1526" s="374"/>
      <c r="AC1526" s="374" t="s">
        <v>811</v>
      </c>
      <c r="AD1526" s="374"/>
      <c r="AE1526" s="374"/>
      <c r="AF1526" s="377">
        <f t="shared" ref="AF1526:AQ1526" si="821">+IF($Y1522="Agrícola",0,AF1525)</f>
        <v>0</v>
      </c>
      <c r="AG1526" s="1200">
        <f t="shared" si="821"/>
        <v>0</v>
      </c>
      <c r="AH1526" s="1200">
        <f t="shared" si="821"/>
        <v>0</v>
      </c>
      <c r="AI1526" s="1200">
        <f t="shared" si="821"/>
        <v>0</v>
      </c>
      <c r="AJ1526" s="1200">
        <f t="shared" si="821"/>
        <v>0</v>
      </c>
      <c r="AK1526" s="1200">
        <f t="shared" si="821"/>
        <v>0</v>
      </c>
      <c r="AL1526" s="1200">
        <f t="shared" si="821"/>
        <v>0</v>
      </c>
      <c r="AM1526" s="1200">
        <f t="shared" si="821"/>
        <v>0</v>
      </c>
      <c r="AN1526" s="1200">
        <f t="shared" si="821"/>
        <v>0</v>
      </c>
      <c r="AO1526" s="1200">
        <f t="shared" si="821"/>
        <v>0</v>
      </c>
      <c r="AP1526" s="1200">
        <f t="shared" si="821"/>
        <v>0</v>
      </c>
      <c r="AQ1526" s="1201">
        <f t="shared" si="821"/>
        <v>0</v>
      </c>
      <c r="AR1526" s="1195"/>
    </row>
    <row r="1527" spans="2:44" ht="13.75" hidden="1" customHeight="1" x14ac:dyDescent="0.2">
      <c r="B1527" s="1195"/>
      <c r="C1527" s="193"/>
      <c r="D1527" s="193"/>
      <c r="E1527" s="193"/>
      <c r="F1527" s="193" t="s">
        <v>695</v>
      </c>
      <c r="G1527" s="193"/>
      <c r="H1527" s="193"/>
      <c r="I1527" s="1202">
        <f t="shared" ref="I1527:T1527" si="822">IFERROR(I1523/I1526,0)</f>
        <v>0</v>
      </c>
      <c r="J1527" s="1203">
        <f t="shared" si="822"/>
        <v>0</v>
      </c>
      <c r="K1527" s="1203">
        <f t="shared" si="822"/>
        <v>0</v>
      </c>
      <c r="L1527" s="1203">
        <f t="shared" si="822"/>
        <v>0</v>
      </c>
      <c r="M1527" s="1203">
        <f t="shared" si="822"/>
        <v>0</v>
      </c>
      <c r="N1527" s="1203">
        <f t="shared" si="822"/>
        <v>0</v>
      </c>
      <c r="O1527" s="1203">
        <f t="shared" si="822"/>
        <v>0</v>
      </c>
      <c r="P1527" s="1203">
        <f t="shared" si="822"/>
        <v>0</v>
      </c>
      <c r="Q1527" s="1203">
        <f t="shared" si="822"/>
        <v>0</v>
      </c>
      <c r="R1527" s="1203">
        <f t="shared" si="822"/>
        <v>0</v>
      </c>
      <c r="S1527" s="1203">
        <f t="shared" si="822"/>
        <v>0</v>
      </c>
      <c r="T1527" s="1204">
        <f t="shared" si="822"/>
        <v>0</v>
      </c>
      <c r="U1527" s="1582"/>
      <c r="Y1527" s="1195"/>
      <c r="Z1527" s="193"/>
      <c r="AA1527" s="193"/>
      <c r="AB1527" s="193"/>
      <c r="AC1527" s="193" t="s">
        <v>695</v>
      </c>
      <c r="AD1527" s="193"/>
      <c r="AE1527" s="193"/>
      <c r="AF1527" s="1202">
        <f t="shared" ref="AF1527:AQ1527" si="823">IFERROR(AF1523/AF1526,0)</f>
        <v>0</v>
      </c>
      <c r="AG1527" s="1203">
        <f t="shared" si="823"/>
        <v>0</v>
      </c>
      <c r="AH1527" s="1203">
        <f t="shared" si="823"/>
        <v>0</v>
      </c>
      <c r="AI1527" s="1203">
        <f t="shared" si="823"/>
        <v>0</v>
      </c>
      <c r="AJ1527" s="1203">
        <f t="shared" si="823"/>
        <v>0</v>
      </c>
      <c r="AK1527" s="1203">
        <f t="shared" si="823"/>
        <v>0</v>
      </c>
      <c r="AL1527" s="1203">
        <f t="shared" si="823"/>
        <v>0</v>
      </c>
      <c r="AM1527" s="1203">
        <f t="shared" si="823"/>
        <v>0</v>
      </c>
      <c r="AN1527" s="1203">
        <f t="shared" si="823"/>
        <v>0</v>
      </c>
      <c r="AO1527" s="1203">
        <f t="shared" si="823"/>
        <v>0</v>
      </c>
      <c r="AP1527" s="1203">
        <f t="shared" si="823"/>
        <v>0</v>
      </c>
      <c r="AQ1527" s="1204">
        <f t="shared" si="823"/>
        <v>0</v>
      </c>
      <c r="AR1527" s="1582"/>
    </row>
    <row r="1528" spans="2:44" ht="13.75" hidden="1" customHeight="1" x14ac:dyDescent="0.2">
      <c r="B1528" s="1195"/>
      <c r="C1528" s="193"/>
      <c r="D1528" s="193"/>
      <c r="E1528" s="193"/>
      <c r="F1528" s="193" t="s">
        <v>696</v>
      </c>
      <c r="G1528" s="193"/>
      <c r="H1528" s="193"/>
      <c r="I1528" s="1202">
        <f>IFERROR(I1524/I1526,0)</f>
        <v>0</v>
      </c>
      <c r="J1528" s="1203">
        <f t="shared" ref="J1528:T1528" si="824">IFERROR(J1524/J1526,0)</f>
        <v>0</v>
      </c>
      <c r="K1528" s="1203">
        <f t="shared" si="824"/>
        <v>0</v>
      </c>
      <c r="L1528" s="1203">
        <f t="shared" si="824"/>
        <v>0</v>
      </c>
      <c r="M1528" s="1203">
        <f t="shared" si="824"/>
        <v>0</v>
      </c>
      <c r="N1528" s="1203">
        <f t="shared" si="824"/>
        <v>0</v>
      </c>
      <c r="O1528" s="1203">
        <f t="shared" si="824"/>
        <v>0</v>
      </c>
      <c r="P1528" s="1203">
        <f t="shared" si="824"/>
        <v>0</v>
      </c>
      <c r="Q1528" s="1203">
        <f t="shared" si="824"/>
        <v>0</v>
      </c>
      <c r="R1528" s="1203">
        <f t="shared" si="824"/>
        <v>0</v>
      </c>
      <c r="S1528" s="1203">
        <f t="shared" si="824"/>
        <v>0</v>
      </c>
      <c r="T1528" s="1204">
        <f t="shared" si="824"/>
        <v>0</v>
      </c>
      <c r="U1528" s="1582"/>
      <c r="Y1528" s="1195"/>
      <c r="Z1528" s="193"/>
      <c r="AA1528" s="193"/>
      <c r="AB1528" s="193"/>
      <c r="AC1528" s="193" t="s">
        <v>696</v>
      </c>
      <c r="AD1528" s="193"/>
      <c r="AE1528" s="193"/>
      <c r="AF1528" s="1202">
        <f>IFERROR(AF1524/AF1526,0)</f>
        <v>0</v>
      </c>
      <c r="AG1528" s="1203">
        <f t="shared" ref="AG1528:AQ1528" si="825">IFERROR(AG1524/AG1526,0)</f>
        <v>0</v>
      </c>
      <c r="AH1528" s="1203">
        <f t="shared" si="825"/>
        <v>0</v>
      </c>
      <c r="AI1528" s="1203">
        <f t="shared" si="825"/>
        <v>0</v>
      </c>
      <c r="AJ1528" s="1203">
        <f t="shared" si="825"/>
        <v>0</v>
      </c>
      <c r="AK1528" s="1203">
        <f t="shared" si="825"/>
        <v>0</v>
      </c>
      <c r="AL1528" s="1203">
        <f t="shared" si="825"/>
        <v>0</v>
      </c>
      <c r="AM1528" s="1203">
        <f t="shared" si="825"/>
        <v>0</v>
      </c>
      <c r="AN1528" s="1203">
        <f t="shared" si="825"/>
        <v>0</v>
      </c>
      <c r="AO1528" s="1203">
        <f t="shared" si="825"/>
        <v>0</v>
      </c>
      <c r="AP1528" s="1203">
        <f t="shared" si="825"/>
        <v>0</v>
      </c>
      <c r="AQ1528" s="1204">
        <f t="shared" si="825"/>
        <v>0</v>
      </c>
      <c r="AR1528" s="1582"/>
    </row>
    <row r="1529" spans="2:44" ht="13.75" hidden="1" customHeight="1" x14ac:dyDescent="0.2">
      <c r="B1529" s="1196" t="s">
        <v>803</v>
      </c>
      <c r="C1529" s="374"/>
      <c r="D1529" s="374"/>
      <c r="E1529" s="374"/>
      <c r="F1529" s="374" t="s">
        <v>697</v>
      </c>
      <c r="G1529" s="374" t="s">
        <v>694</v>
      </c>
      <c r="H1529" s="193"/>
      <c r="I1529" s="377">
        <f t="shared" ref="I1529:T1529" si="826">+SUMPRODUCT(I264:I281,$F264:$F281)</f>
        <v>0</v>
      </c>
      <c r="J1529" s="1200">
        <f t="shared" si="826"/>
        <v>0</v>
      </c>
      <c r="K1529" s="1200">
        <f t="shared" si="826"/>
        <v>0</v>
      </c>
      <c r="L1529" s="1200">
        <f t="shared" si="826"/>
        <v>0</v>
      </c>
      <c r="M1529" s="1200">
        <f t="shared" si="826"/>
        <v>0</v>
      </c>
      <c r="N1529" s="1200">
        <f t="shared" si="826"/>
        <v>0</v>
      </c>
      <c r="O1529" s="1200">
        <f t="shared" si="826"/>
        <v>0</v>
      </c>
      <c r="P1529" s="1200">
        <f t="shared" si="826"/>
        <v>0</v>
      </c>
      <c r="Q1529" s="1200">
        <f t="shared" si="826"/>
        <v>0</v>
      </c>
      <c r="R1529" s="1200">
        <f t="shared" si="826"/>
        <v>0</v>
      </c>
      <c r="S1529" s="1200">
        <f t="shared" si="826"/>
        <v>0</v>
      </c>
      <c r="T1529" s="1201">
        <f t="shared" si="826"/>
        <v>0</v>
      </c>
      <c r="U1529" s="1195"/>
      <c r="Y1529" s="1196" t="s">
        <v>803</v>
      </c>
      <c r="Z1529" s="374"/>
      <c r="AA1529" s="374"/>
      <c r="AB1529" s="374"/>
      <c r="AC1529" s="374" t="s">
        <v>697</v>
      </c>
      <c r="AD1529" s="374" t="s">
        <v>694</v>
      </c>
      <c r="AE1529" s="193"/>
      <c r="AF1529" s="377">
        <f t="shared" ref="AF1529:AQ1529" si="827">+SUMPRODUCT(AF264:AF281,$AC264:$AC281)</f>
        <v>0</v>
      </c>
      <c r="AG1529" s="1200">
        <f t="shared" si="827"/>
        <v>0</v>
      </c>
      <c r="AH1529" s="1200">
        <f t="shared" si="827"/>
        <v>0</v>
      </c>
      <c r="AI1529" s="1200">
        <f t="shared" si="827"/>
        <v>0</v>
      </c>
      <c r="AJ1529" s="1200">
        <f t="shared" si="827"/>
        <v>0</v>
      </c>
      <c r="AK1529" s="1200">
        <f t="shared" si="827"/>
        <v>0</v>
      </c>
      <c r="AL1529" s="1200">
        <f t="shared" si="827"/>
        <v>0</v>
      </c>
      <c r="AM1529" s="1200">
        <f t="shared" si="827"/>
        <v>0</v>
      </c>
      <c r="AN1529" s="1200">
        <f t="shared" si="827"/>
        <v>0</v>
      </c>
      <c r="AO1529" s="1200">
        <f t="shared" si="827"/>
        <v>0</v>
      </c>
      <c r="AP1529" s="1200">
        <f t="shared" si="827"/>
        <v>0</v>
      </c>
      <c r="AQ1529" s="1201">
        <f t="shared" si="827"/>
        <v>0</v>
      </c>
      <c r="AR1529" s="1195"/>
    </row>
    <row r="1530" spans="2:44" ht="13.75" hidden="1" customHeight="1" x14ac:dyDescent="0.2">
      <c r="B1530" s="1195"/>
      <c r="C1530" s="193"/>
      <c r="D1530" s="193"/>
      <c r="E1530" s="193"/>
      <c r="F1530" s="193" t="s">
        <v>697</v>
      </c>
      <c r="G1530" s="193" t="s">
        <v>698</v>
      </c>
      <c r="H1530" s="193"/>
      <c r="I1530" s="378">
        <f>+I1529*I1527</f>
        <v>0</v>
      </c>
      <c r="J1530" s="1193">
        <f t="shared" ref="J1530:T1530" si="828">+J1529*J1527</f>
        <v>0</v>
      </c>
      <c r="K1530" s="1193">
        <f t="shared" si="828"/>
        <v>0</v>
      </c>
      <c r="L1530" s="1193">
        <f t="shared" si="828"/>
        <v>0</v>
      </c>
      <c r="M1530" s="1193">
        <f t="shared" si="828"/>
        <v>0</v>
      </c>
      <c r="N1530" s="1193">
        <f t="shared" si="828"/>
        <v>0</v>
      </c>
      <c r="O1530" s="1193">
        <f t="shared" si="828"/>
        <v>0</v>
      </c>
      <c r="P1530" s="1193">
        <f t="shared" si="828"/>
        <v>0</v>
      </c>
      <c r="Q1530" s="1193">
        <f t="shared" si="828"/>
        <v>0</v>
      </c>
      <c r="R1530" s="1193">
        <f t="shared" si="828"/>
        <v>0</v>
      </c>
      <c r="S1530" s="1193">
        <f t="shared" si="828"/>
        <v>0</v>
      </c>
      <c r="T1530" s="1183">
        <f t="shared" si="828"/>
        <v>0</v>
      </c>
      <c r="U1530" s="1195"/>
      <c r="Y1530" s="1195"/>
      <c r="Z1530" s="193"/>
      <c r="AA1530" s="193"/>
      <c r="AB1530" s="193"/>
      <c r="AC1530" s="193" t="s">
        <v>697</v>
      </c>
      <c r="AD1530" s="193" t="s">
        <v>698</v>
      </c>
      <c r="AE1530" s="193"/>
      <c r="AF1530" s="378">
        <f>+AF1529*AF1527</f>
        <v>0</v>
      </c>
      <c r="AG1530" s="1193">
        <f t="shared" ref="AG1530:AQ1530" si="829">+AG1529*AG1527</f>
        <v>0</v>
      </c>
      <c r="AH1530" s="1193">
        <f t="shared" si="829"/>
        <v>0</v>
      </c>
      <c r="AI1530" s="1193">
        <f t="shared" si="829"/>
        <v>0</v>
      </c>
      <c r="AJ1530" s="1193">
        <f t="shared" si="829"/>
        <v>0</v>
      </c>
      <c r="AK1530" s="1193">
        <f t="shared" si="829"/>
        <v>0</v>
      </c>
      <c r="AL1530" s="1193">
        <f t="shared" si="829"/>
        <v>0</v>
      </c>
      <c r="AM1530" s="1193">
        <f t="shared" si="829"/>
        <v>0</v>
      </c>
      <c r="AN1530" s="1193">
        <f t="shared" si="829"/>
        <v>0</v>
      </c>
      <c r="AO1530" s="1193">
        <f t="shared" si="829"/>
        <v>0</v>
      </c>
      <c r="AP1530" s="1193">
        <f t="shared" si="829"/>
        <v>0</v>
      </c>
      <c r="AQ1530" s="1183">
        <f t="shared" si="829"/>
        <v>0</v>
      </c>
      <c r="AR1530" s="1195"/>
    </row>
    <row r="1531" spans="2:44" ht="13.75" hidden="1" customHeight="1" x14ac:dyDescent="0.2">
      <c r="B1531" s="1197"/>
      <c r="C1531" s="379"/>
      <c r="D1531" s="379"/>
      <c r="E1531" s="379"/>
      <c r="F1531" s="379" t="s">
        <v>30</v>
      </c>
      <c r="G1531" s="379" t="s">
        <v>699</v>
      </c>
      <c r="H1531" s="193"/>
      <c r="I1531" s="380">
        <f>+I1529*I1528</f>
        <v>0</v>
      </c>
      <c r="J1531" s="1205">
        <f t="shared" ref="J1531:T1531" si="830">+J1529*J1528</f>
        <v>0</v>
      </c>
      <c r="K1531" s="1205">
        <f t="shared" si="830"/>
        <v>0</v>
      </c>
      <c r="L1531" s="1205">
        <f t="shared" si="830"/>
        <v>0</v>
      </c>
      <c r="M1531" s="1205">
        <f t="shared" si="830"/>
        <v>0</v>
      </c>
      <c r="N1531" s="1205">
        <f t="shared" si="830"/>
        <v>0</v>
      </c>
      <c r="O1531" s="1205">
        <f t="shared" si="830"/>
        <v>0</v>
      </c>
      <c r="P1531" s="1205">
        <f t="shared" si="830"/>
        <v>0</v>
      </c>
      <c r="Q1531" s="1205">
        <f t="shared" si="830"/>
        <v>0</v>
      </c>
      <c r="R1531" s="1205">
        <f t="shared" si="830"/>
        <v>0</v>
      </c>
      <c r="S1531" s="1205">
        <f t="shared" si="830"/>
        <v>0</v>
      </c>
      <c r="T1531" s="1190">
        <f t="shared" si="830"/>
        <v>0</v>
      </c>
      <c r="U1531" s="1195"/>
      <c r="Y1531" s="1197"/>
      <c r="Z1531" s="379"/>
      <c r="AA1531" s="379"/>
      <c r="AB1531" s="379"/>
      <c r="AC1531" s="379" t="s">
        <v>30</v>
      </c>
      <c r="AD1531" s="379" t="s">
        <v>699</v>
      </c>
      <c r="AE1531" s="193"/>
      <c r="AF1531" s="380">
        <f>+AF1529*AF1528</f>
        <v>0</v>
      </c>
      <c r="AG1531" s="1205">
        <f t="shared" ref="AG1531:AQ1531" si="831">+AG1529*AG1528</f>
        <v>0</v>
      </c>
      <c r="AH1531" s="1205">
        <f t="shared" si="831"/>
        <v>0</v>
      </c>
      <c r="AI1531" s="1205">
        <f t="shared" si="831"/>
        <v>0</v>
      </c>
      <c r="AJ1531" s="1205">
        <f t="shared" si="831"/>
        <v>0</v>
      </c>
      <c r="AK1531" s="1205">
        <f t="shared" si="831"/>
        <v>0</v>
      </c>
      <c r="AL1531" s="1205">
        <f t="shared" si="831"/>
        <v>0</v>
      </c>
      <c r="AM1531" s="1205">
        <f t="shared" si="831"/>
        <v>0</v>
      </c>
      <c r="AN1531" s="1205">
        <f t="shared" si="831"/>
        <v>0</v>
      </c>
      <c r="AO1531" s="1205">
        <f t="shared" si="831"/>
        <v>0</v>
      </c>
      <c r="AP1531" s="1205">
        <f t="shared" si="831"/>
        <v>0</v>
      </c>
      <c r="AQ1531" s="1190">
        <f t="shared" si="831"/>
        <v>0</v>
      </c>
      <c r="AR1531" s="1195"/>
    </row>
    <row r="1532" spans="2:44" ht="13.75" hidden="1" customHeight="1" x14ac:dyDescent="0.2">
      <c r="B1532" s="1196" t="s">
        <v>447</v>
      </c>
      <c r="C1532" s="374"/>
      <c r="D1532" s="374"/>
      <c r="E1532" s="374"/>
      <c r="F1532" s="374" t="s">
        <v>697</v>
      </c>
      <c r="G1532" s="374" t="s">
        <v>694</v>
      </c>
      <c r="H1532" s="193"/>
      <c r="I1532" s="377">
        <f t="shared" ref="I1532:T1532" si="832">+SUMPRODUCT(I257:I261,$F257:$F261)</f>
        <v>0</v>
      </c>
      <c r="J1532" s="1200">
        <f t="shared" si="832"/>
        <v>0</v>
      </c>
      <c r="K1532" s="1200">
        <f t="shared" si="832"/>
        <v>0</v>
      </c>
      <c r="L1532" s="1200">
        <f t="shared" si="832"/>
        <v>0</v>
      </c>
      <c r="M1532" s="1200">
        <f t="shared" si="832"/>
        <v>0</v>
      </c>
      <c r="N1532" s="1200">
        <f t="shared" si="832"/>
        <v>0</v>
      </c>
      <c r="O1532" s="1200">
        <f t="shared" si="832"/>
        <v>0</v>
      </c>
      <c r="P1532" s="1200">
        <f t="shared" si="832"/>
        <v>0</v>
      </c>
      <c r="Q1532" s="1200">
        <f t="shared" si="832"/>
        <v>0</v>
      </c>
      <c r="R1532" s="1200">
        <f t="shared" si="832"/>
        <v>0</v>
      </c>
      <c r="S1532" s="1200">
        <f t="shared" si="832"/>
        <v>0</v>
      </c>
      <c r="T1532" s="1201">
        <f t="shared" si="832"/>
        <v>0</v>
      </c>
      <c r="U1532" s="1195"/>
      <c r="Y1532" s="1196" t="s">
        <v>447</v>
      </c>
      <c r="Z1532" s="374"/>
      <c r="AA1532" s="374"/>
      <c r="AB1532" s="374"/>
      <c r="AC1532" s="374" t="s">
        <v>697</v>
      </c>
      <c r="AD1532" s="374" t="s">
        <v>694</v>
      </c>
      <c r="AE1532" s="193"/>
      <c r="AF1532" s="377">
        <f t="shared" ref="AF1532:AQ1532" si="833">+SUMPRODUCT(AF257:AF261,$AC257:$AC261)</f>
        <v>0</v>
      </c>
      <c r="AG1532" s="1200">
        <f t="shared" si="833"/>
        <v>0</v>
      </c>
      <c r="AH1532" s="1200">
        <f t="shared" si="833"/>
        <v>0</v>
      </c>
      <c r="AI1532" s="1200">
        <f t="shared" si="833"/>
        <v>0</v>
      </c>
      <c r="AJ1532" s="1200">
        <f t="shared" si="833"/>
        <v>0</v>
      </c>
      <c r="AK1532" s="1200">
        <f t="shared" si="833"/>
        <v>0</v>
      </c>
      <c r="AL1532" s="1200">
        <f t="shared" si="833"/>
        <v>0</v>
      </c>
      <c r="AM1532" s="1200">
        <f t="shared" si="833"/>
        <v>0</v>
      </c>
      <c r="AN1532" s="1200">
        <f t="shared" si="833"/>
        <v>0</v>
      </c>
      <c r="AO1532" s="1200">
        <f t="shared" si="833"/>
        <v>0</v>
      </c>
      <c r="AP1532" s="1200">
        <f t="shared" si="833"/>
        <v>0</v>
      </c>
      <c r="AQ1532" s="1201">
        <f t="shared" si="833"/>
        <v>0</v>
      </c>
      <c r="AR1532" s="1195"/>
    </row>
    <row r="1533" spans="2:44" ht="13.75" hidden="1" customHeight="1" x14ac:dyDescent="0.2">
      <c r="B1533" s="1195"/>
      <c r="C1533" s="193"/>
      <c r="D1533" s="193"/>
      <c r="E1533" s="193"/>
      <c r="F1533" s="193" t="s">
        <v>697</v>
      </c>
      <c r="G1533" s="193" t="s">
        <v>698</v>
      </c>
      <c r="H1533" s="193"/>
      <c r="I1533" s="378">
        <f t="shared" ref="I1533:T1533" si="834">+I1532*I1527</f>
        <v>0</v>
      </c>
      <c r="J1533" s="1193">
        <f t="shared" si="834"/>
        <v>0</v>
      </c>
      <c r="K1533" s="1193">
        <f t="shared" si="834"/>
        <v>0</v>
      </c>
      <c r="L1533" s="1193">
        <f t="shared" si="834"/>
        <v>0</v>
      </c>
      <c r="M1533" s="1193">
        <f t="shared" si="834"/>
        <v>0</v>
      </c>
      <c r="N1533" s="1193">
        <f t="shared" si="834"/>
        <v>0</v>
      </c>
      <c r="O1533" s="1193">
        <f t="shared" si="834"/>
        <v>0</v>
      </c>
      <c r="P1533" s="1193">
        <f t="shared" si="834"/>
        <v>0</v>
      </c>
      <c r="Q1533" s="1193">
        <f t="shared" si="834"/>
        <v>0</v>
      </c>
      <c r="R1533" s="1193">
        <f t="shared" si="834"/>
        <v>0</v>
      </c>
      <c r="S1533" s="1193">
        <f t="shared" si="834"/>
        <v>0</v>
      </c>
      <c r="T1533" s="1183">
        <f t="shared" si="834"/>
        <v>0</v>
      </c>
      <c r="U1533" s="1195"/>
      <c r="Y1533" s="1195"/>
      <c r="Z1533" s="193"/>
      <c r="AA1533" s="193"/>
      <c r="AB1533" s="193"/>
      <c r="AC1533" s="193" t="s">
        <v>697</v>
      </c>
      <c r="AD1533" s="193" t="s">
        <v>698</v>
      </c>
      <c r="AE1533" s="193"/>
      <c r="AF1533" s="378">
        <f t="shared" ref="AF1533:AQ1533" si="835">+AF1532*AF1527</f>
        <v>0</v>
      </c>
      <c r="AG1533" s="1193">
        <f t="shared" si="835"/>
        <v>0</v>
      </c>
      <c r="AH1533" s="1193">
        <f t="shared" si="835"/>
        <v>0</v>
      </c>
      <c r="AI1533" s="1193">
        <f t="shared" si="835"/>
        <v>0</v>
      </c>
      <c r="AJ1533" s="1193">
        <f t="shared" si="835"/>
        <v>0</v>
      </c>
      <c r="AK1533" s="1193">
        <f t="shared" si="835"/>
        <v>0</v>
      </c>
      <c r="AL1533" s="1193">
        <f t="shared" si="835"/>
        <v>0</v>
      </c>
      <c r="AM1533" s="1193">
        <f t="shared" si="835"/>
        <v>0</v>
      </c>
      <c r="AN1533" s="1193">
        <f t="shared" si="835"/>
        <v>0</v>
      </c>
      <c r="AO1533" s="1193">
        <f t="shared" si="835"/>
        <v>0</v>
      </c>
      <c r="AP1533" s="1193">
        <f t="shared" si="835"/>
        <v>0</v>
      </c>
      <c r="AQ1533" s="1183">
        <f t="shared" si="835"/>
        <v>0</v>
      </c>
      <c r="AR1533" s="1195"/>
    </row>
    <row r="1534" spans="2:44" ht="14.4" hidden="1" customHeight="1" thickBot="1" x14ac:dyDescent="0.25">
      <c r="B1534" s="1198"/>
      <c r="C1534" s="1199"/>
      <c r="D1534" s="1199"/>
      <c r="E1534" s="1199"/>
      <c r="F1534" s="1199" t="s">
        <v>30</v>
      </c>
      <c r="G1534" s="1199" t="s">
        <v>699</v>
      </c>
      <c r="H1534" s="1199"/>
      <c r="I1534" s="1206">
        <f>+I1532*I1528</f>
        <v>0</v>
      </c>
      <c r="J1534" s="1207">
        <f t="shared" ref="J1534:T1534" si="836">+J1532*J1528</f>
        <v>0</v>
      </c>
      <c r="K1534" s="1207">
        <f t="shared" si="836"/>
        <v>0</v>
      </c>
      <c r="L1534" s="1207">
        <f t="shared" si="836"/>
        <v>0</v>
      </c>
      <c r="M1534" s="1207">
        <f t="shared" si="836"/>
        <v>0</v>
      </c>
      <c r="N1534" s="1207">
        <f t="shared" si="836"/>
        <v>0</v>
      </c>
      <c r="O1534" s="1207">
        <f t="shared" si="836"/>
        <v>0</v>
      </c>
      <c r="P1534" s="1207">
        <f t="shared" si="836"/>
        <v>0</v>
      </c>
      <c r="Q1534" s="1207">
        <f t="shared" si="836"/>
        <v>0</v>
      </c>
      <c r="R1534" s="1207">
        <f t="shared" si="836"/>
        <v>0</v>
      </c>
      <c r="S1534" s="1207">
        <f t="shared" si="836"/>
        <v>0</v>
      </c>
      <c r="T1534" s="1208">
        <f t="shared" si="836"/>
        <v>0</v>
      </c>
      <c r="U1534" s="1195"/>
      <c r="Y1534" s="1198"/>
      <c r="Z1534" s="1199"/>
      <c r="AA1534" s="1199"/>
      <c r="AB1534" s="1199"/>
      <c r="AC1534" s="1199" t="s">
        <v>30</v>
      </c>
      <c r="AD1534" s="1199" t="s">
        <v>699</v>
      </c>
      <c r="AE1534" s="1199"/>
      <c r="AF1534" s="1206">
        <f>+AF1532*AF1528</f>
        <v>0</v>
      </c>
      <c r="AG1534" s="1207">
        <f t="shared" ref="AG1534:AQ1534" si="837">+AG1532*AG1528</f>
        <v>0</v>
      </c>
      <c r="AH1534" s="1207">
        <f t="shared" si="837"/>
        <v>0</v>
      </c>
      <c r="AI1534" s="1207">
        <f t="shared" si="837"/>
        <v>0</v>
      </c>
      <c r="AJ1534" s="1207">
        <f t="shared" si="837"/>
        <v>0</v>
      </c>
      <c r="AK1534" s="1207">
        <f t="shared" si="837"/>
        <v>0</v>
      </c>
      <c r="AL1534" s="1207">
        <f t="shared" si="837"/>
        <v>0</v>
      </c>
      <c r="AM1534" s="1207">
        <f t="shared" si="837"/>
        <v>0</v>
      </c>
      <c r="AN1534" s="1207">
        <f t="shared" si="837"/>
        <v>0</v>
      </c>
      <c r="AO1534" s="1207">
        <f t="shared" si="837"/>
        <v>0</v>
      </c>
      <c r="AP1534" s="1207">
        <f t="shared" si="837"/>
        <v>0</v>
      </c>
      <c r="AQ1534" s="1208">
        <f t="shared" si="837"/>
        <v>0</v>
      </c>
      <c r="AR1534" s="1195"/>
    </row>
    <row r="1535" spans="2:44" ht="14.4" hidden="1" customHeight="1" thickTop="1" x14ac:dyDescent="0.2">
      <c r="B1535" s="1537">
        <f>+B287</f>
        <v>0</v>
      </c>
      <c r="C1535" s="1581">
        <f>+C286</f>
        <v>0</v>
      </c>
      <c r="D1535" s="1194"/>
      <c r="E1535" s="1194"/>
      <c r="F1535" s="1194"/>
      <c r="G1535" s="1194"/>
      <c r="H1535" s="1194"/>
      <c r="I1535" s="1538"/>
      <c r="J1535" s="1539"/>
      <c r="K1535" s="1539"/>
      <c r="L1535" s="1539"/>
      <c r="M1535" s="1539"/>
      <c r="N1535" s="1539"/>
      <c r="O1535" s="1539"/>
      <c r="P1535" s="1539"/>
      <c r="Q1535" s="1539"/>
      <c r="R1535" s="1539"/>
      <c r="S1535" s="1539"/>
      <c r="T1535" s="1540"/>
      <c r="U1535" s="1195"/>
      <c r="Y1535" s="1537">
        <f>+Y287</f>
        <v>0</v>
      </c>
      <c r="Z1535" s="1581">
        <f>+Z286</f>
        <v>0</v>
      </c>
      <c r="AA1535" s="1194"/>
      <c r="AB1535" s="1194"/>
      <c r="AC1535" s="1194"/>
      <c r="AD1535" s="1194"/>
      <c r="AE1535" s="1194"/>
      <c r="AF1535" s="1538"/>
      <c r="AG1535" s="1539"/>
      <c r="AH1535" s="1539"/>
      <c r="AI1535" s="1539"/>
      <c r="AJ1535" s="1539"/>
      <c r="AK1535" s="1539"/>
      <c r="AL1535" s="1539"/>
      <c r="AM1535" s="1539"/>
      <c r="AN1535" s="1539"/>
      <c r="AO1535" s="1539"/>
      <c r="AP1535" s="1539"/>
      <c r="AQ1535" s="1540"/>
      <c r="AR1535" s="1195"/>
    </row>
    <row r="1536" spans="2:44" ht="13.75" hidden="1" customHeight="1" x14ac:dyDescent="0.2">
      <c r="B1536" s="1195" t="s">
        <v>1563</v>
      </c>
      <c r="C1536" s="193"/>
      <c r="D1536" s="193"/>
      <c r="E1536" s="254"/>
      <c r="F1536" s="193" t="s">
        <v>247</v>
      </c>
      <c r="G1536" s="193" t="s">
        <v>691</v>
      </c>
      <c r="H1536" s="193"/>
      <c r="I1536" s="378">
        <f>VLOOKUP(C1535,UsoSuelo!$CA$1127:$CM$1194,2,FALSE)</f>
        <v>0</v>
      </c>
      <c r="J1536" s="1193">
        <f>VLOOKUP(C1535,UsoSuelo!$CA$1127:$CM$1194,3,FALSE)</f>
        <v>0</v>
      </c>
      <c r="K1536" s="1193">
        <f>VLOOKUP(C1535,UsoSuelo!$CA$1127:$CM$1194,4,FALSE)</f>
        <v>0</v>
      </c>
      <c r="L1536" s="1193">
        <f>VLOOKUP(C1535,UsoSuelo!$CA$1127:$CM$1194,5,FALSE)</f>
        <v>0</v>
      </c>
      <c r="M1536" s="1193">
        <f>VLOOKUP(C1535,UsoSuelo!$CA$1127:$CM$1194,6,FALSE)</f>
        <v>0</v>
      </c>
      <c r="N1536" s="1193">
        <f>VLOOKUP(C1535,UsoSuelo!$CA$1127:$CM$1194,7,FALSE)</f>
        <v>0</v>
      </c>
      <c r="O1536" s="1193">
        <f>VLOOKUP(C1535,UsoSuelo!$CA$1127:$CM$1194,8,FALSE)</f>
        <v>0</v>
      </c>
      <c r="P1536" s="1193">
        <f>VLOOKUP(C1535,UsoSuelo!$CA$1127:$CM$1194,9,FALSE)</f>
        <v>0</v>
      </c>
      <c r="Q1536" s="1193">
        <f>VLOOKUP(C1535,UsoSuelo!$CA$1127:$CM$1194,10,FALSE)</f>
        <v>0</v>
      </c>
      <c r="R1536" s="1193">
        <f>VLOOKUP(C1535,UsoSuelo!$CA$1127:$CM$1194,11,FALSE)</f>
        <v>0</v>
      </c>
      <c r="S1536" s="1193">
        <f>VLOOKUP(C1535,UsoSuelo!$CA$1127:$CM$1194,12,FALSE)</f>
        <v>0</v>
      </c>
      <c r="T1536" s="1183">
        <f>VLOOKUP(C1535,UsoSuelo!$CA$1127:$CM$1194,13,FALSE)</f>
        <v>0</v>
      </c>
      <c r="U1536" s="1195"/>
      <c r="Y1536" s="1195" t="s">
        <v>721</v>
      </c>
      <c r="Z1536" s="193"/>
      <c r="AA1536" s="193"/>
      <c r="AB1536" s="254"/>
      <c r="AC1536" s="193" t="s">
        <v>247</v>
      </c>
      <c r="AD1536" s="193" t="s">
        <v>691</v>
      </c>
      <c r="AE1536" s="193"/>
      <c r="AF1536" s="378">
        <f>VLOOKUP($Z1535,UsoSuelo!$CO$1054:$DA$1120,2,FALSE)</f>
        <v>0</v>
      </c>
      <c r="AG1536" s="1193">
        <f>VLOOKUP($Z1535,UsoSuelo!$CO$1054:$DA$1120,3,FALSE)</f>
        <v>0</v>
      </c>
      <c r="AH1536" s="1193">
        <f>VLOOKUP($Z1535,UsoSuelo!$CO$1054:$DA$1120,4,FALSE)</f>
        <v>0</v>
      </c>
      <c r="AI1536" s="1193">
        <f>VLOOKUP($Z1535,UsoSuelo!$CO$1054:$DA$1120,5,FALSE)</f>
        <v>0</v>
      </c>
      <c r="AJ1536" s="1193">
        <f>VLOOKUP($Z1535,UsoSuelo!$CO$1054:$DA$1120,6,FALSE)</f>
        <v>0</v>
      </c>
      <c r="AK1536" s="1193">
        <f>VLOOKUP($Z1535,UsoSuelo!$CO$1054:$DA$1120,7,FALSE)</f>
        <v>0</v>
      </c>
      <c r="AL1536" s="1193">
        <f>VLOOKUP($Z1535,UsoSuelo!$CO$1054:$DA$1120,8,FALSE)</f>
        <v>0</v>
      </c>
      <c r="AM1536" s="1193">
        <f>VLOOKUP($Z1535,UsoSuelo!$CO$1054:$DA$1120,9,FALSE)</f>
        <v>0</v>
      </c>
      <c r="AN1536" s="1193">
        <f>VLOOKUP($Z1535,UsoSuelo!$CO$1054:$DA$1120,10,FALSE)</f>
        <v>0</v>
      </c>
      <c r="AO1536" s="1193">
        <f>VLOOKUP($Z1535,UsoSuelo!$CO$1054:$DA$1120,11,FALSE)</f>
        <v>0</v>
      </c>
      <c r="AP1536" s="1193">
        <f>VLOOKUP($Z1535,UsoSuelo!$CO$1054:$DA$1120,12,FALSE)</f>
        <v>0</v>
      </c>
      <c r="AQ1536" s="1183">
        <f>VLOOKUP($Z1535,UsoSuelo!$CO$1054:$DA$1120,13,FALSE)</f>
        <v>0</v>
      </c>
      <c r="AR1536" s="1195"/>
    </row>
    <row r="1537" spans="2:44" ht="13.75" hidden="1" customHeight="1" x14ac:dyDescent="0.2">
      <c r="B1537" s="1195"/>
      <c r="C1537" s="193"/>
      <c r="D1537" s="193"/>
      <c r="E1537" s="193"/>
      <c r="F1537" s="193" t="s">
        <v>247</v>
      </c>
      <c r="G1537" s="193" t="s">
        <v>699</v>
      </c>
      <c r="H1537" s="193"/>
      <c r="I1537" s="378">
        <f>VLOOKUP(C1535,UsoSuelo!$CB$1275:$CN$1341,2,FALSE)</f>
        <v>0</v>
      </c>
      <c r="J1537" s="1193">
        <f>VLOOKUP(C1535,UsoSuelo!$CB$1275:$CN$1341,3,FALSE)</f>
        <v>0</v>
      </c>
      <c r="K1537" s="1193">
        <f>VLOOKUP(C1535,UsoSuelo!$CB$1275:$CN$1341,4,FALSE)</f>
        <v>0</v>
      </c>
      <c r="L1537" s="1193">
        <f>VLOOKUP(C1535,UsoSuelo!$CB$1275:$CN$1341,5,FALSE)</f>
        <v>0</v>
      </c>
      <c r="M1537" s="1193">
        <f>VLOOKUP(C1535,UsoSuelo!$CB$1275:$CN$1341,6,FALSE)</f>
        <v>0</v>
      </c>
      <c r="N1537" s="1193">
        <f>VLOOKUP(C1535,UsoSuelo!$CB$1275:$CN$1341,7,FALSE)</f>
        <v>0</v>
      </c>
      <c r="O1537" s="1193">
        <f>VLOOKUP(C1535,UsoSuelo!$CB$1275:$CN$1341,8,FALSE)</f>
        <v>0</v>
      </c>
      <c r="P1537" s="1193">
        <f>VLOOKUP(C1535,UsoSuelo!$CB$1275:$CN$1341,9,FALSE)</f>
        <v>0</v>
      </c>
      <c r="Q1537" s="1193">
        <f>VLOOKUP(C1535,UsoSuelo!$CB$1275:$CN$1341,10,FALSE)</f>
        <v>0</v>
      </c>
      <c r="R1537" s="1193">
        <f>VLOOKUP(C1535,UsoSuelo!$CB$1275:$CN$1341,11,FALSE)</f>
        <v>0</v>
      </c>
      <c r="S1537" s="1193">
        <f>VLOOKUP(C1535,UsoSuelo!$CB$1275:$CN$1341,12,FALSE)</f>
        <v>0</v>
      </c>
      <c r="T1537" s="1183">
        <f>VLOOKUP(C1535,UsoSuelo!$CB$1275:$CN$1341,13,FALSE)</f>
        <v>0</v>
      </c>
      <c r="U1537" s="1195"/>
      <c r="Y1537" s="1195"/>
      <c r="Z1537" s="193"/>
      <c r="AA1537" s="193"/>
      <c r="AB1537" s="193"/>
      <c r="AC1537" s="193" t="s">
        <v>247</v>
      </c>
      <c r="AD1537" s="193" t="s">
        <v>699</v>
      </c>
      <c r="AE1537" s="193"/>
      <c r="AF1537" s="378">
        <f>VLOOKUP($Z1535,UsoSuelo!$DB$1201:$DN$1267,2,FALSE)</f>
        <v>0</v>
      </c>
      <c r="AG1537" s="1193">
        <f>VLOOKUP($Z1535,UsoSuelo!$DB$1201:$DN$1267,3,FALSE)</f>
        <v>0</v>
      </c>
      <c r="AH1537" s="1193">
        <f>VLOOKUP($Z1535,UsoSuelo!$DB$1201:$DN$1267,4,FALSE)</f>
        <v>0</v>
      </c>
      <c r="AI1537" s="1193">
        <f>VLOOKUP($Z1535,UsoSuelo!$DB$1201:$DN$1267,5,FALSE)</f>
        <v>0</v>
      </c>
      <c r="AJ1537" s="1193">
        <f>VLOOKUP($Z1535,UsoSuelo!$DB$1201:$DN$1267,6,FALSE)</f>
        <v>0</v>
      </c>
      <c r="AK1537" s="1193">
        <f>VLOOKUP($Z1535,UsoSuelo!$DB$1201:$DN$1267,7,FALSE)</f>
        <v>0</v>
      </c>
      <c r="AL1537" s="1193">
        <f>VLOOKUP($Z1535,UsoSuelo!$DB$1201:$DN$1267,8,FALSE)</f>
        <v>0</v>
      </c>
      <c r="AM1537" s="1193">
        <f>VLOOKUP($Z1535,UsoSuelo!$DB$1201:$DN$1267,9,FALSE)</f>
        <v>0</v>
      </c>
      <c r="AN1537" s="1193">
        <f>VLOOKUP($Z1535,UsoSuelo!$DB$1201:$DN$1267,10,FALSE)</f>
        <v>0</v>
      </c>
      <c r="AO1537" s="1193">
        <f>VLOOKUP($Z1535,UsoSuelo!$DB$1201:$DN$1267,11,FALSE)</f>
        <v>0</v>
      </c>
      <c r="AP1537" s="1193">
        <f>VLOOKUP($Z1535,UsoSuelo!$DB$1201:$DN$1267,12,FALSE)</f>
        <v>0</v>
      </c>
      <c r="AQ1537" s="1183">
        <f>VLOOKUP($Z1535,UsoSuelo!$DB$1201:$DN$1267,13,FALSE)</f>
        <v>0</v>
      </c>
      <c r="AR1537" s="1195"/>
    </row>
    <row r="1538" spans="2:44" ht="13.75" hidden="1" customHeight="1" x14ac:dyDescent="0.2">
      <c r="B1538" s="1195"/>
      <c r="C1538" s="193"/>
      <c r="D1538" s="193"/>
      <c r="E1538" s="193"/>
      <c r="F1538" s="193" t="s">
        <v>230</v>
      </c>
      <c r="G1538" s="193"/>
      <c r="H1538" s="193"/>
      <c r="I1538" s="378">
        <f t="shared" ref="I1538:T1538" si="838">+I288</f>
        <v>0</v>
      </c>
      <c r="J1538" s="1193">
        <f t="shared" si="838"/>
        <v>0</v>
      </c>
      <c r="K1538" s="1193">
        <f t="shared" si="838"/>
        <v>0</v>
      </c>
      <c r="L1538" s="1193">
        <f t="shared" si="838"/>
        <v>0</v>
      </c>
      <c r="M1538" s="1193">
        <f t="shared" si="838"/>
        <v>0</v>
      </c>
      <c r="N1538" s="1193">
        <f t="shared" si="838"/>
        <v>0</v>
      </c>
      <c r="O1538" s="1193">
        <f t="shared" si="838"/>
        <v>0</v>
      </c>
      <c r="P1538" s="1193">
        <f t="shared" si="838"/>
        <v>0</v>
      </c>
      <c r="Q1538" s="1193">
        <f t="shared" si="838"/>
        <v>0</v>
      </c>
      <c r="R1538" s="1193">
        <f t="shared" si="838"/>
        <v>0</v>
      </c>
      <c r="S1538" s="1193">
        <f t="shared" si="838"/>
        <v>0</v>
      </c>
      <c r="T1538" s="1183">
        <f t="shared" si="838"/>
        <v>0</v>
      </c>
      <c r="U1538" s="1195"/>
      <c r="Y1538" s="1195"/>
      <c r="Z1538" s="193"/>
      <c r="AA1538" s="193"/>
      <c r="AB1538" s="193"/>
      <c r="AC1538" s="193" t="s">
        <v>230</v>
      </c>
      <c r="AD1538" s="193"/>
      <c r="AE1538" s="193"/>
      <c r="AF1538" s="378">
        <f t="shared" ref="AF1538:AQ1538" si="839">+AF288</f>
        <v>0</v>
      </c>
      <c r="AG1538" s="1193">
        <f t="shared" si="839"/>
        <v>0</v>
      </c>
      <c r="AH1538" s="1193">
        <f t="shared" si="839"/>
        <v>0</v>
      </c>
      <c r="AI1538" s="1193">
        <f t="shared" si="839"/>
        <v>0</v>
      </c>
      <c r="AJ1538" s="1193">
        <f t="shared" si="839"/>
        <v>0</v>
      </c>
      <c r="AK1538" s="1193">
        <f t="shared" si="839"/>
        <v>0</v>
      </c>
      <c r="AL1538" s="1193">
        <f t="shared" si="839"/>
        <v>0</v>
      </c>
      <c r="AM1538" s="1193">
        <f t="shared" si="839"/>
        <v>0</v>
      </c>
      <c r="AN1538" s="1193">
        <f t="shared" si="839"/>
        <v>0</v>
      </c>
      <c r="AO1538" s="1193">
        <f t="shared" si="839"/>
        <v>0</v>
      </c>
      <c r="AP1538" s="1193">
        <f t="shared" si="839"/>
        <v>0</v>
      </c>
      <c r="AQ1538" s="1183">
        <f t="shared" si="839"/>
        <v>0</v>
      </c>
      <c r="AR1538" s="1195"/>
    </row>
    <row r="1539" spans="2:44" ht="13.75" hidden="1" customHeight="1" x14ac:dyDescent="0.2">
      <c r="B1539" s="1196"/>
      <c r="C1539" s="374"/>
      <c r="D1539" s="374"/>
      <c r="E1539" s="374"/>
      <c r="F1539" s="374" t="s">
        <v>810</v>
      </c>
      <c r="G1539" s="374"/>
      <c r="H1539" s="374"/>
      <c r="I1539" s="377">
        <f t="shared" ref="I1539:T1539" si="840">+IF($B1535="Agrícola",0,I1538)</f>
        <v>0</v>
      </c>
      <c r="J1539" s="1200">
        <f t="shared" si="840"/>
        <v>0</v>
      </c>
      <c r="K1539" s="1200">
        <f t="shared" si="840"/>
        <v>0</v>
      </c>
      <c r="L1539" s="1200">
        <f t="shared" si="840"/>
        <v>0</v>
      </c>
      <c r="M1539" s="1200">
        <f t="shared" si="840"/>
        <v>0</v>
      </c>
      <c r="N1539" s="1200">
        <f t="shared" si="840"/>
        <v>0</v>
      </c>
      <c r="O1539" s="1200">
        <f t="shared" si="840"/>
        <v>0</v>
      </c>
      <c r="P1539" s="1200">
        <f t="shared" si="840"/>
        <v>0</v>
      </c>
      <c r="Q1539" s="1200">
        <f t="shared" si="840"/>
        <v>0</v>
      </c>
      <c r="R1539" s="1200">
        <f t="shared" si="840"/>
        <v>0</v>
      </c>
      <c r="S1539" s="1200">
        <f t="shared" si="840"/>
        <v>0</v>
      </c>
      <c r="T1539" s="1201">
        <f t="shared" si="840"/>
        <v>0</v>
      </c>
      <c r="U1539" s="1195"/>
      <c r="Y1539" s="1196"/>
      <c r="Z1539" s="374"/>
      <c r="AA1539" s="374"/>
      <c r="AB1539" s="374"/>
      <c r="AC1539" s="374" t="s">
        <v>811</v>
      </c>
      <c r="AD1539" s="374"/>
      <c r="AE1539" s="374"/>
      <c r="AF1539" s="377">
        <f t="shared" ref="AF1539:AQ1539" si="841">+IF($Y1535="Agrícola",0,AF1538)</f>
        <v>0</v>
      </c>
      <c r="AG1539" s="1200">
        <f t="shared" si="841"/>
        <v>0</v>
      </c>
      <c r="AH1539" s="1200">
        <f t="shared" si="841"/>
        <v>0</v>
      </c>
      <c r="AI1539" s="1200">
        <f t="shared" si="841"/>
        <v>0</v>
      </c>
      <c r="AJ1539" s="1200">
        <f t="shared" si="841"/>
        <v>0</v>
      </c>
      <c r="AK1539" s="1200">
        <f t="shared" si="841"/>
        <v>0</v>
      </c>
      <c r="AL1539" s="1200">
        <f t="shared" si="841"/>
        <v>0</v>
      </c>
      <c r="AM1539" s="1200">
        <f t="shared" si="841"/>
        <v>0</v>
      </c>
      <c r="AN1539" s="1200">
        <f t="shared" si="841"/>
        <v>0</v>
      </c>
      <c r="AO1539" s="1200">
        <f t="shared" si="841"/>
        <v>0</v>
      </c>
      <c r="AP1539" s="1200">
        <f t="shared" si="841"/>
        <v>0</v>
      </c>
      <c r="AQ1539" s="1201">
        <f t="shared" si="841"/>
        <v>0</v>
      </c>
      <c r="AR1539" s="1195"/>
    </row>
    <row r="1540" spans="2:44" ht="13.75" hidden="1" customHeight="1" x14ac:dyDescent="0.2">
      <c r="B1540" s="1195"/>
      <c r="C1540" s="193"/>
      <c r="D1540" s="193"/>
      <c r="E1540" s="193"/>
      <c r="F1540" s="193" t="s">
        <v>695</v>
      </c>
      <c r="G1540" s="193"/>
      <c r="H1540" s="193"/>
      <c r="I1540" s="1202">
        <f t="shared" ref="I1540:T1540" si="842">IFERROR(I1536/I1539,0)</f>
        <v>0</v>
      </c>
      <c r="J1540" s="1203">
        <f t="shared" si="842"/>
        <v>0</v>
      </c>
      <c r="K1540" s="1203">
        <f t="shared" si="842"/>
        <v>0</v>
      </c>
      <c r="L1540" s="1203">
        <f t="shared" si="842"/>
        <v>0</v>
      </c>
      <c r="M1540" s="1203">
        <f t="shared" si="842"/>
        <v>0</v>
      </c>
      <c r="N1540" s="1203">
        <f t="shared" si="842"/>
        <v>0</v>
      </c>
      <c r="O1540" s="1203">
        <f t="shared" si="842"/>
        <v>0</v>
      </c>
      <c r="P1540" s="1203">
        <f t="shared" si="842"/>
        <v>0</v>
      </c>
      <c r="Q1540" s="1203">
        <f t="shared" si="842"/>
        <v>0</v>
      </c>
      <c r="R1540" s="1203">
        <f t="shared" si="842"/>
        <v>0</v>
      </c>
      <c r="S1540" s="1203">
        <f t="shared" si="842"/>
        <v>0</v>
      </c>
      <c r="T1540" s="1204">
        <f t="shared" si="842"/>
        <v>0</v>
      </c>
      <c r="U1540" s="1582"/>
      <c r="Y1540" s="1195"/>
      <c r="Z1540" s="193"/>
      <c r="AA1540" s="193"/>
      <c r="AB1540" s="193"/>
      <c r="AC1540" s="193" t="s">
        <v>695</v>
      </c>
      <c r="AD1540" s="193"/>
      <c r="AE1540" s="193"/>
      <c r="AF1540" s="1202">
        <f t="shared" ref="AF1540:AQ1540" si="843">IFERROR(AF1536/AF1539,0)</f>
        <v>0</v>
      </c>
      <c r="AG1540" s="1203">
        <f t="shared" si="843"/>
        <v>0</v>
      </c>
      <c r="AH1540" s="1203">
        <f t="shared" si="843"/>
        <v>0</v>
      </c>
      <c r="AI1540" s="1203">
        <f t="shared" si="843"/>
        <v>0</v>
      </c>
      <c r="AJ1540" s="1203">
        <f t="shared" si="843"/>
        <v>0</v>
      </c>
      <c r="AK1540" s="1203">
        <f t="shared" si="843"/>
        <v>0</v>
      </c>
      <c r="AL1540" s="1203">
        <f t="shared" si="843"/>
        <v>0</v>
      </c>
      <c r="AM1540" s="1203">
        <f t="shared" si="843"/>
        <v>0</v>
      </c>
      <c r="AN1540" s="1203">
        <f t="shared" si="843"/>
        <v>0</v>
      </c>
      <c r="AO1540" s="1203">
        <f t="shared" si="843"/>
        <v>0</v>
      </c>
      <c r="AP1540" s="1203">
        <f t="shared" si="843"/>
        <v>0</v>
      </c>
      <c r="AQ1540" s="1204">
        <f t="shared" si="843"/>
        <v>0</v>
      </c>
      <c r="AR1540" s="1582"/>
    </row>
    <row r="1541" spans="2:44" ht="13.75" hidden="1" customHeight="1" x14ac:dyDescent="0.2">
      <c r="B1541" s="1195"/>
      <c r="C1541" s="193"/>
      <c r="D1541" s="193"/>
      <c r="E1541" s="193"/>
      <c r="F1541" s="193" t="s">
        <v>696</v>
      </c>
      <c r="G1541" s="193"/>
      <c r="H1541" s="193"/>
      <c r="I1541" s="1202">
        <f>IFERROR(I1537/I1539,0)</f>
        <v>0</v>
      </c>
      <c r="J1541" s="1203">
        <f t="shared" ref="J1541:T1541" si="844">IFERROR(J1537/J1539,0)</f>
        <v>0</v>
      </c>
      <c r="K1541" s="1203">
        <f t="shared" si="844"/>
        <v>0</v>
      </c>
      <c r="L1541" s="1203">
        <f t="shared" si="844"/>
        <v>0</v>
      </c>
      <c r="M1541" s="1203">
        <f t="shared" si="844"/>
        <v>0</v>
      </c>
      <c r="N1541" s="1203">
        <f t="shared" si="844"/>
        <v>0</v>
      </c>
      <c r="O1541" s="1203">
        <f t="shared" si="844"/>
        <v>0</v>
      </c>
      <c r="P1541" s="1203">
        <f t="shared" si="844"/>
        <v>0</v>
      </c>
      <c r="Q1541" s="1203">
        <f t="shared" si="844"/>
        <v>0</v>
      </c>
      <c r="R1541" s="1203">
        <f t="shared" si="844"/>
        <v>0</v>
      </c>
      <c r="S1541" s="1203">
        <f t="shared" si="844"/>
        <v>0</v>
      </c>
      <c r="T1541" s="1204">
        <f t="shared" si="844"/>
        <v>0</v>
      </c>
      <c r="U1541" s="1582"/>
      <c r="Y1541" s="1195"/>
      <c r="Z1541" s="193"/>
      <c r="AA1541" s="193"/>
      <c r="AB1541" s="193"/>
      <c r="AC1541" s="193" t="s">
        <v>696</v>
      </c>
      <c r="AD1541" s="193"/>
      <c r="AE1541" s="193"/>
      <c r="AF1541" s="1202">
        <f>IFERROR(AF1537/AF1539,0)</f>
        <v>0</v>
      </c>
      <c r="AG1541" s="1203">
        <f t="shared" ref="AG1541:AQ1541" si="845">IFERROR(AG1537/AG1539,0)</f>
        <v>0</v>
      </c>
      <c r="AH1541" s="1203">
        <f t="shared" si="845"/>
        <v>0</v>
      </c>
      <c r="AI1541" s="1203">
        <f t="shared" si="845"/>
        <v>0</v>
      </c>
      <c r="AJ1541" s="1203">
        <f t="shared" si="845"/>
        <v>0</v>
      </c>
      <c r="AK1541" s="1203">
        <f t="shared" si="845"/>
        <v>0</v>
      </c>
      <c r="AL1541" s="1203">
        <f t="shared" si="845"/>
        <v>0</v>
      </c>
      <c r="AM1541" s="1203">
        <f t="shared" si="845"/>
        <v>0</v>
      </c>
      <c r="AN1541" s="1203">
        <f t="shared" si="845"/>
        <v>0</v>
      </c>
      <c r="AO1541" s="1203">
        <f t="shared" si="845"/>
        <v>0</v>
      </c>
      <c r="AP1541" s="1203">
        <f t="shared" si="845"/>
        <v>0</v>
      </c>
      <c r="AQ1541" s="1204">
        <f t="shared" si="845"/>
        <v>0</v>
      </c>
      <c r="AR1541" s="1582"/>
    </row>
    <row r="1542" spans="2:44" ht="13.75" hidden="1" customHeight="1" x14ac:dyDescent="0.2">
      <c r="B1542" s="1196" t="s">
        <v>803</v>
      </c>
      <c r="C1542" s="374"/>
      <c r="D1542" s="374"/>
      <c r="E1542" s="374"/>
      <c r="F1542" s="374" t="s">
        <v>697</v>
      </c>
      <c r="G1542" s="374" t="s">
        <v>694</v>
      </c>
      <c r="H1542" s="193"/>
      <c r="I1542" s="377">
        <f t="shared" ref="I1542:T1542" si="846">+SUMPRODUCT(I305:I322,$F305:$F322)</f>
        <v>0</v>
      </c>
      <c r="J1542" s="1200">
        <f t="shared" si="846"/>
        <v>0</v>
      </c>
      <c r="K1542" s="1200">
        <f t="shared" si="846"/>
        <v>0</v>
      </c>
      <c r="L1542" s="1200">
        <f t="shared" si="846"/>
        <v>0</v>
      </c>
      <c r="M1542" s="1200">
        <f t="shared" si="846"/>
        <v>0</v>
      </c>
      <c r="N1542" s="1200">
        <f t="shared" si="846"/>
        <v>0</v>
      </c>
      <c r="O1542" s="1200">
        <f t="shared" si="846"/>
        <v>0</v>
      </c>
      <c r="P1542" s="1200">
        <f t="shared" si="846"/>
        <v>0</v>
      </c>
      <c r="Q1542" s="1200">
        <f t="shared" si="846"/>
        <v>0</v>
      </c>
      <c r="R1542" s="1200">
        <f t="shared" si="846"/>
        <v>0</v>
      </c>
      <c r="S1542" s="1200">
        <f t="shared" si="846"/>
        <v>0</v>
      </c>
      <c r="T1542" s="1201">
        <f t="shared" si="846"/>
        <v>0</v>
      </c>
      <c r="U1542" s="1195"/>
      <c r="Y1542" s="1196" t="s">
        <v>803</v>
      </c>
      <c r="Z1542" s="374"/>
      <c r="AA1542" s="374"/>
      <c r="AB1542" s="374"/>
      <c r="AC1542" s="374" t="s">
        <v>697</v>
      </c>
      <c r="AD1542" s="374" t="s">
        <v>694</v>
      </c>
      <c r="AE1542" s="193"/>
      <c r="AF1542" s="377">
        <f t="shared" ref="AF1542:AQ1542" si="847">+SUMPRODUCT(AF305:AF322,$AC305:$AC322)</f>
        <v>0</v>
      </c>
      <c r="AG1542" s="1200">
        <f t="shared" si="847"/>
        <v>0</v>
      </c>
      <c r="AH1542" s="1200">
        <f t="shared" si="847"/>
        <v>0</v>
      </c>
      <c r="AI1542" s="1200">
        <f t="shared" si="847"/>
        <v>0</v>
      </c>
      <c r="AJ1542" s="1200">
        <f t="shared" si="847"/>
        <v>0</v>
      </c>
      <c r="AK1542" s="1200">
        <f t="shared" si="847"/>
        <v>0</v>
      </c>
      <c r="AL1542" s="1200">
        <f t="shared" si="847"/>
        <v>0</v>
      </c>
      <c r="AM1542" s="1200">
        <f t="shared" si="847"/>
        <v>0</v>
      </c>
      <c r="AN1542" s="1200">
        <f t="shared" si="847"/>
        <v>0</v>
      </c>
      <c r="AO1542" s="1200">
        <f t="shared" si="847"/>
        <v>0</v>
      </c>
      <c r="AP1542" s="1200">
        <f t="shared" si="847"/>
        <v>0</v>
      </c>
      <c r="AQ1542" s="1201">
        <f t="shared" si="847"/>
        <v>0</v>
      </c>
      <c r="AR1542" s="1195"/>
    </row>
    <row r="1543" spans="2:44" ht="13.75" hidden="1" customHeight="1" x14ac:dyDescent="0.2">
      <c r="B1543" s="1195"/>
      <c r="C1543" s="193"/>
      <c r="D1543" s="193"/>
      <c r="E1543" s="193"/>
      <c r="F1543" s="193" t="s">
        <v>697</v>
      </c>
      <c r="G1543" s="193" t="s">
        <v>698</v>
      </c>
      <c r="H1543" s="193"/>
      <c r="I1543" s="378">
        <f>+I1542*I1540</f>
        <v>0</v>
      </c>
      <c r="J1543" s="1193">
        <f t="shared" ref="J1543:T1543" si="848">+J1542*J1540</f>
        <v>0</v>
      </c>
      <c r="K1543" s="1193">
        <f t="shared" si="848"/>
        <v>0</v>
      </c>
      <c r="L1543" s="1193">
        <f t="shared" si="848"/>
        <v>0</v>
      </c>
      <c r="M1543" s="1193">
        <f t="shared" si="848"/>
        <v>0</v>
      </c>
      <c r="N1543" s="1193">
        <f t="shared" si="848"/>
        <v>0</v>
      </c>
      <c r="O1543" s="1193">
        <f t="shared" si="848"/>
        <v>0</v>
      </c>
      <c r="P1543" s="1193">
        <f t="shared" si="848"/>
        <v>0</v>
      </c>
      <c r="Q1543" s="1193">
        <f t="shared" si="848"/>
        <v>0</v>
      </c>
      <c r="R1543" s="1193">
        <f t="shared" si="848"/>
        <v>0</v>
      </c>
      <c r="S1543" s="1193">
        <f t="shared" si="848"/>
        <v>0</v>
      </c>
      <c r="T1543" s="1183">
        <f t="shared" si="848"/>
        <v>0</v>
      </c>
      <c r="U1543" s="1195"/>
      <c r="Y1543" s="1195"/>
      <c r="Z1543" s="193"/>
      <c r="AA1543" s="193"/>
      <c r="AB1543" s="193"/>
      <c r="AC1543" s="193" t="s">
        <v>697</v>
      </c>
      <c r="AD1543" s="193" t="s">
        <v>698</v>
      </c>
      <c r="AE1543" s="193"/>
      <c r="AF1543" s="378">
        <f>+AF1542*AF1540</f>
        <v>0</v>
      </c>
      <c r="AG1543" s="1193">
        <f t="shared" ref="AG1543:AQ1543" si="849">+AG1542*AG1540</f>
        <v>0</v>
      </c>
      <c r="AH1543" s="1193">
        <f t="shared" si="849"/>
        <v>0</v>
      </c>
      <c r="AI1543" s="1193">
        <f t="shared" si="849"/>
        <v>0</v>
      </c>
      <c r="AJ1543" s="1193">
        <f t="shared" si="849"/>
        <v>0</v>
      </c>
      <c r="AK1543" s="1193">
        <f t="shared" si="849"/>
        <v>0</v>
      </c>
      <c r="AL1543" s="1193">
        <f t="shared" si="849"/>
        <v>0</v>
      </c>
      <c r="AM1543" s="1193">
        <f t="shared" si="849"/>
        <v>0</v>
      </c>
      <c r="AN1543" s="1193">
        <f t="shared" si="849"/>
        <v>0</v>
      </c>
      <c r="AO1543" s="1193">
        <f t="shared" si="849"/>
        <v>0</v>
      </c>
      <c r="AP1543" s="1193">
        <f t="shared" si="849"/>
        <v>0</v>
      </c>
      <c r="AQ1543" s="1183">
        <f t="shared" si="849"/>
        <v>0</v>
      </c>
      <c r="AR1543" s="1195"/>
    </row>
    <row r="1544" spans="2:44" ht="13.75" hidden="1" customHeight="1" x14ac:dyDescent="0.2">
      <c r="B1544" s="1197"/>
      <c r="C1544" s="379"/>
      <c r="D1544" s="379"/>
      <c r="E1544" s="379"/>
      <c r="F1544" s="379" t="s">
        <v>30</v>
      </c>
      <c r="G1544" s="379" t="s">
        <v>699</v>
      </c>
      <c r="H1544" s="193"/>
      <c r="I1544" s="380">
        <f>+I1542*I1541</f>
        <v>0</v>
      </c>
      <c r="J1544" s="1205">
        <f t="shared" ref="J1544:T1544" si="850">+J1542*J1541</f>
        <v>0</v>
      </c>
      <c r="K1544" s="1205">
        <f t="shared" si="850"/>
        <v>0</v>
      </c>
      <c r="L1544" s="1205">
        <f t="shared" si="850"/>
        <v>0</v>
      </c>
      <c r="M1544" s="1205">
        <f t="shared" si="850"/>
        <v>0</v>
      </c>
      <c r="N1544" s="1205">
        <f t="shared" si="850"/>
        <v>0</v>
      </c>
      <c r="O1544" s="1205">
        <f t="shared" si="850"/>
        <v>0</v>
      </c>
      <c r="P1544" s="1205">
        <f t="shared" si="850"/>
        <v>0</v>
      </c>
      <c r="Q1544" s="1205">
        <f t="shared" si="850"/>
        <v>0</v>
      </c>
      <c r="R1544" s="1205">
        <f t="shared" si="850"/>
        <v>0</v>
      </c>
      <c r="S1544" s="1205">
        <f t="shared" si="850"/>
        <v>0</v>
      </c>
      <c r="T1544" s="1190">
        <f t="shared" si="850"/>
        <v>0</v>
      </c>
      <c r="U1544" s="1195"/>
      <c r="Y1544" s="1197"/>
      <c r="Z1544" s="379"/>
      <c r="AA1544" s="379"/>
      <c r="AB1544" s="379"/>
      <c r="AC1544" s="379" t="s">
        <v>30</v>
      </c>
      <c r="AD1544" s="379" t="s">
        <v>699</v>
      </c>
      <c r="AE1544" s="193"/>
      <c r="AF1544" s="380">
        <f>+AF1542*AF1541</f>
        <v>0</v>
      </c>
      <c r="AG1544" s="1205">
        <f t="shared" ref="AG1544:AQ1544" si="851">+AG1542*AG1541</f>
        <v>0</v>
      </c>
      <c r="AH1544" s="1205">
        <f t="shared" si="851"/>
        <v>0</v>
      </c>
      <c r="AI1544" s="1205">
        <f t="shared" si="851"/>
        <v>0</v>
      </c>
      <c r="AJ1544" s="1205">
        <f t="shared" si="851"/>
        <v>0</v>
      </c>
      <c r="AK1544" s="1205">
        <f t="shared" si="851"/>
        <v>0</v>
      </c>
      <c r="AL1544" s="1205">
        <f t="shared" si="851"/>
        <v>0</v>
      </c>
      <c r="AM1544" s="1205">
        <f t="shared" si="851"/>
        <v>0</v>
      </c>
      <c r="AN1544" s="1205">
        <f t="shared" si="851"/>
        <v>0</v>
      </c>
      <c r="AO1544" s="1205">
        <f t="shared" si="851"/>
        <v>0</v>
      </c>
      <c r="AP1544" s="1205">
        <f t="shared" si="851"/>
        <v>0</v>
      </c>
      <c r="AQ1544" s="1190">
        <f t="shared" si="851"/>
        <v>0</v>
      </c>
      <c r="AR1544" s="1195"/>
    </row>
    <row r="1545" spans="2:44" ht="13.75" hidden="1" customHeight="1" x14ac:dyDescent="0.2">
      <c r="B1545" s="1196" t="s">
        <v>447</v>
      </c>
      <c r="C1545" s="374"/>
      <c r="D1545" s="374"/>
      <c r="E1545" s="374"/>
      <c r="F1545" s="374" t="s">
        <v>697</v>
      </c>
      <c r="G1545" s="374" t="s">
        <v>694</v>
      </c>
      <c r="H1545" s="193"/>
      <c r="I1545" s="377">
        <f t="shared" ref="I1545:T1545" si="852">+SUMPRODUCT(I298:I302,$F298:$F302)</f>
        <v>0</v>
      </c>
      <c r="J1545" s="1200">
        <f t="shared" si="852"/>
        <v>0</v>
      </c>
      <c r="K1545" s="1200">
        <f t="shared" si="852"/>
        <v>0</v>
      </c>
      <c r="L1545" s="1200">
        <f t="shared" si="852"/>
        <v>0</v>
      </c>
      <c r="M1545" s="1200">
        <f t="shared" si="852"/>
        <v>0</v>
      </c>
      <c r="N1545" s="1200">
        <f t="shared" si="852"/>
        <v>0</v>
      </c>
      <c r="O1545" s="1200">
        <f t="shared" si="852"/>
        <v>0</v>
      </c>
      <c r="P1545" s="1200">
        <f t="shared" si="852"/>
        <v>0</v>
      </c>
      <c r="Q1545" s="1200">
        <f t="shared" si="852"/>
        <v>0</v>
      </c>
      <c r="R1545" s="1200">
        <f t="shared" si="852"/>
        <v>0</v>
      </c>
      <c r="S1545" s="1200">
        <f t="shared" si="852"/>
        <v>0</v>
      </c>
      <c r="T1545" s="1201">
        <f t="shared" si="852"/>
        <v>0</v>
      </c>
      <c r="U1545" s="1195"/>
      <c r="Y1545" s="1196" t="s">
        <v>447</v>
      </c>
      <c r="Z1545" s="374"/>
      <c r="AA1545" s="374"/>
      <c r="AB1545" s="374"/>
      <c r="AC1545" s="374" t="s">
        <v>697</v>
      </c>
      <c r="AD1545" s="374" t="s">
        <v>694</v>
      </c>
      <c r="AE1545" s="193"/>
      <c r="AF1545" s="377">
        <f t="shared" ref="AF1545:AQ1545" si="853">+SUMPRODUCT(AF298:AF302,$AC298:$AC302)</f>
        <v>0</v>
      </c>
      <c r="AG1545" s="1200">
        <f t="shared" si="853"/>
        <v>0</v>
      </c>
      <c r="AH1545" s="1200">
        <f t="shared" si="853"/>
        <v>0</v>
      </c>
      <c r="AI1545" s="1200">
        <f t="shared" si="853"/>
        <v>0</v>
      </c>
      <c r="AJ1545" s="1200">
        <f t="shared" si="853"/>
        <v>0</v>
      </c>
      <c r="AK1545" s="1200">
        <f t="shared" si="853"/>
        <v>0</v>
      </c>
      <c r="AL1545" s="1200">
        <f t="shared" si="853"/>
        <v>0</v>
      </c>
      <c r="AM1545" s="1200">
        <f t="shared" si="853"/>
        <v>0</v>
      </c>
      <c r="AN1545" s="1200">
        <f t="shared" si="853"/>
        <v>0</v>
      </c>
      <c r="AO1545" s="1200">
        <f t="shared" si="853"/>
        <v>0</v>
      </c>
      <c r="AP1545" s="1200">
        <f t="shared" si="853"/>
        <v>0</v>
      </c>
      <c r="AQ1545" s="1201">
        <f t="shared" si="853"/>
        <v>0</v>
      </c>
      <c r="AR1545" s="1195"/>
    </row>
    <row r="1546" spans="2:44" ht="13.75" hidden="1" customHeight="1" x14ac:dyDescent="0.2">
      <c r="B1546" s="1195"/>
      <c r="C1546" s="193"/>
      <c r="D1546" s="193"/>
      <c r="E1546" s="193"/>
      <c r="F1546" s="193" t="s">
        <v>697</v>
      </c>
      <c r="G1546" s="193" t="s">
        <v>698</v>
      </c>
      <c r="H1546" s="193"/>
      <c r="I1546" s="378">
        <f t="shared" ref="I1546:T1546" si="854">+I1545*I1540</f>
        <v>0</v>
      </c>
      <c r="J1546" s="1193">
        <f t="shared" si="854"/>
        <v>0</v>
      </c>
      <c r="K1546" s="1193">
        <f t="shared" si="854"/>
        <v>0</v>
      </c>
      <c r="L1546" s="1193">
        <f t="shared" si="854"/>
        <v>0</v>
      </c>
      <c r="M1546" s="1193">
        <f t="shared" si="854"/>
        <v>0</v>
      </c>
      <c r="N1546" s="1193">
        <f t="shared" si="854"/>
        <v>0</v>
      </c>
      <c r="O1546" s="1193">
        <f t="shared" si="854"/>
        <v>0</v>
      </c>
      <c r="P1546" s="1193">
        <f t="shared" si="854"/>
        <v>0</v>
      </c>
      <c r="Q1546" s="1193">
        <f t="shared" si="854"/>
        <v>0</v>
      </c>
      <c r="R1546" s="1193">
        <f t="shared" si="854"/>
        <v>0</v>
      </c>
      <c r="S1546" s="1193">
        <f t="shared" si="854"/>
        <v>0</v>
      </c>
      <c r="T1546" s="1183">
        <f t="shared" si="854"/>
        <v>0</v>
      </c>
      <c r="U1546" s="1195"/>
      <c r="Y1546" s="1195"/>
      <c r="Z1546" s="193"/>
      <c r="AA1546" s="193"/>
      <c r="AB1546" s="193"/>
      <c r="AC1546" s="193" t="s">
        <v>697</v>
      </c>
      <c r="AD1546" s="193" t="s">
        <v>698</v>
      </c>
      <c r="AE1546" s="193"/>
      <c r="AF1546" s="378">
        <f t="shared" ref="AF1546:AQ1546" si="855">+AF1545*AF1540</f>
        <v>0</v>
      </c>
      <c r="AG1546" s="1193">
        <f t="shared" si="855"/>
        <v>0</v>
      </c>
      <c r="AH1546" s="1193">
        <f t="shared" si="855"/>
        <v>0</v>
      </c>
      <c r="AI1546" s="1193">
        <f t="shared" si="855"/>
        <v>0</v>
      </c>
      <c r="AJ1546" s="1193">
        <f t="shared" si="855"/>
        <v>0</v>
      </c>
      <c r="AK1546" s="1193">
        <f t="shared" si="855"/>
        <v>0</v>
      </c>
      <c r="AL1546" s="1193">
        <f t="shared" si="855"/>
        <v>0</v>
      </c>
      <c r="AM1546" s="1193">
        <f t="shared" si="855"/>
        <v>0</v>
      </c>
      <c r="AN1546" s="1193">
        <f t="shared" si="855"/>
        <v>0</v>
      </c>
      <c r="AO1546" s="1193">
        <f t="shared" si="855"/>
        <v>0</v>
      </c>
      <c r="AP1546" s="1193">
        <f t="shared" si="855"/>
        <v>0</v>
      </c>
      <c r="AQ1546" s="1183">
        <f t="shared" si="855"/>
        <v>0</v>
      </c>
      <c r="AR1546" s="1195"/>
    </row>
    <row r="1547" spans="2:44" ht="14.4" hidden="1" customHeight="1" thickBot="1" x14ac:dyDescent="0.25">
      <c r="B1547" s="1198"/>
      <c r="C1547" s="1199"/>
      <c r="D1547" s="1199"/>
      <c r="E1547" s="1199"/>
      <c r="F1547" s="1199" t="s">
        <v>30</v>
      </c>
      <c r="G1547" s="1199" t="s">
        <v>699</v>
      </c>
      <c r="H1547" s="1199"/>
      <c r="I1547" s="1206">
        <f>+I1545*I1541</f>
        <v>0</v>
      </c>
      <c r="J1547" s="1207">
        <f t="shared" ref="J1547:T1547" si="856">+J1545*J1541</f>
        <v>0</v>
      </c>
      <c r="K1547" s="1207">
        <f t="shared" si="856"/>
        <v>0</v>
      </c>
      <c r="L1547" s="1207">
        <f t="shared" si="856"/>
        <v>0</v>
      </c>
      <c r="M1547" s="1207">
        <f t="shared" si="856"/>
        <v>0</v>
      </c>
      <c r="N1547" s="1207">
        <f t="shared" si="856"/>
        <v>0</v>
      </c>
      <c r="O1547" s="1207">
        <f t="shared" si="856"/>
        <v>0</v>
      </c>
      <c r="P1547" s="1207">
        <f t="shared" si="856"/>
        <v>0</v>
      </c>
      <c r="Q1547" s="1207">
        <f t="shared" si="856"/>
        <v>0</v>
      </c>
      <c r="R1547" s="1207">
        <f t="shared" si="856"/>
        <v>0</v>
      </c>
      <c r="S1547" s="1207">
        <f t="shared" si="856"/>
        <v>0</v>
      </c>
      <c r="T1547" s="1208">
        <f t="shared" si="856"/>
        <v>0</v>
      </c>
      <c r="U1547" s="1195"/>
      <c r="Y1547" s="1198"/>
      <c r="Z1547" s="1199"/>
      <c r="AA1547" s="1199"/>
      <c r="AB1547" s="1199"/>
      <c r="AC1547" s="1199" t="s">
        <v>30</v>
      </c>
      <c r="AD1547" s="1199" t="s">
        <v>699</v>
      </c>
      <c r="AE1547" s="1199"/>
      <c r="AF1547" s="1206">
        <f>+AF1545*AF1541</f>
        <v>0</v>
      </c>
      <c r="AG1547" s="1207">
        <f t="shared" ref="AG1547:AQ1547" si="857">+AG1545*AG1541</f>
        <v>0</v>
      </c>
      <c r="AH1547" s="1207">
        <f t="shared" si="857"/>
        <v>0</v>
      </c>
      <c r="AI1547" s="1207">
        <f t="shared" si="857"/>
        <v>0</v>
      </c>
      <c r="AJ1547" s="1207">
        <f t="shared" si="857"/>
        <v>0</v>
      </c>
      <c r="AK1547" s="1207">
        <f t="shared" si="857"/>
        <v>0</v>
      </c>
      <c r="AL1547" s="1207">
        <f t="shared" si="857"/>
        <v>0</v>
      </c>
      <c r="AM1547" s="1207">
        <f t="shared" si="857"/>
        <v>0</v>
      </c>
      <c r="AN1547" s="1207">
        <f t="shared" si="857"/>
        <v>0</v>
      </c>
      <c r="AO1547" s="1207">
        <f t="shared" si="857"/>
        <v>0</v>
      </c>
      <c r="AP1547" s="1207">
        <f t="shared" si="857"/>
        <v>0</v>
      </c>
      <c r="AQ1547" s="1208">
        <f t="shared" si="857"/>
        <v>0</v>
      </c>
      <c r="AR1547" s="1195"/>
    </row>
    <row r="1548" spans="2:44" ht="14.4" hidden="1" customHeight="1" thickTop="1" x14ac:dyDescent="0.2">
      <c r="B1548" s="1537">
        <f>+B328</f>
        <v>0</v>
      </c>
      <c r="C1548" s="1581">
        <f>+C327</f>
        <v>0</v>
      </c>
      <c r="D1548" s="1194"/>
      <c r="E1548" s="1194"/>
      <c r="F1548" s="1194"/>
      <c r="G1548" s="1194"/>
      <c r="H1548" s="1194"/>
      <c r="I1548" s="1538"/>
      <c r="J1548" s="1539"/>
      <c r="K1548" s="1539"/>
      <c r="L1548" s="1539"/>
      <c r="M1548" s="1539"/>
      <c r="N1548" s="1539"/>
      <c r="O1548" s="1539"/>
      <c r="P1548" s="1539"/>
      <c r="Q1548" s="1539"/>
      <c r="R1548" s="1539"/>
      <c r="S1548" s="1539"/>
      <c r="T1548" s="1540"/>
      <c r="U1548" s="1195"/>
      <c r="Y1548" s="1537">
        <f>+Y328</f>
        <v>0</v>
      </c>
      <c r="Z1548" s="1581">
        <f>+Z327</f>
        <v>0</v>
      </c>
      <c r="AA1548" s="1194"/>
      <c r="AB1548" s="1194"/>
      <c r="AC1548" s="1194"/>
      <c r="AD1548" s="1194"/>
      <c r="AE1548" s="1194"/>
      <c r="AF1548" s="1538"/>
      <c r="AG1548" s="1539"/>
      <c r="AH1548" s="1539"/>
      <c r="AI1548" s="1539"/>
      <c r="AJ1548" s="1539"/>
      <c r="AK1548" s="1539"/>
      <c r="AL1548" s="1539"/>
      <c r="AM1548" s="1539"/>
      <c r="AN1548" s="1539"/>
      <c r="AO1548" s="1539"/>
      <c r="AP1548" s="1539"/>
      <c r="AQ1548" s="1540"/>
      <c r="AR1548" s="1195"/>
    </row>
    <row r="1549" spans="2:44" ht="13.75" hidden="1" customHeight="1" x14ac:dyDescent="0.2">
      <c r="B1549" s="1195" t="s">
        <v>1563</v>
      </c>
      <c r="C1549" s="193"/>
      <c r="D1549" s="193"/>
      <c r="E1549" s="254"/>
      <c r="F1549" s="193" t="s">
        <v>247</v>
      </c>
      <c r="G1549" s="193" t="s">
        <v>691</v>
      </c>
      <c r="H1549" s="193"/>
      <c r="I1549" s="378">
        <f>VLOOKUP(C1548,UsoSuelo!$CA$1127:$CM$1194,2,FALSE)</f>
        <v>0</v>
      </c>
      <c r="J1549" s="1193">
        <f>VLOOKUP(C1548,UsoSuelo!$CA$1127:$CM$1194,3,FALSE)</f>
        <v>0</v>
      </c>
      <c r="K1549" s="1193">
        <f>VLOOKUP(C1548,UsoSuelo!$CA$1127:$CM$1194,4,FALSE)</f>
        <v>0</v>
      </c>
      <c r="L1549" s="1193">
        <f>VLOOKUP(C1548,UsoSuelo!$CA$1127:$CM$1194,5,FALSE)</f>
        <v>0</v>
      </c>
      <c r="M1549" s="1193">
        <f>VLOOKUP(C1548,UsoSuelo!$CA$1127:$CM$1194,6,FALSE)</f>
        <v>0</v>
      </c>
      <c r="N1549" s="1193">
        <f>VLOOKUP(C1548,UsoSuelo!$CA$1127:$CM$1194,7,FALSE)</f>
        <v>0</v>
      </c>
      <c r="O1549" s="1193">
        <f>VLOOKUP(C1548,UsoSuelo!$CA$1127:$CM$1194,8,FALSE)</f>
        <v>0</v>
      </c>
      <c r="P1549" s="1193">
        <f>VLOOKUP(C1548,UsoSuelo!$CA$1127:$CM$1194,9,FALSE)</f>
        <v>0</v>
      </c>
      <c r="Q1549" s="1193">
        <f>VLOOKUP(C1548,UsoSuelo!$CA$1127:$CM$1194,10,FALSE)</f>
        <v>0</v>
      </c>
      <c r="R1549" s="1193">
        <f>VLOOKUP(C1548,UsoSuelo!$CA$1127:$CM$1194,11,FALSE)</f>
        <v>0</v>
      </c>
      <c r="S1549" s="1193">
        <f>VLOOKUP(C1548,UsoSuelo!$CA$1127:$CM$1194,12,FALSE)</f>
        <v>0</v>
      </c>
      <c r="T1549" s="1183">
        <f>VLOOKUP(C1548,UsoSuelo!$CA$1127:$CM$1194,13,FALSE)</f>
        <v>0</v>
      </c>
      <c r="U1549" s="1195"/>
      <c r="Y1549" s="1195" t="s">
        <v>721</v>
      </c>
      <c r="Z1549" s="193"/>
      <c r="AA1549" s="193"/>
      <c r="AB1549" s="254"/>
      <c r="AC1549" s="193" t="s">
        <v>247</v>
      </c>
      <c r="AD1549" s="193" t="s">
        <v>691</v>
      </c>
      <c r="AE1549" s="193"/>
      <c r="AF1549" s="378">
        <f>VLOOKUP($Z1548,UsoSuelo!$CO$1054:$DA$1120,2,FALSE)</f>
        <v>0</v>
      </c>
      <c r="AG1549" s="1193">
        <f>VLOOKUP($Z1548,UsoSuelo!$CO$1054:$DA$1120,3,FALSE)</f>
        <v>0</v>
      </c>
      <c r="AH1549" s="1193">
        <f>VLOOKUP($Z1548,UsoSuelo!$CO$1054:$DA$1120,4,FALSE)</f>
        <v>0</v>
      </c>
      <c r="AI1549" s="1193">
        <f>VLOOKUP($Z1548,UsoSuelo!$CO$1054:$DA$1120,5,FALSE)</f>
        <v>0</v>
      </c>
      <c r="AJ1549" s="1193">
        <f>VLOOKUP($Z1548,UsoSuelo!$CO$1054:$DA$1120,6,FALSE)</f>
        <v>0</v>
      </c>
      <c r="AK1549" s="1193">
        <f>VLOOKUP($Z1548,UsoSuelo!$CO$1054:$DA$1120,7,FALSE)</f>
        <v>0</v>
      </c>
      <c r="AL1549" s="1193">
        <f>VLOOKUP($Z1548,UsoSuelo!$CO$1054:$DA$1120,8,FALSE)</f>
        <v>0</v>
      </c>
      <c r="AM1549" s="1193">
        <f>VLOOKUP($Z1548,UsoSuelo!$CO$1054:$DA$1120,9,FALSE)</f>
        <v>0</v>
      </c>
      <c r="AN1549" s="1193">
        <f>VLOOKUP($Z1548,UsoSuelo!$CO$1054:$DA$1120,10,FALSE)</f>
        <v>0</v>
      </c>
      <c r="AO1549" s="1193">
        <f>VLOOKUP($Z1548,UsoSuelo!$CO$1054:$DA$1120,11,FALSE)</f>
        <v>0</v>
      </c>
      <c r="AP1549" s="1193">
        <f>VLOOKUP($Z1548,UsoSuelo!$CO$1054:$DA$1120,12,FALSE)</f>
        <v>0</v>
      </c>
      <c r="AQ1549" s="1183">
        <f>VLOOKUP($Z1548,UsoSuelo!$CO$1054:$DA$1120,13,FALSE)</f>
        <v>0</v>
      </c>
      <c r="AR1549" s="1195"/>
    </row>
    <row r="1550" spans="2:44" ht="13.75" hidden="1" customHeight="1" x14ac:dyDescent="0.2">
      <c r="B1550" s="1195"/>
      <c r="C1550" s="193"/>
      <c r="D1550" s="193"/>
      <c r="E1550" s="193"/>
      <c r="F1550" s="193" t="s">
        <v>692</v>
      </c>
      <c r="G1550" s="193"/>
      <c r="H1550" s="193"/>
      <c r="I1550" s="378">
        <f>VLOOKUP(C1548,UsoSuelo!$CB$1275:$CN$1341,2,FALSE)</f>
        <v>0</v>
      </c>
      <c r="J1550" s="1193">
        <f>VLOOKUP(C1548,UsoSuelo!$CB$1275:$CN$1341,3,FALSE)</f>
        <v>0</v>
      </c>
      <c r="K1550" s="1193">
        <f>VLOOKUP(C1548,UsoSuelo!$CB$1275:$CN$1341,4,FALSE)</f>
        <v>0</v>
      </c>
      <c r="L1550" s="1193">
        <f>VLOOKUP(C1548,UsoSuelo!$CB$1275:$CN$1341,5,FALSE)</f>
        <v>0</v>
      </c>
      <c r="M1550" s="1193">
        <f>VLOOKUP(C1548,UsoSuelo!$CB$1275:$CN$1341,6,FALSE)</f>
        <v>0</v>
      </c>
      <c r="N1550" s="1193">
        <f>VLOOKUP(C1548,UsoSuelo!$CB$1275:$CN$1341,7,FALSE)</f>
        <v>0</v>
      </c>
      <c r="O1550" s="1193">
        <f>VLOOKUP(C1548,UsoSuelo!$CB$1275:$CN$1341,8,FALSE)</f>
        <v>0</v>
      </c>
      <c r="P1550" s="1193">
        <f>VLOOKUP(C1548,UsoSuelo!$CB$1275:$CN$1341,9,FALSE)</f>
        <v>0</v>
      </c>
      <c r="Q1550" s="1193">
        <f>VLOOKUP(C1548,UsoSuelo!$CB$1275:$CN$1341,10,FALSE)</f>
        <v>0</v>
      </c>
      <c r="R1550" s="1193">
        <f>VLOOKUP(C1548,UsoSuelo!$CB$1275:$CN$1341,11,FALSE)</f>
        <v>0</v>
      </c>
      <c r="S1550" s="1193">
        <f>VLOOKUP(C1548,UsoSuelo!$CB$1275:$CN$1341,12,FALSE)</f>
        <v>0</v>
      </c>
      <c r="T1550" s="1183">
        <f>VLOOKUP(C1548,UsoSuelo!$CB$1275:$CN$1341,13,FALSE)</f>
        <v>0</v>
      </c>
      <c r="U1550" s="1195"/>
      <c r="Y1550" s="1195"/>
      <c r="Z1550" s="193"/>
      <c r="AA1550" s="193"/>
      <c r="AB1550" s="193"/>
      <c r="AC1550" s="193" t="s">
        <v>247</v>
      </c>
      <c r="AD1550" s="193" t="s">
        <v>699</v>
      </c>
      <c r="AE1550" s="193"/>
      <c r="AF1550" s="378">
        <f>VLOOKUP($Z1548,UsoSuelo!$DB$1201:$DN$1267,2,FALSE)</f>
        <v>0</v>
      </c>
      <c r="AG1550" s="1193">
        <f>VLOOKUP($Z1548,UsoSuelo!$DB$1201:$DN$1267,3,FALSE)</f>
        <v>0</v>
      </c>
      <c r="AH1550" s="1193">
        <f>VLOOKUP($Z1548,UsoSuelo!$DB$1201:$DN$1267,4,FALSE)</f>
        <v>0</v>
      </c>
      <c r="AI1550" s="1193">
        <f>VLOOKUP($Z1548,UsoSuelo!$DB$1201:$DN$1267,5,FALSE)</f>
        <v>0</v>
      </c>
      <c r="AJ1550" s="1193">
        <f>VLOOKUP($Z1548,UsoSuelo!$DB$1201:$DN$1267,6,FALSE)</f>
        <v>0</v>
      </c>
      <c r="AK1550" s="1193">
        <f>VLOOKUP($Z1548,UsoSuelo!$DB$1201:$DN$1267,7,FALSE)</f>
        <v>0</v>
      </c>
      <c r="AL1550" s="1193">
        <f>VLOOKUP($Z1548,UsoSuelo!$DB$1201:$DN$1267,8,FALSE)</f>
        <v>0</v>
      </c>
      <c r="AM1550" s="1193">
        <f>VLOOKUP($Z1548,UsoSuelo!$DB$1201:$DN$1267,9,FALSE)</f>
        <v>0</v>
      </c>
      <c r="AN1550" s="1193">
        <f>VLOOKUP($Z1548,UsoSuelo!$DB$1201:$DN$1267,10,FALSE)</f>
        <v>0</v>
      </c>
      <c r="AO1550" s="1193">
        <f>VLOOKUP($Z1548,UsoSuelo!$DB$1201:$DN$1267,11,FALSE)</f>
        <v>0</v>
      </c>
      <c r="AP1550" s="1193">
        <f>VLOOKUP($Z1548,UsoSuelo!$DB$1201:$DN$1267,12,FALSE)</f>
        <v>0</v>
      </c>
      <c r="AQ1550" s="1183">
        <f>VLOOKUP($Z1548,UsoSuelo!$DB$1201:$DN$1267,13,FALSE)</f>
        <v>0</v>
      </c>
      <c r="AR1550" s="1195"/>
    </row>
    <row r="1551" spans="2:44" ht="13.75" hidden="1" customHeight="1" x14ac:dyDescent="0.2">
      <c r="B1551" s="1195"/>
      <c r="C1551" s="193"/>
      <c r="D1551" s="193"/>
      <c r="E1551" s="193"/>
      <c r="F1551" s="193" t="s">
        <v>230</v>
      </c>
      <c r="G1551" s="193"/>
      <c r="H1551" s="193"/>
      <c r="I1551" s="378">
        <f t="shared" ref="I1551:T1551" si="858">+I329</f>
        <v>0</v>
      </c>
      <c r="J1551" s="1193">
        <f t="shared" si="858"/>
        <v>0</v>
      </c>
      <c r="K1551" s="1193">
        <f t="shared" si="858"/>
        <v>0</v>
      </c>
      <c r="L1551" s="1193">
        <f t="shared" si="858"/>
        <v>0</v>
      </c>
      <c r="M1551" s="1193">
        <f t="shared" si="858"/>
        <v>0</v>
      </c>
      <c r="N1551" s="1193">
        <f t="shared" si="858"/>
        <v>0</v>
      </c>
      <c r="O1551" s="1193">
        <f t="shared" si="858"/>
        <v>0</v>
      </c>
      <c r="P1551" s="1193">
        <f t="shared" si="858"/>
        <v>0</v>
      </c>
      <c r="Q1551" s="1193">
        <f t="shared" si="858"/>
        <v>0</v>
      </c>
      <c r="R1551" s="1193">
        <f t="shared" si="858"/>
        <v>0</v>
      </c>
      <c r="S1551" s="1193">
        <f t="shared" si="858"/>
        <v>0</v>
      </c>
      <c r="T1551" s="1183">
        <f t="shared" si="858"/>
        <v>0</v>
      </c>
      <c r="U1551" s="1195"/>
      <c r="Y1551" s="1195"/>
      <c r="Z1551" s="193"/>
      <c r="AA1551" s="193"/>
      <c r="AB1551" s="193"/>
      <c r="AC1551" s="193" t="s">
        <v>230</v>
      </c>
      <c r="AD1551" s="193"/>
      <c r="AE1551" s="193"/>
      <c r="AF1551" s="378">
        <f t="shared" ref="AF1551:AQ1551" si="859">+AF329</f>
        <v>0</v>
      </c>
      <c r="AG1551" s="1193">
        <f t="shared" si="859"/>
        <v>0</v>
      </c>
      <c r="AH1551" s="1193">
        <f t="shared" si="859"/>
        <v>0</v>
      </c>
      <c r="AI1551" s="1193">
        <f t="shared" si="859"/>
        <v>0</v>
      </c>
      <c r="AJ1551" s="1193">
        <f t="shared" si="859"/>
        <v>0</v>
      </c>
      <c r="AK1551" s="1193">
        <f t="shared" si="859"/>
        <v>0</v>
      </c>
      <c r="AL1551" s="1193">
        <f t="shared" si="859"/>
        <v>0</v>
      </c>
      <c r="AM1551" s="1193">
        <f t="shared" si="859"/>
        <v>0</v>
      </c>
      <c r="AN1551" s="1193">
        <f t="shared" si="859"/>
        <v>0</v>
      </c>
      <c r="AO1551" s="1193">
        <f t="shared" si="859"/>
        <v>0</v>
      </c>
      <c r="AP1551" s="1193">
        <f t="shared" si="859"/>
        <v>0</v>
      </c>
      <c r="AQ1551" s="1183">
        <f t="shared" si="859"/>
        <v>0</v>
      </c>
      <c r="AR1551" s="1195"/>
    </row>
    <row r="1552" spans="2:44" ht="13.75" hidden="1" customHeight="1" x14ac:dyDescent="0.2">
      <c r="B1552" s="1196"/>
      <c r="C1552" s="374"/>
      <c r="D1552" s="374"/>
      <c r="E1552" s="374"/>
      <c r="F1552" s="374" t="s">
        <v>810</v>
      </c>
      <c r="G1552" s="374"/>
      <c r="H1552" s="374"/>
      <c r="I1552" s="377">
        <f t="shared" ref="I1552:T1552" si="860">+IF($B1548="Agrícola",0,I1551)</f>
        <v>0</v>
      </c>
      <c r="J1552" s="1200">
        <f t="shared" si="860"/>
        <v>0</v>
      </c>
      <c r="K1552" s="1200">
        <f t="shared" si="860"/>
        <v>0</v>
      </c>
      <c r="L1552" s="1200">
        <f t="shared" si="860"/>
        <v>0</v>
      </c>
      <c r="M1552" s="1200">
        <f t="shared" si="860"/>
        <v>0</v>
      </c>
      <c r="N1552" s="1200">
        <f t="shared" si="860"/>
        <v>0</v>
      </c>
      <c r="O1552" s="1200">
        <f t="shared" si="860"/>
        <v>0</v>
      </c>
      <c r="P1552" s="1200">
        <f t="shared" si="860"/>
        <v>0</v>
      </c>
      <c r="Q1552" s="1200">
        <f t="shared" si="860"/>
        <v>0</v>
      </c>
      <c r="R1552" s="1200">
        <f t="shared" si="860"/>
        <v>0</v>
      </c>
      <c r="S1552" s="1200">
        <f t="shared" si="860"/>
        <v>0</v>
      </c>
      <c r="T1552" s="1201">
        <f t="shared" si="860"/>
        <v>0</v>
      </c>
      <c r="U1552" s="1195"/>
      <c r="Y1552" s="1196"/>
      <c r="Z1552" s="374"/>
      <c r="AA1552" s="374"/>
      <c r="AB1552" s="374"/>
      <c r="AC1552" s="374" t="s">
        <v>811</v>
      </c>
      <c r="AD1552" s="374"/>
      <c r="AE1552" s="374"/>
      <c r="AF1552" s="377">
        <f t="shared" ref="AF1552:AQ1552" si="861">+IF($Y1548="Agrícola",0,AF1551)</f>
        <v>0</v>
      </c>
      <c r="AG1552" s="1200">
        <f t="shared" si="861"/>
        <v>0</v>
      </c>
      <c r="AH1552" s="1200">
        <f t="shared" si="861"/>
        <v>0</v>
      </c>
      <c r="AI1552" s="1200">
        <f t="shared" si="861"/>
        <v>0</v>
      </c>
      <c r="AJ1552" s="1200">
        <f t="shared" si="861"/>
        <v>0</v>
      </c>
      <c r="AK1552" s="1200">
        <f t="shared" si="861"/>
        <v>0</v>
      </c>
      <c r="AL1552" s="1200">
        <f t="shared" si="861"/>
        <v>0</v>
      </c>
      <c r="AM1552" s="1200">
        <f t="shared" si="861"/>
        <v>0</v>
      </c>
      <c r="AN1552" s="1200">
        <f t="shared" si="861"/>
        <v>0</v>
      </c>
      <c r="AO1552" s="1200">
        <f t="shared" si="861"/>
        <v>0</v>
      </c>
      <c r="AP1552" s="1200">
        <f t="shared" si="861"/>
        <v>0</v>
      </c>
      <c r="AQ1552" s="1201">
        <f t="shared" si="861"/>
        <v>0</v>
      </c>
      <c r="AR1552" s="1195"/>
    </row>
    <row r="1553" spans="2:44" ht="13.75" hidden="1" customHeight="1" x14ac:dyDescent="0.2">
      <c r="B1553" s="1195"/>
      <c r="C1553" s="193"/>
      <c r="D1553" s="193"/>
      <c r="E1553" s="193"/>
      <c r="F1553" s="193" t="s">
        <v>695</v>
      </c>
      <c r="G1553" s="193"/>
      <c r="H1553" s="193"/>
      <c r="I1553" s="1202">
        <f t="shared" ref="I1553:T1553" si="862">IFERROR(I1549/I1552,0)</f>
        <v>0</v>
      </c>
      <c r="J1553" s="1203">
        <f t="shared" si="862"/>
        <v>0</v>
      </c>
      <c r="K1553" s="1203">
        <f t="shared" si="862"/>
        <v>0</v>
      </c>
      <c r="L1553" s="1203">
        <f t="shared" si="862"/>
        <v>0</v>
      </c>
      <c r="M1553" s="1203">
        <f t="shared" si="862"/>
        <v>0</v>
      </c>
      <c r="N1553" s="1203">
        <f t="shared" si="862"/>
        <v>0</v>
      </c>
      <c r="O1553" s="1203">
        <f t="shared" si="862"/>
        <v>0</v>
      </c>
      <c r="P1553" s="1203">
        <f t="shared" si="862"/>
        <v>0</v>
      </c>
      <c r="Q1553" s="1203">
        <f t="shared" si="862"/>
        <v>0</v>
      </c>
      <c r="R1553" s="1203">
        <f t="shared" si="862"/>
        <v>0</v>
      </c>
      <c r="S1553" s="1203">
        <f t="shared" si="862"/>
        <v>0</v>
      </c>
      <c r="T1553" s="1204">
        <f t="shared" si="862"/>
        <v>0</v>
      </c>
      <c r="U1553" s="1582"/>
      <c r="Y1553" s="1195"/>
      <c r="Z1553" s="193"/>
      <c r="AA1553" s="193"/>
      <c r="AB1553" s="193"/>
      <c r="AC1553" s="193" t="s">
        <v>695</v>
      </c>
      <c r="AD1553" s="193"/>
      <c r="AE1553" s="193"/>
      <c r="AF1553" s="1202">
        <f t="shared" ref="AF1553:AQ1553" si="863">IFERROR(AF1549/AF1552,0)</f>
        <v>0</v>
      </c>
      <c r="AG1553" s="1203">
        <f t="shared" si="863"/>
        <v>0</v>
      </c>
      <c r="AH1553" s="1203">
        <f t="shared" si="863"/>
        <v>0</v>
      </c>
      <c r="AI1553" s="1203">
        <f t="shared" si="863"/>
        <v>0</v>
      </c>
      <c r="AJ1553" s="1203">
        <f t="shared" si="863"/>
        <v>0</v>
      </c>
      <c r="AK1553" s="1203">
        <f t="shared" si="863"/>
        <v>0</v>
      </c>
      <c r="AL1553" s="1203">
        <f t="shared" si="863"/>
        <v>0</v>
      </c>
      <c r="AM1553" s="1203">
        <f t="shared" si="863"/>
        <v>0</v>
      </c>
      <c r="AN1553" s="1203">
        <f t="shared" si="863"/>
        <v>0</v>
      </c>
      <c r="AO1553" s="1203">
        <f t="shared" si="863"/>
        <v>0</v>
      </c>
      <c r="AP1553" s="1203">
        <f t="shared" si="863"/>
        <v>0</v>
      </c>
      <c r="AQ1553" s="1204">
        <f t="shared" si="863"/>
        <v>0</v>
      </c>
      <c r="AR1553" s="1582"/>
    </row>
    <row r="1554" spans="2:44" ht="13.75" hidden="1" customHeight="1" x14ac:dyDescent="0.2">
      <c r="B1554" s="1195"/>
      <c r="C1554" s="193"/>
      <c r="D1554" s="193"/>
      <c r="E1554" s="193"/>
      <c r="F1554" s="193" t="s">
        <v>696</v>
      </c>
      <c r="G1554" s="193"/>
      <c r="H1554" s="193"/>
      <c r="I1554" s="1202">
        <f>IFERROR(I1550/I1552,0)</f>
        <v>0</v>
      </c>
      <c r="J1554" s="1203">
        <f t="shared" ref="J1554:T1554" si="864">IFERROR(J1550/J1552,0)</f>
        <v>0</v>
      </c>
      <c r="K1554" s="1203">
        <f t="shared" si="864"/>
        <v>0</v>
      </c>
      <c r="L1554" s="1203">
        <f t="shared" si="864"/>
        <v>0</v>
      </c>
      <c r="M1554" s="1203">
        <f t="shared" si="864"/>
        <v>0</v>
      </c>
      <c r="N1554" s="1203">
        <f t="shared" si="864"/>
        <v>0</v>
      </c>
      <c r="O1554" s="1203">
        <f t="shared" si="864"/>
        <v>0</v>
      </c>
      <c r="P1554" s="1203">
        <f t="shared" si="864"/>
        <v>0</v>
      </c>
      <c r="Q1554" s="1203">
        <f t="shared" si="864"/>
        <v>0</v>
      </c>
      <c r="R1554" s="1203">
        <f t="shared" si="864"/>
        <v>0</v>
      </c>
      <c r="S1554" s="1203">
        <f t="shared" si="864"/>
        <v>0</v>
      </c>
      <c r="T1554" s="1204">
        <f t="shared" si="864"/>
        <v>0</v>
      </c>
      <c r="U1554" s="1582"/>
      <c r="Y1554" s="1195"/>
      <c r="Z1554" s="193"/>
      <c r="AA1554" s="193"/>
      <c r="AB1554" s="193"/>
      <c r="AC1554" s="193" t="s">
        <v>696</v>
      </c>
      <c r="AD1554" s="193"/>
      <c r="AE1554" s="193"/>
      <c r="AF1554" s="1202">
        <f>IFERROR(AF1550/AF1552,0)</f>
        <v>0</v>
      </c>
      <c r="AG1554" s="1203">
        <f t="shared" ref="AG1554:AQ1554" si="865">IFERROR(AG1550/AG1552,0)</f>
        <v>0</v>
      </c>
      <c r="AH1554" s="1203">
        <f t="shared" si="865"/>
        <v>0</v>
      </c>
      <c r="AI1554" s="1203">
        <f t="shared" si="865"/>
        <v>0</v>
      </c>
      <c r="AJ1554" s="1203">
        <f t="shared" si="865"/>
        <v>0</v>
      </c>
      <c r="AK1554" s="1203">
        <f t="shared" si="865"/>
        <v>0</v>
      </c>
      <c r="AL1554" s="1203">
        <f t="shared" si="865"/>
        <v>0</v>
      </c>
      <c r="AM1554" s="1203">
        <f t="shared" si="865"/>
        <v>0</v>
      </c>
      <c r="AN1554" s="1203">
        <f t="shared" si="865"/>
        <v>0</v>
      </c>
      <c r="AO1554" s="1203">
        <f t="shared" si="865"/>
        <v>0</v>
      </c>
      <c r="AP1554" s="1203">
        <f t="shared" si="865"/>
        <v>0</v>
      </c>
      <c r="AQ1554" s="1204">
        <f t="shared" si="865"/>
        <v>0</v>
      </c>
      <c r="AR1554" s="1582"/>
    </row>
    <row r="1555" spans="2:44" ht="13.75" hidden="1" customHeight="1" x14ac:dyDescent="0.2">
      <c r="B1555" s="1196" t="s">
        <v>803</v>
      </c>
      <c r="C1555" s="374"/>
      <c r="D1555" s="374"/>
      <c r="E1555" s="374"/>
      <c r="F1555" s="374" t="s">
        <v>697</v>
      </c>
      <c r="G1555" s="374" t="s">
        <v>694</v>
      </c>
      <c r="H1555" s="193"/>
      <c r="I1555" s="377">
        <f t="shared" ref="I1555:T1555" si="866">+SUMPRODUCT(I346:I363,$F346:$F363)</f>
        <v>0</v>
      </c>
      <c r="J1555" s="1200">
        <f t="shared" si="866"/>
        <v>0</v>
      </c>
      <c r="K1555" s="1200">
        <f t="shared" si="866"/>
        <v>0</v>
      </c>
      <c r="L1555" s="1200">
        <f t="shared" si="866"/>
        <v>0</v>
      </c>
      <c r="M1555" s="1200">
        <f t="shared" si="866"/>
        <v>0</v>
      </c>
      <c r="N1555" s="1200">
        <f t="shared" si="866"/>
        <v>0</v>
      </c>
      <c r="O1555" s="1200">
        <f t="shared" si="866"/>
        <v>0</v>
      </c>
      <c r="P1555" s="1200">
        <f t="shared" si="866"/>
        <v>0</v>
      </c>
      <c r="Q1555" s="1200">
        <f t="shared" si="866"/>
        <v>0</v>
      </c>
      <c r="R1555" s="1200">
        <f t="shared" si="866"/>
        <v>0</v>
      </c>
      <c r="S1555" s="1200">
        <f t="shared" si="866"/>
        <v>0</v>
      </c>
      <c r="T1555" s="1201">
        <f t="shared" si="866"/>
        <v>0</v>
      </c>
      <c r="U1555" s="1195"/>
      <c r="Y1555" s="1196" t="s">
        <v>803</v>
      </c>
      <c r="Z1555" s="374"/>
      <c r="AA1555" s="374"/>
      <c r="AB1555" s="374"/>
      <c r="AC1555" s="374" t="s">
        <v>697</v>
      </c>
      <c r="AD1555" s="374" t="s">
        <v>694</v>
      </c>
      <c r="AE1555" s="193"/>
      <c r="AF1555" s="377">
        <f t="shared" ref="AF1555:AQ1555" si="867">+SUMPRODUCT(AF346:AF363,$AC346:$AC363)</f>
        <v>0</v>
      </c>
      <c r="AG1555" s="1200">
        <f t="shared" si="867"/>
        <v>0</v>
      </c>
      <c r="AH1555" s="1200">
        <f t="shared" si="867"/>
        <v>0</v>
      </c>
      <c r="AI1555" s="1200">
        <f t="shared" si="867"/>
        <v>0</v>
      </c>
      <c r="AJ1555" s="1200">
        <f t="shared" si="867"/>
        <v>0</v>
      </c>
      <c r="AK1555" s="1200">
        <f t="shared" si="867"/>
        <v>0</v>
      </c>
      <c r="AL1555" s="1200">
        <f t="shared" si="867"/>
        <v>0</v>
      </c>
      <c r="AM1555" s="1200">
        <f t="shared" si="867"/>
        <v>0</v>
      </c>
      <c r="AN1555" s="1200">
        <f t="shared" si="867"/>
        <v>0</v>
      </c>
      <c r="AO1555" s="1200">
        <f t="shared" si="867"/>
        <v>0</v>
      </c>
      <c r="AP1555" s="1200">
        <f t="shared" si="867"/>
        <v>0</v>
      </c>
      <c r="AQ1555" s="1201">
        <f t="shared" si="867"/>
        <v>0</v>
      </c>
      <c r="AR1555" s="1195"/>
    </row>
    <row r="1556" spans="2:44" ht="13.75" hidden="1" customHeight="1" x14ac:dyDescent="0.2">
      <c r="B1556" s="1195"/>
      <c r="C1556" s="193"/>
      <c r="D1556" s="193"/>
      <c r="E1556" s="193"/>
      <c r="F1556" s="193" t="s">
        <v>697</v>
      </c>
      <c r="G1556" s="193" t="s">
        <v>698</v>
      </c>
      <c r="H1556" s="193"/>
      <c r="I1556" s="378">
        <f>+I1555*I1553</f>
        <v>0</v>
      </c>
      <c r="J1556" s="1193">
        <f t="shared" ref="J1556:T1556" si="868">+J1555*J1553</f>
        <v>0</v>
      </c>
      <c r="K1556" s="1193">
        <f t="shared" si="868"/>
        <v>0</v>
      </c>
      <c r="L1556" s="1193">
        <f t="shared" si="868"/>
        <v>0</v>
      </c>
      <c r="M1556" s="1193">
        <f t="shared" si="868"/>
        <v>0</v>
      </c>
      <c r="N1556" s="1193">
        <f t="shared" si="868"/>
        <v>0</v>
      </c>
      <c r="O1556" s="1193">
        <f t="shared" si="868"/>
        <v>0</v>
      </c>
      <c r="P1556" s="1193">
        <f t="shared" si="868"/>
        <v>0</v>
      </c>
      <c r="Q1556" s="1193">
        <f t="shared" si="868"/>
        <v>0</v>
      </c>
      <c r="R1556" s="1193">
        <f t="shared" si="868"/>
        <v>0</v>
      </c>
      <c r="S1556" s="1193">
        <f t="shared" si="868"/>
        <v>0</v>
      </c>
      <c r="T1556" s="1183">
        <f t="shared" si="868"/>
        <v>0</v>
      </c>
      <c r="U1556" s="1195"/>
      <c r="Y1556" s="1195"/>
      <c r="Z1556" s="193"/>
      <c r="AA1556" s="193"/>
      <c r="AB1556" s="193"/>
      <c r="AC1556" s="193" t="s">
        <v>697</v>
      </c>
      <c r="AD1556" s="193" t="s">
        <v>698</v>
      </c>
      <c r="AE1556" s="193"/>
      <c r="AF1556" s="378">
        <f>+AF1555*AF1553</f>
        <v>0</v>
      </c>
      <c r="AG1556" s="1193">
        <f t="shared" ref="AG1556:AQ1556" si="869">+AG1555*AG1553</f>
        <v>0</v>
      </c>
      <c r="AH1556" s="1193">
        <f t="shared" si="869"/>
        <v>0</v>
      </c>
      <c r="AI1556" s="1193">
        <f t="shared" si="869"/>
        <v>0</v>
      </c>
      <c r="AJ1556" s="1193">
        <f t="shared" si="869"/>
        <v>0</v>
      </c>
      <c r="AK1556" s="1193">
        <f t="shared" si="869"/>
        <v>0</v>
      </c>
      <c r="AL1556" s="1193">
        <f t="shared" si="869"/>
        <v>0</v>
      </c>
      <c r="AM1556" s="1193">
        <f t="shared" si="869"/>
        <v>0</v>
      </c>
      <c r="AN1556" s="1193">
        <f t="shared" si="869"/>
        <v>0</v>
      </c>
      <c r="AO1556" s="1193">
        <f t="shared" si="869"/>
        <v>0</v>
      </c>
      <c r="AP1556" s="1193">
        <f t="shared" si="869"/>
        <v>0</v>
      </c>
      <c r="AQ1556" s="1183">
        <f t="shared" si="869"/>
        <v>0</v>
      </c>
      <c r="AR1556" s="1195"/>
    </row>
    <row r="1557" spans="2:44" ht="13.75" hidden="1" customHeight="1" x14ac:dyDescent="0.2">
      <c r="B1557" s="1197"/>
      <c r="C1557" s="379"/>
      <c r="D1557" s="379"/>
      <c r="E1557" s="379"/>
      <c r="F1557" s="379" t="s">
        <v>30</v>
      </c>
      <c r="G1557" s="379" t="s">
        <v>699</v>
      </c>
      <c r="H1557" s="193"/>
      <c r="I1557" s="380">
        <f>+I1555*I1554</f>
        <v>0</v>
      </c>
      <c r="J1557" s="1205">
        <f t="shared" ref="J1557:T1557" si="870">+J1555*J1554</f>
        <v>0</v>
      </c>
      <c r="K1557" s="1205">
        <f t="shared" si="870"/>
        <v>0</v>
      </c>
      <c r="L1557" s="1205">
        <f t="shared" si="870"/>
        <v>0</v>
      </c>
      <c r="M1557" s="1205">
        <f t="shared" si="870"/>
        <v>0</v>
      </c>
      <c r="N1557" s="1205">
        <f t="shared" si="870"/>
        <v>0</v>
      </c>
      <c r="O1557" s="1205">
        <f t="shared" si="870"/>
        <v>0</v>
      </c>
      <c r="P1557" s="1205">
        <f t="shared" si="870"/>
        <v>0</v>
      </c>
      <c r="Q1557" s="1205">
        <f t="shared" si="870"/>
        <v>0</v>
      </c>
      <c r="R1557" s="1205">
        <f t="shared" si="870"/>
        <v>0</v>
      </c>
      <c r="S1557" s="1205">
        <f t="shared" si="870"/>
        <v>0</v>
      </c>
      <c r="T1557" s="1190">
        <f t="shared" si="870"/>
        <v>0</v>
      </c>
      <c r="U1557" s="1195"/>
      <c r="Y1557" s="1197"/>
      <c r="Z1557" s="379"/>
      <c r="AA1557" s="379"/>
      <c r="AB1557" s="379"/>
      <c r="AC1557" s="379" t="s">
        <v>30</v>
      </c>
      <c r="AD1557" s="379" t="s">
        <v>699</v>
      </c>
      <c r="AE1557" s="193"/>
      <c r="AF1557" s="380">
        <f>+AF1555*AF1554</f>
        <v>0</v>
      </c>
      <c r="AG1557" s="1205">
        <f t="shared" ref="AG1557:AQ1557" si="871">+AG1555*AG1554</f>
        <v>0</v>
      </c>
      <c r="AH1557" s="1205">
        <f t="shared" si="871"/>
        <v>0</v>
      </c>
      <c r="AI1557" s="1205">
        <f t="shared" si="871"/>
        <v>0</v>
      </c>
      <c r="AJ1557" s="1205">
        <f t="shared" si="871"/>
        <v>0</v>
      </c>
      <c r="AK1557" s="1205">
        <f t="shared" si="871"/>
        <v>0</v>
      </c>
      <c r="AL1557" s="1205">
        <f t="shared" si="871"/>
        <v>0</v>
      </c>
      <c r="AM1557" s="1205">
        <f t="shared" si="871"/>
        <v>0</v>
      </c>
      <c r="AN1557" s="1205">
        <f t="shared" si="871"/>
        <v>0</v>
      </c>
      <c r="AO1557" s="1205">
        <f t="shared" si="871"/>
        <v>0</v>
      </c>
      <c r="AP1557" s="1205">
        <f t="shared" si="871"/>
        <v>0</v>
      </c>
      <c r="AQ1557" s="1190">
        <f t="shared" si="871"/>
        <v>0</v>
      </c>
      <c r="AR1557" s="1195"/>
    </row>
    <row r="1558" spans="2:44" ht="13.75" hidden="1" customHeight="1" x14ac:dyDescent="0.2">
      <c r="B1558" s="1196" t="s">
        <v>447</v>
      </c>
      <c r="C1558" s="374"/>
      <c r="D1558" s="374"/>
      <c r="E1558" s="374"/>
      <c r="F1558" s="374" t="s">
        <v>697</v>
      </c>
      <c r="G1558" s="374" t="s">
        <v>694</v>
      </c>
      <c r="H1558" s="193"/>
      <c r="I1558" s="377">
        <f t="shared" ref="I1558:T1558" si="872">+SUMPRODUCT(I339:I343,$F339:$F343)</f>
        <v>0</v>
      </c>
      <c r="J1558" s="1200">
        <f t="shared" si="872"/>
        <v>0</v>
      </c>
      <c r="K1558" s="1200">
        <f t="shared" si="872"/>
        <v>0</v>
      </c>
      <c r="L1558" s="1200">
        <f t="shared" si="872"/>
        <v>0</v>
      </c>
      <c r="M1558" s="1200">
        <f t="shared" si="872"/>
        <v>0</v>
      </c>
      <c r="N1558" s="1200">
        <f t="shared" si="872"/>
        <v>0</v>
      </c>
      <c r="O1558" s="1200">
        <f t="shared" si="872"/>
        <v>0</v>
      </c>
      <c r="P1558" s="1200">
        <f t="shared" si="872"/>
        <v>0</v>
      </c>
      <c r="Q1558" s="1200">
        <f t="shared" si="872"/>
        <v>0</v>
      </c>
      <c r="R1558" s="1200">
        <f t="shared" si="872"/>
        <v>0</v>
      </c>
      <c r="S1558" s="1200">
        <f t="shared" si="872"/>
        <v>0</v>
      </c>
      <c r="T1558" s="1201">
        <f t="shared" si="872"/>
        <v>0</v>
      </c>
      <c r="U1558" s="1195"/>
      <c r="Y1558" s="1196" t="s">
        <v>447</v>
      </c>
      <c r="Z1558" s="374"/>
      <c r="AA1558" s="374"/>
      <c r="AB1558" s="374"/>
      <c r="AC1558" s="374" t="s">
        <v>697</v>
      </c>
      <c r="AD1558" s="374" t="s">
        <v>694</v>
      </c>
      <c r="AE1558" s="193"/>
      <c r="AF1558" s="377">
        <f t="shared" ref="AF1558:AQ1558" si="873">+SUMPRODUCT(AF339:AF343,$AC339:$AC343)</f>
        <v>0</v>
      </c>
      <c r="AG1558" s="1200">
        <f t="shared" si="873"/>
        <v>0</v>
      </c>
      <c r="AH1558" s="1200">
        <f t="shared" si="873"/>
        <v>0</v>
      </c>
      <c r="AI1558" s="1200">
        <f t="shared" si="873"/>
        <v>0</v>
      </c>
      <c r="AJ1558" s="1200">
        <f t="shared" si="873"/>
        <v>0</v>
      </c>
      <c r="AK1558" s="1200">
        <f t="shared" si="873"/>
        <v>0</v>
      </c>
      <c r="AL1558" s="1200">
        <f t="shared" si="873"/>
        <v>0</v>
      </c>
      <c r="AM1558" s="1200">
        <f t="shared" si="873"/>
        <v>0</v>
      </c>
      <c r="AN1558" s="1200">
        <f t="shared" si="873"/>
        <v>0</v>
      </c>
      <c r="AO1558" s="1200">
        <f t="shared" si="873"/>
        <v>0</v>
      </c>
      <c r="AP1558" s="1200">
        <f t="shared" si="873"/>
        <v>0</v>
      </c>
      <c r="AQ1558" s="1201">
        <f t="shared" si="873"/>
        <v>0</v>
      </c>
      <c r="AR1558" s="1195"/>
    </row>
    <row r="1559" spans="2:44" ht="13.75" hidden="1" customHeight="1" x14ac:dyDescent="0.2">
      <c r="B1559" s="1195"/>
      <c r="C1559" s="193"/>
      <c r="D1559" s="193"/>
      <c r="E1559" s="193"/>
      <c r="F1559" s="193" t="s">
        <v>697</v>
      </c>
      <c r="G1559" s="193" t="s">
        <v>698</v>
      </c>
      <c r="H1559" s="193"/>
      <c r="I1559" s="378">
        <f t="shared" ref="I1559:T1559" si="874">+I1558*I1553</f>
        <v>0</v>
      </c>
      <c r="J1559" s="1193">
        <f t="shared" si="874"/>
        <v>0</v>
      </c>
      <c r="K1559" s="1193">
        <f t="shared" si="874"/>
        <v>0</v>
      </c>
      <c r="L1559" s="1193">
        <f t="shared" si="874"/>
        <v>0</v>
      </c>
      <c r="M1559" s="1193">
        <f t="shared" si="874"/>
        <v>0</v>
      </c>
      <c r="N1559" s="1193">
        <f t="shared" si="874"/>
        <v>0</v>
      </c>
      <c r="O1559" s="1193">
        <f t="shared" si="874"/>
        <v>0</v>
      </c>
      <c r="P1559" s="1193">
        <f t="shared" si="874"/>
        <v>0</v>
      </c>
      <c r="Q1559" s="1193">
        <f t="shared" si="874"/>
        <v>0</v>
      </c>
      <c r="R1559" s="1193">
        <f t="shared" si="874"/>
        <v>0</v>
      </c>
      <c r="S1559" s="1193">
        <f t="shared" si="874"/>
        <v>0</v>
      </c>
      <c r="T1559" s="1183">
        <f t="shared" si="874"/>
        <v>0</v>
      </c>
      <c r="U1559" s="1195"/>
      <c r="Y1559" s="1195"/>
      <c r="Z1559" s="193"/>
      <c r="AA1559" s="193"/>
      <c r="AB1559" s="193"/>
      <c r="AC1559" s="193" t="s">
        <v>697</v>
      </c>
      <c r="AD1559" s="193" t="s">
        <v>698</v>
      </c>
      <c r="AE1559" s="193"/>
      <c r="AF1559" s="378">
        <f t="shared" ref="AF1559:AQ1559" si="875">+AF1558*AF1553</f>
        <v>0</v>
      </c>
      <c r="AG1559" s="1193">
        <f t="shared" si="875"/>
        <v>0</v>
      </c>
      <c r="AH1559" s="1193">
        <f t="shared" si="875"/>
        <v>0</v>
      </c>
      <c r="AI1559" s="1193">
        <f t="shared" si="875"/>
        <v>0</v>
      </c>
      <c r="AJ1559" s="1193">
        <f t="shared" si="875"/>
        <v>0</v>
      </c>
      <c r="AK1559" s="1193">
        <f t="shared" si="875"/>
        <v>0</v>
      </c>
      <c r="AL1559" s="1193">
        <f t="shared" si="875"/>
        <v>0</v>
      </c>
      <c r="AM1559" s="1193">
        <f t="shared" si="875"/>
        <v>0</v>
      </c>
      <c r="AN1559" s="1193">
        <f t="shared" si="875"/>
        <v>0</v>
      </c>
      <c r="AO1559" s="1193">
        <f t="shared" si="875"/>
        <v>0</v>
      </c>
      <c r="AP1559" s="1193">
        <f t="shared" si="875"/>
        <v>0</v>
      </c>
      <c r="AQ1559" s="1183">
        <f t="shared" si="875"/>
        <v>0</v>
      </c>
      <c r="AR1559" s="1195"/>
    </row>
    <row r="1560" spans="2:44" ht="14.4" hidden="1" customHeight="1" thickBot="1" x14ac:dyDescent="0.25">
      <c r="B1560" s="1198"/>
      <c r="C1560" s="1199"/>
      <c r="D1560" s="1199"/>
      <c r="E1560" s="1199"/>
      <c r="F1560" s="1199" t="s">
        <v>30</v>
      </c>
      <c r="G1560" s="1199" t="s">
        <v>699</v>
      </c>
      <c r="H1560" s="1199"/>
      <c r="I1560" s="1206">
        <f>+I1558*I1554</f>
        <v>0</v>
      </c>
      <c r="J1560" s="1207">
        <f t="shared" ref="J1560:T1560" si="876">+J1558*J1554</f>
        <v>0</v>
      </c>
      <c r="K1560" s="1207">
        <f t="shared" si="876"/>
        <v>0</v>
      </c>
      <c r="L1560" s="1207">
        <f t="shared" si="876"/>
        <v>0</v>
      </c>
      <c r="M1560" s="1207">
        <f t="shared" si="876"/>
        <v>0</v>
      </c>
      <c r="N1560" s="1207">
        <f t="shared" si="876"/>
        <v>0</v>
      </c>
      <c r="O1560" s="1207">
        <f t="shared" si="876"/>
        <v>0</v>
      </c>
      <c r="P1560" s="1207">
        <f t="shared" si="876"/>
        <v>0</v>
      </c>
      <c r="Q1560" s="1207">
        <f t="shared" si="876"/>
        <v>0</v>
      </c>
      <c r="R1560" s="1207">
        <f t="shared" si="876"/>
        <v>0</v>
      </c>
      <c r="S1560" s="1207">
        <f t="shared" si="876"/>
        <v>0</v>
      </c>
      <c r="T1560" s="1208">
        <f t="shared" si="876"/>
        <v>0</v>
      </c>
      <c r="U1560" s="1195"/>
      <c r="Y1560" s="1198"/>
      <c r="Z1560" s="1199"/>
      <c r="AA1560" s="1199"/>
      <c r="AB1560" s="1199"/>
      <c r="AC1560" s="1199" t="s">
        <v>30</v>
      </c>
      <c r="AD1560" s="1199" t="s">
        <v>699</v>
      </c>
      <c r="AE1560" s="1199"/>
      <c r="AF1560" s="1206">
        <f>+AF1558*AF1554</f>
        <v>0</v>
      </c>
      <c r="AG1560" s="1207">
        <f t="shared" ref="AG1560:AQ1560" si="877">+AG1558*AG1554</f>
        <v>0</v>
      </c>
      <c r="AH1560" s="1207">
        <f t="shared" si="877"/>
        <v>0</v>
      </c>
      <c r="AI1560" s="1207">
        <f t="shared" si="877"/>
        <v>0</v>
      </c>
      <c r="AJ1560" s="1207">
        <f t="shared" si="877"/>
        <v>0</v>
      </c>
      <c r="AK1560" s="1207">
        <f t="shared" si="877"/>
        <v>0</v>
      </c>
      <c r="AL1560" s="1207">
        <f t="shared" si="877"/>
        <v>0</v>
      </c>
      <c r="AM1560" s="1207">
        <f t="shared" si="877"/>
        <v>0</v>
      </c>
      <c r="AN1560" s="1207">
        <f t="shared" si="877"/>
        <v>0</v>
      </c>
      <c r="AO1560" s="1207">
        <f t="shared" si="877"/>
        <v>0</v>
      </c>
      <c r="AP1560" s="1207">
        <f t="shared" si="877"/>
        <v>0</v>
      </c>
      <c r="AQ1560" s="1208">
        <f t="shared" si="877"/>
        <v>0</v>
      </c>
      <c r="AR1560" s="1195"/>
    </row>
    <row r="1561" spans="2:44" ht="14.4" hidden="1" customHeight="1" thickTop="1" x14ac:dyDescent="0.2">
      <c r="B1561" s="1537">
        <f>+B369</f>
        <v>0</v>
      </c>
      <c r="C1561" s="1581">
        <f>+C368</f>
        <v>0</v>
      </c>
      <c r="D1561" s="1194"/>
      <c r="E1561" s="1194"/>
      <c r="F1561" s="1194"/>
      <c r="G1561" s="1194"/>
      <c r="H1561" s="1194"/>
      <c r="I1561" s="1538"/>
      <c r="J1561" s="1539"/>
      <c r="K1561" s="1539"/>
      <c r="L1561" s="1539"/>
      <c r="M1561" s="1539"/>
      <c r="N1561" s="1539"/>
      <c r="O1561" s="1539"/>
      <c r="P1561" s="1539"/>
      <c r="Q1561" s="1539"/>
      <c r="R1561" s="1539"/>
      <c r="S1561" s="1539"/>
      <c r="T1561" s="1540"/>
      <c r="U1561" s="1195"/>
      <c r="Y1561" s="1537">
        <f>+Y369</f>
        <v>0</v>
      </c>
      <c r="Z1561" s="1581">
        <f>+Z368</f>
        <v>0</v>
      </c>
      <c r="AA1561" s="1194"/>
      <c r="AB1561" s="1194"/>
      <c r="AC1561" s="1194"/>
      <c r="AD1561" s="1194"/>
      <c r="AE1561" s="1194"/>
      <c r="AF1561" s="1538"/>
      <c r="AG1561" s="1539"/>
      <c r="AH1561" s="1539"/>
      <c r="AI1561" s="1539"/>
      <c r="AJ1561" s="1539"/>
      <c r="AK1561" s="1539"/>
      <c r="AL1561" s="1539"/>
      <c r="AM1561" s="1539"/>
      <c r="AN1561" s="1539"/>
      <c r="AO1561" s="1539"/>
      <c r="AP1561" s="1539"/>
      <c r="AQ1561" s="1540"/>
      <c r="AR1561" s="1195"/>
    </row>
    <row r="1562" spans="2:44" ht="13.75" hidden="1" customHeight="1" x14ac:dyDescent="0.2">
      <c r="B1562" s="1195" t="s">
        <v>1563</v>
      </c>
      <c r="C1562" s="193"/>
      <c r="D1562" s="193"/>
      <c r="E1562" s="254"/>
      <c r="F1562" s="193" t="s">
        <v>247</v>
      </c>
      <c r="G1562" s="193" t="s">
        <v>691</v>
      </c>
      <c r="H1562" s="193"/>
      <c r="I1562" s="378">
        <f>VLOOKUP(C1561,UsoSuelo!$CA$1127:$CM$1194,2,FALSE)</f>
        <v>0</v>
      </c>
      <c r="J1562" s="1193">
        <f>VLOOKUP(C1561,UsoSuelo!$CA$1127:$CM$1194,3,FALSE)</f>
        <v>0</v>
      </c>
      <c r="K1562" s="1193">
        <f>VLOOKUP(C1561,UsoSuelo!$CA$1127:$CM$1194,4,FALSE)</f>
        <v>0</v>
      </c>
      <c r="L1562" s="1193">
        <f>VLOOKUP(C1561,UsoSuelo!$CA$1127:$CM$1194,5,FALSE)</f>
        <v>0</v>
      </c>
      <c r="M1562" s="1193">
        <f>VLOOKUP(C1561,UsoSuelo!$CA$1127:$CM$1194,6,FALSE)</f>
        <v>0</v>
      </c>
      <c r="N1562" s="1193">
        <f>VLOOKUP(C1561,UsoSuelo!$CA$1127:$CM$1194,7,FALSE)</f>
        <v>0</v>
      </c>
      <c r="O1562" s="1193">
        <f>VLOOKUP(C1561,UsoSuelo!$CA$1127:$CM$1194,8,FALSE)</f>
        <v>0</v>
      </c>
      <c r="P1562" s="1193">
        <f>VLOOKUP(C1561,UsoSuelo!$CA$1127:$CM$1194,9,FALSE)</f>
        <v>0</v>
      </c>
      <c r="Q1562" s="1193">
        <f>VLOOKUP(C1561,UsoSuelo!$CA$1127:$CM$1194,10,FALSE)</f>
        <v>0</v>
      </c>
      <c r="R1562" s="1193">
        <f>VLOOKUP(C1561,UsoSuelo!$CA$1127:$CM$1194,11,FALSE)</f>
        <v>0</v>
      </c>
      <c r="S1562" s="1193">
        <f>VLOOKUP(C1561,UsoSuelo!$CA$1127:$CM$1194,12,FALSE)</f>
        <v>0</v>
      </c>
      <c r="T1562" s="1183">
        <f>VLOOKUP(C1561,UsoSuelo!$CA$1127:$CM$1194,13,FALSE)</f>
        <v>0</v>
      </c>
      <c r="U1562" s="1195"/>
      <c r="Y1562" s="1195" t="s">
        <v>721</v>
      </c>
      <c r="Z1562" s="193"/>
      <c r="AA1562" s="193"/>
      <c r="AB1562" s="254"/>
      <c r="AC1562" s="193" t="s">
        <v>247</v>
      </c>
      <c r="AD1562" s="193" t="s">
        <v>691</v>
      </c>
      <c r="AE1562" s="193"/>
      <c r="AF1562" s="378">
        <f>VLOOKUP($Z1561,UsoSuelo!$CO$1054:$DA$1120,2,FALSE)</f>
        <v>0</v>
      </c>
      <c r="AG1562" s="1193">
        <f>VLOOKUP($Z1561,UsoSuelo!$CO$1054:$DA$1120,3,FALSE)</f>
        <v>0</v>
      </c>
      <c r="AH1562" s="1193">
        <f>VLOOKUP($Z1561,UsoSuelo!$CO$1054:$DA$1120,4,FALSE)</f>
        <v>0</v>
      </c>
      <c r="AI1562" s="1193">
        <f>VLOOKUP($Z1561,UsoSuelo!$CO$1054:$DA$1120,5,FALSE)</f>
        <v>0</v>
      </c>
      <c r="AJ1562" s="1193">
        <f>VLOOKUP($Z1561,UsoSuelo!$CO$1054:$DA$1120,6,FALSE)</f>
        <v>0</v>
      </c>
      <c r="AK1562" s="1193">
        <f>VLOOKUP($Z1561,UsoSuelo!$CO$1054:$DA$1120,7,FALSE)</f>
        <v>0</v>
      </c>
      <c r="AL1562" s="1193">
        <f>VLOOKUP($Z1561,UsoSuelo!$CO$1054:$DA$1120,8,FALSE)</f>
        <v>0</v>
      </c>
      <c r="AM1562" s="1193">
        <f>VLOOKUP($Z1561,UsoSuelo!$CO$1054:$DA$1120,9,FALSE)</f>
        <v>0</v>
      </c>
      <c r="AN1562" s="1193">
        <f>VLOOKUP($Z1561,UsoSuelo!$CO$1054:$DA$1120,10,FALSE)</f>
        <v>0</v>
      </c>
      <c r="AO1562" s="1193">
        <f>VLOOKUP($Z1561,UsoSuelo!$CO$1054:$DA$1120,11,FALSE)</f>
        <v>0</v>
      </c>
      <c r="AP1562" s="1193">
        <f>VLOOKUP($Z1561,UsoSuelo!$CO$1054:$DA$1120,12,FALSE)</f>
        <v>0</v>
      </c>
      <c r="AQ1562" s="1183">
        <f>VLOOKUP($Z1561,UsoSuelo!$CO$1054:$DA$1120,13,FALSE)</f>
        <v>0</v>
      </c>
      <c r="AR1562" s="1195"/>
    </row>
    <row r="1563" spans="2:44" ht="13.75" hidden="1" customHeight="1" x14ac:dyDescent="0.2">
      <c r="B1563" s="1195"/>
      <c r="C1563" s="193"/>
      <c r="D1563" s="193"/>
      <c r="E1563" s="193"/>
      <c r="F1563" s="193" t="s">
        <v>692</v>
      </c>
      <c r="G1563" s="193"/>
      <c r="H1563" s="193"/>
      <c r="I1563" s="378">
        <f>VLOOKUP(C1561,UsoSuelo!$CB$1275:$CN$1341,2,FALSE)</f>
        <v>0</v>
      </c>
      <c r="J1563" s="1193">
        <f>VLOOKUP(C1561,UsoSuelo!$CB$1275:$CN$1341,3,FALSE)</f>
        <v>0</v>
      </c>
      <c r="K1563" s="1193">
        <f>VLOOKUP(C1561,UsoSuelo!$CB$1275:$CN$1341,4,FALSE)</f>
        <v>0</v>
      </c>
      <c r="L1563" s="1193">
        <f>VLOOKUP(C1561,UsoSuelo!$CB$1275:$CN$1341,5,FALSE)</f>
        <v>0</v>
      </c>
      <c r="M1563" s="1193">
        <f>VLOOKUP(C1561,UsoSuelo!$CB$1275:$CN$1341,6,FALSE)</f>
        <v>0</v>
      </c>
      <c r="N1563" s="1193">
        <f>VLOOKUP(C1561,UsoSuelo!$CB$1275:$CN$1341,7,FALSE)</f>
        <v>0</v>
      </c>
      <c r="O1563" s="1193">
        <f>VLOOKUP(C1561,UsoSuelo!$CB$1275:$CN$1341,8,FALSE)</f>
        <v>0</v>
      </c>
      <c r="P1563" s="1193">
        <f>VLOOKUP(C1561,UsoSuelo!$CB$1275:$CN$1341,9,FALSE)</f>
        <v>0</v>
      </c>
      <c r="Q1563" s="1193">
        <f>VLOOKUP(C1561,UsoSuelo!$CB$1275:$CN$1341,10,FALSE)</f>
        <v>0</v>
      </c>
      <c r="R1563" s="1193">
        <f>VLOOKUP(C1561,UsoSuelo!$CB$1275:$CN$1341,11,FALSE)</f>
        <v>0</v>
      </c>
      <c r="S1563" s="1193">
        <f>VLOOKUP(C1561,UsoSuelo!$CB$1275:$CN$1341,12,FALSE)</f>
        <v>0</v>
      </c>
      <c r="T1563" s="1183">
        <f>VLOOKUP(C1561,UsoSuelo!$CB$1275:$CN$1341,13,FALSE)</f>
        <v>0</v>
      </c>
      <c r="U1563" s="1195"/>
      <c r="Y1563" s="1195"/>
      <c r="Z1563" s="193"/>
      <c r="AA1563" s="193"/>
      <c r="AB1563" s="193"/>
      <c r="AC1563" s="193" t="s">
        <v>247</v>
      </c>
      <c r="AD1563" s="193" t="s">
        <v>699</v>
      </c>
      <c r="AE1563" s="193"/>
      <c r="AF1563" s="378">
        <f>VLOOKUP($Z1561,UsoSuelo!$DB$1201:$DN$1267,2,FALSE)</f>
        <v>0</v>
      </c>
      <c r="AG1563" s="1193">
        <f>VLOOKUP($Z1561,UsoSuelo!$DB$1201:$DN$1267,3,FALSE)</f>
        <v>0</v>
      </c>
      <c r="AH1563" s="1193">
        <f>VLOOKUP($Z1561,UsoSuelo!$DB$1201:$DN$1267,4,FALSE)</f>
        <v>0</v>
      </c>
      <c r="AI1563" s="1193">
        <f>VLOOKUP($Z1561,UsoSuelo!$DB$1201:$DN$1267,5,FALSE)</f>
        <v>0</v>
      </c>
      <c r="AJ1563" s="1193">
        <f>VLOOKUP($Z1561,UsoSuelo!$DB$1201:$DN$1267,6,FALSE)</f>
        <v>0</v>
      </c>
      <c r="AK1563" s="1193">
        <f>VLOOKUP($Z1561,UsoSuelo!$DB$1201:$DN$1267,7,FALSE)</f>
        <v>0</v>
      </c>
      <c r="AL1563" s="1193">
        <f>VLOOKUP($Z1561,UsoSuelo!$DB$1201:$DN$1267,8,FALSE)</f>
        <v>0</v>
      </c>
      <c r="AM1563" s="1193">
        <f>VLOOKUP($Z1561,UsoSuelo!$DB$1201:$DN$1267,9,FALSE)</f>
        <v>0</v>
      </c>
      <c r="AN1563" s="1193">
        <f>VLOOKUP($Z1561,UsoSuelo!$DB$1201:$DN$1267,10,FALSE)</f>
        <v>0</v>
      </c>
      <c r="AO1563" s="1193">
        <f>VLOOKUP($Z1561,UsoSuelo!$DB$1201:$DN$1267,11,FALSE)</f>
        <v>0</v>
      </c>
      <c r="AP1563" s="1193">
        <f>VLOOKUP($Z1561,UsoSuelo!$DB$1201:$DN$1267,12,FALSE)</f>
        <v>0</v>
      </c>
      <c r="AQ1563" s="1183">
        <f>VLOOKUP($Z1561,UsoSuelo!$DB$1201:$DN$1267,13,FALSE)</f>
        <v>0</v>
      </c>
      <c r="AR1563" s="1195"/>
    </row>
    <row r="1564" spans="2:44" ht="13.75" hidden="1" customHeight="1" x14ac:dyDescent="0.2">
      <c r="B1564" s="1195"/>
      <c r="C1564" s="193"/>
      <c r="D1564" s="193"/>
      <c r="E1564" s="193"/>
      <c r="F1564" s="193" t="s">
        <v>230</v>
      </c>
      <c r="G1564" s="193"/>
      <c r="H1564" s="193"/>
      <c r="I1564" s="378">
        <f t="shared" ref="I1564:T1564" si="878">+I370</f>
        <v>0</v>
      </c>
      <c r="J1564" s="1193">
        <f t="shared" si="878"/>
        <v>0</v>
      </c>
      <c r="K1564" s="1193">
        <f t="shared" si="878"/>
        <v>0</v>
      </c>
      <c r="L1564" s="1193">
        <f t="shared" si="878"/>
        <v>0</v>
      </c>
      <c r="M1564" s="1193">
        <f t="shared" si="878"/>
        <v>0</v>
      </c>
      <c r="N1564" s="1193">
        <f t="shared" si="878"/>
        <v>0</v>
      </c>
      <c r="O1564" s="1193">
        <f t="shared" si="878"/>
        <v>0</v>
      </c>
      <c r="P1564" s="1193">
        <f t="shared" si="878"/>
        <v>0</v>
      </c>
      <c r="Q1564" s="1193">
        <f t="shared" si="878"/>
        <v>0</v>
      </c>
      <c r="R1564" s="1193">
        <f t="shared" si="878"/>
        <v>0</v>
      </c>
      <c r="S1564" s="1193">
        <f t="shared" si="878"/>
        <v>0</v>
      </c>
      <c r="T1564" s="1183">
        <f t="shared" si="878"/>
        <v>0</v>
      </c>
      <c r="U1564" s="1195"/>
      <c r="Y1564" s="1195"/>
      <c r="Z1564" s="193"/>
      <c r="AA1564" s="193"/>
      <c r="AB1564" s="193"/>
      <c r="AC1564" s="193" t="s">
        <v>230</v>
      </c>
      <c r="AD1564" s="193"/>
      <c r="AE1564" s="193"/>
      <c r="AF1564" s="378">
        <f t="shared" ref="AF1564:AQ1564" si="879">+AF370</f>
        <v>0</v>
      </c>
      <c r="AG1564" s="1193">
        <f t="shared" si="879"/>
        <v>0</v>
      </c>
      <c r="AH1564" s="1193">
        <f t="shared" si="879"/>
        <v>0</v>
      </c>
      <c r="AI1564" s="1193">
        <f t="shared" si="879"/>
        <v>0</v>
      </c>
      <c r="AJ1564" s="1193">
        <f t="shared" si="879"/>
        <v>0</v>
      </c>
      <c r="AK1564" s="1193">
        <f t="shared" si="879"/>
        <v>0</v>
      </c>
      <c r="AL1564" s="1193">
        <f t="shared" si="879"/>
        <v>0</v>
      </c>
      <c r="AM1564" s="1193">
        <f t="shared" si="879"/>
        <v>0</v>
      </c>
      <c r="AN1564" s="1193">
        <f t="shared" si="879"/>
        <v>0</v>
      </c>
      <c r="AO1564" s="1193">
        <f t="shared" si="879"/>
        <v>0</v>
      </c>
      <c r="AP1564" s="1193">
        <f t="shared" si="879"/>
        <v>0</v>
      </c>
      <c r="AQ1564" s="1183">
        <f t="shared" si="879"/>
        <v>0</v>
      </c>
      <c r="AR1564" s="1195"/>
    </row>
    <row r="1565" spans="2:44" ht="13.75" hidden="1" customHeight="1" x14ac:dyDescent="0.2">
      <c r="B1565" s="1196"/>
      <c r="C1565" s="374"/>
      <c r="D1565" s="374"/>
      <c r="E1565" s="374"/>
      <c r="F1565" s="374" t="s">
        <v>810</v>
      </c>
      <c r="G1565" s="374"/>
      <c r="H1565" s="374"/>
      <c r="I1565" s="377">
        <f t="shared" ref="I1565:T1565" si="880">+IF($B1561="Agrícola",0,I1564)</f>
        <v>0</v>
      </c>
      <c r="J1565" s="1200">
        <f t="shared" si="880"/>
        <v>0</v>
      </c>
      <c r="K1565" s="1200">
        <f t="shared" si="880"/>
        <v>0</v>
      </c>
      <c r="L1565" s="1200">
        <f t="shared" si="880"/>
        <v>0</v>
      </c>
      <c r="M1565" s="1200">
        <f t="shared" si="880"/>
        <v>0</v>
      </c>
      <c r="N1565" s="1200">
        <f t="shared" si="880"/>
        <v>0</v>
      </c>
      <c r="O1565" s="1200">
        <f t="shared" si="880"/>
        <v>0</v>
      </c>
      <c r="P1565" s="1200">
        <f t="shared" si="880"/>
        <v>0</v>
      </c>
      <c r="Q1565" s="1200">
        <f t="shared" si="880"/>
        <v>0</v>
      </c>
      <c r="R1565" s="1200">
        <f t="shared" si="880"/>
        <v>0</v>
      </c>
      <c r="S1565" s="1200">
        <f t="shared" si="880"/>
        <v>0</v>
      </c>
      <c r="T1565" s="1201">
        <f t="shared" si="880"/>
        <v>0</v>
      </c>
      <c r="U1565" s="1195"/>
      <c r="Y1565" s="1196"/>
      <c r="Z1565" s="374"/>
      <c r="AA1565" s="374"/>
      <c r="AB1565" s="374"/>
      <c r="AC1565" s="374" t="s">
        <v>811</v>
      </c>
      <c r="AD1565" s="374"/>
      <c r="AE1565" s="374"/>
      <c r="AF1565" s="377">
        <f t="shared" ref="AF1565:AQ1565" si="881">+IF($Y1561="Agrícola",0,AF1564)</f>
        <v>0</v>
      </c>
      <c r="AG1565" s="1200">
        <f t="shared" si="881"/>
        <v>0</v>
      </c>
      <c r="AH1565" s="1200">
        <f t="shared" si="881"/>
        <v>0</v>
      </c>
      <c r="AI1565" s="1200">
        <f t="shared" si="881"/>
        <v>0</v>
      </c>
      <c r="AJ1565" s="1200">
        <f t="shared" si="881"/>
        <v>0</v>
      </c>
      <c r="AK1565" s="1200">
        <f t="shared" si="881"/>
        <v>0</v>
      </c>
      <c r="AL1565" s="1200">
        <f t="shared" si="881"/>
        <v>0</v>
      </c>
      <c r="AM1565" s="1200">
        <f t="shared" si="881"/>
        <v>0</v>
      </c>
      <c r="AN1565" s="1200">
        <f t="shared" si="881"/>
        <v>0</v>
      </c>
      <c r="AO1565" s="1200">
        <f t="shared" si="881"/>
        <v>0</v>
      </c>
      <c r="AP1565" s="1200">
        <f t="shared" si="881"/>
        <v>0</v>
      </c>
      <c r="AQ1565" s="1201">
        <f t="shared" si="881"/>
        <v>0</v>
      </c>
      <c r="AR1565" s="1195"/>
    </row>
    <row r="1566" spans="2:44" ht="13.75" hidden="1" customHeight="1" x14ac:dyDescent="0.2">
      <c r="B1566" s="1195"/>
      <c r="C1566" s="193"/>
      <c r="D1566" s="193"/>
      <c r="E1566" s="193"/>
      <c r="F1566" s="193" t="s">
        <v>695</v>
      </c>
      <c r="G1566" s="193"/>
      <c r="H1566" s="193"/>
      <c r="I1566" s="1202">
        <f t="shared" ref="I1566:T1566" si="882">IFERROR(I1562/I1565,0)</f>
        <v>0</v>
      </c>
      <c r="J1566" s="1203">
        <f t="shared" si="882"/>
        <v>0</v>
      </c>
      <c r="K1566" s="1203">
        <f t="shared" si="882"/>
        <v>0</v>
      </c>
      <c r="L1566" s="1203">
        <f t="shared" si="882"/>
        <v>0</v>
      </c>
      <c r="M1566" s="1203">
        <f t="shared" si="882"/>
        <v>0</v>
      </c>
      <c r="N1566" s="1203">
        <f t="shared" si="882"/>
        <v>0</v>
      </c>
      <c r="O1566" s="1203">
        <f t="shared" si="882"/>
        <v>0</v>
      </c>
      <c r="P1566" s="1203">
        <f t="shared" si="882"/>
        <v>0</v>
      </c>
      <c r="Q1566" s="1203">
        <f t="shared" si="882"/>
        <v>0</v>
      </c>
      <c r="R1566" s="1203">
        <f t="shared" si="882"/>
        <v>0</v>
      </c>
      <c r="S1566" s="1203">
        <f t="shared" si="882"/>
        <v>0</v>
      </c>
      <c r="T1566" s="1204">
        <f t="shared" si="882"/>
        <v>0</v>
      </c>
      <c r="U1566" s="1582"/>
      <c r="Y1566" s="1195"/>
      <c r="Z1566" s="193"/>
      <c r="AA1566" s="193"/>
      <c r="AB1566" s="193"/>
      <c r="AC1566" s="193" t="s">
        <v>695</v>
      </c>
      <c r="AD1566" s="193"/>
      <c r="AE1566" s="193"/>
      <c r="AF1566" s="1202">
        <f t="shared" ref="AF1566:AQ1566" si="883">IFERROR(AF1562/AF1565,0)</f>
        <v>0</v>
      </c>
      <c r="AG1566" s="1203">
        <f t="shared" si="883"/>
        <v>0</v>
      </c>
      <c r="AH1566" s="1203">
        <f t="shared" si="883"/>
        <v>0</v>
      </c>
      <c r="AI1566" s="1203">
        <f t="shared" si="883"/>
        <v>0</v>
      </c>
      <c r="AJ1566" s="1203">
        <f t="shared" si="883"/>
        <v>0</v>
      </c>
      <c r="AK1566" s="1203">
        <f t="shared" si="883"/>
        <v>0</v>
      </c>
      <c r="AL1566" s="1203">
        <f t="shared" si="883"/>
        <v>0</v>
      </c>
      <c r="AM1566" s="1203">
        <f t="shared" si="883"/>
        <v>0</v>
      </c>
      <c r="AN1566" s="1203">
        <f t="shared" si="883"/>
        <v>0</v>
      </c>
      <c r="AO1566" s="1203">
        <f t="shared" si="883"/>
        <v>0</v>
      </c>
      <c r="AP1566" s="1203">
        <f t="shared" si="883"/>
        <v>0</v>
      </c>
      <c r="AQ1566" s="1204">
        <f t="shared" si="883"/>
        <v>0</v>
      </c>
      <c r="AR1566" s="1582"/>
    </row>
    <row r="1567" spans="2:44" ht="13.75" hidden="1" customHeight="1" x14ac:dyDescent="0.2">
      <c r="B1567" s="1195"/>
      <c r="C1567" s="193"/>
      <c r="D1567" s="193"/>
      <c r="E1567" s="193"/>
      <c r="F1567" s="193" t="s">
        <v>696</v>
      </c>
      <c r="G1567" s="193"/>
      <c r="H1567" s="193"/>
      <c r="I1567" s="1202">
        <f>IFERROR(I1563/I1565,0)</f>
        <v>0</v>
      </c>
      <c r="J1567" s="1203">
        <f t="shared" ref="J1567:T1567" si="884">IFERROR(J1563/J1565,0)</f>
        <v>0</v>
      </c>
      <c r="K1567" s="1203">
        <f t="shared" si="884"/>
        <v>0</v>
      </c>
      <c r="L1567" s="1203">
        <f t="shared" si="884"/>
        <v>0</v>
      </c>
      <c r="M1567" s="1203">
        <f t="shared" si="884"/>
        <v>0</v>
      </c>
      <c r="N1567" s="1203">
        <f t="shared" si="884"/>
        <v>0</v>
      </c>
      <c r="O1567" s="1203">
        <f t="shared" si="884"/>
        <v>0</v>
      </c>
      <c r="P1567" s="1203">
        <f t="shared" si="884"/>
        <v>0</v>
      </c>
      <c r="Q1567" s="1203">
        <f t="shared" si="884"/>
        <v>0</v>
      </c>
      <c r="R1567" s="1203">
        <f t="shared" si="884"/>
        <v>0</v>
      </c>
      <c r="S1567" s="1203">
        <f t="shared" si="884"/>
        <v>0</v>
      </c>
      <c r="T1567" s="1204">
        <f t="shared" si="884"/>
        <v>0</v>
      </c>
      <c r="U1567" s="1582"/>
      <c r="Y1567" s="1195"/>
      <c r="Z1567" s="193"/>
      <c r="AA1567" s="193"/>
      <c r="AB1567" s="193"/>
      <c r="AC1567" s="193" t="s">
        <v>696</v>
      </c>
      <c r="AD1567" s="193"/>
      <c r="AE1567" s="193"/>
      <c r="AF1567" s="1202">
        <f>IFERROR(AF1563/AF1565,0)</f>
        <v>0</v>
      </c>
      <c r="AG1567" s="1203">
        <f t="shared" ref="AG1567:AQ1567" si="885">IFERROR(AG1563/AG1565,0)</f>
        <v>0</v>
      </c>
      <c r="AH1567" s="1203">
        <f t="shared" si="885"/>
        <v>0</v>
      </c>
      <c r="AI1567" s="1203">
        <f t="shared" si="885"/>
        <v>0</v>
      </c>
      <c r="AJ1567" s="1203">
        <f t="shared" si="885"/>
        <v>0</v>
      </c>
      <c r="AK1567" s="1203">
        <f t="shared" si="885"/>
        <v>0</v>
      </c>
      <c r="AL1567" s="1203">
        <f t="shared" si="885"/>
        <v>0</v>
      </c>
      <c r="AM1567" s="1203">
        <f t="shared" si="885"/>
        <v>0</v>
      </c>
      <c r="AN1567" s="1203">
        <f t="shared" si="885"/>
        <v>0</v>
      </c>
      <c r="AO1567" s="1203">
        <f t="shared" si="885"/>
        <v>0</v>
      </c>
      <c r="AP1567" s="1203">
        <f t="shared" si="885"/>
        <v>0</v>
      </c>
      <c r="AQ1567" s="1204">
        <f t="shared" si="885"/>
        <v>0</v>
      </c>
      <c r="AR1567" s="1582"/>
    </row>
    <row r="1568" spans="2:44" ht="13.75" hidden="1" customHeight="1" x14ac:dyDescent="0.2">
      <c r="B1568" s="1196" t="s">
        <v>803</v>
      </c>
      <c r="C1568" s="374"/>
      <c r="D1568" s="374"/>
      <c r="E1568" s="374"/>
      <c r="F1568" s="374" t="s">
        <v>697</v>
      </c>
      <c r="G1568" s="374" t="s">
        <v>694</v>
      </c>
      <c r="H1568" s="193"/>
      <c r="I1568" s="377">
        <f t="shared" ref="I1568:T1568" si="886">+SUMPRODUCT(I387:I404,$F387:$F404)</f>
        <v>0</v>
      </c>
      <c r="J1568" s="1200">
        <f t="shared" si="886"/>
        <v>0</v>
      </c>
      <c r="K1568" s="1200">
        <f t="shared" si="886"/>
        <v>0</v>
      </c>
      <c r="L1568" s="1200">
        <f t="shared" si="886"/>
        <v>0</v>
      </c>
      <c r="M1568" s="1200">
        <f t="shared" si="886"/>
        <v>0</v>
      </c>
      <c r="N1568" s="1200">
        <f t="shared" si="886"/>
        <v>0</v>
      </c>
      <c r="O1568" s="1200">
        <f t="shared" si="886"/>
        <v>0</v>
      </c>
      <c r="P1568" s="1200">
        <f t="shared" si="886"/>
        <v>0</v>
      </c>
      <c r="Q1568" s="1200">
        <f t="shared" si="886"/>
        <v>0</v>
      </c>
      <c r="R1568" s="1200">
        <f t="shared" si="886"/>
        <v>0</v>
      </c>
      <c r="S1568" s="1200">
        <f t="shared" si="886"/>
        <v>0</v>
      </c>
      <c r="T1568" s="1201">
        <f t="shared" si="886"/>
        <v>0</v>
      </c>
      <c r="U1568" s="1195"/>
      <c r="Y1568" s="1196" t="s">
        <v>803</v>
      </c>
      <c r="Z1568" s="374"/>
      <c r="AA1568" s="374"/>
      <c r="AB1568" s="374"/>
      <c r="AC1568" s="374" t="s">
        <v>697</v>
      </c>
      <c r="AD1568" s="374" t="s">
        <v>694</v>
      </c>
      <c r="AE1568" s="193"/>
      <c r="AF1568" s="377">
        <f t="shared" ref="AF1568:AQ1568" si="887">+SUMPRODUCT(AF387:AF404,$AC387:$AC404)</f>
        <v>0</v>
      </c>
      <c r="AG1568" s="1200">
        <f t="shared" si="887"/>
        <v>0</v>
      </c>
      <c r="AH1568" s="1200">
        <f t="shared" si="887"/>
        <v>0</v>
      </c>
      <c r="AI1568" s="1200">
        <f t="shared" si="887"/>
        <v>0</v>
      </c>
      <c r="AJ1568" s="1200">
        <f t="shared" si="887"/>
        <v>0</v>
      </c>
      <c r="AK1568" s="1200">
        <f t="shared" si="887"/>
        <v>0</v>
      </c>
      <c r="AL1568" s="1200">
        <f t="shared" si="887"/>
        <v>0</v>
      </c>
      <c r="AM1568" s="1200">
        <f t="shared" si="887"/>
        <v>0</v>
      </c>
      <c r="AN1568" s="1200">
        <f t="shared" si="887"/>
        <v>0</v>
      </c>
      <c r="AO1568" s="1200">
        <f t="shared" si="887"/>
        <v>0</v>
      </c>
      <c r="AP1568" s="1200">
        <f t="shared" si="887"/>
        <v>0</v>
      </c>
      <c r="AQ1568" s="1201">
        <f t="shared" si="887"/>
        <v>0</v>
      </c>
      <c r="AR1568" s="1195"/>
    </row>
    <row r="1569" spans="2:44" ht="13.75" hidden="1" customHeight="1" x14ac:dyDescent="0.2">
      <c r="B1569" s="1195"/>
      <c r="C1569" s="193"/>
      <c r="D1569" s="193"/>
      <c r="E1569" s="193"/>
      <c r="F1569" s="193" t="s">
        <v>697</v>
      </c>
      <c r="G1569" s="193" t="s">
        <v>698</v>
      </c>
      <c r="H1569" s="193"/>
      <c r="I1569" s="378">
        <f>+I1568*I1566</f>
        <v>0</v>
      </c>
      <c r="J1569" s="1193">
        <f t="shared" ref="J1569:T1569" si="888">+J1568*J1566</f>
        <v>0</v>
      </c>
      <c r="K1569" s="1193">
        <f t="shared" si="888"/>
        <v>0</v>
      </c>
      <c r="L1569" s="1193">
        <f t="shared" si="888"/>
        <v>0</v>
      </c>
      <c r="M1569" s="1193">
        <f t="shared" si="888"/>
        <v>0</v>
      </c>
      <c r="N1569" s="1193">
        <f t="shared" si="888"/>
        <v>0</v>
      </c>
      <c r="O1569" s="1193">
        <f t="shared" si="888"/>
        <v>0</v>
      </c>
      <c r="P1569" s="1193">
        <f t="shared" si="888"/>
        <v>0</v>
      </c>
      <c r="Q1569" s="1193">
        <f t="shared" si="888"/>
        <v>0</v>
      </c>
      <c r="R1569" s="1193">
        <f t="shared" si="888"/>
        <v>0</v>
      </c>
      <c r="S1569" s="1193">
        <f t="shared" si="888"/>
        <v>0</v>
      </c>
      <c r="T1569" s="1183">
        <f t="shared" si="888"/>
        <v>0</v>
      </c>
      <c r="U1569" s="1195"/>
      <c r="Y1569" s="1195"/>
      <c r="Z1569" s="193"/>
      <c r="AA1569" s="193"/>
      <c r="AB1569" s="193"/>
      <c r="AC1569" s="193" t="s">
        <v>697</v>
      </c>
      <c r="AD1569" s="193" t="s">
        <v>698</v>
      </c>
      <c r="AE1569" s="193"/>
      <c r="AF1569" s="378">
        <f>+AF1568*AF1566</f>
        <v>0</v>
      </c>
      <c r="AG1569" s="1193">
        <f t="shared" ref="AG1569:AQ1569" si="889">+AG1568*AG1566</f>
        <v>0</v>
      </c>
      <c r="AH1569" s="1193">
        <f t="shared" si="889"/>
        <v>0</v>
      </c>
      <c r="AI1569" s="1193">
        <f t="shared" si="889"/>
        <v>0</v>
      </c>
      <c r="AJ1569" s="1193">
        <f t="shared" si="889"/>
        <v>0</v>
      </c>
      <c r="AK1569" s="1193">
        <f t="shared" si="889"/>
        <v>0</v>
      </c>
      <c r="AL1569" s="1193">
        <f t="shared" si="889"/>
        <v>0</v>
      </c>
      <c r="AM1569" s="1193">
        <f t="shared" si="889"/>
        <v>0</v>
      </c>
      <c r="AN1569" s="1193">
        <f t="shared" si="889"/>
        <v>0</v>
      </c>
      <c r="AO1569" s="1193">
        <f t="shared" si="889"/>
        <v>0</v>
      </c>
      <c r="AP1569" s="1193">
        <f t="shared" si="889"/>
        <v>0</v>
      </c>
      <c r="AQ1569" s="1183">
        <f t="shared" si="889"/>
        <v>0</v>
      </c>
      <c r="AR1569" s="1195"/>
    </row>
    <row r="1570" spans="2:44" ht="13.75" hidden="1" customHeight="1" x14ac:dyDescent="0.2">
      <c r="B1570" s="1197"/>
      <c r="C1570" s="379"/>
      <c r="D1570" s="379"/>
      <c r="E1570" s="379"/>
      <c r="F1570" s="379" t="s">
        <v>30</v>
      </c>
      <c r="G1570" s="379" t="s">
        <v>699</v>
      </c>
      <c r="H1570" s="193"/>
      <c r="I1570" s="380">
        <f>+I1568*I1567</f>
        <v>0</v>
      </c>
      <c r="J1570" s="1205">
        <f t="shared" ref="J1570:T1570" si="890">+J1568*J1567</f>
        <v>0</v>
      </c>
      <c r="K1570" s="1205">
        <f t="shared" si="890"/>
        <v>0</v>
      </c>
      <c r="L1570" s="1205">
        <f t="shared" si="890"/>
        <v>0</v>
      </c>
      <c r="M1570" s="1205">
        <f t="shared" si="890"/>
        <v>0</v>
      </c>
      <c r="N1570" s="1205">
        <f t="shared" si="890"/>
        <v>0</v>
      </c>
      <c r="O1570" s="1205">
        <f t="shared" si="890"/>
        <v>0</v>
      </c>
      <c r="P1570" s="1205">
        <f t="shared" si="890"/>
        <v>0</v>
      </c>
      <c r="Q1570" s="1205">
        <f t="shared" si="890"/>
        <v>0</v>
      </c>
      <c r="R1570" s="1205">
        <f t="shared" si="890"/>
        <v>0</v>
      </c>
      <c r="S1570" s="1205">
        <f t="shared" si="890"/>
        <v>0</v>
      </c>
      <c r="T1570" s="1190">
        <f t="shared" si="890"/>
        <v>0</v>
      </c>
      <c r="U1570" s="1195"/>
      <c r="Y1570" s="1197"/>
      <c r="Z1570" s="379"/>
      <c r="AA1570" s="379"/>
      <c r="AB1570" s="379"/>
      <c r="AC1570" s="379" t="s">
        <v>30</v>
      </c>
      <c r="AD1570" s="379" t="s">
        <v>699</v>
      </c>
      <c r="AE1570" s="193"/>
      <c r="AF1570" s="380">
        <f>+AF1568*AF1567</f>
        <v>0</v>
      </c>
      <c r="AG1570" s="1205">
        <f t="shared" ref="AG1570:AQ1570" si="891">+AG1568*AG1567</f>
        <v>0</v>
      </c>
      <c r="AH1570" s="1205">
        <f t="shared" si="891"/>
        <v>0</v>
      </c>
      <c r="AI1570" s="1205">
        <f t="shared" si="891"/>
        <v>0</v>
      </c>
      <c r="AJ1570" s="1205">
        <f t="shared" si="891"/>
        <v>0</v>
      </c>
      <c r="AK1570" s="1205">
        <f t="shared" si="891"/>
        <v>0</v>
      </c>
      <c r="AL1570" s="1205">
        <f t="shared" si="891"/>
        <v>0</v>
      </c>
      <c r="AM1570" s="1205">
        <f t="shared" si="891"/>
        <v>0</v>
      </c>
      <c r="AN1570" s="1205">
        <f t="shared" si="891"/>
        <v>0</v>
      </c>
      <c r="AO1570" s="1205">
        <f t="shared" si="891"/>
        <v>0</v>
      </c>
      <c r="AP1570" s="1205">
        <f t="shared" si="891"/>
        <v>0</v>
      </c>
      <c r="AQ1570" s="1190">
        <f t="shared" si="891"/>
        <v>0</v>
      </c>
      <c r="AR1570" s="1195"/>
    </row>
    <row r="1571" spans="2:44" ht="13.75" hidden="1" customHeight="1" x14ac:dyDescent="0.2">
      <c r="B1571" s="1196" t="s">
        <v>447</v>
      </c>
      <c r="C1571" s="374"/>
      <c r="D1571" s="374"/>
      <c r="E1571" s="374"/>
      <c r="F1571" s="374" t="s">
        <v>697</v>
      </c>
      <c r="G1571" s="374" t="s">
        <v>694</v>
      </c>
      <c r="H1571" s="193"/>
      <c r="I1571" s="377">
        <f t="shared" ref="I1571:T1571" si="892">+SUMPRODUCT(I380:I384,$F380:$F384)</f>
        <v>0</v>
      </c>
      <c r="J1571" s="1200">
        <f t="shared" si="892"/>
        <v>0</v>
      </c>
      <c r="K1571" s="1200">
        <f t="shared" si="892"/>
        <v>0</v>
      </c>
      <c r="L1571" s="1200">
        <f t="shared" si="892"/>
        <v>0</v>
      </c>
      <c r="M1571" s="1200">
        <f t="shared" si="892"/>
        <v>0</v>
      </c>
      <c r="N1571" s="1200">
        <f t="shared" si="892"/>
        <v>0</v>
      </c>
      <c r="O1571" s="1200">
        <f t="shared" si="892"/>
        <v>0</v>
      </c>
      <c r="P1571" s="1200">
        <f t="shared" si="892"/>
        <v>0</v>
      </c>
      <c r="Q1571" s="1200">
        <f t="shared" si="892"/>
        <v>0</v>
      </c>
      <c r="R1571" s="1200">
        <f t="shared" si="892"/>
        <v>0</v>
      </c>
      <c r="S1571" s="1200">
        <f t="shared" si="892"/>
        <v>0</v>
      </c>
      <c r="T1571" s="1201">
        <f t="shared" si="892"/>
        <v>0</v>
      </c>
      <c r="U1571" s="1195"/>
      <c r="Y1571" s="1196" t="s">
        <v>447</v>
      </c>
      <c r="Z1571" s="374"/>
      <c r="AA1571" s="374"/>
      <c r="AB1571" s="374"/>
      <c r="AC1571" s="374" t="s">
        <v>697</v>
      </c>
      <c r="AD1571" s="374" t="s">
        <v>694</v>
      </c>
      <c r="AE1571" s="193"/>
      <c r="AF1571" s="377">
        <f t="shared" ref="AF1571:AQ1571" si="893">+SUMPRODUCT(AF380:AF384,$AC380:$AC384)</f>
        <v>0</v>
      </c>
      <c r="AG1571" s="1200">
        <f t="shared" si="893"/>
        <v>0</v>
      </c>
      <c r="AH1571" s="1200">
        <f t="shared" si="893"/>
        <v>0</v>
      </c>
      <c r="AI1571" s="1200">
        <f t="shared" si="893"/>
        <v>0</v>
      </c>
      <c r="AJ1571" s="1200">
        <f t="shared" si="893"/>
        <v>0</v>
      </c>
      <c r="AK1571" s="1200">
        <f t="shared" si="893"/>
        <v>0</v>
      </c>
      <c r="AL1571" s="1200">
        <f t="shared" si="893"/>
        <v>0</v>
      </c>
      <c r="AM1571" s="1200">
        <f t="shared" si="893"/>
        <v>0</v>
      </c>
      <c r="AN1571" s="1200">
        <f t="shared" si="893"/>
        <v>0</v>
      </c>
      <c r="AO1571" s="1200">
        <f t="shared" si="893"/>
        <v>0</v>
      </c>
      <c r="AP1571" s="1200">
        <f t="shared" si="893"/>
        <v>0</v>
      </c>
      <c r="AQ1571" s="1201">
        <f t="shared" si="893"/>
        <v>0</v>
      </c>
      <c r="AR1571" s="1195"/>
    </row>
    <row r="1572" spans="2:44" ht="13.75" hidden="1" customHeight="1" x14ac:dyDescent="0.2">
      <c r="B1572" s="1195"/>
      <c r="C1572" s="193"/>
      <c r="D1572" s="193"/>
      <c r="E1572" s="193"/>
      <c r="F1572" s="193" t="s">
        <v>697</v>
      </c>
      <c r="G1572" s="193" t="s">
        <v>698</v>
      </c>
      <c r="H1572" s="193"/>
      <c r="I1572" s="378">
        <f t="shared" ref="I1572:T1572" si="894">+I1571*I1566</f>
        <v>0</v>
      </c>
      <c r="J1572" s="1193">
        <f t="shared" si="894"/>
        <v>0</v>
      </c>
      <c r="K1572" s="1193">
        <f t="shared" si="894"/>
        <v>0</v>
      </c>
      <c r="L1572" s="1193">
        <f t="shared" si="894"/>
        <v>0</v>
      </c>
      <c r="M1572" s="1193">
        <f t="shared" si="894"/>
        <v>0</v>
      </c>
      <c r="N1572" s="1193">
        <f t="shared" si="894"/>
        <v>0</v>
      </c>
      <c r="O1572" s="1193">
        <f t="shared" si="894"/>
        <v>0</v>
      </c>
      <c r="P1572" s="1193">
        <f t="shared" si="894"/>
        <v>0</v>
      </c>
      <c r="Q1572" s="1193">
        <f t="shared" si="894"/>
        <v>0</v>
      </c>
      <c r="R1572" s="1193">
        <f t="shared" si="894"/>
        <v>0</v>
      </c>
      <c r="S1572" s="1193">
        <f t="shared" si="894"/>
        <v>0</v>
      </c>
      <c r="T1572" s="1183">
        <f t="shared" si="894"/>
        <v>0</v>
      </c>
      <c r="U1572" s="1195"/>
      <c r="Y1572" s="1195"/>
      <c r="Z1572" s="193"/>
      <c r="AA1572" s="193"/>
      <c r="AB1572" s="193"/>
      <c r="AC1572" s="193" t="s">
        <v>697</v>
      </c>
      <c r="AD1572" s="193" t="s">
        <v>698</v>
      </c>
      <c r="AE1572" s="193"/>
      <c r="AF1572" s="378">
        <f t="shared" ref="AF1572:AQ1572" si="895">+AF1571*AF1566</f>
        <v>0</v>
      </c>
      <c r="AG1572" s="1193">
        <f t="shared" si="895"/>
        <v>0</v>
      </c>
      <c r="AH1572" s="1193">
        <f t="shared" si="895"/>
        <v>0</v>
      </c>
      <c r="AI1572" s="1193">
        <f t="shared" si="895"/>
        <v>0</v>
      </c>
      <c r="AJ1572" s="1193">
        <f t="shared" si="895"/>
        <v>0</v>
      </c>
      <c r="AK1572" s="1193">
        <f t="shared" si="895"/>
        <v>0</v>
      </c>
      <c r="AL1572" s="1193">
        <f t="shared" si="895"/>
        <v>0</v>
      </c>
      <c r="AM1572" s="1193">
        <f t="shared" si="895"/>
        <v>0</v>
      </c>
      <c r="AN1572" s="1193">
        <f t="shared" si="895"/>
        <v>0</v>
      </c>
      <c r="AO1572" s="1193">
        <f t="shared" si="895"/>
        <v>0</v>
      </c>
      <c r="AP1572" s="1193">
        <f t="shared" si="895"/>
        <v>0</v>
      </c>
      <c r="AQ1572" s="1183">
        <f t="shared" si="895"/>
        <v>0</v>
      </c>
      <c r="AR1572" s="1195"/>
    </row>
    <row r="1573" spans="2:44" ht="14.4" hidden="1" customHeight="1" thickBot="1" x14ac:dyDescent="0.25">
      <c r="B1573" s="1198"/>
      <c r="C1573" s="1199"/>
      <c r="D1573" s="1199"/>
      <c r="E1573" s="1199"/>
      <c r="F1573" s="1199" t="s">
        <v>30</v>
      </c>
      <c r="G1573" s="1199" t="s">
        <v>699</v>
      </c>
      <c r="H1573" s="1199"/>
      <c r="I1573" s="1206">
        <f>+I1571*I1567</f>
        <v>0</v>
      </c>
      <c r="J1573" s="1207">
        <f t="shared" ref="J1573:T1573" si="896">+J1571*J1567</f>
        <v>0</v>
      </c>
      <c r="K1573" s="1207">
        <f t="shared" si="896"/>
        <v>0</v>
      </c>
      <c r="L1573" s="1207">
        <f t="shared" si="896"/>
        <v>0</v>
      </c>
      <c r="M1573" s="1207">
        <f t="shared" si="896"/>
        <v>0</v>
      </c>
      <c r="N1573" s="1207">
        <f t="shared" si="896"/>
        <v>0</v>
      </c>
      <c r="O1573" s="1207">
        <f t="shared" si="896"/>
        <v>0</v>
      </c>
      <c r="P1573" s="1207">
        <f t="shared" si="896"/>
        <v>0</v>
      </c>
      <c r="Q1573" s="1207">
        <f t="shared" si="896"/>
        <v>0</v>
      </c>
      <c r="R1573" s="1207">
        <f t="shared" si="896"/>
        <v>0</v>
      </c>
      <c r="S1573" s="1207">
        <f t="shared" si="896"/>
        <v>0</v>
      </c>
      <c r="T1573" s="1208">
        <f t="shared" si="896"/>
        <v>0</v>
      </c>
      <c r="U1573" s="1195"/>
      <c r="Y1573" s="1198"/>
      <c r="Z1573" s="1199"/>
      <c r="AA1573" s="1199"/>
      <c r="AB1573" s="1199"/>
      <c r="AC1573" s="1199" t="s">
        <v>30</v>
      </c>
      <c r="AD1573" s="1199" t="s">
        <v>699</v>
      </c>
      <c r="AE1573" s="1199"/>
      <c r="AF1573" s="1206">
        <f>+AF1571*AF1567</f>
        <v>0</v>
      </c>
      <c r="AG1573" s="1207">
        <f t="shared" ref="AG1573:AQ1573" si="897">+AG1571*AG1567</f>
        <v>0</v>
      </c>
      <c r="AH1573" s="1207">
        <f t="shared" si="897"/>
        <v>0</v>
      </c>
      <c r="AI1573" s="1207">
        <f t="shared" si="897"/>
        <v>0</v>
      </c>
      <c r="AJ1573" s="1207">
        <f t="shared" si="897"/>
        <v>0</v>
      </c>
      <c r="AK1573" s="1207">
        <f t="shared" si="897"/>
        <v>0</v>
      </c>
      <c r="AL1573" s="1207">
        <f t="shared" si="897"/>
        <v>0</v>
      </c>
      <c r="AM1573" s="1207">
        <f t="shared" si="897"/>
        <v>0</v>
      </c>
      <c r="AN1573" s="1207">
        <f t="shared" si="897"/>
        <v>0</v>
      </c>
      <c r="AO1573" s="1207">
        <f t="shared" si="897"/>
        <v>0</v>
      </c>
      <c r="AP1573" s="1207">
        <f t="shared" si="897"/>
        <v>0</v>
      </c>
      <c r="AQ1573" s="1208">
        <f t="shared" si="897"/>
        <v>0</v>
      </c>
      <c r="AR1573" s="1195"/>
    </row>
    <row r="1574" spans="2:44" ht="14.4" hidden="1" customHeight="1" thickTop="1" x14ac:dyDescent="0.2">
      <c r="B1574" s="1537">
        <f>+B410</f>
        <v>0</v>
      </c>
      <c r="C1574" s="1581">
        <f>+C409</f>
        <v>0</v>
      </c>
      <c r="D1574" s="1194"/>
      <c r="E1574" s="1194"/>
      <c r="F1574" s="1194"/>
      <c r="G1574" s="1194"/>
      <c r="H1574" s="1194"/>
      <c r="I1574" s="1538"/>
      <c r="J1574" s="1539"/>
      <c r="K1574" s="1539"/>
      <c r="L1574" s="1539"/>
      <c r="M1574" s="1539"/>
      <c r="N1574" s="1539"/>
      <c r="O1574" s="1539"/>
      <c r="P1574" s="1539"/>
      <c r="Q1574" s="1539"/>
      <c r="R1574" s="1539"/>
      <c r="S1574" s="1539"/>
      <c r="T1574" s="1540"/>
      <c r="U1574" s="1195"/>
      <c r="Y1574" s="1537">
        <f>+Y410</f>
        <v>0</v>
      </c>
      <c r="Z1574" s="1581">
        <f>+Z409</f>
        <v>0</v>
      </c>
      <c r="AA1574" s="1194"/>
      <c r="AB1574" s="1194"/>
      <c r="AC1574" s="1194"/>
      <c r="AD1574" s="1194"/>
      <c r="AE1574" s="1194"/>
      <c r="AF1574" s="1538"/>
      <c r="AG1574" s="1539"/>
      <c r="AH1574" s="1539"/>
      <c r="AI1574" s="1539"/>
      <c r="AJ1574" s="1539"/>
      <c r="AK1574" s="1539"/>
      <c r="AL1574" s="1539"/>
      <c r="AM1574" s="1539"/>
      <c r="AN1574" s="1539"/>
      <c r="AO1574" s="1539"/>
      <c r="AP1574" s="1539"/>
      <c r="AQ1574" s="1540"/>
      <c r="AR1574" s="1195"/>
    </row>
    <row r="1575" spans="2:44" ht="13.75" hidden="1" customHeight="1" x14ac:dyDescent="0.2">
      <c r="B1575" s="1195" t="s">
        <v>1563</v>
      </c>
      <c r="C1575" s="193"/>
      <c r="D1575" s="193"/>
      <c r="E1575" s="254"/>
      <c r="F1575" s="193" t="s">
        <v>247</v>
      </c>
      <c r="G1575" s="193" t="s">
        <v>691</v>
      </c>
      <c r="H1575" s="193"/>
      <c r="I1575" s="378">
        <f>VLOOKUP(C1574,UsoSuelo!$CA$1127:$CM$1194,2,FALSE)</f>
        <v>0</v>
      </c>
      <c r="J1575" s="1193">
        <f>VLOOKUP(C1574,UsoSuelo!$CA$1127:$CM$1194,3,FALSE)</f>
        <v>0</v>
      </c>
      <c r="K1575" s="1193">
        <f>VLOOKUP(C1574,UsoSuelo!$CA$1127:$CM$1194,4,FALSE)</f>
        <v>0</v>
      </c>
      <c r="L1575" s="1193">
        <f>VLOOKUP(C1574,UsoSuelo!$CA$1127:$CM$1194,5,FALSE)</f>
        <v>0</v>
      </c>
      <c r="M1575" s="1193">
        <f>VLOOKUP(C1574,UsoSuelo!$CA$1127:$CM$1194,6,FALSE)</f>
        <v>0</v>
      </c>
      <c r="N1575" s="1193">
        <f>VLOOKUP(C1574,UsoSuelo!$CA$1127:$CM$1194,7,FALSE)</f>
        <v>0</v>
      </c>
      <c r="O1575" s="1193">
        <f>VLOOKUP(C1574,UsoSuelo!$CA$1127:$CM$1194,8,FALSE)</f>
        <v>0</v>
      </c>
      <c r="P1575" s="1193">
        <f>VLOOKUP(C1574,UsoSuelo!$CA$1127:$CM$1194,9,FALSE)</f>
        <v>0</v>
      </c>
      <c r="Q1575" s="1193">
        <f>VLOOKUP(C1574,UsoSuelo!$CA$1127:$CM$1194,10,FALSE)</f>
        <v>0</v>
      </c>
      <c r="R1575" s="1193">
        <f>VLOOKUP(C1574,UsoSuelo!$CA$1127:$CM$1194,11,FALSE)</f>
        <v>0</v>
      </c>
      <c r="S1575" s="1193">
        <f>VLOOKUP(C1574,UsoSuelo!$CA$1127:$CM$1194,12,FALSE)</f>
        <v>0</v>
      </c>
      <c r="T1575" s="1183">
        <f>VLOOKUP(C1574,UsoSuelo!$CA$1127:$CM$1194,13,FALSE)</f>
        <v>0</v>
      </c>
      <c r="U1575" s="1195"/>
      <c r="Y1575" s="1195" t="s">
        <v>721</v>
      </c>
      <c r="Z1575" s="193"/>
      <c r="AA1575" s="193"/>
      <c r="AB1575" s="254"/>
      <c r="AC1575" s="193" t="s">
        <v>247</v>
      </c>
      <c r="AD1575" s="193" t="s">
        <v>691</v>
      </c>
      <c r="AE1575" s="193"/>
      <c r="AF1575" s="378">
        <f>VLOOKUP($Z1574,UsoSuelo!$CO$1054:$DA$1120,2,FALSE)</f>
        <v>0</v>
      </c>
      <c r="AG1575" s="1193">
        <f>VLOOKUP($Z1574,UsoSuelo!$CO$1054:$DA$1120,3,FALSE)</f>
        <v>0</v>
      </c>
      <c r="AH1575" s="1193">
        <f>VLOOKUP($Z1574,UsoSuelo!$CO$1054:$DA$1120,4,FALSE)</f>
        <v>0</v>
      </c>
      <c r="AI1575" s="1193">
        <f>VLOOKUP($Z1574,UsoSuelo!$CO$1054:$DA$1120,5,FALSE)</f>
        <v>0</v>
      </c>
      <c r="AJ1575" s="1193">
        <f>VLOOKUP($Z1574,UsoSuelo!$CO$1054:$DA$1120,6,FALSE)</f>
        <v>0</v>
      </c>
      <c r="AK1575" s="1193">
        <f>VLOOKUP($Z1574,UsoSuelo!$CO$1054:$DA$1120,7,FALSE)</f>
        <v>0</v>
      </c>
      <c r="AL1575" s="1193">
        <f>VLOOKUP($Z1574,UsoSuelo!$CO$1054:$DA$1120,8,FALSE)</f>
        <v>0</v>
      </c>
      <c r="AM1575" s="1193">
        <f>VLOOKUP($Z1574,UsoSuelo!$CO$1054:$DA$1120,9,FALSE)</f>
        <v>0</v>
      </c>
      <c r="AN1575" s="1193">
        <f>VLOOKUP($Z1574,UsoSuelo!$CO$1054:$DA$1120,10,FALSE)</f>
        <v>0</v>
      </c>
      <c r="AO1575" s="1193">
        <f>VLOOKUP($Z1574,UsoSuelo!$CO$1054:$DA$1120,11,FALSE)</f>
        <v>0</v>
      </c>
      <c r="AP1575" s="1193">
        <f>VLOOKUP($Z1574,UsoSuelo!$CO$1054:$DA$1120,12,FALSE)</f>
        <v>0</v>
      </c>
      <c r="AQ1575" s="1183">
        <f>VLOOKUP($Z1574,UsoSuelo!$CO$1054:$DA$1120,13,FALSE)</f>
        <v>0</v>
      </c>
      <c r="AR1575" s="1195"/>
    </row>
    <row r="1576" spans="2:44" ht="13.75" hidden="1" customHeight="1" x14ac:dyDescent="0.2">
      <c r="B1576" s="1195"/>
      <c r="C1576" s="193"/>
      <c r="D1576" s="193"/>
      <c r="E1576" s="193"/>
      <c r="F1576" s="193" t="s">
        <v>692</v>
      </c>
      <c r="G1576" s="193"/>
      <c r="H1576" s="193"/>
      <c r="I1576" s="378">
        <f>VLOOKUP(C1574,UsoSuelo!$CB$1275:$CN$1341,2,FALSE)</f>
        <v>0</v>
      </c>
      <c r="J1576" s="1193">
        <f>VLOOKUP(C1574,UsoSuelo!$CB$1275:$CN$1341,3,FALSE)</f>
        <v>0</v>
      </c>
      <c r="K1576" s="1193">
        <f>VLOOKUP(C1574,UsoSuelo!$CB$1275:$CN$1341,4,FALSE)</f>
        <v>0</v>
      </c>
      <c r="L1576" s="1193">
        <f>VLOOKUP(C1574,UsoSuelo!$CB$1275:$CN$1341,5,FALSE)</f>
        <v>0</v>
      </c>
      <c r="M1576" s="1193">
        <f>VLOOKUP(C1574,UsoSuelo!$CB$1275:$CN$1341,6,FALSE)</f>
        <v>0</v>
      </c>
      <c r="N1576" s="1193">
        <f>VLOOKUP(C1574,UsoSuelo!$CB$1275:$CN$1341,7,FALSE)</f>
        <v>0</v>
      </c>
      <c r="O1576" s="1193">
        <f>VLOOKUP(C1574,UsoSuelo!$CB$1275:$CN$1341,8,FALSE)</f>
        <v>0</v>
      </c>
      <c r="P1576" s="1193">
        <f>VLOOKUP(C1574,UsoSuelo!$CB$1275:$CN$1341,9,FALSE)</f>
        <v>0</v>
      </c>
      <c r="Q1576" s="1193">
        <f>VLOOKUP(C1574,UsoSuelo!$CB$1275:$CN$1341,10,FALSE)</f>
        <v>0</v>
      </c>
      <c r="R1576" s="1193">
        <f>VLOOKUP(C1574,UsoSuelo!$CB$1275:$CN$1341,11,FALSE)</f>
        <v>0</v>
      </c>
      <c r="S1576" s="1193">
        <f>VLOOKUP(C1574,UsoSuelo!$CB$1275:$CN$1341,12,FALSE)</f>
        <v>0</v>
      </c>
      <c r="T1576" s="1183">
        <f>VLOOKUP(C1574,UsoSuelo!$CB$1275:$CN$1341,13,FALSE)</f>
        <v>0</v>
      </c>
      <c r="U1576" s="1195"/>
      <c r="Y1576" s="1195"/>
      <c r="Z1576" s="193"/>
      <c r="AA1576" s="193"/>
      <c r="AB1576" s="193"/>
      <c r="AC1576" s="193" t="s">
        <v>247</v>
      </c>
      <c r="AD1576" s="193" t="s">
        <v>699</v>
      </c>
      <c r="AE1576" s="193"/>
      <c r="AF1576" s="378">
        <f>VLOOKUP($Z1574,UsoSuelo!$DB$1201:$DN$1267,2,FALSE)</f>
        <v>0</v>
      </c>
      <c r="AG1576" s="1193">
        <f>VLOOKUP($Z1574,UsoSuelo!$DB$1201:$DN$1267,3,FALSE)</f>
        <v>0</v>
      </c>
      <c r="AH1576" s="1193">
        <f>VLOOKUP($Z1574,UsoSuelo!$DB$1201:$DN$1267,4,FALSE)</f>
        <v>0</v>
      </c>
      <c r="AI1576" s="1193">
        <f>VLOOKUP($Z1574,UsoSuelo!$DB$1201:$DN$1267,5,FALSE)</f>
        <v>0</v>
      </c>
      <c r="AJ1576" s="1193">
        <f>VLOOKUP($Z1574,UsoSuelo!$DB$1201:$DN$1267,6,FALSE)</f>
        <v>0</v>
      </c>
      <c r="AK1576" s="1193">
        <f>VLOOKUP($Z1574,UsoSuelo!$DB$1201:$DN$1267,7,FALSE)</f>
        <v>0</v>
      </c>
      <c r="AL1576" s="1193">
        <f>VLOOKUP($Z1574,UsoSuelo!$DB$1201:$DN$1267,8,FALSE)</f>
        <v>0</v>
      </c>
      <c r="AM1576" s="1193">
        <f>VLOOKUP($Z1574,UsoSuelo!$DB$1201:$DN$1267,9,FALSE)</f>
        <v>0</v>
      </c>
      <c r="AN1576" s="1193">
        <f>VLOOKUP($Z1574,UsoSuelo!$DB$1201:$DN$1267,10,FALSE)</f>
        <v>0</v>
      </c>
      <c r="AO1576" s="1193">
        <f>VLOOKUP($Z1574,UsoSuelo!$DB$1201:$DN$1267,11,FALSE)</f>
        <v>0</v>
      </c>
      <c r="AP1576" s="1193">
        <f>VLOOKUP($Z1574,UsoSuelo!$DB$1201:$DN$1267,12,FALSE)</f>
        <v>0</v>
      </c>
      <c r="AQ1576" s="1183">
        <f>VLOOKUP($Z1574,UsoSuelo!$DB$1201:$DN$1267,13,FALSE)</f>
        <v>0</v>
      </c>
      <c r="AR1576" s="1195"/>
    </row>
    <row r="1577" spans="2:44" ht="13.75" hidden="1" customHeight="1" x14ac:dyDescent="0.2">
      <c r="B1577" s="1195"/>
      <c r="C1577" s="193"/>
      <c r="D1577" s="193"/>
      <c r="E1577" s="193"/>
      <c r="F1577" s="193" t="s">
        <v>230</v>
      </c>
      <c r="G1577" s="193"/>
      <c r="H1577" s="193"/>
      <c r="I1577" s="378">
        <f t="shared" ref="I1577:T1577" si="898">+I411</f>
        <v>0</v>
      </c>
      <c r="J1577" s="1193">
        <f t="shared" si="898"/>
        <v>0</v>
      </c>
      <c r="K1577" s="1193">
        <f t="shared" si="898"/>
        <v>0</v>
      </c>
      <c r="L1577" s="1193">
        <f t="shared" si="898"/>
        <v>0</v>
      </c>
      <c r="M1577" s="1193">
        <f t="shared" si="898"/>
        <v>0</v>
      </c>
      <c r="N1577" s="1193">
        <f t="shared" si="898"/>
        <v>0</v>
      </c>
      <c r="O1577" s="1193">
        <f t="shared" si="898"/>
        <v>0</v>
      </c>
      <c r="P1577" s="1193">
        <f t="shared" si="898"/>
        <v>0</v>
      </c>
      <c r="Q1577" s="1193">
        <f t="shared" si="898"/>
        <v>0</v>
      </c>
      <c r="R1577" s="1193">
        <f t="shared" si="898"/>
        <v>0</v>
      </c>
      <c r="S1577" s="1193">
        <f t="shared" si="898"/>
        <v>0</v>
      </c>
      <c r="T1577" s="1183">
        <f t="shared" si="898"/>
        <v>0</v>
      </c>
      <c r="U1577" s="1195"/>
      <c r="Y1577" s="1195"/>
      <c r="Z1577" s="193"/>
      <c r="AA1577" s="193"/>
      <c r="AB1577" s="193"/>
      <c r="AC1577" s="193" t="s">
        <v>230</v>
      </c>
      <c r="AD1577" s="193"/>
      <c r="AE1577" s="193"/>
      <c r="AF1577" s="378">
        <f t="shared" ref="AF1577:AQ1577" si="899">+AF411</f>
        <v>0</v>
      </c>
      <c r="AG1577" s="1193">
        <f t="shared" si="899"/>
        <v>0</v>
      </c>
      <c r="AH1577" s="1193">
        <f t="shared" si="899"/>
        <v>0</v>
      </c>
      <c r="AI1577" s="1193">
        <f t="shared" si="899"/>
        <v>0</v>
      </c>
      <c r="AJ1577" s="1193">
        <f t="shared" si="899"/>
        <v>0</v>
      </c>
      <c r="AK1577" s="1193">
        <f t="shared" si="899"/>
        <v>0</v>
      </c>
      <c r="AL1577" s="1193">
        <f t="shared" si="899"/>
        <v>0</v>
      </c>
      <c r="AM1577" s="1193">
        <f t="shared" si="899"/>
        <v>0</v>
      </c>
      <c r="AN1577" s="1193">
        <f t="shared" si="899"/>
        <v>0</v>
      </c>
      <c r="AO1577" s="1193">
        <f t="shared" si="899"/>
        <v>0</v>
      </c>
      <c r="AP1577" s="1193">
        <f t="shared" si="899"/>
        <v>0</v>
      </c>
      <c r="AQ1577" s="1183">
        <f t="shared" si="899"/>
        <v>0</v>
      </c>
      <c r="AR1577" s="1195"/>
    </row>
    <row r="1578" spans="2:44" ht="13.75" hidden="1" customHeight="1" x14ac:dyDescent="0.2">
      <c r="B1578" s="1196"/>
      <c r="C1578" s="374"/>
      <c r="D1578" s="374"/>
      <c r="E1578" s="374"/>
      <c r="F1578" s="374" t="s">
        <v>810</v>
      </c>
      <c r="G1578" s="374"/>
      <c r="H1578" s="374"/>
      <c r="I1578" s="377">
        <f t="shared" ref="I1578:T1578" si="900">+IF($B1574="Agrícola",0,I1577)</f>
        <v>0</v>
      </c>
      <c r="J1578" s="1200">
        <f t="shared" si="900"/>
        <v>0</v>
      </c>
      <c r="K1578" s="1200">
        <f t="shared" si="900"/>
        <v>0</v>
      </c>
      <c r="L1578" s="1200">
        <f t="shared" si="900"/>
        <v>0</v>
      </c>
      <c r="M1578" s="1200">
        <f t="shared" si="900"/>
        <v>0</v>
      </c>
      <c r="N1578" s="1200">
        <f t="shared" si="900"/>
        <v>0</v>
      </c>
      <c r="O1578" s="1200">
        <f t="shared" si="900"/>
        <v>0</v>
      </c>
      <c r="P1578" s="1200">
        <f t="shared" si="900"/>
        <v>0</v>
      </c>
      <c r="Q1578" s="1200">
        <f t="shared" si="900"/>
        <v>0</v>
      </c>
      <c r="R1578" s="1200">
        <f t="shared" si="900"/>
        <v>0</v>
      </c>
      <c r="S1578" s="1200">
        <f t="shared" si="900"/>
        <v>0</v>
      </c>
      <c r="T1578" s="1201">
        <f t="shared" si="900"/>
        <v>0</v>
      </c>
      <c r="U1578" s="1195"/>
      <c r="Y1578" s="1196"/>
      <c r="Z1578" s="374"/>
      <c r="AA1578" s="374"/>
      <c r="AB1578" s="374"/>
      <c r="AC1578" s="374" t="s">
        <v>811</v>
      </c>
      <c r="AD1578" s="374"/>
      <c r="AE1578" s="374"/>
      <c r="AF1578" s="377">
        <f t="shared" ref="AF1578:AQ1578" si="901">+IF($Y1574="Agrícola",0,AF1577)</f>
        <v>0</v>
      </c>
      <c r="AG1578" s="1200">
        <f t="shared" si="901"/>
        <v>0</v>
      </c>
      <c r="AH1578" s="1200">
        <f t="shared" si="901"/>
        <v>0</v>
      </c>
      <c r="AI1578" s="1200">
        <f t="shared" si="901"/>
        <v>0</v>
      </c>
      <c r="AJ1578" s="1200">
        <f t="shared" si="901"/>
        <v>0</v>
      </c>
      <c r="AK1578" s="1200">
        <f t="shared" si="901"/>
        <v>0</v>
      </c>
      <c r="AL1578" s="1200">
        <f t="shared" si="901"/>
        <v>0</v>
      </c>
      <c r="AM1578" s="1200">
        <f t="shared" si="901"/>
        <v>0</v>
      </c>
      <c r="AN1578" s="1200">
        <f t="shared" si="901"/>
        <v>0</v>
      </c>
      <c r="AO1578" s="1200">
        <f t="shared" si="901"/>
        <v>0</v>
      </c>
      <c r="AP1578" s="1200">
        <f t="shared" si="901"/>
        <v>0</v>
      </c>
      <c r="AQ1578" s="1201">
        <f t="shared" si="901"/>
        <v>0</v>
      </c>
      <c r="AR1578" s="1195"/>
    </row>
    <row r="1579" spans="2:44" ht="13.75" hidden="1" customHeight="1" x14ac:dyDescent="0.2">
      <c r="B1579" s="1195"/>
      <c r="C1579" s="193"/>
      <c r="D1579" s="193"/>
      <c r="E1579" s="193"/>
      <c r="F1579" s="193" t="s">
        <v>695</v>
      </c>
      <c r="G1579" s="193"/>
      <c r="H1579" s="193"/>
      <c r="I1579" s="1202">
        <f t="shared" ref="I1579:T1579" si="902">IFERROR(I1575/I1578,0)</f>
        <v>0</v>
      </c>
      <c r="J1579" s="1203">
        <f t="shared" si="902"/>
        <v>0</v>
      </c>
      <c r="K1579" s="1203">
        <f t="shared" si="902"/>
        <v>0</v>
      </c>
      <c r="L1579" s="1203">
        <f t="shared" si="902"/>
        <v>0</v>
      </c>
      <c r="M1579" s="1203">
        <f t="shared" si="902"/>
        <v>0</v>
      </c>
      <c r="N1579" s="1203">
        <f t="shared" si="902"/>
        <v>0</v>
      </c>
      <c r="O1579" s="1203">
        <f t="shared" si="902"/>
        <v>0</v>
      </c>
      <c r="P1579" s="1203">
        <f t="shared" si="902"/>
        <v>0</v>
      </c>
      <c r="Q1579" s="1203">
        <f t="shared" si="902"/>
        <v>0</v>
      </c>
      <c r="R1579" s="1203">
        <f t="shared" si="902"/>
        <v>0</v>
      </c>
      <c r="S1579" s="1203">
        <f t="shared" si="902"/>
        <v>0</v>
      </c>
      <c r="T1579" s="1204">
        <f t="shared" si="902"/>
        <v>0</v>
      </c>
      <c r="U1579" s="1582"/>
      <c r="Y1579" s="1195"/>
      <c r="Z1579" s="193"/>
      <c r="AA1579" s="193"/>
      <c r="AB1579" s="193"/>
      <c r="AC1579" s="193" t="s">
        <v>695</v>
      </c>
      <c r="AD1579" s="193"/>
      <c r="AE1579" s="193"/>
      <c r="AF1579" s="1202">
        <f t="shared" ref="AF1579:AQ1579" si="903">IFERROR(AF1575/AF1578,0)</f>
        <v>0</v>
      </c>
      <c r="AG1579" s="1203">
        <f t="shared" si="903"/>
        <v>0</v>
      </c>
      <c r="AH1579" s="1203">
        <f t="shared" si="903"/>
        <v>0</v>
      </c>
      <c r="AI1579" s="1203">
        <f t="shared" si="903"/>
        <v>0</v>
      </c>
      <c r="AJ1579" s="1203">
        <f t="shared" si="903"/>
        <v>0</v>
      </c>
      <c r="AK1579" s="1203">
        <f t="shared" si="903"/>
        <v>0</v>
      </c>
      <c r="AL1579" s="1203">
        <f t="shared" si="903"/>
        <v>0</v>
      </c>
      <c r="AM1579" s="1203">
        <f t="shared" si="903"/>
        <v>0</v>
      </c>
      <c r="AN1579" s="1203">
        <f t="shared" si="903"/>
        <v>0</v>
      </c>
      <c r="AO1579" s="1203">
        <f t="shared" si="903"/>
        <v>0</v>
      </c>
      <c r="AP1579" s="1203">
        <f t="shared" si="903"/>
        <v>0</v>
      </c>
      <c r="AQ1579" s="1204">
        <f t="shared" si="903"/>
        <v>0</v>
      </c>
      <c r="AR1579" s="1582"/>
    </row>
    <row r="1580" spans="2:44" ht="13.75" hidden="1" customHeight="1" x14ac:dyDescent="0.2">
      <c r="B1580" s="1195"/>
      <c r="C1580" s="193"/>
      <c r="D1580" s="193"/>
      <c r="E1580" s="193"/>
      <c r="F1580" s="193" t="s">
        <v>696</v>
      </c>
      <c r="G1580" s="193"/>
      <c r="H1580" s="193"/>
      <c r="I1580" s="1202">
        <f>IFERROR(I1576/I1578,0)</f>
        <v>0</v>
      </c>
      <c r="J1580" s="1203">
        <f t="shared" ref="J1580:T1580" si="904">IFERROR(J1576/J1578,0)</f>
        <v>0</v>
      </c>
      <c r="K1580" s="1203">
        <f t="shared" si="904"/>
        <v>0</v>
      </c>
      <c r="L1580" s="1203">
        <f t="shared" si="904"/>
        <v>0</v>
      </c>
      <c r="M1580" s="1203">
        <f t="shared" si="904"/>
        <v>0</v>
      </c>
      <c r="N1580" s="1203">
        <f t="shared" si="904"/>
        <v>0</v>
      </c>
      <c r="O1580" s="1203">
        <f t="shared" si="904"/>
        <v>0</v>
      </c>
      <c r="P1580" s="1203">
        <f t="shared" si="904"/>
        <v>0</v>
      </c>
      <c r="Q1580" s="1203">
        <f t="shared" si="904"/>
        <v>0</v>
      </c>
      <c r="R1580" s="1203">
        <f t="shared" si="904"/>
        <v>0</v>
      </c>
      <c r="S1580" s="1203">
        <f t="shared" si="904"/>
        <v>0</v>
      </c>
      <c r="T1580" s="1204">
        <f t="shared" si="904"/>
        <v>0</v>
      </c>
      <c r="U1580" s="1582"/>
      <c r="Y1580" s="1195"/>
      <c r="Z1580" s="193"/>
      <c r="AA1580" s="193"/>
      <c r="AB1580" s="193"/>
      <c r="AC1580" s="193" t="s">
        <v>696</v>
      </c>
      <c r="AD1580" s="193"/>
      <c r="AE1580" s="193"/>
      <c r="AF1580" s="1202">
        <f>IFERROR(AF1576/AF1578,0)</f>
        <v>0</v>
      </c>
      <c r="AG1580" s="1203">
        <f t="shared" ref="AG1580:AQ1580" si="905">IFERROR(AG1576/AG1578,0)</f>
        <v>0</v>
      </c>
      <c r="AH1580" s="1203">
        <f t="shared" si="905"/>
        <v>0</v>
      </c>
      <c r="AI1580" s="1203">
        <f t="shared" si="905"/>
        <v>0</v>
      </c>
      <c r="AJ1580" s="1203">
        <f t="shared" si="905"/>
        <v>0</v>
      </c>
      <c r="AK1580" s="1203">
        <f t="shared" si="905"/>
        <v>0</v>
      </c>
      <c r="AL1580" s="1203">
        <f t="shared" si="905"/>
        <v>0</v>
      </c>
      <c r="AM1580" s="1203">
        <f t="shared" si="905"/>
        <v>0</v>
      </c>
      <c r="AN1580" s="1203">
        <f t="shared" si="905"/>
        <v>0</v>
      </c>
      <c r="AO1580" s="1203">
        <f t="shared" si="905"/>
        <v>0</v>
      </c>
      <c r="AP1580" s="1203">
        <f t="shared" si="905"/>
        <v>0</v>
      </c>
      <c r="AQ1580" s="1204">
        <f t="shared" si="905"/>
        <v>0</v>
      </c>
      <c r="AR1580" s="1582"/>
    </row>
    <row r="1581" spans="2:44" ht="13.75" hidden="1" customHeight="1" x14ac:dyDescent="0.2">
      <c r="B1581" s="1196" t="s">
        <v>803</v>
      </c>
      <c r="C1581" s="374"/>
      <c r="D1581" s="374"/>
      <c r="E1581" s="374"/>
      <c r="F1581" s="374" t="s">
        <v>697</v>
      </c>
      <c r="G1581" s="374" t="s">
        <v>694</v>
      </c>
      <c r="H1581" s="193"/>
      <c r="I1581" s="377">
        <f t="shared" ref="I1581:T1581" si="906">+SUMPRODUCT(I428:I445,$F428:$F445)</f>
        <v>0</v>
      </c>
      <c r="J1581" s="1200">
        <f t="shared" si="906"/>
        <v>0</v>
      </c>
      <c r="K1581" s="1200">
        <f t="shared" si="906"/>
        <v>0</v>
      </c>
      <c r="L1581" s="1200">
        <f t="shared" si="906"/>
        <v>0</v>
      </c>
      <c r="M1581" s="1200">
        <f t="shared" si="906"/>
        <v>0</v>
      </c>
      <c r="N1581" s="1200">
        <f t="shared" si="906"/>
        <v>0</v>
      </c>
      <c r="O1581" s="1200">
        <f t="shared" si="906"/>
        <v>0</v>
      </c>
      <c r="P1581" s="1200">
        <f t="shared" si="906"/>
        <v>0</v>
      </c>
      <c r="Q1581" s="1200">
        <f t="shared" si="906"/>
        <v>0</v>
      </c>
      <c r="R1581" s="1200">
        <f t="shared" si="906"/>
        <v>0</v>
      </c>
      <c r="S1581" s="1200">
        <f t="shared" si="906"/>
        <v>0</v>
      </c>
      <c r="T1581" s="1201">
        <f t="shared" si="906"/>
        <v>0</v>
      </c>
      <c r="U1581" s="1195"/>
      <c r="Y1581" s="1196" t="s">
        <v>803</v>
      </c>
      <c r="Z1581" s="374"/>
      <c r="AA1581" s="374"/>
      <c r="AB1581" s="374"/>
      <c r="AC1581" s="374" t="s">
        <v>697</v>
      </c>
      <c r="AD1581" s="374" t="s">
        <v>694</v>
      </c>
      <c r="AE1581" s="193"/>
      <c r="AF1581" s="377">
        <f t="shared" ref="AF1581:AQ1581" si="907">+SUMPRODUCT(AF428:AF445,$AC428:$AC445)</f>
        <v>0</v>
      </c>
      <c r="AG1581" s="1200">
        <f t="shared" si="907"/>
        <v>0</v>
      </c>
      <c r="AH1581" s="1200">
        <f t="shared" si="907"/>
        <v>0</v>
      </c>
      <c r="AI1581" s="1200">
        <f t="shared" si="907"/>
        <v>0</v>
      </c>
      <c r="AJ1581" s="1200">
        <f t="shared" si="907"/>
        <v>0</v>
      </c>
      <c r="AK1581" s="1200">
        <f t="shared" si="907"/>
        <v>0</v>
      </c>
      <c r="AL1581" s="1200">
        <f t="shared" si="907"/>
        <v>0</v>
      </c>
      <c r="AM1581" s="1200">
        <f t="shared" si="907"/>
        <v>0</v>
      </c>
      <c r="AN1581" s="1200">
        <f t="shared" si="907"/>
        <v>0</v>
      </c>
      <c r="AO1581" s="1200">
        <f t="shared" si="907"/>
        <v>0</v>
      </c>
      <c r="AP1581" s="1200">
        <f t="shared" si="907"/>
        <v>0</v>
      </c>
      <c r="AQ1581" s="1201">
        <f t="shared" si="907"/>
        <v>0</v>
      </c>
      <c r="AR1581" s="1195"/>
    </row>
    <row r="1582" spans="2:44" ht="13.75" hidden="1" customHeight="1" x14ac:dyDescent="0.2">
      <c r="B1582" s="1195"/>
      <c r="C1582" s="193"/>
      <c r="D1582" s="193"/>
      <c r="E1582" s="193"/>
      <c r="F1582" s="193" t="s">
        <v>697</v>
      </c>
      <c r="G1582" s="193" t="s">
        <v>698</v>
      </c>
      <c r="H1582" s="193"/>
      <c r="I1582" s="378">
        <f>+I1581*I1579</f>
        <v>0</v>
      </c>
      <c r="J1582" s="1193">
        <f t="shared" ref="J1582:T1582" si="908">+J1581*J1579</f>
        <v>0</v>
      </c>
      <c r="K1582" s="1193">
        <f t="shared" si="908"/>
        <v>0</v>
      </c>
      <c r="L1582" s="1193">
        <f t="shared" si="908"/>
        <v>0</v>
      </c>
      <c r="M1582" s="1193">
        <f t="shared" si="908"/>
        <v>0</v>
      </c>
      <c r="N1582" s="1193">
        <f t="shared" si="908"/>
        <v>0</v>
      </c>
      <c r="O1582" s="1193">
        <f t="shared" si="908"/>
        <v>0</v>
      </c>
      <c r="P1582" s="1193">
        <f t="shared" si="908"/>
        <v>0</v>
      </c>
      <c r="Q1582" s="1193">
        <f t="shared" si="908"/>
        <v>0</v>
      </c>
      <c r="R1582" s="1193">
        <f t="shared" si="908"/>
        <v>0</v>
      </c>
      <c r="S1582" s="1193">
        <f t="shared" si="908"/>
        <v>0</v>
      </c>
      <c r="T1582" s="1183">
        <f t="shared" si="908"/>
        <v>0</v>
      </c>
      <c r="U1582" s="1195"/>
      <c r="Y1582" s="1195"/>
      <c r="Z1582" s="193"/>
      <c r="AA1582" s="193"/>
      <c r="AB1582" s="193"/>
      <c r="AC1582" s="193" t="s">
        <v>697</v>
      </c>
      <c r="AD1582" s="193" t="s">
        <v>698</v>
      </c>
      <c r="AE1582" s="193"/>
      <c r="AF1582" s="378">
        <f>+AF1581*AF1579</f>
        <v>0</v>
      </c>
      <c r="AG1582" s="1193">
        <f t="shared" ref="AG1582:AQ1582" si="909">+AG1581*AG1579</f>
        <v>0</v>
      </c>
      <c r="AH1582" s="1193">
        <f t="shared" si="909"/>
        <v>0</v>
      </c>
      <c r="AI1582" s="1193">
        <f t="shared" si="909"/>
        <v>0</v>
      </c>
      <c r="AJ1582" s="1193">
        <f t="shared" si="909"/>
        <v>0</v>
      </c>
      <c r="AK1582" s="1193">
        <f t="shared" si="909"/>
        <v>0</v>
      </c>
      <c r="AL1582" s="1193">
        <f t="shared" si="909"/>
        <v>0</v>
      </c>
      <c r="AM1582" s="1193">
        <f t="shared" si="909"/>
        <v>0</v>
      </c>
      <c r="AN1582" s="1193">
        <f t="shared" si="909"/>
        <v>0</v>
      </c>
      <c r="AO1582" s="1193">
        <f t="shared" si="909"/>
        <v>0</v>
      </c>
      <c r="AP1582" s="1193">
        <f t="shared" si="909"/>
        <v>0</v>
      </c>
      <c r="AQ1582" s="1183">
        <f t="shared" si="909"/>
        <v>0</v>
      </c>
      <c r="AR1582" s="1195"/>
    </row>
    <row r="1583" spans="2:44" ht="13.75" hidden="1" customHeight="1" x14ac:dyDescent="0.2">
      <c r="B1583" s="1197"/>
      <c r="C1583" s="379"/>
      <c r="D1583" s="379"/>
      <c r="E1583" s="379"/>
      <c r="F1583" s="379" t="s">
        <v>30</v>
      </c>
      <c r="G1583" s="379" t="s">
        <v>699</v>
      </c>
      <c r="H1583" s="193"/>
      <c r="I1583" s="380">
        <f>+I1581*I1580</f>
        <v>0</v>
      </c>
      <c r="J1583" s="1205">
        <f t="shared" ref="J1583:T1583" si="910">+J1581*J1580</f>
        <v>0</v>
      </c>
      <c r="K1583" s="1205">
        <f t="shared" si="910"/>
        <v>0</v>
      </c>
      <c r="L1583" s="1205">
        <f t="shared" si="910"/>
        <v>0</v>
      </c>
      <c r="M1583" s="1205">
        <f t="shared" si="910"/>
        <v>0</v>
      </c>
      <c r="N1583" s="1205">
        <f t="shared" si="910"/>
        <v>0</v>
      </c>
      <c r="O1583" s="1205">
        <f t="shared" si="910"/>
        <v>0</v>
      </c>
      <c r="P1583" s="1205">
        <f t="shared" si="910"/>
        <v>0</v>
      </c>
      <c r="Q1583" s="1205">
        <f t="shared" si="910"/>
        <v>0</v>
      </c>
      <c r="R1583" s="1205">
        <f t="shared" si="910"/>
        <v>0</v>
      </c>
      <c r="S1583" s="1205">
        <f t="shared" si="910"/>
        <v>0</v>
      </c>
      <c r="T1583" s="1190">
        <f t="shared" si="910"/>
        <v>0</v>
      </c>
      <c r="U1583" s="1195"/>
      <c r="Y1583" s="1197"/>
      <c r="Z1583" s="379"/>
      <c r="AA1583" s="379"/>
      <c r="AB1583" s="379"/>
      <c r="AC1583" s="379" t="s">
        <v>30</v>
      </c>
      <c r="AD1583" s="379" t="s">
        <v>699</v>
      </c>
      <c r="AE1583" s="193"/>
      <c r="AF1583" s="380">
        <f>+AF1581*AF1580</f>
        <v>0</v>
      </c>
      <c r="AG1583" s="1205">
        <f t="shared" ref="AG1583:AQ1583" si="911">+AG1581*AG1580</f>
        <v>0</v>
      </c>
      <c r="AH1583" s="1205">
        <f t="shared" si="911"/>
        <v>0</v>
      </c>
      <c r="AI1583" s="1205">
        <f t="shared" si="911"/>
        <v>0</v>
      </c>
      <c r="AJ1583" s="1205">
        <f t="shared" si="911"/>
        <v>0</v>
      </c>
      <c r="AK1583" s="1205">
        <f t="shared" si="911"/>
        <v>0</v>
      </c>
      <c r="AL1583" s="1205">
        <f t="shared" si="911"/>
        <v>0</v>
      </c>
      <c r="AM1583" s="1205">
        <f t="shared" si="911"/>
        <v>0</v>
      </c>
      <c r="AN1583" s="1205">
        <f t="shared" si="911"/>
        <v>0</v>
      </c>
      <c r="AO1583" s="1205">
        <f t="shared" si="911"/>
        <v>0</v>
      </c>
      <c r="AP1583" s="1205">
        <f t="shared" si="911"/>
        <v>0</v>
      </c>
      <c r="AQ1583" s="1190">
        <f t="shared" si="911"/>
        <v>0</v>
      </c>
      <c r="AR1583" s="1195"/>
    </row>
    <row r="1584" spans="2:44" ht="13.75" hidden="1" customHeight="1" x14ac:dyDescent="0.2">
      <c r="B1584" s="1196" t="s">
        <v>447</v>
      </c>
      <c r="C1584" s="374"/>
      <c r="D1584" s="374"/>
      <c r="E1584" s="374"/>
      <c r="F1584" s="374" t="s">
        <v>697</v>
      </c>
      <c r="G1584" s="374" t="s">
        <v>694</v>
      </c>
      <c r="H1584" s="193"/>
      <c r="I1584" s="377">
        <f t="shared" ref="I1584:T1584" si="912">+SUMPRODUCT(I421:I425,$F421:$F425)</f>
        <v>0</v>
      </c>
      <c r="J1584" s="1200">
        <f t="shared" si="912"/>
        <v>0</v>
      </c>
      <c r="K1584" s="1200">
        <f t="shared" si="912"/>
        <v>0</v>
      </c>
      <c r="L1584" s="1200">
        <f t="shared" si="912"/>
        <v>0</v>
      </c>
      <c r="M1584" s="1200">
        <f t="shared" si="912"/>
        <v>0</v>
      </c>
      <c r="N1584" s="1200">
        <f t="shared" si="912"/>
        <v>0</v>
      </c>
      <c r="O1584" s="1200">
        <f t="shared" si="912"/>
        <v>0</v>
      </c>
      <c r="P1584" s="1200">
        <f t="shared" si="912"/>
        <v>0</v>
      </c>
      <c r="Q1584" s="1200">
        <f t="shared" si="912"/>
        <v>0</v>
      </c>
      <c r="R1584" s="1200">
        <f t="shared" si="912"/>
        <v>0</v>
      </c>
      <c r="S1584" s="1200">
        <f t="shared" si="912"/>
        <v>0</v>
      </c>
      <c r="T1584" s="1201">
        <f t="shared" si="912"/>
        <v>0</v>
      </c>
      <c r="U1584" s="1195"/>
      <c r="Y1584" s="1196" t="s">
        <v>447</v>
      </c>
      <c r="Z1584" s="374"/>
      <c r="AA1584" s="374"/>
      <c r="AB1584" s="374"/>
      <c r="AC1584" s="374" t="s">
        <v>697</v>
      </c>
      <c r="AD1584" s="374" t="s">
        <v>694</v>
      </c>
      <c r="AE1584" s="193"/>
      <c r="AF1584" s="377">
        <f t="shared" ref="AF1584:AQ1584" si="913">+SUMPRODUCT(AF421:AF425,$AC421:$AC425)</f>
        <v>0</v>
      </c>
      <c r="AG1584" s="1200">
        <f t="shared" si="913"/>
        <v>0</v>
      </c>
      <c r="AH1584" s="1200">
        <f t="shared" si="913"/>
        <v>0</v>
      </c>
      <c r="AI1584" s="1200">
        <f t="shared" si="913"/>
        <v>0</v>
      </c>
      <c r="AJ1584" s="1200">
        <f t="shared" si="913"/>
        <v>0</v>
      </c>
      <c r="AK1584" s="1200">
        <f t="shared" si="913"/>
        <v>0</v>
      </c>
      <c r="AL1584" s="1200">
        <f t="shared" si="913"/>
        <v>0</v>
      </c>
      <c r="AM1584" s="1200">
        <f t="shared" si="913"/>
        <v>0</v>
      </c>
      <c r="AN1584" s="1200">
        <f t="shared" si="913"/>
        <v>0</v>
      </c>
      <c r="AO1584" s="1200">
        <f t="shared" si="913"/>
        <v>0</v>
      </c>
      <c r="AP1584" s="1200">
        <f t="shared" si="913"/>
        <v>0</v>
      </c>
      <c r="AQ1584" s="1201">
        <f t="shared" si="913"/>
        <v>0</v>
      </c>
      <c r="AR1584" s="1195"/>
    </row>
    <row r="1585" spans="2:44" ht="13.75" hidden="1" customHeight="1" x14ac:dyDescent="0.2">
      <c r="B1585" s="1195"/>
      <c r="C1585" s="193"/>
      <c r="D1585" s="193"/>
      <c r="E1585" s="193"/>
      <c r="F1585" s="193" t="s">
        <v>697</v>
      </c>
      <c r="G1585" s="193" t="s">
        <v>698</v>
      </c>
      <c r="H1585" s="193"/>
      <c r="I1585" s="378">
        <f t="shared" ref="I1585:T1585" si="914">+I1584*I1579</f>
        <v>0</v>
      </c>
      <c r="J1585" s="1193">
        <f t="shared" si="914"/>
        <v>0</v>
      </c>
      <c r="K1585" s="1193">
        <f t="shared" si="914"/>
        <v>0</v>
      </c>
      <c r="L1585" s="1193">
        <f t="shared" si="914"/>
        <v>0</v>
      </c>
      <c r="M1585" s="1193">
        <f t="shared" si="914"/>
        <v>0</v>
      </c>
      <c r="N1585" s="1193">
        <f t="shared" si="914"/>
        <v>0</v>
      </c>
      <c r="O1585" s="1193">
        <f t="shared" si="914"/>
        <v>0</v>
      </c>
      <c r="P1585" s="1193">
        <f t="shared" si="914"/>
        <v>0</v>
      </c>
      <c r="Q1585" s="1193">
        <f t="shared" si="914"/>
        <v>0</v>
      </c>
      <c r="R1585" s="1193">
        <f t="shared" si="914"/>
        <v>0</v>
      </c>
      <c r="S1585" s="1193">
        <f t="shared" si="914"/>
        <v>0</v>
      </c>
      <c r="T1585" s="1183">
        <f t="shared" si="914"/>
        <v>0</v>
      </c>
      <c r="U1585" s="1195"/>
      <c r="Y1585" s="1195"/>
      <c r="Z1585" s="193"/>
      <c r="AA1585" s="193"/>
      <c r="AB1585" s="193"/>
      <c r="AC1585" s="193" t="s">
        <v>697</v>
      </c>
      <c r="AD1585" s="193" t="s">
        <v>698</v>
      </c>
      <c r="AE1585" s="193"/>
      <c r="AF1585" s="378">
        <f t="shared" ref="AF1585:AQ1585" si="915">+AF1584*AF1579</f>
        <v>0</v>
      </c>
      <c r="AG1585" s="1193">
        <f t="shared" si="915"/>
        <v>0</v>
      </c>
      <c r="AH1585" s="1193">
        <f t="shared" si="915"/>
        <v>0</v>
      </c>
      <c r="AI1585" s="1193">
        <f t="shared" si="915"/>
        <v>0</v>
      </c>
      <c r="AJ1585" s="1193">
        <f t="shared" si="915"/>
        <v>0</v>
      </c>
      <c r="AK1585" s="1193">
        <f t="shared" si="915"/>
        <v>0</v>
      </c>
      <c r="AL1585" s="1193">
        <f t="shared" si="915"/>
        <v>0</v>
      </c>
      <c r="AM1585" s="1193">
        <f t="shared" si="915"/>
        <v>0</v>
      </c>
      <c r="AN1585" s="1193">
        <f t="shared" si="915"/>
        <v>0</v>
      </c>
      <c r="AO1585" s="1193">
        <f t="shared" si="915"/>
        <v>0</v>
      </c>
      <c r="AP1585" s="1193">
        <f t="shared" si="915"/>
        <v>0</v>
      </c>
      <c r="AQ1585" s="1183">
        <f t="shared" si="915"/>
        <v>0</v>
      </c>
      <c r="AR1585" s="1195"/>
    </row>
    <row r="1586" spans="2:44" ht="14.4" hidden="1" customHeight="1" thickBot="1" x14ac:dyDescent="0.25">
      <c r="B1586" s="1198"/>
      <c r="C1586" s="1199"/>
      <c r="D1586" s="1199"/>
      <c r="E1586" s="1199"/>
      <c r="F1586" s="1199" t="s">
        <v>30</v>
      </c>
      <c r="G1586" s="1199" t="s">
        <v>699</v>
      </c>
      <c r="H1586" s="1199"/>
      <c r="I1586" s="1206">
        <f>+I1584*I1580</f>
        <v>0</v>
      </c>
      <c r="J1586" s="1207">
        <f t="shared" ref="J1586:T1586" si="916">+J1584*J1580</f>
        <v>0</v>
      </c>
      <c r="K1586" s="1207">
        <f t="shared" si="916"/>
        <v>0</v>
      </c>
      <c r="L1586" s="1207">
        <f t="shared" si="916"/>
        <v>0</v>
      </c>
      <c r="M1586" s="1207">
        <f t="shared" si="916"/>
        <v>0</v>
      </c>
      <c r="N1586" s="1207">
        <f t="shared" si="916"/>
        <v>0</v>
      </c>
      <c r="O1586" s="1207">
        <f t="shared" si="916"/>
        <v>0</v>
      </c>
      <c r="P1586" s="1207">
        <f t="shared" si="916"/>
        <v>0</v>
      </c>
      <c r="Q1586" s="1207">
        <f t="shared" si="916"/>
        <v>0</v>
      </c>
      <c r="R1586" s="1207">
        <f t="shared" si="916"/>
        <v>0</v>
      </c>
      <c r="S1586" s="1207">
        <f t="shared" si="916"/>
        <v>0</v>
      </c>
      <c r="T1586" s="1208">
        <f t="shared" si="916"/>
        <v>0</v>
      </c>
      <c r="U1586" s="1195"/>
      <c r="Y1586" s="1198"/>
      <c r="Z1586" s="1199"/>
      <c r="AA1586" s="1199"/>
      <c r="AB1586" s="1199"/>
      <c r="AC1586" s="1199" t="s">
        <v>30</v>
      </c>
      <c r="AD1586" s="1199" t="s">
        <v>699</v>
      </c>
      <c r="AE1586" s="1199"/>
      <c r="AF1586" s="1206">
        <f>+AF1584*AF1580</f>
        <v>0</v>
      </c>
      <c r="AG1586" s="1207">
        <f t="shared" ref="AG1586:AQ1586" si="917">+AG1584*AG1580</f>
        <v>0</v>
      </c>
      <c r="AH1586" s="1207">
        <f t="shared" si="917"/>
        <v>0</v>
      </c>
      <c r="AI1586" s="1207">
        <f t="shared" si="917"/>
        <v>0</v>
      </c>
      <c r="AJ1586" s="1207">
        <f t="shared" si="917"/>
        <v>0</v>
      </c>
      <c r="AK1586" s="1207">
        <f t="shared" si="917"/>
        <v>0</v>
      </c>
      <c r="AL1586" s="1207">
        <f t="shared" si="917"/>
        <v>0</v>
      </c>
      <c r="AM1586" s="1207">
        <f t="shared" si="917"/>
        <v>0</v>
      </c>
      <c r="AN1586" s="1207">
        <f t="shared" si="917"/>
        <v>0</v>
      </c>
      <c r="AO1586" s="1207">
        <f t="shared" si="917"/>
        <v>0</v>
      </c>
      <c r="AP1586" s="1207">
        <f t="shared" si="917"/>
        <v>0</v>
      </c>
      <c r="AQ1586" s="1208">
        <f t="shared" si="917"/>
        <v>0</v>
      </c>
      <c r="AR1586" s="1195"/>
    </row>
    <row r="1587" spans="2:44" ht="14.4" hidden="1" customHeight="1" thickTop="1" x14ac:dyDescent="0.2">
      <c r="B1587" s="1537">
        <f>+B451</f>
        <v>0</v>
      </c>
      <c r="C1587" s="1581">
        <f>+C450</f>
        <v>0</v>
      </c>
      <c r="D1587" s="1194"/>
      <c r="E1587" s="1194"/>
      <c r="F1587" s="1194"/>
      <c r="G1587" s="1194"/>
      <c r="H1587" s="1194"/>
      <c r="I1587" s="1538"/>
      <c r="J1587" s="1539"/>
      <c r="K1587" s="1539"/>
      <c r="L1587" s="1539"/>
      <c r="M1587" s="1539"/>
      <c r="N1587" s="1539"/>
      <c r="O1587" s="1539"/>
      <c r="P1587" s="1539"/>
      <c r="Q1587" s="1539"/>
      <c r="R1587" s="1539"/>
      <c r="S1587" s="1539"/>
      <c r="T1587" s="1540"/>
      <c r="U1587" s="1195"/>
      <c r="Y1587" s="1537">
        <f>+Y451</f>
        <v>0</v>
      </c>
      <c r="Z1587" s="1581">
        <f>+Z450</f>
        <v>0</v>
      </c>
      <c r="AA1587" s="1194"/>
      <c r="AB1587" s="1194"/>
      <c r="AC1587" s="1194"/>
      <c r="AD1587" s="1194"/>
      <c r="AE1587" s="1194"/>
      <c r="AF1587" s="1538"/>
      <c r="AG1587" s="1539"/>
      <c r="AH1587" s="1539"/>
      <c r="AI1587" s="1539"/>
      <c r="AJ1587" s="1539"/>
      <c r="AK1587" s="1539"/>
      <c r="AL1587" s="1539"/>
      <c r="AM1587" s="1539"/>
      <c r="AN1587" s="1539"/>
      <c r="AO1587" s="1539"/>
      <c r="AP1587" s="1539"/>
      <c r="AQ1587" s="1540"/>
      <c r="AR1587" s="1195"/>
    </row>
    <row r="1588" spans="2:44" ht="13.75" hidden="1" customHeight="1" x14ac:dyDescent="0.2">
      <c r="B1588" s="1195" t="s">
        <v>1563</v>
      </c>
      <c r="C1588" s="193"/>
      <c r="D1588" s="193"/>
      <c r="E1588" s="254"/>
      <c r="F1588" s="193" t="s">
        <v>247</v>
      </c>
      <c r="G1588" s="193" t="s">
        <v>691</v>
      </c>
      <c r="H1588" s="193"/>
      <c r="I1588" s="378">
        <f>VLOOKUP(C1587,UsoSuelo!$CA$1127:$CM$1194,2,FALSE)</f>
        <v>0</v>
      </c>
      <c r="J1588" s="1193">
        <f>VLOOKUP(C1587,UsoSuelo!$CA$1127:$CM$1194,3,FALSE)</f>
        <v>0</v>
      </c>
      <c r="K1588" s="1193">
        <f>VLOOKUP(C1587,UsoSuelo!$CA$1127:$CM$1194,4,FALSE)</f>
        <v>0</v>
      </c>
      <c r="L1588" s="1193">
        <f>VLOOKUP(C1587,UsoSuelo!$CA$1127:$CM$1194,5,FALSE)</f>
        <v>0</v>
      </c>
      <c r="M1588" s="1193">
        <f>VLOOKUP(C1587,UsoSuelo!$CA$1127:$CM$1194,6,FALSE)</f>
        <v>0</v>
      </c>
      <c r="N1588" s="1193">
        <f>VLOOKUP(C1587,UsoSuelo!$CA$1127:$CM$1194,7,FALSE)</f>
        <v>0</v>
      </c>
      <c r="O1588" s="1193">
        <f>VLOOKUP(C1587,UsoSuelo!$CA$1127:$CM$1194,8,FALSE)</f>
        <v>0</v>
      </c>
      <c r="P1588" s="1193">
        <f>VLOOKUP(C1587,UsoSuelo!$CA$1127:$CM$1194,9,FALSE)</f>
        <v>0</v>
      </c>
      <c r="Q1588" s="1193">
        <f>VLOOKUP(C1587,UsoSuelo!$CA$1127:$CM$1194,10,FALSE)</f>
        <v>0</v>
      </c>
      <c r="R1588" s="1193">
        <f>VLOOKUP(C1587,UsoSuelo!$CA$1127:$CM$1194,11,FALSE)</f>
        <v>0</v>
      </c>
      <c r="S1588" s="1193">
        <f>VLOOKUP(C1587,UsoSuelo!$CA$1127:$CM$1194,12,FALSE)</f>
        <v>0</v>
      </c>
      <c r="T1588" s="1183">
        <f>VLOOKUP(C1587,UsoSuelo!$CA$1127:$CM$1194,13,FALSE)</f>
        <v>0</v>
      </c>
      <c r="U1588" s="1195"/>
      <c r="Y1588" s="1195" t="s">
        <v>721</v>
      </c>
      <c r="Z1588" s="193"/>
      <c r="AA1588" s="193"/>
      <c r="AB1588" s="254"/>
      <c r="AC1588" s="193" t="s">
        <v>247</v>
      </c>
      <c r="AD1588" s="193" t="s">
        <v>691</v>
      </c>
      <c r="AE1588" s="193"/>
      <c r="AF1588" s="378">
        <f>VLOOKUP($Z1587,UsoSuelo!$CO$1054:$DA$1120,2,FALSE)</f>
        <v>0</v>
      </c>
      <c r="AG1588" s="1193">
        <f>VLOOKUP($Z1587,UsoSuelo!$CO$1054:$DA$1120,3,FALSE)</f>
        <v>0</v>
      </c>
      <c r="AH1588" s="1193">
        <f>VLOOKUP($Z1587,UsoSuelo!$CO$1054:$DA$1120,4,FALSE)</f>
        <v>0</v>
      </c>
      <c r="AI1588" s="1193">
        <f>VLOOKUP($Z1587,UsoSuelo!$CO$1054:$DA$1120,5,FALSE)</f>
        <v>0</v>
      </c>
      <c r="AJ1588" s="1193">
        <f>VLOOKUP($Z1587,UsoSuelo!$CO$1054:$DA$1120,6,FALSE)</f>
        <v>0</v>
      </c>
      <c r="AK1588" s="1193">
        <f>VLOOKUP($Z1587,UsoSuelo!$CO$1054:$DA$1120,7,FALSE)</f>
        <v>0</v>
      </c>
      <c r="AL1588" s="1193">
        <f>VLOOKUP($Z1587,UsoSuelo!$CO$1054:$DA$1120,8,FALSE)</f>
        <v>0</v>
      </c>
      <c r="AM1588" s="1193">
        <f>VLOOKUP($Z1587,UsoSuelo!$CO$1054:$DA$1120,9,FALSE)</f>
        <v>0</v>
      </c>
      <c r="AN1588" s="1193">
        <f>VLOOKUP($Z1587,UsoSuelo!$CO$1054:$DA$1120,10,FALSE)</f>
        <v>0</v>
      </c>
      <c r="AO1588" s="1193">
        <f>VLOOKUP($Z1587,UsoSuelo!$CO$1054:$DA$1120,11,FALSE)</f>
        <v>0</v>
      </c>
      <c r="AP1588" s="1193">
        <f>VLOOKUP($Z1587,UsoSuelo!$CO$1054:$DA$1120,12,FALSE)</f>
        <v>0</v>
      </c>
      <c r="AQ1588" s="1183">
        <f>VLOOKUP($Z1587,UsoSuelo!$CO$1054:$DA$1120,13,FALSE)</f>
        <v>0</v>
      </c>
      <c r="AR1588" s="1195"/>
    </row>
    <row r="1589" spans="2:44" ht="13.75" hidden="1" customHeight="1" x14ac:dyDescent="0.2">
      <c r="B1589" s="1195"/>
      <c r="C1589" s="193"/>
      <c r="D1589" s="193"/>
      <c r="E1589" s="193"/>
      <c r="F1589" s="193" t="s">
        <v>692</v>
      </c>
      <c r="G1589" s="193"/>
      <c r="H1589" s="193"/>
      <c r="I1589" s="378">
        <f>VLOOKUP(C1587,UsoSuelo!$CB$1275:$CN$1341,2,FALSE)</f>
        <v>0</v>
      </c>
      <c r="J1589" s="1193">
        <f>VLOOKUP(C1587,UsoSuelo!$CB$1275:$CN$1341,3,FALSE)</f>
        <v>0</v>
      </c>
      <c r="K1589" s="1193">
        <f>VLOOKUP(C1587,UsoSuelo!$CB$1275:$CN$1341,4,FALSE)</f>
        <v>0</v>
      </c>
      <c r="L1589" s="1193">
        <f>VLOOKUP(C1587,UsoSuelo!$CB$1275:$CN$1341,5,FALSE)</f>
        <v>0</v>
      </c>
      <c r="M1589" s="1193">
        <f>VLOOKUP(C1587,UsoSuelo!$CB$1275:$CN$1341,6,FALSE)</f>
        <v>0</v>
      </c>
      <c r="N1589" s="1193">
        <f>VLOOKUP(C1587,UsoSuelo!$CB$1275:$CN$1341,7,FALSE)</f>
        <v>0</v>
      </c>
      <c r="O1589" s="1193">
        <f>VLOOKUP(C1587,UsoSuelo!$CB$1275:$CN$1341,8,FALSE)</f>
        <v>0</v>
      </c>
      <c r="P1589" s="1193">
        <f>VLOOKUP(C1587,UsoSuelo!$CB$1275:$CN$1341,9,FALSE)</f>
        <v>0</v>
      </c>
      <c r="Q1589" s="1193">
        <f>VLOOKUP(C1587,UsoSuelo!$CB$1275:$CN$1341,10,FALSE)</f>
        <v>0</v>
      </c>
      <c r="R1589" s="1193">
        <f>VLOOKUP(C1587,UsoSuelo!$CB$1275:$CN$1341,11,FALSE)</f>
        <v>0</v>
      </c>
      <c r="S1589" s="1193">
        <f>VLOOKUP(C1587,UsoSuelo!$CB$1275:$CN$1341,12,FALSE)</f>
        <v>0</v>
      </c>
      <c r="T1589" s="1183">
        <f>VLOOKUP(C1587,UsoSuelo!$CB$1275:$CN$1341,13,FALSE)</f>
        <v>0</v>
      </c>
      <c r="U1589" s="1195"/>
      <c r="Y1589" s="1195"/>
      <c r="Z1589" s="193"/>
      <c r="AA1589" s="193"/>
      <c r="AB1589" s="193"/>
      <c r="AC1589" s="193" t="s">
        <v>247</v>
      </c>
      <c r="AD1589" s="193" t="s">
        <v>699</v>
      </c>
      <c r="AE1589" s="193"/>
      <c r="AF1589" s="378">
        <f>VLOOKUP($Z1587,UsoSuelo!$DB$1201:$DN$1267,2,FALSE)</f>
        <v>0</v>
      </c>
      <c r="AG1589" s="1193">
        <f>VLOOKUP($Z1587,UsoSuelo!$DB$1201:$DN$1267,3,FALSE)</f>
        <v>0</v>
      </c>
      <c r="AH1589" s="1193">
        <f>VLOOKUP($Z1587,UsoSuelo!$DB$1201:$DN$1267,4,FALSE)</f>
        <v>0</v>
      </c>
      <c r="AI1589" s="1193">
        <f>VLOOKUP($Z1587,UsoSuelo!$DB$1201:$DN$1267,5,FALSE)</f>
        <v>0</v>
      </c>
      <c r="AJ1589" s="1193">
        <f>VLOOKUP($Z1587,UsoSuelo!$DB$1201:$DN$1267,6,FALSE)</f>
        <v>0</v>
      </c>
      <c r="AK1589" s="1193">
        <f>VLOOKUP($Z1587,UsoSuelo!$DB$1201:$DN$1267,7,FALSE)</f>
        <v>0</v>
      </c>
      <c r="AL1589" s="1193">
        <f>VLOOKUP($Z1587,UsoSuelo!$DB$1201:$DN$1267,8,FALSE)</f>
        <v>0</v>
      </c>
      <c r="AM1589" s="1193">
        <f>VLOOKUP($Z1587,UsoSuelo!$DB$1201:$DN$1267,9,FALSE)</f>
        <v>0</v>
      </c>
      <c r="AN1589" s="1193">
        <f>VLOOKUP($Z1587,UsoSuelo!$DB$1201:$DN$1267,10,FALSE)</f>
        <v>0</v>
      </c>
      <c r="AO1589" s="1193">
        <f>VLOOKUP($Z1587,UsoSuelo!$DB$1201:$DN$1267,11,FALSE)</f>
        <v>0</v>
      </c>
      <c r="AP1589" s="1193">
        <f>VLOOKUP($Z1587,UsoSuelo!$DB$1201:$DN$1267,12,FALSE)</f>
        <v>0</v>
      </c>
      <c r="AQ1589" s="1183">
        <f>VLOOKUP($Z1587,UsoSuelo!$DB$1201:$DN$1267,13,FALSE)</f>
        <v>0</v>
      </c>
      <c r="AR1589" s="1195"/>
    </row>
    <row r="1590" spans="2:44" ht="13.75" hidden="1" customHeight="1" x14ac:dyDescent="0.2">
      <c r="B1590" s="1195"/>
      <c r="C1590" s="193"/>
      <c r="D1590" s="193"/>
      <c r="E1590" s="193"/>
      <c r="F1590" s="193" t="s">
        <v>230</v>
      </c>
      <c r="G1590" s="193"/>
      <c r="H1590" s="193"/>
      <c r="I1590" s="378">
        <f t="shared" ref="I1590:T1590" si="918">+I452</f>
        <v>0</v>
      </c>
      <c r="J1590" s="1193">
        <f t="shared" si="918"/>
        <v>0</v>
      </c>
      <c r="K1590" s="1193">
        <f t="shared" si="918"/>
        <v>0</v>
      </c>
      <c r="L1590" s="1193">
        <f t="shared" si="918"/>
        <v>0</v>
      </c>
      <c r="M1590" s="1193">
        <f t="shared" si="918"/>
        <v>0</v>
      </c>
      <c r="N1590" s="1193">
        <f t="shared" si="918"/>
        <v>0</v>
      </c>
      <c r="O1590" s="1193">
        <f t="shared" si="918"/>
        <v>0</v>
      </c>
      <c r="P1590" s="1193">
        <f t="shared" si="918"/>
        <v>0</v>
      </c>
      <c r="Q1590" s="1193">
        <f t="shared" si="918"/>
        <v>0</v>
      </c>
      <c r="R1590" s="1193">
        <f t="shared" si="918"/>
        <v>0</v>
      </c>
      <c r="S1590" s="1193">
        <f t="shared" si="918"/>
        <v>0</v>
      </c>
      <c r="T1590" s="1183">
        <f t="shared" si="918"/>
        <v>0</v>
      </c>
      <c r="U1590" s="1195"/>
      <c r="Y1590" s="1195"/>
      <c r="Z1590" s="193"/>
      <c r="AA1590" s="193"/>
      <c r="AB1590" s="193"/>
      <c r="AC1590" s="193" t="s">
        <v>230</v>
      </c>
      <c r="AD1590" s="193"/>
      <c r="AE1590" s="193"/>
      <c r="AF1590" s="378">
        <f t="shared" ref="AF1590:AQ1590" si="919">+AF453</f>
        <v>0</v>
      </c>
      <c r="AG1590" s="1193">
        <f t="shared" si="919"/>
        <v>0</v>
      </c>
      <c r="AH1590" s="1193">
        <f t="shared" si="919"/>
        <v>0</v>
      </c>
      <c r="AI1590" s="1193">
        <f t="shared" si="919"/>
        <v>0</v>
      </c>
      <c r="AJ1590" s="1193">
        <f t="shared" si="919"/>
        <v>0</v>
      </c>
      <c r="AK1590" s="1193">
        <f t="shared" si="919"/>
        <v>0</v>
      </c>
      <c r="AL1590" s="1193">
        <f t="shared" si="919"/>
        <v>0</v>
      </c>
      <c r="AM1590" s="1193">
        <f t="shared" si="919"/>
        <v>0</v>
      </c>
      <c r="AN1590" s="1193">
        <f t="shared" si="919"/>
        <v>0</v>
      </c>
      <c r="AO1590" s="1193">
        <f t="shared" si="919"/>
        <v>0</v>
      </c>
      <c r="AP1590" s="1193">
        <f t="shared" si="919"/>
        <v>0</v>
      </c>
      <c r="AQ1590" s="1183">
        <f t="shared" si="919"/>
        <v>0</v>
      </c>
      <c r="AR1590" s="1195"/>
    </row>
    <row r="1591" spans="2:44" ht="13.75" hidden="1" customHeight="1" x14ac:dyDescent="0.2">
      <c r="B1591" s="1196"/>
      <c r="C1591" s="374"/>
      <c r="D1591" s="374"/>
      <c r="E1591" s="374"/>
      <c r="F1591" s="374" t="s">
        <v>810</v>
      </c>
      <c r="G1591" s="374"/>
      <c r="H1591" s="374"/>
      <c r="I1591" s="377">
        <f t="shared" ref="I1591:T1591" si="920">+IF($B1587="Agrícola",0,I1590)</f>
        <v>0</v>
      </c>
      <c r="J1591" s="1200">
        <f t="shared" si="920"/>
        <v>0</v>
      </c>
      <c r="K1591" s="1200">
        <f t="shared" si="920"/>
        <v>0</v>
      </c>
      <c r="L1591" s="1200">
        <f t="shared" si="920"/>
        <v>0</v>
      </c>
      <c r="M1591" s="1200">
        <f t="shared" si="920"/>
        <v>0</v>
      </c>
      <c r="N1591" s="1200">
        <f t="shared" si="920"/>
        <v>0</v>
      </c>
      <c r="O1591" s="1200">
        <f t="shared" si="920"/>
        <v>0</v>
      </c>
      <c r="P1591" s="1200">
        <f t="shared" si="920"/>
        <v>0</v>
      </c>
      <c r="Q1591" s="1200">
        <f t="shared" si="920"/>
        <v>0</v>
      </c>
      <c r="R1591" s="1200">
        <f t="shared" si="920"/>
        <v>0</v>
      </c>
      <c r="S1591" s="1200">
        <f t="shared" si="920"/>
        <v>0</v>
      </c>
      <c r="T1591" s="1201">
        <f t="shared" si="920"/>
        <v>0</v>
      </c>
      <c r="U1591" s="1195"/>
      <c r="Y1591" s="1196"/>
      <c r="Z1591" s="374"/>
      <c r="AA1591" s="374"/>
      <c r="AB1591" s="374"/>
      <c r="AC1591" s="374" t="s">
        <v>811</v>
      </c>
      <c r="AD1591" s="374"/>
      <c r="AE1591" s="374"/>
      <c r="AF1591" s="377">
        <f t="shared" ref="AF1591:AQ1591" si="921">+IF($Y1587="Agrícola",0,AF1590)</f>
        <v>0</v>
      </c>
      <c r="AG1591" s="1200">
        <f t="shared" si="921"/>
        <v>0</v>
      </c>
      <c r="AH1591" s="1200">
        <f t="shared" si="921"/>
        <v>0</v>
      </c>
      <c r="AI1591" s="1200">
        <f t="shared" si="921"/>
        <v>0</v>
      </c>
      <c r="AJ1591" s="1200">
        <f t="shared" si="921"/>
        <v>0</v>
      </c>
      <c r="AK1591" s="1200">
        <f t="shared" si="921"/>
        <v>0</v>
      </c>
      <c r="AL1591" s="1200">
        <f t="shared" si="921"/>
        <v>0</v>
      </c>
      <c r="AM1591" s="1200">
        <f t="shared" si="921"/>
        <v>0</v>
      </c>
      <c r="AN1591" s="1200">
        <f t="shared" si="921"/>
        <v>0</v>
      </c>
      <c r="AO1591" s="1200">
        <f t="shared" si="921"/>
        <v>0</v>
      </c>
      <c r="AP1591" s="1200">
        <f t="shared" si="921"/>
        <v>0</v>
      </c>
      <c r="AQ1591" s="1201">
        <f t="shared" si="921"/>
        <v>0</v>
      </c>
      <c r="AR1591" s="1195"/>
    </row>
    <row r="1592" spans="2:44" ht="13.75" hidden="1" customHeight="1" x14ac:dyDescent="0.2">
      <c r="B1592" s="1195"/>
      <c r="C1592" s="193"/>
      <c r="D1592" s="193"/>
      <c r="E1592" s="193"/>
      <c r="F1592" s="193" t="s">
        <v>695</v>
      </c>
      <c r="G1592" s="193"/>
      <c r="H1592" s="193"/>
      <c r="I1592" s="1202">
        <f t="shared" ref="I1592:T1592" si="922">IFERROR(I1588/I1591,0)</f>
        <v>0</v>
      </c>
      <c r="J1592" s="1203">
        <f t="shared" si="922"/>
        <v>0</v>
      </c>
      <c r="K1592" s="1203">
        <f t="shared" si="922"/>
        <v>0</v>
      </c>
      <c r="L1592" s="1203">
        <f t="shared" si="922"/>
        <v>0</v>
      </c>
      <c r="M1592" s="1203">
        <f t="shared" si="922"/>
        <v>0</v>
      </c>
      <c r="N1592" s="1203">
        <f t="shared" si="922"/>
        <v>0</v>
      </c>
      <c r="O1592" s="1203">
        <f t="shared" si="922"/>
        <v>0</v>
      </c>
      <c r="P1592" s="1203">
        <f t="shared" si="922"/>
        <v>0</v>
      </c>
      <c r="Q1592" s="1203">
        <f t="shared" si="922"/>
        <v>0</v>
      </c>
      <c r="R1592" s="1203">
        <f t="shared" si="922"/>
        <v>0</v>
      </c>
      <c r="S1592" s="1203">
        <f t="shared" si="922"/>
        <v>0</v>
      </c>
      <c r="T1592" s="1204">
        <f t="shared" si="922"/>
        <v>0</v>
      </c>
      <c r="U1592" s="1582"/>
      <c r="Y1592" s="1195"/>
      <c r="Z1592" s="193"/>
      <c r="AA1592" s="193"/>
      <c r="AB1592" s="193"/>
      <c r="AC1592" s="193" t="s">
        <v>695</v>
      </c>
      <c r="AD1592" s="193"/>
      <c r="AE1592" s="193"/>
      <c r="AF1592" s="1202">
        <f t="shared" ref="AF1592:AQ1592" si="923">IFERROR(AF1588/AF1591,0)</f>
        <v>0</v>
      </c>
      <c r="AG1592" s="1203">
        <f t="shared" si="923"/>
        <v>0</v>
      </c>
      <c r="AH1592" s="1203">
        <f t="shared" si="923"/>
        <v>0</v>
      </c>
      <c r="AI1592" s="1203">
        <f t="shared" si="923"/>
        <v>0</v>
      </c>
      <c r="AJ1592" s="1203">
        <f t="shared" si="923"/>
        <v>0</v>
      </c>
      <c r="AK1592" s="1203">
        <f t="shared" si="923"/>
        <v>0</v>
      </c>
      <c r="AL1592" s="1203">
        <f t="shared" si="923"/>
        <v>0</v>
      </c>
      <c r="AM1592" s="1203">
        <f t="shared" si="923"/>
        <v>0</v>
      </c>
      <c r="AN1592" s="1203">
        <f t="shared" si="923"/>
        <v>0</v>
      </c>
      <c r="AO1592" s="1203">
        <f t="shared" si="923"/>
        <v>0</v>
      </c>
      <c r="AP1592" s="1203">
        <f t="shared" si="923"/>
        <v>0</v>
      </c>
      <c r="AQ1592" s="1204">
        <f t="shared" si="923"/>
        <v>0</v>
      </c>
      <c r="AR1592" s="1582"/>
    </row>
    <row r="1593" spans="2:44" ht="13.75" hidden="1" customHeight="1" x14ac:dyDescent="0.2">
      <c r="B1593" s="1195"/>
      <c r="C1593" s="193"/>
      <c r="D1593" s="193"/>
      <c r="E1593" s="193"/>
      <c r="F1593" s="193" t="s">
        <v>696</v>
      </c>
      <c r="G1593" s="193"/>
      <c r="H1593" s="193"/>
      <c r="I1593" s="1202">
        <f>IFERROR(I1589/I1591,0)</f>
        <v>0</v>
      </c>
      <c r="J1593" s="1203">
        <f t="shared" ref="J1593:T1593" si="924">IFERROR(J1589/J1591,0)</f>
        <v>0</v>
      </c>
      <c r="K1593" s="1203">
        <f t="shared" si="924"/>
        <v>0</v>
      </c>
      <c r="L1593" s="1203">
        <f t="shared" si="924"/>
        <v>0</v>
      </c>
      <c r="M1593" s="1203">
        <f t="shared" si="924"/>
        <v>0</v>
      </c>
      <c r="N1593" s="1203">
        <f t="shared" si="924"/>
        <v>0</v>
      </c>
      <c r="O1593" s="1203">
        <f t="shared" si="924"/>
        <v>0</v>
      </c>
      <c r="P1593" s="1203">
        <f t="shared" si="924"/>
        <v>0</v>
      </c>
      <c r="Q1593" s="1203">
        <f t="shared" si="924"/>
        <v>0</v>
      </c>
      <c r="R1593" s="1203">
        <f t="shared" si="924"/>
        <v>0</v>
      </c>
      <c r="S1593" s="1203">
        <f t="shared" si="924"/>
        <v>0</v>
      </c>
      <c r="T1593" s="1204">
        <f t="shared" si="924"/>
        <v>0</v>
      </c>
      <c r="U1593" s="1582"/>
      <c r="Y1593" s="1195"/>
      <c r="Z1593" s="193"/>
      <c r="AA1593" s="193"/>
      <c r="AB1593" s="193"/>
      <c r="AC1593" s="193" t="s">
        <v>696</v>
      </c>
      <c r="AD1593" s="193"/>
      <c r="AE1593" s="193"/>
      <c r="AF1593" s="1202">
        <f>IFERROR(AF1589/AF1591,0)</f>
        <v>0</v>
      </c>
      <c r="AG1593" s="1203">
        <f t="shared" ref="AG1593:AQ1593" si="925">IFERROR(AG1589/AG1591,0)</f>
        <v>0</v>
      </c>
      <c r="AH1593" s="1203">
        <f t="shared" si="925"/>
        <v>0</v>
      </c>
      <c r="AI1593" s="1203">
        <f t="shared" si="925"/>
        <v>0</v>
      </c>
      <c r="AJ1593" s="1203">
        <f t="shared" si="925"/>
        <v>0</v>
      </c>
      <c r="AK1593" s="1203">
        <f t="shared" si="925"/>
        <v>0</v>
      </c>
      <c r="AL1593" s="1203">
        <f t="shared" si="925"/>
        <v>0</v>
      </c>
      <c r="AM1593" s="1203">
        <f t="shared" si="925"/>
        <v>0</v>
      </c>
      <c r="AN1593" s="1203">
        <f t="shared" si="925"/>
        <v>0</v>
      </c>
      <c r="AO1593" s="1203">
        <f t="shared" si="925"/>
        <v>0</v>
      </c>
      <c r="AP1593" s="1203">
        <f t="shared" si="925"/>
        <v>0</v>
      </c>
      <c r="AQ1593" s="1204">
        <f t="shared" si="925"/>
        <v>0</v>
      </c>
      <c r="AR1593" s="1582"/>
    </row>
    <row r="1594" spans="2:44" ht="13.75" hidden="1" customHeight="1" x14ac:dyDescent="0.2">
      <c r="B1594" s="1196" t="s">
        <v>803</v>
      </c>
      <c r="C1594" s="374"/>
      <c r="D1594" s="374"/>
      <c r="E1594" s="374"/>
      <c r="F1594" s="374" t="s">
        <v>697</v>
      </c>
      <c r="G1594" s="374" t="s">
        <v>694</v>
      </c>
      <c r="H1594" s="193"/>
      <c r="I1594" s="377">
        <f t="shared" ref="I1594:T1594" si="926">+SUMPRODUCT(I469:I486,$F469:$F486)</f>
        <v>0</v>
      </c>
      <c r="J1594" s="1200">
        <f t="shared" si="926"/>
        <v>0</v>
      </c>
      <c r="K1594" s="1200">
        <f t="shared" si="926"/>
        <v>0</v>
      </c>
      <c r="L1594" s="1200">
        <f t="shared" si="926"/>
        <v>0</v>
      </c>
      <c r="M1594" s="1200">
        <f t="shared" si="926"/>
        <v>0</v>
      </c>
      <c r="N1594" s="1200">
        <f t="shared" si="926"/>
        <v>0</v>
      </c>
      <c r="O1594" s="1200">
        <f t="shared" si="926"/>
        <v>0</v>
      </c>
      <c r="P1594" s="1200">
        <f t="shared" si="926"/>
        <v>0</v>
      </c>
      <c r="Q1594" s="1200">
        <f t="shared" si="926"/>
        <v>0</v>
      </c>
      <c r="R1594" s="1200">
        <f t="shared" si="926"/>
        <v>0</v>
      </c>
      <c r="S1594" s="1200">
        <f t="shared" si="926"/>
        <v>0</v>
      </c>
      <c r="T1594" s="1201">
        <f t="shared" si="926"/>
        <v>0</v>
      </c>
      <c r="U1594" s="1195"/>
      <c r="Y1594" s="1196" t="s">
        <v>803</v>
      </c>
      <c r="Z1594" s="374"/>
      <c r="AA1594" s="374"/>
      <c r="AB1594" s="374"/>
      <c r="AC1594" s="374" t="s">
        <v>697</v>
      </c>
      <c r="AD1594" s="374" t="s">
        <v>694</v>
      </c>
      <c r="AE1594" s="193"/>
      <c r="AF1594" s="377">
        <f t="shared" ref="AF1594:AQ1594" si="927">+SUMPRODUCT(AF469:AF486,$AC469:$AC486)</f>
        <v>0</v>
      </c>
      <c r="AG1594" s="1200">
        <f t="shared" si="927"/>
        <v>0</v>
      </c>
      <c r="AH1594" s="1200">
        <f t="shared" si="927"/>
        <v>0</v>
      </c>
      <c r="AI1594" s="1200">
        <f t="shared" si="927"/>
        <v>0</v>
      </c>
      <c r="AJ1594" s="1200">
        <f t="shared" si="927"/>
        <v>0</v>
      </c>
      <c r="AK1594" s="1200">
        <f t="shared" si="927"/>
        <v>0</v>
      </c>
      <c r="AL1594" s="1200">
        <f t="shared" si="927"/>
        <v>0</v>
      </c>
      <c r="AM1594" s="1200">
        <f t="shared" si="927"/>
        <v>0</v>
      </c>
      <c r="AN1594" s="1200">
        <f t="shared" si="927"/>
        <v>0</v>
      </c>
      <c r="AO1594" s="1200">
        <f t="shared" si="927"/>
        <v>0</v>
      </c>
      <c r="AP1594" s="1200">
        <f t="shared" si="927"/>
        <v>0</v>
      </c>
      <c r="AQ1594" s="1201">
        <f t="shared" si="927"/>
        <v>0</v>
      </c>
      <c r="AR1594" s="1195"/>
    </row>
    <row r="1595" spans="2:44" ht="13.75" hidden="1" customHeight="1" x14ac:dyDescent="0.2">
      <c r="B1595" s="1195"/>
      <c r="C1595" s="193"/>
      <c r="D1595" s="193"/>
      <c r="E1595" s="193"/>
      <c r="F1595" s="193" t="s">
        <v>697</v>
      </c>
      <c r="G1595" s="193" t="s">
        <v>698</v>
      </c>
      <c r="H1595" s="193"/>
      <c r="I1595" s="378">
        <f>+I1594*I1592</f>
        <v>0</v>
      </c>
      <c r="J1595" s="1193">
        <f t="shared" ref="J1595:T1595" si="928">+J1594*J1592</f>
        <v>0</v>
      </c>
      <c r="K1595" s="1193">
        <f t="shared" si="928"/>
        <v>0</v>
      </c>
      <c r="L1595" s="1193">
        <f t="shared" si="928"/>
        <v>0</v>
      </c>
      <c r="M1595" s="1193">
        <f t="shared" si="928"/>
        <v>0</v>
      </c>
      <c r="N1595" s="1193">
        <f t="shared" si="928"/>
        <v>0</v>
      </c>
      <c r="O1595" s="1193">
        <f t="shared" si="928"/>
        <v>0</v>
      </c>
      <c r="P1595" s="1193">
        <f t="shared" si="928"/>
        <v>0</v>
      </c>
      <c r="Q1595" s="1193">
        <f t="shared" si="928"/>
        <v>0</v>
      </c>
      <c r="R1595" s="1193">
        <f t="shared" si="928"/>
        <v>0</v>
      </c>
      <c r="S1595" s="1193">
        <f t="shared" si="928"/>
        <v>0</v>
      </c>
      <c r="T1595" s="1183">
        <f t="shared" si="928"/>
        <v>0</v>
      </c>
      <c r="U1595" s="1195"/>
      <c r="Y1595" s="1195"/>
      <c r="Z1595" s="193"/>
      <c r="AA1595" s="193"/>
      <c r="AB1595" s="193"/>
      <c r="AC1595" s="193" t="s">
        <v>697</v>
      </c>
      <c r="AD1595" s="193" t="s">
        <v>698</v>
      </c>
      <c r="AE1595" s="193"/>
      <c r="AF1595" s="378">
        <f>+AF1594*AF1592</f>
        <v>0</v>
      </c>
      <c r="AG1595" s="1193">
        <f t="shared" ref="AG1595:AQ1595" si="929">+AG1594*AG1592</f>
        <v>0</v>
      </c>
      <c r="AH1595" s="1193">
        <f t="shared" si="929"/>
        <v>0</v>
      </c>
      <c r="AI1595" s="1193">
        <f t="shared" si="929"/>
        <v>0</v>
      </c>
      <c r="AJ1595" s="1193">
        <f t="shared" si="929"/>
        <v>0</v>
      </c>
      <c r="AK1595" s="1193">
        <f t="shared" si="929"/>
        <v>0</v>
      </c>
      <c r="AL1595" s="1193">
        <f t="shared" si="929"/>
        <v>0</v>
      </c>
      <c r="AM1595" s="1193">
        <f t="shared" si="929"/>
        <v>0</v>
      </c>
      <c r="AN1595" s="1193">
        <f t="shared" si="929"/>
        <v>0</v>
      </c>
      <c r="AO1595" s="1193">
        <f t="shared" si="929"/>
        <v>0</v>
      </c>
      <c r="AP1595" s="1193">
        <f t="shared" si="929"/>
        <v>0</v>
      </c>
      <c r="AQ1595" s="1183">
        <f t="shared" si="929"/>
        <v>0</v>
      </c>
      <c r="AR1595" s="1195"/>
    </row>
    <row r="1596" spans="2:44" ht="13.75" hidden="1" customHeight="1" x14ac:dyDescent="0.2">
      <c r="B1596" s="1197"/>
      <c r="C1596" s="379"/>
      <c r="D1596" s="379"/>
      <c r="E1596" s="379"/>
      <c r="F1596" s="379" t="s">
        <v>30</v>
      </c>
      <c r="G1596" s="379" t="s">
        <v>699</v>
      </c>
      <c r="H1596" s="193"/>
      <c r="I1596" s="380">
        <f>+I1594*I1593</f>
        <v>0</v>
      </c>
      <c r="J1596" s="1205">
        <f t="shared" ref="J1596:T1596" si="930">+J1594*J1593</f>
        <v>0</v>
      </c>
      <c r="K1596" s="1205">
        <f t="shared" si="930"/>
        <v>0</v>
      </c>
      <c r="L1596" s="1205">
        <f t="shared" si="930"/>
        <v>0</v>
      </c>
      <c r="M1596" s="1205">
        <f t="shared" si="930"/>
        <v>0</v>
      </c>
      <c r="N1596" s="1205">
        <f t="shared" si="930"/>
        <v>0</v>
      </c>
      <c r="O1596" s="1205">
        <f t="shared" si="930"/>
        <v>0</v>
      </c>
      <c r="P1596" s="1205">
        <f t="shared" si="930"/>
        <v>0</v>
      </c>
      <c r="Q1596" s="1205">
        <f t="shared" si="930"/>
        <v>0</v>
      </c>
      <c r="R1596" s="1205">
        <f t="shared" si="930"/>
        <v>0</v>
      </c>
      <c r="S1596" s="1205">
        <f t="shared" si="930"/>
        <v>0</v>
      </c>
      <c r="T1596" s="1190">
        <f t="shared" si="930"/>
        <v>0</v>
      </c>
      <c r="U1596" s="1195"/>
      <c r="Y1596" s="1197"/>
      <c r="Z1596" s="379"/>
      <c r="AA1596" s="379"/>
      <c r="AB1596" s="379"/>
      <c r="AC1596" s="379" t="s">
        <v>30</v>
      </c>
      <c r="AD1596" s="379" t="s">
        <v>699</v>
      </c>
      <c r="AE1596" s="193"/>
      <c r="AF1596" s="380">
        <f>+AF1594*AF1593</f>
        <v>0</v>
      </c>
      <c r="AG1596" s="1205">
        <f t="shared" ref="AG1596:AQ1596" si="931">+AG1594*AG1593</f>
        <v>0</v>
      </c>
      <c r="AH1596" s="1205">
        <f t="shared" si="931"/>
        <v>0</v>
      </c>
      <c r="AI1596" s="1205">
        <f t="shared" si="931"/>
        <v>0</v>
      </c>
      <c r="AJ1596" s="1205">
        <f t="shared" si="931"/>
        <v>0</v>
      </c>
      <c r="AK1596" s="1205">
        <f t="shared" si="931"/>
        <v>0</v>
      </c>
      <c r="AL1596" s="1205">
        <f t="shared" si="931"/>
        <v>0</v>
      </c>
      <c r="AM1596" s="1205">
        <f t="shared" si="931"/>
        <v>0</v>
      </c>
      <c r="AN1596" s="1205">
        <f t="shared" si="931"/>
        <v>0</v>
      </c>
      <c r="AO1596" s="1205">
        <f t="shared" si="931"/>
        <v>0</v>
      </c>
      <c r="AP1596" s="1205">
        <f t="shared" si="931"/>
        <v>0</v>
      </c>
      <c r="AQ1596" s="1190">
        <f t="shared" si="931"/>
        <v>0</v>
      </c>
      <c r="AR1596" s="1195"/>
    </row>
    <row r="1597" spans="2:44" ht="13.75" hidden="1" customHeight="1" x14ac:dyDescent="0.2">
      <c r="B1597" s="1196" t="s">
        <v>447</v>
      </c>
      <c r="C1597" s="374"/>
      <c r="D1597" s="374"/>
      <c r="E1597" s="374"/>
      <c r="F1597" s="374" t="s">
        <v>697</v>
      </c>
      <c r="G1597" s="374" t="s">
        <v>694</v>
      </c>
      <c r="H1597" s="193"/>
      <c r="I1597" s="377">
        <f t="shared" ref="I1597:T1597" si="932">+SUMPRODUCT(I462:I466,$F462:$F466)</f>
        <v>0</v>
      </c>
      <c r="J1597" s="1200">
        <f t="shared" si="932"/>
        <v>0</v>
      </c>
      <c r="K1597" s="1200">
        <f t="shared" si="932"/>
        <v>0</v>
      </c>
      <c r="L1597" s="1200">
        <f t="shared" si="932"/>
        <v>0</v>
      </c>
      <c r="M1597" s="1200">
        <f t="shared" si="932"/>
        <v>0</v>
      </c>
      <c r="N1597" s="1200">
        <f t="shared" si="932"/>
        <v>0</v>
      </c>
      <c r="O1597" s="1200">
        <f t="shared" si="932"/>
        <v>0</v>
      </c>
      <c r="P1597" s="1200">
        <f t="shared" si="932"/>
        <v>0</v>
      </c>
      <c r="Q1597" s="1200">
        <f t="shared" si="932"/>
        <v>0</v>
      </c>
      <c r="R1597" s="1200">
        <f t="shared" si="932"/>
        <v>0</v>
      </c>
      <c r="S1597" s="1200">
        <f t="shared" si="932"/>
        <v>0</v>
      </c>
      <c r="T1597" s="1201">
        <f t="shared" si="932"/>
        <v>0</v>
      </c>
      <c r="U1597" s="1195"/>
      <c r="Y1597" s="1196" t="s">
        <v>447</v>
      </c>
      <c r="Z1597" s="374"/>
      <c r="AA1597" s="374"/>
      <c r="AB1597" s="374"/>
      <c r="AC1597" s="374" t="s">
        <v>697</v>
      </c>
      <c r="AD1597" s="374" t="s">
        <v>694</v>
      </c>
      <c r="AE1597" s="193"/>
      <c r="AF1597" s="377">
        <f t="shared" ref="AF1597:AQ1597" si="933">+SUMPRODUCT(AF462:AF466,$AC462:$AC466)</f>
        <v>0</v>
      </c>
      <c r="AG1597" s="1200">
        <f t="shared" si="933"/>
        <v>0</v>
      </c>
      <c r="AH1597" s="1200">
        <f t="shared" si="933"/>
        <v>0</v>
      </c>
      <c r="AI1597" s="1200">
        <f t="shared" si="933"/>
        <v>0</v>
      </c>
      <c r="AJ1597" s="1200">
        <f t="shared" si="933"/>
        <v>0</v>
      </c>
      <c r="AK1597" s="1200">
        <f t="shared" si="933"/>
        <v>0</v>
      </c>
      <c r="AL1597" s="1200">
        <f t="shared" si="933"/>
        <v>0</v>
      </c>
      <c r="AM1597" s="1200">
        <f t="shared" si="933"/>
        <v>0</v>
      </c>
      <c r="AN1597" s="1200">
        <f t="shared" si="933"/>
        <v>0</v>
      </c>
      <c r="AO1597" s="1200">
        <f t="shared" si="933"/>
        <v>0</v>
      </c>
      <c r="AP1597" s="1200">
        <f t="shared" si="933"/>
        <v>0</v>
      </c>
      <c r="AQ1597" s="1201">
        <f t="shared" si="933"/>
        <v>0</v>
      </c>
      <c r="AR1597" s="1195"/>
    </row>
    <row r="1598" spans="2:44" ht="13.75" hidden="1" customHeight="1" x14ac:dyDescent="0.2">
      <c r="B1598" s="1195"/>
      <c r="C1598" s="193"/>
      <c r="D1598" s="193"/>
      <c r="E1598" s="193"/>
      <c r="F1598" s="193" t="s">
        <v>697</v>
      </c>
      <c r="G1598" s="193" t="s">
        <v>698</v>
      </c>
      <c r="H1598" s="193"/>
      <c r="I1598" s="378">
        <f t="shared" ref="I1598:T1598" si="934">+I1597*I1592</f>
        <v>0</v>
      </c>
      <c r="J1598" s="1193">
        <f t="shared" si="934"/>
        <v>0</v>
      </c>
      <c r="K1598" s="1193">
        <f t="shared" si="934"/>
        <v>0</v>
      </c>
      <c r="L1598" s="1193">
        <f t="shared" si="934"/>
        <v>0</v>
      </c>
      <c r="M1598" s="1193">
        <f t="shared" si="934"/>
        <v>0</v>
      </c>
      <c r="N1598" s="1193">
        <f t="shared" si="934"/>
        <v>0</v>
      </c>
      <c r="O1598" s="1193">
        <f t="shared" si="934"/>
        <v>0</v>
      </c>
      <c r="P1598" s="1193">
        <f t="shared" si="934"/>
        <v>0</v>
      </c>
      <c r="Q1598" s="1193">
        <f t="shared" si="934"/>
        <v>0</v>
      </c>
      <c r="R1598" s="1193">
        <f t="shared" si="934"/>
        <v>0</v>
      </c>
      <c r="S1598" s="1193">
        <f t="shared" si="934"/>
        <v>0</v>
      </c>
      <c r="T1598" s="1183">
        <f t="shared" si="934"/>
        <v>0</v>
      </c>
      <c r="U1598" s="1195"/>
      <c r="Y1598" s="1195"/>
      <c r="Z1598" s="193"/>
      <c r="AA1598" s="193"/>
      <c r="AB1598" s="193"/>
      <c r="AC1598" s="193" t="s">
        <v>697</v>
      </c>
      <c r="AD1598" s="193" t="s">
        <v>698</v>
      </c>
      <c r="AE1598" s="193"/>
      <c r="AF1598" s="378">
        <f t="shared" ref="AF1598:AQ1598" si="935">+AF1597*AF1592</f>
        <v>0</v>
      </c>
      <c r="AG1598" s="1193">
        <f t="shared" si="935"/>
        <v>0</v>
      </c>
      <c r="AH1598" s="1193">
        <f t="shared" si="935"/>
        <v>0</v>
      </c>
      <c r="AI1598" s="1193">
        <f t="shared" si="935"/>
        <v>0</v>
      </c>
      <c r="AJ1598" s="1193">
        <f t="shared" si="935"/>
        <v>0</v>
      </c>
      <c r="AK1598" s="1193">
        <f t="shared" si="935"/>
        <v>0</v>
      </c>
      <c r="AL1598" s="1193">
        <f t="shared" si="935"/>
        <v>0</v>
      </c>
      <c r="AM1598" s="1193">
        <f t="shared" si="935"/>
        <v>0</v>
      </c>
      <c r="AN1598" s="1193">
        <f t="shared" si="935"/>
        <v>0</v>
      </c>
      <c r="AO1598" s="1193">
        <f t="shared" si="935"/>
        <v>0</v>
      </c>
      <c r="AP1598" s="1193">
        <f t="shared" si="935"/>
        <v>0</v>
      </c>
      <c r="AQ1598" s="1183">
        <f t="shared" si="935"/>
        <v>0</v>
      </c>
      <c r="AR1598" s="1195"/>
    </row>
    <row r="1599" spans="2:44" ht="14.4" hidden="1" customHeight="1" thickBot="1" x14ac:dyDescent="0.25">
      <c r="B1599" s="1198"/>
      <c r="C1599" s="1199"/>
      <c r="D1599" s="1199"/>
      <c r="E1599" s="1199"/>
      <c r="F1599" s="1199" t="s">
        <v>30</v>
      </c>
      <c r="G1599" s="1199" t="s">
        <v>699</v>
      </c>
      <c r="H1599" s="1199"/>
      <c r="I1599" s="1206">
        <f>+I1597*I1593</f>
        <v>0</v>
      </c>
      <c r="J1599" s="1207">
        <f t="shared" ref="J1599:T1599" si="936">+J1597*J1593</f>
        <v>0</v>
      </c>
      <c r="K1599" s="1207">
        <f t="shared" si="936"/>
        <v>0</v>
      </c>
      <c r="L1599" s="1207">
        <f t="shared" si="936"/>
        <v>0</v>
      </c>
      <c r="M1599" s="1207">
        <f t="shared" si="936"/>
        <v>0</v>
      </c>
      <c r="N1599" s="1207">
        <f t="shared" si="936"/>
        <v>0</v>
      </c>
      <c r="O1599" s="1207">
        <f t="shared" si="936"/>
        <v>0</v>
      </c>
      <c r="P1599" s="1207">
        <f t="shared" si="936"/>
        <v>0</v>
      </c>
      <c r="Q1599" s="1207">
        <f t="shared" si="936"/>
        <v>0</v>
      </c>
      <c r="R1599" s="1207">
        <f t="shared" si="936"/>
        <v>0</v>
      </c>
      <c r="S1599" s="1207">
        <f t="shared" si="936"/>
        <v>0</v>
      </c>
      <c r="T1599" s="1208">
        <f t="shared" si="936"/>
        <v>0</v>
      </c>
      <c r="U1599" s="1195"/>
      <c r="Y1599" s="1198"/>
      <c r="Z1599" s="1199"/>
      <c r="AA1599" s="1199"/>
      <c r="AB1599" s="1199"/>
      <c r="AC1599" s="1199" t="s">
        <v>30</v>
      </c>
      <c r="AD1599" s="1199" t="s">
        <v>699</v>
      </c>
      <c r="AE1599" s="1199"/>
      <c r="AF1599" s="1206">
        <f>+AF1597*AF1593</f>
        <v>0</v>
      </c>
      <c r="AG1599" s="1207">
        <f t="shared" ref="AG1599:AQ1599" si="937">+AG1597*AG1593</f>
        <v>0</v>
      </c>
      <c r="AH1599" s="1207">
        <f t="shared" si="937"/>
        <v>0</v>
      </c>
      <c r="AI1599" s="1207">
        <f t="shared" si="937"/>
        <v>0</v>
      </c>
      <c r="AJ1599" s="1207">
        <f t="shared" si="937"/>
        <v>0</v>
      </c>
      <c r="AK1599" s="1207">
        <f t="shared" si="937"/>
        <v>0</v>
      </c>
      <c r="AL1599" s="1207">
        <f t="shared" si="937"/>
        <v>0</v>
      </c>
      <c r="AM1599" s="1207">
        <f t="shared" si="937"/>
        <v>0</v>
      </c>
      <c r="AN1599" s="1207">
        <f t="shared" si="937"/>
        <v>0</v>
      </c>
      <c r="AO1599" s="1207">
        <f t="shared" si="937"/>
        <v>0</v>
      </c>
      <c r="AP1599" s="1207">
        <f t="shared" si="937"/>
        <v>0</v>
      </c>
      <c r="AQ1599" s="1208">
        <f t="shared" si="937"/>
        <v>0</v>
      </c>
      <c r="AR1599" s="1195"/>
    </row>
    <row r="1600" spans="2:44" ht="14.4" hidden="1" customHeight="1" thickTop="1" x14ac:dyDescent="0.2">
      <c r="B1600" s="1537">
        <f>+B492</f>
        <v>0</v>
      </c>
      <c r="C1600" s="1581">
        <f>+C491</f>
        <v>0</v>
      </c>
      <c r="D1600" s="1194"/>
      <c r="E1600" s="1194"/>
      <c r="F1600" s="1194"/>
      <c r="G1600" s="1194"/>
      <c r="H1600" s="1194"/>
      <c r="I1600" s="1538"/>
      <c r="J1600" s="1539"/>
      <c r="K1600" s="1539"/>
      <c r="L1600" s="1539"/>
      <c r="M1600" s="1539"/>
      <c r="N1600" s="1539"/>
      <c r="O1600" s="1539"/>
      <c r="P1600" s="1539"/>
      <c r="Q1600" s="1539"/>
      <c r="R1600" s="1539"/>
      <c r="S1600" s="1539"/>
      <c r="T1600" s="1540"/>
      <c r="U1600" s="1195"/>
      <c r="Y1600" s="1537">
        <f>+Y492</f>
        <v>0</v>
      </c>
      <c r="Z1600" s="1581">
        <f>+Z491</f>
        <v>0</v>
      </c>
      <c r="AA1600" s="1194"/>
      <c r="AB1600" s="1194"/>
      <c r="AC1600" s="1194"/>
      <c r="AD1600" s="1194"/>
      <c r="AE1600" s="1194"/>
      <c r="AF1600" s="1538"/>
      <c r="AG1600" s="1539"/>
      <c r="AH1600" s="1539"/>
      <c r="AI1600" s="1539"/>
      <c r="AJ1600" s="1539"/>
      <c r="AK1600" s="1539"/>
      <c r="AL1600" s="1539"/>
      <c r="AM1600" s="1539"/>
      <c r="AN1600" s="1539"/>
      <c r="AO1600" s="1539"/>
      <c r="AP1600" s="1539"/>
      <c r="AQ1600" s="1540"/>
      <c r="AR1600" s="1195"/>
    </row>
    <row r="1601" spans="1:45" ht="13.75" hidden="1" customHeight="1" x14ac:dyDescent="0.2">
      <c r="B1601" s="1195" t="s">
        <v>1563</v>
      </c>
      <c r="C1601" s="193"/>
      <c r="D1601" s="193"/>
      <c r="E1601" s="254"/>
      <c r="F1601" s="193" t="s">
        <v>247</v>
      </c>
      <c r="G1601" s="193" t="s">
        <v>691</v>
      </c>
      <c r="H1601" s="193"/>
      <c r="I1601" s="378">
        <f>VLOOKUP(C1600,UsoSuelo!$CA$1127:$CM$1194,2,FALSE)</f>
        <v>0</v>
      </c>
      <c r="J1601" s="1193">
        <f>VLOOKUP(C1600,UsoSuelo!$CA$1127:$CM$1194,3,FALSE)</f>
        <v>0</v>
      </c>
      <c r="K1601" s="1193">
        <f>VLOOKUP(C1600,UsoSuelo!$CA$1127:$CM$1194,4,FALSE)</f>
        <v>0</v>
      </c>
      <c r="L1601" s="1193">
        <f>VLOOKUP(C1600,UsoSuelo!$CA$1127:$CM$1194,5,FALSE)</f>
        <v>0</v>
      </c>
      <c r="M1601" s="1193">
        <f>VLOOKUP(C1600,UsoSuelo!$CA$1127:$CM$1194,6,FALSE)</f>
        <v>0</v>
      </c>
      <c r="N1601" s="1193">
        <f>VLOOKUP(C1600,UsoSuelo!$CA$1127:$CM$1194,7,FALSE)</f>
        <v>0</v>
      </c>
      <c r="O1601" s="1193">
        <f>VLOOKUP(C1600,UsoSuelo!$CA$1127:$CM$1194,8,FALSE)</f>
        <v>0</v>
      </c>
      <c r="P1601" s="1193">
        <f>VLOOKUP(C1600,UsoSuelo!$CA$1127:$CM$1194,9,FALSE)</f>
        <v>0</v>
      </c>
      <c r="Q1601" s="1193">
        <f>VLOOKUP(C1600,UsoSuelo!$CA$1127:$CM$1194,10,FALSE)</f>
        <v>0</v>
      </c>
      <c r="R1601" s="1193">
        <f>VLOOKUP(C1600,UsoSuelo!$CA$1127:$CM$1194,11,FALSE)</f>
        <v>0</v>
      </c>
      <c r="S1601" s="1193">
        <f>VLOOKUP(C1600,UsoSuelo!$CA$1127:$CM$1194,12,FALSE)</f>
        <v>0</v>
      </c>
      <c r="T1601" s="1183">
        <f>VLOOKUP(C1600,UsoSuelo!$CA$1127:$CM$1194,13,FALSE)</f>
        <v>0</v>
      </c>
      <c r="U1601" s="1195"/>
      <c r="Y1601" s="1195" t="s">
        <v>721</v>
      </c>
      <c r="Z1601" s="193"/>
      <c r="AA1601" s="193"/>
      <c r="AB1601" s="254"/>
      <c r="AC1601" s="193" t="s">
        <v>247</v>
      </c>
      <c r="AD1601" s="193" t="s">
        <v>691</v>
      </c>
      <c r="AE1601" s="193"/>
      <c r="AF1601" s="378">
        <f>VLOOKUP($Z1600,UsoSuelo!$CO$1054:$DA$1120,2,FALSE)</f>
        <v>0</v>
      </c>
      <c r="AG1601" s="1193">
        <f>VLOOKUP($Z1600,UsoSuelo!$CO$1054:$DA$1120,3,FALSE)</f>
        <v>0</v>
      </c>
      <c r="AH1601" s="1193">
        <f>VLOOKUP($Z1600,UsoSuelo!$CO$1054:$DA$1120,4,FALSE)</f>
        <v>0</v>
      </c>
      <c r="AI1601" s="1193">
        <f>VLOOKUP($Z1600,UsoSuelo!$CO$1054:$DA$1120,5,FALSE)</f>
        <v>0</v>
      </c>
      <c r="AJ1601" s="1193">
        <f>VLOOKUP($Z1600,UsoSuelo!$CO$1054:$DA$1120,6,FALSE)</f>
        <v>0</v>
      </c>
      <c r="AK1601" s="1193">
        <f>VLOOKUP($Z1600,UsoSuelo!$CO$1054:$DA$1120,7,FALSE)</f>
        <v>0</v>
      </c>
      <c r="AL1601" s="1193">
        <f>VLOOKUP($Z1600,UsoSuelo!$CO$1054:$DA$1120,8,FALSE)</f>
        <v>0</v>
      </c>
      <c r="AM1601" s="1193">
        <f>VLOOKUP($Z1600,UsoSuelo!$CO$1054:$DA$1120,9,FALSE)</f>
        <v>0</v>
      </c>
      <c r="AN1601" s="1193">
        <f>VLOOKUP($Z1600,UsoSuelo!$CO$1054:$DA$1120,10,FALSE)</f>
        <v>0</v>
      </c>
      <c r="AO1601" s="1193">
        <f>VLOOKUP($Z1600,UsoSuelo!$CO$1054:$DA$1120,11,FALSE)</f>
        <v>0</v>
      </c>
      <c r="AP1601" s="1193">
        <f>VLOOKUP($Z1600,UsoSuelo!$CO$1054:$DA$1120,12,FALSE)</f>
        <v>0</v>
      </c>
      <c r="AQ1601" s="1183">
        <f>VLOOKUP($Z1600,UsoSuelo!$CO$1054:$DA$1120,13,FALSE)</f>
        <v>0</v>
      </c>
      <c r="AR1601" s="1195"/>
    </row>
    <row r="1602" spans="1:45" ht="13.75" hidden="1" customHeight="1" x14ac:dyDescent="0.2">
      <c r="B1602" s="1195"/>
      <c r="C1602" s="193"/>
      <c r="D1602" s="193"/>
      <c r="E1602" s="193"/>
      <c r="F1602" s="193" t="s">
        <v>692</v>
      </c>
      <c r="G1602" s="193"/>
      <c r="H1602" s="193"/>
      <c r="I1602" s="378">
        <f>VLOOKUP(C1600,UsoSuelo!$CB$1275:$CN$1341,2,FALSE)</f>
        <v>0</v>
      </c>
      <c r="J1602" s="1193">
        <f>VLOOKUP(C1600,UsoSuelo!$CB$1275:$CN$1341,3,FALSE)</f>
        <v>0</v>
      </c>
      <c r="K1602" s="1193">
        <f>VLOOKUP(C1600,UsoSuelo!$CB$1275:$CN$1341,4,FALSE)</f>
        <v>0</v>
      </c>
      <c r="L1602" s="1193">
        <f>VLOOKUP(C1600,UsoSuelo!$CB$1275:$CN$1341,5,FALSE)</f>
        <v>0</v>
      </c>
      <c r="M1602" s="1193">
        <f>VLOOKUP(C1600,UsoSuelo!$CB$1275:$CN$1341,6,FALSE)</f>
        <v>0</v>
      </c>
      <c r="N1602" s="1193">
        <f>VLOOKUP(C1600,UsoSuelo!$CB$1275:$CN$1341,7,FALSE)</f>
        <v>0</v>
      </c>
      <c r="O1602" s="1193">
        <f>VLOOKUP(C1600,UsoSuelo!$CB$1275:$CN$1341,8,FALSE)</f>
        <v>0</v>
      </c>
      <c r="P1602" s="1193">
        <f>VLOOKUP(C1600,UsoSuelo!$CB$1275:$CN$1341,9,FALSE)</f>
        <v>0</v>
      </c>
      <c r="Q1602" s="1193">
        <f>VLOOKUP(C1600,UsoSuelo!$CB$1275:$CN$1341,10,FALSE)</f>
        <v>0</v>
      </c>
      <c r="R1602" s="1193">
        <f>VLOOKUP(C1600,UsoSuelo!$CB$1275:$CN$1341,11,FALSE)</f>
        <v>0</v>
      </c>
      <c r="S1602" s="1193">
        <f>VLOOKUP(C1600,UsoSuelo!$CB$1275:$CN$1341,12,FALSE)</f>
        <v>0</v>
      </c>
      <c r="T1602" s="1183">
        <f>VLOOKUP(C1600,UsoSuelo!$CB$1275:$CN$1341,13,FALSE)</f>
        <v>0</v>
      </c>
      <c r="U1602" s="1195"/>
      <c r="Y1602" s="1195"/>
      <c r="Z1602" s="193"/>
      <c r="AA1602" s="193"/>
      <c r="AB1602" s="193"/>
      <c r="AC1602" s="193" t="s">
        <v>247</v>
      </c>
      <c r="AD1602" s="193" t="s">
        <v>699</v>
      </c>
      <c r="AE1602" s="193"/>
      <c r="AF1602" s="378">
        <f>VLOOKUP($Z1600,UsoSuelo!$DB$1201:$DN$1267,2,FALSE)</f>
        <v>0</v>
      </c>
      <c r="AG1602" s="1193">
        <f>VLOOKUP($Z1600,UsoSuelo!$DB$1201:$DN$1267,3,FALSE)</f>
        <v>0</v>
      </c>
      <c r="AH1602" s="1193">
        <f>VLOOKUP($Z1600,UsoSuelo!$DB$1201:$DN$1267,4,FALSE)</f>
        <v>0</v>
      </c>
      <c r="AI1602" s="1193">
        <f>VLOOKUP($Z1600,UsoSuelo!$DB$1201:$DN$1267,5,FALSE)</f>
        <v>0</v>
      </c>
      <c r="AJ1602" s="1193">
        <f>VLOOKUP($Z1600,UsoSuelo!$DB$1201:$DN$1267,6,FALSE)</f>
        <v>0</v>
      </c>
      <c r="AK1602" s="1193">
        <f>VLOOKUP($Z1600,UsoSuelo!$DB$1201:$DN$1267,7,FALSE)</f>
        <v>0</v>
      </c>
      <c r="AL1602" s="1193">
        <f>VLOOKUP($Z1600,UsoSuelo!$DB$1201:$DN$1267,8,FALSE)</f>
        <v>0</v>
      </c>
      <c r="AM1602" s="1193">
        <f>VLOOKUP($Z1600,UsoSuelo!$DB$1201:$DN$1267,9,FALSE)</f>
        <v>0</v>
      </c>
      <c r="AN1602" s="1193">
        <f>VLOOKUP($Z1600,UsoSuelo!$DB$1201:$DN$1267,10,FALSE)</f>
        <v>0</v>
      </c>
      <c r="AO1602" s="1193">
        <f>VLOOKUP($Z1600,UsoSuelo!$DB$1201:$DN$1267,11,FALSE)</f>
        <v>0</v>
      </c>
      <c r="AP1602" s="1193">
        <f>VLOOKUP($Z1600,UsoSuelo!$DB$1201:$DN$1267,12,FALSE)</f>
        <v>0</v>
      </c>
      <c r="AQ1602" s="1183">
        <f>VLOOKUP($Z1600,UsoSuelo!$DB$1201:$DN$1267,13,FALSE)</f>
        <v>0</v>
      </c>
      <c r="AR1602" s="1195"/>
    </row>
    <row r="1603" spans="1:45" ht="13.75" hidden="1" customHeight="1" x14ac:dyDescent="0.2">
      <c r="B1603" s="1195"/>
      <c r="C1603" s="193"/>
      <c r="D1603" s="193"/>
      <c r="E1603" s="193"/>
      <c r="F1603" s="193" t="s">
        <v>230</v>
      </c>
      <c r="G1603" s="193"/>
      <c r="H1603" s="193"/>
      <c r="I1603" s="378">
        <f t="shared" ref="I1603:T1603" si="938">+I493</f>
        <v>0</v>
      </c>
      <c r="J1603" s="1193">
        <f t="shared" si="938"/>
        <v>0</v>
      </c>
      <c r="K1603" s="1193">
        <f t="shared" si="938"/>
        <v>0</v>
      </c>
      <c r="L1603" s="1193">
        <f t="shared" si="938"/>
        <v>0</v>
      </c>
      <c r="M1603" s="1193">
        <f t="shared" si="938"/>
        <v>0</v>
      </c>
      <c r="N1603" s="1193">
        <f t="shared" si="938"/>
        <v>0</v>
      </c>
      <c r="O1603" s="1193">
        <f t="shared" si="938"/>
        <v>0</v>
      </c>
      <c r="P1603" s="1193">
        <f t="shared" si="938"/>
        <v>0</v>
      </c>
      <c r="Q1603" s="1193">
        <f t="shared" si="938"/>
        <v>0</v>
      </c>
      <c r="R1603" s="1193">
        <f t="shared" si="938"/>
        <v>0</v>
      </c>
      <c r="S1603" s="1193">
        <f t="shared" si="938"/>
        <v>0</v>
      </c>
      <c r="T1603" s="1183">
        <f t="shared" si="938"/>
        <v>0</v>
      </c>
      <c r="U1603" s="1195"/>
      <c r="Y1603" s="1195"/>
      <c r="Z1603" s="193"/>
      <c r="AA1603" s="193"/>
      <c r="AB1603" s="193"/>
      <c r="AC1603" s="193" t="s">
        <v>230</v>
      </c>
      <c r="AD1603" s="193"/>
      <c r="AE1603" s="193"/>
      <c r="AF1603" s="378">
        <f t="shared" ref="AF1603:AQ1603" si="939">+AF493</f>
        <v>0</v>
      </c>
      <c r="AG1603" s="1193">
        <f t="shared" si="939"/>
        <v>0</v>
      </c>
      <c r="AH1603" s="1193">
        <f t="shared" si="939"/>
        <v>0</v>
      </c>
      <c r="AI1603" s="1193">
        <f t="shared" si="939"/>
        <v>0</v>
      </c>
      <c r="AJ1603" s="1193">
        <f t="shared" si="939"/>
        <v>0</v>
      </c>
      <c r="AK1603" s="1193">
        <f t="shared" si="939"/>
        <v>0</v>
      </c>
      <c r="AL1603" s="1193">
        <f t="shared" si="939"/>
        <v>0</v>
      </c>
      <c r="AM1603" s="1193">
        <f t="shared" si="939"/>
        <v>0</v>
      </c>
      <c r="AN1603" s="1193">
        <f t="shared" si="939"/>
        <v>0</v>
      </c>
      <c r="AO1603" s="1193">
        <f t="shared" si="939"/>
        <v>0</v>
      </c>
      <c r="AP1603" s="1193">
        <f t="shared" si="939"/>
        <v>0</v>
      </c>
      <c r="AQ1603" s="1183">
        <f t="shared" si="939"/>
        <v>0</v>
      </c>
      <c r="AR1603" s="1195"/>
    </row>
    <row r="1604" spans="1:45" ht="13.75" hidden="1" customHeight="1" x14ac:dyDescent="0.2">
      <c r="B1604" s="1196"/>
      <c r="C1604" s="374"/>
      <c r="D1604" s="374"/>
      <c r="E1604" s="374"/>
      <c r="F1604" s="374" t="s">
        <v>810</v>
      </c>
      <c r="G1604" s="374"/>
      <c r="H1604" s="374"/>
      <c r="I1604" s="377">
        <f t="shared" ref="I1604:T1604" si="940">+IF($B1600="Agrícola",0,I1603)</f>
        <v>0</v>
      </c>
      <c r="J1604" s="1200">
        <f t="shared" si="940"/>
        <v>0</v>
      </c>
      <c r="K1604" s="1200">
        <f t="shared" si="940"/>
        <v>0</v>
      </c>
      <c r="L1604" s="1200">
        <f t="shared" si="940"/>
        <v>0</v>
      </c>
      <c r="M1604" s="1200">
        <f t="shared" si="940"/>
        <v>0</v>
      </c>
      <c r="N1604" s="1200">
        <f t="shared" si="940"/>
        <v>0</v>
      </c>
      <c r="O1604" s="1200">
        <f t="shared" si="940"/>
        <v>0</v>
      </c>
      <c r="P1604" s="1200">
        <f t="shared" si="940"/>
        <v>0</v>
      </c>
      <c r="Q1604" s="1200">
        <f t="shared" si="940"/>
        <v>0</v>
      </c>
      <c r="R1604" s="1200">
        <f t="shared" si="940"/>
        <v>0</v>
      </c>
      <c r="S1604" s="1200">
        <f t="shared" si="940"/>
        <v>0</v>
      </c>
      <c r="T1604" s="1201">
        <f t="shared" si="940"/>
        <v>0</v>
      </c>
      <c r="U1604" s="1195"/>
      <c r="Y1604" s="1196"/>
      <c r="Z1604" s="374"/>
      <c r="AA1604" s="374"/>
      <c r="AB1604" s="374"/>
      <c r="AC1604" s="374" t="s">
        <v>811</v>
      </c>
      <c r="AD1604" s="374"/>
      <c r="AE1604" s="374"/>
      <c r="AF1604" s="377">
        <f t="shared" ref="AF1604:AQ1604" si="941">+IF($Y1600="Agrícola",0,AF1603)</f>
        <v>0</v>
      </c>
      <c r="AG1604" s="1200">
        <f t="shared" si="941"/>
        <v>0</v>
      </c>
      <c r="AH1604" s="1200">
        <f t="shared" si="941"/>
        <v>0</v>
      </c>
      <c r="AI1604" s="1200">
        <f t="shared" si="941"/>
        <v>0</v>
      </c>
      <c r="AJ1604" s="1200">
        <f t="shared" si="941"/>
        <v>0</v>
      </c>
      <c r="AK1604" s="1200">
        <f t="shared" si="941"/>
        <v>0</v>
      </c>
      <c r="AL1604" s="1200">
        <f t="shared" si="941"/>
        <v>0</v>
      </c>
      <c r="AM1604" s="1200">
        <f t="shared" si="941"/>
        <v>0</v>
      </c>
      <c r="AN1604" s="1200">
        <f t="shared" si="941"/>
        <v>0</v>
      </c>
      <c r="AO1604" s="1200">
        <f t="shared" si="941"/>
        <v>0</v>
      </c>
      <c r="AP1604" s="1200">
        <f t="shared" si="941"/>
        <v>0</v>
      </c>
      <c r="AQ1604" s="1201">
        <f t="shared" si="941"/>
        <v>0</v>
      </c>
      <c r="AR1604" s="1195"/>
    </row>
    <row r="1605" spans="1:45" ht="13.75" hidden="1" customHeight="1" x14ac:dyDescent="0.2">
      <c r="B1605" s="1195"/>
      <c r="C1605" s="193"/>
      <c r="D1605" s="193"/>
      <c r="E1605" s="193"/>
      <c r="F1605" s="193" t="s">
        <v>695</v>
      </c>
      <c r="G1605" s="193"/>
      <c r="H1605" s="193"/>
      <c r="I1605" s="1202">
        <f t="shared" ref="I1605:T1605" si="942">IFERROR(I1601/I1604,0)</f>
        <v>0</v>
      </c>
      <c r="J1605" s="1203">
        <f t="shared" si="942"/>
        <v>0</v>
      </c>
      <c r="K1605" s="1203">
        <f t="shared" si="942"/>
        <v>0</v>
      </c>
      <c r="L1605" s="1203">
        <f t="shared" si="942"/>
        <v>0</v>
      </c>
      <c r="M1605" s="1203">
        <f t="shared" si="942"/>
        <v>0</v>
      </c>
      <c r="N1605" s="1203">
        <f t="shared" si="942"/>
        <v>0</v>
      </c>
      <c r="O1605" s="1203">
        <f t="shared" si="942"/>
        <v>0</v>
      </c>
      <c r="P1605" s="1203">
        <f t="shared" si="942"/>
        <v>0</v>
      </c>
      <c r="Q1605" s="1203">
        <f t="shared" si="942"/>
        <v>0</v>
      </c>
      <c r="R1605" s="1203">
        <f t="shared" si="942"/>
        <v>0</v>
      </c>
      <c r="S1605" s="1203">
        <f t="shared" si="942"/>
        <v>0</v>
      </c>
      <c r="T1605" s="1204">
        <f t="shared" si="942"/>
        <v>0</v>
      </c>
      <c r="U1605" s="1582"/>
      <c r="Y1605" s="1195"/>
      <c r="Z1605" s="193"/>
      <c r="AA1605" s="193"/>
      <c r="AB1605" s="193"/>
      <c r="AC1605" s="193" t="s">
        <v>695</v>
      </c>
      <c r="AD1605" s="193"/>
      <c r="AE1605" s="193"/>
      <c r="AF1605" s="1202">
        <f t="shared" ref="AF1605:AQ1605" si="943">IFERROR(AF1601/AF1604,0)</f>
        <v>0</v>
      </c>
      <c r="AG1605" s="1203">
        <f t="shared" si="943"/>
        <v>0</v>
      </c>
      <c r="AH1605" s="1203">
        <f t="shared" si="943"/>
        <v>0</v>
      </c>
      <c r="AI1605" s="1203">
        <f t="shared" si="943"/>
        <v>0</v>
      </c>
      <c r="AJ1605" s="1203">
        <f t="shared" si="943"/>
        <v>0</v>
      </c>
      <c r="AK1605" s="1203">
        <f t="shared" si="943"/>
        <v>0</v>
      </c>
      <c r="AL1605" s="1203">
        <f t="shared" si="943"/>
        <v>0</v>
      </c>
      <c r="AM1605" s="1203">
        <f t="shared" si="943"/>
        <v>0</v>
      </c>
      <c r="AN1605" s="1203">
        <f t="shared" si="943"/>
        <v>0</v>
      </c>
      <c r="AO1605" s="1203">
        <f t="shared" si="943"/>
        <v>0</v>
      </c>
      <c r="AP1605" s="1203">
        <f t="shared" si="943"/>
        <v>0</v>
      </c>
      <c r="AQ1605" s="1204">
        <f t="shared" si="943"/>
        <v>0</v>
      </c>
      <c r="AR1605" s="1582"/>
    </row>
    <row r="1606" spans="1:45" ht="13.75" hidden="1" customHeight="1" x14ac:dyDescent="0.2">
      <c r="B1606" s="1195"/>
      <c r="C1606" s="193"/>
      <c r="D1606" s="193"/>
      <c r="E1606" s="193"/>
      <c r="F1606" s="193" t="s">
        <v>696</v>
      </c>
      <c r="G1606" s="193"/>
      <c r="H1606" s="193"/>
      <c r="I1606" s="1202">
        <f>IFERROR(I1602/I1604,0)</f>
        <v>0</v>
      </c>
      <c r="J1606" s="1203">
        <f t="shared" ref="J1606:T1606" si="944">IFERROR(J1602/J1604,0)</f>
        <v>0</v>
      </c>
      <c r="K1606" s="1203">
        <f t="shared" si="944"/>
        <v>0</v>
      </c>
      <c r="L1606" s="1203">
        <f t="shared" si="944"/>
        <v>0</v>
      </c>
      <c r="M1606" s="1203">
        <f t="shared" si="944"/>
        <v>0</v>
      </c>
      <c r="N1606" s="1203">
        <f t="shared" si="944"/>
        <v>0</v>
      </c>
      <c r="O1606" s="1203">
        <f t="shared" si="944"/>
        <v>0</v>
      </c>
      <c r="P1606" s="1203">
        <f t="shared" si="944"/>
        <v>0</v>
      </c>
      <c r="Q1606" s="1203">
        <f t="shared" si="944"/>
        <v>0</v>
      </c>
      <c r="R1606" s="1203">
        <f t="shared" si="944"/>
        <v>0</v>
      </c>
      <c r="S1606" s="1203">
        <f t="shared" si="944"/>
        <v>0</v>
      </c>
      <c r="T1606" s="1204">
        <f t="shared" si="944"/>
        <v>0</v>
      </c>
      <c r="U1606" s="1582"/>
      <c r="Y1606" s="1195"/>
      <c r="Z1606" s="193"/>
      <c r="AA1606" s="193"/>
      <c r="AB1606" s="193"/>
      <c r="AC1606" s="193" t="s">
        <v>696</v>
      </c>
      <c r="AD1606" s="193"/>
      <c r="AE1606" s="193"/>
      <c r="AF1606" s="1202">
        <f>IFERROR(AF1602/AF1604,0)</f>
        <v>0</v>
      </c>
      <c r="AG1606" s="1203">
        <f t="shared" ref="AG1606:AQ1606" si="945">IFERROR(AG1602/AG1604,0)</f>
        <v>0</v>
      </c>
      <c r="AH1606" s="1203">
        <f t="shared" si="945"/>
        <v>0</v>
      </c>
      <c r="AI1606" s="1203">
        <f t="shared" si="945"/>
        <v>0</v>
      </c>
      <c r="AJ1606" s="1203">
        <f t="shared" si="945"/>
        <v>0</v>
      </c>
      <c r="AK1606" s="1203">
        <f t="shared" si="945"/>
        <v>0</v>
      </c>
      <c r="AL1606" s="1203">
        <f t="shared" si="945"/>
        <v>0</v>
      </c>
      <c r="AM1606" s="1203">
        <f t="shared" si="945"/>
        <v>0</v>
      </c>
      <c r="AN1606" s="1203">
        <f t="shared" si="945"/>
        <v>0</v>
      </c>
      <c r="AO1606" s="1203">
        <f t="shared" si="945"/>
        <v>0</v>
      </c>
      <c r="AP1606" s="1203">
        <f t="shared" si="945"/>
        <v>0</v>
      </c>
      <c r="AQ1606" s="1204">
        <f t="shared" si="945"/>
        <v>0</v>
      </c>
      <c r="AR1606" s="1582"/>
    </row>
    <row r="1607" spans="1:45" ht="13.75" hidden="1" customHeight="1" x14ac:dyDescent="0.2">
      <c r="B1607" s="1196" t="s">
        <v>803</v>
      </c>
      <c r="C1607" s="374"/>
      <c r="D1607" s="374"/>
      <c r="E1607" s="374"/>
      <c r="F1607" s="374" t="s">
        <v>697</v>
      </c>
      <c r="G1607" s="374" t="s">
        <v>694</v>
      </c>
      <c r="H1607" s="193"/>
      <c r="I1607" s="377">
        <f t="shared" ref="I1607:T1607" si="946">+SUMPRODUCT(I510:I527,$F510:$F527)</f>
        <v>0</v>
      </c>
      <c r="J1607" s="1200">
        <f t="shared" si="946"/>
        <v>0</v>
      </c>
      <c r="K1607" s="1200">
        <f t="shared" si="946"/>
        <v>0</v>
      </c>
      <c r="L1607" s="1200">
        <f t="shared" si="946"/>
        <v>0</v>
      </c>
      <c r="M1607" s="1200">
        <f t="shared" si="946"/>
        <v>0</v>
      </c>
      <c r="N1607" s="1200">
        <f t="shared" si="946"/>
        <v>0</v>
      </c>
      <c r="O1607" s="1200">
        <f t="shared" si="946"/>
        <v>0</v>
      </c>
      <c r="P1607" s="1200">
        <f t="shared" si="946"/>
        <v>0</v>
      </c>
      <c r="Q1607" s="1200">
        <f t="shared" si="946"/>
        <v>0</v>
      </c>
      <c r="R1607" s="1200">
        <f t="shared" si="946"/>
        <v>0</v>
      </c>
      <c r="S1607" s="1200">
        <f t="shared" si="946"/>
        <v>0</v>
      </c>
      <c r="T1607" s="1201">
        <f t="shared" si="946"/>
        <v>0</v>
      </c>
      <c r="U1607" s="1195"/>
      <c r="Y1607" s="1196" t="s">
        <v>803</v>
      </c>
      <c r="Z1607" s="374"/>
      <c r="AA1607" s="374"/>
      <c r="AB1607" s="374"/>
      <c r="AC1607" s="374" t="s">
        <v>697</v>
      </c>
      <c r="AD1607" s="374" t="s">
        <v>694</v>
      </c>
      <c r="AE1607" s="193"/>
      <c r="AF1607" s="377">
        <f t="shared" ref="AF1607:AQ1607" si="947">+SUMPRODUCT(AF510:AF527,$AC510:$AC527)</f>
        <v>0</v>
      </c>
      <c r="AG1607" s="1200">
        <f t="shared" si="947"/>
        <v>0</v>
      </c>
      <c r="AH1607" s="1200">
        <f t="shared" si="947"/>
        <v>0</v>
      </c>
      <c r="AI1607" s="1200">
        <f t="shared" si="947"/>
        <v>0</v>
      </c>
      <c r="AJ1607" s="1200">
        <f t="shared" si="947"/>
        <v>0</v>
      </c>
      <c r="AK1607" s="1200">
        <f t="shared" si="947"/>
        <v>0</v>
      </c>
      <c r="AL1607" s="1200">
        <f t="shared" si="947"/>
        <v>0</v>
      </c>
      <c r="AM1607" s="1200">
        <f t="shared" si="947"/>
        <v>0</v>
      </c>
      <c r="AN1607" s="1200">
        <f t="shared" si="947"/>
        <v>0</v>
      </c>
      <c r="AO1607" s="1200">
        <f t="shared" si="947"/>
        <v>0</v>
      </c>
      <c r="AP1607" s="1200">
        <f t="shared" si="947"/>
        <v>0</v>
      </c>
      <c r="AQ1607" s="1201">
        <f t="shared" si="947"/>
        <v>0</v>
      </c>
      <c r="AR1607" s="1195"/>
    </row>
    <row r="1608" spans="1:45" ht="13.75" hidden="1" customHeight="1" x14ac:dyDescent="0.2">
      <c r="B1608" s="1195"/>
      <c r="C1608" s="193"/>
      <c r="D1608" s="193"/>
      <c r="E1608" s="193"/>
      <c r="F1608" s="193" t="s">
        <v>697</v>
      </c>
      <c r="G1608" s="193" t="s">
        <v>698</v>
      </c>
      <c r="H1608" s="193"/>
      <c r="I1608" s="378">
        <f>+I1607*I1605</f>
        <v>0</v>
      </c>
      <c r="J1608" s="1193">
        <f t="shared" ref="J1608:T1608" si="948">+J1607*J1605</f>
        <v>0</v>
      </c>
      <c r="K1608" s="1193">
        <f t="shared" si="948"/>
        <v>0</v>
      </c>
      <c r="L1608" s="1193">
        <f t="shared" si="948"/>
        <v>0</v>
      </c>
      <c r="M1608" s="1193">
        <f t="shared" si="948"/>
        <v>0</v>
      </c>
      <c r="N1608" s="1193">
        <f t="shared" si="948"/>
        <v>0</v>
      </c>
      <c r="O1608" s="1193">
        <f t="shared" si="948"/>
        <v>0</v>
      </c>
      <c r="P1608" s="1193">
        <f t="shared" si="948"/>
        <v>0</v>
      </c>
      <c r="Q1608" s="1193">
        <f t="shared" si="948"/>
        <v>0</v>
      </c>
      <c r="R1608" s="1193">
        <f t="shared" si="948"/>
        <v>0</v>
      </c>
      <c r="S1608" s="1193">
        <f t="shared" si="948"/>
        <v>0</v>
      </c>
      <c r="T1608" s="1183">
        <f t="shared" si="948"/>
        <v>0</v>
      </c>
      <c r="U1608" s="1195"/>
      <c r="Y1608" s="1195"/>
      <c r="Z1608" s="193"/>
      <c r="AA1608" s="193"/>
      <c r="AB1608" s="193"/>
      <c r="AC1608" s="193" t="s">
        <v>697</v>
      </c>
      <c r="AD1608" s="193" t="s">
        <v>698</v>
      </c>
      <c r="AE1608" s="193"/>
      <c r="AF1608" s="378">
        <f>+AF1607*AF1605</f>
        <v>0</v>
      </c>
      <c r="AG1608" s="1193">
        <f t="shared" ref="AG1608:AQ1608" si="949">+AG1607*AG1605</f>
        <v>0</v>
      </c>
      <c r="AH1608" s="1193">
        <f t="shared" si="949"/>
        <v>0</v>
      </c>
      <c r="AI1608" s="1193">
        <f t="shared" si="949"/>
        <v>0</v>
      </c>
      <c r="AJ1608" s="1193">
        <f t="shared" si="949"/>
        <v>0</v>
      </c>
      <c r="AK1608" s="1193">
        <f t="shared" si="949"/>
        <v>0</v>
      </c>
      <c r="AL1608" s="1193">
        <f t="shared" si="949"/>
        <v>0</v>
      </c>
      <c r="AM1608" s="1193">
        <f t="shared" si="949"/>
        <v>0</v>
      </c>
      <c r="AN1608" s="1193">
        <f t="shared" si="949"/>
        <v>0</v>
      </c>
      <c r="AO1608" s="1193">
        <f t="shared" si="949"/>
        <v>0</v>
      </c>
      <c r="AP1608" s="1193">
        <f t="shared" si="949"/>
        <v>0</v>
      </c>
      <c r="AQ1608" s="1183">
        <f t="shared" si="949"/>
        <v>0</v>
      </c>
      <c r="AR1608" s="1195"/>
    </row>
    <row r="1609" spans="1:45" ht="13.75" hidden="1" customHeight="1" x14ac:dyDescent="0.2">
      <c r="B1609" s="1197"/>
      <c r="C1609" s="379"/>
      <c r="D1609" s="379"/>
      <c r="E1609" s="379"/>
      <c r="F1609" s="379" t="s">
        <v>30</v>
      </c>
      <c r="G1609" s="379" t="s">
        <v>699</v>
      </c>
      <c r="H1609" s="193"/>
      <c r="I1609" s="380">
        <f>+I1607*I1606</f>
        <v>0</v>
      </c>
      <c r="J1609" s="1205">
        <f t="shared" ref="J1609:T1609" si="950">+J1607*J1606</f>
        <v>0</v>
      </c>
      <c r="K1609" s="1205">
        <f t="shared" si="950"/>
        <v>0</v>
      </c>
      <c r="L1609" s="1205">
        <f t="shared" si="950"/>
        <v>0</v>
      </c>
      <c r="M1609" s="1205">
        <f t="shared" si="950"/>
        <v>0</v>
      </c>
      <c r="N1609" s="1205">
        <f t="shared" si="950"/>
        <v>0</v>
      </c>
      <c r="O1609" s="1205">
        <f t="shared" si="950"/>
        <v>0</v>
      </c>
      <c r="P1609" s="1205">
        <f t="shared" si="950"/>
        <v>0</v>
      </c>
      <c r="Q1609" s="1205">
        <f t="shared" si="950"/>
        <v>0</v>
      </c>
      <c r="R1609" s="1205">
        <f t="shared" si="950"/>
        <v>0</v>
      </c>
      <c r="S1609" s="1205">
        <f t="shared" si="950"/>
        <v>0</v>
      </c>
      <c r="T1609" s="1190">
        <f t="shared" si="950"/>
        <v>0</v>
      </c>
      <c r="U1609" s="1195"/>
      <c r="Y1609" s="1197"/>
      <c r="Z1609" s="379"/>
      <c r="AA1609" s="379"/>
      <c r="AB1609" s="379"/>
      <c r="AC1609" s="379" t="s">
        <v>30</v>
      </c>
      <c r="AD1609" s="379" t="s">
        <v>699</v>
      </c>
      <c r="AE1609" s="193"/>
      <c r="AF1609" s="380">
        <f>+AF1607*AF1606</f>
        <v>0</v>
      </c>
      <c r="AG1609" s="1205">
        <f t="shared" ref="AG1609:AQ1609" si="951">+AG1607*AG1606</f>
        <v>0</v>
      </c>
      <c r="AH1609" s="1205">
        <f t="shared" si="951"/>
        <v>0</v>
      </c>
      <c r="AI1609" s="1205">
        <f t="shared" si="951"/>
        <v>0</v>
      </c>
      <c r="AJ1609" s="1205">
        <f t="shared" si="951"/>
        <v>0</v>
      </c>
      <c r="AK1609" s="1205">
        <f t="shared" si="951"/>
        <v>0</v>
      </c>
      <c r="AL1609" s="1205">
        <f t="shared" si="951"/>
        <v>0</v>
      </c>
      <c r="AM1609" s="1205">
        <f t="shared" si="951"/>
        <v>0</v>
      </c>
      <c r="AN1609" s="1205">
        <f t="shared" si="951"/>
        <v>0</v>
      </c>
      <c r="AO1609" s="1205">
        <f t="shared" si="951"/>
        <v>0</v>
      </c>
      <c r="AP1609" s="1205">
        <f t="shared" si="951"/>
        <v>0</v>
      </c>
      <c r="AQ1609" s="1190">
        <f t="shared" si="951"/>
        <v>0</v>
      </c>
      <c r="AR1609" s="1195"/>
    </row>
    <row r="1610" spans="1:45" ht="13.75" hidden="1" customHeight="1" x14ac:dyDescent="0.2">
      <c r="B1610" s="1196" t="s">
        <v>447</v>
      </c>
      <c r="C1610" s="374"/>
      <c r="D1610" s="374"/>
      <c r="E1610" s="374"/>
      <c r="F1610" s="374" t="s">
        <v>697</v>
      </c>
      <c r="G1610" s="374" t="s">
        <v>694</v>
      </c>
      <c r="H1610" s="193"/>
      <c r="I1610" s="377">
        <f t="shared" ref="I1610:T1610" si="952">+SUMPRODUCT(I503:I507,$F503:$F507)</f>
        <v>0</v>
      </c>
      <c r="J1610" s="1200">
        <f t="shared" si="952"/>
        <v>0</v>
      </c>
      <c r="K1610" s="1200">
        <f t="shared" si="952"/>
        <v>0</v>
      </c>
      <c r="L1610" s="1200">
        <f t="shared" si="952"/>
        <v>0</v>
      </c>
      <c r="M1610" s="1200">
        <f t="shared" si="952"/>
        <v>0</v>
      </c>
      <c r="N1610" s="1200">
        <f t="shared" si="952"/>
        <v>0</v>
      </c>
      <c r="O1610" s="1200">
        <f t="shared" si="952"/>
        <v>0</v>
      </c>
      <c r="P1610" s="1200">
        <f t="shared" si="952"/>
        <v>0</v>
      </c>
      <c r="Q1610" s="1200">
        <f t="shared" si="952"/>
        <v>0</v>
      </c>
      <c r="R1610" s="1200">
        <f t="shared" si="952"/>
        <v>0</v>
      </c>
      <c r="S1610" s="1200">
        <f t="shared" si="952"/>
        <v>0</v>
      </c>
      <c r="T1610" s="1201">
        <f t="shared" si="952"/>
        <v>0</v>
      </c>
      <c r="U1610" s="1195"/>
      <c r="Y1610" s="1196" t="s">
        <v>447</v>
      </c>
      <c r="Z1610" s="374"/>
      <c r="AA1610" s="374"/>
      <c r="AB1610" s="374"/>
      <c r="AC1610" s="374" t="s">
        <v>697</v>
      </c>
      <c r="AD1610" s="374" t="s">
        <v>694</v>
      </c>
      <c r="AE1610" s="193"/>
      <c r="AF1610" s="377">
        <f t="shared" ref="AF1610:AQ1610" si="953">+SUMPRODUCT(AF503:AF507,$AC503:$AC507)</f>
        <v>0</v>
      </c>
      <c r="AG1610" s="1200">
        <f t="shared" si="953"/>
        <v>0</v>
      </c>
      <c r="AH1610" s="1200">
        <f t="shared" si="953"/>
        <v>0</v>
      </c>
      <c r="AI1610" s="1200">
        <f t="shared" si="953"/>
        <v>0</v>
      </c>
      <c r="AJ1610" s="1200">
        <f t="shared" si="953"/>
        <v>0</v>
      </c>
      <c r="AK1610" s="1200">
        <f t="shared" si="953"/>
        <v>0</v>
      </c>
      <c r="AL1610" s="1200">
        <f t="shared" si="953"/>
        <v>0</v>
      </c>
      <c r="AM1610" s="1200">
        <f t="shared" si="953"/>
        <v>0</v>
      </c>
      <c r="AN1610" s="1200">
        <f t="shared" si="953"/>
        <v>0</v>
      </c>
      <c r="AO1610" s="1200">
        <f t="shared" si="953"/>
        <v>0</v>
      </c>
      <c r="AP1610" s="1200">
        <f t="shared" si="953"/>
        <v>0</v>
      </c>
      <c r="AQ1610" s="1201">
        <f t="shared" si="953"/>
        <v>0</v>
      </c>
      <c r="AR1610" s="1195"/>
    </row>
    <row r="1611" spans="1:45" ht="13.75" hidden="1" customHeight="1" x14ac:dyDescent="0.2">
      <c r="B1611" s="1195"/>
      <c r="C1611" s="193"/>
      <c r="D1611" s="193"/>
      <c r="E1611" s="193"/>
      <c r="F1611" s="193" t="s">
        <v>697</v>
      </c>
      <c r="G1611" s="193" t="s">
        <v>698</v>
      </c>
      <c r="H1611" s="193"/>
      <c r="I1611" s="378">
        <f t="shared" ref="I1611:T1611" si="954">+I1610*I1605</f>
        <v>0</v>
      </c>
      <c r="J1611" s="1193">
        <f t="shared" si="954"/>
        <v>0</v>
      </c>
      <c r="K1611" s="1193">
        <f t="shared" si="954"/>
        <v>0</v>
      </c>
      <c r="L1611" s="1193">
        <f t="shared" si="954"/>
        <v>0</v>
      </c>
      <c r="M1611" s="1193">
        <f t="shared" si="954"/>
        <v>0</v>
      </c>
      <c r="N1611" s="1193">
        <f t="shared" si="954"/>
        <v>0</v>
      </c>
      <c r="O1611" s="1193">
        <f t="shared" si="954"/>
        <v>0</v>
      </c>
      <c r="P1611" s="1193">
        <f t="shared" si="954"/>
        <v>0</v>
      </c>
      <c r="Q1611" s="1193">
        <f t="shared" si="954"/>
        <v>0</v>
      </c>
      <c r="R1611" s="1193">
        <f t="shared" si="954"/>
        <v>0</v>
      </c>
      <c r="S1611" s="1193">
        <f t="shared" si="954"/>
        <v>0</v>
      </c>
      <c r="T1611" s="1183">
        <f t="shared" si="954"/>
        <v>0</v>
      </c>
      <c r="U1611" s="1195"/>
      <c r="Y1611" s="1195"/>
      <c r="Z1611" s="193"/>
      <c r="AA1611" s="193"/>
      <c r="AB1611" s="193"/>
      <c r="AC1611" s="193" t="s">
        <v>697</v>
      </c>
      <c r="AD1611" s="193" t="s">
        <v>698</v>
      </c>
      <c r="AE1611" s="193"/>
      <c r="AF1611" s="378">
        <f t="shared" ref="AF1611:AQ1611" si="955">+AF1610*AF1605</f>
        <v>0</v>
      </c>
      <c r="AG1611" s="1193">
        <f t="shared" si="955"/>
        <v>0</v>
      </c>
      <c r="AH1611" s="1193">
        <f t="shared" si="955"/>
        <v>0</v>
      </c>
      <c r="AI1611" s="1193">
        <f t="shared" si="955"/>
        <v>0</v>
      </c>
      <c r="AJ1611" s="1193">
        <f t="shared" si="955"/>
        <v>0</v>
      </c>
      <c r="AK1611" s="1193">
        <f t="shared" si="955"/>
        <v>0</v>
      </c>
      <c r="AL1611" s="1193">
        <f t="shared" si="955"/>
        <v>0</v>
      </c>
      <c r="AM1611" s="1193">
        <f t="shared" si="955"/>
        <v>0</v>
      </c>
      <c r="AN1611" s="1193">
        <f t="shared" si="955"/>
        <v>0</v>
      </c>
      <c r="AO1611" s="1193">
        <f t="shared" si="955"/>
        <v>0</v>
      </c>
      <c r="AP1611" s="1193">
        <f t="shared" si="955"/>
        <v>0</v>
      </c>
      <c r="AQ1611" s="1183">
        <f t="shared" si="955"/>
        <v>0</v>
      </c>
      <c r="AR1611" s="1195"/>
    </row>
    <row r="1612" spans="1:45" ht="14.4" hidden="1" customHeight="1" thickBot="1" x14ac:dyDescent="0.25">
      <c r="B1612" s="1198"/>
      <c r="C1612" s="1199"/>
      <c r="D1612" s="1199"/>
      <c r="E1612" s="1199"/>
      <c r="F1612" s="1199" t="s">
        <v>30</v>
      </c>
      <c r="G1612" s="1199" t="s">
        <v>699</v>
      </c>
      <c r="H1612" s="1199"/>
      <c r="I1612" s="1206">
        <f>+I1610*I1606</f>
        <v>0</v>
      </c>
      <c r="J1612" s="1207">
        <f t="shared" ref="J1612:T1612" si="956">+J1610*J1606</f>
        <v>0</v>
      </c>
      <c r="K1612" s="1207">
        <f t="shared" si="956"/>
        <v>0</v>
      </c>
      <c r="L1612" s="1207">
        <f t="shared" si="956"/>
        <v>0</v>
      </c>
      <c r="M1612" s="1207">
        <f t="shared" si="956"/>
        <v>0</v>
      </c>
      <c r="N1612" s="1207">
        <f t="shared" si="956"/>
        <v>0</v>
      </c>
      <c r="O1612" s="1207">
        <f t="shared" si="956"/>
        <v>0</v>
      </c>
      <c r="P1612" s="1207">
        <f t="shared" si="956"/>
        <v>0</v>
      </c>
      <c r="Q1612" s="1207">
        <f t="shared" si="956"/>
        <v>0</v>
      </c>
      <c r="R1612" s="1207">
        <f t="shared" si="956"/>
        <v>0</v>
      </c>
      <c r="S1612" s="1207">
        <f t="shared" si="956"/>
        <v>0</v>
      </c>
      <c r="T1612" s="1208">
        <f t="shared" si="956"/>
        <v>0</v>
      </c>
      <c r="U1612" s="1195"/>
      <c r="Y1612" s="1198"/>
      <c r="Z1612" s="1199"/>
      <c r="AA1612" s="1199"/>
      <c r="AB1612" s="1199"/>
      <c r="AC1612" s="1199" t="s">
        <v>30</v>
      </c>
      <c r="AD1612" s="1199" t="s">
        <v>699</v>
      </c>
      <c r="AE1612" s="1199"/>
      <c r="AF1612" s="1206">
        <f>+AF1610*AF1606</f>
        <v>0</v>
      </c>
      <c r="AG1612" s="1207">
        <f t="shared" ref="AG1612:AQ1612" si="957">+AG1610*AG1606</f>
        <v>0</v>
      </c>
      <c r="AH1612" s="1207">
        <f t="shared" si="957"/>
        <v>0</v>
      </c>
      <c r="AI1612" s="1207">
        <f t="shared" si="957"/>
        <v>0</v>
      </c>
      <c r="AJ1612" s="1207">
        <f t="shared" si="957"/>
        <v>0</v>
      </c>
      <c r="AK1612" s="1207">
        <f t="shared" si="957"/>
        <v>0</v>
      </c>
      <c r="AL1612" s="1207">
        <f t="shared" si="957"/>
        <v>0</v>
      </c>
      <c r="AM1612" s="1207">
        <f t="shared" si="957"/>
        <v>0</v>
      </c>
      <c r="AN1612" s="1207">
        <f t="shared" si="957"/>
        <v>0</v>
      </c>
      <c r="AO1612" s="1207">
        <f t="shared" si="957"/>
        <v>0</v>
      </c>
      <c r="AP1612" s="1207">
        <f t="shared" si="957"/>
        <v>0</v>
      </c>
      <c r="AQ1612" s="1208">
        <f t="shared" si="957"/>
        <v>0</v>
      </c>
      <c r="AR1612" s="1195"/>
    </row>
    <row r="1613" spans="1:45" ht="14.4" hidden="1" customHeight="1" thickTop="1" x14ac:dyDescent="0.2">
      <c r="B1613" s="141"/>
      <c r="U1613" s="193"/>
      <c r="Y1613" s="141"/>
    </row>
    <row r="1614" spans="1:45" ht="14.4" hidden="1" customHeight="1" thickBot="1" x14ac:dyDescent="0.25">
      <c r="A1614" s="2188">
        <v>1102</v>
      </c>
      <c r="B1614" s="1577" t="s">
        <v>1837</v>
      </c>
      <c r="C1614" s="1578"/>
      <c r="D1614" s="1578"/>
      <c r="E1614" s="1578"/>
      <c r="F1614" s="1578"/>
      <c r="G1614" s="1578"/>
      <c r="H1614" s="1578"/>
      <c r="I1614" s="1579"/>
      <c r="J1614" s="1579"/>
      <c r="K1614" s="1578"/>
      <c r="L1614" s="1578"/>
      <c r="M1614" s="1578"/>
      <c r="N1614" s="1578"/>
      <c r="O1614" s="1578"/>
      <c r="P1614" s="1578"/>
      <c r="Q1614" s="1578"/>
      <c r="R1614" s="1578"/>
      <c r="S1614" s="1578"/>
      <c r="T1614" s="1578"/>
      <c r="U1614" s="1579"/>
      <c r="X1614" s="2188">
        <v>1103</v>
      </c>
      <c r="Y1614" s="1577" t="s">
        <v>1992</v>
      </c>
      <c r="Z1614" s="1578"/>
      <c r="AA1614" s="1578"/>
      <c r="AB1614" s="1578"/>
      <c r="AC1614" s="1578"/>
      <c r="AD1614" s="1578"/>
      <c r="AF1614" s="1578"/>
      <c r="AG1614" s="1579"/>
      <c r="AH1614" s="1579"/>
      <c r="AI1614" s="1578"/>
      <c r="AJ1614" s="1578"/>
      <c r="AK1614" s="1578"/>
      <c r="AL1614" s="1578"/>
      <c r="AM1614" s="1578"/>
      <c r="AN1614" s="1578"/>
      <c r="AO1614" s="1578"/>
      <c r="AP1614" s="1578"/>
      <c r="AQ1614" s="1578"/>
      <c r="AR1614" s="1578"/>
      <c r="AS1614" s="193"/>
    </row>
    <row r="1615" spans="1:45" ht="14.4" hidden="1" customHeight="1" thickTop="1" x14ac:dyDescent="0.2">
      <c r="B1615" s="1537" t="str">
        <f>+B1607</f>
        <v xml:space="preserve">Semillas Agroqui Fertilizantes </v>
      </c>
      <c r="C1615" s="1194"/>
      <c r="D1615" s="1194"/>
      <c r="E1615" s="1194"/>
      <c r="F1615" s="1194" t="s">
        <v>230</v>
      </c>
      <c r="G1615" s="1194" t="s">
        <v>698</v>
      </c>
      <c r="H1615" s="1194"/>
      <c r="I1615" s="1194">
        <f t="shared" ref="I1615:T1615" si="958">+I1608+I1595+I1582+I1569+I1556+I1543+I1530+I1517+I1504+I1491+I1478+I1465</f>
        <v>0</v>
      </c>
      <c r="J1615" s="1194">
        <f t="shared" si="958"/>
        <v>0</v>
      </c>
      <c r="K1615" s="1194">
        <f t="shared" si="958"/>
        <v>0</v>
      </c>
      <c r="L1615" s="1194">
        <f t="shared" si="958"/>
        <v>0</v>
      </c>
      <c r="M1615" s="1194">
        <f t="shared" si="958"/>
        <v>0</v>
      </c>
      <c r="N1615" s="1194">
        <f t="shared" si="958"/>
        <v>0</v>
      </c>
      <c r="O1615" s="1194">
        <f t="shared" si="958"/>
        <v>0</v>
      </c>
      <c r="P1615" s="1194">
        <f t="shared" si="958"/>
        <v>0</v>
      </c>
      <c r="Q1615" s="1194">
        <f t="shared" si="958"/>
        <v>0</v>
      </c>
      <c r="R1615" s="1194">
        <f t="shared" si="958"/>
        <v>0</v>
      </c>
      <c r="S1615" s="1194">
        <f t="shared" si="958"/>
        <v>0</v>
      </c>
      <c r="T1615" s="1194">
        <f t="shared" si="958"/>
        <v>0</v>
      </c>
      <c r="U1615" s="1195"/>
      <c r="Y1615" s="1537" t="str">
        <f>+Y1607</f>
        <v xml:space="preserve">Semillas Agroqui Fertilizantes </v>
      </c>
      <c r="Z1615" s="1194"/>
      <c r="AA1615" s="1194"/>
      <c r="AB1615" s="1194"/>
      <c r="AC1615" s="1194" t="s">
        <v>230</v>
      </c>
      <c r="AD1615" s="1194" t="s">
        <v>698</v>
      </c>
      <c r="AF1615" s="1194">
        <f t="shared" ref="AF1615:AQ1615" si="959">+AF1608+AF1595+AF1582+AF1569+AF1556+AF1543+AF1530+AF1517+AF1504+AF1491+AF1478+AF1465</f>
        <v>0</v>
      </c>
      <c r="AG1615" s="1194">
        <f t="shared" si="959"/>
        <v>0</v>
      </c>
      <c r="AH1615" s="1194">
        <f t="shared" si="959"/>
        <v>0</v>
      </c>
      <c r="AI1615" s="1194">
        <f t="shared" si="959"/>
        <v>0</v>
      </c>
      <c r="AJ1615" s="1194">
        <f t="shared" si="959"/>
        <v>0</v>
      </c>
      <c r="AK1615" s="1194">
        <f t="shared" si="959"/>
        <v>0</v>
      </c>
      <c r="AL1615" s="1194">
        <f t="shared" si="959"/>
        <v>0</v>
      </c>
      <c r="AM1615" s="1194">
        <f t="shared" si="959"/>
        <v>0</v>
      </c>
      <c r="AN1615" s="1194">
        <f t="shared" si="959"/>
        <v>0</v>
      </c>
      <c r="AO1615" s="1194">
        <f t="shared" si="959"/>
        <v>0</v>
      </c>
      <c r="AP1615" s="1194">
        <f t="shared" si="959"/>
        <v>0</v>
      </c>
      <c r="AQ1615" s="1194">
        <f t="shared" si="959"/>
        <v>0</v>
      </c>
      <c r="AR1615" s="1194"/>
      <c r="AS1615" s="1195"/>
    </row>
    <row r="1616" spans="1:45" ht="14.4" hidden="1" customHeight="1" thickBot="1" x14ac:dyDescent="0.25">
      <c r="B1616" s="1195"/>
      <c r="C1616" s="193"/>
      <c r="D1616" s="193"/>
      <c r="E1616" s="193"/>
      <c r="F1616" s="193" t="s">
        <v>230</v>
      </c>
      <c r="G1616" s="254" t="s">
        <v>699</v>
      </c>
      <c r="H1616" s="193"/>
      <c r="I1616" s="193">
        <f t="shared" ref="I1616:T1616" si="960">+I1609+I1596+I1583+I1570+I1557+I1544+I1531+I1518+I1505+I1492+I1479+I1466</f>
        <v>0</v>
      </c>
      <c r="J1616" s="193">
        <f t="shared" si="960"/>
        <v>0</v>
      </c>
      <c r="K1616" s="193">
        <f t="shared" si="960"/>
        <v>0</v>
      </c>
      <c r="L1616" s="193">
        <f t="shared" si="960"/>
        <v>0</v>
      </c>
      <c r="M1616" s="193">
        <f t="shared" si="960"/>
        <v>0</v>
      </c>
      <c r="N1616" s="193">
        <f t="shared" si="960"/>
        <v>0</v>
      </c>
      <c r="O1616" s="193">
        <f t="shared" si="960"/>
        <v>0</v>
      </c>
      <c r="P1616" s="193">
        <f t="shared" si="960"/>
        <v>0</v>
      </c>
      <c r="Q1616" s="193">
        <f t="shared" si="960"/>
        <v>0</v>
      </c>
      <c r="R1616" s="193">
        <f t="shared" si="960"/>
        <v>0</v>
      </c>
      <c r="S1616" s="193">
        <f t="shared" si="960"/>
        <v>0</v>
      </c>
      <c r="T1616" s="193">
        <f t="shared" si="960"/>
        <v>0</v>
      </c>
      <c r="U1616" s="1195"/>
      <c r="Y1616" s="1195"/>
      <c r="Z1616" s="193"/>
      <c r="AA1616" s="193"/>
      <c r="AB1616" s="193"/>
      <c r="AC1616" s="193" t="s">
        <v>230</v>
      </c>
      <c r="AD1616" s="254" t="s">
        <v>699</v>
      </c>
      <c r="AF1616" s="193">
        <f t="shared" ref="AF1616:AQ1616" si="961">+AF1609+AF1596+AF1583+AF1570+AF1557+AF1544+AF1531+AF1518+AF1505+AF1492+AF1479+AF1466</f>
        <v>0</v>
      </c>
      <c r="AG1616" s="193">
        <f t="shared" si="961"/>
        <v>0</v>
      </c>
      <c r="AH1616" s="193">
        <f t="shared" si="961"/>
        <v>0</v>
      </c>
      <c r="AI1616" s="193">
        <f t="shared" si="961"/>
        <v>0</v>
      </c>
      <c r="AJ1616" s="193">
        <f t="shared" si="961"/>
        <v>0</v>
      </c>
      <c r="AK1616" s="193">
        <f t="shared" si="961"/>
        <v>0</v>
      </c>
      <c r="AL1616" s="193">
        <f t="shared" si="961"/>
        <v>0</v>
      </c>
      <c r="AM1616" s="193">
        <f t="shared" si="961"/>
        <v>0</v>
      </c>
      <c r="AN1616" s="193">
        <f t="shared" si="961"/>
        <v>0</v>
      </c>
      <c r="AO1616" s="193">
        <f t="shared" si="961"/>
        <v>0</v>
      </c>
      <c r="AP1616" s="193">
        <f t="shared" si="961"/>
        <v>0</v>
      </c>
      <c r="AQ1616" s="193">
        <f t="shared" si="961"/>
        <v>0</v>
      </c>
      <c r="AR1616" s="193"/>
      <c r="AS1616" s="1195"/>
    </row>
    <row r="1617" spans="1:45" ht="14.4" hidden="1" customHeight="1" thickTop="1" x14ac:dyDescent="0.2">
      <c r="B1617" s="1537" t="str">
        <f>+B1610</f>
        <v xml:space="preserve">Maquinaria </v>
      </c>
      <c r="C1617" s="1194"/>
      <c r="D1617" s="1194"/>
      <c r="E1617" s="1194"/>
      <c r="F1617" s="1194" t="s">
        <v>230</v>
      </c>
      <c r="G1617" s="1194" t="s">
        <v>698</v>
      </c>
      <c r="H1617" s="1210"/>
      <c r="I1617" s="1194">
        <f t="shared" ref="I1617:T1617" si="962">+I1611+I1598+I1585+I1572+I1559+I1546+I1533+I1520+I1507+I1494+I1481+I1468</f>
        <v>0</v>
      </c>
      <c r="J1617" s="1194">
        <f t="shared" si="962"/>
        <v>0</v>
      </c>
      <c r="K1617" s="1194">
        <f t="shared" si="962"/>
        <v>0</v>
      </c>
      <c r="L1617" s="1194">
        <f t="shared" si="962"/>
        <v>0</v>
      </c>
      <c r="M1617" s="1194">
        <f t="shared" si="962"/>
        <v>0</v>
      </c>
      <c r="N1617" s="1194">
        <f t="shared" si="962"/>
        <v>0</v>
      </c>
      <c r="O1617" s="1194">
        <f t="shared" si="962"/>
        <v>0</v>
      </c>
      <c r="P1617" s="1194">
        <f t="shared" si="962"/>
        <v>0</v>
      </c>
      <c r="Q1617" s="1194">
        <f t="shared" si="962"/>
        <v>0</v>
      </c>
      <c r="R1617" s="1194">
        <f t="shared" si="962"/>
        <v>0</v>
      </c>
      <c r="S1617" s="1194">
        <f t="shared" si="962"/>
        <v>0</v>
      </c>
      <c r="T1617" s="1194">
        <f t="shared" si="962"/>
        <v>0</v>
      </c>
      <c r="U1617" s="1195"/>
      <c r="Y1617" s="1537" t="str">
        <f>+Y1610</f>
        <v xml:space="preserve">Maquinaria </v>
      </c>
      <c r="Z1617" s="1194"/>
      <c r="AA1617" s="1194"/>
      <c r="AB1617" s="1194"/>
      <c r="AC1617" s="1194" t="s">
        <v>230</v>
      </c>
      <c r="AD1617" s="1194" t="s">
        <v>698</v>
      </c>
      <c r="AF1617" s="1210">
        <f t="shared" ref="AF1617:AQ1617" si="963">+AF1611+AF1598+AF1585+AF1572+AF1559+AF1546+AF1533+AF1520+AF1507+AF1494+AF1481+AF1468</f>
        <v>0</v>
      </c>
      <c r="AG1617" s="1194">
        <f t="shared" si="963"/>
        <v>0</v>
      </c>
      <c r="AH1617" s="1194">
        <f t="shared" si="963"/>
        <v>0</v>
      </c>
      <c r="AI1617" s="1194">
        <f t="shared" si="963"/>
        <v>0</v>
      </c>
      <c r="AJ1617" s="1194">
        <f t="shared" si="963"/>
        <v>0</v>
      </c>
      <c r="AK1617" s="1194">
        <f t="shared" si="963"/>
        <v>0</v>
      </c>
      <c r="AL1617" s="1194">
        <f t="shared" si="963"/>
        <v>0</v>
      </c>
      <c r="AM1617" s="1194">
        <f t="shared" si="963"/>
        <v>0</v>
      </c>
      <c r="AN1617" s="1194">
        <f t="shared" si="963"/>
        <v>0</v>
      </c>
      <c r="AO1617" s="1194">
        <f t="shared" si="963"/>
        <v>0</v>
      </c>
      <c r="AP1617" s="1194">
        <f t="shared" si="963"/>
        <v>0</v>
      </c>
      <c r="AQ1617" s="1194">
        <f t="shared" si="963"/>
        <v>0</v>
      </c>
      <c r="AR1617" s="1194"/>
      <c r="AS1617" s="1195"/>
    </row>
    <row r="1618" spans="1:45" ht="14.4" hidden="1" customHeight="1" thickBot="1" x14ac:dyDescent="0.25">
      <c r="B1618" s="1198"/>
      <c r="C1618" s="1199"/>
      <c r="D1618" s="1199"/>
      <c r="E1618" s="1199"/>
      <c r="F1618" s="1199"/>
      <c r="G1618" s="1209" t="s">
        <v>699</v>
      </c>
      <c r="H1618" s="1209"/>
      <c r="I1618" s="1199">
        <f t="shared" ref="I1618:T1618" si="964">+I1612+I1599+I1586+I1573+I1560+I1547+I1534+I1521+I1508+I1495+I1482+I1469</f>
        <v>0</v>
      </c>
      <c r="J1618" s="1199">
        <f t="shared" si="964"/>
        <v>0</v>
      </c>
      <c r="K1618" s="1199">
        <f t="shared" si="964"/>
        <v>0</v>
      </c>
      <c r="L1618" s="1199">
        <f t="shared" si="964"/>
        <v>0</v>
      </c>
      <c r="M1618" s="1199">
        <f t="shared" si="964"/>
        <v>0</v>
      </c>
      <c r="N1618" s="1199">
        <f t="shared" si="964"/>
        <v>0</v>
      </c>
      <c r="O1618" s="1199">
        <f t="shared" si="964"/>
        <v>0</v>
      </c>
      <c r="P1618" s="1199">
        <f t="shared" si="964"/>
        <v>0</v>
      </c>
      <c r="Q1618" s="1199">
        <f t="shared" si="964"/>
        <v>0</v>
      </c>
      <c r="R1618" s="1199">
        <f t="shared" si="964"/>
        <v>0</v>
      </c>
      <c r="S1618" s="1199">
        <f t="shared" si="964"/>
        <v>0</v>
      </c>
      <c r="T1618" s="1199">
        <f t="shared" si="964"/>
        <v>0</v>
      </c>
      <c r="U1618" s="1195"/>
      <c r="Y1618" s="1198"/>
      <c r="Z1618" s="1199"/>
      <c r="AA1618" s="1199"/>
      <c r="AB1618" s="1199"/>
      <c r="AC1618" s="1199" t="s">
        <v>230</v>
      </c>
      <c r="AD1618" s="1209" t="s">
        <v>699</v>
      </c>
      <c r="AF1618" s="1209">
        <f t="shared" ref="AF1618:AQ1618" si="965">+AF1612+AF1599+AF1586+AF1573+AF1560+AF1547+AF1534+AF1521+AF1508+AF1495+AF1482+AF1469</f>
        <v>0</v>
      </c>
      <c r="AG1618" s="1199">
        <f t="shared" si="965"/>
        <v>0</v>
      </c>
      <c r="AH1618" s="1199">
        <f t="shared" si="965"/>
        <v>0</v>
      </c>
      <c r="AI1618" s="1199">
        <f t="shared" si="965"/>
        <v>0</v>
      </c>
      <c r="AJ1618" s="1199">
        <f t="shared" si="965"/>
        <v>0</v>
      </c>
      <c r="AK1618" s="1199">
        <f t="shared" si="965"/>
        <v>0</v>
      </c>
      <c r="AL1618" s="1199">
        <f t="shared" si="965"/>
        <v>0</v>
      </c>
      <c r="AM1618" s="1199">
        <f t="shared" si="965"/>
        <v>0</v>
      </c>
      <c r="AN1618" s="1199">
        <f t="shared" si="965"/>
        <v>0</v>
      </c>
      <c r="AO1618" s="1199">
        <f t="shared" si="965"/>
        <v>0</v>
      </c>
      <c r="AP1618" s="1199">
        <f t="shared" si="965"/>
        <v>0</v>
      </c>
      <c r="AQ1618" s="1199">
        <f t="shared" si="965"/>
        <v>0</v>
      </c>
      <c r="AR1618" s="1199"/>
      <c r="AS1618" s="1195"/>
    </row>
    <row r="1619" spans="1:45" ht="14.4" hidden="1" customHeight="1" thickTop="1" x14ac:dyDescent="0.2">
      <c r="H1619" s="232"/>
      <c r="Y1619" s="359"/>
      <c r="AE1619" s="232"/>
    </row>
    <row r="1620" spans="1:45" ht="13.75" hidden="1" customHeight="1" x14ac:dyDescent="0.2">
      <c r="H1620" s="232"/>
      <c r="Y1620" s="359"/>
      <c r="AE1620" s="232"/>
    </row>
    <row r="1621" spans="1:45" ht="13.75" hidden="1" customHeight="1" x14ac:dyDescent="0.2">
      <c r="H1621" s="232"/>
      <c r="Y1621" s="359"/>
      <c r="AE1621" s="232"/>
    </row>
    <row r="1622" spans="1:45" ht="13.75" hidden="1" customHeight="1" x14ac:dyDescent="0.2">
      <c r="H1622" s="232"/>
      <c r="Y1622" s="359"/>
      <c r="AE1622" s="232"/>
    </row>
    <row r="1623" spans="1:45" ht="13.75" hidden="1" customHeight="1" x14ac:dyDescent="0.2">
      <c r="H1623" s="232"/>
      <c r="Y1623" s="359"/>
      <c r="AE1623" s="232"/>
    </row>
    <row r="1624" spans="1:45" ht="14.4" hidden="1" customHeight="1" thickBot="1" x14ac:dyDescent="0.25">
      <c r="A1624" s="2188">
        <v>1104</v>
      </c>
      <c r="B1624" s="1577" t="s">
        <v>2017</v>
      </c>
      <c r="C1624" s="1578"/>
      <c r="D1624" s="1578"/>
      <c r="E1624" s="1578"/>
      <c r="F1624" s="1578"/>
      <c r="G1624" s="1578"/>
      <c r="H1624" s="1578"/>
      <c r="I1624" s="1579"/>
      <c r="J1624" s="1579"/>
      <c r="K1624" s="1578"/>
      <c r="L1624" s="1578"/>
      <c r="M1624" s="1578"/>
      <c r="N1624" s="1578"/>
      <c r="O1624" s="1578"/>
      <c r="P1624" s="1578"/>
      <c r="Q1624" s="1578"/>
      <c r="R1624" s="1578"/>
      <c r="S1624" s="1578"/>
      <c r="T1624" s="1578"/>
      <c r="U1624" s="193"/>
      <c r="Y1624" s="359"/>
      <c r="AE1624" s="232"/>
    </row>
    <row r="1625" spans="1:45" ht="14.4" hidden="1" customHeight="1" thickTop="1" x14ac:dyDescent="0.2">
      <c r="B1625" s="1537" t="s">
        <v>824</v>
      </c>
      <c r="C1625" s="1194" t="str">
        <f>+B1615</f>
        <v xml:space="preserve">Semillas Agroqui Fertilizantes </v>
      </c>
      <c r="D1625" s="1194"/>
      <c r="E1625" s="1194"/>
      <c r="F1625" s="1194"/>
      <c r="G1625" s="1194" t="str">
        <f t="shared" ref="G1625:H1627" si="966">+F1615</f>
        <v xml:space="preserve">TOTAL </v>
      </c>
      <c r="H1625" s="1194" t="str">
        <f t="shared" si="966"/>
        <v>lechería</v>
      </c>
      <c r="I1625" s="1194">
        <f t="shared" ref="I1625:T1628" si="967">+I1615+AF1615</f>
        <v>0</v>
      </c>
      <c r="J1625" s="1194">
        <f t="shared" si="967"/>
        <v>0</v>
      </c>
      <c r="K1625" s="1194">
        <f t="shared" si="967"/>
        <v>0</v>
      </c>
      <c r="L1625" s="1194">
        <f t="shared" si="967"/>
        <v>0</v>
      </c>
      <c r="M1625" s="1194">
        <f t="shared" si="967"/>
        <v>0</v>
      </c>
      <c r="N1625" s="1194">
        <f t="shared" si="967"/>
        <v>0</v>
      </c>
      <c r="O1625" s="1194">
        <f t="shared" si="967"/>
        <v>0</v>
      </c>
      <c r="P1625" s="1194">
        <f t="shared" si="967"/>
        <v>0</v>
      </c>
      <c r="Q1625" s="1194">
        <f t="shared" si="967"/>
        <v>0</v>
      </c>
      <c r="R1625" s="1194">
        <f t="shared" si="967"/>
        <v>0</v>
      </c>
      <c r="S1625" s="1194">
        <f t="shared" si="967"/>
        <v>0</v>
      </c>
      <c r="T1625" s="1194">
        <f t="shared" si="967"/>
        <v>0</v>
      </c>
      <c r="U1625" s="1195"/>
      <c r="Y1625" s="359"/>
      <c r="AE1625" s="232"/>
    </row>
    <row r="1626" spans="1:45" ht="14.4" hidden="1" customHeight="1" thickBot="1" x14ac:dyDescent="0.25">
      <c r="B1626" s="1195"/>
      <c r="C1626" s="193"/>
      <c r="D1626" s="193"/>
      <c r="E1626" s="193"/>
      <c r="F1626" s="193"/>
      <c r="G1626" s="254" t="str">
        <f t="shared" si="966"/>
        <v xml:space="preserve">TOTAL </v>
      </c>
      <c r="H1626" s="193" t="str">
        <f t="shared" si="966"/>
        <v>ganadería</v>
      </c>
      <c r="I1626" s="193">
        <f t="shared" si="967"/>
        <v>0</v>
      </c>
      <c r="J1626" s="193">
        <f t="shared" si="967"/>
        <v>0</v>
      </c>
      <c r="K1626" s="193">
        <f t="shared" si="967"/>
        <v>0</v>
      </c>
      <c r="L1626" s="193">
        <f t="shared" si="967"/>
        <v>0</v>
      </c>
      <c r="M1626" s="193">
        <f t="shared" si="967"/>
        <v>0</v>
      </c>
      <c r="N1626" s="193">
        <f t="shared" si="967"/>
        <v>0</v>
      </c>
      <c r="O1626" s="193">
        <f t="shared" si="967"/>
        <v>0</v>
      </c>
      <c r="P1626" s="193">
        <f t="shared" si="967"/>
        <v>0</v>
      </c>
      <c r="Q1626" s="193">
        <f t="shared" si="967"/>
        <v>0</v>
      </c>
      <c r="R1626" s="193">
        <f t="shared" si="967"/>
        <v>0</v>
      </c>
      <c r="S1626" s="193">
        <f t="shared" si="967"/>
        <v>0</v>
      </c>
      <c r="T1626" s="193">
        <f t="shared" si="967"/>
        <v>0</v>
      </c>
      <c r="U1626" s="1195"/>
      <c r="Y1626" s="359"/>
      <c r="AE1626" s="232"/>
    </row>
    <row r="1627" spans="1:45" ht="14.4" hidden="1" customHeight="1" thickTop="1" x14ac:dyDescent="0.2">
      <c r="B1627" s="1537"/>
      <c r="C1627" s="1194" t="str">
        <f>+B1617</f>
        <v xml:space="preserve">Maquinaria </v>
      </c>
      <c r="D1627" s="1194"/>
      <c r="E1627" s="1194"/>
      <c r="F1627" s="1194"/>
      <c r="G1627" s="1194" t="str">
        <f t="shared" si="966"/>
        <v xml:space="preserve">TOTAL </v>
      </c>
      <c r="H1627" s="1210" t="str">
        <f t="shared" si="966"/>
        <v>lechería</v>
      </c>
      <c r="I1627" s="1194">
        <f t="shared" si="967"/>
        <v>0</v>
      </c>
      <c r="J1627" s="1194">
        <f t="shared" si="967"/>
        <v>0</v>
      </c>
      <c r="K1627" s="1194">
        <f t="shared" si="967"/>
        <v>0</v>
      </c>
      <c r="L1627" s="1194">
        <f t="shared" si="967"/>
        <v>0</v>
      </c>
      <c r="M1627" s="1194">
        <f t="shared" si="967"/>
        <v>0</v>
      </c>
      <c r="N1627" s="1194">
        <f t="shared" si="967"/>
        <v>0</v>
      </c>
      <c r="O1627" s="1194">
        <f t="shared" si="967"/>
        <v>0</v>
      </c>
      <c r="P1627" s="1194">
        <f t="shared" si="967"/>
        <v>0</v>
      </c>
      <c r="Q1627" s="1194">
        <f t="shared" si="967"/>
        <v>0</v>
      </c>
      <c r="R1627" s="1194">
        <f t="shared" si="967"/>
        <v>0</v>
      </c>
      <c r="S1627" s="1194">
        <f t="shared" si="967"/>
        <v>0</v>
      </c>
      <c r="T1627" s="1194">
        <f t="shared" si="967"/>
        <v>0</v>
      </c>
      <c r="U1627" s="1195"/>
      <c r="Y1627" s="359"/>
      <c r="AE1627" s="232"/>
    </row>
    <row r="1628" spans="1:45" ht="14.4" hidden="1" customHeight="1" thickBot="1" x14ac:dyDescent="0.25">
      <c r="B1628" s="1198"/>
      <c r="C1628" s="1199"/>
      <c r="D1628" s="1199"/>
      <c r="E1628" s="1199"/>
      <c r="F1628" s="1199"/>
      <c r="G1628" s="1209"/>
      <c r="H1628" s="1209" t="str">
        <f>+G1618</f>
        <v>ganadería</v>
      </c>
      <c r="I1628" s="1199">
        <f t="shared" si="967"/>
        <v>0</v>
      </c>
      <c r="J1628" s="1199">
        <f t="shared" si="967"/>
        <v>0</v>
      </c>
      <c r="K1628" s="1199">
        <f t="shared" si="967"/>
        <v>0</v>
      </c>
      <c r="L1628" s="1199">
        <f t="shared" si="967"/>
        <v>0</v>
      </c>
      <c r="M1628" s="1199">
        <f t="shared" si="967"/>
        <v>0</v>
      </c>
      <c r="N1628" s="1199">
        <f t="shared" si="967"/>
        <v>0</v>
      </c>
      <c r="O1628" s="1199">
        <f t="shared" si="967"/>
        <v>0</v>
      </c>
      <c r="P1628" s="1199">
        <f t="shared" si="967"/>
        <v>0</v>
      </c>
      <c r="Q1628" s="1199">
        <f t="shared" si="967"/>
        <v>0</v>
      </c>
      <c r="R1628" s="1199">
        <f t="shared" si="967"/>
        <v>0</v>
      </c>
      <c r="S1628" s="1199">
        <f t="shared" si="967"/>
        <v>0</v>
      </c>
      <c r="T1628" s="1199">
        <f t="shared" si="967"/>
        <v>0</v>
      </c>
      <c r="U1628" s="1195"/>
      <c r="Y1628" s="359"/>
      <c r="AE1628" s="232"/>
    </row>
    <row r="1629" spans="1:45" ht="14.4" hidden="1" customHeight="1" thickTop="1" x14ac:dyDescent="0.2">
      <c r="U1629" s="193"/>
      <c r="Y1629" s="359"/>
      <c r="AE1629" s="232"/>
    </row>
    <row r="1630" spans="1:45" ht="14.4" hidden="1" customHeight="1" thickBot="1" x14ac:dyDescent="0.25">
      <c r="A1630" s="2188">
        <v>1105</v>
      </c>
      <c r="B1630" s="1577" t="s">
        <v>825</v>
      </c>
      <c r="C1630" s="1578"/>
      <c r="D1630" s="1578"/>
      <c r="E1630" s="1578"/>
      <c r="F1630" s="1578"/>
      <c r="G1630" s="1578"/>
      <c r="H1630" s="1578"/>
      <c r="I1630" s="1579"/>
      <c r="J1630" s="1579"/>
      <c r="K1630" s="1578"/>
      <c r="L1630" s="1578"/>
      <c r="M1630" s="1578"/>
      <c r="N1630" s="1578"/>
      <c r="O1630" s="1578"/>
      <c r="P1630" s="1578"/>
      <c r="Q1630" s="1578"/>
      <c r="R1630" s="1578"/>
      <c r="S1630" s="1578"/>
      <c r="T1630" s="1578"/>
      <c r="U1630" s="193"/>
      <c r="Y1630" s="359"/>
      <c r="AE1630" s="232"/>
    </row>
    <row r="1631" spans="1:45" ht="14.4" hidden="1" customHeight="1" thickTop="1" x14ac:dyDescent="0.2">
      <c r="B1631" s="1537" t="s">
        <v>646</v>
      </c>
      <c r="C1631" s="1194"/>
      <c r="D1631" s="1194"/>
      <c r="E1631" s="1194"/>
      <c r="F1631" s="1194"/>
      <c r="G1631" s="1194"/>
      <c r="H1631" s="1194" t="s">
        <v>691</v>
      </c>
      <c r="I1631" s="1194">
        <f t="shared" ref="I1631:T1631" si="968">+SUMPRODUCT(I551:I553,$F$551:$F$553)</f>
        <v>0</v>
      </c>
      <c r="J1631" s="1194">
        <f t="shared" si="968"/>
        <v>0</v>
      </c>
      <c r="K1631" s="1194">
        <f t="shared" si="968"/>
        <v>0</v>
      </c>
      <c r="L1631" s="1194">
        <f t="shared" si="968"/>
        <v>0</v>
      </c>
      <c r="M1631" s="1194">
        <f t="shared" si="968"/>
        <v>0</v>
      </c>
      <c r="N1631" s="1194">
        <f t="shared" si="968"/>
        <v>0</v>
      </c>
      <c r="O1631" s="1194">
        <f t="shared" si="968"/>
        <v>0</v>
      </c>
      <c r="P1631" s="1194">
        <f t="shared" si="968"/>
        <v>0</v>
      </c>
      <c r="Q1631" s="1194">
        <f t="shared" si="968"/>
        <v>0</v>
      </c>
      <c r="R1631" s="1194">
        <f t="shared" si="968"/>
        <v>0</v>
      </c>
      <c r="S1631" s="1194">
        <f t="shared" si="968"/>
        <v>0</v>
      </c>
      <c r="T1631" s="1194">
        <f t="shared" si="968"/>
        <v>0</v>
      </c>
      <c r="U1631" s="1195"/>
      <c r="Y1631" s="359"/>
      <c r="AE1631" s="232"/>
    </row>
    <row r="1632" spans="1:45" ht="14.4" hidden="1" customHeight="1" thickBot="1" x14ac:dyDescent="0.25">
      <c r="B1632" s="1195"/>
      <c r="C1632" s="193"/>
      <c r="D1632" s="193"/>
      <c r="E1632" s="193"/>
      <c r="F1632" s="193"/>
      <c r="G1632" s="254"/>
      <c r="H1632" s="193" t="s">
        <v>718</v>
      </c>
      <c r="I1632" s="193">
        <f t="shared" ref="I1632:T1632" si="969">+SUMPRODUCT(I594:I596,$F$594:$F$596)</f>
        <v>0</v>
      </c>
      <c r="J1632" s="193">
        <f t="shared" si="969"/>
        <v>0</v>
      </c>
      <c r="K1632" s="193">
        <f t="shared" si="969"/>
        <v>0</v>
      </c>
      <c r="L1632" s="193">
        <f t="shared" si="969"/>
        <v>0</v>
      </c>
      <c r="M1632" s="193">
        <f t="shared" si="969"/>
        <v>0</v>
      </c>
      <c r="N1632" s="193">
        <f t="shared" si="969"/>
        <v>0</v>
      </c>
      <c r="O1632" s="193">
        <f t="shared" si="969"/>
        <v>0</v>
      </c>
      <c r="P1632" s="193">
        <f t="shared" si="969"/>
        <v>0</v>
      </c>
      <c r="Q1632" s="193">
        <f t="shared" si="969"/>
        <v>0</v>
      </c>
      <c r="R1632" s="193">
        <f t="shared" si="969"/>
        <v>0</v>
      </c>
      <c r="S1632" s="193">
        <f t="shared" si="969"/>
        <v>0</v>
      </c>
      <c r="T1632" s="193">
        <f t="shared" si="969"/>
        <v>0</v>
      </c>
      <c r="U1632" s="1195"/>
      <c r="Y1632" s="359"/>
      <c r="AE1632" s="232"/>
    </row>
    <row r="1633" spans="1:44" ht="14.4" hidden="1" customHeight="1" thickTop="1" x14ac:dyDescent="0.2">
      <c r="B1633" s="1537" t="s">
        <v>95</v>
      </c>
      <c r="C1633" s="1194"/>
      <c r="D1633" s="1194"/>
      <c r="E1633" s="1194"/>
      <c r="F1633" s="1194"/>
      <c r="G1633" s="1194"/>
      <c r="H1633" s="1210" t="s">
        <v>819</v>
      </c>
      <c r="I1633" s="1194">
        <f t="shared" ref="I1633:T1633" si="970">+I556*$F$556</f>
        <v>0</v>
      </c>
      <c r="J1633" s="1194">
        <f t="shared" si="970"/>
        <v>0</v>
      </c>
      <c r="K1633" s="1194">
        <f t="shared" si="970"/>
        <v>0</v>
      </c>
      <c r="L1633" s="1194">
        <f t="shared" si="970"/>
        <v>0</v>
      </c>
      <c r="M1633" s="1194">
        <f t="shared" si="970"/>
        <v>0</v>
      </c>
      <c r="N1633" s="1194">
        <f t="shared" si="970"/>
        <v>0</v>
      </c>
      <c r="O1633" s="1194">
        <f t="shared" si="970"/>
        <v>0</v>
      </c>
      <c r="P1633" s="1194">
        <f t="shared" si="970"/>
        <v>0</v>
      </c>
      <c r="Q1633" s="1194">
        <f t="shared" si="970"/>
        <v>0</v>
      </c>
      <c r="R1633" s="1194">
        <f t="shared" si="970"/>
        <v>0</v>
      </c>
      <c r="S1633" s="1194">
        <f t="shared" si="970"/>
        <v>0</v>
      </c>
      <c r="T1633" s="1194">
        <f t="shared" si="970"/>
        <v>0</v>
      </c>
      <c r="U1633" s="1195"/>
      <c r="Y1633" s="359"/>
      <c r="AE1633" s="232"/>
    </row>
    <row r="1634" spans="1:44" ht="14.4" hidden="1" customHeight="1" thickBot="1" x14ac:dyDescent="0.25">
      <c r="B1634" s="1198"/>
      <c r="C1634" s="1199"/>
      <c r="D1634" s="1199"/>
      <c r="E1634" s="1199"/>
      <c r="F1634" s="1199"/>
      <c r="G1634" s="1209"/>
      <c r="H1634" s="1209" t="s">
        <v>718</v>
      </c>
      <c r="I1634" s="1199">
        <f t="shared" ref="I1634:T1634" si="971">+I599*$F$599</f>
        <v>0</v>
      </c>
      <c r="J1634" s="1199">
        <f t="shared" si="971"/>
        <v>0</v>
      </c>
      <c r="K1634" s="1199">
        <f t="shared" si="971"/>
        <v>0</v>
      </c>
      <c r="L1634" s="1199">
        <f t="shared" si="971"/>
        <v>0</v>
      </c>
      <c r="M1634" s="1199">
        <f t="shared" si="971"/>
        <v>0</v>
      </c>
      <c r="N1634" s="1199">
        <f t="shared" si="971"/>
        <v>0</v>
      </c>
      <c r="O1634" s="1199">
        <f t="shared" si="971"/>
        <v>0</v>
      </c>
      <c r="P1634" s="1199">
        <f t="shared" si="971"/>
        <v>0</v>
      </c>
      <c r="Q1634" s="1199">
        <f t="shared" si="971"/>
        <v>0</v>
      </c>
      <c r="R1634" s="1199">
        <f t="shared" si="971"/>
        <v>0</v>
      </c>
      <c r="S1634" s="1199">
        <f t="shared" si="971"/>
        <v>0</v>
      </c>
      <c r="T1634" s="1199">
        <f t="shared" si="971"/>
        <v>0</v>
      </c>
      <c r="U1634" s="1195"/>
      <c r="Y1634" s="359"/>
      <c r="AE1634" s="232"/>
    </row>
    <row r="1635" spans="1:44" ht="14.4" hidden="1" customHeight="1" thickTop="1" x14ac:dyDescent="0.2">
      <c r="U1635" s="193"/>
      <c r="Y1635" s="359"/>
      <c r="AE1635" s="232"/>
    </row>
    <row r="1636" spans="1:44" ht="24.55" hidden="1" customHeight="1" x14ac:dyDescent="0.2">
      <c r="B1636" s="1580" t="s">
        <v>1838</v>
      </c>
      <c r="C1636" s="1574"/>
      <c r="D1636" s="1574"/>
      <c r="E1636" s="1574"/>
      <c r="F1636" s="1574"/>
      <c r="G1636" s="1574"/>
      <c r="H1636" s="1574"/>
      <c r="I1636" s="1575"/>
      <c r="J1636" s="1575"/>
      <c r="K1636" s="1574"/>
      <c r="L1636" s="1574"/>
      <c r="M1636" s="1574"/>
      <c r="N1636" s="1574"/>
      <c r="O1636" s="1574"/>
      <c r="P1636" s="1574"/>
      <c r="Q1636" s="1574"/>
      <c r="R1636" s="1574"/>
      <c r="S1636" s="1574"/>
      <c r="T1636" s="1574"/>
      <c r="U1636" s="1574"/>
      <c r="V1636" s="1576"/>
      <c r="W1636" s="1576"/>
      <c r="X1636" s="1576"/>
      <c r="Y1636" s="1576"/>
      <c r="Z1636" s="1574"/>
      <c r="AA1636" s="1574"/>
      <c r="AB1636" s="1574"/>
      <c r="AC1636" s="1574"/>
      <c r="AD1636" s="1574"/>
      <c r="AE1636" s="1574"/>
      <c r="AF1636" s="1574"/>
      <c r="AG1636" s="1574"/>
      <c r="AH1636" s="1574"/>
      <c r="AI1636" s="1574"/>
      <c r="AJ1636" s="1574"/>
      <c r="AK1636" s="1574"/>
      <c r="AL1636" s="1574"/>
      <c r="AM1636" s="1574"/>
      <c r="AN1636" s="1574"/>
      <c r="AO1636" s="1574"/>
      <c r="AP1636" s="1574"/>
      <c r="AQ1636" s="1574"/>
      <c r="AR1636" s="1574"/>
    </row>
    <row r="1637" spans="1:44" ht="14.4" hidden="1" customHeight="1" thickBot="1" x14ac:dyDescent="0.25">
      <c r="B1637" s="141"/>
      <c r="C1637" s="232"/>
      <c r="H1637" s="232"/>
      <c r="Y1637" s="359"/>
      <c r="AE1637" s="232"/>
    </row>
    <row r="1638" spans="1:44" ht="14.4" hidden="1" customHeight="1" thickTop="1" x14ac:dyDescent="0.2">
      <c r="A1638" s="2188">
        <v>1106</v>
      </c>
      <c r="B1638" s="1584" t="s">
        <v>795</v>
      </c>
      <c r="C1638" s="1581">
        <f>+C1457</f>
        <v>0</v>
      </c>
      <c r="D1638" s="1194"/>
      <c r="E1638" s="1194"/>
      <c r="F1638" s="1194"/>
      <c r="G1638" s="1194" t="s">
        <v>247</v>
      </c>
      <c r="H1638" s="1194" t="s">
        <v>691</v>
      </c>
      <c r="I1638" s="1668">
        <f t="shared" ref="I1638:T1638" si="972">+I1458</f>
        <v>0</v>
      </c>
      <c r="J1638" s="1668">
        <f t="shared" si="972"/>
        <v>0</v>
      </c>
      <c r="K1638" s="1668">
        <f t="shared" si="972"/>
        <v>0</v>
      </c>
      <c r="L1638" s="1668">
        <f t="shared" si="972"/>
        <v>0</v>
      </c>
      <c r="M1638" s="1668">
        <f t="shared" si="972"/>
        <v>0</v>
      </c>
      <c r="N1638" s="1668">
        <f t="shared" si="972"/>
        <v>0</v>
      </c>
      <c r="O1638" s="1668">
        <f t="shared" si="972"/>
        <v>0</v>
      </c>
      <c r="P1638" s="1668">
        <f t="shared" si="972"/>
        <v>0</v>
      </c>
      <c r="Q1638" s="1668">
        <f t="shared" si="972"/>
        <v>0</v>
      </c>
      <c r="R1638" s="1668">
        <f t="shared" si="972"/>
        <v>0</v>
      </c>
      <c r="S1638" s="1668">
        <f t="shared" si="972"/>
        <v>0</v>
      </c>
      <c r="T1638" s="1704">
        <f t="shared" si="972"/>
        <v>0</v>
      </c>
      <c r="U1638" s="1195"/>
      <c r="X1638" s="2188">
        <v>1107</v>
      </c>
      <c r="Y1638" s="1722" t="s">
        <v>795</v>
      </c>
      <c r="Z1638" s="1581">
        <f>+Z1457</f>
        <v>0</v>
      </c>
      <c r="AA1638" s="1194"/>
      <c r="AB1638" s="1194"/>
      <c r="AC1638" s="1194"/>
      <c r="AD1638" s="1194" t="str">
        <f t="shared" ref="AD1638:AE1640" si="973">+AC1458</f>
        <v>has</v>
      </c>
      <c r="AE1638" s="1194" t="str">
        <f t="shared" si="973"/>
        <v>Lechería</v>
      </c>
      <c r="AF1638" s="1668">
        <f t="shared" ref="AF1638:AQ1638" si="974">+AF1458</f>
        <v>0</v>
      </c>
      <c r="AG1638" s="1668">
        <f t="shared" si="974"/>
        <v>0</v>
      </c>
      <c r="AH1638" s="1668">
        <f t="shared" si="974"/>
        <v>0</v>
      </c>
      <c r="AI1638" s="1668">
        <f t="shared" si="974"/>
        <v>0</v>
      </c>
      <c r="AJ1638" s="1668">
        <f t="shared" si="974"/>
        <v>0</v>
      </c>
      <c r="AK1638" s="1668">
        <f t="shared" si="974"/>
        <v>0</v>
      </c>
      <c r="AL1638" s="1668">
        <f t="shared" si="974"/>
        <v>0</v>
      </c>
      <c r="AM1638" s="1668">
        <f t="shared" si="974"/>
        <v>0</v>
      </c>
      <c r="AN1638" s="1668">
        <f t="shared" si="974"/>
        <v>0</v>
      </c>
      <c r="AO1638" s="1668">
        <f t="shared" si="974"/>
        <v>0</v>
      </c>
      <c r="AP1638" s="1668">
        <f t="shared" si="974"/>
        <v>0</v>
      </c>
      <c r="AQ1638" s="1704">
        <f t="shared" si="974"/>
        <v>0</v>
      </c>
    </row>
    <row r="1639" spans="1:44" ht="13.75" hidden="1" customHeight="1" x14ac:dyDescent="0.2">
      <c r="B1639" s="1594"/>
      <c r="C1639" s="193"/>
      <c r="D1639" s="193"/>
      <c r="E1639" s="193"/>
      <c r="F1639" s="193"/>
      <c r="G1639" s="193" t="s">
        <v>344</v>
      </c>
      <c r="H1639" s="193" t="s">
        <v>693</v>
      </c>
      <c r="I1639" s="1283">
        <f t="shared" ref="I1639:T1639" si="975">+I1459</f>
        <v>0</v>
      </c>
      <c r="J1639" s="1283">
        <f t="shared" si="975"/>
        <v>0</v>
      </c>
      <c r="K1639" s="1283">
        <f t="shared" si="975"/>
        <v>0</v>
      </c>
      <c r="L1639" s="1283">
        <f t="shared" si="975"/>
        <v>0</v>
      </c>
      <c r="M1639" s="1283">
        <f t="shared" si="975"/>
        <v>0</v>
      </c>
      <c r="N1639" s="1283">
        <f t="shared" si="975"/>
        <v>0</v>
      </c>
      <c r="O1639" s="1283">
        <f t="shared" si="975"/>
        <v>0</v>
      </c>
      <c r="P1639" s="1283">
        <f t="shared" si="975"/>
        <v>0</v>
      </c>
      <c r="Q1639" s="1283">
        <f t="shared" si="975"/>
        <v>0</v>
      </c>
      <c r="R1639" s="1283">
        <f t="shared" si="975"/>
        <v>0</v>
      </c>
      <c r="S1639" s="1283">
        <f t="shared" si="975"/>
        <v>0</v>
      </c>
      <c r="T1639" s="1601">
        <f t="shared" si="975"/>
        <v>0</v>
      </c>
      <c r="U1639" s="1195"/>
      <c r="Y1639" s="1594"/>
      <c r="Z1639" s="193"/>
      <c r="AA1639" s="193"/>
      <c r="AB1639" s="193"/>
      <c r="AC1639" s="193"/>
      <c r="AD1639" s="193" t="str">
        <f t="shared" si="973"/>
        <v xml:space="preserve">has </v>
      </c>
      <c r="AE1639" s="193" t="str">
        <f t="shared" si="973"/>
        <v>gandería</v>
      </c>
      <c r="AF1639" s="1283">
        <f t="shared" ref="AF1639:AQ1639" si="976">+AF1459</f>
        <v>0</v>
      </c>
      <c r="AG1639" s="1283">
        <f t="shared" si="976"/>
        <v>0</v>
      </c>
      <c r="AH1639" s="1283">
        <f t="shared" si="976"/>
        <v>0</v>
      </c>
      <c r="AI1639" s="1283">
        <f t="shared" si="976"/>
        <v>0</v>
      </c>
      <c r="AJ1639" s="1283">
        <f t="shared" si="976"/>
        <v>0</v>
      </c>
      <c r="AK1639" s="1283">
        <f t="shared" si="976"/>
        <v>0</v>
      </c>
      <c r="AL1639" s="1283">
        <f t="shared" si="976"/>
        <v>0</v>
      </c>
      <c r="AM1639" s="1283">
        <f t="shared" si="976"/>
        <v>0</v>
      </c>
      <c r="AN1639" s="1283">
        <f t="shared" si="976"/>
        <v>0</v>
      </c>
      <c r="AO1639" s="1283">
        <f t="shared" si="976"/>
        <v>0</v>
      </c>
      <c r="AP1639" s="1283">
        <f t="shared" si="976"/>
        <v>0</v>
      </c>
      <c r="AQ1639" s="1601">
        <f t="shared" si="976"/>
        <v>0</v>
      </c>
    </row>
    <row r="1640" spans="1:44" ht="14.4" hidden="1" customHeight="1" thickBot="1" x14ac:dyDescent="0.25">
      <c r="B1640" s="1596"/>
      <c r="C1640" s="1199"/>
      <c r="D1640" s="1199"/>
      <c r="E1640" s="1199"/>
      <c r="F1640" s="1199"/>
      <c r="G1640" s="1199" t="s">
        <v>344</v>
      </c>
      <c r="H1640" s="1199" t="s">
        <v>694</v>
      </c>
      <c r="I1640" s="1590">
        <f t="shared" ref="I1640:T1640" si="977">+I1460</f>
        <v>0</v>
      </c>
      <c r="J1640" s="1590">
        <f t="shared" si="977"/>
        <v>0</v>
      </c>
      <c r="K1640" s="1590">
        <f t="shared" si="977"/>
        <v>0</v>
      </c>
      <c r="L1640" s="1590">
        <f t="shared" si="977"/>
        <v>0</v>
      </c>
      <c r="M1640" s="1590">
        <f t="shared" si="977"/>
        <v>0</v>
      </c>
      <c r="N1640" s="1590">
        <f t="shared" si="977"/>
        <v>0</v>
      </c>
      <c r="O1640" s="1590">
        <f t="shared" si="977"/>
        <v>0</v>
      </c>
      <c r="P1640" s="1590">
        <f t="shared" si="977"/>
        <v>0</v>
      </c>
      <c r="Q1640" s="1590">
        <f t="shared" si="977"/>
        <v>0</v>
      </c>
      <c r="R1640" s="1590">
        <f t="shared" si="977"/>
        <v>0</v>
      </c>
      <c r="S1640" s="1590">
        <f t="shared" si="977"/>
        <v>0</v>
      </c>
      <c r="T1640" s="1655">
        <f t="shared" si="977"/>
        <v>0</v>
      </c>
      <c r="U1640" s="1195"/>
      <c r="Y1640" s="1596"/>
      <c r="Z1640" s="1199"/>
      <c r="AA1640" s="1199"/>
      <c r="AB1640" s="1199"/>
      <c r="AC1640" s="1199"/>
      <c r="AD1640" s="1199" t="str">
        <f t="shared" si="973"/>
        <v xml:space="preserve">has </v>
      </c>
      <c r="AE1640" s="1199" t="str">
        <f t="shared" si="973"/>
        <v xml:space="preserve">total </v>
      </c>
      <c r="AF1640" s="1590">
        <f t="shared" ref="AF1640:AQ1640" si="978">+AF1460</f>
        <v>0</v>
      </c>
      <c r="AG1640" s="1590">
        <f t="shared" si="978"/>
        <v>0</v>
      </c>
      <c r="AH1640" s="1590">
        <f t="shared" si="978"/>
        <v>0</v>
      </c>
      <c r="AI1640" s="1590">
        <f t="shared" si="978"/>
        <v>0</v>
      </c>
      <c r="AJ1640" s="1590">
        <f t="shared" si="978"/>
        <v>0</v>
      </c>
      <c r="AK1640" s="1590">
        <f t="shared" si="978"/>
        <v>0</v>
      </c>
      <c r="AL1640" s="1590">
        <f t="shared" si="978"/>
        <v>0</v>
      </c>
      <c r="AM1640" s="1590">
        <f t="shared" si="978"/>
        <v>0</v>
      </c>
      <c r="AN1640" s="1590">
        <f t="shared" si="978"/>
        <v>0</v>
      </c>
      <c r="AO1640" s="1590">
        <f t="shared" si="978"/>
        <v>0</v>
      </c>
      <c r="AP1640" s="1590">
        <f t="shared" si="978"/>
        <v>0</v>
      </c>
      <c r="AQ1640" s="1655">
        <f t="shared" si="978"/>
        <v>0</v>
      </c>
    </row>
    <row r="1641" spans="1:44" ht="14.4" hidden="1" customHeight="1" thickTop="1" x14ac:dyDescent="0.2">
      <c r="B1641" s="1584" t="s">
        <v>2019</v>
      </c>
      <c r="C1641" s="1194" t="s">
        <v>2018</v>
      </c>
      <c r="D1641" s="1194"/>
      <c r="E1641" s="1194"/>
      <c r="F1641" s="1194"/>
      <c r="G1641" s="1194"/>
      <c r="H1641" s="1210"/>
      <c r="I1641" s="1194"/>
      <c r="J1641" s="1194"/>
      <c r="K1641" s="1194"/>
      <c r="L1641" s="1194"/>
      <c r="M1641" s="1194"/>
      <c r="N1641" s="1194"/>
      <c r="O1641" s="1194"/>
      <c r="P1641" s="1194"/>
      <c r="Q1641" s="1194"/>
      <c r="R1641" s="1194"/>
      <c r="S1641" s="1194"/>
      <c r="T1641" s="1599"/>
      <c r="Y1641" s="1584" t="s">
        <v>2019</v>
      </c>
      <c r="Z1641" s="1194" t="s">
        <v>2018</v>
      </c>
      <c r="AA1641" s="1194"/>
      <c r="AB1641" s="1194"/>
      <c r="AC1641" s="1194"/>
      <c r="AD1641" s="1194"/>
      <c r="AE1641" s="1210"/>
      <c r="AF1641" s="1194"/>
      <c r="AG1641" s="1194"/>
      <c r="AH1641" s="1194"/>
      <c r="AI1641" s="1194"/>
      <c r="AJ1641" s="1194"/>
      <c r="AK1641" s="1194"/>
      <c r="AL1641" s="1194"/>
      <c r="AM1641" s="1194"/>
      <c r="AN1641" s="1194"/>
      <c r="AO1641" s="1194"/>
      <c r="AP1641" s="1194"/>
      <c r="AQ1641" s="1599"/>
    </row>
    <row r="1642" spans="1:44" ht="13.75" hidden="1" customHeight="1" x14ac:dyDescent="0.2">
      <c r="B1642" s="1195" t="str">
        <f t="shared" ref="B1642:C1655" si="979">+B1170</f>
        <v>Siembra Directa  - Propia</v>
      </c>
      <c r="C1642" s="193">
        <f t="shared" si="979"/>
        <v>5</v>
      </c>
      <c r="D1642" s="193"/>
      <c r="E1642" s="254"/>
      <c r="F1642" s="193"/>
      <c r="G1642" s="193"/>
      <c r="H1642" s="254"/>
      <c r="I1642" s="1705">
        <f>SUMIF($V$44:$V$78,$B1642&amp;"propia",I$44:I$78)</f>
        <v>0</v>
      </c>
      <c r="J1642" s="1705">
        <f t="shared" ref="I1642:T1655" si="980">SUMIF($V$44:$V$78,$B1642&amp;"propia",J$44:J$78)</f>
        <v>0</v>
      </c>
      <c r="K1642" s="1705">
        <f t="shared" si="980"/>
        <v>0</v>
      </c>
      <c r="L1642" s="1705">
        <f t="shared" si="980"/>
        <v>0</v>
      </c>
      <c r="M1642" s="1705">
        <f t="shared" si="980"/>
        <v>0</v>
      </c>
      <c r="N1642" s="1705">
        <f t="shared" si="980"/>
        <v>0</v>
      </c>
      <c r="O1642" s="1705">
        <f t="shared" si="980"/>
        <v>0</v>
      </c>
      <c r="P1642" s="1705">
        <f t="shared" si="980"/>
        <v>0</v>
      </c>
      <c r="Q1642" s="1705">
        <f t="shared" si="980"/>
        <v>0</v>
      </c>
      <c r="R1642" s="1705">
        <f t="shared" si="980"/>
        <v>0</v>
      </c>
      <c r="S1642" s="1705">
        <f t="shared" si="980"/>
        <v>0</v>
      </c>
      <c r="T1642" s="1706">
        <f t="shared" si="980"/>
        <v>0</v>
      </c>
      <c r="Y1642" s="1195" t="s">
        <v>2021</v>
      </c>
      <c r="Z1642" s="193">
        <f t="shared" ref="Z1642:Z1655" si="981">+Z1170</f>
        <v>5</v>
      </c>
      <c r="AA1642" s="193"/>
      <c r="AB1642" s="254"/>
      <c r="AC1642" s="193"/>
      <c r="AD1642" s="193"/>
      <c r="AE1642" s="254"/>
      <c r="AF1642" s="1705">
        <f>SUMIF($AS$44:$AS$78,$B1642&amp;"propia",AF$44:AF$78)</f>
        <v>0</v>
      </c>
      <c r="AG1642" s="1705">
        <f t="shared" ref="AF1642:AQ1655" si="982">SUMIF($AS$44:$AS$78,$B1642&amp;"propia",AG$44:AG$78)</f>
        <v>0</v>
      </c>
      <c r="AH1642" s="1705">
        <f t="shared" si="982"/>
        <v>0</v>
      </c>
      <c r="AI1642" s="1705">
        <f t="shared" si="982"/>
        <v>0</v>
      </c>
      <c r="AJ1642" s="1705">
        <f t="shared" si="982"/>
        <v>0</v>
      </c>
      <c r="AK1642" s="1705">
        <f t="shared" si="982"/>
        <v>0</v>
      </c>
      <c r="AL1642" s="1705">
        <f t="shared" si="982"/>
        <v>0</v>
      </c>
      <c r="AM1642" s="1705">
        <f t="shared" si="982"/>
        <v>0</v>
      </c>
      <c r="AN1642" s="1705">
        <f t="shared" si="982"/>
        <v>0</v>
      </c>
      <c r="AO1642" s="1705">
        <f t="shared" si="982"/>
        <v>0</v>
      </c>
      <c r="AP1642" s="1705">
        <f t="shared" si="982"/>
        <v>0</v>
      </c>
      <c r="AQ1642" s="1706">
        <f t="shared" si="982"/>
        <v>0</v>
      </c>
    </row>
    <row r="1643" spans="1:44" ht="13.75" hidden="1" customHeight="1" x14ac:dyDescent="0.2">
      <c r="B1643" s="1195" t="str">
        <f t="shared" si="979"/>
        <v>Siembra Directa  - Contratada</v>
      </c>
      <c r="C1643" s="193">
        <f t="shared" si="979"/>
        <v>5</v>
      </c>
      <c r="D1643" s="193"/>
      <c r="E1643" s="254"/>
      <c r="F1643" s="193"/>
      <c r="G1643" s="193"/>
      <c r="H1643" s="254"/>
      <c r="I1643" s="1707">
        <f t="shared" si="980"/>
        <v>0</v>
      </c>
      <c r="J1643" s="1707">
        <f t="shared" si="980"/>
        <v>0</v>
      </c>
      <c r="K1643" s="1707">
        <f t="shared" si="980"/>
        <v>0</v>
      </c>
      <c r="L1643" s="1707">
        <f t="shared" si="980"/>
        <v>0</v>
      </c>
      <c r="M1643" s="1707">
        <f t="shared" si="980"/>
        <v>0</v>
      </c>
      <c r="N1643" s="1707">
        <f t="shared" si="980"/>
        <v>0</v>
      </c>
      <c r="O1643" s="1707">
        <f t="shared" si="980"/>
        <v>0</v>
      </c>
      <c r="P1643" s="1707">
        <f t="shared" si="980"/>
        <v>0</v>
      </c>
      <c r="Q1643" s="1707">
        <f t="shared" si="980"/>
        <v>0</v>
      </c>
      <c r="R1643" s="1707">
        <f t="shared" si="980"/>
        <v>0</v>
      </c>
      <c r="S1643" s="1707">
        <f t="shared" si="980"/>
        <v>0</v>
      </c>
      <c r="T1643" s="1708">
        <f t="shared" si="980"/>
        <v>0</v>
      </c>
      <c r="Y1643" s="1195"/>
      <c r="Z1643" s="193">
        <f t="shared" si="981"/>
        <v>5</v>
      </c>
      <c r="AA1643" s="193"/>
      <c r="AB1643" s="254"/>
      <c r="AC1643" s="193"/>
      <c r="AD1643" s="193"/>
      <c r="AE1643" s="254"/>
      <c r="AF1643" s="1707">
        <f t="shared" si="982"/>
        <v>0</v>
      </c>
      <c r="AG1643" s="1707">
        <f t="shared" si="982"/>
        <v>0</v>
      </c>
      <c r="AH1643" s="1707">
        <f t="shared" si="982"/>
        <v>0</v>
      </c>
      <c r="AI1643" s="1707">
        <f t="shared" si="982"/>
        <v>0</v>
      </c>
      <c r="AJ1643" s="1707">
        <f t="shared" si="982"/>
        <v>0</v>
      </c>
      <c r="AK1643" s="1707">
        <f t="shared" si="982"/>
        <v>0</v>
      </c>
      <c r="AL1643" s="1707">
        <f t="shared" si="982"/>
        <v>0</v>
      </c>
      <c r="AM1643" s="1707">
        <f t="shared" si="982"/>
        <v>0</v>
      </c>
      <c r="AN1643" s="1707">
        <f t="shared" si="982"/>
        <v>0</v>
      </c>
      <c r="AO1643" s="1707">
        <f t="shared" si="982"/>
        <v>0</v>
      </c>
      <c r="AP1643" s="1707">
        <f t="shared" si="982"/>
        <v>0</v>
      </c>
      <c r="AQ1643" s="1708">
        <f t="shared" si="982"/>
        <v>0</v>
      </c>
    </row>
    <row r="1644" spans="1:44" ht="13.75" hidden="1" customHeight="1" x14ac:dyDescent="0.2">
      <c r="B1644" s="1195" t="str">
        <f t="shared" si="979"/>
        <v>Aplicar herbicida - Propia</v>
      </c>
      <c r="C1644" s="193">
        <f t="shared" si="979"/>
        <v>1.5</v>
      </c>
      <c r="D1644" s="193"/>
      <c r="E1644" s="254"/>
      <c r="F1644" s="193"/>
      <c r="G1644" s="193"/>
      <c r="H1644" s="254"/>
      <c r="I1644" s="1707">
        <f t="shared" si="980"/>
        <v>0</v>
      </c>
      <c r="J1644" s="1707">
        <f t="shared" si="980"/>
        <v>0</v>
      </c>
      <c r="K1644" s="1707">
        <f t="shared" si="980"/>
        <v>0</v>
      </c>
      <c r="L1644" s="1707">
        <f t="shared" si="980"/>
        <v>0</v>
      </c>
      <c r="M1644" s="1707">
        <f t="shared" si="980"/>
        <v>0</v>
      </c>
      <c r="N1644" s="1707">
        <f t="shared" si="980"/>
        <v>0</v>
      </c>
      <c r="O1644" s="1707">
        <f t="shared" si="980"/>
        <v>0</v>
      </c>
      <c r="P1644" s="1707">
        <f t="shared" si="980"/>
        <v>0</v>
      </c>
      <c r="Q1644" s="1707">
        <f t="shared" si="980"/>
        <v>0</v>
      </c>
      <c r="R1644" s="1707">
        <f t="shared" si="980"/>
        <v>0</v>
      </c>
      <c r="S1644" s="1707">
        <f t="shared" si="980"/>
        <v>0</v>
      </c>
      <c r="T1644" s="1708">
        <f t="shared" si="980"/>
        <v>0</v>
      </c>
      <c r="Y1644" s="1195"/>
      <c r="Z1644" s="193">
        <f t="shared" si="981"/>
        <v>1.5</v>
      </c>
      <c r="AA1644" s="193"/>
      <c r="AB1644" s="254"/>
      <c r="AC1644" s="193"/>
      <c r="AD1644" s="193"/>
      <c r="AE1644" s="254"/>
      <c r="AF1644" s="1707">
        <f t="shared" si="982"/>
        <v>0</v>
      </c>
      <c r="AG1644" s="1707">
        <f t="shared" si="982"/>
        <v>0</v>
      </c>
      <c r="AH1644" s="1707">
        <f t="shared" si="982"/>
        <v>0</v>
      </c>
      <c r="AI1644" s="1707">
        <f t="shared" si="982"/>
        <v>0</v>
      </c>
      <c r="AJ1644" s="1707">
        <f t="shared" si="982"/>
        <v>0</v>
      </c>
      <c r="AK1644" s="1707">
        <f t="shared" si="982"/>
        <v>0</v>
      </c>
      <c r="AL1644" s="1707">
        <f t="shared" si="982"/>
        <v>0</v>
      </c>
      <c r="AM1644" s="1707">
        <f t="shared" si="982"/>
        <v>0</v>
      </c>
      <c r="AN1644" s="1707">
        <f t="shared" si="982"/>
        <v>0</v>
      </c>
      <c r="AO1644" s="1707">
        <f t="shared" si="982"/>
        <v>0</v>
      </c>
      <c r="AP1644" s="1707">
        <f t="shared" si="982"/>
        <v>0</v>
      </c>
      <c r="AQ1644" s="1708">
        <f t="shared" si="982"/>
        <v>0</v>
      </c>
    </row>
    <row r="1645" spans="1:44" ht="13.75" hidden="1" customHeight="1" x14ac:dyDescent="0.2">
      <c r="B1645" s="1195" t="str">
        <f t="shared" si="979"/>
        <v>Aplicar herbicida - Contratada</v>
      </c>
      <c r="C1645" s="193">
        <f t="shared" si="979"/>
        <v>1.5</v>
      </c>
      <c r="D1645" s="193"/>
      <c r="E1645" s="254"/>
      <c r="F1645" s="193"/>
      <c r="G1645" s="193"/>
      <c r="H1645" s="254"/>
      <c r="I1645" s="1707">
        <f t="shared" si="980"/>
        <v>0</v>
      </c>
      <c r="J1645" s="1707">
        <f t="shared" si="980"/>
        <v>0</v>
      </c>
      <c r="K1645" s="1707">
        <f t="shared" si="980"/>
        <v>0</v>
      </c>
      <c r="L1645" s="1707">
        <f t="shared" si="980"/>
        <v>0</v>
      </c>
      <c r="M1645" s="1707">
        <f t="shared" si="980"/>
        <v>0</v>
      </c>
      <c r="N1645" s="1707">
        <f t="shared" si="980"/>
        <v>0</v>
      </c>
      <c r="O1645" s="1707">
        <f t="shared" si="980"/>
        <v>0</v>
      </c>
      <c r="P1645" s="1707">
        <f t="shared" si="980"/>
        <v>0</v>
      </c>
      <c r="Q1645" s="1707">
        <f t="shared" si="980"/>
        <v>0</v>
      </c>
      <c r="R1645" s="1707">
        <f t="shared" si="980"/>
        <v>0</v>
      </c>
      <c r="S1645" s="1707">
        <f t="shared" si="980"/>
        <v>0</v>
      </c>
      <c r="T1645" s="1708">
        <f t="shared" si="980"/>
        <v>0</v>
      </c>
      <c r="Y1645" s="1195"/>
      <c r="Z1645" s="193">
        <f t="shared" si="981"/>
        <v>1.5</v>
      </c>
      <c r="AA1645" s="193"/>
      <c r="AB1645" s="254"/>
      <c r="AC1645" s="193"/>
      <c r="AD1645" s="193"/>
      <c r="AE1645" s="254"/>
      <c r="AF1645" s="1707">
        <f t="shared" si="982"/>
        <v>0</v>
      </c>
      <c r="AG1645" s="1707">
        <f t="shared" si="982"/>
        <v>0</v>
      </c>
      <c r="AH1645" s="1707">
        <f t="shared" si="982"/>
        <v>0</v>
      </c>
      <c r="AI1645" s="1707">
        <f t="shared" si="982"/>
        <v>0</v>
      </c>
      <c r="AJ1645" s="1707">
        <f t="shared" si="982"/>
        <v>0</v>
      </c>
      <c r="AK1645" s="1707">
        <f t="shared" si="982"/>
        <v>0</v>
      </c>
      <c r="AL1645" s="1707">
        <f t="shared" si="982"/>
        <v>0</v>
      </c>
      <c r="AM1645" s="1707">
        <f t="shared" si="982"/>
        <v>0</v>
      </c>
      <c r="AN1645" s="1707">
        <f t="shared" si="982"/>
        <v>0</v>
      </c>
      <c r="AO1645" s="1707">
        <f t="shared" si="982"/>
        <v>0</v>
      </c>
      <c r="AP1645" s="1707">
        <f t="shared" si="982"/>
        <v>0</v>
      </c>
      <c r="AQ1645" s="1708">
        <f t="shared" si="982"/>
        <v>0</v>
      </c>
    </row>
    <row r="1646" spans="1:44" ht="13.75" hidden="1" customHeight="1" x14ac:dyDescent="0.2">
      <c r="B1646" s="1195" t="str">
        <f t="shared" si="979"/>
        <v>Fertilizar - Propia</v>
      </c>
      <c r="C1646" s="193">
        <f t="shared" si="979"/>
        <v>3</v>
      </c>
      <c r="D1646" s="193"/>
      <c r="E1646" s="254"/>
      <c r="F1646" s="193"/>
      <c r="G1646" s="193"/>
      <c r="H1646" s="254"/>
      <c r="I1646" s="1707">
        <f t="shared" si="980"/>
        <v>0</v>
      </c>
      <c r="J1646" s="1707">
        <f t="shared" si="980"/>
        <v>0</v>
      </c>
      <c r="K1646" s="1707">
        <f t="shared" si="980"/>
        <v>0</v>
      </c>
      <c r="L1646" s="1707">
        <f t="shared" si="980"/>
        <v>0</v>
      </c>
      <c r="M1646" s="1707">
        <f t="shared" si="980"/>
        <v>0</v>
      </c>
      <c r="N1646" s="1707">
        <f t="shared" si="980"/>
        <v>0</v>
      </c>
      <c r="O1646" s="1707">
        <f t="shared" si="980"/>
        <v>0</v>
      </c>
      <c r="P1646" s="1707">
        <f t="shared" si="980"/>
        <v>0</v>
      </c>
      <c r="Q1646" s="1707">
        <f t="shared" si="980"/>
        <v>0</v>
      </c>
      <c r="R1646" s="1707">
        <f t="shared" si="980"/>
        <v>0</v>
      </c>
      <c r="S1646" s="1707">
        <f t="shared" si="980"/>
        <v>0</v>
      </c>
      <c r="T1646" s="1708">
        <f t="shared" si="980"/>
        <v>0</v>
      </c>
      <c r="Y1646" s="1195"/>
      <c r="Z1646" s="193">
        <f t="shared" si="981"/>
        <v>3</v>
      </c>
      <c r="AA1646" s="193"/>
      <c r="AB1646" s="254"/>
      <c r="AC1646" s="193"/>
      <c r="AD1646" s="193"/>
      <c r="AE1646" s="254"/>
      <c r="AF1646" s="1707">
        <f t="shared" si="982"/>
        <v>0</v>
      </c>
      <c r="AG1646" s="1707">
        <f t="shared" si="982"/>
        <v>0</v>
      </c>
      <c r="AH1646" s="1707">
        <f t="shared" si="982"/>
        <v>0</v>
      </c>
      <c r="AI1646" s="1707">
        <f t="shared" si="982"/>
        <v>0</v>
      </c>
      <c r="AJ1646" s="1707">
        <f t="shared" si="982"/>
        <v>0</v>
      </c>
      <c r="AK1646" s="1707">
        <f t="shared" si="982"/>
        <v>0</v>
      </c>
      <c r="AL1646" s="1707">
        <f t="shared" si="982"/>
        <v>0</v>
      </c>
      <c r="AM1646" s="1707">
        <f t="shared" si="982"/>
        <v>0</v>
      </c>
      <c r="AN1646" s="1707">
        <f t="shared" si="982"/>
        <v>0</v>
      </c>
      <c r="AO1646" s="1707">
        <f t="shared" si="982"/>
        <v>0</v>
      </c>
      <c r="AP1646" s="1707">
        <f t="shared" si="982"/>
        <v>0</v>
      </c>
      <c r="AQ1646" s="1708">
        <f t="shared" si="982"/>
        <v>0</v>
      </c>
    </row>
    <row r="1647" spans="1:44" ht="13.75" hidden="1" customHeight="1" x14ac:dyDescent="0.2">
      <c r="B1647" s="1195" t="str">
        <f t="shared" si="979"/>
        <v>Fertilizar - Contratada</v>
      </c>
      <c r="C1647" s="193">
        <f t="shared" si="979"/>
        <v>3</v>
      </c>
      <c r="D1647" s="193"/>
      <c r="E1647" s="254"/>
      <c r="F1647" s="193"/>
      <c r="G1647" s="193"/>
      <c r="H1647" s="254"/>
      <c r="I1647" s="1707">
        <f t="shared" si="980"/>
        <v>0</v>
      </c>
      <c r="J1647" s="1707">
        <f t="shared" si="980"/>
        <v>0</v>
      </c>
      <c r="K1647" s="1707">
        <f t="shared" si="980"/>
        <v>0</v>
      </c>
      <c r="L1647" s="1707">
        <f t="shared" si="980"/>
        <v>0</v>
      </c>
      <c r="M1647" s="1707">
        <f t="shared" si="980"/>
        <v>0</v>
      </c>
      <c r="N1647" s="1707">
        <f t="shared" si="980"/>
        <v>0</v>
      </c>
      <c r="O1647" s="1707">
        <f t="shared" si="980"/>
        <v>0</v>
      </c>
      <c r="P1647" s="1707">
        <f t="shared" si="980"/>
        <v>0</v>
      </c>
      <c r="Q1647" s="1707">
        <f t="shared" si="980"/>
        <v>0</v>
      </c>
      <c r="R1647" s="1707">
        <f t="shared" si="980"/>
        <v>0</v>
      </c>
      <c r="S1647" s="1707">
        <f t="shared" si="980"/>
        <v>0</v>
      </c>
      <c r="T1647" s="1708">
        <f t="shared" si="980"/>
        <v>0</v>
      </c>
      <c r="Y1647" s="1195"/>
      <c r="Z1647" s="193">
        <f t="shared" si="981"/>
        <v>3</v>
      </c>
      <c r="AA1647" s="193"/>
      <c r="AB1647" s="254"/>
      <c r="AC1647" s="193"/>
      <c r="AD1647" s="193"/>
      <c r="AE1647" s="254"/>
      <c r="AF1647" s="1707">
        <f t="shared" si="982"/>
        <v>0</v>
      </c>
      <c r="AG1647" s="1707">
        <f t="shared" si="982"/>
        <v>0</v>
      </c>
      <c r="AH1647" s="1707">
        <f t="shared" si="982"/>
        <v>0</v>
      </c>
      <c r="AI1647" s="1707">
        <f t="shared" si="982"/>
        <v>0</v>
      </c>
      <c r="AJ1647" s="1707">
        <f t="shared" si="982"/>
        <v>0</v>
      </c>
      <c r="AK1647" s="1707">
        <f t="shared" si="982"/>
        <v>0</v>
      </c>
      <c r="AL1647" s="1707">
        <f t="shared" si="982"/>
        <v>0</v>
      </c>
      <c r="AM1647" s="1707">
        <f t="shared" si="982"/>
        <v>0</v>
      </c>
      <c r="AN1647" s="1707">
        <f t="shared" si="982"/>
        <v>0</v>
      </c>
      <c r="AO1647" s="1707">
        <f t="shared" si="982"/>
        <v>0</v>
      </c>
      <c r="AP1647" s="1707">
        <f t="shared" si="982"/>
        <v>0</v>
      </c>
      <c r="AQ1647" s="1708">
        <f t="shared" si="982"/>
        <v>0</v>
      </c>
    </row>
    <row r="1648" spans="1:44" ht="13.75" hidden="1" customHeight="1" x14ac:dyDescent="0.2">
      <c r="B1648" s="1195" t="str">
        <f t="shared" si="979"/>
        <v>Siembra Maíz - Contratada</v>
      </c>
      <c r="C1648" s="193">
        <f t="shared" si="979"/>
        <v>9</v>
      </c>
      <c r="D1648" s="193"/>
      <c r="E1648" s="254"/>
      <c r="F1648" s="193"/>
      <c r="G1648" s="193"/>
      <c r="H1648" s="254"/>
      <c r="I1648" s="1707">
        <f t="shared" si="980"/>
        <v>0</v>
      </c>
      <c r="J1648" s="1707">
        <f t="shared" si="980"/>
        <v>0</v>
      </c>
      <c r="K1648" s="1707">
        <f t="shared" si="980"/>
        <v>0</v>
      </c>
      <c r="L1648" s="1707">
        <f t="shared" si="980"/>
        <v>0</v>
      </c>
      <c r="M1648" s="1707">
        <f t="shared" si="980"/>
        <v>0</v>
      </c>
      <c r="N1648" s="1707">
        <f t="shared" si="980"/>
        <v>0</v>
      </c>
      <c r="O1648" s="1707">
        <f t="shared" si="980"/>
        <v>0</v>
      </c>
      <c r="P1648" s="1707">
        <f t="shared" si="980"/>
        <v>0</v>
      </c>
      <c r="Q1648" s="1707">
        <f t="shared" si="980"/>
        <v>0</v>
      </c>
      <c r="R1648" s="1707">
        <f t="shared" si="980"/>
        <v>0</v>
      </c>
      <c r="S1648" s="1707">
        <f t="shared" si="980"/>
        <v>0</v>
      </c>
      <c r="T1648" s="1708">
        <f t="shared" si="980"/>
        <v>0</v>
      </c>
      <c r="Y1648" s="1195"/>
      <c r="Z1648" s="193">
        <f t="shared" si="981"/>
        <v>9</v>
      </c>
      <c r="AA1648" s="193"/>
      <c r="AB1648" s="254"/>
      <c r="AC1648" s="193"/>
      <c r="AD1648" s="193"/>
      <c r="AE1648" s="254"/>
      <c r="AF1648" s="1707">
        <f t="shared" si="982"/>
        <v>0</v>
      </c>
      <c r="AG1648" s="1707">
        <f t="shared" si="982"/>
        <v>0</v>
      </c>
      <c r="AH1648" s="1707">
        <f t="shared" si="982"/>
        <v>0</v>
      </c>
      <c r="AI1648" s="1707">
        <f t="shared" si="982"/>
        <v>0</v>
      </c>
      <c r="AJ1648" s="1707">
        <f t="shared" si="982"/>
        <v>0</v>
      </c>
      <c r="AK1648" s="1707">
        <f t="shared" si="982"/>
        <v>0</v>
      </c>
      <c r="AL1648" s="1707">
        <f t="shared" si="982"/>
        <v>0</v>
      </c>
      <c r="AM1648" s="1707">
        <f t="shared" si="982"/>
        <v>0</v>
      </c>
      <c r="AN1648" s="1707">
        <f t="shared" si="982"/>
        <v>0</v>
      </c>
      <c r="AO1648" s="1707">
        <f t="shared" si="982"/>
        <v>0</v>
      </c>
      <c r="AP1648" s="1707">
        <f t="shared" si="982"/>
        <v>0</v>
      </c>
      <c r="AQ1648" s="1708">
        <f t="shared" si="982"/>
        <v>0</v>
      </c>
    </row>
    <row r="1649" spans="2:43" ht="13.75" hidden="1" customHeight="1" x14ac:dyDescent="0.2">
      <c r="B1649" s="1195">
        <f t="shared" si="979"/>
        <v>0</v>
      </c>
      <c r="C1649" s="193">
        <f t="shared" si="979"/>
        <v>0</v>
      </c>
      <c r="D1649" s="193"/>
      <c r="E1649" s="254"/>
      <c r="F1649" s="193"/>
      <c r="G1649" s="193"/>
      <c r="H1649" s="254"/>
      <c r="I1649" s="1707">
        <f t="shared" si="980"/>
        <v>0</v>
      </c>
      <c r="J1649" s="1707">
        <f t="shared" si="980"/>
        <v>0</v>
      </c>
      <c r="K1649" s="1707">
        <f t="shared" si="980"/>
        <v>0</v>
      </c>
      <c r="L1649" s="1707">
        <f t="shared" si="980"/>
        <v>0</v>
      </c>
      <c r="M1649" s="1707">
        <f t="shared" si="980"/>
        <v>0</v>
      </c>
      <c r="N1649" s="1707">
        <f t="shared" si="980"/>
        <v>0</v>
      </c>
      <c r="O1649" s="1707">
        <f t="shared" si="980"/>
        <v>0</v>
      </c>
      <c r="P1649" s="1707">
        <f t="shared" si="980"/>
        <v>0</v>
      </c>
      <c r="Q1649" s="1707">
        <f t="shared" si="980"/>
        <v>0</v>
      </c>
      <c r="R1649" s="1707">
        <f t="shared" si="980"/>
        <v>0</v>
      </c>
      <c r="S1649" s="1707">
        <f t="shared" si="980"/>
        <v>0</v>
      </c>
      <c r="T1649" s="1708">
        <f t="shared" si="980"/>
        <v>0</v>
      </c>
      <c r="Y1649" s="1195"/>
      <c r="Z1649" s="193">
        <f t="shared" si="981"/>
        <v>0</v>
      </c>
      <c r="AA1649" s="193"/>
      <c r="AB1649" s="254"/>
      <c r="AC1649" s="193"/>
      <c r="AD1649" s="193"/>
      <c r="AE1649" s="254"/>
      <c r="AF1649" s="1707">
        <f t="shared" si="982"/>
        <v>0</v>
      </c>
      <c r="AG1649" s="1707">
        <f t="shared" si="982"/>
        <v>0</v>
      </c>
      <c r="AH1649" s="1707">
        <f t="shared" si="982"/>
        <v>0</v>
      </c>
      <c r="AI1649" s="1707">
        <f t="shared" si="982"/>
        <v>0</v>
      </c>
      <c r="AJ1649" s="1707">
        <f t="shared" si="982"/>
        <v>0</v>
      </c>
      <c r="AK1649" s="1707">
        <f t="shared" si="982"/>
        <v>0</v>
      </c>
      <c r="AL1649" s="1707">
        <f t="shared" si="982"/>
        <v>0</v>
      </c>
      <c r="AM1649" s="1707">
        <f t="shared" si="982"/>
        <v>0</v>
      </c>
      <c r="AN1649" s="1707">
        <f t="shared" si="982"/>
        <v>0</v>
      </c>
      <c r="AO1649" s="1707">
        <f t="shared" si="982"/>
        <v>0</v>
      </c>
      <c r="AP1649" s="1707">
        <f t="shared" si="982"/>
        <v>0</v>
      </c>
      <c r="AQ1649" s="1708">
        <f t="shared" si="982"/>
        <v>0</v>
      </c>
    </row>
    <row r="1650" spans="2:43" ht="13.75" hidden="1" customHeight="1" x14ac:dyDescent="0.2">
      <c r="B1650" s="1195">
        <f t="shared" si="979"/>
        <v>0</v>
      </c>
      <c r="C1650" s="193">
        <f t="shared" si="979"/>
        <v>0</v>
      </c>
      <c r="D1650" s="193"/>
      <c r="E1650" s="254"/>
      <c r="F1650" s="193"/>
      <c r="G1650" s="193"/>
      <c r="H1650" s="254"/>
      <c r="I1650" s="1707">
        <f t="shared" si="980"/>
        <v>0</v>
      </c>
      <c r="J1650" s="1707">
        <f t="shared" si="980"/>
        <v>0</v>
      </c>
      <c r="K1650" s="1707">
        <f t="shared" si="980"/>
        <v>0</v>
      </c>
      <c r="L1650" s="1707">
        <f t="shared" si="980"/>
        <v>0</v>
      </c>
      <c r="M1650" s="1707">
        <f t="shared" si="980"/>
        <v>0</v>
      </c>
      <c r="N1650" s="1707">
        <f t="shared" si="980"/>
        <v>0</v>
      </c>
      <c r="O1650" s="1707">
        <f t="shared" si="980"/>
        <v>0</v>
      </c>
      <c r="P1650" s="1707">
        <f t="shared" si="980"/>
        <v>0</v>
      </c>
      <c r="Q1650" s="1707">
        <f t="shared" si="980"/>
        <v>0</v>
      </c>
      <c r="R1650" s="1707">
        <f t="shared" si="980"/>
        <v>0</v>
      </c>
      <c r="S1650" s="1707">
        <f t="shared" si="980"/>
        <v>0</v>
      </c>
      <c r="T1650" s="1708">
        <f t="shared" si="980"/>
        <v>0</v>
      </c>
      <c r="Y1650" s="1195"/>
      <c r="Z1650" s="193">
        <f t="shared" si="981"/>
        <v>0</v>
      </c>
      <c r="AA1650" s="193"/>
      <c r="AB1650" s="254"/>
      <c r="AC1650" s="193"/>
      <c r="AD1650" s="193"/>
      <c r="AE1650" s="254"/>
      <c r="AF1650" s="1707">
        <f t="shared" si="982"/>
        <v>0</v>
      </c>
      <c r="AG1650" s="1707">
        <f t="shared" si="982"/>
        <v>0</v>
      </c>
      <c r="AH1650" s="1707">
        <f t="shared" si="982"/>
        <v>0</v>
      </c>
      <c r="AI1650" s="1707">
        <f t="shared" si="982"/>
        <v>0</v>
      </c>
      <c r="AJ1650" s="1707">
        <f t="shared" si="982"/>
        <v>0</v>
      </c>
      <c r="AK1650" s="1707">
        <f t="shared" si="982"/>
        <v>0</v>
      </c>
      <c r="AL1650" s="1707">
        <f t="shared" si="982"/>
        <v>0</v>
      </c>
      <c r="AM1650" s="1707">
        <f t="shared" si="982"/>
        <v>0</v>
      </c>
      <c r="AN1650" s="1707">
        <f t="shared" si="982"/>
        <v>0</v>
      </c>
      <c r="AO1650" s="1707">
        <f t="shared" si="982"/>
        <v>0</v>
      </c>
      <c r="AP1650" s="1707">
        <f t="shared" si="982"/>
        <v>0</v>
      </c>
      <c r="AQ1650" s="1708">
        <f t="shared" si="982"/>
        <v>0</v>
      </c>
    </row>
    <row r="1651" spans="2:43" ht="13.75" hidden="1" customHeight="1" x14ac:dyDescent="0.2">
      <c r="B1651" s="1195">
        <f t="shared" si="979"/>
        <v>0</v>
      </c>
      <c r="C1651" s="193">
        <f t="shared" si="979"/>
        <v>0</v>
      </c>
      <c r="D1651" s="193"/>
      <c r="E1651" s="254"/>
      <c r="F1651" s="193"/>
      <c r="G1651" s="193"/>
      <c r="H1651" s="254"/>
      <c r="I1651" s="1707">
        <f t="shared" si="980"/>
        <v>0</v>
      </c>
      <c r="J1651" s="1707">
        <f t="shared" si="980"/>
        <v>0</v>
      </c>
      <c r="K1651" s="1707">
        <f t="shared" si="980"/>
        <v>0</v>
      </c>
      <c r="L1651" s="1707">
        <f t="shared" si="980"/>
        <v>0</v>
      </c>
      <c r="M1651" s="1707">
        <f t="shared" si="980"/>
        <v>0</v>
      </c>
      <c r="N1651" s="1707">
        <f t="shared" si="980"/>
        <v>0</v>
      </c>
      <c r="O1651" s="1707">
        <f t="shared" si="980"/>
        <v>0</v>
      </c>
      <c r="P1651" s="1707">
        <f t="shared" si="980"/>
        <v>0</v>
      </c>
      <c r="Q1651" s="1707">
        <f t="shared" si="980"/>
        <v>0</v>
      </c>
      <c r="R1651" s="1707">
        <f t="shared" si="980"/>
        <v>0</v>
      </c>
      <c r="S1651" s="1707">
        <f t="shared" si="980"/>
        <v>0</v>
      </c>
      <c r="T1651" s="1708">
        <f t="shared" si="980"/>
        <v>0</v>
      </c>
      <c r="Y1651" s="1195"/>
      <c r="Z1651" s="193">
        <f t="shared" si="981"/>
        <v>0</v>
      </c>
      <c r="AA1651" s="193"/>
      <c r="AB1651" s="254"/>
      <c r="AC1651" s="193"/>
      <c r="AD1651" s="193"/>
      <c r="AE1651" s="254"/>
      <c r="AF1651" s="1707">
        <f t="shared" si="982"/>
        <v>0</v>
      </c>
      <c r="AG1651" s="1707">
        <f t="shared" si="982"/>
        <v>0</v>
      </c>
      <c r="AH1651" s="1707">
        <f t="shared" si="982"/>
        <v>0</v>
      </c>
      <c r="AI1651" s="1707">
        <f t="shared" si="982"/>
        <v>0</v>
      </c>
      <c r="AJ1651" s="1707">
        <f t="shared" si="982"/>
        <v>0</v>
      </c>
      <c r="AK1651" s="1707">
        <f t="shared" si="982"/>
        <v>0</v>
      </c>
      <c r="AL1651" s="1707">
        <f t="shared" si="982"/>
        <v>0</v>
      </c>
      <c r="AM1651" s="1707">
        <f t="shared" si="982"/>
        <v>0</v>
      </c>
      <c r="AN1651" s="1707">
        <f t="shared" si="982"/>
        <v>0</v>
      </c>
      <c r="AO1651" s="1707">
        <f t="shared" si="982"/>
        <v>0</v>
      </c>
      <c r="AP1651" s="1707">
        <f t="shared" si="982"/>
        <v>0</v>
      </c>
      <c r="AQ1651" s="1708">
        <f t="shared" si="982"/>
        <v>0</v>
      </c>
    </row>
    <row r="1652" spans="2:43" ht="13.75" hidden="1" customHeight="1" x14ac:dyDescent="0.2">
      <c r="B1652" s="1195">
        <f t="shared" si="979"/>
        <v>0</v>
      </c>
      <c r="C1652" s="193">
        <f t="shared" si="979"/>
        <v>0</v>
      </c>
      <c r="D1652" s="193"/>
      <c r="E1652" s="254"/>
      <c r="F1652" s="193"/>
      <c r="G1652" s="193"/>
      <c r="H1652" s="254"/>
      <c r="I1652" s="1707">
        <f t="shared" si="980"/>
        <v>0</v>
      </c>
      <c r="J1652" s="1707">
        <f t="shared" si="980"/>
        <v>0</v>
      </c>
      <c r="K1652" s="1707">
        <f t="shared" si="980"/>
        <v>0</v>
      </c>
      <c r="L1652" s="1707">
        <f t="shared" si="980"/>
        <v>0</v>
      </c>
      <c r="M1652" s="1707">
        <f t="shared" si="980"/>
        <v>0</v>
      </c>
      <c r="N1652" s="1707">
        <f t="shared" si="980"/>
        <v>0</v>
      </c>
      <c r="O1652" s="1707">
        <f t="shared" si="980"/>
        <v>0</v>
      </c>
      <c r="P1652" s="1707">
        <f t="shared" si="980"/>
        <v>0</v>
      </c>
      <c r="Q1652" s="1707">
        <f t="shared" si="980"/>
        <v>0</v>
      </c>
      <c r="R1652" s="1707">
        <f t="shared" si="980"/>
        <v>0</v>
      </c>
      <c r="S1652" s="1707">
        <f t="shared" si="980"/>
        <v>0</v>
      </c>
      <c r="T1652" s="1708">
        <f t="shared" si="980"/>
        <v>0</v>
      </c>
      <c r="Y1652" s="1195"/>
      <c r="Z1652" s="193">
        <f t="shared" si="981"/>
        <v>0</v>
      </c>
      <c r="AA1652" s="193"/>
      <c r="AB1652" s="254"/>
      <c r="AC1652" s="193"/>
      <c r="AD1652" s="193"/>
      <c r="AE1652" s="254"/>
      <c r="AF1652" s="1707">
        <f t="shared" si="982"/>
        <v>0</v>
      </c>
      <c r="AG1652" s="1707">
        <f t="shared" si="982"/>
        <v>0</v>
      </c>
      <c r="AH1652" s="1707">
        <f t="shared" si="982"/>
        <v>0</v>
      </c>
      <c r="AI1652" s="1707">
        <f t="shared" si="982"/>
        <v>0</v>
      </c>
      <c r="AJ1652" s="1707">
        <f t="shared" si="982"/>
        <v>0</v>
      </c>
      <c r="AK1652" s="1707">
        <f t="shared" si="982"/>
        <v>0</v>
      </c>
      <c r="AL1652" s="1707">
        <f t="shared" si="982"/>
        <v>0</v>
      </c>
      <c r="AM1652" s="1707">
        <f t="shared" si="982"/>
        <v>0</v>
      </c>
      <c r="AN1652" s="1707">
        <f t="shared" si="982"/>
        <v>0</v>
      </c>
      <c r="AO1652" s="1707">
        <f t="shared" si="982"/>
        <v>0</v>
      </c>
      <c r="AP1652" s="1707">
        <f t="shared" si="982"/>
        <v>0</v>
      </c>
      <c r="AQ1652" s="1708">
        <f t="shared" si="982"/>
        <v>0</v>
      </c>
    </row>
    <row r="1653" spans="2:43" ht="13.75" hidden="1" customHeight="1" x14ac:dyDescent="0.2">
      <c r="B1653" s="1195">
        <f t="shared" si="979"/>
        <v>0</v>
      </c>
      <c r="C1653" s="193">
        <f t="shared" si="979"/>
        <v>0</v>
      </c>
      <c r="D1653" s="193"/>
      <c r="E1653" s="254"/>
      <c r="F1653" s="193"/>
      <c r="G1653" s="193"/>
      <c r="H1653" s="254"/>
      <c r="I1653" s="1707">
        <f t="shared" si="980"/>
        <v>0</v>
      </c>
      <c r="J1653" s="1707">
        <f t="shared" si="980"/>
        <v>0</v>
      </c>
      <c r="K1653" s="1707">
        <f t="shared" si="980"/>
        <v>0</v>
      </c>
      <c r="L1653" s="1707">
        <f t="shared" si="980"/>
        <v>0</v>
      </c>
      <c r="M1653" s="1707">
        <f t="shared" si="980"/>
        <v>0</v>
      </c>
      <c r="N1653" s="1707">
        <f t="shared" si="980"/>
        <v>0</v>
      </c>
      <c r="O1653" s="1707">
        <f t="shared" si="980"/>
        <v>0</v>
      </c>
      <c r="P1653" s="1707">
        <f t="shared" si="980"/>
        <v>0</v>
      </c>
      <c r="Q1653" s="1707">
        <f t="shared" si="980"/>
        <v>0</v>
      </c>
      <c r="R1653" s="1707">
        <f t="shared" si="980"/>
        <v>0</v>
      </c>
      <c r="S1653" s="1707">
        <f t="shared" si="980"/>
        <v>0</v>
      </c>
      <c r="T1653" s="1708">
        <f t="shared" si="980"/>
        <v>0</v>
      </c>
      <c r="Y1653" s="1195"/>
      <c r="Z1653" s="193">
        <f t="shared" si="981"/>
        <v>0</v>
      </c>
      <c r="AA1653" s="193"/>
      <c r="AB1653" s="254"/>
      <c r="AC1653" s="193"/>
      <c r="AD1653" s="193"/>
      <c r="AE1653" s="254"/>
      <c r="AF1653" s="1707">
        <f t="shared" si="982"/>
        <v>0</v>
      </c>
      <c r="AG1653" s="1707">
        <f t="shared" si="982"/>
        <v>0</v>
      </c>
      <c r="AH1653" s="1707">
        <f t="shared" si="982"/>
        <v>0</v>
      </c>
      <c r="AI1653" s="1707">
        <f t="shared" si="982"/>
        <v>0</v>
      </c>
      <c r="AJ1653" s="1707">
        <f t="shared" si="982"/>
        <v>0</v>
      </c>
      <c r="AK1653" s="1707">
        <f t="shared" si="982"/>
        <v>0</v>
      </c>
      <c r="AL1653" s="1707">
        <f t="shared" si="982"/>
        <v>0</v>
      </c>
      <c r="AM1653" s="1707">
        <f t="shared" si="982"/>
        <v>0</v>
      </c>
      <c r="AN1653" s="1707">
        <f t="shared" si="982"/>
        <v>0</v>
      </c>
      <c r="AO1653" s="1707">
        <f t="shared" si="982"/>
        <v>0</v>
      </c>
      <c r="AP1653" s="1707">
        <f t="shared" si="982"/>
        <v>0</v>
      </c>
      <c r="AQ1653" s="1708">
        <f t="shared" si="982"/>
        <v>0</v>
      </c>
    </row>
    <row r="1654" spans="2:43" ht="13.75" hidden="1" customHeight="1" x14ac:dyDescent="0.2">
      <c r="B1654" s="1195">
        <f t="shared" si="979"/>
        <v>0</v>
      </c>
      <c r="C1654" s="193">
        <f t="shared" si="979"/>
        <v>0</v>
      </c>
      <c r="D1654" s="193"/>
      <c r="E1654" s="254"/>
      <c r="F1654" s="193"/>
      <c r="G1654" s="193"/>
      <c r="H1654" s="254"/>
      <c r="I1654" s="1707">
        <f t="shared" si="980"/>
        <v>0</v>
      </c>
      <c r="J1654" s="1707">
        <f t="shared" si="980"/>
        <v>0</v>
      </c>
      <c r="K1654" s="1707">
        <f t="shared" si="980"/>
        <v>0</v>
      </c>
      <c r="L1654" s="1707">
        <f t="shared" si="980"/>
        <v>0</v>
      </c>
      <c r="M1654" s="1707">
        <f t="shared" si="980"/>
        <v>0</v>
      </c>
      <c r="N1654" s="1707">
        <f t="shared" si="980"/>
        <v>0</v>
      </c>
      <c r="O1654" s="1707">
        <f t="shared" si="980"/>
        <v>0</v>
      </c>
      <c r="P1654" s="1707">
        <f t="shared" si="980"/>
        <v>0</v>
      </c>
      <c r="Q1654" s="1707">
        <f t="shared" si="980"/>
        <v>0</v>
      </c>
      <c r="R1654" s="1707">
        <f t="shared" si="980"/>
        <v>0</v>
      </c>
      <c r="S1654" s="1707">
        <f t="shared" si="980"/>
        <v>0</v>
      </c>
      <c r="T1654" s="1708">
        <f t="shared" si="980"/>
        <v>0</v>
      </c>
      <c r="Y1654" s="1195"/>
      <c r="Z1654" s="193">
        <f t="shared" si="981"/>
        <v>0</v>
      </c>
      <c r="AA1654" s="193"/>
      <c r="AB1654" s="254"/>
      <c r="AC1654" s="193"/>
      <c r="AD1654" s="193"/>
      <c r="AE1654" s="254"/>
      <c r="AF1654" s="1707">
        <f t="shared" si="982"/>
        <v>0</v>
      </c>
      <c r="AG1654" s="1707">
        <f t="shared" si="982"/>
        <v>0</v>
      </c>
      <c r="AH1654" s="1707">
        <f t="shared" si="982"/>
        <v>0</v>
      </c>
      <c r="AI1654" s="1707">
        <f t="shared" si="982"/>
        <v>0</v>
      </c>
      <c r="AJ1654" s="1707">
        <f t="shared" si="982"/>
        <v>0</v>
      </c>
      <c r="AK1654" s="1707">
        <f t="shared" si="982"/>
        <v>0</v>
      </c>
      <c r="AL1654" s="1707">
        <f t="shared" si="982"/>
        <v>0</v>
      </c>
      <c r="AM1654" s="1707">
        <f t="shared" si="982"/>
        <v>0</v>
      </c>
      <c r="AN1654" s="1707">
        <f t="shared" si="982"/>
        <v>0</v>
      </c>
      <c r="AO1654" s="1707">
        <f t="shared" si="982"/>
        <v>0</v>
      </c>
      <c r="AP1654" s="1707">
        <f t="shared" si="982"/>
        <v>0</v>
      </c>
      <c r="AQ1654" s="1708">
        <f t="shared" si="982"/>
        <v>0</v>
      </c>
    </row>
    <row r="1655" spans="2:43" ht="14.4" hidden="1" customHeight="1" thickBot="1" x14ac:dyDescent="0.25">
      <c r="B1655" s="1198">
        <f t="shared" si="979"/>
        <v>0</v>
      </c>
      <c r="C1655" s="1199">
        <f t="shared" si="979"/>
        <v>0</v>
      </c>
      <c r="D1655" s="1199"/>
      <c r="E1655" s="1209"/>
      <c r="F1655" s="1199"/>
      <c r="G1655" s="1199"/>
      <c r="H1655" s="1209"/>
      <c r="I1655" s="1709">
        <f>SUMIF($V$44:$V$78,$B1655&amp;"propia",I$44:I$78)</f>
        <v>0</v>
      </c>
      <c r="J1655" s="1709">
        <f t="shared" si="980"/>
        <v>0</v>
      </c>
      <c r="K1655" s="1709">
        <f t="shared" si="980"/>
        <v>0</v>
      </c>
      <c r="L1655" s="1709">
        <f t="shared" si="980"/>
        <v>0</v>
      </c>
      <c r="M1655" s="1709">
        <f t="shared" si="980"/>
        <v>0</v>
      </c>
      <c r="N1655" s="1709">
        <f t="shared" si="980"/>
        <v>0</v>
      </c>
      <c r="O1655" s="1709">
        <f t="shared" si="980"/>
        <v>0</v>
      </c>
      <c r="P1655" s="1709">
        <f t="shared" si="980"/>
        <v>0</v>
      </c>
      <c r="Q1655" s="1709">
        <f t="shared" si="980"/>
        <v>0</v>
      </c>
      <c r="R1655" s="1709">
        <f t="shared" si="980"/>
        <v>0</v>
      </c>
      <c r="S1655" s="1709">
        <f t="shared" si="980"/>
        <v>0</v>
      </c>
      <c r="T1655" s="1710">
        <f t="shared" si="980"/>
        <v>0</v>
      </c>
      <c r="Y1655" s="1198"/>
      <c r="Z1655" s="1199">
        <f t="shared" si="981"/>
        <v>0</v>
      </c>
      <c r="AA1655" s="1199"/>
      <c r="AB1655" s="1209"/>
      <c r="AC1655" s="1199"/>
      <c r="AD1655" s="1199"/>
      <c r="AE1655" s="1209"/>
      <c r="AF1655" s="1709">
        <f t="shared" si="982"/>
        <v>0</v>
      </c>
      <c r="AG1655" s="1709">
        <f t="shared" si="982"/>
        <v>0</v>
      </c>
      <c r="AH1655" s="1709">
        <f t="shared" si="982"/>
        <v>0</v>
      </c>
      <c r="AI1655" s="1709">
        <f t="shared" si="982"/>
        <v>0</v>
      </c>
      <c r="AJ1655" s="1709">
        <f t="shared" si="982"/>
        <v>0</v>
      </c>
      <c r="AK1655" s="1709">
        <f t="shared" si="982"/>
        <v>0</v>
      </c>
      <c r="AL1655" s="1709">
        <f t="shared" si="982"/>
        <v>0</v>
      </c>
      <c r="AM1655" s="1709">
        <f t="shared" si="982"/>
        <v>0</v>
      </c>
      <c r="AN1655" s="1709">
        <f t="shared" si="982"/>
        <v>0</v>
      </c>
      <c r="AO1655" s="1709">
        <f t="shared" si="982"/>
        <v>0</v>
      </c>
      <c r="AP1655" s="1709">
        <f t="shared" si="982"/>
        <v>0</v>
      </c>
      <c r="AQ1655" s="1710">
        <f t="shared" si="982"/>
        <v>0</v>
      </c>
    </row>
    <row r="1656" spans="2:43" ht="14.4" hidden="1" customHeight="1" thickTop="1" x14ac:dyDescent="0.2">
      <c r="B1656" s="1584" t="s">
        <v>2020</v>
      </c>
      <c r="C1656" s="1194" t="s">
        <v>2018</v>
      </c>
      <c r="D1656" s="1194"/>
      <c r="E1656" s="1210"/>
      <c r="F1656" s="1194"/>
      <c r="G1656" s="1194"/>
      <c r="H1656" s="1210"/>
      <c r="I1656" s="1210"/>
      <c r="J1656" s="1210"/>
      <c r="K1656" s="1210"/>
      <c r="L1656" s="1210"/>
      <c r="M1656" s="1210"/>
      <c r="N1656" s="1210"/>
      <c r="O1656" s="1210"/>
      <c r="P1656" s="1210"/>
      <c r="Q1656" s="1210"/>
      <c r="R1656" s="1210"/>
      <c r="S1656" s="1210"/>
      <c r="T1656" s="1585"/>
      <c r="Y1656" s="1584" t="s">
        <v>2020</v>
      </c>
      <c r="Z1656" s="1194" t="s">
        <v>2018</v>
      </c>
      <c r="AA1656" s="1194"/>
      <c r="AB1656" s="1210"/>
      <c r="AC1656" s="1194"/>
      <c r="AD1656" s="1194"/>
      <c r="AE1656" s="1210"/>
      <c r="AF1656" s="1210"/>
      <c r="AG1656" s="1210"/>
      <c r="AH1656" s="1210"/>
      <c r="AI1656" s="1210"/>
      <c r="AJ1656" s="1210"/>
      <c r="AK1656" s="1210"/>
      <c r="AL1656" s="1210"/>
      <c r="AM1656" s="1210"/>
      <c r="AN1656" s="1210"/>
      <c r="AO1656" s="1210"/>
      <c r="AP1656" s="1210"/>
      <c r="AQ1656" s="1585"/>
    </row>
    <row r="1657" spans="2:43" ht="13.75" hidden="1" customHeight="1" x14ac:dyDescent="0.2">
      <c r="B1657" s="1195" t="str">
        <f t="shared" ref="B1657:C1670" si="983">+B1205</f>
        <v>Siembra Directa  - Propia</v>
      </c>
      <c r="C1657" s="193">
        <f t="shared" si="983"/>
        <v>5</v>
      </c>
      <c r="D1657" s="193"/>
      <c r="E1657" s="254"/>
      <c r="F1657" s="193"/>
      <c r="G1657" s="193"/>
      <c r="H1657" s="254"/>
      <c r="I1657" s="1705">
        <f t="shared" ref="I1657:T1670" si="984">SUMIF($V$45:$V$78,$B1657&amp;"contratada",I$45:I$78)</f>
        <v>0</v>
      </c>
      <c r="J1657" s="1705">
        <f t="shared" si="984"/>
        <v>0</v>
      </c>
      <c r="K1657" s="1705">
        <f t="shared" si="984"/>
        <v>0</v>
      </c>
      <c r="L1657" s="1705">
        <f t="shared" si="984"/>
        <v>0</v>
      </c>
      <c r="M1657" s="1705">
        <f t="shared" si="984"/>
        <v>0</v>
      </c>
      <c r="N1657" s="1705">
        <f t="shared" si="984"/>
        <v>0</v>
      </c>
      <c r="O1657" s="1705">
        <f t="shared" si="984"/>
        <v>0</v>
      </c>
      <c r="P1657" s="1705">
        <f t="shared" si="984"/>
        <v>0</v>
      </c>
      <c r="Q1657" s="1705">
        <f t="shared" si="984"/>
        <v>0</v>
      </c>
      <c r="R1657" s="1705">
        <f t="shared" si="984"/>
        <v>0</v>
      </c>
      <c r="S1657" s="1705">
        <f t="shared" si="984"/>
        <v>0</v>
      </c>
      <c r="T1657" s="1706">
        <f t="shared" si="984"/>
        <v>0</v>
      </c>
      <c r="Y1657" s="1195" t="s">
        <v>2022</v>
      </c>
      <c r="Z1657" s="193">
        <f t="shared" ref="Z1657:Z1670" si="985">+Z1205</f>
        <v>5</v>
      </c>
      <c r="AA1657" s="193"/>
      <c r="AB1657" s="254"/>
      <c r="AC1657" s="193"/>
      <c r="AD1657" s="193"/>
      <c r="AE1657" s="254"/>
      <c r="AF1657" s="1705">
        <f t="shared" ref="AF1657:AQ1670" si="986">SUMIF($AS$45:$AS$78,$B1657&amp;"contratada",AF$45:AF$78)</f>
        <v>0</v>
      </c>
      <c r="AG1657" s="1705">
        <f t="shared" si="986"/>
        <v>0</v>
      </c>
      <c r="AH1657" s="1705">
        <f t="shared" si="986"/>
        <v>0</v>
      </c>
      <c r="AI1657" s="1705">
        <f t="shared" si="986"/>
        <v>0</v>
      </c>
      <c r="AJ1657" s="1705">
        <f t="shared" si="986"/>
        <v>0</v>
      </c>
      <c r="AK1657" s="1705">
        <f t="shared" si="986"/>
        <v>0</v>
      </c>
      <c r="AL1657" s="1705">
        <f t="shared" si="986"/>
        <v>0</v>
      </c>
      <c r="AM1657" s="1705">
        <f t="shared" si="986"/>
        <v>0</v>
      </c>
      <c r="AN1657" s="1705">
        <f t="shared" si="986"/>
        <v>0</v>
      </c>
      <c r="AO1657" s="1705">
        <f t="shared" si="986"/>
        <v>0</v>
      </c>
      <c r="AP1657" s="1705">
        <f t="shared" si="986"/>
        <v>0</v>
      </c>
      <c r="AQ1657" s="1706">
        <f t="shared" si="986"/>
        <v>0</v>
      </c>
    </row>
    <row r="1658" spans="2:43" ht="13.75" hidden="1" customHeight="1" x14ac:dyDescent="0.2">
      <c r="B1658" s="1195" t="str">
        <f t="shared" si="983"/>
        <v>Siembra Directa  - Contratada</v>
      </c>
      <c r="C1658" s="193">
        <f t="shared" si="983"/>
        <v>5</v>
      </c>
      <c r="D1658" s="193"/>
      <c r="E1658" s="254"/>
      <c r="F1658" s="193"/>
      <c r="G1658" s="193"/>
      <c r="H1658" s="254"/>
      <c r="I1658" s="1707">
        <f t="shared" si="984"/>
        <v>0</v>
      </c>
      <c r="J1658" s="1707">
        <f t="shared" si="984"/>
        <v>0</v>
      </c>
      <c r="K1658" s="1707">
        <f t="shared" si="984"/>
        <v>0</v>
      </c>
      <c r="L1658" s="1707">
        <f t="shared" si="984"/>
        <v>0</v>
      </c>
      <c r="M1658" s="1707">
        <f t="shared" si="984"/>
        <v>0</v>
      </c>
      <c r="N1658" s="1707">
        <f t="shared" si="984"/>
        <v>0</v>
      </c>
      <c r="O1658" s="1707">
        <f t="shared" si="984"/>
        <v>0</v>
      </c>
      <c r="P1658" s="1707">
        <f t="shared" si="984"/>
        <v>0</v>
      </c>
      <c r="Q1658" s="1707">
        <f t="shared" si="984"/>
        <v>0</v>
      </c>
      <c r="R1658" s="1707">
        <f t="shared" si="984"/>
        <v>0</v>
      </c>
      <c r="S1658" s="1707">
        <f t="shared" si="984"/>
        <v>0</v>
      </c>
      <c r="T1658" s="1708">
        <f t="shared" si="984"/>
        <v>0</v>
      </c>
      <c r="Y1658" s="1195"/>
      <c r="Z1658" s="193">
        <f t="shared" si="985"/>
        <v>5</v>
      </c>
      <c r="AA1658" s="193"/>
      <c r="AB1658" s="254"/>
      <c r="AC1658" s="193"/>
      <c r="AD1658" s="193"/>
      <c r="AE1658" s="254"/>
      <c r="AF1658" s="1707">
        <f t="shared" si="986"/>
        <v>0</v>
      </c>
      <c r="AG1658" s="1707">
        <f t="shared" si="986"/>
        <v>0</v>
      </c>
      <c r="AH1658" s="1707">
        <f t="shared" si="986"/>
        <v>0</v>
      </c>
      <c r="AI1658" s="1707">
        <f t="shared" si="986"/>
        <v>0</v>
      </c>
      <c r="AJ1658" s="1707">
        <f t="shared" si="986"/>
        <v>0</v>
      </c>
      <c r="AK1658" s="1707">
        <f t="shared" si="986"/>
        <v>0</v>
      </c>
      <c r="AL1658" s="1707">
        <f t="shared" si="986"/>
        <v>0</v>
      </c>
      <c r="AM1658" s="1707">
        <f t="shared" si="986"/>
        <v>0</v>
      </c>
      <c r="AN1658" s="1707">
        <f t="shared" si="986"/>
        <v>0</v>
      </c>
      <c r="AO1658" s="1707">
        <f t="shared" si="986"/>
        <v>0</v>
      </c>
      <c r="AP1658" s="1707">
        <f t="shared" si="986"/>
        <v>0</v>
      </c>
      <c r="AQ1658" s="1708">
        <f t="shared" si="986"/>
        <v>0</v>
      </c>
    </row>
    <row r="1659" spans="2:43" ht="13.75" hidden="1" customHeight="1" x14ac:dyDescent="0.2">
      <c r="B1659" s="1195" t="str">
        <f t="shared" si="983"/>
        <v>Aplicar herbicida - Propia</v>
      </c>
      <c r="C1659" s="193">
        <f t="shared" si="983"/>
        <v>1.5</v>
      </c>
      <c r="D1659" s="193"/>
      <c r="E1659" s="254"/>
      <c r="F1659" s="193"/>
      <c r="G1659" s="193"/>
      <c r="H1659" s="254"/>
      <c r="I1659" s="1707">
        <f t="shared" si="984"/>
        <v>0</v>
      </c>
      <c r="J1659" s="1707">
        <f t="shared" si="984"/>
        <v>0</v>
      </c>
      <c r="K1659" s="1707">
        <f t="shared" si="984"/>
        <v>0</v>
      </c>
      <c r="L1659" s="1707">
        <f t="shared" si="984"/>
        <v>0</v>
      </c>
      <c r="M1659" s="1707">
        <f t="shared" si="984"/>
        <v>0</v>
      </c>
      <c r="N1659" s="1707">
        <f t="shared" si="984"/>
        <v>0</v>
      </c>
      <c r="O1659" s="1707">
        <f t="shared" si="984"/>
        <v>0</v>
      </c>
      <c r="P1659" s="1707">
        <f t="shared" si="984"/>
        <v>0</v>
      </c>
      <c r="Q1659" s="1707">
        <f t="shared" si="984"/>
        <v>0</v>
      </c>
      <c r="R1659" s="1707">
        <f t="shared" si="984"/>
        <v>0</v>
      </c>
      <c r="S1659" s="1707">
        <f t="shared" si="984"/>
        <v>0</v>
      </c>
      <c r="T1659" s="1708">
        <f t="shared" si="984"/>
        <v>0</v>
      </c>
      <c r="Y1659" s="1195"/>
      <c r="Z1659" s="193">
        <f t="shared" si="985"/>
        <v>1.5</v>
      </c>
      <c r="AA1659" s="193"/>
      <c r="AB1659" s="254"/>
      <c r="AC1659" s="193"/>
      <c r="AD1659" s="193"/>
      <c r="AE1659" s="254"/>
      <c r="AF1659" s="1707">
        <f t="shared" si="986"/>
        <v>0</v>
      </c>
      <c r="AG1659" s="1707">
        <f t="shared" si="986"/>
        <v>0</v>
      </c>
      <c r="AH1659" s="1707">
        <f t="shared" si="986"/>
        <v>0</v>
      </c>
      <c r="AI1659" s="1707">
        <f t="shared" si="986"/>
        <v>0</v>
      </c>
      <c r="AJ1659" s="1707">
        <f t="shared" si="986"/>
        <v>0</v>
      </c>
      <c r="AK1659" s="1707">
        <f t="shared" si="986"/>
        <v>0</v>
      </c>
      <c r="AL1659" s="1707">
        <f t="shared" si="986"/>
        <v>0</v>
      </c>
      <c r="AM1659" s="1707">
        <f t="shared" si="986"/>
        <v>0</v>
      </c>
      <c r="AN1659" s="1707">
        <f t="shared" si="986"/>
        <v>0</v>
      </c>
      <c r="AO1659" s="1707">
        <f t="shared" si="986"/>
        <v>0</v>
      </c>
      <c r="AP1659" s="1707">
        <f t="shared" si="986"/>
        <v>0</v>
      </c>
      <c r="AQ1659" s="1708">
        <f t="shared" si="986"/>
        <v>0</v>
      </c>
    </row>
    <row r="1660" spans="2:43" ht="13.75" hidden="1" customHeight="1" x14ac:dyDescent="0.2">
      <c r="B1660" s="1195" t="str">
        <f t="shared" si="983"/>
        <v>Aplicar herbicida - Contratada</v>
      </c>
      <c r="C1660" s="193">
        <f t="shared" si="983"/>
        <v>1.5</v>
      </c>
      <c r="D1660" s="193"/>
      <c r="E1660" s="254"/>
      <c r="F1660" s="193"/>
      <c r="G1660" s="193"/>
      <c r="H1660" s="254"/>
      <c r="I1660" s="1707">
        <f t="shared" si="984"/>
        <v>0</v>
      </c>
      <c r="J1660" s="1707">
        <f t="shared" si="984"/>
        <v>0</v>
      </c>
      <c r="K1660" s="1707">
        <f t="shared" si="984"/>
        <v>0</v>
      </c>
      <c r="L1660" s="1707">
        <f t="shared" si="984"/>
        <v>0</v>
      </c>
      <c r="M1660" s="1707">
        <f t="shared" si="984"/>
        <v>0</v>
      </c>
      <c r="N1660" s="1707">
        <f t="shared" si="984"/>
        <v>0</v>
      </c>
      <c r="O1660" s="1707">
        <f t="shared" si="984"/>
        <v>0</v>
      </c>
      <c r="P1660" s="1707">
        <f t="shared" si="984"/>
        <v>0</v>
      </c>
      <c r="Q1660" s="1707">
        <f t="shared" si="984"/>
        <v>0</v>
      </c>
      <c r="R1660" s="1707">
        <f t="shared" si="984"/>
        <v>0</v>
      </c>
      <c r="S1660" s="1707">
        <f t="shared" si="984"/>
        <v>0</v>
      </c>
      <c r="T1660" s="1708">
        <f t="shared" si="984"/>
        <v>0</v>
      </c>
      <c r="Y1660" s="1195"/>
      <c r="Z1660" s="193">
        <f t="shared" si="985"/>
        <v>1.5</v>
      </c>
      <c r="AA1660" s="193"/>
      <c r="AB1660" s="254"/>
      <c r="AC1660" s="193"/>
      <c r="AD1660" s="193"/>
      <c r="AE1660" s="254"/>
      <c r="AF1660" s="1707">
        <f t="shared" si="986"/>
        <v>0</v>
      </c>
      <c r="AG1660" s="1707">
        <f t="shared" si="986"/>
        <v>0</v>
      </c>
      <c r="AH1660" s="1707">
        <f t="shared" si="986"/>
        <v>0</v>
      </c>
      <c r="AI1660" s="1707">
        <f t="shared" si="986"/>
        <v>0</v>
      </c>
      <c r="AJ1660" s="1707">
        <f t="shared" si="986"/>
        <v>0</v>
      </c>
      <c r="AK1660" s="1707">
        <f t="shared" si="986"/>
        <v>0</v>
      </c>
      <c r="AL1660" s="1707">
        <f t="shared" si="986"/>
        <v>0</v>
      </c>
      <c r="AM1660" s="1707">
        <f t="shared" si="986"/>
        <v>0</v>
      </c>
      <c r="AN1660" s="1707">
        <f t="shared" si="986"/>
        <v>0</v>
      </c>
      <c r="AO1660" s="1707">
        <f t="shared" si="986"/>
        <v>0</v>
      </c>
      <c r="AP1660" s="1707">
        <f t="shared" si="986"/>
        <v>0</v>
      </c>
      <c r="AQ1660" s="1708">
        <f t="shared" si="986"/>
        <v>0</v>
      </c>
    </row>
    <row r="1661" spans="2:43" ht="13.75" hidden="1" customHeight="1" x14ac:dyDescent="0.2">
      <c r="B1661" s="1195" t="str">
        <f t="shared" si="983"/>
        <v>Fertilizar - Propia</v>
      </c>
      <c r="C1661" s="193">
        <f t="shared" si="983"/>
        <v>3</v>
      </c>
      <c r="D1661" s="193"/>
      <c r="E1661" s="254"/>
      <c r="F1661" s="193"/>
      <c r="G1661" s="193"/>
      <c r="H1661" s="254"/>
      <c r="I1661" s="1707">
        <f t="shared" si="984"/>
        <v>0</v>
      </c>
      <c r="J1661" s="1707">
        <f t="shared" si="984"/>
        <v>0</v>
      </c>
      <c r="K1661" s="1707">
        <f t="shared" si="984"/>
        <v>0</v>
      </c>
      <c r="L1661" s="1707">
        <f t="shared" si="984"/>
        <v>0</v>
      </c>
      <c r="M1661" s="1707">
        <f t="shared" si="984"/>
        <v>0</v>
      </c>
      <c r="N1661" s="1707">
        <f t="shared" si="984"/>
        <v>0</v>
      </c>
      <c r="O1661" s="1707">
        <f t="shared" si="984"/>
        <v>0</v>
      </c>
      <c r="P1661" s="1707">
        <f t="shared" si="984"/>
        <v>0</v>
      </c>
      <c r="Q1661" s="1707">
        <f t="shared" si="984"/>
        <v>0</v>
      </c>
      <c r="R1661" s="1707">
        <f t="shared" si="984"/>
        <v>0</v>
      </c>
      <c r="S1661" s="1707">
        <f t="shared" si="984"/>
        <v>0</v>
      </c>
      <c r="T1661" s="1708">
        <f t="shared" si="984"/>
        <v>0</v>
      </c>
      <c r="Y1661" s="1195"/>
      <c r="Z1661" s="193">
        <f t="shared" si="985"/>
        <v>3</v>
      </c>
      <c r="AA1661" s="193"/>
      <c r="AB1661" s="254"/>
      <c r="AC1661" s="193"/>
      <c r="AD1661" s="193"/>
      <c r="AE1661" s="254"/>
      <c r="AF1661" s="1707">
        <f t="shared" si="986"/>
        <v>0</v>
      </c>
      <c r="AG1661" s="1707">
        <f t="shared" si="986"/>
        <v>0</v>
      </c>
      <c r="AH1661" s="1707">
        <f t="shared" si="986"/>
        <v>0</v>
      </c>
      <c r="AI1661" s="1707">
        <f t="shared" si="986"/>
        <v>0</v>
      </c>
      <c r="AJ1661" s="1707">
        <f t="shared" si="986"/>
        <v>0</v>
      </c>
      <c r="AK1661" s="1707">
        <f t="shared" si="986"/>
        <v>0</v>
      </c>
      <c r="AL1661" s="1707">
        <f t="shared" si="986"/>
        <v>0</v>
      </c>
      <c r="AM1661" s="1707">
        <f t="shared" si="986"/>
        <v>0</v>
      </c>
      <c r="AN1661" s="1707">
        <f t="shared" si="986"/>
        <v>0</v>
      </c>
      <c r="AO1661" s="1707">
        <f t="shared" si="986"/>
        <v>0</v>
      </c>
      <c r="AP1661" s="1707">
        <f t="shared" si="986"/>
        <v>0</v>
      </c>
      <c r="AQ1661" s="1708">
        <f t="shared" si="986"/>
        <v>0</v>
      </c>
    </row>
    <row r="1662" spans="2:43" ht="13.75" hidden="1" customHeight="1" x14ac:dyDescent="0.2">
      <c r="B1662" s="1195" t="str">
        <f t="shared" si="983"/>
        <v>Fertilizar - Contratada</v>
      </c>
      <c r="C1662" s="193">
        <f t="shared" si="983"/>
        <v>3</v>
      </c>
      <c r="D1662" s="193"/>
      <c r="E1662" s="254"/>
      <c r="F1662" s="193"/>
      <c r="G1662" s="193"/>
      <c r="H1662" s="254"/>
      <c r="I1662" s="1707">
        <f t="shared" si="984"/>
        <v>0</v>
      </c>
      <c r="J1662" s="1707">
        <f t="shared" si="984"/>
        <v>0</v>
      </c>
      <c r="K1662" s="1707">
        <f t="shared" si="984"/>
        <v>0</v>
      </c>
      <c r="L1662" s="1707">
        <f t="shared" si="984"/>
        <v>0</v>
      </c>
      <c r="M1662" s="1707">
        <f t="shared" si="984"/>
        <v>0</v>
      </c>
      <c r="N1662" s="1707">
        <f t="shared" si="984"/>
        <v>0</v>
      </c>
      <c r="O1662" s="1707">
        <f t="shared" si="984"/>
        <v>0</v>
      </c>
      <c r="P1662" s="1707">
        <f t="shared" si="984"/>
        <v>0</v>
      </c>
      <c r="Q1662" s="1707">
        <f t="shared" si="984"/>
        <v>0</v>
      </c>
      <c r="R1662" s="1707">
        <f t="shared" si="984"/>
        <v>0</v>
      </c>
      <c r="S1662" s="1707">
        <f t="shared" si="984"/>
        <v>0</v>
      </c>
      <c r="T1662" s="1708">
        <f t="shared" si="984"/>
        <v>0</v>
      </c>
      <c r="Y1662" s="1195"/>
      <c r="Z1662" s="193">
        <f t="shared" si="985"/>
        <v>3</v>
      </c>
      <c r="AA1662" s="193"/>
      <c r="AB1662" s="254"/>
      <c r="AC1662" s="193"/>
      <c r="AD1662" s="193"/>
      <c r="AE1662" s="254"/>
      <c r="AF1662" s="1707">
        <f t="shared" si="986"/>
        <v>0</v>
      </c>
      <c r="AG1662" s="1707">
        <f t="shared" si="986"/>
        <v>0</v>
      </c>
      <c r="AH1662" s="1707">
        <f t="shared" si="986"/>
        <v>0</v>
      </c>
      <c r="AI1662" s="1707">
        <f t="shared" si="986"/>
        <v>0</v>
      </c>
      <c r="AJ1662" s="1707">
        <f t="shared" si="986"/>
        <v>0</v>
      </c>
      <c r="AK1662" s="1707">
        <f t="shared" si="986"/>
        <v>0</v>
      </c>
      <c r="AL1662" s="1707">
        <f t="shared" si="986"/>
        <v>0</v>
      </c>
      <c r="AM1662" s="1707">
        <f t="shared" si="986"/>
        <v>0</v>
      </c>
      <c r="AN1662" s="1707">
        <f t="shared" si="986"/>
        <v>0</v>
      </c>
      <c r="AO1662" s="1707">
        <f t="shared" si="986"/>
        <v>0</v>
      </c>
      <c r="AP1662" s="1707">
        <f t="shared" si="986"/>
        <v>0</v>
      </c>
      <c r="AQ1662" s="1708">
        <f t="shared" si="986"/>
        <v>0</v>
      </c>
    </row>
    <row r="1663" spans="2:43" ht="13.75" hidden="1" customHeight="1" x14ac:dyDescent="0.2">
      <c r="B1663" s="1195" t="str">
        <f t="shared" si="983"/>
        <v>Siembra Maíz - Contratada</v>
      </c>
      <c r="C1663" s="193">
        <f t="shared" si="983"/>
        <v>9</v>
      </c>
      <c r="D1663" s="193"/>
      <c r="E1663" s="254"/>
      <c r="F1663" s="193"/>
      <c r="G1663" s="193"/>
      <c r="H1663" s="254"/>
      <c r="I1663" s="1707">
        <f t="shared" si="984"/>
        <v>0</v>
      </c>
      <c r="J1663" s="1707">
        <f t="shared" si="984"/>
        <v>0</v>
      </c>
      <c r="K1663" s="1707">
        <f t="shared" si="984"/>
        <v>0</v>
      </c>
      <c r="L1663" s="1707">
        <f t="shared" si="984"/>
        <v>0</v>
      </c>
      <c r="M1663" s="1707">
        <f t="shared" si="984"/>
        <v>0</v>
      </c>
      <c r="N1663" s="1707">
        <f t="shared" si="984"/>
        <v>0</v>
      </c>
      <c r="O1663" s="1707">
        <f t="shared" si="984"/>
        <v>0</v>
      </c>
      <c r="P1663" s="1707">
        <f t="shared" si="984"/>
        <v>0</v>
      </c>
      <c r="Q1663" s="1707">
        <f t="shared" si="984"/>
        <v>0</v>
      </c>
      <c r="R1663" s="1707">
        <f t="shared" si="984"/>
        <v>0</v>
      </c>
      <c r="S1663" s="1707">
        <f t="shared" si="984"/>
        <v>0</v>
      </c>
      <c r="T1663" s="1708">
        <f t="shared" si="984"/>
        <v>0</v>
      </c>
      <c r="Y1663" s="1195"/>
      <c r="Z1663" s="193">
        <f t="shared" si="985"/>
        <v>9</v>
      </c>
      <c r="AA1663" s="193"/>
      <c r="AB1663" s="254"/>
      <c r="AC1663" s="193"/>
      <c r="AD1663" s="193"/>
      <c r="AE1663" s="254"/>
      <c r="AF1663" s="1707">
        <f t="shared" si="986"/>
        <v>0</v>
      </c>
      <c r="AG1663" s="1707">
        <f t="shared" si="986"/>
        <v>0</v>
      </c>
      <c r="AH1663" s="1707">
        <f t="shared" si="986"/>
        <v>0</v>
      </c>
      <c r="AI1663" s="1707">
        <f t="shared" si="986"/>
        <v>0</v>
      </c>
      <c r="AJ1663" s="1707">
        <f t="shared" si="986"/>
        <v>0</v>
      </c>
      <c r="AK1663" s="1707">
        <f t="shared" si="986"/>
        <v>0</v>
      </c>
      <c r="AL1663" s="1707">
        <f t="shared" si="986"/>
        <v>0</v>
      </c>
      <c r="AM1663" s="1707">
        <f t="shared" si="986"/>
        <v>0</v>
      </c>
      <c r="AN1663" s="1707">
        <f t="shared" si="986"/>
        <v>0</v>
      </c>
      <c r="AO1663" s="1707">
        <f t="shared" si="986"/>
        <v>0</v>
      </c>
      <c r="AP1663" s="1707">
        <f t="shared" si="986"/>
        <v>0</v>
      </c>
      <c r="AQ1663" s="1708">
        <f t="shared" si="986"/>
        <v>0</v>
      </c>
    </row>
    <row r="1664" spans="2:43" ht="13.75" hidden="1" customHeight="1" x14ac:dyDescent="0.2">
      <c r="B1664" s="1195">
        <f t="shared" si="983"/>
        <v>0</v>
      </c>
      <c r="C1664" s="193">
        <f t="shared" si="983"/>
        <v>0</v>
      </c>
      <c r="D1664" s="193"/>
      <c r="E1664" s="254"/>
      <c r="F1664" s="193"/>
      <c r="G1664" s="193"/>
      <c r="H1664" s="254"/>
      <c r="I1664" s="1707">
        <f t="shared" si="984"/>
        <v>0</v>
      </c>
      <c r="J1664" s="1707">
        <f t="shared" si="984"/>
        <v>0</v>
      </c>
      <c r="K1664" s="1707">
        <f t="shared" si="984"/>
        <v>0</v>
      </c>
      <c r="L1664" s="1707">
        <f t="shared" si="984"/>
        <v>0</v>
      </c>
      <c r="M1664" s="1707">
        <f t="shared" si="984"/>
        <v>0</v>
      </c>
      <c r="N1664" s="1707">
        <f t="shared" si="984"/>
        <v>0</v>
      </c>
      <c r="O1664" s="1707">
        <f t="shared" si="984"/>
        <v>0</v>
      </c>
      <c r="P1664" s="1707">
        <f t="shared" si="984"/>
        <v>0</v>
      </c>
      <c r="Q1664" s="1707">
        <f t="shared" si="984"/>
        <v>0</v>
      </c>
      <c r="R1664" s="1707">
        <f t="shared" si="984"/>
        <v>0</v>
      </c>
      <c r="S1664" s="1707">
        <f t="shared" si="984"/>
        <v>0</v>
      </c>
      <c r="T1664" s="1708">
        <f t="shared" si="984"/>
        <v>0</v>
      </c>
      <c r="Y1664" s="1195"/>
      <c r="Z1664" s="193">
        <f t="shared" si="985"/>
        <v>0</v>
      </c>
      <c r="AA1664" s="193"/>
      <c r="AB1664" s="254"/>
      <c r="AC1664" s="193"/>
      <c r="AD1664" s="193"/>
      <c r="AE1664" s="254"/>
      <c r="AF1664" s="1707">
        <f t="shared" si="986"/>
        <v>0</v>
      </c>
      <c r="AG1664" s="1707">
        <f t="shared" si="986"/>
        <v>0</v>
      </c>
      <c r="AH1664" s="1707">
        <f t="shared" si="986"/>
        <v>0</v>
      </c>
      <c r="AI1664" s="1707">
        <f t="shared" si="986"/>
        <v>0</v>
      </c>
      <c r="AJ1664" s="1707">
        <f t="shared" si="986"/>
        <v>0</v>
      </c>
      <c r="AK1664" s="1707">
        <f t="shared" si="986"/>
        <v>0</v>
      </c>
      <c r="AL1664" s="1707">
        <f t="shared" si="986"/>
        <v>0</v>
      </c>
      <c r="AM1664" s="1707">
        <f t="shared" si="986"/>
        <v>0</v>
      </c>
      <c r="AN1664" s="1707">
        <f t="shared" si="986"/>
        <v>0</v>
      </c>
      <c r="AO1664" s="1707">
        <f t="shared" si="986"/>
        <v>0</v>
      </c>
      <c r="AP1664" s="1707">
        <f t="shared" si="986"/>
        <v>0</v>
      </c>
      <c r="AQ1664" s="1708">
        <f t="shared" si="986"/>
        <v>0</v>
      </c>
    </row>
    <row r="1665" spans="2:43" ht="13.75" hidden="1" customHeight="1" x14ac:dyDescent="0.2">
      <c r="B1665" s="1195">
        <f t="shared" si="983"/>
        <v>0</v>
      </c>
      <c r="C1665" s="193">
        <f t="shared" si="983"/>
        <v>0</v>
      </c>
      <c r="D1665" s="193"/>
      <c r="E1665" s="254"/>
      <c r="F1665" s="193"/>
      <c r="G1665" s="193"/>
      <c r="H1665" s="254"/>
      <c r="I1665" s="1707">
        <f t="shared" si="984"/>
        <v>0</v>
      </c>
      <c r="J1665" s="1707">
        <f t="shared" si="984"/>
        <v>0</v>
      </c>
      <c r="K1665" s="1707">
        <f t="shared" si="984"/>
        <v>0</v>
      </c>
      <c r="L1665" s="1707">
        <f t="shared" si="984"/>
        <v>0</v>
      </c>
      <c r="M1665" s="1707">
        <f t="shared" si="984"/>
        <v>0</v>
      </c>
      <c r="N1665" s="1707">
        <f t="shared" si="984"/>
        <v>0</v>
      </c>
      <c r="O1665" s="1707">
        <f t="shared" si="984"/>
        <v>0</v>
      </c>
      <c r="P1665" s="1707">
        <f t="shared" si="984"/>
        <v>0</v>
      </c>
      <c r="Q1665" s="1707">
        <f t="shared" si="984"/>
        <v>0</v>
      </c>
      <c r="R1665" s="1707">
        <f t="shared" si="984"/>
        <v>0</v>
      </c>
      <c r="S1665" s="1707">
        <f t="shared" si="984"/>
        <v>0</v>
      </c>
      <c r="T1665" s="1708">
        <f t="shared" si="984"/>
        <v>0</v>
      </c>
      <c r="Y1665" s="1195"/>
      <c r="Z1665" s="193">
        <f t="shared" si="985"/>
        <v>0</v>
      </c>
      <c r="AA1665" s="193"/>
      <c r="AB1665" s="254"/>
      <c r="AC1665" s="193"/>
      <c r="AD1665" s="193"/>
      <c r="AE1665" s="254"/>
      <c r="AF1665" s="1707">
        <f t="shared" si="986"/>
        <v>0</v>
      </c>
      <c r="AG1665" s="1707">
        <f t="shared" si="986"/>
        <v>0</v>
      </c>
      <c r="AH1665" s="1707">
        <f t="shared" si="986"/>
        <v>0</v>
      </c>
      <c r="AI1665" s="1707">
        <f t="shared" si="986"/>
        <v>0</v>
      </c>
      <c r="AJ1665" s="1707">
        <f t="shared" si="986"/>
        <v>0</v>
      </c>
      <c r="AK1665" s="1707">
        <f t="shared" si="986"/>
        <v>0</v>
      </c>
      <c r="AL1665" s="1707">
        <f t="shared" si="986"/>
        <v>0</v>
      </c>
      <c r="AM1665" s="1707">
        <f t="shared" si="986"/>
        <v>0</v>
      </c>
      <c r="AN1665" s="1707">
        <f t="shared" si="986"/>
        <v>0</v>
      </c>
      <c r="AO1665" s="1707">
        <f t="shared" si="986"/>
        <v>0</v>
      </c>
      <c r="AP1665" s="1707">
        <f t="shared" si="986"/>
        <v>0</v>
      </c>
      <c r="AQ1665" s="1708">
        <f t="shared" si="986"/>
        <v>0</v>
      </c>
    </row>
    <row r="1666" spans="2:43" ht="13.75" hidden="1" customHeight="1" x14ac:dyDescent="0.2">
      <c r="B1666" s="1195">
        <f t="shared" si="983"/>
        <v>0</v>
      </c>
      <c r="C1666" s="193">
        <f t="shared" si="983"/>
        <v>0</v>
      </c>
      <c r="D1666" s="193"/>
      <c r="E1666" s="254"/>
      <c r="F1666" s="193"/>
      <c r="G1666" s="193"/>
      <c r="H1666" s="254"/>
      <c r="I1666" s="1707">
        <f t="shared" si="984"/>
        <v>0</v>
      </c>
      <c r="J1666" s="1707">
        <f t="shared" si="984"/>
        <v>0</v>
      </c>
      <c r="K1666" s="1707">
        <f t="shared" si="984"/>
        <v>0</v>
      </c>
      <c r="L1666" s="1707">
        <f t="shared" si="984"/>
        <v>0</v>
      </c>
      <c r="M1666" s="1707">
        <f t="shared" si="984"/>
        <v>0</v>
      </c>
      <c r="N1666" s="1707">
        <f t="shared" si="984"/>
        <v>0</v>
      </c>
      <c r="O1666" s="1707">
        <f t="shared" si="984"/>
        <v>0</v>
      </c>
      <c r="P1666" s="1707">
        <f t="shared" si="984"/>
        <v>0</v>
      </c>
      <c r="Q1666" s="1707">
        <f t="shared" si="984"/>
        <v>0</v>
      </c>
      <c r="R1666" s="1707">
        <f t="shared" si="984"/>
        <v>0</v>
      </c>
      <c r="S1666" s="1707">
        <f t="shared" si="984"/>
        <v>0</v>
      </c>
      <c r="T1666" s="1708">
        <f t="shared" si="984"/>
        <v>0</v>
      </c>
      <c r="Y1666" s="1195"/>
      <c r="Z1666" s="193">
        <f t="shared" si="985"/>
        <v>0</v>
      </c>
      <c r="AA1666" s="193"/>
      <c r="AB1666" s="254"/>
      <c r="AC1666" s="193"/>
      <c r="AD1666" s="193"/>
      <c r="AE1666" s="254"/>
      <c r="AF1666" s="1707">
        <f t="shared" si="986"/>
        <v>0</v>
      </c>
      <c r="AG1666" s="1707">
        <f t="shared" si="986"/>
        <v>0</v>
      </c>
      <c r="AH1666" s="1707">
        <f t="shared" si="986"/>
        <v>0</v>
      </c>
      <c r="AI1666" s="1707">
        <f t="shared" si="986"/>
        <v>0</v>
      </c>
      <c r="AJ1666" s="1707">
        <f t="shared" si="986"/>
        <v>0</v>
      </c>
      <c r="AK1666" s="1707">
        <f t="shared" si="986"/>
        <v>0</v>
      </c>
      <c r="AL1666" s="1707">
        <f t="shared" si="986"/>
        <v>0</v>
      </c>
      <c r="AM1666" s="1707">
        <f t="shared" si="986"/>
        <v>0</v>
      </c>
      <c r="AN1666" s="1707">
        <f t="shared" si="986"/>
        <v>0</v>
      </c>
      <c r="AO1666" s="1707">
        <f t="shared" si="986"/>
        <v>0</v>
      </c>
      <c r="AP1666" s="1707">
        <f t="shared" si="986"/>
        <v>0</v>
      </c>
      <c r="AQ1666" s="1708">
        <f t="shared" si="986"/>
        <v>0</v>
      </c>
    </row>
    <row r="1667" spans="2:43" ht="13.75" hidden="1" customHeight="1" x14ac:dyDescent="0.2">
      <c r="B1667" s="1195">
        <f t="shared" si="983"/>
        <v>0</v>
      </c>
      <c r="C1667" s="193">
        <f t="shared" si="983"/>
        <v>0</v>
      </c>
      <c r="D1667" s="193"/>
      <c r="E1667" s="254"/>
      <c r="F1667" s="193"/>
      <c r="G1667" s="193"/>
      <c r="H1667" s="254"/>
      <c r="I1667" s="1707">
        <f t="shared" si="984"/>
        <v>0</v>
      </c>
      <c r="J1667" s="1707">
        <f t="shared" si="984"/>
        <v>0</v>
      </c>
      <c r="K1667" s="1707">
        <f t="shared" si="984"/>
        <v>0</v>
      </c>
      <c r="L1667" s="1707">
        <f t="shared" si="984"/>
        <v>0</v>
      </c>
      <c r="M1667" s="1707">
        <f t="shared" si="984"/>
        <v>0</v>
      </c>
      <c r="N1667" s="1707">
        <f t="shared" si="984"/>
        <v>0</v>
      </c>
      <c r="O1667" s="1707">
        <f t="shared" si="984"/>
        <v>0</v>
      </c>
      <c r="P1667" s="1707">
        <f t="shared" si="984"/>
        <v>0</v>
      </c>
      <c r="Q1667" s="1707">
        <f t="shared" si="984"/>
        <v>0</v>
      </c>
      <c r="R1667" s="1707">
        <f t="shared" si="984"/>
        <v>0</v>
      </c>
      <c r="S1667" s="1707">
        <f t="shared" si="984"/>
        <v>0</v>
      </c>
      <c r="T1667" s="1708">
        <f t="shared" si="984"/>
        <v>0</v>
      </c>
      <c r="Y1667" s="1195"/>
      <c r="Z1667" s="193">
        <f t="shared" si="985"/>
        <v>0</v>
      </c>
      <c r="AA1667" s="193"/>
      <c r="AB1667" s="254"/>
      <c r="AC1667" s="193"/>
      <c r="AD1667" s="193"/>
      <c r="AE1667" s="254"/>
      <c r="AF1667" s="1707">
        <f t="shared" si="986"/>
        <v>0</v>
      </c>
      <c r="AG1667" s="1707">
        <f t="shared" si="986"/>
        <v>0</v>
      </c>
      <c r="AH1667" s="1707">
        <f t="shared" si="986"/>
        <v>0</v>
      </c>
      <c r="AI1667" s="1707">
        <f t="shared" si="986"/>
        <v>0</v>
      </c>
      <c r="AJ1667" s="1707">
        <f t="shared" si="986"/>
        <v>0</v>
      </c>
      <c r="AK1667" s="1707">
        <f t="shared" si="986"/>
        <v>0</v>
      </c>
      <c r="AL1667" s="1707">
        <f t="shared" si="986"/>
        <v>0</v>
      </c>
      <c r="AM1667" s="1707">
        <f t="shared" si="986"/>
        <v>0</v>
      </c>
      <c r="AN1667" s="1707">
        <f t="shared" si="986"/>
        <v>0</v>
      </c>
      <c r="AO1667" s="1707">
        <f t="shared" si="986"/>
        <v>0</v>
      </c>
      <c r="AP1667" s="1707">
        <f t="shared" si="986"/>
        <v>0</v>
      </c>
      <c r="AQ1667" s="1708">
        <f t="shared" si="986"/>
        <v>0</v>
      </c>
    </row>
    <row r="1668" spans="2:43" ht="13.75" hidden="1" customHeight="1" x14ac:dyDescent="0.2">
      <c r="B1668" s="1195">
        <f t="shared" si="983"/>
        <v>0</v>
      </c>
      <c r="C1668" s="193">
        <f t="shared" si="983"/>
        <v>0</v>
      </c>
      <c r="D1668" s="193"/>
      <c r="E1668" s="254"/>
      <c r="F1668" s="193"/>
      <c r="G1668" s="193"/>
      <c r="H1668" s="254"/>
      <c r="I1668" s="1707">
        <f t="shared" si="984"/>
        <v>0</v>
      </c>
      <c r="J1668" s="1707">
        <f t="shared" si="984"/>
        <v>0</v>
      </c>
      <c r="K1668" s="1707">
        <f t="shared" si="984"/>
        <v>0</v>
      </c>
      <c r="L1668" s="1707">
        <f t="shared" si="984"/>
        <v>0</v>
      </c>
      <c r="M1668" s="1707">
        <f t="shared" si="984"/>
        <v>0</v>
      </c>
      <c r="N1668" s="1707">
        <f t="shared" si="984"/>
        <v>0</v>
      </c>
      <c r="O1668" s="1707">
        <f t="shared" si="984"/>
        <v>0</v>
      </c>
      <c r="P1668" s="1707">
        <f t="shared" si="984"/>
        <v>0</v>
      </c>
      <c r="Q1668" s="1707">
        <f t="shared" si="984"/>
        <v>0</v>
      </c>
      <c r="R1668" s="1707">
        <f t="shared" si="984"/>
        <v>0</v>
      </c>
      <c r="S1668" s="1707">
        <f t="shared" si="984"/>
        <v>0</v>
      </c>
      <c r="T1668" s="1708">
        <f t="shared" si="984"/>
        <v>0</v>
      </c>
      <c r="Y1668" s="1195"/>
      <c r="Z1668" s="193">
        <f t="shared" si="985"/>
        <v>0</v>
      </c>
      <c r="AA1668" s="193"/>
      <c r="AB1668" s="254"/>
      <c r="AC1668" s="193"/>
      <c r="AD1668" s="193"/>
      <c r="AE1668" s="254"/>
      <c r="AF1668" s="1707">
        <f t="shared" si="986"/>
        <v>0</v>
      </c>
      <c r="AG1668" s="1707">
        <f t="shared" si="986"/>
        <v>0</v>
      </c>
      <c r="AH1668" s="1707">
        <f t="shared" si="986"/>
        <v>0</v>
      </c>
      <c r="AI1668" s="1707">
        <f t="shared" si="986"/>
        <v>0</v>
      </c>
      <c r="AJ1668" s="1707">
        <f t="shared" si="986"/>
        <v>0</v>
      </c>
      <c r="AK1668" s="1707">
        <f t="shared" si="986"/>
        <v>0</v>
      </c>
      <c r="AL1668" s="1707">
        <f t="shared" si="986"/>
        <v>0</v>
      </c>
      <c r="AM1668" s="1707">
        <f t="shared" si="986"/>
        <v>0</v>
      </c>
      <c r="AN1668" s="1707">
        <f t="shared" si="986"/>
        <v>0</v>
      </c>
      <c r="AO1668" s="1707">
        <f t="shared" si="986"/>
        <v>0</v>
      </c>
      <c r="AP1668" s="1707">
        <f t="shared" si="986"/>
        <v>0</v>
      </c>
      <c r="AQ1668" s="1708">
        <f t="shared" si="986"/>
        <v>0</v>
      </c>
    </row>
    <row r="1669" spans="2:43" ht="13.75" hidden="1" customHeight="1" x14ac:dyDescent="0.2">
      <c r="B1669" s="1195">
        <f t="shared" si="983"/>
        <v>0</v>
      </c>
      <c r="C1669" s="193">
        <f t="shared" si="983"/>
        <v>0</v>
      </c>
      <c r="D1669" s="193"/>
      <c r="E1669" s="254"/>
      <c r="F1669" s="193"/>
      <c r="G1669" s="193"/>
      <c r="H1669" s="254"/>
      <c r="I1669" s="1707">
        <f t="shared" si="984"/>
        <v>0</v>
      </c>
      <c r="J1669" s="1707">
        <f t="shared" si="984"/>
        <v>0</v>
      </c>
      <c r="K1669" s="1707">
        <f t="shared" si="984"/>
        <v>0</v>
      </c>
      <c r="L1669" s="1707">
        <f t="shared" si="984"/>
        <v>0</v>
      </c>
      <c r="M1669" s="1707">
        <f t="shared" si="984"/>
        <v>0</v>
      </c>
      <c r="N1669" s="1707">
        <f t="shared" si="984"/>
        <v>0</v>
      </c>
      <c r="O1669" s="1707">
        <f t="shared" si="984"/>
        <v>0</v>
      </c>
      <c r="P1669" s="1707">
        <f t="shared" si="984"/>
        <v>0</v>
      </c>
      <c r="Q1669" s="1707">
        <f t="shared" si="984"/>
        <v>0</v>
      </c>
      <c r="R1669" s="1707">
        <f t="shared" si="984"/>
        <v>0</v>
      </c>
      <c r="S1669" s="1707">
        <f t="shared" si="984"/>
        <v>0</v>
      </c>
      <c r="T1669" s="1708">
        <f t="shared" si="984"/>
        <v>0</v>
      </c>
      <c r="Y1669" s="1195"/>
      <c r="Z1669" s="193">
        <f t="shared" si="985"/>
        <v>0</v>
      </c>
      <c r="AA1669" s="193"/>
      <c r="AB1669" s="254"/>
      <c r="AC1669" s="193"/>
      <c r="AD1669" s="193"/>
      <c r="AE1669" s="254"/>
      <c r="AF1669" s="1707">
        <f t="shared" si="986"/>
        <v>0</v>
      </c>
      <c r="AG1669" s="1707">
        <f t="shared" si="986"/>
        <v>0</v>
      </c>
      <c r="AH1669" s="1707">
        <f t="shared" si="986"/>
        <v>0</v>
      </c>
      <c r="AI1669" s="1707">
        <f t="shared" si="986"/>
        <v>0</v>
      </c>
      <c r="AJ1669" s="1707">
        <f t="shared" si="986"/>
        <v>0</v>
      </c>
      <c r="AK1669" s="1707">
        <f t="shared" si="986"/>
        <v>0</v>
      </c>
      <c r="AL1669" s="1707">
        <f t="shared" si="986"/>
        <v>0</v>
      </c>
      <c r="AM1669" s="1707">
        <f t="shared" si="986"/>
        <v>0</v>
      </c>
      <c r="AN1669" s="1707">
        <f t="shared" si="986"/>
        <v>0</v>
      </c>
      <c r="AO1669" s="1707">
        <f t="shared" si="986"/>
        <v>0</v>
      </c>
      <c r="AP1669" s="1707">
        <f t="shared" si="986"/>
        <v>0</v>
      </c>
      <c r="AQ1669" s="1708">
        <f t="shared" si="986"/>
        <v>0</v>
      </c>
    </row>
    <row r="1670" spans="2:43" ht="14.4" hidden="1" customHeight="1" thickBot="1" x14ac:dyDescent="0.25">
      <c r="B1670" s="1198">
        <f t="shared" si="983"/>
        <v>0</v>
      </c>
      <c r="C1670" s="1199">
        <f t="shared" si="983"/>
        <v>0</v>
      </c>
      <c r="D1670" s="1199"/>
      <c r="E1670" s="1209"/>
      <c r="F1670" s="1199"/>
      <c r="G1670" s="1199"/>
      <c r="H1670" s="1209"/>
      <c r="I1670" s="1709">
        <f t="shared" si="984"/>
        <v>0</v>
      </c>
      <c r="J1670" s="1709">
        <f t="shared" si="984"/>
        <v>0</v>
      </c>
      <c r="K1670" s="1709">
        <f t="shared" si="984"/>
        <v>0</v>
      </c>
      <c r="L1670" s="1709">
        <f t="shared" si="984"/>
        <v>0</v>
      </c>
      <c r="M1670" s="1709">
        <f t="shared" si="984"/>
        <v>0</v>
      </c>
      <c r="N1670" s="1709">
        <f t="shared" si="984"/>
        <v>0</v>
      </c>
      <c r="O1670" s="1709">
        <f t="shared" si="984"/>
        <v>0</v>
      </c>
      <c r="P1670" s="1709">
        <f t="shared" si="984"/>
        <v>0</v>
      </c>
      <c r="Q1670" s="1709">
        <f t="shared" si="984"/>
        <v>0</v>
      </c>
      <c r="R1670" s="1709">
        <f t="shared" si="984"/>
        <v>0</v>
      </c>
      <c r="S1670" s="1709">
        <f t="shared" si="984"/>
        <v>0</v>
      </c>
      <c r="T1670" s="1710">
        <f t="shared" si="984"/>
        <v>0</v>
      </c>
      <c r="Y1670" s="1198"/>
      <c r="Z1670" s="1199">
        <f t="shared" si="985"/>
        <v>0</v>
      </c>
      <c r="AA1670" s="1199"/>
      <c r="AB1670" s="1209"/>
      <c r="AC1670" s="1199"/>
      <c r="AD1670" s="1199"/>
      <c r="AE1670" s="1209"/>
      <c r="AF1670" s="1709">
        <f t="shared" si="986"/>
        <v>0</v>
      </c>
      <c r="AG1670" s="1709">
        <f t="shared" si="986"/>
        <v>0</v>
      </c>
      <c r="AH1670" s="1709">
        <f t="shared" si="986"/>
        <v>0</v>
      </c>
      <c r="AI1670" s="1709">
        <f t="shared" si="986"/>
        <v>0</v>
      </c>
      <c r="AJ1670" s="1709">
        <f t="shared" si="986"/>
        <v>0</v>
      </c>
      <c r="AK1670" s="1709">
        <f t="shared" si="986"/>
        <v>0</v>
      </c>
      <c r="AL1670" s="1709">
        <f t="shared" si="986"/>
        <v>0</v>
      </c>
      <c r="AM1670" s="1709">
        <f t="shared" si="986"/>
        <v>0</v>
      </c>
      <c r="AN1670" s="1709">
        <f t="shared" si="986"/>
        <v>0</v>
      </c>
      <c r="AO1670" s="1709">
        <f t="shared" si="986"/>
        <v>0</v>
      </c>
      <c r="AP1670" s="1709">
        <f t="shared" si="986"/>
        <v>0</v>
      </c>
      <c r="AQ1670" s="1710">
        <f t="shared" si="986"/>
        <v>0</v>
      </c>
    </row>
    <row r="1671" spans="2:43" ht="15.05" hidden="1" customHeight="1" thickTop="1" thickBot="1" x14ac:dyDescent="0.25">
      <c r="B1671" s="1711" t="s">
        <v>705</v>
      </c>
      <c r="C1671" s="1712"/>
      <c r="D1671" s="1712"/>
      <c r="E1671" s="1712"/>
      <c r="F1671" s="1712"/>
      <c r="G1671" s="1712"/>
      <c r="H1671" s="1713" t="s">
        <v>230</v>
      </c>
      <c r="I1671" s="1715">
        <f t="shared" ref="I1671:T1671" si="987">+SUMPRODUCT(I1642:I1670,$C$1642:$C$1670)</f>
        <v>0</v>
      </c>
      <c r="J1671" s="1715">
        <f t="shared" si="987"/>
        <v>0</v>
      </c>
      <c r="K1671" s="1715">
        <f t="shared" si="987"/>
        <v>0</v>
      </c>
      <c r="L1671" s="1715">
        <f t="shared" si="987"/>
        <v>0</v>
      </c>
      <c r="M1671" s="1715">
        <f t="shared" si="987"/>
        <v>0</v>
      </c>
      <c r="N1671" s="1715">
        <f t="shared" si="987"/>
        <v>0</v>
      </c>
      <c r="O1671" s="1715">
        <f t="shared" si="987"/>
        <v>0</v>
      </c>
      <c r="P1671" s="1715">
        <f t="shared" si="987"/>
        <v>0</v>
      </c>
      <c r="Q1671" s="1715">
        <f t="shared" si="987"/>
        <v>0</v>
      </c>
      <c r="R1671" s="1715">
        <f t="shared" si="987"/>
        <v>0</v>
      </c>
      <c r="S1671" s="1715">
        <f t="shared" si="987"/>
        <v>0</v>
      </c>
      <c r="T1671" s="1716">
        <f t="shared" si="987"/>
        <v>0</v>
      </c>
      <c r="Y1671" s="1711" t="s">
        <v>705</v>
      </c>
      <c r="Z1671" s="1712"/>
      <c r="AA1671" s="1712"/>
      <c r="AB1671" s="1712"/>
      <c r="AC1671" s="1712"/>
      <c r="AD1671" s="1712"/>
      <c r="AE1671" s="1719" t="s">
        <v>230</v>
      </c>
      <c r="AF1671" s="1715">
        <f t="shared" ref="AF1671:AQ1671" si="988">+SUMPRODUCT(AF1642:AF1670,$C$1642:$C$1670)</f>
        <v>0</v>
      </c>
      <c r="AG1671" s="1715">
        <f t="shared" si="988"/>
        <v>0</v>
      </c>
      <c r="AH1671" s="1715">
        <f t="shared" si="988"/>
        <v>0</v>
      </c>
      <c r="AI1671" s="1715">
        <f t="shared" si="988"/>
        <v>0</v>
      </c>
      <c r="AJ1671" s="1715">
        <f t="shared" si="988"/>
        <v>0</v>
      </c>
      <c r="AK1671" s="1715">
        <f t="shared" si="988"/>
        <v>0</v>
      </c>
      <c r="AL1671" s="1715">
        <f t="shared" si="988"/>
        <v>0</v>
      </c>
      <c r="AM1671" s="1715">
        <f t="shared" si="988"/>
        <v>0</v>
      </c>
      <c r="AN1671" s="1715">
        <f t="shared" si="988"/>
        <v>0</v>
      </c>
      <c r="AO1671" s="1715">
        <f t="shared" si="988"/>
        <v>0</v>
      </c>
      <c r="AP1671" s="1715">
        <f t="shared" si="988"/>
        <v>0</v>
      </c>
      <c r="AQ1671" s="1716">
        <f t="shared" si="988"/>
        <v>0</v>
      </c>
    </row>
    <row r="1672" spans="2:43" ht="14.4" hidden="1" customHeight="1" thickTop="1" x14ac:dyDescent="0.2">
      <c r="B1672" s="1594"/>
      <c r="C1672" s="193"/>
      <c r="D1672" s="193"/>
      <c r="E1672" s="193"/>
      <c r="F1672" s="193"/>
      <c r="G1672" s="193"/>
      <c r="H1672" s="982" t="s">
        <v>698</v>
      </c>
      <c r="I1672" s="1205">
        <f t="shared" ref="I1672:T1672" si="989">IFERROR(I1671*I1638/I1640,0)</f>
        <v>0</v>
      </c>
      <c r="J1672" s="1205">
        <f t="shared" si="989"/>
        <v>0</v>
      </c>
      <c r="K1672" s="1205">
        <f t="shared" si="989"/>
        <v>0</v>
      </c>
      <c r="L1672" s="1205">
        <f t="shared" si="989"/>
        <v>0</v>
      </c>
      <c r="M1672" s="1205">
        <f t="shared" si="989"/>
        <v>0</v>
      </c>
      <c r="N1672" s="1205">
        <f t="shared" si="989"/>
        <v>0</v>
      </c>
      <c r="O1672" s="1205">
        <f t="shared" si="989"/>
        <v>0</v>
      </c>
      <c r="P1672" s="1205">
        <f t="shared" si="989"/>
        <v>0</v>
      </c>
      <c r="Q1672" s="1205">
        <f t="shared" si="989"/>
        <v>0</v>
      </c>
      <c r="R1672" s="1205">
        <f t="shared" si="989"/>
        <v>0</v>
      </c>
      <c r="S1672" s="1205">
        <f t="shared" si="989"/>
        <v>0</v>
      </c>
      <c r="T1672" s="1714">
        <f t="shared" si="989"/>
        <v>0</v>
      </c>
      <c r="Y1672" s="1594"/>
      <c r="Z1672" s="193"/>
      <c r="AA1672" s="193"/>
      <c r="AB1672" s="193"/>
      <c r="AC1672" s="193"/>
      <c r="AD1672" s="193"/>
      <c r="AE1672" s="1720" t="s">
        <v>698</v>
      </c>
      <c r="AF1672" s="1205">
        <f t="shared" ref="AF1672:AQ1672" si="990">IFERROR(AF1671*AF1638/AF1640,0)</f>
        <v>0</v>
      </c>
      <c r="AG1672" s="1205">
        <f t="shared" si="990"/>
        <v>0</v>
      </c>
      <c r="AH1672" s="1205">
        <f t="shared" si="990"/>
        <v>0</v>
      </c>
      <c r="AI1672" s="1205">
        <f t="shared" si="990"/>
        <v>0</v>
      </c>
      <c r="AJ1672" s="1205">
        <f t="shared" si="990"/>
        <v>0</v>
      </c>
      <c r="AK1672" s="1205">
        <f t="shared" si="990"/>
        <v>0</v>
      </c>
      <c r="AL1672" s="1205">
        <f t="shared" si="990"/>
        <v>0</v>
      </c>
      <c r="AM1672" s="1205">
        <f t="shared" si="990"/>
        <v>0</v>
      </c>
      <c r="AN1672" s="1205">
        <f t="shared" si="990"/>
        <v>0</v>
      </c>
      <c r="AO1672" s="1205">
        <f t="shared" si="990"/>
        <v>0</v>
      </c>
      <c r="AP1672" s="1205">
        <f t="shared" si="990"/>
        <v>0</v>
      </c>
      <c r="AQ1672" s="1714">
        <f t="shared" si="990"/>
        <v>0</v>
      </c>
    </row>
    <row r="1673" spans="2:43" ht="14.4" hidden="1" customHeight="1" thickBot="1" x14ac:dyDescent="0.25">
      <c r="B1673" s="1596"/>
      <c r="C1673" s="1199"/>
      <c r="D1673" s="1199"/>
      <c r="E1673" s="1199"/>
      <c r="F1673" s="1199"/>
      <c r="G1673" s="1199"/>
      <c r="H1673" s="1717" t="s">
        <v>699</v>
      </c>
      <c r="I1673" s="1590">
        <f>+I1671-I1672</f>
        <v>0</v>
      </c>
      <c r="J1673" s="1590">
        <f t="shared" ref="J1673:T1673" si="991">+J1671-J1672</f>
        <v>0</v>
      </c>
      <c r="K1673" s="1590">
        <f t="shared" si="991"/>
        <v>0</v>
      </c>
      <c r="L1673" s="1590">
        <f t="shared" si="991"/>
        <v>0</v>
      </c>
      <c r="M1673" s="1590">
        <f t="shared" si="991"/>
        <v>0</v>
      </c>
      <c r="N1673" s="1590">
        <f t="shared" si="991"/>
        <v>0</v>
      </c>
      <c r="O1673" s="1590">
        <f t="shared" si="991"/>
        <v>0</v>
      </c>
      <c r="P1673" s="1590">
        <f t="shared" si="991"/>
        <v>0</v>
      </c>
      <c r="Q1673" s="1590">
        <f t="shared" si="991"/>
        <v>0</v>
      </c>
      <c r="R1673" s="1590">
        <f t="shared" si="991"/>
        <v>0</v>
      </c>
      <c r="S1673" s="1590">
        <f t="shared" si="991"/>
        <v>0</v>
      </c>
      <c r="T1673" s="1655">
        <f t="shared" si="991"/>
        <v>0</v>
      </c>
      <c r="Y1673" s="1596"/>
      <c r="Z1673" s="1199"/>
      <c r="AA1673" s="1199"/>
      <c r="AB1673" s="1199"/>
      <c r="AC1673" s="1199"/>
      <c r="AD1673" s="1199"/>
      <c r="AE1673" s="1721" t="s">
        <v>699</v>
      </c>
      <c r="AF1673" s="1590">
        <f>+AF1671-AF1672</f>
        <v>0</v>
      </c>
      <c r="AG1673" s="1590">
        <f t="shared" ref="AG1673:AQ1673" si="992">+AG1671-AG1672</f>
        <v>0</v>
      </c>
      <c r="AH1673" s="1590">
        <f t="shared" si="992"/>
        <v>0</v>
      </c>
      <c r="AI1673" s="1590">
        <f t="shared" si="992"/>
        <v>0</v>
      </c>
      <c r="AJ1673" s="1590">
        <f t="shared" si="992"/>
        <v>0</v>
      </c>
      <c r="AK1673" s="1590">
        <f t="shared" si="992"/>
        <v>0</v>
      </c>
      <c r="AL1673" s="1590">
        <f t="shared" si="992"/>
        <v>0</v>
      </c>
      <c r="AM1673" s="1590">
        <f t="shared" si="992"/>
        <v>0</v>
      </c>
      <c r="AN1673" s="1590">
        <f t="shared" si="992"/>
        <v>0</v>
      </c>
      <c r="AO1673" s="1590">
        <f t="shared" si="992"/>
        <v>0</v>
      </c>
      <c r="AP1673" s="1590">
        <f t="shared" si="992"/>
        <v>0</v>
      </c>
      <c r="AQ1673" s="1655">
        <f t="shared" si="992"/>
        <v>0</v>
      </c>
    </row>
    <row r="1674" spans="2:43" ht="14.4" hidden="1" customHeight="1" thickTop="1" x14ac:dyDescent="0.2">
      <c r="B1674" s="1584" t="s">
        <v>795</v>
      </c>
      <c r="C1674" s="1581">
        <f>+C1470</f>
        <v>0</v>
      </c>
      <c r="D1674" s="1194"/>
      <c r="E1674" s="1194"/>
      <c r="F1674" s="1194"/>
      <c r="G1674" s="1194" t="s">
        <v>247</v>
      </c>
      <c r="H1674" s="1194" t="s">
        <v>691</v>
      </c>
      <c r="I1674" s="1668">
        <f t="shared" ref="I1674:T1674" si="993">+I1471</f>
        <v>0</v>
      </c>
      <c r="J1674" s="1668">
        <f t="shared" si="993"/>
        <v>0</v>
      </c>
      <c r="K1674" s="1668">
        <f t="shared" si="993"/>
        <v>0</v>
      </c>
      <c r="L1674" s="1668">
        <f t="shared" si="993"/>
        <v>0</v>
      </c>
      <c r="M1674" s="1668">
        <f t="shared" si="993"/>
        <v>0</v>
      </c>
      <c r="N1674" s="1668">
        <f t="shared" si="993"/>
        <v>0</v>
      </c>
      <c r="O1674" s="1668">
        <f t="shared" si="993"/>
        <v>0</v>
      </c>
      <c r="P1674" s="1668">
        <f t="shared" si="993"/>
        <v>0</v>
      </c>
      <c r="Q1674" s="1668">
        <f t="shared" si="993"/>
        <v>0</v>
      </c>
      <c r="R1674" s="1668">
        <f t="shared" si="993"/>
        <v>0</v>
      </c>
      <c r="S1674" s="1668">
        <f t="shared" si="993"/>
        <v>0</v>
      </c>
      <c r="T1674" s="1704">
        <f t="shared" si="993"/>
        <v>0</v>
      </c>
      <c r="Y1674" s="1722" t="s">
        <v>795</v>
      </c>
      <c r="Z1674" s="1581">
        <f>+Z1470</f>
        <v>0</v>
      </c>
      <c r="AA1674" s="1194"/>
      <c r="AB1674" s="1194"/>
      <c r="AC1674" s="1194"/>
      <c r="AD1674" s="1194" t="str">
        <f t="shared" ref="AD1674:AE1676" si="994">+AC1494</f>
        <v xml:space="preserve">U$S </v>
      </c>
      <c r="AE1674" s="1194" t="str">
        <f t="shared" si="994"/>
        <v>lechería</v>
      </c>
      <c r="AF1674" s="1668">
        <f t="shared" ref="AF1674:AQ1674" si="995">+AF1471</f>
        <v>0</v>
      </c>
      <c r="AG1674" s="1668">
        <f t="shared" si="995"/>
        <v>0</v>
      </c>
      <c r="AH1674" s="1668">
        <f t="shared" si="995"/>
        <v>0</v>
      </c>
      <c r="AI1674" s="1668">
        <f t="shared" si="995"/>
        <v>0</v>
      </c>
      <c r="AJ1674" s="1668">
        <f t="shared" si="995"/>
        <v>0</v>
      </c>
      <c r="AK1674" s="1668">
        <f t="shared" si="995"/>
        <v>0</v>
      </c>
      <c r="AL1674" s="1668">
        <f t="shared" si="995"/>
        <v>0</v>
      </c>
      <c r="AM1674" s="1668">
        <f t="shared" si="995"/>
        <v>0</v>
      </c>
      <c r="AN1674" s="1668">
        <f t="shared" si="995"/>
        <v>0</v>
      </c>
      <c r="AO1674" s="1668">
        <f t="shared" si="995"/>
        <v>0</v>
      </c>
      <c r="AP1674" s="1668">
        <f t="shared" si="995"/>
        <v>0</v>
      </c>
      <c r="AQ1674" s="1704">
        <f t="shared" si="995"/>
        <v>0</v>
      </c>
    </row>
    <row r="1675" spans="2:43" ht="13.75" hidden="1" customHeight="1" x14ac:dyDescent="0.2">
      <c r="B1675" s="1594"/>
      <c r="C1675" s="193"/>
      <c r="D1675" s="193"/>
      <c r="E1675" s="193"/>
      <c r="F1675" s="193"/>
      <c r="G1675" s="193" t="s">
        <v>344</v>
      </c>
      <c r="H1675" s="193" t="s">
        <v>693</v>
      </c>
      <c r="I1675" s="1283">
        <f t="shared" ref="I1675:T1675" si="996">+I1472</f>
        <v>0</v>
      </c>
      <c r="J1675" s="1283">
        <f t="shared" si="996"/>
        <v>0</v>
      </c>
      <c r="K1675" s="1283">
        <f t="shared" si="996"/>
        <v>0</v>
      </c>
      <c r="L1675" s="1283">
        <f t="shared" si="996"/>
        <v>0</v>
      </c>
      <c r="M1675" s="1283">
        <f t="shared" si="996"/>
        <v>0</v>
      </c>
      <c r="N1675" s="1283">
        <f t="shared" si="996"/>
        <v>0</v>
      </c>
      <c r="O1675" s="1283">
        <f t="shared" si="996"/>
        <v>0</v>
      </c>
      <c r="P1675" s="1283">
        <f t="shared" si="996"/>
        <v>0</v>
      </c>
      <c r="Q1675" s="1283">
        <f t="shared" si="996"/>
        <v>0</v>
      </c>
      <c r="R1675" s="1283">
        <f t="shared" si="996"/>
        <v>0</v>
      </c>
      <c r="S1675" s="1283">
        <f t="shared" si="996"/>
        <v>0</v>
      </c>
      <c r="T1675" s="1601">
        <f t="shared" si="996"/>
        <v>0</v>
      </c>
      <c r="Y1675" s="1594"/>
      <c r="Z1675" s="193"/>
      <c r="AA1675" s="193"/>
      <c r="AB1675" s="193"/>
      <c r="AC1675" s="193"/>
      <c r="AD1675" s="193" t="str">
        <f t="shared" si="994"/>
        <v>U$S</v>
      </c>
      <c r="AE1675" s="193" t="str">
        <f t="shared" si="994"/>
        <v>ganadería</v>
      </c>
      <c r="AF1675" s="1283">
        <f t="shared" ref="AF1675:AQ1675" si="997">+AF1472</f>
        <v>0</v>
      </c>
      <c r="AG1675" s="1283">
        <f t="shared" si="997"/>
        <v>0</v>
      </c>
      <c r="AH1675" s="1283">
        <f t="shared" si="997"/>
        <v>0</v>
      </c>
      <c r="AI1675" s="1283">
        <f t="shared" si="997"/>
        <v>0</v>
      </c>
      <c r="AJ1675" s="1283">
        <f t="shared" si="997"/>
        <v>0</v>
      </c>
      <c r="AK1675" s="1283">
        <f t="shared" si="997"/>
        <v>0</v>
      </c>
      <c r="AL1675" s="1283">
        <f t="shared" si="997"/>
        <v>0</v>
      </c>
      <c r="AM1675" s="1283">
        <f t="shared" si="997"/>
        <v>0</v>
      </c>
      <c r="AN1675" s="1283">
        <f t="shared" si="997"/>
        <v>0</v>
      </c>
      <c r="AO1675" s="1283">
        <f t="shared" si="997"/>
        <v>0</v>
      </c>
      <c r="AP1675" s="1283">
        <f t="shared" si="997"/>
        <v>0</v>
      </c>
      <c r="AQ1675" s="1601">
        <f t="shared" si="997"/>
        <v>0</v>
      </c>
    </row>
    <row r="1676" spans="2:43" ht="14.4" hidden="1" customHeight="1" thickBot="1" x14ac:dyDescent="0.25">
      <c r="B1676" s="1596"/>
      <c r="C1676" s="1199"/>
      <c r="D1676" s="1199"/>
      <c r="E1676" s="1199"/>
      <c r="F1676" s="1199"/>
      <c r="G1676" s="1199" t="s">
        <v>344</v>
      </c>
      <c r="H1676" s="1199" t="s">
        <v>694</v>
      </c>
      <c r="I1676" s="1590">
        <f t="shared" ref="I1676:T1676" si="998">+I1473</f>
        <v>0</v>
      </c>
      <c r="J1676" s="1590">
        <f t="shared" si="998"/>
        <v>0</v>
      </c>
      <c r="K1676" s="1590">
        <f t="shared" si="998"/>
        <v>0</v>
      </c>
      <c r="L1676" s="1590">
        <f t="shared" si="998"/>
        <v>0</v>
      </c>
      <c r="M1676" s="1590">
        <f t="shared" si="998"/>
        <v>0</v>
      </c>
      <c r="N1676" s="1590">
        <f t="shared" si="998"/>
        <v>0</v>
      </c>
      <c r="O1676" s="1590">
        <f t="shared" si="998"/>
        <v>0</v>
      </c>
      <c r="P1676" s="1590">
        <f t="shared" si="998"/>
        <v>0</v>
      </c>
      <c r="Q1676" s="1590">
        <f t="shared" si="998"/>
        <v>0</v>
      </c>
      <c r="R1676" s="1590">
        <f t="shared" si="998"/>
        <v>0</v>
      </c>
      <c r="S1676" s="1590">
        <f t="shared" si="998"/>
        <v>0</v>
      </c>
      <c r="T1676" s="1655">
        <f t="shared" si="998"/>
        <v>0</v>
      </c>
      <c r="Y1676" s="1596"/>
      <c r="Z1676" s="1199"/>
      <c r="AA1676" s="1199"/>
      <c r="AB1676" s="1199"/>
      <c r="AC1676" s="1199"/>
      <c r="AD1676" s="1199">
        <f t="shared" si="994"/>
        <v>0</v>
      </c>
      <c r="AE1676" s="1199">
        <f t="shared" si="994"/>
        <v>0</v>
      </c>
      <c r="AF1676" s="1590">
        <f t="shared" ref="AF1676:AQ1676" si="999">+AF1473</f>
        <v>0</v>
      </c>
      <c r="AG1676" s="1590">
        <f t="shared" si="999"/>
        <v>0</v>
      </c>
      <c r="AH1676" s="1590">
        <f t="shared" si="999"/>
        <v>0</v>
      </c>
      <c r="AI1676" s="1590">
        <f t="shared" si="999"/>
        <v>0</v>
      </c>
      <c r="AJ1676" s="1590">
        <f t="shared" si="999"/>
        <v>0</v>
      </c>
      <c r="AK1676" s="1590">
        <f t="shared" si="999"/>
        <v>0</v>
      </c>
      <c r="AL1676" s="1590">
        <f t="shared" si="999"/>
        <v>0</v>
      </c>
      <c r="AM1676" s="1590">
        <f t="shared" si="999"/>
        <v>0</v>
      </c>
      <c r="AN1676" s="1590">
        <f t="shared" si="999"/>
        <v>0</v>
      </c>
      <c r="AO1676" s="1590">
        <f t="shared" si="999"/>
        <v>0</v>
      </c>
      <c r="AP1676" s="1590">
        <f t="shared" si="999"/>
        <v>0</v>
      </c>
      <c r="AQ1676" s="1655">
        <f t="shared" si="999"/>
        <v>0</v>
      </c>
    </row>
    <row r="1677" spans="2:43" ht="14.4" hidden="1" customHeight="1" thickTop="1" x14ac:dyDescent="0.2">
      <c r="B1677" s="1584" t="s">
        <v>2019</v>
      </c>
      <c r="C1677" s="1194" t="s">
        <v>2018</v>
      </c>
      <c r="D1677" s="1194"/>
      <c r="E1677" s="1194"/>
      <c r="F1677" s="1194"/>
      <c r="G1677" s="1194"/>
      <c r="H1677" s="1210"/>
      <c r="I1677" s="1194"/>
      <c r="J1677" s="1194"/>
      <c r="K1677" s="1194"/>
      <c r="L1677" s="1194"/>
      <c r="M1677" s="1194"/>
      <c r="N1677" s="1194"/>
      <c r="O1677" s="1194"/>
      <c r="P1677" s="1194"/>
      <c r="Q1677" s="1194"/>
      <c r="R1677" s="1194"/>
      <c r="S1677" s="1194"/>
      <c r="T1677" s="1599"/>
      <c r="Y1677" s="1584" t="s">
        <v>2019</v>
      </c>
      <c r="Z1677" s="1194" t="s">
        <v>2018</v>
      </c>
      <c r="AA1677" s="1194"/>
      <c r="AB1677" s="1194"/>
      <c r="AC1677" s="1194"/>
      <c r="AD1677" s="1194"/>
      <c r="AE1677" s="1210"/>
      <c r="AF1677" s="1194"/>
      <c r="AG1677" s="1194"/>
      <c r="AH1677" s="1194"/>
      <c r="AI1677" s="1194"/>
      <c r="AJ1677" s="1194"/>
      <c r="AK1677" s="1194"/>
      <c r="AL1677" s="1194"/>
      <c r="AM1677" s="1194"/>
      <c r="AN1677" s="1194"/>
      <c r="AO1677" s="1194"/>
      <c r="AP1677" s="1194"/>
      <c r="AQ1677" s="1599"/>
    </row>
    <row r="1678" spans="2:43" ht="13.75" hidden="1" customHeight="1" x14ac:dyDescent="0.2">
      <c r="B1678" s="1195" t="s">
        <v>2021</v>
      </c>
      <c r="C1678" s="193">
        <f t="shared" ref="C1678:C1691" si="1000">+C1642</f>
        <v>5</v>
      </c>
      <c r="D1678" s="193"/>
      <c r="E1678" s="254"/>
      <c r="F1678" s="193"/>
      <c r="G1678" s="193"/>
      <c r="H1678" s="254"/>
      <c r="I1678" s="1705">
        <f>SUMIF($V$87:$V$119,$B1642&amp;"propia",I$87:I$119)</f>
        <v>0</v>
      </c>
      <c r="J1678" s="1705">
        <f t="shared" ref="J1678:T1678" si="1001">SUMIF($V$87:$V$119,$B1642&amp;"propia",J$87:J$119)</f>
        <v>0</v>
      </c>
      <c r="K1678" s="1705">
        <f t="shared" si="1001"/>
        <v>0</v>
      </c>
      <c r="L1678" s="1705">
        <f t="shared" si="1001"/>
        <v>0</v>
      </c>
      <c r="M1678" s="1705">
        <f t="shared" si="1001"/>
        <v>0</v>
      </c>
      <c r="N1678" s="1705">
        <f t="shared" si="1001"/>
        <v>0</v>
      </c>
      <c r="O1678" s="1705">
        <f t="shared" si="1001"/>
        <v>0</v>
      </c>
      <c r="P1678" s="1705">
        <f t="shared" si="1001"/>
        <v>0</v>
      </c>
      <c r="Q1678" s="1705">
        <f t="shared" si="1001"/>
        <v>0</v>
      </c>
      <c r="R1678" s="1705">
        <f t="shared" si="1001"/>
        <v>0</v>
      </c>
      <c r="S1678" s="1705">
        <f t="shared" si="1001"/>
        <v>0</v>
      </c>
      <c r="T1678" s="1705">
        <f t="shared" si="1001"/>
        <v>0</v>
      </c>
      <c r="Y1678" s="1195" t="s">
        <v>2021</v>
      </c>
      <c r="Z1678" s="193">
        <f t="shared" ref="Z1678:Z1706" si="1002">+Z1642</f>
        <v>5</v>
      </c>
      <c r="AA1678" s="193"/>
      <c r="AB1678" s="254"/>
      <c r="AC1678" s="193"/>
      <c r="AD1678" s="193"/>
      <c r="AE1678" s="254"/>
      <c r="AF1678" s="1705">
        <f>SUMIF($AS$86:$AS$119,$B1642&amp;"propia",AF$86:AF$119)</f>
        <v>0</v>
      </c>
      <c r="AG1678" s="1705">
        <f t="shared" ref="AG1678:AQ1678" si="1003">SUMIF($AS$86:$AS$119,$B1642&amp;"propia",AG$86:AG$119)</f>
        <v>0</v>
      </c>
      <c r="AH1678" s="1705">
        <f t="shared" si="1003"/>
        <v>0</v>
      </c>
      <c r="AI1678" s="1705">
        <f t="shared" si="1003"/>
        <v>0</v>
      </c>
      <c r="AJ1678" s="1705">
        <f t="shared" si="1003"/>
        <v>0</v>
      </c>
      <c r="AK1678" s="1705">
        <f t="shared" si="1003"/>
        <v>0</v>
      </c>
      <c r="AL1678" s="1705">
        <f t="shared" si="1003"/>
        <v>0</v>
      </c>
      <c r="AM1678" s="1705">
        <f t="shared" si="1003"/>
        <v>0</v>
      </c>
      <c r="AN1678" s="1705">
        <f t="shared" si="1003"/>
        <v>0</v>
      </c>
      <c r="AO1678" s="1705">
        <f t="shared" si="1003"/>
        <v>0</v>
      </c>
      <c r="AP1678" s="1705">
        <f t="shared" si="1003"/>
        <v>0</v>
      </c>
      <c r="AQ1678" s="1706">
        <f t="shared" si="1003"/>
        <v>0</v>
      </c>
    </row>
    <row r="1679" spans="2:43" ht="13.75" hidden="1" customHeight="1" x14ac:dyDescent="0.2">
      <c r="B1679" s="1195"/>
      <c r="C1679" s="193">
        <f t="shared" si="1000"/>
        <v>5</v>
      </c>
      <c r="D1679" s="193"/>
      <c r="E1679" s="254"/>
      <c r="F1679" s="193"/>
      <c r="G1679" s="193"/>
      <c r="H1679" s="254"/>
      <c r="I1679" s="1705">
        <f t="shared" ref="I1679:T1679" si="1004">SUMIF($V$87:$V$119,$B1643&amp;"propia",I$87:I$119)</f>
        <v>0</v>
      </c>
      <c r="J1679" s="1705">
        <f t="shared" si="1004"/>
        <v>0</v>
      </c>
      <c r="K1679" s="1705">
        <f t="shared" si="1004"/>
        <v>0</v>
      </c>
      <c r="L1679" s="1705">
        <f t="shared" si="1004"/>
        <v>0</v>
      </c>
      <c r="M1679" s="1705">
        <f t="shared" si="1004"/>
        <v>0</v>
      </c>
      <c r="N1679" s="1705">
        <f>SUMIF($V$87:$V$119,$B1643&amp;"propia",N$87:N$119)</f>
        <v>0</v>
      </c>
      <c r="O1679" s="1705">
        <f t="shared" si="1004"/>
        <v>0</v>
      </c>
      <c r="P1679" s="1705">
        <f t="shared" si="1004"/>
        <v>0</v>
      </c>
      <c r="Q1679" s="1705">
        <f t="shared" si="1004"/>
        <v>0</v>
      </c>
      <c r="R1679" s="1705">
        <f t="shared" si="1004"/>
        <v>0</v>
      </c>
      <c r="S1679" s="1705">
        <f t="shared" si="1004"/>
        <v>0</v>
      </c>
      <c r="T1679" s="1705">
        <f t="shared" si="1004"/>
        <v>0</v>
      </c>
      <c r="Y1679" s="1195"/>
      <c r="Z1679" s="193">
        <f t="shared" si="1002"/>
        <v>5</v>
      </c>
      <c r="AA1679" s="193"/>
      <c r="AB1679" s="254"/>
      <c r="AC1679" s="193"/>
      <c r="AD1679" s="193"/>
      <c r="AE1679" s="254"/>
      <c r="AF1679" s="1707">
        <f t="shared" ref="AF1679:AQ1679" si="1005">SUMIF($AS$86:$AS$119,$B1643&amp;"propia",AF$86:AF$119)</f>
        <v>0</v>
      </c>
      <c r="AG1679" s="1707">
        <f t="shared" si="1005"/>
        <v>0</v>
      </c>
      <c r="AH1679" s="1707">
        <f t="shared" si="1005"/>
        <v>0</v>
      </c>
      <c r="AI1679" s="1707">
        <f t="shared" si="1005"/>
        <v>0</v>
      </c>
      <c r="AJ1679" s="1707">
        <f t="shared" si="1005"/>
        <v>0</v>
      </c>
      <c r="AK1679" s="1707">
        <f t="shared" si="1005"/>
        <v>0</v>
      </c>
      <c r="AL1679" s="1707">
        <f t="shared" si="1005"/>
        <v>0</v>
      </c>
      <c r="AM1679" s="1707">
        <f t="shared" si="1005"/>
        <v>0</v>
      </c>
      <c r="AN1679" s="1707">
        <f t="shared" si="1005"/>
        <v>0</v>
      </c>
      <c r="AO1679" s="1707">
        <f t="shared" si="1005"/>
        <v>0</v>
      </c>
      <c r="AP1679" s="1707">
        <f t="shared" si="1005"/>
        <v>0</v>
      </c>
      <c r="AQ1679" s="1708">
        <f t="shared" si="1005"/>
        <v>0</v>
      </c>
    </row>
    <row r="1680" spans="2:43" ht="13.75" hidden="1" customHeight="1" x14ac:dyDescent="0.2">
      <c r="B1680" s="1195"/>
      <c r="C1680" s="193">
        <f t="shared" si="1000"/>
        <v>1.5</v>
      </c>
      <c r="D1680" s="193"/>
      <c r="E1680" s="254"/>
      <c r="F1680" s="193"/>
      <c r="G1680" s="193"/>
      <c r="H1680" s="254"/>
      <c r="I1680" s="1705">
        <f t="shared" ref="I1680:T1680" si="1006">SUMIF($V$87:$V$119,$B1644&amp;"propia",I$87:I$119)</f>
        <v>0</v>
      </c>
      <c r="J1680" s="1705">
        <f t="shared" si="1006"/>
        <v>0</v>
      </c>
      <c r="K1680" s="1705">
        <f t="shared" si="1006"/>
        <v>0</v>
      </c>
      <c r="L1680" s="1705">
        <f t="shared" si="1006"/>
        <v>0</v>
      </c>
      <c r="M1680" s="1705">
        <f t="shared" si="1006"/>
        <v>0</v>
      </c>
      <c r="N1680" s="1705">
        <f t="shared" si="1006"/>
        <v>0</v>
      </c>
      <c r="O1680" s="1705">
        <f t="shared" si="1006"/>
        <v>0</v>
      </c>
      <c r="P1680" s="1705">
        <f t="shared" si="1006"/>
        <v>0</v>
      </c>
      <c r="Q1680" s="1705">
        <f t="shared" si="1006"/>
        <v>0</v>
      </c>
      <c r="R1680" s="1705">
        <f t="shared" si="1006"/>
        <v>0</v>
      </c>
      <c r="S1680" s="1705">
        <f t="shared" si="1006"/>
        <v>0</v>
      </c>
      <c r="T1680" s="1705">
        <f t="shared" si="1006"/>
        <v>0</v>
      </c>
      <c r="Y1680" s="1195"/>
      <c r="Z1680" s="193">
        <f t="shared" si="1002"/>
        <v>1.5</v>
      </c>
      <c r="AA1680" s="193"/>
      <c r="AB1680" s="254"/>
      <c r="AC1680" s="193"/>
      <c r="AD1680" s="193"/>
      <c r="AE1680" s="254"/>
      <c r="AF1680" s="1707">
        <f t="shared" ref="AF1680:AQ1680" si="1007">SUMIF($AS$86:$AS$119,$B1644&amp;"propia",AF$86:AF$119)</f>
        <v>0</v>
      </c>
      <c r="AG1680" s="1707">
        <f t="shared" si="1007"/>
        <v>0</v>
      </c>
      <c r="AH1680" s="1707">
        <f t="shared" si="1007"/>
        <v>0</v>
      </c>
      <c r="AI1680" s="1707">
        <f t="shared" si="1007"/>
        <v>0</v>
      </c>
      <c r="AJ1680" s="1707">
        <f t="shared" si="1007"/>
        <v>0</v>
      </c>
      <c r="AK1680" s="1707">
        <f t="shared" si="1007"/>
        <v>0</v>
      </c>
      <c r="AL1680" s="1707">
        <f t="shared" si="1007"/>
        <v>0</v>
      </c>
      <c r="AM1680" s="1707">
        <f t="shared" si="1007"/>
        <v>0</v>
      </c>
      <c r="AN1680" s="1707">
        <f t="shared" si="1007"/>
        <v>0</v>
      </c>
      <c r="AO1680" s="1707">
        <f t="shared" si="1007"/>
        <v>0</v>
      </c>
      <c r="AP1680" s="1707">
        <f t="shared" si="1007"/>
        <v>0</v>
      </c>
      <c r="AQ1680" s="1708">
        <f t="shared" si="1007"/>
        <v>0</v>
      </c>
    </row>
    <row r="1681" spans="2:43" ht="13.75" hidden="1" customHeight="1" x14ac:dyDescent="0.2">
      <c r="B1681" s="1195"/>
      <c r="C1681" s="193">
        <f t="shared" si="1000"/>
        <v>1.5</v>
      </c>
      <c r="D1681" s="193"/>
      <c r="E1681" s="254"/>
      <c r="F1681" s="193"/>
      <c r="G1681" s="193"/>
      <c r="H1681" s="254"/>
      <c r="I1681" s="1705">
        <f t="shared" ref="I1681:T1681" si="1008">SUMIF($V$87:$V$119,$B1645&amp;"propia",I$87:I$119)</f>
        <v>0</v>
      </c>
      <c r="J1681" s="1705">
        <f t="shared" si="1008"/>
        <v>0</v>
      </c>
      <c r="K1681" s="1705">
        <f t="shared" si="1008"/>
        <v>0</v>
      </c>
      <c r="L1681" s="1705">
        <f t="shared" si="1008"/>
        <v>0</v>
      </c>
      <c r="M1681" s="1705">
        <f t="shared" si="1008"/>
        <v>0</v>
      </c>
      <c r="N1681" s="1705">
        <f t="shared" si="1008"/>
        <v>0</v>
      </c>
      <c r="O1681" s="1705">
        <f t="shared" si="1008"/>
        <v>0</v>
      </c>
      <c r="P1681" s="1705">
        <f t="shared" si="1008"/>
        <v>0</v>
      </c>
      <c r="Q1681" s="1705">
        <f t="shared" si="1008"/>
        <v>0</v>
      </c>
      <c r="R1681" s="1705">
        <f t="shared" si="1008"/>
        <v>0</v>
      </c>
      <c r="S1681" s="1705">
        <f t="shared" si="1008"/>
        <v>0</v>
      </c>
      <c r="T1681" s="1705">
        <f t="shared" si="1008"/>
        <v>0</v>
      </c>
      <c r="Y1681" s="1195"/>
      <c r="Z1681" s="193">
        <f t="shared" si="1002"/>
        <v>1.5</v>
      </c>
      <c r="AA1681" s="193"/>
      <c r="AB1681" s="254"/>
      <c r="AC1681" s="193"/>
      <c r="AD1681" s="193"/>
      <c r="AE1681" s="254"/>
      <c r="AF1681" s="1707">
        <f t="shared" ref="AF1681:AQ1681" si="1009">SUMIF($AS$86:$AS$119,$B1645&amp;"propia",AF$86:AF$119)</f>
        <v>0</v>
      </c>
      <c r="AG1681" s="1707">
        <f t="shared" si="1009"/>
        <v>0</v>
      </c>
      <c r="AH1681" s="1707">
        <f t="shared" si="1009"/>
        <v>0</v>
      </c>
      <c r="AI1681" s="1707">
        <f t="shared" si="1009"/>
        <v>0</v>
      </c>
      <c r="AJ1681" s="1707">
        <f t="shared" si="1009"/>
        <v>0</v>
      </c>
      <c r="AK1681" s="1707">
        <f t="shared" si="1009"/>
        <v>0</v>
      </c>
      <c r="AL1681" s="1707">
        <f t="shared" si="1009"/>
        <v>0</v>
      </c>
      <c r="AM1681" s="1707">
        <f t="shared" si="1009"/>
        <v>0</v>
      </c>
      <c r="AN1681" s="1707">
        <f t="shared" si="1009"/>
        <v>0</v>
      </c>
      <c r="AO1681" s="1707">
        <f t="shared" si="1009"/>
        <v>0</v>
      </c>
      <c r="AP1681" s="1707">
        <f t="shared" si="1009"/>
        <v>0</v>
      </c>
      <c r="AQ1681" s="1708">
        <f t="shared" si="1009"/>
        <v>0</v>
      </c>
    </row>
    <row r="1682" spans="2:43" ht="13.75" hidden="1" customHeight="1" x14ac:dyDescent="0.2">
      <c r="B1682" s="1195"/>
      <c r="C1682" s="193">
        <f t="shared" si="1000"/>
        <v>3</v>
      </c>
      <c r="D1682" s="193"/>
      <c r="E1682" s="254"/>
      <c r="F1682" s="193"/>
      <c r="G1682" s="193"/>
      <c r="H1682" s="254"/>
      <c r="I1682" s="1705">
        <f t="shared" ref="I1682:T1682" si="1010">SUMIF($V$87:$V$119,$B1646&amp;"propia",I$87:I$119)</f>
        <v>0</v>
      </c>
      <c r="J1682" s="1705">
        <f t="shared" si="1010"/>
        <v>0</v>
      </c>
      <c r="K1682" s="1705">
        <f t="shared" si="1010"/>
        <v>0</v>
      </c>
      <c r="L1682" s="1705">
        <f t="shared" si="1010"/>
        <v>0</v>
      </c>
      <c r="M1682" s="1705">
        <f t="shared" si="1010"/>
        <v>0</v>
      </c>
      <c r="N1682" s="1705">
        <f t="shared" si="1010"/>
        <v>0</v>
      </c>
      <c r="O1682" s="1705">
        <f t="shared" si="1010"/>
        <v>0</v>
      </c>
      <c r="P1682" s="1705">
        <f t="shared" si="1010"/>
        <v>0</v>
      </c>
      <c r="Q1682" s="1705">
        <f t="shared" si="1010"/>
        <v>0</v>
      </c>
      <c r="R1682" s="1705">
        <f t="shared" si="1010"/>
        <v>0</v>
      </c>
      <c r="S1682" s="1705">
        <f t="shared" si="1010"/>
        <v>0</v>
      </c>
      <c r="T1682" s="1705">
        <f t="shared" si="1010"/>
        <v>0</v>
      </c>
      <c r="Y1682" s="1195"/>
      <c r="Z1682" s="193">
        <f t="shared" si="1002"/>
        <v>3</v>
      </c>
      <c r="AA1682" s="193"/>
      <c r="AB1682" s="254"/>
      <c r="AC1682" s="193"/>
      <c r="AD1682" s="193"/>
      <c r="AE1682" s="254"/>
      <c r="AF1682" s="1707">
        <f t="shared" ref="AF1682:AQ1682" si="1011">SUMIF($AS$86:$AS$119,$B1646&amp;"propia",AF$86:AF$119)</f>
        <v>0</v>
      </c>
      <c r="AG1682" s="1707">
        <f t="shared" si="1011"/>
        <v>0</v>
      </c>
      <c r="AH1682" s="1707">
        <f t="shared" si="1011"/>
        <v>0</v>
      </c>
      <c r="AI1682" s="1707">
        <f t="shared" si="1011"/>
        <v>0</v>
      </c>
      <c r="AJ1682" s="1707">
        <f t="shared" si="1011"/>
        <v>0</v>
      </c>
      <c r="AK1682" s="1707">
        <f t="shared" si="1011"/>
        <v>0</v>
      </c>
      <c r="AL1682" s="1707">
        <f t="shared" si="1011"/>
        <v>0</v>
      </c>
      <c r="AM1682" s="1707">
        <f t="shared" si="1011"/>
        <v>0</v>
      </c>
      <c r="AN1682" s="1707">
        <f t="shared" si="1011"/>
        <v>0</v>
      </c>
      <c r="AO1682" s="1707">
        <f t="shared" si="1011"/>
        <v>0</v>
      </c>
      <c r="AP1682" s="1707">
        <f t="shared" si="1011"/>
        <v>0</v>
      </c>
      <c r="AQ1682" s="1708">
        <f t="shared" si="1011"/>
        <v>0</v>
      </c>
    </row>
    <row r="1683" spans="2:43" ht="13.75" hidden="1" customHeight="1" x14ac:dyDescent="0.2">
      <c r="B1683" s="1195"/>
      <c r="C1683" s="193">
        <f t="shared" si="1000"/>
        <v>3</v>
      </c>
      <c r="D1683" s="193"/>
      <c r="E1683" s="254"/>
      <c r="F1683" s="193"/>
      <c r="G1683" s="193"/>
      <c r="H1683" s="254"/>
      <c r="I1683" s="1705">
        <f t="shared" ref="I1683:T1683" si="1012">SUMIF($V$87:$V$119,$B1647&amp;"propia",I$87:I$119)</f>
        <v>0</v>
      </c>
      <c r="J1683" s="1705">
        <f t="shared" si="1012"/>
        <v>0</v>
      </c>
      <c r="K1683" s="1705">
        <f t="shared" si="1012"/>
        <v>0</v>
      </c>
      <c r="L1683" s="1705">
        <f t="shared" si="1012"/>
        <v>0</v>
      </c>
      <c r="M1683" s="1705">
        <f t="shared" si="1012"/>
        <v>0</v>
      </c>
      <c r="N1683" s="1705">
        <f t="shared" si="1012"/>
        <v>0</v>
      </c>
      <c r="O1683" s="1705">
        <f t="shared" si="1012"/>
        <v>0</v>
      </c>
      <c r="P1683" s="1705">
        <f t="shared" si="1012"/>
        <v>0</v>
      </c>
      <c r="Q1683" s="1705">
        <f t="shared" si="1012"/>
        <v>0</v>
      </c>
      <c r="R1683" s="1705">
        <f t="shared" si="1012"/>
        <v>0</v>
      </c>
      <c r="S1683" s="1705">
        <f t="shared" si="1012"/>
        <v>0</v>
      </c>
      <c r="T1683" s="1705">
        <f t="shared" si="1012"/>
        <v>0</v>
      </c>
      <c r="Y1683" s="1195"/>
      <c r="Z1683" s="193">
        <f t="shared" si="1002"/>
        <v>3</v>
      </c>
      <c r="AA1683" s="193"/>
      <c r="AB1683" s="254"/>
      <c r="AC1683" s="193"/>
      <c r="AD1683" s="193"/>
      <c r="AE1683" s="254"/>
      <c r="AF1683" s="1707">
        <f t="shared" ref="AF1683:AQ1683" si="1013">SUMIF($AS$86:$AS$119,$B1647&amp;"propia",AF$86:AF$119)</f>
        <v>0</v>
      </c>
      <c r="AG1683" s="1707">
        <f t="shared" si="1013"/>
        <v>0</v>
      </c>
      <c r="AH1683" s="1707">
        <f t="shared" si="1013"/>
        <v>0</v>
      </c>
      <c r="AI1683" s="1707">
        <f t="shared" si="1013"/>
        <v>0</v>
      </c>
      <c r="AJ1683" s="1707">
        <f t="shared" si="1013"/>
        <v>0</v>
      </c>
      <c r="AK1683" s="1707">
        <f t="shared" si="1013"/>
        <v>0</v>
      </c>
      <c r="AL1683" s="1707">
        <f t="shared" si="1013"/>
        <v>0</v>
      </c>
      <c r="AM1683" s="1707">
        <f t="shared" si="1013"/>
        <v>0</v>
      </c>
      <c r="AN1683" s="1707">
        <f t="shared" si="1013"/>
        <v>0</v>
      </c>
      <c r="AO1683" s="1707">
        <f t="shared" si="1013"/>
        <v>0</v>
      </c>
      <c r="AP1683" s="1707">
        <f t="shared" si="1013"/>
        <v>0</v>
      </c>
      <c r="AQ1683" s="1708">
        <f t="shared" si="1013"/>
        <v>0</v>
      </c>
    </row>
    <row r="1684" spans="2:43" ht="13.75" hidden="1" customHeight="1" x14ac:dyDescent="0.2">
      <c r="B1684" s="1195"/>
      <c r="C1684" s="193">
        <f t="shared" si="1000"/>
        <v>9</v>
      </c>
      <c r="D1684" s="193"/>
      <c r="E1684" s="254"/>
      <c r="F1684" s="193"/>
      <c r="G1684" s="193"/>
      <c r="H1684" s="254"/>
      <c r="I1684" s="1705">
        <f t="shared" ref="I1684:T1684" si="1014">SUMIF($V$87:$V$119,$B1648&amp;"propia",I$87:I$119)</f>
        <v>0</v>
      </c>
      <c r="J1684" s="1705">
        <f t="shared" si="1014"/>
        <v>0</v>
      </c>
      <c r="K1684" s="1705">
        <f t="shared" si="1014"/>
        <v>0</v>
      </c>
      <c r="L1684" s="1705">
        <f t="shared" si="1014"/>
        <v>0</v>
      </c>
      <c r="M1684" s="1705">
        <f t="shared" si="1014"/>
        <v>0</v>
      </c>
      <c r="N1684" s="1705">
        <f t="shared" si="1014"/>
        <v>0</v>
      </c>
      <c r="O1684" s="1705">
        <f t="shared" si="1014"/>
        <v>0</v>
      </c>
      <c r="P1684" s="1705">
        <f t="shared" si="1014"/>
        <v>0</v>
      </c>
      <c r="Q1684" s="1705">
        <f t="shared" si="1014"/>
        <v>0</v>
      </c>
      <c r="R1684" s="1705">
        <f t="shared" si="1014"/>
        <v>0</v>
      </c>
      <c r="S1684" s="1705">
        <f t="shared" si="1014"/>
        <v>0</v>
      </c>
      <c r="T1684" s="1705">
        <f t="shared" si="1014"/>
        <v>0</v>
      </c>
      <c r="Y1684" s="1195"/>
      <c r="Z1684" s="193">
        <f t="shared" si="1002"/>
        <v>9</v>
      </c>
      <c r="AA1684" s="193"/>
      <c r="AB1684" s="254"/>
      <c r="AC1684" s="193"/>
      <c r="AD1684" s="193"/>
      <c r="AE1684" s="254"/>
      <c r="AF1684" s="1707">
        <f t="shared" ref="AF1684:AQ1684" si="1015">SUMIF($AS$86:$AS$119,$B1648&amp;"propia",AF$86:AF$119)</f>
        <v>0</v>
      </c>
      <c r="AG1684" s="1707">
        <f t="shared" si="1015"/>
        <v>0</v>
      </c>
      <c r="AH1684" s="1707">
        <f t="shared" si="1015"/>
        <v>0</v>
      </c>
      <c r="AI1684" s="1707">
        <f t="shared" si="1015"/>
        <v>0</v>
      </c>
      <c r="AJ1684" s="1707">
        <f t="shared" si="1015"/>
        <v>0</v>
      </c>
      <c r="AK1684" s="1707">
        <f t="shared" si="1015"/>
        <v>0</v>
      </c>
      <c r="AL1684" s="1707">
        <f t="shared" si="1015"/>
        <v>0</v>
      </c>
      <c r="AM1684" s="1707">
        <f t="shared" si="1015"/>
        <v>0</v>
      </c>
      <c r="AN1684" s="1707">
        <f t="shared" si="1015"/>
        <v>0</v>
      </c>
      <c r="AO1684" s="1707">
        <f t="shared" si="1015"/>
        <v>0</v>
      </c>
      <c r="AP1684" s="1707">
        <f t="shared" si="1015"/>
        <v>0</v>
      </c>
      <c r="AQ1684" s="1708">
        <f t="shared" si="1015"/>
        <v>0</v>
      </c>
    </row>
    <row r="1685" spans="2:43" ht="13.75" hidden="1" customHeight="1" x14ac:dyDescent="0.2">
      <c r="B1685" s="1195"/>
      <c r="C1685" s="193">
        <f t="shared" si="1000"/>
        <v>0</v>
      </c>
      <c r="D1685" s="193"/>
      <c r="E1685" s="254"/>
      <c r="F1685" s="193"/>
      <c r="G1685" s="193"/>
      <c r="H1685" s="254"/>
      <c r="I1685" s="1705">
        <f t="shared" ref="I1685:T1685" si="1016">SUMIF($V$87:$V$119,$B1649&amp;"propia",I$87:I$119)</f>
        <v>0</v>
      </c>
      <c r="J1685" s="1705">
        <f t="shared" si="1016"/>
        <v>0</v>
      </c>
      <c r="K1685" s="1705">
        <f t="shared" si="1016"/>
        <v>0</v>
      </c>
      <c r="L1685" s="1705">
        <f t="shared" si="1016"/>
        <v>0</v>
      </c>
      <c r="M1685" s="1705">
        <f t="shared" si="1016"/>
        <v>0</v>
      </c>
      <c r="N1685" s="1705">
        <f t="shared" si="1016"/>
        <v>0</v>
      </c>
      <c r="O1685" s="1705">
        <f t="shared" si="1016"/>
        <v>0</v>
      </c>
      <c r="P1685" s="1705">
        <f t="shared" si="1016"/>
        <v>0</v>
      </c>
      <c r="Q1685" s="1705">
        <f t="shared" si="1016"/>
        <v>0</v>
      </c>
      <c r="R1685" s="1705">
        <f t="shared" si="1016"/>
        <v>0</v>
      </c>
      <c r="S1685" s="1705">
        <f t="shared" si="1016"/>
        <v>0</v>
      </c>
      <c r="T1685" s="1705">
        <f t="shared" si="1016"/>
        <v>0</v>
      </c>
      <c r="Y1685" s="1195"/>
      <c r="Z1685" s="193">
        <f t="shared" si="1002"/>
        <v>0</v>
      </c>
      <c r="AA1685" s="193"/>
      <c r="AB1685" s="254"/>
      <c r="AC1685" s="193"/>
      <c r="AD1685" s="193"/>
      <c r="AE1685" s="254"/>
      <c r="AF1685" s="1707">
        <f t="shared" ref="AF1685:AQ1685" si="1017">SUMIF($AS$86:$AS$119,$B1649&amp;"propia",AF$86:AF$119)</f>
        <v>0</v>
      </c>
      <c r="AG1685" s="1707">
        <f t="shared" si="1017"/>
        <v>0</v>
      </c>
      <c r="AH1685" s="1707">
        <f t="shared" si="1017"/>
        <v>0</v>
      </c>
      <c r="AI1685" s="1707">
        <f t="shared" si="1017"/>
        <v>0</v>
      </c>
      <c r="AJ1685" s="1707">
        <f t="shared" si="1017"/>
        <v>0</v>
      </c>
      <c r="AK1685" s="1707">
        <f t="shared" si="1017"/>
        <v>0</v>
      </c>
      <c r="AL1685" s="1707">
        <f t="shared" si="1017"/>
        <v>0</v>
      </c>
      <c r="AM1685" s="1707">
        <f t="shared" si="1017"/>
        <v>0</v>
      </c>
      <c r="AN1685" s="1707">
        <f t="shared" si="1017"/>
        <v>0</v>
      </c>
      <c r="AO1685" s="1707">
        <f t="shared" si="1017"/>
        <v>0</v>
      </c>
      <c r="AP1685" s="1707">
        <f t="shared" si="1017"/>
        <v>0</v>
      </c>
      <c r="AQ1685" s="1708">
        <f t="shared" si="1017"/>
        <v>0</v>
      </c>
    </row>
    <row r="1686" spans="2:43" ht="13.75" hidden="1" customHeight="1" x14ac:dyDescent="0.2">
      <c r="B1686" s="1195"/>
      <c r="C1686" s="193">
        <f t="shared" si="1000"/>
        <v>0</v>
      </c>
      <c r="D1686" s="193"/>
      <c r="E1686" s="254"/>
      <c r="F1686" s="193"/>
      <c r="G1686" s="193"/>
      <c r="H1686" s="254"/>
      <c r="I1686" s="1705">
        <f t="shared" ref="I1686:T1686" si="1018">SUMIF($V$87:$V$119,$B1650&amp;"propia",I$87:I$119)</f>
        <v>0</v>
      </c>
      <c r="J1686" s="1705">
        <f t="shared" si="1018"/>
        <v>0</v>
      </c>
      <c r="K1686" s="1705">
        <f t="shared" si="1018"/>
        <v>0</v>
      </c>
      <c r="L1686" s="1705">
        <f t="shared" si="1018"/>
        <v>0</v>
      </c>
      <c r="M1686" s="1705">
        <f t="shared" si="1018"/>
        <v>0</v>
      </c>
      <c r="N1686" s="1705">
        <f t="shared" si="1018"/>
        <v>0</v>
      </c>
      <c r="O1686" s="1705">
        <f t="shared" si="1018"/>
        <v>0</v>
      </c>
      <c r="P1686" s="1705">
        <f t="shared" si="1018"/>
        <v>0</v>
      </c>
      <c r="Q1686" s="1705">
        <f t="shared" si="1018"/>
        <v>0</v>
      </c>
      <c r="R1686" s="1705">
        <f t="shared" si="1018"/>
        <v>0</v>
      </c>
      <c r="S1686" s="1705">
        <f t="shared" si="1018"/>
        <v>0</v>
      </c>
      <c r="T1686" s="1705">
        <f t="shared" si="1018"/>
        <v>0</v>
      </c>
      <c r="Y1686" s="1195"/>
      <c r="Z1686" s="193">
        <f t="shared" si="1002"/>
        <v>0</v>
      </c>
      <c r="AA1686" s="193"/>
      <c r="AB1686" s="254"/>
      <c r="AC1686" s="193"/>
      <c r="AD1686" s="193"/>
      <c r="AE1686" s="254"/>
      <c r="AF1686" s="1707">
        <f t="shared" ref="AF1686:AQ1686" si="1019">SUMIF($AS$86:$AS$119,$B1650&amp;"propia",AF$86:AF$119)</f>
        <v>0</v>
      </c>
      <c r="AG1686" s="1707">
        <f t="shared" si="1019"/>
        <v>0</v>
      </c>
      <c r="AH1686" s="1707">
        <f t="shared" si="1019"/>
        <v>0</v>
      </c>
      <c r="AI1686" s="1707">
        <f t="shared" si="1019"/>
        <v>0</v>
      </c>
      <c r="AJ1686" s="1707">
        <f t="shared" si="1019"/>
        <v>0</v>
      </c>
      <c r="AK1686" s="1707">
        <f t="shared" si="1019"/>
        <v>0</v>
      </c>
      <c r="AL1686" s="1707">
        <f t="shared" si="1019"/>
        <v>0</v>
      </c>
      <c r="AM1686" s="1707">
        <f t="shared" si="1019"/>
        <v>0</v>
      </c>
      <c r="AN1686" s="1707">
        <f t="shared" si="1019"/>
        <v>0</v>
      </c>
      <c r="AO1686" s="1707">
        <f t="shared" si="1019"/>
        <v>0</v>
      </c>
      <c r="AP1686" s="1707">
        <f t="shared" si="1019"/>
        <v>0</v>
      </c>
      <c r="AQ1686" s="1708">
        <f t="shared" si="1019"/>
        <v>0</v>
      </c>
    </row>
    <row r="1687" spans="2:43" ht="13.75" hidden="1" customHeight="1" x14ac:dyDescent="0.2">
      <c r="B1687" s="1195"/>
      <c r="C1687" s="193">
        <f t="shared" si="1000"/>
        <v>0</v>
      </c>
      <c r="D1687" s="193"/>
      <c r="E1687" s="254"/>
      <c r="F1687" s="193"/>
      <c r="G1687" s="193"/>
      <c r="H1687" s="254"/>
      <c r="I1687" s="1705">
        <f t="shared" ref="I1687:T1687" si="1020">SUMIF($V$87:$V$119,$B1651&amp;"propia",I$87:I$119)</f>
        <v>0</v>
      </c>
      <c r="J1687" s="1705">
        <f t="shared" si="1020"/>
        <v>0</v>
      </c>
      <c r="K1687" s="1705">
        <f t="shared" si="1020"/>
        <v>0</v>
      </c>
      <c r="L1687" s="1705">
        <f t="shared" si="1020"/>
        <v>0</v>
      </c>
      <c r="M1687" s="1705">
        <f t="shared" si="1020"/>
        <v>0</v>
      </c>
      <c r="N1687" s="1705">
        <f t="shared" si="1020"/>
        <v>0</v>
      </c>
      <c r="O1687" s="1705">
        <f t="shared" si="1020"/>
        <v>0</v>
      </c>
      <c r="P1687" s="1705">
        <f t="shared" si="1020"/>
        <v>0</v>
      </c>
      <c r="Q1687" s="1705">
        <f t="shared" si="1020"/>
        <v>0</v>
      </c>
      <c r="R1687" s="1705">
        <f t="shared" si="1020"/>
        <v>0</v>
      </c>
      <c r="S1687" s="1705">
        <f t="shared" si="1020"/>
        <v>0</v>
      </c>
      <c r="T1687" s="1705">
        <f t="shared" si="1020"/>
        <v>0</v>
      </c>
      <c r="Y1687" s="1195"/>
      <c r="Z1687" s="193">
        <f t="shared" si="1002"/>
        <v>0</v>
      </c>
      <c r="AA1687" s="193"/>
      <c r="AB1687" s="254"/>
      <c r="AC1687" s="193"/>
      <c r="AD1687" s="193"/>
      <c r="AE1687" s="254"/>
      <c r="AF1687" s="1707">
        <f t="shared" ref="AF1687:AQ1687" si="1021">SUMIF($AS$86:$AS$119,$B1651&amp;"propia",AF$86:AF$119)</f>
        <v>0</v>
      </c>
      <c r="AG1687" s="1707">
        <f t="shared" si="1021"/>
        <v>0</v>
      </c>
      <c r="AH1687" s="1707">
        <f t="shared" si="1021"/>
        <v>0</v>
      </c>
      <c r="AI1687" s="1707">
        <f t="shared" si="1021"/>
        <v>0</v>
      </c>
      <c r="AJ1687" s="1707">
        <f t="shared" si="1021"/>
        <v>0</v>
      </c>
      <c r="AK1687" s="1707">
        <f t="shared" si="1021"/>
        <v>0</v>
      </c>
      <c r="AL1687" s="1707">
        <f t="shared" si="1021"/>
        <v>0</v>
      </c>
      <c r="AM1687" s="1707">
        <f t="shared" si="1021"/>
        <v>0</v>
      </c>
      <c r="AN1687" s="1707">
        <f t="shared" si="1021"/>
        <v>0</v>
      </c>
      <c r="AO1687" s="1707">
        <f t="shared" si="1021"/>
        <v>0</v>
      </c>
      <c r="AP1687" s="1707">
        <f t="shared" si="1021"/>
        <v>0</v>
      </c>
      <c r="AQ1687" s="1708">
        <f t="shared" si="1021"/>
        <v>0</v>
      </c>
    </row>
    <row r="1688" spans="2:43" ht="13.75" hidden="1" customHeight="1" x14ac:dyDescent="0.2">
      <c r="B1688" s="1195"/>
      <c r="C1688" s="193">
        <f t="shared" si="1000"/>
        <v>0</v>
      </c>
      <c r="D1688" s="193"/>
      <c r="E1688" s="254"/>
      <c r="F1688" s="193"/>
      <c r="G1688" s="193"/>
      <c r="H1688" s="254"/>
      <c r="I1688" s="1705">
        <f t="shared" ref="I1688:T1688" si="1022">SUMIF($V$87:$V$119,$B1652&amp;"propia",I$87:I$119)</f>
        <v>0</v>
      </c>
      <c r="J1688" s="1705">
        <f t="shared" si="1022"/>
        <v>0</v>
      </c>
      <c r="K1688" s="1705">
        <f t="shared" si="1022"/>
        <v>0</v>
      </c>
      <c r="L1688" s="1705">
        <f t="shared" si="1022"/>
        <v>0</v>
      </c>
      <c r="M1688" s="1705">
        <f t="shared" si="1022"/>
        <v>0</v>
      </c>
      <c r="N1688" s="1705">
        <f t="shared" si="1022"/>
        <v>0</v>
      </c>
      <c r="O1688" s="1705">
        <f t="shared" si="1022"/>
        <v>0</v>
      </c>
      <c r="P1688" s="1705">
        <f t="shared" si="1022"/>
        <v>0</v>
      </c>
      <c r="Q1688" s="1705">
        <f t="shared" si="1022"/>
        <v>0</v>
      </c>
      <c r="R1688" s="1705">
        <f t="shared" si="1022"/>
        <v>0</v>
      </c>
      <c r="S1688" s="1705">
        <f t="shared" si="1022"/>
        <v>0</v>
      </c>
      <c r="T1688" s="1705">
        <f t="shared" si="1022"/>
        <v>0</v>
      </c>
      <c r="Y1688" s="1195"/>
      <c r="Z1688" s="193">
        <f t="shared" si="1002"/>
        <v>0</v>
      </c>
      <c r="AA1688" s="193"/>
      <c r="AB1688" s="254"/>
      <c r="AC1688" s="193"/>
      <c r="AD1688" s="193"/>
      <c r="AE1688" s="254"/>
      <c r="AF1688" s="1707">
        <f t="shared" ref="AF1688:AQ1688" si="1023">SUMIF($AS$86:$AS$119,$B1652&amp;"propia",AF$86:AF$119)</f>
        <v>0</v>
      </c>
      <c r="AG1688" s="1707">
        <f t="shared" si="1023"/>
        <v>0</v>
      </c>
      <c r="AH1688" s="1707">
        <f t="shared" si="1023"/>
        <v>0</v>
      </c>
      <c r="AI1688" s="1707">
        <f t="shared" si="1023"/>
        <v>0</v>
      </c>
      <c r="AJ1688" s="1707">
        <f t="shared" si="1023"/>
        <v>0</v>
      </c>
      <c r="AK1688" s="1707">
        <f t="shared" si="1023"/>
        <v>0</v>
      </c>
      <c r="AL1688" s="1707">
        <f t="shared" si="1023"/>
        <v>0</v>
      </c>
      <c r="AM1688" s="1707">
        <f t="shared" si="1023"/>
        <v>0</v>
      </c>
      <c r="AN1688" s="1707">
        <f t="shared" si="1023"/>
        <v>0</v>
      </c>
      <c r="AO1688" s="1707">
        <f t="shared" si="1023"/>
        <v>0</v>
      </c>
      <c r="AP1688" s="1707">
        <f t="shared" si="1023"/>
        <v>0</v>
      </c>
      <c r="AQ1688" s="1708">
        <f t="shared" si="1023"/>
        <v>0</v>
      </c>
    </row>
    <row r="1689" spans="2:43" ht="13.75" hidden="1" customHeight="1" x14ac:dyDescent="0.2">
      <c r="B1689" s="1195"/>
      <c r="C1689" s="193">
        <f t="shared" si="1000"/>
        <v>0</v>
      </c>
      <c r="D1689" s="193"/>
      <c r="E1689" s="254"/>
      <c r="F1689" s="193"/>
      <c r="G1689" s="193"/>
      <c r="H1689" s="254"/>
      <c r="I1689" s="1705">
        <f t="shared" ref="I1689:T1689" si="1024">SUMIF($V$87:$V$119,$B1653&amp;"propia",I$87:I$119)</f>
        <v>0</v>
      </c>
      <c r="J1689" s="1705">
        <f t="shared" si="1024"/>
        <v>0</v>
      </c>
      <c r="K1689" s="1705">
        <f t="shared" si="1024"/>
        <v>0</v>
      </c>
      <c r="L1689" s="1705">
        <f t="shared" si="1024"/>
        <v>0</v>
      </c>
      <c r="M1689" s="1705">
        <f t="shared" si="1024"/>
        <v>0</v>
      </c>
      <c r="N1689" s="1705">
        <f t="shared" si="1024"/>
        <v>0</v>
      </c>
      <c r="O1689" s="1705">
        <f t="shared" si="1024"/>
        <v>0</v>
      </c>
      <c r="P1689" s="1705">
        <f t="shared" si="1024"/>
        <v>0</v>
      </c>
      <c r="Q1689" s="1705">
        <f t="shared" si="1024"/>
        <v>0</v>
      </c>
      <c r="R1689" s="1705">
        <f t="shared" si="1024"/>
        <v>0</v>
      </c>
      <c r="S1689" s="1705">
        <f t="shared" si="1024"/>
        <v>0</v>
      </c>
      <c r="T1689" s="1705">
        <f t="shared" si="1024"/>
        <v>0</v>
      </c>
      <c r="Y1689" s="1195"/>
      <c r="Z1689" s="193">
        <f t="shared" si="1002"/>
        <v>0</v>
      </c>
      <c r="AA1689" s="193"/>
      <c r="AB1689" s="254"/>
      <c r="AC1689" s="193"/>
      <c r="AD1689" s="193"/>
      <c r="AE1689" s="254"/>
      <c r="AF1689" s="1707">
        <f t="shared" ref="AF1689:AQ1689" si="1025">SUMIF($AS$86:$AS$119,$B1653&amp;"propia",AF$86:AF$119)</f>
        <v>0</v>
      </c>
      <c r="AG1689" s="1707">
        <f t="shared" si="1025"/>
        <v>0</v>
      </c>
      <c r="AH1689" s="1707">
        <f t="shared" si="1025"/>
        <v>0</v>
      </c>
      <c r="AI1689" s="1707">
        <f t="shared" si="1025"/>
        <v>0</v>
      </c>
      <c r="AJ1689" s="1707">
        <f t="shared" si="1025"/>
        <v>0</v>
      </c>
      <c r="AK1689" s="1707">
        <f t="shared" si="1025"/>
        <v>0</v>
      </c>
      <c r="AL1689" s="1707">
        <f t="shared" si="1025"/>
        <v>0</v>
      </c>
      <c r="AM1689" s="1707">
        <f t="shared" si="1025"/>
        <v>0</v>
      </c>
      <c r="AN1689" s="1707">
        <f t="shared" si="1025"/>
        <v>0</v>
      </c>
      <c r="AO1689" s="1707">
        <f t="shared" si="1025"/>
        <v>0</v>
      </c>
      <c r="AP1689" s="1707">
        <f t="shared" si="1025"/>
        <v>0</v>
      </c>
      <c r="AQ1689" s="1708">
        <f t="shared" si="1025"/>
        <v>0</v>
      </c>
    </row>
    <row r="1690" spans="2:43" ht="13.75" hidden="1" customHeight="1" x14ac:dyDescent="0.2">
      <c r="B1690" s="1195"/>
      <c r="C1690" s="193">
        <f t="shared" si="1000"/>
        <v>0</v>
      </c>
      <c r="D1690" s="193"/>
      <c r="E1690" s="254"/>
      <c r="F1690" s="193"/>
      <c r="G1690" s="193"/>
      <c r="H1690" s="254"/>
      <c r="I1690" s="1705">
        <f t="shared" ref="I1690:T1690" si="1026">SUMIF($V$87:$V$119,$B1654&amp;"propia",I$87:I$119)</f>
        <v>0</v>
      </c>
      <c r="J1690" s="1705">
        <f t="shared" si="1026"/>
        <v>0</v>
      </c>
      <c r="K1690" s="1705">
        <f t="shared" si="1026"/>
        <v>0</v>
      </c>
      <c r="L1690" s="1705">
        <f t="shared" si="1026"/>
        <v>0</v>
      </c>
      <c r="M1690" s="1705">
        <f t="shared" si="1026"/>
        <v>0</v>
      </c>
      <c r="N1690" s="1705">
        <f t="shared" si="1026"/>
        <v>0</v>
      </c>
      <c r="O1690" s="1705">
        <f t="shared" si="1026"/>
        <v>0</v>
      </c>
      <c r="P1690" s="1705">
        <f t="shared" si="1026"/>
        <v>0</v>
      </c>
      <c r="Q1690" s="1705">
        <f t="shared" si="1026"/>
        <v>0</v>
      </c>
      <c r="R1690" s="1705">
        <f t="shared" si="1026"/>
        <v>0</v>
      </c>
      <c r="S1690" s="1705">
        <f t="shared" si="1026"/>
        <v>0</v>
      </c>
      <c r="T1690" s="1705">
        <f t="shared" si="1026"/>
        <v>0</v>
      </c>
      <c r="Y1690" s="1195"/>
      <c r="Z1690" s="193">
        <f t="shared" si="1002"/>
        <v>0</v>
      </c>
      <c r="AA1690" s="193"/>
      <c r="AB1690" s="254"/>
      <c r="AC1690" s="193"/>
      <c r="AD1690" s="193"/>
      <c r="AE1690" s="254"/>
      <c r="AF1690" s="1707">
        <f t="shared" ref="AF1690:AQ1690" si="1027">SUMIF($AS$86:$AS$119,$B1654&amp;"propia",AF$86:AF$119)</f>
        <v>0</v>
      </c>
      <c r="AG1690" s="1707">
        <f t="shared" si="1027"/>
        <v>0</v>
      </c>
      <c r="AH1690" s="1707">
        <f t="shared" si="1027"/>
        <v>0</v>
      </c>
      <c r="AI1690" s="1707">
        <f t="shared" si="1027"/>
        <v>0</v>
      </c>
      <c r="AJ1690" s="1707">
        <f t="shared" si="1027"/>
        <v>0</v>
      </c>
      <c r="AK1690" s="1707">
        <f t="shared" si="1027"/>
        <v>0</v>
      </c>
      <c r="AL1690" s="1707">
        <f t="shared" si="1027"/>
        <v>0</v>
      </c>
      <c r="AM1690" s="1707">
        <f t="shared" si="1027"/>
        <v>0</v>
      </c>
      <c r="AN1690" s="1707">
        <f t="shared" si="1027"/>
        <v>0</v>
      </c>
      <c r="AO1690" s="1707">
        <f t="shared" si="1027"/>
        <v>0</v>
      </c>
      <c r="AP1690" s="1707">
        <f t="shared" si="1027"/>
        <v>0</v>
      </c>
      <c r="AQ1690" s="1708">
        <f t="shared" si="1027"/>
        <v>0</v>
      </c>
    </row>
    <row r="1691" spans="2:43" ht="14.4" hidden="1" customHeight="1" thickBot="1" x14ac:dyDescent="0.25">
      <c r="B1691" s="1198"/>
      <c r="C1691" s="1199">
        <f t="shared" si="1000"/>
        <v>0</v>
      </c>
      <c r="D1691" s="1199"/>
      <c r="E1691" s="1209"/>
      <c r="F1691" s="1199"/>
      <c r="G1691" s="1199"/>
      <c r="H1691" s="1209"/>
      <c r="I1691" s="1705">
        <f t="shared" ref="I1691:T1691" si="1028">SUMIF($V$87:$V$119,$B1655&amp;"propia",I$87:I$119)</f>
        <v>0</v>
      </c>
      <c r="J1691" s="1705">
        <f t="shared" si="1028"/>
        <v>0</v>
      </c>
      <c r="K1691" s="1705">
        <f t="shared" si="1028"/>
        <v>0</v>
      </c>
      <c r="L1691" s="1705">
        <f t="shared" si="1028"/>
        <v>0</v>
      </c>
      <c r="M1691" s="1705">
        <f t="shared" si="1028"/>
        <v>0</v>
      </c>
      <c r="N1691" s="1705">
        <f t="shared" si="1028"/>
        <v>0</v>
      </c>
      <c r="O1691" s="1705">
        <f t="shared" si="1028"/>
        <v>0</v>
      </c>
      <c r="P1691" s="1705">
        <f t="shared" si="1028"/>
        <v>0</v>
      </c>
      <c r="Q1691" s="1705">
        <f t="shared" si="1028"/>
        <v>0</v>
      </c>
      <c r="R1691" s="1705">
        <f t="shared" si="1028"/>
        <v>0</v>
      </c>
      <c r="S1691" s="1705">
        <f t="shared" si="1028"/>
        <v>0</v>
      </c>
      <c r="T1691" s="1705">
        <f t="shared" si="1028"/>
        <v>0</v>
      </c>
      <c r="Y1691" s="1198"/>
      <c r="Z1691" s="1199">
        <f t="shared" si="1002"/>
        <v>0</v>
      </c>
      <c r="AA1691" s="1199"/>
      <c r="AB1691" s="1209"/>
      <c r="AC1691" s="1199"/>
      <c r="AD1691" s="1199"/>
      <c r="AE1691" s="1209"/>
      <c r="AF1691" s="1709">
        <f t="shared" ref="AF1691:AQ1691" si="1029">SUMIF($AS$86:$AS$119,$B1655&amp;"propia",AF$86:AF$119)</f>
        <v>0</v>
      </c>
      <c r="AG1691" s="1709">
        <f t="shared" si="1029"/>
        <v>0</v>
      </c>
      <c r="AH1691" s="1709">
        <f t="shared" si="1029"/>
        <v>0</v>
      </c>
      <c r="AI1691" s="1709">
        <f t="shared" si="1029"/>
        <v>0</v>
      </c>
      <c r="AJ1691" s="1709">
        <f t="shared" si="1029"/>
        <v>0</v>
      </c>
      <c r="AK1691" s="1709">
        <f t="shared" si="1029"/>
        <v>0</v>
      </c>
      <c r="AL1691" s="1709">
        <f t="shared" si="1029"/>
        <v>0</v>
      </c>
      <c r="AM1691" s="1709">
        <f t="shared" si="1029"/>
        <v>0</v>
      </c>
      <c r="AN1691" s="1709">
        <f t="shared" si="1029"/>
        <v>0</v>
      </c>
      <c r="AO1691" s="1709">
        <f t="shared" si="1029"/>
        <v>0</v>
      </c>
      <c r="AP1691" s="1709">
        <f t="shared" si="1029"/>
        <v>0</v>
      </c>
      <c r="AQ1691" s="1710">
        <f t="shared" si="1029"/>
        <v>0</v>
      </c>
    </row>
    <row r="1692" spans="2:43" ht="14.4" hidden="1" customHeight="1" thickTop="1" x14ac:dyDescent="0.2">
      <c r="B1692" s="1584" t="s">
        <v>2020</v>
      </c>
      <c r="C1692" s="1194" t="s">
        <v>2018</v>
      </c>
      <c r="D1692" s="1194"/>
      <c r="E1692" s="1210"/>
      <c r="F1692" s="1194"/>
      <c r="G1692" s="1194"/>
      <c r="H1692" s="1210"/>
      <c r="I1692" s="1210"/>
      <c r="J1692" s="1210"/>
      <c r="K1692" s="1210"/>
      <c r="L1692" s="1210"/>
      <c r="M1692" s="1210"/>
      <c r="N1692" s="1210"/>
      <c r="O1692" s="1210"/>
      <c r="P1692" s="1210"/>
      <c r="Q1692" s="1210"/>
      <c r="R1692" s="1210"/>
      <c r="S1692" s="1210"/>
      <c r="T1692" s="1585"/>
      <c r="Y1692" s="1584" t="s">
        <v>2020</v>
      </c>
      <c r="Z1692" s="1194" t="str">
        <f t="shared" si="1002"/>
        <v>Gasoli (Litros/unidad)</v>
      </c>
      <c r="AA1692" s="1194"/>
      <c r="AB1692" s="1210"/>
      <c r="AC1692" s="1194"/>
      <c r="AD1692" s="1194"/>
      <c r="AE1692" s="1210"/>
      <c r="AF1692" s="1210"/>
      <c r="AG1692" s="1210"/>
      <c r="AH1692" s="1210"/>
      <c r="AI1692" s="1210"/>
      <c r="AJ1692" s="1210"/>
      <c r="AK1692" s="1210"/>
      <c r="AL1692" s="1210"/>
      <c r="AM1692" s="1210"/>
      <c r="AN1692" s="1210"/>
      <c r="AO1692" s="1210"/>
      <c r="AP1692" s="1210"/>
      <c r="AQ1692" s="1585"/>
    </row>
    <row r="1693" spans="2:43" ht="13.75" hidden="1" customHeight="1" x14ac:dyDescent="0.2">
      <c r="B1693" s="1195" t="s">
        <v>2022</v>
      </c>
      <c r="C1693" s="193">
        <f t="shared" ref="C1693:C1706" si="1030">+C1657</f>
        <v>5</v>
      </c>
      <c r="D1693" s="193"/>
      <c r="E1693" s="254"/>
      <c r="F1693" s="193"/>
      <c r="G1693" s="193"/>
      <c r="H1693" s="254"/>
      <c r="I1693" s="1705">
        <f>SUMIF($V$87:$V$119,$B1657&amp;"contratada",I$87:I$119)</f>
        <v>0</v>
      </c>
      <c r="J1693" s="1705">
        <f t="shared" ref="J1693:T1693" si="1031">SUMIF($V$87:$V$119,$B1657&amp;"contratada",J$87:J$119)</f>
        <v>0</v>
      </c>
      <c r="K1693" s="1705">
        <f t="shared" si="1031"/>
        <v>0</v>
      </c>
      <c r="L1693" s="1705">
        <f t="shared" si="1031"/>
        <v>0</v>
      </c>
      <c r="M1693" s="1705">
        <f t="shared" si="1031"/>
        <v>0</v>
      </c>
      <c r="N1693" s="1705">
        <f t="shared" si="1031"/>
        <v>0</v>
      </c>
      <c r="O1693" s="1705">
        <f t="shared" si="1031"/>
        <v>0</v>
      </c>
      <c r="P1693" s="1705">
        <f t="shared" si="1031"/>
        <v>0</v>
      </c>
      <c r="Q1693" s="1705">
        <f t="shared" si="1031"/>
        <v>0</v>
      </c>
      <c r="R1693" s="1705">
        <f t="shared" si="1031"/>
        <v>0</v>
      </c>
      <c r="S1693" s="1705">
        <f t="shared" si="1031"/>
        <v>0</v>
      </c>
      <c r="T1693" s="1706">
        <f t="shared" si="1031"/>
        <v>0</v>
      </c>
      <c r="Y1693" s="1195" t="s">
        <v>2022</v>
      </c>
      <c r="Z1693" s="193">
        <f t="shared" si="1002"/>
        <v>5</v>
      </c>
      <c r="AA1693" s="193"/>
      <c r="AB1693" s="254"/>
      <c r="AC1693" s="193"/>
      <c r="AD1693" s="193"/>
      <c r="AE1693" s="254"/>
      <c r="AF1693" s="1705">
        <f>SUMIF($AS$86:$AS$119,$B1657&amp;"contratada",AF$86:AF$119)</f>
        <v>0</v>
      </c>
      <c r="AG1693" s="1705">
        <f t="shared" ref="AG1693:AQ1693" si="1032">SUMIF($AS$86:$AS$119,$B1657&amp;"contratada",AG$86:AG$119)</f>
        <v>0</v>
      </c>
      <c r="AH1693" s="1705">
        <f t="shared" si="1032"/>
        <v>0</v>
      </c>
      <c r="AI1693" s="1705">
        <f t="shared" si="1032"/>
        <v>0</v>
      </c>
      <c r="AJ1693" s="1705">
        <f t="shared" si="1032"/>
        <v>0</v>
      </c>
      <c r="AK1693" s="1705">
        <f t="shared" si="1032"/>
        <v>0</v>
      </c>
      <c r="AL1693" s="1705">
        <f t="shared" si="1032"/>
        <v>0</v>
      </c>
      <c r="AM1693" s="1705">
        <f t="shared" si="1032"/>
        <v>0</v>
      </c>
      <c r="AN1693" s="1705">
        <f t="shared" si="1032"/>
        <v>0</v>
      </c>
      <c r="AO1693" s="1705">
        <f t="shared" si="1032"/>
        <v>0</v>
      </c>
      <c r="AP1693" s="1705">
        <f t="shared" si="1032"/>
        <v>0</v>
      </c>
      <c r="AQ1693" s="1706">
        <f t="shared" si="1032"/>
        <v>0</v>
      </c>
    </row>
    <row r="1694" spans="2:43" ht="13.75" hidden="1" customHeight="1" x14ac:dyDescent="0.2">
      <c r="B1694" s="1195"/>
      <c r="C1694" s="193">
        <f t="shared" si="1030"/>
        <v>5</v>
      </c>
      <c r="D1694" s="193"/>
      <c r="E1694" s="254"/>
      <c r="F1694" s="193"/>
      <c r="G1694" s="193"/>
      <c r="H1694" s="254"/>
      <c r="I1694" s="1707">
        <f t="shared" ref="I1694:T1694" si="1033">SUMIF($V$87:$V$119,$B1658&amp;"contratada",I$87:I$119)</f>
        <v>0</v>
      </c>
      <c r="J1694" s="1707">
        <f t="shared" si="1033"/>
        <v>0</v>
      </c>
      <c r="K1694" s="1707">
        <f t="shared" si="1033"/>
        <v>0</v>
      </c>
      <c r="L1694" s="1707">
        <f t="shared" si="1033"/>
        <v>0</v>
      </c>
      <c r="M1694" s="1707">
        <f t="shared" si="1033"/>
        <v>0</v>
      </c>
      <c r="N1694" s="1707">
        <f t="shared" si="1033"/>
        <v>0</v>
      </c>
      <c r="O1694" s="1707">
        <f t="shared" si="1033"/>
        <v>0</v>
      </c>
      <c r="P1694" s="1707">
        <f t="shared" si="1033"/>
        <v>0</v>
      </c>
      <c r="Q1694" s="1707">
        <f t="shared" si="1033"/>
        <v>0</v>
      </c>
      <c r="R1694" s="1707">
        <f t="shared" si="1033"/>
        <v>0</v>
      </c>
      <c r="S1694" s="1707">
        <f t="shared" si="1033"/>
        <v>0</v>
      </c>
      <c r="T1694" s="1708">
        <f t="shared" si="1033"/>
        <v>0</v>
      </c>
      <c r="Y1694" s="1195"/>
      <c r="Z1694" s="193">
        <f t="shared" si="1002"/>
        <v>5</v>
      </c>
      <c r="AA1694" s="193"/>
      <c r="AB1694" s="254"/>
      <c r="AC1694" s="193"/>
      <c r="AD1694" s="193"/>
      <c r="AE1694" s="254"/>
      <c r="AF1694" s="1707">
        <f t="shared" ref="AF1694:AQ1694" si="1034">SUMIF($AS$86:$AS$119,$B1658&amp;"contratada",AF$86:AF$119)</f>
        <v>0</v>
      </c>
      <c r="AG1694" s="1707">
        <f t="shared" si="1034"/>
        <v>0</v>
      </c>
      <c r="AH1694" s="1707">
        <f t="shared" si="1034"/>
        <v>0</v>
      </c>
      <c r="AI1694" s="1707">
        <f t="shared" si="1034"/>
        <v>0</v>
      </c>
      <c r="AJ1694" s="1707">
        <f t="shared" si="1034"/>
        <v>0</v>
      </c>
      <c r="AK1694" s="1707">
        <f t="shared" si="1034"/>
        <v>0</v>
      </c>
      <c r="AL1694" s="1707">
        <f t="shared" si="1034"/>
        <v>0</v>
      </c>
      <c r="AM1694" s="1707">
        <f t="shared" si="1034"/>
        <v>0</v>
      </c>
      <c r="AN1694" s="1707">
        <f t="shared" si="1034"/>
        <v>0</v>
      </c>
      <c r="AO1694" s="1707">
        <f t="shared" si="1034"/>
        <v>0</v>
      </c>
      <c r="AP1694" s="1707">
        <f t="shared" si="1034"/>
        <v>0</v>
      </c>
      <c r="AQ1694" s="1708">
        <f t="shared" si="1034"/>
        <v>0</v>
      </c>
    </row>
    <row r="1695" spans="2:43" ht="13.75" hidden="1" customHeight="1" x14ac:dyDescent="0.2">
      <c r="B1695" s="1195"/>
      <c r="C1695" s="193">
        <f t="shared" si="1030"/>
        <v>1.5</v>
      </c>
      <c r="D1695" s="193"/>
      <c r="E1695" s="254"/>
      <c r="F1695" s="193"/>
      <c r="G1695" s="193"/>
      <c r="H1695" s="254"/>
      <c r="I1695" s="1707">
        <f t="shared" ref="I1695:T1695" si="1035">SUMIF($V$87:$V$119,$B1659&amp;"contratada",I$87:I$119)</f>
        <v>0</v>
      </c>
      <c r="J1695" s="1707">
        <f t="shared" si="1035"/>
        <v>0</v>
      </c>
      <c r="K1695" s="1707">
        <f t="shared" si="1035"/>
        <v>0</v>
      </c>
      <c r="L1695" s="1707">
        <f t="shared" si="1035"/>
        <v>0</v>
      </c>
      <c r="M1695" s="1707">
        <f t="shared" si="1035"/>
        <v>0</v>
      </c>
      <c r="N1695" s="1707">
        <f t="shared" si="1035"/>
        <v>0</v>
      </c>
      <c r="O1695" s="1707">
        <f t="shared" si="1035"/>
        <v>0</v>
      </c>
      <c r="P1695" s="1707">
        <f t="shared" si="1035"/>
        <v>0</v>
      </c>
      <c r="Q1695" s="1707">
        <f t="shared" si="1035"/>
        <v>0</v>
      </c>
      <c r="R1695" s="1707">
        <f t="shared" si="1035"/>
        <v>0</v>
      </c>
      <c r="S1695" s="1707">
        <f t="shared" si="1035"/>
        <v>0</v>
      </c>
      <c r="T1695" s="1708">
        <f t="shared" si="1035"/>
        <v>0</v>
      </c>
      <c r="Y1695" s="1195"/>
      <c r="Z1695" s="193">
        <f t="shared" si="1002"/>
        <v>1.5</v>
      </c>
      <c r="AA1695" s="193"/>
      <c r="AB1695" s="254"/>
      <c r="AC1695" s="193"/>
      <c r="AD1695" s="193"/>
      <c r="AE1695" s="254"/>
      <c r="AF1695" s="1707">
        <f t="shared" ref="AF1695:AQ1695" si="1036">SUMIF($AS$86:$AS$119,$B1659&amp;"contratada",AF$86:AF$119)</f>
        <v>0</v>
      </c>
      <c r="AG1695" s="1707">
        <f t="shared" si="1036"/>
        <v>0</v>
      </c>
      <c r="AH1695" s="1707">
        <f t="shared" si="1036"/>
        <v>0</v>
      </c>
      <c r="AI1695" s="1707">
        <f t="shared" si="1036"/>
        <v>0</v>
      </c>
      <c r="AJ1695" s="1707">
        <f t="shared" si="1036"/>
        <v>0</v>
      </c>
      <c r="AK1695" s="1707">
        <f t="shared" si="1036"/>
        <v>0</v>
      </c>
      <c r="AL1695" s="1707">
        <f t="shared" si="1036"/>
        <v>0</v>
      </c>
      <c r="AM1695" s="1707">
        <f t="shared" si="1036"/>
        <v>0</v>
      </c>
      <c r="AN1695" s="1707">
        <f t="shared" si="1036"/>
        <v>0</v>
      </c>
      <c r="AO1695" s="1707">
        <f t="shared" si="1036"/>
        <v>0</v>
      </c>
      <c r="AP1695" s="1707">
        <f t="shared" si="1036"/>
        <v>0</v>
      </c>
      <c r="AQ1695" s="1708">
        <f t="shared" si="1036"/>
        <v>0</v>
      </c>
    </row>
    <row r="1696" spans="2:43" ht="13.75" hidden="1" customHeight="1" x14ac:dyDescent="0.2">
      <c r="B1696" s="1195"/>
      <c r="C1696" s="193">
        <f t="shared" si="1030"/>
        <v>1.5</v>
      </c>
      <c r="D1696" s="193"/>
      <c r="E1696" s="254"/>
      <c r="F1696" s="193"/>
      <c r="G1696" s="193"/>
      <c r="H1696" s="254"/>
      <c r="I1696" s="1707">
        <f t="shared" ref="I1696:T1696" si="1037">SUMIF($V$87:$V$119,$B1660&amp;"contratada",I$87:I$119)</f>
        <v>0</v>
      </c>
      <c r="J1696" s="1707">
        <f t="shared" si="1037"/>
        <v>0</v>
      </c>
      <c r="K1696" s="1707">
        <f t="shared" si="1037"/>
        <v>0</v>
      </c>
      <c r="L1696" s="1707">
        <f t="shared" si="1037"/>
        <v>0</v>
      </c>
      <c r="M1696" s="1707">
        <f t="shared" si="1037"/>
        <v>0</v>
      </c>
      <c r="N1696" s="1707">
        <f t="shared" si="1037"/>
        <v>0</v>
      </c>
      <c r="O1696" s="1707">
        <f t="shared" si="1037"/>
        <v>0</v>
      </c>
      <c r="P1696" s="1707">
        <f t="shared" si="1037"/>
        <v>0</v>
      </c>
      <c r="Q1696" s="1707">
        <f t="shared" si="1037"/>
        <v>0</v>
      </c>
      <c r="R1696" s="1707">
        <f t="shared" si="1037"/>
        <v>0</v>
      </c>
      <c r="S1696" s="1707">
        <f t="shared" si="1037"/>
        <v>0</v>
      </c>
      <c r="T1696" s="1708">
        <f t="shared" si="1037"/>
        <v>0</v>
      </c>
      <c r="Y1696" s="1195"/>
      <c r="Z1696" s="193">
        <f t="shared" si="1002"/>
        <v>1.5</v>
      </c>
      <c r="AA1696" s="193"/>
      <c r="AB1696" s="254"/>
      <c r="AC1696" s="193"/>
      <c r="AD1696" s="193"/>
      <c r="AE1696" s="254"/>
      <c r="AF1696" s="1707">
        <f t="shared" ref="AF1696:AQ1696" si="1038">SUMIF($AS$86:$AS$119,$B1660&amp;"contratada",AF$86:AF$119)</f>
        <v>0</v>
      </c>
      <c r="AG1696" s="1707">
        <f t="shared" si="1038"/>
        <v>0</v>
      </c>
      <c r="AH1696" s="1707">
        <f t="shared" si="1038"/>
        <v>0</v>
      </c>
      <c r="AI1696" s="1707">
        <f t="shared" si="1038"/>
        <v>0</v>
      </c>
      <c r="AJ1696" s="1707">
        <f t="shared" si="1038"/>
        <v>0</v>
      </c>
      <c r="AK1696" s="1707">
        <f t="shared" si="1038"/>
        <v>0</v>
      </c>
      <c r="AL1696" s="1707">
        <f t="shared" si="1038"/>
        <v>0</v>
      </c>
      <c r="AM1696" s="1707">
        <f t="shared" si="1038"/>
        <v>0</v>
      </c>
      <c r="AN1696" s="1707">
        <f t="shared" si="1038"/>
        <v>0</v>
      </c>
      <c r="AO1696" s="1707">
        <f t="shared" si="1038"/>
        <v>0</v>
      </c>
      <c r="AP1696" s="1707">
        <f t="shared" si="1038"/>
        <v>0</v>
      </c>
      <c r="AQ1696" s="1708">
        <f t="shared" si="1038"/>
        <v>0</v>
      </c>
    </row>
    <row r="1697" spans="2:43" ht="13.75" hidden="1" customHeight="1" x14ac:dyDescent="0.2">
      <c r="B1697" s="1195"/>
      <c r="C1697" s="193">
        <f t="shared" si="1030"/>
        <v>3</v>
      </c>
      <c r="D1697" s="193"/>
      <c r="E1697" s="254"/>
      <c r="F1697" s="193"/>
      <c r="G1697" s="193"/>
      <c r="H1697" s="254"/>
      <c r="I1697" s="1707">
        <f t="shared" ref="I1697:T1697" si="1039">SUMIF($V$87:$V$119,$B1661&amp;"contratada",I$87:I$119)</f>
        <v>0</v>
      </c>
      <c r="J1697" s="1707">
        <f t="shared" si="1039"/>
        <v>0</v>
      </c>
      <c r="K1697" s="1707">
        <f t="shared" si="1039"/>
        <v>0</v>
      </c>
      <c r="L1697" s="1707">
        <f t="shared" si="1039"/>
        <v>0</v>
      </c>
      <c r="M1697" s="1707">
        <f t="shared" si="1039"/>
        <v>0</v>
      </c>
      <c r="N1697" s="1707">
        <f t="shared" si="1039"/>
        <v>0</v>
      </c>
      <c r="O1697" s="1707">
        <f t="shared" si="1039"/>
        <v>0</v>
      </c>
      <c r="P1697" s="1707">
        <f t="shared" si="1039"/>
        <v>0</v>
      </c>
      <c r="Q1697" s="1707">
        <f t="shared" si="1039"/>
        <v>0</v>
      </c>
      <c r="R1697" s="1707">
        <f t="shared" si="1039"/>
        <v>0</v>
      </c>
      <c r="S1697" s="1707">
        <f t="shared" si="1039"/>
        <v>0</v>
      </c>
      <c r="T1697" s="1708">
        <f t="shared" si="1039"/>
        <v>0</v>
      </c>
      <c r="Y1697" s="1195"/>
      <c r="Z1697" s="193">
        <f t="shared" si="1002"/>
        <v>3</v>
      </c>
      <c r="AA1697" s="193"/>
      <c r="AB1697" s="254"/>
      <c r="AC1697" s="193"/>
      <c r="AD1697" s="193"/>
      <c r="AE1697" s="254"/>
      <c r="AF1697" s="1707">
        <f t="shared" ref="AF1697:AQ1697" si="1040">SUMIF($AS$86:$AS$119,$B1661&amp;"contratada",AF$86:AF$119)</f>
        <v>0</v>
      </c>
      <c r="AG1697" s="1707">
        <f t="shared" si="1040"/>
        <v>0</v>
      </c>
      <c r="AH1697" s="1707">
        <f t="shared" si="1040"/>
        <v>0</v>
      </c>
      <c r="AI1697" s="1707">
        <f t="shared" si="1040"/>
        <v>0</v>
      </c>
      <c r="AJ1697" s="1707">
        <f t="shared" si="1040"/>
        <v>0</v>
      </c>
      <c r="AK1697" s="1707">
        <f t="shared" si="1040"/>
        <v>0</v>
      </c>
      <c r="AL1697" s="1707">
        <f t="shared" si="1040"/>
        <v>0</v>
      </c>
      <c r="AM1697" s="1707">
        <f t="shared" si="1040"/>
        <v>0</v>
      </c>
      <c r="AN1697" s="1707">
        <f t="shared" si="1040"/>
        <v>0</v>
      </c>
      <c r="AO1697" s="1707">
        <f t="shared" si="1040"/>
        <v>0</v>
      </c>
      <c r="AP1697" s="1707">
        <f t="shared" si="1040"/>
        <v>0</v>
      </c>
      <c r="AQ1697" s="1708">
        <f t="shared" si="1040"/>
        <v>0</v>
      </c>
    </row>
    <row r="1698" spans="2:43" ht="13.75" hidden="1" customHeight="1" x14ac:dyDescent="0.2">
      <c r="B1698" s="1195"/>
      <c r="C1698" s="193">
        <f t="shared" si="1030"/>
        <v>3</v>
      </c>
      <c r="D1698" s="193"/>
      <c r="E1698" s="254"/>
      <c r="F1698" s="193"/>
      <c r="G1698" s="193"/>
      <c r="H1698" s="254"/>
      <c r="I1698" s="1707">
        <f t="shared" ref="I1698:T1698" si="1041">SUMIF($V$87:$V$119,$B1662&amp;"contratada",I$87:I$119)</f>
        <v>0</v>
      </c>
      <c r="J1698" s="1707">
        <f t="shared" si="1041"/>
        <v>0</v>
      </c>
      <c r="K1698" s="1707">
        <f t="shared" si="1041"/>
        <v>0</v>
      </c>
      <c r="L1698" s="1707">
        <f t="shared" si="1041"/>
        <v>0</v>
      </c>
      <c r="M1698" s="1707">
        <f t="shared" si="1041"/>
        <v>0</v>
      </c>
      <c r="N1698" s="1707">
        <f t="shared" si="1041"/>
        <v>0</v>
      </c>
      <c r="O1698" s="1707">
        <f t="shared" si="1041"/>
        <v>0</v>
      </c>
      <c r="P1698" s="1707">
        <f t="shared" si="1041"/>
        <v>0</v>
      </c>
      <c r="Q1698" s="1707">
        <f t="shared" si="1041"/>
        <v>0</v>
      </c>
      <c r="R1698" s="1707">
        <f t="shared" si="1041"/>
        <v>0</v>
      </c>
      <c r="S1698" s="1707">
        <f t="shared" si="1041"/>
        <v>0</v>
      </c>
      <c r="T1698" s="1708">
        <f t="shared" si="1041"/>
        <v>0</v>
      </c>
      <c r="Y1698" s="1195"/>
      <c r="Z1698" s="193">
        <f t="shared" si="1002"/>
        <v>3</v>
      </c>
      <c r="AA1698" s="193"/>
      <c r="AB1698" s="254"/>
      <c r="AC1698" s="193"/>
      <c r="AD1698" s="193"/>
      <c r="AE1698" s="254"/>
      <c r="AF1698" s="1707">
        <f t="shared" ref="AF1698:AQ1698" si="1042">SUMIF($AS$86:$AS$119,$B1662&amp;"contratada",AF$86:AF$119)</f>
        <v>0</v>
      </c>
      <c r="AG1698" s="1707">
        <f t="shared" si="1042"/>
        <v>0</v>
      </c>
      <c r="AH1698" s="1707">
        <f t="shared" si="1042"/>
        <v>0</v>
      </c>
      <c r="AI1698" s="1707">
        <f t="shared" si="1042"/>
        <v>0</v>
      </c>
      <c r="AJ1698" s="1707">
        <f t="shared" si="1042"/>
        <v>0</v>
      </c>
      <c r="AK1698" s="1707">
        <f t="shared" si="1042"/>
        <v>0</v>
      </c>
      <c r="AL1698" s="1707">
        <f t="shared" si="1042"/>
        <v>0</v>
      </c>
      <c r="AM1698" s="1707">
        <f t="shared" si="1042"/>
        <v>0</v>
      </c>
      <c r="AN1698" s="1707">
        <f t="shared" si="1042"/>
        <v>0</v>
      </c>
      <c r="AO1698" s="1707">
        <f t="shared" si="1042"/>
        <v>0</v>
      </c>
      <c r="AP1698" s="1707">
        <f t="shared" si="1042"/>
        <v>0</v>
      </c>
      <c r="AQ1698" s="1708">
        <f t="shared" si="1042"/>
        <v>0</v>
      </c>
    </row>
    <row r="1699" spans="2:43" ht="13.75" hidden="1" customHeight="1" x14ac:dyDescent="0.2">
      <c r="B1699" s="1195"/>
      <c r="C1699" s="193">
        <f t="shared" si="1030"/>
        <v>9</v>
      </c>
      <c r="D1699" s="193"/>
      <c r="E1699" s="254"/>
      <c r="F1699" s="193"/>
      <c r="G1699" s="193"/>
      <c r="H1699" s="254"/>
      <c r="I1699" s="1707">
        <f t="shared" ref="I1699:T1699" si="1043">SUMIF($V$87:$V$119,$B1663&amp;"contratada",I$87:I$119)</f>
        <v>0</v>
      </c>
      <c r="J1699" s="1707">
        <f t="shared" si="1043"/>
        <v>0</v>
      </c>
      <c r="K1699" s="1707">
        <f t="shared" si="1043"/>
        <v>0</v>
      </c>
      <c r="L1699" s="1707">
        <f t="shared" si="1043"/>
        <v>0</v>
      </c>
      <c r="M1699" s="1707">
        <f t="shared" si="1043"/>
        <v>0</v>
      </c>
      <c r="N1699" s="1707">
        <f t="shared" si="1043"/>
        <v>0</v>
      </c>
      <c r="O1699" s="1707">
        <f t="shared" si="1043"/>
        <v>0</v>
      </c>
      <c r="P1699" s="1707">
        <f t="shared" si="1043"/>
        <v>0</v>
      </c>
      <c r="Q1699" s="1707">
        <f t="shared" si="1043"/>
        <v>0</v>
      </c>
      <c r="R1699" s="1707">
        <f t="shared" si="1043"/>
        <v>0</v>
      </c>
      <c r="S1699" s="1707">
        <f t="shared" si="1043"/>
        <v>0</v>
      </c>
      <c r="T1699" s="1708">
        <f t="shared" si="1043"/>
        <v>0</v>
      </c>
      <c r="Y1699" s="1195"/>
      <c r="Z1699" s="193">
        <f t="shared" si="1002"/>
        <v>9</v>
      </c>
      <c r="AA1699" s="193"/>
      <c r="AB1699" s="254"/>
      <c r="AC1699" s="193"/>
      <c r="AD1699" s="193"/>
      <c r="AE1699" s="254"/>
      <c r="AF1699" s="1707">
        <f t="shared" ref="AF1699:AQ1699" si="1044">SUMIF($AS$86:$AS$119,$B1663&amp;"contratada",AF$86:AF$119)</f>
        <v>0</v>
      </c>
      <c r="AG1699" s="1707">
        <f t="shared" si="1044"/>
        <v>0</v>
      </c>
      <c r="AH1699" s="1707">
        <f t="shared" si="1044"/>
        <v>0</v>
      </c>
      <c r="AI1699" s="1707">
        <f t="shared" si="1044"/>
        <v>0</v>
      </c>
      <c r="AJ1699" s="1707">
        <f t="shared" si="1044"/>
        <v>0</v>
      </c>
      <c r="AK1699" s="1707">
        <f t="shared" si="1044"/>
        <v>0</v>
      </c>
      <c r="AL1699" s="1707">
        <f t="shared" si="1044"/>
        <v>0</v>
      </c>
      <c r="AM1699" s="1707">
        <f t="shared" si="1044"/>
        <v>0</v>
      </c>
      <c r="AN1699" s="1707">
        <f t="shared" si="1044"/>
        <v>0</v>
      </c>
      <c r="AO1699" s="1707">
        <f t="shared" si="1044"/>
        <v>0</v>
      </c>
      <c r="AP1699" s="1707">
        <f t="shared" si="1044"/>
        <v>0</v>
      </c>
      <c r="AQ1699" s="1708">
        <f t="shared" si="1044"/>
        <v>0</v>
      </c>
    </row>
    <row r="1700" spans="2:43" ht="13.75" hidden="1" customHeight="1" x14ac:dyDescent="0.2">
      <c r="B1700" s="1195"/>
      <c r="C1700" s="193">
        <f t="shared" si="1030"/>
        <v>0</v>
      </c>
      <c r="D1700" s="193"/>
      <c r="E1700" s="254"/>
      <c r="F1700" s="193"/>
      <c r="G1700" s="193"/>
      <c r="H1700" s="254"/>
      <c r="I1700" s="1707">
        <f t="shared" ref="I1700:T1700" si="1045">SUMIF($V$87:$V$119,$B1664&amp;"contratada",I$87:I$119)</f>
        <v>0</v>
      </c>
      <c r="J1700" s="1707">
        <f t="shared" si="1045"/>
        <v>0</v>
      </c>
      <c r="K1700" s="1707">
        <f t="shared" si="1045"/>
        <v>0</v>
      </c>
      <c r="L1700" s="1707">
        <f t="shared" si="1045"/>
        <v>0</v>
      </c>
      <c r="M1700" s="1707">
        <f t="shared" si="1045"/>
        <v>0</v>
      </c>
      <c r="N1700" s="1707">
        <f t="shared" si="1045"/>
        <v>0</v>
      </c>
      <c r="O1700" s="1707">
        <f t="shared" si="1045"/>
        <v>0</v>
      </c>
      <c r="P1700" s="1707">
        <f t="shared" si="1045"/>
        <v>0</v>
      </c>
      <c r="Q1700" s="1707">
        <f t="shared" si="1045"/>
        <v>0</v>
      </c>
      <c r="R1700" s="1707">
        <f t="shared" si="1045"/>
        <v>0</v>
      </c>
      <c r="S1700" s="1707">
        <f t="shared" si="1045"/>
        <v>0</v>
      </c>
      <c r="T1700" s="1708">
        <f t="shared" si="1045"/>
        <v>0</v>
      </c>
      <c r="Y1700" s="1195"/>
      <c r="Z1700" s="193">
        <f t="shared" si="1002"/>
        <v>0</v>
      </c>
      <c r="AA1700" s="193"/>
      <c r="AB1700" s="254"/>
      <c r="AC1700" s="193"/>
      <c r="AD1700" s="193"/>
      <c r="AE1700" s="254"/>
      <c r="AF1700" s="1707">
        <f t="shared" ref="AF1700:AQ1700" si="1046">SUMIF($AS$86:$AS$119,$B1664&amp;"contratada",AF$86:AF$119)</f>
        <v>0</v>
      </c>
      <c r="AG1700" s="1707">
        <f t="shared" si="1046"/>
        <v>0</v>
      </c>
      <c r="AH1700" s="1707">
        <f t="shared" si="1046"/>
        <v>0</v>
      </c>
      <c r="AI1700" s="1707">
        <f t="shared" si="1046"/>
        <v>0</v>
      </c>
      <c r="AJ1700" s="1707">
        <f t="shared" si="1046"/>
        <v>0</v>
      </c>
      <c r="AK1700" s="1707">
        <f t="shared" si="1046"/>
        <v>0</v>
      </c>
      <c r="AL1700" s="1707">
        <f t="shared" si="1046"/>
        <v>0</v>
      </c>
      <c r="AM1700" s="1707">
        <f t="shared" si="1046"/>
        <v>0</v>
      </c>
      <c r="AN1700" s="1707">
        <f t="shared" si="1046"/>
        <v>0</v>
      </c>
      <c r="AO1700" s="1707">
        <f t="shared" si="1046"/>
        <v>0</v>
      </c>
      <c r="AP1700" s="1707">
        <f t="shared" si="1046"/>
        <v>0</v>
      </c>
      <c r="AQ1700" s="1708">
        <f t="shared" si="1046"/>
        <v>0</v>
      </c>
    </row>
    <row r="1701" spans="2:43" ht="13.75" hidden="1" customHeight="1" x14ac:dyDescent="0.2">
      <c r="B1701" s="1195"/>
      <c r="C1701" s="193">
        <f t="shared" si="1030"/>
        <v>0</v>
      </c>
      <c r="D1701" s="193"/>
      <c r="E1701" s="254"/>
      <c r="F1701" s="193"/>
      <c r="G1701" s="193"/>
      <c r="H1701" s="254"/>
      <c r="I1701" s="1707">
        <f t="shared" ref="I1701:T1701" si="1047">SUMIF($V$87:$V$119,$B1665&amp;"contratada",I$87:I$119)</f>
        <v>0</v>
      </c>
      <c r="J1701" s="1707">
        <f t="shared" si="1047"/>
        <v>0</v>
      </c>
      <c r="K1701" s="1707">
        <f t="shared" si="1047"/>
        <v>0</v>
      </c>
      <c r="L1701" s="1707">
        <f t="shared" si="1047"/>
        <v>0</v>
      </c>
      <c r="M1701" s="1707">
        <f t="shared" si="1047"/>
        <v>0</v>
      </c>
      <c r="N1701" s="1707">
        <f t="shared" si="1047"/>
        <v>0</v>
      </c>
      <c r="O1701" s="1707">
        <f t="shared" si="1047"/>
        <v>0</v>
      </c>
      <c r="P1701" s="1707">
        <f t="shared" si="1047"/>
        <v>0</v>
      </c>
      <c r="Q1701" s="1707">
        <f t="shared" si="1047"/>
        <v>0</v>
      </c>
      <c r="R1701" s="1707">
        <f t="shared" si="1047"/>
        <v>0</v>
      </c>
      <c r="S1701" s="1707">
        <f t="shared" si="1047"/>
        <v>0</v>
      </c>
      <c r="T1701" s="1708">
        <f t="shared" si="1047"/>
        <v>0</v>
      </c>
      <c r="Y1701" s="1195"/>
      <c r="Z1701" s="193">
        <f t="shared" si="1002"/>
        <v>0</v>
      </c>
      <c r="AA1701" s="193"/>
      <c r="AB1701" s="254"/>
      <c r="AC1701" s="193"/>
      <c r="AD1701" s="193"/>
      <c r="AE1701" s="254"/>
      <c r="AF1701" s="1707">
        <f t="shared" ref="AF1701:AQ1701" si="1048">SUMIF($AS$86:$AS$119,$B1665&amp;"contratada",AF$86:AF$119)</f>
        <v>0</v>
      </c>
      <c r="AG1701" s="1707">
        <f t="shared" si="1048"/>
        <v>0</v>
      </c>
      <c r="AH1701" s="1707">
        <f t="shared" si="1048"/>
        <v>0</v>
      </c>
      <c r="AI1701" s="1707">
        <f t="shared" si="1048"/>
        <v>0</v>
      </c>
      <c r="AJ1701" s="1707">
        <f t="shared" si="1048"/>
        <v>0</v>
      </c>
      <c r="AK1701" s="1707">
        <f t="shared" si="1048"/>
        <v>0</v>
      </c>
      <c r="AL1701" s="1707">
        <f t="shared" si="1048"/>
        <v>0</v>
      </c>
      <c r="AM1701" s="1707">
        <f t="shared" si="1048"/>
        <v>0</v>
      </c>
      <c r="AN1701" s="1707">
        <f t="shared" si="1048"/>
        <v>0</v>
      </c>
      <c r="AO1701" s="1707">
        <f t="shared" si="1048"/>
        <v>0</v>
      </c>
      <c r="AP1701" s="1707">
        <f t="shared" si="1048"/>
        <v>0</v>
      </c>
      <c r="AQ1701" s="1708">
        <f t="shared" si="1048"/>
        <v>0</v>
      </c>
    </row>
    <row r="1702" spans="2:43" ht="13.75" hidden="1" customHeight="1" x14ac:dyDescent="0.2">
      <c r="B1702" s="1195"/>
      <c r="C1702" s="193">
        <f t="shared" si="1030"/>
        <v>0</v>
      </c>
      <c r="D1702" s="193"/>
      <c r="E1702" s="254"/>
      <c r="F1702" s="193"/>
      <c r="G1702" s="193"/>
      <c r="H1702" s="254"/>
      <c r="I1702" s="1707">
        <f t="shared" ref="I1702:T1702" si="1049">SUMIF($V$87:$V$119,$B1666&amp;"contratada",I$87:I$119)</f>
        <v>0</v>
      </c>
      <c r="J1702" s="1707">
        <f t="shared" si="1049"/>
        <v>0</v>
      </c>
      <c r="K1702" s="1707">
        <f t="shared" si="1049"/>
        <v>0</v>
      </c>
      <c r="L1702" s="1707">
        <f t="shared" si="1049"/>
        <v>0</v>
      </c>
      <c r="M1702" s="1707">
        <f t="shared" si="1049"/>
        <v>0</v>
      </c>
      <c r="N1702" s="1707">
        <f t="shared" si="1049"/>
        <v>0</v>
      </c>
      <c r="O1702" s="1707">
        <f t="shared" si="1049"/>
        <v>0</v>
      </c>
      <c r="P1702" s="1707">
        <f t="shared" si="1049"/>
        <v>0</v>
      </c>
      <c r="Q1702" s="1707">
        <f t="shared" si="1049"/>
        <v>0</v>
      </c>
      <c r="R1702" s="1707">
        <f t="shared" si="1049"/>
        <v>0</v>
      </c>
      <c r="S1702" s="1707">
        <f t="shared" si="1049"/>
        <v>0</v>
      </c>
      <c r="T1702" s="1708">
        <f t="shared" si="1049"/>
        <v>0</v>
      </c>
      <c r="Y1702" s="1195"/>
      <c r="Z1702" s="193">
        <f t="shared" si="1002"/>
        <v>0</v>
      </c>
      <c r="AA1702" s="193"/>
      <c r="AB1702" s="254"/>
      <c r="AC1702" s="193"/>
      <c r="AD1702" s="193"/>
      <c r="AE1702" s="254"/>
      <c r="AF1702" s="1707">
        <f t="shared" ref="AF1702:AQ1702" si="1050">SUMIF($AS$86:$AS$119,$B1666&amp;"contratada",AF$86:AF$119)</f>
        <v>0</v>
      </c>
      <c r="AG1702" s="1707">
        <f t="shared" si="1050"/>
        <v>0</v>
      </c>
      <c r="AH1702" s="1707">
        <f t="shared" si="1050"/>
        <v>0</v>
      </c>
      <c r="AI1702" s="1707">
        <f t="shared" si="1050"/>
        <v>0</v>
      </c>
      <c r="AJ1702" s="1707">
        <f t="shared" si="1050"/>
        <v>0</v>
      </c>
      <c r="AK1702" s="1707">
        <f t="shared" si="1050"/>
        <v>0</v>
      </c>
      <c r="AL1702" s="1707">
        <f t="shared" si="1050"/>
        <v>0</v>
      </c>
      <c r="AM1702" s="1707">
        <f t="shared" si="1050"/>
        <v>0</v>
      </c>
      <c r="AN1702" s="1707">
        <f t="shared" si="1050"/>
        <v>0</v>
      </c>
      <c r="AO1702" s="1707">
        <f t="shared" si="1050"/>
        <v>0</v>
      </c>
      <c r="AP1702" s="1707">
        <f t="shared" si="1050"/>
        <v>0</v>
      </c>
      <c r="AQ1702" s="1708">
        <f t="shared" si="1050"/>
        <v>0</v>
      </c>
    </row>
    <row r="1703" spans="2:43" ht="13.75" hidden="1" customHeight="1" x14ac:dyDescent="0.2">
      <c r="B1703" s="1195"/>
      <c r="C1703" s="193">
        <f t="shared" si="1030"/>
        <v>0</v>
      </c>
      <c r="D1703" s="193"/>
      <c r="E1703" s="254"/>
      <c r="F1703" s="193"/>
      <c r="G1703" s="193"/>
      <c r="H1703" s="254"/>
      <c r="I1703" s="1707">
        <f t="shared" ref="I1703:T1703" si="1051">SUMIF($V$87:$V$119,$B1667&amp;"contratada",I$87:I$119)</f>
        <v>0</v>
      </c>
      <c r="J1703" s="1707">
        <f t="shared" si="1051"/>
        <v>0</v>
      </c>
      <c r="K1703" s="1707">
        <f t="shared" si="1051"/>
        <v>0</v>
      </c>
      <c r="L1703" s="1707">
        <f t="shared" si="1051"/>
        <v>0</v>
      </c>
      <c r="M1703" s="1707">
        <f t="shared" si="1051"/>
        <v>0</v>
      </c>
      <c r="N1703" s="1707">
        <f t="shared" si="1051"/>
        <v>0</v>
      </c>
      <c r="O1703" s="1707">
        <f t="shared" si="1051"/>
        <v>0</v>
      </c>
      <c r="P1703" s="1707">
        <f t="shared" si="1051"/>
        <v>0</v>
      </c>
      <c r="Q1703" s="1707">
        <f t="shared" si="1051"/>
        <v>0</v>
      </c>
      <c r="R1703" s="1707">
        <f t="shared" si="1051"/>
        <v>0</v>
      </c>
      <c r="S1703" s="1707">
        <f t="shared" si="1051"/>
        <v>0</v>
      </c>
      <c r="T1703" s="1708">
        <f t="shared" si="1051"/>
        <v>0</v>
      </c>
      <c r="Y1703" s="1195"/>
      <c r="Z1703" s="193">
        <f t="shared" si="1002"/>
        <v>0</v>
      </c>
      <c r="AA1703" s="193"/>
      <c r="AB1703" s="254"/>
      <c r="AC1703" s="193"/>
      <c r="AD1703" s="193"/>
      <c r="AE1703" s="254"/>
      <c r="AF1703" s="1707">
        <f t="shared" ref="AF1703:AQ1703" si="1052">SUMIF($AS$86:$AS$119,$B1667&amp;"contratada",AF$86:AF$119)</f>
        <v>0</v>
      </c>
      <c r="AG1703" s="1707">
        <f t="shared" si="1052"/>
        <v>0</v>
      </c>
      <c r="AH1703" s="1707">
        <f t="shared" si="1052"/>
        <v>0</v>
      </c>
      <c r="AI1703" s="1707">
        <f t="shared" si="1052"/>
        <v>0</v>
      </c>
      <c r="AJ1703" s="1707">
        <f t="shared" si="1052"/>
        <v>0</v>
      </c>
      <c r="AK1703" s="1707">
        <f t="shared" si="1052"/>
        <v>0</v>
      </c>
      <c r="AL1703" s="1707">
        <f t="shared" si="1052"/>
        <v>0</v>
      </c>
      <c r="AM1703" s="1707">
        <f t="shared" si="1052"/>
        <v>0</v>
      </c>
      <c r="AN1703" s="1707">
        <f t="shared" si="1052"/>
        <v>0</v>
      </c>
      <c r="AO1703" s="1707">
        <f t="shared" si="1052"/>
        <v>0</v>
      </c>
      <c r="AP1703" s="1707">
        <f t="shared" si="1052"/>
        <v>0</v>
      </c>
      <c r="AQ1703" s="1708">
        <f t="shared" si="1052"/>
        <v>0</v>
      </c>
    </row>
    <row r="1704" spans="2:43" ht="13.75" hidden="1" customHeight="1" x14ac:dyDescent="0.2">
      <c r="B1704" s="1195"/>
      <c r="C1704" s="193">
        <f t="shared" si="1030"/>
        <v>0</v>
      </c>
      <c r="D1704" s="193"/>
      <c r="E1704" s="254"/>
      <c r="F1704" s="193"/>
      <c r="G1704" s="193"/>
      <c r="H1704" s="254"/>
      <c r="I1704" s="1707">
        <f t="shared" ref="I1704:T1704" si="1053">SUMIF($V$87:$V$119,$B1668&amp;"contratada",I$87:I$119)</f>
        <v>0</v>
      </c>
      <c r="J1704" s="1707">
        <f t="shared" si="1053"/>
        <v>0</v>
      </c>
      <c r="K1704" s="1707">
        <f t="shared" si="1053"/>
        <v>0</v>
      </c>
      <c r="L1704" s="1707">
        <f t="shared" si="1053"/>
        <v>0</v>
      </c>
      <c r="M1704" s="1707">
        <f t="shared" si="1053"/>
        <v>0</v>
      </c>
      <c r="N1704" s="1707">
        <f t="shared" si="1053"/>
        <v>0</v>
      </c>
      <c r="O1704" s="1707">
        <f t="shared" si="1053"/>
        <v>0</v>
      </c>
      <c r="P1704" s="1707">
        <f t="shared" si="1053"/>
        <v>0</v>
      </c>
      <c r="Q1704" s="1707">
        <f t="shared" si="1053"/>
        <v>0</v>
      </c>
      <c r="R1704" s="1707">
        <f t="shared" si="1053"/>
        <v>0</v>
      </c>
      <c r="S1704" s="1707">
        <f t="shared" si="1053"/>
        <v>0</v>
      </c>
      <c r="T1704" s="1708">
        <f t="shared" si="1053"/>
        <v>0</v>
      </c>
      <c r="Y1704" s="1195"/>
      <c r="Z1704" s="193">
        <f t="shared" si="1002"/>
        <v>0</v>
      </c>
      <c r="AA1704" s="193"/>
      <c r="AB1704" s="254"/>
      <c r="AC1704" s="193"/>
      <c r="AD1704" s="193"/>
      <c r="AE1704" s="254"/>
      <c r="AF1704" s="1707">
        <f t="shared" ref="AF1704:AQ1704" si="1054">SUMIF($AS$86:$AS$119,$B1668&amp;"contratada",AF$86:AF$119)</f>
        <v>0</v>
      </c>
      <c r="AG1704" s="1707">
        <f t="shared" si="1054"/>
        <v>0</v>
      </c>
      <c r="AH1704" s="1707">
        <f t="shared" si="1054"/>
        <v>0</v>
      </c>
      <c r="AI1704" s="1707">
        <f t="shared" si="1054"/>
        <v>0</v>
      </c>
      <c r="AJ1704" s="1707">
        <f t="shared" si="1054"/>
        <v>0</v>
      </c>
      <c r="AK1704" s="1707">
        <f t="shared" si="1054"/>
        <v>0</v>
      </c>
      <c r="AL1704" s="1707">
        <f t="shared" si="1054"/>
        <v>0</v>
      </c>
      <c r="AM1704" s="1707">
        <f t="shared" si="1054"/>
        <v>0</v>
      </c>
      <c r="AN1704" s="1707">
        <f t="shared" si="1054"/>
        <v>0</v>
      </c>
      <c r="AO1704" s="1707">
        <f t="shared" si="1054"/>
        <v>0</v>
      </c>
      <c r="AP1704" s="1707">
        <f t="shared" si="1054"/>
        <v>0</v>
      </c>
      <c r="AQ1704" s="1708">
        <f t="shared" si="1054"/>
        <v>0</v>
      </c>
    </row>
    <row r="1705" spans="2:43" ht="13.75" hidden="1" customHeight="1" x14ac:dyDescent="0.2">
      <c r="B1705" s="1195"/>
      <c r="C1705" s="193">
        <f t="shared" si="1030"/>
        <v>0</v>
      </c>
      <c r="D1705" s="193"/>
      <c r="E1705" s="254"/>
      <c r="F1705" s="193"/>
      <c r="G1705" s="193"/>
      <c r="H1705" s="254"/>
      <c r="I1705" s="1707">
        <f t="shared" ref="I1705:T1705" si="1055">SUMIF($V$87:$V$119,$B1669&amp;"contratada",I$87:I$119)</f>
        <v>0</v>
      </c>
      <c r="J1705" s="1707">
        <f t="shared" si="1055"/>
        <v>0</v>
      </c>
      <c r="K1705" s="1707">
        <f t="shared" si="1055"/>
        <v>0</v>
      </c>
      <c r="L1705" s="1707">
        <f t="shared" si="1055"/>
        <v>0</v>
      </c>
      <c r="M1705" s="1707">
        <f t="shared" si="1055"/>
        <v>0</v>
      </c>
      <c r="N1705" s="1707">
        <f t="shared" si="1055"/>
        <v>0</v>
      </c>
      <c r="O1705" s="1707">
        <f t="shared" si="1055"/>
        <v>0</v>
      </c>
      <c r="P1705" s="1707">
        <f t="shared" si="1055"/>
        <v>0</v>
      </c>
      <c r="Q1705" s="1707">
        <f t="shared" si="1055"/>
        <v>0</v>
      </c>
      <c r="R1705" s="1707">
        <f t="shared" si="1055"/>
        <v>0</v>
      </c>
      <c r="S1705" s="1707">
        <f t="shared" si="1055"/>
        <v>0</v>
      </c>
      <c r="T1705" s="1708">
        <f t="shared" si="1055"/>
        <v>0</v>
      </c>
      <c r="Y1705" s="1195"/>
      <c r="Z1705" s="193">
        <f t="shared" si="1002"/>
        <v>0</v>
      </c>
      <c r="AA1705" s="193"/>
      <c r="AB1705" s="254"/>
      <c r="AC1705" s="193"/>
      <c r="AD1705" s="193"/>
      <c r="AE1705" s="254"/>
      <c r="AF1705" s="1707">
        <f t="shared" ref="AF1705:AQ1705" si="1056">SUMIF($AS$86:$AS$119,$B1669&amp;"contratada",AF$86:AF$119)</f>
        <v>0</v>
      </c>
      <c r="AG1705" s="1707">
        <f t="shared" si="1056"/>
        <v>0</v>
      </c>
      <c r="AH1705" s="1707">
        <f t="shared" si="1056"/>
        <v>0</v>
      </c>
      <c r="AI1705" s="1707">
        <f t="shared" si="1056"/>
        <v>0</v>
      </c>
      <c r="AJ1705" s="1707">
        <f t="shared" si="1056"/>
        <v>0</v>
      </c>
      <c r="AK1705" s="1707">
        <f t="shared" si="1056"/>
        <v>0</v>
      </c>
      <c r="AL1705" s="1707">
        <f t="shared" si="1056"/>
        <v>0</v>
      </c>
      <c r="AM1705" s="1707">
        <f t="shared" si="1056"/>
        <v>0</v>
      </c>
      <c r="AN1705" s="1707">
        <f t="shared" si="1056"/>
        <v>0</v>
      </c>
      <c r="AO1705" s="1707">
        <f t="shared" si="1056"/>
        <v>0</v>
      </c>
      <c r="AP1705" s="1707">
        <f t="shared" si="1056"/>
        <v>0</v>
      </c>
      <c r="AQ1705" s="1708">
        <f t="shared" si="1056"/>
        <v>0</v>
      </c>
    </row>
    <row r="1706" spans="2:43" ht="14.4" hidden="1" customHeight="1" thickBot="1" x14ac:dyDescent="0.25">
      <c r="B1706" s="1198"/>
      <c r="C1706" s="1199">
        <f t="shared" si="1030"/>
        <v>0</v>
      </c>
      <c r="D1706" s="1199"/>
      <c r="E1706" s="1209"/>
      <c r="F1706" s="1199"/>
      <c r="G1706" s="1199"/>
      <c r="H1706" s="1209"/>
      <c r="I1706" s="1709">
        <f t="shared" ref="I1706:T1706" si="1057">SUMIF($V$87:$V$119,$B1670&amp;"contratada",I$87:I$119)</f>
        <v>0</v>
      </c>
      <c r="J1706" s="1709">
        <f t="shared" si="1057"/>
        <v>0</v>
      </c>
      <c r="K1706" s="1709">
        <f t="shared" si="1057"/>
        <v>0</v>
      </c>
      <c r="L1706" s="1709">
        <f t="shared" si="1057"/>
        <v>0</v>
      </c>
      <c r="M1706" s="1709">
        <f t="shared" si="1057"/>
        <v>0</v>
      </c>
      <c r="N1706" s="1709">
        <f t="shared" si="1057"/>
        <v>0</v>
      </c>
      <c r="O1706" s="1709">
        <f t="shared" si="1057"/>
        <v>0</v>
      </c>
      <c r="P1706" s="1709">
        <f t="shared" si="1057"/>
        <v>0</v>
      </c>
      <c r="Q1706" s="1709">
        <f t="shared" si="1057"/>
        <v>0</v>
      </c>
      <c r="R1706" s="1709">
        <f t="shared" si="1057"/>
        <v>0</v>
      </c>
      <c r="S1706" s="1709">
        <f t="shared" si="1057"/>
        <v>0</v>
      </c>
      <c r="T1706" s="1710">
        <f t="shared" si="1057"/>
        <v>0</v>
      </c>
      <c r="Y1706" s="1198"/>
      <c r="Z1706" s="1199">
        <f t="shared" si="1002"/>
        <v>0</v>
      </c>
      <c r="AA1706" s="1199"/>
      <c r="AB1706" s="1209"/>
      <c r="AC1706" s="1199"/>
      <c r="AD1706" s="1199"/>
      <c r="AE1706" s="1209"/>
      <c r="AF1706" s="1709">
        <f t="shared" ref="AF1706:AQ1706" si="1058">SUMIF($AS$86:$AS$119,$B1670&amp;"contratada",AF$86:AF$119)</f>
        <v>0</v>
      </c>
      <c r="AG1706" s="1709">
        <f t="shared" si="1058"/>
        <v>0</v>
      </c>
      <c r="AH1706" s="1709">
        <f t="shared" si="1058"/>
        <v>0</v>
      </c>
      <c r="AI1706" s="1709">
        <f t="shared" si="1058"/>
        <v>0</v>
      </c>
      <c r="AJ1706" s="1709">
        <f t="shared" si="1058"/>
        <v>0</v>
      </c>
      <c r="AK1706" s="1709">
        <f t="shared" si="1058"/>
        <v>0</v>
      </c>
      <c r="AL1706" s="1709">
        <f t="shared" si="1058"/>
        <v>0</v>
      </c>
      <c r="AM1706" s="1709">
        <f t="shared" si="1058"/>
        <v>0</v>
      </c>
      <c r="AN1706" s="1709">
        <f t="shared" si="1058"/>
        <v>0</v>
      </c>
      <c r="AO1706" s="1709">
        <f t="shared" si="1058"/>
        <v>0</v>
      </c>
      <c r="AP1706" s="1709">
        <f t="shared" si="1058"/>
        <v>0</v>
      </c>
      <c r="AQ1706" s="1710">
        <f t="shared" si="1058"/>
        <v>0</v>
      </c>
    </row>
    <row r="1707" spans="2:43" ht="15.05" hidden="1" customHeight="1" thickTop="1" thickBot="1" x14ac:dyDescent="0.25">
      <c r="B1707" s="1711" t="s">
        <v>705</v>
      </c>
      <c r="C1707" s="1712"/>
      <c r="D1707" s="1712"/>
      <c r="E1707" s="1712"/>
      <c r="F1707" s="1712"/>
      <c r="G1707" s="1712"/>
      <c r="H1707" s="1713" t="s">
        <v>230</v>
      </c>
      <c r="I1707" s="1715">
        <f t="shared" ref="I1707:T1707" si="1059">+SUMPRODUCT(I1678:I1706,$C$1678:$C$1706)</f>
        <v>0</v>
      </c>
      <c r="J1707" s="1715">
        <f t="shared" si="1059"/>
        <v>0</v>
      </c>
      <c r="K1707" s="1715">
        <f t="shared" si="1059"/>
        <v>0</v>
      </c>
      <c r="L1707" s="1715">
        <f t="shared" si="1059"/>
        <v>0</v>
      </c>
      <c r="M1707" s="1715">
        <f t="shared" si="1059"/>
        <v>0</v>
      </c>
      <c r="N1707" s="1715">
        <f t="shared" si="1059"/>
        <v>0</v>
      </c>
      <c r="O1707" s="1715">
        <f t="shared" si="1059"/>
        <v>0</v>
      </c>
      <c r="P1707" s="1715">
        <f t="shared" si="1059"/>
        <v>0</v>
      </c>
      <c r="Q1707" s="1715">
        <f t="shared" si="1059"/>
        <v>0</v>
      </c>
      <c r="R1707" s="1715">
        <f t="shared" si="1059"/>
        <v>0</v>
      </c>
      <c r="S1707" s="1715">
        <f t="shared" si="1059"/>
        <v>0</v>
      </c>
      <c r="T1707" s="1716">
        <f t="shared" si="1059"/>
        <v>0</v>
      </c>
      <c r="Y1707" s="1711" t="s">
        <v>705</v>
      </c>
      <c r="Z1707" s="1712"/>
      <c r="AA1707" s="1712"/>
      <c r="AB1707" s="1712"/>
      <c r="AC1707" s="1712"/>
      <c r="AD1707" s="1712"/>
      <c r="AE1707" s="1719" t="s">
        <v>230</v>
      </c>
      <c r="AF1707" s="1715">
        <f t="shared" ref="AF1707:AQ1707" si="1060">+SUMPRODUCT(AF1678:AF1706,$C$1678:$C$1706)</f>
        <v>0</v>
      </c>
      <c r="AG1707" s="1715">
        <f t="shared" si="1060"/>
        <v>0</v>
      </c>
      <c r="AH1707" s="1715">
        <f t="shared" si="1060"/>
        <v>0</v>
      </c>
      <c r="AI1707" s="1715">
        <f t="shared" si="1060"/>
        <v>0</v>
      </c>
      <c r="AJ1707" s="1715">
        <f t="shared" si="1060"/>
        <v>0</v>
      </c>
      <c r="AK1707" s="1715">
        <f t="shared" si="1060"/>
        <v>0</v>
      </c>
      <c r="AL1707" s="1715">
        <f t="shared" si="1060"/>
        <v>0</v>
      </c>
      <c r="AM1707" s="1715">
        <f t="shared" si="1060"/>
        <v>0</v>
      </c>
      <c r="AN1707" s="1715">
        <f t="shared" si="1060"/>
        <v>0</v>
      </c>
      <c r="AO1707" s="1715">
        <f t="shared" si="1060"/>
        <v>0</v>
      </c>
      <c r="AP1707" s="1715">
        <f t="shared" si="1060"/>
        <v>0</v>
      </c>
      <c r="AQ1707" s="1716">
        <f t="shared" si="1060"/>
        <v>0</v>
      </c>
    </row>
    <row r="1708" spans="2:43" ht="14.4" hidden="1" customHeight="1" thickTop="1" x14ac:dyDescent="0.2">
      <c r="B1708" s="1594"/>
      <c r="C1708" s="193"/>
      <c r="D1708" s="193"/>
      <c r="E1708" s="193"/>
      <c r="F1708" s="193"/>
      <c r="G1708" s="193"/>
      <c r="H1708" s="982" t="s">
        <v>698</v>
      </c>
      <c r="I1708" s="1205">
        <f t="shared" ref="I1708:T1708" si="1061">IFERROR(I1707*I1674/I1676,0)</f>
        <v>0</v>
      </c>
      <c r="J1708" s="1205">
        <f t="shared" si="1061"/>
        <v>0</v>
      </c>
      <c r="K1708" s="1205">
        <f t="shared" si="1061"/>
        <v>0</v>
      </c>
      <c r="L1708" s="1205">
        <f t="shared" si="1061"/>
        <v>0</v>
      </c>
      <c r="M1708" s="1205">
        <f t="shared" si="1061"/>
        <v>0</v>
      </c>
      <c r="N1708" s="1205">
        <f t="shared" si="1061"/>
        <v>0</v>
      </c>
      <c r="O1708" s="1205">
        <f t="shared" si="1061"/>
        <v>0</v>
      </c>
      <c r="P1708" s="1205">
        <f t="shared" si="1061"/>
        <v>0</v>
      </c>
      <c r="Q1708" s="1205">
        <f t="shared" si="1061"/>
        <v>0</v>
      </c>
      <c r="R1708" s="1205">
        <f t="shared" si="1061"/>
        <v>0</v>
      </c>
      <c r="S1708" s="1205">
        <f t="shared" si="1061"/>
        <v>0</v>
      </c>
      <c r="T1708" s="1714">
        <f t="shared" si="1061"/>
        <v>0</v>
      </c>
      <c r="Y1708" s="1594"/>
      <c r="Z1708" s="193"/>
      <c r="AA1708" s="193"/>
      <c r="AB1708" s="193"/>
      <c r="AC1708" s="193"/>
      <c r="AD1708" s="193"/>
      <c r="AE1708" s="1720" t="s">
        <v>698</v>
      </c>
      <c r="AF1708" s="1205">
        <f t="shared" ref="AF1708:AQ1708" si="1062">IFERROR(AF1707*AF1674/AF1676,0)</f>
        <v>0</v>
      </c>
      <c r="AG1708" s="1205">
        <f t="shared" si="1062"/>
        <v>0</v>
      </c>
      <c r="AH1708" s="1205">
        <f t="shared" si="1062"/>
        <v>0</v>
      </c>
      <c r="AI1708" s="1205">
        <f t="shared" si="1062"/>
        <v>0</v>
      </c>
      <c r="AJ1708" s="1205">
        <f t="shared" si="1062"/>
        <v>0</v>
      </c>
      <c r="AK1708" s="1205">
        <f t="shared" si="1062"/>
        <v>0</v>
      </c>
      <c r="AL1708" s="1205">
        <f t="shared" si="1062"/>
        <v>0</v>
      </c>
      <c r="AM1708" s="1205">
        <f t="shared" si="1062"/>
        <v>0</v>
      </c>
      <c r="AN1708" s="1205">
        <f t="shared" si="1062"/>
        <v>0</v>
      </c>
      <c r="AO1708" s="1205">
        <f t="shared" si="1062"/>
        <v>0</v>
      </c>
      <c r="AP1708" s="1205">
        <f t="shared" si="1062"/>
        <v>0</v>
      </c>
      <c r="AQ1708" s="1714">
        <f t="shared" si="1062"/>
        <v>0</v>
      </c>
    </row>
    <row r="1709" spans="2:43" ht="14.4" hidden="1" customHeight="1" thickBot="1" x14ac:dyDescent="0.25">
      <c r="B1709" s="1596"/>
      <c r="C1709" s="1199"/>
      <c r="D1709" s="1199"/>
      <c r="E1709" s="1199"/>
      <c r="F1709" s="1199"/>
      <c r="G1709" s="1199"/>
      <c r="H1709" s="1717" t="s">
        <v>699</v>
      </c>
      <c r="I1709" s="1590">
        <f t="shared" ref="I1709:T1709" si="1063">+I1707-I1708</f>
        <v>0</v>
      </c>
      <c r="J1709" s="1590">
        <f t="shared" si="1063"/>
        <v>0</v>
      </c>
      <c r="K1709" s="1590">
        <f t="shared" si="1063"/>
        <v>0</v>
      </c>
      <c r="L1709" s="1590">
        <f t="shared" si="1063"/>
        <v>0</v>
      </c>
      <c r="M1709" s="1590">
        <f t="shared" si="1063"/>
        <v>0</v>
      </c>
      <c r="N1709" s="1590">
        <f t="shared" si="1063"/>
        <v>0</v>
      </c>
      <c r="O1709" s="1590">
        <f t="shared" si="1063"/>
        <v>0</v>
      </c>
      <c r="P1709" s="1590">
        <f t="shared" si="1063"/>
        <v>0</v>
      </c>
      <c r="Q1709" s="1590">
        <f t="shared" si="1063"/>
        <v>0</v>
      </c>
      <c r="R1709" s="1590">
        <f t="shared" si="1063"/>
        <v>0</v>
      </c>
      <c r="S1709" s="1590">
        <f t="shared" si="1063"/>
        <v>0</v>
      </c>
      <c r="T1709" s="1655">
        <f t="shared" si="1063"/>
        <v>0</v>
      </c>
      <c r="Y1709" s="1596"/>
      <c r="Z1709" s="1199"/>
      <c r="AA1709" s="1199"/>
      <c r="AB1709" s="1199"/>
      <c r="AC1709" s="1199"/>
      <c r="AD1709" s="1199"/>
      <c r="AE1709" s="1721" t="s">
        <v>699</v>
      </c>
      <c r="AF1709" s="1590">
        <f>+AF1707-AF1708</f>
        <v>0</v>
      </c>
      <c r="AG1709" s="1590">
        <f t="shared" ref="AG1709:AQ1709" si="1064">+AG1707-AG1708</f>
        <v>0</v>
      </c>
      <c r="AH1709" s="1590">
        <f t="shared" si="1064"/>
        <v>0</v>
      </c>
      <c r="AI1709" s="1590">
        <f t="shared" si="1064"/>
        <v>0</v>
      </c>
      <c r="AJ1709" s="1590">
        <f t="shared" si="1064"/>
        <v>0</v>
      </c>
      <c r="AK1709" s="1590">
        <f t="shared" si="1064"/>
        <v>0</v>
      </c>
      <c r="AL1709" s="1590">
        <f t="shared" si="1064"/>
        <v>0</v>
      </c>
      <c r="AM1709" s="1590">
        <f t="shared" si="1064"/>
        <v>0</v>
      </c>
      <c r="AN1709" s="1590">
        <f t="shared" si="1064"/>
        <v>0</v>
      </c>
      <c r="AO1709" s="1590">
        <f t="shared" si="1064"/>
        <v>0</v>
      </c>
      <c r="AP1709" s="1590">
        <f t="shared" si="1064"/>
        <v>0</v>
      </c>
      <c r="AQ1709" s="1655">
        <f t="shared" si="1064"/>
        <v>0</v>
      </c>
    </row>
    <row r="1710" spans="2:43" ht="14.4" hidden="1" customHeight="1" thickTop="1" x14ac:dyDescent="0.2">
      <c r="B1710" s="1584" t="s">
        <v>795</v>
      </c>
      <c r="C1710" s="1581">
        <f>+C1483</f>
        <v>0</v>
      </c>
      <c r="D1710" s="1194"/>
      <c r="E1710" s="1194"/>
      <c r="F1710" s="1194"/>
      <c r="G1710" s="1194" t="s">
        <v>247</v>
      </c>
      <c r="H1710" s="1194" t="s">
        <v>691</v>
      </c>
      <c r="I1710" s="1668">
        <f t="shared" ref="I1710:T1710" si="1065">+I1484</f>
        <v>0</v>
      </c>
      <c r="J1710" s="1668">
        <f t="shared" si="1065"/>
        <v>0</v>
      </c>
      <c r="K1710" s="1668">
        <f t="shared" si="1065"/>
        <v>0</v>
      </c>
      <c r="L1710" s="1668">
        <f t="shared" si="1065"/>
        <v>0</v>
      </c>
      <c r="M1710" s="1668">
        <f t="shared" si="1065"/>
        <v>0</v>
      </c>
      <c r="N1710" s="1668">
        <f t="shared" si="1065"/>
        <v>0</v>
      </c>
      <c r="O1710" s="1668">
        <f t="shared" si="1065"/>
        <v>0</v>
      </c>
      <c r="P1710" s="1668">
        <f t="shared" si="1065"/>
        <v>0</v>
      </c>
      <c r="Q1710" s="1668">
        <f t="shared" si="1065"/>
        <v>0</v>
      </c>
      <c r="R1710" s="1668">
        <f t="shared" si="1065"/>
        <v>0</v>
      </c>
      <c r="S1710" s="1668">
        <f t="shared" si="1065"/>
        <v>0</v>
      </c>
      <c r="T1710" s="1704">
        <f t="shared" si="1065"/>
        <v>0</v>
      </c>
      <c r="Y1710" s="1722" t="s">
        <v>795</v>
      </c>
      <c r="Z1710" s="1581">
        <f>+Z1483</f>
        <v>0</v>
      </c>
      <c r="AA1710" s="1194"/>
      <c r="AB1710" s="1194"/>
      <c r="AC1710" s="1194"/>
      <c r="AD1710" s="1194" t="str">
        <f t="shared" ref="AD1710:AE1712" si="1066">+AC1530</f>
        <v xml:space="preserve">U$S </v>
      </c>
      <c r="AE1710" s="1194" t="str">
        <f t="shared" si="1066"/>
        <v>lechería</v>
      </c>
      <c r="AF1710" s="1668">
        <f t="shared" ref="AF1710:AQ1710" si="1067">+AF1484</f>
        <v>0</v>
      </c>
      <c r="AG1710" s="1668">
        <f t="shared" si="1067"/>
        <v>0</v>
      </c>
      <c r="AH1710" s="1668">
        <f t="shared" si="1067"/>
        <v>0</v>
      </c>
      <c r="AI1710" s="1668">
        <f t="shared" si="1067"/>
        <v>0</v>
      </c>
      <c r="AJ1710" s="1668">
        <f t="shared" si="1067"/>
        <v>0</v>
      </c>
      <c r="AK1710" s="1668">
        <f t="shared" si="1067"/>
        <v>0</v>
      </c>
      <c r="AL1710" s="1668">
        <f t="shared" si="1067"/>
        <v>0</v>
      </c>
      <c r="AM1710" s="1668">
        <f t="shared" si="1067"/>
        <v>0</v>
      </c>
      <c r="AN1710" s="1668">
        <f t="shared" si="1067"/>
        <v>0</v>
      </c>
      <c r="AO1710" s="1668">
        <f t="shared" si="1067"/>
        <v>0</v>
      </c>
      <c r="AP1710" s="1668">
        <f t="shared" si="1067"/>
        <v>0</v>
      </c>
      <c r="AQ1710" s="1704">
        <f t="shared" si="1067"/>
        <v>0</v>
      </c>
    </row>
    <row r="1711" spans="2:43" ht="13.75" hidden="1" customHeight="1" x14ac:dyDescent="0.2">
      <c r="B1711" s="1594"/>
      <c r="C1711" s="193"/>
      <c r="D1711" s="193"/>
      <c r="E1711" s="193"/>
      <c r="F1711" s="193"/>
      <c r="G1711" s="193" t="s">
        <v>344</v>
      </c>
      <c r="H1711" s="193" t="s">
        <v>693</v>
      </c>
      <c r="I1711" s="1283">
        <f t="shared" ref="I1711:T1711" si="1068">+I1485</f>
        <v>0</v>
      </c>
      <c r="J1711" s="1283">
        <f t="shared" si="1068"/>
        <v>0</v>
      </c>
      <c r="K1711" s="1283">
        <f t="shared" si="1068"/>
        <v>0</v>
      </c>
      <c r="L1711" s="1283">
        <f t="shared" si="1068"/>
        <v>0</v>
      </c>
      <c r="M1711" s="1283">
        <f t="shared" si="1068"/>
        <v>0</v>
      </c>
      <c r="N1711" s="1283">
        <f t="shared" si="1068"/>
        <v>0</v>
      </c>
      <c r="O1711" s="1283">
        <f t="shared" si="1068"/>
        <v>0</v>
      </c>
      <c r="P1711" s="1283">
        <f t="shared" si="1068"/>
        <v>0</v>
      </c>
      <c r="Q1711" s="1283">
        <f t="shared" si="1068"/>
        <v>0</v>
      </c>
      <c r="R1711" s="1283">
        <f t="shared" si="1068"/>
        <v>0</v>
      </c>
      <c r="S1711" s="1283">
        <f t="shared" si="1068"/>
        <v>0</v>
      </c>
      <c r="T1711" s="1601">
        <f t="shared" si="1068"/>
        <v>0</v>
      </c>
      <c r="Y1711" s="1594"/>
      <c r="Z1711" s="193"/>
      <c r="AA1711" s="193"/>
      <c r="AB1711" s="193"/>
      <c r="AC1711" s="193"/>
      <c r="AD1711" s="193" t="str">
        <f t="shared" si="1066"/>
        <v>U$S</v>
      </c>
      <c r="AE1711" s="193" t="str">
        <f t="shared" si="1066"/>
        <v>ganadería</v>
      </c>
      <c r="AF1711" s="1283">
        <f t="shared" ref="AF1711:AQ1711" si="1069">+AF1485</f>
        <v>0</v>
      </c>
      <c r="AG1711" s="1283">
        <f t="shared" si="1069"/>
        <v>0</v>
      </c>
      <c r="AH1711" s="1283">
        <f t="shared" si="1069"/>
        <v>0</v>
      </c>
      <c r="AI1711" s="1283">
        <f t="shared" si="1069"/>
        <v>0</v>
      </c>
      <c r="AJ1711" s="1283">
        <f t="shared" si="1069"/>
        <v>0</v>
      </c>
      <c r="AK1711" s="1283">
        <f t="shared" si="1069"/>
        <v>0</v>
      </c>
      <c r="AL1711" s="1283">
        <f t="shared" si="1069"/>
        <v>0</v>
      </c>
      <c r="AM1711" s="1283">
        <f t="shared" si="1069"/>
        <v>0</v>
      </c>
      <c r="AN1711" s="1283">
        <f t="shared" si="1069"/>
        <v>0</v>
      </c>
      <c r="AO1711" s="1283">
        <f t="shared" si="1069"/>
        <v>0</v>
      </c>
      <c r="AP1711" s="1283">
        <f t="shared" si="1069"/>
        <v>0</v>
      </c>
      <c r="AQ1711" s="1601">
        <f t="shared" si="1069"/>
        <v>0</v>
      </c>
    </row>
    <row r="1712" spans="2:43" ht="14.4" hidden="1" customHeight="1" thickBot="1" x14ac:dyDescent="0.25">
      <c r="B1712" s="1596"/>
      <c r="C1712" s="1199"/>
      <c r="D1712" s="1199"/>
      <c r="E1712" s="1199"/>
      <c r="F1712" s="1199"/>
      <c r="G1712" s="1199" t="s">
        <v>344</v>
      </c>
      <c r="H1712" s="1199" t="s">
        <v>694</v>
      </c>
      <c r="I1712" s="1590">
        <f t="shared" ref="I1712:T1712" si="1070">+I1486</f>
        <v>0</v>
      </c>
      <c r="J1712" s="1590">
        <f t="shared" si="1070"/>
        <v>0</v>
      </c>
      <c r="K1712" s="1590">
        <f t="shared" si="1070"/>
        <v>0</v>
      </c>
      <c r="L1712" s="1590">
        <f t="shared" si="1070"/>
        <v>0</v>
      </c>
      <c r="M1712" s="1590">
        <f t="shared" si="1070"/>
        <v>0</v>
      </c>
      <c r="N1712" s="1590">
        <f t="shared" si="1070"/>
        <v>0</v>
      </c>
      <c r="O1712" s="1590">
        <f t="shared" si="1070"/>
        <v>0</v>
      </c>
      <c r="P1712" s="1590">
        <f t="shared" si="1070"/>
        <v>0</v>
      </c>
      <c r="Q1712" s="1590">
        <f t="shared" si="1070"/>
        <v>0</v>
      </c>
      <c r="R1712" s="1590">
        <f t="shared" si="1070"/>
        <v>0</v>
      </c>
      <c r="S1712" s="1590">
        <f t="shared" si="1070"/>
        <v>0</v>
      </c>
      <c r="T1712" s="1655">
        <f t="shared" si="1070"/>
        <v>0</v>
      </c>
      <c r="Y1712" s="1596"/>
      <c r="Z1712" s="1199"/>
      <c r="AA1712" s="1199"/>
      <c r="AB1712" s="1199"/>
      <c r="AC1712" s="1199"/>
      <c r="AD1712" s="1199" t="str">
        <f t="shared" si="1066"/>
        <v xml:space="preserve">U$S </v>
      </c>
      <c r="AE1712" s="1199" t="str">
        <f t="shared" si="1066"/>
        <v xml:space="preserve">total </v>
      </c>
      <c r="AF1712" s="1590">
        <f t="shared" ref="AF1712:AQ1712" si="1071">+AF1486</f>
        <v>0</v>
      </c>
      <c r="AG1712" s="1590">
        <f t="shared" si="1071"/>
        <v>0</v>
      </c>
      <c r="AH1712" s="1590">
        <f t="shared" si="1071"/>
        <v>0</v>
      </c>
      <c r="AI1712" s="1590">
        <f t="shared" si="1071"/>
        <v>0</v>
      </c>
      <c r="AJ1712" s="1590">
        <f t="shared" si="1071"/>
        <v>0</v>
      </c>
      <c r="AK1712" s="1590">
        <f t="shared" si="1071"/>
        <v>0</v>
      </c>
      <c r="AL1712" s="1590">
        <f t="shared" si="1071"/>
        <v>0</v>
      </c>
      <c r="AM1712" s="1590">
        <f t="shared" si="1071"/>
        <v>0</v>
      </c>
      <c r="AN1712" s="1590">
        <f t="shared" si="1071"/>
        <v>0</v>
      </c>
      <c r="AO1712" s="1590">
        <f t="shared" si="1071"/>
        <v>0</v>
      </c>
      <c r="AP1712" s="1590">
        <f t="shared" si="1071"/>
        <v>0</v>
      </c>
      <c r="AQ1712" s="1655">
        <f t="shared" si="1071"/>
        <v>0</v>
      </c>
    </row>
    <row r="1713" spans="2:43" ht="14.4" hidden="1" customHeight="1" thickTop="1" x14ac:dyDescent="0.2">
      <c r="B1713" s="1584" t="s">
        <v>2019</v>
      </c>
      <c r="C1713" s="1194" t="s">
        <v>2018</v>
      </c>
      <c r="D1713" s="1194"/>
      <c r="E1713" s="1194"/>
      <c r="F1713" s="1194"/>
      <c r="G1713" s="1194"/>
      <c r="H1713" s="1210"/>
      <c r="I1713" s="1194"/>
      <c r="J1713" s="1194"/>
      <c r="K1713" s="1194"/>
      <c r="L1713" s="1194"/>
      <c r="M1713" s="1194"/>
      <c r="N1713" s="1194"/>
      <c r="O1713" s="1194"/>
      <c r="P1713" s="1194"/>
      <c r="Q1713" s="1194"/>
      <c r="R1713" s="1194"/>
      <c r="S1713" s="1194"/>
      <c r="T1713" s="1599"/>
      <c r="Y1713" s="1584" t="s">
        <v>2019</v>
      </c>
      <c r="Z1713" s="1194" t="s">
        <v>2018</v>
      </c>
      <c r="AA1713" s="1194"/>
      <c r="AB1713" s="1194"/>
      <c r="AC1713" s="1194"/>
      <c r="AD1713" s="1194"/>
      <c r="AE1713" s="1210"/>
      <c r="AF1713" s="1194"/>
      <c r="AG1713" s="1194"/>
      <c r="AH1713" s="1194"/>
      <c r="AI1713" s="1194"/>
      <c r="AJ1713" s="1194"/>
      <c r="AK1713" s="1194"/>
      <c r="AL1713" s="1194"/>
      <c r="AM1713" s="1194"/>
      <c r="AN1713" s="1194"/>
      <c r="AO1713" s="1194"/>
      <c r="AP1713" s="1194"/>
      <c r="AQ1713" s="1599"/>
    </row>
    <row r="1714" spans="2:43" ht="13.75" hidden="1" customHeight="1" x14ac:dyDescent="0.2">
      <c r="B1714" s="1195" t="s">
        <v>2021</v>
      </c>
      <c r="C1714" s="193">
        <f t="shared" ref="C1714:C1727" si="1072">+C1678</f>
        <v>5</v>
      </c>
      <c r="D1714" s="193"/>
      <c r="E1714" s="254"/>
      <c r="F1714" s="193"/>
      <c r="G1714" s="193"/>
      <c r="H1714" s="254"/>
      <c r="I1714" s="1705">
        <f>SUMIF($V$127:$V$160,$B1642&amp;"propia",I$127:I$160)</f>
        <v>0</v>
      </c>
      <c r="J1714" s="1705">
        <f t="shared" ref="J1714:T1714" si="1073">SUMIF($V$127:$V$160,$B1642&amp;"propia",J$127:J$160)</f>
        <v>0</v>
      </c>
      <c r="K1714" s="1705">
        <f t="shared" si="1073"/>
        <v>0</v>
      </c>
      <c r="L1714" s="1705">
        <f t="shared" si="1073"/>
        <v>0</v>
      </c>
      <c r="M1714" s="1705">
        <f t="shared" si="1073"/>
        <v>0</v>
      </c>
      <c r="N1714" s="1705">
        <f t="shared" si="1073"/>
        <v>0</v>
      </c>
      <c r="O1714" s="1705">
        <f t="shared" si="1073"/>
        <v>0</v>
      </c>
      <c r="P1714" s="1705">
        <f t="shared" si="1073"/>
        <v>0</v>
      </c>
      <c r="Q1714" s="1705">
        <f t="shared" si="1073"/>
        <v>0</v>
      </c>
      <c r="R1714" s="1705">
        <f t="shared" si="1073"/>
        <v>0</v>
      </c>
      <c r="S1714" s="1705">
        <f t="shared" si="1073"/>
        <v>0</v>
      </c>
      <c r="T1714" s="1705">
        <f t="shared" si="1073"/>
        <v>0</v>
      </c>
      <c r="Y1714" s="1195" t="s">
        <v>2021</v>
      </c>
      <c r="Z1714" s="193">
        <f t="shared" ref="Z1714:Z1742" si="1074">+Z1678</f>
        <v>5</v>
      </c>
      <c r="AA1714" s="193"/>
      <c r="AB1714" s="254"/>
      <c r="AC1714" s="193"/>
      <c r="AD1714" s="193"/>
      <c r="AE1714" s="254"/>
      <c r="AF1714" s="1705">
        <f>SUMIF($AS$127:$AS$160,$B1642&amp;"propia",AF$127:AF$160)</f>
        <v>0</v>
      </c>
      <c r="AG1714" s="1705">
        <f t="shared" ref="AG1714:AQ1714" si="1075">SUMIF($AS$127:$AS$160,$B1642&amp;"propia",AG$127:AG$160)</f>
        <v>0</v>
      </c>
      <c r="AH1714" s="1705">
        <f t="shared" si="1075"/>
        <v>0</v>
      </c>
      <c r="AI1714" s="1705">
        <f t="shared" si="1075"/>
        <v>0</v>
      </c>
      <c r="AJ1714" s="1705">
        <f t="shared" si="1075"/>
        <v>0</v>
      </c>
      <c r="AK1714" s="1705">
        <f t="shared" si="1075"/>
        <v>0</v>
      </c>
      <c r="AL1714" s="1705">
        <f t="shared" si="1075"/>
        <v>0</v>
      </c>
      <c r="AM1714" s="1705">
        <f t="shared" si="1075"/>
        <v>0</v>
      </c>
      <c r="AN1714" s="1705">
        <f t="shared" si="1075"/>
        <v>0</v>
      </c>
      <c r="AO1714" s="1705">
        <f t="shared" si="1075"/>
        <v>0</v>
      </c>
      <c r="AP1714" s="1705">
        <f t="shared" si="1075"/>
        <v>0</v>
      </c>
      <c r="AQ1714" s="1706">
        <f t="shared" si="1075"/>
        <v>0</v>
      </c>
    </row>
    <row r="1715" spans="2:43" ht="13.75" hidden="1" customHeight="1" x14ac:dyDescent="0.2">
      <c r="B1715" s="1195"/>
      <c r="C1715" s="193">
        <f t="shared" si="1072"/>
        <v>5</v>
      </c>
      <c r="D1715" s="193"/>
      <c r="E1715" s="254"/>
      <c r="F1715" s="193"/>
      <c r="G1715" s="193"/>
      <c r="H1715" s="254"/>
      <c r="I1715" s="1707">
        <f t="shared" ref="I1715:T1715" si="1076">SUMIF($V$127:$V$160,$B1643&amp;"propia",I$127:I$160)</f>
        <v>0</v>
      </c>
      <c r="J1715" s="1707">
        <f t="shared" si="1076"/>
        <v>0</v>
      </c>
      <c r="K1715" s="1707">
        <f t="shared" si="1076"/>
        <v>0</v>
      </c>
      <c r="L1715" s="1707">
        <f t="shared" si="1076"/>
        <v>0</v>
      </c>
      <c r="M1715" s="1707">
        <f t="shared" si="1076"/>
        <v>0</v>
      </c>
      <c r="N1715" s="1707">
        <f t="shared" si="1076"/>
        <v>0</v>
      </c>
      <c r="O1715" s="1707">
        <f t="shared" si="1076"/>
        <v>0</v>
      </c>
      <c r="P1715" s="1707">
        <f t="shared" si="1076"/>
        <v>0</v>
      </c>
      <c r="Q1715" s="1707">
        <f t="shared" si="1076"/>
        <v>0</v>
      </c>
      <c r="R1715" s="1707">
        <f t="shared" si="1076"/>
        <v>0</v>
      </c>
      <c r="S1715" s="1707">
        <f t="shared" si="1076"/>
        <v>0</v>
      </c>
      <c r="T1715" s="1708">
        <f t="shared" si="1076"/>
        <v>0</v>
      </c>
      <c r="Y1715" s="1195"/>
      <c r="Z1715" s="193">
        <f t="shared" si="1074"/>
        <v>5</v>
      </c>
      <c r="AA1715" s="193"/>
      <c r="AB1715" s="254"/>
      <c r="AC1715" s="193"/>
      <c r="AD1715" s="193"/>
      <c r="AE1715" s="254"/>
      <c r="AF1715" s="1705">
        <f t="shared" ref="AF1715:AQ1715" si="1077">SUMIF($AS$127:$AS$160,$B1643&amp;"propia",AF$127:AF$160)</f>
        <v>0</v>
      </c>
      <c r="AG1715" s="1705">
        <f t="shared" si="1077"/>
        <v>0</v>
      </c>
      <c r="AH1715" s="1705">
        <f t="shared" si="1077"/>
        <v>0</v>
      </c>
      <c r="AI1715" s="1705">
        <f t="shared" si="1077"/>
        <v>0</v>
      </c>
      <c r="AJ1715" s="1705">
        <f t="shared" si="1077"/>
        <v>0</v>
      </c>
      <c r="AK1715" s="1705">
        <f t="shared" si="1077"/>
        <v>0</v>
      </c>
      <c r="AL1715" s="1705">
        <f t="shared" si="1077"/>
        <v>0</v>
      </c>
      <c r="AM1715" s="1705">
        <f t="shared" si="1077"/>
        <v>0</v>
      </c>
      <c r="AN1715" s="1705">
        <f t="shared" si="1077"/>
        <v>0</v>
      </c>
      <c r="AO1715" s="1705">
        <f t="shared" si="1077"/>
        <v>0</v>
      </c>
      <c r="AP1715" s="1705">
        <f t="shared" si="1077"/>
        <v>0</v>
      </c>
      <c r="AQ1715" s="1706">
        <f t="shared" si="1077"/>
        <v>0</v>
      </c>
    </row>
    <row r="1716" spans="2:43" ht="13.75" hidden="1" customHeight="1" x14ac:dyDescent="0.2">
      <c r="B1716" s="1195"/>
      <c r="C1716" s="193">
        <f t="shared" si="1072"/>
        <v>1.5</v>
      </c>
      <c r="D1716" s="193"/>
      <c r="E1716" s="254"/>
      <c r="F1716" s="193"/>
      <c r="G1716" s="193"/>
      <c r="H1716" s="254"/>
      <c r="I1716" s="1707">
        <f t="shared" ref="I1716:T1716" si="1078">SUMIF($V$127:$V$160,$B1644&amp;"propia",I$127:I$160)</f>
        <v>0</v>
      </c>
      <c r="J1716" s="1707">
        <f t="shared" si="1078"/>
        <v>0</v>
      </c>
      <c r="K1716" s="1707">
        <f t="shared" si="1078"/>
        <v>0</v>
      </c>
      <c r="L1716" s="1707">
        <f t="shared" si="1078"/>
        <v>0</v>
      </c>
      <c r="M1716" s="1707">
        <f t="shared" si="1078"/>
        <v>0</v>
      </c>
      <c r="N1716" s="1707">
        <f t="shared" si="1078"/>
        <v>0</v>
      </c>
      <c r="O1716" s="1707">
        <f t="shared" si="1078"/>
        <v>0</v>
      </c>
      <c r="P1716" s="1707">
        <f t="shared" si="1078"/>
        <v>0</v>
      </c>
      <c r="Q1716" s="1707">
        <f t="shared" si="1078"/>
        <v>0</v>
      </c>
      <c r="R1716" s="1707">
        <f t="shared" si="1078"/>
        <v>0</v>
      </c>
      <c r="S1716" s="1707">
        <f t="shared" si="1078"/>
        <v>0</v>
      </c>
      <c r="T1716" s="1708">
        <f t="shared" si="1078"/>
        <v>0</v>
      </c>
      <c r="Y1716" s="1195"/>
      <c r="Z1716" s="193">
        <f t="shared" si="1074"/>
        <v>1.5</v>
      </c>
      <c r="AA1716" s="193"/>
      <c r="AB1716" s="254"/>
      <c r="AC1716" s="193"/>
      <c r="AD1716" s="193"/>
      <c r="AE1716" s="254"/>
      <c r="AF1716" s="1705">
        <f t="shared" ref="AF1716:AQ1716" si="1079">SUMIF($AS$127:$AS$160,$B1644&amp;"propia",AF$127:AF$160)</f>
        <v>0</v>
      </c>
      <c r="AG1716" s="1705">
        <f t="shared" si="1079"/>
        <v>0</v>
      </c>
      <c r="AH1716" s="1705">
        <f t="shared" si="1079"/>
        <v>0</v>
      </c>
      <c r="AI1716" s="1705">
        <f t="shared" si="1079"/>
        <v>0</v>
      </c>
      <c r="AJ1716" s="1705">
        <f t="shared" si="1079"/>
        <v>0</v>
      </c>
      <c r="AK1716" s="1705">
        <f t="shared" si="1079"/>
        <v>0</v>
      </c>
      <c r="AL1716" s="1705">
        <f t="shared" si="1079"/>
        <v>0</v>
      </c>
      <c r="AM1716" s="1705">
        <f t="shared" si="1079"/>
        <v>0</v>
      </c>
      <c r="AN1716" s="1705">
        <f t="shared" si="1079"/>
        <v>0</v>
      </c>
      <c r="AO1716" s="1705">
        <f t="shared" si="1079"/>
        <v>0</v>
      </c>
      <c r="AP1716" s="1705">
        <f t="shared" si="1079"/>
        <v>0</v>
      </c>
      <c r="AQ1716" s="1706">
        <f t="shared" si="1079"/>
        <v>0</v>
      </c>
    </row>
    <row r="1717" spans="2:43" ht="13.75" hidden="1" customHeight="1" x14ac:dyDescent="0.2">
      <c r="B1717" s="1195"/>
      <c r="C1717" s="193">
        <f t="shared" si="1072"/>
        <v>1.5</v>
      </c>
      <c r="D1717" s="193"/>
      <c r="E1717" s="254"/>
      <c r="F1717" s="193"/>
      <c r="G1717" s="193"/>
      <c r="H1717" s="254"/>
      <c r="I1717" s="1707">
        <f t="shared" ref="I1717:T1717" si="1080">SUMIF($V$127:$V$160,$B1645&amp;"propia",I$127:I$160)</f>
        <v>0</v>
      </c>
      <c r="J1717" s="1707">
        <f t="shared" si="1080"/>
        <v>0</v>
      </c>
      <c r="K1717" s="1707">
        <f t="shared" si="1080"/>
        <v>0</v>
      </c>
      <c r="L1717" s="1707">
        <f t="shared" si="1080"/>
        <v>0</v>
      </c>
      <c r="M1717" s="1707">
        <f t="shared" si="1080"/>
        <v>0</v>
      </c>
      <c r="N1717" s="1707">
        <f t="shared" si="1080"/>
        <v>0</v>
      </c>
      <c r="O1717" s="1707">
        <f t="shared" si="1080"/>
        <v>0</v>
      </c>
      <c r="P1717" s="1707">
        <f t="shared" si="1080"/>
        <v>0</v>
      </c>
      <c r="Q1717" s="1707">
        <f t="shared" si="1080"/>
        <v>0</v>
      </c>
      <c r="R1717" s="1707">
        <f t="shared" si="1080"/>
        <v>0</v>
      </c>
      <c r="S1717" s="1707">
        <f t="shared" si="1080"/>
        <v>0</v>
      </c>
      <c r="T1717" s="1708">
        <f t="shared" si="1080"/>
        <v>0</v>
      </c>
      <c r="Y1717" s="1195"/>
      <c r="Z1717" s="193">
        <f t="shared" si="1074"/>
        <v>1.5</v>
      </c>
      <c r="AA1717" s="193"/>
      <c r="AB1717" s="254"/>
      <c r="AC1717" s="193"/>
      <c r="AD1717" s="193"/>
      <c r="AE1717" s="254"/>
      <c r="AF1717" s="1705">
        <f t="shared" ref="AF1717:AQ1717" si="1081">SUMIF($AS$127:$AS$160,$B1645&amp;"propia",AF$127:AF$160)</f>
        <v>0</v>
      </c>
      <c r="AG1717" s="1705">
        <f t="shared" si="1081"/>
        <v>0</v>
      </c>
      <c r="AH1717" s="1705">
        <f t="shared" si="1081"/>
        <v>0</v>
      </c>
      <c r="AI1717" s="1705">
        <f t="shared" si="1081"/>
        <v>0</v>
      </c>
      <c r="AJ1717" s="1705">
        <f t="shared" si="1081"/>
        <v>0</v>
      </c>
      <c r="AK1717" s="1705">
        <f t="shared" si="1081"/>
        <v>0</v>
      </c>
      <c r="AL1717" s="1705">
        <f t="shared" si="1081"/>
        <v>0</v>
      </c>
      <c r="AM1717" s="1705">
        <f t="shared" si="1081"/>
        <v>0</v>
      </c>
      <c r="AN1717" s="1705">
        <f t="shared" si="1081"/>
        <v>0</v>
      </c>
      <c r="AO1717" s="1705">
        <f t="shared" si="1081"/>
        <v>0</v>
      </c>
      <c r="AP1717" s="1705">
        <f t="shared" si="1081"/>
        <v>0</v>
      </c>
      <c r="AQ1717" s="1706">
        <f t="shared" si="1081"/>
        <v>0</v>
      </c>
    </row>
    <row r="1718" spans="2:43" ht="13.75" hidden="1" customHeight="1" x14ac:dyDescent="0.2">
      <c r="B1718" s="1195"/>
      <c r="C1718" s="193">
        <f t="shared" si="1072"/>
        <v>3</v>
      </c>
      <c r="D1718" s="193"/>
      <c r="E1718" s="254"/>
      <c r="F1718" s="193"/>
      <c r="G1718" s="193"/>
      <c r="H1718" s="254"/>
      <c r="I1718" s="1707">
        <f t="shared" ref="I1718:T1718" si="1082">SUMIF($V$127:$V$160,$B1646&amp;"propia",I$127:I$160)</f>
        <v>0</v>
      </c>
      <c r="J1718" s="1707">
        <f t="shared" si="1082"/>
        <v>0</v>
      </c>
      <c r="K1718" s="1707">
        <f t="shared" si="1082"/>
        <v>0</v>
      </c>
      <c r="L1718" s="1707">
        <f t="shared" si="1082"/>
        <v>0</v>
      </c>
      <c r="M1718" s="1707">
        <f t="shared" si="1082"/>
        <v>0</v>
      </c>
      <c r="N1718" s="1707">
        <f t="shared" si="1082"/>
        <v>0</v>
      </c>
      <c r="O1718" s="1707">
        <f t="shared" si="1082"/>
        <v>0</v>
      </c>
      <c r="P1718" s="1707">
        <f t="shared" si="1082"/>
        <v>0</v>
      </c>
      <c r="Q1718" s="1707">
        <f t="shared" si="1082"/>
        <v>0</v>
      </c>
      <c r="R1718" s="1707">
        <f t="shared" si="1082"/>
        <v>0</v>
      </c>
      <c r="S1718" s="1707">
        <f t="shared" si="1082"/>
        <v>0</v>
      </c>
      <c r="T1718" s="1708">
        <f t="shared" si="1082"/>
        <v>0</v>
      </c>
      <c r="Y1718" s="1195"/>
      <c r="Z1718" s="193">
        <f t="shared" si="1074"/>
        <v>3</v>
      </c>
      <c r="AA1718" s="193"/>
      <c r="AB1718" s="254"/>
      <c r="AC1718" s="193"/>
      <c r="AD1718" s="193"/>
      <c r="AE1718" s="254"/>
      <c r="AF1718" s="1705">
        <f t="shared" ref="AF1718:AQ1718" si="1083">SUMIF($AS$127:$AS$160,$B1646&amp;"propia",AF$127:AF$160)</f>
        <v>0</v>
      </c>
      <c r="AG1718" s="1705">
        <f t="shared" si="1083"/>
        <v>0</v>
      </c>
      <c r="AH1718" s="1705">
        <f t="shared" si="1083"/>
        <v>0</v>
      </c>
      <c r="AI1718" s="1705">
        <f t="shared" si="1083"/>
        <v>0</v>
      </c>
      <c r="AJ1718" s="1705">
        <f t="shared" si="1083"/>
        <v>0</v>
      </c>
      <c r="AK1718" s="1705">
        <f t="shared" si="1083"/>
        <v>0</v>
      </c>
      <c r="AL1718" s="1705">
        <f t="shared" si="1083"/>
        <v>0</v>
      </c>
      <c r="AM1718" s="1705">
        <f t="shared" si="1083"/>
        <v>0</v>
      </c>
      <c r="AN1718" s="1705">
        <f t="shared" si="1083"/>
        <v>0</v>
      </c>
      <c r="AO1718" s="1705">
        <f t="shared" si="1083"/>
        <v>0</v>
      </c>
      <c r="AP1718" s="1705">
        <f t="shared" si="1083"/>
        <v>0</v>
      </c>
      <c r="AQ1718" s="1706">
        <f t="shared" si="1083"/>
        <v>0</v>
      </c>
    </row>
    <row r="1719" spans="2:43" ht="13.75" hidden="1" customHeight="1" x14ac:dyDescent="0.2">
      <c r="B1719" s="1195"/>
      <c r="C1719" s="193">
        <f t="shared" si="1072"/>
        <v>3</v>
      </c>
      <c r="D1719" s="193"/>
      <c r="E1719" s="254"/>
      <c r="F1719" s="193"/>
      <c r="G1719" s="193"/>
      <c r="H1719" s="254"/>
      <c r="I1719" s="1707">
        <f t="shared" ref="I1719:T1719" si="1084">SUMIF($V$127:$V$160,$B1647&amp;"propia",I$127:I$160)</f>
        <v>0</v>
      </c>
      <c r="J1719" s="1707">
        <f t="shared" si="1084"/>
        <v>0</v>
      </c>
      <c r="K1719" s="1707">
        <f t="shared" si="1084"/>
        <v>0</v>
      </c>
      <c r="L1719" s="1707">
        <f t="shared" si="1084"/>
        <v>0</v>
      </c>
      <c r="M1719" s="1707">
        <f t="shared" si="1084"/>
        <v>0</v>
      </c>
      <c r="N1719" s="1707">
        <f t="shared" si="1084"/>
        <v>0</v>
      </c>
      <c r="O1719" s="1707">
        <f t="shared" si="1084"/>
        <v>0</v>
      </c>
      <c r="P1719" s="1707">
        <f t="shared" si="1084"/>
        <v>0</v>
      </c>
      <c r="Q1719" s="1707">
        <f t="shared" si="1084"/>
        <v>0</v>
      </c>
      <c r="R1719" s="1707">
        <f t="shared" si="1084"/>
        <v>0</v>
      </c>
      <c r="S1719" s="1707">
        <f t="shared" si="1084"/>
        <v>0</v>
      </c>
      <c r="T1719" s="1708">
        <f t="shared" si="1084"/>
        <v>0</v>
      </c>
      <c r="Y1719" s="1195"/>
      <c r="Z1719" s="193">
        <f t="shared" si="1074"/>
        <v>3</v>
      </c>
      <c r="AA1719" s="193"/>
      <c r="AB1719" s="254"/>
      <c r="AC1719" s="193"/>
      <c r="AD1719" s="193"/>
      <c r="AE1719" s="254"/>
      <c r="AF1719" s="1705">
        <f t="shared" ref="AF1719:AQ1719" si="1085">SUMIF($AS$127:$AS$160,$B1647&amp;"propia",AF$127:AF$160)</f>
        <v>0</v>
      </c>
      <c r="AG1719" s="1705">
        <f t="shared" si="1085"/>
        <v>0</v>
      </c>
      <c r="AH1719" s="1705">
        <f t="shared" si="1085"/>
        <v>0</v>
      </c>
      <c r="AI1719" s="1705">
        <f t="shared" si="1085"/>
        <v>0</v>
      </c>
      <c r="AJ1719" s="1705">
        <f t="shared" si="1085"/>
        <v>0</v>
      </c>
      <c r="AK1719" s="1705">
        <f t="shared" si="1085"/>
        <v>0</v>
      </c>
      <c r="AL1719" s="1705">
        <f t="shared" si="1085"/>
        <v>0</v>
      </c>
      <c r="AM1719" s="1705">
        <f t="shared" si="1085"/>
        <v>0</v>
      </c>
      <c r="AN1719" s="1705">
        <f t="shared" si="1085"/>
        <v>0</v>
      </c>
      <c r="AO1719" s="1705">
        <f t="shared" si="1085"/>
        <v>0</v>
      </c>
      <c r="AP1719" s="1705">
        <f t="shared" si="1085"/>
        <v>0</v>
      </c>
      <c r="AQ1719" s="1706">
        <f t="shared" si="1085"/>
        <v>0</v>
      </c>
    </row>
    <row r="1720" spans="2:43" ht="13.75" hidden="1" customHeight="1" x14ac:dyDescent="0.2">
      <c r="B1720" s="1195"/>
      <c r="C1720" s="193">
        <f t="shared" si="1072"/>
        <v>9</v>
      </c>
      <c r="D1720" s="193"/>
      <c r="E1720" s="254"/>
      <c r="F1720" s="193"/>
      <c r="G1720" s="193"/>
      <c r="H1720" s="254"/>
      <c r="I1720" s="1707">
        <f t="shared" ref="I1720:T1720" si="1086">SUMIF($V$127:$V$160,$B1648&amp;"propia",I$127:I$160)</f>
        <v>0</v>
      </c>
      <c r="J1720" s="1707">
        <f t="shared" si="1086"/>
        <v>0</v>
      </c>
      <c r="K1720" s="1707">
        <f t="shared" si="1086"/>
        <v>0</v>
      </c>
      <c r="L1720" s="1707">
        <f t="shared" si="1086"/>
        <v>0</v>
      </c>
      <c r="M1720" s="1707">
        <f t="shared" si="1086"/>
        <v>0</v>
      </c>
      <c r="N1720" s="1707">
        <f t="shared" si="1086"/>
        <v>0</v>
      </c>
      <c r="O1720" s="1707">
        <f t="shared" si="1086"/>
        <v>0</v>
      </c>
      <c r="P1720" s="1707">
        <f t="shared" si="1086"/>
        <v>0</v>
      </c>
      <c r="Q1720" s="1707">
        <f t="shared" si="1086"/>
        <v>0</v>
      </c>
      <c r="R1720" s="1707">
        <f t="shared" si="1086"/>
        <v>0</v>
      </c>
      <c r="S1720" s="1707">
        <f t="shared" si="1086"/>
        <v>0</v>
      </c>
      <c r="T1720" s="1708">
        <f t="shared" si="1086"/>
        <v>0</v>
      </c>
      <c r="Y1720" s="1195"/>
      <c r="Z1720" s="193">
        <f t="shared" si="1074"/>
        <v>9</v>
      </c>
      <c r="AA1720" s="193"/>
      <c r="AB1720" s="254"/>
      <c r="AC1720" s="193"/>
      <c r="AD1720" s="193"/>
      <c r="AE1720" s="254"/>
      <c r="AF1720" s="1705">
        <f t="shared" ref="AF1720:AQ1720" si="1087">SUMIF($AS$127:$AS$160,$B1648&amp;"propia",AF$127:AF$160)</f>
        <v>0</v>
      </c>
      <c r="AG1720" s="1705">
        <f t="shared" si="1087"/>
        <v>0</v>
      </c>
      <c r="AH1720" s="1705">
        <f t="shared" si="1087"/>
        <v>0</v>
      </c>
      <c r="AI1720" s="1705">
        <f t="shared" si="1087"/>
        <v>0</v>
      </c>
      <c r="AJ1720" s="1705">
        <f t="shared" si="1087"/>
        <v>0</v>
      </c>
      <c r="AK1720" s="1705">
        <f t="shared" si="1087"/>
        <v>0</v>
      </c>
      <c r="AL1720" s="1705">
        <f t="shared" si="1087"/>
        <v>0</v>
      </c>
      <c r="AM1720" s="1705">
        <f t="shared" si="1087"/>
        <v>0</v>
      </c>
      <c r="AN1720" s="1705">
        <f t="shared" si="1087"/>
        <v>0</v>
      </c>
      <c r="AO1720" s="1705">
        <f t="shared" si="1087"/>
        <v>0</v>
      </c>
      <c r="AP1720" s="1705">
        <f t="shared" si="1087"/>
        <v>0</v>
      </c>
      <c r="AQ1720" s="1706">
        <f t="shared" si="1087"/>
        <v>0</v>
      </c>
    </row>
    <row r="1721" spans="2:43" ht="13.75" hidden="1" customHeight="1" x14ac:dyDescent="0.2">
      <c r="B1721" s="1195"/>
      <c r="C1721" s="193">
        <f t="shared" si="1072"/>
        <v>0</v>
      </c>
      <c r="D1721" s="193"/>
      <c r="E1721" s="254"/>
      <c r="F1721" s="193"/>
      <c r="G1721" s="193"/>
      <c r="H1721" s="254"/>
      <c r="I1721" s="1707">
        <f t="shared" ref="I1721:T1721" si="1088">SUMIF($V$127:$V$160,$B1649&amp;"propia",I$127:I$160)</f>
        <v>0</v>
      </c>
      <c r="J1721" s="1707">
        <f t="shared" si="1088"/>
        <v>0</v>
      </c>
      <c r="K1721" s="1707">
        <f t="shared" si="1088"/>
        <v>0</v>
      </c>
      <c r="L1721" s="1707">
        <f t="shared" si="1088"/>
        <v>0</v>
      </c>
      <c r="M1721" s="1707">
        <f t="shared" si="1088"/>
        <v>0</v>
      </c>
      <c r="N1721" s="1707">
        <f t="shared" si="1088"/>
        <v>0</v>
      </c>
      <c r="O1721" s="1707">
        <f t="shared" si="1088"/>
        <v>0</v>
      </c>
      <c r="P1721" s="1707">
        <f t="shared" si="1088"/>
        <v>0</v>
      </c>
      <c r="Q1721" s="1707">
        <f t="shared" si="1088"/>
        <v>0</v>
      </c>
      <c r="R1721" s="1707">
        <f t="shared" si="1088"/>
        <v>0</v>
      </c>
      <c r="S1721" s="1707">
        <f t="shared" si="1088"/>
        <v>0</v>
      </c>
      <c r="T1721" s="1708">
        <f t="shared" si="1088"/>
        <v>0</v>
      </c>
      <c r="Y1721" s="1195"/>
      <c r="Z1721" s="193">
        <f t="shared" si="1074"/>
        <v>0</v>
      </c>
      <c r="AA1721" s="193"/>
      <c r="AB1721" s="254"/>
      <c r="AC1721" s="193"/>
      <c r="AD1721" s="193"/>
      <c r="AE1721" s="254"/>
      <c r="AF1721" s="1705">
        <f t="shared" ref="AF1721:AQ1721" si="1089">SUMIF($AS$127:$AS$160,$B1649&amp;"propia",AF$127:AF$160)</f>
        <v>0</v>
      </c>
      <c r="AG1721" s="1705">
        <f t="shared" si="1089"/>
        <v>0</v>
      </c>
      <c r="AH1721" s="1705">
        <f t="shared" si="1089"/>
        <v>0</v>
      </c>
      <c r="AI1721" s="1705">
        <f t="shared" si="1089"/>
        <v>0</v>
      </c>
      <c r="AJ1721" s="1705">
        <f t="shared" si="1089"/>
        <v>0</v>
      </c>
      <c r="AK1721" s="1705">
        <f t="shared" si="1089"/>
        <v>0</v>
      </c>
      <c r="AL1721" s="1705">
        <f t="shared" si="1089"/>
        <v>0</v>
      </c>
      <c r="AM1721" s="1705">
        <f t="shared" si="1089"/>
        <v>0</v>
      </c>
      <c r="AN1721" s="1705">
        <f t="shared" si="1089"/>
        <v>0</v>
      </c>
      <c r="AO1721" s="1705">
        <f t="shared" si="1089"/>
        <v>0</v>
      </c>
      <c r="AP1721" s="1705">
        <f t="shared" si="1089"/>
        <v>0</v>
      </c>
      <c r="AQ1721" s="1706">
        <f t="shared" si="1089"/>
        <v>0</v>
      </c>
    </row>
    <row r="1722" spans="2:43" ht="13.75" hidden="1" customHeight="1" x14ac:dyDescent="0.2">
      <c r="B1722" s="1195"/>
      <c r="C1722" s="193">
        <f t="shared" si="1072"/>
        <v>0</v>
      </c>
      <c r="D1722" s="193"/>
      <c r="E1722" s="254"/>
      <c r="F1722" s="193"/>
      <c r="G1722" s="193"/>
      <c r="H1722" s="254"/>
      <c r="I1722" s="1707">
        <f t="shared" ref="I1722:T1722" si="1090">SUMIF($V$127:$V$160,$B1650&amp;"propia",I$127:I$160)</f>
        <v>0</v>
      </c>
      <c r="J1722" s="1707">
        <f t="shared" si="1090"/>
        <v>0</v>
      </c>
      <c r="K1722" s="1707">
        <f t="shared" si="1090"/>
        <v>0</v>
      </c>
      <c r="L1722" s="1707">
        <f t="shared" si="1090"/>
        <v>0</v>
      </c>
      <c r="M1722" s="1707">
        <f t="shared" si="1090"/>
        <v>0</v>
      </c>
      <c r="N1722" s="1707">
        <f t="shared" si="1090"/>
        <v>0</v>
      </c>
      <c r="O1722" s="1707">
        <f t="shared" si="1090"/>
        <v>0</v>
      </c>
      <c r="P1722" s="1707">
        <f t="shared" si="1090"/>
        <v>0</v>
      </c>
      <c r="Q1722" s="1707">
        <f t="shared" si="1090"/>
        <v>0</v>
      </c>
      <c r="R1722" s="1707">
        <f t="shared" si="1090"/>
        <v>0</v>
      </c>
      <c r="S1722" s="1707">
        <f t="shared" si="1090"/>
        <v>0</v>
      </c>
      <c r="T1722" s="1708">
        <f t="shared" si="1090"/>
        <v>0</v>
      </c>
      <c r="Y1722" s="1195"/>
      <c r="Z1722" s="193">
        <f t="shared" si="1074"/>
        <v>0</v>
      </c>
      <c r="AA1722" s="193"/>
      <c r="AB1722" s="254"/>
      <c r="AC1722" s="193"/>
      <c r="AD1722" s="193"/>
      <c r="AE1722" s="254"/>
      <c r="AF1722" s="1705">
        <f t="shared" ref="AF1722:AQ1722" si="1091">SUMIF($AS$127:$AS$160,$B1650&amp;"propia",AF$127:AF$160)</f>
        <v>0</v>
      </c>
      <c r="AG1722" s="1705">
        <f t="shared" si="1091"/>
        <v>0</v>
      </c>
      <c r="AH1722" s="1705">
        <f t="shared" si="1091"/>
        <v>0</v>
      </c>
      <c r="AI1722" s="1705">
        <f t="shared" si="1091"/>
        <v>0</v>
      </c>
      <c r="AJ1722" s="1705">
        <f t="shared" si="1091"/>
        <v>0</v>
      </c>
      <c r="AK1722" s="1705">
        <f t="shared" si="1091"/>
        <v>0</v>
      </c>
      <c r="AL1722" s="1705">
        <f t="shared" si="1091"/>
        <v>0</v>
      </c>
      <c r="AM1722" s="1705">
        <f t="shared" si="1091"/>
        <v>0</v>
      </c>
      <c r="AN1722" s="1705">
        <f t="shared" si="1091"/>
        <v>0</v>
      </c>
      <c r="AO1722" s="1705">
        <f t="shared" si="1091"/>
        <v>0</v>
      </c>
      <c r="AP1722" s="1705">
        <f t="shared" si="1091"/>
        <v>0</v>
      </c>
      <c r="AQ1722" s="1706">
        <f t="shared" si="1091"/>
        <v>0</v>
      </c>
    </row>
    <row r="1723" spans="2:43" ht="13.75" hidden="1" customHeight="1" x14ac:dyDescent="0.2">
      <c r="B1723" s="1195"/>
      <c r="C1723" s="193">
        <f t="shared" si="1072"/>
        <v>0</v>
      </c>
      <c r="D1723" s="193"/>
      <c r="E1723" s="254"/>
      <c r="F1723" s="193"/>
      <c r="G1723" s="193"/>
      <c r="H1723" s="254"/>
      <c r="I1723" s="1707">
        <f t="shared" ref="I1723:T1723" si="1092">SUMIF($V$127:$V$160,$B1651&amp;"propia",I$127:I$160)</f>
        <v>0</v>
      </c>
      <c r="J1723" s="1707">
        <f t="shared" si="1092"/>
        <v>0</v>
      </c>
      <c r="K1723" s="1707">
        <f t="shared" si="1092"/>
        <v>0</v>
      </c>
      <c r="L1723" s="1707">
        <f t="shared" si="1092"/>
        <v>0</v>
      </c>
      <c r="M1723" s="1707">
        <f t="shared" si="1092"/>
        <v>0</v>
      </c>
      <c r="N1723" s="1707">
        <f t="shared" si="1092"/>
        <v>0</v>
      </c>
      <c r="O1723" s="1707">
        <f t="shared" si="1092"/>
        <v>0</v>
      </c>
      <c r="P1723" s="1707">
        <f t="shared" si="1092"/>
        <v>0</v>
      </c>
      <c r="Q1723" s="1707">
        <f t="shared" si="1092"/>
        <v>0</v>
      </c>
      <c r="R1723" s="1707">
        <f t="shared" si="1092"/>
        <v>0</v>
      </c>
      <c r="S1723" s="1707">
        <f t="shared" si="1092"/>
        <v>0</v>
      </c>
      <c r="T1723" s="1708">
        <f t="shared" si="1092"/>
        <v>0</v>
      </c>
      <c r="Y1723" s="1195"/>
      <c r="Z1723" s="193">
        <f t="shared" si="1074"/>
        <v>0</v>
      </c>
      <c r="AA1723" s="193"/>
      <c r="AB1723" s="254"/>
      <c r="AC1723" s="193"/>
      <c r="AD1723" s="193"/>
      <c r="AE1723" s="254"/>
      <c r="AF1723" s="1705">
        <f t="shared" ref="AF1723:AQ1723" si="1093">SUMIF($AS$127:$AS$160,$B1651&amp;"propia",AF$127:AF$160)</f>
        <v>0</v>
      </c>
      <c r="AG1723" s="1705">
        <f t="shared" si="1093"/>
        <v>0</v>
      </c>
      <c r="AH1723" s="1705">
        <f t="shared" si="1093"/>
        <v>0</v>
      </c>
      <c r="AI1723" s="1705">
        <f t="shared" si="1093"/>
        <v>0</v>
      </c>
      <c r="AJ1723" s="1705">
        <f t="shared" si="1093"/>
        <v>0</v>
      </c>
      <c r="AK1723" s="1705">
        <f t="shared" si="1093"/>
        <v>0</v>
      </c>
      <c r="AL1723" s="1705">
        <f t="shared" si="1093"/>
        <v>0</v>
      </c>
      <c r="AM1723" s="1705">
        <f t="shared" si="1093"/>
        <v>0</v>
      </c>
      <c r="AN1723" s="1705">
        <f t="shared" si="1093"/>
        <v>0</v>
      </c>
      <c r="AO1723" s="1705">
        <f t="shared" si="1093"/>
        <v>0</v>
      </c>
      <c r="AP1723" s="1705">
        <f t="shared" si="1093"/>
        <v>0</v>
      </c>
      <c r="AQ1723" s="1706">
        <f t="shared" si="1093"/>
        <v>0</v>
      </c>
    </row>
    <row r="1724" spans="2:43" ht="13.75" hidden="1" customHeight="1" x14ac:dyDescent="0.2">
      <c r="B1724" s="1195"/>
      <c r="C1724" s="193">
        <f t="shared" si="1072"/>
        <v>0</v>
      </c>
      <c r="D1724" s="193"/>
      <c r="E1724" s="254"/>
      <c r="F1724" s="193"/>
      <c r="G1724" s="193"/>
      <c r="H1724" s="254"/>
      <c r="I1724" s="1707">
        <f t="shared" ref="I1724:T1724" si="1094">SUMIF($V$127:$V$160,$B1652&amp;"propia",I$127:I$160)</f>
        <v>0</v>
      </c>
      <c r="J1724" s="1707">
        <f t="shared" si="1094"/>
        <v>0</v>
      </c>
      <c r="K1724" s="1707">
        <f t="shared" si="1094"/>
        <v>0</v>
      </c>
      <c r="L1724" s="1707">
        <f t="shared" si="1094"/>
        <v>0</v>
      </c>
      <c r="M1724" s="1707">
        <f t="shared" si="1094"/>
        <v>0</v>
      </c>
      <c r="N1724" s="1707">
        <f t="shared" si="1094"/>
        <v>0</v>
      </c>
      <c r="O1724" s="1707">
        <f t="shared" si="1094"/>
        <v>0</v>
      </c>
      <c r="P1724" s="1707">
        <f t="shared" si="1094"/>
        <v>0</v>
      </c>
      <c r="Q1724" s="1707">
        <f t="shared" si="1094"/>
        <v>0</v>
      </c>
      <c r="R1724" s="1707">
        <f t="shared" si="1094"/>
        <v>0</v>
      </c>
      <c r="S1724" s="1707">
        <f t="shared" si="1094"/>
        <v>0</v>
      </c>
      <c r="T1724" s="1708">
        <f t="shared" si="1094"/>
        <v>0</v>
      </c>
      <c r="Y1724" s="1195"/>
      <c r="Z1724" s="193">
        <f t="shared" si="1074"/>
        <v>0</v>
      </c>
      <c r="AA1724" s="193"/>
      <c r="AB1724" s="254"/>
      <c r="AC1724" s="193"/>
      <c r="AD1724" s="193"/>
      <c r="AE1724" s="254"/>
      <c r="AF1724" s="1705">
        <f t="shared" ref="AF1724:AQ1724" si="1095">SUMIF($AS$127:$AS$160,$B1652&amp;"propia",AF$127:AF$160)</f>
        <v>0</v>
      </c>
      <c r="AG1724" s="1705">
        <f t="shared" si="1095"/>
        <v>0</v>
      </c>
      <c r="AH1724" s="1705">
        <f t="shared" si="1095"/>
        <v>0</v>
      </c>
      <c r="AI1724" s="1705">
        <f t="shared" si="1095"/>
        <v>0</v>
      </c>
      <c r="AJ1724" s="1705">
        <f t="shared" si="1095"/>
        <v>0</v>
      </c>
      <c r="AK1724" s="1705">
        <f t="shared" si="1095"/>
        <v>0</v>
      </c>
      <c r="AL1724" s="1705">
        <f t="shared" si="1095"/>
        <v>0</v>
      </c>
      <c r="AM1724" s="1705">
        <f t="shared" si="1095"/>
        <v>0</v>
      </c>
      <c r="AN1724" s="1705">
        <f t="shared" si="1095"/>
        <v>0</v>
      </c>
      <c r="AO1724" s="1705">
        <f t="shared" si="1095"/>
        <v>0</v>
      </c>
      <c r="AP1724" s="1705">
        <f t="shared" si="1095"/>
        <v>0</v>
      </c>
      <c r="AQ1724" s="1706">
        <f t="shared" si="1095"/>
        <v>0</v>
      </c>
    </row>
    <row r="1725" spans="2:43" ht="13.75" hidden="1" customHeight="1" x14ac:dyDescent="0.2">
      <c r="B1725" s="1195"/>
      <c r="C1725" s="193">
        <f t="shared" si="1072"/>
        <v>0</v>
      </c>
      <c r="D1725" s="193"/>
      <c r="E1725" s="254"/>
      <c r="F1725" s="193"/>
      <c r="G1725" s="193"/>
      <c r="H1725" s="254"/>
      <c r="I1725" s="1707">
        <f t="shared" ref="I1725:T1725" si="1096">SUMIF($V$127:$V$160,$B1653&amp;"propia",I$127:I$160)</f>
        <v>0</v>
      </c>
      <c r="J1725" s="1707">
        <f t="shared" si="1096"/>
        <v>0</v>
      </c>
      <c r="K1725" s="1707">
        <f t="shared" si="1096"/>
        <v>0</v>
      </c>
      <c r="L1725" s="1707">
        <f t="shared" si="1096"/>
        <v>0</v>
      </c>
      <c r="M1725" s="1707">
        <f t="shared" si="1096"/>
        <v>0</v>
      </c>
      <c r="N1725" s="1707">
        <f t="shared" si="1096"/>
        <v>0</v>
      </c>
      <c r="O1725" s="1707">
        <f t="shared" si="1096"/>
        <v>0</v>
      </c>
      <c r="P1725" s="1707">
        <f t="shared" si="1096"/>
        <v>0</v>
      </c>
      <c r="Q1725" s="1707">
        <f t="shared" si="1096"/>
        <v>0</v>
      </c>
      <c r="R1725" s="1707">
        <f t="shared" si="1096"/>
        <v>0</v>
      </c>
      <c r="S1725" s="1707">
        <f t="shared" si="1096"/>
        <v>0</v>
      </c>
      <c r="T1725" s="1708">
        <f t="shared" si="1096"/>
        <v>0</v>
      </c>
      <c r="Y1725" s="1195"/>
      <c r="Z1725" s="193">
        <f t="shared" si="1074"/>
        <v>0</v>
      </c>
      <c r="AA1725" s="193"/>
      <c r="AB1725" s="254"/>
      <c r="AC1725" s="193"/>
      <c r="AD1725" s="193"/>
      <c r="AE1725" s="254"/>
      <c r="AF1725" s="1705">
        <f t="shared" ref="AF1725:AQ1725" si="1097">SUMIF($AS$127:$AS$160,$B1653&amp;"propia",AF$127:AF$160)</f>
        <v>0</v>
      </c>
      <c r="AG1725" s="1705">
        <f t="shared" si="1097"/>
        <v>0</v>
      </c>
      <c r="AH1725" s="1705">
        <f t="shared" si="1097"/>
        <v>0</v>
      </c>
      <c r="AI1725" s="1705">
        <f t="shared" si="1097"/>
        <v>0</v>
      </c>
      <c r="AJ1725" s="1705">
        <f t="shared" si="1097"/>
        <v>0</v>
      </c>
      <c r="AK1725" s="1705">
        <f t="shared" si="1097"/>
        <v>0</v>
      </c>
      <c r="AL1725" s="1705">
        <f t="shared" si="1097"/>
        <v>0</v>
      </c>
      <c r="AM1725" s="1705">
        <f t="shared" si="1097"/>
        <v>0</v>
      </c>
      <c r="AN1725" s="1705">
        <f t="shared" si="1097"/>
        <v>0</v>
      </c>
      <c r="AO1725" s="1705">
        <f t="shared" si="1097"/>
        <v>0</v>
      </c>
      <c r="AP1725" s="1705">
        <f t="shared" si="1097"/>
        <v>0</v>
      </c>
      <c r="AQ1725" s="1706">
        <f t="shared" si="1097"/>
        <v>0</v>
      </c>
    </row>
    <row r="1726" spans="2:43" ht="13.75" hidden="1" customHeight="1" x14ac:dyDescent="0.2">
      <c r="B1726" s="1195"/>
      <c r="C1726" s="193">
        <f t="shared" si="1072"/>
        <v>0</v>
      </c>
      <c r="D1726" s="193"/>
      <c r="E1726" s="254"/>
      <c r="F1726" s="193"/>
      <c r="G1726" s="193"/>
      <c r="H1726" s="254"/>
      <c r="I1726" s="1707">
        <f t="shared" ref="I1726:T1726" si="1098">SUMIF($V$127:$V$160,$B1654&amp;"propia",I$127:I$160)</f>
        <v>0</v>
      </c>
      <c r="J1726" s="1707">
        <f t="shared" si="1098"/>
        <v>0</v>
      </c>
      <c r="K1726" s="1707">
        <f t="shared" si="1098"/>
        <v>0</v>
      </c>
      <c r="L1726" s="1707">
        <f t="shared" si="1098"/>
        <v>0</v>
      </c>
      <c r="M1726" s="1707">
        <f t="shared" si="1098"/>
        <v>0</v>
      </c>
      <c r="N1726" s="1707">
        <f t="shared" si="1098"/>
        <v>0</v>
      </c>
      <c r="O1726" s="1707">
        <f t="shared" si="1098"/>
        <v>0</v>
      </c>
      <c r="P1726" s="1707">
        <f t="shared" si="1098"/>
        <v>0</v>
      </c>
      <c r="Q1726" s="1707">
        <f t="shared" si="1098"/>
        <v>0</v>
      </c>
      <c r="R1726" s="1707">
        <f t="shared" si="1098"/>
        <v>0</v>
      </c>
      <c r="S1726" s="1707">
        <f t="shared" si="1098"/>
        <v>0</v>
      </c>
      <c r="T1726" s="1708">
        <f t="shared" si="1098"/>
        <v>0</v>
      </c>
      <c r="Y1726" s="1195"/>
      <c r="Z1726" s="193">
        <f t="shared" si="1074"/>
        <v>0</v>
      </c>
      <c r="AA1726" s="193"/>
      <c r="AB1726" s="254"/>
      <c r="AC1726" s="193"/>
      <c r="AD1726" s="193"/>
      <c r="AE1726" s="254"/>
      <c r="AF1726" s="1705">
        <f t="shared" ref="AF1726:AQ1726" si="1099">SUMIF($AS$127:$AS$160,$B1654&amp;"propia",AF$127:AF$160)</f>
        <v>0</v>
      </c>
      <c r="AG1726" s="1705">
        <f t="shared" si="1099"/>
        <v>0</v>
      </c>
      <c r="AH1726" s="1705">
        <f t="shared" si="1099"/>
        <v>0</v>
      </c>
      <c r="AI1726" s="1705">
        <f t="shared" si="1099"/>
        <v>0</v>
      </c>
      <c r="AJ1726" s="1705">
        <f t="shared" si="1099"/>
        <v>0</v>
      </c>
      <c r="AK1726" s="1705">
        <f t="shared" si="1099"/>
        <v>0</v>
      </c>
      <c r="AL1726" s="1705">
        <f t="shared" si="1099"/>
        <v>0</v>
      </c>
      <c r="AM1726" s="1705">
        <f t="shared" si="1099"/>
        <v>0</v>
      </c>
      <c r="AN1726" s="1705">
        <f t="shared" si="1099"/>
        <v>0</v>
      </c>
      <c r="AO1726" s="1705">
        <f t="shared" si="1099"/>
        <v>0</v>
      </c>
      <c r="AP1726" s="1705">
        <f t="shared" si="1099"/>
        <v>0</v>
      </c>
      <c r="AQ1726" s="1706">
        <f t="shared" si="1099"/>
        <v>0</v>
      </c>
    </row>
    <row r="1727" spans="2:43" ht="14.4" hidden="1" customHeight="1" thickBot="1" x14ac:dyDescent="0.25">
      <c r="B1727" s="1198"/>
      <c r="C1727" s="1199">
        <f t="shared" si="1072"/>
        <v>0</v>
      </c>
      <c r="D1727" s="1199"/>
      <c r="E1727" s="1209"/>
      <c r="F1727" s="1199"/>
      <c r="G1727" s="1199"/>
      <c r="H1727" s="1209"/>
      <c r="I1727" s="1709">
        <f t="shared" ref="I1727:T1727" si="1100">SUMIF($V$127:$V$160,$B1655&amp;"propia",I$127:I$160)</f>
        <v>0</v>
      </c>
      <c r="J1727" s="1709">
        <f t="shared" si="1100"/>
        <v>0</v>
      </c>
      <c r="K1727" s="1709">
        <f t="shared" si="1100"/>
        <v>0</v>
      </c>
      <c r="L1727" s="1709">
        <f t="shared" si="1100"/>
        <v>0</v>
      </c>
      <c r="M1727" s="1709">
        <f t="shared" si="1100"/>
        <v>0</v>
      </c>
      <c r="N1727" s="1709">
        <f t="shared" si="1100"/>
        <v>0</v>
      </c>
      <c r="O1727" s="1709">
        <f t="shared" si="1100"/>
        <v>0</v>
      </c>
      <c r="P1727" s="1709">
        <f t="shared" si="1100"/>
        <v>0</v>
      </c>
      <c r="Q1727" s="1709">
        <f t="shared" si="1100"/>
        <v>0</v>
      </c>
      <c r="R1727" s="1709">
        <f t="shared" si="1100"/>
        <v>0</v>
      </c>
      <c r="S1727" s="1709">
        <f t="shared" si="1100"/>
        <v>0</v>
      </c>
      <c r="T1727" s="1710">
        <f t="shared" si="1100"/>
        <v>0</v>
      </c>
      <c r="Y1727" s="1198"/>
      <c r="Z1727" s="1199">
        <f t="shared" si="1074"/>
        <v>0</v>
      </c>
      <c r="AA1727" s="1199"/>
      <c r="AB1727" s="1209"/>
      <c r="AC1727" s="1199"/>
      <c r="AD1727" s="1199"/>
      <c r="AE1727" s="1209"/>
      <c r="AF1727" s="1705">
        <f t="shared" ref="AF1727:AQ1727" si="1101">SUMIF($AS$127:$AS$160,$B1655&amp;"propia",AF$127:AF$160)</f>
        <v>0</v>
      </c>
      <c r="AG1727" s="1705">
        <f t="shared" si="1101"/>
        <v>0</v>
      </c>
      <c r="AH1727" s="1705">
        <f t="shared" si="1101"/>
        <v>0</v>
      </c>
      <c r="AI1727" s="1705">
        <f t="shared" si="1101"/>
        <v>0</v>
      </c>
      <c r="AJ1727" s="1705">
        <f t="shared" si="1101"/>
        <v>0</v>
      </c>
      <c r="AK1727" s="1705">
        <f t="shared" si="1101"/>
        <v>0</v>
      </c>
      <c r="AL1727" s="1705">
        <f t="shared" si="1101"/>
        <v>0</v>
      </c>
      <c r="AM1727" s="1705">
        <f t="shared" si="1101"/>
        <v>0</v>
      </c>
      <c r="AN1727" s="1705">
        <f t="shared" si="1101"/>
        <v>0</v>
      </c>
      <c r="AO1727" s="1705">
        <f t="shared" si="1101"/>
        <v>0</v>
      </c>
      <c r="AP1727" s="1705">
        <f t="shared" si="1101"/>
        <v>0</v>
      </c>
      <c r="AQ1727" s="1706">
        <f t="shared" si="1101"/>
        <v>0</v>
      </c>
    </row>
    <row r="1728" spans="2:43" ht="14.4" hidden="1" customHeight="1" thickTop="1" x14ac:dyDescent="0.2">
      <c r="B1728" s="1584" t="s">
        <v>2020</v>
      </c>
      <c r="C1728" s="1194" t="s">
        <v>2018</v>
      </c>
      <c r="D1728" s="1194"/>
      <c r="E1728" s="1210"/>
      <c r="F1728" s="1194"/>
      <c r="G1728" s="1194"/>
      <c r="H1728" s="1210"/>
      <c r="I1728" s="1210"/>
      <c r="J1728" s="1210"/>
      <c r="K1728" s="1210"/>
      <c r="L1728" s="1210"/>
      <c r="M1728" s="1210"/>
      <c r="N1728" s="1210"/>
      <c r="O1728" s="1210"/>
      <c r="P1728" s="1210"/>
      <c r="Q1728" s="1210"/>
      <c r="R1728" s="1210"/>
      <c r="S1728" s="1210"/>
      <c r="T1728" s="1585"/>
      <c r="Y1728" s="1584" t="s">
        <v>2020</v>
      </c>
      <c r="Z1728" s="1194" t="str">
        <f t="shared" si="1074"/>
        <v>Gasoli (Litros/unidad)</v>
      </c>
      <c r="AA1728" s="1194"/>
      <c r="AB1728" s="1210"/>
      <c r="AC1728" s="1194"/>
      <c r="AD1728" s="1194"/>
      <c r="AE1728" s="1210"/>
      <c r="AF1728" s="1210"/>
      <c r="AG1728" s="1210"/>
      <c r="AH1728" s="1210"/>
      <c r="AI1728" s="1210"/>
      <c r="AJ1728" s="1210"/>
      <c r="AK1728" s="1210"/>
      <c r="AL1728" s="1210"/>
      <c r="AM1728" s="1210"/>
      <c r="AN1728" s="1210"/>
      <c r="AO1728" s="1210"/>
      <c r="AP1728" s="1210"/>
      <c r="AQ1728" s="1585"/>
    </row>
    <row r="1729" spans="2:43" ht="13.75" hidden="1" customHeight="1" x14ac:dyDescent="0.2">
      <c r="B1729" s="1195" t="s">
        <v>2022</v>
      </c>
      <c r="C1729" s="193">
        <f t="shared" ref="C1729:C1742" si="1102">+C1693</f>
        <v>5</v>
      </c>
      <c r="D1729" s="193"/>
      <c r="E1729" s="254"/>
      <c r="F1729" s="193"/>
      <c r="G1729" s="193"/>
      <c r="H1729" s="254"/>
      <c r="I1729" s="1705">
        <f>SUMIF($V$127:$V$160,$B1657&amp;"contratada",I$127:I$160)</f>
        <v>0</v>
      </c>
      <c r="J1729" s="1705">
        <f t="shared" ref="J1729:T1729" si="1103">SUMIF($V$127:$V$160,$B1657&amp;"contratada",J$127:J$160)</f>
        <v>0</v>
      </c>
      <c r="K1729" s="1705">
        <f t="shared" si="1103"/>
        <v>0</v>
      </c>
      <c r="L1729" s="1705">
        <f t="shared" si="1103"/>
        <v>0</v>
      </c>
      <c r="M1729" s="1705">
        <f t="shared" si="1103"/>
        <v>0</v>
      </c>
      <c r="N1729" s="1705">
        <f t="shared" si="1103"/>
        <v>0</v>
      </c>
      <c r="O1729" s="1705">
        <f t="shared" si="1103"/>
        <v>0</v>
      </c>
      <c r="P1729" s="1705">
        <f t="shared" si="1103"/>
        <v>0</v>
      </c>
      <c r="Q1729" s="1705">
        <f t="shared" si="1103"/>
        <v>0</v>
      </c>
      <c r="R1729" s="1705">
        <f t="shared" si="1103"/>
        <v>0</v>
      </c>
      <c r="S1729" s="1705">
        <f t="shared" si="1103"/>
        <v>0</v>
      </c>
      <c r="T1729" s="1706">
        <f t="shared" si="1103"/>
        <v>0</v>
      </c>
      <c r="Y1729" s="1195" t="s">
        <v>2022</v>
      </c>
      <c r="Z1729" s="193">
        <f t="shared" si="1074"/>
        <v>5</v>
      </c>
      <c r="AA1729" s="193"/>
      <c r="AB1729" s="254"/>
      <c r="AC1729" s="193"/>
      <c r="AD1729" s="193"/>
      <c r="AE1729" s="254"/>
      <c r="AF1729" s="1705">
        <f>SUMIF($AS$127:$AS$160,$B1657&amp;"contratada",AF$127:AF$160)</f>
        <v>0</v>
      </c>
      <c r="AG1729" s="1705">
        <f t="shared" ref="AG1729:AQ1729" si="1104">SUMIF($AS$127:$AS$160,$B1657&amp;"contratada",AG$127:AG$160)</f>
        <v>0</v>
      </c>
      <c r="AH1729" s="1705">
        <f t="shared" si="1104"/>
        <v>0</v>
      </c>
      <c r="AI1729" s="1705">
        <f t="shared" si="1104"/>
        <v>0</v>
      </c>
      <c r="AJ1729" s="1705">
        <f t="shared" si="1104"/>
        <v>0</v>
      </c>
      <c r="AK1729" s="1705">
        <f t="shared" si="1104"/>
        <v>0</v>
      </c>
      <c r="AL1729" s="1705">
        <f t="shared" si="1104"/>
        <v>0</v>
      </c>
      <c r="AM1729" s="1705">
        <f t="shared" si="1104"/>
        <v>0</v>
      </c>
      <c r="AN1729" s="1705">
        <f t="shared" si="1104"/>
        <v>0</v>
      </c>
      <c r="AO1729" s="1705">
        <f t="shared" si="1104"/>
        <v>0</v>
      </c>
      <c r="AP1729" s="1705">
        <f t="shared" si="1104"/>
        <v>0</v>
      </c>
      <c r="AQ1729" s="1706">
        <f t="shared" si="1104"/>
        <v>0</v>
      </c>
    </row>
    <row r="1730" spans="2:43" ht="13.75" hidden="1" customHeight="1" x14ac:dyDescent="0.2">
      <c r="B1730" s="1195"/>
      <c r="C1730" s="193">
        <f t="shared" si="1102"/>
        <v>5</v>
      </c>
      <c r="D1730" s="193"/>
      <c r="E1730" s="254"/>
      <c r="F1730" s="193"/>
      <c r="G1730" s="193"/>
      <c r="H1730" s="254"/>
      <c r="I1730" s="1707">
        <f t="shared" ref="I1730:T1730" si="1105">SUMIF($V$127:$V$160,$B1658&amp;"contratada",I$127:I$160)</f>
        <v>0</v>
      </c>
      <c r="J1730" s="1707">
        <f t="shared" si="1105"/>
        <v>0</v>
      </c>
      <c r="K1730" s="1707">
        <f t="shared" si="1105"/>
        <v>0</v>
      </c>
      <c r="L1730" s="1707">
        <f t="shared" si="1105"/>
        <v>0</v>
      </c>
      <c r="M1730" s="1707">
        <f t="shared" si="1105"/>
        <v>0</v>
      </c>
      <c r="N1730" s="1707">
        <f t="shared" si="1105"/>
        <v>0</v>
      </c>
      <c r="O1730" s="1707">
        <f t="shared" si="1105"/>
        <v>0</v>
      </c>
      <c r="P1730" s="1707">
        <f t="shared" si="1105"/>
        <v>0</v>
      </c>
      <c r="Q1730" s="1707">
        <f t="shared" si="1105"/>
        <v>0</v>
      </c>
      <c r="R1730" s="1707">
        <f t="shared" si="1105"/>
        <v>0</v>
      </c>
      <c r="S1730" s="1707">
        <f t="shared" si="1105"/>
        <v>0</v>
      </c>
      <c r="T1730" s="1708">
        <f t="shared" si="1105"/>
        <v>0</v>
      </c>
      <c r="Y1730" s="1195"/>
      <c r="Z1730" s="193">
        <f t="shared" si="1074"/>
        <v>5</v>
      </c>
      <c r="AA1730" s="193"/>
      <c r="AB1730" s="254"/>
      <c r="AC1730" s="193"/>
      <c r="AD1730" s="193"/>
      <c r="AE1730" s="254"/>
      <c r="AF1730" s="1707">
        <f t="shared" ref="AF1730:AQ1730" si="1106">SUMIF($AS$127:$AS$160,$B1658&amp;"contratada",AF$127:AF$160)</f>
        <v>0</v>
      </c>
      <c r="AG1730" s="1707">
        <f t="shared" si="1106"/>
        <v>0</v>
      </c>
      <c r="AH1730" s="1707">
        <f t="shared" si="1106"/>
        <v>0</v>
      </c>
      <c r="AI1730" s="1707">
        <f t="shared" si="1106"/>
        <v>0</v>
      </c>
      <c r="AJ1730" s="1707">
        <f t="shared" si="1106"/>
        <v>0</v>
      </c>
      <c r="AK1730" s="1707">
        <f t="shared" si="1106"/>
        <v>0</v>
      </c>
      <c r="AL1730" s="1707">
        <f t="shared" si="1106"/>
        <v>0</v>
      </c>
      <c r="AM1730" s="1707">
        <f t="shared" si="1106"/>
        <v>0</v>
      </c>
      <c r="AN1730" s="1707">
        <f t="shared" si="1106"/>
        <v>0</v>
      </c>
      <c r="AO1730" s="1707">
        <f t="shared" si="1106"/>
        <v>0</v>
      </c>
      <c r="AP1730" s="1707">
        <f t="shared" si="1106"/>
        <v>0</v>
      </c>
      <c r="AQ1730" s="1708">
        <f t="shared" si="1106"/>
        <v>0</v>
      </c>
    </row>
    <row r="1731" spans="2:43" ht="13.75" hidden="1" customHeight="1" x14ac:dyDescent="0.2">
      <c r="B1731" s="1195"/>
      <c r="C1731" s="193">
        <f t="shared" si="1102"/>
        <v>1.5</v>
      </c>
      <c r="D1731" s="193"/>
      <c r="E1731" s="254"/>
      <c r="F1731" s="193"/>
      <c r="G1731" s="193"/>
      <c r="H1731" s="254"/>
      <c r="I1731" s="1707">
        <f t="shared" ref="I1731:T1731" si="1107">SUMIF($V$127:$V$160,$B1659&amp;"contratada",I$127:I$160)</f>
        <v>0</v>
      </c>
      <c r="J1731" s="1707">
        <f t="shared" si="1107"/>
        <v>0</v>
      </c>
      <c r="K1731" s="1707">
        <f t="shared" si="1107"/>
        <v>0</v>
      </c>
      <c r="L1731" s="1707">
        <f t="shared" si="1107"/>
        <v>0</v>
      </c>
      <c r="M1731" s="1707">
        <f t="shared" si="1107"/>
        <v>0</v>
      </c>
      <c r="N1731" s="1707">
        <f t="shared" si="1107"/>
        <v>0</v>
      </c>
      <c r="O1731" s="1707">
        <f t="shared" si="1107"/>
        <v>0</v>
      </c>
      <c r="P1731" s="1707">
        <f t="shared" si="1107"/>
        <v>0</v>
      </c>
      <c r="Q1731" s="1707">
        <f t="shared" si="1107"/>
        <v>0</v>
      </c>
      <c r="R1731" s="1707">
        <f t="shared" si="1107"/>
        <v>0</v>
      </c>
      <c r="S1731" s="1707">
        <f t="shared" si="1107"/>
        <v>0</v>
      </c>
      <c r="T1731" s="1708">
        <f t="shared" si="1107"/>
        <v>0</v>
      </c>
      <c r="Y1731" s="1195"/>
      <c r="Z1731" s="193">
        <f t="shared" si="1074"/>
        <v>1.5</v>
      </c>
      <c r="AA1731" s="193"/>
      <c r="AB1731" s="254"/>
      <c r="AC1731" s="193"/>
      <c r="AD1731" s="193"/>
      <c r="AE1731" s="254"/>
      <c r="AF1731" s="1707">
        <f t="shared" ref="AF1731:AQ1731" si="1108">SUMIF($AS$127:$AS$160,$B1659&amp;"contratada",AF$127:AF$160)</f>
        <v>0</v>
      </c>
      <c r="AG1731" s="1707">
        <f t="shared" si="1108"/>
        <v>0</v>
      </c>
      <c r="AH1731" s="1707">
        <f t="shared" si="1108"/>
        <v>0</v>
      </c>
      <c r="AI1731" s="1707">
        <f t="shared" si="1108"/>
        <v>0</v>
      </c>
      <c r="AJ1731" s="1707">
        <f t="shared" si="1108"/>
        <v>0</v>
      </c>
      <c r="AK1731" s="1707">
        <f t="shared" si="1108"/>
        <v>0</v>
      </c>
      <c r="AL1731" s="1707">
        <f t="shared" si="1108"/>
        <v>0</v>
      </c>
      <c r="AM1731" s="1707">
        <f t="shared" si="1108"/>
        <v>0</v>
      </c>
      <c r="AN1731" s="1707">
        <f t="shared" si="1108"/>
        <v>0</v>
      </c>
      <c r="AO1731" s="1707">
        <f t="shared" si="1108"/>
        <v>0</v>
      </c>
      <c r="AP1731" s="1707">
        <f t="shared" si="1108"/>
        <v>0</v>
      </c>
      <c r="AQ1731" s="1708">
        <f t="shared" si="1108"/>
        <v>0</v>
      </c>
    </row>
    <row r="1732" spans="2:43" ht="13.75" hidden="1" customHeight="1" x14ac:dyDescent="0.2">
      <c r="B1732" s="1195"/>
      <c r="C1732" s="193">
        <f t="shared" si="1102"/>
        <v>1.5</v>
      </c>
      <c r="D1732" s="193"/>
      <c r="E1732" s="254"/>
      <c r="F1732" s="193"/>
      <c r="G1732" s="193"/>
      <c r="H1732" s="254"/>
      <c r="I1732" s="1707">
        <f t="shared" ref="I1732:T1732" si="1109">SUMIF($V$127:$V$160,$B1660&amp;"contratada",I$127:I$160)</f>
        <v>0</v>
      </c>
      <c r="J1732" s="1707">
        <f t="shared" si="1109"/>
        <v>0</v>
      </c>
      <c r="K1732" s="1707">
        <f t="shared" si="1109"/>
        <v>0</v>
      </c>
      <c r="L1732" s="1707">
        <f t="shared" si="1109"/>
        <v>0</v>
      </c>
      <c r="M1732" s="1707">
        <f t="shared" si="1109"/>
        <v>0</v>
      </c>
      <c r="N1732" s="1707">
        <f t="shared" si="1109"/>
        <v>0</v>
      </c>
      <c r="O1732" s="1707">
        <f t="shared" si="1109"/>
        <v>0</v>
      </c>
      <c r="P1732" s="1707">
        <f t="shared" si="1109"/>
        <v>0</v>
      </c>
      <c r="Q1732" s="1707">
        <f t="shared" si="1109"/>
        <v>0</v>
      </c>
      <c r="R1732" s="1707">
        <f t="shared" si="1109"/>
        <v>0</v>
      </c>
      <c r="S1732" s="1707">
        <f t="shared" si="1109"/>
        <v>0</v>
      </c>
      <c r="T1732" s="1708">
        <f t="shared" si="1109"/>
        <v>0</v>
      </c>
      <c r="Y1732" s="1195"/>
      <c r="Z1732" s="193">
        <f t="shared" si="1074"/>
        <v>1.5</v>
      </c>
      <c r="AA1732" s="193"/>
      <c r="AB1732" s="254"/>
      <c r="AC1732" s="193"/>
      <c r="AD1732" s="193"/>
      <c r="AE1732" s="254"/>
      <c r="AF1732" s="1707">
        <f t="shared" ref="AF1732:AQ1732" si="1110">SUMIF($AS$127:$AS$160,$B1660&amp;"contratada",AF$127:AF$160)</f>
        <v>0</v>
      </c>
      <c r="AG1732" s="1707">
        <f t="shared" si="1110"/>
        <v>0</v>
      </c>
      <c r="AH1732" s="1707">
        <f t="shared" si="1110"/>
        <v>0</v>
      </c>
      <c r="AI1732" s="1707">
        <f t="shared" si="1110"/>
        <v>0</v>
      </c>
      <c r="AJ1732" s="1707">
        <f t="shared" si="1110"/>
        <v>0</v>
      </c>
      <c r="AK1732" s="1707">
        <f t="shared" si="1110"/>
        <v>0</v>
      </c>
      <c r="AL1732" s="1707">
        <f t="shared" si="1110"/>
        <v>0</v>
      </c>
      <c r="AM1732" s="1707">
        <f t="shared" si="1110"/>
        <v>0</v>
      </c>
      <c r="AN1732" s="1707">
        <f t="shared" si="1110"/>
        <v>0</v>
      </c>
      <c r="AO1732" s="1707">
        <f t="shared" si="1110"/>
        <v>0</v>
      </c>
      <c r="AP1732" s="1707">
        <f t="shared" si="1110"/>
        <v>0</v>
      </c>
      <c r="AQ1732" s="1708">
        <f t="shared" si="1110"/>
        <v>0</v>
      </c>
    </row>
    <row r="1733" spans="2:43" ht="13.75" hidden="1" customHeight="1" x14ac:dyDescent="0.2">
      <c r="B1733" s="1195"/>
      <c r="C1733" s="193">
        <f t="shared" si="1102"/>
        <v>3</v>
      </c>
      <c r="D1733" s="193"/>
      <c r="E1733" s="254"/>
      <c r="F1733" s="193"/>
      <c r="G1733" s="193"/>
      <c r="H1733" s="254"/>
      <c r="I1733" s="1707">
        <f t="shared" ref="I1733:T1733" si="1111">SUMIF($V$127:$V$160,$B1661&amp;"contratada",I$127:I$160)</f>
        <v>0</v>
      </c>
      <c r="J1733" s="1707">
        <f t="shared" si="1111"/>
        <v>0</v>
      </c>
      <c r="K1733" s="1707">
        <f t="shared" si="1111"/>
        <v>0</v>
      </c>
      <c r="L1733" s="1707">
        <f t="shared" si="1111"/>
        <v>0</v>
      </c>
      <c r="M1733" s="1707">
        <f t="shared" si="1111"/>
        <v>0</v>
      </c>
      <c r="N1733" s="1707">
        <f t="shared" si="1111"/>
        <v>0</v>
      </c>
      <c r="O1733" s="1707">
        <f t="shared" si="1111"/>
        <v>0</v>
      </c>
      <c r="P1733" s="1707">
        <f t="shared" si="1111"/>
        <v>0</v>
      </c>
      <c r="Q1733" s="1707">
        <f t="shared" si="1111"/>
        <v>0</v>
      </c>
      <c r="R1733" s="1707">
        <f t="shared" si="1111"/>
        <v>0</v>
      </c>
      <c r="S1733" s="1707">
        <f t="shared" si="1111"/>
        <v>0</v>
      </c>
      <c r="T1733" s="1708">
        <f t="shared" si="1111"/>
        <v>0</v>
      </c>
      <c r="Y1733" s="1195"/>
      <c r="Z1733" s="193">
        <f t="shared" si="1074"/>
        <v>3</v>
      </c>
      <c r="AA1733" s="193"/>
      <c r="AB1733" s="254"/>
      <c r="AC1733" s="193"/>
      <c r="AD1733" s="193"/>
      <c r="AE1733" s="254"/>
      <c r="AF1733" s="1707">
        <f t="shared" ref="AF1733:AQ1733" si="1112">SUMIF($AS$127:$AS$160,$B1661&amp;"contratada",AF$127:AF$160)</f>
        <v>0</v>
      </c>
      <c r="AG1733" s="1707">
        <f t="shared" si="1112"/>
        <v>0</v>
      </c>
      <c r="AH1733" s="1707">
        <f t="shared" si="1112"/>
        <v>0</v>
      </c>
      <c r="AI1733" s="1707">
        <f t="shared" si="1112"/>
        <v>0</v>
      </c>
      <c r="AJ1733" s="1707">
        <f t="shared" si="1112"/>
        <v>0</v>
      </c>
      <c r="AK1733" s="1707">
        <f t="shared" si="1112"/>
        <v>0</v>
      </c>
      <c r="AL1733" s="1707">
        <f t="shared" si="1112"/>
        <v>0</v>
      </c>
      <c r="AM1733" s="1707">
        <f t="shared" si="1112"/>
        <v>0</v>
      </c>
      <c r="AN1733" s="1707">
        <f t="shared" si="1112"/>
        <v>0</v>
      </c>
      <c r="AO1733" s="1707">
        <f t="shared" si="1112"/>
        <v>0</v>
      </c>
      <c r="AP1733" s="1707">
        <f t="shared" si="1112"/>
        <v>0</v>
      </c>
      <c r="AQ1733" s="1708">
        <f t="shared" si="1112"/>
        <v>0</v>
      </c>
    </row>
    <row r="1734" spans="2:43" ht="13.75" hidden="1" customHeight="1" x14ac:dyDescent="0.2">
      <c r="B1734" s="1195"/>
      <c r="C1734" s="193">
        <f t="shared" si="1102"/>
        <v>3</v>
      </c>
      <c r="D1734" s="193"/>
      <c r="E1734" s="254"/>
      <c r="F1734" s="193"/>
      <c r="G1734" s="193"/>
      <c r="H1734" s="254"/>
      <c r="I1734" s="1707">
        <f t="shared" ref="I1734:T1734" si="1113">SUMIF($V$127:$V$160,$B1662&amp;"contratada",I$127:I$160)</f>
        <v>0</v>
      </c>
      <c r="J1734" s="1707">
        <f t="shared" si="1113"/>
        <v>0</v>
      </c>
      <c r="K1734" s="1707">
        <f t="shared" si="1113"/>
        <v>0</v>
      </c>
      <c r="L1734" s="1707">
        <f t="shared" si="1113"/>
        <v>0</v>
      </c>
      <c r="M1734" s="1707">
        <f t="shared" si="1113"/>
        <v>0</v>
      </c>
      <c r="N1734" s="1707">
        <f t="shared" si="1113"/>
        <v>0</v>
      </c>
      <c r="O1734" s="1707">
        <f t="shared" si="1113"/>
        <v>0</v>
      </c>
      <c r="P1734" s="1707">
        <f t="shared" si="1113"/>
        <v>0</v>
      </c>
      <c r="Q1734" s="1707">
        <f t="shared" si="1113"/>
        <v>0</v>
      </c>
      <c r="R1734" s="1707">
        <f t="shared" si="1113"/>
        <v>0</v>
      </c>
      <c r="S1734" s="1707">
        <f t="shared" si="1113"/>
        <v>0</v>
      </c>
      <c r="T1734" s="1708">
        <f t="shared" si="1113"/>
        <v>0</v>
      </c>
      <c r="Y1734" s="1195"/>
      <c r="Z1734" s="193">
        <f t="shared" si="1074"/>
        <v>3</v>
      </c>
      <c r="AA1734" s="193"/>
      <c r="AB1734" s="254"/>
      <c r="AC1734" s="193"/>
      <c r="AD1734" s="193"/>
      <c r="AE1734" s="254"/>
      <c r="AF1734" s="1707">
        <f t="shared" ref="AF1734:AQ1734" si="1114">SUMIF($AS$127:$AS$160,$B1662&amp;"contratada",AF$127:AF$160)</f>
        <v>0</v>
      </c>
      <c r="AG1734" s="1707">
        <f t="shared" si="1114"/>
        <v>0</v>
      </c>
      <c r="AH1734" s="1707">
        <f t="shared" si="1114"/>
        <v>0</v>
      </c>
      <c r="AI1734" s="1707">
        <f t="shared" si="1114"/>
        <v>0</v>
      </c>
      <c r="AJ1734" s="1707">
        <f t="shared" si="1114"/>
        <v>0</v>
      </c>
      <c r="AK1734" s="1707">
        <f t="shared" si="1114"/>
        <v>0</v>
      </c>
      <c r="AL1734" s="1707">
        <f t="shared" si="1114"/>
        <v>0</v>
      </c>
      <c r="AM1734" s="1707">
        <f t="shared" si="1114"/>
        <v>0</v>
      </c>
      <c r="AN1734" s="1707">
        <f t="shared" si="1114"/>
        <v>0</v>
      </c>
      <c r="AO1734" s="1707">
        <f t="shared" si="1114"/>
        <v>0</v>
      </c>
      <c r="AP1734" s="1707">
        <f t="shared" si="1114"/>
        <v>0</v>
      </c>
      <c r="AQ1734" s="1708">
        <f t="shared" si="1114"/>
        <v>0</v>
      </c>
    </row>
    <row r="1735" spans="2:43" ht="13.75" hidden="1" customHeight="1" x14ac:dyDescent="0.2">
      <c r="B1735" s="1195"/>
      <c r="C1735" s="193">
        <f t="shared" si="1102"/>
        <v>9</v>
      </c>
      <c r="D1735" s="193"/>
      <c r="E1735" s="254"/>
      <c r="F1735" s="193"/>
      <c r="G1735" s="193"/>
      <c r="H1735" s="254"/>
      <c r="I1735" s="1707">
        <f t="shared" ref="I1735:T1735" si="1115">SUMIF($V$127:$V$160,$B1663&amp;"contratada",I$127:I$160)</f>
        <v>0</v>
      </c>
      <c r="J1735" s="1707">
        <f t="shared" si="1115"/>
        <v>0</v>
      </c>
      <c r="K1735" s="1707">
        <f t="shared" si="1115"/>
        <v>0</v>
      </c>
      <c r="L1735" s="1707">
        <f t="shared" si="1115"/>
        <v>0</v>
      </c>
      <c r="M1735" s="1707">
        <f t="shared" si="1115"/>
        <v>0</v>
      </c>
      <c r="N1735" s="1707">
        <f t="shared" si="1115"/>
        <v>0</v>
      </c>
      <c r="O1735" s="1707">
        <f t="shared" si="1115"/>
        <v>0</v>
      </c>
      <c r="P1735" s="1707">
        <f t="shared" si="1115"/>
        <v>0</v>
      </c>
      <c r="Q1735" s="1707">
        <f t="shared" si="1115"/>
        <v>0</v>
      </c>
      <c r="R1735" s="1707">
        <f t="shared" si="1115"/>
        <v>0</v>
      </c>
      <c r="S1735" s="1707">
        <f t="shared" si="1115"/>
        <v>0</v>
      </c>
      <c r="T1735" s="1708">
        <f t="shared" si="1115"/>
        <v>0</v>
      </c>
      <c r="Y1735" s="1195"/>
      <c r="Z1735" s="193">
        <f t="shared" si="1074"/>
        <v>9</v>
      </c>
      <c r="AA1735" s="193"/>
      <c r="AB1735" s="254"/>
      <c r="AC1735" s="193"/>
      <c r="AD1735" s="193"/>
      <c r="AE1735" s="254"/>
      <c r="AF1735" s="1707">
        <f t="shared" ref="AF1735:AQ1735" si="1116">SUMIF($AS$127:$AS$160,$B1663&amp;"contratada",AF$127:AF$160)</f>
        <v>0</v>
      </c>
      <c r="AG1735" s="1707">
        <f t="shared" si="1116"/>
        <v>0</v>
      </c>
      <c r="AH1735" s="1707">
        <f t="shared" si="1116"/>
        <v>0</v>
      </c>
      <c r="AI1735" s="1707">
        <f t="shared" si="1116"/>
        <v>0</v>
      </c>
      <c r="AJ1735" s="1707">
        <f t="shared" si="1116"/>
        <v>0</v>
      </c>
      <c r="AK1735" s="1707">
        <f t="shared" si="1116"/>
        <v>0</v>
      </c>
      <c r="AL1735" s="1707">
        <f t="shared" si="1116"/>
        <v>0</v>
      </c>
      <c r="AM1735" s="1707">
        <f t="shared" si="1116"/>
        <v>0</v>
      </c>
      <c r="AN1735" s="1707">
        <f t="shared" si="1116"/>
        <v>0</v>
      </c>
      <c r="AO1735" s="1707">
        <f t="shared" si="1116"/>
        <v>0</v>
      </c>
      <c r="AP1735" s="1707">
        <f t="shared" si="1116"/>
        <v>0</v>
      </c>
      <c r="AQ1735" s="1708">
        <f t="shared" si="1116"/>
        <v>0</v>
      </c>
    </row>
    <row r="1736" spans="2:43" ht="13.75" hidden="1" customHeight="1" x14ac:dyDescent="0.2">
      <c r="B1736" s="1195"/>
      <c r="C1736" s="193">
        <f t="shared" si="1102"/>
        <v>0</v>
      </c>
      <c r="D1736" s="193"/>
      <c r="E1736" s="254"/>
      <c r="F1736" s="193"/>
      <c r="G1736" s="193"/>
      <c r="H1736" s="254"/>
      <c r="I1736" s="1707">
        <f t="shared" ref="I1736:T1736" si="1117">SUMIF($V$127:$V$160,$B1664&amp;"contratada",I$127:I$160)</f>
        <v>0</v>
      </c>
      <c r="J1736" s="1707">
        <f t="shared" si="1117"/>
        <v>0</v>
      </c>
      <c r="K1736" s="1707">
        <f t="shared" si="1117"/>
        <v>0</v>
      </c>
      <c r="L1736" s="1707">
        <f t="shared" si="1117"/>
        <v>0</v>
      </c>
      <c r="M1736" s="1707">
        <f t="shared" si="1117"/>
        <v>0</v>
      </c>
      <c r="N1736" s="1707">
        <f t="shared" si="1117"/>
        <v>0</v>
      </c>
      <c r="O1736" s="1707">
        <f t="shared" si="1117"/>
        <v>0</v>
      </c>
      <c r="P1736" s="1707">
        <f t="shared" si="1117"/>
        <v>0</v>
      </c>
      <c r="Q1736" s="1707">
        <f t="shared" si="1117"/>
        <v>0</v>
      </c>
      <c r="R1736" s="1707">
        <f t="shared" si="1117"/>
        <v>0</v>
      </c>
      <c r="S1736" s="1707">
        <f t="shared" si="1117"/>
        <v>0</v>
      </c>
      <c r="T1736" s="1708">
        <f t="shared" si="1117"/>
        <v>0</v>
      </c>
      <c r="Y1736" s="1195"/>
      <c r="Z1736" s="193">
        <f t="shared" si="1074"/>
        <v>0</v>
      </c>
      <c r="AA1736" s="193"/>
      <c r="AB1736" s="254"/>
      <c r="AC1736" s="193"/>
      <c r="AD1736" s="193"/>
      <c r="AE1736" s="254"/>
      <c r="AF1736" s="1707">
        <f t="shared" ref="AF1736:AQ1736" si="1118">SUMIF($AS$127:$AS$160,$B1664&amp;"contratada",AF$127:AF$160)</f>
        <v>0</v>
      </c>
      <c r="AG1736" s="1707">
        <f t="shared" si="1118"/>
        <v>0</v>
      </c>
      <c r="AH1736" s="1707">
        <f t="shared" si="1118"/>
        <v>0</v>
      </c>
      <c r="AI1736" s="1707">
        <f t="shared" si="1118"/>
        <v>0</v>
      </c>
      <c r="AJ1736" s="1707">
        <f t="shared" si="1118"/>
        <v>0</v>
      </c>
      <c r="AK1736" s="1707">
        <f t="shared" si="1118"/>
        <v>0</v>
      </c>
      <c r="AL1736" s="1707">
        <f t="shared" si="1118"/>
        <v>0</v>
      </c>
      <c r="AM1736" s="1707">
        <f t="shared" si="1118"/>
        <v>0</v>
      </c>
      <c r="AN1736" s="1707">
        <f t="shared" si="1118"/>
        <v>0</v>
      </c>
      <c r="AO1736" s="1707">
        <f t="shared" si="1118"/>
        <v>0</v>
      </c>
      <c r="AP1736" s="1707">
        <f t="shared" si="1118"/>
        <v>0</v>
      </c>
      <c r="AQ1736" s="1708">
        <f t="shared" si="1118"/>
        <v>0</v>
      </c>
    </row>
    <row r="1737" spans="2:43" ht="13.75" hidden="1" customHeight="1" x14ac:dyDescent="0.2">
      <c r="B1737" s="1195"/>
      <c r="C1737" s="193">
        <f t="shared" si="1102"/>
        <v>0</v>
      </c>
      <c r="D1737" s="193"/>
      <c r="E1737" s="254"/>
      <c r="F1737" s="193"/>
      <c r="G1737" s="193"/>
      <c r="H1737" s="254"/>
      <c r="I1737" s="1707">
        <f t="shared" ref="I1737:T1737" si="1119">SUMIF($V$127:$V$160,$B1665&amp;"contratada",I$127:I$160)</f>
        <v>0</v>
      </c>
      <c r="J1737" s="1707">
        <f t="shared" si="1119"/>
        <v>0</v>
      </c>
      <c r="K1737" s="1707">
        <f t="shared" si="1119"/>
        <v>0</v>
      </c>
      <c r="L1737" s="1707">
        <f t="shared" si="1119"/>
        <v>0</v>
      </c>
      <c r="M1737" s="1707">
        <f t="shared" si="1119"/>
        <v>0</v>
      </c>
      <c r="N1737" s="1707">
        <f t="shared" si="1119"/>
        <v>0</v>
      </c>
      <c r="O1737" s="1707">
        <f t="shared" si="1119"/>
        <v>0</v>
      </c>
      <c r="P1737" s="1707">
        <f t="shared" si="1119"/>
        <v>0</v>
      </c>
      <c r="Q1737" s="1707">
        <f t="shared" si="1119"/>
        <v>0</v>
      </c>
      <c r="R1737" s="1707">
        <f t="shared" si="1119"/>
        <v>0</v>
      </c>
      <c r="S1737" s="1707">
        <f t="shared" si="1119"/>
        <v>0</v>
      </c>
      <c r="T1737" s="1708">
        <f t="shared" si="1119"/>
        <v>0</v>
      </c>
      <c r="Y1737" s="1195"/>
      <c r="Z1737" s="193">
        <f t="shared" si="1074"/>
        <v>0</v>
      </c>
      <c r="AA1737" s="193"/>
      <c r="AB1737" s="254"/>
      <c r="AC1737" s="193"/>
      <c r="AD1737" s="193"/>
      <c r="AE1737" s="254"/>
      <c r="AF1737" s="1707">
        <f t="shared" ref="AF1737:AQ1737" si="1120">SUMIF($AS$127:$AS$160,$B1665&amp;"contratada",AF$127:AF$160)</f>
        <v>0</v>
      </c>
      <c r="AG1737" s="1707">
        <f t="shared" si="1120"/>
        <v>0</v>
      </c>
      <c r="AH1737" s="1707">
        <f t="shared" si="1120"/>
        <v>0</v>
      </c>
      <c r="AI1737" s="1707">
        <f t="shared" si="1120"/>
        <v>0</v>
      </c>
      <c r="AJ1737" s="1707">
        <f t="shared" si="1120"/>
        <v>0</v>
      </c>
      <c r="AK1737" s="1707">
        <f t="shared" si="1120"/>
        <v>0</v>
      </c>
      <c r="AL1737" s="1707">
        <f t="shared" si="1120"/>
        <v>0</v>
      </c>
      <c r="AM1737" s="1707">
        <f t="shared" si="1120"/>
        <v>0</v>
      </c>
      <c r="AN1737" s="1707">
        <f t="shared" si="1120"/>
        <v>0</v>
      </c>
      <c r="AO1737" s="1707">
        <f t="shared" si="1120"/>
        <v>0</v>
      </c>
      <c r="AP1737" s="1707">
        <f t="shared" si="1120"/>
        <v>0</v>
      </c>
      <c r="AQ1737" s="1708">
        <f t="shared" si="1120"/>
        <v>0</v>
      </c>
    </row>
    <row r="1738" spans="2:43" ht="13.75" hidden="1" customHeight="1" x14ac:dyDescent="0.2">
      <c r="B1738" s="1195"/>
      <c r="C1738" s="193">
        <f t="shared" si="1102"/>
        <v>0</v>
      </c>
      <c r="D1738" s="193"/>
      <c r="E1738" s="254"/>
      <c r="F1738" s="193"/>
      <c r="G1738" s="193"/>
      <c r="H1738" s="254"/>
      <c r="I1738" s="1707">
        <f t="shared" ref="I1738:T1738" si="1121">SUMIF($V$127:$V$160,$B1666&amp;"contratada",I$127:I$160)</f>
        <v>0</v>
      </c>
      <c r="J1738" s="1707">
        <f t="shared" si="1121"/>
        <v>0</v>
      </c>
      <c r="K1738" s="1707">
        <f t="shared" si="1121"/>
        <v>0</v>
      </c>
      <c r="L1738" s="1707">
        <f t="shared" si="1121"/>
        <v>0</v>
      </c>
      <c r="M1738" s="1707">
        <f t="shared" si="1121"/>
        <v>0</v>
      </c>
      <c r="N1738" s="1707">
        <f t="shared" si="1121"/>
        <v>0</v>
      </c>
      <c r="O1738" s="1707">
        <f t="shared" si="1121"/>
        <v>0</v>
      </c>
      <c r="P1738" s="1707">
        <f t="shared" si="1121"/>
        <v>0</v>
      </c>
      <c r="Q1738" s="1707">
        <f t="shared" si="1121"/>
        <v>0</v>
      </c>
      <c r="R1738" s="1707">
        <f t="shared" si="1121"/>
        <v>0</v>
      </c>
      <c r="S1738" s="1707">
        <f t="shared" si="1121"/>
        <v>0</v>
      </c>
      <c r="T1738" s="1708">
        <f t="shared" si="1121"/>
        <v>0</v>
      </c>
      <c r="Y1738" s="1195"/>
      <c r="Z1738" s="193">
        <f t="shared" si="1074"/>
        <v>0</v>
      </c>
      <c r="AA1738" s="193"/>
      <c r="AB1738" s="254"/>
      <c r="AC1738" s="193"/>
      <c r="AD1738" s="193"/>
      <c r="AE1738" s="254"/>
      <c r="AF1738" s="1707">
        <f t="shared" ref="AF1738:AQ1738" si="1122">SUMIF($AS$127:$AS$160,$B1666&amp;"contratada",AF$127:AF$160)</f>
        <v>0</v>
      </c>
      <c r="AG1738" s="1707">
        <f t="shared" si="1122"/>
        <v>0</v>
      </c>
      <c r="AH1738" s="1707">
        <f t="shared" si="1122"/>
        <v>0</v>
      </c>
      <c r="AI1738" s="1707">
        <f t="shared" si="1122"/>
        <v>0</v>
      </c>
      <c r="AJ1738" s="1707">
        <f t="shared" si="1122"/>
        <v>0</v>
      </c>
      <c r="AK1738" s="1707">
        <f t="shared" si="1122"/>
        <v>0</v>
      </c>
      <c r="AL1738" s="1707">
        <f t="shared" si="1122"/>
        <v>0</v>
      </c>
      <c r="AM1738" s="1707">
        <f t="shared" si="1122"/>
        <v>0</v>
      </c>
      <c r="AN1738" s="1707">
        <f t="shared" si="1122"/>
        <v>0</v>
      </c>
      <c r="AO1738" s="1707">
        <f t="shared" si="1122"/>
        <v>0</v>
      </c>
      <c r="AP1738" s="1707">
        <f t="shared" si="1122"/>
        <v>0</v>
      </c>
      <c r="AQ1738" s="1708">
        <f t="shared" si="1122"/>
        <v>0</v>
      </c>
    </row>
    <row r="1739" spans="2:43" ht="13.75" hidden="1" customHeight="1" x14ac:dyDescent="0.2">
      <c r="B1739" s="1195"/>
      <c r="C1739" s="193">
        <f t="shared" si="1102"/>
        <v>0</v>
      </c>
      <c r="D1739" s="193"/>
      <c r="E1739" s="254"/>
      <c r="F1739" s="193"/>
      <c r="G1739" s="193"/>
      <c r="H1739" s="254"/>
      <c r="I1739" s="1707">
        <f t="shared" ref="I1739:T1739" si="1123">SUMIF($V$127:$V$160,$B1667&amp;"contratada",I$127:I$160)</f>
        <v>0</v>
      </c>
      <c r="J1739" s="1707">
        <f t="shared" si="1123"/>
        <v>0</v>
      </c>
      <c r="K1739" s="1707">
        <f t="shared" si="1123"/>
        <v>0</v>
      </c>
      <c r="L1739" s="1707">
        <f t="shared" si="1123"/>
        <v>0</v>
      </c>
      <c r="M1739" s="1707">
        <f t="shared" si="1123"/>
        <v>0</v>
      </c>
      <c r="N1739" s="1707">
        <f t="shared" si="1123"/>
        <v>0</v>
      </c>
      <c r="O1739" s="1707">
        <f t="shared" si="1123"/>
        <v>0</v>
      </c>
      <c r="P1739" s="1707">
        <f t="shared" si="1123"/>
        <v>0</v>
      </c>
      <c r="Q1739" s="1707">
        <f t="shared" si="1123"/>
        <v>0</v>
      </c>
      <c r="R1739" s="1707">
        <f t="shared" si="1123"/>
        <v>0</v>
      </c>
      <c r="S1739" s="1707">
        <f t="shared" si="1123"/>
        <v>0</v>
      </c>
      <c r="T1739" s="1708">
        <f t="shared" si="1123"/>
        <v>0</v>
      </c>
      <c r="Y1739" s="1195"/>
      <c r="Z1739" s="193">
        <f t="shared" si="1074"/>
        <v>0</v>
      </c>
      <c r="AA1739" s="193"/>
      <c r="AB1739" s="254"/>
      <c r="AC1739" s="193"/>
      <c r="AD1739" s="193"/>
      <c r="AE1739" s="254"/>
      <c r="AF1739" s="1707">
        <f t="shared" ref="AF1739:AQ1739" si="1124">SUMIF($AS$127:$AS$160,$B1667&amp;"contratada",AF$127:AF$160)</f>
        <v>0</v>
      </c>
      <c r="AG1739" s="1707">
        <f t="shared" si="1124"/>
        <v>0</v>
      </c>
      <c r="AH1739" s="1707">
        <f t="shared" si="1124"/>
        <v>0</v>
      </c>
      <c r="AI1739" s="1707">
        <f t="shared" si="1124"/>
        <v>0</v>
      </c>
      <c r="AJ1739" s="1707">
        <f t="shared" si="1124"/>
        <v>0</v>
      </c>
      <c r="AK1739" s="1707">
        <f t="shared" si="1124"/>
        <v>0</v>
      </c>
      <c r="AL1739" s="1707">
        <f t="shared" si="1124"/>
        <v>0</v>
      </c>
      <c r="AM1739" s="1707">
        <f t="shared" si="1124"/>
        <v>0</v>
      </c>
      <c r="AN1739" s="1707">
        <f t="shared" si="1124"/>
        <v>0</v>
      </c>
      <c r="AO1739" s="1707">
        <f t="shared" si="1124"/>
        <v>0</v>
      </c>
      <c r="AP1739" s="1707">
        <f t="shared" si="1124"/>
        <v>0</v>
      </c>
      <c r="AQ1739" s="1708">
        <f t="shared" si="1124"/>
        <v>0</v>
      </c>
    </row>
    <row r="1740" spans="2:43" ht="13.75" hidden="1" customHeight="1" x14ac:dyDescent="0.2">
      <c r="B1740" s="1195"/>
      <c r="C1740" s="193">
        <f t="shared" si="1102"/>
        <v>0</v>
      </c>
      <c r="D1740" s="193"/>
      <c r="E1740" s="254"/>
      <c r="F1740" s="193"/>
      <c r="G1740" s="193"/>
      <c r="H1740" s="254"/>
      <c r="I1740" s="1707">
        <f t="shared" ref="I1740:T1740" si="1125">SUMIF($V$127:$V$160,$B1668&amp;"contratada",I$127:I$160)</f>
        <v>0</v>
      </c>
      <c r="J1740" s="1707">
        <f t="shared" si="1125"/>
        <v>0</v>
      </c>
      <c r="K1740" s="1707">
        <f t="shared" si="1125"/>
        <v>0</v>
      </c>
      <c r="L1740" s="1707">
        <f t="shared" si="1125"/>
        <v>0</v>
      </c>
      <c r="M1740" s="1707">
        <f t="shared" si="1125"/>
        <v>0</v>
      </c>
      <c r="N1740" s="1707">
        <f t="shared" si="1125"/>
        <v>0</v>
      </c>
      <c r="O1740" s="1707">
        <f t="shared" si="1125"/>
        <v>0</v>
      </c>
      <c r="P1740" s="1707">
        <f t="shared" si="1125"/>
        <v>0</v>
      </c>
      <c r="Q1740" s="1707">
        <f t="shared" si="1125"/>
        <v>0</v>
      </c>
      <c r="R1740" s="1707">
        <f t="shared" si="1125"/>
        <v>0</v>
      </c>
      <c r="S1740" s="1707">
        <f t="shared" si="1125"/>
        <v>0</v>
      </c>
      <c r="T1740" s="1708">
        <f t="shared" si="1125"/>
        <v>0</v>
      </c>
      <c r="Y1740" s="1195"/>
      <c r="Z1740" s="193">
        <f t="shared" si="1074"/>
        <v>0</v>
      </c>
      <c r="AA1740" s="193"/>
      <c r="AB1740" s="254"/>
      <c r="AC1740" s="193"/>
      <c r="AD1740" s="193"/>
      <c r="AE1740" s="254"/>
      <c r="AF1740" s="1707">
        <f t="shared" ref="AF1740:AQ1740" si="1126">SUMIF($AS$127:$AS$160,$B1668&amp;"contratada",AF$127:AF$160)</f>
        <v>0</v>
      </c>
      <c r="AG1740" s="1707">
        <f t="shared" si="1126"/>
        <v>0</v>
      </c>
      <c r="AH1740" s="1707">
        <f t="shared" si="1126"/>
        <v>0</v>
      </c>
      <c r="AI1740" s="1707">
        <f t="shared" si="1126"/>
        <v>0</v>
      </c>
      <c r="AJ1740" s="1707">
        <f t="shared" si="1126"/>
        <v>0</v>
      </c>
      <c r="AK1740" s="1707">
        <f t="shared" si="1126"/>
        <v>0</v>
      </c>
      <c r="AL1740" s="1707">
        <f t="shared" si="1126"/>
        <v>0</v>
      </c>
      <c r="AM1740" s="1707">
        <f t="shared" si="1126"/>
        <v>0</v>
      </c>
      <c r="AN1740" s="1707">
        <f t="shared" si="1126"/>
        <v>0</v>
      </c>
      <c r="AO1740" s="1707">
        <f t="shared" si="1126"/>
        <v>0</v>
      </c>
      <c r="AP1740" s="1707">
        <f t="shared" si="1126"/>
        <v>0</v>
      </c>
      <c r="AQ1740" s="1708">
        <f t="shared" si="1126"/>
        <v>0</v>
      </c>
    </row>
    <row r="1741" spans="2:43" ht="13.75" hidden="1" customHeight="1" x14ac:dyDescent="0.2">
      <c r="B1741" s="1195"/>
      <c r="C1741" s="193">
        <f t="shared" si="1102"/>
        <v>0</v>
      </c>
      <c r="D1741" s="193"/>
      <c r="E1741" s="254"/>
      <c r="F1741" s="193"/>
      <c r="G1741" s="193"/>
      <c r="H1741" s="254"/>
      <c r="I1741" s="1707">
        <f t="shared" ref="I1741:T1741" si="1127">SUMIF($V$127:$V$160,$B1669&amp;"contratada",I$127:I$160)</f>
        <v>0</v>
      </c>
      <c r="J1741" s="1707">
        <f t="shared" si="1127"/>
        <v>0</v>
      </c>
      <c r="K1741" s="1707">
        <f t="shared" si="1127"/>
        <v>0</v>
      </c>
      <c r="L1741" s="1707">
        <f t="shared" si="1127"/>
        <v>0</v>
      </c>
      <c r="M1741" s="1707">
        <f t="shared" si="1127"/>
        <v>0</v>
      </c>
      <c r="N1741" s="1707">
        <f t="shared" si="1127"/>
        <v>0</v>
      </c>
      <c r="O1741" s="1707">
        <f t="shared" si="1127"/>
        <v>0</v>
      </c>
      <c r="P1741" s="1707">
        <f t="shared" si="1127"/>
        <v>0</v>
      </c>
      <c r="Q1741" s="1707">
        <f t="shared" si="1127"/>
        <v>0</v>
      </c>
      <c r="R1741" s="1707">
        <f t="shared" si="1127"/>
        <v>0</v>
      </c>
      <c r="S1741" s="1707">
        <f t="shared" si="1127"/>
        <v>0</v>
      </c>
      <c r="T1741" s="1708">
        <f t="shared" si="1127"/>
        <v>0</v>
      </c>
      <c r="Y1741" s="1195"/>
      <c r="Z1741" s="193">
        <f t="shared" si="1074"/>
        <v>0</v>
      </c>
      <c r="AA1741" s="193"/>
      <c r="AB1741" s="254"/>
      <c r="AC1741" s="193"/>
      <c r="AD1741" s="193"/>
      <c r="AE1741" s="254"/>
      <c r="AF1741" s="1707">
        <f t="shared" ref="AF1741:AQ1741" si="1128">SUMIF($AS$127:$AS$160,$B1669&amp;"contratada",AF$127:AF$160)</f>
        <v>0</v>
      </c>
      <c r="AG1741" s="1707">
        <f t="shared" si="1128"/>
        <v>0</v>
      </c>
      <c r="AH1741" s="1707">
        <f t="shared" si="1128"/>
        <v>0</v>
      </c>
      <c r="AI1741" s="1707">
        <f t="shared" si="1128"/>
        <v>0</v>
      </c>
      <c r="AJ1741" s="1707">
        <f t="shared" si="1128"/>
        <v>0</v>
      </c>
      <c r="AK1741" s="1707">
        <f t="shared" si="1128"/>
        <v>0</v>
      </c>
      <c r="AL1741" s="1707">
        <f t="shared" si="1128"/>
        <v>0</v>
      </c>
      <c r="AM1741" s="1707">
        <f t="shared" si="1128"/>
        <v>0</v>
      </c>
      <c r="AN1741" s="1707">
        <f t="shared" si="1128"/>
        <v>0</v>
      </c>
      <c r="AO1741" s="1707">
        <f t="shared" si="1128"/>
        <v>0</v>
      </c>
      <c r="AP1741" s="1707">
        <f t="shared" si="1128"/>
        <v>0</v>
      </c>
      <c r="AQ1741" s="1708">
        <f t="shared" si="1128"/>
        <v>0</v>
      </c>
    </row>
    <row r="1742" spans="2:43" ht="14.4" hidden="1" customHeight="1" thickBot="1" x14ac:dyDescent="0.25">
      <c r="B1742" s="1198"/>
      <c r="C1742" s="1199">
        <f t="shared" si="1102"/>
        <v>0</v>
      </c>
      <c r="D1742" s="1199"/>
      <c r="E1742" s="1209"/>
      <c r="F1742" s="1199"/>
      <c r="G1742" s="1199"/>
      <c r="H1742" s="1209"/>
      <c r="I1742" s="1709">
        <f t="shared" ref="I1742:T1742" si="1129">SUMIF($V$127:$V$160,$B1670&amp;"contratada",I$127:I$160)</f>
        <v>0</v>
      </c>
      <c r="J1742" s="1709">
        <f t="shared" si="1129"/>
        <v>0</v>
      </c>
      <c r="K1742" s="1709">
        <f t="shared" si="1129"/>
        <v>0</v>
      </c>
      <c r="L1742" s="1709">
        <f t="shared" si="1129"/>
        <v>0</v>
      </c>
      <c r="M1742" s="1709">
        <f t="shared" si="1129"/>
        <v>0</v>
      </c>
      <c r="N1742" s="1709">
        <f t="shared" si="1129"/>
        <v>0</v>
      </c>
      <c r="O1742" s="1709">
        <f t="shared" si="1129"/>
        <v>0</v>
      </c>
      <c r="P1742" s="1709">
        <f t="shared" si="1129"/>
        <v>0</v>
      </c>
      <c r="Q1742" s="1709">
        <f t="shared" si="1129"/>
        <v>0</v>
      </c>
      <c r="R1742" s="1709">
        <f t="shared" si="1129"/>
        <v>0</v>
      </c>
      <c r="S1742" s="1709">
        <f t="shared" si="1129"/>
        <v>0</v>
      </c>
      <c r="T1742" s="1710">
        <f t="shared" si="1129"/>
        <v>0</v>
      </c>
      <c r="Y1742" s="1198"/>
      <c r="Z1742" s="1199">
        <f t="shared" si="1074"/>
        <v>0</v>
      </c>
      <c r="AA1742" s="1199"/>
      <c r="AB1742" s="1209"/>
      <c r="AC1742" s="1199"/>
      <c r="AD1742" s="1199"/>
      <c r="AE1742" s="1209"/>
      <c r="AF1742" s="1709">
        <f t="shared" ref="AF1742:AQ1742" si="1130">SUMIF($AS$127:$AS$160,$B1670&amp;"contratada",AF$127:AF$160)</f>
        <v>0</v>
      </c>
      <c r="AG1742" s="1709">
        <f t="shared" si="1130"/>
        <v>0</v>
      </c>
      <c r="AH1742" s="1709">
        <f t="shared" si="1130"/>
        <v>0</v>
      </c>
      <c r="AI1742" s="1709">
        <f t="shared" si="1130"/>
        <v>0</v>
      </c>
      <c r="AJ1742" s="1709">
        <f t="shared" si="1130"/>
        <v>0</v>
      </c>
      <c r="AK1742" s="1709">
        <f t="shared" si="1130"/>
        <v>0</v>
      </c>
      <c r="AL1742" s="1709">
        <f t="shared" si="1130"/>
        <v>0</v>
      </c>
      <c r="AM1742" s="1709">
        <f t="shared" si="1130"/>
        <v>0</v>
      </c>
      <c r="AN1742" s="1709">
        <f t="shared" si="1130"/>
        <v>0</v>
      </c>
      <c r="AO1742" s="1709">
        <f t="shared" si="1130"/>
        <v>0</v>
      </c>
      <c r="AP1742" s="1709">
        <f t="shared" si="1130"/>
        <v>0</v>
      </c>
      <c r="AQ1742" s="1710">
        <f t="shared" si="1130"/>
        <v>0</v>
      </c>
    </row>
    <row r="1743" spans="2:43" ht="15.05" hidden="1" customHeight="1" thickTop="1" thickBot="1" x14ac:dyDescent="0.25">
      <c r="B1743" s="1711" t="s">
        <v>705</v>
      </c>
      <c r="C1743" s="1712"/>
      <c r="D1743" s="1712"/>
      <c r="E1743" s="1712"/>
      <c r="F1743" s="1712"/>
      <c r="G1743" s="1712"/>
      <c r="H1743" s="1713" t="s">
        <v>230</v>
      </c>
      <c r="I1743" s="1715">
        <f t="shared" ref="I1743:T1743" si="1131">+SUMPRODUCT(I1714:I1742,$C$1714:$C$1742)</f>
        <v>0</v>
      </c>
      <c r="J1743" s="1715">
        <f t="shared" si="1131"/>
        <v>0</v>
      </c>
      <c r="K1743" s="1715">
        <f t="shared" si="1131"/>
        <v>0</v>
      </c>
      <c r="L1743" s="1715">
        <f t="shared" si="1131"/>
        <v>0</v>
      </c>
      <c r="M1743" s="1715">
        <f t="shared" si="1131"/>
        <v>0</v>
      </c>
      <c r="N1743" s="1715">
        <f t="shared" si="1131"/>
        <v>0</v>
      </c>
      <c r="O1743" s="1715">
        <f t="shared" si="1131"/>
        <v>0</v>
      </c>
      <c r="P1743" s="1715">
        <f t="shared" si="1131"/>
        <v>0</v>
      </c>
      <c r="Q1743" s="1715">
        <f t="shared" si="1131"/>
        <v>0</v>
      </c>
      <c r="R1743" s="1715">
        <f t="shared" si="1131"/>
        <v>0</v>
      </c>
      <c r="S1743" s="1715">
        <f t="shared" si="1131"/>
        <v>0</v>
      </c>
      <c r="T1743" s="1716">
        <f t="shared" si="1131"/>
        <v>0</v>
      </c>
      <c r="Y1743" s="1711" t="s">
        <v>705</v>
      </c>
      <c r="Z1743" s="1712"/>
      <c r="AA1743" s="1712"/>
      <c r="AB1743" s="1712"/>
      <c r="AC1743" s="1712"/>
      <c r="AD1743" s="1712"/>
      <c r="AE1743" s="1719" t="s">
        <v>230</v>
      </c>
      <c r="AF1743" s="1715">
        <f t="shared" ref="AF1743:AQ1743" si="1132">+SUMPRODUCT(AF1714:AF1742,$C$1714:$C$1742)</f>
        <v>0</v>
      </c>
      <c r="AG1743" s="1715">
        <f t="shared" si="1132"/>
        <v>0</v>
      </c>
      <c r="AH1743" s="1715">
        <f t="shared" si="1132"/>
        <v>0</v>
      </c>
      <c r="AI1743" s="1715">
        <f t="shared" si="1132"/>
        <v>0</v>
      </c>
      <c r="AJ1743" s="1715">
        <f t="shared" si="1132"/>
        <v>0</v>
      </c>
      <c r="AK1743" s="1715">
        <f t="shared" si="1132"/>
        <v>0</v>
      </c>
      <c r="AL1743" s="1715">
        <f t="shared" si="1132"/>
        <v>0</v>
      </c>
      <c r="AM1743" s="1715">
        <f t="shared" si="1132"/>
        <v>0</v>
      </c>
      <c r="AN1743" s="1715">
        <f t="shared" si="1132"/>
        <v>0</v>
      </c>
      <c r="AO1743" s="1715">
        <f t="shared" si="1132"/>
        <v>0</v>
      </c>
      <c r="AP1743" s="1715">
        <f t="shared" si="1132"/>
        <v>0</v>
      </c>
      <c r="AQ1743" s="1716">
        <f t="shared" si="1132"/>
        <v>0</v>
      </c>
    </row>
    <row r="1744" spans="2:43" ht="14.4" hidden="1" customHeight="1" thickTop="1" x14ac:dyDescent="0.2">
      <c r="B1744" s="1594"/>
      <c r="C1744" s="193"/>
      <c r="D1744" s="193"/>
      <c r="E1744" s="193"/>
      <c r="F1744" s="193"/>
      <c r="G1744" s="193"/>
      <c r="H1744" s="982" t="s">
        <v>698</v>
      </c>
      <c r="I1744" s="1205">
        <f t="shared" ref="I1744:T1744" si="1133">IFERROR(I1743*I1710/I1712,0)</f>
        <v>0</v>
      </c>
      <c r="J1744" s="1205">
        <f t="shared" si="1133"/>
        <v>0</v>
      </c>
      <c r="K1744" s="1205">
        <f t="shared" si="1133"/>
        <v>0</v>
      </c>
      <c r="L1744" s="1205">
        <f t="shared" si="1133"/>
        <v>0</v>
      </c>
      <c r="M1744" s="1205">
        <f t="shared" si="1133"/>
        <v>0</v>
      </c>
      <c r="N1744" s="1205">
        <f t="shared" si="1133"/>
        <v>0</v>
      </c>
      <c r="O1744" s="1205">
        <f t="shared" si="1133"/>
        <v>0</v>
      </c>
      <c r="P1744" s="1205">
        <f t="shared" si="1133"/>
        <v>0</v>
      </c>
      <c r="Q1744" s="1205">
        <f t="shared" si="1133"/>
        <v>0</v>
      </c>
      <c r="R1744" s="1205">
        <f t="shared" si="1133"/>
        <v>0</v>
      </c>
      <c r="S1744" s="1205">
        <f t="shared" si="1133"/>
        <v>0</v>
      </c>
      <c r="T1744" s="1714">
        <f t="shared" si="1133"/>
        <v>0</v>
      </c>
      <c r="Y1744" s="1594"/>
      <c r="Z1744" s="193"/>
      <c r="AA1744" s="193"/>
      <c r="AB1744" s="193"/>
      <c r="AC1744" s="193"/>
      <c r="AD1744" s="193"/>
      <c r="AE1744" s="1720" t="s">
        <v>698</v>
      </c>
      <c r="AF1744" s="1205">
        <f t="shared" ref="AF1744:AQ1744" si="1134">IFERROR(AF1743*AF1710/AF1712,0)</f>
        <v>0</v>
      </c>
      <c r="AG1744" s="1205">
        <f t="shared" si="1134"/>
        <v>0</v>
      </c>
      <c r="AH1744" s="1205">
        <f t="shared" si="1134"/>
        <v>0</v>
      </c>
      <c r="AI1744" s="1205">
        <f t="shared" si="1134"/>
        <v>0</v>
      </c>
      <c r="AJ1744" s="1205">
        <f t="shared" si="1134"/>
        <v>0</v>
      </c>
      <c r="AK1744" s="1205">
        <f t="shared" si="1134"/>
        <v>0</v>
      </c>
      <c r="AL1744" s="1205">
        <f t="shared" si="1134"/>
        <v>0</v>
      </c>
      <c r="AM1744" s="1205">
        <f t="shared" si="1134"/>
        <v>0</v>
      </c>
      <c r="AN1744" s="1205">
        <f t="shared" si="1134"/>
        <v>0</v>
      </c>
      <c r="AO1744" s="1205">
        <f t="shared" si="1134"/>
        <v>0</v>
      </c>
      <c r="AP1744" s="1205">
        <f t="shared" si="1134"/>
        <v>0</v>
      </c>
      <c r="AQ1744" s="1714">
        <f t="shared" si="1134"/>
        <v>0</v>
      </c>
    </row>
    <row r="1745" spans="2:43" ht="14.4" hidden="1" customHeight="1" thickBot="1" x14ac:dyDescent="0.25">
      <c r="B1745" s="1596"/>
      <c r="C1745" s="1199"/>
      <c r="D1745" s="1199"/>
      <c r="E1745" s="1199"/>
      <c r="F1745" s="1199"/>
      <c r="G1745" s="1199"/>
      <c r="H1745" s="1717" t="s">
        <v>699</v>
      </c>
      <c r="I1745" s="1590">
        <f t="shared" ref="I1745:T1745" si="1135">+I1743-I1744</f>
        <v>0</v>
      </c>
      <c r="J1745" s="1590">
        <f t="shared" si="1135"/>
        <v>0</v>
      </c>
      <c r="K1745" s="1590">
        <f t="shared" si="1135"/>
        <v>0</v>
      </c>
      <c r="L1745" s="1590">
        <f t="shared" si="1135"/>
        <v>0</v>
      </c>
      <c r="M1745" s="1590">
        <f t="shared" si="1135"/>
        <v>0</v>
      </c>
      <c r="N1745" s="1590">
        <f t="shared" si="1135"/>
        <v>0</v>
      </c>
      <c r="O1745" s="1590">
        <f t="shared" si="1135"/>
        <v>0</v>
      </c>
      <c r="P1745" s="1590">
        <f t="shared" si="1135"/>
        <v>0</v>
      </c>
      <c r="Q1745" s="1590">
        <f t="shared" si="1135"/>
        <v>0</v>
      </c>
      <c r="R1745" s="1590">
        <f t="shared" si="1135"/>
        <v>0</v>
      </c>
      <c r="S1745" s="1590">
        <f t="shared" si="1135"/>
        <v>0</v>
      </c>
      <c r="T1745" s="1655">
        <f t="shared" si="1135"/>
        <v>0</v>
      </c>
      <c r="Y1745" s="1596"/>
      <c r="Z1745" s="1199"/>
      <c r="AA1745" s="1199"/>
      <c r="AB1745" s="1199"/>
      <c r="AC1745" s="1199"/>
      <c r="AD1745" s="1199"/>
      <c r="AE1745" s="1721" t="s">
        <v>699</v>
      </c>
      <c r="AF1745" s="1590">
        <f>+AF1743-AF1744</f>
        <v>0</v>
      </c>
      <c r="AG1745" s="1590">
        <f t="shared" ref="AG1745:AQ1745" si="1136">+AG1743-AG1744</f>
        <v>0</v>
      </c>
      <c r="AH1745" s="1590">
        <f t="shared" si="1136"/>
        <v>0</v>
      </c>
      <c r="AI1745" s="1590">
        <f t="shared" si="1136"/>
        <v>0</v>
      </c>
      <c r="AJ1745" s="1590">
        <f t="shared" si="1136"/>
        <v>0</v>
      </c>
      <c r="AK1745" s="1590">
        <f t="shared" si="1136"/>
        <v>0</v>
      </c>
      <c r="AL1745" s="1590">
        <f t="shared" si="1136"/>
        <v>0</v>
      </c>
      <c r="AM1745" s="1590">
        <f t="shared" si="1136"/>
        <v>0</v>
      </c>
      <c r="AN1745" s="1590">
        <f t="shared" si="1136"/>
        <v>0</v>
      </c>
      <c r="AO1745" s="1590">
        <f t="shared" si="1136"/>
        <v>0</v>
      </c>
      <c r="AP1745" s="1590">
        <f t="shared" si="1136"/>
        <v>0</v>
      </c>
      <c r="AQ1745" s="1655">
        <f t="shared" si="1136"/>
        <v>0</v>
      </c>
    </row>
    <row r="1746" spans="2:43" ht="14.4" hidden="1" customHeight="1" thickTop="1" x14ac:dyDescent="0.2">
      <c r="B1746" s="1584" t="s">
        <v>795</v>
      </c>
      <c r="C1746" s="1581">
        <f>+C1496</f>
        <v>0</v>
      </c>
      <c r="D1746" s="1194"/>
      <c r="E1746" s="1194"/>
      <c r="F1746" s="1194"/>
      <c r="G1746" s="1194" t="s">
        <v>247</v>
      </c>
      <c r="H1746" s="1194" t="s">
        <v>691</v>
      </c>
      <c r="I1746" s="1668">
        <f t="shared" ref="I1746:T1746" si="1137">+I1497</f>
        <v>0</v>
      </c>
      <c r="J1746" s="1668">
        <f t="shared" si="1137"/>
        <v>0</v>
      </c>
      <c r="K1746" s="1668">
        <f t="shared" si="1137"/>
        <v>0</v>
      </c>
      <c r="L1746" s="1668">
        <f t="shared" si="1137"/>
        <v>0</v>
      </c>
      <c r="M1746" s="1668">
        <f t="shared" si="1137"/>
        <v>0</v>
      </c>
      <c r="N1746" s="1668">
        <f t="shared" si="1137"/>
        <v>0</v>
      </c>
      <c r="O1746" s="1668">
        <f t="shared" si="1137"/>
        <v>0</v>
      </c>
      <c r="P1746" s="1668">
        <f t="shared" si="1137"/>
        <v>0</v>
      </c>
      <c r="Q1746" s="1668">
        <f t="shared" si="1137"/>
        <v>0</v>
      </c>
      <c r="R1746" s="1668">
        <f t="shared" si="1137"/>
        <v>0</v>
      </c>
      <c r="S1746" s="1668">
        <f t="shared" si="1137"/>
        <v>0</v>
      </c>
      <c r="T1746" s="1704">
        <f t="shared" si="1137"/>
        <v>0</v>
      </c>
      <c r="Y1746" s="1722" t="s">
        <v>795</v>
      </c>
      <c r="Z1746" s="1581">
        <f>+Z1496</f>
        <v>0</v>
      </c>
      <c r="AA1746" s="1194"/>
      <c r="AB1746" s="1194"/>
      <c r="AC1746" s="1194"/>
      <c r="AD1746" s="1194" t="str">
        <f t="shared" ref="AD1746:AE1748" si="1138">+AC1566</f>
        <v>% lechería</v>
      </c>
      <c r="AE1746" s="1194">
        <f t="shared" si="1138"/>
        <v>0</v>
      </c>
      <c r="AF1746" s="1668">
        <f t="shared" ref="AF1746:AQ1746" si="1139">+AF1497</f>
        <v>0</v>
      </c>
      <c r="AG1746" s="1668">
        <f t="shared" si="1139"/>
        <v>0</v>
      </c>
      <c r="AH1746" s="1668">
        <f t="shared" si="1139"/>
        <v>0</v>
      </c>
      <c r="AI1746" s="1668">
        <f t="shared" si="1139"/>
        <v>0</v>
      </c>
      <c r="AJ1746" s="1668">
        <f t="shared" si="1139"/>
        <v>0</v>
      </c>
      <c r="AK1746" s="1668">
        <f t="shared" si="1139"/>
        <v>0</v>
      </c>
      <c r="AL1746" s="1668">
        <f t="shared" si="1139"/>
        <v>0</v>
      </c>
      <c r="AM1746" s="1668">
        <f t="shared" si="1139"/>
        <v>0</v>
      </c>
      <c r="AN1746" s="1668">
        <f t="shared" si="1139"/>
        <v>0</v>
      </c>
      <c r="AO1746" s="1668">
        <f t="shared" si="1139"/>
        <v>0</v>
      </c>
      <c r="AP1746" s="1668">
        <f t="shared" si="1139"/>
        <v>0</v>
      </c>
      <c r="AQ1746" s="1704">
        <f t="shared" si="1139"/>
        <v>0</v>
      </c>
    </row>
    <row r="1747" spans="2:43" ht="13.75" hidden="1" customHeight="1" x14ac:dyDescent="0.2">
      <c r="B1747" s="1594"/>
      <c r="C1747" s="193"/>
      <c r="D1747" s="193"/>
      <c r="E1747" s="193"/>
      <c r="F1747" s="193"/>
      <c r="G1747" s="193" t="s">
        <v>344</v>
      </c>
      <c r="H1747" s="193" t="s">
        <v>693</v>
      </c>
      <c r="I1747" s="1283">
        <f t="shared" ref="I1747:T1747" si="1140">+I1498</f>
        <v>0</v>
      </c>
      <c r="J1747" s="1283">
        <f t="shared" si="1140"/>
        <v>0</v>
      </c>
      <c r="K1747" s="1283">
        <f t="shared" si="1140"/>
        <v>0</v>
      </c>
      <c r="L1747" s="1283">
        <f t="shared" si="1140"/>
        <v>0</v>
      </c>
      <c r="M1747" s="1283">
        <f t="shared" si="1140"/>
        <v>0</v>
      </c>
      <c r="N1747" s="1283">
        <f t="shared" si="1140"/>
        <v>0</v>
      </c>
      <c r="O1747" s="1283">
        <f t="shared" si="1140"/>
        <v>0</v>
      </c>
      <c r="P1747" s="1283">
        <f t="shared" si="1140"/>
        <v>0</v>
      </c>
      <c r="Q1747" s="1283">
        <f t="shared" si="1140"/>
        <v>0</v>
      </c>
      <c r="R1747" s="1283">
        <f t="shared" si="1140"/>
        <v>0</v>
      </c>
      <c r="S1747" s="1283">
        <f t="shared" si="1140"/>
        <v>0</v>
      </c>
      <c r="T1747" s="1601">
        <f t="shared" si="1140"/>
        <v>0</v>
      </c>
      <c r="Y1747" s="1594"/>
      <c r="Z1747" s="193"/>
      <c r="AA1747" s="193"/>
      <c r="AB1747" s="193"/>
      <c r="AC1747" s="193"/>
      <c r="AD1747" s="193" t="str">
        <f t="shared" si="1138"/>
        <v>% ganadería</v>
      </c>
      <c r="AE1747" s="193">
        <f t="shared" si="1138"/>
        <v>0</v>
      </c>
      <c r="AF1747" s="1283">
        <f t="shared" ref="AF1747:AQ1747" si="1141">+AF1498</f>
        <v>0</v>
      </c>
      <c r="AG1747" s="1283">
        <f t="shared" si="1141"/>
        <v>0</v>
      </c>
      <c r="AH1747" s="1283">
        <f t="shared" si="1141"/>
        <v>0</v>
      </c>
      <c r="AI1747" s="1283">
        <f t="shared" si="1141"/>
        <v>0</v>
      </c>
      <c r="AJ1747" s="1283">
        <f t="shared" si="1141"/>
        <v>0</v>
      </c>
      <c r="AK1747" s="1283">
        <f t="shared" si="1141"/>
        <v>0</v>
      </c>
      <c r="AL1747" s="1283">
        <f t="shared" si="1141"/>
        <v>0</v>
      </c>
      <c r="AM1747" s="1283">
        <f t="shared" si="1141"/>
        <v>0</v>
      </c>
      <c r="AN1747" s="1283">
        <f t="shared" si="1141"/>
        <v>0</v>
      </c>
      <c r="AO1747" s="1283">
        <f t="shared" si="1141"/>
        <v>0</v>
      </c>
      <c r="AP1747" s="1283">
        <f t="shared" si="1141"/>
        <v>0</v>
      </c>
      <c r="AQ1747" s="1601">
        <f t="shared" si="1141"/>
        <v>0</v>
      </c>
    </row>
    <row r="1748" spans="2:43" ht="14.4" hidden="1" customHeight="1" thickBot="1" x14ac:dyDescent="0.25">
      <c r="B1748" s="1596"/>
      <c r="C1748" s="1199"/>
      <c r="D1748" s="1199"/>
      <c r="E1748" s="1199"/>
      <c r="F1748" s="1199"/>
      <c r="G1748" s="1199" t="s">
        <v>344</v>
      </c>
      <c r="H1748" s="1199" t="s">
        <v>694</v>
      </c>
      <c r="I1748" s="1590">
        <f t="shared" ref="I1748:T1748" si="1142">+I1499</f>
        <v>0</v>
      </c>
      <c r="J1748" s="1590">
        <f t="shared" si="1142"/>
        <v>0</v>
      </c>
      <c r="K1748" s="1590">
        <f t="shared" si="1142"/>
        <v>0</v>
      </c>
      <c r="L1748" s="1590">
        <f t="shared" si="1142"/>
        <v>0</v>
      </c>
      <c r="M1748" s="1590">
        <f t="shared" si="1142"/>
        <v>0</v>
      </c>
      <c r="N1748" s="1590">
        <f t="shared" si="1142"/>
        <v>0</v>
      </c>
      <c r="O1748" s="1590">
        <f t="shared" si="1142"/>
        <v>0</v>
      </c>
      <c r="P1748" s="1590">
        <f t="shared" si="1142"/>
        <v>0</v>
      </c>
      <c r="Q1748" s="1590">
        <f t="shared" si="1142"/>
        <v>0</v>
      </c>
      <c r="R1748" s="1590">
        <f t="shared" si="1142"/>
        <v>0</v>
      </c>
      <c r="S1748" s="1590">
        <f t="shared" si="1142"/>
        <v>0</v>
      </c>
      <c r="T1748" s="1655">
        <f t="shared" si="1142"/>
        <v>0</v>
      </c>
      <c r="Y1748" s="1596"/>
      <c r="Z1748" s="1199"/>
      <c r="AA1748" s="1199"/>
      <c r="AB1748" s="1199"/>
      <c r="AC1748" s="1199"/>
      <c r="AD1748" s="1199" t="str">
        <f t="shared" si="1138"/>
        <v xml:space="preserve">U$S </v>
      </c>
      <c r="AE1748" s="1199" t="str">
        <f t="shared" si="1138"/>
        <v xml:space="preserve">total </v>
      </c>
      <c r="AF1748" s="1590">
        <f t="shared" ref="AF1748:AQ1748" si="1143">+AF1499</f>
        <v>0</v>
      </c>
      <c r="AG1748" s="1590">
        <f t="shared" si="1143"/>
        <v>0</v>
      </c>
      <c r="AH1748" s="1590">
        <f t="shared" si="1143"/>
        <v>0</v>
      </c>
      <c r="AI1748" s="1590">
        <f t="shared" si="1143"/>
        <v>0</v>
      </c>
      <c r="AJ1748" s="1590">
        <f t="shared" si="1143"/>
        <v>0</v>
      </c>
      <c r="AK1748" s="1590">
        <f t="shared" si="1143"/>
        <v>0</v>
      </c>
      <c r="AL1748" s="1590">
        <f t="shared" si="1143"/>
        <v>0</v>
      </c>
      <c r="AM1748" s="1590">
        <f t="shared" si="1143"/>
        <v>0</v>
      </c>
      <c r="AN1748" s="1590">
        <f t="shared" si="1143"/>
        <v>0</v>
      </c>
      <c r="AO1748" s="1590">
        <f t="shared" si="1143"/>
        <v>0</v>
      </c>
      <c r="AP1748" s="1590">
        <f t="shared" si="1143"/>
        <v>0</v>
      </c>
      <c r="AQ1748" s="1655">
        <f t="shared" si="1143"/>
        <v>0</v>
      </c>
    </row>
    <row r="1749" spans="2:43" ht="14.4" hidden="1" customHeight="1" thickTop="1" x14ac:dyDescent="0.2">
      <c r="B1749" s="1584" t="s">
        <v>2019</v>
      </c>
      <c r="C1749" s="1194" t="s">
        <v>2018</v>
      </c>
      <c r="D1749" s="1194"/>
      <c r="E1749" s="1194"/>
      <c r="F1749" s="1194"/>
      <c r="G1749" s="1194"/>
      <c r="H1749" s="1210"/>
      <c r="I1749" s="1194"/>
      <c r="J1749" s="1194"/>
      <c r="K1749" s="1194"/>
      <c r="L1749" s="1194"/>
      <c r="M1749" s="1194"/>
      <c r="N1749" s="1194"/>
      <c r="O1749" s="1194"/>
      <c r="P1749" s="1194"/>
      <c r="Q1749" s="1194"/>
      <c r="R1749" s="1194"/>
      <c r="S1749" s="1194"/>
      <c r="T1749" s="1599"/>
      <c r="Y1749" s="1584" t="s">
        <v>2019</v>
      </c>
      <c r="Z1749" s="1194" t="s">
        <v>2018</v>
      </c>
      <c r="AA1749" s="1194"/>
      <c r="AB1749" s="1194"/>
      <c r="AC1749" s="1194"/>
      <c r="AD1749" s="1194"/>
      <c r="AE1749" s="1210"/>
      <c r="AF1749" s="1194"/>
      <c r="AG1749" s="1194"/>
      <c r="AH1749" s="1194"/>
      <c r="AI1749" s="1194"/>
      <c r="AJ1749" s="1194"/>
      <c r="AK1749" s="1194"/>
      <c r="AL1749" s="1194"/>
      <c r="AM1749" s="1194"/>
      <c r="AN1749" s="1194"/>
      <c r="AO1749" s="1194"/>
      <c r="AP1749" s="1194"/>
      <c r="AQ1749" s="1599"/>
    </row>
    <row r="1750" spans="2:43" ht="13.75" hidden="1" customHeight="1" x14ac:dyDescent="0.2">
      <c r="B1750" s="1195" t="s">
        <v>2021</v>
      </c>
      <c r="C1750" s="193">
        <f t="shared" ref="C1750:C1763" si="1144">+C1714</f>
        <v>5</v>
      </c>
      <c r="D1750" s="193"/>
      <c r="E1750" s="254"/>
      <c r="F1750" s="193"/>
      <c r="G1750" s="193"/>
      <c r="H1750" s="254"/>
      <c r="I1750" s="1705">
        <f>SUMIF($V$168:$V$201,$B1642&amp;"propia",I$168:I$201)</f>
        <v>0</v>
      </c>
      <c r="J1750" s="1705">
        <f t="shared" ref="J1750:T1750" si="1145">SUMIF($V$168:$V$201,$B1642&amp;"propia",J$168:J$201)</f>
        <v>0</v>
      </c>
      <c r="K1750" s="1705">
        <f t="shared" si="1145"/>
        <v>0</v>
      </c>
      <c r="L1750" s="1705">
        <f t="shared" si="1145"/>
        <v>0</v>
      </c>
      <c r="M1750" s="1705">
        <f t="shared" si="1145"/>
        <v>0</v>
      </c>
      <c r="N1750" s="1705">
        <f t="shared" si="1145"/>
        <v>0</v>
      </c>
      <c r="O1750" s="1705">
        <f t="shared" si="1145"/>
        <v>0</v>
      </c>
      <c r="P1750" s="1705">
        <f t="shared" si="1145"/>
        <v>0</v>
      </c>
      <c r="Q1750" s="1705">
        <f t="shared" si="1145"/>
        <v>0</v>
      </c>
      <c r="R1750" s="1705">
        <f t="shared" si="1145"/>
        <v>0</v>
      </c>
      <c r="S1750" s="1705">
        <f t="shared" si="1145"/>
        <v>0</v>
      </c>
      <c r="T1750" s="1705">
        <f t="shared" si="1145"/>
        <v>0</v>
      </c>
      <c r="Y1750" s="1195" t="s">
        <v>2021</v>
      </c>
      <c r="Z1750" s="193">
        <f t="shared" ref="Z1750:Z1778" si="1146">+Z1714</f>
        <v>5</v>
      </c>
      <c r="AA1750" s="193"/>
      <c r="AB1750" s="254"/>
      <c r="AC1750" s="193"/>
      <c r="AD1750" s="193"/>
      <c r="AE1750" s="254"/>
      <c r="AF1750" s="1705">
        <f t="shared" ref="AF1750:AQ1750" si="1147">SUMIF($AS$168:$AS$201,$B11563&amp;"propia",AF$168:AF$201)</f>
        <v>0</v>
      </c>
      <c r="AG1750" s="1705">
        <f t="shared" si="1147"/>
        <v>0</v>
      </c>
      <c r="AH1750" s="1705">
        <f t="shared" si="1147"/>
        <v>0</v>
      </c>
      <c r="AI1750" s="1705">
        <f t="shared" si="1147"/>
        <v>0</v>
      </c>
      <c r="AJ1750" s="1705">
        <f t="shared" si="1147"/>
        <v>0</v>
      </c>
      <c r="AK1750" s="1705">
        <f t="shared" si="1147"/>
        <v>0</v>
      </c>
      <c r="AL1750" s="1705">
        <f t="shared" si="1147"/>
        <v>0</v>
      </c>
      <c r="AM1750" s="1705">
        <f t="shared" si="1147"/>
        <v>0</v>
      </c>
      <c r="AN1750" s="1705">
        <f t="shared" si="1147"/>
        <v>0</v>
      </c>
      <c r="AO1750" s="1705">
        <f t="shared" si="1147"/>
        <v>0</v>
      </c>
      <c r="AP1750" s="1705">
        <f t="shared" si="1147"/>
        <v>0</v>
      </c>
      <c r="AQ1750" s="1706">
        <f t="shared" si="1147"/>
        <v>0</v>
      </c>
    </row>
    <row r="1751" spans="2:43" ht="13.75" hidden="1" customHeight="1" x14ac:dyDescent="0.2">
      <c r="B1751" s="1195"/>
      <c r="C1751" s="193">
        <f t="shared" si="1144"/>
        <v>5</v>
      </c>
      <c r="D1751" s="193"/>
      <c r="E1751" s="254"/>
      <c r="F1751" s="193"/>
      <c r="G1751" s="193"/>
      <c r="H1751" s="254"/>
      <c r="I1751" s="1707">
        <f t="shared" ref="I1751:T1751" si="1148">SUMIF($V$168:$V$201,$B1643&amp;"propia",I$168:I$201)</f>
        <v>0</v>
      </c>
      <c r="J1751" s="1707">
        <f t="shared" si="1148"/>
        <v>0</v>
      </c>
      <c r="K1751" s="1707">
        <f t="shared" si="1148"/>
        <v>0</v>
      </c>
      <c r="L1751" s="1707">
        <f t="shared" si="1148"/>
        <v>0</v>
      </c>
      <c r="M1751" s="1707">
        <f t="shared" si="1148"/>
        <v>0</v>
      </c>
      <c r="N1751" s="1707">
        <f t="shared" si="1148"/>
        <v>0</v>
      </c>
      <c r="O1751" s="1707">
        <f t="shared" si="1148"/>
        <v>0</v>
      </c>
      <c r="P1751" s="1707">
        <f t="shared" si="1148"/>
        <v>0</v>
      </c>
      <c r="Q1751" s="1707">
        <f t="shared" si="1148"/>
        <v>0</v>
      </c>
      <c r="R1751" s="1707">
        <f t="shared" si="1148"/>
        <v>0</v>
      </c>
      <c r="S1751" s="1707">
        <f t="shared" si="1148"/>
        <v>0</v>
      </c>
      <c r="T1751" s="1708">
        <f t="shared" si="1148"/>
        <v>0</v>
      </c>
      <c r="Y1751" s="1195"/>
      <c r="Z1751" s="193">
        <f t="shared" si="1146"/>
        <v>5</v>
      </c>
      <c r="AA1751" s="193"/>
      <c r="AB1751" s="254"/>
      <c r="AC1751" s="193"/>
      <c r="AD1751" s="193"/>
      <c r="AE1751" s="254"/>
      <c r="AF1751" s="1707">
        <f t="shared" ref="AF1751:AQ1751" si="1149">SUMIF($AS$168:$AS$201,$B11564&amp;"propia",AF$168:AF$201)</f>
        <v>0</v>
      </c>
      <c r="AG1751" s="1707">
        <f t="shared" si="1149"/>
        <v>0</v>
      </c>
      <c r="AH1751" s="1707">
        <f t="shared" si="1149"/>
        <v>0</v>
      </c>
      <c r="AI1751" s="1707">
        <f t="shared" si="1149"/>
        <v>0</v>
      </c>
      <c r="AJ1751" s="1707">
        <f t="shared" si="1149"/>
        <v>0</v>
      </c>
      <c r="AK1751" s="1707">
        <f t="shared" si="1149"/>
        <v>0</v>
      </c>
      <c r="AL1751" s="1707">
        <f t="shared" si="1149"/>
        <v>0</v>
      </c>
      <c r="AM1751" s="1707">
        <f t="shared" si="1149"/>
        <v>0</v>
      </c>
      <c r="AN1751" s="1707">
        <f t="shared" si="1149"/>
        <v>0</v>
      </c>
      <c r="AO1751" s="1707">
        <f t="shared" si="1149"/>
        <v>0</v>
      </c>
      <c r="AP1751" s="1707">
        <f t="shared" si="1149"/>
        <v>0</v>
      </c>
      <c r="AQ1751" s="1708">
        <f t="shared" si="1149"/>
        <v>0</v>
      </c>
    </row>
    <row r="1752" spans="2:43" ht="13.75" hidden="1" customHeight="1" x14ac:dyDescent="0.2">
      <c r="B1752" s="1195"/>
      <c r="C1752" s="193">
        <f t="shared" si="1144"/>
        <v>1.5</v>
      </c>
      <c r="D1752" s="193"/>
      <c r="E1752" s="254"/>
      <c r="F1752" s="193"/>
      <c r="G1752" s="193"/>
      <c r="H1752" s="254"/>
      <c r="I1752" s="1707">
        <f t="shared" ref="I1752:T1752" si="1150">SUMIF($V$168:$V$201,$B1644&amp;"propia",I$168:I$201)</f>
        <v>0</v>
      </c>
      <c r="J1752" s="1707">
        <f t="shared" si="1150"/>
        <v>0</v>
      </c>
      <c r="K1752" s="1707">
        <f t="shared" si="1150"/>
        <v>0</v>
      </c>
      <c r="L1752" s="1707">
        <f t="shared" si="1150"/>
        <v>0</v>
      </c>
      <c r="M1752" s="1707">
        <f t="shared" si="1150"/>
        <v>0</v>
      </c>
      <c r="N1752" s="1707">
        <f t="shared" si="1150"/>
        <v>0</v>
      </c>
      <c r="O1752" s="1707">
        <f t="shared" si="1150"/>
        <v>0</v>
      </c>
      <c r="P1752" s="1707">
        <f t="shared" si="1150"/>
        <v>0</v>
      </c>
      <c r="Q1752" s="1707">
        <f t="shared" si="1150"/>
        <v>0</v>
      </c>
      <c r="R1752" s="1707">
        <f t="shared" si="1150"/>
        <v>0</v>
      </c>
      <c r="S1752" s="1707">
        <f t="shared" si="1150"/>
        <v>0</v>
      </c>
      <c r="T1752" s="1708">
        <f t="shared" si="1150"/>
        <v>0</v>
      </c>
      <c r="Y1752" s="1195"/>
      <c r="Z1752" s="193">
        <f t="shared" si="1146"/>
        <v>1.5</v>
      </c>
      <c r="AA1752" s="193"/>
      <c r="AB1752" s="254"/>
      <c r="AC1752" s="193"/>
      <c r="AD1752" s="193"/>
      <c r="AE1752" s="254"/>
      <c r="AF1752" s="1707">
        <f t="shared" ref="AF1752:AQ1752" si="1151">SUMIF($AS$168:$AS$201,$B11565&amp;"propia",AF$168:AF$201)</f>
        <v>0</v>
      </c>
      <c r="AG1752" s="1707">
        <f t="shared" si="1151"/>
        <v>0</v>
      </c>
      <c r="AH1752" s="1707">
        <f t="shared" si="1151"/>
        <v>0</v>
      </c>
      <c r="AI1752" s="1707">
        <f t="shared" si="1151"/>
        <v>0</v>
      </c>
      <c r="AJ1752" s="1707">
        <f t="shared" si="1151"/>
        <v>0</v>
      </c>
      <c r="AK1752" s="1707">
        <f t="shared" si="1151"/>
        <v>0</v>
      </c>
      <c r="AL1752" s="1707">
        <f t="shared" si="1151"/>
        <v>0</v>
      </c>
      <c r="AM1752" s="1707">
        <f t="shared" si="1151"/>
        <v>0</v>
      </c>
      <c r="AN1752" s="1707">
        <f t="shared" si="1151"/>
        <v>0</v>
      </c>
      <c r="AO1752" s="1707">
        <f t="shared" si="1151"/>
        <v>0</v>
      </c>
      <c r="AP1752" s="1707">
        <f t="shared" si="1151"/>
        <v>0</v>
      </c>
      <c r="AQ1752" s="1708">
        <f t="shared" si="1151"/>
        <v>0</v>
      </c>
    </row>
    <row r="1753" spans="2:43" ht="13.75" hidden="1" customHeight="1" x14ac:dyDescent="0.2">
      <c r="B1753" s="1195"/>
      <c r="C1753" s="193">
        <f t="shared" si="1144"/>
        <v>1.5</v>
      </c>
      <c r="D1753" s="193"/>
      <c r="E1753" s="254"/>
      <c r="F1753" s="193"/>
      <c r="G1753" s="193"/>
      <c r="H1753" s="254"/>
      <c r="I1753" s="1707">
        <f t="shared" ref="I1753:T1753" si="1152">SUMIF($V$168:$V$201,$B1645&amp;"propia",I$168:I$201)</f>
        <v>0</v>
      </c>
      <c r="J1753" s="1707">
        <f t="shared" si="1152"/>
        <v>0</v>
      </c>
      <c r="K1753" s="1707">
        <f t="shared" si="1152"/>
        <v>0</v>
      </c>
      <c r="L1753" s="1707">
        <f t="shared" si="1152"/>
        <v>0</v>
      </c>
      <c r="M1753" s="1707">
        <f t="shared" si="1152"/>
        <v>0</v>
      </c>
      <c r="N1753" s="1707">
        <f t="shared" si="1152"/>
        <v>0</v>
      </c>
      <c r="O1753" s="1707">
        <f t="shared" si="1152"/>
        <v>0</v>
      </c>
      <c r="P1753" s="1707">
        <f t="shared" si="1152"/>
        <v>0</v>
      </c>
      <c r="Q1753" s="1707">
        <f t="shared" si="1152"/>
        <v>0</v>
      </c>
      <c r="R1753" s="1707">
        <f t="shared" si="1152"/>
        <v>0</v>
      </c>
      <c r="S1753" s="1707">
        <f t="shared" si="1152"/>
        <v>0</v>
      </c>
      <c r="T1753" s="1708">
        <f t="shared" si="1152"/>
        <v>0</v>
      </c>
      <c r="Y1753" s="1195"/>
      <c r="Z1753" s="193">
        <f t="shared" si="1146"/>
        <v>1.5</v>
      </c>
      <c r="AA1753" s="193"/>
      <c r="AB1753" s="254"/>
      <c r="AC1753" s="193"/>
      <c r="AD1753" s="193"/>
      <c r="AE1753" s="254"/>
      <c r="AF1753" s="1707">
        <f t="shared" ref="AF1753:AQ1753" si="1153">SUMIF($AS$168:$AS$201,$B11566&amp;"propia",AF$168:AF$201)</f>
        <v>0</v>
      </c>
      <c r="AG1753" s="1707">
        <f t="shared" si="1153"/>
        <v>0</v>
      </c>
      <c r="AH1753" s="1707">
        <f t="shared" si="1153"/>
        <v>0</v>
      </c>
      <c r="AI1753" s="1707">
        <f t="shared" si="1153"/>
        <v>0</v>
      </c>
      <c r="AJ1753" s="1707">
        <f t="shared" si="1153"/>
        <v>0</v>
      </c>
      <c r="AK1753" s="1707">
        <f t="shared" si="1153"/>
        <v>0</v>
      </c>
      <c r="AL1753" s="1707">
        <f t="shared" si="1153"/>
        <v>0</v>
      </c>
      <c r="AM1753" s="1707">
        <f t="shared" si="1153"/>
        <v>0</v>
      </c>
      <c r="AN1753" s="1707">
        <f t="shared" si="1153"/>
        <v>0</v>
      </c>
      <c r="AO1753" s="1707">
        <f t="shared" si="1153"/>
        <v>0</v>
      </c>
      <c r="AP1753" s="1707">
        <f t="shared" si="1153"/>
        <v>0</v>
      </c>
      <c r="AQ1753" s="1708">
        <f t="shared" si="1153"/>
        <v>0</v>
      </c>
    </row>
    <row r="1754" spans="2:43" ht="13.75" hidden="1" customHeight="1" x14ac:dyDescent="0.2">
      <c r="B1754" s="1195"/>
      <c r="C1754" s="193">
        <f t="shared" si="1144"/>
        <v>3</v>
      </c>
      <c r="D1754" s="193"/>
      <c r="E1754" s="254"/>
      <c r="F1754" s="193"/>
      <c r="G1754" s="193"/>
      <c r="H1754" s="254"/>
      <c r="I1754" s="1707">
        <f t="shared" ref="I1754:T1754" si="1154">SUMIF($V$168:$V$201,$B1646&amp;"propia",I$168:I$201)</f>
        <v>0</v>
      </c>
      <c r="J1754" s="1707">
        <f t="shared" si="1154"/>
        <v>0</v>
      </c>
      <c r="K1754" s="1707">
        <f t="shared" si="1154"/>
        <v>0</v>
      </c>
      <c r="L1754" s="1707">
        <f t="shared" si="1154"/>
        <v>0</v>
      </c>
      <c r="M1754" s="1707">
        <f t="shared" si="1154"/>
        <v>0</v>
      </c>
      <c r="N1754" s="1707">
        <f t="shared" si="1154"/>
        <v>0</v>
      </c>
      <c r="O1754" s="1707">
        <f t="shared" si="1154"/>
        <v>0</v>
      </c>
      <c r="P1754" s="1707">
        <f t="shared" si="1154"/>
        <v>0</v>
      </c>
      <c r="Q1754" s="1707">
        <f t="shared" si="1154"/>
        <v>0</v>
      </c>
      <c r="R1754" s="1707">
        <f t="shared" si="1154"/>
        <v>0</v>
      </c>
      <c r="S1754" s="1707">
        <f t="shared" si="1154"/>
        <v>0</v>
      </c>
      <c r="T1754" s="1708">
        <f t="shared" si="1154"/>
        <v>0</v>
      </c>
      <c r="Y1754" s="1195"/>
      <c r="Z1754" s="193">
        <f t="shared" si="1146"/>
        <v>3</v>
      </c>
      <c r="AA1754" s="193"/>
      <c r="AB1754" s="254"/>
      <c r="AC1754" s="193"/>
      <c r="AD1754" s="193"/>
      <c r="AE1754" s="254"/>
      <c r="AF1754" s="1707">
        <f t="shared" ref="AF1754:AQ1754" si="1155">SUMIF($AS$168:$AS$201,$B11567&amp;"propia",AF$168:AF$201)</f>
        <v>0</v>
      </c>
      <c r="AG1754" s="1707">
        <f t="shared" si="1155"/>
        <v>0</v>
      </c>
      <c r="AH1754" s="1707">
        <f t="shared" si="1155"/>
        <v>0</v>
      </c>
      <c r="AI1754" s="1707">
        <f t="shared" si="1155"/>
        <v>0</v>
      </c>
      <c r="AJ1754" s="1707">
        <f t="shared" si="1155"/>
        <v>0</v>
      </c>
      <c r="AK1754" s="1707">
        <f t="shared" si="1155"/>
        <v>0</v>
      </c>
      <c r="AL1754" s="1707">
        <f t="shared" si="1155"/>
        <v>0</v>
      </c>
      <c r="AM1754" s="1707">
        <f t="shared" si="1155"/>
        <v>0</v>
      </c>
      <c r="AN1754" s="1707">
        <f t="shared" si="1155"/>
        <v>0</v>
      </c>
      <c r="AO1754" s="1707">
        <f t="shared" si="1155"/>
        <v>0</v>
      </c>
      <c r="AP1754" s="1707">
        <f t="shared" si="1155"/>
        <v>0</v>
      </c>
      <c r="AQ1754" s="1708">
        <f t="shared" si="1155"/>
        <v>0</v>
      </c>
    </row>
    <row r="1755" spans="2:43" ht="13.75" hidden="1" customHeight="1" x14ac:dyDescent="0.2">
      <c r="B1755" s="1195"/>
      <c r="C1755" s="193">
        <f t="shared" si="1144"/>
        <v>3</v>
      </c>
      <c r="D1755" s="193"/>
      <c r="E1755" s="254"/>
      <c r="F1755" s="193"/>
      <c r="G1755" s="193"/>
      <c r="H1755" s="254"/>
      <c r="I1755" s="1707">
        <f t="shared" ref="I1755:T1755" si="1156">SUMIF($V$168:$V$201,$B1647&amp;"propia",I$168:I$201)</f>
        <v>0</v>
      </c>
      <c r="J1755" s="1707">
        <f t="shared" si="1156"/>
        <v>0</v>
      </c>
      <c r="K1755" s="1707">
        <f t="shared" si="1156"/>
        <v>0</v>
      </c>
      <c r="L1755" s="1707">
        <f t="shared" si="1156"/>
        <v>0</v>
      </c>
      <c r="M1755" s="1707">
        <f t="shared" si="1156"/>
        <v>0</v>
      </c>
      <c r="N1755" s="1707">
        <f t="shared" si="1156"/>
        <v>0</v>
      </c>
      <c r="O1755" s="1707">
        <f t="shared" si="1156"/>
        <v>0</v>
      </c>
      <c r="P1755" s="1707">
        <f t="shared" si="1156"/>
        <v>0</v>
      </c>
      <c r="Q1755" s="1707">
        <f t="shared" si="1156"/>
        <v>0</v>
      </c>
      <c r="R1755" s="1707">
        <f t="shared" si="1156"/>
        <v>0</v>
      </c>
      <c r="S1755" s="1707">
        <f t="shared" si="1156"/>
        <v>0</v>
      </c>
      <c r="T1755" s="1708">
        <f t="shared" si="1156"/>
        <v>0</v>
      </c>
      <c r="Y1755" s="1195"/>
      <c r="Z1755" s="193">
        <f t="shared" si="1146"/>
        <v>3</v>
      </c>
      <c r="AA1755" s="193"/>
      <c r="AB1755" s="254"/>
      <c r="AC1755" s="193"/>
      <c r="AD1755" s="193"/>
      <c r="AE1755" s="254"/>
      <c r="AF1755" s="1707">
        <f t="shared" ref="AF1755:AQ1755" si="1157">SUMIF($AS$168:$AS$201,$B11568&amp;"propia",AF$168:AF$201)</f>
        <v>0</v>
      </c>
      <c r="AG1755" s="1707">
        <f t="shared" si="1157"/>
        <v>0</v>
      </c>
      <c r="AH1755" s="1707">
        <f t="shared" si="1157"/>
        <v>0</v>
      </c>
      <c r="AI1755" s="1707">
        <f t="shared" si="1157"/>
        <v>0</v>
      </c>
      <c r="AJ1755" s="1707">
        <f t="shared" si="1157"/>
        <v>0</v>
      </c>
      <c r="AK1755" s="1707">
        <f t="shared" si="1157"/>
        <v>0</v>
      </c>
      <c r="AL1755" s="1707">
        <f t="shared" si="1157"/>
        <v>0</v>
      </c>
      <c r="AM1755" s="1707">
        <f t="shared" si="1157"/>
        <v>0</v>
      </c>
      <c r="AN1755" s="1707">
        <f t="shared" si="1157"/>
        <v>0</v>
      </c>
      <c r="AO1755" s="1707">
        <f t="shared" si="1157"/>
        <v>0</v>
      </c>
      <c r="AP1755" s="1707">
        <f t="shared" si="1157"/>
        <v>0</v>
      </c>
      <c r="AQ1755" s="1708">
        <f t="shared" si="1157"/>
        <v>0</v>
      </c>
    </row>
    <row r="1756" spans="2:43" ht="13.75" hidden="1" customHeight="1" x14ac:dyDescent="0.2">
      <c r="B1756" s="1195"/>
      <c r="C1756" s="193">
        <f t="shared" si="1144"/>
        <v>9</v>
      </c>
      <c r="D1756" s="193"/>
      <c r="E1756" s="254"/>
      <c r="F1756" s="193"/>
      <c r="G1756" s="193"/>
      <c r="H1756" s="254"/>
      <c r="I1756" s="1707">
        <f t="shared" ref="I1756:T1756" si="1158">SUMIF($V$168:$V$201,$B1648&amp;"propia",I$168:I$201)</f>
        <v>0</v>
      </c>
      <c r="J1756" s="1707">
        <f t="shared" si="1158"/>
        <v>0</v>
      </c>
      <c r="K1756" s="1707">
        <f t="shared" si="1158"/>
        <v>0</v>
      </c>
      <c r="L1756" s="1707">
        <f t="shared" si="1158"/>
        <v>0</v>
      </c>
      <c r="M1756" s="1707">
        <f t="shared" si="1158"/>
        <v>0</v>
      </c>
      <c r="N1756" s="1707">
        <f t="shared" si="1158"/>
        <v>0</v>
      </c>
      <c r="O1756" s="1707">
        <f t="shared" si="1158"/>
        <v>0</v>
      </c>
      <c r="P1756" s="1707">
        <f t="shared" si="1158"/>
        <v>0</v>
      </c>
      <c r="Q1756" s="1707">
        <f t="shared" si="1158"/>
        <v>0</v>
      </c>
      <c r="R1756" s="1707">
        <f t="shared" si="1158"/>
        <v>0</v>
      </c>
      <c r="S1756" s="1707">
        <f t="shared" si="1158"/>
        <v>0</v>
      </c>
      <c r="T1756" s="1708">
        <f t="shared" si="1158"/>
        <v>0</v>
      </c>
      <c r="Y1756" s="1195"/>
      <c r="Z1756" s="193">
        <f t="shared" si="1146"/>
        <v>9</v>
      </c>
      <c r="AA1756" s="193"/>
      <c r="AB1756" s="254"/>
      <c r="AC1756" s="193"/>
      <c r="AD1756" s="193"/>
      <c r="AE1756" s="254"/>
      <c r="AF1756" s="1707">
        <f t="shared" ref="AF1756:AQ1756" si="1159">SUMIF($AS$168:$AS$201,$B11569&amp;"propia",AF$168:AF$201)</f>
        <v>0</v>
      </c>
      <c r="AG1756" s="1707">
        <f t="shared" si="1159"/>
        <v>0</v>
      </c>
      <c r="AH1756" s="1707">
        <f t="shared" si="1159"/>
        <v>0</v>
      </c>
      <c r="AI1756" s="1707">
        <f t="shared" si="1159"/>
        <v>0</v>
      </c>
      <c r="AJ1756" s="1707">
        <f t="shared" si="1159"/>
        <v>0</v>
      </c>
      <c r="AK1756" s="1707">
        <f t="shared" si="1159"/>
        <v>0</v>
      </c>
      <c r="AL1756" s="1707">
        <f t="shared" si="1159"/>
        <v>0</v>
      </c>
      <c r="AM1756" s="1707">
        <f t="shared" si="1159"/>
        <v>0</v>
      </c>
      <c r="AN1756" s="1707">
        <f t="shared" si="1159"/>
        <v>0</v>
      </c>
      <c r="AO1756" s="1707">
        <f t="shared" si="1159"/>
        <v>0</v>
      </c>
      <c r="AP1756" s="1707">
        <f t="shared" si="1159"/>
        <v>0</v>
      </c>
      <c r="AQ1756" s="1708">
        <f t="shared" si="1159"/>
        <v>0</v>
      </c>
    </row>
    <row r="1757" spans="2:43" ht="13.75" hidden="1" customHeight="1" x14ac:dyDescent="0.2">
      <c r="B1757" s="1195"/>
      <c r="C1757" s="193">
        <f t="shared" si="1144"/>
        <v>0</v>
      </c>
      <c r="D1757" s="193"/>
      <c r="E1757" s="254"/>
      <c r="F1757" s="193"/>
      <c r="G1757" s="193"/>
      <c r="H1757" s="254"/>
      <c r="I1757" s="1707">
        <f t="shared" ref="I1757:T1757" si="1160">SUMIF($V$168:$V$201,$B1649&amp;"propia",I$168:I$201)</f>
        <v>0</v>
      </c>
      <c r="J1757" s="1707">
        <f t="shared" si="1160"/>
        <v>0</v>
      </c>
      <c r="K1757" s="1707">
        <f t="shared" si="1160"/>
        <v>0</v>
      </c>
      <c r="L1757" s="1707">
        <f t="shared" si="1160"/>
        <v>0</v>
      </c>
      <c r="M1757" s="1707">
        <f t="shared" si="1160"/>
        <v>0</v>
      </c>
      <c r="N1757" s="1707">
        <f t="shared" si="1160"/>
        <v>0</v>
      </c>
      <c r="O1757" s="1707">
        <f t="shared" si="1160"/>
        <v>0</v>
      </c>
      <c r="P1757" s="1707">
        <f t="shared" si="1160"/>
        <v>0</v>
      </c>
      <c r="Q1757" s="1707">
        <f t="shared" si="1160"/>
        <v>0</v>
      </c>
      <c r="R1757" s="1707">
        <f t="shared" si="1160"/>
        <v>0</v>
      </c>
      <c r="S1757" s="1707">
        <f t="shared" si="1160"/>
        <v>0</v>
      </c>
      <c r="T1757" s="1708">
        <f t="shared" si="1160"/>
        <v>0</v>
      </c>
      <c r="Y1757" s="1195"/>
      <c r="Z1757" s="193">
        <f t="shared" si="1146"/>
        <v>0</v>
      </c>
      <c r="AA1757" s="193"/>
      <c r="AB1757" s="254"/>
      <c r="AC1757" s="193"/>
      <c r="AD1757" s="193"/>
      <c r="AE1757" s="254"/>
      <c r="AF1757" s="1707">
        <f t="shared" ref="AF1757:AQ1757" si="1161">SUMIF($AS$168:$AS$201,$B11570&amp;"propia",AF$168:AF$201)</f>
        <v>0</v>
      </c>
      <c r="AG1757" s="1707">
        <f t="shared" si="1161"/>
        <v>0</v>
      </c>
      <c r="AH1757" s="1707">
        <f t="shared" si="1161"/>
        <v>0</v>
      </c>
      <c r="AI1757" s="1707">
        <f t="shared" si="1161"/>
        <v>0</v>
      </c>
      <c r="AJ1757" s="1707">
        <f t="shared" si="1161"/>
        <v>0</v>
      </c>
      <c r="AK1757" s="1707">
        <f t="shared" si="1161"/>
        <v>0</v>
      </c>
      <c r="AL1757" s="1707">
        <f t="shared" si="1161"/>
        <v>0</v>
      </c>
      <c r="AM1757" s="1707">
        <f t="shared" si="1161"/>
        <v>0</v>
      </c>
      <c r="AN1757" s="1707">
        <f t="shared" si="1161"/>
        <v>0</v>
      </c>
      <c r="AO1757" s="1707">
        <f t="shared" si="1161"/>
        <v>0</v>
      </c>
      <c r="AP1757" s="1707">
        <f t="shared" si="1161"/>
        <v>0</v>
      </c>
      <c r="AQ1757" s="1708">
        <f t="shared" si="1161"/>
        <v>0</v>
      </c>
    </row>
    <row r="1758" spans="2:43" ht="13.75" hidden="1" customHeight="1" x14ac:dyDescent="0.2">
      <c r="B1758" s="1195"/>
      <c r="C1758" s="193">
        <f t="shared" si="1144"/>
        <v>0</v>
      </c>
      <c r="D1758" s="193"/>
      <c r="E1758" s="254"/>
      <c r="F1758" s="193"/>
      <c r="G1758" s="193"/>
      <c r="H1758" s="254"/>
      <c r="I1758" s="1707">
        <f t="shared" ref="I1758:T1758" si="1162">SUMIF($V$168:$V$201,$B1650&amp;"propia",I$168:I$201)</f>
        <v>0</v>
      </c>
      <c r="J1758" s="1707">
        <f t="shared" si="1162"/>
        <v>0</v>
      </c>
      <c r="K1758" s="1707">
        <f t="shared" si="1162"/>
        <v>0</v>
      </c>
      <c r="L1758" s="1707">
        <f t="shared" si="1162"/>
        <v>0</v>
      </c>
      <c r="M1758" s="1707">
        <f t="shared" si="1162"/>
        <v>0</v>
      </c>
      <c r="N1758" s="1707">
        <f t="shared" si="1162"/>
        <v>0</v>
      </c>
      <c r="O1758" s="1707">
        <f t="shared" si="1162"/>
        <v>0</v>
      </c>
      <c r="P1758" s="1707">
        <f t="shared" si="1162"/>
        <v>0</v>
      </c>
      <c r="Q1758" s="1707">
        <f t="shared" si="1162"/>
        <v>0</v>
      </c>
      <c r="R1758" s="1707">
        <f t="shared" si="1162"/>
        <v>0</v>
      </c>
      <c r="S1758" s="1707">
        <f t="shared" si="1162"/>
        <v>0</v>
      </c>
      <c r="T1758" s="1708">
        <f t="shared" si="1162"/>
        <v>0</v>
      </c>
      <c r="Y1758" s="1195"/>
      <c r="Z1758" s="193">
        <f t="shared" si="1146"/>
        <v>0</v>
      </c>
      <c r="AA1758" s="193"/>
      <c r="AB1758" s="254"/>
      <c r="AC1758" s="193"/>
      <c r="AD1758" s="193"/>
      <c r="AE1758" s="254"/>
      <c r="AF1758" s="1707">
        <f t="shared" ref="AF1758:AQ1758" si="1163">SUMIF($AS$168:$AS$201,$B11571&amp;"propia",AF$168:AF$201)</f>
        <v>0</v>
      </c>
      <c r="AG1758" s="1707">
        <f t="shared" si="1163"/>
        <v>0</v>
      </c>
      <c r="AH1758" s="1707">
        <f t="shared" si="1163"/>
        <v>0</v>
      </c>
      <c r="AI1758" s="1707">
        <f t="shared" si="1163"/>
        <v>0</v>
      </c>
      <c r="AJ1758" s="1707">
        <f t="shared" si="1163"/>
        <v>0</v>
      </c>
      <c r="AK1758" s="1707">
        <f t="shared" si="1163"/>
        <v>0</v>
      </c>
      <c r="AL1758" s="1707">
        <f t="shared" si="1163"/>
        <v>0</v>
      </c>
      <c r="AM1758" s="1707">
        <f t="shared" si="1163"/>
        <v>0</v>
      </c>
      <c r="AN1758" s="1707">
        <f t="shared" si="1163"/>
        <v>0</v>
      </c>
      <c r="AO1758" s="1707">
        <f t="shared" si="1163"/>
        <v>0</v>
      </c>
      <c r="AP1758" s="1707">
        <f t="shared" si="1163"/>
        <v>0</v>
      </c>
      <c r="AQ1758" s="1708">
        <f t="shared" si="1163"/>
        <v>0</v>
      </c>
    </row>
    <row r="1759" spans="2:43" ht="13.75" hidden="1" customHeight="1" x14ac:dyDescent="0.2">
      <c r="B1759" s="1195"/>
      <c r="C1759" s="193">
        <f t="shared" si="1144"/>
        <v>0</v>
      </c>
      <c r="D1759" s="193"/>
      <c r="E1759" s="254"/>
      <c r="F1759" s="193"/>
      <c r="G1759" s="193"/>
      <c r="H1759" s="254"/>
      <c r="I1759" s="1707">
        <f t="shared" ref="I1759:T1759" si="1164">SUMIF($V$168:$V$201,$B1651&amp;"propia",I$168:I$201)</f>
        <v>0</v>
      </c>
      <c r="J1759" s="1707">
        <f t="shared" si="1164"/>
        <v>0</v>
      </c>
      <c r="K1759" s="1707">
        <f t="shared" si="1164"/>
        <v>0</v>
      </c>
      <c r="L1759" s="1707">
        <f t="shared" si="1164"/>
        <v>0</v>
      </c>
      <c r="M1759" s="1707">
        <f t="shared" si="1164"/>
        <v>0</v>
      </c>
      <c r="N1759" s="1707">
        <f t="shared" si="1164"/>
        <v>0</v>
      </c>
      <c r="O1759" s="1707">
        <f t="shared" si="1164"/>
        <v>0</v>
      </c>
      <c r="P1759" s="1707">
        <f t="shared" si="1164"/>
        <v>0</v>
      </c>
      <c r="Q1759" s="1707">
        <f t="shared" si="1164"/>
        <v>0</v>
      </c>
      <c r="R1759" s="1707">
        <f t="shared" si="1164"/>
        <v>0</v>
      </c>
      <c r="S1759" s="1707">
        <f t="shared" si="1164"/>
        <v>0</v>
      </c>
      <c r="T1759" s="1708">
        <f t="shared" si="1164"/>
        <v>0</v>
      </c>
      <c r="Y1759" s="1195"/>
      <c r="Z1759" s="193">
        <f t="shared" si="1146"/>
        <v>0</v>
      </c>
      <c r="AA1759" s="193"/>
      <c r="AB1759" s="254"/>
      <c r="AC1759" s="193"/>
      <c r="AD1759" s="193"/>
      <c r="AE1759" s="254"/>
      <c r="AF1759" s="1707">
        <f t="shared" ref="AF1759:AQ1759" si="1165">SUMIF($AS$168:$AS$201,$B11572&amp;"propia",AF$168:AF$201)</f>
        <v>0</v>
      </c>
      <c r="AG1759" s="1707">
        <f t="shared" si="1165"/>
        <v>0</v>
      </c>
      <c r="AH1759" s="1707">
        <f t="shared" si="1165"/>
        <v>0</v>
      </c>
      <c r="AI1759" s="1707">
        <f t="shared" si="1165"/>
        <v>0</v>
      </c>
      <c r="AJ1759" s="1707">
        <f t="shared" si="1165"/>
        <v>0</v>
      </c>
      <c r="AK1759" s="1707">
        <f t="shared" si="1165"/>
        <v>0</v>
      </c>
      <c r="AL1759" s="1707">
        <f t="shared" si="1165"/>
        <v>0</v>
      </c>
      <c r="AM1759" s="1707">
        <f t="shared" si="1165"/>
        <v>0</v>
      </c>
      <c r="AN1759" s="1707">
        <f t="shared" si="1165"/>
        <v>0</v>
      </c>
      <c r="AO1759" s="1707">
        <f t="shared" si="1165"/>
        <v>0</v>
      </c>
      <c r="AP1759" s="1707">
        <f t="shared" si="1165"/>
        <v>0</v>
      </c>
      <c r="AQ1759" s="1708">
        <f t="shared" si="1165"/>
        <v>0</v>
      </c>
    </row>
    <row r="1760" spans="2:43" ht="13.75" hidden="1" customHeight="1" x14ac:dyDescent="0.2">
      <c r="B1760" s="1195"/>
      <c r="C1760" s="193">
        <f t="shared" si="1144"/>
        <v>0</v>
      </c>
      <c r="D1760" s="193"/>
      <c r="E1760" s="254"/>
      <c r="F1760" s="193"/>
      <c r="G1760" s="193"/>
      <c r="H1760" s="254"/>
      <c r="I1760" s="1707">
        <f t="shared" ref="I1760:T1760" si="1166">SUMIF($V$168:$V$201,$B1652&amp;"propia",I$168:I$201)</f>
        <v>0</v>
      </c>
      <c r="J1760" s="1707">
        <f t="shared" si="1166"/>
        <v>0</v>
      </c>
      <c r="K1760" s="1707">
        <f t="shared" si="1166"/>
        <v>0</v>
      </c>
      <c r="L1760" s="1707">
        <f t="shared" si="1166"/>
        <v>0</v>
      </c>
      <c r="M1760" s="1707">
        <f t="shared" si="1166"/>
        <v>0</v>
      </c>
      <c r="N1760" s="1707">
        <f t="shared" si="1166"/>
        <v>0</v>
      </c>
      <c r="O1760" s="1707">
        <f t="shared" si="1166"/>
        <v>0</v>
      </c>
      <c r="P1760" s="1707">
        <f t="shared" si="1166"/>
        <v>0</v>
      </c>
      <c r="Q1760" s="1707">
        <f t="shared" si="1166"/>
        <v>0</v>
      </c>
      <c r="R1760" s="1707">
        <f t="shared" si="1166"/>
        <v>0</v>
      </c>
      <c r="S1760" s="1707">
        <f t="shared" si="1166"/>
        <v>0</v>
      </c>
      <c r="T1760" s="1708">
        <f t="shared" si="1166"/>
        <v>0</v>
      </c>
      <c r="Y1760" s="1195"/>
      <c r="Z1760" s="193">
        <f t="shared" si="1146"/>
        <v>0</v>
      </c>
      <c r="AA1760" s="193"/>
      <c r="AB1760" s="254"/>
      <c r="AC1760" s="193"/>
      <c r="AD1760" s="193"/>
      <c r="AE1760" s="254"/>
      <c r="AF1760" s="1707">
        <f t="shared" ref="AF1760:AQ1760" si="1167">SUMIF($AS$168:$AS$201,$B11573&amp;"propia",AF$168:AF$201)</f>
        <v>0</v>
      </c>
      <c r="AG1760" s="1707">
        <f t="shared" si="1167"/>
        <v>0</v>
      </c>
      <c r="AH1760" s="1707">
        <f t="shared" si="1167"/>
        <v>0</v>
      </c>
      <c r="AI1760" s="1707">
        <f t="shared" si="1167"/>
        <v>0</v>
      </c>
      <c r="AJ1760" s="1707">
        <f t="shared" si="1167"/>
        <v>0</v>
      </c>
      <c r="AK1760" s="1707">
        <f t="shared" si="1167"/>
        <v>0</v>
      </c>
      <c r="AL1760" s="1707">
        <f t="shared" si="1167"/>
        <v>0</v>
      </c>
      <c r="AM1760" s="1707">
        <f t="shared" si="1167"/>
        <v>0</v>
      </c>
      <c r="AN1760" s="1707">
        <f t="shared" si="1167"/>
        <v>0</v>
      </c>
      <c r="AO1760" s="1707">
        <f t="shared" si="1167"/>
        <v>0</v>
      </c>
      <c r="AP1760" s="1707">
        <f t="shared" si="1167"/>
        <v>0</v>
      </c>
      <c r="AQ1760" s="1708">
        <f t="shared" si="1167"/>
        <v>0</v>
      </c>
    </row>
    <row r="1761" spans="2:43" ht="13.75" hidden="1" customHeight="1" x14ac:dyDescent="0.2">
      <c r="B1761" s="1195"/>
      <c r="C1761" s="193">
        <f t="shared" si="1144"/>
        <v>0</v>
      </c>
      <c r="D1761" s="193"/>
      <c r="E1761" s="254"/>
      <c r="F1761" s="193"/>
      <c r="G1761" s="193"/>
      <c r="H1761" s="254"/>
      <c r="I1761" s="1707">
        <f t="shared" ref="I1761:T1761" si="1168">SUMIF($V$168:$V$201,$B1653&amp;"propia",I$168:I$201)</f>
        <v>0</v>
      </c>
      <c r="J1761" s="1707">
        <f t="shared" si="1168"/>
        <v>0</v>
      </c>
      <c r="K1761" s="1707">
        <f t="shared" si="1168"/>
        <v>0</v>
      </c>
      <c r="L1761" s="1707">
        <f t="shared" si="1168"/>
        <v>0</v>
      </c>
      <c r="M1761" s="1707">
        <f t="shared" si="1168"/>
        <v>0</v>
      </c>
      <c r="N1761" s="1707">
        <f t="shared" si="1168"/>
        <v>0</v>
      </c>
      <c r="O1761" s="1707">
        <f t="shared" si="1168"/>
        <v>0</v>
      </c>
      <c r="P1761" s="1707">
        <f t="shared" si="1168"/>
        <v>0</v>
      </c>
      <c r="Q1761" s="1707">
        <f t="shared" si="1168"/>
        <v>0</v>
      </c>
      <c r="R1761" s="1707">
        <f t="shared" si="1168"/>
        <v>0</v>
      </c>
      <c r="S1761" s="1707">
        <f t="shared" si="1168"/>
        <v>0</v>
      </c>
      <c r="T1761" s="1708">
        <f t="shared" si="1168"/>
        <v>0</v>
      </c>
      <c r="Y1761" s="1195"/>
      <c r="Z1761" s="193">
        <f t="shared" si="1146"/>
        <v>0</v>
      </c>
      <c r="AA1761" s="193"/>
      <c r="AB1761" s="254"/>
      <c r="AC1761" s="193"/>
      <c r="AD1761" s="193"/>
      <c r="AE1761" s="254"/>
      <c r="AF1761" s="1707">
        <f t="shared" ref="AF1761:AQ1761" si="1169">SUMIF($AS$168:$AS$201,$B11574&amp;"propia",AF$168:AF$201)</f>
        <v>0</v>
      </c>
      <c r="AG1761" s="1707">
        <f t="shared" si="1169"/>
        <v>0</v>
      </c>
      <c r="AH1761" s="1707">
        <f t="shared" si="1169"/>
        <v>0</v>
      </c>
      <c r="AI1761" s="1707">
        <f t="shared" si="1169"/>
        <v>0</v>
      </c>
      <c r="AJ1761" s="1707">
        <f t="shared" si="1169"/>
        <v>0</v>
      </c>
      <c r="AK1761" s="1707">
        <f t="shared" si="1169"/>
        <v>0</v>
      </c>
      <c r="AL1761" s="1707">
        <f t="shared" si="1169"/>
        <v>0</v>
      </c>
      <c r="AM1761" s="1707">
        <f t="shared" si="1169"/>
        <v>0</v>
      </c>
      <c r="AN1761" s="1707">
        <f t="shared" si="1169"/>
        <v>0</v>
      </c>
      <c r="AO1761" s="1707">
        <f t="shared" si="1169"/>
        <v>0</v>
      </c>
      <c r="AP1761" s="1707">
        <f t="shared" si="1169"/>
        <v>0</v>
      </c>
      <c r="AQ1761" s="1708">
        <f t="shared" si="1169"/>
        <v>0</v>
      </c>
    </row>
    <row r="1762" spans="2:43" ht="13.75" hidden="1" customHeight="1" x14ac:dyDescent="0.2">
      <c r="B1762" s="1195"/>
      <c r="C1762" s="193">
        <f t="shared" si="1144"/>
        <v>0</v>
      </c>
      <c r="D1762" s="193"/>
      <c r="E1762" s="254"/>
      <c r="F1762" s="193"/>
      <c r="G1762" s="193"/>
      <c r="H1762" s="254"/>
      <c r="I1762" s="1707">
        <f t="shared" ref="I1762:T1762" si="1170">SUMIF($V$168:$V$201,$B1654&amp;"propia",I$168:I$201)</f>
        <v>0</v>
      </c>
      <c r="J1762" s="1707">
        <f t="shared" si="1170"/>
        <v>0</v>
      </c>
      <c r="K1762" s="1707">
        <f t="shared" si="1170"/>
        <v>0</v>
      </c>
      <c r="L1762" s="1707">
        <f t="shared" si="1170"/>
        <v>0</v>
      </c>
      <c r="M1762" s="1707">
        <f t="shared" si="1170"/>
        <v>0</v>
      </c>
      <c r="N1762" s="1707">
        <f t="shared" si="1170"/>
        <v>0</v>
      </c>
      <c r="O1762" s="1707">
        <f t="shared" si="1170"/>
        <v>0</v>
      </c>
      <c r="P1762" s="1707">
        <f t="shared" si="1170"/>
        <v>0</v>
      </c>
      <c r="Q1762" s="1707">
        <f t="shared" si="1170"/>
        <v>0</v>
      </c>
      <c r="R1762" s="1707">
        <f t="shared" si="1170"/>
        <v>0</v>
      </c>
      <c r="S1762" s="1707">
        <f t="shared" si="1170"/>
        <v>0</v>
      </c>
      <c r="T1762" s="1708">
        <f t="shared" si="1170"/>
        <v>0</v>
      </c>
      <c r="Y1762" s="1195"/>
      <c r="Z1762" s="193">
        <f t="shared" si="1146"/>
        <v>0</v>
      </c>
      <c r="AA1762" s="193"/>
      <c r="AB1762" s="254"/>
      <c r="AC1762" s="193"/>
      <c r="AD1762" s="193"/>
      <c r="AE1762" s="254"/>
      <c r="AF1762" s="1707">
        <f t="shared" ref="AF1762:AQ1762" si="1171">SUMIF($AS$168:$AS$201,$B11575&amp;"propia",AF$168:AF$201)</f>
        <v>0</v>
      </c>
      <c r="AG1762" s="1707">
        <f t="shared" si="1171"/>
        <v>0</v>
      </c>
      <c r="AH1762" s="1707">
        <f t="shared" si="1171"/>
        <v>0</v>
      </c>
      <c r="AI1762" s="1707">
        <f t="shared" si="1171"/>
        <v>0</v>
      </c>
      <c r="AJ1762" s="1707">
        <f t="shared" si="1171"/>
        <v>0</v>
      </c>
      <c r="AK1762" s="1707">
        <f t="shared" si="1171"/>
        <v>0</v>
      </c>
      <c r="AL1762" s="1707">
        <f t="shared" si="1171"/>
        <v>0</v>
      </c>
      <c r="AM1762" s="1707">
        <f t="shared" si="1171"/>
        <v>0</v>
      </c>
      <c r="AN1762" s="1707">
        <f t="shared" si="1171"/>
        <v>0</v>
      </c>
      <c r="AO1762" s="1707">
        <f t="shared" si="1171"/>
        <v>0</v>
      </c>
      <c r="AP1762" s="1707">
        <f t="shared" si="1171"/>
        <v>0</v>
      </c>
      <c r="AQ1762" s="1708">
        <f t="shared" si="1171"/>
        <v>0</v>
      </c>
    </row>
    <row r="1763" spans="2:43" ht="14.4" hidden="1" customHeight="1" thickBot="1" x14ac:dyDescent="0.25">
      <c r="B1763" s="1198"/>
      <c r="C1763" s="1199">
        <f t="shared" si="1144"/>
        <v>0</v>
      </c>
      <c r="D1763" s="1199"/>
      <c r="E1763" s="1209"/>
      <c r="F1763" s="1199"/>
      <c r="G1763" s="1199"/>
      <c r="H1763" s="1209"/>
      <c r="I1763" s="1709">
        <f t="shared" ref="I1763:T1763" si="1172">SUMIF($V$168:$V$201,$B1655&amp;"propia",I$168:I$201)</f>
        <v>0</v>
      </c>
      <c r="J1763" s="1709">
        <f t="shared" si="1172"/>
        <v>0</v>
      </c>
      <c r="K1763" s="1709">
        <f t="shared" si="1172"/>
        <v>0</v>
      </c>
      <c r="L1763" s="1709">
        <f t="shared" si="1172"/>
        <v>0</v>
      </c>
      <c r="M1763" s="1709">
        <f t="shared" si="1172"/>
        <v>0</v>
      </c>
      <c r="N1763" s="1709">
        <f t="shared" si="1172"/>
        <v>0</v>
      </c>
      <c r="O1763" s="1709">
        <f t="shared" si="1172"/>
        <v>0</v>
      </c>
      <c r="P1763" s="1709">
        <f t="shared" si="1172"/>
        <v>0</v>
      </c>
      <c r="Q1763" s="1709">
        <f t="shared" si="1172"/>
        <v>0</v>
      </c>
      <c r="R1763" s="1709">
        <f t="shared" si="1172"/>
        <v>0</v>
      </c>
      <c r="S1763" s="1709">
        <f t="shared" si="1172"/>
        <v>0</v>
      </c>
      <c r="T1763" s="1710">
        <f t="shared" si="1172"/>
        <v>0</v>
      </c>
      <c r="Y1763" s="1198"/>
      <c r="Z1763" s="1199">
        <f t="shared" si="1146"/>
        <v>0</v>
      </c>
      <c r="AA1763" s="1199"/>
      <c r="AB1763" s="1209"/>
      <c r="AC1763" s="1199"/>
      <c r="AD1763" s="1199"/>
      <c r="AE1763" s="1209"/>
      <c r="AF1763" s="1709">
        <f t="shared" ref="AF1763:AQ1763" si="1173">SUMIF($AS$168:$AS$201,$B11576&amp;"propia",AF$168:AF$201)</f>
        <v>0</v>
      </c>
      <c r="AG1763" s="1709">
        <f t="shared" si="1173"/>
        <v>0</v>
      </c>
      <c r="AH1763" s="1709">
        <f t="shared" si="1173"/>
        <v>0</v>
      </c>
      <c r="AI1763" s="1709">
        <f t="shared" si="1173"/>
        <v>0</v>
      </c>
      <c r="AJ1763" s="1709">
        <f t="shared" si="1173"/>
        <v>0</v>
      </c>
      <c r="AK1763" s="1709">
        <f t="shared" si="1173"/>
        <v>0</v>
      </c>
      <c r="AL1763" s="1709">
        <f t="shared" si="1173"/>
        <v>0</v>
      </c>
      <c r="AM1763" s="1709">
        <f t="shared" si="1173"/>
        <v>0</v>
      </c>
      <c r="AN1763" s="1709">
        <f t="shared" si="1173"/>
        <v>0</v>
      </c>
      <c r="AO1763" s="1709">
        <f t="shared" si="1173"/>
        <v>0</v>
      </c>
      <c r="AP1763" s="1709">
        <f t="shared" si="1173"/>
        <v>0</v>
      </c>
      <c r="AQ1763" s="1710">
        <f t="shared" si="1173"/>
        <v>0</v>
      </c>
    </row>
    <row r="1764" spans="2:43" ht="14.4" hidden="1" customHeight="1" thickTop="1" x14ac:dyDescent="0.2">
      <c r="B1764" s="1584" t="s">
        <v>2020</v>
      </c>
      <c r="C1764" s="1194" t="s">
        <v>2018</v>
      </c>
      <c r="D1764" s="1194"/>
      <c r="E1764" s="1210"/>
      <c r="F1764" s="1194"/>
      <c r="G1764" s="1194"/>
      <c r="H1764" s="1210"/>
      <c r="I1764" s="1210"/>
      <c r="J1764" s="1210"/>
      <c r="K1764" s="1210"/>
      <c r="L1764" s="1210"/>
      <c r="M1764" s="1210"/>
      <c r="N1764" s="1210"/>
      <c r="O1764" s="1210"/>
      <c r="P1764" s="1210"/>
      <c r="Q1764" s="1210"/>
      <c r="R1764" s="1210"/>
      <c r="S1764" s="1210"/>
      <c r="T1764" s="1585"/>
      <c r="Y1764" s="1584" t="s">
        <v>2020</v>
      </c>
      <c r="Z1764" s="1194" t="str">
        <f t="shared" si="1146"/>
        <v>Gasoli (Litros/unidad)</v>
      </c>
      <c r="AA1764" s="1194"/>
      <c r="AB1764" s="1210"/>
      <c r="AC1764" s="1194"/>
      <c r="AD1764" s="1194"/>
      <c r="AE1764" s="1210"/>
      <c r="AF1764" s="1210"/>
      <c r="AG1764" s="1210"/>
      <c r="AH1764" s="1210"/>
      <c r="AI1764" s="1210"/>
      <c r="AJ1764" s="1210"/>
      <c r="AK1764" s="1210"/>
      <c r="AL1764" s="1210"/>
      <c r="AM1764" s="1210"/>
      <c r="AN1764" s="1210"/>
      <c r="AO1764" s="1210"/>
      <c r="AP1764" s="1210"/>
      <c r="AQ1764" s="1585"/>
    </row>
    <row r="1765" spans="2:43" ht="13.75" hidden="1" customHeight="1" x14ac:dyDescent="0.2">
      <c r="B1765" s="1195" t="s">
        <v>2022</v>
      </c>
      <c r="C1765" s="193">
        <f t="shared" ref="C1765:C1778" si="1174">+C1729</f>
        <v>5</v>
      </c>
      <c r="D1765" s="193"/>
      <c r="E1765" s="254"/>
      <c r="F1765" s="193"/>
      <c r="G1765" s="193"/>
      <c r="H1765" s="254"/>
      <c r="I1765" s="1705">
        <f>SUMIF($V$168:$V$201,$B1657&amp;"contratada",I$168:I$201)</f>
        <v>0</v>
      </c>
      <c r="J1765" s="1705">
        <f t="shared" ref="J1765:T1765" si="1175">SUMIF($V$168:$V$201,$B1657&amp;"contratada",J$168:J$201)</f>
        <v>0</v>
      </c>
      <c r="K1765" s="1705">
        <f t="shared" si="1175"/>
        <v>0</v>
      </c>
      <c r="L1765" s="1705">
        <f t="shared" si="1175"/>
        <v>0</v>
      </c>
      <c r="M1765" s="1705">
        <f t="shared" si="1175"/>
        <v>0</v>
      </c>
      <c r="N1765" s="1705">
        <f t="shared" si="1175"/>
        <v>0</v>
      </c>
      <c r="O1765" s="1705">
        <f t="shared" si="1175"/>
        <v>0</v>
      </c>
      <c r="P1765" s="1705">
        <f t="shared" si="1175"/>
        <v>0</v>
      </c>
      <c r="Q1765" s="1705">
        <f t="shared" si="1175"/>
        <v>0</v>
      </c>
      <c r="R1765" s="1705">
        <f t="shared" si="1175"/>
        <v>0</v>
      </c>
      <c r="S1765" s="1705">
        <f t="shared" si="1175"/>
        <v>0</v>
      </c>
      <c r="T1765" s="1706">
        <f t="shared" si="1175"/>
        <v>0</v>
      </c>
      <c r="Y1765" s="1195" t="s">
        <v>2022</v>
      </c>
      <c r="Z1765" s="193">
        <f t="shared" si="1146"/>
        <v>5</v>
      </c>
      <c r="AA1765" s="193"/>
      <c r="AB1765" s="254"/>
      <c r="AC1765" s="193"/>
      <c r="AD1765" s="193"/>
      <c r="AE1765" s="254"/>
      <c r="AF1765" s="1705">
        <f>SUMIF($AS$168:$AS$201,$B1657&amp;"contratada",AF$168:AF$201)</f>
        <v>0</v>
      </c>
      <c r="AG1765" s="1705">
        <f t="shared" ref="AG1765:AQ1765" si="1176">SUMIF($AS$168:$AS$201,$B1657&amp;"contratada",AG$168:AG$201)</f>
        <v>0</v>
      </c>
      <c r="AH1765" s="1705">
        <f t="shared" si="1176"/>
        <v>0</v>
      </c>
      <c r="AI1765" s="1705">
        <f t="shared" si="1176"/>
        <v>0</v>
      </c>
      <c r="AJ1765" s="1705">
        <f t="shared" si="1176"/>
        <v>0</v>
      </c>
      <c r="AK1765" s="1705">
        <f t="shared" si="1176"/>
        <v>0</v>
      </c>
      <c r="AL1765" s="1705">
        <f t="shared" si="1176"/>
        <v>0</v>
      </c>
      <c r="AM1765" s="1705">
        <f t="shared" si="1176"/>
        <v>0</v>
      </c>
      <c r="AN1765" s="1705">
        <f t="shared" si="1176"/>
        <v>0</v>
      </c>
      <c r="AO1765" s="1705">
        <f t="shared" si="1176"/>
        <v>0</v>
      </c>
      <c r="AP1765" s="1705">
        <f t="shared" si="1176"/>
        <v>0</v>
      </c>
      <c r="AQ1765" s="1706">
        <f t="shared" si="1176"/>
        <v>0</v>
      </c>
    </row>
    <row r="1766" spans="2:43" ht="13.75" hidden="1" customHeight="1" x14ac:dyDescent="0.2">
      <c r="B1766" s="1195"/>
      <c r="C1766" s="193">
        <f t="shared" si="1174"/>
        <v>5</v>
      </c>
      <c r="D1766" s="193"/>
      <c r="E1766" s="254"/>
      <c r="F1766" s="193"/>
      <c r="G1766" s="193"/>
      <c r="H1766" s="254"/>
      <c r="I1766" s="1707">
        <f t="shared" ref="I1766:T1766" si="1177">SUMIF($V$168:$V$201,$B1658&amp;"contratada",I$168:I$201)</f>
        <v>0</v>
      </c>
      <c r="J1766" s="1707">
        <f t="shared" si="1177"/>
        <v>0</v>
      </c>
      <c r="K1766" s="1707">
        <f t="shared" si="1177"/>
        <v>0</v>
      </c>
      <c r="L1766" s="1707">
        <f t="shared" si="1177"/>
        <v>0</v>
      </c>
      <c r="M1766" s="1707">
        <f t="shared" si="1177"/>
        <v>0</v>
      </c>
      <c r="N1766" s="1707">
        <f t="shared" si="1177"/>
        <v>0</v>
      </c>
      <c r="O1766" s="1707">
        <f t="shared" si="1177"/>
        <v>0</v>
      </c>
      <c r="P1766" s="1707">
        <f t="shared" si="1177"/>
        <v>0</v>
      </c>
      <c r="Q1766" s="1707">
        <f t="shared" si="1177"/>
        <v>0</v>
      </c>
      <c r="R1766" s="1707">
        <f t="shared" si="1177"/>
        <v>0</v>
      </c>
      <c r="S1766" s="1707">
        <f t="shared" si="1177"/>
        <v>0</v>
      </c>
      <c r="T1766" s="1708">
        <f t="shared" si="1177"/>
        <v>0</v>
      </c>
      <c r="Y1766" s="1195"/>
      <c r="Z1766" s="193">
        <f t="shared" si="1146"/>
        <v>5</v>
      </c>
      <c r="AA1766" s="193"/>
      <c r="AB1766" s="254"/>
      <c r="AC1766" s="193"/>
      <c r="AD1766" s="193"/>
      <c r="AE1766" s="254"/>
      <c r="AF1766" s="1707">
        <f t="shared" ref="AF1766:AQ1766" si="1178">SUMIF($AS$168:$AS$201,$B1658&amp;"contratada",AF$168:AF$201)</f>
        <v>0</v>
      </c>
      <c r="AG1766" s="1707">
        <f t="shared" si="1178"/>
        <v>0</v>
      </c>
      <c r="AH1766" s="1707">
        <f t="shared" si="1178"/>
        <v>0</v>
      </c>
      <c r="AI1766" s="1707">
        <f t="shared" si="1178"/>
        <v>0</v>
      </c>
      <c r="AJ1766" s="1707">
        <f t="shared" si="1178"/>
        <v>0</v>
      </c>
      <c r="AK1766" s="1707">
        <f t="shared" si="1178"/>
        <v>0</v>
      </c>
      <c r="AL1766" s="1707">
        <f t="shared" si="1178"/>
        <v>0</v>
      </c>
      <c r="AM1766" s="1707">
        <f t="shared" si="1178"/>
        <v>0</v>
      </c>
      <c r="AN1766" s="1707">
        <f t="shared" si="1178"/>
        <v>0</v>
      </c>
      <c r="AO1766" s="1707">
        <f t="shared" si="1178"/>
        <v>0</v>
      </c>
      <c r="AP1766" s="1707">
        <f t="shared" si="1178"/>
        <v>0</v>
      </c>
      <c r="AQ1766" s="1708">
        <f t="shared" si="1178"/>
        <v>0</v>
      </c>
    </row>
    <row r="1767" spans="2:43" ht="13.75" hidden="1" customHeight="1" x14ac:dyDescent="0.2">
      <c r="B1767" s="1195"/>
      <c r="C1767" s="193">
        <f t="shared" si="1174"/>
        <v>1.5</v>
      </c>
      <c r="D1767" s="193"/>
      <c r="E1767" s="254"/>
      <c r="F1767" s="193"/>
      <c r="G1767" s="193"/>
      <c r="H1767" s="254"/>
      <c r="I1767" s="1707">
        <f t="shared" ref="I1767:T1767" si="1179">SUMIF($V$168:$V$201,$B1659&amp;"contratada",I$168:I$201)</f>
        <v>0</v>
      </c>
      <c r="J1767" s="1707">
        <f t="shared" si="1179"/>
        <v>0</v>
      </c>
      <c r="K1767" s="1707">
        <f t="shared" si="1179"/>
        <v>0</v>
      </c>
      <c r="L1767" s="1707">
        <f t="shared" si="1179"/>
        <v>0</v>
      </c>
      <c r="M1767" s="1707">
        <f t="shared" si="1179"/>
        <v>0</v>
      </c>
      <c r="N1767" s="1707">
        <f t="shared" si="1179"/>
        <v>0</v>
      </c>
      <c r="O1767" s="1707">
        <f t="shared" si="1179"/>
        <v>0</v>
      </c>
      <c r="P1767" s="1707">
        <f t="shared" si="1179"/>
        <v>0</v>
      </c>
      <c r="Q1767" s="1707">
        <f t="shared" si="1179"/>
        <v>0</v>
      </c>
      <c r="R1767" s="1707">
        <f t="shared" si="1179"/>
        <v>0</v>
      </c>
      <c r="S1767" s="1707">
        <f t="shared" si="1179"/>
        <v>0</v>
      </c>
      <c r="T1767" s="1708">
        <f t="shared" si="1179"/>
        <v>0</v>
      </c>
      <c r="Y1767" s="1195"/>
      <c r="Z1767" s="193">
        <f t="shared" si="1146"/>
        <v>1.5</v>
      </c>
      <c r="AA1767" s="193"/>
      <c r="AB1767" s="254"/>
      <c r="AC1767" s="193"/>
      <c r="AD1767" s="193"/>
      <c r="AE1767" s="254"/>
      <c r="AF1767" s="1707">
        <f t="shared" ref="AF1767:AQ1767" si="1180">SUMIF($AS$168:$AS$201,$B1659&amp;"contratada",AF$168:AF$201)</f>
        <v>0</v>
      </c>
      <c r="AG1767" s="1707">
        <f t="shared" si="1180"/>
        <v>0</v>
      </c>
      <c r="AH1767" s="1707">
        <f t="shared" si="1180"/>
        <v>0</v>
      </c>
      <c r="AI1767" s="1707">
        <f t="shared" si="1180"/>
        <v>0</v>
      </c>
      <c r="AJ1767" s="1707">
        <f t="shared" si="1180"/>
        <v>0</v>
      </c>
      <c r="AK1767" s="1707">
        <f t="shared" si="1180"/>
        <v>0</v>
      </c>
      <c r="AL1767" s="1707">
        <f t="shared" si="1180"/>
        <v>0</v>
      </c>
      <c r="AM1767" s="1707">
        <f t="shared" si="1180"/>
        <v>0</v>
      </c>
      <c r="AN1767" s="1707">
        <f t="shared" si="1180"/>
        <v>0</v>
      </c>
      <c r="AO1767" s="1707">
        <f t="shared" si="1180"/>
        <v>0</v>
      </c>
      <c r="AP1767" s="1707">
        <f t="shared" si="1180"/>
        <v>0</v>
      </c>
      <c r="AQ1767" s="1708">
        <f t="shared" si="1180"/>
        <v>0</v>
      </c>
    </row>
    <row r="1768" spans="2:43" ht="13.75" hidden="1" customHeight="1" x14ac:dyDescent="0.2">
      <c r="B1768" s="1195"/>
      <c r="C1768" s="193">
        <f t="shared" si="1174"/>
        <v>1.5</v>
      </c>
      <c r="D1768" s="193"/>
      <c r="E1768" s="254"/>
      <c r="F1768" s="193"/>
      <c r="G1768" s="193"/>
      <c r="H1768" s="254"/>
      <c r="I1768" s="1707">
        <f t="shared" ref="I1768:T1768" si="1181">SUMIF($V$168:$V$201,$B1660&amp;"contratada",I$168:I$201)</f>
        <v>0</v>
      </c>
      <c r="J1768" s="1707">
        <f t="shared" si="1181"/>
        <v>0</v>
      </c>
      <c r="K1768" s="1707">
        <f t="shared" si="1181"/>
        <v>0</v>
      </c>
      <c r="L1768" s="1707">
        <f t="shared" si="1181"/>
        <v>0</v>
      </c>
      <c r="M1768" s="1707">
        <f t="shared" si="1181"/>
        <v>0</v>
      </c>
      <c r="N1768" s="1707">
        <f t="shared" si="1181"/>
        <v>0</v>
      </c>
      <c r="O1768" s="1707">
        <f t="shared" si="1181"/>
        <v>0</v>
      </c>
      <c r="P1768" s="1707">
        <f t="shared" si="1181"/>
        <v>0</v>
      </c>
      <c r="Q1768" s="1707">
        <f t="shared" si="1181"/>
        <v>0</v>
      </c>
      <c r="R1768" s="1707">
        <f t="shared" si="1181"/>
        <v>0</v>
      </c>
      <c r="S1768" s="1707">
        <f t="shared" si="1181"/>
        <v>0</v>
      </c>
      <c r="T1768" s="1708">
        <f t="shared" si="1181"/>
        <v>0</v>
      </c>
      <c r="Y1768" s="1195"/>
      <c r="Z1768" s="193">
        <f t="shared" si="1146"/>
        <v>1.5</v>
      </c>
      <c r="AA1768" s="193"/>
      <c r="AB1768" s="254"/>
      <c r="AC1768" s="193"/>
      <c r="AD1768" s="193"/>
      <c r="AE1768" s="254"/>
      <c r="AF1768" s="1707">
        <f t="shared" ref="AF1768:AQ1768" si="1182">SUMIF($AS$168:$AS$201,$B1660&amp;"contratada",AF$168:AF$201)</f>
        <v>0</v>
      </c>
      <c r="AG1768" s="1707">
        <f t="shared" si="1182"/>
        <v>0</v>
      </c>
      <c r="AH1768" s="1707">
        <f t="shared" si="1182"/>
        <v>0</v>
      </c>
      <c r="AI1768" s="1707">
        <f t="shared" si="1182"/>
        <v>0</v>
      </c>
      <c r="AJ1768" s="1707">
        <f t="shared" si="1182"/>
        <v>0</v>
      </c>
      <c r="AK1768" s="1707">
        <f t="shared" si="1182"/>
        <v>0</v>
      </c>
      <c r="AL1768" s="1707">
        <f t="shared" si="1182"/>
        <v>0</v>
      </c>
      <c r="AM1768" s="1707">
        <f t="shared" si="1182"/>
        <v>0</v>
      </c>
      <c r="AN1768" s="1707">
        <f t="shared" si="1182"/>
        <v>0</v>
      </c>
      <c r="AO1768" s="1707">
        <f t="shared" si="1182"/>
        <v>0</v>
      </c>
      <c r="AP1768" s="1707">
        <f t="shared" si="1182"/>
        <v>0</v>
      </c>
      <c r="AQ1768" s="1708">
        <f t="shared" si="1182"/>
        <v>0</v>
      </c>
    </row>
    <row r="1769" spans="2:43" ht="13.75" hidden="1" customHeight="1" x14ac:dyDescent="0.2">
      <c r="B1769" s="1195"/>
      <c r="C1769" s="193">
        <f t="shared" si="1174"/>
        <v>3</v>
      </c>
      <c r="D1769" s="193"/>
      <c r="E1769" s="254"/>
      <c r="F1769" s="193"/>
      <c r="G1769" s="193"/>
      <c r="H1769" s="254"/>
      <c r="I1769" s="1707">
        <f t="shared" ref="I1769:T1769" si="1183">SUMIF($V$168:$V$201,$B1661&amp;"contratada",I$168:I$201)</f>
        <v>0</v>
      </c>
      <c r="J1769" s="1707">
        <f t="shared" si="1183"/>
        <v>0</v>
      </c>
      <c r="K1769" s="1707">
        <f t="shared" si="1183"/>
        <v>0</v>
      </c>
      <c r="L1769" s="1707">
        <f t="shared" si="1183"/>
        <v>0</v>
      </c>
      <c r="M1769" s="1707">
        <f t="shared" si="1183"/>
        <v>0</v>
      </c>
      <c r="N1769" s="1707">
        <f t="shared" si="1183"/>
        <v>0</v>
      </c>
      <c r="O1769" s="1707">
        <f t="shared" si="1183"/>
        <v>0</v>
      </c>
      <c r="P1769" s="1707">
        <f t="shared" si="1183"/>
        <v>0</v>
      </c>
      <c r="Q1769" s="1707">
        <f t="shared" si="1183"/>
        <v>0</v>
      </c>
      <c r="R1769" s="1707">
        <f t="shared" si="1183"/>
        <v>0</v>
      </c>
      <c r="S1769" s="1707">
        <f t="shared" si="1183"/>
        <v>0</v>
      </c>
      <c r="T1769" s="1708">
        <f t="shared" si="1183"/>
        <v>0</v>
      </c>
      <c r="Y1769" s="1195"/>
      <c r="Z1769" s="193">
        <f t="shared" si="1146"/>
        <v>3</v>
      </c>
      <c r="AA1769" s="193"/>
      <c r="AB1769" s="254"/>
      <c r="AC1769" s="193"/>
      <c r="AD1769" s="193"/>
      <c r="AE1769" s="254"/>
      <c r="AF1769" s="1707">
        <f t="shared" ref="AF1769:AQ1769" si="1184">SUMIF($AS$168:$AS$201,$B1661&amp;"contratada",AF$168:AF$201)</f>
        <v>0</v>
      </c>
      <c r="AG1769" s="1707">
        <f t="shared" si="1184"/>
        <v>0</v>
      </c>
      <c r="AH1769" s="1707">
        <f t="shared" si="1184"/>
        <v>0</v>
      </c>
      <c r="AI1769" s="1707">
        <f t="shared" si="1184"/>
        <v>0</v>
      </c>
      <c r="AJ1769" s="1707">
        <f t="shared" si="1184"/>
        <v>0</v>
      </c>
      <c r="AK1769" s="1707">
        <f t="shared" si="1184"/>
        <v>0</v>
      </c>
      <c r="AL1769" s="1707">
        <f t="shared" si="1184"/>
        <v>0</v>
      </c>
      <c r="AM1769" s="1707">
        <f t="shared" si="1184"/>
        <v>0</v>
      </c>
      <c r="AN1769" s="1707">
        <f t="shared" si="1184"/>
        <v>0</v>
      </c>
      <c r="AO1769" s="1707">
        <f t="shared" si="1184"/>
        <v>0</v>
      </c>
      <c r="AP1769" s="1707">
        <f t="shared" si="1184"/>
        <v>0</v>
      </c>
      <c r="AQ1769" s="1708">
        <f t="shared" si="1184"/>
        <v>0</v>
      </c>
    </row>
    <row r="1770" spans="2:43" ht="13.75" hidden="1" customHeight="1" x14ac:dyDescent="0.2">
      <c r="B1770" s="1195"/>
      <c r="C1770" s="193">
        <f t="shared" si="1174"/>
        <v>3</v>
      </c>
      <c r="D1770" s="193"/>
      <c r="E1770" s="254"/>
      <c r="F1770" s="193"/>
      <c r="G1770" s="193"/>
      <c r="H1770" s="254"/>
      <c r="I1770" s="1707">
        <f t="shared" ref="I1770:T1770" si="1185">SUMIF($V$168:$V$201,$B1662&amp;"contratada",I$168:I$201)</f>
        <v>0</v>
      </c>
      <c r="J1770" s="1707">
        <f t="shared" si="1185"/>
        <v>0</v>
      </c>
      <c r="K1770" s="1707">
        <f t="shared" si="1185"/>
        <v>0</v>
      </c>
      <c r="L1770" s="1707">
        <f t="shared" si="1185"/>
        <v>0</v>
      </c>
      <c r="M1770" s="1707">
        <f t="shared" si="1185"/>
        <v>0</v>
      </c>
      <c r="N1770" s="1707">
        <f t="shared" si="1185"/>
        <v>0</v>
      </c>
      <c r="O1770" s="1707">
        <f t="shared" si="1185"/>
        <v>0</v>
      </c>
      <c r="P1770" s="1707">
        <f t="shared" si="1185"/>
        <v>0</v>
      </c>
      <c r="Q1770" s="1707">
        <f t="shared" si="1185"/>
        <v>0</v>
      </c>
      <c r="R1770" s="1707">
        <f t="shared" si="1185"/>
        <v>0</v>
      </c>
      <c r="S1770" s="1707">
        <f t="shared" si="1185"/>
        <v>0</v>
      </c>
      <c r="T1770" s="1708">
        <f t="shared" si="1185"/>
        <v>0</v>
      </c>
      <c r="Y1770" s="1195"/>
      <c r="Z1770" s="193">
        <f t="shared" si="1146"/>
        <v>3</v>
      </c>
      <c r="AA1770" s="193"/>
      <c r="AB1770" s="254"/>
      <c r="AC1770" s="193"/>
      <c r="AD1770" s="193"/>
      <c r="AE1770" s="254"/>
      <c r="AF1770" s="1707">
        <f t="shared" ref="AF1770:AQ1770" si="1186">SUMIF($AS$168:$AS$201,$B1662&amp;"contratada",AF$168:AF$201)</f>
        <v>0</v>
      </c>
      <c r="AG1770" s="1707">
        <f t="shared" si="1186"/>
        <v>0</v>
      </c>
      <c r="AH1770" s="1707">
        <f t="shared" si="1186"/>
        <v>0</v>
      </c>
      <c r="AI1770" s="1707">
        <f t="shared" si="1186"/>
        <v>0</v>
      </c>
      <c r="AJ1770" s="1707">
        <f t="shared" si="1186"/>
        <v>0</v>
      </c>
      <c r="AK1770" s="1707">
        <f t="shared" si="1186"/>
        <v>0</v>
      </c>
      <c r="AL1770" s="1707">
        <f t="shared" si="1186"/>
        <v>0</v>
      </c>
      <c r="AM1770" s="1707">
        <f t="shared" si="1186"/>
        <v>0</v>
      </c>
      <c r="AN1770" s="1707">
        <f t="shared" si="1186"/>
        <v>0</v>
      </c>
      <c r="AO1770" s="1707">
        <f t="shared" si="1186"/>
        <v>0</v>
      </c>
      <c r="AP1770" s="1707">
        <f t="shared" si="1186"/>
        <v>0</v>
      </c>
      <c r="AQ1770" s="1708">
        <f t="shared" si="1186"/>
        <v>0</v>
      </c>
    </row>
    <row r="1771" spans="2:43" ht="13.75" hidden="1" customHeight="1" x14ac:dyDescent="0.2">
      <c r="B1771" s="1195"/>
      <c r="C1771" s="193">
        <f t="shared" si="1174"/>
        <v>9</v>
      </c>
      <c r="D1771" s="193"/>
      <c r="E1771" s="254"/>
      <c r="F1771" s="193"/>
      <c r="G1771" s="193"/>
      <c r="H1771" s="254"/>
      <c r="I1771" s="1707">
        <f t="shared" ref="I1771:T1771" si="1187">SUMIF($V$168:$V$201,$B1663&amp;"contratada",I$168:I$201)</f>
        <v>0</v>
      </c>
      <c r="J1771" s="1707">
        <f t="shared" si="1187"/>
        <v>0</v>
      </c>
      <c r="K1771" s="1707">
        <f t="shared" si="1187"/>
        <v>0</v>
      </c>
      <c r="L1771" s="1707">
        <f t="shared" si="1187"/>
        <v>0</v>
      </c>
      <c r="M1771" s="1707">
        <f t="shared" si="1187"/>
        <v>0</v>
      </c>
      <c r="N1771" s="1707">
        <f t="shared" si="1187"/>
        <v>0</v>
      </c>
      <c r="O1771" s="1707">
        <f t="shared" si="1187"/>
        <v>0</v>
      </c>
      <c r="P1771" s="1707">
        <f t="shared" si="1187"/>
        <v>0</v>
      </c>
      <c r="Q1771" s="1707">
        <f t="shared" si="1187"/>
        <v>0</v>
      </c>
      <c r="R1771" s="1707">
        <f t="shared" si="1187"/>
        <v>0</v>
      </c>
      <c r="S1771" s="1707">
        <f t="shared" si="1187"/>
        <v>0</v>
      </c>
      <c r="T1771" s="1708">
        <f t="shared" si="1187"/>
        <v>0</v>
      </c>
      <c r="Y1771" s="1195"/>
      <c r="Z1771" s="193">
        <f t="shared" si="1146"/>
        <v>9</v>
      </c>
      <c r="AA1771" s="193"/>
      <c r="AB1771" s="254"/>
      <c r="AC1771" s="193"/>
      <c r="AD1771" s="193"/>
      <c r="AE1771" s="254"/>
      <c r="AF1771" s="1707">
        <f t="shared" ref="AF1771:AQ1771" si="1188">SUMIF($AS$168:$AS$201,$B1663&amp;"contratada",AF$168:AF$201)</f>
        <v>0</v>
      </c>
      <c r="AG1771" s="1707">
        <f t="shared" si="1188"/>
        <v>0</v>
      </c>
      <c r="AH1771" s="1707">
        <f t="shared" si="1188"/>
        <v>0</v>
      </c>
      <c r="AI1771" s="1707">
        <f t="shared" si="1188"/>
        <v>0</v>
      </c>
      <c r="AJ1771" s="1707">
        <f t="shared" si="1188"/>
        <v>0</v>
      </c>
      <c r="AK1771" s="1707">
        <f t="shared" si="1188"/>
        <v>0</v>
      </c>
      <c r="AL1771" s="1707">
        <f t="shared" si="1188"/>
        <v>0</v>
      </c>
      <c r="AM1771" s="1707">
        <f t="shared" si="1188"/>
        <v>0</v>
      </c>
      <c r="AN1771" s="1707">
        <f t="shared" si="1188"/>
        <v>0</v>
      </c>
      <c r="AO1771" s="1707">
        <f t="shared" si="1188"/>
        <v>0</v>
      </c>
      <c r="AP1771" s="1707">
        <f t="shared" si="1188"/>
        <v>0</v>
      </c>
      <c r="AQ1771" s="1708">
        <f t="shared" si="1188"/>
        <v>0</v>
      </c>
    </row>
    <row r="1772" spans="2:43" ht="13.75" hidden="1" customHeight="1" x14ac:dyDescent="0.2">
      <c r="B1772" s="1195"/>
      <c r="C1772" s="193">
        <f t="shared" si="1174"/>
        <v>0</v>
      </c>
      <c r="D1772" s="193"/>
      <c r="E1772" s="254"/>
      <c r="F1772" s="193"/>
      <c r="G1772" s="193"/>
      <c r="H1772" s="254"/>
      <c r="I1772" s="1707">
        <f t="shared" ref="I1772:T1772" si="1189">SUMIF($V$168:$V$201,$B1664&amp;"contratada",I$168:I$201)</f>
        <v>0</v>
      </c>
      <c r="J1772" s="1707">
        <f t="shared" si="1189"/>
        <v>0</v>
      </c>
      <c r="K1772" s="1707">
        <f t="shared" si="1189"/>
        <v>0</v>
      </c>
      <c r="L1772" s="1707">
        <f t="shared" si="1189"/>
        <v>0</v>
      </c>
      <c r="M1772" s="1707">
        <f t="shared" si="1189"/>
        <v>0</v>
      </c>
      <c r="N1772" s="1707">
        <f t="shared" si="1189"/>
        <v>0</v>
      </c>
      <c r="O1772" s="1707">
        <f t="shared" si="1189"/>
        <v>0</v>
      </c>
      <c r="P1772" s="1707">
        <f t="shared" si="1189"/>
        <v>0</v>
      </c>
      <c r="Q1772" s="1707">
        <f t="shared" si="1189"/>
        <v>0</v>
      </c>
      <c r="R1772" s="1707">
        <f t="shared" si="1189"/>
        <v>0</v>
      </c>
      <c r="S1772" s="1707">
        <f t="shared" si="1189"/>
        <v>0</v>
      </c>
      <c r="T1772" s="1708">
        <f t="shared" si="1189"/>
        <v>0</v>
      </c>
      <c r="Y1772" s="1195"/>
      <c r="Z1772" s="193">
        <f t="shared" si="1146"/>
        <v>0</v>
      </c>
      <c r="AA1772" s="193"/>
      <c r="AB1772" s="254"/>
      <c r="AC1772" s="193"/>
      <c r="AD1772" s="193"/>
      <c r="AE1772" s="254"/>
      <c r="AF1772" s="1707">
        <f t="shared" ref="AF1772:AQ1772" si="1190">SUMIF($AS$168:$AS$201,$B1664&amp;"contratada",AF$168:AF$201)</f>
        <v>0</v>
      </c>
      <c r="AG1772" s="1707">
        <f t="shared" si="1190"/>
        <v>0</v>
      </c>
      <c r="AH1772" s="1707">
        <f t="shared" si="1190"/>
        <v>0</v>
      </c>
      <c r="AI1772" s="1707">
        <f t="shared" si="1190"/>
        <v>0</v>
      </c>
      <c r="AJ1772" s="1707">
        <f t="shared" si="1190"/>
        <v>0</v>
      </c>
      <c r="AK1772" s="1707">
        <f t="shared" si="1190"/>
        <v>0</v>
      </c>
      <c r="AL1772" s="1707">
        <f t="shared" si="1190"/>
        <v>0</v>
      </c>
      <c r="AM1772" s="1707">
        <f t="shared" si="1190"/>
        <v>0</v>
      </c>
      <c r="AN1772" s="1707">
        <f t="shared" si="1190"/>
        <v>0</v>
      </c>
      <c r="AO1772" s="1707">
        <f t="shared" si="1190"/>
        <v>0</v>
      </c>
      <c r="AP1772" s="1707">
        <f t="shared" si="1190"/>
        <v>0</v>
      </c>
      <c r="AQ1772" s="1708">
        <f t="shared" si="1190"/>
        <v>0</v>
      </c>
    </row>
    <row r="1773" spans="2:43" ht="13.75" hidden="1" customHeight="1" x14ac:dyDescent="0.2">
      <c r="B1773" s="1195"/>
      <c r="C1773" s="193">
        <f t="shared" si="1174"/>
        <v>0</v>
      </c>
      <c r="D1773" s="193"/>
      <c r="E1773" s="254"/>
      <c r="F1773" s="193"/>
      <c r="G1773" s="193"/>
      <c r="H1773" s="254"/>
      <c r="I1773" s="1707">
        <f t="shared" ref="I1773:T1773" si="1191">SUMIF($V$168:$V$201,$B1665&amp;"contratada",I$168:I$201)</f>
        <v>0</v>
      </c>
      <c r="J1773" s="1707">
        <f t="shared" si="1191"/>
        <v>0</v>
      </c>
      <c r="K1773" s="1707">
        <f t="shared" si="1191"/>
        <v>0</v>
      </c>
      <c r="L1773" s="1707">
        <f t="shared" si="1191"/>
        <v>0</v>
      </c>
      <c r="M1773" s="1707">
        <f t="shared" si="1191"/>
        <v>0</v>
      </c>
      <c r="N1773" s="1707">
        <f t="shared" si="1191"/>
        <v>0</v>
      </c>
      <c r="O1773" s="1707">
        <f t="shared" si="1191"/>
        <v>0</v>
      </c>
      <c r="P1773" s="1707">
        <f t="shared" si="1191"/>
        <v>0</v>
      </c>
      <c r="Q1773" s="1707">
        <f t="shared" si="1191"/>
        <v>0</v>
      </c>
      <c r="R1773" s="1707">
        <f t="shared" si="1191"/>
        <v>0</v>
      </c>
      <c r="S1773" s="1707">
        <f t="shared" si="1191"/>
        <v>0</v>
      </c>
      <c r="T1773" s="1708">
        <f t="shared" si="1191"/>
        <v>0</v>
      </c>
      <c r="Y1773" s="1195"/>
      <c r="Z1773" s="193">
        <f t="shared" si="1146"/>
        <v>0</v>
      </c>
      <c r="AA1773" s="193"/>
      <c r="AB1773" s="254"/>
      <c r="AC1773" s="193"/>
      <c r="AD1773" s="193"/>
      <c r="AE1773" s="254"/>
      <c r="AF1773" s="1707">
        <f t="shared" ref="AF1773:AQ1773" si="1192">SUMIF($AS$168:$AS$201,$B1665&amp;"contratada",AF$168:AF$201)</f>
        <v>0</v>
      </c>
      <c r="AG1773" s="1707">
        <f t="shared" si="1192"/>
        <v>0</v>
      </c>
      <c r="AH1773" s="1707">
        <f t="shared" si="1192"/>
        <v>0</v>
      </c>
      <c r="AI1773" s="1707">
        <f t="shared" si="1192"/>
        <v>0</v>
      </c>
      <c r="AJ1773" s="1707">
        <f t="shared" si="1192"/>
        <v>0</v>
      </c>
      <c r="AK1773" s="1707">
        <f t="shared" si="1192"/>
        <v>0</v>
      </c>
      <c r="AL1773" s="1707">
        <f t="shared" si="1192"/>
        <v>0</v>
      </c>
      <c r="AM1773" s="1707">
        <f t="shared" si="1192"/>
        <v>0</v>
      </c>
      <c r="AN1773" s="1707">
        <f t="shared" si="1192"/>
        <v>0</v>
      </c>
      <c r="AO1773" s="1707">
        <f t="shared" si="1192"/>
        <v>0</v>
      </c>
      <c r="AP1773" s="1707">
        <f t="shared" si="1192"/>
        <v>0</v>
      </c>
      <c r="AQ1773" s="1708">
        <f t="shared" si="1192"/>
        <v>0</v>
      </c>
    </row>
    <row r="1774" spans="2:43" ht="13.75" hidden="1" customHeight="1" x14ac:dyDescent="0.2">
      <c r="B1774" s="1195"/>
      <c r="C1774" s="193">
        <f t="shared" si="1174"/>
        <v>0</v>
      </c>
      <c r="D1774" s="193"/>
      <c r="E1774" s="254"/>
      <c r="F1774" s="193"/>
      <c r="G1774" s="193"/>
      <c r="H1774" s="254"/>
      <c r="I1774" s="1707">
        <f t="shared" ref="I1774:T1774" si="1193">SUMIF($V$168:$V$201,$B1666&amp;"contratada",I$168:I$201)</f>
        <v>0</v>
      </c>
      <c r="J1774" s="1707">
        <f t="shared" si="1193"/>
        <v>0</v>
      </c>
      <c r="K1774" s="1707">
        <f t="shared" si="1193"/>
        <v>0</v>
      </c>
      <c r="L1774" s="1707">
        <f t="shared" si="1193"/>
        <v>0</v>
      </c>
      <c r="M1774" s="1707">
        <f t="shared" si="1193"/>
        <v>0</v>
      </c>
      <c r="N1774" s="1707">
        <f t="shared" si="1193"/>
        <v>0</v>
      </c>
      <c r="O1774" s="1707">
        <f t="shared" si="1193"/>
        <v>0</v>
      </c>
      <c r="P1774" s="1707">
        <f t="shared" si="1193"/>
        <v>0</v>
      </c>
      <c r="Q1774" s="1707">
        <f t="shared" si="1193"/>
        <v>0</v>
      </c>
      <c r="R1774" s="1707">
        <f t="shared" si="1193"/>
        <v>0</v>
      </c>
      <c r="S1774" s="1707">
        <f t="shared" si="1193"/>
        <v>0</v>
      </c>
      <c r="T1774" s="1708">
        <f t="shared" si="1193"/>
        <v>0</v>
      </c>
      <c r="Y1774" s="1195"/>
      <c r="Z1774" s="193">
        <f t="shared" si="1146"/>
        <v>0</v>
      </c>
      <c r="AA1774" s="193"/>
      <c r="AB1774" s="254"/>
      <c r="AC1774" s="193"/>
      <c r="AD1774" s="193"/>
      <c r="AE1774" s="254"/>
      <c r="AF1774" s="1707">
        <f t="shared" ref="AF1774:AQ1774" si="1194">SUMIF($AS$168:$AS$201,$B1666&amp;"contratada",AF$168:AF$201)</f>
        <v>0</v>
      </c>
      <c r="AG1774" s="1707">
        <f t="shared" si="1194"/>
        <v>0</v>
      </c>
      <c r="AH1774" s="1707">
        <f t="shared" si="1194"/>
        <v>0</v>
      </c>
      <c r="AI1774" s="1707">
        <f t="shared" si="1194"/>
        <v>0</v>
      </c>
      <c r="AJ1774" s="1707">
        <f t="shared" si="1194"/>
        <v>0</v>
      </c>
      <c r="AK1774" s="1707">
        <f t="shared" si="1194"/>
        <v>0</v>
      </c>
      <c r="AL1774" s="1707">
        <f t="shared" si="1194"/>
        <v>0</v>
      </c>
      <c r="AM1774" s="1707">
        <f t="shared" si="1194"/>
        <v>0</v>
      </c>
      <c r="AN1774" s="1707">
        <f t="shared" si="1194"/>
        <v>0</v>
      </c>
      <c r="AO1774" s="1707">
        <f t="shared" si="1194"/>
        <v>0</v>
      </c>
      <c r="AP1774" s="1707">
        <f t="shared" si="1194"/>
        <v>0</v>
      </c>
      <c r="AQ1774" s="1708">
        <f t="shared" si="1194"/>
        <v>0</v>
      </c>
    </row>
    <row r="1775" spans="2:43" ht="13.75" hidden="1" customHeight="1" x14ac:dyDescent="0.2">
      <c r="B1775" s="1195"/>
      <c r="C1775" s="193">
        <f t="shared" si="1174"/>
        <v>0</v>
      </c>
      <c r="D1775" s="193"/>
      <c r="E1775" s="254"/>
      <c r="F1775" s="193"/>
      <c r="G1775" s="193"/>
      <c r="H1775" s="254"/>
      <c r="I1775" s="1707">
        <f t="shared" ref="I1775:T1775" si="1195">SUMIF($V$168:$V$201,$B1667&amp;"contratada",I$168:I$201)</f>
        <v>0</v>
      </c>
      <c r="J1775" s="1707">
        <f t="shared" si="1195"/>
        <v>0</v>
      </c>
      <c r="K1775" s="1707">
        <f t="shared" si="1195"/>
        <v>0</v>
      </c>
      <c r="L1775" s="1707">
        <f t="shared" si="1195"/>
        <v>0</v>
      </c>
      <c r="M1775" s="1707">
        <f t="shared" si="1195"/>
        <v>0</v>
      </c>
      <c r="N1775" s="1707">
        <f t="shared" si="1195"/>
        <v>0</v>
      </c>
      <c r="O1775" s="1707">
        <f t="shared" si="1195"/>
        <v>0</v>
      </c>
      <c r="P1775" s="1707">
        <f t="shared" si="1195"/>
        <v>0</v>
      </c>
      <c r="Q1775" s="1707">
        <f t="shared" si="1195"/>
        <v>0</v>
      </c>
      <c r="R1775" s="1707">
        <f t="shared" si="1195"/>
        <v>0</v>
      </c>
      <c r="S1775" s="1707">
        <f t="shared" si="1195"/>
        <v>0</v>
      </c>
      <c r="T1775" s="1708">
        <f t="shared" si="1195"/>
        <v>0</v>
      </c>
      <c r="Y1775" s="1195"/>
      <c r="Z1775" s="193">
        <f t="shared" si="1146"/>
        <v>0</v>
      </c>
      <c r="AA1775" s="193"/>
      <c r="AB1775" s="254"/>
      <c r="AC1775" s="193"/>
      <c r="AD1775" s="193"/>
      <c r="AE1775" s="254"/>
      <c r="AF1775" s="1707">
        <f t="shared" ref="AF1775:AQ1775" si="1196">SUMIF($AS$168:$AS$201,$B1667&amp;"contratada",AF$168:AF$201)</f>
        <v>0</v>
      </c>
      <c r="AG1775" s="1707">
        <f t="shared" si="1196"/>
        <v>0</v>
      </c>
      <c r="AH1775" s="1707">
        <f t="shared" si="1196"/>
        <v>0</v>
      </c>
      <c r="AI1775" s="1707">
        <f t="shared" si="1196"/>
        <v>0</v>
      </c>
      <c r="AJ1775" s="1707">
        <f t="shared" si="1196"/>
        <v>0</v>
      </c>
      <c r="AK1775" s="1707">
        <f t="shared" si="1196"/>
        <v>0</v>
      </c>
      <c r="AL1775" s="1707">
        <f t="shared" si="1196"/>
        <v>0</v>
      </c>
      <c r="AM1775" s="1707">
        <f t="shared" si="1196"/>
        <v>0</v>
      </c>
      <c r="AN1775" s="1707">
        <f t="shared" si="1196"/>
        <v>0</v>
      </c>
      <c r="AO1775" s="1707">
        <f t="shared" si="1196"/>
        <v>0</v>
      </c>
      <c r="AP1775" s="1707">
        <f t="shared" si="1196"/>
        <v>0</v>
      </c>
      <c r="AQ1775" s="1708">
        <f t="shared" si="1196"/>
        <v>0</v>
      </c>
    </row>
    <row r="1776" spans="2:43" ht="13.75" hidden="1" customHeight="1" x14ac:dyDescent="0.2">
      <c r="B1776" s="1195"/>
      <c r="C1776" s="193">
        <f t="shared" si="1174"/>
        <v>0</v>
      </c>
      <c r="D1776" s="193"/>
      <c r="E1776" s="254"/>
      <c r="F1776" s="193"/>
      <c r="G1776" s="193"/>
      <c r="H1776" s="254"/>
      <c r="I1776" s="1707">
        <f t="shared" ref="I1776:T1776" si="1197">SUMIF($V$168:$V$201,$B1668&amp;"contratada",I$168:I$201)</f>
        <v>0</v>
      </c>
      <c r="J1776" s="1707">
        <f t="shared" si="1197"/>
        <v>0</v>
      </c>
      <c r="K1776" s="1707">
        <f t="shared" si="1197"/>
        <v>0</v>
      </c>
      <c r="L1776" s="1707">
        <f t="shared" si="1197"/>
        <v>0</v>
      </c>
      <c r="M1776" s="1707">
        <f t="shared" si="1197"/>
        <v>0</v>
      </c>
      <c r="N1776" s="1707">
        <f t="shared" si="1197"/>
        <v>0</v>
      </c>
      <c r="O1776" s="1707">
        <f t="shared" si="1197"/>
        <v>0</v>
      </c>
      <c r="P1776" s="1707">
        <f t="shared" si="1197"/>
        <v>0</v>
      </c>
      <c r="Q1776" s="1707">
        <f t="shared" si="1197"/>
        <v>0</v>
      </c>
      <c r="R1776" s="1707">
        <f t="shared" si="1197"/>
        <v>0</v>
      </c>
      <c r="S1776" s="1707">
        <f t="shared" si="1197"/>
        <v>0</v>
      </c>
      <c r="T1776" s="1708">
        <f t="shared" si="1197"/>
        <v>0</v>
      </c>
      <c r="Y1776" s="1195"/>
      <c r="Z1776" s="193">
        <f t="shared" si="1146"/>
        <v>0</v>
      </c>
      <c r="AA1776" s="193"/>
      <c r="AB1776" s="254"/>
      <c r="AC1776" s="193"/>
      <c r="AD1776" s="193"/>
      <c r="AE1776" s="254"/>
      <c r="AF1776" s="1707">
        <f t="shared" ref="AF1776:AQ1776" si="1198">SUMIF($AS$168:$AS$201,$B1668&amp;"contratada",AF$168:AF$201)</f>
        <v>0</v>
      </c>
      <c r="AG1776" s="1707">
        <f t="shared" si="1198"/>
        <v>0</v>
      </c>
      <c r="AH1776" s="1707">
        <f t="shared" si="1198"/>
        <v>0</v>
      </c>
      <c r="AI1776" s="1707">
        <f t="shared" si="1198"/>
        <v>0</v>
      </c>
      <c r="AJ1776" s="1707">
        <f t="shared" si="1198"/>
        <v>0</v>
      </c>
      <c r="AK1776" s="1707">
        <f t="shared" si="1198"/>
        <v>0</v>
      </c>
      <c r="AL1776" s="1707">
        <f t="shared" si="1198"/>
        <v>0</v>
      </c>
      <c r="AM1776" s="1707">
        <f t="shared" si="1198"/>
        <v>0</v>
      </c>
      <c r="AN1776" s="1707">
        <f t="shared" si="1198"/>
        <v>0</v>
      </c>
      <c r="AO1776" s="1707">
        <f t="shared" si="1198"/>
        <v>0</v>
      </c>
      <c r="AP1776" s="1707">
        <f t="shared" si="1198"/>
        <v>0</v>
      </c>
      <c r="AQ1776" s="1708">
        <f t="shared" si="1198"/>
        <v>0</v>
      </c>
    </row>
    <row r="1777" spans="2:43" ht="13.75" hidden="1" customHeight="1" x14ac:dyDescent="0.2">
      <c r="B1777" s="1195"/>
      <c r="C1777" s="193">
        <f t="shared" si="1174"/>
        <v>0</v>
      </c>
      <c r="D1777" s="193"/>
      <c r="E1777" s="254"/>
      <c r="F1777" s="193"/>
      <c r="G1777" s="193"/>
      <c r="H1777" s="254"/>
      <c r="I1777" s="1707">
        <f t="shared" ref="I1777:T1777" si="1199">SUMIF($V$168:$V$201,$B1669&amp;"contratada",I$168:I$201)</f>
        <v>0</v>
      </c>
      <c r="J1777" s="1707">
        <f t="shared" si="1199"/>
        <v>0</v>
      </c>
      <c r="K1777" s="1707">
        <f t="shared" si="1199"/>
        <v>0</v>
      </c>
      <c r="L1777" s="1707">
        <f t="shared" si="1199"/>
        <v>0</v>
      </c>
      <c r="M1777" s="1707">
        <f t="shared" si="1199"/>
        <v>0</v>
      </c>
      <c r="N1777" s="1707">
        <f t="shared" si="1199"/>
        <v>0</v>
      </c>
      <c r="O1777" s="1707">
        <f t="shared" si="1199"/>
        <v>0</v>
      </c>
      <c r="P1777" s="1707">
        <f t="shared" si="1199"/>
        <v>0</v>
      </c>
      <c r="Q1777" s="1707">
        <f t="shared" si="1199"/>
        <v>0</v>
      </c>
      <c r="R1777" s="1707">
        <f t="shared" si="1199"/>
        <v>0</v>
      </c>
      <c r="S1777" s="1707">
        <f t="shared" si="1199"/>
        <v>0</v>
      </c>
      <c r="T1777" s="1708">
        <f t="shared" si="1199"/>
        <v>0</v>
      </c>
      <c r="Y1777" s="1195"/>
      <c r="Z1777" s="193">
        <f t="shared" si="1146"/>
        <v>0</v>
      </c>
      <c r="AA1777" s="193"/>
      <c r="AB1777" s="254"/>
      <c r="AC1777" s="193"/>
      <c r="AD1777" s="193"/>
      <c r="AE1777" s="254"/>
      <c r="AF1777" s="1707">
        <f t="shared" ref="AF1777:AQ1777" si="1200">SUMIF($AS$168:$AS$201,$B1669&amp;"contratada",AF$168:AF$201)</f>
        <v>0</v>
      </c>
      <c r="AG1777" s="1707">
        <f t="shared" si="1200"/>
        <v>0</v>
      </c>
      <c r="AH1777" s="1707">
        <f t="shared" si="1200"/>
        <v>0</v>
      </c>
      <c r="AI1777" s="1707">
        <f t="shared" si="1200"/>
        <v>0</v>
      </c>
      <c r="AJ1777" s="1707">
        <f t="shared" si="1200"/>
        <v>0</v>
      </c>
      <c r="AK1777" s="1707">
        <f t="shared" si="1200"/>
        <v>0</v>
      </c>
      <c r="AL1777" s="1707">
        <f t="shared" si="1200"/>
        <v>0</v>
      </c>
      <c r="AM1777" s="1707">
        <f t="shared" si="1200"/>
        <v>0</v>
      </c>
      <c r="AN1777" s="1707">
        <f t="shared" si="1200"/>
        <v>0</v>
      </c>
      <c r="AO1777" s="1707">
        <f t="shared" si="1200"/>
        <v>0</v>
      </c>
      <c r="AP1777" s="1707">
        <f t="shared" si="1200"/>
        <v>0</v>
      </c>
      <c r="AQ1777" s="1708">
        <f t="shared" si="1200"/>
        <v>0</v>
      </c>
    </row>
    <row r="1778" spans="2:43" ht="14.4" hidden="1" customHeight="1" thickBot="1" x14ac:dyDescent="0.25">
      <c r="B1778" s="1198"/>
      <c r="C1778" s="1199">
        <f t="shared" si="1174"/>
        <v>0</v>
      </c>
      <c r="D1778" s="1199"/>
      <c r="E1778" s="1209"/>
      <c r="F1778" s="1199"/>
      <c r="G1778" s="1199"/>
      <c r="H1778" s="1209"/>
      <c r="I1778" s="1709">
        <f t="shared" ref="I1778:T1778" si="1201">SUMIF($V$168:$V$201,$B1670&amp;"contratada",I$168:I$201)</f>
        <v>0</v>
      </c>
      <c r="J1778" s="1709">
        <f t="shared" si="1201"/>
        <v>0</v>
      </c>
      <c r="K1778" s="1709">
        <f t="shared" si="1201"/>
        <v>0</v>
      </c>
      <c r="L1778" s="1709">
        <f t="shared" si="1201"/>
        <v>0</v>
      </c>
      <c r="M1778" s="1709">
        <f t="shared" si="1201"/>
        <v>0</v>
      </c>
      <c r="N1778" s="1709">
        <f t="shared" si="1201"/>
        <v>0</v>
      </c>
      <c r="O1778" s="1709">
        <f t="shared" si="1201"/>
        <v>0</v>
      </c>
      <c r="P1778" s="1709">
        <f t="shared" si="1201"/>
        <v>0</v>
      </c>
      <c r="Q1778" s="1709">
        <f t="shared" si="1201"/>
        <v>0</v>
      </c>
      <c r="R1778" s="1709">
        <f t="shared" si="1201"/>
        <v>0</v>
      </c>
      <c r="S1778" s="1709">
        <f t="shared" si="1201"/>
        <v>0</v>
      </c>
      <c r="T1778" s="1710">
        <f t="shared" si="1201"/>
        <v>0</v>
      </c>
      <c r="Y1778" s="1198"/>
      <c r="Z1778" s="1199">
        <f t="shared" si="1146"/>
        <v>0</v>
      </c>
      <c r="AA1778" s="1199"/>
      <c r="AB1778" s="1209"/>
      <c r="AC1778" s="1199"/>
      <c r="AD1778" s="1199"/>
      <c r="AE1778" s="1209"/>
      <c r="AF1778" s="1709">
        <f t="shared" ref="AF1778:AQ1778" si="1202">SUMIF($AS$168:$AS$201,$B1670&amp;"contratada",AF$168:AF$201)</f>
        <v>0</v>
      </c>
      <c r="AG1778" s="1709">
        <f t="shared" si="1202"/>
        <v>0</v>
      </c>
      <c r="AH1778" s="1709">
        <f t="shared" si="1202"/>
        <v>0</v>
      </c>
      <c r="AI1778" s="1709">
        <f t="shared" si="1202"/>
        <v>0</v>
      </c>
      <c r="AJ1778" s="1709">
        <f t="shared" si="1202"/>
        <v>0</v>
      </c>
      <c r="AK1778" s="1709">
        <f t="shared" si="1202"/>
        <v>0</v>
      </c>
      <c r="AL1778" s="1709">
        <f t="shared" si="1202"/>
        <v>0</v>
      </c>
      <c r="AM1778" s="1709">
        <f t="shared" si="1202"/>
        <v>0</v>
      </c>
      <c r="AN1778" s="1709">
        <f t="shared" si="1202"/>
        <v>0</v>
      </c>
      <c r="AO1778" s="1709">
        <f t="shared" si="1202"/>
        <v>0</v>
      </c>
      <c r="AP1778" s="1709">
        <f t="shared" si="1202"/>
        <v>0</v>
      </c>
      <c r="AQ1778" s="1710">
        <f t="shared" si="1202"/>
        <v>0</v>
      </c>
    </row>
    <row r="1779" spans="2:43" ht="15.05" hidden="1" customHeight="1" thickTop="1" thickBot="1" x14ac:dyDescent="0.25">
      <c r="B1779" s="1711" t="s">
        <v>705</v>
      </c>
      <c r="C1779" s="1712"/>
      <c r="D1779" s="1712"/>
      <c r="E1779" s="1712"/>
      <c r="F1779" s="1712"/>
      <c r="G1779" s="1712"/>
      <c r="H1779" s="1713" t="s">
        <v>230</v>
      </c>
      <c r="I1779" s="1715">
        <f t="shared" ref="I1779:T1779" si="1203">+SUMPRODUCT(I1750:I1778,$C$1750:$C$1778)</f>
        <v>0</v>
      </c>
      <c r="J1779" s="1715">
        <f t="shared" si="1203"/>
        <v>0</v>
      </c>
      <c r="K1779" s="1715">
        <f t="shared" si="1203"/>
        <v>0</v>
      </c>
      <c r="L1779" s="1715">
        <f t="shared" si="1203"/>
        <v>0</v>
      </c>
      <c r="M1779" s="1715">
        <f t="shared" si="1203"/>
        <v>0</v>
      </c>
      <c r="N1779" s="1715">
        <f t="shared" si="1203"/>
        <v>0</v>
      </c>
      <c r="O1779" s="1715">
        <f t="shared" si="1203"/>
        <v>0</v>
      </c>
      <c r="P1779" s="1715">
        <f t="shared" si="1203"/>
        <v>0</v>
      </c>
      <c r="Q1779" s="1715">
        <f t="shared" si="1203"/>
        <v>0</v>
      </c>
      <c r="R1779" s="1715">
        <f t="shared" si="1203"/>
        <v>0</v>
      </c>
      <c r="S1779" s="1715">
        <f t="shared" si="1203"/>
        <v>0</v>
      </c>
      <c r="T1779" s="1716">
        <f t="shared" si="1203"/>
        <v>0</v>
      </c>
      <c r="Y1779" s="1711" t="s">
        <v>705</v>
      </c>
      <c r="Z1779" s="1712"/>
      <c r="AA1779" s="1712"/>
      <c r="AB1779" s="1712"/>
      <c r="AC1779" s="1712"/>
      <c r="AD1779" s="1712"/>
      <c r="AE1779" s="1719" t="s">
        <v>230</v>
      </c>
      <c r="AF1779" s="1715">
        <f t="shared" ref="AF1779:AQ1779" si="1204">+SUMPRODUCT(AF1750:AF1778,$C$1750:$C$1778)</f>
        <v>0</v>
      </c>
      <c r="AG1779" s="1715">
        <f t="shared" si="1204"/>
        <v>0</v>
      </c>
      <c r="AH1779" s="1715">
        <f t="shared" si="1204"/>
        <v>0</v>
      </c>
      <c r="AI1779" s="1715">
        <f t="shared" si="1204"/>
        <v>0</v>
      </c>
      <c r="AJ1779" s="1715">
        <f t="shared" si="1204"/>
        <v>0</v>
      </c>
      <c r="AK1779" s="1715">
        <f t="shared" si="1204"/>
        <v>0</v>
      </c>
      <c r="AL1779" s="1715">
        <f t="shared" si="1204"/>
        <v>0</v>
      </c>
      <c r="AM1779" s="1715">
        <f t="shared" si="1204"/>
        <v>0</v>
      </c>
      <c r="AN1779" s="1715">
        <f t="shared" si="1204"/>
        <v>0</v>
      </c>
      <c r="AO1779" s="1715">
        <f t="shared" si="1204"/>
        <v>0</v>
      </c>
      <c r="AP1779" s="1715">
        <f t="shared" si="1204"/>
        <v>0</v>
      </c>
      <c r="AQ1779" s="1716">
        <f t="shared" si="1204"/>
        <v>0</v>
      </c>
    </row>
    <row r="1780" spans="2:43" ht="14.4" hidden="1" customHeight="1" thickTop="1" x14ac:dyDescent="0.2">
      <c r="B1780" s="1594"/>
      <c r="C1780" s="193"/>
      <c r="D1780" s="193"/>
      <c r="E1780" s="193"/>
      <c r="F1780" s="193"/>
      <c r="G1780" s="193"/>
      <c r="H1780" s="982" t="s">
        <v>698</v>
      </c>
      <c r="I1780" s="1205">
        <f t="shared" ref="I1780:T1780" si="1205">IFERROR(I1779*I1746/I1748,0)</f>
        <v>0</v>
      </c>
      <c r="J1780" s="1205">
        <f t="shared" si="1205"/>
        <v>0</v>
      </c>
      <c r="K1780" s="1205">
        <f t="shared" si="1205"/>
        <v>0</v>
      </c>
      <c r="L1780" s="1205">
        <f t="shared" si="1205"/>
        <v>0</v>
      </c>
      <c r="M1780" s="1205">
        <f t="shared" si="1205"/>
        <v>0</v>
      </c>
      <c r="N1780" s="1205">
        <f t="shared" si="1205"/>
        <v>0</v>
      </c>
      <c r="O1780" s="1205">
        <f t="shared" si="1205"/>
        <v>0</v>
      </c>
      <c r="P1780" s="1205">
        <f t="shared" si="1205"/>
        <v>0</v>
      </c>
      <c r="Q1780" s="1205">
        <f t="shared" si="1205"/>
        <v>0</v>
      </c>
      <c r="R1780" s="1205">
        <f t="shared" si="1205"/>
        <v>0</v>
      </c>
      <c r="S1780" s="1205">
        <f t="shared" si="1205"/>
        <v>0</v>
      </c>
      <c r="T1780" s="1714">
        <f t="shared" si="1205"/>
        <v>0</v>
      </c>
      <c r="Y1780" s="1594"/>
      <c r="Z1780" s="193"/>
      <c r="AA1780" s="193"/>
      <c r="AB1780" s="193"/>
      <c r="AC1780" s="193"/>
      <c r="AD1780" s="193"/>
      <c r="AE1780" s="1720" t="s">
        <v>698</v>
      </c>
      <c r="AF1780" s="1205">
        <f t="shared" ref="AF1780:AQ1780" si="1206">IFERROR(AF1779*AF1746/AF1748,0)</f>
        <v>0</v>
      </c>
      <c r="AG1780" s="1205">
        <f t="shared" si="1206"/>
        <v>0</v>
      </c>
      <c r="AH1780" s="1205">
        <f t="shared" si="1206"/>
        <v>0</v>
      </c>
      <c r="AI1780" s="1205">
        <f t="shared" si="1206"/>
        <v>0</v>
      </c>
      <c r="AJ1780" s="1205">
        <f t="shared" si="1206"/>
        <v>0</v>
      </c>
      <c r="AK1780" s="1205">
        <f t="shared" si="1206"/>
        <v>0</v>
      </c>
      <c r="AL1780" s="1205">
        <f t="shared" si="1206"/>
        <v>0</v>
      </c>
      <c r="AM1780" s="1205">
        <f t="shared" si="1206"/>
        <v>0</v>
      </c>
      <c r="AN1780" s="1205">
        <f t="shared" si="1206"/>
        <v>0</v>
      </c>
      <c r="AO1780" s="1205">
        <f t="shared" si="1206"/>
        <v>0</v>
      </c>
      <c r="AP1780" s="1205">
        <f t="shared" si="1206"/>
        <v>0</v>
      </c>
      <c r="AQ1780" s="1714">
        <f t="shared" si="1206"/>
        <v>0</v>
      </c>
    </row>
    <row r="1781" spans="2:43" ht="14.4" hidden="1" customHeight="1" thickBot="1" x14ac:dyDescent="0.25">
      <c r="B1781" s="1596"/>
      <c r="C1781" s="1199"/>
      <c r="D1781" s="1199"/>
      <c r="E1781" s="1199"/>
      <c r="F1781" s="1199"/>
      <c r="G1781" s="1199"/>
      <c r="H1781" s="1717" t="s">
        <v>699</v>
      </c>
      <c r="I1781" s="1590">
        <f t="shared" ref="I1781:T1781" si="1207">+I1779-I1780</f>
        <v>0</v>
      </c>
      <c r="J1781" s="1590">
        <f t="shared" si="1207"/>
        <v>0</v>
      </c>
      <c r="K1781" s="1590">
        <f t="shared" si="1207"/>
        <v>0</v>
      </c>
      <c r="L1781" s="1590">
        <f t="shared" si="1207"/>
        <v>0</v>
      </c>
      <c r="M1781" s="1590">
        <f t="shared" si="1207"/>
        <v>0</v>
      </c>
      <c r="N1781" s="1590">
        <f t="shared" si="1207"/>
        <v>0</v>
      </c>
      <c r="O1781" s="1590">
        <f t="shared" si="1207"/>
        <v>0</v>
      </c>
      <c r="P1781" s="1590">
        <f t="shared" si="1207"/>
        <v>0</v>
      </c>
      <c r="Q1781" s="1590">
        <f t="shared" si="1207"/>
        <v>0</v>
      </c>
      <c r="R1781" s="1590">
        <f t="shared" si="1207"/>
        <v>0</v>
      </c>
      <c r="S1781" s="1590">
        <f t="shared" si="1207"/>
        <v>0</v>
      </c>
      <c r="T1781" s="1655">
        <f t="shared" si="1207"/>
        <v>0</v>
      </c>
      <c r="Y1781" s="1596"/>
      <c r="Z1781" s="1199"/>
      <c r="AA1781" s="1199"/>
      <c r="AB1781" s="1199"/>
      <c r="AC1781" s="1199"/>
      <c r="AD1781" s="1199"/>
      <c r="AE1781" s="1721" t="s">
        <v>699</v>
      </c>
      <c r="AF1781" s="1590">
        <f>+AF1779-AF1780</f>
        <v>0</v>
      </c>
      <c r="AG1781" s="1590">
        <f t="shared" ref="AG1781:AQ1781" si="1208">+AG1779-AG1780</f>
        <v>0</v>
      </c>
      <c r="AH1781" s="1590">
        <f t="shared" si="1208"/>
        <v>0</v>
      </c>
      <c r="AI1781" s="1590">
        <f t="shared" si="1208"/>
        <v>0</v>
      </c>
      <c r="AJ1781" s="1590">
        <f t="shared" si="1208"/>
        <v>0</v>
      </c>
      <c r="AK1781" s="1590">
        <f t="shared" si="1208"/>
        <v>0</v>
      </c>
      <c r="AL1781" s="1590">
        <f t="shared" si="1208"/>
        <v>0</v>
      </c>
      <c r="AM1781" s="1590">
        <f t="shared" si="1208"/>
        <v>0</v>
      </c>
      <c r="AN1781" s="1590">
        <f t="shared" si="1208"/>
        <v>0</v>
      </c>
      <c r="AO1781" s="1590">
        <f t="shared" si="1208"/>
        <v>0</v>
      </c>
      <c r="AP1781" s="1590">
        <f t="shared" si="1208"/>
        <v>0</v>
      </c>
      <c r="AQ1781" s="1655">
        <f t="shared" si="1208"/>
        <v>0</v>
      </c>
    </row>
    <row r="1782" spans="2:43" ht="14.4" hidden="1" customHeight="1" thickTop="1" x14ac:dyDescent="0.2">
      <c r="B1782" s="1584" t="s">
        <v>795</v>
      </c>
      <c r="C1782" s="1581">
        <f>+C1509</f>
        <v>0</v>
      </c>
      <c r="D1782" s="1194"/>
      <c r="E1782" s="1194"/>
      <c r="F1782" s="1194"/>
      <c r="G1782" s="1194" t="s">
        <v>247</v>
      </c>
      <c r="H1782" s="1194" t="s">
        <v>691</v>
      </c>
      <c r="I1782" s="1668">
        <f t="shared" ref="I1782:T1782" si="1209">+I1510</f>
        <v>0</v>
      </c>
      <c r="J1782" s="1668">
        <f t="shared" si="1209"/>
        <v>0</v>
      </c>
      <c r="K1782" s="1668">
        <f t="shared" si="1209"/>
        <v>0</v>
      </c>
      <c r="L1782" s="1668">
        <f t="shared" si="1209"/>
        <v>0</v>
      </c>
      <c r="M1782" s="1668">
        <f t="shared" si="1209"/>
        <v>0</v>
      </c>
      <c r="N1782" s="1668">
        <f t="shared" si="1209"/>
        <v>0</v>
      </c>
      <c r="O1782" s="1668">
        <f t="shared" si="1209"/>
        <v>0</v>
      </c>
      <c r="P1782" s="1668">
        <f t="shared" si="1209"/>
        <v>0</v>
      </c>
      <c r="Q1782" s="1668">
        <f t="shared" si="1209"/>
        <v>0</v>
      </c>
      <c r="R1782" s="1668">
        <f t="shared" si="1209"/>
        <v>0</v>
      </c>
      <c r="S1782" s="1668">
        <f t="shared" si="1209"/>
        <v>0</v>
      </c>
      <c r="T1782" s="1704">
        <f t="shared" si="1209"/>
        <v>0</v>
      </c>
      <c r="Y1782" s="1722" t="s">
        <v>795</v>
      </c>
      <c r="Z1782" s="1581">
        <f>+Z1509</f>
        <v>0</v>
      </c>
      <c r="AA1782" s="1194"/>
      <c r="AB1782" s="1194"/>
      <c r="AC1782" s="1194"/>
      <c r="AD1782" s="1194" t="str">
        <f t="shared" ref="AD1782:AE1784" si="1210">+AC1602</f>
        <v>has</v>
      </c>
      <c r="AE1782" s="1194" t="str">
        <f t="shared" si="1210"/>
        <v>ganadería</v>
      </c>
      <c r="AF1782" s="1668">
        <f t="shared" ref="AF1782:AQ1782" si="1211">+AF1510</f>
        <v>0</v>
      </c>
      <c r="AG1782" s="1668">
        <f t="shared" si="1211"/>
        <v>0</v>
      </c>
      <c r="AH1782" s="1668">
        <f t="shared" si="1211"/>
        <v>0</v>
      </c>
      <c r="AI1782" s="1668">
        <f t="shared" si="1211"/>
        <v>0</v>
      </c>
      <c r="AJ1782" s="1668">
        <f t="shared" si="1211"/>
        <v>0</v>
      </c>
      <c r="AK1782" s="1668">
        <f t="shared" si="1211"/>
        <v>0</v>
      </c>
      <c r="AL1782" s="1668">
        <f t="shared" si="1211"/>
        <v>0</v>
      </c>
      <c r="AM1782" s="1668">
        <f t="shared" si="1211"/>
        <v>0</v>
      </c>
      <c r="AN1782" s="1668">
        <f t="shared" si="1211"/>
        <v>0</v>
      </c>
      <c r="AO1782" s="1668">
        <f t="shared" si="1211"/>
        <v>0</v>
      </c>
      <c r="AP1782" s="1668">
        <f t="shared" si="1211"/>
        <v>0</v>
      </c>
      <c r="AQ1782" s="1704">
        <f t="shared" si="1211"/>
        <v>0</v>
      </c>
    </row>
    <row r="1783" spans="2:43" ht="13.75" hidden="1" customHeight="1" x14ac:dyDescent="0.2">
      <c r="B1783" s="1594"/>
      <c r="C1783" s="193"/>
      <c r="D1783" s="193"/>
      <c r="E1783" s="193"/>
      <c r="F1783" s="193"/>
      <c r="G1783" s="193" t="s">
        <v>344</v>
      </c>
      <c r="H1783" s="193" t="s">
        <v>693</v>
      </c>
      <c r="I1783" s="1283">
        <f t="shared" ref="I1783:T1783" si="1212">+I1511</f>
        <v>0</v>
      </c>
      <c r="J1783" s="1283">
        <f t="shared" si="1212"/>
        <v>0</v>
      </c>
      <c r="K1783" s="1283">
        <f t="shared" si="1212"/>
        <v>0</v>
      </c>
      <c r="L1783" s="1283">
        <f t="shared" si="1212"/>
        <v>0</v>
      </c>
      <c r="M1783" s="1283">
        <f t="shared" si="1212"/>
        <v>0</v>
      </c>
      <c r="N1783" s="1283">
        <f t="shared" si="1212"/>
        <v>0</v>
      </c>
      <c r="O1783" s="1283">
        <f t="shared" si="1212"/>
        <v>0</v>
      </c>
      <c r="P1783" s="1283">
        <f t="shared" si="1212"/>
        <v>0</v>
      </c>
      <c r="Q1783" s="1283">
        <f t="shared" si="1212"/>
        <v>0</v>
      </c>
      <c r="R1783" s="1283">
        <f t="shared" si="1212"/>
        <v>0</v>
      </c>
      <c r="S1783" s="1283">
        <f t="shared" si="1212"/>
        <v>0</v>
      </c>
      <c r="T1783" s="1601">
        <f t="shared" si="1212"/>
        <v>0</v>
      </c>
      <c r="Y1783" s="1594"/>
      <c r="Z1783" s="193"/>
      <c r="AA1783" s="193"/>
      <c r="AB1783" s="193"/>
      <c r="AC1783" s="193"/>
      <c r="AD1783" s="193" t="str">
        <f t="shared" si="1210"/>
        <v xml:space="preserve">TOTAL </v>
      </c>
      <c r="AE1783" s="193">
        <f t="shared" si="1210"/>
        <v>0</v>
      </c>
      <c r="AF1783" s="1283">
        <f t="shared" ref="AF1783:AQ1783" si="1213">+AF1511</f>
        <v>0</v>
      </c>
      <c r="AG1783" s="1283">
        <f t="shared" si="1213"/>
        <v>0</v>
      </c>
      <c r="AH1783" s="1283">
        <f t="shared" si="1213"/>
        <v>0</v>
      </c>
      <c r="AI1783" s="1283">
        <f t="shared" si="1213"/>
        <v>0</v>
      </c>
      <c r="AJ1783" s="1283">
        <f t="shared" si="1213"/>
        <v>0</v>
      </c>
      <c r="AK1783" s="1283">
        <f t="shared" si="1213"/>
        <v>0</v>
      </c>
      <c r="AL1783" s="1283">
        <f t="shared" si="1213"/>
        <v>0</v>
      </c>
      <c r="AM1783" s="1283">
        <f t="shared" si="1213"/>
        <v>0</v>
      </c>
      <c r="AN1783" s="1283">
        <f t="shared" si="1213"/>
        <v>0</v>
      </c>
      <c r="AO1783" s="1283">
        <f t="shared" si="1213"/>
        <v>0</v>
      </c>
      <c r="AP1783" s="1283">
        <f t="shared" si="1213"/>
        <v>0</v>
      </c>
      <c r="AQ1783" s="1601">
        <f t="shared" si="1213"/>
        <v>0</v>
      </c>
    </row>
    <row r="1784" spans="2:43" ht="14.4" hidden="1" customHeight="1" thickBot="1" x14ac:dyDescent="0.25">
      <c r="B1784" s="1596"/>
      <c r="C1784" s="1199"/>
      <c r="D1784" s="1199"/>
      <c r="E1784" s="1199"/>
      <c r="F1784" s="1199"/>
      <c r="G1784" s="1199" t="s">
        <v>344</v>
      </c>
      <c r="H1784" s="1199" t="s">
        <v>694</v>
      </c>
      <c r="I1784" s="1590">
        <f t="shared" ref="I1784:T1784" si="1214">+I1512</f>
        <v>0</v>
      </c>
      <c r="J1784" s="1590">
        <f t="shared" si="1214"/>
        <v>0</v>
      </c>
      <c r="K1784" s="1590">
        <f t="shared" si="1214"/>
        <v>0</v>
      </c>
      <c r="L1784" s="1590">
        <f t="shared" si="1214"/>
        <v>0</v>
      </c>
      <c r="M1784" s="1590">
        <f t="shared" si="1214"/>
        <v>0</v>
      </c>
      <c r="N1784" s="1590">
        <f t="shared" si="1214"/>
        <v>0</v>
      </c>
      <c r="O1784" s="1590">
        <f t="shared" si="1214"/>
        <v>0</v>
      </c>
      <c r="P1784" s="1590">
        <f t="shared" si="1214"/>
        <v>0</v>
      </c>
      <c r="Q1784" s="1590">
        <f t="shared" si="1214"/>
        <v>0</v>
      </c>
      <c r="R1784" s="1590">
        <f t="shared" si="1214"/>
        <v>0</v>
      </c>
      <c r="S1784" s="1590">
        <f t="shared" si="1214"/>
        <v>0</v>
      </c>
      <c r="T1784" s="1655">
        <f t="shared" si="1214"/>
        <v>0</v>
      </c>
      <c r="Y1784" s="1596"/>
      <c r="Z1784" s="1199"/>
      <c r="AA1784" s="1199"/>
      <c r="AB1784" s="1199"/>
      <c r="AC1784" s="1199"/>
      <c r="AD1784" s="1199" t="str">
        <f t="shared" si="1210"/>
        <v>si no es agrícola pone total</v>
      </c>
      <c r="AE1784" s="1199">
        <f t="shared" si="1210"/>
        <v>0</v>
      </c>
      <c r="AF1784" s="1590">
        <f t="shared" ref="AF1784:AQ1784" si="1215">+AF1512</f>
        <v>0</v>
      </c>
      <c r="AG1784" s="1590">
        <f t="shared" si="1215"/>
        <v>0</v>
      </c>
      <c r="AH1784" s="1590">
        <f t="shared" si="1215"/>
        <v>0</v>
      </c>
      <c r="AI1784" s="1590">
        <f t="shared" si="1215"/>
        <v>0</v>
      </c>
      <c r="AJ1784" s="1590">
        <f t="shared" si="1215"/>
        <v>0</v>
      </c>
      <c r="AK1784" s="1590">
        <f t="shared" si="1215"/>
        <v>0</v>
      </c>
      <c r="AL1784" s="1590">
        <f t="shared" si="1215"/>
        <v>0</v>
      </c>
      <c r="AM1784" s="1590">
        <f t="shared" si="1215"/>
        <v>0</v>
      </c>
      <c r="AN1784" s="1590">
        <f t="shared" si="1215"/>
        <v>0</v>
      </c>
      <c r="AO1784" s="1590">
        <f t="shared" si="1215"/>
        <v>0</v>
      </c>
      <c r="AP1784" s="1590">
        <f t="shared" si="1215"/>
        <v>0</v>
      </c>
      <c r="AQ1784" s="1655">
        <f t="shared" si="1215"/>
        <v>0</v>
      </c>
    </row>
    <row r="1785" spans="2:43" ht="14.4" hidden="1" customHeight="1" thickTop="1" x14ac:dyDescent="0.2">
      <c r="B1785" s="1584" t="s">
        <v>2019</v>
      </c>
      <c r="C1785" s="1194" t="s">
        <v>2018</v>
      </c>
      <c r="D1785" s="1194"/>
      <c r="E1785" s="1194"/>
      <c r="F1785" s="1194"/>
      <c r="G1785" s="1194"/>
      <c r="H1785" s="1210"/>
      <c r="I1785" s="1194"/>
      <c r="J1785" s="1194"/>
      <c r="K1785" s="1194"/>
      <c r="L1785" s="1194"/>
      <c r="M1785" s="1194"/>
      <c r="N1785" s="1194"/>
      <c r="O1785" s="1194"/>
      <c r="P1785" s="1194"/>
      <c r="Q1785" s="1194"/>
      <c r="R1785" s="1194"/>
      <c r="S1785" s="1194"/>
      <c r="T1785" s="1599"/>
      <c r="Y1785" s="1584" t="s">
        <v>2019</v>
      </c>
      <c r="Z1785" s="1194" t="s">
        <v>2018</v>
      </c>
      <c r="AA1785" s="1194"/>
      <c r="AB1785" s="1194"/>
      <c r="AC1785" s="1194"/>
      <c r="AD1785" s="1194"/>
      <c r="AE1785" s="1210"/>
      <c r="AF1785" s="1194"/>
      <c r="AG1785" s="1194"/>
      <c r="AH1785" s="1194"/>
      <c r="AI1785" s="1194"/>
      <c r="AJ1785" s="1194"/>
      <c r="AK1785" s="1194"/>
      <c r="AL1785" s="1194"/>
      <c r="AM1785" s="1194"/>
      <c r="AN1785" s="1194"/>
      <c r="AO1785" s="1194"/>
      <c r="AP1785" s="1194"/>
      <c r="AQ1785" s="1599"/>
    </row>
    <row r="1786" spans="2:43" ht="13.75" hidden="1" customHeight="1" x14ac:dyDescent="0.2">
      <c r="B1786" s="1195" t="s">
        <v>2021</v>
      </c>
      <c r="C1786" s="193">
        <f t="shared" ref="C1786:C1799" si="1216">+C1750</f>
        <v>5</v>
      </c>
      <c r="D1786" s="193"/>
      <c r="E1786" s="254"/>
      <c r="F1786" s="193"/>
      <c r="G1786" s="193"/>
      <c r="H1786" s="254"/>
      <c r="I1786" s="1705">
        <f>SUMIF($V$209:$V$242,$B1642&amp;"propia",I$209:I$242)</f>
        <v>0</v>
      </c>
      <c r="J1786" s="1705">
        <f t="shared" ref="J1786:T1786" si="1217">SUMIF($V$209:$V$242,$B1642&amp;"propia",J$209:J$242)</f>
        <v>0</v>
      </c>
      <c r="K1786" s="1705">
        <f t="shared" si="1217"/>
        <v>0</v>
      </c>
      <c r="L1786" s="1705">
        <f t="shared" si="1217"/>
        <v>0</v>
      </c>
      <c r="M1786" s="1705">
        <f t="shared" si="1217"/>
        <v>0</v>
      </c>
      <c r="N1786" s="1705">
        <f t="shared" si="1217"/>
        <v>0</v>
      </c>
      <c r="O1786" s="1705">
        <f t="shared" si="1217"/>
        <v>0</v>
      </c>
      <c r="P1786" s="1705">
        <f t="shared" si="1217"/>
        <v>0</v>
      </c>
      <c r="Q1786" s="1705">
        <f t="shared" si="1217"/>
        <v>0</v>
      </c>
      <c r="R1786" s="1705">
        <f t="shared" si="1217"/>
        <v>0</v>
      </c>
      <c r="S1786" s="1705">
        <f t="shared" si="1217"/>
        <v>0</v>
      </c>
      <c r="T1786" s="1705">
        <f t="shared" si="1217"/>
        <v>0</v>
      </c>
      <c r="Y1786" s="1195" t="s">
        <v>2021</v>
      </c>
      <c r="Z1786" s="193">
        <f t="shared" ref="Z1786:Z1814" si="1218">+Z1750</f>
        <v>5</v>
      </c>
      <c r="AA1786" s="193"/>
      <c r="AB1786" s="254"/>
      <c r="AC1786" s="193"/>
      <c r="AD1786" s="193"/>
      <c r="AE1786" s="254"/>
      <c r="AF1786" s="1705">
        <f>SUMIF($AS$209:$AS$242,$B1642&amp;"propia",AF$209:AF$242)</f>
        <v>0</v>
      </c>
      <c r="AG1786" s="1705">
        <f t="shared" ref="AG1786:AQ1786" si="1219">SUMIF($AS$209:$AS$242,$B1642&amp;"propia",AG$209:AG$242)</f>
        <v>0</v>
      </c>
      <c r="AH1786" s="1705">
        <f t="shared" si="1219"/>
        <v>0</v>
      </c>
      <c r="AI1786" s="1705">
        <f t="shared" si="1219"/>
        <v>0</v>
      </c>
      <c r="AJ1786" s="1705">
        <f t="shared" si="1219"/>
        <v>0</v>
      </c>
      <c r="AK1786" s="1705">
        <f t="shared" si="1219"/>
        <v>0</v>
      </c>
      <c r="AL1786" s="1705">
        <f t="shared" si="1219"/>
        <v>0</v>
      </c>
      <c r="AM1786" s="1705">
        <f t="shared" si="1219"/>
        <v>0</v>
      </c>
      <c r="AN1786" s="1705">
        <f t="shared" si="1219"/>
        <v>0</v>
      </c>
      <c r="AO1786" s="1705">
        <f t="shared" si="1219"/>
        <v>0</v>
      </c>
      <c r="AP1786" s="1705">
        <f t="shared" si="1219"/>
        <v>0</v>
      </c>
      <c r="AQ1786" s="1706">
        <f t="shared" si="1219"/>
        <v>0</v>
      </c>
    </row>
    <row r="1787" spans="2:43" ht="13.75" hidden="1" customHeight="1" x14ac:dyDescent="0.2">
      <c r="B1787" s="1195"/>
      <c r="C1787" s="193">
        <f t="shared" si="1216"/>
        <v>5</v>
      </c>
      <c r="D1787" s="193"/>
      <c r="E1787" s="254"/>
      <c r="F1787" s="193"/>
      <c r="G1787" s="193"/>
      <c r="H1787" s="254"/>
      <c r="I1787" s="1707">
        <f t="shared" ref="I1787:T1787" si="1220">SUMIF($V$209:$V$242,$B1643&amp;"propia",I$209:I$242)</f>
        <v>0</v>
      </c>
      <c r="J1787" s="1707">
        <f t="shared" si="1220"/>
        <v>0</v>
      </c>
      <c r="K1787" s="1707">
        <f t="shared" si="1220"/>
        <v>0</v>
      </c>
      <c r="L1787" s="1707">
        <f t="shared" si="1220"/>
        <v>0</v>
      </c>
      <c r="M1787" s="1707">
        <f t="shared" si="1220"/>
        <v>0</v>
      </c>
      <c r="N1787" s="1707">
        <f t="shared" si="1220"/>
        <v>0</v>
      </c>
      <c r="O1787" s="1707">
        <f t="shared" si="1220"/>
        <v>0</v>
      </c>
      <c r="P1787" s="1707">
        <f t="shared" si="1220"/>
        <v>0</v>
      </c>
      <c r="Q1787" s="1707">
        <f t="shared" si="1220"/>
        <v>0</v>
      </c>
      <c r="R1787" s="1707">
        <f t="shared" si="1220"/>
        <v>0</v>
      </c>
      <c r="S1787" s="1707">
        <f t="shared" si="1220"/>
        <v>0</v>
      </c>
      <c r="T1787" s="1708">
        <f t="shared" si="1220"/>
        <v>0</v>
      </c>
      <c r="Y1787" s="1195"/>
      <c r="Z1787" s="193">
        <f t="shared" si="1218"/>
        <v>5</v>
      </c>
      <c r="AA1787" s="193"/>
      <c r="AB1787" s="254"/>
      <c r="AC1787" s="193"/>
      <c r="AD1787" s="193"/>
      <c r="AE1787" s="254"/>
      <c r="AF1787" s="1707">
        <f t="shared" ref="AF1787:AQ1787" si="1221">SUMIF($AS$209:$AS$242,$B1643&amp;"propia",AF$209:AF$242)</f>
        <v>0</v>
      </c>
      <c r="AG1787" s="1707">
        <f t="shared" si="1221"/>
        <v>0</v>
      </c>
      <c r="AH1787" s="1707">
        <f t="shared" si="1221"/>
        <v>0</v>
      </c>
      <c r="AI1787" s="1707">
        <f t="shared" si="1221"/>
        <v>0</v>
      </c>
      <c r="AJ1787" s="1707">
        <f t="shared" si="1221"/>
        <v>0</v>
      </c>
      <c r="AK1787" s="1707">
        <f t="shared" si="1221"/>
        <v>0</v>
      </c>
      <c r="AL1787" s="1707">
        <f t="shared" si="1221"/>
        <v>0</v>
      </c>
      <c r="AM1787" s="1707">
        <f t="shared" si="1221"/>
        <v>0</v>
      </c>
      <c r="AN1787" s="1707">
        <f t="shared" si="1221"/>
        <v>0</v>
      </c>
      <c r="AO1787" s="1707">
        <f t="shared" si="1221"/>
        <v>0</v>
      </c>
      <c r="AP1787" s="1707">
        <f t="shared" si="1221"/>
        <v>0</v>
      </c>
      <c r="AQ1787" s="1708">
        <f t="shared" si="1221"/>
        <v>0</v>
      </c>
    </row>
    <row r="1788" spans="2:43" ht="13.75" hidden="1" customHeight="1" x14ac:dyDescent="0.2">
      <c r="B1788" s="1195"/>
      <c r="C1788" s="193">
        <f t="shared" si="1216"/>
        <v>1.5</v>
      </c>
      <c r="D1788" s="193"/>
      <c r="E1788" s="254"/>
      <c r="F1788" s="193"/>
      <c r="G1788" s="193"/>
      <c r="H1788" s="254"/>
      <c r="I1788" s="1707">
        <f t="shared" ref="I1788:T1788" si="1222">SUMIF($V$209:$V$242,$B1644&amp;"propia",I$209:I$242)</f>
        <v>0</v>
      </c>
      <c r="J1788" s="1707">
        <f t="shared" si="1222"/>
        <v>0</v>
      </c>
      <c r="K1788" s="1707">
        <f t="shared" si="1222"/>
        <v>0</v>
      </c>
      <c r="L1788" s="1707">
        <f t="shared" si="1222"/>
        <v>0</v>
      </c>
      <c r="M1788" s="1707">
        <f t="shared" si="1222"/>
        <v>0</v>
      </c>
      <c r="N1788" s="1707">
        <f t="shared" si="1222"/>
        <v>0</v>
      </c>
      <c r="O1788" s="1707">
        <f t="shared" si="1222"/>
        <v>0</v>
      </c>
      <c r="P1788" s="1707">
        <f t="shared" si="1222"/>
        <v>0</v>
      </c>
      <c r="Q1788" s="1707">
        <f t="shared" si="1222"/>
        <v>0</v>
      </c>
      <c r="R1788" s="1707">
        <f t="shared" si="1222"/>
        <v>0</v>
      </c>
      <c r="S1788" s="1707">
        <f t="shared" si="1222"/>
        <v>0</v>
      </c>
      <c r="T1788" s="1708">
        <f t="shared" si="1222"/>
        <v>0</v>
      </c>
      <c r="Y1788" s="1195"/>
      <c r="Z1788" s="193">
        <f t="shared" si="1218"/>
        <v>1.5</v>
      </c>
      <c r="AA1788" s="193"/>
      <c r="AB1788" s="254"/>
      <c r="AC1788" s="193"/>
      <c r="AD1788" s="193"/>
      <c r="AE1788" s="254"/>
      <c r="AF1788" s="1707">
        <f t="shared" ref="AF1788:AQ1788" si="1223">SUMIF($AS$209:$AS$242,$B1644&amp;"propia",AF$209:AF$242)</f>
        <v>0</v>
      </c>
      <c r="AG1788" s="1707">
        <f t="shared" si="1223"/>
        <v>0</v>
      </c>
      <c r="AH1788" s="1707">
        <f t="shared" si="1223"/>
        <v>0</v>
      </c>
      <c r="AI1788" s="1707">
        <f t="shared" si="1223"/>
        <v>0</v>
      </c>
      <c r="AJ1788" s="1707">
        <f t="shared" si="1223"/>
        <v>0</v>
      </c>
      <c r="AK1788" s="1707">
        <f t="shared" si="1223"/>
        <v>0</v>
      </c>
      <c r="AL1788" s="1707">
        <f t="shared" si="1223"/>
        <v>0</v>
      </c>
      <c r="AM1788" s="1707">
        <f t="shared" si="1223"/>
        <v>0</v>
      </c>
      <c r="AN1788" s="1707">
        <f t="shared" si="1223"/>
        <v>0</v>
      </c>
      <c r="AO1788" s="1707">
        <f t="shared" si="1223"/>
        <v>0</v>
      </c>
      <c r="AP1788" s="1707">
        <f t="shared" si="1223"/>
        <v>0</v>
      </c>
      <c r="AQ1788" s="1708">
        <f t="shared" si="1223"/>
        <v>0</v>
      </c>
    </row>
    <row r="1789" spans="2:43" ht="13.75" hidden="1" customHeight="1" x14ac:dyDescent="0.2">
      <c r="B1789" s="1195"/>
      <c r="C1789" s="193">
        <f t="shared" si="1216"/>
        <v>1.5</v>
      </c>
      <c r="D1789" s="193"/>
      <c r="E1789" s="254"/>
      <c r="F1789" s="193"/>
      <c r="G1789" s="193"/>
      <c r="H1789" s="254"/>
      <c r="I1789" s="1707">
        <f t="shared" ref="I1789:T1789" si="1224">SUMIF($V$209:$V$242,$B1645&amp;"propia",I$209:I$242)</f>
        <v>0</v>
      </c>
      <c r="J1789" s="1707">
        <f t="shared" si="1224"/>
        <v>0</v>
      </c>
      <c r="K1789" s="1707">
        <f t="shared" si="1224"/>
        <v>0</v>
      </c>
      <c r="L1789" s="1707">
        <f t="shared" si="1224"/>
        <v>0</v>
      </c>
      <c r="M1789" s="1707">
        <f t="shared" si="1224"/>
        <v>0</v>
      </c>
      <c r="N1789" s="1707">
        <f t="shared" si="1224"/>
        <v>0</v>
      </c>
      <c r="O1789" s="1707">
        <f t="shared" si="1224"/>
        <v>0</v>
      </c>
      <c r="P1789" s="1707">
        <f t="shared" si="1224"/>
        <v>0</v>
      </c>
      <c r="Q1789" s="1707">
        <f t="shared" si="1224"/>
        <v>0</v>
      </c>
      <c r="R1789" s="1707">
        <f t="shared" si="1224"/>
        <v>0</v>
      </c>
      <c r="S1789" s="1707">
        <f t="shared" si="1224"/>
        <v>0</v>
      </c>
      <c r="T1789" s="1708">
        <f t="shared" si="1224"/>
        <v>0</v>
      </c>
      <c r="Y1789" s="1195"/>
      <c r="Z1789" s="193">
        <f t="shared" si="1218"/>
        <v>1.5</v>
      </c>
      <c r="AA1789" s="193"/>
      <c r="AB1789" s="254"/>
      <c r="AC1789" s="193"/>
      <c r="AD1789" s="193"/>
      <c r="AE1789" s="254"/>
      <c r="AF1789" s="1707">
        <f t="shared" ref="AF1789:AQ1789" si="1225">SUMIF($AS$209:$AS$242,$B1645&amp;"propia",AF$209:AF$242)</f>
        <v>0</v>
      </c>
      <c r="AG1789" s="1707">
        <f t="shared" si="1225"/>
        <v>0</v>
      </c>
      <c r="AH1789" s="1707">
        <f t="shared" si="1225"/>
        <v>0</v>
      </c>
      <c r="AI1789" s="1707">
        <f t="shared" si="1225"/>
        <v>0</v>
      </c>
      <c r="AJ1789" s="1707">
        <f t="shared" si="1225"/>
        <v>0</v>
      </c>
      <c r="AK1789" s="1707">
        <f t="shared" si="1225"/>
        <v>0</v>
      </c>
      <c r="AL1789" s="1707">
        <f t="shared" si="1225"/>
        <v>0</v>
      </c>
      <c r="AM1789" s="1707">
        <f t="shared" si="1225"/>
        <v>0</v>
      </c>
      <c r="AN1789" s="1707">
        <f t="shared" si="1225"/>
        <v>0</v>
      </c>
      <c r="AO1789" s="1707">
        <f t="shared" si="1225"/>
        <v>0</v>
      </c>
      <c r="AP1789" s="1707">
        <f t="shared" si="1225"/>
        <v>0</v>
      </c>
      <c r="AQ1789" s="1708">
        <f t="shared" si="1225"/>
        <v>0</v>
      </c>
    </row>
    <row r="1790" spans="2:43" ht="13.75" hidden="1" customHeight="1" x14ac:dyDescent="0.2">
      <c r="B1790" s="1195"/>
      <c r="C1790" s="193">
        <f t="shared" si="1216"/>
        <v>3</v>
      </c>
      <c r="D1790" s="193"/>
      <c r="E1790" s="254"/>
      <c r="F1790" s="193"/>
      <c r="G1790" s="193"/>
      <c r="H1790" s="254"/>
      <c r="I1790" s="1707">
        <f t="shared" ref="I1790:T1790" si="1226">SUMIF($V$209:$V$242,$B1646&amp;"propia",I$209:I$242)</f>
        <v>0</v>
      </c>
      <c r="J1790" s="1707">
        <f t="shared" si="1226"/>
        <v>0</v>
      </c>
      <c r="K1790" s="1707">
        <f t="shared" si="1226"/>
        <v>0</v>
      </c>
      <c r="L1790" s="1707">
        <f t="shared" si="1226"/>
        <v>0</v>
      </c>
      <c r="M1790" s="1707">
        <f t="shared" si="1226"/>
        <v>0</v>
      </c>
      <c r="N1790" s="1707">
        <f t="shared" si="1226"/>
        <v>0</v>
      </c>
      <c r="O1790" s="1707">
        <f t="shared" si="1226"/>
        <v>0</v>
      </c>
      <c r="P1790" s="1707">
        <f t="shared" si="1226"/>
        <v>0</v>
      </c>
      <c r="Q1790" s="1707">
        <f t="shared" si="1226"/>
        <v>0</v>
      </c>
      <c r="R1790" s="1707">
        <f t="shared" si="1226"/>
        <v>0</v>
      </c>
      <c r="S1790" s="1707">
        <f t="shared" si="1226"/>
        <v>0</v>
      </c>
      <c r="T1790" s="1708">
        <f t="shared" si="1226"/>
        <v>0</v>
      </c>
      <c r="Y1790" s="1195"/>
      <c r="Z1790" s="193">
        <f t="shared" si="1218"/>
        <v>3</v>
      </c>
      <c r="AA1790" s="193"/>
      <c r="AB1790" s="254"/>
      <c r="AC1790" s="193"/>
      <c r="AD1790" s="193"/>
      <c r="AE1790" s="254"/>
      <c r="AF1790" s="1707">
        <f t="shared" ref="AF1790:AQ1790" si="1227">SUMIF($AS$209:$AS$242,$B1646&amp;"propia",AF$209:AF$242)</f>
        <v>0</v>
      </c>
      <c r="AG1790" s="1707">
        <f t="shared" si="1227"/>
        <v>0</v>
      </c>
      <c r="AH1790" s="1707">
        <f t="shared" si="1227"/>
        <v>0</v>
      </c>
      <c r="AI1790" s="1707">
        <f t="shared" si="1227"/>
        <v>0</v>
      </c>
      <c r="AJ1790" s="1707">
        <f t="shared" si="1227"/>
        <v>0</v>
      </c>
      <c r="AK1790" s="1707">
        <f t="shared" si="1227"/>
        <v>0</v>
      </c>
      <c r="AL1790" s="1707">
        <f t="shared" si="1227"/>
        <v>0</v>
      </c>
      <c r="AM1790" s="1707">
        <f t="shared" si="1227"/>
        <v>0</v>
      </c>
      <c r="AN1790" s="1707">
        <f t="shared" si="1227"/>
        <v>0</v>
      </c>
      <c r="AO1790" s="1707">
        <f t="shared" si="1227"/>
        <v>0</v>
      </c>
      <c r="AP1790" s="1707">
        <f t="shared" si="1227"/>
        <v>0</v>
      </c>
      <c r="AQ1790" s="1708">
        <f t="shared" si="1227"/>
        <v>0</v>
      </c>
    </row>
    <row r="1791" spans="2:43" ht="13.75" hidden="1" customHeight="1" x14ac:dyDescent="0.2">
      <c r="B1791" s="1195"/>
      <c r="C1791" s="193">
        <f t="shared" si="1216"/>
        <v>3</v>
      </c>
      <c r="D1791" s="193"/>
      <c r="E1791" s="254"/>
      <c r="F1791" s="193"/>
      <c r="G1791" s="193"/>
      <c r="H1791" s="254"/>
      <c r="I1791" s="1707">
        <f t="shared" ref="I1791:T1791" si="1228">SUMIF($V$209:$V$242,$B1647&amp;"propia",I$209:I$242)</f>
        <v>0</v>
      </c>
      <c r="J1791" s="1707">
        <f t="shared" si="1228"/>
        <v>0</v>
      </c>
      <c r="K1791" s="1707">
        <f t="shared" si="1228"/>
        <v>0</v>
      </c>
      <c r="L1791" s="1707">
        <f t="shared" si="1228"/>
        <v>0</v>
      </c>
      <c r="M1791" s="1707">
        <f t="shared" si="1228"/>
        <v>0</v>
      </c>
      <c r="N1791" s="1707">
        <f t="shared" si="1228"/>
        <v>0</v>
      </c>
      <c r="O1791" s="1707">
        <f t="shared" si="1228"/>
        <v>0</v>
      </c>
      <c r="P1791" s="1707">
        <f t="shared" si="1228"/>
        <v>0</v>
      </c>
      <c r="Q1791" s="1707">
        <f t="shared" si="1228"/>
        <v>0</v>
      </c>
      <c r="R1791" s="1707">
        <f t="shared" si="1228"/>
        <v>0</v>
      </c>
      <c r="S1791" s="1707">
        <f t="shared" si="1228"/>
        <v>0</v>
      </c>
      <c r="T1791" s="1708">
        <f t="shared" si="1228"/>
        <v>0</v>
      </c>
      <c r="Y1791" s="1195"/>
      <c r="Z1791" s="193">
        <f t="shared" si="1218"/>
        <v>3</v>
      </c>
      <c r="AA1791" s="193"/>
      <c r="AB1791" s="254"/>
      <c r="AC1791" s="193"/>
      <c r="AD1791" s="193"/>
      <c r="AE1791" s="254"/>
      <c r="AF1791" s="1707">
        <f t="shared" ref="AF1791:AQ1791" si="1229">SUMIF($AS$209:$AS$242,$B1647&amp;"propia",AF$209:AF$242)</f>
        <v>0</v>
      </c>
      <c r="AG1791" s="1707">
        <f t="shared" si="1229"/>
        <v>0</v>
      </c>
      <c r="AH1791" s="1707">
        <f t="shared" si="1229"/>
        <v>0</v>
      </c>
      <c r="AI1791" s="1707">
        <f t="shared" si="1229"/>
        <v>0</v>
      </c>
      <c r="AJ1791" s="1707">
        <f t="shared" si="1229"/>
        <v>0</v>
      </c>
      <c r="AK1791" s="1707">
        <f t="shared" si="1229"/>
        <v>0</v>
      </c>
      <c r="AL1791" s="1707">
        <f t="shared" si="1229"/>
        <v>0</v>
      </c>
      <c r="AM1791" s="1707">
        <f t="shared" si="1229"/>
        <v>0</v>
      </c>
      <c r="AN1791" s="1707">
        <f t="shared" si="1229"/>
        <v>0</v>
      </c>
      <c r="AO1791" s="1707">
        <f t="shared" si="1229"/>
        <v>0</v>
      </c>
      <c r="AP1791" s="1707">
        <f t="shared" si="1229"/>
        <v>0</v>
      </c>
      <c r="AQ1791" s="1708">
        <f t="shared" si="1229"/>
        <v>0</v>
      </c>
    </row>
    <row r="1792" spans="2:43" ht="13.75" hidden="1" customHeight="1" x14ac:dyDescent="0.2">
      <c r="B1792" s="1195"/>
      <c r="C1792" s="193">
        <f t="shared" si="1216"/>
        <v>9</v>
      </c>
      <c r="D1792" s="193"/>
      <c r="E1792" s="254"/>
      <c r="F1792" s="193"/>
      <c r="G1792" s="193"/>
      <c r="H1792" s="254"/>
      <c r="I1792" s="1707">
        <f t="shared" ref="I1792:T1792" si="1230">SUMIF($V$209:$V$242,$B1648&amp;"propia",I$209:I$242)</f>
        <v>0</v>
      </c>
      <c r="J1792" s="1707">
        <f t="shared" si="1230"/>
        <v>0</v>
      </c>
      <c r="K1792" s="1707">
        <f t="shared" si="1230"/>
        <v>0</v>
      </c>
      <c r="L1792" s="1707">
        <f t="shared" si="1230"/>
        <v>0</v>
      </c>
      <c r="M1792" s="1707">
        <f t="shared" si="1230"/>
        <v>0</v>
      </c>
      <c r="N1792" s="1707">
        <f t="shared" si="1230"/>
        <v>0</v>
      </c>
      <c r="O1792" s="1707">
        <f t="shared" si="1230"/>
        <v>0</v>
      </c>
      <c r="P1792" s="1707">
        <f t="shared" si="1230"/>
        <v>0</v>
      </c>
      <c r="Q1792" s="1707">
        <f t="shared" si="1230"/>
        <v>0</v>
      </c>
      <c r="R1792" s="1707">
        <f t="shared" si="1230"/>
        <v>0</v>
      </c>
      <c r="S1792" s="1707">
        <f t="shared" si="1230"/>
        <v>0</v>
      </c>
      <c r="T1792" s="1708">
        <f t="shared" si="1230"/>
        <v>0</v>
      </c>
      <c r="Y1792" s="1195"/>
      <c r="Z1792" s="193">
        <f t="shared" si="1218"/>
        <v>9</v>
      </c>
      <c r="AA1792" s="193"/>
      <c r="AB1792" s="254"/>
      <c r="AC1792" s="193"/>
      <c r="AD1792" s="193"/>
      <c r="AE1792" s="254"/>
      <c r="AF1792" s="1707">
        <f t="shared" ref="AF1792:AQ1792" si="1231">SUMIF($AS$209:$AS$242,$B1648&amp;"propia",AF$209:AF$242)</f>
        <v>0</v>
      </c>
      <c r="AG1792" s="1707">
        <f t="shared" si="1231"/>
        <v>0</v>
      </c>
      <c r="AH1792" s="1707">
        <f t="shared" si="1231"/>
        <v>0</v>
      </c>
      <c r="AI1792" s="1707">
        <f t="shared" si="1231"/>
        <v>0</v>
      </c>
      <c r="AJ1792" s="1707">
        <f t="shared" si="1231"/>
        <v>0</v>
      </c>
      <c r="AK1792" s="1707">
        <f t="shared" si="1231"/>
        <v>0</v>
      </c>
      <c r="AL1792" s="1707">
        <f t="shared" si="1231"/>
        <v>0</v>
      </c>
      <c r="AM1792" s="1707">
        <f t="shared" si="1231"/>
        <v>0</v>
      </c>
      <c r="AN1792" s="1707">
        <f t="shared" si="1231"/>
        <v>0</v>
      </c>
      <c r="AO1792" s="1707">
        <f t="shared" si="1231"/>
        <v>0</v>
      </c>
      <c r="AP1792" s="1707">
        <f t="shared" si="1231"/>
        <v>0</v>
      </c>
      <c r="AQ1792" s="1708">
        <f t="shared" si="1231"/>
        <v>0</v>
      </c>
    </row>
    <row r="1793" spans="2:43" ht="13.75" hidden="1" customHeight="1" x14ac:dyDescent="0.2">
      <c r="B1793" s="1195"/>
      <c r="C1793" s="193">
        <f t="shared" si="1216"/>
        <v>0</v>
      </c>
      <c r="D1793" s="193"/>
      <c r="E1793" s="254"/>
      <c r="F1793" s="193"/>
      <c r="G1793" s="193"/>
      <c r="H1793" s="254"/>
      <c r="I1793" s="1707">
        <f t="shared" ref="I1793:T1793" si="1232">SUMIF($V$209:$V$242,$B1649&amp;"propia",I$209:I$242)</f>
        <v>0</v>
      </c>
      <c r="J1793" s="1707">
        <f t="shared" si="1232"/>
        <v>0</v>
      </c>
      <c r="K1793" s="1707">
        <f t="shared" si="1232"/>
        <v>0</v>
      </c>
      <c r="L1793" s="1707">
        <f t="shared" si="1232"/>
        <v>0</v>
      </c>
      <c r="M1793" s="1707">
        <f t="shared" si="1232"/>
        <v>0</v>
      </c>
      <c r="N1793" s="1707">
        <f t="shared" si="1232"/>
        <v>0</v>
      </c>
      <c r="O1793" s="1707">
        <f t="shared" si="1232"/>
        <v>0</v>
      </c>
      <c r="P1793" s="1707">
        <f t="shared" si="1232"/>
        <v>0</v>
      </c>
      <c r="Q1793" s="1707">
        <f t="shared" si="1232"/>
        <v>0</v>
      </c>
      <c r="R1793" s="1707">
        <f t="shared" si="1232"/>
        <v>0</v>
      </c>
      <c r="S1793" s="1707">
        <f t="shared" si="1232"/>
        <v>0</v>
      </c>
      <c r="T1793" s="1708">
        <f t="shared" si="1232"/>
        <v>0</v>
      </c>
      <c r="Y1793" s="1195"/>
      <c r="Z1793" s="193">
        <f t="shared" si="1218"/>
        <v>0</v>
      </c>
      <c r="AA1793" s="193"/>
      <c r="AB1793" s="254"/>
      <c r="AC1793" s="193"/>
      <c r="AD1793" s="193"/>
      <c r="AE1793" s="254"/>
      <c r="AF1793" s="1707">
        <f t="shared" ref="AF1793:AQ1793" si="1233">SUMIF($AS$209:$AS$242,$B1649&amp;"propia",AF$209:AF$242)</f>
        <v>0</v>
      </c>
      <c r="AG1793" s="1707">
        <f t="shared" si="1233"/>
        <v>0</v>
      </c>
      <c r="AH1793" s="1707">
        <f t="shared" si="1233"/>
        <v>0</v>
      </c>
      <c r="AI1793" s="1707">
        <f t="shared" si="1233"/>
        <v>0</v>
      </c>
      <c r="AJ1793" s="1707">
        <f t="shared" si="1233"/>
        <v>0</v>
      </c>
      <c r="AK1793" s="1707">
        <f t="shared" si="1233"/>
        <v>0</v>
      </c>
      <c r="AL1793" s="1707">
        <f t="shared" si="1233"/>
        <v>0</v>
      </c>
      <c r="AM1793" s="1707">
        <f t="shared" si="1233"/>
        <v>0</v>
      </c>
      <c r="AN1793" s="1707">
        <f t="shared" si="1233"/>
        <v>0</v>
      </c>
      <c r="AO1793" s="1707">
        <f t="shared" si="1233"/>
        <v>0</v>
      </c>
      <c r="AP1793" s="1707">
        <f t="shared" si="1233"/>
        <v>0</v>
      </c>
      <c r="AQ1793" s="1708">
        <f t="shared" si="1233"/>
        <v>0</v>
      </c>
    </row>
    <row r="1794" spans="2:43" ht="13.75" hidden="1" customHeight="1" x14ac:dyDescent="0.2">
      <c r="B1794" s="1195"/>
      <c r="C1794" s="193">
        <f t="shared" si="1216"/>
        <v>0</v>
      </c>
      <c r="D1794" s="193"/>
      <c r="E1794" s="254"/>
      <c r="F1794" s="193"/>
      <c r="G1794" s="193"/>
      <c r="H1794" s="254"/>
      <c r="I1794" s="1707">
        <f t="shared" ref="I1794:T1794" si="1234">SUMIF($V$209:$V$242,$B1650&amp;"propia",I$209:I$242)</f>
        <v>0</v>
      </c>
      <c r="J1794" s="1707">
        <f t="shared" si="1234"/>
        <v>0</v>
      </c>
      <c r="K1794" s="1707">
        <f t="shared" si="1234"/>
        <v>0</v>
      </c>
      <c r="L1794" s="1707">
        <f t="shared" si="1234"/>
        <v>0</v>
      </c>
      <c r="M1794" s="1707">
        <f t="shared" si="1234"/>
        <v>0</v>
      </c>
      <c r="N1794" s="1707">
        <f t="shared" si="1234"/>
        <v>0</v>
      </c>
      <c r="O1794" s="1707">
        <f t="shared" si="1234"/>
        <v>0</v>
      </c>
      <c r="P1794" s="1707">
        <f t="shared" si="1234"/>
        <v>0</v>
      </c>
      <c r="Q1794" s="1707">
        <f t="shared" si="1234"/>
        <v>0</v>
      </c>
      <c r="R1794" s="1707">
        <f t="shared" si="1234"/>
        <v>0</v>
      </c>
      <c r="S1794" s="1707">
        <f t="shared" si="1234"/>
        <v>0</v>
      </c>
      <c r="T1794" s="1708">
        <f t="shared" si="1234"/>
        <v>0</v>
      </c>
      <c r="Y1794" s="1195"/>
      <c r="Z1794" s="193">
        <f t="shared" si="1218"/>
        <v>0</v>
      </c>
      <c r="AA1794" s="193"/>
      <c r="AB1794" s="254"/>
      <c r="AC1794" s="193"/>
      <c r="AD1794" s="193"/>
      <c r="AE1794" s="254"/>
      <c r="AF1794" s="1707">
        <f t="shared" ref="AF1794:AQ1794" si="1235">SUMIF($AS$209:$AS$242,$B1650&amp;"propia",AF$209:AF$242)</f>
        <v>0</v>
      </c>
      <c r="AG1794" s="1707">
        <f t="shared" si="1235"/>
        <v>0</v>
      </c>
      <c r="AH1794" s="1707">
        <f t="shared" si="1235"/>
        <v>0</v>
      </c>
      <c r="AI1794" s="1707">
        <f t="shared" si="1235"/>
        <v>0</v>
      </c>
      <c r="AJ1794" s="1707">
        <f t="shared" si="1235"/>
        <v>0</v>
      </c>
      <c r="AK1794" s="1707">
        <f t="shared" si="1235"/>
        <v>0</v>
      </c>
      <c r="AL1794" s="1707">
        <f t="shared" si="1235"/>
        <v>0</v>
      </c>
      <c r="AM1794" s="1707">
        <f t="shared" si="1235"/>
        <v>0</v>
      </c>
      <c r="AN1794" s="1707">
        <f t="shared" si="1235"/>
        <v>0</v>
      </c>
      <c r="AO1794" s="1707">
        <f t="shared" si="1235"/>
        <v>0</v>
      </c>
      <c r="AP1794" s="1707">
        <f t="shared" si="1235"/>
        <v>0</v>
      </c>
      <c r="AQ1794" s="1708">
        <f t="shared" si="1235"/>
        <v>0</v>
      </c>
    </row>
    <row r="1795" spans="2:43" ht="13.75" hidden="1" customHeight="1" x14ac:dyDescent="0.2">
      <c r="B1795" s="1195"/>
      <c r="C1795" s="193">
        <f t="shared" si="1216"/>
        <v>0</v>
      </c>
      <c r="D1795" s="193"/>
      <c r="E1795" s="254"/>
      <c r="F1795" s="193"/>
      <c r="G1795" s="193"/>
      <c r="H1795" s="254"/>
      <c r="I1795" s="1707">
        <f t="shared" ref="I1795:T1795" si="1236">SUMIF($V$209:$V$242,$B1651&amp;"propia",I$209:I$242)</f>
        <v>0</v>
      </c>
      <c r="J1795" s="1707">
        <f t="shared" si="1236"/>
        <v>0</v>
      </c>
      <c r="K1795" s="1707">
        <f t="shared" si="1236"/>
        <v>0</v>
      </c>
      <c r="L1795" s="1707">
        <f t="shared" si="1236"/>
        <v>0</v>
      </c>
      <c r="M1795" s="1707">
        <f t="shared" si="1236"/>
        <v>0</v>
      </c>
      <c r="N1795" s="1707">
        <f t="shared" si="1236"/>
        <v>0</v>
      </c>
      <c r="O1795" s="1707">
        <f t="shared" si="1236"/>
        <v>0</v>
      </c>
      <c r="P1795" s="1707">
        <f t="shared" si="1236"/>
        <v>0</v>
      </c>
      <c r="Q1795" s="1707">
        <f t="shared" si="1236"/>
        <v>0</v>
      </c>
      <c r="R1795" s="1707">
        <f t="shared" si="1236"/>
        <v>0</v>
      </c>
      <c r="S1795" s="1707">
        <f t="shared" si="1236"/>
        <v>0</v>
      </c>
      <c r="T1795" s="1708">
        <f t="shared" si="1236"/>
        <v>0</v>
      </c>
      <c r="Y1795" s="1195"/>
      <c r="Z1795" s="193">
        <f t="shared" si="1218"/>
        <v>0</v>
      </c>
      <c r="AA1795" s="193"/>
      <c r="AB1795" s="254"/>
      <c r="AC1795" s="193"/>
      <c r="AD1795" s="193"/>
      <c r="AE1795" s="254"/>
      <c r="AF1795" s="1707">
        <f t="shared" ref="AF1795:AQ1795" si="1237">SUMIF($AS$209:$AS$242,$B1651&amp;"propia",AF$209:AF$242)</f>
        <v>0</v>
      </c>
      <c r="AG1795" s="1707">
        <f t="shared" si="1237"/>
        <v>0</v>
      </c>
      <c r="AH1795" s="1707">
        <f t="shared" si="1237"/>
        <v>0</v>
      </c>
      <c r="AI1795" s="1707">
        <f t="shared" si="1237"/>
        <v>0</v>
      </c>
      <c r="AJ1795" s="1707">
        <f t="shared" si="1237"/>
        <v>0</v>
      </c>
      <c r="AK1795" s="1707">
        <f t="shared" si="1237"/>
        <v>0</v>
      </c>
      <c r="AL1795" s="1707">
        <f t="shared" si="1237"/>
        <v>0</v>
      </c>
      <c r="AM1795" s="1707">
        <f t="shared" si="1237"/>
        <v>0</v>
      </c>
      <c r="AN1795" s="1707">
        <f t="shared" si="1237"/>
        <v>0</v>
      </c>
      <c r="AO1795" s="1707">
        <f t="shared" si="1237"/>
        <v>0</v>
      </c>
      <c r="AP1795" s="1707">
        <f t="shared" si="1237"/>
        <v>0</v>
      </c>
      <c r="AQ1795" s="1708">
        <f t="shared" si="1237"/>
        <v>0</v>
      </c>
    </row>
    <row r="1796" spans="2:43" ht="13.75" hidden="1" customHeight="1" x14ac:dyDescent="0.2">
      <c r="B1796" s="1195"/>
      <c r="C1796" s="193">
        <f t="shared" si="1216"/>
        <v>0</v>
      </c>
      <c r="D1796" s="193"/>
      <c r="E1796" s="254"/>
      <c r="F1796" s="193"/>
      <c r="G1796" s="193"/>
      <c r="H1796" s="254"/>
      <c r="I1796" s="1707">
        <f t="shared" ref="I1796:T1796" si="1238">SUMIF($V$209:$V$242,$B1652&amp;"propia",I$209:I$242)</f>
        <v>0</v>
      </c>
      <c r="J1796" s="1707">
        <f t="shared" si="1238"/>
        <v>0</v>
      </c>
      <c r="K1796" s="1707">
        <f t="shared" si="1238"/>
        <v>0</v>
      </c>
      <c r="L1796" s="1707">
        <f t="shared" si="1238"/>
        <v>0</v>
      </c>
      <c r="M1796" s="1707">
        <f t="shared" si="1238"/>
        <v>0</v>
      </c>
      <c r="N1796" s="1707">
        <f t="shared" si="1238"/>
        <v>0</v>
      </c>
      <c r="O1796" s="1707">
        <f t="shared" si="1238"/>
        <v>0</v>
      </c>
      <c r="P1796" s="1707">
        <f t="shared" si="1238"/>
        <v>0</v>
      </c>
      <c r="Q1796" s="1707">
        <f t="shared" si="1238"/>
        <v>0</v>
      </c>
      <c r="R1796" s="1707">
        <f t="shared" si="1238"/>
        <v>0</v>
      </c>
      <c r="S1796" s="1707">
        <f t="shared" si="1238"/>
        <v>0</v>
      </c>
      <c r="T1796" s="1708">
        <f t="shared" si="1238"/>
        <v>0</v>
      </c>
      <c r="Y1796" s="1195"/>
      <c r="Z1796" s="193">
        <f t="shared" si="1218"/>
        <v>0</v>
      </c>
      <c r="AA1796" s="193"/>
      <c r="AB1796" s="254"/>
      <c r="AC1796" s="193"/>
      <c r="AD1796" s="193"/>
      <c r="AE1796" s="254"/>
      <c r="AF1796" s="1707">
        <f t="shared" ref="AF1796:AQ1796" si="1239">SUMIF($AS$209:$AS$242,$B1652&amp;"propia",AF$209:AF$242)</f>
        <v>0</v>
      </c>
      <c r="AG1796" s="1707">
        <f t="shared" si="1239"/>
        <v>0</v>
      </c>
      <c r="AH1796" s="1707">
        <f t="shared" si="1239"/>
        <v>0</v>
      </c>
      <c r="AI1796" s="1707">
        <f t="shared" si="1239"/>
        <v>0</v>
      </c>
      <c r="AJ1796" s="1707">
        <f t="shared" si="1239"/>
        <v>0</v>
      </c>
      <c r="AK1796" s="1707">
        <f t="shared" si="1239"/>
        <v>0</v>
      </c>
      <c r="AL1796" s="1707">
        <f t="shared" si="1239"/>
        <v>0</v>
      </c>
      <c r="AM1796" s="1707">
        <f t="shared" si="1239"/>
        <v>0</v>
      </c>
      <c r="AN1796" s="1707">
        <f t="shared" si="1239"/>
        <v>0</v>
      </c>
      <c r="AO1796" s="1707">
        <f t="shared" si="1239"/>
        <v>0</v>
      </c>
      <c r="AP1796" s="1707">
        <f t="shared" si="1239"/>
        <v>0</v>
      </c>
      <c r="AQ1796" s="1708">
        <f t="shared" si="1239"/>
        <v>0</v>
      </c>
    </row>
    <row r="1797" spans="2:43" ht="13.75" hidden="1" customHeight="1" x14ac:dyDescent="0.2">
      <c r="B1797" s="1195"/>
      <c r="C1797" s="193">
        <f t="shared" si="1216"/>
        <v>0</v>
      </c>
      <c r="D1797" s="193"/>
      <c r="E1797" s="254"/>
      <c r="F1797" s="193"/>
      <c r="G1797" s="193"/>
      <c r="H1797" s="254"/>
      <c r="I1797" s="1707">
        <f t="shared" ref="I1797:T1797" si="1240">SUMIF($V$209:$V$242,$B1653&amp;"propia",I$209:I$242)</f>
        <v>0</v>
      </c>
      <c r="J1797" s="1707">
        <f t="shared" si="1240"/>
        <v>0</v>
      </c>
      <c r="K1797" s="1707">
        <f t="shared" si="1240"/>
        <v>0</v>
      </c>
      <c r="L1797" s="1707">
        <f t="shared" si="1240"/>
        <v>0</v>
      </c>
      <c r="M1797" s="1707">
        <f t="shared" si="1240"/>
        <v>0</v>
      </c>
      <c r="N1797" s="1707">
        <f t="shared" si="1240"/>
        <v>0</v>
      </c>
      <c r="O1797" s="1707">
        <f t="shared" si="1240"/>
        <v>0</v>
      </c>
      <c r="P1797" s="1707">
        <f t="shared" si="1240"/>
        <v>0</v>
      </c>
      <c r="Q1797" s="1707">
        <f t="shared" si="1240"/>
        <v>0</v>
      </c>
      <c r="R1797" s="1707">
        <f t="shared" si="1240"/>
        <v>0</v>
      </c>
      <c r="S1797" s="1707">
        <f t="shared" si="1240"/>
        <v>0</v>
      </c>
      <c r="T1797" s="1708">
        <f t="shared" si="1240"/>
        <v>0</v>
      </c>
      <c r="Y1797" s="1195"/>
      <c r="Z1797" s="193">
        <f t="shared" si="1218"/>
        <v>0</v>
      </c>
      <c r="AA1797" s="193"/>
      <c r="AB1797" s="254"/>
      <c r="AC1797" s="193"/>
      <c r="AD1797" s="193"/>
      <c r="AE1797" s="254"/>
      <c r="AF1797" s="1707">
        <f t="shared" ref="AF1797:AQ1797" si="1241">SUMIF($AS$209:$AS$242,$B1653&amp;"propia",AF$209:AF$242)</f>
        <v>0</v>
      </c>
      <c r="AG1797" s="1707">
        <f t="shared" si="1241"/>
        <v>0</v>
      </c>
      <c r="AH1797" s="1707">
        <f t="shared" si="1241"/>
        <v>0</v>
      </c>
      <c r="AI1797" s="1707">
        <f t="shared" si="1241"/>
        <v>0</v>
      </c>
      <c r="AJ1797" s="1707">
        <f t="shared" si="1241"/>
        <v>0</v>
      </c>
      <c r="AK1797" s="1707">
        <f t="shared" si="1241"/>
        <v>0</v>
      </c>
      <c r="AL1797" s="1707">
        <f t="shared" si="1241"/>
        <v>0</v>
      </c>
      <c r="AM1797" s="1707">
        <f t="shared" si="1241"/>
        <v>0</v>
      </c>
      <c r="AN1797" s="1707">
        <f t="shared" si="1241"/>
        <v>0</v>
      </c>
      <c r="AO1797" s="1707">
        <f t="shared" si="1241"/>
        <v>0</v>
      </c>
      <c r="AP1797" s="1707">
        <f t="shared" si="1241"/>
        <v>0</v>
      </c>
      <c r="AQ1797" s="1708">
        <f t="shared" si="1241"/>
        <v>0</v>
      </c>
    </row>
    <row r="1798" spans="2:43" ht="13.75" hidden="1" customHeight="1" x14ac:dyDescent="0.2">
      <c r="B1798" s="1195"/>
      <c r="C1798" s="193">
        <f t="shared" si="1216"/>
        <v>0</v>
      </c>
      <c r="D1798" s="193"/>
      <c r="E1798" s="254"/>
      <c r="F1798" s="193"/>
      <c r="G1798" s="193"/>
      <c r="H1798" s="254"/>
      <c r="I1798" s="1707">
        <f t="shared" ref="I1798:T1798" si="1242">SUMIF($V$209:$V$242,$B1654&amp;"propia",I$209:I$242)</f>
        <v>0</v>
      </c>
      <c r="J1798" s="1707">
        <f t="shared" si="1242"/>
        <v>0</v>
      </c>
      <c r="K1798" s="1707">
        <f t="shared" si="1242"/>
        <v>0</v>
      </c>
      <c r="L1798" s="1707">
        <f t="shared" si="1242"/>
        <v>0</v>
      </c>
      <c r="M1798" s="1707">
        <f t="shared" si="1242"/>
        <v>0</v>
      </c>
      <c r="N1798" s="1707">
        <f t="shared" si="1242"/>
        <v>0</v>
      </c>
      <c r="O1798" s="1707">
        <f t="shared" si="1242"/>
        <v>0</v>
      </c>
      <c r="P1798" s="1707">
        <f t="shared" si="1242"/>
        <v>0</v>
      </c>
      <c r="Q1798" s="1707">
        <f t="shared" si="1242"/>
        <v>0</v>
      </c>
      <c r="R1798" s="1707">
        <f t="shared" si="1242"/>
        <v>0</v>
      </c>
      <c r="S1798" s="1707">
        <f t="shared" si="1242"/>
        <v>0</v>
      </c>
      <c r="T1798" s="1708">
        <f t="shared" si="1242"/>
        <v>0</v>
      </c>
      <c r="Y1798" s="1195"/>
      <c r="Z1798" s="193">
        <f t="shared" si="1218"/>
        <v>0</v>
      </c>
      <c r="AA1798" s="193"/>
      <c r="AB1798" s="254"/>
      <c r="AC1798" s="193"/>
      <c r="AD1798" s="193"/>
      <c r="AE1798" s="254"/>
      <c r="AF1798" s="1707">
        <f t="shared" ref="AF1798:AQ1798" si="1243">SUMIF($AS$209:$AS$242,$B1654&amp;"propia",AF$209:AF$242)</f>
        <v>0</v>
      </c>
      <c r="AG1798" s="1707">
        <f t="shared" si="1243"/>
        <v>0</v>
      </c>
      <c r="AH1798" s="1707">
        <f t="shared" si="1243"/>
        <v>0</v>
      </c>
      <c r="AI1798" s="1707">
        <f t="shared" si="1243"/>
        <v>0</v>
      </c>
      <c r="AJ1798" s="1707">
        <f t="shared" si="1243"/>
        <v>0</v>
      </c>
      <c r="AK1798" s="1707">
        <f t="shared" si="1243"/>
        <v>0</v>
      </c>
      <c r="AL1798" s="1707">
        <f t="shared" si="1243"/>
        <v>0</v>
      </c>
      <c r="AM1798" s="1707">
        <f t="shared" si="1243"/>
        <v>0</v>
      </c>
      <c r="AN1798" s="1707">
        <f t="shared" si="1243"/>
        <v>0</v>
      </c>
      <c r="AO1798" s="1707">
        <f t="shared" si="1243"/>
        <v>0</v>
      </c>
      <c r="AP1798" s="1707">
        <f t="shared" si="1243"/>
        <v>0</v>
      </c>
      <c r="AQ1798" s="1708">
        <f t="shared" si="1243"/>
        <v>0</v>
      </c>
    </row>
    <row r="1799" spans="2:43" ht="14.4" hidden="1" customHeight="1" thickBot="1" x14ac:dyDescent="0.25">
      <c r="B1799" s="1198"/>
      <c r="C1799" s="1199">
        <f t="shared" si="1216"/>
        <v>0</v>
      </c>
      <c r="D1799" s="1199"/>
      <c r="E1799" s="1209"/>
      <c r="F1799" s="1199"/>
      <c r="G1799" s="1199"/>
      <c r="H1799" s="1209"/>
      <c r="I1799" s="1709">
        <f t="shared" ref="I1799:T1799" si="1244">SUMIF($V$209:$V$242,$B1655&amp;"propia",I$209:I$242)</f>
        <v>0</v>
      </c>
      <c r="J1799" s="1709">
        <f t="shared" si="1244"/>
        <v>0</v>
      </c>
      <c r="K1799" s="1709">
        <f t="shared" si="1244"/>
        <v>0</v>
      </c>
      <c r="L1799" s="1709">
        <f t="shared" si="1244"/>
        <v>0</v>
      </c>
      <c r="M1799" s="1709">
        <f t="shared" si="1244"/>
        <v>0</v>
      </c>
      <c r="N1799" s="1709">
        <f t="shared" si="1244"/>
        <v>0</v>
      </c>
      <c r="O1799" s="1709">
        <f t="shared" si="1244"/>
        <v>0</v>
      </c>
      <c r="P1799" s="1709">
        <f t="shared" si="1244"/>
        <v>0</v>
      </c>
      <c r="Q1799" s="1709">
        <f t="shared" si="1244"/>
        <v>0</v>
      </c>
      <c r="R1799" s="1709">
        <f t="shared" si="1244"/>
        <v>0</v>
      </c>
      <c r="S1799" s="1709">
        <f t="shared" si="1244"/>
        <v>0</v>
      </c>
      <c r="T1799" s="1710">
        <f t="shared" si="1244"/>
        <v>0</v>
      </c>
      <c r="Y1799" s="1198"/>
      <c r="Z1799" s="1199">
        <f t="shared" si="1218"/>
        <v>0</v>
      </c>
      <c r="AA1799" s="1199"/>
      <c r="AB1799" s="1209"/>
      <c r="AC1799" s="1199"/>
      <c r="AD1799" s="1199"/>
      <c r="AE1799" s="1209"/>
      <c r="AF1799" s="1709">
        <f t="shared" ref="AF1799:AQ1799" si="1245">SUMIF($AS$209:$AS$242,$B1655&amp;"propia",AF$209:AF$242)</f>
        <v>0</v>
      </c>
      <c r="AG1799" s="1709">
        <f t="shared" si="1245"/>
        <v>0</v>
      </c>
      <c r="AH1799" s="1709">
        <f t="shared" si="1245"/>
        <v>0</v>
      </c>
      <c r="AI1799" s="1709">
        <f t="shared" si="1245"/>
        <v>0</v>
      </c>
      <c r="AJ1799" s="1709">
        <f t="shared" si="1245"/>
        <v>0</v>
      </c>
      <c r="AK1799" s="1709">
        <f t="shared" si="1245"/>
        <v>0</v>
      </c>
      <c r="AL1799" s="1709">
        <f t="shared" si="1245"/>
        <v>0</v>
      </c>
      <c r="AM1799" s="1709">
        <f t="shared" si="1245"/>
        <v>0</v>
      </c>
      <c r="AN1799" s="1709">
        <f t="shared" si="1245"/>
        <v>0</v>
      </c>
      <c r="AO1799" s="1709">
        <f t="shared" si="1245"/>
        <v>0</v>
      </c>
      <c r="AP1799" s="1709">
        <f t="shared" si="1245"/>
        <v>0</v>
      </c>
      <c r="AQ1799" s="1710">
        <f t="shared" si="1245"/>
        <v>0</v>
      </c>
    </row>
    <row r="1800" spans="2:43" ht="14.4" hidden="1" customHeight="1" thickTop="1" x14ac:dyDescent="0.2">
      <c r="B1800" s="1584" t="s">
        <v>2020</v>
      </c>
      <c r="C1800" s="1194" t="s">
        <v>2018</v>
      </c>
      <c r="D1800" s="1194"/>
      <c r="E1800" s="1210"/>
      <c r="F1800" s="1194"/>
      <c r="G1800" s="1194"/>
      <c r="H1800" s="1210"/>
      <c r="I1800" s="1210"/>
      <c r="J1800" s="1210"/>
      <c r="K1800" s="1210"/>
      <c r="L1800" s="1210"/>
      <c r="M1800" s="1210"/>
      <c r="N1800" s="1210"/>
      <c r="O1800" s="1210"/>
      <c r="P1800" s="1210"/>
      <c r="Q1800" s="1210"/>
      <c r="R1800" s="1210"/>
      <c r="S1800" s="1210"/>
      <c r="T1800" s="1585"/>
      <c r="Y1800" s="1584" t="s">
        <v>2020</v>
      </c>
      <c r="Z1800" s="1194" t="str">
        <f t="shared" si="1218"/>
        <v>Gasoli (Litros/unidad)</v>
      </c>
      <c r="AA1800" s="1194"/>
      <c r="AB1800" s="1210"/>
      <c r="AC1800" s="1194"/>
      <c r="AD1800" s="1194"/>
      <c r="AE1800" s="1210"/>
      <c r="AF1800" s="1210"/>
      <c r="AG1800" s="1210"/>
      <c r="AH1800" s="1210"/>
      <c r="AI1800" s="1210"/>
      <c r="AJ1800" s="1210"/>
      <c r="AK1800" s="1210"/>
      <c r="AL1800" s="1210"/>
      <c r="AM1800" s="1210"/>
      <c r="AN1800" s="1210"/>
      <c r="AO1800" s="1210"/>
      <c r="AP1800" s="1210"/>
      <c r="AQ1800" s="1585"/>
    </row>
    <row r="1801" spans="2:43" ht="13.75" hidden="1" customHeight="1" x14ac:dyDescent="0.2">
      <c r="B1801" s="1195" t="s">
        <v>2022</v>
      </c>
      <c r="C1801" s="193">
        <f t="shared" ref="C1801:C1814" si="1246">+C1765</f>
        <v>5</v>
      </c>
      <c r="D1801" s="193"/>
      <c r="E1801" s="254"/>
      <c r="F1801" s="193"/>
      <c r="G1801" s="193"/>
      <c r="H1801" s="254"/>
      <c r="I1801" s="1705">
        <f>SUMIF($V$209:$V$242,$B1657&amp;"contratada",I$209:I$242)</f>
        <v>0</v>
      </c>
      <c r="J1801" s="1705">
        <f t="shared" ref="J1801:T1801" si="1247">SUMIF($V$209:$V$242,$B1657&amp;"contratada",J$209:J$242)</f>
        <v>0</v>
      </c>
      <c r="K1801" s="1705">
        <f t="shared" si="1247"/>
        <v>0</v>
      </c>
      <c r="L1801" s="1705">
        <f t="shared" si="1247"/>
        <v>0</v>
      </c>
      <c r="M1801" s="1705">
        <f t="shared" si="1247"/>
        <v>0</v>
      </c>
      <c r="N1801" s="1705">
        <f t="shared" si="1247"/>
        <v>0</v>
      </c>
      <c r="O1801" s="1705">
        <f t="shared" si="1247"/>
        <v>0</v>
      </c>
      <c r="P1801" s="1705">
        <f t="shared" si="1247"/>
        <v>0</v>
      </c>
      <c r="Q1801" s="1705">
        <f t="shared" si="1247"/>
        <v>0</v>
      </c>
      <c r="R1801" s="1705">
        <f t="shared" si="1247"/>
        <v>0</v>
      </c>
      <c r="S1801" s="1705">
        <f t="shared" si="1247"/>
        <v>0</v>
      </c>
      <c r="T1801" s="1706">
        <f t="shared" si="1247"/>
        <v>0</v>
      </c>
      <c r="Y1801" s="1195" t="s">
        <v>2022</v>
      </c>
      <c r="Z1801" s="193">
        <f t="shared" si="1218"/>
        <v>5</v>
      </c>
      <c r="AA1801" s="193"/>
      <c r="AB1801" s="254"/>
      <c r="AC1801" s="193"/>
      <c r="AD1801" s="193"/>
      <c r="AE1801" s="254"/>
      <c r="AF1801" s="1705">
        <f>SUMIF($AS$209:$AS$242,$B1657&amp;"contratada",AF$209:AF$242)</f>
        <v>0</v>
      </c>
      <c r="AG1801" s="1705">
        <f t="shared" ref="AG1801:AQ1801" si="1248">SUMIF($AS$209:$AS$242,$B1657&amp;"contratada",AG$209:AG$242)</f>
        <v>0</v>
      </c>
      <c r="AH1801" s="1705">
        <f t="shared" si="1248"/>
        <v>0</v>
      </c>
      <c r="AI1801" s="1705">
        <f t="shared" si="1248"/>
        <v>0</v>
      </c>
      <c r="AJ1801" s="1705">
        <f t="shared" si="1248"/>
        <v>0</v>
      </c>
      <c r="AK1801" s="1705">
        <f t="shared" si="1248"/>
        <v>0</v>
      </c>
      <c r="AL1801" s="1705">
        <f t="shared" si="1248"/>
        <v>0</v>
      </c>
      <c r="AM1801" s="1705">
        <f t="shared" si="1248"/>
        <v>0</v>
      </c>
      <c r="AN1801" s="1705">
        <f t="shared" si="1248"/>
        <v>0</v>
      </c>
      <c r="AO1801" s="1705">
        <f t="shared" si="1248"/>
        <v>0</v>
      </c>
      <c r="AP1801" s="1705">
        <f t="shared" si="1248"/>
        <v>0</v>
      </c>
      <c r="AQ1801" s="1706">
        <f t="shared" si="1248"/>
        <v>0</v>
      </c>
    </row>
    <row r="1802" spans="2:43" ht="13.75" hidden="1" customHeight="1" x14ac:dyDescent="0.2">
      <c r="B1802" s="1195"/>
      <c r="C1802" s="193">
        <f t="shared" si="1246"/>
        <v>5</v>
      </c>
      <c r="D1802" s="193"/>
      <c r="E1802" s="254"/>
      <c r="F1802" s="193"/>
      <c r="G1802" s="193"/>
      <c r="H1802" s="254"/>
      <c r="I1802" s="1705">
        <f t="shared" ref="I1802:T1802" si="1249">SUMIF($V$209:$V$242,$B1658&amp;"contratada",I$209:I$242)</f>
        <v>0</v>
      </c>
      <c r="J1802" s="1705">
        <f t="shared" si="1249"/>
        <v>0</v>
      </c>
      <c r="K1802" s="1705">
        <f t="shared" si="1249"/>
        <v>0</v>
      </c>
      <c r="L1802" s="1705">
        <f t="shared" si="1249"/>
        <v>0</v>
      </c>
      <c r="M1802" s="1705">
        <f t="shared" si="1249"/>
        <v>0</v>
      </c>
      <c r="N1802" s="1705">
        <f t="shared" si="1249"/>
        <v>0</v>
      </c>
      <c r="O1802" s="1705">
        <f t="shared" si="1249"/>
        <v>0</v>
      </c>
      <c r="P1802" s="1705">
        <f t="shared" si="1249"/>
        <v>0</v>
      </c>
      <c r="Q1802" s="1705">
        <f t="shared" si="1249"/>
        <v>0</v>
      </c>
      <c r="R1802" s="1705">
        <f t="shared" si="1249"/>
        <v>0</v>
      </c>
      <c r="S1802" s="1705">
        <f t="shared" si="1249"/>
        <v>0</v>
      </c>
      <c r="T1802" s="1706">
        <f t="shared" si="1249"/>
        <v>0</v>
      </c>
      <c r="Y1802" s="1195"/>
      <c r="Z1802" s="193">
        <f t="shared" si="1218"/>
        <v>5</v>
      </c>
      <c r="AA1802" s="193"/>
      <c r="AB1802" s="254"/>
      <c r="AC1802" s="193"/>
      <c r="AD1802" s="193"/>
      <c r="AE1802" s="254"/>
      <c r="AF1802" s="1707">
        <f t="shared" ref="AF1802:AQ1802" si="1250">SUMIF($AS$209:$AS$242,$B1658&amp;"contratada",AF$209:AF$242)</f>
        <v>0</v>
      </c>
      <c r="AG1802" s="1707">
        <f t="shared" si="1250"/>
        <v>0</v>
      </c>
      <c r="AH1802" s="1707">
        <f t="shared" si="1250"/>
        <v>0</v>
      </c>
      <c r="AI1802" s="1707">
        <f t="shared" si="1250"/>
        <v>0</v>
      </c>
      <c r="AJ1802" s="1707">
        <f t="shared" si="1250"/>
        <v>0</v>
      </c>
      <c r="AK1802" s="1707">
        <f t="shared" si="1250"/>
        <v>0</v>
      </c>
      <c r="AL1802" s="1707">
        <f t="shared" si="1250"/>
        <v>0</v>
      </c>
      <c r="AM1802" s="1707">
        <f t="shared" si="1250"/>
        <v>0</v>
      </c>
      <c r="AN1802" s="1707">
        <f t="shared" si="1250"/>
        <v>0</v>
      </c>
      <c r="AO1802" s="1707">
        <f t="shared" si="1250"/>
        <v>0</v>
      </c>
      <c r="AP1802" s="1707">
        <f t="shared" si="1250"/>
        <v>0</v>
      </c>
      <c r="AQ1802" s="1708">
        <f t="shared" si="1250"/>
        <v>0</v>
      </c>
    </row>
    <row r="1803" spans="2:43" ht="13.75" hidden="1" customHeight="1" x14ac:dyDescent="0.2">
      <c r="B1803" s="1195"/>
      <c r="C1803" s="193">
        <f t="shared" si="1246"/>
        <v>1.5</v>
      </c>
      <c r="D1803" s="193"/>
      <c r="E1803" s="254"/>
      <c r="F1803" s="193"/>
      <c r="G1803" s="193"/>
      <c r="H1803" s="254"/>
      <c r="I1803" s="1705">
        <f t="shared" ref="I1803:T1803" si="1251">SUMIF($V$209:$V$242,$B1659&amp;"contratada",I$209:I$242)</f>
        <v>0</v>
      </c>
      <c r="J1803" s="1705">
        <f t="shared" si="1251"/>
        <v>0</v>
      </c>
      <c r="K1803" s="1705">
        <f t="shared" si="1251"/>
        <v>0</v>
      </c>
      <c r="L1803" s="1705">
        <f t="shared" si="1251"/>
        <v>0</v>
      </c>
      <c r="M1803" s="1705">
        <f t="shared" si="1251"/>
        <v>0</v>
      </c>
      <c r="N1803" s="1705">
        <f t="shared" si="1251"/>
        <v>0</v>
      </c>
      <c r="O1803" s="1705">
        <f t="shared" si="1251"/>
        <v>0</v>
      </c>
      <c r="P1803" s="1705">
        <f t="shared" si="1251"/>
        <v>0</v>
      </c>
      <c r="Q1803" s="1705">
        <f t="shared" si="1251"/>
        <v>0</v>
      </c>
      <c r="R1803" s="1705">
        <f t="shared" si="1251"/>
        <v>0</v>
      </c>
      <c r="S1803" s="1705">
        <f t="shared" si="1251"/>
        <v>0</v>
      </c>
      <c r="T1803" s="1706">
        <f t="shared" si="1251"/>
        <v>0</v>
      </c>
      <c r="Y1803" s="1195"/>
      <c r="Z1803" s="193">
        <f t="shared" si="1218"/>
        <v>1.5</v>
      </c>
      <c r="AA1803" s="193"/>
      <c r="AB1803" s="254"/>
      <c r="AC1803" s="193"/>
      <c r="AD1803" s="193"/>
      <c r="AE1803" s="254"/>
      <c r="AF1803" s="1707">
        <f t="shared" ref="AF1803:AQ1803" si="1252">SUMIF($AS$209:$AS$242,$B1659&amp;"contratada",AF$209:AF$242)</f>
        <v>0</v>
      </c>
      <c r="AG1803" s="1707">
        <f t="shared" si="1252"/>
        <v>0</v>
      </c>
      <c r="AH1803" s="1707">
        <f t="shared" si="1252"/>
        <v>0</v>
      </c>
      <c r="AI1803" s="1707">
        <f t="shared" si="1252"/>
        <v>0</v>
      </c>
      <c r="AJ1803" s="1707">
        <f t="shared" si="1252"/>
        <v>0</v>
      </c>
      <c r="AK1803" s="1707">
        <f t="shared" si="1252"/>
        <v>0</v>
      </c>
      <c r="AL1803" s="1707">
        <f t="shared" si="1252"/>
        <v>0</v>
      </c>
      <c r="AM1803" s="1707">
        <f t="shared" si="1252"/>
        <v>0</v>
      </c>
      <c r="AN1803" s="1707">
        <f t="shared" si="1252"/>
        <v>0</v>
      </c>
      <c r="AO1803" s="1707">
        <f t="shared" si="1252"/>
        <v>0</v>
      </c>
      <c r="AP1803" s="1707">
        <f t="shared" si="1252"/>
        <v>0</v>
      </c>
      <c r="AQ1803" s="1708">
        <f t="shared" si="1252"/>
        <v>0</v>
      </c>
    </row>
    <row r="1804" spans="2:43" ht="13.75" hidden="1" customHeight="1" x14ac:dyDescent="0.2">
      <c r="B1804" s="1195"/>
      <c r="C1804" s="193">
        <f t="shared" si="1246"/>
        <v>1.5</v>
      </c>
      <c r="D1804" s="193"/>
      <c r="E1804" s="254"/>
      <c r="F1804" s="193"/>
      <c r="G1804" s="193"/>
      <c r="H1804" s="254"/>
      <c r="I1804" s="1705">
        <f t="shared" ref="I1804:T1804" si="1253">SUMIF($V$209:$V$242,$B1660&amp;"contratada",I$209:I$242)</f>
        <v>0</v>
      </c>
      <c r="J1804" s="1705">
        <f t="shared" si="1253"/>
        <v>0</v>
      </c>
      <c r="K1804" s="1705">
        <f t="shared" si="1253"/>
        <v>0</v>
      </c>
      <c r="L1804" s="1705">
        <f t="shared" si="1253"/>
        <v>0</v>
      </c>
      <c r="M1804" s="1705">
        <f t="shared" si="1253"/>
        <v>0</v>
      </c>
      <c r="N1804" s="1705">
        <f t="shared" si="1253"/>
        <v>0</v>
      </c>
      <c r="O1804" s="1705">
        <f t="shared" si="1253"/>
        <v>0</v>
      </c>
      <c r="P1804" s="1705">
        <f t="shared" si="1253"/>
        <v>0</v>
      </c>
      <c r="Q1804" s="1705">
        <f t="shared" si="1253"/>
        <v>0</v>
      </c>
      <c r="R1804" s="1705">
        <f t="shared" si="1253"/>
        <v>0</v>
      </c>
      <c r="S1804" s="1705">
        <f t="shared" si="1253"/>
        <v>0</v>
      </c>
      <c r="T1804" s="1706">
        <f t="shared" si="1253"/>
        <v>0</v>
      </c>
      <c r="Y1804" s="1195"/>
      <c r="Z1804" s="193">
        <f t="shared" si="1218"/>
        <v>1.5</v>
      </c>
      <c r="AA1804" s="193"/>
      <c r="AB1804" s="254"/>
      <c r="AC1804" s="193"/>
      <c r="AD1804" s="193"/>
      <c r="AE1804" s="254"/>
      <c r="AF1804" s="1707">
        <f t="shared" ref="AF1804:AQ1804" si="1254">SUMIF($AS$209:$AS$242,$B1660&amp;"contratada",AF$209:AF$242)</f>
        <v>0</v>
      </c>
      <c r="AG1804" s="1707">
        <f t="shared" si="1254"/>
        <v>0</v>
      </c>
      <c r="AH1804" s="1707">
        <f t="shared" si="1254"/>
        <v>0</v>
      </c>
      <c r="AI1804" s="1707">
        <f t="shared" si="1254"/>
        <v>0</v>
      </c>
      <c r="AJ1804" s="1707">
        <f t="shared" si="1254"/>
        <v>0</v>
      </c>
      <c r="AK1804" s="1707">
        <f t="shared" si="1254"/>
        <v>0</v>
      </c>
      <c r="AL1804" s="1707">
        <f t="shared" si="1254"/>
        <v>0</v>
      </c>
      <c r="AM1804" s="1707">
        <f t="shared" si="1254"/>
        <v>0</v>
      </c>
      <c r="AN1804" s="1707">
        <f t="shared" si="1254"/>
        <v>0</v>
      </c>
      <c r="AO1804" s="1707">
        <f t="shared" si="1254"/>
        <v>0</v>
      </c>
      <c r="AP1804" s="1707">
        <f t="shared" si="1254"/>
        <v>0</v>
      </c>
      <c r="AQ1804" s="1708">
        <f t="shared" si="1254"/>
        <v>0</v>
      </c>
    </row>
    <row r="1805" spans="2:43" ht="13.75" hidden="1" customHeight="1" x14ac:dyDescent="0.2">
      <c r="B1805" s="1195"/>
      <c r="C1805" s="193">
        <f t="shared" si="1246"/>
        <v>3</v>
      </c>
      <c r="D1805" s="193"/>
      <c r="E1805" s="254"/>
      <c r="F1805" s="193"/>
      <c r="G1805" s="193"/>
      <c r="H1805" s="254"/>
      <c r="I1805" s="1705">
        <f t="shared" ref="I1805:T1805" si="1255">SUMIF($V$209:$V$242,$B1661&amp;"contratada",I$209:I$242)</f>
        <v>0</v>
      </c>
      <c r="J1805" s="1705">
        <f t="shared" si="1255"/>
        <v>0</v>
      </c>
      <c r="K1805" s="1705">
        <f t="shared" si="1255"/>
        <v>0</v>
      </c>
      <c r="L1805" s="1705">
        <f t="shared" si="1255"/>
        <v>0</v>
      </c>
      <c r="M1805" s="1705">
        <f t="shared" si="1255"/>
        <v>0</v>
      </c>
      <c r="N1805" s="1705">
        <f t="shared" si="1255"/>
        <v>0</v>
      </c>
      <c r="O1805" s="1705">
        <f t="shared" si="1255"/>
        <v>0</v>
      </c>
      <c r="P1805" s="1705">
        <f t="shared" si="1255"/>
        <v>0</v>
      </c>
      <c r="Q1805" s="1705">
        <f t="shared" si="1255"/>
        <v>0</v>
      </c>
      <c r="R1805" s="1705">
        <f t="shared" si="1255"/>
        <v>0</v>
      </c>
      <c r="S1805" s="1705">
        <f t="shared" si="1255"/>
        <v>0</v>
      </c>
      <c r="T1805" s="1706">
        <f t="shared" si="1255"/>
        <v>0</v>
      </c>
      <c r="Y1805" s="1195"/>
      <c r="Z1805" s="193">
        <f t="shared" si="1218"/>
        <v>3</v>
      </c>
      <c r="AA1805" s="193"/>
      <c r="AB1805" s="254"/>
      <c r="AC1805" s="193"/>
      <c r="AD1805" s="193"/>
      <c r="AE1805" s="254"/>
      <c r="AF1805" s="1707">
        <f t="shared" ref="AF1805:AQ1805" si="1256">SUMIF($AS$209:$AS$242,$B1661&amp;"contratada",AF$209:AF$242)</f>
        <v>0</v>
      </c>
      <c r="AG1805" s="1707">
        <f t="shared" si="1256"/>
        <v>0</v>
      </c>
      <c r="AH1805" s="1707">
        <f t="shared" si="1256"/>
        <v>0</v>
      </c>
      <c r="AI1805" s="1707">
        <f t="shared" si="1256"/>
        <v>0</v>
      </c>
      <c r="AJ1805" s="1707">
        <f t="shared" si="1256"/>
        <v>0</v>
      </c>
      <c r="AK1805" s="1707">
        <f t="shared" si="1256"/>
        <v>0</v>
      </c>
      <c r="AL1805" s="1707">
        <f t="shared" si="1256"/>
        <v>0</v>
      </c>
      <c r="AM1805" s="1707">
        <f t="shared" si="1256"/>
        <v>0</v>
      </c>
      <c r="AN1805" s="1707">
        <f t="shared" si="1256"/>
        <v>0</v>
      </c>
      <c r="AO1805" s="1707">
        <f t="shared" si="1256"/>
        <v>0</v>
      </c>
      <c r="AP1805" s="1707">
        <f t="shared" si="1256"/>
        <v>0</v>
      </c>
      <c r="AQ1805" s="1708">
        <f t="shared" si="1256"/>
        <v>0</v>
      </c>
    </row>
    <row r="1806" spans="2:43" ht="13.75" hidden="1" customHeight="1" x14ac:dyDescent="0.2">
      <c r="B1806" s="1195"/>
      <c r="C1806" s="193">
        <f t="shared" si="1246"/>
        <v>3</v>
      </c>
      <c r="D1806" s="193"/>
      <c r="E1806" s="254"/>
      <c r="F1806" s="193"/>
      <c r="G1806" s="193"/>
      <c r="H1806" s="254"/>
      <c r="I1806" s="1705">
        <f t="shared" ref="I1806:T1806" si="1257">SUMIF($V$209:$V$242,$B1662&amp;"contratada",I$209:I$242)</f>
        <v>0</v>
      </c>
      <c r="J1806" s="1705">
        <f t="shared" si="1257"/>
        <v>0</v>
      </c>
      <c r="K1806" s="1705">
        <f t="shared" si="1257"/>
        <v>0</v>
      </c>
      <c r="L1806" s="1705">
        <f t="shared" si="1257"/>
        <v>0</v>
      </c>
      <c r="M1806" s="1705">
        <f t="shared" si="1257"/>
        <v>0</v>
      </c>
      <c r="N1806" s="1705">
        <f t="shared" si="1257"/>
        <v>0</v>
      </c>
      <c r="O1806" s="1705">
        <f t="shared" si="1257"/>
        <v>0</v>
      </c>
      <c r="P1806" s="1705">
        <f t="shared" si="1257"/>
        <v>0</v>
      </c>
      <c r="Q1806" s="1705">
        <f t="shared" si="1257"/>
        <v>0</v>
      </c>
      <c r="R1806" s="1705">
        <f t="shared" si="1257"/>
        <v>0</v>
      </c>
      <c r="S1806" s="1705">
        <f t="shared" si="1257"/>
        <v>0</v>
      </c>
      <c r="T1806" s="1706">
        <f t="shared" si="1257"/>
        <v>0</v>
      </c>
      <c r="Y1806" s="1195"/>
      <c r="Z1806" s="193">
        <f t="shared" si="1218"/>
        <v>3</v>
      </c>
      <c r="AA1806" s="193"/>
      <c r="AB1806" s="254"/>
      <c r="AC1806" s="193"/>
      <c r="AD1806" s="193"/>
      <c r="AE1806" s="254"/>
      <c r="AF1806" s="1707">
        <f t="shared" ref="AF1806:AQ1806" si="1258">SUMIF($AS$209:$AS$242,$B1662&amp;"contratada",AF$209:AF$242)</f>
        <v>0</v>
      </c>
      <c r="AG1806" s="1707">
        <f t="shared" si="1258"/>
        <v>0</v>
      </c>
      <c r="AH1806" s="1707">
        <f t="shared" si="1258"/>
        <v>0</v>
      </c>
      <c r="AI1806" s="1707">
        <f t="shared" si="1258"/>
        <v>0</v>
      </c>
      <c r="AJ1806" s="1707">
        <f t="shared" si="1258"/>
        <v>0</v>
      </c>
      <c r="AK1806" s="1707">
        <f t="shared" si="1258"/>
        <v>0</v>
      </c>
      <c r="AL1806" s="1707">
        <f t="shared" si="1258"/>
        <v>0</v>
      </c>
      <c r="AM1806" s="1707">
        <f t="shared" si="1258"/>
        <v>0</v>
      </c>
      <c r="AN1806" s="1707">
        <f t="shared" si="1258"/>
        <v>0</v>
      </c>
      <c r="AO1806" s="1707">
        <f t="shared" si="1258"/>
        <v>0</v>
      </c>
      <c r="AP1806" s="1707">
        <f t="shared" si="1258"/>
        <v>0</v>
      </c>
      <c r="AQ1806" s="1708">
        <f t="shared" si="1258"/>
        <v>0</v>
      </c>
    </row>
    <row r="1807" spans="2:43" ht="13.75" hidden="1" customHeight="1" x14ac:dyDescent="0.2">
      <c r="B1807" s="1195"/>
      <c r="C1807" s="193">
        <f t="shared" si="1246"/>
        <v>9</v>
      </c>
      <c r="D1807" s="193"/>
      <c r="E1807" s="254"/>
      <c r="F1807" s="193"/>
      <c r="G1807" s="193"/>
      <c r="H1807" s="254"/>
      <c r="I1807" s="1705">
        <f t="shared" ref="I1807:T1807" si="1259">SUMIF($V$209:$V$242,$B1663&amp;"contratada",I$209:I$242)</f>
        <v>0</v>
      </c>
      <c r="J1807" s="1705">
        <f t="shared" si="1259"/>
        <v>0</v>
      </c>
      <c r="K1807" s="1705">
        <f t="shared" si="1259"/>
        <v>0</v>
      </c>
      <c r="L1807" s="1705">
        <f t="shared" si="1259"/>
        <v>0</v>
      </c>
      <c r="M1807" s="1705">
        <f t="shared" si="1259"/>
        <v>0</v>
      </c>
      <c r="N1807" s="1705">
        <f t="shared" si="1259"/>
        <v>0</v>
      </c>
      <c r="O1807" s="1705">
        <f t="shared" si="1259"/>
        <v>0</v>
      </c>
      <c r="P1807" s="1705">
        <f t="shared" si="1259"/>
        <v>0</v>
      </c>
      <c r="Q1807" s="1705">
        <f t="shared" si="1259"/>
        <v>0</v>
      </c>
      <c r="R1807" s="1705">
        <f t="shared" si="1259"/>
        <v>0</v>
      </c>
      <c r="S1807" s="1705">
        <f t="shared" si="1259"/>
        <v>0</v>
      </c>
      <c r="T1807" s="1706">
        <f t="shared" si="1259"/>
        <v>0</v>
      </c>
      <c r="Y1807" s="1195"/>
      <c r="Z1807" s="193">
        <f t="shared" si="1218"/>
        <v>9</v>
      </c>
      <c r="AA1807" s="193"/>
      <c r="AB1807" s="254"/>
      <c r="AC1807" s="193"/>
      <c r="AD1807" s="193"/>
      <c r="AE1807" s="254"/>
      <c r="AF1807" s="1707">
        <f t="shared" ref="AF1807:AQ1807" si="1260">SUMIF($AS$209:$AS$242,$B1663&amp;"contratada",AF$209:AF$242)</f>
        <v>0</v>
      </c>
      <c r="AG1807" s="1707">
        <f t="shared" si="1260"/>
        <v>0</v>
      </c>
      <c r="AH1807" s="1707">
        <f t="shared" si="1260"/>
        <v>0</v>
      </c>
      <c r="AI1807" s="1707">
        <f t="shared" si="1260"/>
        <v>0</v>
      </c>
      <c r="AJ1807" s="1707">
        <f t="shared" si="1260"/>
        <v>0</v>
      </c>
      <c r="AK1807" s="1707">
        <f t="shared" si="1260"/>
        <v>0</v>
      </c>
      <c r="AL1807" s="1707">
        <f t="shared" si="1260"/>
        <v>0</v>
      </c>
      <c r="AM1807" s="1707">
        <f t="shared" si="1260"/>
        <v>0</v>
      </c>
      <c r="AN1807" s="1707">
        <f t="shared" si="1260"/>
        <v>0</v>
      </c>
      <c r="AO1807" s="1707">
        <f t="shared" si="1260"/>
        <v>0</v>
      </c>
      <c r="AP1807" s="1707">
        <f t="shared" si="1260"/>
        <v>0</v>
      </c>
      <c r="AQ1807" s="1708">
        <f t="shared" si="1260"/>
        <v>0</v>
      </c>
    </row>
    <row r="1808" spans="2:43" ht="13.75" hidden="1" customHeight="1" x14ac:dyDescent="0.2">
      <c r="B1808" s="1195"/>
      <c r="C1808" s="193">
        <f t="shared" si="1246"/>
        <v>0</v>
      </c>
      <c r="D1808" s="193"/>
      <c r="E1808" s="254"/>
      <c r="F1808" s="193"/>
      <c r="G1808" s="193"/>
      <c r="H1808" s="254"/>
      <c r="I1808" s="1705">
        <f t="shared" ref="I1808:T1808" si="1261">SUMIF($V$209:$V$242,$B1664&amp;"contratada",I$209:I$242)</f>
        <v>0</v>
      </c>
      <c r="J1808" s="1705">
        <f t="shared" si="1261"/>
        <v>0</v>
      </c>
      <c r="K1808" s="1705">
        <f t="shared" si="1261"/>
        <v>0</v>
      </c>
      <c r="L1808" s="1705">
        <f t="shared" si="1261"/>
        <v>0</v>
      </c>
      <c r="M1808" s="1705">
        <f t="shared" si="1261"/>
        <v>0</v>
      </c>
      <c r="N1808" s="1705">
        <f t="shared" si="1261"/>
        <v>0</v>
      </c>
      <c r="O1808" s="1705">
        <f t="shared" si="1261"/>
        <v>0</v>
      </c>
      <c r="P1808" s="1705">
        <f t="shared" si="1261"/>
        <v>0</v>
      </c>
      <c r="Q1808" s="1705">
        <f t="shared" si="1261"/>
        <v>0</v>
      </c>
      <c r="R1808" s="1705">
        <f t="shared" si="1261"/>
        <v>0</v>
      </c>
      <c r="S1808" s="1705">
        <f t="shared" si="1261"/>
        <v>0</v>
      </c>
      <c r="T1808" s="1706">
        <f t="shared" si="1261"/>
        <v>0</v>
      </c>
      <c r="Y1808" s="1195"/>
      <c r="Z1808" s="193">
        <f t="shared" si="1218"/>
        <v>0</v>
      </c>
      <c r="AA1808" s="193"/>
      <c r="AB1808" s="254"/>
      <c r="AC1808" s="193"/>
      <c r="AD1808" s="193"/>
      <c r="AE1808" s="254"/>
      <c r="AF1808" s="1707">
        <f t="shared" ref="AF1808:AQ1808" si="1262">SUMIF($AS$209:$AS$242,$B1664&amp;"contratada",AF$209:AF$242)</f>
        <v>0</v>
      </c>
      <c r="AG1808" s="1707">
        <f t="shared" si="1262"/>
        <v>0</v>
      </c>
      <c r="AH1808" s="1707">
        <f t="shared" si="1262"/>
        <v>0</v>
      </c>
      <c r="AI1808" s="1707">
        <f t="shared" si="1262"/>
        <v>0</v>
      </c>
      <c r="AJ1808" s="1707">
        <f t="shared" si="1262"/>
        <v>0</v>
      </c>
      <c r="AK1808" s="1707">
        <f t="shared" si="1262"/>
        <v>0</v>
      </c>
      <c r="AL1808" s="1707">
        <f t="shared" si="1262"/>
        <v>0</v>
      </c>
      <c r="AM1808" s="1707">
        <f t="shared" si="1262"/>
        <v>0</v>
      </c>
      <c r="AN1808" s="1707">
        <f t="shared" si="1262"/>
        <v>0</v>
      </c>
      <c r="AO1808" s="1707">
        <f t="shared" si="1262"/>
        <v>0</v>
      </c>
      <c r="AP1808" s="1707">
        <f t="shared" si="1262"/>
        <v>0</v>
      </c>
      <c r="AQ1808" s="1708">
        <f t="shared" si="1262"/>
        <v>0</v>
      </c>
    </row>
    <row r="1809" spans="2:43" ht="13.75" hidden="1" customHeight="1" x14ac:dyDescent="0.2">
      <c r="B1809" s="1195"/>
      <c r="C1809" s="193">
        <f t="shared" si="1246"/>
        <v>0</v>
      </c>
      <c r="D1809" s="193"/>
      <c r="E1809" s="254"/>
      <c r="F1809" s="193"/>
      <c r="G1809" s="193"/>
      <c r="H1809" s="254"/>
      <c r="I1809" s="1705">
        <f t="shared" ref="I1809:T1809" si="1263">SUMIF($V$209:$V$242,$B1665&amp;"contratada",I$209:I$242)</f>
        <v>0</v>
      </c>
      <c r="J1809" s="1705">
        <f t="shared" si="1263"/>
        <v>0</v>
      </c>
      <c r="K1809" s="1705">
        <f t="shared" si="1263"/>
        <v>0</v>
      </c>
      <c r="L1809" s="1705">
        <f t="shared" si="1263"/>
        <v>0</v>
      </c>
      <c r="M1809" s="1705">
        <f t="shared" si="1263"/>
        <v>0</v>
      </c>
      <c r="N1809" s="1705">
        <f t="shared" si="1263"/>
        <v>0</v>
      </c>
      <c r="O1809" s="1705">
        <f t="shared" si="1263"/>
        <v>0</v>
      </c>
      <c r="P1809" s="1705">
        <f t="shared" si="1263"/>
        <v>0</v>
      </c>
      <c r="Q1809" s="1705">
        <f t="shared" si="1263"/>
        <v>0</v>
      </c>
      <c r="R1809" s="1705">
        <f t="shared" si="1263"/>
        <v>0</v>
      </c>
      <c r="S1809" s="1705">
        <f t="shared" si="1263"/>
        <v>0</v>
      </c>
      <c r="T1809" s="1706">
        <f t="shared" si="1263"/>
        <v>0</v>
      </c>
      <c r="Y1809" s="1195"/>
      <c r="Z1809" s="193">
        <f t="shared" si="1218"/>
        <v>0</v>
      </c>
      <c r="AA1809" s="193"/>
      <c r="AB1809" s="254"/>
      <c r="AC1809" s="193"/>
      <c r="AD1809" s="193"/>
      <c r="AE1809" s="254"/>
      <c r="AF1809" s="1707">
        <f t="shared" ref="AF1809:AQ1809" si="1264">SUMIF($AS$209:$AS$242,$B1665&amp;"contratada",AF$209:AF$242)</f>
        <v>0</v>
      </c>
      <c r="AG1809" s="1707">
        <f t="shared" si="1264"/>
        <v>0</v>
      </c>
      <c r="AH1809" s="1707">
        <f t="shared" si="1264"/>
        <v>0</v>
      </c>
      <c r="AI1809" s="1707">
        <f t="shared" si="1264"/>
        <v>0</v>
      </c>
      <c r="AJ1809" s="1707">
        <f t="shared" si="1264"/>
        <v>0</v>
      </c>
      <c r="AK1809" s="1707">
        <f t="shared" si="1264"/>
        <v>0</v>
      </c>
      <c r="AL1809" s="1707">
        <f t="shared" si="1264"/>
        <v>0</v>
      </c>
      <c r="AM1809" s="1707">
        <f t="shared" si="1264"/>
        <v>0</v>
      </c>
      <c r="AN1809" s="1707">
        <f t="shared" si="1264"/>
        <v>0</v>
      </c>
      <c r="AO1809" s="1707">
        <f t="shared" si="1264"/>
        <v>0</v>
      </c>
      <c r="AP1809" s="1707">
        <f t="shared" si="1264"/>
        <v>0</v>
      </c>
      <c r="AQ1809" s="1708">
        <f t="shared" si="1264"/>
        <v>0</v>
      </c>
    </row>
    <row r="1810" spans="2:43" ht="13.75" hidden="1" customHeight="1" x14ac:dyDescent="0.2">
      <c r="B1810" s="1195"/>
      <c r="C1810" s="193">
        <f t="shared" si="1246"/>
        <v>0</v>
      </c>
      <c r="D1810" s="193"/>
      <c r="E1810" s="254"/>
      <c r="F1810" s="193"/>
      <c r="G1810" s="193"/>
      <c r="H1810" s="254"/>
      <c r="I1810" s="1705">
        <f t="shared" ref="I1810:T1810" si="1265">SUMIF($V$209:$V$242,$B1666&amp;"contratada",I$209:I$242)</f>
        <v>0</v>
      </c>
      <c r="J1810" s="1705">
        <f t="shared" si="1265"/>
        <v>0</v>
      </c>
      <c r="K1810" s="1705">
        <f t="shared" si="1265"/>
        <v>0</v>
      </c>
      <c r="L1810" s="1705">
        <f t="shared" si="1265"/>
        <v>0</v>
      </c>
      <c r="M1810" s="1705">
        <f t="shared" si="1265"/>
        <v>0</v>
      </c>
      <c r="N1810" s="1705">
        <f t="shared" si="1265"/>
        <v>0</v>
      </c>
      <c r="O1810" s="1705">
        <f t="shared" si="1265"/>
        <v>0</v>
      </c>
      <c r="P1810" s="1705">
        <f t="shared" si="1265"/>
        <v>0</v>
      </c>
      <c r="Q1810" s="1705">
        <f t="shared" si="1265"/>
        <v>0</v>
      </c>
      <c r="R1810" s="1705">
        <f t="shared" si="1265"/>
        <v>0</v>
      </c>
      <c r="S1810" s="1705">
        <f t="shared" si="1265"/>
        <v>0</v>
      </c>
      <c r="T1810" s="1706">
        <f t="shared" si="1265"/>
        <v>0</v>
      </c>
      <c r="Y1810" s="1195"/>
      <c r="Z1810" s="193">
        <f t="shared" si="1218"/>
        <v>0</v>
      </c>
      <c r="AA1810" s="193"/>
      <c r="AB1810" s="254"/>
      <c r="AC1810" s="193"/>
      <c r="AD1810" s="193"/>
      <c r="AE1810" s="254"/>
      <c r="AF1810" s="1707">
        <f t="shared" ref="AF1810:AQ1810" si="1266">SUMIF($AS$209:$AS$242,$B1666&amp;"contratada",AF$209:AF$242)</f>
        <v>0</v>
      </c>
      <c r="AG1810" s="1707">
        <f t="shared" si="1266"/>
        <v>0</v>
      </c>
      <c r="AH1810" s="1707">
        <f t="shared" si="1266"/>
        <v>0</v>
      </c>
      <c r="AI1810" s="1707">
        <f t="shared" si="1266"/>
        <v>0</v>
      </c>
      <c r="AJ1810" s="1707">
        <f t="shared" si="1266"/>
        <v>0</v>
      </c>
      <c r="AK1810" s="1707">
        <f t="shared" si="1266"/>
        <v>0</v>
      </c>
      <c r="AL1810" s="1707">
        <f t="shared" si="1266"/>
        <v>0</v>
      </c>
      <c r="AM1810" s="1707">
        <f t="shared" si="1266"/>
        <v>0</v>
      </c>
      <c r="AN1810" s="1707">
        <f t="shared" si="1266"/>
        <v>0</v>
      </c>
      <c r="AO1810" s="1707">
        <f t="shared" si="1266"/>
        <v>0</v>
      </c>
      <c r="AP1810" s="1707">
        <f t="shared" si="1266"/>
        <v>0</v>
      </c>
      <c r="AQ1810" s="1708">
        <f t="shared" si="1266"/>
        <v>0</v>
      </c>
    </row>
    <row r="1811" spans="2:43" ht="13.75" hidden="1" customHeight="1" x14ac:dyDescent="0.2">
      <c r="B1811" s="1195"/>
      <c r="C1811" s="193">
        <f t="shared" si="1246"/>
        <v>0</v>
      </c>
      <c r="D1811" s="193"/>
      <c r="E1811" s="254"/>
      <c r="F1811" s="193"/>
      <c r="G1811" s="193"/>
      <c r="H1811" s="254"/>
      <c r="I1811" s="1705">
        <f t="shared" ref="I1811:T1811" si="1267">SUMIF($V$209:$V$242,$B1667&amp;"contratada",I$209:I$242)</f>
        <v>0</v>
      </c>
      <c r="J1811" s="1705">
        <f t="shared" si="1267"/>
        <v>0</v>
      </c>
      <c r="K1811" s="1705">
        <f t="shared" si="1267"/>
        <v>0</v>
      </c>
      <c r="L1811" s="1705">
        <f t="shared" si="1267"/>
        <v>0</v>
      </c>
      <c r="M1811" s="1705">
        <f t="shared" si="1267"/>
        <v>0</v>
      </c>
      <c r="N1811" s="1705">
        <f t="shared" si="1267"/>
        <v>0</v>
      </c>
      <c r="O1811" s="1705">
        <f t="shared" si="1267"/>
        <v>0</v>
      </c>
      <c r="P1811" s="1705">
        <f t="shared" si="1267"/>
        <v>0</v>
      </c>
      <c r="Q1811" s="1705">
        <f t="shared" si="1267"/>
        <v>0</v>
      </c>
      <c r="R1811" s="1705">
        <f t="shared" si="1267"/>
        <v>0</v>
      </c>
      <c r="S1811" s="1705">
        <f t="shared" si="1267"/>
        <v>0</v>
      </c>
      <c r="T1811" s="1706">
        <f t="shared" si="1267"/>
        <v>0</v>
      </c>
      <c r="Y1811" s="1195"/>
      <c r="Z1811" s="193">
        <f t="shared" si="1218"/>
        <v>0</v>
      </c>
      <c r="AA1811" s="193"/>
      <c r="AB1811" s="254"/>
      <c r="AC1811" s="193"/>
      <c r="AD1811" s="193"/>
      <c r="AE1811" s="254"/>
      <c r="AF1811" s="1707">
        <f t="shared" ref="AF1811:AQ1811" si="1268">SUMIF($AS$209:$AS$242,$B1667&amp;"contratada",AF$209:AF$242)</f>
        <v>0</v>
      </c>
      <c r="AG1811" s="1707">
        <f t="shared" si="1268"/>
        <v>0</v>
      </c>
      <c r="AH1811" s="1707">
        <f t="shared" si="1268"/>
        <v>0</v>
      </c>
      <c r="AI1811" s="1707">
        <f t="shared" si="1268"/>
        <v>0</v>
      </c>
      <c r="AJ1811" s="1707">
        <f t="shared" si="1268"/>
        <v>0</v>
      </c>
      <c r="AK1811" s="1707">
        <f t="shared" si="1268"/>
        <v>0</v>
      </c>
      <c r="AL1811" s="1707">
        <f t="shared" si="1268"/>
        <v>0</v>
      </c>
      <c r="AM1811" s="1707">
        <f t="shared" si="1268"/>
        <v>0</v>
      </c>
      <c r="AN1811" s="1707">
        <f t="shared" si="1268"/>
        <v>0</v>
      </c>
      <c r="AO1811" s="1707">
        <f t="shared" si="1268"/>
        <v>0</v>
      </c>
      <c r="AP1811" s="1707">
        <f t="shared" si="1268"/>
        <v>0</v>
      </c>
      <c r="AQ1811" s="1708">
        <f t="shared" si="1268"/>
        <v>0</v>
      </c>
    </row>
    <row r="1812" spans="2:43" ht="13.75" hidden="1" customHeight="1" x14ac:dyDescent="0.2">
      <c r="B1812" s="1195"/>
      <c r="C1812" s="193">
        <f t="shared" si="1246"/>
        <v>0</v>
      </c>
      <c r="D1812" s="193"/>
      <c r="E1812" s="254"/>
      <c r="F1812" s="193"/>
      <c r="G1812" s="193"/>
      <c r="H1812" s="254"/>
      <c r="I1812" s="1705">
        <f t="shared" ref="I1812:T1812" si="1269">SUMIF($V$209:$V$242,$B1668&amp;"contratada",I$209:I$242)</f>
        <v>0</v>
      </c>
      <c r="J1812" s="1705">
        <f t="shared" si="1269"/>
        <v>0</v>
      </c>
      <c r="K1812" s="1705">
        <f t="shared" si="1269"/>
        <v>0</v>
      </c>
      <c r="L1812" s="1705">
        <f t="shared" si="1269"/>
        <v>0</v>
      </c>
      <c r="M1812" s="1705">
        <f t="shared" si="1269"/>
        <v>0</v>
      </c>
      <c r="N1812" s="1705">
        <f t="shared" si="1269"/>
        <v>0</v>
      </c>
      <c r="O1812" s="1705">
        <f t="shared" si="1269"/>
        <v>0</v>
      </c>
      <c r="P1812" s="1705">
        <f t="shared" si="1269"/>
        <v>0</v>
      </c>
      <c r="Q1812" s="1705">
        <f t="shared" si="1269"/>
        <v>0</v>
      </c>
      <c r="R1812" s="1705">
        <f t="shared" si="1269"/>
        <v>0</v>
      </c>
      <c r="S1812" s="1705">
        <f t="shared" si="1269"/>
        <v>0</v>
      </c>
      <c r="T1812" s="1706">
        <f t="shared" si="1269"/>
        <v>0</v>
      </c>
      <c r="Y1812" s="1195"/>
      <c r="Z1812" s="193">
        <f t="shared" si="1218"/>
        <v>0</v>
      </c>
      <c r="AA1812" s="193"/>
      <c r="AB1812" s="254"/>
      <c r="AC1812" s="193"/>
      <c r="AD1812" s="193"/>
      <c r="AE1812" s="254"/>
      <c r="AF1812" s="1707">
        <f t="shared" ref="AF1812:AQ1812" si="1270">SUMIF($AS$209:$AS$242,$B1668&amp;"contratada",AF$209:AF$242)</f>
        <v>0</v>
      </c>
      <c r="AG1812" s="1707">
        <f t="shared" si="1270"/>
        <v>0</v>
      </c>
      <c r="AH1812" s="1707">
        <f t="shared" si="1270"/>
        <v>0</v>
      </c>
      <c r="AI1812" s="1707">
        <f t="shared" si="1270"/>
        <v>0</v>
      </c>
      <c r="AJ1812" s="1707">
        <f t="shared" si="1270"/>
        <v>0</v>
      </c>
      <c r="AK1812" s="1707">
        <f t="shared" si="1270"/>
        <v>0</v>
      </c>
      <c r="AL1812" s="1707">
        <f t="shared" si="1270"/>
        <v>0</v>
      </c>
      <c r="AM1812" s="1707">
        <f t="shared" si="1270"/>
        <v>0</v>
      </c>
      <c r="AN1812" s="1707">
        <f t="shared" si="1270"/>
        <v>0</v>
      </c>
      <c r="AO1812" s="1707">
        <f t="shared" si="1270"/>
        <v>0</v>
      </c>
      <c r="AP1812" s="1707">
        <f t="shared" si="1270"/>
        <v>0</v>
      </c>
      <c r="AQ1812" s="1708">
        <f t="shared" si="1270"/>
        <v>0</v>
      </c>
    </row>
    <row r="1813" spans="2:43" ht="13.75" hidden="1" customHeight="1" x14ac:dyDescent="0.2">
      <c r="B1813" s="1195"/>
      <c r="C1813" s="193">
        <f t="shared" si="1246"/>
        <v>0</v>
      </c>
      <c r="D1813" s="193"/>
      <c r="E1813" s="254"/>
      <c r="F1813" s="193"/>
      <c r="G1813" s="193"/>
      <c r="H1813" s="254"/>
      <c r="I1813" s="1705">
        <f t="shared" ref="I1813:T1813" si="1271">SUMIF($V$209:$V$242,$B1669&amp;"contratada",I$209:I$242)</f>
        <v>0</v>
      </c>
      <c r="J1813" s="1705">
        <f t="shared" si="1271"/>
        <v>0</v>
      </c>
      <c r="K1813" s="1705">
        <f t="shared" si="1271"/>
        <v>0</v>
      </c>
      <c r="L1813" s="1705">
        <f t="shared" si="1271"/>
        <v>0</v>
      </c>
      <c r="M1813" s="1705">
        <f t="shared" si="1271"/>
        <v>0</v>
      </c>
      <c r="N1813" s="1705">
        <f t="shared" si="1271"/>
        <v>0</v>
      </c>
      <c r="O1813" s="1705">
        <f t="shared" si="1271"/>
        <v>0</v>
      </c>
      <c r="P1813" s="1705">
        <f t="shared" si="1271"/>
        <v>0</v>
      </c>
      <c r="Q1813" s="1705">
        <f t="shared" si="1271"/>
        <v>0</v>
      </c>
      <c r="R1813" s="1705">
        <f t="shared" si="1271"/>
        <v>0</v>
      </c>
      <c r="S1813" s="1705">
        <f t="shared" si="1271"/>
        <v>0</v>
      </c>
      <c r="T1813" s="1706">
        <f t="shared" si="1271"/>
        <v>0</v>
      </c>
      <c r="Y1813" s="1195"/>
      <c r="Z1813" s="193">
        <f t="shared" si="1218"/>
        <v>0</v>
      </c>
      <c r="AA1813" s="193"/>
      <c r="AB1813" s="254"/>
      <c r="AC1813" s="193"/>
      <c r="AD1813" s="193"/>
      <c r="AE1813" s="254"/>
      <c r="AF1813" s="1707">
        <f t="shared" ref="AF1813:AQ1813" si="1272">SUMIF($AS$209:$AS$242,$B1669&amp;"contratada",AF$209:AF$242)</f>
        <v>0</v>
      </c>
      <c r="AG1813" s="1707">
        <f t="shared" si="1272"/>
        <v>0</v>
      </c>
      <c r="AH1813" s="1707">
        <f t="shared" si="1272"/>
        <v>0</v>
      </c>
      <c r="AI1813" s="1707">
        <f t="shared" si="1272"/>
        <v>0</v>
      </c>
      <c r="AJ1813" s="1707">
        <f t="shared" si="1272"/>
        <v>0</v>
      </c>
      <c r="AK1813" s="1707">
        <f t="shared" si="1272"/>
        <v>0</v>
      </c>
      <c r="AL1813" s="1707">
        <f t="shared" si="1272"/>
        <v>0</v>
      </c>
      <c r="AM1813" s="1707">
        <f t="shared" si="1272"/>
        <v>0</v>
      </c>
      <c r="AN1813" s="1707">
        <f t="shared" si="1272"/>
        <v>0</v>
      </c>
      <c r="AO1813" s="1707">
        <f t="shared" si="1272"/>
        <v>0</v>
      </c>
      <c r="AP1813" s="1707">
        <f t="shared" si="1272"/>
        <v>0</v>
      </c>
      <c r="AQ1813" s="1708">
        <f t="shared" si="1272"/>
        <v>0</v>
      </c>
    </row>
    <row r="1814" spans="2:43" ht="14.4" hidden="1" customHeight="1" thickBot="1" x14ac:dyDescent="0.25">
      <c r="B1814" s="1198"/>
      <c r="C1814" s="1199">
        <f t="shared" si="1246"/>
        <v>0</v>
      </c>
      <c r="D1814" s="1199"/>
      <c r="E1814" s="1209"/>
      <c r="F1814" s="1199"/>
      <c r="G1814" s="1199"/>
      <c r="H1814" s="1209"/>
      <c r="I1814" s="1705">
        <f t="shared" ref="I1814:T1814" si="1273">SUMIF($V$209:$V$242,$B1670&amp;"contratada",I$209:I$242)</f>
        <v>0</v>
      </c>
      <c r="J1814" s="1705">
        <f t="shared" si="1273"/>
        <v>0</v>
      </c>
      <c r="K1814" s="1705">
        <f t="shared" si="1273"/>
        <v>0</v>
      </c>
      <c r="L1814" s="1705">
        <f t="shared" si="1273"/>
        <v>0</v>
      </c>
      <c r="M1814" s="1705">
        <f t="shared" si="1273"/>
        <v>0</v>
      </c>
      <c r="N1814" s="1705">
        <f t="shared" si="1273"/>
        <v>0</v>
      </c>
      <c r="O1814" s="1705">
        <f t="shared" si="1273"/>
        <v>0</v>
      </c>
      <c r="P1814" s="1705">
        <f t="shared" si="1273"/>
        <v>0</v>
      </c>
      <c r="Q1814" s="1705">
        <f t="shared" si="1273"/>
        <v>0</v>
      </c>
      <c r="R1814" s="1705">
        <f t="shared" si="1273"/>
        <v>0</v>
      </c>
      <c r="S1814" s="1705">
        <f t="shared" si="1273"/>
        <v>0</v>
      </c>
      <c r="T1814" s="1706">
        <f t="shared" si="1273"/>
        <v>0</v>
      </c>
      <c r="Y1814" s="1198"/>
      <c r="Z1814" s="1199">
        <f t="shared" si="1218"/>
        <v>0</v>
      </c>
      <c r="AA1814" s="1199"/>
      <c r="AB1814" s="1209"/>
      <c r="AC1814" s="1199"/>
      <c r="AD1814" s="1199"/>
      <c r="AE1814" s="1209"/>
      <c r="AF1814" s="1709">
        <f t="shared" ref="AF1814:AQ1814" si="1274">SUMIF($AS$209:$AS$242,$B1670&amp;"contratada",AF$209:AF$242)</f>
        <v>0</v>
      </c>
      <c r="AG1814" s="1709">
        <f t="shared" si="1274"/>
        <v>0</v>
      </c>
      <c r="AH1814" s="1709">
        <f t="shared" si="1274"/>
        <v>0</v>
      </c>
      <c r="AI1814" s="1709">
        <f t="shared" si="1274"/>
        <v>0</v>
      </c>
      <c r="AJ1814" s="1709">
        <f t="shared" si="1274"/>
        <v>0</v>
      </c>
      <c r="AK1814" s="1709">
        <f t="shared" si="1274"/>
        <v>0</v>
      </c>
      <c r="AL1814" s="1709">
        <f t="shared" si="1274"/>
        <v>0</v>
      </c>
      <c r="AM1814" s="1709">
        <f t="shared" si="1274"/>
        <v>0</v>
      </c>
      <c r="AN1814" s="1709">
        <f t="shared" si="1274"/>
        <v>0</v>
      </c>
      <c r="AO1814" s="1709">
        <f t="shared" si="1274"/>
        <v>0</v>
      </c>
      <c r="AP1814" s="1709">
        <f t="shared" si="1274"/>
        <v>0</v>
      </c>
      <c r="AQ1814" s="1710">
        <f t="shared" si="1274"/>
        <v>0</v>
      </c>
    </row>
    <row r="1815" spans="2:43" ht="15.05" hidden="1" customHeight="1" thickTop="1" thickBot="1" x14ac:dyDescent="0.25">
      <c r="B1815" s="1711" t="s">
        <v>705</v>
      </c>
      <c r="C1815" s="1712"/>
      <c r="D1815" s="1712"/>
      <c r="E1815" s="1712"/>
      <c r="F1815" s="1712"/>
      <c r="G1815" s="1712"/>
      <c r="H1815" s="1713" t="s">
        <v>230</v>
      </c>
      <c r="I1815" s="1715">
        <f t="shared" ref="I1815:T1815" si="1275">+SUMPRODUCT(I1786:I1814,$C$1786:$C$1814)</f>
        <v>0</v>
      </c>
      <c r="J1815" s="1715">
        <f t="shared" si="1275"/>
        <v>0</v>
      </c>
      <c r="K1815" s="1715">
        <f t="shared" si="1275"/>
        <v>0</v>
      </c>
      <c r="L1815" s="1715">
        <f t="shared" si="1275"/>
        <v>0</v>
      </c>
      <c r="M1815" s="1715">
        <f t="shared" si="1275"/>
        <v>0</v>
      </c>
      <c r="N1815" s="1715">
        <f t="shared" si="1275"/>
        <v>0</v>
      </c>
      <c r="O1815" s="1715">
        <f t="shared" si="1275"/>
        <v>0</v>
      </c>
      <c r="P1815" s="1715">
        <f t="shared" si="1275"/>
        <v>0</v>
      </c>
      <c r="Q1815" s="1715">
        <f t="shared" si="1275"/>
        <v>0</v>
      </c>
      <c r="R1815" s="1715">
        <f t="shared" si="1275"/>
        <v>0</v>
      </c>
      <c r="S1815" s="1715">
        <f t="shared" si="1275"/>
        <v>0</v>
      </c>
      <c r="T1815" s="1716">
        <f t="shared" si="1275"/>
        <v>0</v>
      </c>
      <c r="Y1815" s="1711" t="s">
        <v>705</v>
      </c>
      <c r="Z1815" s="1712"/>
      <c r="AA1815" s="1712"/>
      <c r="AB1815" s="1712"/>
      <c r="AC1815" s="1712"/>
      <c r="AD1815" s="1712"/>
      <c r="AE1815" s="1719" t="s">
        <v>230</v>
      </c>
      <c r="AF1815" s="1715">
        <f t="shared" ref="AF1815:AQ1815" si="1276">+SUMPRODUCT(AF1786:AF1814,$C$1786:$C$1814)</f>
        <v>0</v>
      </c>
      <c r="AG1815" s="1715">
        <f t="shared" si="1276"/>
        <v>0</v>
      </c>
      <c r="AH1815" s="1715">
        <f t="shared" si="1276"/>
        <v>0</v>
      </c>
      <c r="AI1815" s="1715">
        <f t="shared" si="1276"/>
        <v>0</v>
      </c>
      <c r="AJ1815" s="1715">
        <f t="shared" si="1276"/>
        <v>0</v>
      </c>
      <c r="AK1815" s="1715">
        <f t="shared" si="1276"/>
        <v>0</v>
      </c>
      <c r="AL1815" s="1715">
        <f t="shared" si="1276"/>
        <v>0</v>
      </c>
      <c r="AM1815" s="1715">
        <f t="shared" si="1276"/>
        <v>0</v>
      </c>
      <c r="AN1815" s="1715">
        <f t="shared" si="1276"/>
        <v>0</v>
      </c>
      <c r="AO1815" s="1715">
        <f t="shared" si="1276"/>
        <v>0</v>
      </c>
      <c r="AP1815" s="1715">
        <f t="shared" si="1276"/>
        <v>0</v>
      </c>
      <c r="AQ1815" s="1716">
        <f t="shared" si="1276"/>
        <v>0</v>
      </c>
    </row>
    <row r="1816" spans="2:43" ht="14.4" hidden="1" customHeight="1" thickTop="1" x14ac:dyDescent="0.2">
      <c r="B1816" s="1594"/>
      <c r="C1816" s="193"/>
      <c r="D1816" s="193"/>
      <c r="E1816" s="193"/>
      <c r="F1816" s="193"/>
      <c r="G1816" s="193"/>
      <c r="H1816" s="982" t="s">
        <v>698</v>
      </c>
      <c r="I1816" s="1205">
        <f t="shared" ref="I1816:T1816" si="1277">IFERROR(I1815*I1782/I1784,0)</f>
        <v>0</v>
      </c>
      <c r="J1816" s="1205">
        <f t="shared" si="1277"/>
        <v>0</v>
      </c>
      <c r="K1816" s="1205">
        <f t="shared" si="1277"/>
        <v>0</v>
      </c>
      <c r="L1816" s="1205">
        <f t="shared" si="1277"/>
        <v>0</v>
      </c>
      <c r="M1816" s="1205">
        <f t="shared" si="1277"/>
        <v>0</v>
      </c>
      <c r="N1816" s="1205">
        <f t="shared" si="1277"/>
        <v>0</v>
      </c>
      <c r="O1816" s="1205">
        <f t="shared" si="1277"/>
        <v>0</v>
      </c>
      <c r="P1816" s="1205">
        <f t="shared" si="1277"/>
        <v>0</v>
      </c>
      <c r="Q1816" s="1205">
        <f t="shared" si="1277"/>
        <v>0</v>
      </c>
      <c r="R1816" s="1205">
        <f t="shared" si="1277"/>
        <v>0</v>
      </c>
      <c r="S1816" s="1205">
        <f t="shared" si="1277"/>
        <v>0</v>
      </c>
      <c r="T1816" s="1714">
        <f t="shared" si="1277"/>
        <v>0</v>
      </c>
      <c r="Y1816" s="1594"/>
      <c r="Z1816" s="193"/>
      <c r="AA1816" s="193"/>
      <c r="AB1816" s="193"/>
      <c r="AC1816" s="193"/>
      <c r="AD1816" s="193"/>
      <c r="AE1816" s="1720" t="s">
        <v>698</v>
      </c>
      <c r="AF1816" s="1205">
        <f t="shared" ref="AF1816:AQ1816" si="1278">IFERROR(AF1815*AF1782/AF1784,0)</f>
        <v>0</v>
      </c>
      <c r="AG1816" s="1205">
        <f t="shared" si="1278"/>
        <v>0</v>
      </c>
      <c r="AH1816" s="1205">
        <f t="shared" si="1278"/>
        <v>0</v>
      </c>
      <c r="AI1816" s="1205">
        <f t="shared" si="1278"/>
        <v>0</v>
      </c>
      <c r="AJ1816" s="1205">
        <f t="shared" si="1278"/>
        <v>0</v>
      </c>
      <c r="AK1816" s="1205">
        <f t="shared" si="1278"/>
        <v>0</v>
      </c>
      <c r="AL1816" s="1205">
        <f t="shared" si="1278"/>
        <v>0</v>
      </c>
      <c r="AM1816" s="1205">
        <f t="shared" si="1278"/>
        <v>0</v>
      </c>
      <c r="AN1816" s="1205">
        <f t="shared" si="1278"/>
        <v>0</v>
      </c>
      <c r="AO1816" s="1205">
        <f t="shared" si="1278"/>
        <v>0</v>
      </c>
      <c r="AP1816" s="1205">
        <f t="shared" si="1278"/>
        <v>0</v>
      </c>
      <c r="AQ1816" s="1714">
        <f t="shared" si="1278"/>
        <v>0</v>
      </c>
    </row>
    <row r="1817" spans="2:43" ht="14.4" hidden="1" customHeight="1" thickBot="1" x14ac:dyDescent="0.25">
      <c r="B1817" s="1596"/>
      <c r="C1817" s="1199"/>
      <c r="D1817" s="1199"/>
      <c r="E1817" s="1199"/>
      <c r="F1817" s="1199"/>
      <c r="G1817" s="1199"/>
      <c r="H1817" s="1717" t="s">
        <v>699</v>
      </c>
      <c r="I1817" s="1590">
        <f t="shared" ref="I1817:T1817" si="1279">+I1815-I1816</f>
        <v>0</v>
      </c>
      <c r="J1817" s="1590">
        <f t="shared" si="1279"/>
        <v>0</v>
      </c>
      <c r="K1817" s="1590">
        <f t="shared" si="1279"/>
        <v>0</v>
      </c>
      <c r="L1817" s="1590">
        <f t="shared" si="1279"/>
        <v>0</v>
      </c>
      <c r="M1817" s="1590">
        <f t="shared" si="1279"/>
        <v>0</v>
      </c>
      <c r="N1817" s="1590">
        <f t="shared" si="1279"/>
        <v>0</v>
      </c>
      <c r="O1817" s="1590">
        <f t="shared" si="1279"/>
        <v>0</v>
      </c>
      <c r="P1817" s="1590">
        <f t="shared" si="1279"/>
        <v>0</v>
      </c>
      <c r="Q1817" s="1590">
        <f t="shared" si="1279"/>
        <v>0</v>
      </c>
      <c r="R1817" s="1590">
        <f t="shared" si="1279"/>
        <v>0</v>
      </c>
      <c r="S1817" s="1590">
        <f t="shared" si="1279"/>
        <v>0</v>
      </c>
      <c r="T1817" s="1655">
        <f t="shared" si="1279"/>
        <v>0</v>
      </c>
      <c r="Y1817" s="1596"/>
      <c r="Z1817" s="1199"/>
      <c r="AA1817" s="1199"/>
      <c r="AB1817" s="1199"/>
      <c r="AC1817" s="1199"/>
      <c r="AD1817" s="1199"/>
      <c r="AE1817" s="1721" t="s">
        <v>699</v>
      </c>
      <c r="AF1817" s="1590">
        <f>+AF1815-AF1816</f>
        <v>0</v>
      </c>
      <c r="AG1817" s="1590">
        <f t="shared" ref="AG1817:AQ1817" si="1280">+AG1815-AG1816</f>
        <v>0</v>
      </c>
      <c r="AH1817" s="1590">
        <f t="shared" si="1280"/>
        <v>0</v>
      </c>
      <c r="AI1817" s="1590">
        <f t="shared" si="1280"/>
        <v>0</v>
      </c>
      <c r="AJ1817" s="1590">
        <f t="shared" si="1280"/>
        <v>0</v>
      </c>
      <c r="AK1817" s="1590">
        <f t="shared" si="1280"/>
        <v>0</v>
      </c>
      <c r="AL1817" s="1590">
        <f t="shared" si="1280"/>
        <v>0</v>
      </c>
      <c r="AM1817" s="1590">
        <f t="shared" si="1280"/>
        <v>0</v>
      </c>
      <c r="AN1817" s="1590">
        <f t="shared" si="1280"/>
        <v>0</v>
      </c>
      <c r="AO1817" s="1590">
        <f t="shared" si="1280"/>
        <v>0</v>
      </c>
      <c r="AP1817" s="1590">
        <f t="shared" si="1280"/>
        <v>0</v>
      </c>
      <c r="AQ1817" s="1655">
        <f t="shared" si="1280"/>
        <v>0</v>
      </c>
    </row>
    <row r="1818" spans="2:43" ht="14.4" hidden="1" customHeight="1" thickTop="1" x14ac:dyDescent="0.2">
      <c r="B1818" s="1584" t="s">
        <v>795</v>
      </c>
      <c r="C1818" s="1581">
        <f>+C1522</f>
        <v>0</v>
      </c>
      <c r="D1818" s="1194"/>
      <c r="E1818" s="1194"/>
      <c r="F1818" s="1194"/>
      <c r="G1818" s="1194" t="s">
        <v>247</v>
      </c>
      <c r="H1818" s="1194" t="s">
        <v>691</v>
      </c>
      <c r="I1818" s="1668">
        <f t="shared" ref="I1818:T1818" si="1281">+I1523</f>
        <v>0</v>
      </c>
      <c r="J1818" s="1668">
        <f t="shared" si="1281"/>
        <v>0</v>
      </c>
      <c r="K1818" s="1668">
        <f t="shared" si="1281"/>
        <v>0</v>
      </c>
      <c r="L1818" s="1668">
        <f t="shared" si="1281"/>
        <v>0</v>
      </c>
      <c r="M1818" s="1668">
        <f t="shared" si="1281"/>
        <v>0</v>
      </c>
      <c r="N1818" s="1668">
        <f t="shared" si="1281"/>
        <v>0</v>
      </c>
      <c r="O1818" s="1668">
        <f t="shared" si="1281"/>
        <v>0</v>
      </c>
      <c r="P1818" s="1668">
        <f t="shared" si="1281"/>
        <v>0</v>
      </c>
      <c r="Q1818" s="1668">
        <f t="shared" si="1281"/>
        <v>0</v>
      </c>
      <c r="R1818" s="1668">
        <f t="shared" si="1281"/>
        <v>0</v>
      </c>
      <c r="S1818" s="1668">
        <f t="shared" si="1281"/>
        <v>0</v>
      </c>
      <c r="T1818" s="1704">
        <f t="shared" si="1281"/>
        <v>0</v>
      </c>
      <c r="Y1818" s="1722" t="s">
        <v>795</v>
      </c>
      <c r="Z1818" s="1581">
        <f>+Z1522</f>
        <v>0</v>
      </c>
      <c r="AA1818" s="1194"/>
      <c r="AB1818" s="1194"/>
      <c r="AC1818" s="1194"/>
      <c r="AD1818" s="1194" t="e">
        <f>+#REF!</f>
        <v>#REF!</v>
      </c>
      <c r="AE1818" s="1194" t="e">
        <f>+#REF!</f>
        <v>#REF!</v>
      </c>
      <c r="AF1818" s="1668">
        <f t="shared" ref="AF1818:AQ1818" si="1282">+AF1523</f>
        <v>0</v>
      </c>
      <c r="AG1818" s="1668">
        <f t="shared" si="1282"/>
        <v>0</v>
      </c>
      <c r="AH1818" s="1668">
        <f t="shared" si="1282"/>
        <v>0</v>
      </c>
      <c r="AI1818" s="1668">
        <f t="shared" si="1282"/>
        <v>0</v>
      </c>
      <c r="AJ1818" s="1668">
        <f t="shared" si="1282"/>
        <v>0</v>
      </c>
      <c r="AK1818" s="1668">
        <f t="shared" si="1282"/>
        <v>0</v>
      </c>
      <c r="AL1818" s="1668">
        <f t="shared" si="1282"/>
        <v>0</v>
      </c>
      <c r="AM1818" s="1668">
        <f t="shared" si="1282"/>
        <v>0</v>
      </c>
      <c r="AN1818" s="1668">
        <f t="shared" si="1282"/>
        <v>0</v>
      </c>
      <c r="AO1818" s="1668">
        <f t="shared" si="1282"/>
        <v>0</v>
      </c>
      <c r="AP1818" s="1668">
        <f t="shared" si="1282"/>
        <v>0</v>
      </c>
      <c r="AQ1818" s="1704">
        <f t="shared" si="1282"/>
        <v>0</v>
      </c>
    </row>
    <row r="1819" spans="2:43" ht="13.75" hidden="1" customHeight="1" x14ac:dyDescent="0.2">
      <c r="B1819" s="1594"/>
      <c r="C1819" s="193"/>
      <c r="D1819" s="193"/>
      <c r="E1819" s="193"/>
      <c r="F1819" s="193"/>
      <c r="G1819" s="193" t="s">
        <v>344</v>
      </c>
      <c r="H1819" s="193" t="s">
        <v>693</v>
      </c>
      <c r="I1819" s="1283">
        <f t="shared" ref="I1819:T1819" si="1283">+I1524</f>
        <v>0</v>
      </c>
      <c r="J1819" s="1283">
        <f t="shared" si="1283"/>
        <v>0</v>
      </c>
      <c r="K1819" s="1283">
        <f t="shared" si="1283"/>
        <v>0</v>
      </c>
      <c r="L1819" s="1283">
        <f t="shared" si="1283"/>
        <v>0</v>
      </c>
      <c r="M1819" s="1283">
        <f t="shared" si="1283"/>
        <v>0</v>
      </c>
      <c r="N1819" s="1283">
        <f t="shared" si="1283"/>
        <v>0</v>
      </c>
      <c r="O1819" s="1283">
        <f t="shared" si="1283"/>
        <v>0</v>
      </c>
      <c r="P1819" s="1283">
        <f t="shared" si="1283"/>
        <v>0</v>
      </c>
      <c r="Q1819" s="1283">
        <f t="shared" si="1283"/>
        <v>0</v>
      </c>
      <c r="R1819" s="1283">
        <f t="shared" si="1283"/>
        <v>0</v>
      </c>
      <c r="S1819" s="1283">
        <f t="shared" si="1283"/>
        <v>0</v>
      </c>
      <c r="T1819" s="1601">
        <f t="shared" si="1283"/>
        <v>0</v>
      </c>
      <c r="Y1819" s="1594"/>
      <c r="Z1819" s="193"/>
      <c r="AA1819" s="193"/>
      <c r="AB1819" s="193"/>
      <c r="AC1819" s="193"/>
      <c r="AD1819" s="193" t="e">
        <f>+#REF!</f>
        <v>#REF!</v>
      </c>
      <c r="AE1819" s="193" t="e">
        <f>+#REF!</f>
        <v>#REF!</v>
      </c>
      <c r="AF1819" s="1283">
        <f t="shared" ref="AF1819:AQ1819" si="1284">+AF1524</f>
        <v>0</v>
      </c>
      <c r="AG1819" s="1283">
        <f t="shared" si="1284"/>
        <v>0</v>
      </c>
      <c r="AH1819" s="1283">
        <f t="shared" si="1284"/>
        <v>0</v>
      </c>
      <c r="AI1819" s="1283">
        <f t="shared" si="1284"/>
        <v>0</v>
      </c>
      <c r="AJ1819" s="1283">
        <f t="shared" si="1284"/>
        <v>0</v>
      </c>
      <c r="AK1819" s="1283">
        <f t="shared" si="1284"/>
        <v>0</v>
      </c>
      <c r="AL1819" s="1283">
        <f t="shared" si="1284"/>
        <v>0</v>
      </c>
      <c r="AM1819" s="1283">
        <f t="shared" si="1284"/>
        <v>0</v>
      </c>
      <c r="AN1819" s="1283">
        <f t="shared" si="1284"/>
        <v>0</v>
      </c>
      <c r="AO1819" s="1283">
        <f t="shared" si="1284"/>
        <v>0</v>
      </c>
      <c r="AP1819" s="1283">
        <f t="shared" si="1284"/>
        <v>0</v>
      </c>
      <c r="AQ1819" s="1601">
        <f t="shared" si="1284"/>
        <v>0</v>
      </c>
    </row>
    <row r="1820" spans="2:43" ht="14.4" hidden="1" customHeight="1" thickBot="1" x14ac:dyDescent="0.25">
      <c r="B1820" s="1596"/>
      <c r="C1820" s="1199"/>
      <c r="D1820" s="1199"/>
      <c r="E1820" s="1199"/>
      <c r="F1820" s="1199"/>
      <c r="G1820" s="1199" t="s">
        <v>344</v>
      </c>
      <c r="H1820" s="1199" t="s">
        <v>694</v>
      </c>
      <c r="I1820" s="1590">
        <f t="shared" ref="I1820:T1820" si="1285">+I1525</f>
        <v>0</v>
      </c>
      <c r="J1820" s="1590">
        <f t="shared" si="1285"/>
        <v>0</v>
      </c>
      <c r="K1820" s="1590">
        <f t="shared" si="1285"/>
        <v>0</v>
      </c>
      <c r="L1820" s="1590">
        <f t="shared" si="1285"/>
        <v>0</v>
      </c>
      <c r="M1820" s="1590">
        <f t="shared" si="1285"/>
        <v>0</v>
      </c>
      <c r="N1820" s="1590">
        <f t="shared" si="1285"/>
        <v>0</v>
      </c>
      <c r="O1820" s="1590">
        <f t="shared" si="1285"/>
        <v>0</v>
      </c>
      <c r="P1820" s="1590">
        <f t="shared" si="1285"/>
        <v>0</v>
      </c>
      <c r="Q1820" s="1590">
        <f t="shared" si="1285"/>
        <v>0</v>
      </c>
      <c r="R1820" s="1590">
        <f t="shared" si="1285"/>
        <v>0</v>
      </c>
      <c r="S1820" s="1590">
        <f t="shared" si="1285"/>
        <v>0</v>
      </c>
      <c r="T1820" s="1655">
        <f t="shared" si="1285"/>
        <v>0</v>
      </c>
      <c r="Y1820" s="1596"/>
      <c r="Z1820" s="1199"/>
      <c r="AA1820" s="1199"/>
      <c r="AB1820" s="1199"/>
      <c r="AC1820" s="1199"/>
      <c r="AD1820" s="1199" t="e">
        <f>+#REF!</f>
        <v>#REF!</v>
      </c>
      <c r="AE1820" s="1199" t="e">
        <f>+#REF!</f>
        <v>#REF!</v>
      </c>
      <c r="AF1820" s="1590">
        <f t="shared" ref="AF1820:AQ1820" si="1286">+AF1525</f>
        <v>0</v>
      </c>
      <c r="AG1820" s="1590">
        <f t="shared" si="1286"/>
        <v>0</v>
      </c>
      <c r="AH1820" s="1590">
        <f t="shared" si="1286"/>
        <v>0</v>
      </c>
      <c r="AI1820" s="1590">
        <f t="shared" si="1286"/>
        <v>0</v>
      </c>
      <c r="AJ1820" s="1590">
        <f t="shared" si="1286"/>
        <v>0</v>
      </c>
      <c r="AK1820" s="1590">
        <f t="shared" si="1286"/>
        <v>0</v>
      </c>
      <c r="AL1820" s="1590">
        <f t="shared" si="1286"/>
        <v>0</v>
      </c>
      <c r="AM1820" s="1590">
        <f t="shared" si="1286"/>
        <v>0</v>
      </c>
      <c r="AN1820" s="1590">
        <f t="shared" si="1286"/>
        <v>0</v>
      </c>
      <c r="AO1820" s="1590">
        <f t="shared" si="1286"/>
        <v>0</v>
      </c>
      <c r="AP1820" s="1590">
        <f t="shared" si="1286"/>
        <v>0</v>
      </c>
      <c r="AQ1820" s="1655">
        <f t="shared" si="1286"/>
        <v>0</v>
      </c>
    </row>
    <row r="1821" spans="2:43" ht="14.4" hidden="1" customHeight="1" thickTop="1" x14ac:dyDescent="0.2">
      <c r="B1821" s="1584" t="s">
        <v>2019</v>
      </c>
      <c r="C1821" s="1194" t="s">
        <v>2018</v>
      </c>
      <c r="D1821" s="1194"/>
      <c r="E1821" s="1194"/>
      <c r="F1821" s="1194"/>
      <c r="G1821" s="1194"/>
      <c r="H1821" s="1210"/>
      <c r="I1821" s="1194"/>
      <c r="J1821" s="1194"/>
      <c r="K1821" s="1194"/>
      <c r="L1821" s="1194"/>
      <c r="M1821" s="1194"/>
      <c r="N1821" s="1194"/>
      <c r="O1821" s="1194"/>
      <c r="P1821" s="1194"/>
      <c r="Q1821" s="1194"/>
      <c r="R1821" s="1194"/>
      <c r="S1821" s="1194"/>
      <c r="T1821" s="1599"/>
      <c r="Y1821" s="1584" t="s">
        <v>2019</v>
      </c>
      <c r="Z1821" s="1194" t="s">
        <v>2018</v>
      </c>
      <c r="AA1821" s="1194"/>
      <c r="AB1821" s="1194"/>
      <c r="AC1821" s="1194"/>
      <c r="AD1821" s="1194"/>
      <c r="AE1821" s="1210"/>
      <c r="AF1821" s="1194"/>
      <c r="AG1821" s="1194"/>
      <c r="AH1821" s="1194"/>
      <c r="AI1821" s="1194"/>
      <c r="AJ1821" s="1194"/>
      <c r="AK1821" s="1194"/>
      <c r="AL1821" s="1194"/>
      <c r="AM1821" s="1194"/>
      <c r="AN1821" s="1194"/>
      <c r="AO1821" s="1194"/>
      <c r="AP1821" s="1194"/>
      <c r="AQ1821" s="1599"/>
    </row>
    <row r="1822" spans="2:43" ht="13.75" hidden="1" customHeight="1" x14ac:dyDescent="0.2">
      <c r="B1822" s="1195" t="s">
        <v>2021</v>
      </c>
      <c r="C1822" s="193">
        <f t="shared" ref="C1822:C1835" si="1287">+C1786</f>
        <v>5</v>
      </c>
      <c r="D1822" s="193"/>
      <c r="E1822" s="254"/>
      <c r="F1822" s="193"/>
      <c r="G1822" s="193"/>
      <c r="H1822" s="254"/>
      <c r="I1822" s="1705">
        <f>SUMIF($V$250:$V$283,$B1642&amp;"propia",I$250:I$283)</f>
        <v>0</v>
      </c>
      <c r="J1822" s="1705">
        <f t="shared" ref="J1822:T1822" si="1288">SUMIF($V$250:$V$283,$B1642&amp;"propia",J$250:J$283)</f>
        <v>0</v>
      </c>
      <c r="K1822" s="1705">
        <f t="shared" si="1288"/>
        <v>0</v>
      </c>
      <c r="L1822" s="1705">
        <f t="shared" si="1288"/>
        <v>0</v>
      </c>
      <c r="M1822" s="1705">
        <f t="shared" si="1288"/>
        <v>0</v>
      </c>
      <c r="N1822" s="1705">
        <f t="shared" si="1288"/>
        <v>0</v>
      </c>
      <c r="O1822" s="1705">
        <f t="shared" si="1288"/>
        <v>0</v>
      </c>
      <c r="P1822" s="1705">
        <f t="shared" si="1288"/>
        <v>0</v>
      </c>
      <c r="Q1822" s="1705">
        <f t="shared" si="1288"/>
        <v>0</v>
      </c>
      <c r="R1822" s="1705">
        <f t="shared" si="1288"/>
        <v>0</v>
      </c>
      <c r="S1822" s="1705">
        <f t="shared" si="1288"/>
        <v>0</v>
      </c>
      <c r="T1822" s="1706">
        <f t="shared" si="1288"/>
        <v>0</v>
      </c>
      <c r="Y1822" s="1195" t="s">
        <v>2021</v>
      </c>
      <c r="Z1822" s="193">
        <f t="shared" ref="Z1822:Z1850" si="1289">+Z1786</f>
        <v>5</v>
      </c>
      <c r="AA1822" s="193"/>
      <c r="AB1822" s="254"/>
      <c r="AC1822" s="193"/>
      <c r="AD1822" s="193"/>
      <c r="AE1822" s="254"/>
      <c r="AF1822" s="1705">
        <f>SUMIF($AS$250:$AS$283,$B1642&amp;"propia",AF$250:AF$283)</f>
        <v>0</v>
      </c>
      <c r="AG1822" s="1705">
        <f t="shared" ref="AG1822:AQ1822" si="1290">SUMIF($AS$250:$AS$283,$B1642&amp;"propia",AG$250:AG$283)</f>
        <v>0</v>
      </c>
      <c r="AH1822" s="1705">
        <f t="shared" si="1290"/>
        <v>0</v>
      </c>
      <c r="AI1822" s="1705">
        <f t="shared" si="1290"/>
        <v>0</v>
      </c>
      <c r="AJ1822" s="1705">
        <f t="shared" si="1290"/>
        <v>0</v>
      </c>
      <c r="AK1822" s="1705">
        <f t="shared" si="1290"/>
        <v>0</v>
      </c>
      <c r="AL1822" s="1705">
        <f t="shared" si="1290"/>
        <v>0</v>
      </c>
      <c r="AM1822" s="1705">
        <f t="shared" si="1290"/>
        <v>0</v>
      </c>
      <c r="AN1822" s="1705">
        <f t="shared" si="1290"/>
        <v>0</v>
      </c>
      <c r="AO1822" s="1705">
        <f t="shared" si="1290"/>
        <v>0</v>
      </c>
      <c r="AP1822" s="1705">
        <f t="shared" si="1290"/>
        <v>0</v>
      </c>
      <c r="AQ1822" s="1706">
        <f t="shared" si="1290"/>
        <v>0</v>
      </c>
    </row>
    <row r="1823" spans="2:43" ht="13.75" hidden="1" customHeight="1" x14ac:dyDescent="0.2">
      <c r="B1823" s="1195"/>
      <c r="C1823" s="193">
        <f t="shared" si="1287"/>
        <v>5</v>
      </c>
      <c r="D1823" s="193"/>
      <c r="E1823" s="254"/>
      <c r="F1823" s="193"/>
      <c r="G1823" s="193"/>
      <c r="H1823" s="254"/>
      <c r="I1823" s="1707">
        <f t="shared" ref="I1823:T1823" si="1291">SUMIF($V$250:$V$283,$B1643&amp;"propia",I$250:I$283)</f>
        <v>0</v>
      </c>
      <c r="J1823" s="1707">
        <f t="shared" si="1291"/>
        <v>0</v>
      </c>
      <c r="K1823" s="1707">
        <f t="shared" si="1291"/>
        <v>0</v>
      </c>
      <c r="L1823" s="1707">
        <f t="shared" si="1291"/>
        <v>0</v>
      </c>
      <c r="M1823" s="1707">
        <f t="shared" si="1291"/>
        <v>0</v>
      </c>
      <c r="N1823" s="1707">
        <f t="shared" si="1291"/>
        <v>0</v>
      </c>
      <c r="O1823" s="1707">
        <f t="shared" si="1291"/>
        <v>0</v>
      </c>
      <c r="P1823" s="1707">
        <f t="shared" si="1291"/>
        <v>0</v>
      </c>
      <c r="Q1823" s="1707">
        <f t="shared" si="1291"/>
        <v>0</v>
      </c>
      <c r="R1823" s="1707">
        <f t="shared" si="1291"/>
        <v>0</v>
      </c>
      <c r="S1823" s="1707">
        <f t="shared" si="1291"/>
        <v>0</v>
      </c>
      <c r="T1823" s="1708">
        <f t="shared" si="1291"/>
        <v>0</v>
      </c>
      <c r="Y1823" s="1195"/>
      <c r="Z1823" s="193">
        <f t="shared" si="1289"/>
        <v>5</v>
      </c>
      <c r="AA1823" s="193"/>
      <c r="AB1823" s="254"/>
      <c r="AC1823" s="193"/>
      <c r="AD1823" s="193"/>
      <c r="AE1823" s="254"/>
      <c r="AF1823" s="1707">
        <f t="shared" ref="AF1823:AQ1823" si="1292">SUMIF($AS$250:$AS$283,$B1643&amp;"propia",AF$250:AF$283)</f>
        <v>0</v>
      </c>
      <c r="AG1823" s="1707">
        <f t="shared" si="1292"/>
        <v>0</v>
      </c>
      <c r="AH1823" s="1707">
        <f t="shared" si="1292"/>
        <v>0</v>
      </c>
      <c r="AI1823" s="1707">
        <f t="shared" si="1292"/>
        <v>0</v>
      </c>
      <c r="AJ1823" s="1707">
        <f t="shared" si="1292"/>
        <v>0</v>
      </c>
      <c r="AK1823" s="1707">
        <f t="shared" si="1292"/>
        <v>0</v>
      </c>
      <c r="AL1823" s="1707">
        <f t="shared" si="1292"/>
        <v>0</v>
      </c>
      <c r="AM1823" s="1707">
        <f t="shared" si="1292"/>
        <v>0</v>
      </c>
      <c r="AN1823" s="1707">
        <f t="shared" si="1292"/>
        <v>0</v>
      </c>
      <c r="AO1823" s="1707">
        <f t="shared" si="1292"/>
        <v>0</v>
      </c>
      <c r="AP1823" s="1707">
        <f t="shared" si="1292"/>
        <v>0</v>
      </c>
      <c r="AQ1823" s="1708">
        <f t="shared" si="1292"/>
        <v>0</v>
      </c>
    </row>
    <row r="1824" spans="2:43" ht="13.75" hidden="1" customHeight="1" x14ac:dyDescent="0.2">
      <c r="B1824" s="1195"/>
      <c r="C1824" s="193">
        <f t="shared" si="1287"/>
        <v>1.5</v>
      </c>
      <c r="D1824" s="193"/>
      <c r="E1824" s="254"/>
      <c r="F1824" s="193"/>
      <c r="G1824" s="193"/>
      <c r="H1824" s="254"/>
      <c r="I1824" s="1707">
        <f t="shared" ref="I1824:T1824" si="1293">SUMIF($V$250:$V$283,$B1644&amp;"propia",I$250:I$283)</f>
        <v>0</v>
      </c>
      <c r="J1824" s="1707">
        <f t="shared" si="1293"/>
        <v>0</v>
      </c>
      <c r="K1824" s="1707">
        <f t="shared" si="1293"/>
        <v>0</v>
      </c>
      <c r="L1824" s="1707">
        <f t="shared" si="1293"/>
        <v>0</v>
      </c>
      <c r="M1824" s="1707">
        <f t="shared" si="1293"/>
        <v>0</v>
      </c>
      <c r="N1824" s="1707">
        <f t="shared" si="1293"/>
        <v>0</v>
      </c>
      <c r="O1824" s="1707">
        <f t="shared" si="1293"/>
        <v>0</v>
      </c>
      <c r="P1824" s="1707">
        <f t="shared" si="1293"/>
        <v>0</v>
      </c>
      <c r="Q1824" s="1707">
        <f t="shared" si="1293"/>
        <v>0</v>
      </c>
      <c r="R1824" s="1707">
        <f t="shared" si="1293"/>
        <v>0</v>
      </c>
      <c r="S1824" s="1707">
        <f t="shared" si="1293"/>
        <v>0</v>
      </c>
      <c r="T1824" s="1708">
        <f t="shared" si="1293"/>
        <v>0</v>
      </c>
      <c r="Y1824" s="1195"/>
      <c r="Z1824" s="193">
        <f t="shared" si="1289"/>
        <v>1.5</v>
      </c>
      <c r="AA1824" s="193"/>
      <c r="AB1824" s="254"/>
      <c r="AC1824" s="193"/>
      <c r="AD1824" s="193"/>
      <c r="AE1824" s="254"/>
      <c r="AF1824" s="1707">
        <f t="shared" ref="AF1824:AQ1824" si="1294">SUMIF($AS$250:$AS$283,$B1644&amp;"propia",AF$250:AF$283)</f>
        <v>0</v>
      </c>
      <c r="AG1824" s="1707">
        <f t="shared" si="1294"/>
        <v>0</v>
      </c>
      <c r="AH1824" s="1707">
        <f t="shared" si="1294"/>
        <v>0</v>
      </c>
      <c r="AI1824" s="1707">
        <f t="shared" si="1294"/>
        <v>0</v>
      </c>
      <c r="AJ1824" s="1707">
        <f t="shared" si="1294"/>
        <v>0</v>
      </c>
      <c r="AK1824" s="1707">
        <f t="shared" si="1294"/>
        <v>0</v>
      </c>
      <c r="AL1824" s="1707">
        <f t="shared" si="1294"/>
        <v>0</v>
      </c>
      <c r="AM1824" s="1707">
        <f t="shared" si="1294"/>
        <v>0</v>
      </c>
      <c r="AN1824" s="1707">
        <f t="shared" si="1294"/>
        <v>0</v>
      </c>
      <c r="AO1824" s="1707">
        <f t="shared" si="1294"/>
        <v>0</v>
      </c>
      <c r="AP1824" s="1707">
        <f t="shared" si="1294"/>
        <v>0</v>
      </c>
      <c r="AQ1824" s="1708">
        <f t="shared" si="1294"/>
        <v>0</v>
      </c>
    </row>
    <row r="1825" spans="2:43" ht="13.75" hidden="1" customHeight="1" x14ac:dyDescent="0.2">
      <c r="B1825" s="1195"/>
      <c r="C1825" s="193">
        <f t="shared" si="1287"/>
        <v>1.5</v>
      </c>
      <c r="D1825" s="193"/>
      <c r="E1825" s="254"/>
      <c r="F1825" s="193"/>
      <c r="G1825" s="193"/>
      <c r="H1825" s="254"/>
      <c r="I1825" s="1707">
        <f t="shared" ref="I1825:T1825" si="1295">SUMIF($V$250:$V$283,$B1645&amp;"propia",I$250:I$283)</f>
        <v>0</v>
      </c>
      <c r="J1825" s="1707">
        <f t="shared" si="1295"/>
        <v>0</v>
      </c>
      <c r="K1825" s="1707">
        <f t="shared" si="1295"/>
        <v>0</v>
      </c>
      <c r="L1825" s="1707">
        <f t="shared" si="1295"/>
        <v>0</v>
      </c>
      <c r="M1825" s="1707">
        <f t="shared" si="1295"/>
        <v>0</v>
      </c>
      <c r="N1825" s="1707">
        <f t="shared" si="1295"/>
        <v>0</v>
      </c>
      <c r="O1825" s="1707">
        <f t="shared" si="1295"/>
        <v>0</v>
      </c>
      <c r="P1825" s="1707">
        <f t="shared" si="1295"/>
        <v>0</v>
      </c>
      <c r="Q1825" s="1707">
        <f t="shared" si="1295"/>
        <v>0</v>
      </c>
      <c r="R1825" s="1707">
        <f t="shared" si="1295"/>
        <v>0</v>
      </c>
      <c r="S1825" s="1707">
        <f t="shared" si="1295"/>
        <v>0</v>
      </c>
      <c r="T1825" s="1708">
        <f t="shared" si="1295"/>
        <v>0</v>
      </c>
      <c r="Y1825" s="1195"/>
      <c r="Z1825" s="193">
        <f t="shared" si="1289"/>
        <v>1.5</v>
      </c>
      <c r="AA1825" s="193"/>
      <c r="AB1825" s="254"/>
      <c r="AC1825" s="193"/>
      <c r="AD1825" s="193"/>
      <c r="AE1825" s="254"/>
      <c r="AF1825" s="1707">
        <f t="shared" ref="AF1825:AQ1825" si="1296">SUMIF($AS$250:$AS$283,$B1645&amp;"propia",AF$250:AF$283)</f>
        <v>0</v>
      </c>
      <c r="AG1825" s="1707">
        <f t="shared" si="1296"/>
        <v>0</v>
      </c>
      <c r="AH1825" s="1707">
        <f t="shared" si="1296"/>
        <v>0</v>
      </c>
      <c r="AI1825" s="1707">
        <f t="shared" si="1296"/>
        <v>0</v>
      </c>
      <c r="AJ1825" s="1707">
        <f t="shared" si="1296"/>
        <v>0</v>
      </c>
      <c r="AK1825" s="1707">
        <f t="shared" si="1296"/>
        <v>0</v>
      </c>
      <c r="AL1825" s="1707">
        <f t="shared" si="1296"/>
        <v>0</v>
      </c>
      <c r="AM1825" s="1707">
        <f t="shared" si="1296"/>
        <v>0</v>
      </c>
      <c r="AN1825" s="1707">
        <f t="shared" si="1296"/>
        <v>0</v>
      </c>
      <c r="AO1825" s="1707">
        <f t="shared" si="1296"/>
        <v>0</v>
      </c>
      <c r="AP1825" s="1707">
        <f t="shared" si="1296"/>
        <v>0</v>
      </c>
      <c r="AQ1825" s="1708">
        <f t="shared" si="1296"/>
        <v>0</v>
      </c>
    </row>
    <row r="1826" spans="2:43" ht="13.75" hidden="1" customHeight="1" x14ac:dyDescent="0.2">
      <c r="B1826" s="1195"/>
      <c r="C1826" s="193">
        <f t="shared" si="1287"/>
        <v>3</v>
      </c>
      <c r="D1826" s="193"/>
      <c r="E1826" s="254"/>
      <c r="F1826" s="193"/>
      <c r="G1826" s="193"/>
      <c r="H1826" s="254"/>
      <c r="I1826" s="1707">
        <f t="shared" ref="I1826:T1826" si="1297">SUMIF($V$250:$V$283,$B1646&amp;"propia",I$250:I$283)</f>
        <v>0</v>
      </c>
      <c r="J1826" s="1707">
        <f t="shared" si="1297"/>
        <v>0</v>
      </c>
      <c r="K1826" s="1707">
        <f t="shared" si="1297"/>
        <v>0</v>
      </c>
      <c r="L1826" s="1707">
        <f t="shared" si="1297"/>
        <v>0</v>
      </c>
      <c r="M1826" s="1707">
        <f t="shared" si="1297"/>
        <v>0</v>
      </c>
      <c r="N1826" s="1707">
        <f t="shared" si="1297"/>
        <v>0</v>
      </c>
      <c r="O1826" s="1707">
        <f t="shared" si="1297"/>
        <v>0</v>
      </c>
      <c r="P1826" s="1707">
        <f t="shared" si="1297"/>
        <v>0</v>
      </c>
      <c r="Q1826" s="1707">
        <f t="shared" si="1297"/>
        <v>0</v>
      </c>
      <c r="R1826" s="1707">
        <f t="shared" si="1297"/>
        <v>0</v>
      </c>
      <c r="S1826" s="1707">
        <f t="shared" si="1297"/>
        <v>0</v>
      </c>
      <c r="T1826" s="1708">
        <f t="shared" si="1297"/>
        <v>0</v>
      </c>
      <c r="Y1826" s="1195"/>
      <c r="Z1826" s="193">
        <f t="shared" si="1289"/>
        <v>3</v>
      </c>
      <c r="AA1826" s="193"/>
      <c r="AB1826" s="254"/>
      <c r="AC1826" s="193"/>
      <c r="AD1826" s="193"/>
      <c r="AE1826" s="254"/>
      <c r="AF1826" s="1707">
        <f t="shared" ref="AF1826:AQ1826" si="1298">SUMIF($AS$250:$AS$283,$B1646&amp;"propia",AF$250:AF$283)</f>
        <v>0</v>
      </c>
      <c r="AG1826" s="1707">
        <f t="shared" si="1298"/>
        <v>0</v>
      </c>
      <c r="AH1826" s="1707">
        <f t="shared" si="1298"/>
        <v>0</v>
      </c>
      <c r="AI1826" s="1707">
        <f t="shared" si="1298"/>
        <v>0</v>
      </c>
      <c r="AJ1826" s="1707">
        <f t="shared" si="1298"/>
        <v>0</v>
      </c>
      <c r="AK1826" s="1707">
        <f t="shared" si="1298"/>
        <v>0</v>
      </c>
      <c r="AL1826" s="1707">
        <f t="shared" si="1298"/>
        <v>0</v>
      </c>
      <c r="AM1826" s="1707">
        <f t="shared" si="1298"/>
        <v>0</v>
      </c>
      <c r="AN1826" s="1707">
        <f t="shared" si="1298"/>
        <v>0</v>
      </c>
      <c r="AO1826" s="1707">
        <f t="shared" si="1298"/>
        <v>0</v>
      </c>
      <c r="AP1826" s="1707">
        <f t="shared" si="1298"/>
        <v>0</v>
      </c>
      <c r="AQ1826" s="1708">
        <f t="shared" si="1298"/>
        <v>0</v>
      </c>
    </row>
    <row r="1827" spans="2:43" ht="13.75" hidden="1" customHeight="1" x14ac:dyDescent="0.2">
      <c r="B1827" s="1195"/>
      <c r="C1827" s="193">
        <f t="shared" si="1287"/>
        <v>3</v>
      </c>
      <c r="D1827" s="193"/>
      <c r="E1827" s="254"/>
      <c r="F1827" s="193"/>
      <c r="G1827" s="193"/>
      <c r="H1827" s="254"/>
      <c r="I1827" s="1707">
        <f t="shared" ref="I1827:T1827" si="1299">SUMIF($V$250:$V$283,$B1647&amp;"propia",I$250:I$283)</f>
        <v>0</v>
      </c>
      <c r="J1827" s="1707">
        <f t="shared" si="1299"/>
        <v>0</v>
      </c>
      <c r="K1827" s="1707">
        <f t="shared" si="1299"/>
        <v>0</v>
      </c>
      <c r="L1827" s="1707">
        <f t="shared" si="1299"/>
        <v>0</v>
      </c>
      <c r="M1827" s="1707">
        <f t="shared" si="1299"/>
        <v>0</v>
      </c>
      <c r="N1827" s="1707">
        <f t="shared" si="1299"/>
        <v>0</v>
      </c>
      <c r="O1827" s="1707">
        <f t="shared" si="1299"/>
        <v>0</v>
      </c>
      <c r="P1827" s="1707">
        <f t="shared" si="1299"/>
        <v>0</v>
      </c>
      <c r="Q1827" s="1707">
        <f t="shared" si="1299"/>
        <v>0</v>
      </c>
      <c r="R1827" s="1707">
        <f t="shared" si="1299"/>
        <v>0</v>
      </c>
      <c r="S1827" s="1707">
        <f t="shared" si="1299"/>
        <v>0</v>
      </c>
      <c r="T1827" s="1708">
        <f t="shared" si="1299"/>
        <v>0</v>
      </c>
      <c r="Y1827" s="1195"/>
      <c r="Z1827" s="193">
        <f t="shared" si="1289"/>
        <v>3</v>
      </c>
      <c r="AA1827" s="193"/>
      <c r="AB1827" s="254"/>
      <c r="AC1827" s="193"/>
      <c r="AD1827" s="193"/>
      <c r="AE1827" s="254"/>
      <c r="AF1827" s="1707">
        <f t="shared" ref="AF1827:AQ1827" si="1300">SUMIF($AS$250:$AS$283,$B1647&amp;"propia",AF$250:AF$283)</f>
        <v>0</v>
      </c>
      <c r="AG1827" s="1707">
        <f t="shared" si="1300"/>
        <v>0</v>
      </c>
      <c r="AH1827" s="1707">
        <f t="shared" si="1300"/>
        <v>0</v>
      </c>
      <c r="AI1827" s="1707">
        <f t="shared" si="1300"/>
        <v>0</v>
      </c>
      <c r="AJ1827" s="1707">
        <f t="shared" si="1300"/>
        <v>0</v>
      </c>
      <c r="AK1827" s="1707">
        <f t="shared" si="1300"/>
        <v>0</v>
      </c>
      <c r="AL1827" s="1707">
        <f t="shared" si="1300"/>
        <v>0</v>
      </c>
      <c r="AM1827" s="1707">
        <f t="shared" si="1300"/>
        <v>0</v>
      </c>
      <c r="AN1827" s="1707">
        <f t="shared" si="1300"/>
        <v>0</v>
      </c>
      <c r="AO1827" s="1707">
        <f t="shared" si="1300"/>
        <v>0</v>
      </c>
      <c r="AP1827" s="1707">
        <f t="shared" si="1300"/>
        <v>0</v>
      </c>
      <c r="AQ1827" s="1708">
        <f t="shared" si="1300"/>
        <v>0</v>
      </c>
    </row>
    <row r="1828" spans="2:43" ht="13.75" hidden="1" customHeight="1" x14ac:dyDescent="0.2">
      <c r="B1828" s="1195"/>
      <c r="C1828" s="193">
        <f t="shared" si="1287"/>
        <v>9</v>
      </c>
      <c r="D1828" s="193"/>
      <c r="E1828" s="254"/>
      <c r="F1828" s="193"/>
      <c r="G1828" s="193"/>
      <c r="H1828" s="254"/>
      <c r="I1828" s="1707">
        <f t="shared" ref="I1828:T1828" si="1301">SUMIF($V$250:$V$283,$B1648&amp;"propia",I$250:I$283)</f>
        <v>0</v>
      </c>
      <c r="J1828" s="1707">
        <f t="shared" si="1301"/>
        <v>0</v>
      </c>
      <c r="K1828" s="1707">
        <f t="shared" si="1301"/>
        <v>0</v>
      </c>
      <c r="L1828" s="1707">
        <f t="shared" si="1301"/>
        <v>0</v>
      </c>
      <c r="M1828" s="1707">
        <f t="shared" si="1301"/>
        <v>0</v>
      </c>
      <c r="N1828" s="1707">
        <f t="shared" si="1301"/>
        <v>0</v>
      </c>
      <c r="O1828" s="1707">
        <f t="shared" si="1301"/>
        <v>0</v>
      </c>
      <c r="P1828" s="1707">
        <f t="shared" si="1301"/>
        <v>0</v>
      </c>
      <c r="Q1828" s="1707">
        <f t="shared" si="1301"/>
        <v>0</v>
      </c>
      <c r="R1828" s="1707">
        <f t="shared" si="1301"/>
        <v>0</v>
      </c>
      <c r="S1828" s="1707">
        <f t="shared" si="1301"/>
        <v>0</v>
      </c>
      <c r="T1828" s="1708">
        <f t="shared" si="1301"/>
        <v>0</v>
      </c>
      <c r="Y1828" s="1195"/>
      <c r="Z1828" s="193">
        <f t="shared" si="1289"/>
        <v>9</v>
      </c>
      <c r="AA1828" s="193"/>
      <c r="AB1828" s="254"/>
      <c r="AC1828" s="193"/>
      <c r="AD1828" s="193"/>
      <c r="AE1828" s="254"/>
      <c r="AF1828" s="1707">
        <f t="shared" ref="AF1828:AQ1828" si="1302">SUMIF($AS$250:$AS$283,$B1648&amp;"propia",AF$250:AF$283)</f>
        <v>0</v>
      </c>
      <c r="AG1828" s="1707">
        <f t="shared" si="1302"/>
        <v>0</v>
      </c>
      <c r="AH1828" s="1707">
        <f t="shared" si="1302"/>
        <v>0</v>
      </c>
      <c r="AI1828" s="1707">
        <f t="shared" si="1302"/>
        <v>0</v>
      </c>
      <c r="AJ1828" s="1707">
        <f t="shared" si="1302"/>
        <v>0</v>
      </c>
      <c r="AK1828" s="1707">
        <f t="shared" si="1302"/>
        <v>0</v>
      </c>
      <c r="AL1828" s="1707">
        <f t="shared" si="1302"/>
        <v>0</v>
      </c>
      <c r="AM1828" s="1707">
        <f t="shared" si="1302"/>
        <v>0</v>
      </c>
      <c r="AN1828" s="1707">
        <f t="shared" si="1302"/>
        <v>0</v>
      </c>
      <c r="AO1828" s="1707">
        <f t="shared" si="1302"/>
        <v>0</v>
      </c>
      <c r="AP1828" s="1707">
        <f t="shared" si="1302"/>
        <v>0</v>
      </c>
      <c r="AQ1828" s="1708">
        <f t="shared" si="1302"/>
        <v>0</v>
      </c>
    </row>
    <row r="1829" spans="2:43" ht="13.75" hidden="1" customHeight="1" x14ac:dyDescent="0.2">
      <c r="B1829" s="1195"/>
      <c r="C1829" s="193">
        <f t="shared" si="1287"/>
        <v>0</v>
      </c>
      <c r="D1829" s="193"/>
      <c r="E1829" s="254"/>
      <c r="F1829" s="193"/>
      <c r="G1829" s="193"/>
      <c r="H1829" s="254"/>
      <c r="I1829" s="1707">
        <f t="shared" ref="I1829:T1829" si="1303">SUMIF($V$250:$V$283,$B1649&amp;"propia",I$250:I$283)</f>
        <v>0</v>
      </c>
      <c r="J1829" s="1707">
        <f t="shared" si="1303"/>
        <v>0</v>
      </c>
      <c r="K1829" s="1707">
        <f t="shared" si="1303"/>
        <v>0</v>
      </c>
      <c r="L1829" s="1707">
        <f t="shared" si="1303"/>
        <v>0</v>
      </c>
      <c r="M1829" s="1707">
        <f t="shared" si="1303"/>
        <v>0</v>
      </c>
      <c r="N1829" s="1707">
        <f t="shared" si="1303"/>
        <v>0</v>
      </c>
      <c r="O1829" s="1707">
        <f t="shared" si="1303"/>
        <v>0</v>
      </c>
      <c r="P1829" s="1707">
        <f t="shared" si="1303"/>
        <v>0</v>
      </c>
      <c r="Q1829" s="1707">
        <f t="shared" si="1303"/>
        <v>0</v>
      </c>
      <c r="R1829" s="1707">
        <f t="shared" si="1303"/>
        <v>0</v>
      </c>
      <c r="S1829" s="1707">
        <f t="shared" si="1303"/>
        <v>0</v>
      </c>
      <c r="T1829" s="1708">
        <f t="shared" si="1303"/>
        <v>0</v>
      </c>
      <c r="Y1829" s="1195"/>
      <c r="Z1829" s="193">
        <f t="shared" si="1289"/>
        <v>0</v>
      </c>
      <c r="AA1829" s="193"/>
      <c r="AB1829" s="254"/>
      <c r="AC1829" s="193"/>
      <c r="AD1829" s="193"/>
      <c r="AE1829" s="254"/>
      <c r="AF1829" s="1707">
        <f t="shared" ref="AF1829:AQ1829" si="1304">SUMIF($AS$250:$AS$283,$B1649&amp;"propia",AF$250:AF$283)</f>
        <v>0</v>
      </c>
      <c r="AG1829" s="1707">
        <f t="shared" si="1304"/>
        <v>0</v>
      </c>
      <c r="AH1829" s="1707">
        <f t="shared" si="1304"/>
        <v>0</v>
      </c>
      <c r="AI1829" s="1707">
        <f t="shared" si="1304"/>
        <v>0</v>
      </c>
      <c r="AJ1829" s="1707">
        <f t="shared" si="1304"/>
        <v>0</v>
      </c>
      <c r="AK1829" s="1707">
        <f t="shared" si="1304"/>
        <v>0</v>
      </c>
      <c r="AL1829" s="1707">
        <f t="shared" si="1304"/>
        <v>0</v>
      </c>
      <c r="AM1829" s="1707">
        <f t="shared" si="1304"/>
        <v>0</v>
      </c>
      <c r="AN1829" s="1707">
        <f t="shared" si="1304"/>
        <v>0</v>
      </c>
      <c r="AO1829" s="1707">
        <f t="shared" si="1304"/>
        <v>0</v>
      </c>
      <c r="AP1829" s="1707">
        <f t="shared" si="1304"/>
        <v>0</v>
      </c>
      <c r="AQ1829" s="1708">
        <f t="shared" si="1304"/>
        <v>0</v>
      </c>
    </row>
    <row r="1830" spans="2:43" ht="13.75" hidden="1" customHeight="1" x14ac:dyDescent="0.2">
      <c r="B1830" s="1195"/>
      <c r="C1830" s="193">
        <f t="shared" si="1287"/>
        <v>0</v>
      </c>
      <c r="D1830" s="193"/>
      <c r="E1830" s="254"/>
      <c r="F1830" s="193"/>
      <c r="G1830" s="193"/>
      <c r="H1830" s="254"/>
      <c r="I1830" s="1707">
        <f t="shared" ref="I1830:T1830" si="1305">SUMIF($V$250:$V$283,$B1650&amp;"propia",I$250:I$283)</f>
        <v>0</v>
      </c>
      <c r="J1830" s="1707">
        <f t="shared" si="1305"/>
        <v>0</v>
      </c>
      <c r="K1830" s="1707">
        <f t="shared" si="1305"/>
        <v>0</v>
      </c>
      <c r="L1830" s="1707">
        <f t="shared" si="1305"/>
        <v>0</v>
      </c>
      <c r="M1830" s="1707">
        <f t="shared" si="1305"/>
        <v>0</v>
      </c>
      <c r="N1830" s="1707">
        <f t="shared" si="1305"/>
        <v>0</v>
      </c>
      <c r="O1830" s="1707">
        <f t="shared" si="1305"/>
        <v>0</v>
      </c>
      <c r="P1830" s="1707">
        <f t="shared" si="1305"/>
        <v>0</v>
      </c>
      <c r="Q1830" s="1707">
        <f t="shared" si="1305"/>
        <v>0</v>
      </c>
      <c r="R1830" s="1707">
        <f t="shared" si="1305"/>
        <v>0</v>
      </c>
      <c r="S1830" s="1707">
        <f t="shared" si="1305"/>
        <v>0</v>
      </c>
      <c r="T1830" s="1708">
        <f t="shared" si="1305"/>
        <v>0</v>
      </c>
      <c r="Y1830" s="1195"/>
      <c r="Z1830" s="193">
        <f t="shared" si="1289"/>
        <v>0</v>
      </c>
      <c r="AA1830" s="193"/>
      <c r="AB1830" s="254"/>
      <c r="AC1830" s="193"/>
      <c r="AD1830" s="193"/>
      <c r="AE1830" s="254"/>
      <c r="AF1830" s="1707">
        <f t="shared" ref="AF1830:AQ1830" si="1306">SUMIF($AS$250:$AS$283,$B1650&amp;"propia",AF$250:AF$283)</f>
        <v>0</v>
      </c>
      <c r="AG1830" s="1707">
        <f t="shared" si="1306"/>
        <v>0</v>
      </c>
      <c r="AH1830" s="1707">
        <f t="shared" si="1306"/>
        <v>0</v>
      </c>
      <c r="AI1830" s="1707">
        <f t="shared" si="1306"/>
        <v>0</v>
      </c>
      <c r="AJ1830" s="1707">
        <f t="shared" si="1306"/>
        <v>0</v>
      </c>
      <c r="AK1830" s="1707">
        <f t="shared" si="1306"/>
        <v>0</v>
      </c>
      <c r="AL1830" s="1707">
        <f t="shared" si="1306"/>
        <v>0</v>
      </c>
      <c r="AM1830" s="1707">
        <f t="shared" si="1306"/>
        <v>0</v>
      </c>
      <c r="AN1830" s="1707">
        <f t="shared" si="1306"/>
        <v>0</v>
      </c>
      <c r="AO1830" s="1707">
        <f t="shared" si="1306"/>
        <v>0</v>
      </c>
      <c r="AP1830" s="1707">
        <f t="shared" si="1306"/>
        <v>0</v>
      </c>
      <c r="AQ1830" s="1708">
        <f t="shared" si="1306"/>
        <v>0</v>
      </c>
    </row>
    <row r="1831" spans="2:43" ht="13.75" hidden="1" customHeight="1" x14ac:dyDescent="0.2">
      <c r="B1831" s="1195"/>
      <c r="C1831" s="193">
        <f t="shared" si="1287"/>
        <v>0</v>
      </c>
      <c r="D1831" s="193"/>
      <c r="E1831" s="254"/>
      <c r="F1831" s="193"/>
      <c r="G1831" s="193"/>
      <c r="H1831" s="254"/>
      <c r="I1831" s="1707">
        <f t="shared" ref="I1831:T1831" si="1307">SUMIF($V$250:$V$283,$B1651&amp;"propia",I$250:I$283)</f>
        <v>0</v>
      </c>
      <c r="J1831" s="1707">
        <f t="shared" si="1307"/>
        <v>0</v>
      </c>
      <c r="K1831" s="1707">
        <f t="shared" si="1307"/>
        <v>0</v>
      </c>
      <c r="L1831" s="1707">
        <f t="shared" si="1307"/>
        <v>0</v>
      </c>
      <c r="M1831" s="1707">
        <f t="shared" si="1307"/>
        <v>0</v>
      </c>
      <c r="N1831" s="1707">
        <f t="shared" si="1307"/>
        <v>0</v>
      </c>
      <c r="O1831" s="1707">
        <f t="shared" si="1307"/>
        <v>0</v>
      </c>
      <c r="P1831" s="1707">
        <f t="shared" si="1307"/>
        <v>0</v>
      </c>
      <c r="Q1831" s="1707">
        <f t="shared" si="1307"/>
        <v>0</v>
      </c>
      <c r="R1831" s="1707">
        <f t="shared" si="1307"/>
        <v>0</v>
      </c>
      <c r="S1831" s="1707">
        <f t="shared" si="1307"/>
        <v>0</v>
      </c>
      <c r="T1831" s="1708">
        <f t="shared" si="1307"/>
        <v>0</v>
      </c>
      <c r="Y1831" s="1195"/>
      <c r="Z1831" s="193">
        <f t="shared" si="1289"/>
        <v>0</v>
      </c>
      <c r="AA1831" s="193"/>
      <c r="AB1831" s="254"/>
      <c r="AC1831" s="193"/>
      <c r="AD1831" s="193"/>
      <c r="AE1831" s="254"/>
      <c r="AF1831" s="1707">
        <f t="shared" ref="AF1831:AQ1831" si="1308">SUMIF($AS$250:$AS$283,$B1651&amp;"propia",AF$250:AF$283)</f>
        <v>0</v>
      </c>
      <c r="AG1831" s="1707">
        <f t="shared" si="1308"/>
        <v>0</v>
      </c>
      <c r="AH1831" s="1707">
        <f t="shared" si="1308"/>
        <v>0</v>
      </c>
      <c r="AI1831" s="1707">
        <f t="shared" si="1308"/>
        <v>0</v>
      </c>
      <c r="AJ1831" s="1707">
        <f t="shared" si="1308"/>
        <v>0</v>
      </c>
      <c r="AK1831" s="1707">
        <f t="shared" si="1308"/>
        <v>0</v>
      </c>
      <c r="AL1831" s="1707">
        <f t="shared" si="1308"/>
        <v>0</v>
      </c>
      <c r="AM1831" s="1707">
        <f t="shared" si="1308"/>
        <v>0</v>
      </c>
      <c r="AN1831" s="1707">
        <f t="shared" si="1308"/>
        <v>0</v>
      </c>
      <c r="AO1831" s="1707">
        <f t="shared" si="1308"/>
        <v>0</v>
      </c>
      <c r="AP1831" s="1707">
        <f t="shared" si="1308"/>
        <v>0</v>
      </c>
      <c r="AQ1831" s="1708">
        <f t="shared" si="1308"/>
        <v>0</v>
      </c>
    </row>
    <row r="1832" spans="2:43" ht="13.75" hidden="1" customHeight="1" x14ac:dyDescent="0.2">
      <c r="B1832" s="1195"/>
      <c r="C1832" s="193">
        <f t="shared" si="1287"/>
        <v>0</v>
      </c>
      <c r="D1832" s="193"/>
      <c r="E1832" s="254"/>
      <c r="F1832" s="193"/>
      <c r="G1832" s="193"/>
      <c r="H1832" s="254"/>
      <c r="I1832" s="1707">
        <f t="shared" ref="I1832:T1832" si="1309">SUMIF($V$250:$V$283,$B1652&amp;"propia",I$250:I$283)</f>
        <v>0</v>
      </c>
      <c r="J1832" s="1707">
        <f t="shared" si="1309"/>
        <v>0</v>
      </c>
      <c r="K1832" s="1707">
        <f t="shared" si="1309"/>
        <v>0</v>
      </c>
      <c r="L1832" s="1707">
        <f t="shared" si="1309"/>
        <v>0</v>
      </c>
      <c r="M1832" s="1707">
        <f t="shared" si="1309"/>
        <v>0</v>
      </c>
      <c r="N1832" s="1707">
        <f t="shared" si="1309"/>
        <v>0</v>
      </c>
      <c r="O1832" s="1707">
        <f t="shared" si="1309"/>
        <v>0</v>
      </c>
      <c r="P1832" s="1707">
        <f t="shared" si="1309"/>
        <v>0</v>
      </c>
      <c r="Q1832" s="1707">
        <f t="shared" si="1309"/>
        <v>0</v>
      </c>
      <c r="R1832" s="1707">
        <f t="shared" si="1309"/>
        <v>0</v>
      </c>
      <c r="S1832" s="1707">
        <f t="shared" si="1309"/>
        <v>0</v>
      </c>
      <c r="T1832" s="1708">
        <f t="shared" si="1309"/>
        <v>0</v>
      </c>
      <c r="Y1832" s="1195"/>
      <c r="Z1832" s="193">
        <f t="shared" si="1289"/>
        <v>0</v>
      </c>
      <c r="AA1832" s="193"/>
      <c r="AB1832" s="254"/>
      <c r="AC1832" s="193"/>
      <c r="AD1832" s="193"/>
      <c r="AE1832" s="254"/>
      <c r="AF1832" s="1707">
        <f t="shared" ref="AF1832:AQ1832" si="1310">SUMIF($AS$250:$AS$283,$B1652&amp;"propia",AF$250:AF$283)</f>
        <v>0</v>
      </c>
      <c r="AG1832" s="1707">
        <f t="shared" si="1310"/>
        <v>0</v>
      </c>
      <c r="AH1832" s="1707">
        <f t="shared" si="1310"/>
        <v>0</v>
      </c>
      <c r="AI1832" s="1707">
        <f t="shared" si="1310"/>
        <v>0</v>
      </c>
      <c r="AJ1832" s="1707">
        <f t="shared" si="1310"/>
        <v>0</v>
      </c>
      <c r="AK1832" s="1707">
        <f t="shared" si="1310"/>
        <v>0</v>
      </c>
      <c r="AL1832" s="1707">
        <f t="shared" si="1310"/>
        <v>0</v>
      </c>
      <c r="AM1832" s="1707">
        <f t="shared" si="1310"/>
        <v>0</v>
      </c>
      <c r="AN1832" s="1707">
        <f t="shared" si="1310"/>
        <v>0</v>
      </c>
      <c r="AO1832" s="1707">
        <f t="shared" si="1310"/>
        <v>0</v>
      </c>
      <c r="AP1832" s="1707">
        <f t="shared" si="1310"/>
        <v>0</v>
      </c>
      <c r="AQ1832" s="1708">
        <f t="shared" si="1310"/>
        <v>0</v>
      </c>
    </row>
    <row r="1833" spans="2:43" ht="13.75" hidden="1" customHeight="1" x14ac:dyDescent="0.2">
      <c r="B1833" s="1195"/>
      <c r="C1833" s="193">
        <f t="shared" si="1287"/>
        <v>0</v>
      </c>
      <c r="D1833" s="193"/>
      <c r="E1833" s="254"/>
      <c r="F1833" s="193"/>
      <c r="G1833" s="193"/>
      <c r="H1833" s="254"/>
      <c r="I1833" s="1707">
        <f t="shared" ref="I1833:T1833" si="1311">SUMIF($V$250:$V$283,$B1653&amp;"propia",I$250:I$283)</f>
        <v>0</v>
      </c>
      <c r="J1833" s="1707">
        <f t="shared" si="1311"/>
        <v>0</v>
      </c>
      <c r="K1833" s="1707">
        <f t="shared" si="1311"/>
        <v>0</v>
      </c>
      <c r="L1833" s="1707">
        <f t="shared" si="1311"/>
        <v>0</v>
      </c>
      <c r="M1833" s="1707">
        <f t="shared" si="1311"/>
        <v>0</v>
      </c>
      <c r="N1833" s="1707">
        <f t="shared" si="1311"/>
        <v>0</v>
      </c>
      <c r="O1833" s="1707">
        <f t="shared" si="1311"/>
        <v>0</v>
      </c>
      <c r="P1833" s="1707">
        <f t="shared" si="1311"/>
        <v>0</v>
      </c>
      <c r="Q1833" s="1707">
        <f t="shared" si="1311"/>
        <v>0</v>
      </c>
      <c r="R1833" s="1707">
        <f t="shared" si="1311"/>
        <v>0</v>
      </c>
      <c r="S1833" s="1707">
        <f t="shared" si="1311"/>
        <v>0</v>
      </c>
      <c r="T1833" s="1708">
        <f t="shared" si="1311"/>
        <v>0</v>
      </c>
      <c r="Y1833" s="1195"/>
      <c r="Z1833" s="193">
        <f t="shared" si="1289"/>
        <v>0</v>
      </c>
      <c r="AA1833" s="193"/>
      <c r="AB1833" s="254"/>
      <c r="AC1833" s="193"/>
      <c r="AD1833" s="193"/>
      <c r="AE1833" s="254"/>
      <c r="AF1833" s="1707">
        <f t="shared" ref="AF1833:AQ1833" si="1312">SUMIF($AS$250:$AS$283,$B1653&amp;"propia",AF$250:AF$283)</f>
        <v>0</v>
      </c>
      <c r="AG1833" s="1707">
        <f t="shared" si="1312"/>
        <v>0</v>
      </c>
      <c r="AH1833" s="1707">
        <f t="shared" si="1312"/>
        <v>0</v>
      </c>
      <c r="AI1833" s="1707">
        <f t="shared" si="1312"/>
        <v>0</v>
      </c>
      <c r="AJ1833" s="1707">
        <f t="shared" si="1312"/>
        <v>0</v>
      </c>
      <c r="AK1833" s="1707">
        <f t="shared" si="1312"/>
        <v>0</v>
      </c>
      <c r="AL1833" s="1707">
        <f t="shared" si="1312"/>
        <v>0</v>
      </c>
      <c r="AM1833" s="1707">
        <f t="shared" si="1312"/>
        <v>0</v>
      </c>
      <c r="AN1833" s="1707">
        <f t="shared" si="1312"/>
        <v>0</v>
      </c>
      <c r="AO1833" s="1707">
        <f t="shared" si="1312"/>
        <v>0</v>
      </c>
      <c r="AP1833" s="1707">
        <f t="shared" si="1312"/>
        <v>0</v>
      </c>
      <c r="AQ1833" s="1708">
        <f t="shared" si="1312"/>
        <v>0</v>
      </c>
    </row>
    <row r="1834" spans="2:43" ht="13.75" hidden="1" customHeight="1" x14ac:dyDescent="0.2">
      <c r="B1834" s="1195"/>
      <c r="C1834" s="193">
        <f t="shared" si="1287"/>
        <v>0</v>
      </c>
      <c r="D1834" s="193"/>
      <c r="E1834" s="254"/>
      <c r="F1834" s="193"/>
      <c r="G1834" s="193"/>
      <c r="H1834" s="254"/>
      <c r="I1834" s="1707">
        <f t="shared" ref="I1834:T1834" si="1313">SUMIF($V$250:$V$283,$B1654&amp;"propia",I$250:I$283)</f>
        <v>0</v>
      </c>
      <c r="J1834" s="1707">
        <f t="shared" si="1313"/>
        <v>0</v>
      </c>
      <c r="K1834" s="1707">
        <f t="shared" si="1313"/>
        <v>0</v>
      </c>
      <c r="L1834" s="1707">
        <f t="shared" si="1313"/>
        <v>0</v>
      </c>
      <c r="M1834" s="1707">
        <f t="shared" si="1313"/>
        <v>0</v>
      </c>
      <c r="N1834" s="1707">
        <f t="shared" si="1313"/>
        <v>0</v>
      </c>
      <c r="O1834" s="1707">
        <f t="shared" si="1313"/>
        <v>0</v>
      </c>
      <c r="P1834" s="1707">
        <f t="shared" si="1313"/>
        <v>0</v>
      </c>
      <c r="Q1834" s="1707">
        <f t="shared" si="1313"/>
        <v>0</v>
      </c>
      <c r="R1834" s="1707">
        <f t="shared" si="1313"/>
        <v>0</v>
      </c>
      <c r="S1834" s="1707">
        <f t="shared" si="1313"/>
        <v>0</v>
      </c>
      <c r="T1834" s="1708">
        <f t="shared" si="1313"/>
        <v>0</v>
      </c>
      <c r="Y1834" s="1195"/>
      <c r="Z1834" s="193">
        <f t="shared" si="1289"/>
        <v>0</v>
      </c>
      <c r="AA1834" s="193"/>
      <c r="AB1834" s="254"/>
      <c r="AC1834" s="193"/>
      <c r="AD1834" s="193"/>
      <c r="AE1834" s="254"/>
      <c r="AF1834" s="1707">
        <f t="shared" ref="AF1834:AQ1834" si="1314">SUMIF($AS$250:$AS$283,$B1654&amp;"propia",AF$250:AF$283)</f>
        <v>0</v>
      </c>
      <c r="AG1834" s="1707">
        <f t="shared" si="1314"/>
        <v>0</v>
      </c>
      <c r="AH1834" s="1707">
        <f t="shared" si="1314"/>
        <v>0</v>
      </c>
      <c r="AI1834" s="1707">
        <f t="shared" si="1314"/>
        <v>0</v>
      </c>
      <c r="AJ1834" s="1707">
        <f t="shared" si="1314"/>
        <v>0</v>
      </c>
      <c r="AK1834" s="1707">
        <f t="shared" si="1314"/>
        <v>0</v>
      </c>
      <c r="AL1834" s="1707">
        <f t="shared" si="1314"/>
        <v>0</v>
      </c>
      <c r="AM1834" s="1707">
        <f t="shared" si="1314"/>
        <v>0</v>
      </c>
      <c r="AN1834" s="1707">
        <f t="shared" si="1314"/>
        <v>0</v>
      </c>
      <c r="AO1834" s="1707">
        <f t="shared" si="1314"/>
        <v>0</v>
      </c>
      <c r="AP1834" s="1707">
        <f t="shared" si="1314"/>
        <v>0</v>
      </c>
      <c r="AQ1834" s="1708">
        <f t="shared" si="1314"/>
        <v>0</v>
      </c>
    </row>
    <row r="1835" spans="2:43" ht="14.4" hidden="1" customHeight="1" thickBot="1" x14ac:dyDescent="0.25">
      <c r="B1835" s="1198"/>
      <c r="C1835" s="1199">
        <f t="shared" si="1287"/>
        <v>0</v>
      </c>
      <c r="D1835" s="1199"/>
      <c r="E1835" s="1209"/>
      <c r="F1835" s="1199"/>
      <c r="G1835" s="1199"/>
      <c r="H1835" s="1209"/>
      <c r="I1835" s="1709">
        <f t="shared" ref="I1835:T1835" si="1315">SUMIF($V$250:$V$283,$B1655&amp;"propia",I$250:I$283)</f>
        <v>0</v>
      </c>
      <c r="J1835" s="1709">
        <f t="shared" si="1315"/>
        <v>0</v>
      </c>
      <c r="K1835" s="1709">
        <f t="shared" si="1315"/>
        <v>0</v>
      </c>
      <c r="L1835" s="1709">
        <f t="shared" si="1315"/>
        <v>0</v>
      </c>
      <c r="M1835" s="1709">
        <f t="shared" si="1315"/>
        <v>0</v>
      </c>
      <c r="N1835" s="1709">
        <f t="shared" si="1315"/>
        <v>0</v>
      </c>
      <c r="O1835" s="1709">
        <f t="shared" si="1315"/>
        <v>0</v>
      </c>
      <c r="P1835" s="1709">
        <f t="shared" si="1315"/>
        <v>0</v>
      </c>
      <c r="Q1835" s="1709">
        <f t="shared" si="1315"/>
        <v>0</v>
      </c>
      <c r="R1835" s="1709">
        <f t="shared" si="1315"/>
        <v>0</v>
      </c>
      <c r="S1835" s="1709">
        <f t="shared" si="1315"/>
        <v>0</v>
      </c>
      <c r="T1835" s="1710">
        <f t="shared" si="1315"/>
        <v>0</v>
      </c>
      <c r="Y1835" s="1198"/>
      <c r="Z1835" s="1199">
        <f t="shared" si="1289"/>
        <v>0</v>
      </c>
      <c r="AA1835" s="1199"/>
      <c r="AB1835" s="1209"/>
      <c r="AC1835" s="1199"/>
      <c r="AD1835" s="1199"/>
      <c r="AE1835" s="1209"/>
      <c r="AF1835" s="1709">
        <f t="shared" ref="AF1835:AQ1835" si="1316">SUMIF($AS$250:$AS$283,$B1655&amp;"propia",AF$250:AF$283)</f>
        <v>0</v>
      </c>
      <c r="AG1835" s="1709">
        <f t="shared" si="1316"/>
        <v>0</v>
      </c>
      <c r="AH1835" s="1709">
        <f t="shared" si="1316"/>
        <v>0</v>
      </c>
      <c r="AI1835" s="1709">
        <f t="shared" si="1316"/>
        <v>0</v>
      </c>
      <c r="AJ1835" s="1709">
        <f t="shared" si="1316"/>
        <v>0</v>
      </c>
      <c r="AK1835" s="1709">
        <f t="shared" si="1316"/>
        <v>0</v>
      </c>
      <c r="AL1835" s="1709">
        <f t="shared" si="1316"/>
        <v>0</v>
      </c>
      <c r="AM1835" s="1709">
        <f t="shared" si="1316"/>
        <v>0</v>
      </c>
      <c r="AN1835" s="1709">
        <f t="shared" si="1316"/>
        <v>0</v>
      </c>
      <c r="AO1835" s="1709">
        <f t="shared" si="1316"/>
        <v>0</v>
      </c>
      <c r="AP1835" s="1709">
        <f t="shared" si="1316"/>
        <v>0</v>
      </c>
      <c r="AQ1835" s="1710">
        <f t="shared" si="1316"/>
        <v>0</v>
      </c>
    </row>
    <row r="1836" spans="2:43" ht="14.4" hidden="1" customHeight="1" thickTop="1" x14ac:dyDescent="0.2">
      <c r="B1836" s="1584" t="s">
        <v>2020</v>
      </c>
      <c r="C1836" s="1194" t="s">
        <v>2018</v>
      </c>
      <c r="D1836" s="1194"/>
      <c r="E1836" s="1210"/>
      <c r="F1836" s="1194"/>
      <c r="G1836" s="1194"/>
      <c r="H1836" s="1210"/>
      <c r="I1836" s="1210"/>
      <c r="J1836" s="1210"/>
      <c r="K1836" s="1210"/>
      <c r="L1836" s="1210"/>
      <c r="M1836" s="1210"/>
      <c r="N1836" s="1210"/>
      <c r="O1836" s="1210"/>
      <c r="P1836" s="1210"/>
      <c r="Q1836" s="1210"/>
      <c r="R1836" s="1210"/>
      <c r="S1836" s="1210"/>
      <c r="T1836" s="1585"/>
      <c r="Y1836" s="1584" t="s">
        <v>2020</v>
      </c>
      <c r="Z1836" s="1194" t="str">
        <f t="shared" si="1289"/>
        <v>Gasoli (Litros/unidad)</v>
      </c>
      <c r="AA1836" s="1194"/>
      <c r="AB1836" s="1210"/>
      <c r="AC1836" s="1194"/>
      <c r="AD1836" s="1194"/>
      <c r="AE1836" s="1210"/>
      <c r="AF1836" s="1210"/>
      <c r="AG1836" s="1210"/>
      <c r="AH1836" s="1210"/>
      <c r="AI1836" s="1210"/>
      <c r="AJ1836" s="1210"/>
      <c r="AK1836" s="1210"/>
      <c r="AL1836" s="1210"/>
      <c r="AM1836" s="1210"/>
      <c r="AN1836" s="1210"/>
      <c r="AO1836" s="1210"/>
      <c r="AP1836" s="1210"/>
      <c r="AQ1836" s="1585"/>
    </row>
    <row r="1837" spans="2:43" ht="13.75" hidden="1" customHeight="1" x14ac:dyDescent="0.2">
      <c r="B1837" s="1195" t="s">
        <v>2022</v>
      </c>
      <c r="C1837" s="193">
        <f t="shared" ref="C1837:C1850" si="1317">+C1801</f>
        <v>5</v>
      </c>
      <c r="D1837" s="193"/>
      <c r="E1837" s="254"/>
      <c r="F1837" s="193"/>
      <c r="G1837" s="193"/>
      <c r="H1837" s="254"/>
      <c r="I1837" s="1705">
        <f>SUMIF($V$250:$V$283,$B1657&amp;"contratada",I$250:I$283)</f>
        <v>0</v>
      </c>
      <c r="J1837" s="1705">
        <f t="shared" ref="J1837:T1837" si="1318">SUMIF($V$250:$V$283,$B1657&amp;"contratada",J$250:J$283)</f>
        <v>0</v>
      </c>
      <c r="K1837" s="1705">
        <f t="shared" si="1318"/>
        <v>0</v>
      </c>
      <c r="L1837" s="1705">
        <f t="shared" si="1318"/>
        <v>0</v>
      </c>
      <c r="M1837" s="1705">
        <f t="shared" si="1318"/>
        <v>0</v>
      </c>
      <c r="N1837" s="1705">
        <f t="shared" si="1318"/>
        <v>0</v>
      </c>
      <c r="O1837" s="1705">
        <f t="shared" si="1318"/>
        <v>0</v>
      </c>
      <c r="P1837" s="1705">
        <f t="shared" si="1318"/>
        <v>0</v>
      </c>
      <c r="Q1837" s="1705">
        <f t="shared" si="1318"/>
        <v>0</v>
      </c>
      <c r="R1837" s="1705">
        <f t="shared" si="1318"/>
        <v>0</v>
      </c>
      <c r="S1837" s="1705">
        <f t="shared" si="1318"/>
        <v>0</v>
      </c>
      <c r="T1837" s="1706">
        <f t="shared" si="1318"/>
        <v>0</v>
      </c>
      <c r="Y1837" s="1195" t="s">
        <v>2022</v>
      </c>
      <c r="Z1837" s="193">
        <f t="shared" si="1289"/>
        <v>5</v>
      </c>
      <c r="AA1837" s="193"/>
      <c r="AB1837" s="254"/>
      <c r="AC1837" s="193"/>
      <c r="AD1837" s="193"/>
      <c r="AE1837" s="254"/>
      <c r="AF1837" s="1705">
        <f>SUMIF($AS$250:$AS$283,$B1657&amp;"contratada",AF$250:AF$283)</f>
        <v>0</v>
      </c>
      <c r="AG1837" s="1705">
        <f t="shared" ref="AG1837:AQ1837" si="1319">SUMIF($AS$250:$AS$283,$B1657&amp;"contratada",AG$250:AG$283)</f>
        <v>0</v>
      </c>
      <c r="AH1837" s="1705">
        <f t="shared" si="1319"/>
        <v>0</v>
      </c>
      <c r="AI1837" s="1705">
        <f t="shared" si="1319"/>
        <v>0</v>
      </c>
      <c r="AJ1837" s="1705">
        <f t="shared" si="1319"/>
        <v>0</v>
      </c>
      <c r="AK1837" s="1705">
        <f t="shared" si="1319"/>
        <v>0</v>
      </c>
      <c r="AL1837" s="1705">
        <f t="shared" si="1319"/>
        <v>0</v>
      </c>
      <c r="AM1837" s="1705">
        <f t="shared" si="1319"/>
        <v>0</v>
      </c>
      <c r="AN1837" s="1705">
        <f t="shared" si="1319"/>
        <v>0</v>
      </c>
      <c r="AO1837" s="1705">
        <f t="shared" si="1319"/>
        <v>0</v>
      </c>
      <c r="AP1837" s="1705">
        <f t="shared" si="1319"/>
        <v>0</v>
      </c>
      <c r="AQ1837" s="1706">
        <f t="shared" si="1319"/>
        <v>0</v>
      </c>
    </row>
    <row r="1838" spans="2:43" ht="13.75" hidden="1" customHeight="1" x14ac:dyDescent="0.2">
      <c r="B1838" s="1195"/>
      <c r="C1838" s="193">
        <f t="shared" si="1317"/>
        <v>5</v>
      </c>
      <c r="D1838" s="193"/>
      <c r="E1838" s="254"/>
      <c r="F1838" s="193"/>
      <c r="G1838" s="193"/>
      <c r="H1838" s="254"/>
      <c r="I1838" s="1707">
        <f t="shared" ref="I1838:T1838" si="1320">SUMIF($V$250:$V$283,$B1658&amp;"contratada",I$250:I$283)</f>
        <v>0</v>
      </c>
      <c r="J1838" s="1707">
        <f t="shared" si="1320"/>
        <v>0</v>
      </c>
      <c r="K1838" s="1707">
        <f t="shared" si="1320"/>
        <v>0</v>
      </c>
      <c r="L1838" s="1707">
        <f t="shared" si="1320"/>
        <v>0</v>
      </c>
      <c r="M1838" s="1707">
        <f t="shared" si="1320"/>
        <v>0</v>
      </c>
      <c r="N1838" s="1707">
        <f t="shared" si="1320"/>
        <v>0</v>
      </c>
      <c r="O1838" s="1707">
        <f t="shared" si="1320"/>
        <v>0</v>
      </c>
      <c r="P1838" s="1707">
        <f t="shared" si="1320"/>
        <v>0</v>
      </c>
      <c r="Q1838" s="1707">
        <f t="shared" si="1320"/>
        <v>0</v>
      </c>
      <c r="R1838" s="1707">
        <f t="shared" si="1320"/>
        <v>0</v>
      </c>
      <c r="S1838" s="1707">
        <f t="shared" si="1320"/>
        <v>0</v>
      </c>
      <c r="T1838" s="1708">
        <f t="shared" si="1320"/>
        <v>0</v>
      </c>
      <c r="Y1838" s="1195"/>
      <c r="Z1838" s="193">
        <f t="shared" si="1289"/>
        <v>5</v>
      </c>
      <c r="AA1838" s="193"/>
      <c r="AB1838" s="254"/>
      <c r="AC1838" s="193"/>
      <c r="AD1838" s="193"/>
      <c r="AE1838" s="254"/>
      <c r="AF1838" s="1707">
        <f t="shared" ref="AF1838:AQ1838" si="1321">SUMIF($AS$250:$AS$283,$B1658&amp;"contratada",AF$250:AF$283)</f>
        <v>0</v>
      </c>
      <c r="AG1838" s="1707">
        <f t="shared" si="1321"/>
        <v>0</v>
      </c>
      <c r="AH1838" s="1707">
        <f t="shared" si="1321"/>
        <v>0</v>
      </c>
      <c r="AI1838" s="1707">
        <f t="shared" si="1321"/>
        <v>0</v>
      </c>
      <c r="AJ1838" s="1707">
        <f t="shared" si="1321"/>
        <v>0</v>
      </c>
      <c r="AK1838" s="1707">
        <f t="shared" si="1321"/>
        <v>0</v>
      </c>
      <c r="AL1838" s="1707">
        <f t="shared" si="1321"/>
        <v>0</v>
      </c>
      <c r="AM1838" s="1707">
        <f t="shared" si="1321"/>
        <v>0</v>
      </c>
      <c r="AN1838" s="1707">
        <f t="shared" si="1321"/>
        <v>0</v>
      </c>
      <c r="AO1838" s="1707">
        <f t="shared" si="1321"/>
        <v>0</v>
      </c>
      <c r="AP1838" s="1707">
        <f t="shared" si="1321"/>
        <v>0</v>
      </c>
      <c r="AQ1838" s="1708">
        <f t="shared" si="1321"/>
        <v>0</v>
      </c>
    </row>
    <row r="1839" spans="2:43" ht="13.75" hidden="1" customHeight="1" x14ac:dyDescent="0.2">
      <c r="B1839" s="1195"/>
      <c r="C1839" s="193">
        <f t="shared" si="1317"/>
        <v>1.5</v>
      </c>
      <c r="D1839" s="193"/>
      <c r="E1839" s="254"/>
      <c r="F1839" s="193"/>
      <c r="G1839" s="193"/>
      <c r="H1839" s="254"/>
      <c r="I1839" s="1707">
        <f t="shared" ref="I1839:T1839" si="1322">SUMIF($V$250:$V$283,$B1659&amp;"contratada",I$250:I$283)</f>
        <v>0</v>
      </c>
      <c r="J1839" s="1707">
        <f t="shared" si="1322"/>
        <v>0</v>
      </c>
      <c r="K1839" s="1707">
        <f t="shared" si="1322"/>
        <v>0</v>
      </c>
      <c r="L1839" s="1707">
        <f t="shared" si="1322"/>
        <v>0</v>
      </c>
      <c r="M1839" s="1707">
        <f t="shared" si="1322"/>
        <v>0</v>
      </c>
      <c r="N1839" s="1707">
        <f t="shared" si="1322"/>
        <v>0</v>
      </c>
      <c r="O1839" s="1707">
        <f t="shared" si="1322"/>
        <v>0</v>
      </c>
      <c r="P1839" s="1707">
        <f t="shared" si="1322"/>
        <v>0</v>
      </c>
      <c r="Q1839" s="1707">
        <f t="shared" si="1322"/>
        <v>0</v>
      </c>
      <c r="R1839" s="1707">
        <f t="shared" si="1322"/>
        <v>0</v>
      </c>
      <c r="S1839" s="1707">
        <f t="shared" si="1322"/>
        <v>0</v>
      </c>
      <c r="T1839" s="1708">
        <f t="shared" si="1322"/>
        <v>0</v>
      </c>
      <c r="Y1839" s="1195"/>
      <c r="Z1839" s="193">
        <f t="shared" si="1289"/>
        <v>1.5</v>
      </c>
      <c r="AA1839" s="193"/>
      <c r="AB1839" s="254"/>
      <c r="AC1839" s="193"/>
      <c r="AD1839" s="193"/>
      <c r="AE1839" s="254"/>
      <c r="AF1839" s="1707">
        <f t="shared" ref="AF1839:AQ1839" si="1323">SUMIF($AS$250:$AS$283,$B1659&amp;"contratada",AF$250:AF$283)</f>
        <v>0</v>
      </c>
      <c r="AG1839" s="1707">
        <f t="shared" si="1323"/>
        <v>0</v>
      </c>
      <c r="AH1839" s="1707">
        <f t="shared" si="1323"/>
        <v>0</v>
      </c>
      <c r="AI1839" s="1707">
        <f t="shared" si="1323"/>
        <v>0</v>
      </c>
      <c r="AJ1839" s="1707">
        <f t="shared" si="1323"/>
        <v>0</v>
      </c>
      <c r="AK1839" s="1707">
        <f t="shared" si="1323"/>
        <v>0</v>
      </c>
      <c r="AL1839" s="1707">
        <f t="shared" si="1323"/>
        <v>0</v>
      </c>
      <c r="AM1839" s="1707">
        <f t="shared" si="1323"/>
        <v>0</v>
      </c>
      <c r="AN1839" s="1707">
        <f t="shared" si="1323"/>
        <v>0</v>
      </c>
      <c r="AO1839" s="1707">
        <f t="shared" si="1323"/>
        <v>0</v>
      </c>
      <c r="AP1839" s="1707">
        <f t="shared" si="1323"/>
        <v>0</v>
      </c>
      <c r="AQ1839" s="1708">
        <f t="shared" si="1323"/>
        <v>0</v>
      </c>
    </row>
    <row r="1840" spans="2:43" ht="13.75" hidden="1" customHeight="1" x14ac:dyDescent="0.2">
      <c r="B1840" s="1195"/>
      <c r="C1840" s="193">
        <f t="shared" si="1317"/>
        <v>1.5</v>
      </c>
      <c r="D1840" s="193"/>
      <c r="E1840" s="254"/>
      <c r="F1840" s="193"/>
      <c r="G1840" s="193"/>
      <c r="H1840" s="254"/>
      <c r="I1840" s="1707">
        <f t="shared" ref="I1840:T1840" si="1324">SUMIF($V$250:$V$283,$B1660&amp;"contratada",I$250:I$283)</f>
        <v>0</v>
      </c>
      <c r="J1840" s="1707">
        <f t="shared" si="1324"/>
        <v>0</v>
      </c>
      <c r="K1840" s="1707">
        <f t="shared" si="1324"/>
        <v>0</v>
      </c>
      <c r="L1840" s="1707">
        <f t="shared" si="1324"/>
        <v>0</v>
      </c>
      <c r="M1840" s="1707">
        <f t="shared" si="1324"/>
        <v>0</v>
      </c>
      <c r="N1840" s="1707">
        <f t="shared" si="1324"/>
        <v>0</v>
      </c>
      <c r="O1840" s="1707">
        <f t="shared" si="1324"/>
        <v>0</v>
      </c>
      <c r="P1840" s="1707">
        <f t="shared" si="1324"/>
        <v>0</v>
      </c>
      <c r="Q1840" s="1707">
        <f t="shared" si="1324"/>
        <v>0</v>
      </c>
      <c r="R1840" s="1707">
        <f t="shared" si="1324"/>
        <v>0</v>
      </c>
      <c r="S1840" s="1707">
        <f t="shared" si="1324"/>
        <v>0</v>
      </c>
      <c r="T1840" s="1708">
        <f t="shared" si="1324"/>
        <v>0</v>
      </c>
      <c r="Y1840" s="1195"/>
      <c r="Z1840" s="193">
        <f t="shared" si="1289"/>
        <v>1.5</v>
      </c>
      <c r="AA1840" s="193"/>
      <c r="AB1840" s="254"/>
      <c r="AC1840" s="193"/>
      <c r="AD1840" s="193"/>
      <c r="AE1840" s="254"/>
      <c r="AF1840" s="1707">
        <f t="shared" ref="AF1840:AQ1840" si="1325">SUMIF($AS$250:$AS$283,$B1660&amp;"contratada",AF$250:AF$283)</f>
        <v>0</v>
      </c>
      <c r="AG1840" s="1707">
        <f t="shared" si="1325"/>
        <v>0</v>
      </c>
      <c r="AH1840" s="1707">
        <f t="shared" si="1325"/>
        <v>0</v>
      </c>
      <c r="AI1840" s="1707">
        <f t="shared" si="1325"/>
        <v>0</v>
      </c>
      <c r="AJ1840" s="1707">
        <f t="shared" si="1325"/>
        <v>0</v>
      </c>
      <c r="AK1840" s="1707">
        <f t="shared" si="1325"/>
        <v>0</v>
      </c>
      <c r="AL1840" s="1707">
        <f t="shared" si="1325"/>
        <v>0</v>
      </c>
      <c r="AM1840" s="1707">
        <f t="shared" si="1325"/>
        <v>0</v>
      </c>
      <c r="AN1840" s="1707">
        <f t="shared" si="1325"/>
        <v>0</v>
      </c>
      <c r="AO1840" s="1707">
        <f t="shared" si="1325"/>
        <v>0</v>
      </c>
      <c r="AP1840" s="1707">
        <f t="shared" si="1325"/>
        <v>0</v>
      </c>
      <c r="AQ1840" s="1708">
        <f t="shared" si="1325"/>
        <v>0</v>
      </c>
    </row>
    <row r="1841" spans="2:43" ht="13.75" hidden="1" customHeight="1" x14ac:dyDescent="0.2">
      <c r="B1841" s="1195"/>
      <c r="C1841" s="193">
        <f t="shared" si="1317"/>
        <v>3</v>
      </c>
      <c r="D1841" s="193"/>
      <c r="E1841" s="254"/>
      <c r="F1841" s="193"/>
      <c r="G1841" s="193"/>
      <c r="H1841" s="254"/>
      <c r="I1841" s="1707">
        <f t="shared" ref="I1841:T1841" si="1326">SUMIF($V$250:$V$283,$B1661&amp;"contratada",I$250:I$283)</f>
        <v>0</v>
      </c>
      <c r="J1841" s="1707">
        <f t="shared" si="1326"/>
        <v>0</v>
      </c>
      <c r="K1841" s="1707">
        <f t="shared" si="1326"/>
        <v>0</v>
      </c>
      <c r="L1841" s="1707">
        <f t="shared" si="1326"/>
        <v>0</v>
      </c>
      <c r="M1841" s="1707">
        <f t="shared" si="1326"/>
        <v>0</v>
      </c>
      <c r="N1841" s="1707">
        <f t="shared" si="1326"/>
        <v>0</v>
      </c>
      <c r="O1841" s="1707">
        <f t="shared" si="1326"/>
        <v>0</v>
      </c>
      <c r="P1841" s="1707">
        <f t="shared" si="1326"/>
        <v>0</v>
      </c>
      <c r="Q1841" s="1707">
        <f t="shared" si="1326"/>
        <v>0</v>
      </c>
      <c r="R1841" s="1707">
        <f t="shared" si="1326"/>
        <v>0</v>
      </c>
      <c r="S1841" s="1707">
        <f t="shared" si="1326"/>
        <v>0</v>
      </c>
      <c r="T1841" s="1708">
        <f t="shared" si="1326"/>
        <v>0</v>
      </c>
      <c r="Y1841" s="1195"/>
      <c r="Z1841" s="193">
        <f t="shared" si="1289"/>
        <v>3</v>
      </c>
      <c r="AA1841" s="193"/>
      <c r="AB1841" s="254"/>
      <c r="AC1841" s="193"/>
      <c r="AD1841" s="193"/>
      <c r="AE1841" s="254"/>
      <c r="AF1841" s="1707">
        <f t="shared" ref="AF1841:AQ1841" si="1327">SUMIF($AS$250:$AS$283,$B1661&amp;"contratada",AF$250:AF$283)</f>
        <v>0</v>
      </c>
      <c r="AG1841" s="1707">
        <f t="shared" si="1327"/>
        <v>0</v>
      </c>
      <c r="AH1841" s="1707">
        <f t="shared" si="1327"/>
        <v>0</v>
      </c>
      <c r="AI1841" s="1707">
        <f t="shared" si="1327"/>
        <v>0</v>
      </c>
      <c r="AJ1841" s="1707">
        <f t="shared" si="1327"/>
        <v>0</v>
      </c>
      <c r="AK1841" s="1707">
        <f t="shared" si="1327"/>
        <v>0</v>
      </c>
      <c r="AL1841" s="1707">
        <f t="shared" si="1327"/>
        <v>0</v>
      </c>
      <c r="AM1841" s="1707">
        <f t="shared" si="1327"/>
        <v>0</v>
      </c>
      <c r="AN1841" s="1707">
        <f t="shared" si="1327"/>
        <v>0</v>
      </c>
      <c r="AO1841" s="1707">
        <f t="shared" si="1327"/>
        <v>0</v>
      </c>
      <c r="AP1841" s="1707">
        <f t="shared" si="1327"/>
        <v>0</v>
      </c>
      <c r="AQ1841" s="1708">
        <f t="shared" si="1327"/>
        <v>0</v>
      </c>
    </row>
    <row r="1842" spans="2:43" ht="13.75" hidden="1" customHeight="1" x14ac:dyDescent="0.2">
      <c r="B1842" s="1195"/>
      <c r="C1842" s="193">
        <f t="shared" si="1317"/>
        <v>3</v>
      </c>
      <c r="D1842" s="193"/>
      <c r="E1842" s="254"/>
      <c r="F1842" s="193"/>
      <c r="G1842" s="193"/>
      <c r="H1842" s="254"/>
      <c r="I1842" s="1707">
        <f t="shared" ref="I1842:T1842" si="1328">SUMIF($V$250:$V$283,$B1662&amp;"contratada",I$250:I$283)</f>
        <v>0</v>
      </c>
      <c r="J1842" s="1707">
        <f t="shared" si="1328"/>
        <v>0</v>
      </c>
      <c r="K1842" s="1707">
        <f t="shared" si="1328"/>
        <v>0</v>
      </c>
      <c r="L1842" s="1707">
        <f t="shared" si="1328"/>
        <v>0</v>
      </c>
      <c r="M1842" s="1707">
        <f t="shared" si="1328"/>
        <v>0</v>
      </c>
      <c r="N1842" s="1707">
        <f t="shared" si="1328"/>
        <v>0</v>
      </c>
      <c r="O1842" s="1707">
        <f t="shared" si="1328"/>
        <v>0</v>
      </c>
      <c r="P1842" s="1707">
        <f t="shared" si="1328"/>
        <v>0</v>
      </c>
      <c r="Q1842" s="1707">
        <f t="shared" si="1328"/>
        <v>0</v>
      </c>
      <c r="R1842" s="1707">
        <f t="shared" si="1328"/>
        <v>0</v>
      </c>
      <c r="S1842" s="1707">
        <f t="shared" si="1328"/>
        <v>0</v>
      </c>
      <c r="T1842" s="1708">
        <f t="shared" si="1328"/>
        <v>0</v>
      </c>
      <c r="Y1842" s="1195"/>
      <c r="Z1842" s="193">
        <f t="shared" si="1289"/>
        <v>3</v>
      </c>
      <c r="AA1842" s="193"/>
      <c r="AB1842" s="254"/>
      <c r="AC1842" s="193"/>
      <c r="AD1842" s="193"/>
      <c r="AE1842" s="254"/>
      <c r="AF1842" s="1707">
        <f t="shared" ref="AF1842:AQ1842" si="1329">SUMIF($AS$250:$AS$283,$B1662&amp;"contratada",AF$250:AF$283)</f>
        <v>0</v>
      </c>
      <c r="AG1842" s="1707">
        <f t="shared" si="1329"/>
        <v>0</v>
      </c>
      <c r="AH1842" s="1707">
        <f t="shared" si="1329"/>
        <v>0</v>
      </c>
      <c r="AI1842" s="1707">
        <f t="shared" si="1329"/>
        <v>0</v>
      </c>
      <c r="AJ1842" s="1707">
        <f t="shared" si="1329"/>
        <v>0</v>
      </c>
      <c r="AK1842" s="1707">
        <f t="shared" si="1329"/>
        <v>0</v>
      </c>
      <c r="AL1842" s="1707">
        <f t="shared" si="1329"/>
        <v>0</v>
      </c>
      <c r="AM1842" s="1707">
        <f t="shared" si="1329"/>
        <v>0</v>
      </c>
      <c r="AN1842" s="1707">
        <f t="shared" si="1329"/>
        <v>0</v>
      </c>
      <c r="AO1842" s="1707">
        <f t="shared" si="1329"/>
        <v>0</v>
      </c>
      <c r="AP1842" s="1707">
        <f t="shared" si="1329"/>
        <v>0</v>
      </c>
      <c r="AQ1842" s="1708">
        <f t="shared" si="1329"/>
        <v>0</v>
      </c>
    </row>
    <row r="1843" spans="2:43" ht="13.75" hidden="1" customHeight="1" x14ac:dyDescent="0.2">
      <c r="B1843" s="1195"/>
      <c r="C1843" s="193">
        <f t="shared" si="1317"/>
        <v>9</v>
      </c>
      <c r="D1843" s="193"/>
      <c r="E1843" s="254"/>
      <c r="F1843" s="193"/>
      <c r="G1843" s="193"/>
      <c r="H1843" s="254"/>
      <c r="I1843" s="1707">
        <f t="shared" ref="I1843:T1843" si="1330">SUMIF($V$250:$V$283,$B1663&amp;"contratada",I$250:I$283)</f>
        <v>0</v>
      </c>
      <c r="J1843" s="1707">
        <f t="shared" si="1330"/>
        <v>0</v>
      </c>
      <c r="K1843" s="1707">
        <f t="shared" si="1330"/>
        <v>0</v>
      </c>
      <c r="L1843" s="1707">
        <f t="shared" si="1330"/>
        <v>0</v>
      </c>
      <c r="M1843" s="1707">
        <f t="shared" si="1330"/>
        <v>0</v>
      </c>
      <c r="N1843" s="1707">
        <f t="shared" si="1330"/>
        <v>0</v>
      </c>
      <c r="O1843" s="1707">
        <f t="shared" si="1330"/>
        <v>0</v>
      </c>
      <c r="P1843" s="1707">
        <f t="shared" si="1330"/>
        <v>0</v>
      </c>
      <c r="Q1843" s="1707">
        <f t="shared" si="1330"/>
        <v>0</v>
      </c>
      <c r="R1843" s="1707">
        <f t="shared" si="1330"/>
        <v>0</v>
      </c>
      <c r="S1843" s="1707">
        <f t="shared" si="1330"/>
        <v>0</v>
      </c>
      <c r="T1843" s="1708">
        <f t="shared" si="1330"/>
        <v>0</v>
      </c>
      <c r="Y1843" s="1195"/>
      <c r="Z1843" s="193">
        <f t="shared" si="1289"/>
        <v>9</v>
      </c>
      <c r="AA1843" s="193"/>
      <c r="AB1843" s="254"/>
      <c r="AC1843" s="193"/>
      <c r="AD1843" s="193"/>
      <c r="AE1843" s="254"/>
      <c r="AF1843" s="1707">
        <f t="shared" ref="AF1843:AQ1843" si="1331">SUMIF($AS$250:$AS$283,$B1663&amp;"contratada",AF$250:AF$283)</f>
        <v>0</v>
      </c>
      <c r="AG1843" s="1707">
        <f t="shared" si="1331"/>
        <v>0</v>
      </c>
      <c r="AH1843" s="1707">
        <f t="shared" si="1331"/>
        <v>0</v>
      </c>
      <c r="AI1843" s="1707">
        <f t="shared" si="1331"/>
        <v>0</v>
      </c>
      <c r="AJ1843" s="1707">
        <f t="shared" si="1331"/>
        <v>0</v>
      </c>
      <c r="AK1843" s="1707">
        <f t="shared" si="1331"/>
        <v>0</v>
      </c>
      <c r="AL1843" s="1707">
        <f t="shared" si="1331"/>
        <v>0</v>
      </c>
      <c r="AM1843" s="1707">
        <f t="shared" si="1331"/>
        <v>0</v>
      </c>
      <c r="AN1843" s="1707">
        <f t="shared" si="1331"/>
        <v>0</v>
      </c>
      <c r="AO1843" s="1707">
        <f t="shared" si="1331"/>
        <v>0</v>
      </c>
      <c r="AP1843" s="1707">
        <f t="shared" si="1331"/>
        <v>0</v>
      </c>
      <c r="AQ1843" s="1708">
        <f t="shared" si="1331"/>
        <v>0</v>
      </c>
    </row>
    <row r="1844" spans="2:43" ht="13.75" hidden="1" customHeight="1" x14ac:dyDescent="0.2">
      <c r="B1844" s="1195"/>
      <c r="C1844" s="193">
        <f t="shared" si="1317"/>
        <v>0</v>
      </c>
      <c r="D1844" s="193"/>
      <c r="E1844" s="254"/>
      <c r="F1844" s="193"/>
      <c r="G1844" s="193"/>
      <c r="H1844" s="254"/>
      <c r="I1844" s="1707">
        <f t="shared" ref="I1844:T1844" si="1332">SUMIF($V$250:$V$283,$B1664&amp;"contratada",I$250:I$283)</f>
        <v>0</v>
      </c>
      <c r="J1844" s="1707">
        <f t="shared" si="1332"/>
        <v>0</v>
      </c>
      <c r="K1844" s="1707">
        <f t="shared" si="1332"/>
        <v>0</v>
      </c>
      <c r="L1844" s="1707">
        <f t="shared" si="1332"/>
        <v>0</v>
      </c>
      <c r="M1844" s="1707">
        <f t="shared" si="1332"/>
        <v>0</v>
      </c>
      <c r="N1844" s="1707">
        <f t="shared" si="1332"/>
        <v>0</v>
      </c>
      <c r="O1844" s="1707">
        <f t="shared" si="1332"/>
        <v>0</v>
      </c>
      <c r="P1844" s="1707">
        <f t="shared" si="1332"/>
        <v>0</v>
      </c>
      <c r="Q1844" s="1707">
        <f t="shared" si="1332"/>
        <v>0</v>
      </c>
      <c r="R1844" s="1707">
        <f t="shared" si="1332"/>
        <v>0</v>
      </c>
      <c r="S1844" s="1707">
        <f t="shared" si="1332"/>
        <v>0</v>
      </c>
      <c r="T1844" s="1708">
        <f t="shared" si="1332"/>
        <v>0</v>
      </c>
      <c r="Y1844" s="1195"/>
      <c r="Z1844" s="193">
        <f t="shared" si="1289"/>
        <v>0</v>
      </c>
      <c r="AA1844" s="193"/>
      <c r="AB1844" s="254"/>
      <c r="AC1844" s="193"/>
      <c r="AD1844" s="193"/>
      <c r="AE1844" s="254"/>
      <c r="AF1844" s="1707">
        <f t="shared" ref="AF1844:AQ1844" si="1333">SUMIF($AS$250:$AS$283,$B1664&amp;"contratada",AF$250:AF$283)</f>
        <v>0</v>
      </c>
      <c r="AG1844" s="1707">
        <f t="shared" si="1333"/>
        <v>0</v>
      </c>
      <c r="AH1844" s="1707">
        <f t="shared" si="1333"/>
        <v>0</v>
      </c>
      <c r="AI1844" s="1707">
        <f t="shared" si="1333"/>
        <v>0</v>
      </c>
      <c r="AJ1844" s="1707">
        <f t="shared" si="1333"/>
        <v>0</v>
      </c>
      <c r="AK1844" s="1707">
        <f t="shared" si="1333"/>
        <v>0</v>
      </c>
      <c r="AL1844" s="1707">
        <f t="shared" si="1333"/>
        <v>0</v>
      </c>
      <c r="AM1844" s="1707">
        <f t="shared" si="1333"/>
        <v>0</v>
      </c>
      <c r="AN1844" s="1707">
        <f t="shared" si="1333"/>
        <v>0</v>
      </c>
      <c r="AO1844" s="1707">
        <f t="shared" si="1333"/>
        <v>0</v>
      </c>
      <c r="AP1844" s="1707">
        <f t="shared" si="1333"/>
        <v>0</v>
      </c>
      <c r="AQ1844" s="1708">
        <f t="shared" si="1333"/>
        <v>0</v>
      </c>
    </row>
    <row r="1845" spans="2:43" ht="13.75" hidden="1" customHeight="1" x14ac:dyDescent="0.2">
      <c r="B1845" s="1195"/>
      <c r="C1845" s="193">
        <f t="shared" si="1317"/>
        <v>0</v>
      </c>
      <c r="D1845" s="193"/>
      <c r="E1845" s="254"/>
      <c r="F1845" s="193"/>
      <c r="G1845" s="193"/>
      <c r="H1845" s="254"/>
      <c r="I1845" s="1707">
        <f t="shared" ref="I1845:T1845" si="1334">SUMIF($V$250:$V$283,$B1665&amp;"contratada",I$250:I$283)</f>
        <v>0</v>
      </c>
      <c r="J1845" s="1707">
        <f t="shared" si="1334"/>
        <v>0</v>
      </c>
      <c r="K1845" s="1707">
        <f t="shared" si="1334"/>
        <v>0</v>
      </c>
      <c r="L1845" s="1707">
        <f t="shared" si="1334"/>
        <v>0</v>
      </c>
      <c r="M1845" s="1707">
        <f t="shared" si="1334"/>
        <v>0</v>
      </c>
      <c r="N1845" s="1707">
        <f t="shared" si="1334"/>
        <v>0</v>
      </c>
      <c r="O1845" s="1707">
        <f t="shared" si="1334"/>
        <v>0</v>
      </c>
      <c r="P1845" s="1707">
        <f t="shared" si="1334"/>
        <v>0</v>
      </c>
      <c r="Q1845" s="1707">
        <f t="shared" si="1334"/>
        <v>0</v>
      </c>
      <c r="R1845" s="1707">
        <f t="shared" si="1334"/>
        <v>0</v>
      </c>
      <c r="S1845" s="1707">
        <f t="shared" si="1334"/>
        <v>0</v>
      </c>
      <c r="T1845" s="1708">
        <f t="shared" si="1334"/>
        <v>0</v>
      </c>
      <c r="Y1845" s="1195"/>
      <c r="Z1845" s="193">
        <f t="shared" si="1289"/>
        <v>0</v>
      </c>
      <c r="AA1845" s="193"/>
      <c r="AB1845" s="254"/>
      <c r="AC1845" s="193"/>
      <c r="AD1845" s="193"/>
      <c r="AE1845" s="254"/>
      <c r="AF1845" s="1707">
        <f t="shared" ref="AF1845:AQ1845" si="1335">SUMIF($AS$250:$AS$283,$B1665&amp;"contratada",AF$250:AF$283)</f>
        <v>0</v>
      </c>
      <c r="AG1845" s="1707">
        <f t="shared" si="1335"/>
        <v>0</v>
      </c>
      <c r="AH1845" s="1707">
        <f t="shared" si="1335"/>
        <v>0</v>
      </c>
      <c r="AI1845" s="1707">
        <f t="shared" si="1335"/>
        <v>0</v>
      </c>
      <c r="AJ1845" s="1707">
        <f t="shared" si="1335"/>
        <v>0</v>
      </c>
      <c r="AK1845" s="1707">
        <f t="shared" si="1335"/>
        <v>0</v>
      </c>
      <c r="AL1845" s="1707">
        <f t="shared" si="1335"/>
        <v>0</v>
      </c>
      <c r="AM1845" s="1707">
        <f t="shared" si="1335"/>
        <v>0</v>
      </c>
      <c r="AN1845" s="1707">
        <f t="shared" si="1335"/>
        <v>0</v>
      </c>
      <c r="AO1845" s="1707">
        <f t="shared" si="1335"/>
        <v>0</v>
      </c>
      <c r="AP1845" s="1707">
        <f t="shared" si="1335"/>
        <v>0</v>
      </c>
      <c r="AQ1845" s="1708">
        <f t="shared" si="1335"/>
        <v>0</v>
      </c>
    </row>
    <row r="1846" spans="2:43" ht="13.75" hidden="1" customHeight="1" x14ac:dyDescent="0.2">
      <c r="B1846" s="1195"/>
      <c r="C1846" s="193">
        <f t="shared" si="1317"/>
        <v>0</v>
      </c>
      <c r="D1846" s="193"/>
      <c r="E1846" s="254"/>
      <c r="F1846" s="193"/>
      <c r="G1846" s="193"/>
      <c r="H1846" s="254"/>
      <c r="I1846" s="1707">
        <f t="shared" ref="I1846:T1846" si="1336">SUMIF($V$250:$V$283,$B1666&amp;"contratada",I$250:I$283)</f>
        <v>0</v>
      </c>
      <c r="J1846" s="1707">
        <f t="shared" si="1336"/>
        <v>0</v>
      </c>
      <c r="K1846" s="1707">
        <f t="shared" si="1336"/>
        <v>0</v>
      </c>
      <c r="L1846" s="1707">
        <f t="shared" si="1336"/>
        <v>0</v>
      </c>
      <c r="M1846" s="1707">
        <f t="shared" si="1336"/>
        <v>0</v>
      </c>
      <c r="N1846" s="1707">
        <f t="shared" si="1336"/>
        <v>0</v>
      </c>
      <c r="O1846" s="1707">
        <f t="shared" si="1336"/>
        <v>0</v>
      </c>
      <c r="P1846" s="1707">
        <f t="shared" si="1336"/>
        <v>0</v>
      </c>
      <c r="Q1846" s="1707">
        <f t="shared" si="1336"/>
        <v>0</v>
      </c>
      <c r="R1846" s="1707">
        <f t="shared" si="1336"/>
        <v>0</v>
      </c>
      <c r="S1846" s="1707">
        <f t="shared" si="1336"/>
        <v>0</v>
      </c>
      <c r="T1846" s="1708">
        <f t="shared" si="1336"/>
        <v>0</v>
      </c>
      <c r="Y1846" s="1195"/>
      <c r="Z1846" s="193">
        <f t="shared" si="1289"/>
        <v>0</v>
      </c>
      <c r="AA1846" s="193"/>
      <c r="AB1846" s="254"/>
      <c r="AC1846" s="193"/>
      <c r="AD1846" s="193"/>
      <c r="AE1846" s="254"/>
      <c r="AF1846" s="1707">
        <f t="shared" ref="AF1846:AQ1846" si="1337">SUMIF($AS$250:$AS$283,$B1666&amp;"contratada",AF$250:AF$283)</f>
        <v>0</v>
      </c>
      <c r="AG1846" s="1707">
        <f t="shared" si="1337"/>
        <v>0</v>
      </c>
      <c r="AH1846" s="1707">
        <f t="shared" si="1337"/>
        <v>0</v>
      </c>
      <c r="AI1846" s="1707">
        <f t="shared" si="1337"/>
        <v>0</v>
      </c>
      <c r="AJ1846" s="1707">
        <f t="shared" si="1337"/>
        <v>0</v>
      </c>
      <c r="AK1846" s="1707">
        <f t="shared" si="1337"/>
        <v>0</v>
      </c>
      <c r="AL1846" s="1707">
        <f t="shared" si="1337"/>
        <v>0</v>
      </c>
      <c r="AM1846" s="1707">
        <f t="shared" si="1337"/>
        <v>0</v>
      </c>
      <c r="AN1846" s="1707">
        <f t="shared" si="1337"/>
        <v>0</v>
      </c>
      <c r="AO1846" s="1707">
        <f t="shared" si="1337"/>
        <v>0</v>
      </c>
      <c r="AP1846" s="1707">
        <f t="shared" si="1337"/>
        <v>0</v>
      </c>
      <c r="AQ1846" s="1708">
        <f t="shared" si="1337"/>
        <v>0</v>
      </c>
    </row>
    <row r="1847" spans="2:43" ht="13.75" hidden="1" customHeight="1" x14ac:dyDescent="0.2">
      <c r="B1847" s="1195"/>
      <c r="C1847" s="193">
        <f t="shared" si="1317"/>
        <v>0</v>
      </c>
      <c r="D1847" s="193"/>
      <c r="E1847" s="254"/>
      <c r="F1847" s="193"/>
      <c r="G1847" s="193"/>
      <c r="H1847" s="254"/>
      <c r="I1847" s="1707">
        <f t="shared" ref="I1847:T1847" si="1338">SUMIF($V$250:$V$283,$B1667&amp;"contratada",I$250:I$283)</f>
        <v>0</v>
      </c>
      <c r="J1847" s="1707">
        <f t="shared" si="1338"/>
        <v>0</v>
      </c>
      <c r="K1847" s="1707">
        <f t="shared" si="1338"/>
        <v>0</v>
      </c>
      <c r="L1847" s="1707">
        <f t="shared" si="1338"/>
        <v>0</v>
      </c>
      <c r="M1847" s="1707">
        <f t="shared" si="1338"/>
        <v>0</v>
      </c>
      <c r="N1847" s="1707">
        <f t="shared" si="1338"/>
        <v>0</v>
      </c>
      <c r="O1847" s="1707">
        <f t="shared" si="1338"/>
        <v>0</v>
      </c>
      <c r="P1847" s="1707">
        <f t="shared" si="1338"/>
        <v>0</v>
      </c>
      <c r="Q1847" s="1707">
        <f t="shared" si="1338"/>
        <v>0</v>
      </c>
      <c r="R1847" s="1707">
        <f t="shared" si="1338"/>
        <v>0</v>
      </c>
      <c r="S1847" s="1707">
        <f t="shared" si="1338"/>
        <v>0</v>
      </c>
      <c r="T1847" s="1708">
        <f t="shared" si="1338"/>
        <v>0</v>
      </c>
      <c r="Y1847" s="1195"/>
      <c r="Z1847" s="193">
        <f t="shared" si="1289"/>
        <v>0</v>
      </c>
      <c r="AA1847" s="193"/>
      <c r="AB1847" s="254"/>
      <c r="AC1847" s="193"/>
      <c r="AD1847" s="193"/>
      <c r="AE1847" s="254"/>
      <c r="AF1847" s="1707">
        <f t="shared" ref="AF1847:AQ1847" si="1339">SUMIF($AS$250:$AS$283,$B1667&amp;"contratada",AF$250:AF$283)</f>
        <v>0</v>
      </c>
      <c r="AG1847" s="1707">
        <f t="shared" si="1339"/>
        <v>0</v>
      </c>
      <c r="AH1847" s="1707">
        <f t="shared" si="1339"/>
        <v>0</v>
      </c>
      <c r="AI1847" s="1707">
        <f t="shared" si="1339"/>
        <v>0</v>
      </c>
      <c r="AJ1847" s="1707">
        <f t="shared" si="1339"/>
        <v>0</v>
      </c>
      <c r="AK1847" s="1707">
        <f t="shared" si="1339"/>
        <v>0</v>
      </c>
      <c r="AL1847" s="1707">
        <f t="shared" si="1339"/>
        <v>0</v>
      </c>
      <c r="AM1847" s="1707">
        <f t="shared" si="1339"/>
        <v>0</v>
      </c>
      <c r="AN1847" s="1707">
        <f t="shared" si="1339"/>
        <v>0</v>
      </c>
      <c r="AO1847" s="1707">
        <f t="shared" si="1339"/>
        <v>0</v>
      </c>
      <c r="AP1847" s="1707">
        <f t="shared" si="1339"/>
        <v>0</v>
      </c>
      <c r="AQ1847" s="1708">
        <f t="shared" si="1339"/>
        <v>0</v>
      </c>
    </row>
    <row r="1848" spans="2:43" ht="13.75" hidden="1" customHeight="1" x14ac:dyDescent="0.2">
      <c r="B1848" s="1195"/>
      <c r="C1848" s="193">
        <f t="shared" si="1317"/>
        <v>0</v>
      </c>
      <c r="D1848" s="193"/>
      <c r="E1848" s="254"/>
      <c r="F1848" s="193"/>
      <c r="G1848" s="193"/>
      <c r="H1848" s="254"/>
      <c r="I1848" s="1707">
        <f t="shared" ref="I1848:T1848" si="1340">SUMIF($V$250:$V$283,$B1668&amp;"contratada",I$250:I$283)</f>
        <v>0</v>
      </c>
      <c r="J1848" s="1707">
        <f t="shared" si="1340"/>
        <v>0</v>
      </c>
      <c r="K1848" s="1707">
        <f t="shared" si="1340"/>
        <v>0</v>
      </c>
      <c r="L1848" s="1707">
        <f t="shared" si="1340"/>
        <v>0</v>
      </c>
      <c r="M1848" s="1707">
        <f t="shared" si="1340"/>
        <v>0</v>
      </c>
      <c r="N1848" s="1707">
        <f t="shared" si="1340"/>
        <v>0</v>
      </c>
      <c r="O1848" s="1707">
        <f t="shared" si="1340"/>
        <v>0</v>
      </c>
      <c r="P1848" s="1707">
        <f t="shared" si="1340"/>
        <v>0</v>
      </c>
      <c r="Q1848" s="1707">
        <f t="shared" si="1340"/>
        <v>0</v>
      </c>
      <c r="R1848" s="1707">
        <f t="shared" si="1340"/>
        <v>0</v>
      </c>
      <c r="S1848" s="1707">
        <f t="shared" si="1340"/>
        <v>0</v>
      </c>
      <c r="T1848" s="1708">
        <f t="shared" si="1340"/>
        <v>0</v>
      </c>
      <c r="Y1848" s="1195"/>
      <c r="Z1848" s="193">
        <f t="shared" si="1289"/>
        <v>0</v>
      </c>
      <c r="AA1848" s="193"/>
      <c r="AB1848" s="254"/>
      <c r="AC1848" s="193"/>
      <c r="AD1848" s="193"/>
      <c r="AE1848" s="254"/>
      <c r="AF1848" s="1707">
        <f t="shared" ref="AF1848:AQ1848" si="1341">SUMIF($AS$250:$AS$283,$B1668&amp;"contratada",AF$250:AF$283)</f>
        <v>0</v>
      </c>
      <c r="AG1848" s="1707">
        <f t="shared" si="1341"/>
        <v>0</v>
      </c>
      <c r="AH1848" s="1707">
        <f t="shared" si="1341"/>
        <v>0</v>
      </c>
      <c r="AI1848" s="1707">
        <f t="shared" si="1341"/>
        <v>0</v>
      </c>
      <c r="AJ1848" s="1707">
        <f t="shared" si="1341"/>
        <v>0</v>
      </c>
      <c r="AK1848" s="1707">
        <f t="shared" si="1341"/>
        <v>0</v>
      </c>
      <c r="AL1848" s="1707">
        <f t="shared" si="1341"/>
        <v>0</v>
      </c>
      <c r="AM1848" s="1707">
        <f t="shared" si="1341"/>
        <v>0</v>
      </c>
      <c r="AN1848" s="1707">
        <f t="shared" si="1341"/>
        <v>0</v>
      </c>
      <c r="AO1848" s="1707">
        <f t="shared" si="1341"/>
        <v>0</v>
      </c>
      <c r="AP1848" s="1707">
        <f t="shared" si="1341"/>
        <v>0</v>
      </c>
      <c r="AQ1848" s="1708">
        <f t="shared" si="1341"/>
        <v>0</v>
      </c>
    </row>
    <row r="1849" spans="2:43" ht="13.75" hidden="1" customHeight="1" x14ac:dyDescent="0.2">
      <c r="B1849" s="1195"/>
      <c r="C1849" s="193">
        <f t="shared" si="1317"/>
        <v>0</v>
      </c>
      <c r="D1849" s="193"/>
      <c r="E1849" s="254"/>
      <c r="F1849" s="193"/>
      <c r="G1849" s="193"/>
      <c r="H1849" s="254"/>
      <c r="I1849" s="1707">
        <f t="shared" ref="I1849:T1849" si="1342">SUMIF($V$250:$V$283,$B1669&amp;"contratada",I$250:I$283)</f>
        <v>0</v>
      </c>
      <c r="J1849" s="1707">
        <f t="shared" si="1342"/>
        <v>0</v>
      </c>
      <c r="K1849" s="1707">
        <f t="shared" si="1342"/>
        <v>0</v>
      </c>
      <c r="L1849" s="1707">
        <f t="shared" si="1342"/>
        <v>0</v>
      </c>
      <c r="M1849" s="1707">
        <f t="shared" si="1342"/>
        <v>0</v>
      </c>
      <c r="N1849" s="1707">
        <f t="shared" si="1342"/>
        <v>0</v>
      </c>
      <c r="O1849" s="1707">
        <f t="shared" si="1342"/>
        <v>0</v>
      </c>
      <c r="P1849" s="1707">
        <f t="shared" si="1342"/>
        <v>0</v>
      </c>
      <c r="Q1849" s="1707">
        <f t="shared" si="1342"/>
        <v>0</v>
      </c>
      <c r="R1849" s="1707">
        <f t="shared" si="1342"/>
        <v>0</v>
      </c>
      <c r="S1849" s="1707">
        <f t="shared" si="1342"/>
        <v>0</v>
      </c>
      <c r="T1849" s="1708">
        <f t="shared" si="1342"/>
        <v>0</v>
      </c>
      <c r="Y1849" s="1195"/>
      <c r="Z1849" s="193">
        <f t="shared" si="1289"/>
        <v>0</v>
      </c>
      <c r="AA1849" s="193"/>
      <c r="AB1849" s="254"/>
      <c r="AC1849" s="193"/>
      <c r="AD1849" s="193"/>
      <c r="AE1849" s="254"/>
      <c r="AF1849" s="1707">
        <f t="shared" ref="AF1849:AQ1849" si="1343">SUMIF($AS$250:$AS$283,$B1669&amp;"contratada",AF$250:AF$283)</f>
        <v>0</v>
      </c>
      <c r="AG1849" s="1707">
        <f t="shared" si="1343"/>
        <v>0</v>
      </c>
      <c r="AH1849" s="1707">
        <f t="shared" si="1343"/>
        <v>0</v>
      </c>
      <c r="AI1849" s="1707">
        <f t="shared" si="1343"/>
        <v>0</v>
      </c>
      <c r="AJ1849" s="1707">
        <f t="shared" si="1343"/>
        <v>0</v>
      </c>
      <c r="AK1849" s="1707">
        <f t="shared" si="1343"/>
        <v>0</v>
      </c>
      <c r="AL1849" s="1707">
        <f t="shared" si="1343"/>
        <v>0</v>
      </c>
      <c r="AM1849" s="1707">
        <f t="shared" si="1343"/>
        <v>0</v>
      </c>
      <c r="AN1849" s="1707">
        <f t="shared" si="1343"/>
        <v>0</v>
      </c>
      <c r="AO1849" s="1707">
        <f t="shared" si="1343"/>
        <v>0</v>
      </c>
      <c r="AP1849" s="1707">
        <f t="shared" si="1343"/>
        <v>0</v>
      </c>
      <c r="AQ1849" s="1708">
        <f t="shared" si="1343"/>
        <v>0</v>
      </c>
    </row>
    <row r="1850" spans="2:43" ht="14.4" hidden="1" customHeight="1" thickBot="1" x14ac:dyDescent="0.25">
      <c r="B1850" s="1198"/>
      <c r="C1850" s="1199">
        <f t="shared" si="1317"/>
        <v>0</v>
      </c>
      <c r="D1850" s="1199"/>
      <c r="E1850" s="1209"/>
      <c r="F1850" s="1199"/>
      <c r="G1850" s="1199"/>
      <c r="H1850" s="1209"/>
      <c r="I1850" s="1709">
        <f t="shared" ref="I1850:T1850" si="1344">SUMIF($V$250:$V$283,$B1670&amp;"contratada",I$250:I$283)</f>
        <v>0</v>
      </c>
      <c r="J1850" s="1709">
        <f t="shared" si="1344"/>
        <v>0</v>
      </c>
      <c r="K1850" s="1709">
        <f t="shared" si="1344"/>
        <v>0</v>
      </c>
      <c r="L1850" s="1709">
        <f t="shared" si="1344"/>
        <v>0</v>
      </c>
      <c r="M1850" s="1709">
        <f t="shared" si="1344"/>
        <v>0</v>
      </c>
      <c r="N1850" s="1709">
        <f t="shared" si="1344"/>
        <v>0</v>
      </c>
      <c r="O1850" s="1709">
        <f t="shared" si="1344"/>
        <v>0</v>
      </c>
      <c r="P1850" s="1709">
        <f t="shared" si="1344"/>
        <v>0</v>
      </c>
      <c r="Q1850" s="1709">
        <f t="shared" si="1344"/>
        <v>0</v>
      </c>
      <c r="R1850" s="1709">
        <f t="shared" si="1344"/>
        <v>0</v>
      </c>
      <c r="S1850" s="1709">
        <f t="shared" si="1344"/>
        <v>0</v>
      </c>
      <c r="T1850" s="1710">
        <f t="shared" si="1344"/>
        <v>0</v>
      </c>
      <c r="Y1850" s="1198"/>
      <c r="Z1850" s="1199">
        <f t="shared" si="1289"/>
        <v>0</v>
      </c>
      <c r="AA1850" s="1199"/>
      <c r="AB1850" s="1209"/>
      <c r="AC1850" s="1199"/>
      <c r="AD1850" s="1199"/>
      <c r="AE1850" s="1209"/>
      <c r="AF1850" s="1709">
        <f t="shared" ref="AF1850:AQ1850" si="1345">SUMIF($AS$250:$AS$283,$B1670&amp;"contratada",AF$250:AF$283)</f>
        <v>0</v>
      </c>
      <c r="AG1850" s="1709">
        <f t="shared" si="1345"/>
        <v>0</v>
      </c>
      <c r="AH1850" s="1709">
        <f t="shared" si="1345"/>
        <v>0</v>
      </c>
      <c r="AI1850" s="1709">
        <f t="shared" si="1345"/>
        <v>0</v>
      </c>
      <c r="AJ1850" s="1709">
        <f t="shared" si="1345"/>
        <v>0</v>
      </c>
      <c r="AK1850" s="1709">
        <f t="shared" si="1345"/>
        <v>0</v>
      </c>
      <c r="AL1850" s="1709">
        <f t="shared" si="1345"/>
        <v>0</v>
      </c>
      <c r="AM1850" s="1709">
        <f t="shared" si="1345"/>
        <v>0</v>
      </c>
      <c r="AN1850" s="1709">
        <f t="shared" si="1345"/>
        <v>0</v>
      </c>
      <c r="AO1850" s="1709">
        <f t="shared" si="1345"/>
        <v>0</v>
      </c>
      <c r="AP1850" s="1709">
        <f t="shared" si="1345"/>
        <v>0</v>
      </c>
      <c r="AQ1850" s="1710">
        <f t="shared" si="1345"/>
        <v>0</v>
      </c>
    </row>
    <row r="1851" spans="2:43" ht="15.05" hidden="1" customHeight="1" thickTop="1" thickBot="1" x14ac:dyDescent="0.25">
      <c r="B1851" s="1711" t="s">
        <v>705</v>
      </c>
      <c r="C1851" s="1712"/>
      <c r="D1851" s="1712"/>
      <c r="E1851" s="1712"/>
      <c r="F1851" s="1712"/>
      <c r="G1851" s="1712"/>
      <c r="H1851" s="1713" t="s">
        <v>230</v>
      </c>
      <c r="I1851" s="1715">
        <f t="shared" ref="I1851:T1851" si="1346">+SUMPRODUCT(I1822:I1850,$C$1786:$C$1814)</f>
        <v>0</v>
      </c>
      <c r="J1851" s="1715">
        <f t="shared" si="1346"/>
        <v>0</v>
      </c>
      <c r="K1851" s="1715">
        <f t="shared" si="1346"/>
        <v>0</v>
      </c>
      <c r="L1851" s="1715">
        <f t="shared" si="1346"/>
        <v>0</v>
      </c>
      <c r="M1851" s="1715">
        <f t="shared" si="1346"/>
        <v>0</v>
      </c>
      <c r="N1851" s="1715">
        <f t="shared" si="1346"/>
        <v>0</v>
      </c>
      <c r="O1851" s="1715">
        <f t="shared" si="1346"/>
        <v>0</v>
      </c>
      <c r="P1851" s="1715">
        <f t="shared" si="1346"/>
        <v>0</v>
      </c>
      <c r="Q1851" s="1715">
        <f t="shared" si="1346"/>
        <v>0</v>
      </c>
      <c r="R1851" s="1715">
        <f t="shared" si="1346"/>
        <v>0</v>
      </c>
      <c r="S1851" s="1715">
        <f t="shared" si="1346"/>
        <v>0</v>
      </c>
      <c r="T1851" s="1716">
        <f t="shared" si="1346"/>
        <v>0</v>
      </c>
      <c r="Y1851" s="1711" t="s">
        <v>705</v>
      </c>
      <c r="Z1851" s="1712"/>
      <c r="AA1851" s="1712"/>
      <c r="AB1851" s="1712"/>
      <c r="AC1851" s="1712"/>
      <c r="AD1851" s="1712"/>
      <c r="AE1851" s="1719" t="s">
        <v>230</v>
      </c>
      <c r="AF1851" s="1715">
        <f t="shared" ref="AF1851:AQ1851" si="1347">+SUMPRODUCT(AF1822:AF1850,$C$1786:$C$1814)</f>
        <v>0</v>
      </c>
      <c r="AG1851" s="1715">
        <f t="shared" si="1347"/>
        <v>0</v>
      </c>
      <c r="AH1851" s="1715">
        <f t="shared" si="1347"/>
        <v>0</v>
      </c>
      <c r="AI1851" s="1715">
        <f t="shared" si="1347"/>
        <v>0</v>
      </c>
      <c r="AJ1851" s="1715">
        <f t="shared" si="1347"/>
        <v>0</v>
      </c>
      <c r="AK1851" s="1715">
        <f t="shared" si="1347"/>
        <v>0</v>
      </c>
      <c r="AL1851" s="1715">
        <f t="shared" si="1347"/>
        <v>0</v>
      </c>
      <c r="AM1851" s="1715">
        <f t="shared" si="1347"/>
        <v>0</v>
      </c>
      <c r="AN1851" s="1715">
        <f t="shared" si="1347"/>
        <v>0</v>
      </c>
      <c r="AO1851" s="1715">
        <f t="shared" si="1347"/>
        <v>0</v>
      </c>
      <c r="AP1851" s="1715">
        <f t="shared" si="1347"/>
        <v>0</v>
      </c>
      <c r="AQ1851" s="1716">
        <f t="shared" si="1347"/>
        <v>0</v>
      </c>
    </row>
    <row r="1852" spans="2:43" ht="14.4" hidden="1" customHeight="1" thickTop="1" x14ac:dyDescent="0.2">
      <c r="B1852" s="1594"/>
      <c r="C1852" s="193"/>
      <c r="D1852" s="193"/>
      <c r="E1852" s="193"/>
      <c r="F1852" s="193"/>
      <c r="G1852" s="193"/>
      <c r="H1852" s="982" t="s">
        <v>698</v>
      </c>
      <c r="I1852" s="1205">
        <f t="shared" ref="I1852:T1852" si="1348">IFERROR(I1851*I1818/I1820,0)</f>
        <v>0</v>
      </c>
      <c r="J1852" s="1205">
        <f t="shared" si="1348"/>
        <v>0</v>
      </c>
      <c r="K1852" s="1205">
        <f t="shared" si="1348"/>
        <v>0</v>
      </c>
      <c r="L1852" s="1205">
        <f t="shared" si="1348"/>
        <v>0</v>
      </c>
      <c r="M1852" s="1205">
        <f t="shared" si="1348"/>
        <v>0</v>
      </c>
      <c r="N1852" s="1205">
        <f t="shared" si="1348"/>
        <v>0</v>
      </c>
      <c r="O1852" s="1205">
        <f t="shared" si="1348"/>
        <v>0</v>
      </c>
      <c r="P1852" s="1205">
        <f t="shared" si="1348"/>
        <v>0</v>
      </c>
      <c r="Q1852" s="1205">
        <f t="shared" si="1348"/>
        <v>0</v>
      </c>
      <c r="R1852" s="1205">
        <f t="shared" si="1348"/>
        <v>0</v>
      </c>
      <c r="S1852" s="1205">
        <f t="shared" si="1348"/>
        <v>0</v>
      </c>
      <c r="T1852" s="1714">
        <f t="shared" si="1348"/>
        <v>0</v>
      </c>
      <c r="Y1852" s="1594"/>
      <c r="Z1852" s="193"/>
      <c r="AA1852" s="193"/>
      <c r="AB1852" s="193"/>
      <c r="AC1852" s="193"/>
      <c r="AD1852" s="193"/>
      <c r="AE1852" s="1720" t="s">
        <v>698</v>
      </c>
      <c r="AF1852" s="1205">
        <f t="shared" ref="AF1852:AQ1852" si="1349">IFERROR(AF1851*AF1818/AF1820,0)</f>
        <v>0</v>
      </c>
      <c r="AG1852" s="1205">
        <f t="shared" si="1349"/>
        <v>0</v>
      </c>
      <c r="AH1852" s="1205">
        <f t="shared" si="1349"/>
        <v>0</v>
      </c>
      <c r="AI1852" s="1205">
        <f t="shared" si="1349"/>
        <v>0</v>
      </c>
      <c r="AJ1852" s="1205">
        <f t="shared" si="1349"/>
        <v>0</v>
      </c>
      <c r="AK1852" s="1205">
        <f t="shared" si="1349"/>
        <v>0</v>
      </c>
      <c r="AL1852" s="1205">
        <f t="shared" si="1349"/>
        <v>0</v>
      </c>
      <c r="AM1852" s="1205">
        <f t="shared" si="1349"/>
        <v>0</v>
      </c>
      <c r="AN1852" s="1205">
        <f t="shared" si="1349"/>
        <v>0</v>
      </c>
      <c r="AO1852" s="1205">
        <f t="shared" si="1349"/>
        <v>0</v>
      </c>
      <c r="AP1852" s="1205">
        <f t="shared" si="1349"/>
        <v>0</v>
      </c>
      <c r="AQ1852" s="1714">
        <f t="shared" si="1349"/>
        <v>0</v>
      </c>
    </row>
    <row r="1853" spans="2:43" ht="14.4" hidden="1" customHeight="1" thickBot="1" x14ac:dyDescent="0.25">
      <c r="B1853" s="1596"/>
      <c r="C1853" s="1199"/>
      <c r="D1853" s="1199"/>
      <c r="E1853" s="1199"/>
      <c r="F1853" s="1199"/>
      <c r="G1853" s="1199"/>
      <c r="H1853" s="1717" t="s">
        <v>699</v>
      </c>
      <c r="I1853" s="1590">
        <f t="shared" ref="I1853:T1853" si="1350">+I1851-I1852</f>
        <v>0</v>
      </c>
      <c r="J1853" s="1590">
        <f t="shared" si="1350"/>
        <v>0</v>
      </c>
      <c r="K1853" s="1590">
        <f t="shared" si="1350"/>
        <v>0</v>
      </c>
      <c r="L1853" s="1590">
        <f t="shared" si="1350"/>
        <v>0</v>
      </c>
      <c r="M1853" s="1590">
        <f t="shared" si="1350"/>
        <v>0</v>
      </c>
      <c r="N1853" s="1590">
        <f t="shared" si="1350"/>
        <v>0</v>
      </c>
      <c r="O1853" s="1590">
        <f t="shared" si="1350"/>
        <v>0</v>
      </c>
      <c r="P1853" s="1590">
        <f t="shared" si="1350"/>
        <v>0</v>
      </c>
      <c r="Q1853" s="1590">
        <f t="shared" si="1350"/>
        <v>0</v>
      </c>
      <c r="R1853" s="1590">
        <f t="shared" si="1350"/>
        <v>0</v>
      </c>
      <c r="S1853" s="1590">
        <f t="shared" si="1350"/>
        <v>0</v>
      </c>
      <c r="T1853" s="1655">
        <f t="shared" si="1350"/>
        <v>0</v>
      </c>
      <c r="Y1853" s="1596"/>
      <c r="Z1853" s="1199"/>
      <c r="AA1853" s="1199"/>
      <c r="AB1853" s="1199"/>
      <c r="AC1853" s="1199"/>
      <c r="AD1853" s="1199"/>
      <c r="AE1853" s="1721" t="s">
        <v>699</v>
      </c>
      <c r="AF1853" s="1590">
        <f>+AF1851-AF1852</f>
        <v>0</v>
      </c>
      <c r="AG1853" s="1590">
        <f t="shared" ref="AG1853:AQ1853" si="1351">+AG1851-AG1852</f>
        <v>0</v>
      </c>
      <c r="AH1853" s="1590">
        <f t="shared" si="1351"/>
        <v>0</v>
      </c>
      <c r="AI1853" s="1590">
        <f t="shared" si="1351"/>
        <v>0</v>
      </c>
      <c r="AJ1853" s="1590">
        <f t="shared" si="1351"/>
        <v>0</v>
      </c>
      <c r="AK1853" s="1590">
        <f t="shared" si="1351"/>
        <v>0</v>
      </c>
      <c r="AL1853" s="1590">
        <f t="shared" si="1351"/>
        <v>0</v>
      </c>
      <c r="AM1853" s="1590">
        <f t="shared" si="1351"/>
        <v>0</v>
      </c>
      <c r="AN1853" s="1590">
        <f t="shared" si="1351"/>
        <v>0</v>
      </c>
      <c r="AO1853" s="1590">
        <f t="shared" si="1351"/>
        <v>0</v>
      </c>
      <c r="AP1853" s="1590">
        <f t="shared" si="1351"/>
        <v>0</v>
      </c>
      <c r="AQ1853" s="1655">
        <f t="shared" si="1351"/>
        <v>0</v>
      </c>
    </row>
    <row r="1854" spans="2:43" ht="14.4" hidden="1" customHeight="1" thickTop="1" x14ac:dyDescent="0.2">
      <c r="B1854" s="1584" t="s">
        <v>795</v>
      </c>
      <c r="C1854" s="1581">
        <f>+C1535</f>
        <v>0</v>
      </c>
      <c r="D1854" s="1194"/>
      <c r="E1854" s="1194"/>
      <c r="F1854" s="1194"/>
      <c r="G1854" s="1194" t="s">
        <v>247</v>
      </c>
      <c r="H1854" s="1194" t="s">
        <v>691</v>
      </c>
      <c r="I1854" s="1668">
        <f t="shared" ref="I1854:T1854" si="1352">+I1536</f>
        <v>0</v>
      </c>
      <c r="J1854" s="1668">
        <f t="shared" si="1352"/>
        <v>0</v>
      </c>
      <c r="K1854" s="1668">
        <f t="shared" si="1352"/>
        <v>0</v>
      </c>
      <c r="L1854" s="1668">
        <f t="shared" si="1352"/>
        <v>0</v>
      </c>
      <c r="M1854" s="1668">
        <f t="shared" si="1352"/>
        <v>0</v>
      </c>
      <c r="N1854" s="1668">
        <f t="shared" si="1352"/>
        <v>0</v>
      </c>
      <c r="O1854" s="1668">
        <f t="shared" si="1352"/>
        <v>0</v>
      </c>
      <c r="P1854" s="1668">
        <f t="shared" si="1352"/>
        <v>0</v>
      </c>
      <c r="Q1854" s="1668">
        <f t="shared" si="1352"/>
        <v>0</v>
      </c>
      <c r="R1854" s="1668">
        <f t="shared" si="1352"/>
        <v>0</v>
      </c>
      <c r="S1854" s="1668">
        <f t="shared" si="1352"/>
        <v>0</v>
      </c>
      <c r="T1854" s="1704">
        <f t="shared" si="1352"/>
        <v>0</v>
      </c>
      <c r="Y1854" s="1722" t="s">
        <v>795</v>
      </c>
      <c r="Z1854" s="1581">
        <f>+Z1535</f>
        <v>0</v>
      </c>
      <c r="AA1854" s="1194"/>
      <c r="AB1854" s="1194"/>
      <c r="AC1854" s="1194"/>
      <c r="AD1854" s="1194">
        <f t="shared" ref="AD1854:AE1856" si="1353">+AC1666</f>
        <v>0</v>
      </c>
      <c r="AE1854" s="1194">
        <f t="shared" si="1353"/>
        <v>0</v>
      </c>
      <c r="AF1854" s="1668">
        <f t="shared" ref="AF1854:AQ1854" si="1354">+AF1536</f>
        <v>0</v>
      </c>
      <c r="AG1854" s="1668">
        <f t="shared" si="1354"/>
        <v>0</v>
      </c>
      <c r="AH1854" s="1668">
        <f t="shared" si="1354"/>
        <v>0</v>
      </c>
      <c r="AI1854" s="1668">
        <f t="shared" si="1354"/>
        <v>0</v>
      </c>
      <c r="AJ1854" s="1668">
        <f t="shared" si="1354"/>
        <v>0</v>
      </c>
      <c r="AK1854" s="1668">
        <f t="shared" si="1354"/>
        <v>0</v>
      </c>
      <c r="AL1854" s="1668">
        <f t="shared" si="1354"/>
        <v>0</v>
      </c>
      <c r="AM1854" s="1668">
        <f t="shared" si="1354"/>
        <v>0</v>
      </c>
      <c r="AN1854" s="1668">
        <f t="shared" si="1354"/>
        <v>0</v>
      </c>
      <c r="AO1854" s="1668">
        <f t="shared" si="1354"/>
        <v>0</v>
      </c>
      <c r="AP1854" s="1668">
        <f t="shared" si="1354"/>
        <v>0</v>
      </c>
      <c r="AQ1854" s="1704">
        <f t="shared" si="1354"/>
        <v>0</v>
      </c>
    </row>
    <row r="1855" spans="2:43" ht="13.75" hidden="1" customHeight="1" x14ac:dyDescent="0.2">
      <c r="B1855" s="1594"/>
      <c r="C1855" s="193"/>
      <c r="D1855" s="193"/>
      <c r="E1855" s="193"/>
      <c r="F1855" s="193"/>
      <c r="G1855" s="193" t="s">
        <v>344</v>
      </c>
      <c r="H1855" s="193" t="s">
        <v>693</v>
      </c>
      <c r="I1855" s="1283">
        <f t="shared" ref="I1855:T1855" si="1355">+I1537</f>
        <v>0</v>
      </c>
      <c r="J1855" s="1283">
        <f t="shared" si="1355"/>
        <v>0</v>
      </c>
      <c r="K1855" s="1283">
        <f t="shared" si="1355"/>
        <v>0</v>
      </c>
      <c r="L1855" s="1283">
        <f t="shared" si="1355"/>
        <v>0</v>
      </c>
      <c r="M1855" s="1283">
        <f t="shared" si="1355"/>
        <v>0</v>
      </c>
      <c r="N1855" s="1283">
        <f t="shared" si="1355"/>
        <v>0</v>
      </c>
      <c r="O1855" s="1283">
        <f t="shared" si="1355"/>
        <v>0</v>
      </c>
      <c r="P1855" s="1283">
        <f t="shared" si="1355"/>
        <v>0</v>
      </c>
      <c r="Q1855" s="1283">
        <f t="shared" si="1355"/>
        <v>0</v>
      </c>
      <c r="R1855" s="1283">
        <f t="shared" si="1355"/>
        <v>0</v>
      </c>
      <c r="S1855" s="1283">
        <f t="shared" si="1355"/>
        <v>0</v>
      </c>
      <c r="T1855" s="1601">
        <f t="shared" si="1355"/>
        <v>0</v>
      </c>
      <c r="Y1855" s="1594"/>
      <c r="Z1855" s="193"/>
      <c r="AA1855" s="193"/>
      <c r="AB1855" s="193"/>
      <c r="AC1855" s="193"/>
      <c r="AD1855" s="193">
        <f t="shared" si="1353"/>
        <v>0</v>
      </c>
      <c r="AE1855" s="193">
        <f t="shared" si="1353"/>
        <v>0</v>
      </c>
      <c r="AF1855" s="1283">
        <f t="shared" ref="AF1855:AQ1855" si="1356">+AF1537</f>
        <v>0</v>
      </c>
      <c r="AG1855" s="1283">
        <f t="shared" si="1356"/>
        <v>0</v>
      </c>
      <c r="AH1855" s="1283">
        <f t="shared" si="1356"/>
        <v>0</v>
      </c>
      <c r="AI1855" s="1283">
        <f t="shared" si="1356"/>
        <v>0</v>
      </c>
      <c r="AJ1855" s="1283">
        <f t="shared" si="1356"/>
        <v>0</v>
      </c>
      <c r="AK1855" s="1283">
        <f t="shared" si="1356"/>
        <v>0</v>
      </c>
      <c r="AL1855" s="1283">
        <f t="shared" si="1356"/>
        <v>0</v>
      </c>
      <c r="AM1855" s="1283">
        <f t="shared" si="1356"/>
        <v>0</v>
      </c>
      <c r="AN1855" s="1283">
        <f t="shared" si="1356"/>
        <v>0</v>
      </c>
      <c r="AO1855" s="1283">
        <f t="shared" si="1356"/>
        <v>0</v>
      </c>
      <c r="AP1855" s="1283">
        <f t="shared" si="1356"/>
        <v>0</v>
      </c>
      <c r="AQ1855" s="1601">
        <f t="shared" si="1356"/>
        <v>0</v>
      </c>
    </row>
    <row r="1856" spans="2:43" ht="14.4" hidden="1" customHeight="1" thickBot="1" x14ac:dyDescent="0.25">
      <c r="B1856" s="1596"/>
      <c r="C1856" s="1199"/>
      <c r="D1856" s="1199"/>
      <c r="E1856" s="1199"/>
      <c r="F1856" s="1199"/>
      <c r="G1856" s="1199" t="s">
        <v>344</v>
      </c>
      <c r="H1856" s="1199" t="s">
        <v>694</v>
      </c>
      <c r="I1856" s="1590">
        <f t="shared" ref="I1856:T1856" si="1357">+I1538</f>
        <v>0</v>
      </c>
      <c r="J1856" s="1590">
        <f t="shared" si="1357"/>
        <v>0</v>
      </c>
      <c r="K1856" s="1590">
        <f t="shared" si="1357"/>
        <v>0</v>
      </c>
      <c r="L1856" s="1590">
        <f t="shared" si="1357"/>
        <v>0</v>
      </c>
      <c r="M1856" s="1590">
        <f t="shared" si="1357"/>
        <v>0</v>
      </c>
      <c r="N1856" s="1590">
        <f t="shared" si="1357"/>
        <v>0</v>
      </c>
      <c r="O1856" s="1590">
        <f t="shared" si="1357"/>
        <v>0</v>
      </c>
      <c r="P1856" s="1590">
        <f t="shared" si="1357"/>
        <v>0</v>
      </c>
      <c r="Q1856" s="1590">
        <f t="shared" si="1357"/>
        <v>0</v>
      </c>
      <c r="R1856" s="1590">
        <f t="shared" si="1357"/>
        <v>0</v>
      </c>
      <c r="S1856" s="1590">
        <f t="shared" si="1357"/>
        <v>0</v>
      </c>
      <c r="T1856" s="1655">
        <f t="shared" si="1357"/>
        <v>0</v>
      </c>
      <c r="Y1856" s="1596"/>
      <c r="Z1856" s="1199"/>
      <c r="AA1856" s="1199"/>
      <c r="AB1856" s="1199"/>
      <c r="AC1856" s="1199"/>
      <c r="AD1856" s="1199">
        <f t="shared" si="1353"/>
        <v>0</v>
      </c>
      <c r="AE1856" s="1199">
        <f t="shared" si="1353"/>
        <v>0</v>
      </c>
      <c r="AF1856" s="1590">
        <f t="shared" ref="AF1856:AQ1856" si="1358">+AF1538</f>
        <v>0</v>
      </c>
      <c r="AG1856" s="1590">
        <f t="shared" si="1358"/>
        <v>0</v>
      </c>
      <c r="AH1856" s="1590">
        <f t="shared" si="1358"/>
        <v>0</v>
      </c>
      <c r="AI1856" s="1590">
        <f t="shared" si="1358"/>
        <v>0</v>
      </c>
      <c r="AJ1856" s="1590">
        <f t="shared" si="1358"/>
        <v>0</v>
      </c>
      <c r="AK1856" s="1590">
        <f t="shared" si="1358"/>
        <v>0</v>
      </c>
      <c r="AL1856" s="1590">
        <f t="shared" si="1358"/>
        <v>0</v>
      </c>
      <c r="AM1856" s="1590">
        <f t="shared" si="1358"/>
        <v>0</v>
      </c>
      <c r="AN1856" s="1590">
        <f t="shared" si="1358"/>
        <v>0</v>
      </c>
      <c r="AO1856" s="1590">
        <f t="shared" si="1358"/>
        <v>0</v>
      </c>
      <c r="AP1856" s="1590">
        <f t="shared" si="1358"/>
        <v>0</v>
      </c>
      <c r="AQ1856" s="1655">
        <f t="shared" si="1358"/>
        <v>0</v>
      </c>
    </row>
    <row r="1857" spans="2:43" ht="14.4" hidden="1" customHeight="1" thickTop="1" x14ac:dyDescent="0.2">
      <c r="B1857" s="1584" t="s">
        <v>2019</v>
      </c>
      <c r="C1857" s="1194" t="s">
        <v>2018</v>
      </c>
      <c r="D1857" s="1194"/>
      <c r="E1857" s="1194"/>
      <c r="F1857" s="1194"/>
      <c r="G1857" s="1194"/>
      <c r="H1857" s="1210"/>
      <c r="I1857" s="1194"/>
      <c r="J1857" s="1194"/>
      <c r="K1857" s="1194"/>
      <c r="L1857" s="1194"/>
      <c r="M1857" s="1194"/>
      <c r="N1857" s="1194"/>
      <c r="O1857" s="1194"/>
      <c r="P1857" s="1194"/>
      <c r="Q1857" s="1194"/>
      <c r="R1857" s="1194"/>
      <c r="S1857" s="1194"/>
      <c r="T1857" s="1599"/>
      <c r="Y1857" s="1584" t="s">
        <v>2019</v>
      </c>
      <c r="Z1857" s="1194" t="s">
        <v>2018</v>
      </c>
      <c r="AA1857" s="1194"/>
      <c r="AB1857" s="1194"/>
      <c r="AC1857" s="1194"/>
      <c r="AD1857" s="1194"/>
      <c r="AE1857" s="1210"/>
      <c r="AF1857" s="1194"/>
      <c r="AG1857" s="1194"/>
      <c r="AH1857" s="1194"/>
      <c r="AI1857" s="1194"/>
      <c r="AJ1857" s="1194"/>
      <c r="AK1857" s="1194"/>
      <c r="AL1857" s="1194"/>
      <c r="AM1857" s="1194"/>
      <c r="AN1857" s="1194"/>
      <c r="AO1857" s="1194"/>
      <c r="AP1857" s="1194"/>
      <c r="AQ1857" s="1599"/>
    </row>
    <row r="1858" spans="2:43" ht="13.75" hidden="1" customHeight="1" x14ac:dyDescent="0.2">
      <c r="B1858" s="1195" t="s">
        <v>2021</v>
      </c>
      <c r="C1858" s="193">
        <f t="shared" ref="C1858:C1871" si="1359">+C1822</f>
        <v>5</v>
      </c>
      <c r="D1858" s="193"/>
      <c r="E1858" s="254"/>
      <c r="F1858" s="193"/>
      <c r="G1858" s="193"/>
      <c r="H1858" s="254"/>
      <c r="I1858" s="1705">
        <f>SUMIF($V$291:$V$324,$B1642&amp;"propia",I$291:I$324)</f>
        <v>0</v>
      </c>
      <c r="J1858" s="1705">
        <f t="shared" ref="J1858:T1858" si="1360">SUMIF($V$291:$V$324,$B1642&amp;"propia",J$291:J$324)</f>
        <v>0</v>
      </c>
      <c r="K1858" s="1705">
        <f t="shared" si="1360"/>
        <v>0</v>
      </c>
      <c r="L1858" s="1705">
        <f t="shared" si="1360"/>
        <v>0</v>
      </c>
      <c r="M1858" s="1705">
        <f t="shared" si="1360"/>
        <v>0</v>
      </c>
      <c r="N1858" s="1705">
        <f t="shared" si="1360"/>
        <v>0</v>
      </c>
      <c r="O1858" s="1705">
        <f t="shared" si="1360"/>
        <v>0</v>
      </c>
      <c r="P1858" s="1705">
        <f t="shared" si="1360"/>
        <v>0</v>
      </c>
      <c r="Q1858" s="1705">
        <f t="shared" si="1360"/>
        <v>0</v>
      </c>
      <c r="R1858" s="1705">
        <f t="shared" si="1360"/>
        <v>0</v>
      </c>
      <c r="S1858" s="1705">
        <f t="shared" si="1360"/>
        <v>0</v>
      </c>
      <c r="T1858" s="1705">
        <f t="shared" si="1360"/>
        <v>0</v>
      </c>
      <c r="Y1858" s="1195" t="s">
        <v>2021</v>
      </c>
      <c r="Z1858" s="193">
        <f t="shared" ref="Z1858:Z1886" si="1361">+Z1822</f>
        <v>5</v>
      </c>
      <c r="AA1858" s="193"/>
      <c r="AB1858" s="254"/>
      <c r="AC1858" s="193"/>
      <c r="AD1858" s="193"/>
      <c r="AE1858" s="254"/>
      <c r="AF1858" s="1705">
        <f>SUMIF($AS$291:$AS$324,$B1642&amp;"propia",AF$291:AF$324)</f>
        <v>0</v>
      </c>
      <c r="AG1858" s="1705">
        <f t="shared" ref="AG1858:AQ1858" si="1362">SUMIF($AS$291:$AS$324,$B1642&amp;"propia",AG$291:AG$324)</f>
        <v>0</v>
      </c>
      <c r="AH1858" s="1705">
        <f t="shared" si="1362"/>
        <v>0</v>
      </c>
      <c r="AI1858" s="1705">
        <f t="shared" si="1362"/>
        <v>0</v>
      </c>
      <c r="AJ1858" s="1705">
        <f t="shared" si="1362"/>
        <v>0</v>
      </c>
      <c r="AK1858" s="1705">
        <f t="shared" si="1362"/>
        <v>0</v>
      </c>
      <c r="AL1858" s="1705">
        <f t="shared" si="1362"/>
        <v>0</v>
      </c>
      <c r="AM1858" s="1705">
        <f t="shared" si="1362"/>
        <v>0</v>
      </c>
      <c r="AN1858" s="1705">
        <f t="shared" si="1362"/>
        <v>0</v>
      </c>
      <c r="AO1858" s="1705">
        <f t="shared" si="1362"/>
        <v>0</v>
      </c>
      <c r="AP1858" s="1705">
        <f t="shared" si="1362"/>
        <v>0</v>
      </c>
      <c r="AQ1858" s="1706">
        <f t="shared" si="1362"/>
        <v>0</v>
      </c>
    </row>
    <row r="1859" spans="2:43" ht="13.75" hidden="1" customHeight="1" x14ac:dyDescent="0.2">
      <c r="B1859" s="1195"/>
      <c r="C1859" s="193">
        <f t="shared" si="1359"/>
        <v>5</v>
      </c>
      <c r="D1859" s="193"/>
      <c r="E1859" s="254"/>
      <c r="F1859" s="193"/>
      <c r="G1859" s="193"/>
      <c r="H1859" s="254"/>
      <c r="I1859" s="1707">
        <f t="shared" ref="I1859:T1859" si="1363">SUMIF($V$291:$V$324,$B1643&amp;"propia",I$291:I$324)</f>
        <v>0</v>
      </c>
      <c r="J1859" s="1707">
        <f t="shared" si="1363"/>
        <v>0</v>
      </c>
      <c r="K1859" s="1707">
        <f t="shared" si="1363"/>
        <v>0</v>
      </c>
      <c r="L1859" s="1707">
        <f t="shared" si="1363"/>
        <v>0</v>
      </c>
      <c r="M1859" s="1707">
        <f t="shared" si="1363"/>
        <v>0</v>
      </c>
      <c r="N1859" s="1707">
        <f t="shared" si="1363"/>
        <v>0</v>
      </c>
      <c r="O1859" s="1707">
        <f t="shared" si="1363"/>
        <v>0</v>
      </c>
      <c r="P1859" s="1707">
        <f t="shared" si="1363"/>
        <v>0</v>
      </c>
      <c r="Q1859" s="1707">
        <f t="shared" si="1363"/>
        <v>0</v>
      </c>
      <c r="R1859" s="1707">
        <f t="shared" si="1363"/>
        <v>0</v>
      </c>
      <c r="S1859" s="1707">
        <f t="shared" si="1363"/>
        <v>0</v>
      </c>
      <c r="T1859" s="1708">
        <f t="shared" si="1363"/>
        <v>0</v>
      </c>
      <c r="Y1859" s="1195"/>
      <c r="Z1859" s="193">
        <f t="shared" si="1361"/>
        <v>5</v>
      </c>
      <c r="AA1859" s="193"/>
      <c r="AB1859" s="254"/>
      <c r="AC1859" s="193"/>
      <c r="AD1859" s="193"/>
      <c r="AE1859" s="254"/>
      <c r="AF1859" s="1707">
        <f t="shared" ref="AF1859:AQ1859" si="1364">SUMIF($AS$291:$AS$324,$B1643&amp;"propia",AF$291:AF$324)</f>
        <v>0</v>
      </c>
      <c r="AG1859" s="1707">
        <f t="shared" si="1364"/>
        <v>0</v>
      </c>
      <c r="AH1859" s="1707">
        <f t="shared" si="1364"/>
        <v>0</v>
      </c>
      <c r="AI1859" s="1707">
        <f t="shared" si="1364"/>
        <v>0</v>
      </c>
      <c r="AJ1859" s="1707">
        <f t="shared" si="1364"/>
        <v>0</v>
      </c>
      <c r="AK1859" s="1707">
        <f t="shared" si="1364"/>
        <v>0</v>
      </c>
      <c r="AL1859" s="1707">
        <f t="shared" si="1364"/>
        <v>0</v>
      </c>
      <c r="AM1859" s="1707">
        <f t="shared" si="1364"/>
        <v>0</v>
      </c>
      <c r="AN1859" s="1707">
        <f t="shared" si="1364"/>
        <v>0</v>
      </c>
      <c r="AO1859" s="1707">
        <f t="shared" si="1364"/>
        <v>0</v>
      </c>
      <c r="AP1859" s="1707">
        <f t="shared" si="1364"/>
        <v>0</v>
      </c>
      <c r="AQ1859" s="1708">
        <f t="shared" si="1364"/>
        <v>0</v>
      </c>
    </row>
    <row r="1860" spans="2:43" ht="13.75" hidden="1" customHeight="1" x14ac:dyDescent="0.2">
      <c r="B1860" s="1195"/>
      <c r="C1860" s="193">
        <f t="shared" si="1359"/>
        <v>1.5</v>
      </c>
      <c r="D1860" s="193"/>
      <c r="E1860" s="254"/>
      <c r="F1860" s="193"/>
      <c r="G1860" s="193"/>
      <c r="H1860" s="254"/>
      <c r="I1860" s="1707">
        <f t="shared" ref="I1860:T1860" si="1365">SUMIF($V$291:$V$324,$B1644&amp;"propia",I$291:I$324)</f>
        <v>0</v>
      </c>
      <c r="J1860" s="1707">
        <f t="shared" si="1365"/>
        <v>0</v>
      </c>
      <c r="K1860" s="1707">
        <f t="shared" si="1365"/>
        <v>0</v>
      </c>
      <c r="L1860" s="1707">
        <f t="shared" si="1365"/>
        <v>0</v>
      </c>
      <c r="M1860" s="1707">
        <f t="shared" si="1365"/>
        <v>0</v>
      </c>
      <c r="N1860" s="1707">
        <f t="shared" si="1365"/>
        <v>0</v>
      </c>
      <c r="O1860" s="1707">
        <f t="shared" si="1365"/>
        <v>0</v>
      </c>
      <c r="P1860" s="1707">
        <f t="shared" si="1365"/>
        <v>0</v>
      </c>
      <c r="Q1860" s="1707">
        <f t="shared" si="1365"/>
        <v>0</v>
      </c>
      <c r="R1860" s="1707">
        <f t="shared" si="1365"/>
        <v>0</v>
      </c>
      <c r="S1860" s="1707">
        <f t="shared" si="1365"/>
        <v>0</v>
      </c>
      <c r="T1860" s="1708">
        <f t="shared" si="1365"/>
        <v>0</v>
      </c>
      <c r="Y1860" s="1195"/>
      <c r="Z1860" s="193">
        <f t="shared" si="1361"/>
        <v>1.5</v>
      </c>
      <c r="AA1860" s="193"/>
      <c r="AB1860" s="254"/>
      <c r="AC1860" s="193"/>
      <c r="AD1860" s="193"/>
      <c r="AE1860" s="254"/>
      <c r="AF1860" s="1707">
        <f t="shared" ref="AF1860:AQ1860" si="1366">SUMIF($AS$291:$AS$324,$B1644&amp;"propia",AF$291:AF$324)</f>
        <v>0</v>
      </c>
      <c r="AG1860" s="1707">
        <f t="shared" si="1366"/>
        <v>0</v>
      </c>
      <c r="AH1860" s="1707">
        <f t="shared" si="1366"/>
        <v>0</v>
      </c>
      <c r="AI1860" s="1707">
        <f t="shared" si="1366"/>
        <v>0</v>
      </c>
      <c r="AJ1860" s="1707">
        <f t="shared" si="1366"/>
        <v>0</v>
      </c>
      <c r="AK1860" s="1707">
        <f t="shared" si="1366"/>
        <v>0</v>
      </c>
      <c r="AL1860" s="1707">
        <f t="shared" si="1366"/>
        <v>0</v>
      </c>
      <c r="AM1860" s="1707">
        <f t="shared" si="1366"/>
        <v>0</v>
      </c>
      <c r="AN1860" s="1707">
        <f t="shared" si="1366"/>
        <v>0</v>
      </c>
      <c r="AO1860" s="1707">
        <f t="shared" si="1366"/>
        <v>0</v>
      </c>
      <c r="AP1860" s="1707">
        <f t="shared" si="1366"/>
        <v>0</v>
      </c>
      <c r="AQ1860" s="1708">
        <f t="shared" si="1366"/>
        <v>0</v>
      </c>
    </row>
    <row r="1861" spans="2:43" ht="13.75" hidden="1" customHeight="1" x14ac:dyDescent="0.2">
      <c r="B1861" s="1195"/>
      <c r="C1861" s="193">
        <f t="shared" si="1359"/>
        <v>1.5</v>
      </c>
      <c r="D1861" s="193"/>
      <c r="E1861" s="254"/>
      <c r="F1861" s="193"/>
      <c r="G1861" s="193"/>
      <c r="H1861" s="254"/>
      <c r="I1861" s="1707">
        <f t="shared" ref="I1861:T1861" si="1367">SUMIF($V$291:$V$324,$B1645&amp;"propia",I$291:I$324)</f>
        <v>0</v>
      </c>
      <c r="J1861" s="1707">
        <f t="shared" si="1367"/>
        <v>0</v>
      </c>
      <c r="K1861" s="1707">
        <f t="shared" si="1367"/>
        <v>0</v>
      </c>
      <c r="L1861" s="1707">
        <f t="shared" si="1367"/>
        <v>0</v>
      </c>
      <c r="M1861" s="1707">
        <f t="shared" si="1367"/>
        <v>0</v>
      </c>
      <c r="N1861" s="1707">
        <f t="shared" si="1367"/>
        <v>0</v>
      </c>
      <c r="O1861" s="1707">
        <f t="shared" si="1367"/>
        <v>0</v>
      </c>
      <c r="P1861" s="1707">
        <f t="shared" si="1367"/>
        <v>0</v>
      </c>
      <c r="Q1861" s="1707">
        <f t="shared" si="1367"/>
        <v>0</v>
      </c>
      <c r="R1861" s="1707">
        <f t="shared" si="1367"/>
        <v>0</v>
      </c>
      <c r="S1861" s="1707">
        <f t="shared" si="1367"/>
        <v>0</v>
      </c>
      <c r="T1861" s="1708">
        <f t="shared" si="1367"/>
        <v>0</v>
      </c>
      <c r="Y1861" s="1195"/>
      <c r="Z1861" s="193">
        <f t="shared" si="1361"/>
        <v>1.5</v>
      </c>
      <c r="AA1861" s="193"/>
      <c r="AB1861" s="254"/>
      <c r="AC1861" s="193"/>
      <c r="AD1861" s="193"/>
      <c r="AE1861" s="254"/>
      <c r="AF1861" s="1707">
        <f t="shared" ref="AF1861:AQ1861" si="1368">SUMIF($AS$291:$AS$324,$B1645&amp;"propia",AF$291:AF$324)</f>
        <v>0</v>
      </c>
      <c r="AG1861" s="1707">
        <f t="shared" si="1368"/>
        <v>0</v>
      </c>
      <c r="AH1861" s="1707">
        <f t="shared" si="1368"/>
        <v>0</v>
      </c>
      <c r="AI1861" s="1707">
        <f t="shared" si="1368"/>
        <v>0</v>
      </c>
      <c r="AJ1861" s="1707">
        <f t="shared" si="1368"/>
        <v>0</v>
      </c>
      <c r="AK1861" s="1707">
        <f t="shared" si="1368"/>
        <v>0</v>
      </c>
      <c r="AL1861" s="1707">
        <f t="shared" si="1368"/>
        <v>0</v>
      </c>
      <c r="AM1861" s="1707">
        <f t="shared" si="1368"/>
        <v>0</v>
      </c>
      <c r="AN1861" s="1707">
        <f t="shared" si="1368"/>
        <v>0</v>
      </c>
      <c r="AO1861" s="1707">
        <f t="shared" si="1368"/>
        <v>0</v>
      </c>
      <c r="AP1861" s="1707">
        <f t="shared" si="1368"/>
        <v>0</v>
      </c>
      <c r="AQ1861" s="1708">
        <f t="shared" si="1368"/>
        <v>0</v>
      </c>
    </row>
    <row r="1862" spans="2:43" ht="13.75" hidden="1" customHeight="1" x14ac:dyDescent="0.2">
      <c r="B1862" s="1195"/>
      <c r="C1862" s="193">
        <f t="shared" si="1359"/>
        <v>3</v>
      </c>
      <c r="D1862" s="193"/>
      <c r="E1862" s="254"/>
      <c r="F1862" s="193"/>
      <c r="G1862" s="193"/>
      <c r="H1862" s="254"/>
      <c r="I1862" s="1707">
        <f t="shared" ref="I1862:T1862" si="1369">SUMIF($V$291:$V$324,$B1646&amp;"propia",I$291:I$324)</f>
        <v>0</v>
      </c>
      <c r="J1862" s="1707">
        <f t="shared" si="1369"/>
        <v>0</v>
      </c>
      <c r="K1862" s="1707">
        <f t="shared" si="1369"/>
        <v>0</v>
      </c>
      <c r="L1862" s="1707">
        <f t="shared" si="1369"/>
        <v>0</v>
      </c>
      <c r="M1862" s="1707">
        <f t="shared" si="1369"/>
        <v>0</v>
      </c>
      <c r="N1862" s="1707">
        <f t="shared" si="1369"/>
        <v>0</v>
      </c>
      <c r="O1862" s="1707">
        <f t="shared" si="1369"/>
        <v>0</v>
      </c>
      <c r="P1862" s="1707">
        <f t="shared" si="1369"/>
        <v>0</v>
      </c>
      <c r="Q1862" s="1707">
        <f t="shared" si="1369"/>
        <v>0</v>
      </c>
      <c r="R1862" s="1707">
        <f t="shared" si="1369"/>
        <v>0</v>
      </c>
      <c r="S1862" s="1707">
        <f t="shared" si="1369"/>
        <v>0</v>
      </c>
      <c r="T1862" s="1708">
        <f t="shared" si="1369"/>
        <v>0</v>
      </c>
      <c r="Y1862" s="1195"/>
      <c r="Z1862" s="193">
        <f t="shared" si="1361"/>
        <v>3</v>
      </c>
      <c r="AA1862" s="193"/>
      <c r="AB1862" s="254"/>
      <c r="AC1862" s="193"/>
      <c r="AD1862" s="193"/>
      <c r="AE1862" s="254"/>
      <c r="AF1862" s="1707">
        <f t="shared" ref="AF1862:AQ1862" si="1370">SUMIF($AS$291:$AS$324,$B1646&amp;"propia",AF$291:AF$324)</f>
        <v>0</v>
      </c>
      <c r="AG1862" s="1707">
        <f t="shared" si="1370"/>
        <v>0</v>
      </c>
      <c r="AH1862" s="1707">
        <f t="shared" si="1370"/>
        <v>0</v>
      </c>
      <c r="AI1862" s="1707">
        <f t="shared" si="1370"/>
        <v>0</v>
      </c>
      <c r="AJ1862" s="1707">
        <f t="shared" si="1370"/>
        <v>0</v>
      </c>
      <c r="AK1862" s="1707">
        <f t="shared" si="1370"/>
        <v>0</v>
      </c>
      <c r="AL1862" s="1707">
        <f t="shared" si="1370"/>
        <v>0</v>
      </c>
      <c r="AM1862" s="1707">
        <f t="shared" si="1370"/>
        <v>0</v>
      </c>
      <c r="AN1862" s="1707">
        <f t="shared" si="1370"/>
        <v>0</v>
      </c>
      <c r="AO1862" s="1707">
        <f t="shared" si="1370"/>
        <v>0</v>
      </c>
      <c r="AP1862" s="1707">
        <f t="shared" si="1370"/>
        <v>0</v>
      </c>
      <c r="AQ1862" s="1708">
        <f t="shared" si="1370"/>
        <v>0</v>
      </c>
    </row>
    <row r="1863" spans="2:43" ht="13.75" hidden="1" customHeight="1" x14ac:dyDescent="0.2">
      <c r="B1863" s="1195"/>
      <c r="C1863" s="193">
        <f t="shared" si="1359"/>
        <v>3</v>
      </c>
      <c r="D1863" s="193"/>
      <c r="E1863" s="254"/>
      <c r="F1863" s="193"/>
      <c r="G1863" s="193"/>
      <c r="H1863" s="254"/>
      <c r="I1863" s="1707">
        <f t="shared" ref="I1863:T1863" si="1371">SUMIF($V$291:$V$324,$B1647&amp;"propia",I$291:I$324)</f>
        <v>0</v>
      </c>
      <c r="J1863" s="1707">
        <f t="shared" si="1371"/>
        <v>0</v>
      </c>
      <c r="K1863" s="1707">
        <f t="shared" si="1371"/>
        <v>0</v>
      </c>
      <c r="L1863" s="1707">
        <f t="shared" si="1371"/>
        <v>0</v>
      </c>
      <c r="M1863" s="1707">
        <f t="shared" si="1371"/>
        <v>0</v>
      </c>
      <c r="N1863" s="1707">
        <f t="shared" si="1371"/>
        <v>0</v>
      </c>
      <c r="O1863" s="1707">
        <f t="shared" si="1371"/>
        <v>0</v>
      </c>
      <c r="P1863" s="1707">
        <f t="shared" si="1371"/>
        <v>0</v>
      </c>
      <c r="Q1863" s="1707">
        <f t="shared" si="1371"/>
        <v>0</v>
      </c>
      <c r="R1863" s="1707">
        <f t="shared" si="1371"/>
        <v>0</v>
      </c>
      <c r="S1863" s="1707">
        <f t="shared" si="1371"/>
        <v>0</v>
      </c>
      <c r="T1863" s="1708">
        <f t="shared" si="1371"/>
        <v>0</v>
      </c>
      <c r="Y1863" s="1195"/>
      <c r="Z1863" s="193">
        <f t="shared" si="1361"/>
        <v>3</v>
      </c>
      <c r="AA1863" s="193"/>
      <c r="AB1863" s="254"/>
      <c r="AC1863" s="193"/>
      <c r="AD1863" s="193"/>
      <c r="AE1863" s="254"/>
      <c r="AF1863" s="1707">
        <f t="shared" ref="AF1863:AQ1863" si="1372">SUMIF($AS$291:$AS$324,$B1647&amp;"propia",AF$291:AF$324)</f>
        <v>0</v>
      </c>
      <c r="AG1863" s="1707">
        <f t="shared" si="1372"/>
        <v>0</v>
      </c>
      <c r="AH1863" s="1707">
        <f t="shared" si="1372"/>
        <v>0</v>
      </c>
      <c r="AI1863" s="1707">
        <f t="shared" si="1372"/>
        <v>0</v>
      </c>
      <c r="AJ1863" s="1707">
        <f t="shared" si="1372"/>
        <v>0</v>
      </c>
      <c r="AK1863" s="1707">
        <f t="shared" si="1372"/>
        <v>0</v>
      </c>
      <c r="AL1863" s="1707">
        <f t="shared" si="1372"/>
        <v>0</v>
      </c>
      <c r="AM1863" s="1707">
        <f t="shared" si="1372"/>
        <v>0</v>
      </c>
      <c r="AN1863" s="1707">
        <f t="shared" si="1372"/>
        <v>0</v>
      </c>
      <c r="AO1863" s="1707">
        <f t="shared" si="1372"/>
        <v>0</v>
      </c>
      <c r="AP1863" s="1707">
        <f t="shared" si="1372"/>
        <v>0</v>
      </c>
      <c r="AQ1863" s="1708">
        <f t="shared" si="1372"/>
        <v>0</v>
      </c>
    </row>
    <row r="1864" spans="2:43" ht="13.75" hidden="1" customHeight="1" x14ac:dyDescent="0.2">
      <c r="B1864" s="1195"/>
      <c r="C1864" s="193">
        <f t="shared" si="1359"/>
        <v>9</v>
      </c>
      <c r="D1864" s="193"/>
      <c r="E1864" s="254"/>
      <c r="F1864" s="193"/>
      <c r="G1864" s="193"/>
      <c r="H1864" s="254"/>
      <c r="I1864" s="1707">
        <f t="shared" ref="I1864:T1864" si="1373">SUMIF($V$291:$V$324,$B1648&amp;"propia",I$291:I$324)</f>
        <v>0</v>
      </c>
      <c r="J1864" s="1707">
        <f t="shared" si="1373"/>
        <v>0</v>
      </c>
      <c r="K1864" s="1707">
        <f t="shared" si="1373"/>
        <v>0</v>
      </c>
      <c r="L1864" s="1707">
        <f t="shared" si="1373"/>
        <v>0</v>
      </c>
      <c r="M1864" s="1707">
        <f t="shared" si="1373"/>
        <v>0</v>
      </c>
      <c r="N1864" s="1707">
        <f t="shared" si="1373"/>
        <v>0</v>
      </c>
      <c r="O1864" s="1707">
        <f t="shared" si="1373"/>
        <v>0</v>
      </c>
      <c r="P1864" s="1707">
        <f t="shared" si="1373"/>
        <v>0</v>
      </c>
      <c r="Q1864" s="1707">
        <f t="shared" si="1373"/>
        <v>0</v>
      </c>
      <c r="R1864" s="1707">
        <f t="shared" si="1373"/>
        <v>0</v>
      </c>
      <c r="S1864" s="1707">
        <f t="shared" si="1373"/>
        <v>0</v>
      </c>
      <c r="T1864" s="1708">
        <f t="shared" si="1373"/>
        <v>0</v>
      </c>
      <c r="Y1864" s="1195"/>
      <c r="Z1864" s="193">
        <f t="shared" si="1361"/>
        <v>9</v>
      </c>
      <c r="AA1864" s="193"/>
      <c r="AB1864" s="254"/>
      <c r="AC1864" s="193"/>
      <c r="AD1864" s="193"/>
      <c r="AE1864" s="254"/>
      <c r="AF1864" s="1707">
        <f t="shared" ref="AF1864:AQ1864" si="1374">SUMIF($AS$291:$AS$324,$B1648&amp;"propia",AF$291:AF$324)</f>
        <v>0</v>
      </c>
      <c r="AG1864" s="1707">
        <f t="shared" si="1374"/>
        <v>0</v>
      </c>
      <c r="AH1864" s="1707">
        <f t="shared" si="1374"/>
        <v>0</v>
      </c>
      <c r="AI1864" s="1707">
        <f t="shared" si="1374"/>
        <v>0</v>
      </c>
      <c r="AJ1864" s="1707">
        <f t="shared" si="1374"/>
        <v>0</v>
      </c>
      <c r="AK1864" s="1707">
        <f t="shared" si="1374"/>
        <v>0</v>
      </c>
      <c r="AL1864" s="1707">
        <f t="shared" si="1374"/>
        <v>0</v>
      </c>
      <c r="AM1864" s="1707">
        <f t="shared" si="1374"/>
        <v>0</v>
      </c>
      <c r="AN1864" s="1707">
        <f t="shared" si="1374"/>
        <v>0</v>
      </c>
      <c r="AO1864" s="1707">
        <f t="shared" si="1374"/>
        <v>0</v>
      </c>
      <c r="AP1864" s="1707">
        <f t="shared" si="1374"/>
        <v>0</v>
      </c>
      <c r="AQ1864" s="1708">
        <f t="shared" si="1374"/>
        <v>0</v>
      </c>
    </row>
    <row r="1865" spans="2:43" ht="13.75" hidden="1" customHeight="1" x14ac:dyDescent="0.2">
      <c r="B1865" s="1195"/>
      <c r="C1865" s="193">
        <f t="shared" si="1359"/>
        <v>0</v>
      </c>
      <c r="D1865" s="193"/>
      <c r="E1865" s="254"/>
      <c r="F1865" s="193"/>
      <c r="G1865" s="193"/>
      <c r="H1865" s="254"/>
      <c r="I1865" s="1707">
        <f t="shared" ref="I1865:T1865" si="1375">SUMIF($V$291:$V$324,$B1649&amp;"propia",I$291:I$324)</f>
        <v>0</v>
      </c>
      <c r="J1865" s="1707">
        <f t="shared" si="1375"/>
        <v>0</v>
      </c>
      <c r="K1865" s="1707">
        <f t="shared" si="1375"/>
        <v>0</v>
      </c>
      <c r="L1865" s="1707">
        <f t="shared" si="1375"/>
        <v>0</v>
      </c>
      <c r="M1865" s="1707">
        <f t="shared" si="1375"/>
        <v>0</v>
      </c>
      <c r="N1865" s="1707">
        <f t="shared" si="1375"/>
        <v>0</v>
      </c>
      <c r="O1865" s="1707">
        <f t="shared" si="1375"/>
        <v>0</v>
      </c>
      <c r="P1865" s="1707">
        <f t="shared" si="1375"/>
        <v>0</v>
      </c>
      <c r="Q1865" s="1707">
        <f t="shared" si="1375"/>
        <v>0</v>
      </c>
      <c r="R1865" s="1707">
        <f t="shared" si="1375"/>
        <v>0</v>
      </c>
      <c r="S1865" s="1707">
        <f t="shared" si="1375"/>
        <v>0</v>
      </c>
      <c r="T1865" s="1708">
        <f t="shared" si="1375"/>
        <v>0</v>
      </c>
      <c r="Y1865" s="1195"/>
      <c r="Z1865" s="193">
        <f t="shared" si="1361"/>
        <v>0</v>
      </c>
      <c r="AA1865" s="193"/>
      <c r="AB1865" s="254"/>
      <c r="AC1865" s="193"/>
      <c r="AD1865" s="193"/>
      <c r="AE1865" s="254"/>
      <c r="AF1865" s="1707">
        <f t="shared" ref="AF1865:AQ1865" si="1376">SUMIF($AS$291:$AS$324,$B1649&amp;"propia",AF$291:AF$324)</f>
        <v>0</v>
      </c>
      <c r="AG1865" s="1707">
        <f t="shared" si="1376"/>
        <v>0</v>
      </c>
      <c r="AH1865" s="1707">
        <f t="shared" si="1376"/>
        <v>0</v>
      </c>
      <c r="AI1865" s="1707">
        <f t="shared" si="1376"/>
        <v>0</v>
      </c>
      <c r="AJ1865" s="1707">
        <f t="shared" si="1376"/>
        <v>0</v>
      </c>
      <c r="AK1865" s="1707">
        <f t="shared" si="1376"/>
        <v>0</v>
      </c>
      <c r="AL1865" s="1707">
        <f t="shared" si="1376"/>
        <v>0</v>
      </c>
      <c r="AM1865" s="1707">
        <f t="shared" si="1376"/>
        <v>0</v>
      </c>
      <c r="AN1865" s="1707">
        <f t="shared" si="1376"/>
        <v>0</v>
      </c>
      <c r="AO1865" s="1707">
        <f t="shared" si="1376"/>
        <v>0</v>
      </c>
      <c r="AP1865" s="1707">
        <f t="shared" si="1376"/>
        <v>0</v>
      </c>
      <c r="AQ1865" s="1708">
        <f t="shared" si="1376"/>
        <v>0</v>
      </c>
    </row>
    <row r="1866" spans="2:43" ht="13.75" hidden="1" customHeight="1" x14ac:dyDescent="0.2">
      <c r="B1866" s="1195"/>
      <c r="C1866" s="193">
        <f t="shared" si="1359"/>
        <v>0</v>
      </c>
      <c r="D1866" s="193"/>
      <c r="E1866" s="254"/>
      <c r="F1866" s="193"/>
      <c r="G1866" s="193"/>
      <c r="H1866" s="254"/>
      <c r="I1866" s="1707">
        <f t="shared" ref="I1866:T1866" si="1377">SUMIF($V$291:$V$324,$B1650&amp;"propia",I$291:I$324)</f>
        <v>0</v>
      </c>
      <c r="J1866" s="1707">
        <f t="shared" si="1377"/>
        <v>0</v>
      </c>
      <c r="K1866" s="1707">
        <f t="shared" si="1377"/>
        <v>0</v>
      </c>
      <c r="L1866" s="1707">
        <f t="shared" si="1377"/>
        <v>0</v>
      </c>
      <c r="M1866" s="1707">
        <f t="shared" si="1377"/>
        <v>0</v>
      </c>
      <c r="N1866" s="1707">
        <f t="shared" si="1377"/>
        <v>0</v>
      </c>
      <c r="O1866" s="1707">
        <f t="shared" si="1377"/>
        <v>0</v>
      </c>
      <c r="P1866" s="1707">
        <f t="shared" si="1377"/>
        <v>0</v>
      </c>
      <c r="Q1866" s="1707">
        <f t="shared" si="1377"/>
        <v>0</v>
      </c>
      <c r="R1866" s="1707">
        <f t="shared" si="1377"/>
        <v>0</v>
      </c>
      <c r="S1866" s="1707">
        <f t="shared" si="1377"/>
        <v>0</v>
      </c>
      <c r="T1866" s="1708">
        <f t="shared" si="1377"/>
        <v>0</v>
      </c>
      <c r="Y1866" s="1195"/>
      <c r="Z1866" s="193">
        <f t="shared" si="1361"/>
        <v>0</v>
      </c>
      <c r="AA1866" s="193"/>
      <c r="AB1866" s="254"/>
      <c r="AC1866" s="193"/>
      <c r="AD1866" s="193"/>
      <c r="AE1866" s="254"/>
      <c r="AF1866" s="1707">
        <f t="shared" ref="AF1866:AQ1866" si="1378">SUMIF($AS$291:$AS$324,$B1650&amp;"propia",AF$291:AF$324)</f>
        <v>0</v>
      </c>
      <c r="AG1866" s="1707">
        <f t="shared" si="1378"/>
        <v>0</v>
      </c>
      <c r="AH1866" s="1707">
        <f t="shared" si="1378"/>
        <v>0</v>
      </c>
      <c r="AI1866" s="1707">
        <f t="shared" si="1378"/>
        <v>0</v>
      </c>
      <c r="AJ1866" s="1707">
        <f t="shared" si="1378"/>
        <v>0</v>
      </c>
      <c r="AK1866" s="1707">
        <f t="shared" si="1378"/>
        <v>0</v>
      </c>
      <c r="AL1866" s="1707">
        <f t="shared" si="1378"/>
        <v>0</v>
      </c>
      <c r="AM1866" s="1707">
        <f t="shared" si="1378"/>
        <v>0</v>
      </c>
      <c r="AN1866" s="1707">
        <f t="shared" si="1378"/>
        <v>0</v>
      </c>
      <c r="AO1866" s="1707">
        <f t="shared" si="1378"/>
        <v>0</v>
      </c>
      <c r="AP1866" s="1707">
        <f t="shared" si="1378"/>
        <v>0</v>
      </c>
      <c r="AQ1866" s="1708">
        <f t="shared" si="1378"/>
        <v>0</v>
      </c>
    </row>
    <row r="1867" spans="2:43" ht="13.75" hidden="1" customHeight="1" x14ac:dyDescent="0.2">
      <c r="B1867" s="1195"/>
      <c r="C1867" s="193">
        <f t="shared" si="1359"/>
        <v>0</v>
      </c>
      <c r="D1867" s="193"/>
      <c r="E1867" s="254"/>
      <c r="F1867" s="193"/>
      <c r="G1867" s="193"/>
      <c r="H1867" s="254"/>
      <c r="I1867" s="1707">
        <f t="shared" ref="I1867:T1867" si="1379">SUMIF($V$291:$V$324,$B1651&amp;"propia",I$291:I$324)</f>
        <v>0</v>
      </c>
      <c r="J1867" s="1707">
        <f t="shared" si="1379"/>
        <v>0</v>
      </c>
      <c r="K1867" s="1707">
        <f t="shared" si="1379"/>
        <v>0</v>
      </c>
      <c r="L1867" s="1707">
        <f t="shared" si="1379"/>
        <v>0</v>
      </c>
      <c r="M1867" s="1707">
        <f t="shared" si="1379"/>
        <v>0</v>
      </c>
      <c r="N1867" s="1707">
        <f t="shared" si="1379"/>
        <v>0</v>
      </c>
      <c r="O1867" s="1707">
        <f t="shared" si="1379"/>
        <v>0</v>
      </c>
      <c r="P1867" s="1707">
        <f t="shared" si="1379"/>
        <v>0</v>
      </c>
      <c r="Q1867" s="1707">
        <f t="shared" si="1379"/>
        <v>0</v>
      </c>
      <c r="R1867" s="1707">
        <f t="shared" si="1379"/>
        <v>0</v>
      </c>
      <c r="S1867" s="1707">
        <f t="shared" si="1379"/>
        <v>0</v>
      </c>
      <c r="T1867" s="1708">
        <f t="shared" si="1379"/>
        <v>0</v>
      </c>
      <c r="Y1867" s="1195"/>
      <c r="Z1867" s="193">
        <f t="shared" si="1361"/>
        <v>0</v>
      </c>
      <c r="AA1867" s="193"/>
      <c r="AB1867" s="254"/>
      <c r="AC1867" s="193"/>
      <c r="AD1867" s="193"/>
      <c r="AE1867" s="254"/>
      <c r="AF1867" s="1707">
        <f t="shared" ref="AF1867:AQ1867" si="1380">SUMIF($AS$291:$AS$324,$B1651&amp;"propia",AF$291:AF$324)</f>
        <v>0</v>
      </c>
      <c r="AG1867" s="1707">
        <f t="shared" si="1380"/>
        <v>0</v>
      </c>
      <c r="AH1867" s="1707">
        <f t="shared" si="1380"/>
        <v>0</v>
      </c>
      <c r="AI1867" s="1707">
        <f t="shared" si="1380"/>
        <v>0</v>
      </c>
      <c r="AJ1867" s="1707">
        <f t="shared" si="1380"/>
        <v>0</v>
      </c>
      <c r="AK1867" s="1707">
        <f t="shared" si="1380"/>
        <v>0</v>
      </c>
      <c r="AL1867" s="1707">
        <f t="shared" si="1380"/>
        <v>0</v>
      </c>
      <c r="AM1867" s="1707">
        <f t="shared" si="1380"/>
        <v>0</v>
      </c>
      <c r="AN1867" s="1707">
        <f t="shared" si="1380"/>
        <v>0</v>
      </c>
      <c r="AO1867" s="1707">
        <f t="shared" si="1380"/>
        <v>0</v>
      </c>
      <c r="AP1867" s="1707">
        <f t="shared" si="1380"/>
        <v>0</v>
      </c>
      <c r="AQ1867" s="1708">
        <f t="shared" si="1380"/>
        <v>0</v>
      </c>
    </row>
    <row r="1868" spans="2:43" ht="13.75" hidden="1" customHeight="1" x14ac:dyDescent="0.2">
      <c r="B1868" s="1195"/>
      <c r="C1868" s="193">
        <f t="shared" si="1359"/>
        <v>0</v>
      </c>
      <c r="D1868" s="193"/>
      <c r="E1868" s="254"/>
      <c r="F1868" s="193"/>
      <c r="G1868" s="193"/>
      <c r="H1868" s="254"/>
      <c r="I1868" s="1707">
        <f t="shared" ref="I1868:T1868" si="1381">SUMIF($V$291:$V$324,$B1652&amp;"propia",I$291:I$324)</f>
        <v>0</v>
      </c>
      <c r="J1868" s="1707">
        <f t="shared" si="1381"/>
        <v>0</v>
      </c>
      <c r="K1868" s="1707">
        <f t="shared" si="1381"/>
        <v>0</v>
      </c>
      <c r="L1868" s="1707">
        <f t="shared" si="1381"/>
        <v>0</v>
      </c>
      <c r="M1868" s="1707">
        <f t="shared" si="1381"/>
        <v>0</v>
      </c>
      <c r="N1868" s="1707">
        <f t="shared" si="1381"/>
        <v>0</v>
      </c>
      <c r="O1868" s="1707">
        <f t="shared" si="1381"/>
        <v>0</v>
      </c>
      <c r="P1868" s="1707">
        <f t="shared" si="1381"/>
        <v>0</v>
      </c>
      <c r="Q1868" s="1707">
        <f t="shared" si="1381"/>
        <v>0</v>
      </c>
      <c r="R1868" s="1707">
        <f t="shared" si="1381"/>
        <v>0</v>
      </c>
      <c r="S1868" s="1707">
        <f t="shared" si="1381"/>
        <v>0</v>
      </c>
      <c r="T1868" s="1708">
        <f t="shared" si="1381"/>
        <v>0</v>
      </c>
      <c r="Y1868" s="1195"/>
      <c r="Z1868" s="193">
        <f t="shared" si="1361"/>
        <v>0</v>
      </c>
      <c r="AA1868" s="193"/>
      <c r="AB1868" s="254"/>
      <c r="AC1868" s="193"/>
      <c r="AD1868" s="193"/>
      <c r="AE1868" s="254"/>
      <c r="AF1868" s="1707">
        <f t="shared" ref="AF1868:AQ1868" si="1382">SUMIF($AS$291:$AS$324,$B1652&amp;"propia",AF$291:AF$324)</f>
        <v>0</v>
      </c>
      <c r="AG1868" s="1707">
        <f t="shared" si="1382"/>
        <v>0</v>
      </c>
      <c r="AH1868" s="1707">
        <f t="shared" si="1382"/>
        <v>0</v>
      </c>
      <c r="AI1868" s="1707">
        <f t="shared" si="1382"/>
        <v>0</v>
      </c>
      <c r="AJ1868" s="1707">
        <f t="shared" si="1382"/>
        <v>0</v>
      </c>
      <c r="AK1868" s="1707">
        <f t="shared" si="1382"/>
        <v>0</v>
      </c>
      <c r="AL1868" s="1707">
        <f t="shared" si="1382"/>
        <v>0</v>
      </c>
      <c r="AM1868" s="1707">
        <f t="shared" si="1382"/>
        <v>0</v>
      </c>
      <c r="AN1868" s="1707">
        <f t="shared" si="1382"/>
        <v>0</v>
      </c>
      <c r="AO1868" s="1707">
        <f t="shared" si="1382"/>
        <v>0</v>
      </c>
      <c r="AP1868" s="1707">
        <f t="shared" si="1382"/>
        <v>0</v>
      </c>
      <c r="AQ1868" s="1708">
        <f t="shared" si="1382"/>
        <v>0</v>
      </c>
    </row>
    <row r="1869" spans="2:43" ht="13.75" hidden="1" customHeight="1" x14ac:dyDescent="0.2">
      <c r="B1869" s="1195"/>
      <c r="C1869" s="193">
        <f t="shared" si="1359"/>
        <v>0</v>
      </c>
      <c r="D1869" s="193"/>
      <c r="E1869" s="254"/>
      <c r="F1869" s="193"/>
      <c r="G1869" s="193"/>
      <c r="H1869" s="254"/>
      <c r="I1869" s="1707">
        <f t="shared" ref="I1869:T1869" si="1383">SUMIF($V$291:$V$324,$B1653&amp;"propia",I$291:I$324)</f>
        <v>0</v>
      </c>
      <c r="J1869" s="1707">
        <f t="shared" si="1383"/>
        <v>0</v>
      </c>
      <c r="K1869" s="1707">
        <f t="shared" si="1383"/>
        <v>0</v>
      </c>
      <c r="L1869" s="1707">
        <f t="shared" si="1383"/>
        <v>0</v>
      </c>
      <c r="M1869" s="1707">
        <f t="shared" si="1383"/>
        <v>0</v>
      </c>
      <c r="N1869" s="1707">
        <f t="shared" si="1383"/>
        <v>0</v>
      </c>
      <c r="O1869" s="1707">
        <f t="shared" si="1383"/>
        <v>0</v>
      </c>
      <c r="P1869" s="1707">
        <f t="shared" si="1383"/>
        <v>0</v>
      </c>
      <c r="Q1869" s="1707">
        <f t="shared" si="1383"/>
        <v>0</v>
      </c>
      <c r="R1869" s="1707">
        <f t="shared" si="1383"/>
        <v>0</v>
      </c>
      <c r="S1869" s="1707">
        <f t="shared" si="1383"/>
        <v>0</v>
      </c>
      <c r="T1869" s="1708">
        <f t="shared" si="1383"/>
        <v>0</v>
      </c>
      <c r="Y1869" s="1195"/>
      <c r="Z1869" s="193">
        <f t="shared" si="1361"/>
        <v>0</v>
      </c>
      <c r="AA1869" s="193"/>
      <c r="AB1869" s="254"/>
      <c r="AC1869" s="193"/>
      <c r="AD1869" s="193"/>
      <c r="AE1869" s="254"/>
      <c r="AF1869" s="1707">
        <f t="shared" ref="AF1869:AQ1869" si="1384">SUMIF($AS$291:$AS$324,$B1653&amp;"propia",AF$291:AF$324)</f>
        <v>0</v>
      </c>
      <c r="AG1869" s="1707">
        <f t="shared" si="1384"/>
        <v>0</v>
      </c>
      <c r="AH1869" s="1707">
        <f t="shared" si="1384"/>
        <v>0</v>
      </c>
      <c r="AI1869" s="1707">
        <f t="shared" si="1384"/>
        <v>0</v>
      </c>
      <c r="AJ1869" s="1707">
        <f t="shared" si="1384"/>
        <v>0</v>
      </c>
      <c r="AK1869" s="1707">
        <f t="shared" si="1384"/>
        <v>0</v>
      </c>
      <c r="AL1869" s="1707">
        <f t="shared" si="1384"/>
        <v>0</v>
      </c>
      <c r="AM1869" s="1707">
        <f t="shared" si="1384"/>
        <v>0</v>
      </c>
      <c r="AN1869" s="1707">
        <f t="shared" si="1384"/>
        <v>0</v>
      </c>
      <c r="AO1869" s="1707">
        <f t="shared" si="1384"/>
        <v>0</v>
      </c>
      <c r="AP1869" s="1707">
        <f t="shared" si="1384"/>
        <v>0</v>
      </c>
      <c r="AQ1869" s="1708">
        <f t="shared" si="1384"/>
        <v>0</v>
      </c>
    </row>
    <row r="1870" spans="2:43" ht="13.75" hidden="1" customHeight="1" x14ac:dyDescent="0.2">
      <c r="B1870" s="1195"/>
      <c r="C1870" s="193">
        <f t="shared" si="1359"/>
        <v>0</v>
      </c>
      <c r="D1870" s="193"/>
      <c r="E1870" s="254"/>
      <c r="F1870" s="193"/>
      <c r="G1870" s="193"/>
      <c r="H1870" s="254"/>
      <c r="I1870" s="1707">
        <f t="shared" ref="I1870:T1870" si="1385">SUMIF($V$291:$V$324,$B1654&amp;"propia",I$291:I$324)</f>
        <v>0</v>
      </c>
      <c r="J1870" s="1707">
        <f t="shared" si="1385"/>
        <v>0</v>
      </c>
      <c r="K1870" s="1707">
        <f t="shared" si="1385"/>
        <v>0</v>
      </c>
      <c r="L1870" s="1707">
        <f t="shared" si="1385"/>
        <v>0</v>
      </c>
      <c r="M1870" s="1707">
        <f t="shared" si="1385"/>
        <v>0</v>
      </c>
      <c r="N1870" s="1707">
        <f t="shared" si="1385"/>
        <v>0</v>
      </c>
      <c r="O1870" s="1707">
        <f t="shared" si="1385"/>
        <v>0</v>
      </c>
      <c r="P1870" s="1707">
        <f t="shared" si="1385"/>
        <v>0</v>
      </c>
      <c r="Q1870" s="1707">
        <f t="shared" si="1385"/>
        <v>0</v>
      </c>
      <c r="R1870" s="1707">
        <f t="shared" si="1385"/>
        <v>0</v>
      </c>
      <c r="S1870" s="1707">
        <f t="shared" si="1385"/>
        <v>0</v>
      </c>
      <c r="T1870" s="1708">
        <f t="shared" si="1385"/>
        <v>0</v>
      </c>
      <c r="Y1870" s="1195"/>
      <c r="Z1870" s="193">
        <f t="shared" si="1361"/>
        <v>0</v>
      </c>
      <c r="AA1870" s="193"/>
      <c r="AB1870" s="254"/>
      <c r="AC1870" s="193"/>
      <c r="AD1870" s="193"/>
      <c r="AE1870" s="254"/>
      <c r="AF1870" s="1707">
        <f t="shared" ref="AF1870:AQ1870" si="1386">SUMIF($AS$291:$AS$324,$B1654&amp;"propia",AF$291:AF$324)</f>
        <v>0</v>
      </c>
      <c r="AG1870" s="1707">
        <f t="shared" si="1386"/>
        <v>0</v>
      </c>
      <c r="AH1870" s="1707">
        <f t="shared" si="1386"/>
        <v>0</v>
      </c>
      <c r="AI1870" s="1707">
        <f t="shared" si="1386"/>
        <v>0</v>
      </c>
      <c r="AJ1870" s="1707">
        <f t="shared" si="1386"/>
        <v>0</v>
      </c>
      <c r="AK1870" s="1707">
        <f t="shared" si="1386"/>
        <v>0</v>
      </c>
      <c r="AL1870" s="1707">
        <f t="shared" si="1386"/>
        <v>0</v>
      </c>
      <c r="AM1870" s="1707">
        <f t="shared" si="1386"/>
        <v>0</v>
      </c>
      <c r="AN1870" s="1707">
        <f t="shared" si="1386"/>
        <v>0</v>
      </c>
      <c r="AO1870" s="1707">
        <f t="shared" si="1386"/>
        <v>0</v>
      </c>
      <c r="AP1870" s="1707">
        <f t="shared" si="1386"/>
        <v>0</v>
      </c>
      <c r="AQ1870" s="1708">
        <f t="shared" si="1386"/>
        <v>0</v>
      </c>
    </row>
    <row r="1871" spans="2:43" ht="14.4" hidden="1" customHeight="1" thickBot="1" x14ac:dyDescent="0.25">
      <c r="B1871" s="1198"/>
      <c r="C1871" s="1199">
        <f t="shared" si="1359"/>
        <v>0</v>
      </c>
      <c r="D1871" s="1199"/>
      <c r="E1871" s="1209"/>
      <c r="F1871" s="1199"/>
      <c r="G1871" s="1199"/>
      <c r="H1871" s="1209"/>
      <c r="I1871" s="1709">
        <f t="shared" ref="I1871:T1871" si="1387">SUMIF($V$291:$V$324,$B1655&amp;"propia",I$291:I$324)</f>
        <v>0</v>
      </c>
      <c r="J1871" s="1709">
        <f t="shared" si="1387"/>
        <v>0</v>
      </c>
      <c r="K1871" s="1709">
        <f t="shared" si="1387"/>
        <v>0</v>
      </c>
      <c r="L1871" s="1709">
        <f t="shared" si="1387"/>
        <v>0</v>
      </c>
      <c r="M1871" s="1709">
        <f t="shared" si="1387"/>
        <v>0</v>
      </c>
      <c r="N1871" s="1709">
        <f t="shared" si="1387"/>
        <v>0</v>
      </c>
      <c r="O1871" s="1709">
        <f t="shared" si="1387"/>
        <v>0</v>
      </c>
      <c r="P1871" s="1709">
        <f t="shared" si="1387"/>
        <v>0</v>
      </c>
      <c r="Q1871" s="1709">
        <f t="shared" si="1387"/>
        <v>0</v>
      </c>
      <c r="R1871" s="1709">
        <f t="shared" si="1387"/>
        <v>0</v>
      </c>
      <c r="S1871" s="1709">
        <f t="shared" si="1387"/>
        <v>0</v>
      </c>
      <c r="T1871" s="1710">
        <f t="shared" si="1387"/>
        <v>0</v>
      </c>
      <c r="Y1871" s="1198"/>
      <c r="Z1871" s="1199">
        <f t="shared" si="1361"/>
        <v>0</v>
      </c>
      <c r="AA1871" s="1199"/>
      <c r="AB1871" s="1209"/>
      <c r="AC1871" s="1199"/>
      <c r="AD1871" s="1199"/>
      <c r="AE1871" s="1209"/>
      <c r="AF1871" s="1709">
        <f t="shared" ref="AF1871:AQ1871" si="1388">SUMIF($AS$291:$AS$324,$B1655&amp;"propia",AF$291:AF$324)</f>
        <v>0</v>
      </c>
      <c r="AG1871" s="1709">
        <f t="shared" si="1388"/>
        <v>0</v>
      </c>
      <c r="AH1871" s="1709">
        <f t="shared" si="1388"/>
        <v>0</v>
      </c>
      <c r="AI1871" s="1709">
        <f t="shared" si="1388"/>
        <v>0</v>
      </c>
      <c r="AJ1871" s="1709">
        <f t="shared" si="1388"/>
        <v>0</v>
      </c>
      <c r="AK1871" s="1709">
        <f t="shared" si="1388"/>
        <v>0</v>
      </c>
      <c r="AL1871" s="1709">
        <f t="shared" si="1388"/>
        <v>0</v>
      </c>
      <c r="AM1871" s="1709">
        <f t="shared" si="1388"/>
        <v>0</v>
      </c>
      <c r="AN1871" s="1709">
        <f t="shared" si="1388"/>
        <v>0</v>
      </c>
      <c r="AO1871" s="1709">
        <f t="shared" si="1388"/>
        <v>0</v>
      </c>
      <c r="AP1871" s="1709">
        <f t="shared" si="1388"/>
        <v>0</v>
      </c>
      <c r="AQ1871" s="1710">
        <f t="shared" si="1388"/>
        <v>0</v>
      </c>
    </row>
    <row r="1872" spans="2:43" ht="14.4" hidden="1" customHeight="1" thickTop="1" x14ac:dyDescent="0.2">
      <c r="B1872" s="1584" t="s">
        <v>2020</v>
      </c>
      <c r="C1872" s="1194" t="s">
        <v>2018</v>
      </c>
      <c r="D1872" s="1194"/>
      <c r="E1872" s="1210"/>
      <c r="F1872" s="1194"/>
      <c r="G1872" s="1194"/>
      <c r="H1872" s="1210"/>
      <c r="I1872" s="1210"/>
      <c r="J1872" s="1210"/>
      <c r="K1872" s="1210"/>
      <c r="L1872" s="1210"/>
      <c r="M1872" s="1210"/>
      <c r="N1872" s="1210"/>
      <c r="O1872" s="1210"/>
      <c r="P1872" s="1210"/>
      <c r="Q1872" s="1210"/>
      <c r="R1872" s="1210"/>
      <c r="S1872" s="1210"/>
      <c r="T1872" s="1585"/>
      <c r="Y1872" s="1584" t="s">
        <v>2020</v>
      </c>
      <c r="Z1872" s="1194" t="str">
        <f t="shared" si="1361"/>
        <v>Gasoli (Litros/unidad)</v>
      </c>
      <c r="AA1872" s="1194"/>
      <c r="AB1872" s="1210"/>
      <c r="AC1872" s="1194"/>
      <c r="AD1872" s="1194"/>
      <c r="AE1872" s="1210"/>
      <c r="AF1872" s="1210"/>
      <c r="AG1872" s="1210"/>
      <c r="AH1872" s="1210"/>
      <c r="AI1872" s="1210"/>
      <c r="AJ1872" s="1210"/>
      <c r="AK1872" s="1210"/>
      <c r="AL1872" s="1210"/>
      <c r="AM1872" s="1210"/>
      <c r="AN1872" s="1210"/>
      <c r="AO1872" s="1210"/>
      <c r="AP1872" s="1210"/>
      <c r="AQ1872" s="1585"/>
    </row>
    <row r="1873" spans="2:43" ht="13.75" hidden="1" customHeight="1" x14ac:dyDescent="0.2">
      <c r="B1873" s="1195" t="s">
        <v>2022</v>
      </c>
      <c r="C1873" s="193">
        <f t="shared" ref="C1873:C1886" si="1389">+C1837</f>
        <v>5</v>
      </c>
      <c r="D1873" s="193"/>
      <c r="E1873" s="254"/>
      <c r="F1873" s="193"/>
      <c r="G1873" s="193"/>
      <c r="H1873" s="254"/>
      <c r="I1873" s="1705">
        <f>SUMIF($V$291:$V$324,$B1657&amp;"contratada",I$291:I$324)</f>
        <v>0</v>
      </c>
      <c r="J1873" s="1705">
        <f t="shared" ref="J1873:T1873" si="1390">SUMIF($V$291:$V$324,$B1657&amp;"contratada",J$291:J$324)</f>
        <v>0</v>
      </c>
      <c r="K1873" s="1705">
        <f t="shared" si="1390"/>
        <v>0</v>
      </c>
      <c r="L1873" s="1705">
        <f t="shared" si="1390"/>
        <v>0</v>
      </c>
      <c r="M1873" s="1705">
        <f t="shared" si="1390"/>
        <v>0</v>
      </c>
      <c r="N1873" s="1705">
        <f t="shared" si="1390"/>
        <v>0</v>
      </c>
      <c r="O1873" s="1705">
        <f t="shared" si="1390"/>
        <v>0</v>
      </c>
      <c r="P1873" s="1705">
        <f t="shared" si="1390"/>
        <v>0</v>
      </c>
      <c r="Q1873" s="1705">
        <f t="shared" si="1390"/>
        <v>0</v>
      </c>
      <c r="R1873" s="1705">
        <f t="shared" si="1390"/>
        <v>0</v>
      </c>
      <c r="S1873" s="1705">
        <f t="shared" si="1390"/>
        <v>0</v>
      </c>
      <c r="T1873" s="1706">
        <f t="shared" si="1390"/>
        <v>0</v>
      </c>
      <c r="Y1873" s="1195" t="s">
        <v>2022</v>
      </c>
      <c r="Z1873" s="193">
        <f t="shared" si="1361"/>
        <v>5</v>
      </c>
      <c r="AA1873" s="193"/>
      <c r="AB1873" s="254"/>
      <c r="AC1873" s="193"/>
      <c r="AD1873" s="193"/>
      <c r="AE1873" s="254"/>
      <c r="AF1873" s="1705">
        <f>SUMIF($AS$291:$AS$324,$B1657&amp;"contratada",AF$291:AF$324)</f>
        <v>0</v>
      </c>
      <c r="AG1873" s="1705">
        <f t="shared" ref="AG1873:AQ1873" si="1391">SUMIF($AS$291:$AS$324,$B1657&amp;"contratada",AG$291:AG$324)</f>
        <v>0</v>
      </c>
      <c r="AH1873" s="1705">
        <f t="shared" si="1391"/>
        <v>0</v>
      </c>
      <c r="AI1873" s="1705">
        <f t="shared" si="1391"/>
        <v>0</v>
      </c>
      <c r="AJ1873" s="1705">
        <f t="shared" si="1391"/>
        <v>0</v>
      </c>
      <c r="AK1873" s="1705">
        <f t="shared" si="1391"/>
        <v>0</v>
      </c>
      <c r="AL1873" s="1705">
        <f t="shared" si="1391"/>
        <v>0</v>
      </c>
      <c r="AM1873" s="1705">
        <f t="shared" si="1391"/>
        <v>0</v>
      </c>
      <c r="AN1873" s="1705">
        <f t="shared" si="1391"/>
        <v>0</v>
      </c>
      <c r="AO1873" s="1705">
        <f t="shared" si="1391"/>
        <v>0</v>
      </c>
      <c r="AP1873" s="1705">
        <f t="shared" si="1391"/>
        <v>0</v>
      </c>
      <c r="AQ1873" s="1706">
        <f t="shared" si="1391"/>
        <v>0</v>
      </c>
    </row>
    <row r="1874" spans="2:43" ht="13.75" hidden="1" customHeight="1" x14ac:dyDescent="0.2">
      <c r="B1874" s="1195"/>
      <c r="C1874" s="193">
        <f t="shared" si="1389"/>
        <v>5</v>
      </c>
      <c r="D1874" s="193"/>
      <c r="E1874" s="254"/>
      <c r="F1874" s="193"/>
      <c r="G1874" s="193"/>
      <c r="H1874" s="254"/>
      <c r="I1874" s="1705">
        <f t="shared" ref="I1874:T1874" si="1392">SUMIF($V$291:$V$324,$B1658&amp;"contratada",I$291:I$324)</f>
        <v>0</v>
      </c>
      <c r="J1874" s="1705">
        <f t="shared" si="1392"/>
        <v>0</v>
      </c>
      <c r="K1874" s="1705">
        <f t="shared" si="1392"/>
        <v>0</v>
      </c>
      <c r="L1874" s="1705">
        <f t="shared" si="1392"/>
        <v>0</v>
      </c>
      <c r="M1874" s="1705">
        <f t="shared" si="1392"/>
        <v>0</v>
      </c>
      <c r="N1874" s="1705">
        <f t="shared" si="1392"/>
        <v>0</v>
      </c>
      <c r="O1874" s="1705">
        <f t="shared" si="1392"/>
        <v>0</v>
      </c>
      <c r="P1874" s="1705">
        <f t="shared" si="1392"/>
        <v>0</v>
      </c>
      <c r="Q1874" s="1705">
        <f t="shared" si="1392"/>
        <v>0</v>
      </c>
      <c r="R1874" s="1705">
        <f t="shared" si="1392"/>
        <v>0</v>
      </c>
      <c r="S1874" s="1705">
        <f t="shared" si="1392"/>
        <v>0</v>
      </c>
      <c r="T1874" s="1706">
        <f t="shared" si="1392"/>
        <v>0</v>
      </c>
      <c r="Y1874" s="1195"/>
      <c r="Z1874" s="193">
        <f t="shared" si="1361"/>
        <v>5</v>
      </c>
      <c r="AA1874" s="193"/>
      <c r="AB1874" s="254"/>
      <c r="AC1874" s="193"/>
      <c r="AD1874" s="193"/>
      <c r="AE1874" s="254"/>
      <c r="AF1874" s="1707">
        <f t="shared" ref="AF1874:AQ1874" si="1393">SUMIF($AS$291:$AS$324,$B1658&amp;"contratada",AF$291:AF$324)</f>
        <v>0</v>
      </c>
      <c r="AG1874" s="1707">
        <f t="shared" si="1393"/>
        <v>0</v>
      </c>
      <c r="AH1874" s="1707">
        <f t="shared" si="1393"/>
        <v>0</v>
      </c>
      <c r="AI1874" s="1707">
        <f t="shared" si="1393"/>
        <v>0</v>
      </c>
      <c r="AJ1874" s="1707">
        <f t="shared" si="1393"/>
        <v>0</v>
      </c>
      <c r="AK1874" s="1707">
        <f t="shared" si="1393"/>
        <v>0</v>
      </c>
      <c r="AL1874" s="1707">
        <f t="shared" si="1393"/>
        <v>0</v>
      </c>
      <c r="AM1874" s="1707">
        <f t="shared" si="1393"/>
        <v>0</v>
      </c>
      <c r="AN1874" s="1707">
        <f t="shared" si="1393"/>
        <v>0</v>
      </c>
      <c r="AO1874" s="1707">
        <f t="shared" si="1393"/>
        <v>0</v>
      </c>
      <c r="AP1874" s="1707">
        <f t="shared" si="1393"/>
        <v>0</v>
      </c>
      <c r="AQ1874" s="1708">
        <f t="shared" si="1393"/>
        <v>0</v>
      </c>
    </row>
    <row r="1875" spans="2:43" ht="13.75" hidden="1" customHeight="1" x14ac:dyDescent="0.2">
      <c r="B1875" s="1195"/>
      <c r="C1875" s="193">
        <f t="shared" si="1389"/>
        <v>1.5</v>
      </c>
      <c r="D1875" s="193"/>
      <c r="E1875" s="254"/>
      <c r="F1875" s="193"/>
      <c r="G1875" s="193"/>
      <c r="H1875" s="254"/>
      <c r="I1875" s="1705">
        <f t="shared" ref="I1875:T1875" si="1394">SUMIF($V$291:$V$324,$B1659&amp;"contratada",I$291:I$324)</f>
        <v>0</v>
      </c>
      <c r="J1875" s="1705">
        <f t="shared" si="1394"/>
        <v>0</v>
      </c>
      <c r="K1875" s="1705">
        <f t="shared" si="1394"/>
        <v>0</v>
      </c>
      <c r="L1875" s="1705">
        <f t="shared" si="1394"/>
        <v>0</v>
      </c>
      <c r="M1875" s="1705">
        <f t="shared" si="1394"/>
        <v>0</v>
      </c>
      <c r="N1875" s="1705">
        <f t="shared" si="1394"/>
        <v>0</v>
      </c>
      <c r="O1875" s="1705">
        <f t="shared" si="1394"/>
        <v>0</v>
      </c>
      <c r="P1875" s="1705">
        <f t="shared" si="1394"/>
        <v>0</v>
      </c>
      <c r="Q1875" s="1705">
        <f t="shared" si="1394"/>
        <v>0</v>
      </c>
      <c r="R1875" s="1705">
        <f t="shared" si="1394"/>
        <v>0</v>
      </c>
      <c r="S1875" s="1705">
        <f t="shared" si="1394"/>
        <v>0</v>
      </c>
      <c r="T1875" s="1706">
        <f t="shared" si="1394"/>
        <v>0</v>
      </c>
      <c r="Y1875" s="1195"/>
      <c r="Z1875" s="193">
        <f t="shared" si="1361"/>
        <v>1.5</v>
      </c>
      <c r="AA1875" s="193"/>
      <c r="AB1875" s="254"/>
      <c r="AC1875" s="193"/>
      <c r="AD1875" s="193"/>
      <c r="AE1875" s="254"/>
      <c r="AF1875" s="1707">
        <f t="shared" ref="AF1875:AQ1875" si="1395">SUMIF($AS$291:$AS$324,$B1659&amp;"contratada",AF$291:AF$324)</f>
        <v>0</v>
      </c>
      <c r="AG1875" s="1707">
        <f t="shared" si="1395"/>
        <v>0</v>
      </c>
      <c r="AH1875" s="1707">
        <f t="shared" si="1395"/>
        <v>0</v>
      </c>
      <c r="AI1875" s="1707">
        <f t="shared" si="1395"/>
        <v>0</v>
      </c>
      <c r="AJ1875" s="1707">
        <f t="shared" si="1395"/>
        <v>0</v>
      </c>
      <c r="AK1875" s="1707">
        <f t="shared" si="1395"/>
        <v>0</v>
      </c>
      <c r="AL1875" s="1707">
        <f t="shared" si="1395"/>
        <v>0</v>
      </c>
      <c r="AM1875" s="1707">
        <f t="shared" si="1395"/>
        <v>0</v>
      </c>
      <c r="AN1875" s="1707">
        <f t="shared" si="1395"/>
        <v>0</v>
      </c>
      <c r="AO1875" s="1707">
        <f t="shared" si="1395"/>
        <v>0</v>
      </c>
      <c r="AP1875" s="1707">
        <f t="shared" si="1395"/>
        <v>0</v>
      </c>
      <c r="AQ1875" s="1708">
        <f t="shared" si="1395"/>
        <v>0</v>
      </c>
    </row>
    <row r="1876" spans="2:43" ht="13.75" hidden="1" customHeight="1" x14ac:dyDescent="0.2">
      <c r="B1876" s="1195"/>
      <c r="C1876" s="193">
        <f t="shared" si="1389"/>
        <v>1.5</v>
      </c>
      <c r="D1876" s="193"/>
      <c r="E1876" s="254"/>
      <c r="F1876" s="193"/>
      <c r="G1876" s="193"/>
      <c r="H1876" s="254"/>
      <c r="I1876" s="1705">
        <f t="shared" ref="I1876:T1876" si="1396">SUMIF($V$291:$V$324,$B1660&amp;"contratada",I$291:I$324)</f>
        <v>0</v>
      </c>
      <c r="J1876" s="1705">
        <f t="shared" si="1396"/>
        <v>0</v>
      </c>
      <c r="K1876" s="1705">
        <f t="shared" si="1396"/>
        <v>0</v>
      </c>
      <c r="L1876" s="1705">
        <f t="shared" si="1396"/>
        <v>0</v>
      </c>
      <c r="M1876" s="1705">
        <f t="shared" si="1396"/>
        <v>0</v>
      </c>
      <c r="N1876" s="1705">
        <f t="shared" si="1396"/>
        <v>0</v>
      </c>
      <c r="O1876" s="1705">
        <f t="shared" si="1396"/>
        <v>0</v>
      </c>
      <c r="P1876" s="1705">
        <f t="shared" si="1396"/>
        <v>0</v>
      </c>
      <c r="Q1876" s="1705">
        <f t="shared" si="1396"/>
        <v>0</v>
      </c>
      <c r="R1876" s="1705">
        <f t="shared" si="1396"/>
        <v>0</v>
      </c>
      <c r="S1876" s="1705">
        <f t="shared" si="1396"/>
        <v>0</v>
      </c>
      <c r="T1876" s="1706">
        <f t="shared" si="1396"/>
        <v>0</v>
      </c>
      <c r="Y1876" s="1195"/>
      <c r="Z1876" s="193">
        <f t="shared" si="1361"/>
        <v>1.5</v>
      </c>
      <c r="AA1876" s="193"/>
      <c r="AB1876" s="254"/>
      <c r="AC1876" s="193"/>
      <c r="AD1876" s="193"/>
      <c r="AE1876" s="254"/>
      <c r="AF1876" s="1707">
        <f t="shared" ref="AF1876:AQ1876" si="1397">SUMIF($AS$291:$AS$324,$B1660&amp;"contratada",AF$291:AF$324)</f>
        <v>0</v>
      </c>
      <c r="AG1876" s="1707">
        <f t="shared" si="1397"/>
        <v>0</v>
      </c>
      <c r="AH1876" s="1707">
        <f t="shared" si="1397"/>
        <v>0</v>
      </c>
      <c r="AI1876" s="1707">
        <f t="shared" si="1397"/>
        <v>0</v>
      </c>
      <c r="AJ1876" s="1707">
        <f t="shared" si="1397"/>
        <v>0</v>
      </c>
      <c r="AK1876" s="1707">
        <f t="shared" si="1397"/>
        <v>0</v>
      </c>
      <c r="AL1876" s="1707">
        <f t="shared" si="1397"/>
        <v>0</v>
      </c>
      <c r="AM1876" s="1707">
        <f t="shared" si="1397"/>
        <v>0</v>
      </c>
      <c r="AN1876" s="1707">
        <f t="shared" si="1397"/>
        <v>0</v>
      </c>
      <c r="AO1876" s="1707">
        <f t="shared" si="1397"/>
        <v>0</v>
      </c>
      <c r="AP1876" s="1707">
        <f t="shared" si="1397"/>
        <v>0</v>
      </c>
      <c r="AQ1876" s="1708">
        <f t="shared" si="1397"/>
        <v>0</v>
      </c>
    </row>
    <row r="1877" spans="2:43" ht="13.75" hidden="1" customHeight="1" x14ac:dyDescent="0.2">
      <c r="B1877" s="1195"/>
      <c r="C1877" s="193">
        <f t="shared" si="1389"/>
        <v>3</v>
      </c>
      <c r="D1877" s="193"/>
      <c r="E1877" s="254"/>
      <c r="F1877" s="193"/>
      <c r="G1877" s="193"/>
      <c r="H1877" s="254"/>
      <c r="I1877" s="1705">
        <f t="shared" ref="I1877:T1877" si="1398">SUMIF($V$291:$V$324,$B1661&amp;"contratada",I$291:I$324)</f>
        <v>0</v>
      </c>
      <c r="J1877" s="1705">
        <f t="shared" si="1398"/>
        <v>0</v>
      </c>
      <c r="K1877" s="1705">
        <f t="shared" si="1398"/>
        <v>0</v>
      </c>
      <c r="L1877" s="1705">
        <f t="shared" si="1398"/>
        <v>0</v>
      </c>
      <c r="M1877" s="1705">
        <f t="shared" si="1398"/>
        <v>0</v>
      </c>
      <c r="N1877" s="1705">
        <f t="shared" si="1398"/>
        <v>0</v>
      </c>
      <c r="O1877" s="1705">
        <f t="shared" si="1398"/>
        <v>0</v>
      </c>
      <c r="P1877" s="1705">
        <f t="shared" si="1398"/>
        <v>0</v>
      </c>
      <c r="Q1877" s="1705">
        <f t="shared" si="1398"/>
        <v>0</v>
      </c>
      <c r="R1877" s="1705">
        <f t="shared" si="1398"/>
        <v>0</v>
      </c>
      <c r="S1877" s="1705">
        <f t="shared" si="1398"/>
        <v>0</v>
      </c>
      <c r="T1877" s="1706">
        <f t="shared" si="1398"/>
        <v>0</v>
      </c>
      <c r="Y1877" s="1195"/>
      <c r="Z1877" s="193">
        <f t="shared" si="1361"/>
        <v>3</v>
      </c>
      <c r="AA1877" s="193"/>
      <c r="AB1877" s="254"/>
      <c r="AC1877" s="193"/>
      <c r="AD1877" s="193"/>
      <c r="AE1877" s="254"/>
      <c r="AF1877" s="1707">
        <f t="shared" ref="AF1877:AQ1877" si="1399">SUMIF($AS$291:$AS$324,$B1661&amp;"contratada",AF$291:AF$324)</f>
        <v>0</v>
      </c>
      <c r="AG1877" s="1707">
        <f t="shared" si="1399"/>
        <v>0</v>
      </c>
      <c r="AH1877" s="1707">
        <f t="shared" si="1399"/>
        <v>0</v>
      </c>
      <c r="AI1877" s="1707">
        <f t="shared" si="1399"/>
        <v>0</v>
      </c>
      <c r="AJ1877" s="1707">
        <f t="shared" si="1399"/>
        <v>0</v>
      </c>
      <c r="AK1877" s="1707">
        <f t="shared" si="1399"/>
        <v>0</v>
      </c>
      <c r="AL1877" s="1707">
        <f t="shared" si="1399"/>
        <v>0</v>
      </c>
      <c r="AM1877" s="1707">
        <f t="shared" si="1399"/>
        <v>0</v>
      </c>
      <c r="AN1877" s="1707">
        <f t="shared" si="1399"/>
        <v>0</v>
      </c>
      <c r="AO1877" s="1707">
        <f t="shared" si="1399"/>
        <v>0</v>
      </c>
      <c r="AP1877" s="1707">
        <f t="shared" si="1399"/>
        <v>0</v>
      </c>
      <c r="AQ1877" s="1708">
        <f t="shared" si="1399"/>
        <v>0</v>
      </c>
    </row>
    <row r="1878" spans="2:43" ht="13.75" hidden="1" customHeight="1" x14ac:dyDescent="0.2">
      <c r="B1878" s="1195"/>
      <c r="C1878" s="193">
        <f t="shared" si="1389"/>
        <v>3</v>
      </c>
      <c r="D1878" s="193"/>
      <c r="E1878" s="254"/>
      <c r="F1878" s="193"/>
      <c r="G1878" s="193"/>
      <c r="H1878" s="254"/>
      <c r="I1878" s="1705">
        <f t="shared" ref="I1878:T1878" si="1400">SUMIF($V$291:$V$324,$B1662&amp;"contratada",I$291:I$324)</f>
        <v>0</v>
      </c>
      <c r="J1878" s="1705">
        <f t="shared" si="1400"/>
        <v>0</v>
      </c>
      <c r="K1878" s="1705">
        <f t="shared" si="1400"/>
        <v>0</v>
      </c>
      <c r="L1878" s="1705">
        <f t="shared" si="1400"/>
        <v>0</v>
      </c>
      <c r="M1878" s="1705">
        <f t="shared" si="1400"/>
        <v>0</v>
      </c>
      <c r="N1878" s="1705">
        <f t="shared" si="1400"/>
        <v>0</v>
      </c>
      <c r="O1878" s="1705">
        <f t="shared" si="1400"/>
        <v>0</v>
      </c>
      <c r="P1878" s="1705">
        <f t="shared" si="1400"/>
        <v>0</v>
      </c>
      <c r="Q1878" s="1705">
        <f t="shared" si="1400"/>
        <v>0</v>
      </c>
      <c r="R1878" s="1705">
        <f t="shared" si="1400"/>
        <v>0</v>
      </c>
      <c r="S1878" s="1705">
        <f t="shared" si="1400"/>
        <v>0</v>
      </c>
      <c r="T1878" s="1706">
        <f t="shared" si="1400"/>
        <v>0</v>
      </c>
      <c r="Y1878" s="1195"/>
      <c r="Z1878" s="193">
        <f t="shared" si="1361"/>
        <v>3</v>
      </c>
      <c r="AA1878" s="193"/>
      <c r="AB1878" s="254"/>
      <c r="AC1878" s="193"/>
      <c r="AD1878" s="193"/>
      <c r="AE1878" s="254"/>
      <c r="AF1878" s="1707">
        <f t="shared" ref="AF1878:AQ1878" si="1401">SUMIF($AS$291:$AS$324,$B1662&amp;"contratada",AF$291:AF$324)</f>
        <v>0</v>
      </c>
      <c r="AG1878" s="1707">
        <f t="shared" si="1401"/>
        <v>0</v>
      </c>
      <c r="AH1878" s="1707">
        <f t="shared" si="1401"/>
        <v>0</v>
      </c>
      <c r="AI1878" s="1707">
        <f t="shared" si="1401"/>
        <v>0</v>
      </c>
      <c r="AJ1878" s="1707">
        <f t="shared" si="1401"/>
        <v>0</v>
      </c>
      <c r="AK1878" s="1707">
        <f t="shared" si="1401"/>
        <v>0</v>
      </c>
      <c r="AL1878" s="1707">
        <f t="shared" si="1401"/>
        <v>0</v>
      </c>
      <c r="AM1878" s="1707">
        <f t="shared" si="1401"/>
        <v>0</v>
      </c>
      <c r="AN1878" s="1707">
        <f t="shared" si="1401"/>
        <v>0</v>
      </c>
      <c r="AO1878" s="1707">
        <f t="shared" si="1401"/>
        <v>0</v>
      </c>
      <c r="AP1878" s="1707">
        <f t="shared" si="1401"/>
        <v>0</v>
      </c>
      <c r="AQ1878" s="1708">
        <f t="shared" si="1401"/>
        <v>0</v>
      </c>
    </row>
    <row r="1879" spans="2:43" ht="13.75" hidden="1" customHeight="1" x14ac:dyDescent="0.2">
      <c r="B1879" s="1195"/>
      <c r="C1879" s="193">
        <f t="shared" si="1389"/>
        <v>9</v>
      </c>
      <c r="D1879" s="193"/>
      <c r="E1879" s="254"/>
      <c r="F1879" s="193"/>
      <c r="G1879" s="193"/>
      <c r="H1879" s="254"/>
      <c r="I1879" s="1705">
        <f t="shared" ref="I1879:T1879" si="1402">SUMIF($V$291:$V$324,$B1663&amp;"contratada",I$291:I$324)</f>
        <v>0</v>
      </c>
      <c r="J1879" s="1705">
        <f t="shared" si="1402"/>
        <v>0</v>
      </c>
      <c r="K1879" s="1705">
        <f t="shared" si="1402"/>
        <v>0</v>
      </c>
      <c r="L1879" s="1705">
        <f t="shared" si="1402"/>
        <v>0</v>
      </c>
      <c r="M1879" s="1705">
        <f t="shared" si="1402"/>
        <v>0</v>
      </c>
      <c r="N1879" s="1705">
        <f t="shared" si="1402"/>
        <v>0</v>
      </c>
      <c r="O1879" s="1705">
        <f t="shared" si="1402"/>
        <v>0</v>
      </c>
      <c r="P1879" s="1705">
        <f t="shared" si="1402"/>
        <v>0</v>
      </c>
      <c r="Q1879" s="1705">
        <f t="shared" si="1402"/>
        <v>0</v>
      </c>
      <c r="R1879" s="1705">
        <f t="shared" si="1402"/>
        <v>0</v>
      </c>
      <c r="S1879" s="1705">
        <f t="shared" si="1402"/>
        <v>0</v>
      </c>
      <c r="T1879" s="1706">
        <f t="shared" si="1402"/>
        <v>0</v>
      </c>
      <c r="Y1879" s="1195"/>
      <c r="Z1879" s="193">
        <f t="shared" si="1361"/>
        <v>9</v>
      </c>
      <c r="AA1879" s="193"/>
      <c r="AB1879" s="254"/>
      <c r="AC1879" s="193"/>
      <c r="AD1879" s="193"/>
      <c r="AE1879" s="254"/>
      <c r="AF1879" s="1707">
        <f t="shared" ref="AF1879:AQ1879" si="1403">SUMIF($AS$291:$AS$324,$B1663&amp;"contratada",AF$291:AF$324)</f>
        <v>0</v>
      </c>
      <c r="AG1879" s="1707">
        <f t="shared" si="1403"/>
        <v>0</v>
      </c>
      <c r="AH1879" s="1707">
        <f t="shared" si="1403"/>
        <v>0</v>
      </c>
      <c r="AI1879" s="1707">
        <f t="shared" si="1403"/>
        <v>0</v>
      </c>
      <c r="AJ1879" s="1707">
        <f t="shared" si="1403"/>
        <v>0</v>
      </c>
      <c r="AK1879" s="1707">
        <f t="shared" si="1403"/>
        <v>0</v>
      </c>
      <c r="AL1879" s="1707">
        <f t="shared" si="1403"/>
        <v>0</v>
      </c>
      <c r="AM1879" s="1707">
        <f t="shared" si="1403"/>
        <v>0</v>
      </c>
      <c r="AN1879" s="1707">
        <f t="shared" si="1403"/>
        <v>0</v>
      </c>
      <c r="AO1879" s="1707">
        <f t="shared" si="1403"/>
        <v>0</v>
      </c>
      <c r="AP1879" s="1707">
        <f t="shared" si="1403"/>
        <v>0</v>
      </c>
      <c r="AQ1879" s="1708">
        <f t="shared" si="1403"/>
        <v>0</v>
      </c>
    </row>
    <row r="1880" spans="2:43" ht="13.75" hidden="1" customHeight="1" x14ac:dyDescent="0.2">
      <c r="B1880" s="1195"/>
      <c r="C1880" s="193">
        <f t="shared" si="1389"/>
        <v>0</v>
      </c>
      <c r="D1880" s="193"/>
      <c r="E1880" s="254"/>
      <c r="F1880" s="193"/>
      <c r="G1880" s="193"/>
      <c r="H1880" s="254"/>
      <c r="I1880" s="1705">
        <f t="shared" ref="I1880:T1880" si="1404">SUMIF($V$291:$V$324,$B1664&amp;"contratada",I$291:I$324)</f>
        <v>0</v>
      </c>
      <c r="J1880" s="1705">
        <f t="shared" si="1404"/>
        <v>0</v>
      </c>
      <c r="K1880" s="1705">
        <f t="shared" si="1404"/>
        <v>0</v>
      </c>
      <c r="L1880" s="1705">
        <f t="shared" si="1404"/>
        <v>0</v>
      </c>
      <c r="M1880" s="1705">
        <f t="shared" si="1404"/>
        <v>0</v>
      </c>
      <c r="N1880" s="1705">
        <f t="shared" si="1404"/>
        <v>0</v>
      </c>
      <c r="O1880" s="1705">
        <f t="shared" si="1404"/>
        <v>0</v>
      </c>
      <c r="P1880" s="1705">
        <f t="shared" si="1404"/>
        <v>0</v>
      </c>
      <c r="Q1880" s="1705">
        <f t="shared" si="1404"/>
        <v>0</v>
      </c>
      <c r="R1880" s="1705">
        <f t="shared" si="1404"/>
        <v>0</v>
      </c>
      <c r="S1880" s="1705">
        <f t="shared" si="1404"/>
        <v>0</v>
      </c>
      <c r="T1880" s="1706">
        <f t="shared" si="1404"/>
        <v>0</v>
      </c>
      <c r="Y1880" s="1195"/>
      <c r="Z1880" s="193">
        <f t="shared" si="1361"/>
        <v>0</v>
      </c>
      <c r="AA1880" s="193"/>
      <c r="AB1880" s="254"/>
      <c r="AC1880" s="193"/>
      <c r="AD1880" s="193"/>
      <c r="AE1880" s="254"/>
      <c r="AF1880" s="1707">
        <f t="shared" ref="AF1880:AQ1880" si="1405">SUMIF($AS$291:$AS$324,$B1664&amp;"contratada",AF$291:AF$324)</f>
        <v>0</v>
      </c>
      <c r="AG1880" s="1707">
        <f t="shared" si="1405"/>
        <v>0</v>
      </c>
      <c r="AH1880" s="1707">
        <f t="shared" si="1405"/>
        <v>0</v>
      </c>
      <c r="AI1880" s="1707">
        <f t="shared" si="1405"/>
        <v>0</v>
      </c>
      <c r="AJ1880" s="1707">
        <f t="shared" si="1405"/>
        <v>0</v>
      </c>
      <c r="AK1880" s="1707">
        <f t="shared" si="1405"/>
        <v>0</v>
      </c>
      <c r="AL1880" s="1707">
        <f t="shared" si="1405"/>
        <v>0</v>
      </c>
      <c r="AM1880" s="1707">
        <f t="shared" si="1405"/>
        <v>0</v>
      </c>
      <c r="AN1880" s="1707">
        <f t="shared" si="1405"/>
        <v>0</v>
      </c>
      <c r="AO1880" s="1707">
        <f t="shared" si="1405"/>
        <v>0</v>
      </c>
      <c r="AP1880" s="1707">
        <f t="shared" si="1405"/>
        <v>0</v>
      </c>
      <c r="AQ1880" s="1708">
        <f t="shared" si="1405"/>
        <v>0</v>
      </c>
    </row>
    <row r="1881" spans="2:43" ht="13.75" hidden="1" customHeight="1" x14ac:dyDescent="0.2">
      <c r="B1881" s="1195"/>
      <c r="C1881" s="193">
        <f t="shared" si="1389"/>
        <v>0</v>
      </c>
      <c r="D1881" s="193"/>
      <c r="E1881" s="254"/>
      <c r="F1881" s="193"/>
      <c r="G1881" s="193"/>
      <c r="H1881" s="254"/>
      <c r="I1881" s="1705">
        <f t="shared" ref="I1881:T1881" si="1406">SUMIF($V$291:$V$324,$B1665&amp;"contratada",I$291:I$324)</f>
        <v>0</v>
      </c>
      <c r="J1881" s="1705">
        <f t="shared" si="1406"/>
        <v>0</v>
      </c>
      <c r="K1881" s="1705">
        <f t="shared" si="1406"/>
        <v>0</v>
      </c>
      <c r="L1881" s="1705">
        <f t="shared" si="1406"/>
        <v>0</v>
      </c>
      <c r="M1881" s="1705">
        <f t="shared" si="1406"/>
        <v>0</v>
      </c>
      <c r="N1881" s="1705">
        <f t="shared" si="1406"/>
        <v>0</v>
      </c>
      <c r="O1881" s="1705">
        <f t="shared" si="1406"/>
        <v>0</v>
      </c>
      <c r="P1881" s="1705">
        <f t="shared" si="1406"/>
        <v>0</v>
      </c>
      <c r="Q1881" s="1705">
        <f t="shared" si="1406"/>
        <v>0</v>
      </c>
      <c r="R1881" s="1705">
        <f t="shared" si="1406"/>
        <v>0</v>
      </c>
      <c r="S1881" s="1705">
        <f t="shared" si="1406"/>
        <v>0</v>
      </c>
      <c r="T1881" s="1706">
        <f t="shared" si="1406"/>
        <v>0</v>
      </c>
      <c r="Y1881" s="1195"/>
      <c r="Z1881" s="193">
        <f t="shared" si="1361"/>
        <v>0</v>
      </c>
      <c r="AA1881" s="193"/>
      <c r="AB1881" s="254"/>
      <c r="AC1881" s="193"/>
      <c r="AD1881" s="193"/>
      <c r="AE1881" s="254"/>
      <c r="AF1881" s="1707">
        <f t="shared" ref="AF1881:AQ1881" si="1407">SUMIF($AS$291:$AS$324,$B1665&amp;"contratada",AF$291:AF$324)</f>
        <v>0</v>
      </c>
      <c r="AG1881" s="1707">
        <f t="shared" si="1407"/>
        <v>0</v>
      </c>
      <c r="AH1881" s="1707">
        <f t="shared" si="1407"/>
        <v>0</v>
      </c>
      <c r="AI1881" s="1707">
        <f t="shared" si="1407"/>
        <v>0</v>
      </c>
      <c r="AJ1881" s="1707">
        <f t="shared" si="1407"/>
        <v>0</v>
      </c>
      <c r="AK1881" s="1707">
        <f t="shared" si="1407"/>
        <v>0</v>
      </c>
      <c r="AL1881" s="1707">
        <f t="shared" si="1407"/>
        <v>0</v>
      </c>
      <c r="AM1881" s="1707">
        <f t="shared" si="1407"/>
        <v>0</v>
      </c>
      <c r="AN1881" s="1707">
        <f t="shared" si="1407"/>
        <v>0</v>
      </c>
      <c r="AO1881" s="1707">
        <f t="shared" si="1407"/>
        <v>0</v>
      </c>
      <c r="AP1881" s="1707">
        <f t="shared" si="1407"/>
        <v>0</v>
      </c>
      <c r="AQ1881" s="1708">
        <f t="shared" si="1407"/>
        <v>0</v>
      </c>
    </row>
    <row r="1882" spans="2:43" ht="13.75" hidden="1" customHeight="1" x14ac:dyDescent="0.2">
      <c r="B1882" s="1195"/>
      <c r="C1882" s="193">
        <f t="shared" si="1389"/>
        <v>0</v>
      </c>
      <c r="D1882" s="193"/>
      <c r="E1882" s="254"/>
      <c r="F1882" s="193"/>
      <c r="G1882" s="193"/>
      <c r="H1882" s="254"/>
      <c r="I1882" s="1705">
        <f t="shared" ref="I1882:T1882" si="1408">SUMIF($V$291:$V$324,$B1666&amp;"contratada",I$291:I$324)</f>
        <v>0</v>
      </c>
      <c r="J1882" s="1705">
        <f t="shared" si="1408"/>
        <v>0</v>
      </c>
      <c r="K1882" s="1705">
        <f t="shared" si="1408"/>
        <v>0</v>
      </c>
      <c r="L1882" s="1705">
        <f t="shared" si="1408"/>
        <v>0</v>
      </c>
      <c r="M1882" s="1705">
        <f t="shared" si="1408"/>
        <v>0</v>
      </c>
      <c r="N1882" s="1705">
        <f t="shared" si="1408"/>
        <v>0</v>
      </c>
      <c r="O1882" s="1705">
        <f t="shared" si="1408"/>
        <v>0</v>
      </c>
      <c r="P1882" s="1705">
        <f t="shared" si="1408"/>
        <v>0</v>
      </c>
      <c r="Q1882" s="1705">
        <f t="shared" si="1408"/>
        <v>0</v>
      </c>
      <c r="R1882" s="1705">
        <f t="shared" si="1408"/>
        <v>0</v>
      </c>
      <c r="S1882" s="1705">
        <f t="shared" si="1408"/>
        <v>0</v>
      </c>
      <c r="T1882" s="1706">
        <f t="shared" si="1408"/>
        <v>0</v>
      </c>
      <c r="Y1882" s="1195"/>
      <c r="Z1882" s="193">
        <f t="shared" si="1361"/>
        <v>0</v>
      </c>
      <c r="AA1882" s="193"/>
      <c r="AB1882" s="254"/>
      <c r="AC1882" s="193"/>
      <c r="AD1882" s="193"/>
      <c r="AE1882" s="254"/>
      <c r="AF1882" s="1707">
        <f t="shared" ref="AF1882:AQ1882" si="1409">SUMIF($AS$291:$AS$324,$B1666&amp;"contratada",AF$291:AF$324)</f>
        <v>0</v>
      </c>
      <c r="AG1882" s="1707">
        <f t="shared" si="1409"/>
        <v>0</v>
      </c>
      <c r="AH1882" s="1707">
        <f t="shared" si="1409"/>
        <v>0</v>
      </c>
      <c r="AI1882" s="1707">
        <f t="shared" si="1409"/>
        <v>0</v>
      </c>
      <c r="AJ1882" s="1707">
        <f t="shared" si="1409"/>
        <v>0</v>
      </c>
      <c r="AK1882" s="1707">
        <f t="shared" si="1409"/>
        <v>0</v>
      </c>
      <c r="AL1882" s="1707">
        <f t="shared" si="1409"/>
        <v>0</v>
      </c>
      <c r="AM1882" s="1707">
        <f t="shared" si="1409"/>
        <v>0</v>
      </c>
      <c r="AN1882" s="1707">
        <f t="shared" si="1409"/>
        <v>0</v>
      </c>
      <c r="AO1882" s="1707">
        <f t="shared" si="1409"/>
        <v>0</v>
      </c>
      <c r="AP1882" s="1707">
        <f t="shared" si="1409"/>
        <v>0</v>
      </c>
      <c r="AQ1882" s="1708">
        <f t="shared" si="1409"/>
        <v>0</v>
      </c>
    </row>
    <row r="1883" spans="2:43" ht="13.75" hidden="1" customHeight="1" x14ac:dyDescent="0.2">
      <c r="B1883" s="1195"/>
      <c r="C1883" s="193">
        <f t="shared" si="1389"/>
        <v>0</v>
      </c>
      <c r="D1883" s="193"/>
      <c r="E1883" s="254"/>
      <c r="F1883" s="193"/>
      <c r="G1883" s="193"/>
      <c r="H1883" s="254"/>
      <c r="I1883" s="1705">
        <f t="shared" ref="I1883:T1883" si="1410">SUMIF($V$291:$V$324,$B1667&amp;"contratada",I$291:I$324)</f>
        <v>0</v>
      </c>
      <c r="J1883" s="1705">
        <f t="shared" si="1410"/>
        <v>0</v>
      </c>
      <c r="K1883" s="1705">
        <f t="shared" si="1410"/>
        <v>0</v>
      </c>
      <c r="L1883" s="1705">
        <f t="shared" si="1410"/>
        <v>0</v>
      </c>
      <c r="M1883" s="1705">
        <f t="shared" si="1410"/>
        <v>0</v>
      </c>
      <c r="N1883" s="1705">
        <f t="shared" si="1410"/>
        <v>0</v>
      </c>
      <c r="O1883" s="1705">
        <f t="shared" si="1410"/>
        <v>0</v>
      </c>
      <c r="P1883" s="1705">
        <f t="shared" si="1410"/>
        <v>0</v>
      </c>
      <c r="Q1883" s="1705">
        <f t="shared" si="1410"/>
        <v>0</v>
      </c>
      <c r="R1883" s="1705">
        <f t="shared" si="1410"/>
        <v>0</v>
      </c>
      <c r="S1883" s="1705">
        <f t="shared" si="1410"/>
        <v>0</v>
      </c>
      <c r="T1883" s="1706">
        <f t="shared" si="1410"/>
        <v>0</v>
      </c>
      <c r="Y1883" s="1195"/>
      <c r="Z1883" s="193">
        <f t="shared" si="1361"/>
        <v>0</v>
      </c>
      <c r="AA1883" s="193"/>
      <c r="AB1883" s="254"/>
      <c r="AC1883" s="193"/>
      <c r="AD1883" s="193"/>
      <c r="AE1883" s="254"/>
      <c r="AF1883" s="1707">
        <f t="shared" ref="AF1883:AQ1883" si="1411">SUMIF($AS$291:$AS$324,$B1667&amp;"contratada",AF$291:AF$324)</f>
        <v>0</v>
      </c>
      <c r="AG1883" s="1707">
        <f t="shared" si="1411"/>
        <v>0</v>
      </c>
      <c r="AH1883" s="1707">
        <f t="shared" si="1411"/>
        <v>0</v>
      </c>
      <c r="AI1883" s="1707">
        <f t="shared" si="1411"/>
        <v>0</v>
      </c>
      <c r="AJ1883" s="1707">
        <f t="shared" si="1411"/>
        <v>0</v>
      </c>
      <c r="AK1883" s="1707">
        <f t="shared" si="1411"/>
        <v>0</v>
      </c>
      <c r="AL1883" s="1707">
        <f t="shared" si="1411"/>
        <v>0</v>
      </c>
      <c r="AM1883" s="1707">
        <f t="shared" si="1411"/>
        <v>0</v>
      </c>
      <c r="AN1883" s="1707">
        <f t="shared" si="1411"/>
        <v>0</v>
      </c>
      <c r="AO1883" s="1707">
        <f t="shared" si="1411"/>
        <v>0</v>
      </c>
      <c r="AP1883" s="1707">
        <f t="shared" si="1411"/>
        <v>0</v>
      </c>
      <c r="AQ1883" s="1708">
        <f t="shared" si="1411"/>
        <v>0</v>
      </c>
    </row>
    <row r="1884" spans="2:43" ht="13.75" hidden="1" customHeight="1" x14ac:dyDescent="0.2">
      <c r="B1884" s="1195"/>
      <c r="C1884" s="193">
        <f t="shared" si="1389"/>
        <v>0</v>
      </c>
      <c r="D1884" s="193"/>
      <c r="E1884" s="254"/>
      <c r="F1884" s="193"/>
      <c r="G1884" s="193"/>
      <c r="H1884" s="254"/>
      <c r="I1884" s="1705">
        <f t="shared" ref="I1884:T1884" si="1412">SUMIF($V$291:$V$324,$B1668&amp;"contratada",I$291:I$324)</f>
        <v>0</v>
      </c>
      <c r="J1884" s="1705">
        <f t="shared" si="1412"/>
        <v>0</v>
      </c>
      <c r="K1884" s="1705">
        <f t="shared" si="1412"/>
        <v>0</v>
      </c>
      <c r="L1884" s="1705">
        <f t="shared" si="1412"/>
        <v>0</v>
      </c>
      <c r="M1884" s="1705">
        <f t="shared" si="1412"/>
        <v>0</v>
      </c>
      <c r="N1884" s="1705">
        <f t="shared" si="1412"/>
        <v>0</v>
      </c>
      <c r="O1884" s="1705">
        <f t="shared" si="1412"/>
        <v>0</v>
      </c>
      <c r="P1884" s="1705">
        <f t="shared" si="1412"/>
        <v>0</v>
      </c>
      <c r="Q1884" s="1705">
        <f t="shared" si="1412"/>
        <v>0</v>
      </c>
      <c r="R1884" s="1705">
        <f t="shared" si="1412"/>
        <v>0</v>
      </c>
      <c r="S1884" s="1705">
        <f t="shared" si="1412"/>
        <v>0</v>
      </c>
      <c r="T1884" s="1706">
        <f t="shared" si="1412"/>
        <v>0</v>
      </c>
      <c r="Y1884" s="1195"/>
      <c r="Z1884" s="193">
        <f t="shared" si="1361"/>
        <v>0</v>
      </c>
      <c r="AA1884" s="193"/>
      <c r="AB1884" s="254"/>
      <c r="AC1884" s="193"/>
      <c r="AD1884" s="193"/>
      <c r="AE1884" s="254"/>
      <c r="AF1884" s="1707">
        <f t="shared" ref="AF1884:AQ1884" si="1413">SUMIF($AS$291:$AS$324,$B1668&amp;"contratada",AF$291:AF$324)</f>
        <v>0</v>
      </c>
      <c r="AG1884" s="1707">
        <f t="shared" si="1413"/>
        <v>0</v>
      </c>
      <c r="AH1884" s="1707">
        <f t="shared" si="1413"/>
        <v>0</v>
      </c>
      <c r="AI1884" s="1707">
        <f t="shared" si="1413"/>
        <v>0</v>
      </c>
      <c r="AJ1884" s="1707">
        <f t="shared" si="1413"/>
        <v>0</v>
      </c>
      <c r="AK1884" s="1707">
        <f t="shared" si="1413"/>
        <v>0</v>
      </c>
      <c r="AL1884" s="1707">
        <f t="shared" si="1413"/>
        <v>0</v>
      </c>
      <c r="AM1884" s="1707">
        <f t="shared" si="1413"/>
        <v>0</v>
      </c>
      <c r="AN1884" s="1707">
        <f t="shared" si="1413"/>
        <v>0</v>
      </c>
      <c r="AO1884" s="1707">
        <f t="shared" si="1413"/>
        <v>0</v>
      </c>
      <c r="AP1884" s="1707">
        <f t="shared" si="1413"/>
        <v>0</v>
      </c>
      <c r="AQ1884" s="1708">
        <f t="shared" si="1413"/>
        <v>0</v>
      </c>
    </row>
    <row r="1885" spans="2:43" ht="13.75" hidden="1" customHeight="1" x14ac:dyDescent="0.2">
      <c r="B1885" s="1195"/>
      <c r="C1885" s="193">
        <f t="shared" si="1389"/>
        <v>0</v>
      </c>
      <c r="D1885" s="193"/>
      <c r="E1885" s="254"/>
      <c r="F1885" s="193"/>
      <c r="G1885" s="193"/>
      <c r="H1885" s="254"/>
      <c r="I1885" s="1705">
        <f t="shared" ref="I1885:T1885" si="1414">SUMIF($V$291:$V$324,$B1669&amp;"contratada",I$291:I$324)</f>
        <v>0</v>
      </c>
      <c r="J1885" s="1705">
        <f t="shared" si="1414"/>
        <v>0</v>
      </c>
      <c r="K1885" s="1705">
        <f t="shared" si="1414"/>
        <v>0</v>
      </c>
      <c r="L1885" s="1705">
        <f t="shared" si="1414"/>
        <v>0</v>
      </c>
      <c r="M1885" s="1705">
        <f t="shared" si="1414"/>
        <v>0</v>
      </c>
      <c r="N1885" s="1705">
        <f t="shared" si="1414"/>
        <v>0</v>
      </c>
      <c r="O1885" s="1705">
        <f t="shared" si="1414"/>
        <v>0</v>
      </c>
      <c r="P1885" s="1705">
        <f t="shared" si="1414"/>
        <v>0</v>
      </c>
      <c r="Q1885" s="1705">
        <f t="shared" si="1414"/>
        <v>0</v>
      </c>
      <c r="R1885" s="1705">
        <f t="shared" si="1414"/>
        <v>0</v>
      </c>
      <c r="S1885" s="1705">
        <f t="shared" si="1414"/>
        <v>0</v>
      </c>
      <c r="T1885" s="1706">
        <f t="shared" si="1414"/>
        <v>0</v>
      </c>
      <c r="Y1885" s="1195"/>
      <c r="Z1885" s="193">
        <f t="shared" si="1361"/>
        <v>0</v>
      </c>
      <c r="AA1885" s="193"/>
      <c r="AB1885" s="254"/>
      <c r="AC1885" s="193"/>
      <c r="AD1885" s="193"/>
      <c r="AE1885" s="254"/>
      <c r="AF1885" s="1707">
        <f t="shared" ref="AF1885:AQ1885" si="1415">SUMIF($AS$291:$AS$324,$B1669&amp;"contratada",AF$291:AF$324)</f>
        <v>0</v>
      </c>
      <c r="AG1885" s="1707">
        <f t="shared" si="1415"/>
        <v>0</v>
      </c>
      <c r="AH1885" s="1707">
        <f t="shared" si="1415"/>
        <v>0</v>
      </c>
      <c r="AI1885" s="1707">
        <f t="shared" si="1415"/>
        <v>0</v>
      </c>
      <c r="AJ1885" s="1707">
        <f t="shared" si="1415"/>
        <v>0</v>
      </c>
      <c r="AK1885" s="1707">
        <f t="shared" si="1415"/>
        <v>0</v>
      </c>
      <c r="AL1885" s="1707">
        <f t="shared" si="1415"/>
        <v>0</v>
      </c>
      <c r="AM1885" s="1707">
        <f t="shared" si="1415"/>
        <v>0</v>
      </c>
      <c r="AN1885" s="1707">
        <f t="shared" si="1415"/>
        <v>0</v>
      </c>
      <c r="AO1885" s="1707">
        <f t="shared" si="1415"/>
        <v>0</v>
      </c>
      <c r="AP1885" s="1707">
        <f t="shared" si="1415"/>
        <v>0</v>
      </c>
      <c r="AQ1885" s="1708">
        <f t="shared" si="1415"/>
        <v>0</v>
      </c>
    </row>
    <row r="1886" spans="2:43" ht="14.4" hidden="1" customHeight="1" thickBot="1" x14ac:dyDescent="0.25">
      <c r="B1886" s="1198"/>
      <c r="C1886" s="1199">
        <f t="shared" si="1389"/>
        <v>0</v>
      </c>
      <c r="D1886" s="1199"/>
      <c r="E1886" s="1209"/>
      <c r="F1886" s="1199"/>
      <c r="G1886" s="1199"/>
      <c r="H1886" s="1209"/>
      <c r="I1886" s="1705">
        <f t="shared" ref="I1886:T1886" si="1416">SUMIF($V$291:$V$324,$B1670&amp;"contratada",I$291:I$324)</f>
        <v>0</v>
      </c>
      <c r="J1886" s="1705">
        <f t="shared" si="1416"/>
        <v>0</v>
      </c>
      <c r="K1886" s="1705">
        <f t="shared" si="1416"/>
        <v>0</v>
      </c>
      <c r="L1886" s="1705">
        <f t="shared" si="1416"/>
        <v>0</v>
      </c>
      <c r="M1886" s="1705">
        <f t="shared" si="1416"/>
        <v>0</v>
      </c>
      <c r="N1886" s="1705">
        <f t="shared" si="1416"/>
        <v>0</v>
      </c>
      <c r="O1886" s="1705">
        <f t="shared" si="1416"/>
        <v>0</v>
      </c>
      <c r="P1886" s="1705">
        <f t="shared" si="1416"/>
        <v>0</v>
      </c>
      <c r="Q1886" s="1705">
        <f t="shared" si="1416"/>
        <v>0</v>
      </c>
      <c r="R1886" s="1705">
        <f t="shared" si="1416"/>
        <v>0</v>
      </c>
      <c r="S1886" s="1705">
        <f t="shared" si="1416"/>
        <v>0</v>
      </c>
      <c r="T1886" s="1706">
        <f t="shared" si="1416"/>
        <v>0</v>
      </c>
      <c r="Y1886" s="1198"/>
      <c r="Z1886" s="1199">
        <f t="shared" si="1361"/>
        <v>0</v>
      </c>
      <c r="AA1886" s="1199"/>
      <c r="AB1886" s="1209"/>
      <c r="AC1886" s="1199"/>
      <c r="AD1886" s="1199"/>
      <c r="AE1886" s="1209"/>
      <c r="AF1886" s="1709">
        <f t="shared" ref="AF1886:AQ1886" si="1417">SUMIF($AS$291:$AS$324,$B1670&amp;"contratada",AF$291:AF$324)</f>
        <v>0</v>
      </c>
      <c r="AG1886" s="1709">
        <f t="shared" si="1417"/>
        <v>0</v>
      </c>
      <c r="AH1886" s="1709">
        <f t="shared" si="1417"/>
        <v>0</v>
      </c>
      <c r="AI1886" s="1709">
        <f t="shared" si="1417"/>
        <v>0</v>
      </c>
      <c r="AJ1886" s="1709">
        <f t="shared" si="1417"/>
        <v>0</v>
      </c>
      <c r="AK1886" s="1709">
        <f t="shared" si="1417"/>
        <v>0</v>
      </c>
      <c r="AL1886" s="1709">
        <f t="shared" si="1417"/>
        <v>0</v>
      </c>
      <c r="AM1886" s="1709">
        <f t="shared" si="1417"/>
        <v>0</v>
      </c>
      <c r="AN1886" s="1709">
        <f t="shared" si="1417"/>
        <v>0</v>
      </c>
      <c r="AO1886" s="1709">
        <f t="shared" si="1417"/>
        <v>0</v>
      </c>
      <c r="AP1886" s="1709">
        <f t="shared" si="1417"/>
        <v>0</v>
      </c>
      <c r="AQ1886" s="1710">
        <f t="shared" si="1417"/>
        <v>0</v>
      </c>
    </row>
    <row r="1887" spans="2:43" ht="15.05" hidden="1" customHeight="1" thickTop="1" thickBot="1" x14ac:dyDescent="0.25">
      <c r="B1887" s="1711" t="s">
        <v>705</v>
      </c>
      <c r="C1887" s="1712"/>
      <c r="D1887" s="1712"/>
      <c r="E1887" s="1712"/>
      <c r="F1887" s="1712"/>
      <c r="G1887" s="1712"/>
      <c r="H1887" s="1713" t="s">
        <v>230</v>
      </c>
      <c r="I1887" s="1715">
        <f t="shared" ref="I1887:T1887" si="1418">+SUMPRODUCT(I1858:I1886,$C$1858:$C$1886)</f>
        <v>0</v>
      </c>
      <c r="J1887" s="1715">
        <f t="shared" si="1418"/>
        <v>0</v>
      </c>
      <c r="K1887" s="1715">
        <f t="shared" si="1418"/>
        <v>0</v>
      </c>
      <c r="L1887" s="1715">
        <f t="shared" si="1418"/>
        <v>0</v>
      </c>
      <c r="M1887" s="1715">
        <f t="shared" si="1418"/>
        <v>0</v>
      </c>
      <c r="N1887" s="1715">
        <f t="shared" si="1418"/>
        <v>0</v>
      </c>
      <c r="O1887" s="1715">
        <f t="shared" si="1418"/>
        <v>0</v>
      </c>
      <c r="P1887" s="1715">
        <f t="shared" si="1418"/>
        <v>0</v>
      </c>
      <c r="Q1887" s="1715">
        <f t="shared" si="1418"/>
        <v>0</v>
      </c>
      <c r="R1887" s="1715">
        <f t="shared" si="1418"/>
        <v>0</v>
      </c>
      <c r="S1887" s="1715">
        <f t="shared" si="1418"/>
        <v>0</v>
      </c>
      <c r="T1887" s="1716">
        <f t="shared" si="1418"/>
        <v>0</v>
      </c>
      <c r="Y1887" s="1711" t="s">
        <v>705</v>
      </c>
      <c r="Z1887" s="1712"/>
      <c r="AA1887" s="1712"/>
      <c r="AB1887" s="1712"/>
      <c r="AC1887" s="1712"/>
      <c r="AD1887" s="1712"/>
      <c r="AE1887" s="1719" t="s">
        <v>230</v>
      </c>
      <c r="AF1887" s="1715">
        <f t="shared" ref="AF1887:AQ1887" si="1419">+SUMPRODUCT(AF1858:AF1886,$C$1858:$C$1886)</f>
        <v>0</v>
      </c>
      <c r="AG1887" s="1715">
        <f t="shared" si="1419"/>
        <v>0</v>
      </c>
      <c r="AH1887" s="1715">
        <f t="shared" si="1419"/>
        <v>0</v>
      </c>
      <c r="AI1887" s="1715">
        <f t="shared" si="1419"/>
        <v>0</v>
      </c>
      <c r="AJ1887" s="1715">
        <f t="shared" si="1419"/>
        <v>0</v>
      </c>
      <c r="AK1887" s="1715">
        <f t="shared" si="1419"/>
        <v>0</v>
      </c>
      <c r="AL1887" s="1715">
        <f t="shared" si="1419"/>
        <v>0</v>
      </c>
      <c r="AM1887" s="1715">
        <f t="shared" si="1419"/>
        <v>0</v>
      </c>
      <c r="AN1887" s="1715">
        <f t="shared" si="1419"/>
        <v>0</v>
      </c>
      <c r="AO1887" s="1715">
        <f t="shared" si="1419"/>
        <v>0</v>
      </c>
      <c r="AP1887" s="1715">
        <f t="shared" si="1419"/>
        <v>0</v>
      </c>
      <c r="AQ1887" s="1716">
        <f t="shared" si="1419"/>
        <v>0</v>
      </c>
    </row>
    <row r="1888" spans="2:43" ht="14.4" hidden="1" customHeight="1" thickTop="1" x14ac:dyDescent="0.2">
      <c r="B1888" s="1594"/>
      <c r="C1888" s="193"/>
      <c r="D1888" s="193"/>
      <c r="E1888" s="193"/>
      <c r="F1888" s="193"/>
      <c r="G1888" s="193"/>
      <c r="H1888" s="982" t="s">
        <v>698</v>
      </c>
      <c r="I1888" s="1205">
        <f>IFERROR(I1887*#REF!/I1855,0)</f>
        <v>0</v>
      </c>
      <c r="J1888" s="1205">
        <f>IFERROR(J1887*#REF!/J1855,0)</f>
        <v>0</v>
      </c>
      <c r="K1888" s="1205">
        <f>IFERROR(K1887*#REF!/K1855,0)</f>
        <v>0</v>
      </c>
      <c r="L1888" s="1205">
        <f>IFERROR(L1887*#REF!/L1855,0)</f>
        <v>0</v>
      </c>
      <c r="M1888" s="1205">
        <f>IFERROR(M1887*#REF!/M1855,0)</f>
        <v>0</v>
      </c>
      <c r="N1888" s="1205">
        <f>IFERROR(N1887*#REF!/N1855,0)</f>
        <v>0</v>
      </c>
      <c r="O1888" s="1205">
        <f>IFERROR(O1887*#REF!/O1855,0)</f>
        <v>0</v>
      </c>
      <c r="P1888" s="1205">
        <f>IFERROR(P1887*#REF!/P1855,0)</f>
        <v>0</v>
      </c>
      <c r="Q1888" s="1205">
        <f>IFERROR(Q1887*#REF!/Q1855,0)</f>
        <v>0</v>
      </c>
      <c r="R1888" s="1205">
        <f>IFERROR(R1887*#REF!/R1855,0)</f>
        <v>0</v>
      </c>
      <c r="S1888" s="1205">
        <f>IFERROR(S1887*#REF!/S1855,0)</f>
        <v>0</v>
      </c>
      <c r="T1888" s="1714">
        <f>IFERROR(T1887*#REF!/T1855,0)</f>
        <v>0</v>
      </c>
      <c r="Y1888" s="1594"/>
      <c r="Z1888" s="193"/>
      <c r="AA1888" s="193"/>
      <c r="AB1888" s="193"/>
      <c r="AC1888" s="193"/>
      <c r="AD1888" s="193"/>
      <c r="AE1888" s="1720" t="s">
        <v>698</v>
      </c>
      <c r="AF1888" s="1205">
        <f>IFERROR(AF1887*#REF!/AF1855,0)</f>
        <v>0</v>
      </c>
      <c r="AG1888" s="1205">
        <f>IFERROR(AG1887*#REF!/AG1855,0)</f>
        <v>0</v>
      </c>
      <c r="AH1888" s="1205">
        <f>IFERROR(AH1887*#REF!/AH1855,0)</f>
        <v>0</v>
      </c>
      <c r="AI1888" s="1205">
        <f>IFERROR(AI1887*#REF!/AI1855,0)</f>
        <v>0</v>
      </c>
      <c r="AJ1888" s="1205">
        <f>IFERROR(AJ1887*#REF!/AJ1855,0)</f>
        <v>0</v>
      </c>
      <c r="AK1888" s="1205">
        <f>IFERROR(AK1887*#REF!/AK1855,0)</f>
        <v>0</v>
      </c>
      <c r="AL1888" s="1205">
        <f>IFERROR(AL1887*#REF!/AL1855,0)</f>
        <v>0</v>
      </c>
      <c r="AM1888" s="1205">
        <f>IFERROR(AM1887*#REF!/AM1855,0)</f>
        <v>0</v>
      </c>
      <c r="AN1888" s="1205">
        <f>IFERROR(AN1887*#REF!/AN1855,0)</f>
        <v>0</v>
      </c>
      <c r="AO1888" s="1205">
        <f>IFERROR(AO1887*#REF!/AO1855,0)</f>
        <v>0</v>
      </c>
      <c r="AP1888" s="1205">
        <f>IFERROR(AP1887*#REF!/AP1855,0)</f>
        <v>0</v>
      </c>
      <c r="AQ1888" s="1714">
        <f>IFERROR(AQ1887*#REF!/AQ1855,0)</f>
        <v>0</v>
      </c>
    </row>
    <row r="1889" spans="2:43" ht="14.4" hidden="1" customHeight="1" thickBot="1" x14ac:dyDescent="0.25">
      <c r="B1889" s="1596"/>
      <c r="C1889" s="1199"/>
      <c r="D1889" s="1199"/>
      <c r="E1889" s="1199"/>
      <c r="F1889" s="1199"/>
      <c r="G1889" s="1199"/>
      <c r="H1889" s="1717" t="s">
        <v>699</v>
      </c>
      <c r="I1889" s="1590">
        <f t="shared" ref="I1889:T1889" si="1420">+I1887-I1888</f>
        <v>0</v>
      </c>
      <c r="J1889" s="1590">
        <f t="shared" si="1420"/>
        <v>0</v>
      </c>
      <c r="K1889" s="1590">
        <f t="shared" si="1420"/>
        <v>0</v>
      </c>
      <c r="L1889" s="1590">
        <f t="shared" si="1420"/>
        <v>0</v>
      </c>
      <c r="M1889" s="1590">
        <f t="shared" si="1420"/>
        <v>0</v>
      </c>
      <c r="N1889" s="1590">
        <f t="shared" si="1420"/>
        <v>0</v>
      </c>
      <c r="O1889" s="1590">
        <f t="shared" si="1420"/>
        <v>0</v>
      </c>
      <c r="P1889" s="1590">
        <f t="shared" si="1420"/>
        <v>0</v>
      </c>
      <c r="Q1889" s="1590">
        <f t="shared" si="1420"/>
        <v>0</v>
      </c>
      <c r="R1889" s="1590">
        <f t="shared" si="1420"/>
        <v>0</v>
      </c>
      <c r="S1889" s="1590">
        <f t="shared" si="1420"/>
        <v>0</v>
      </c>
      <c r="T1889" s="1655">
        <f t="shared" si="1420"/>
        <v>0</v>
      </c>
      <c r="Y1889" s="1596"/>
      <c r="Z1889" s="1199"/>
      <c r="AA1889" s="1199"/>
      <c r="AB1889" s="1199"/>
      <c r="AC1889" s="1199"/>
      <c r="AD1889" s="1199"/>
      <c r="AE1889" s="1721" t="s">
        <v>699</v>
      </c>
      <c r="AF1889" s="1590">
        <f>+AF1887-AF1888</f>
        <v>0</v>
      </c>
      <c r="AG1889" s="1590">
        <f t="shared" ref="AG1889:AQ1889" si="1421">+AG1887-AG1888</f>
        <v>0</v>
      </c>
      <c r="AH1889" s="1590">
        <f t="shared" si="1421"/>
        <v>0</v>
      </c>
      <c r="AI1889" s="1590">
        <f t="shared" si="1421"/>
        <v>0</v>
      </c>
      <c r="AJ1889" s="1590">
        <f t="shared" si="1421"/>
        <v>0</v>
      </c>
      <c r="AK1889" s="1590">
        <f t="shared" si="1421"/>
        <v>0</v>
      </c>
      <c r="AL1889" s="1590">
        <f t="shared" si="1421"/>
        <v>0</v>
      </c>
      <c r="AM1889" s="1590">
        <f t="shared" si="1421"/>
        <v>0</v>
      </c>
      <c r="AN1889" s="1590">
        <f t="shared" si="1421"/>
        <v>0</v>
      </c>
      <c r="AO1889" s="1590">
        <f t="shared" si="1421"/>
        <v>0</v>
      </c>
      <c r="AP1889" s="1590">
        <f t="shared" si="1421"/>
        <v>0</v>
      </c>
      <c r="AQ1889" s="1655">
        <f t="shared" si="1421"/>
        <v>0</v>
      </c>
    </row>
    <row r="1890" spans="2:43" ht="14.4" hidden="1" customHeight="1" thickTop="1" x14ac:dyDescent="0.2">
      <c r="B1890" s="1584" t="s">
        <v>795</v>
      </c>
      <c r="C1890" s="1581">
        <f>+C1548</f>
        <v>0</v>
      </c>
      <c r="D1890" s="1194"/>
      <c r="E1890" s="1194"/>
      <c r="F1890" s="1194"/>
      <c r="G1890" s="1194" t="s">
        <v>247</v>
      </c>
      <c r="H1890" s="1194" t="s">
        <v>691</v>
      </c>
      <c r="I1890" s="1668">
        <f t="shared" ref="I1890:T1890" si="1422">+I1549</f>
        <v>0</v>
      </c>
      <c r="J1890" s="1668">
        <f t="shared" si="1422"/>
        <v>0</v>
      </c>
      <c r="K1890" s="1668">
        <f t="shared" si="1422"/>
        <v>0</v>
      </c>
      <c r="L1890" s="1668">
        <f t="shared" si="1422"/>
        <v>0</v>
      </c>
      <c r="M1890" s="1668">
        <f t="shared" si="1422"/>
        <v>0</v>
      </c>
      <c r="N1890" s="1668">
        <f t="shared" si="1422"/>
        <v>0</v>
      </c>
      <c r="O1890" s="1668">
        <f t="shared" si="1422"/>
        <v>0</v>
      </c>
      <c r="P1890" s="1668">
        <f t="shared" si="1422"/>
        <v>0</v>
      </c>
      <c r="Q1890" s="1668">
        <f t="shared" si="1422"/>
        <v>0</v>
      </c>
      <c r="R1890" s="1668">
        <f t="shared" si="1422"/>
        <v>0</v>
      </c>
      <c r="S1890" s="1668">
        <f t="shared" si="1422"/>
        <v>0</v>
      </c>
      <c r="T1890" s="1704">
        <f t="shared" si="1422"/>
        <v>0</v>
      </c>
      <c r="Y1890" s="1722" t="s">
        <v>795</v>
      </c>
      <c r="Z1890" s="1581">
        <f>+Z1548</f>
        <v>0</v>
      </c>
      <c r="AA1890" s="1194"/>
      <c r="AB1890" s="1194"/>
      <c r="AC1890" s="1194"/>
      <c r="AD1890" s="1194">
        <f t="shared" ref="AD1890:AE1892" si="1423">+AC1702</f>
        <v>0</v>
      </c>
      <c r="AE1890" s="1194">
        <f t="shared" si="1423"/>
        <v>0</v>
      </c>
      <c r="AF1890" s="1668">
        <f t="shared" ref="AF1890:AQ1890" si="1424">+AF1549</f>
        <v>0</v>
      </c>
      <c r="AG1890" s="1668">
        <f t="shared" si="1424"/>
        <v>0</v>
      </c>
      <c r="AH1890" s="1668">
        <f t="shared" si="1424"/>
        <v>0</v>
      </c>
      <c r="AI1890" s="1668">
        <f t="shared" si="1424"/>
        <v>0</v>
      </c>
      <c r="AJ1890" s="1668">
        <f t="shared" si="1424"/>
        <v>0</v>
      </c>
      <c r="AK1890" s="1668">
        <f t="shared" si="1424"/>
        <v>0</v>
      </c>
      <c r="AL1890" s="1668">
        <f t="shared" si="1424"/>
        <v>0</v>
      </c>
      <c r="AM1890" s="1668">
        <f t="shared" si="1424"/>
        <v>0</v>
      </c>
      <c r="AN1890" s="1668">
        <f t="shared" si="1424"/>
        <v>0</v>
      </c>
      <c r="AO1890" s="1668">
        <f t="shared" si="1424"/>
        <v>0</v>
      </c>
      <c r="AP1890" s="1668">
        <f t="shared" si="1424"/>
        <v>0</v>
      </c>
      <c r="AQ1890" s="1704">
        <f t="shared" si="1424"/>
        <v>0</v>
      </c>
    </row>
    <row r="1891" spans="2:43" ht="13.75" hidden="1" customHeight="1" x14ac:dyDescent="0.2">
      <c r="B1891" s="1594"/>
      <c r="C1891" s="193"/>
      <c r="D1891" s="193"/>
      <c r="E1891" s="193"/>
      <c r="F1891" s="193"/>
      <c r="G1891" s="193" t="s">
        <v>344</v>
      </c>
      <c r="H1891" s="193" t="s">
        <v>693</v>
      </c>
      <c r="I1891" s="1283">
        <f t="shared" ref="I1891:T1891" si="1425">+I1550</f>
        <v>0</v>
      </c>
      <c r="J1891" s="1283">
        <f t="shared" si="1425"/>
        <v>0</v>
      </c>
      <c r="K1891" s="1283">
        <f t="shared" si="1425"/>
        <v>0</v>
      </c>
      <c r="L1891" s="1283">
        <f t="shared" si="1425"/>
        <v>0</v>
      </c>
      <c r="M1891" s="1283">
        <f t="shared" si="1425"/>
        <v>0</v>
      </c>
      <c r="N1891" s="1283">
        <f t="shared" si="1425"/>
        <v>0</v>
      </c>
      <c r="O1891" s="1283">
        <f t="shared" si="1425"/>
        <v>0</v>
      </c>
      <c r="P1891" s="1283">
        <f t="shared" si="1425"/>
        <v>0</v>
      </c>
      <c r="Q1891" s="1283">
        <f t="shared" si="1425"/>
        <v>0</v>
      </c>
      <c r="R1891" s="1283">
        <f t="shared" si="1425"/>
        <v>0</v>
      </c>
      <c r="S1891" s="1283">
        <f t="shared" si="1425"/>
        <v>0</v>
      </c>
      <c r="T1891" s="1601">
        <f t="shared" si="1425"/>
        <v>0</v>
      </c>
      <c r="Y1891" s="1594"/>
      <c r="Z1891" s="193"/>
      <c r="AA1891" s="193"/>
      <c r="AB1891" s="193"/>
      <c r="AC1891" s="193"/>
      <c r="AD1891" s="193">
        <f t="shared" si="1423"/>
        <v>0</v>
      </c>
      <c r="AE1891" s="193">
        <f t="shared" si="1423"/>
        <v>0</v>
      </c>
      <c r="AF1891" s="1283">
        <f t="shared" ref="AF1891:AQ1891" si="1426">+AF1550</f>
        <v>0</v>
      </c>
      <c r="AG1891" s="1283">
        <f t="shared" si="1426"/>
        <v>0</v>
      </c>
      <c r="AH1891" s="1283">
        <f t="shared" si="1426"/>
        <v>0</v>
      </c>
      <c r="AI1891" s="1283">
        <f t="shared" si="1426"/>
        <v>0</v>
      </c>
      <c r="AJ1891" s="1283">
        <f t="shared" si="1426"/>
        <v>0</v>
      </c>
      <c r="AK1891" s="1283">
        <f t="shared" si="1426"/>
        <v>0</v>
      </c>
      <c r="AL1891" s="1283">
        <f t="shared" si="1426"/>
        <v>0</v>
      </c>
      <c r="AM1891" s="1283">
        <f t="shared" si="1426"/>
        <v>0</v>
      </c>
      <c r="AN1891" s="1283">
        <f t="shared" si="1426"/>
        <v>0</v>
      </c>
      <c r="AO1891" s="1283">
        <f t="shared" si="1426"/>
        <v>0</v>
      </c>
      <c r="AP1891" s="1283">
        <f t="shared" si="1426"/>
        <v>0</v>
      </c>
      <c r="AQ1891" s="1601">
        <f t="shared" si="1426"/>
        <v>0</v>
      </c>
    </row>
    <row r="1892" spans="2:43" ht="14.4" hidden="1" customHeight="1" thickBot="1" x14ac:dyDescent="0.25">
      <c r="B1892" s="1596"/>
      <c r="C1892" s="1199"/>
      <c r="D1892" s="1199"/>
      <c r="E1892" s="1199"/>
      <c r="F1892" s="1199"/>
      <c r="G1892" s="1199" t="s">
        <v>344</v>
      </c>
      <c r="H1892" s="1199" t="s">
        <v>694</v>
      </c>
      <c r="I1892" s="1590">
        <f t="shared" ref="I1892:T1892" si="1427">+I1551</f>
        <v>0</v>
      </c>
      <c r="J1892" s="1590">
        <f t="shared" si="1427"/>
        <v>0</v>
      </c>
      <c r="K1892" s="1590">
        <f t="shared" si="1427"/>
        <v>0</v>
      </c>
      <c r="L1892" s="1590">
        <f t="shared" si="1427"/>
        <v>0</v>
      </c>
      <c r="M1892" s="1590">
        <f t="shared" si="1427"/>
        <v>0</v>
      </c>
      <c r="N1892" s="1590">
        <f t="shared" si="1427"/>
        <v>0</v>
      </c>
      <c r="O1892" s="1590">
        <f t="shared" si="1427"/>
        <v>0</v>
      </c>
      <c r="P1892" s="1590">
        <f t="shared" si="1427"/>
        <v>0</v>
      </c>
      <c r="Q1892" s="1590">
        <f t="shared" si="1427"/>
        <v>0</v>
      </c>
      <c r="R1892" s="1590">
        <f t="shared" si="1427"/>
        <v>0</v>
      </c>
      <c r="S1892" s="1590">
        <f t="shared" si="1427"/>
        <v>0</v>
      </c>
      <c r="T1892" s="1655">
        <f t="shared" si="1427"/>
        <v>0</v>
      </c>
      <c r="Y1892" s="1596"/>
      <c r="Z1892" s="1199"/>
      <c r="AA1892" s="1199"/>
      <c r="AB1892" s="1199"/>
      <c r="AC1892" s="1199"/>
      <c r="AD1892" s="1199">
        <f t="shared" si="1423"/>
        <v>0</v>
      </c>
      <c r="AE1892" s="1199">
        <f t="shared" si="1423"/>
        <v>0</v>
      </c>
      <c r="AF1892" s="1590">
        <f t="shared" ref="AF1892:AQ1892" si="1428">+AF1551</f>
        <v>0</v>
      </c>
      <c r="AG1892" s="1590">
        <f t="shared" si="1428"/>
        <v>0</v>
      </c>
      <c r="AH1892" s="1590">
        <f t="shared" si="1428"/>
        <v>0</v>
      </c>
      <c r="AI1892" s="1590">
        <f t="shared" si="1428"/>
        <v>0</v>
      </c>
      <c r="AJ1892" s="1590">
        <f t="shared" si="1428"/>
        <v>0</v>
      </c>
      <c r="AK1892" s="1590">
        <f t="shared" si="1428"/>
        <v>0</v>
      </c>
      <c r="AL1892" s="1590">
        <f t="shared" si="1428"/>
        <v>0</v>
      </c>
      <c r="AM1892" s="1590">
        <f t="shared" si="1428"/>
        <v>0</v>
      </c>
      <c r="AN1892" s="1590">
        <f t="shared" si="1428"/>
        <v>0</v>
      </c>
      <c r="AO1892" s="1590">
        <f t="shared" si="1428"/>
        <v>0</v>
      </c>
      <c r="AP1892" s="1590">
        <f t="shared" si="1428"/>
        <v>0</v>
      </c>
      <c r="AQ1892" s="1655">
        <f t="shared" si="1428"/>
        <v>0</v>
      </c>
    </row>
    <row r="1893" spans="2:43" ht="14.4" hidden="1" customHeight="1" thickTop="1" x14ac:dyDescent="0.2">
      <c r="B1893" s="1584" t="s">
        <v>2019</v>
      </c>
      <c r="C1893" s="1194" t="s">
        <v>2018</v>
      </c>
      <c r="D1893" s="1194"/>
      <c r="E1893" s="1194"/>
      <c r="F1893" s="1194"/>
      <c r="G1893" s="1194"/>
      <c r="H1893" s="1210"/>
      <c r="I1893" s="1194"/>
      <c r="J1893" s="1194"/>
      <c r="K1893" s="1194"/>
      <c r="L1893" s="1194"/>
      <c r="M1893" s="1194"/>
      <c r="N1893" s="1194"/>
      <c r="O1893" s="1194"/>
      <c r="P1893" s="1194"/>
      <c r="Q1893" s="1194"/>
      <c r="R1893" s="1194"/>
      <c r="S1893" s="1194"/>
      <c r="T1893" s="1599"/>
      <c r="Y1893" s="1584" t="s">
        <v>2019</v>
      </c>
      <c r="Z1893" s="1194" t="s">
        <v>2018</v>
      </c>
      <c r="AA1893" s="1194"/>
      <c r="AB1893" s="1194"/>
      <c r="AC1893" s="1194"/>
      <c r="AD1893" s="1194"/>
      <c r="AE1893" s="1210"/>
      <c r="AF1893" s="1194"/>
      <c r="AG1893" s="1194"/>
      <c r="AH1893" s="1194"/>
      <c r="AI1893" s="1194"/>
      <c r="AJ1893" s="1194"/>
      <c r="AK1893" s="1194"/>
      <c r="AL1893" s="1194"/>
      <c r="AM1893" s="1194"/>
      <c r="AN1893" s="1194"/>
      <c r="AO1893" s="1194"/>
      <c r="AP1893" s="1194"/>
      <c r="AQ1893" s="1599"/>
    </row>
    <row r="1894" spans="2:43" ht="13.75" hidden="1" customHeight="1" x14ac:dyDescent="0.2">
      <c r="B1894" s="1195" t="s">
        <v>2021</v>
      </c>
      <c r="C1894" s="193">
        <f t="shared" ref="C1894:C1907" si="1429">+C1858</f>
        <v>5</v>
      </c>
      <c r="D1894" s="193"/>
      <c r="E1894" s="254"/>
      <c r="F1894" s="193"/>
      <c r="G1894" s="193"/>
      <c r="H1894" s="254"/>
      <c r="I1894" s="1705">
        <f>SUMIF($V$332:$V$365,$B1642&amp;"propia",I$332:I$365)</f>
        <v>0</v>
      </c>
      <c r="J1894" s="1705">
        <f t="shared" ref="J1894:T1894" si="1430">SUMIF($V$332:$V$365,$B1642&amp;"propia",J$332:J$365)</f>
        <v>0</v>
      </c>
      <c r="K1894" s="1705">
        <f t="shared" si="1430"/>
        <v>0</v>
      </c>
      <c r="L1894" s="1705">
        <f t="shared" si="1430"/>
        <v>0</v>
      </c>
      <c r="M1894" s="1705">
        <f t="shared" si="1430"/>
        <v>0</v>
      </c>
      <c r="N1894" s="1705">
        <f t="shared" si="1430"/>
        <v>0</v>
      </c>
      <c r="O1894" s="1705">
        <f t="shared" si="1430"/>
        <v>0</v>
      </c>
      <c r="P1894" s="1705">
        <f t="shared" si="1430"/>
        <v>0</v>
      </c>
      <c r="Q1894" s="1705">
        <f t="shared" si="1430"/>
        <v>0</v>
      </c>
      <c r="R1894" s="1705">
        <f t="shared" si="1430"/>
        <v>0</v>
      </c>
      <c r="S1894" s="1705">
        <f t="shared" si="1430"/>
        <v>0</v>
      </c>
      <c r="T1894" s="1706">
        <f t="shared" si="1430"/>
        <v>0</v>
      </c>
      <c r="Y1894" s="1195" t="s">
        <v>2021</v>
      </c>
      <c r="Z1894" s="193">
        <f t="shared" ref="Z1894:Z1922" si="1431">+Z1858</f>
        <v>5</v>
      </c>
      <c r="AA1894" s="193"/>
      <c r="AB1894" s="254"/>
      <c r="AC1894" s="193"/>
      <c r="AD1894" s="193"/>
      <c r="AE1894" s="254"/>
      <c r="AF1894" s="1705">
        <f>SUMIF($AS$332:$AS$365,$B1642&amp;"propia",AF$332:AF$365)</f>
        <v>0</v>
      </c>
      <c r="AG1894" s="1705">
        <f t="shared" ref="AG1894:AQ1894" si="1432">SUMIF($AS$332:$AS$365,$B1642&amp;"propia",AG$332:AG$365)</f>
        <v>0</v>
      </c>
      <c r="AH1894" s="1705">
        <f t="shared" si="1432"/>
        <v>0</v>
      </c>
      <c r="AI1894" s="1705">
        <f t="shared" si="1432"/>
        <v>0</v>
      </c>
      <c r="AJ1894" s="1705">
        <f t="shared" si="1432"/>
        <v>0</v>
      </c>
      <c r="AK1894" s="1705">
        <f t="shared" si="1432"/>
        <v>0</v>
      </c>
      <c r="AL1894" s="1705">
        <f t="shared" si="1432"/>
        <v>0</v>
      </c>
      <c r="AM1894" s="1705">
        <f t="shared" si="1432"/>
        <v>0</v>
      </c>
      <c r="AN1894" s="1705">
        <f t="shared" si="1432"/>
        <v>0</v>
      </c>
      <c r="AO1894" s="1705">
        <f t="shared" si="1432"/>
        <v>0</v>
      </c>
      <c r="AP1894" s="1705">
        <f t="shared" si="1432"/>
        <v>0</v>
      </c>
      <c r="AQ1894" s="1706">
        <f t="shared" si="1432"/>
        <v>0</v>
      </c>
    </row>
    <row r="1895" spans="2:43" ht="13.75" hidden="1" customHeight="1" x14ac:dyDescent="0.2">
      <c r="B1895" s="1195"/>
      <c r="C1895" s="193">
        <f t="shared" si="1429"/>
        <v>5</v>
      </c>
      <c r="D1895" s="193"/>
      <c r="E1895" s="254"/>
      <c r="F1895" s="193"/>
      <c r="G1895" s="193"/>
      <c r="H1895" s="254"/>
      <c r="I1895" s="1707">
        <f t="shared" ref="I1895:T1895" si="1433">SUMIF($V$332:$V$365,$B1643&amp;"propia",I$332:I$365)</f>
        <v>0</v>
      </c>
      <c r="J1895" s="1707">
        <f t="shared" si="1433"/>
        <v>0</v>
      </c>
      <c r="K1895" s="1707">
        <f t="shared" si="1433"/>
        <v>0</v>
      </c>
      <c r="L1895" s="1707">
        <f t="shared" si="1433"/>
        <v>0</v>
      </c>
      <c r="M1895" s="1707">
        <f t="shared" si="1433"/>
        <v>0</v>
      </c>
      <c r="N1895" s="1707">
        <f t="shared" si="1433"/>
        <v>0</v>
      </c>
      <c r="O1895" s="1707">
        <f t="shared" si="1433"/>
        <v>0</v>
      </c>
      <c r="P1895" s="1707">
        <f t="shared" si="1433"/>
        <v>0</v>
      </c>
      <c r="Q1895" s="1707">
        <f t="shared" si="1433"/>
        <v>0</v>
      </c>
      <c r="R1895" s="1707">
        <f t="shared" si="1433"/>
        <v>0</v>
      </c>
      <c r="S1895" s="1707">
        <f t="shared" si="1433"/>
        <v>0</v>
      </c>
      <c r="T1895" s="1708">
        <f t="shared" si="1433"/>
        <v>0</v>
      </c>
      <c r="Y1895" s="1195"/>
      <c r="Z1895" s="193">
        <f t="shared" si="1431"/>
        <v>5</v>
      </c>
      <c r="AA1895" s="193"/>
      <c r="AB1895" s="254"/>
      <c r="AC1895" s="193"/>
      <c r="AD1895" s="193"/>
      <c r="AE1895" s="254"/>
      <c r="AF1895" s="1707">
        <f t="shared" ref="AF1895:AQ1895" si="1434">SUMIF($AS$332:$AS$365,$B1643&amp;"propia",AF$332:AF$365)</f>
        <v>0</v>
      </c>
      <c r="AG1895" s="1707">
        <f t="shared" si="1434"/>
        <v>0</v>
      </c>
      <c r="AH1895" s="1707">
        <f t="shared" si="1434"/>
        <v>0</v>
      </c>
      <c r="AI1895" s="1707">
        <f t="shared" si="1434"/>
        <v>0</v>
      </c>
      <c r="AJ1895" s="1707">
        <f t="shared" si="1434"/>
        <v>0</v>
      </c>
      <c r="AK1895" s="1707">
        <f t="shared" si="1434"/>
        <v>0</v>
      </c>
      <c r="AL1895" s="1707">
        <f t="shared" si="1434"/>
        <v>0</v>
      </c>
      <c r="AM1895" s="1707">
        <f t="shared" si="1434"/>
        <v>0</v>
      </c>
      <c r="AN1895" s="1707">
        <f t="shared" si="1434"/>
        <v>0</v>
      </c>
      <c r="AO1895" s="1707">
        <f t="shared" si="1434"/>
        <v>0</v>
      </c>
      <c r="AP1895" s="1707">
        <f t="shared" si="1434"/>
        <v>0</v>
      </c>
      <c r="AQ1895" s="1708">
        <f t="shared" si="1434"/>
        <v>0</v>
      </c>
    </row>
    <row r="1896" spans="2:43" ht="13.75" hidden="1" customHeight="1" x14ac:dyDescent="0.2">
      <c r="B1896" s="1195"/>
      <c r="C1896" s="193">
        <f t="shared" si="1429"/>
        <v>1.5</v>
      </c>
      <c r="D1896" s="193"/>
      <c r="E1896" s="254"/>
      <c r="F1896" s="193"/>
      <c r="G1896" s="193"/>
      <c r="H1896" s="254"/>
      <c r="I1896" s="1707">
        <f t="shared" ref="I1896:T1896" si="1435">SUMIF($V$332:$V$365,$B1644&amp;"propia",I$332:I$365)</f>
        <v>0</v>
      </c>
      <c r="J1896" s="1707">
        <f t="shared" si="1435"/>
        <v>0</v>
      </c>
      <c r="K1896" s="1707">
        <f t="shared" si="1435"/>
        <v>0</v>
      </c>
      <c r="L1896" s="1707">
        <f t="shared" si="1435"/>
        <v>0</v>
      </c>
      <c r="M1896" s="1707">
        <f t="shared" si="1435"/>
        <v>0</v>
      </c>
      <c r="N1896" s="1707">
        <f t="shared" si="1435"/>
        <v>0</v>
      </c>
      <c r="O1896" s="1707">
        <f t="shared" si="1435"/>
        <v>0</v>
      </c>
      <c r="P1896" s="1707">
        <f t="shared" si="1435"/>
        <v>0</v>
      </c>
      <c r="Q1896" s="1707">
        <f t="shared" si="1435"/>
        <v>0</v>
      </c>
      <c r="R1896" s="1707">
        <f t="shared" si="1435"/>
        <v>0</v>
      </c>
      <c r="S1896" s="1707">
        <f t="shared" si="1435"/>
        <v>0</v>
      </c>
      <c r="T1896" s="1708">
        <f t="shared" si="1435"/>
        <v>0</v>
      </c>
      <c r="Y1896" s="1195"/>
      <c r="Z1896" s="193">
        <f t="shared" si="1431"/>
        <v>1.5</v>
      </c>
      <c r="AA1896" s="193"/>
      <c r="AB1896" s="254"/>
      <c r="AC1896" s="193"/>
      <c r="AD1896" s="193"/>
      <c r="AE1896" s="254"/>
      <c r="AF1896" s="1707">
        <f t="shared" ref="AF1896:AQ1896" si="1436">SUMIF($AS$332:$AS$365,$B1644&amp;"propia",AF$332:AF$365)</f>
        <v>0</v>
      </c>
      <c r="AG1896" s="1707">
        <f t="shared" si="1436"/>
        <v>0</v>
      </c>
      <c r="AH1896" s="1707">
        <f t="shared" si="1436"/>
        <v>0</v>
      </c>
      <c r="AI1896" s="1707">
        <f t="shared" si="1436"/>
        <v>0</v>
      </c>
      <c r="AJ1896" s="1707">
        <f t="shared" si="1436"/>
        <v>0</v>
      </c>
      <c r="AK1896" s="1707">
        <f t="shared" si="1436"/>
        <v>0</v>
      </c>
      <c r="AL1896" s="1707">
        <f t="shared" si="1436"/>
        <v>0</v>
      </c>
      <c r="AM1896" s="1707">
        <f t="shared" si="1436"/>
        <v>0</v>
      </c>
      <c r="AN1896" s="1707">
        <f t="shared" si="1436"/>
        <v>0</v>
      </c>
      <c r="AO1896" s="1707">
        <f t="shared" si="1436"/>
        <v>0</v>
      </c>
      <c r="AP1896" s="1707">
        <f t="shared" si="1436"/>
        <v>0</v>
      </c>
      <c r="AQ1896" s="1708">
        <f t="shared" si="1436"/>
        <v>0</v>
      </c>
    </row>
    <row r="1897" spans="2:43" ht="13.75" hidden="1" customHeight="1" x14ac:dyDescent="0.2">
      <c r="B1897" s="1195"/>
      <c r="C1897" s="193">
        <f t="shared" si="1429"/>
        <v>1.5</v>
      </c>
      <c r="D1897" s="193"/>
      <c r="E1897" s="254"/>
      <c r="F1897" s="193"/>
      <c r="G1897" s="193"/>
      <c r="H1897" s="254"/>
      <c r="I1897" s="1707">
        <f t="shared" ref="I1897:T1897" si="1437">SUMIF($V$332:$V$365,$B1645&amp;"propia",I$332:I$365)</f>
        <v>0</v>
      </c>
      <c r="J1897" s="1707">
        <f t="shared" si="1437"/>
        <v>0</v>
      </c>
      <c r="K1897" s="1707">
        <f t="shared" si="1437"/>
        <v>0</v>
      </c>
      <c r="L1897" s="1707">
        <f t="shared" si="1437"/>
        <v>0</v>
      </c>
      <c r="M1897" s="1707">
        <f t="shared" si="1437"/>
        <v>0</v>
      </c>
      <c r="N1897" s="1707">
        <f t="shared" si="1437"/>
        <v>0</v>
      </c>
      <c r="O1897" s="1707">
        <f t="shared" si="1437"/>
        <v>0</v>
      </c>
      <c r="P1897" s="1707">
        <f t="shared" si="1437"/>
        <v>0</v>
      </c>
      <c r="Q1897" s="1707">
        <f t="shared" si="1437"/>
        <v>0</v>
      </c>
      <c r="R1897" s="1707">
        <f t="shared" si="1437"/>
        <v>0</v>
      </c>
      <c r="S1897" s="1707">
        <f t="shared" si="1437"/>
        <v>0</v>
      </c>
      <c r="T1897" s="1708">
        <f t="shared" si="1437"/>
        <v>0</v>
      </c>
      <c r="Y1897" s="1195"/>
      <c r="Z1897" s="193">
        <f t="shared" si="1431"/>
        <v>1.5</v>
      </c>
      <c r="AA1897" s="193"/>
      <c r="AB1897" s="254"/>
      <c r="AC1897" s="193"/>
      <c r="AD1897" s="193"/>
      <c r="AE1897" s="254"/>
      <c r="AF1897" s="1707">
        <f t="shared" ref="AF1897:AQ1897" si="1438">SUMIF($AS$332:$AS$365,$B1645&amp;"propia",AF$332:AF$365)</f>
        <v>0</v>
      </c>
      <c r="AG1897" s="1707">
        <f t="shared" si="1438"/>
        <v>0</v>
      </c>
      <c r="AH1897" s="1707">
        <f t="shared" si="1438"/>
        <v>0</v>
      </c>
      <c r="AI1897" s="1707">
        <f t="shared" si="1438"/>
        <v>0</v>
      </c>
      <c r="AJ1897" s="1707">
        <f t="shared" si="1438"/>
        <v>0</v>
      </c>
      <c r="AK1897" s="1707">
        <f t="shared" si="1438"/>
        <v>0</v>
      </c>
      <c r="AL1897" s="1707">
        <f t="shared" si="1438"/>
        <v>0</v>
      </c>
      <c r="AM1897" s="1707">
        <f t="shared" si="1438"/>
        <v>0</v>
      </c>
      <c r="AN1897" s="1707">
        <f t="shared" si="1438"/>
        <v>0</v>
      </c>
      <c r="AO1897" s="1707">
        <f t="shared" si="1438"/>
        <v>0</v>
      </c>
      <c r="AP1897" s="1707">
        <f t="shared" si="1438"/>
        <v>0</v>
      </c>
      <c r="AQ1897" s="1708">
        <f t="shared" si="1438"/>
        <v>0</v>
      </c>
    </row>
    <row r="1898" spans="2:43" ht="13.75" hidden="1" customHeight="1" x14ac:dyDescent="0.2">
      <c r="B1898" s="1195"/>
      <c r="C1898" s="193">
        <f t="shared" si="1429"/>
        <v>3</v>
      </c>
      <c r="D1898" s="193"/>
      <c r="E1898" s="254"/>
      <c r="F1898" s="193"/>
      <c r="G1898" s="193"/>
      <c r="H1898" s="254"/>
      <c r="I1898" s="1707">
        <f t="shared" ref="I1898:T1898" si="1439">SUMIF($V$332:$V$365,$B1646&amp;"propia",I$332:I$365)</f>
        <v>0</v>
      </c>
      <c r="J1898" s="1707">
        <f t="shared" si="1439"/>
        <v>0</v>
      </c>
      <c r="K1898" s="1707">
        <f t="shared" si="1439"/>
        <v>0</v>
      </c>
      <c r="L1898" s="1707">
        <f t="shared" si="1439"/>
        <v>0</v>
      </c>
      <c r="M1898" s="1707">
        <f t="shared" si="1439"/>
        <v>0</v>
      </c>
      <c r="N1898" s="1707">
        <f t="shared" si="1439"/>
        <v>0</v>
      </c>
      <c r="O1898" s="1707">
        <f t="shared" si="1439"/>
        <v>0</v>
      </c>
      <c r="P1898" s="1707">
        <f t="shared" si="1439"/>
        <v>0</v>
      </c>
      <c r="Q1898" s="1707">
        <f t="shared" si="1439"/>
        <v>0</v>
      </c>
      <c r="R1898" s="1707">
        <f t="shared" si="1439"/>
        <v>0</v>
      </c>
      <c r="S1898" s="1707">
        <f t="shared" si="1439"/>
        <v>0</v>
      </c>
      <c r="T1898" s="1708">
        <f t="shared" si="1439"/>
        <v>0</v>
      </c>
      <c r="Y1898" s="1195"/>
      <c r="Z1898" s="193">
        <f t="shared" si="1431"/>
        <v>3</v>
      </c>
      <c r="AA1898" s="193"/>
      <c r="AB1898" s="254"/>
      <c r="AC1898" s="193"/>
      <c r="AD1898" s="193"/>
      <c r="AE1898" s="254"/>
      <c r="AF1898" s="1707">
        <f t="shared" ref="AF1898:AQ1898" si="1440">SUMIF($AS$332:$AS$365,$B1646&amp;"propia",AF$332:AF$365)</f>
        <v>0</v>
      </c>
      <c r="AG1898" s="1707">
        <f t="shared" si="1440"/>
        <v>0</v>
      </c>
      <c r="AH1898" s="1707">
        <f t="shared" si="1440"/>
        <v>0</v>
      </c>
      <c r="AI1898" s="1707">
        <f t="shared" si="1440"/>
        <v>0</v>
      </c>
      <c r="AJ1898" s="1707">
        <f t="shared" si="1440"/>
        <v>0</v>
      </c>
      <c r="AK1898" s="1707">
        <f t="shared" si="1440"/>
        <v>0</v>
      </c>
      <c r="AL1898" s="1707">
        <f t="shared" si="1440"/>
        <v>0</v>
      </c>
      <c r="AM1898" s="1707">
        <f t="shared" si="1440"/>
        <v>0</v>
      </c>
      <c r="AN1898" s="1707">
        <f t="shared" si="1440"/>
        <v>0</v>
      </c>
      <c r="AO1898" s="1707">
        <f t="shared" si="1440"/>
        <v>0</v>
      </c>
      <c r="AP1898" s="1707">
        <f t="shared" si="1440"/>
        <v>0</v>
      </c>
      <c r="AQ1898" s="1708">
        <f t="shared" si="1440"/>
        <v>0</v>
      </c>
    </row>
    <row r="1899" spans="2:43" ht="13.75" hidden="1" customHeight="1" x14ac:dyDescent="0.2">
      <c r="B1899" s="1195"/>
      <c r="C1899" s="193">
        <f t="shared" si="1429"/>
        <v>3</v>
      </c>
      <c r="D1899" s="193"/>
      <c r="E1899" s="254"/>
      <c r="F1899" s="193"/>
      <c r="G1899" s="193"/>
      <c r="H1899" s="254"/>
      <c r="I1899" s="1707">
        <f t="shared" ref="I1899:T1899" si="1441">SUMIF($V$332:$V$365,$B1647&amp;"propia",I$332:I$365)</f>
        <v>0</v>
      </c>
      <c r="J1899" s="1707">
        <f t="shared" si="1441"/>
        <v>0</v>
      </c>
      <c r="K1899" s="1707">
        <f t="shared" si="1441"/>
        <v>0</v>
      </c>
      <c r="L1899" s="1707">
        <f t="shared" si="1441"/>
        <v>0</v>
      </c>
      <c r="M1899" s="1707">
        <f t="shared" si="1441"/>
        <v>0</v>
      </c>
      <c r="N1899" s="1707">
        <f t="shared" si="1441"/>
        <v>0</v>
      </c>
      <c r="O1899" s="1707">
        <f t="shared" si="1441"/>
        <v>0</v>
      </c>
      <c r="P1899" s="1707">
        <f t="shared" si="1441"/>
        <v>0</v>
      </c>
      <c r="Q1899" s="1707">
        <f t="shared" si="1441"/>
        <v>0</v>
      </c>
      <c r="R1899" s="1707">
        <f t="shared" si="1441"/>
        <v>0</v>
      </c>
      <c r="S1899" s="1707">
        <f t="shared" si="1441"/>
        <v>0</v>
      </c>
      <c r="T1899" s="1708">
        <f t="shared" si="1441"/>
        <v>0</v>
      </c>
      <c r="Y1899" s="1195"/>
      <c r="Z1899" s="193">
        <f t="shared" si="1431"/>
        <v>3</v>
      </c>
      <c r="AA1899" s="193"/>
      <c r="AB1899" s="254"/>
      <c r="AC1899" s="193"/>
      <c r="AD1899" s="193"/>
      <c r="AE1899" s="254"/>
      <c r="AF1899" s="1707">
        <f t="shared" ref="AF1899:AQ1899" si="1442">SUMIF($AS$332:$AS$365,$B1647&amp;"propia",AF$332:AF$365)</f>
        <v>0</v>
      </c>
      <c r="AG1899" s="1707">
        <f t="shared" si="1442"/>
        <v>0</v>
      </c>
      <c r="AH1899" s="1707">
        <f t="shared" si="1442"/>
        <v>0</v>
      </c>
      <c r="AI1899" s="1707">
        <f t="shared" si="1442"/>
        <v>0</v>
      </c>
      <c r="AJ1899" s="1707">
        <f t="shared" si="1442"/>
        <v>0</v>
      </c>
      <c r="AK1899" s="1707">
        <f t="shared" si="1442"/>
        <v>0</v>
      </c>
      <c r="AL1899" s="1707">
        <f t="shared" si="1442"/>
        <v>0</v>
      </c>
      <c r="AM1899" s="1707">
        <f t="shared" si="1442"/>
        <v>0</v>
      </c>
      <c r="AN1899" s="1707">
        <f t="shared" si="1442"/>
        <v>0</v>
      </c>
      <c r="AO1899" s="1707">
        <f t="shared" si="1442"/>
        <v>0</v>
      </c>
      <c r="AP1899" s="1707">
        <f t="shared" si="1442"/>
        <v>0</v>
      </c>
      <c r="AQ1899" s="1708">
        <f t="shared" si="1442"/>
        <v>0</v>
      </c>
    </row>
    <row r="1900" spans="2:43" ht="13.75" hidden="1" customHeight="1" x14ac:dyDescent="0.2">
      <c r="B1900" s="1195"/>
      <c r="C1900" s="193">
        <f t="shared" si="1429"/>
        <v>9</v>
      </c>
      <c r="D1900" s="193"/>
      <c r="E1900" s="254"/>
      <c r="F1900" s="193"/>
      <c r="G1900" s="193"/>
      <c r="H1900" s="254"/>
      <c r="I1900" s="1707">
        <f t="shared" ref="I1900:T1900" si="1443">SUMIF($V$332:$V$365,$B1648&amp;"propia",I$332:I$365)</f>
        <v>0</v>
      </c>
      <c r="J1900" s="1707">
        <f t="shared" si="1443"/>
        <v>0</v>
      </c>
      <c r="K1900" s="1707">
        <f t="shared" si="1443"/>
        <v>0</v>
      </c>
      <c r="L1900" s="1707">
        <f t="shared" si="1443"/>
        <v>0</v>
      </c>
      <c r="M1900" s="1707">
        <f t="shared" si="1443"/>
        <v>0</v>
      </c>
      <c r="N1900" s="1707">
        <f t="shared" si="1443"/>
        <v>0</v>
      </c>
      <c r="O1900" s="1707">
        <f t="shared" si="1443"/>
        <v>0</v>
      </c>
      <c r="P1900" s="1707">
        <f t="shared" si="1443"/>
        <v>0</v>
      </c>
      <c r="Q1900" s="1707">
        <f t="shared" si="1443"/>
        <v>0</v>
      </c>
      <c r="R1900" s="1707">
        <f t="shared" si="1443"/>
        <v>0</v>
      </c>
      <c r="S1900" s="1707">
        <f t="shared" si="1443"/>
        <v>0</v>
      </c>
      <c r="T1900" s="1708">
        <f t="shared" si="1443"/>
        <v>0</v>
      </c>
      <c r="Y1900" s="1195"/>
      <c r="Z1900" s="193">
        <f t="shared" si="1431"/>
        <v>9</v>
      </c>
      <c r="AA1900" s="193"/>
      <c r="AB1900" s="254"/>
      <c r="AC1900" s="193"/>
      <c r="AD1900" s="193"/>
      <c r="AE1900" s="254"/>
      <c r="AF1900" s="1707">
        <f t="shared" ref="AF1900:AQ1900" si="1444">SUMIF($AS$332:$AS$365,$B1648&amp;"propia",AF$332:AF$365)</f>
        <v>0</v>
      </c>
      <c r="AG1900" s="1707">
        <f t="shared" si="1444"/>
        <v>0</v>
      </c>
      <c r="AH1900" s="1707">
        <f t="shared" si="1444"/>
        <v>0</v>
      </c>
      <c r="AI1900" s="1707">
        <f t="shared" si="1444"/>
        <v>0</v>
      </c>
      <c r="AJ1900" s="1707">
        <f t="shared" si="1444"/>
        <v>0</v>
      </c>
      <c r="AK1900" s="1707">
        <f t="shared" si="1444"/>
        <v>0</v>
      </c>
      <c r="AL1900" s="1707">
        <f t="shared" si="1444"/>
        <v>0</v>
      </c>
      <c r="AM1900" s="1707">
        <f t="shared" si="1444"/>
        <v>0</v>
      </c>
      <c r="AN1900" s="1707">
        <f t="shared" si="1444"/>
        <v>0</v>
      </c>
      <c r="AO1900" s="1707">
        <f t="shared" si="1444"/>
        <v>0</v>
      </c>
      <c r="AP1900" s="1707">
        <f t="shared" si="1444"/>
        <v>0</v>
      </c>
      <c r="AQ1900" s="1708">
        <f t="shared" si="1444"/>
        <v>0</v>
      </c>
    </row>
    <row r="1901" spans="2:43" ht="13.75" hidden="1" customHeight="1" x14ac:dyDescent="0.2">
      <c r="B1901" s="1195"/>
      <c r="C1901" s="193">
        <f t="shared" si="1429"/>
        <v>0</v>
      </c>
      <c r="D1901" s="193"/>
      <c r="E1901" s="254"/>
      <c r="F1901" s="193"/>
      <c r="G1901" s="193"/>
      <c r="H1901" s="254"/>
      <c r="I1901" s="1707">
        <f t="shared" ref="I1901:T1901" si="1445">SUMIF($V$332:$V$365,$B1649&amp;"propia",I$332:I$365)</f>
        <v>0</v>
      </c>
      <c r="J1901" s="1707">
        <f t="shared" si="1445"/>
        <v>0</v>
      </c>
      <c r="K1901" s="1707">
        <f t="shared" si="1445"/>
        <v>0</v>
      </c>
      <c r="L1901" s="1707">
        <f t="shared" si="1445"/>
        <v>0</v>
      </c>
      <c r="M1901" s="1707">
        <f t="shared" si="1445"/>
        <v>0</v>
      </c>
      <c r="N1901" s="1707">
        <f t="shared" si="1445"/>
        <v>0</v>
      </c>
      <c r="O1901" s="1707">
        <f t="shared" si="1445"/>
        <v>0</v>
      </c>
      <c r="P1901" s="1707">
        <f t="shared" si="1445"/>
        <v>0</v>
      </c>
      <c r="Q1901" s="1707">
        <f t="shared" si="1445"/>
        <v>0</v>
      </c>
      <c r="R1901" s="1707">
        <f t="shared" si="1445"/>
        <v>0</v>
      </c>
      <c r="S1901" s="1707">
        <f t="shared" si="1445"/>
        <v>0</v>
      </c>
      <c r="T1901" s="1708">
        <f t="shared" si="1445"/>
        <v>0</v>
      </c>
      <c r="Y1901" s="1195"/>
      <c r="Z1901" s="193">
        <f t="shared" si="1431"/>
        <v>0</v>
      </c>
      <c r="AA1901" s="193"/>
      <c r="AB1901" s="254"/>
      <c r="AC1901" s="193"/>
      <c r="AD1901" s="193"/>
      <c r="AE1901" s="254"/>
      <c r="AF1901" s="1707">
        <f t="shared" ref="AF1901:AQ1901" si="1446">SUMIF($AS$332:$AS$365,$B1649&amp;"propia",AF$332:AF$365)</f>
        <v>0</v>
      </c>
      <c r="AG1901" s="1707">
        <f t="shared" si="1446"/>
        <v>0</v>
      </c>
      <c r="AH1901" s="1707">
        <f t="shared" si="1446"/>
        <v>0</v>
      </c>
      <c r="AI1901" s="1707">
        <f t="shared" si="1446"/>
        <v>0</v>
      </c>
      <c r="AJ1901" s="1707">
        <f t="shared" si="1446"/>
        <v>0</v>
      </c>
      <c r="AK1901" s="1707">
        <f t="shared" si="1446"/>
        <v>0</v>
      </c>
      <c r="AL1901" s="1707">
        <f t="shared" si="1446"/>
        <v>0</v>
      </c>
      <c r="AM1901" s="1707">
        <f t="shared" si="1446"/>
        <v>0</v>
      </c>
      <c r="AN1901" s="1707">
        <f t="shared" si="1446"/>
        <v>0</v>
      </c>
      <c r="AO1901" s="1707">
        <f t="shared" si="1446"/>
        <v>0</v>
      </c>
      <c r="AP1901" s="1707">
        <f t="shared" si="1446"/>
        <v>0</v>
      </c>
      <c r="AQ1901" s="1708">
        <f t="shared" si="1446"/>
        <v>0</v>
      </c>
    </row>
    <row r="1902" spans="2:43" ht="13.75" hidden="1" customHeight="1" x14ac:dyDescent="0.2">
      <c r="B1902" s="1195"/>
      <c r="C1902" s="193">
        <f t="shared" si="1429"/>
        <v>0</v>
      </c>
      <c r="D1902" s="193"/>
      <c r="E1902" s="254"/>
      <c r="F1902" s="193"/>
      <c r="G1902" s="193"/>
      <c r="H1902" s="254"/>
      <c r="I1902" s="1707">
        <f t="shared" ref="I1902:T1902" si="1447">SUMIF($V$332:$V$365,$B1650&amp;"propia",I$332:I$365)</f>
        <v>0</v>
      </c>
      <c r="J1902" s="1707">
        <f t="shared" si="1447"/>
        <v>0</v>
      </c>
      <c r="K1902" s="1707">
        <f t="shared" si="1447"/>
        <v>0</v>
      </c>
      <c r="L1902" s="1707">
        <f t="shared" si="1447"/>
        <v>0</v>
      </c>
      <c r="M1902" s="1707">
        <f t="shared" si="1447"/>
        <v>0</v>
      </c>
      <c r="N1902" s="1707">
        <f t="shared" si="1447"/>
        <v>0</v>
      </c>
      <c r="O1902" s="1707">
        <f t="shared" si="1447"/>
        <v>0</v>
      </c>
      <c r="P1902" s="1707">
        <f t="shared" si="1447"/>
        <v>0</v>
      </c>
      <c r="Q1902" s="1707">
        <f t="shared" si="1447"/>
        <v>0</v>
      </c>
      <c r="R1902" s="1707">
        <f t="shared" si="1447"/>
        <v>0</v>
      </c>
      <c r="S1902" s="1707">
        <f t="shared" si="1447"/>
        <v>0</v>
      </c>
      <c r="T1902" s="1708">
        <f t="shared" si="1447"/>
        <v>0</v>
      </c>
      <c r="Y1902" s="1195"/>
      <c r="Z1902" s="193">
        <f t="shared" si="1431"/>
        <v>0</v>
      </c>
      <c r="AA1902" s="193"/>
      <c r="AB1902" s="254"/>
      <c r="AC1902" s="193"/>
      <c r="AD1902" s="193"/>
      <c r="AE1902" s="254"/>
      <c r="AF1902" s="1707">
        <f t="shared" ref="AF1902:AQ1902" si="1448">SUMIF($AS$332:$AS$365,$B1650&amp;"propia",AF$332:AF$365)</f>
        <v>0</v>
      </c>
      <c r="AG1902" s="1707">
        <f t="shared" si="1448"/>
        <v>0</v>
      </c>
      <c r="AH1902" s="1707">
        <f t="shared" si="1448"/>
        <v>0</v>
      </c>
      <c r="AI1902" s="1707">
        <f t="shared" si="1448"/>
        <v>0</v>
      </c>
      <c r="AJ1902" s="1707">
        <f t="shared" si="1448"/>
        <v>0</v>
      </c>
      <c r="AK1902" s="1707">
        <f t="shared" si="1448"/>
        <v>0</v>
      </c>
      <c r="AL1902" s="1707">
        <f t="shared" si="1448"/>
        <v>0</v>
      </c>
      <c r="AM1902" s="1707">
        <f t="shared" si="1448"/>
        <v>0</v>
      </c>
      <c r="AN1902" s="1707">
        <f t="shared" si="1448"/>
        <v>0</v>
      </c>
      <c r="AO1902" s="1707">
        <f t="shared" si="1448"/>
        <v>0</v>
      </c>
      <c r="AP1902" s="1707">
        <f t="shared" si="1448"/>
        <v>0</v>
      </c>
      <c r="AQ1902" s="1708">
        <f t="shared" si="1448"/>
        <v>0</v>
      </c>
    </row>
    <row r="1903" spans="2:43" ht="13.75" hidden="1" customHeight="1" x14ac:dyDescent="0.2">
      <c r="B1903" s="1195"/>
      <c r="C1903" s="193">
        <f t="shared" si="1429"/>
        <v>0</v>
      </c>
      <c r="D1903" s="193"/>
      <c r="E1903" s="254"/>
      <c r="F1903" s="193"/>
      <c r="G1903" s="193"/>
      <c r="H1903" s="254"/>
      <c r="I1903" s="1707">
        <f t="shared" ref="I1903:T1903" si="1449">SUMIF($V$332:$V$365,$B1651&amp;"propia",I$332:I$365)</f>
        <v>0</v>
      </c>
      <c r="J1903" s="1707">
        <f t="shared" si="1449"/>
        <v>0</v>
      </c>
      <c r="K1903" s="1707">
        <f t="shared" si="1449"/>
        <v>0</v>
      </c>
      <c r="L1903" s="1707">
        <f t="shared" si="1449"/>
        <v>0</v>
      </c>
      <c r="M1903" s="1707">
        <f t="shared" si="1449"/>
        <v>0</v>
      </c>
      <c r="N1903" s="1707">
        <f t="shared" si="1449"/>
        <v>0</v>
      </c>
      <c r="O1903" s="1707">
        <f t="shared" si="1449"/>
        <v>0</v>
      </c>
      <c r="P1903" s="1707">
        <f t="shared" si="1449"/>
        <v>0</v>
      </c>
      <c r="Q1903" s="1707">
        <f t="shared" si="1449"/>
        <v>0</v>
      </c>
      <c r="R1903" s="1707">
        <f t="shared" si="1449"/>
        <v>0</v>
      </c>
      <c r="S1903" s="1707">
        <f t="shared" si="1449"/>
        <v>0</v>
      </c>
      <c r="T1903" s="1708">
        <f t="shared" si="1449"/>
        <v>0</v>
      </c>
      <c r="Y1903" s="1195"/>
      <c r="Z1903" s="193">
        <f t="shared" si="1431"/>
        <v>0</v>
      </c>
      <c r="AA1903" s="193"/>
      <c r="AB1903" s="254"/>
      <c r="AC1903" s="193"/>
      <c r="AD1903" s="193"/>
      <c r="AE1903" s="254"/>
      <c r="AF1903" s="1707">
        <f t="shared" ref="AF1903:AQ1903" si="1450">SUMIF($AS$332:$AS$365,$B1651&amp;"propia",AF$332:AF$365)</f>
        <v>0</v>
      </c>
      <c r="AG1903" s="1707">
        <f t="shared" si="1450"/>
        <v>0</v>
      </c>
      <c r="AH1903" s="1707">
        <f t="shared" si="1450"/>
        <v>0</v>
      </c>
      <c r="AI1903" s="1707">
        <f t="shared" si="1450"/>
        <v>0</v>
      </c>
      <c r="AJ1903" s="1707">
        <f t="shared" si="1450"/>
        <v>0</v>
      </c>
      <c r="AK1903" s="1707">
        <f t="shared" si="1450"/>
        <v>0</v>
      </c>
      <c r="AL1903" s="1707">
        <f t="shared" si="1450"/>
        <v>0</v>
      </c>
      <c r="AM1903" s="1707">
        <f t="shared" si="1450"/>
        <v>0</v>
      </c>
      <c r="AN1903" s="1707">
        <f t="shared" si="1450"/>
        <v>0</v>
      </c>
      <c r="AO1903" s="1707">
        <f t="shared" si="1450"/>
        <v>0</v>
      </c>
      <c r="AP1903" s="1707">
        <f t="shared" si="1450"/>
        <v>0</v>
      </c>
      <c r="AQ1903" s="1708">
        <f t="shared" si="1450"/>
        <v>0</v>
      </c>
    </row>
    <row r="1904" spans="2:43" ht="13.75" hidden="1" customHeight="1" x14ac:dyDescent="0.2">
      <c r="B1904" s="1195"/>
      <c r="C1904" s="193">
        <f t="shared" si="1429"/>
        <v>0</v>
      </c>
      <c r="D1904" s="193"/>
      <c r="E1904" s="254"/>
      <c r="F1904" s="193"/>
      <c r="G1904" s="193"/>
      <c r="H1904" s="254"/>
      <c r="I1904" s="1707">
        <f t="shared" ref="I1904:T1904" si="1451">SUMIF($V$332:$V$365,$B1652&amp;"propia",I$332:I$365)</f>
        <v>0</v>
      </c>
      <c r="J1904" s="1707">
        <f t="shared" si="1451"/>
        <v>0</v>
      </c>
      <c r="K1904" s="1707">
        <f t="shared" si="1451"/>
        <v>0</v>
      </c>
      <c r="L1904" s="1707">
        <f t="shared" si="1451"/>
        <v>0</v>
      </c>
      <c r="M1904" s="1707">
        <f t="shared" si="1451"/>
        <v>0</v>
      </c>
      <c r="N1904" s="1707">
        <f t="shared" si="1451"/>
        <v>0</v>
      </c>
      <c r="O1904" s="1707">
        <f t="shared" si="1451"/>
        <v>0</v>
      </c>
      <c r="P1904" s="1707">
        <f t="shared" si="1451"/>
        <v>0</v>
      </c>
      <c r="Q1904" s="1707">
        <f t="shared" si="1451"/>
        <v>0</v>
      </c>
      <c r="R1904" s="1707">
        <f t="shared" si="1451"/>
        <v>0</v>
      </c>
      <c r="S1904" s="1707">
        <f t="shared" si="1451"/>
        <v>0</v>
      </c>
      <c r="T1904" s="1708">
        <f t="shared" si="1451"/>
        <v>0</v>
      </c>
      <c r="Y1904" s="1195"/>
      <c r="Z1904" s="193">
        <f t="shared" si="1431"/>
        <v>0</v>
      </c>
      <c r="AA1904" s="193"/>
      <c r="AB1904" s="254"/>
      <c r="AC1904" s="193"/>
      <c r="AD1904" s="193"/>
      <c r="AE1904" s="254"/>
      <c r="AF1904" s="1707">
        <f t="shared" ref="AF1904:AQ1904" si="1452">SUMIF($AS$332:$AS$365,$B1652&amp;"propia",AF$332:AF$365)</f>
        <v>0</v>
      </c>
      <c r="AG1904" s="1707">
        <f t="shared" si="1452"/>
        <v>0</v>
      </c>
      <c r="AH1904" s="1707">
        <f t="shared" si="1452"/>
        <v>0</v>
      </c>
      <c r="AI1904" s="1707">
        <f t="shared" si="1452"/>
        <v>0</v>
      </c>
      <c r="AJ1904" s="1707">
        <f t="shared" si="1452"/>
        <v>0</v>
      </c>
      <c r="AK1904" s="1707">
        <f t="shared" si="1452"/>
        <v>0</v>
      </c>
      <c r="AL1904" s="1707">
        <f t="shared" si="1452"/>
        <v>0</v>
      </c>
      <c r="AM1904" s="1707">
        <f t="shared" si="1452"/>
        <v>0</v>
      </c>
      <c r="AN1904" s="1707">
        <f t="shared" si="1452"/>
        <v>0</v>
      </c>
      <c r="AO1904" s="1707">
        <f t="shared" si="1452"/>
        <v>0</v>
      </c>
      <c r="AP1904" s="1707">
        <f t="shared" si="1452"/>
        <v>0</v>
      </c>
      <c r="AQ1904" s="1708">
        <f t="shared" si="1452"/>
        <v>0</v>
      </c>
    </row>
    <row r="1905" spans="2:43" ht="13.75" hidden="1" customHeight="1" x14ac:dyDescent="0.2">
      <c r="B1905" s="1195"/>
      <c r="C1905" s="193">
        <f t="shared" si="1429"/>
        <v>0</v>
      </c>
      <c r="D1905" s="193"/>
      <c r="E1905" s="254"/>
      <c r="F1905" s="193"/>
      <c r="G1905" s="193"/>
      <c r="H1905" s="254"/>
      <c r="I1905" s="1707">
        <f t="shared" ref="I1905:T1905" si="1453">SUMIF($V$332:$V$365,$B1653&amp;"propia",I$332:I$365)</f>
        <v>0</v>
      </c>
      <c r="J1905" s="1707">
        <f t="shared" si="1453"/>
        <v>0</v>
      </c>
      <c r="K1905" s="1707">
        <f t="shared" si="1453"/>
        <v>0</v>
      </c>
      <c r="L1905" s="1707">
        <f t="shared" si="1453"/>
        <v>0</v>
      </c>
      <c r="M1905" s="1707">
        <f t="shared" si="1453"/>
        <v>0</v>
      </c>
      <c r="N1905" s="1707">
        <f t="shared" si="1453"/>
        <v>0</v>
      </c>
      <c r="O1905" s="1707">
        <f t="shared" si="1453"/>
        <v>0</v>
      </c>
      <c r="P1905" s="1707">
        <f t="shared" si="1453"/>
        <v>0</v>
      </c>
      <c r="Q1905" s="1707">
        <f t="shared" si="1453"/>
        <v>0</v>
      </c>
      <c r="R1905" s="1707">
        <f t="shared" si="1453"/>
        <v>0</v>
      </c>
      <c r="S1905" s="1707">
        <f t="shared" si="1453"/>
        <v>0</v>
      </c>
      <c r="T1905" s="1708">
        <f t="shared" si="1453"/>
        <v>0</v>
      </c>
      <c r="Y1905" s="1195"/>
      <c r="Z1905" s="193">
        <f t="shared" si="1431"/>
        <v>0</v>
      </c>
      <c r="AA1905" s="193"/>
      <c r="AB1905" s="254"/>
      <c r="AC1905" s="193"/>
      <c r="AD1905" s="193"/>
      <c r="AE1905" s="254"/>
      <c r="AF1905" s="1707">
        <f t="shared" ref="AF1905:AQ1905" si="1454">SUMIF($AS$332:$AS$365,$B1653&amp;"propia",AF$332:AF$365)</f>
        <v>0</v>
      </c>
      <c r="AG1905" s="1707">
        <f t="shared" si="1454"/>
        <v>0</v>
      </c>
      <c r="AH1905" s="1707">
        <f t="shared" si="1454"/>
        <v>0</v>
      </c>
      <c r="AI1905" s="1707">
        <f t="shared" si="1454"/>
        <v>0</v>
      </c>
      <c r="AJ1905" s="1707">
        <f t="shared" si="1454"/>
        <v>0</v>
      </c>
      <c r="AK1905" s="1707">
        <f t="shared" si="1454"/>
        <v>0</v>
      </c>
      <c r="AL1905" s="1707">
        <f t="shared" si="1454"/>
        <v>0</v>
      </c>
      <c r="AM1905" s="1707">
        <f t="shared" si="1454"/>
        <v>0</v>
      </c>
      <c r="AN1905" s="1707">
        <f t="shared" si="1454"/>
        <v>0</v>
      </c>
      <c r="AO1905" s="1707">
        <f t="shared" si="1454"/>
        <v>0</v>
      </c>
      <c r="AP1905" s="1707">
        <f t="shared" si="1454"/>
        <v>0</v>
      </c>
      <c r="AQ1905" s="1708">
        <f t="shared" si="1454"/>
        <v>0</v>
      </c>
    </row>
    <row r="1906" spans="2:43" ht="13.75" hidden="1" customHeight="1" x14ac:dyDescent="0.2">
      <c r="B1906" s="1195"/>
      <c r="C1906" s="193">
        <f t="shared" si="1429"/>
        <v>0</v>
      </c>
      <c r="D1906" s="193"/>
      <c r="E1906" s="254"/>
      <c r="F1906" s="193"/>
      <c r="G1906" s="193"/>
      <c r="H1906" s="254"/>
      <c r="I1906" s="1707">
        <f t="shared" ref="I1906:T1906" si="1455">SUMIF($V$332:$V$365,$B1654&amp;"propia",I$332:I$365)</f>
        <v>0</v>
      </c>
      <c r="J1906" s="1707">
        <f t="shared" si="1455"/>
        <v>0</v>
      </c>
      <c r="K1906" s="1707">
        <f t="shared" si="1455"/>
        <v>0</v>
      </c>
      <c r="L1906" s="1707">
        <f t="shared" si="1455"/>
        <v>0</v>
      </c>
      <c r="M1906" s="1707">
        <f t="shared" si="1455"/>
        <v>0</v>
      </c>
      <c r="N1906" s="1707">
        <f t="shared" si="1455"/>
        <v>0</v>
      </c>
      <c r="O1906" s="1707">
        <f t="shared" si="1455"/>
        <v>0</v>
      </c>
      <c r="P1906" s="1707">
        <f t="shared" si="1455"/>
        <v>0</v>
      </c>
      <c r="Q1906" s="1707">
        <f t="shared" si="1455"/>
        <v>0</v>
      </c>
      <c r="R1906" s="1707">
        <f t="shared" si="1455"/>
        <v>0</v>
      </c>
      <c r="S1906" s="1707">
        <f t="shared" si="1455"/>
        <v>0</v>
      </c>
      <c r="T1906" s="1708">
        <f t="shared" si="1455"/>
        <v>0</v>
      </c>
      <c r="Y1906" s="1195"/>
      <c r="Z1906" s="193">
        <f t="shared" si="1431"/>
        <v>0</v>
      </c>
      <c r="AA1906" s="193"/>
      <c r="AB1906" s="254"/>
      <c r="AC1906" s="193"/>
      <c r="AD1906" s="193"/>
      <c r="AE1906" s="254"/>
      <c r="AF1906" s="1707">
        <f t="shared" ref="AF1906:AQ1906" si="1456">SUMIF($AS$332:$AS$365,$B1654&amp;"propia",AF$332:AF$365)</f>
        <v>0</v>
      </c>
      <c r="AG1906" s="1707">
        <f t="shared" si="1456"/>
        <v>0</v>
      </c>
      <c r="AH1906" s="1707">
        <f t="shared" si="1456"/>
        <v>0</v>
      </c>
      <c r="AI1906" s="1707">
        <f t="shared" si="1456"/>
        <v>0</v>
      </c>
      <c r="AJ1906" s="1707">
        <f t="shared" si="1456"/>
        <v>0</v>
      </c>
      <c r="AK1906" s="1707">
        <f t="shared" si="1456"/>
        <v>0</v>
      </c>
      <c r="AL1906" s="1707">
        <f t="shared" si="1456"/>
        <v>0</v>
      </c>
      <c r="AM1906" s="1707">
        <f t="shared" si="1456"/>
        <v>0</v>
      </c>
      <c r="AN1906" s="1707">
        <f t="shared" si="1456"/>
        <v>0</v>
      </c>
      <c r="AO1906" s="1707">
        <f t="shared" si="1456"/>
        <v>0</v>
      </c>
      <c r="AP1906" s="1707">
        <f t="shared" si="1456"/>
        <v>0</v>
      </c>
      <c r="AQ1906" s="1708">
        <f t="shared" si="1456"/>
        <v>0</v>
      </c>
    </row>
    <row r="1907" spans="2:43" ht="14.4" hidden="1" customHeight="1" thickBot="1" x14ac:dyDescent="0.25">
      <c r="B1907" s="1198"/>
      <c r="C1907" s="1199">
        <f t="shared" si="1429"/>
        <v>0</v>
      </c>
      <c r="D1907" s="1199"/>
      <c r="E1907" s="1209"/>
      <c r="F1907" s="1199"/>
      <c r="G1907" s="1199"/>
      <c r="H1907" s="1209"/>
      <c r="I1907" s="1709">
        <f t="shared" ref="I1907:T1907" si="1457">SUMIF($V$332:$V$365,$B1655&amp;"propia",I$332:I$365)</f>
        <v>0</v>
      </c>
      <c r="J1907" s="1709">
        <f t="shared" si="1457"/>
        <v>0</v>
      </c>
      <c r="K1907" s="1709">
        <f t="shared" si="1457"/>
        <v>0</v>
      </c>
      <c r="L1907" s="1709">
        <f t="shared" si="1457"/>
        <v>0</v>
      </c>
      <c r="M1907" s="1709">
        <f t="shared" si="1457"/>
        <v>0</v>
      </c>
      <c r="N1907" s="1709">
        <f t="shared" si="1457"/>
        <v>0</v>
      </c>
      <c r="O1907" s="1709">
        <f t="shared" si="1457"/>
        <v>0</v>
      </c>
      <c r="P1907" s="1709">
        <f t="shared" si="1457"/>
        <v>0</v>
      </c>
      <c r="Q1907" s="1709">
        <f t="shared" si="1457"/>
        <v>0</v>
      </c>
      <c r="R1907" s="1709">
        <f t="shared" si="1457"/>
        <v>0</v>
      </c>
      <c r="S1907" s="1709">
        <f t="shared" si="1457"/>
        <v>0</v>
      </c>
      <c r="T1907" s="1710">
        <f t="shared" si="1457"/>
        <v>0</v>
      </c>
      <c r="Y1907" s="1198"/>
      <c r="Z1907" s="1199">
        <f t="shared" si="1431"/>
        <v>0</v>
      </c>
      <c r="AA1907" s="1199"/>
      <c r="AB1907" s="1209"/>
      <c r="AC1907" s="1199"/>
      <c r="AD1907" s="1199"/>
      <c r="AE1907" s="1209"/>
      <c r="AF1907" s="1709">
        <f t="shared" ref="AF1907:AQ1907" si="1458">SUMIF($AS$332:$AS$365,$B1655&amp;"propia",AF$332:AF$365)</f>
        <v>0</v>
      </c>
      <c r="AG1907" s="1709">
        <f t="shared" si="1458"/>
        <v>0</v>
      </c>
      <c r="AH1907" s="1709">
        <f t="shared" si="1458"/>
        <v>0</v>
      </c>
      <c r="AI1907" s="1709">
        <f t="shared" si="1458"/>
        <v>0</v>
      </c>
      <c r="AJ1907" s="1709">
        <f t="shared" si="1458"/>
        <v>0</v>
      </c>
      <c r="AK1907" s="1709">
        <f t="shared" si="1458"/>
        <v>0</v>
      </c>
      <c r="AL1907" s="1709">
        <f t="shared" si="1458"/>
        <v>0</v>
      </c>
      <c r="AM1907" s="1709">
        <f t="shared" si="1458"/>
        <v>0</v>
      </c>
      <c r="AN1907" s="1709">
        <f t="shared" si="1458"/>
        <v>0</v>
      </c>
      <c r="AO1907" s="1709">
        <f t="shared" si="1458"/>
        <v>0</v>
      </c>
      <c r="AP1907" s="1709">
        <f t="shared" si="1458"/>
        <v>0</v>
      </c>
      <c r="AQ1907" s="1710">
        <f t="shared" si="1458"/>
        <v>0</v>
      </c>
    </row>
    <row r="1908" spans="2:43" ht="14.4" hidden="1" customHeight="1" thickTop="1" x14ac:dyDescent="0.2">
      <c r="B1908" s="1584" t="s">
        <v>2020</v>
      </c>
      <c r="C1908" s="1194" t="s">
        <v>2018</v>
      </c>
      <c r="D1908" s="1194"/>
      <c r="E1908" s="1210"/>
      <c r="F1908" s="1194"/>
      <c r="G1908" s="1194"/>
      <c r="H1908" s="1210"/>
      <c r="I1908" s="1210"/>
      <c r="J1908" s="1210"/>
      <c r="K1908" s="1210"/>
      <c r="L1908" s="1210"/>
      <c r="M1908" s="1210"/>
      <c r="N1908" s="1210"/>
      <c r="O1908" s="1210"/>
      <c r="P1908" s="1210"/>
      <c r="Q1908" s="1210"/>
      <c r="R1908" s="1210"/>
      <c r="S1908" s="1210"/>
      <c r="T1908" s="1585"/>
      <c r="Y1908" s="1584" t="s">
        <v>2020</v>
      </c>
      <c r="Z1908" s="1194" t="str">
        <f t="shared" si="1431"/>
        <v>Gasoli (Litros/unidad)</v>
      </c>
      <c r="AA1908" s="1194"/>
      <c r="AB1908" s="1210"/>
      <c r="AC1908" s="1194"/>
      <c r="AD1908" s="1194"/>
      <c r="AE1908" s="1210"/>
      <c r="AF1908" s="1210"/>
      <c r="AG1908" s="1210"/>
      <c r="AH1908" s="1210"/>
      <c r="AI1908" s="1210"/>
      <c r="AJ1908" s="1210"/>
      <c r="AK1908" s="1210"/>
      <c r="AL1908" s="1210"/>
      <c r="AM1908" s="1210"/>
      <c r="AN1908" s="1210"/>
      <c r="AO1908" s="1210"/>
      <c r="AP1908" s="1210"/>
      <c r="AQ1908" s="1585"/>
    </row>
    <row r="1909" spans="2:43" ht="13.75" hidden="1" customHeight="1" x14ac:dyDescent="0.2">
      <c r="B1909" s="1195" t="s">
        <v>2022</v>
      </c>
      <c r="C1909" s="193">
        <f t="shared" ref="C1909:C1922" si="1459">+C1873</f>
        <v>5</v>
      </c>
      <c r="D1909" s="193"/>
      <c r="E1909" s="254"/>
      <c r="F1909" s="193"/>
      <c r="G1909" s="193"/>
      <c r="H1909" s="254"/>
      <c r="I1909" s="1705">
        <f>SUMIF($V$332:$V$365,$B1657&amp;"contratada",I$332:I$365)</f>
        <v>0</v>
      </c>
      <c r="J1909" s="1705">
        <f t="shared" ref="J1909:T1909" si="1460">SUMIF($V$332:$V$365,$B1657&amp;"contratada",J$332:J$365)</f>
        <v>0</v>
      </c>
      <c r="K1909" s="1705">
        <f t="shared" si="1460"/>
        <v>0</v>
      </c>
      <c r="L1909" s="1705">
        <f t="shared" si="1460"/>
        <v>0</v>
      </c>
      <c r="M1909" s="1705">
        <f t="shared" si="1460"/>
        <v>0</v>
      </c>
      <c r="N1909" s="1705">
        <f t="shared" si="1460"/>
        <v>0</v>
      </c>
      <c r="O1909" s="1705">
        <f t="shared" si="1460"/>
        <v>0</v>
      </c>
      <c r="P1909" s="1705">
        <f t="shared" si="1460"/>
        <v>0</v>
      </c>
      <c r="Q1909" s="1705">
        <f t="shared" si="1460"/>
        <v>0</v>
      </c>
      <c r="R1909" s="1705">
        <f t="shared" si="1460"/>
        <v>0</v>
      </c>
      <c r="S1909" s="1705">
        <f t="shared" si="1460"/>
        <v>0</v>
      </c>
      <c r="T1909" s="1706">
        <f t="shared" si="1460"/>
        <v>0</v>
      </c>
      <c r="Y1909" s="1195" t="s">
        <v>2022</v>
      </c>
      <c r="Z1909" s="193">
        <f t="shared" si="1431"/>
        <v>5</v>
      </c>
      <c r="AA1909" s="193"/>
      <c r="AB1909" s="254"/>
      <c r="AC1909" s="193"/>
      <c r="AD1909" s="193"/>
      <c r="AE1909" s="254"/>
      <c r="AF1909" s="1705">
        <f>SUMIF($AS$332:$AS$365,$B1657&amp;"contratada",AF$332:AF$365)</f>
        <v>0</v>
      </c>
      <c r="AG1909" s="1705">
        <f t="shared" ref="AG1909:AQ1909" si="1461">SUMIF($AS$332:$AS$365,$B1657&amp;"contratada",AG$332:AG$365)</f>
        <v>0</v>
      </c>
      <c r="AH1909" s="1705">
        <f t="shared" si="1461"/>
        <v>0</v>
      </c>
      <c r="AI1909" s="1705">
        <f t="shared" si="1461"/>
        <v>0</v>
      </c>
      <c r="AJ1909" s="1705">
        <f t="shared" si="1461"/>
        <v>0</v>
      </c>
      <c r="AK1909" s="1705">
        <f t="shared" si="1461"/>
        <v>0</v>
      </c>
      <c r="AL1909" s="1705">
        <f t="shared" si="1461"/>
        <v>0</v>
      </c>
      <c r="AM1909" s="1705">
        <f t="shared" si="1461"/>
        <v>0</v>
      </c>
      <c r="AN1909" s="1705">
        <f t="shared" si="1461"/>
        <v>0</v>
      </c>
      <c r="AO1909" s="1705">
        <f t="shared" si="1461"/>
        <v>0</v>
      </c>
      <c r="AP1909" s="1705">
        <f t="shared" si="1461"/>
        <v>0</v>
      </c>
      <c r="AQ1909" s="1706">
        <f t="shared" si="1461"/>
        <v>0</v>
      </c>
    </row>
    <row r="1910" spans="2:43" ht="13.75" hidden="1" customHeight="1" x14ac:dyDescent="0.2">
      <c r="B1910" s="1195"/>
      <c r="C1910" s="193">
        <f t="shared" si="1459"/>
        <v>5</v>
      </c>
      <c r="D1910" s="193"/>
      <c r="E1910" s="254"/>
      <c r="F1910" s="193"/>
      <c r="G1910" s="193"/>
      <c r="H1910" s="254"/>
      <c r="I1910" s="1707">
        <f t="shared" ref="I1910:T1910" si="1462">SUMIF($V$332:$V$365,$B1658&amp;"contratada",I$332:I$365)</f>
        <v>0</v>
      </c>
      <c r="J1910" s="1707">
        <f t="shared" si="1462"/>
        <v>0</v>
      </c>
      <c r="K1910" s="1707">
        <f t="shared" si="1462"/>
        <v>0</v>
      </c>
      <c r="L1910" s="1707">
        <f t="shared" si="1462"/>
        <v>0</v>
      </c>
      <c r="M1910" s="1707">
        <f t="shared" si="1462"/>
        <v>0</v>
      </c>
      <c r="N1910" s="1707">
        <f t="shared" si="1462"/>
        <v>0</v>
      </c>
      <c r="O1910" s="1707">
        <f t="shared" si="1462"/>
        <v>0</v>
      </c>
      <c r="P1910" s="1707">
        <f t="shared" si="1462"/>
        <v>0</v>
      </c>
      <c r="Q1910" s="1707">
        <f t="shared" si="1462"/>
        <v>0</v>
      </c>
      <c r="R1910" s="1707">
        <f t="shared" si="1462"/>
        <v>0</v>
      </c>
      <c r="S1910" s="1707">
        <f t="shared" si="1462"/>
        <v>0</v>
      </c>
      <c r="T1910" s="1708">
        <f t="shared" si="1462"/>
        <v>0</v>
      </c>
      <c r="Y1910" s="1195"/>
      <c r="Z1910" s="193">
        <f t="shared" si="1431"/>
        <v>5</v>
      </c>
      <c r="AA1910" s="193"/>
      <c r="AB1910" s="254"/>
      <c r="AC1910" s="193"/>
      <c r="AD1910" s="193"/>
      <c r="AE1910" s="254"/>
      <c r="AF1910" s="1707">
        <f t="shared" ref="AF1910:AQ1910" si="1463">SUMIF($AS$332:$AS$365,$B1658&amp;"contratada",AF$332:AF$365)</f>
        <v>0</v>
      </c>
      <c r="AG1910" s="1707">
        <f t="shared" si="1463"/>
        <v>0</v>
      </c>
      <c r="AH1910" s="1707">
        <f t="shared" si="1463"/>
        <v>0</v>
      </c>
      <c r="AI1910" s="1707">
        <f t="shared" si="1463"/>
        <v>0</v>
      </c>
      <c r="AJ1910" s="1707">
        <f t="shared" si="1463"/>
        <v>0</v>
      </c>
      <c r="AK1910" s="1707">
        <f t="shared" si="1463"/>
        <v>0</v>
      </c>
      <c r="AL1910" s="1707">
        <f t="shared" si="1463"/>
        <v>0</v>
      </c>
      <c r="AM1910" s="1707">
        <f t="shared" si="1463"/>
        <v>0</v>
      </c>
      <c r="AN1910" s="1707">
        <f t="shared" si="1463"/>
        <v>0</v>
      </c>
      <c r="AO1910" s="1707">
        <f t="shared" si="1463"/>
        <v>0</v>
      </c>
      <c r="AP1910" s="1707">
        <f t="shared" si="1463"/>
        <v>0</v>
      </c>
      <c r="AQ1910" s="1708">
        <f t="shared" si="1463"/>
        <v>0</v>
      </c>
    </row>
    <row r="1911" spans="2:43" ht="13.75" hidden="1" customHeight="1" x14ac:dyDescent="0.2">
      <c r="B1911" s="1195"/>
      <c r="C1911" s="193">
        <f t="shared" si="1459"/>
        <v>1.5</v>
      </c>
      <c r="D1911" s="193"/>
      <c r="E1911" s="254"/>
      <c r="F1911" s="193"/>
      <c r="G1911" s="193"/>
      <c r="H1911" s="254"/>
      <c r="I1911" s="1707">
        <f t="shared" ref="I1911:T1911" si="1464">SUMIF($V$332:$V$365,$B1659&amp;"contratada",I$332:I$365)</f>
        <v>0</v>
      </c>
      <c r="J1911" s="1707">
        <f t="shared" si="1464"/>
        <v>0</v>
      </c>
      <c r="K1911" s="1707">
        <f t="shared" si="1464"/>
        <v>0</v>
      </c>
      <c r="L1911" s="1707">
        <f t="shared" si="1464"/>
        <v>0</v>
      </c>
      <c r="M1911" s="1707">
        <f t="shared" si="1464"/>
        <v>0</v>
      </c>
      <c r="N1911" s="1707">
        <f t="shared" si="1464"/>
        <v>0</v>
      </c>
      <c r="O1911" s="1707">
        <f t="shared" si="1464"/>
        <v>0</v>
      </c>
      <c r="P1911" s="1707">
        <f t="shared" si="1464"/>
        <v>0</v>
      </c>
      <c r="Q1911" s="1707">
        <f t="shared" si="1464"/>
        <v>0</v>
      </c>
      <c r="R1911" s="1707">
        <f t="shared" si="1464"/>
        <v>0</v>
      </c>
      <c r="S1911" s="1707">
        <f t="shared" si="1464"/>
        <v>0</v>
      </c>
      <c r="T1911" s="1708">
        <f t="shared" si="1464"/>
        <v>0</v>
      </c>
      <c r="Y1911" s="1195"/>
      <c r="Z1911" s="193">
        <f t="shared" si="1431"/>
        <v>1.5</v>
      </c>
      <c r="AA1911" s="193"/>
      <c r="AB1911" s="254"/>
      <c r="AC1911" s="193"/>
      <c r="AD1911" s="193"/>
      <c r="AE1911" s="254"/>
      <c r="AF1911" s="1707">
        <f t="shared" ref="AF1911:AQ1911" si="1465">SUMIF($AS$332:$AS$365,$B1659&amp;"contratada",AF$332:AF$365)</f>
        <v>0</v>
      </c>
      <c r="AG1911" s="1707">
        <f t="shared" si="1465"/>
        <v>0</v>
      </c>
      <c r="AH1911" s="1707">
        <f t="shared" si="1465"/>
        <v>0</v>
      </c>
      <c r="AI1911" s="1707">
        <f t="shared" si="1465"/>
        <v>0</v>
      </c>
      <c r="AJ1911" s="1707">
        <f t="shared" si="1465"/>
        <v>0</v>
      </c>
      <c r="AK1911" s="1707">
        <f t="shared" si="1465"/>
        <v>0</v>
      </c>
      <c r="AL1911" s="1707">
        <f t="shared" si="1465"/>
        <v>0</v>
      </c>
      <c r="AM1911" s="1707">
        <f t="shared" si="1465"/>
        <v>0</v>
      </c>
      <c r="AN1911" s="1707">
        <f t="shared" si="1465"/>
        <v>0</v>
      </c>
      <c r="AO1911" s="1707">
        <f t="shared" si="1465"/>
        <v>0</v>
      </c>
      <c r="AP1911" s="1707">
        <f t="shared" si="1465"/>
        <v>0</v>
      </c>
      <c r="AQ1911" s="1708">
        <f t="shared" si="1465"/>
        <v>0</v>
      </c>
    </row>
    <row r="1912" spans="2:43" ht="13.75" hidden="1" customHeight="1" x14ac:dyDescent="0.2">
      <c r="B1912" s="1195"/>
      <c r="C1912" s="193">
        <f t="shared" si="1459"/>
        <v>1.5</v>
      </c>
      <c r="D1912" s="193"/>
      <c r="E1912" s="254"/>
      <c r="F1912" s="193"/>
      <c r="G1912" s="193"/>
      <c r="H1912" s="254"/>
      <c r="I1912" s="1707">
        <f t="shared" ref="I1912:T1912" si="1466">SUMIF($V$332:$V$365,$B1660&amp;"contratada",I$332:I$365)</f>
        <v>0</v>
      </c>
      <c r="J1912" s="1707">
        <f t="shared" si="1466"/>
        <v>0</v>
      </c>
      <c r="K1912" s="1707">
        <f t="shared" si="1466"/>
        <v>0</v>
      </c>
      <c r="L1912" s="1707">
        <f t="shared" si="1466"/>
        <v>0</v>
      </c>
      <c r="M1912" s="1707">
        <f t="shared" si="1466"/>
        <v>0</v>
      </c>
      <c r="N1912" s="1707">
        <f t="shared" si="1466"/>
        <v>0</v>
      </c>
      <c r="O1912" s="1707">
        <f t="shared" si="1466"/>
        <v>0</v>
      </c>
      <c r="P1912" s="1707">
        <f t="shared" si="1466"/>
        <v>0</v>
      </c>
      <c r="Q1912" s="1707">
        <f t="shared" si="1466"/>
        <v>0</v>
      </c>
      <c r="R1912" s="1707">
        <f t="shared" si="1466"/>
        <v>0</v>
      </c>
      <c r="S1912" s="1707">
        <f t="shared" si="1466"/>
        <v>0</v>
      </c>
      <c r="T1912" s="1708">
        <f t="shared" si="1466"/>
        <v>0</v>
      </c>
      <c r="Y1912" s="1195"/>
      <c r="Z1912" s="193">
        <f t="shared" si="1431"/>
        <v>1.5</v>
      </c>
      <c r="AA1912" s="193"/>
      <c r="AB1912" s="254"/>
      <c r="AC1912" s="193"/>
      <c r="AD1912" s="193"/>
      <c r="AE1912" s="254"/>
      <c r="AF1912" s="1707">
        <f t="shared" ref="AF1912:AQ1912" si="1467">SUMIF($AS$332:$AS$365,$B1660&amp;"contratada",AF$332:AF$365)</f>
        <v>0</v>
      </c>
      <c r="AG1912" s="1707">
        <f t="shared" si="1467"/>
        <v>0</v>
      </c>
      <c r="AH1912" s="1707">
        <f t="shared" si="1467"/>
        <v>0</v>
      </c>
      <c r="AI1912" s="1707">
        <f t="shared" si="1467"/>
        <v>0</v>
      </c>
      <c r="AJ1912" s="1707">
        <f t="shared" si="1467"/>
        <v>0</v>
      </c>
      <c r="AK1912" s="1707">
        <f t="shared" si="1467"/>
        <v>0</v>
      </c>
      <c r="AL1912" s="1707">
        <f t="shared" si="1467"/>
        <v>0</v>
      </c>
      <c r="AM1912" s="1707">
        <f t="shared" si="1467"/>
        <v>0</v>
      </c>
      <c r="AN1912" s="1707">
        <f t="shared" si="1467"/>
        <v>0</v>
      </c>
      <c r="AO1912" s="1707">
        <f t="shared" si="1467"/>
        <v>0</v>
      </c>
      <c r="AP1912" s="1707">
        <f t="shared" si="1467"/>
        <v>0</v>
      </c>
      <c r="AQ1912" s="1708">
        <f t="shared" si="1467"/>
        <v>0</v>
      </c>
    </row>
    <row r="1913" spans="2:43" ht="13.75" hidden="1" customHeight="1" x14ac:dyDescent="0.2">
      <c r="B1913" s="1195"/>
      <c r="C1913" s="193">
        <f t="shared" si="1459"/>
        <v>3</v>
      </c>
      <c r="D1913" s="193"/>
      <c r="E1913" s="254"/>
      <c r="F1913" s="193"/>
      <c r="G1913" s="193"/>
      <c r="H1913" s="254"/>
      <c r="I1913" s="1707">
        <f t="shared" ref="I1913:T1913" si="1468">SUMIF($V$332:$V$365,$B1661&amp;"contratada",I$332:I$365)</f>
        <v>0</v>
      </c>
      <c r="J1913" s="1707">
        <f t="shared" si="1468"/>
        <v>0</v>
      </c>
      <c r="K1913" s="1707">
        <f t="shared" si="1468"/>
        <v>0</v>
      </c>
      <c r="L1913" s="1707">
        <f t="shared" si="1468"/>
        <v>0</v>
      </c>
      <c r="M1913" s="1707">
        <f t="shared" si="1468"/>
        <v>0</v>
      </c>
      <c r="N1913" s="1707">
        <f t="shared" si="1468"/>
        <v>0</v>
      </c>
      <c r="O1913" s="1707">
        <f t="shared" si="1468"/>
        <v>0</v>
      </c>
      <c r="P1913" s="1707">
        <f t="shared" si="1468"/>
        <v>0</v>
      </c>
      <c r="Q1913" s="1707">
        <f t="shared" si="1468"/>
        <v>0</v>
      </c>
      <c r="R1913" s="1707">
        <f t="shared" si="1468"/>
        <v>0</v>
      </c>
      <c r="S1913" s="1707">
        <f t="shared" si="1468"/>
        <v>0</v>
      </c>
      <c r="T1913" s="1708">
        <f t="shared" si="1468"/>
        <v>0</v>
      </c>
      <c r="Y1913" s="1195"/>
      <c r="Z1913" s="193">
        <f t="shared" si="1431"/>
        <v>3</v>
      </c>
      <c r="AA1913" s="193"/>
      <c r="AB1913" s="254"/>
      <c r="AC1913" s="193"/>
      <c r="AD1913" s="193"/>
      <c r="AE1913" s="254"/>
      <c r="AF1913" s="1707">
        <f t="shared" ref="AF1913:AQ1913" si="1469">SUMIF($AS$332:$AS$365,$B1661&amp;"contratada",AF$332:AF$365)</f>
        <v>0</v>
      </c>
      <c r="AG1913" s="1707">
        <f t="shared" si="1469"/>
        <v>0</v>
      </c>
      <c r="AH1913" s="1707">
        <f t="shared" si="1469"/>
        <v>0</v>
      </c>
      <c r="AI1913" s="1707">
        <f t="shared" si="1469"/>
        <v>0</v>
      </c>
      <c r="AJ1913" s="1707">
        <f t="shared" si="1469"/>
        <v>0</v>
      </c>
      <c r="AK1913" s="1707">
        <f t="shared" si="1469"/>
        <v>0</v>
      </c>
      <c r="AL1913" s="1707">
        <f t="shared" si="1469"/>
        <v>0</v>
      </c>
      <c r="AM1913" s="1707">
        <f t="shared" si="1469"/>
        <v>0</v>
      </c>
      <c r="AN1913" s="1707">
        <f t="shared" si="1469"/>
        <v>0</v>
      </c>
      <c r="AO1913" s="1707">
        <f t="shared" si="1469"/>
        <v>0</v>
      </c>
      <c r="AP1913" s="1707">
        <f t="shared" si="1469"/>
        <v>0</v>
      </c>
      <c r="AQ1913" s="1708">
        <f t="shared" si="1469"/>
        <v>0</v>
      </c>
    </row>
    <row r="1914" spans="2:43" ht="13.75" hidden="1" customHeight="1" x14ac:dyDescent="0.2">
      <c r="B1914" s="1195"/>
      <c r="C1914" s="193">
        <f t="shared" si="1459"/>
        <v>3</v>
      </c>
      <c r="D1914" s="193"/>
      <c r="E1914" s="254"/>
      <c r="F1914" s="193"/>
      <c r="G1914" s="193"/>
      <c r="H1914" s="254"/>
      <c r="I1914" s="1707">
        <f t="shared" ref="I1914:T1914" si="1470">SUMIF($V$332:$V$365,$B1662&amp;"contratada",I$332:I$365)</f>
        <v>0</v>
      </c>
      <c r="J1914" s="1707">
        <f t="shared" si="1470"/>
        <v>0</v>
      </c>
      <c r="K1914" s="1707">
        <f t="shared" si="1470"/>
        <v>0</v>
      </c>
      <c r="L1914" s="1707">
        <f t="shared" si="1470"/>
        <v>0</v>
      </c>
      <c r="M1914" s="1707">
        <f t="shared" si="1470"/>
        <v>0</v>
      </c>
      <c r="N1914" s="1707">
        <f t="shared" si="1470"/>
        <v>0</v>
      </c>
      <c r="O1914" s="1707">
        <f t="shared" si="1470"/>
        <v>0</v>
      </c>
      <c r="P1914" s="1707">
        <f t="shared" si="1470"/>
        <v>0</v>
      </c>
      <c r="Q1914" s="1707">
        <f t="shared" si="1470"/>
        <v>0</v>
      </c>
      <c r="R1914" s="1707">
        <f t="shared" si="1470"/>
        <v>0</v>
      </c>
      <c r="S1914" s="1707">
        <f t="shared" si="1470"/>
        <v>0</v>
      </c>
      <c r="T1914" s="1708">
        <f t="shared" si="1470"/>
        <v>0</v>
      </c>
      <c r="Y1914" s="1195"/>
      <c r="Z1914" s="193">
        <f t="shared" si="1431"/>
        <v>3</v>
      </c>
      <c r="AA1914" s="193"/>
      <c r="AB1914" s="254"/>
      <c r="AC1914" s="193"/>
      <c r="AD1914" s="193"/>
      <c r="AE1914" s="254"/>
      <c r="AF1914" s="1707">
        <f t="shared" ref="AF1914:AQ1914" si="1471">SUMIF($AS$332:$AS$365,$B1662&amp;"contratada",AF$332:AF$365)</f>
        <v>0</v>
      </c>
      <c r="AG1914" s="1707">
        <f t="shared" si="1471"/>
        <v>0</v>
      </c>
      <c r="AH1914" s="1707">
        <f t="shared" si="1471"/>
        <v>0</v>
      </c>
      <c r="AI1914" s="1707">
        <f t="shared" si="1471"/>
        <v>0</v>
      </c>
      <c r="AJ1914" s="1707">
        <f t="shared" si="1471"/>
        <v>0</v>
      </c>
      <c r="AK1914" s="1707">
        <f t="shared" si="1471"/>
        <v>0</v>
      </c>
      <c r="AL1914" s="1707">
        <f t="shared" si="1471"/>
        <v>0</v>
      </c>
      <c r="AM1914" s="1707">
        <f t="shared" si="1471"/>
        <v>0</v>
      </c>
      <c r="AN1914" s="1707">
        <f t="shared" si="1471"/>
        <v>0</v>
      </c>
      <c r="AO1914" s="1707">
        <f t="shared" si="1471"/>
        <v>0</v>
      </c>
      <c r="AP1914" s="1707">
        <f t="shared" si="1471"/>
        <v>0</v>
      </c>
      <c r="AQ1914" s="1708">
        <f t="shared" si="1471"/>
        <v>0</v>
      </c>
    </row>
    <row r="1915" spans="2:43" ht="13.75" hidden="1" customHeight="1" x14ac:dyDescent="0.2">
      <c r="B1915" s="1195"/>
      <c r="C1915" s="193">
        <f t="shared" si="1459"/>
        <v>9</v>
      </c>
      <c r="D1915" s="193"/>
      <c r="E1915" s="254"/>
      <c r="F1915" s="193"/>
      <c r="G1915" s="193"/>
      <c r="H1915" s="254"/>
      <c r="I1915" s="1707">
        <f t="shared" ref="I1915:T1915" si="1472">SUMIF($V$332:$V$365,$B1663&amp;"contratada",I$332:I$365)</f>
        <v>0</v>
      </c>
      <c r="J1915" s="1707">
        <f t="shared" si="1472"/>
        <v>0</v>
      </c>
      <c r="K1915" s="1707">
        <f t="shared" si="1472"/>
        <v>0</v>
      </c>
      <c r="L1915" s="1707">
        <f t="shared" si="1472"/>
        <v>0</v>
      </c>
      <c r="M1915" s="1707">
        <f t="shared" si="1472"/>
        <v>0</v>
      </c>
      <c r="N1915" s="1707">
        <f t="shared" si="1472"/>
        <v>0</v>
      </c>
      <c r="O1915" s="1707">
        <f t="shared" si="1472"/>
        <v>0</v>
      </c>
      <c r="P1915" s="1707">
        <f t="shared" si="1472"/>
        <v>0</v>
      </c>
      <c r="Q1915" s="1707">
        <f t="shared" si="1472"/>
        <v>0</v>
      </c>
      <c r="R1915" s="1707">
        <f t="shared" si="1472"/>
        <v>0</v>
      </c>
      <c r="S1915" s="1707">
        <f t="shared" si="1472"/>
        <v>0</v>
      </c>
      <c r="T1915" s="1708">
        <f t="shared" si="1472"/>
        <v>0</v>
      </c>
      <c r="Y1915" s="1195"/>
      <c r="Z1915" s="193">
        <f t="shared" si="1431"/>
        <v>9</v>
      </c>
      <c r="AA1915" s="193"/>
      <c r="AB1915" s="254"/>
      <c r="AC1915" s="193"/>
      <c r="AD1915" s="193"/>
      <c r="AE1915" s="254"/>
      <c r="AF1915" s="1707">
        <f t="shared" ref="AF1915:AQ1915" si="1473">SUMIF($AS$332:$AS$365,$B1663&amp;"contratada",AF$332:AF$365)</f>
        <v>0</v>
      </c>
      <c r="AG1915" s="1707">
        <f t="shared" si="1473"/>
        <v>0</v>
      </c>
      <c r="AH1915" s="1707">
        <f t="shared" si="1473"/>
        <v>0</v>
      </c>
      <c r="AI1915" s="1707">
        <f t="shared" si="1473"/>
        <v>0</v>
      </c>
      <c r="AJ1915" s="1707">
        <f t="shared" si="1473"/>
        <v>0</v>
      </c>
      <c r="AK1915" s="1707">
        <f t="shared" si="1473"/>
        <v>0</v>
      </c>
      <c r="AL1915" s="1707">
        <f t="shared" si="1473"/>
        <v>0</v>
      </c>
      <c r="AM1915" s="1707">
        <f t="shared" si="1473"/>
        <v>0</v>
      </c>
      <c r="AN1915" s="1707">
        <f t="shared" si="1473"/>
        <v>0</v>
      </c>
      <c r="AO1915" s="1707">
        <f t="shared" si="1473"/>
        <v>0</v>
      </c>
      <c r="AP1915" s="1707">
        <f t="shared" si="1473"/>
        <v>0</v>
      </c>
      <c r="AQ1915" s="1708">
        <f t="shared" si="1473"/>
        <v>0</v>
      </c>
    </row>
    <row r="1916" spans="2:43" ht="13.75" hidden="1" customHeight="1" x14ac:dyDescent="0.2">
      <c r="B1916" s="1195"/>
      <c r="C1916" s="193">
        <f t="shared" si="1459"/>
        <v>0</v>
      </c>
      <c r="D1916" s="193"/>
      <c r="E1916" s="254"/>
      <c r="F1916" s="193"/>
      <c r="G1916" s="193"/>
      <c r="H1916" s="254"/>
      <c r="I1916" s="1707">
        <f t="shared" ref="I1916:T1916" si="1474">SUMIF($V$332:$V$365,$B1664&amp;"contratada",I$332:I$365)</f>
        <v>0</v>
      </c>
      <c r="J1916" s="1707">
        <f t="shared" si="1474"/>
        <v>0</v>
      </c>
      <c r="K1916" s="1707">
        <f t="shared" si="1474"/>
        <v>0</v>
      </c>
      <c r="L1916" s="1707">
        <f t="shared" si="1474"/>
        <v>0</v>
      </c>
      <c r="M1916" s="1707">
        <f t="shared" si="1474"/>
        <v>0</v>
      </c>
      <c r="N1916" s="1707">
        <f t="shared" si="1474"/>
        <v>0</v>
      </c>
      <c r="O1916" s="1707">
        <f t="shared" si="1474"/>
        <v>0</v>
      </c>
      <c r="P1916" s="1707">
        <f t="shared" si="1474"/>
        <v>0</v>
      </c>
      <c r="Q1916" s="1707">
        <f t="shared" si="1474"/>
        <v>0</v>
      </c>
      <c r="R1916" s="1707">
        <f t="shared" si="1474"/>
        <v>0</v>
      </c>
      <c r="S1916" s="1707">
        <f t="shared" si="1474"/>
        <v>0</v>
      </c>
      <c r="T1916" s="1708">
        <f t="shared" si="1474"/>
        <v>0</v>
      </c>
      <c r="Y1916" s="1195"/>
      <c r="Z1916" s="193">
        <f t="shared" si="1431"/>
        <v>0</v>
      </c>
      <c r="AA1916" s="193"/>
      <c r="AB1916" s="254"/>
      <c r="AC1916" s="193"/>
      <c r="AD1916" s="193"/>
      <c r="AE1916" s="254"/>
      <c r="AF1916" s="1707">
        <f t="shared" ref="AF1916:AQ1916" si="1475">SUMIF($AS$332:$AS$365,$B1664&amp;"contratada",AF$332:AF$365)</f>
        <v>0</v>
      </c>
      <c r="AG1916" s="1707">
        <f t="shared" si="1475"/>
        <v>0</v>
      </c>
      <c r="AH1916" s="1707">
        <f t="shared" si="1475"/>
        <v>0</v>
      </c>
      <c r="AI1916" s="1707">
        <f t="shared" si="1475"/>
        <v>0</v>
      </c>
      <c r="AJ1916" s="1707">
        <f t="shared" si="1475"/>
        <v>0</v>
      </c>
      <c r="AK1916" s="1707">
        <f t="shared" si="1475"/>
        <v>0</v>
      </c>
      <c r="AL1916" s="1707">
        <f t="shared" si="1475"/>
        <v>0</v>
      </c>
      <c r="AM1916" s="1707">
        <f t="shared" si="1475"/>
        <v>0</v>
      </c>
      <c r="AN1916" s="1707">
        <f t="shared" si="1475"/>
        <v>0</v>
      </c>
      <c r="AO1916" s="1707">
        <f t="shared" si="1475"/>
        <v>0</v>
      </c>
      <c r="AP1916" s="1707">
        <f t="shared" si="1475"/>
        <v>0</v>
      </c>
      <c r="AQ1916" s="1708">
        <f t="shared" si="1475"/>
        <v>0</v>
      </c>
    </row>
    <row r="1917" spans="2:43" ht="13.75" hidden="1" customHeight="1" x14ac:dyDescent="0.2">
      <c r="B1917" s="1195"/>
      <c r="C1917" s="193">
        <f t="shared" si="1459"/>
        <v>0</v>
      </c>
      <c r="D1917" s="193"/>
      <c r="E1917" s="254"/>
      <c r="F1917" s="193"/>
      <c r="G1917" s="193"/>
      <c r="H1917" s="254"/>
      <c r="I1917" s="1707">
        <f t="shared" ref="I1917:T1917" si="1476">SUMIF($V$332:$V$365,$B1665&amp;"contratada",I$332:I$365)</f>
        <v>0</v>
      </c>
      <c r="J1917" s="1707">
        <f t="shared" si="1476"/>
        <v>0</v>
      </c>
      <c r="K1917" s="1707">
        <f t="shared" si="1476"/>
        <v>0</v>
      </c>
      <c r="L1917" s="1707">
        <f t="shared" si="1476"/>
        <v>0</v>
      </c>
      <c r="M1917" s="1707">
        <f t="shared" si="1476"/>
        <v>0</v>
      </c>
      <c r="N1917" s="1707">
        <f t="shared" si="1476"/>
        <v>0</v>
      </c>
      <c r="O1917" s="1707">
        <f t="shared" si="1476"/>
        <v>0</v>
      </c>
      <c r="P1917" s="1707">
        <f t="shared" si="1476"/>
        <v>0</v>
      </c>
      <c r="Q1917" s="1707">
        <f t="shared" si="1476"/>
        <v>0</v>
      </c>
      <c r="R1917" s="1707">
        <f t="shared" si="1476"/>
        <v>0</v>
      </c>
      <c r="S1917" s="1707">
        <f t="shared" si="1476"/>
        <v>0</v>
      </c>
      <c r="T1917" s="1708">
        <f t="shared" si="1476"/>
        <v>0</v>
      </c>
      <c r="Y1917" s="1195"/>
      <c r="Z1917" s="193">
        <f t="shared" si="1431"/>
        <v>0</v>
      </c>
      <c r="AA1917" s="193"/>
      <c r="AB1917" s="254"/>
      <c r="AC1917" s="193"/>
      <c r="AD1917" s="193"/>
      <c r="AE1917" s="254"/>
      <c r="AF1917" s="1707">
        <f t="shared" ref="AF1917:AQ1917" si="1477">SUMIF($AS$332:$AS$365,$B1665&amp;"contratada",AF$332:AF$365)</f>
        <v>0</v>
      </c>
      <c r="AG1917" s="1707">
        <f t="shared" si="1477"/>
        <v>0</v>
      </c>
      <c r="AH1917" s="1707">
        <f t="shared" si="1477"/>
        <v>0</v>
      </c>
      <c r="AI1917" s="1707">
        <f t="shared" si="1477"/>
        <v>0</v>
      </c>
      <c r="AJ1917" s="1707">
        <f t="shared" si="1477"/>
        <v>0</v>
      </c>
      <c r="AK1917" s="1707">
        <f t="shared" si="1477"/>
        <v>0</v>
      </c>
      <c r="AL1917" s="1707">
        <f t="shared" si="1477"/>
        <v>0</v>
      </c>
      <c r="AM1917" s="1707">
        <f t="shared" si="1477"/>
        <v>0</v>
      </c>
      <c r="AN1917" s="1707">
        <f t="shared" si="1477"/>
        <v>0</v>
      </c>
      <c r="AO1917" s="1707">
        <f t="shared" si="1477"/>
        <v>0</v>
      </c>
      <c r="AP1917" s="1707">
        <f t="shared" si="1477"/>
        <v>0</v>
      </c>
      <c r="AQ1917" s="1708">
        <f t="shared" si="1477"/>
        <v>0</v>
      </c>
    </row>
    <row r="1918" spans="2:43" ht="13.75" hidden="1" customHeight="1" x14ac:dyDescent="0.2">
      <c r="B1918" s="1195"/>
      <c r="C1918" s="193">
        <f t="shared" si="1459"/>
        <v>0</v>
      </c>
      <c r="D1918" s="193"/>
      <c r="E1918" s="254"/>
      <c r="F1918" s="193"/>
      <c r="G1918" s="193"/>
      <c r="H1918" s="254"/>
      <c r="I1918" s="1707">
        <f t="shared" ref="I1918:T1918" si="1478">SUMIF($V$332:$V$365,$B1666&amp;"contratada",I$332:I$365)</f>
        <v>0</v>
      </c>
      <c r="J1918" s="1707">
        <f t="shared" si="1478"/>
        <v>0</v>
      </c>
      <c r="K1918" s="1707">
        <f t="shared" si="1478"/>
        <v>0</v>
      </c>
      <c r="L1918" s="1707">
        <f t="shared" si="1478"/>
        <v>0</v>
      </c>
      <c r="M1918" s="1707">
        <f t="shared" si="1478"/>
        <v>0</v>
      </c>
      <c r="N1918" s="1707">
        <f t="shared" si="1478"/>
        <v>0</v>
      </c>
      <c r="O1918" s="1707">
        <f t="shared" si="1478"/>
        <v>0</v>
      </c>
      <c r="P1918" s="1707">
        <f t="shared" si="1478"/>
        <v>0</v>
      </c>
      <c r="Q1918" s="1707">
        <f t="shared" si="1478"/>
        <v>0</v>
      </c>
      <c r="R1918" s="1707">
        <f t="shared" si="1478"/>
        <v>0</v>
      </c>
      <c r="S1918" s="1707">
        <f t="shared" si="1478"/>
        <v>0</v>
      </c>
      <c r="T1918" s="1708">
        <f t="shared" si="1478"/>
        <v>0</v>
      </c>
      <c r="Y1918" s="1195"/>
      <c r="Z1918" s="193">
        <f t="shared" si="1431"/>
        <v>0</v>
      </c>
      <c r="AA1918" s="193"/>
      <c r="AB1918" s="254"/>
      <c r="AC1918" s="193"/>
      <c r="AD1918" s="193"/>
      <c r="AE1918" s="254"/>
      <c r="AF1918" s="1707">
        <f t="shared" ref="AF1918:AQ1918" si="1479">SUMIF($AS$332:$AS$365,$B1666&amp;"contratada",AF$332:AF$365)</f>
        <v>0</v>
      </c>
      <c r="AG1918" s="1707">
        <f t="shared" si="1479"/>
        <v>0</v>
      </c>
      <c r="AH1918" s="1707">
        <f t="shared" si="1479"/>
        <v>0</v>
      </c>
      <c r="AI1918" s="1707">
        <f t="shared" si="1479"/>
        <v>0</v>
      </c>
      <c r="AJ1918" s="1707">
        <f t="shared" si="1479"/>
        <v>0</v>
      </c>
      <c r="AK1918" s="1707">
        <f t="shared" si="1479"/>
        <v>0</v>
      </c>
      <c r="AL1918" s="1707">
        <f t="shared" si="1479"/>
        <v>0</v>
      </c>
      <c r="AM1918" s="1707">
        <f t="shared" si="1479"/>
        <v>0</v>
      </c>
      <c r="AN1918" s="1707">
        <f t="shared" si="1479"/>
        <v>0</v>
      </c>
      <c r="AO1918" s="1707">
        <f t="shared" si="1479"/>
        <v>0</v>
      </c>
      <c r="AP1918" s="1707">
        <f t="shared" si="1479"/>
        <v>0</v>
      </c>
      <c r="AQ1918" s="1708">
        <f t="shared" si="1479"/>
        <v>0</v>
      </c>
    </row>
    <row r="1919" spans="2:43" ht="13.75" hidden="1" customHeight="1" x14ac:dyDescent="0.2">
      <c r="B1919" s="1195"/>
      <c r="C1919" s="193">
        <f t="shared" si="1459"/>
        <v>0</v>
      </c>
      <c r="D1919" s="193"/>
      <c r="E1919" s="254"/>
      <c r="F1919" s="193"/>
      <c r="G1919" s="193"/>
      <c r="H1919" s="254"/>
      <c r="I1919" s="1707">
        <f t="shared" ref="I1919:T1919" si="1480">SUMIF($V$332:$V$365,$B1667&amp;"contratada",I$332:I$365)</f>
        <v>0</v>
      </c>
      <c r="J1919" s="1707">
        <f t="shared" si="1480"/>
        <v>0</v>
      </c>
      <c r="K1919" s="1707">
        <f t="shared" si="1480"/>
        <v>0</v>
      </c>
      <c r="L1919" s="1707">
        <f t="shared" si="1480"/>
        <v>0</v>
      </c>
      <c r="M1919" s="1707">
        <f t="shared" si="1480"/>
        <v>0</v>
      </c>
      <c r="N1919" s="1707">
        <f t="shared" si="1480"/>
        <v>0</v>
      </c>
      <c r="O1919" s="1707">
        <f t="shared" si="1480"/>
        <v>0</v>
      </c>
      <c r="P1919" s="1707">
        <f t="shared" si="1480"/>
        <v>0</v>
      </c>
      <c r="Q1919" s="1707">
        <f t="shared" si="1480"/>
        <v>0</v>
      </c>
      <c r="R1919" s="1707">
        <f t="shared" si="1480"/>
        <v>0</v>
      </c>
      <c r="S1919" s="1707">
        <f t="shared" si="1480"/>
        <v>0</v>
      </c>
      <c r="T1919" s="1708">
        <f t="shared" si="1480"/>
        <v>0</v>
      </c>
      <c r="Y1919" s="1195"/>
      <c r="Z1919" s="193">
        <f t="shared" si="1431"/>
        <v>0</v>
      </c>
      <c r="AA1919" s="193"/>
      <c r="AB1919" s="254"/>
      <c r="AC1919" s="193"/>
      <c r="AD1919" s="193"/>
      <c r="AE1919" s="254"/>
      <c r="AF1919" s="1707">
        <f t="shared" ref="AF1919:AQ1919" si="1481">SUMIF($AS$332:$AS$365,$B1667&amp;"contratada",AF$332:AF$365)</f>
        <v>0</v>
      </c>
      <c r="AG1919" s="1707">
        <f t="shared" si="1481"/>
        <v>0</v>
      </c>
      <c r="AH1919" s="1707">
        <f t="shared" si="1481"/>
        <v>0</v>
      </c>
      <c r="AI1919" s="1707">
        <f t="shared" si="1481"/>
        <v>0</v>
      </c>
      <c r="AJ1919" s="1707">
        <f t="shared" si="1481"/>
        <v>0</v>
      </c>
      <c r="AK1919" s="1707">
        <f t="shared" si="1481"/>
        <v>0</v>
      </c>
      <c r="AL1919" s="1707">
        <f t="shared" si="1481"/>
        <v>0</v>
      </c>
      <c r="AM1919" s="1707">
        <f t="shared" si="1481"/>
        <v>0</v>
      </c>
      <c r="AN1919" s="1707">
        <f t="shared" si="1481"/>
        <v>0</v>
      </c>
      <c r="AO1919" s="1707">
        <f t="shared" si="1481"/>
        <v>0</v>
      </c>
      <c r="AP1919" s="1707">
        <f t="shared" si="1481"/>
        <v>0</v>
      </c>
      <c r="AQ1919" s="1708">
        <f t="shared" si="1481"/>
        <v>0</v>
      </c>
    </row>
    <row r="1920" spans="2:43" ht="13.75" hidden="1" customHeight="1" x14ac:dyDescent="0.2">
      <c r="B1920" s="1195"/>
      <c r="C1920" s="193">
        <f t="shared" si="1459"/>
        <v>0</v>
      </c>
      <c r="D1920" s="193"/>
      <c r="E1920" s="254"/>
      <c r="F1920" s="193"/>
      <c r="G1920" s="193"/>
      <c r="H1920" s="254"/>
      <c r="I1920" s="1707">
        <f t="shared" ref="I1920:T1920" si="1482">SUMIF($V$332:$V$365,$B1668&amp;"contratada",I$332:I$365)</f>
        <v>0</v>
      </c>
      <c r="J1920" s="1707">
        <f t="shared" si="1482"/>
        <v>0</v>
      </c>
      <c r="K1920" s="1707">
        <f t="shared" si="1482"/>
        <v>0</v>
      </c>
      <c r="L1920" s="1707">
        <f t="shared" si="1482"/>
        <v>0</v>
      </c>
      <c r="M1920" s="1707">
        <f t="shared" si="1482"/>
        <v>0</v>
      </c>
      <c r="N1920" s="1707">
        <f t="shared" si="1482"/>
        <v>0</v>
      </c>
      <c r="O1920" s="1707">
        <f t="shared" si="1482"/>
        <v>0</v>
      </c>
      <c r="P1920" s="1707">
        <f t="shared" si="1482"/>
        <v>0</v>
      </c>
      <c r="Q1920" s="1707">
        <f t="shared" si="1482"/>
        <v>0</v>
      </c>
      <c r="R1920" s="1707">
        <f t="shared" si="1482"/>
        <v>0</v>
      </c>
      <c r="S1920" s="1707">
        <f t="shared" si="1482"/>
        <v>0</v>
      </c>
      <c r="T1920" s="1708">
        <f t="shared" si="1482"/>
        <v>0</v>
      </c>
      <c r="Y1920" s="1195"/>
      <c r="Z1920" s="193">
        <f t="shared" si="1431"/>
        <v>0</v>
      </c>
      <c r="AA1920" s="193"/>
      <c r="AB1920" s="254"/>
      <c r="AC1920" s="193"/>
      <c r="AD1920" s="193"/>
      <c r="AE1920" s="254"/>
      <c r="AF1920" s="1707">
        <f t="shared" ref="AF1920:AQ1920" si="1483">SUMIF($AS$332:$AS$365,$B1668&amp;"contratada",AF$332:AF$365)</f>
        <v>0</v>
      </c>
      <c r="AG1920" s="1707">
        <f t="shared" si="1483"/>
        <v>0</v>
      </c>
      <c r="AH1920" s="1707">
        <f t="shared" si="1483"/>
        <v>0</v>
      </c>
      <c r="AI1920" s="1707">
        <f t="shared" si="1483"/>
        <v>0</v>
      </c>
      <c r="AJ1920" s="1707">
        <f t="shared" si="1483"/>
        <v>0</v>
      </c>
      <c r="AK1920" s="1707">
        <f t="shared" si="1483"/>
        <v>0</v>
      </c>
      <c r="AL1920" s="1707">
        <f t="shared" si="1483"/>
        <v>0</v>
      </c>
      <c r="AM1920" s="1707">
        <f t="shared" si="1483"/>
        <v>0</v>
      </c>
      <c r="AN1920" s="1707">
        <f t="shared" si="1483"/>
        <v>0</v>
      </c>
      <c r="AO1920" s="1707">
        <f t="shared" si="1483"/>
        <v>0</v>
      </c>
      <c r="AP1920" s="1707">
        <f t="shared" si="1483"/>
        <v>0</v>
      </c>
      <c r="AQ1920" s="1708">
        <f t="shared" si="1483"/>
        <v>0</v>
      </c>
    </row>
    <row r="1921" spans="2:43" ht="13.75" hidden="1" customHeight="1" x14ac:dyDescent="0.2">
      <c r="B1921" s="1195"/>
      <c r="C1921" s="193">
        <f t="shared" si="1459"/>
        <v>0</v>
      </c>
      <c r="D1921" s="193"/>
      <c r="E1921" s="254"/>
      <c r="F1921" s="193"/>
      <c r="G1921" s="193"/>
      <c r="H1921" s="254"/>
      <c r="I1921" s="1707">
        <f t="shared" ref="I1921:T1921" si="1484">SUMIF($V$332:$V$365,$B1669&amp;"contratada",I$332:I$365)</f>
        <v>0</v>
      </c>
      <c r="J1921" s="1707">
        <f t="shared" si="1484"/>
        <v>0</v>
      </c>
      <c r="K1921" s="1707">
        <f t="shared" si="1484"/>
        <v>0</v>
      </c>
      <c r="L1921" s="1707">
        <f t="shared" si="1484"/>
        <v>0</v>
      </c>
      <c r="M1921" s="1707">
        <f t="shared" si="1484"/>
        <v>0</v>
      </c>
      <c r="N1921" s="1707">
        <f t="shared" si="1484"/>
        <v>0</v>
      </c>
      <c r="O1921" s="1707">
        <f t="shared" si="1484"/>
        <v>0</v>
      </c>
      <c r="P1921" s="1707">
        <f t="shared" si="1484"/>
        <v>0</v>
      </c>
      <c r="Q1921" s="1707">
        <f t="shared" si="1484"/>
        <v>0</v>
      </c>
      <c r="R1921" s="1707">
        <f t="shared" si="1484"/>
        <v>0</v>
      </c>
      <c r="S1921" s="1707">
        <f t="shared" si="1484"/>
        <v>0</v>
      </c>
      <c r="T1921" s="1708">
        <f t="shared" si="1484"/>
        <v>0</v>
      </c>
      <c r="Y1921" s="1195"/>
      <c r="Z1921" s="193">
        <f t="shared" si="1431"/>
        <v>0</v>
      </c>
      <c r="AA1921" s="193"/>
      <c r="AB1921" s="254"/>
      <c r="AC1921" s="193"/>
      <c r="AD1921" s="193"/>
      <c r="AE1921" s="254"/>
      <c r="AF1921" s="1707">
        <f t="shared" ref="AF1921:AQ1921" si="1485">SUMIF($AS$332:$AS$365,$B1669&amp;"contratada",AF$332:AF$365)</f>
        <v>0</v>
      </c>
      <c r="AG1921" s="1707">
        <f t="shared" si="1485"/>
        <v>0</v>
      </c>
      <c r="AH1921" s="1707">
        <f t="shared" si="1485"/>
        <v>0</v>
      </c>
      <c r="AI1921" s="1707">
        <f t="shared" si="1485"/>
        <v>0</v>
      </c>
      <c r="AJ1921" s="1707">
        <f t="shared" si="1485"/>
        <v>0</v>
      </c>
      <c r="AK1921" s="1707">
        <f t="shared" si="1485"/>
        <v>0</v>
      </c>
      <c r="AL1921" s="1707">
        <f t="shared" si="1485"/>
        <v>0</v>
      </c>
      <c r="AM1921" s="1707">
        <f t="shared" si="1485"/>
        <v>0</v>
      </c>
      <c r="AN1921" s="1707">
        <f t="shared" si="1485"/>
        <v>0</v>
      </c>
      <c r="AO1921" s="1707">
        <f t="shared" si="1485"/>
        <v>0</v>
      </c>
      <c r="AP1921" s="1707">
        <f t="shared" si="1485"/>
        <v>0</v>
      </c>
      <c r="AQ1921" s="1708">
        <f t="shared" si="1485"/>
        <v>0</v>
      </c>
    </row>
    <row r="1922" spans="2:43" ht="14.4" hidden="1" customHeight="1" thickBot="1" x14ac:dyDescent="0.25">
      <c r="B1922" s="1198"/>
      <c r="C1922" s="1199">
        <f t="shared" si="1459"/>
        <v>0</v>
      </c>
      <c r="D1922" s="1199"/>
      <c r="E1922" s="1209"/>
      <c r="F1922" s="1199"/>
      <c r="G1922" s="1199"/>
      <c r="H1922" s="1209"/>
      <c r="I1922" s="1709">
        <f t="shared" ref="I1922:T1922" si="1486">SUMIF($V$332:$V$365,$B1670&amp;"contratada",I$332:I$365)</f>
        <v>0</v>
      </c>
      <c r="J1922" s="1709">
        <f t="shared" si="1486"/>
        <v>0</v>
      </c>
      <c r="K1922" s="1709">
        <f t="shared" si="1486"/>
        <v>0</v>
      </c>
      <c r="L1922" s="1709">
        <f t="shared" si="1486"/>
        <v>0</v>
      </c>
      <c r="M1922" s="1709">
        <f t="shared" si="1486"/>
        <v>0</v>
      </c>
      <c r="N1922" s="1709">
        <f t="shared" si="1486"/>
        <v>0</v>
      </c>
      <c r="O1922" s="1709">
        <f t="shared" si="1486"/>
        <v>0</v>
      </c>
      <c r="P1922" s="1709">
        <f t="shared" si="1486"/>
        <v>0</v>
      </c>
      <c r="Q1922" s="1709">
        <f t="shared" si="1486"/>
        <v>0</v>
      </c>
      <c r="R1922" s="1709">
        <f t="shared" si="1486"/>
        <v>0</v>
      </c>
      <c r="S1922" s="1709">
        <f t="shared" si="1486"/>
        <v>0</v>
      </c>
      <c r="T1922" s="1710">
        <f t="shared" si="1486"/>
        <v>0</v>
      </c>
      <c r="Y1922" s="1198"/>
      <c r="Z1922" s="1199">
        <f t="shared" si="1431"/>
        <v>0</v>
      </c>
      <c r="AA1922" s="1199"/>
      <c r="AB1922" s="1209"/>
      <c r="AC1922" s="1199"/>
      <c r="AD1922" s="1199"/>
      <c r="AE1922" s="1209"/>
      <c r="AF1922" s="1709">
        <f t="shared" ref="AF1922:AQ1922" si="1487">SUMIF($AS$332:$AS$365,$B1670&amp;"contratada",AF$332:AF$365)</f>
        <v>0</v>
      </c>
      <c r="AG1922" s="1709">
        <f t="shared" si="1487"/>
        <v>0</v>
      </c>
      <c r="AH1922" s="1709">
        <f t="shared" si="1487"/>
        <v>0</v>
      </c>
      <c r="AI1922" s="1709">
        <f t="shared" si="1487"/>
        <v>0</v>
      </c>
      <c r="AJ1922" s="1709">
        <f t="shared" si="1487"/>
        <v>0</v>
      </c>
      <c r="AK1922" s="1709">
        <f t="shared" si="1487"/>
        <v>0</v>
      </c>
      <c r="AL1922" s="1709">
        <f t="shared" si="1487"/>
        <v>0</v>
      </c>
      <c r="AM1922" s="1709">
        <f t="shared" si="1487"/>
        <v>0</v>
      </c>
      <c r="AN1922" s="1709">
        <f t="shared" si="1487"/>
        <v>0</v>
      </c>
      <c r="AO1922" s="1709">
        <f t="shared" si="1487"/>
        <v>0</v>
      </c>
      <c r="AP1922" s="1709">
        <f t="shared" si="1487"/>
        <v>0</v>
      </c>
      <c r="AQ1922" s="1710">
        <f t="shared" si="1487"/>
        <v>0</v>
      </c>
    </row>
    <row r="1923" spans="2:43" ht="15.05" hidden="1" customHeight="1" thickTop="1" thickBot="1" x14ac:dyDescent="0.25">
      <c r="B1923" s="1711" t="s">
        <v>705</v>
      </c>
      <c r="C1923" s="1712"/>
      <c r="D1923" s="1712"/>
      <c r="E1923" s="1712"/>
      <c r="F1923" s="1712"/>
      <c r="G1923" s="1712"/>
      <c r="H1923" s="1713" t="s">
        <v>230</v>
      </c>
      <c r="I1923" s="1715">
        <f t="shared" ref="I1923:T1923" si="1488">+SUMPRODUCT(I1894:I1922,$C$1894:$C$1922)</f>
        <v>0</v>
      </c>
      <c r="J1923" s="1715">
        <f t="shared" si="1488"/>
        <v>0</v>
      </c>
      <c r="K1923" s="1715">
        <f t="shared" si="1488"/>
        <v>0</v>
      </c>
      <c r="L1923" s="1715">
        <f t="shared" si="1488"/>
        <v>0</v>
      </c>
      <c r="M1923" s="1715">
        <f t="shared" si="1488"/>
        <v>0</v>
      </c>
      <c r="N1923" s="1715">
        <f t="shared" si="1488"/>
        <v>0</v>
      </c>
      <c r="O1923" s="1715">
        <f t="shared" si="1488"/>
        <v>0</v>
      </c>
      <c r="P1923" s="1715">
        <f t="shared" si="1488"/>
        <v>0</v>
      </c>
      <c r="Q1923" s="1715">
        <f t="shared" si="1488"/>
        <v>0</v>
      </c>
      <c r="R1923" s="1715">
        <f t="shared" si="1488"/>
        <v>0</v>
      </c>
      <c r="S1923" s="1715">
        <f t="shared" si="1488"/>
        <v>0</v>
      </c>
      <c r="T1923" s="1716">
        <f t="shared" si="1488"/>
        <v>0</v>
      </c>
      <c r="Y1923" s="1711" t="s">
        <v>705</v>
      </c>
      <c r="Z1923" s="1712"/>
      <c r="AA1923" s="1712"/>
      <c r="AB1923" s="1712"/>
      <c r="AC1923" s="1712"/>
      <c r="AD1923" s="1712"/>
      <c r="AE1923" s="1719" t="s">
        <v>230</v>
      </c>
      <c r="AF1923" s="1715">
        <f t="shared" ref="AF1923:AQ1923" si="1489">+SUMPRODUCT(AF1894:AF1922,$C$1894:$C$1922)</f>
        <v>0</v>
      </c>
      <c r="AG1923" s="1715">
        <f t="shared" si="1489"/>
        <v>0</v>
      </c>
      <c r="AH1923" s="1715">
        <f t="shared" si="1489"/>
        <v>0</v>
      </c>
      <c r="AI1923" s="1715">
        <f t="shared" si="1489"/>
        <v>0</v>
      </c>
      <c r="AJ1923" s="1715">
        <f t="shared" si="1489"/>
        <v>0</v>
      </c>
      <c r="AK1923" s="1715">
        <f t="shared" si="1489"/>
        <v>0</v>
      </c>
      <c r="AL1923" s="1715">
        <f t="shared" si="1489"/>
        <v>0</v>
      </c>
      <c r="AM1923" s="1715">
        <f t="shared" si="1489"/>
        <v>0</v>
      </c>
      <c r="AN1923" s="1715">
        <f t="shared" si="1489"/>
        <v>0</v>
      </c>
      <c r="AO1923" s="1715">
        <f t="shared" si="1489"/>
        <v>0</v>
      </c>
      <c r="AP1923" s="1715">
        <f t="shared" si="1489"/>
        <v>0</v>
      </c>
      <c r="AQ1923" s="1716">
        <f t="shared" si="1489"/>
        <v>0</v>
      </c>
    </row>
    <row r="1924" spans="2:43" ht="14.4" hidden="1" customHeight="1" thickTop="1" x14ac:dyDescent="0.2">
      <c r="B1924" s="1594"/>
      <c r="C1924" s="193"/>
      <c r="D1924" s="193"/>
      <c r="E1924" s="193"/>
      <c r="F1924" s="193"/>
      <c r="G1924" s="193"/>
      <c r="H1924" s="982" t="s">
        <v>698</v>
      </c>
      <c r="I1924" s="1205">
        <f t="shared" ref="I1924:T1924" si="1490">IFERROR(I1923*I1890/I1892,0)</f>
        <v>0</v>
      </c>
      <c r="J1924" s="1205">
        <f t="shared" si="1490"/>
        <v>0</v>
      </c>
      <c r="K1924" s="1205">
        <f t="shared" si="1490"/>
        <v>0</v>
      </c>
      <c r="L1924" s="1205">
        <f t="shared" si="1490"/>
        <v>0</v>
      </c>
      <c r="M1924" s="1205">
        <f t="shared" si="1490"/>
        <v>0</v>
      </c>
      <c r="N1924" s="1205">
        <f t="shared" si="1490"/>
        <v>0</v>
      </c>
      <c r="O1924" s="1205">
        <f t="shared" si="1490"/>
        <v>0</v>
      </c>
      <c r="P1924" s="1205">
        <f t="shared" si="1490"/>
        <v>0</v>
      </c>
      <c r="Q1924" s="1205">
        <f t="shared" si="1490"/>
        <v>0</v>
      </c>
      <c r="R1924" s="1205">
        <f t="shared" si="1490"/>
        <v>0</v>
      </c>
      <c r="S1924" s="1205">
        <f t="shared" si="1490"/>
        <v>0</v>
      </c>
      <c r="T1924" s="1714">
        <f t="shared" si="1490"/>
        <v>0</v>
      </c>
      <c r="Y1924" s="1594"/>
      <c r="Z1924" s="193"/>
      <c r="AA1924" s="193"/>
      <c r="AB1924" s="193"/>
      <c r="AC1924" s="193"/>
      <c r="AD1924" s="193"/>
      <c r="AE1924" s="1720" t="s">
        <v>698</v>
      </c>
      <c r="AF1924" s="1205">
        <f t="shared" ref="AF1924:AQ1924" si="1491">IFERROR(AF1923*AF1890/AF1892,0)</f>
        <v>0</v>
      </c>
      <c r="AG1924" s="1205">
        <f t="shared" si="1491"/>
        <v>0</v>
      </c>
      <c r="AH1924" s="1205">
        <f t="shared" si="1491"/>
        <v>0</v>
      </c>
      <c r="AI1924" s="1205">
        <f t="shared" si="1491"/>
        <v>0</v>
      </c>
      <c r="AJ1924" s="1205">
        <f t="shared" si="1491"/>
        <v>0</v>
      </c>
      <c r="AK1924" s="1205">
        <f t="shared" si="1491"/>
        <v>0</v>
      </c>
      <c r="AL1924" s="1205">
        <f t="shared" si="1491"/>
        <v>0</v>
      </c>
      <c r="AM1924" s="1205">
        <f t="shared" si="1491"/>
        <v>0</v>
      </c>
      <c r="AN1924" s="1205">
        <f t="shared" si="1491"/>
        <v>0</v>
      </c>
      <c r="AO1924" s="1205">
        <f t="shared" si="1491"/>
        <v>0</v>
      </c>
      <c r="AP1924" s="1205">
        <f t="shared" si="1491"/>
        <v>0</v>
      </c>
      <c r="AQ1924" s="1714">
        <f t="shared" si="1491"/>
        <v>0</v>
      </c>
    </row>
    <row r="1925" spans="2:43" ht="14.4" hidden="1" customHeight="1" thickBot="1" x14ac:dyDescent="0.25">
      <c r="B1925" s="1596"/>
      <c r="C1925" s="1199"/>
      <c r="D1925" s="1199"/>
      <c r="E1925" s="1199"/>
      <c r="F1925" s="1199"/>
      <c r="G1925" s="1199"/>
      <c r="H1925" s="1717" t="s">
        <v>699</v>
      </c>
      <c r="I1925" s="1590">
        <f t="shared" ref="I1925:T1925" si="1492">+I1923-I1924</f>
        <v>0</v>
      </c>
      <c r="J1925" s="1590">
        <f t="shared" si="1492"/>
        <v>0</v>
      </c>
      <c r="K1925" s="1590">
        <f t="shared" si="1492"/>
        <v>0</v>
      </c>
      <c r="L1925" s="1590">
        <f t="shared" si="1492"/>
        <v>0</v>
      </c>
      <c r="M1925" s="1590">
        <f t="shared" si="1492"/>
        <v>0</v>
      </c>
      <c r="N1925" s="1590">
        <f t="shared" si="1492"/>
        <v>0</v>
      </c>
      <c r="O1925" s="1590">
        <f t="shared" si="1492"/>
        <v>0</v>
      </c>
      <c r="P1925" s="1590">
        <f t="shared" si="1492"/>
        <v>0</v>
      </c>
      <c r="Q1925" s="1590">
        <f t="shared" si="1492"/>
        <v>0</v>
      </c>
      <c r="R1925" s="1590">
        <f t="shared" si="1492"/>
        <v>0</v>
      </c>
      <c r="S1925" s="1590">
        <f t="shared" si="1492"/>
        <v>0</v>
      </c>
      <c r="T1925" s="1655">
        <f t="shared" si="1492"/>
        <v>0</v>
      </c>
      <c r="Y1925" s="1596"/>
      <c r="Z1925" s="1199"/>
      <c r="AA1925" s="1199"/>
      <c r="AB1925" s="1199"/>
      <c r="AC1925" s="1199"/>
      <c r="AD1925" s="1199"/>
      <c r="AE1925" s="1721" t="s">
        <v>699</v>
      </c>
      <c r="AF1925" s="1590">
        <f>+AF1923-AF1924</f>
        <v>0</v>
      </c>
      <c r="AG1925" s="1590">
        <f t="shared" ref="AG1925:AQ1925" si="1493">+AG1923-AG1924</f>
        <v>0</v>
      </c>
      <c r="AH1925" s="1590">
        <f t="shared" si="1493"/>
        <v>0</v>
      </c>
      <c r="AI1925" s="1590">
        <f t="shared" si="1493"/>
        <v>0</v>
      </c>
      <c r="AJ1925" s="1590">
        <f t="shared" si="1493"/>
        <v>0</v>
      </c>
      <c r="AK1925" s="1590">
        <f t="shared" si="1493"/>
        <v>0</v>
      </c>
      <c r="AL1925" s="1590">
        <f t="shared" si="1493"/>
        <v>0</v>
      </c>
      <c r="AM1925" s="1590">
        <f t="shared" si="1493"/>
        <v>0</v>
      </c>
      <c r="AN1925" s="1590">
        <f t="shared" si="1493"/>
        <v>0</v>
      </c>
      <c r="AO1925" s="1590">
        <f t="shared" si="1493"/>
        <v>0</v>
      </c>
      <c r="AP1925" s="1590">
        <f t="shared" si="1493"/>
        <v>0</v>
      </c>
      <c r="AQ1925" s="1655">
        <f t="shared" si="1493"/>
        <v>0</v>
      </c>
    </row>
    <row r="1926" spans="2:43" ht="14.4" hidden="1" customHeight="1" thickTop="1" x14ac:dyDescent="0.2">
      <c r="B1926" s="1584" t="s">
        <v>795</v>
      </c>
      <c r="C1926" s="1581">
        <f>+C1561</f>
        <v>0</v>
      </c>
      <c r="D1926" s="1194"/>
      <c r="E1926" s="1194"/>
      <c r="F1926" s="1194"/>
      <c r="G1926" s="1194" t="s">
        <v>247</v>
      </c>
      <c r="H1926" s="1194" t="s">
        <v>691</v>
      </c>
      <c r="I1926" s="1668">
        <f t="shared" ref="I1926:T1926" si="1494">+I1562</f>
        <v>0</v>
      </c>
      <c r="J1926" s="1668">
        <f t="shared" si="1494"/>
        <v>0</v>
      </c>
      <c r="K1926" s="1668">
        <f t="shared" si="1494"/>
        <v>0</v>
      </c>
      <c r="L1926" s="1668">
        <f t="shared" si="1494"/>
        <v>0</v>
      </c>
      <c r="M1926" s="1668">
        <f t="shared" si="1494"/>
        <v>0</v>
      </c>
      <c r="N1926" s="1668">
        <f t="shared" si="1494"/>
        <v>0</v>
      </c>
      <c r="O1926" s="1668">
        <f t="shared" si="1494"/>
        <v>0</v>
      </c>
      <c r="P1926" s="1668">
        <f t="shared" si="1494"/>
        <v>0</v>
      </c>
      <c r="Q1926" s="1668">
        <f t="shared" si="1494"/>
        <v>0</v>
      </c>
      <c r="R1926" s="1668">
        <f t="shared" si="1494"/>
        <v>0</v>
      </c>
      <c r="S1926" s="1668">
        <f t="shared" si="1494"/>
        <v>0</v>
      </c>
      <c r="T1926" s="1704">
        <f t="shared" si="1494"/>
        <v>0</v>
      </c>
      <c r="Y1926" s="1722" t="s">
        <v>795</v>
      </c>
      <c r="Z1926" s="1581">
        <f>+Z1561</f>
        <v>0</v>
      </c>
      <c r="AA1926" s="1194"/>
      <c r="AB1926" s="1194"/>
      <c r="AC1926" s="1194"/>
      <c r="AD1926" s="1194">
        <f t="shared" ref="AD1926:AE1928" si="1495">+AC1738</f>
        <v>0</v>
      </c>
      <c r="AE1926" s="1194">
        <f t="shared" si="1495"/>
        <v>0</v>
      </c>
      <c r="AF1926" s="1668">
        <f t="shared" ref="AF1926:AQ1926" si="1496">+AF1562</f>
        <v>0</v>
      </c>
      <c r="AG1926" s="1668">
        <f t="shared" si="1496"/>
        <v>0</v>
      </c>
      <c r="AH1926" s="1668">
        <f t="shared" si="1496"/>
        <v>0</v>
      </c>
      <c r="AI1926" s="1668">
        <f t="shared" si="1496"/>
        <v>0</v>
      </c>
      <c r="AJ1926" s="1668">
        <f t="shared" si="1496"/>
        <v>0</v>
      </c>
      <c r="AK1926" s="1668">
        <f t="shared" si="1496"/>
        <v>0</v>
      </c>
      <c r="AL1926" s="1668">
        <f t="shared" si="1496"/>
        <v>0</v>
      </c>
      <c r="AM1926" s="1668">
        <f t="shared" si="1496"/>
        <v>0</v>
      </c>
      <c r="AN1926" s="1668">
        <f t="shared" si="1496"/>
        <v>0</v>
      </c>
      <c r="AO1926" s="1668">
        <f t="shared" si="1496"/>
        <v>0</v>
      </c>
      <c r="AP1926" s="1668">
        <f t="shared" si="1496"/>
        <v>0</v>
      </c>
      <c r="AQ1926" s="1704">
        <f t="shared" si="1496"/>
        <v>0</v>
      </c>
    </row>
    <row r="1927" spans="2:43" ht="13.75" hidden="1" customHeight="1" x14ac:dyDescent="0.2">
      <c r="B1927" s="1594"/>
      <c r="C1927" s="193"/>
      <c r="D1927" s="193"/>
      <c r="E1927" s="193"/>
      <c r="F1927" s="193"/>
      <c r="G1927" s="193" t="s">
        <v>344</v>
      </c>
      <c r="H1927" s="193" t="s">
        <v>693</v>
      </c>
      <c r="I1927" s="1283">
        <f t="shared" ref="I1927:T1927" si="1497">+I1563</f>
        <v>0</v>
      </c>
      <c r="J1927" s="1283">
        <f t="shared" si="1497"/>
        <v>0</v>
      </c>
      <c r="K1927" s="1283">
        <f t="shared" si="1497"/>
        <v>0</v>
      </c>
      <c r="L1927" s="1283">
        <f t="shared" si="1497"/>
        <v>0</v>
      </c>
      <c r="M1927" s="1283">
        <f t="shared" si="1497"/>
        <v>0</v>
      </c>
      <c r="N1927" s="1283">
        <f t="shared" si="1497"/>
        <v>0</v>
      </c>
      <c r="O1927" s="1283">
        <f t="shared" si="1497"/>
        <v>0</v>
      </c>
      <c r="P1927" s="1283">
        <f t="shared" si="1497"/>
        <v>0</v>
      </c>
      <c r="Q1927" s="1283">
        <f t="shared" si="1497"/>
        <v>0</v>
      </c>
      <c r="R1927" s="1283">
        <f t="shared" si="1497"/>
        <v>0</v>
      </c>
      <c r="S1927" s="1283">
        <f t="shared" si="1497"/>
        <v>0</v>
      </c>
      <c r="T1927" s="1601">
        <f t="shared" si="1497"/>
        <v>0</v>
      </c>
      <c r="Y1927" s="1594"/>
      <c r="Z1927" s="193"/>
      <c r="AA1927" s="193"/>
      <c r="AB1927" s="193"/>
      <c r="AC1927" s="193"/>
      <c r="AD1927" s="193">
        <f t="shared" si="1495"/>
        <v>0</v>
      </c>
      <c r="AE1927" s="193">
        <f t="shared" si="1495"/>
        <v>0</v>
      </c>
      <c r="AF1927" s="1283">
        <f t="shared" ref="AF1927:AQ1927" si="1498">+AF1563</f>
        <v>0</v>
      </c>
      <c r="AG1927" s="1283">
        <f t="shared" si="1498"/>
        <v>0</v>
      </c>
      <c r="AH1927" s="1283">
        <f t="shared" si="1498"/>
        <v>0</v>
      </c>
      <c r="AI1927" s="1283">
        <f t="shared" si="1498"/>
        <v>0</v>
      </c>
      <c r="AJ1927" s="1283">
        <f t="shared" si="1498"/>
        <v>0</v>
      </c>
      <c r="AK1927" s="1283">
        <f t="shared" si="1498"/>
        <v>0</v>
      </c>
      <c r="AL1927" s="1283">
        <f t="shared" si="1498"/>
        <v>0</v>
      </c>
      <c r="AM1927" s="1283">
        <f t="shared" si="1498"/>
        <v>0</v>
      </c>
      <c r="AN1927" s="1283">
        <f t="shared" si="1498"/>
        <v>0</v>
      </c>
      <c r="AO1927" s="1283">
        <f t="shared" si="1498"/>
        <v>0</v>
      </c>
      <c r="AP1927" s="1283">
        <f t="shared" si="1498"/>
        <v>0</v>
      </c>
      <c r="AQ1927" s="1601">
        <f t="shared" si="1498"/>
        <v>0</v>
      </c>
    </row>
    <row r="1928" spans="2:43" ht="14.4" hidden="1" customHeight="1" thickBot="1" x14ac:dyDescent="0.25">
      <c r="B1928" s="1596"/>
      <c r="C1928" s="1199"/>
      <c r="D1928" s="1199"/>
      <c r="E1928" s="1199"/>
      <c r="F1928" s="1199"/>
      <c r="G1928" s="1199" t="s">
        <v>344</v>
      </c>
      <c r="H1928" s="1199" t="s">
        <v>694</v>
      </c>
      <c r="I1928" s="1590">
        <f t="shared" ref="I1928:T1928" si="1499">+I1564</f>
        <v>0</v>
      </c>
      <c r="J1928" s="1590">
        <f t="shared" si="1499"/>
        <v>0</v>
      </c>
      <c r="K1928" s="1590">
        <f t="shared" si="1499"/>
        <v>0</v>
      </c>
      <c r="L1928" s="1590">
        <f t="shared" si="1499"/>
        <v>0</v>
      </c>
      <c r="M1928" s="1590">
        <f t="shared" si="1499"/>
        <v>0</v>
      </c>
      <c r="N1928" s="1590">
        <f t="shared" si="1499"/>
        <v>0</v>
      </c>
      <c r="O1928" s="1590">
        <f t="shared" si="1499"/>
        <v>0</v>
      </c>
      <c r="P1928" s="1590">
        <f t="shared" si="1499"/>
        <v>0</v>
      </c>
      <c r="Q1928" s="1590">
        <f t="shared" si="1499"/>
        <v>0</v>
      </c>
      <c r="R1928" s="1590">
        <f t="shared" si="1499"/>
        <v>0</v>
      </c>
      <c r="S1928" s="1590">
        <f t="shared" si="1499"/>
        <v>0</v>
      </c>
      <c r="T1928" s="1655">
        <f t="shared" si="1499"/>
        <v>0</v>
      </c>
      <c r="Y1928" s="1596"/>
      <c r="Z1928" s="1199"/>
      <c r="AA1928" s="1199"/>
      <c r="AB1928" s="1199"/>
      <c r="AC1928" s="1199"/>
      <c r="AD1928" s="1199">
        <f t="shared" si="1495"/>
        <v>0</v>
      </c>
      <c r="AE1928" s="1199">
        <f t="shared" si="1495"/>
        <v>0</v>
      </c>
      <c r="AF1928" s="1590">
        <f t="shared" ref="AF1928:AQ1928" si="1500">+AF1564</f>
        <v>0</v>
      </c>
      <c r="AG1928" s="1590">
        <f t="shared" si="1500"/>
        <v>0</v>
      </c>
      <c r="AH1928" s="1590">
        <f t="shared" si="1500"/>
        <v>0</v>
      </c>
      <c r="AI1928" s="1590">
        <f t="shared" si="1500"/>
        <v>0</v>
      </c>
      <c r="AJ1928" s="1590">
        <f t="shared" si="1500"/>
        <v>0</v>
      </c>
      <c r="AK1928" s="1590">
        <f t="shared" si="1500"/>
        <v>0</v>
      </c>
      <c r="AL1928" s="1590">
        <f t="shared" si="1500"/>
        <v>0</v>
      </c>
      <c r="AM1928" s="1590">
        <f t="shared" si="1500"/>
        <v>0</v>
      </c>
      <c r="AN1928" s="1590">
        <f t="shared" si="1500"/>
        <v>0</v>
      </c>
      <c r="AO1928" s="1590">
        <f t="shared" si="1500"/>
        <v>0</v>
      </c>
      <c r="AP1928" s="1590">
        <f t="shared" si="1500"/>
        <v>0</v>
      </c>
      <c r="AQ1928" s="1655">
        <f t="shared" si="1500"/>
        <v>0</v>
      </c>
    </row>
    <row r="1929" spans="2:43" ht="14.4" hidden="1" customHeight="1" thickTop="1" x14ac:dyDescent="0.2">
      <c r="B1929" s="1584" t="s">
        <v>2019</v>
      </c>
      <c r="C1929" s="1194" t="s">
        <v>2018</v>
      </c>
      <c r="D1929" s="1194"/>
      <c r="E1929" s="1194"/>
      <c r="F1929" s="1194"/>
      <c r="G1929" s="1194"/>
      <c r="H1929" s="1210"/>
      <c r="I1929" s="1194"/>
      <c r="J1929" s="1194"/>
      <c r="K1929" s="1194"/>
      <c r="L1929" s="1194"/>
      <c r="M1929" s="1194"/>
      <c r="N1929" s="1194"/>
      <c r="O1929" s="1194"/>
      <c r="P1929" s="1194"/>
      <c r="Q1929" s="1194"/>
      <c r="R1929" s="1194"/>
      <c r="S1929" s="1194"/>
      <c r="T1929" s="1599"/>
      <c r="Y1929" s="1584" t="s">
        <v>2019</v>
      </c>
      <c r="Z1929" s="1194" t="s">
        <v>2018</v>
      </c>
      <c r="AA1929" s="1194"/>
      <c r="AB1929" s="1194"/>
      <c r="AC1929" s="1194"/>
      <c r="AD1929" s="1194"/>
      <c r="AE1929" s="1210"/>
      <c r="AF1929" s="1194"/>
      <c r="AG1929" s="1194"/>
      <c r="AH1929" s="1194"/>
      <c r="AI1929" s="1194"/>
      <c r="AJ1929" s="1194"/>
      <c r="AK1929" s="1194"/>
      <c r="AL1929" s="1194"/>
      <c r="AM1929" s="1194"/>
      <c r="AN1929" s="1194"/>
      <c r="AO1929" s="1194"/>
      <c r="AP1929" s="1194"/>
      <c r="AQ1929" s="1599"/>
    </row>
    <row r="1930" spans="2:43" ht="13.75" hidden="1" customHeight="1" x14ac:dyDescent="0.2">
      <c r="B1930" s="1195" t="s">
        <v>2021</v>
      </c>
      <c r="C1930" s="193">
        <f t="shared" ref="C1930:C1943" si="1501">+C1894</f>
        <v>5</v>
      </c>
      <c r="D1930" s="193"/>
      <c r="E1930" s="254"/>
      <c r="F1930" s="193"/>
      <c r="G1930" s="193"/>
      <c r="H1930" s="254"/>
      <c r="I1930" s="1705">
        <f>SUMIF($V$373:$V$406,$B1642&amp;"propia",I$373:I$406)</f>
        <v>0</v>
      </c>
      <c r="J1930" s="1705">
        <f t="shared" ref="J1930:T1930" si="1502">SUMIF($V$373:$V$406,$B1642&amp;"propia",J$373:J$406)</f>
        <v>0</v>
      </c>
      <c r="K1930" s="1705">
        <f t="shared" si="1502"/>
        <v>0</v>
      </c>
      <c r="L1930" s="1705">
        <f t="shared" si="1502"/>
        <v>0</v>
      </c>
      <c r="M1930" s="1705">
        <f t="shared" si="1502"/>
        <v>0</v>
      </c>
      <c r="N1930" s="1705">
        <f t="shared" si="1502"/>
        <v>0</v>
      </c>
      <c r="O1930" s="1705">
        <f t="shared" si="1502"/>
        <v>0</v>
      </c>
      <c r="P1930" s="1705">
        <f t="shared" si="1502"/>
        <v>0</v>
      </c>
      <c r="Q1930" s="1705">
        <f t="shared" si="1502"/>
        <v>0</v>
      </c>
      <c r="R1930" s="1705">
        <f t="shared" si="1502"/>
        <v>0</v>
      </c>
      <c r="S1930" s="1705">
        <f t="shared" si="1502"/>
        <v>0</v>
      </c>
      <c r="T1930" s="1706">
        <f t="shared" si="1502"/>
        <v>0</v>
      </c>
      <c r="Y1930" s="1195" t="s">
        <v>2021</v>
      </c>
      <c r="Z1930" s="193">
        <f t="shared" ref="Z1930:Z1958" si="1503">+Z1894</f>
        <v>5</v>
      </c>
      <c r="AA1930" s="193"/>
      <c r="AB1930" s="254"/>
      <c r="AC1930" s="193"/>
      <c r="AD1930" s="193"/>
      <c r="AE1930" s="254"/>
      <c r="AF1930" s="1705">
        <f>SUMIF($AS$373:$AS$406,$B1642&amp;"propia",AF$373:AF$406)</f>
        <v>0</v>
      </c>
      <c r="AG1930" s="1705">
        <f t="shared" ref="AG1930:AQ1930" si="1504">SUMIF($AS$373:$AS$406,$B1642&amp;"propia",AG$373:AG$406)</f>
        <v>0</v>
      </c>
      <c r="AH1930" s="1705">
        <f t="shared" si="1504"/>
        <v>0</v>
      </c>
      <c r="AI1930" s="1705">
        <f t="shared" si="1504"/>
        <v>0</v>
      </c>
      <c r="AJ1930" s="1705">
        <f t="shared" si="1504"/>
        <v>0</v>
      </c>
      <c r="AK1930" s="1705">
        <f t="shared" si="1504"/>
        <v>0</v>
      </c>
      <c r="AL1930" s="1705">
        <f t="shared" si="1504"/>
        <v>0</v>
      </c>
      <c r="AM1930" s="1705">
        <f t="shared" si="1504"/>
        <v>0</v>
      </c>
      <c r="AN1930" s="1705">
        <f t="shared" si="1504"/>
        <v>0</v>
      </c>
      <c r="AO1930" s="1705">
        <f t="shared" si="1504"/>
        <v>0</v>
      </c>
      <c r="AP1930" s="1705">
        <f t="shared" si="1504"/>
        <v>0</v>
      </c>
      <c r="AQ1930" s="1706">
        <f t="shared" si="1504"/>
        <v>0</v>
      </c>
    </row>
    <row r="1931" spans="2:43" ht="13.75" hidden="1" customHeight="1" x14ac:dyDescent="0.2">
      <c r="B1931" s="1195"/>
      <c r="C1931" s="193">
        <f t="shared" si="1501"/>
        <v>5</v>
      </c>
      <c r="D1931" s="193"/>
      <c r="E1931" s="254"/>
      <c r="F1931" s="193"/>
      <c r="G1931" s="193"/>
      <c r="H1931" s="254"/>
      <c r="I1931" s="1707">
        <f t="shared" ref="I1931:T1931" si="1505">SUMIF($V$373:$V$406,$B1643&amp;"propia",I$373:I$406)</f>
        <v>0</v>
      </c>
      <c r="J1931" s="1707">
        <f t="shared" si="1505"/>
        <v>0</v>
      </c>
      <c r="K1931" s="1707">
        <f t="shared" si="1505"/>
        <v>0</v>
      </c>
      <c r="L1931" s="1707">
        <f t="shared" si="1505"/>
        <v>0</v>
      </c>
      <c r="M1931" s="1707">
        <f t="shared" si="1505"/>
        <v>0</v>
      </c>
      <c r="N1931" s="1707">
        <f t="shared" si="1505"/>
        <v>0</v>
      </c>
      <c r="O1931" s="1707">
        <f t="shared" si="1505"/>
        <v>0</v>
      </c>
      <c r="P1931" s="1707">
        <f t="shared" si="1505"/>
        <v>0</v>
      </c>
      <c r="Q1931" s="1707">
        <f t="shared" si="1505"/>
        <v>0</v>
      </c>
      <c r="R1931" s="1707">
        <f t="shared" si="1505"/>
        <v>0</v>
      </c>
      <c r="S1931" s="1707">
        <f t="shared" si="1505"/>
        <v>0</v>
      </c>
      <c r="T1931" s="1708">
        <f t="shared" si="1505"/>
        <v>0</v>
      </c>
      <c r="Y1931" s="1195"/>
      <c r="Z1931" s="193">
        <f t="shared" si="1503"/>
        <v>5</v>
      </c>
      <c r="AA1931" s="193"/>
      <c r="AB1931" s="254"/>
      <c r="AC1931" s="193"/>
      <c r="AD1931" s="193"/>
      <c r="AE1931" s="254"/>
      <c r="AF1931" s="1707">
        <f t="shared" ref="AF1931:AQ1931" si="1506">SUMIF($AS$373:$AS$406,$B1643&amp;"propia",AF$373:AF$406)</f>
        <v>0</v>
      </c>
      <c r="AG1931" s="1707">
        <f t="shared" si="1506"/>
        <v>0</v>
      </c>
      <c r="AH1931" s="1707">
        <f t="shared" si="1506"/>
        <v>0</v>
      </c>
      <c r="AI1931" s="1707">
        <f t="shared" si="1506"/>
        <v>0</v>
      </c>
      <c r="AJ1931" s="1707">
        <f t="shared" si="1506"/>
        <v>0</v>
      </c>
      <c r="AK1931" s="1707">
        <f t="shared" si="1506"/>
        <v>0</v>
      </c>
      <c r="AL1931" s="1707">
        <f t="shared" si="1506"/>
        <v>0</v>
      </c>
      <c r="AM1931" s="1707">
        <f t="shared" si="1506"/>
        <v>0</v>
      </c>
      <c r="AN1931" s="1707">
        <f t="shared" si="1506"/>
        <v>0</v>
      </c>
      <c r="AO1931" s="1707">
        <f t="shared" si="1506"/>
        <v>0</v>
      </c>
      <c r="AP1931" s="1707">
        <f t="shared" si="1506"/>
        <v>0</v>
      </c>
      <c r="AQ1931" s="1708">
        <f t="shared" si="1506"/>
        <v>0</v>
      </c>
    </row>
    <row r="1932" spans="2:43" ht="13.75" hidden="1" customHeight="1" x14ac:dyDescent="0.2">
      <c r="B1932" s="1195"/>
      <c r="C1932" s="193">
        <f t="shared" si="1501"/>
        <v>1.5</v>
      </c>
      <c r="D1932" s="193"/>
      <c r="E1932" s="254"/>
      <c r="F1932" s="193"/>
      <c r="G1932" s="193"/>
      <c r="H1932" s="254"/>
      <c r="I1932" s="1707">
        <f t="shared" ref="I1932:T1932" si="1507">SUMIF($V$373:$V$406,$B1644&amp;"propia",I$373:I$406)</f>
        <v>0</v>
      </c>
      <c r="J1932" s="1707">
        <f t="shared" si="1507"/>
        <v>0</v>
      </c>
      <c r="K1932" s="1707">
        <f t="shared" si="1507"/>
        <v>0</v>
      </c>
      <c r="L1932" s="1707">
        <f t="shared" si="1507"/>
        <v>0</v>
      </c>
      <c r="M1932" s="1707">
        <f t="shared" si="1507"/>
        <v>0</v>
      </c>
      <c r="N1932" s="1707">
        <f t="shared" si="1507"/>
        <v>0</v>
      </c>
      <c r="O1932" s="1707">
        <f t="shared" si="1507"/>
        <v>0</v>
      </c>
      <c r="P1932" s="1707">
        <f t="shared" si="1507"/>
        <v>0</v>
      </c>
      <c r="Q1932" s="1707">
        <f t="shared" si="1507"/>
        <v>0</v>
      </c>
      <c r="R1932" s="1707">
        <f t="shared" si="1507"/>
        <v>0</v>
      </c>
      <c r="S1932" s="1707">
        <f t="shared" si="1507"/>
        <v>0</v>
      </c>
      <c r="T1932" s="1708">
        <f t="shared" si="1507"/>
        <v>0</v>
      </c>
      <c r="Y1932" s="1195"/>
      <c r="Z1932" s="193">
        <f t="shared" si="1503"/>
        <v>1.5</v>
      </c>
      <c r="AA1932" s="193"/>
      <c r="AB1932" s="254"/>
      <c r="AC1932" s="193"/>
      <c r="AD1932" s="193"/>
      <c r="AE1932" s="254"/>
      <c r="AF1932" s="1707">
        <f t="shared" ref="AF1932:AQ1932" si="1508">SUMIF($AS$373:$AS$406,$B1644&amp;"propia",AF$373:AF$406)</f>
        <v>0</v>
      </c>
      <c r="AG1932" s="1707">
        <f t="shared" si="1508"/>
        <v>0</v>
      </c>
      <c r="AH1932" s="1707">
        <f t="shared" si="1508"/>
        <v>0</v>
      </c>
      <c r="AI1932" s="1707">
        <f t="shared" si="1508"/>
        <v>0</v>
      </c>
      <c r="AJ1932" s="1707">
        <f t="shared" si="1508"/>
        <v>0</v>
      </c>
      <c r="AK1932" s="1707">
        <f t="shared" si="1508"/>
        <v>0</v>
      </c>
      <c r="AL1932" s="1707">
        <f t="shared" si="1508"/>
        <v>0</v>
      </c>
      <c r="AM1932" s="1707">
        <f t="shared" si="1508"/>
        <v>0</v>
      </c>
      <c r="AN1932" s="1707">
        <f t="shared" si="1508"/>
        <v>0</v>
      </c>
      <c r="AO1932" s="1707">
        <f t="shared" si="1508"/>
        <v>0</v>
      </c>
      <c r="AP1932" s="1707">
        <f t="shared" si="1508"/>
        <v>0</v>
      </c>
      <c r="AQ1932" s="1708">
        <f t="shared" si="1508"/>
        <v>0</v>
      </c>
    </row>
    <row r="1933" spans="2:43" ht="13.75" hidden="1" customHeight="1" x14ac:dyDescent="0.2">
      <c r="B1933" s="1195"/>
      <c r="C1933" s="193">
        <f t="shared" si="1501"/>
        <v>1.5</v>
      </c>
      <c r="D1933" s="193"/>
      <c r="E1933" s="254"/>
      <c r="F1933" s="193"/>
      <c r="G1933" s="193"/>
      <c r="H1933" s="254"/>
      <c r="I1933" s="1707">
        <f t="shared" ref="I1933:T1933" si="1509">SUMIF($V$373:$V$406,$B1645&amp;"propia",I$373:I$406)</f>
        <v>0</v>
      </c>
      <c r="J1933" s="1707">
        <f t="shared" si="1509"/>
        <v>0</v>
      </c>
      <c r="K1933" s="1707">
        <f t="shared" si="1509"/>
        <v>0</v>
      </c>
      <c r="L1933" s="1707">
        <f t="shared" si="1509"/>
        <v>0</v>
      </c>
      <c r="M1933" s="1707">
        <f t="shared" si="1509"/>
        <v>0</v>
      </c>
      <c r="N1933" s="1707">
        <f t="shared" si="1509"/>
        <v>0</v>
      </c>
      <c r="O1933" s="1707">
        <f t="shared" si="1509"/>
        <v>0</v>
      </c>
      <c r="P1933" s="1707">
        <f t="shared" si="1509"/>
        <v>0</v>
      </c>
      <c r="Q1933" s="1707">
        <f t="shared" si="1509"/>
        <v>0</v>
      </c>
      <c r="R1933" s="1707">
        <f t="shared" si="1509"/>
        <v>0</v>
      </c>
      <c r="S1933" s="1707">
        <f t="shared" si="1509"/>
        <v>0</v>
      </c>
      <c r="T1933" s="1708">
        <f t="shared" si="1509"/>
        <v>0</v>
      </c>
      <c r="Y1933" s="1195"/>
      <c r="Z1933" s="193">
        <f t="shared" si="1503"/>
        <v>1.5</v>
      </c>
      <c r="AA1933" s="193"/>
      <c r="AB1933" s="254"/>
      <c r="AC1933" s="193"/>
      <c r="AD1933" s="193"/>
      <c r="AE1933" s="254"/>
      <c r="AF1933" s="1707">
        <f t="shared" ref="AF1933:AQ1933" si="1510">SUMIF($AS$373:$AS$406,$B1645&amp;"propia",AF$373:AF$406)</f>
        <v>0</v>
      </c>
      <c r="AG1933" s="1707">
        <f t="shared" si="1510"/>
        <v>0</v>
      </c>
      <c r="AH1933" s="1707">
        <f t="shared" si="1510"/>
        <v>0</v>
      </c>
      <c r="AI1933" s="1707">
        <f t="shared" si="1510"/>
        <v>0</v>
      </c>
      <c r="AJ1933" s="1707">
        <f t="shared" si="1510"/>
        <v>0</v>
      </c>
      <c r="AK1933" s="1707">
        <f t="shared" si="1510"/>
        <v>0</v>
      </c>
      <c r="AL1933" s="1707">
        <f t="shared" si="1510"/>
        <v>0</v>
      </c>
      <c r="AM1933" s="1707">
        <f t="shared" si="1510"/>
        <v>0</v>
      </c>
      <c r="AN1933" s="1707">
        <f t="shared" si="1510"/>
        <v>0</v>
      </c>
      <c r="AO1933" s="1707">
        <f t="shared" si="1510"/>
        <v>0</v>
      </c>
      <c r="AP1933" s="1707">
        <f t="shared" si="1510"/>
        <v>0</v>
      </c>
      <c r="AQ1933" s="1708">
        <f t="shared" si="1510"/>
        <v>0</v>
      </c>
    </row>
    <row r="1934" spans="2:43" ht="13.75" hidden="1" customHeight="1" x14ac:dyDescent="0.2">
      <c r="B1934" s="1195"/>
      <c r="C1934" s="193">
        <f t="shared" si="1501"/>
        <v>3</v>
      </c>
      <c r="D1934" s="193"/>
      <c r="E1934" s="254"/>
      <c r="F1934" s="193"/>
      <c r="G1934" s="193"/>
      <c r="H1934" s="254"/>
      <c r="I1934" s="1707">
        <f t="shared" ref="I1934:T1934" si="1511">SUMIF($V$373:$V$406,$B1646&amp;"propia",I$373:I$406)</f>
        <v>0</v>
      </c>
      <c r="J1934" s="1707">
        <f t="shared" si="1511"/>
        <v>0</v>
      </c>
      <c r="K1934" s="1707">
        <f t="shared" si="1511"/>
        <v>0</v>
      </c>
      <c r="L1934" s="1707">
        <f t="shared" si="1511"/>
        <v>0</v>
      </c>
      <c r="M1934" s="1707">
        <f t="shared" si="1511"/>
        <v>0</v>
      </c>
      <c r="N1934" s="1707">
        <f t="shared" si="1511"/>
        <v>0</v>
      </c>
      <c r="O1934" s="1707">
        <f t="shared" si="1511"/>
        <v>0</v>
      </c>
      <c r="P1934" s="1707">
        <f t="shared" si="1511"/>
        <v>0</v>
      </c>
      <c r="Q1934" s="1707">
        <f t="shared" si="1511"/>
        <v>0</v>
      </c>
      <c r="R1934" s="1707">
        <f t="shared" si="1511"/>
        <v>0</v>
      </c>
      <c r="S1934" s="1707">
        <f t="shared" si="1511"/>
        <v>0</v>
      </c>
      <c r="T1934" s="1708">
        <f t="shared" si="1511"/>
        <v>0</v>
      </c>
      <c r="Y1934" s="1195"/>
      <c r="Z1934" s="193">
        <f t="shared" si="1503"/>
        <v>3</v>
      </c>
      <c r="AA1934" s="193"/>
      <c r="AB1934" s="254"/>
      <c r="AC1934" s="193"/>
      <c r="AD1934" s="193"/>
      <c r="AE1934" s="254"/>
      <c r="AF1934" s="1707">
        <f t="shared" ref="AF1934:AQ1934" si="1512">SUMIF($AS$373:$AS$406,$B1646&amp;"propia",AF$373:AF$406)</f>
        <v>0</v>
      </c>
      <c r="AG1934" s="1707">
        <f t="shared" si="1512"/>
        <v>0</v>
      </c>
      <c r="AH1934" s="1707">
        <f t="shared" si="1512"/>
        <v>0</v>
      </c>
      <c r="AI1934" s="1707">
        <f t="shared" si="1512"/>
        <v>0</v>
      </c>
      <c r="AJ1934" s="1707">
        <f t="shared" si="1512"/>
        <v>0</v>
      </c>
      <c r="AK1934" s="1707">
        <f t="shared" si="1512"/>
        <v>0</v>
      </c>
      <c r="AL1934" s="1707">
        <f t="shared" si="1512"/>
        <v>0</v>
      </c>
      <c r="AM1934" s="1707">
        <f t="shared" si="1512"/>
        <v>0</v>
      </c>
      <c r="AN1934" s="1707">
        <f t="shared" si="1512"/>
        <v>0</v>
      </c>
      <c r="AO1934" s="1707">
        <f t="shared" si="1512"/>
        <v>0</v>
      </c>
      <c r="AP1934" s="1707">
        <f t="shared" si="1512"/>
        <v>0</v>
      </c>
      <c r="AQ1934" s="1708">
        <f t="shared" si="1512"/>
        <v>0</v>
      </c>
    </row>
    <row r="1935" spans="2:43" ht="13.75" hidden="1" customHeight="1" x14ac:dyDescent="0.2">
      <c r="B1935" s="1195"/>
      <c r="C1935" s="193">
        <f t="shared" si="1501"/>
        <v>3</v>
      </c>
      <c r="D1935" s="193"/>
      <c r="E1935" s="254"/>
      <c r="F1935" s="193"/>
      <c r="G1935" s="193"/>
      <c r="H1935" s="254"/>
      <c r="I1935" s="1707">
        <f t="shared" ref="I1935:T1935" si="1513">SUMIF($V$373:$V$406,$B1647&amp;"propia",I$373:I$406)</f>
        <v>0</v>
      </c>
      <c r="J1935" s="1707">
        <f t="shared" si="1513"/>
        <v>0</v>
      </c>
      <c r="K1935" s="1707">
        <f t="shared" si="1513"/>
        <v>0</v>
      </c>
      <c r="L1935" s="1707">
        <f t="shared" si="1513"/>
        <v>0</v>
      </c>
      <c r="M1935" s="1707">
        <f t="shared" si="1513"/>
        <v>0</v>
      </c>
      <c r="N1935" s="1707">
        <f t="shared" si="1513"/>
        <v>0</v>
      </c>
      <c r="O1935" s="1707">
        <f t="shared" si="1513"/>
        <v>0</v>
      </c>
      <c r="P1935" s="1707">
        <f t="shared" si="1513"/>
        <v>0</v>
      </c>
      <c r="Q1935" s="1707">
        <f t="shared" si="1513"/>
        <v>0</v>
      </c>
      <c r="R1935" s="1707">
        <f t="shared" si="1513"/>
        <v>0</v>
      </c>
      <c r="S1935" s="1707">
        <f t="shared" si="1513"/>
        <v>0</v>
      </c>
      <c r="T1935" s="1708">
        <f t="shared" si="1513"/>
        <v>0</v>
      </c>
      <c r="Y1935" s="1195"/>
      <c r="Z1935" s="193">
        <f t="shared" si="1503"/>
        <v>3</v>
      </c>
      <c r="AA1935" s="193"/>
      <c r="AB1935" s="254"/>
      <c r="AC1935" s="193"/>
      <c r="AD1935" s="193"/>
      <c r="AE1935" s="254"/>
      <c r="AF1935" s="1707">
        <f t="shared" ref="AF1935:AQ1935" si="1514">SUMIF($AS$373:$AS$406,$B1647&amp;"propia",AF$373:AF$406)</f>
        <v>0</v>
      </c>
      <c r="AG1935" s="1707">
        <f t="shared" si="1514"/>
        <v>0</v>
      </c>
      <c r="AH1935" s="1707">
        <f t="shared" si="1514"/>
        <v>0</v>
      </c>
      <c r="AI1935" s="1707">
        <f t="shared" si="1514"/>
        <v>0</v>
      </c>
      <c r="AJ1935" s="1707">
        <f t="shared" si="1514"/>
        <v>0</v>
      </c>
      <c r="AK1935" s="1707">
        <f t="shared" si="1514"/>
        <v>0</v>
      </c>
      <c r="AL1935" s="1707">
        <f t="shared" si="1514"/>
        <v>0</v>
      </c>
      <c r="AM1935" s="1707">
        <f t="shared" si="1514"/>
        <v>0</v>
      </c>
      <c r="AN1935" s="1707">
        <f t="shared" si="1514"/>
        <v>0</v>
      </c>
      <c r="AO1935" s="1707">
        <f t="shared" si="1514"/>
        <v>0</v>
      </c>
      <c r="AP1935" s="1707">
        <f t="shared" si="1514"/>
        <v>0</v>
      </c>
      <c r="AQ1935" s="1708">
        <f t="shared" si="1514"/>
        <v>0</v>
      </c>
    </row>
    <row r="1936" spans="2:43" ht="13.75" hidden="1" customHeight="1" x14ac:dyDescent="0.2">
      <c r="B1936" s="1195"/>
      <c r="C1936" s="193">
        <f t="shared" si="1501"/>
        <v>9</v>
      </c>
      <c r="D1936" s="193"/>
      <c r="E1936" s="254"/>
      <c r="F1936" s="193"/>
      <c r="G1936" s="193"/>
      <c r="H1936" s="254"/>
      <c r="I1936" s="1707">
        <f t="shared" ref="I1936:T1936" si="1515">SUMIF($V$373:$V$406,$B1648&amp;"propia",I$373:I$406)</f>
        <v>0</v>
      </c>
      <c r="J1936" s="1707">
        <f t="shared" si="1515"/>
        <v>0</v>
      </c>
      <c r="K1936" s="1707">
        <f t="shared" si="1515"/>
        <v>0</v>
      </c>
      <c r="L1936" s="1707">
        <f t="shared" si="1515"/>
        <v>0</v>
      </c>
      <c r="M1936" s="1707">
        <f t="shared" si="1515"/>
        <v>0</v>
      </c>
      <c r="N1936" s="1707">
        <f t="shared" si="1515"/>
        <v>0</v>
      </c>
      <c r="O1936" s="1707">
        <f t="shared" si="1515"/>
        <v>0</v>
      </c>
      <c r="P1936" s="1707">
        <f t="shared" si="1515"/>
        <v>0</v>
      </c>
      <c r="Q1936" s="1707">
        <f t="shared" si="1515"/>
        <v>0</v>
      </c>
      <c r="R1936" s="1707">
        <f t="shared" si="1515"/>
        <v>0</v>
      </c>
      <c r="S1936" s="1707">
        <f t="shared" si="1515"/>
        <v>0</v>
      </c>
      <c r="T1936" s="1708">
        <f t="shared" si="1515"/>
        <v>0</v>
      </c>
      <c r="Y1936" s="1195"/>
      <c r="Z1936" s="193">
        <f t="shared" si="1503"/>
        <v>9</v>
      </c>
      <c r="AA1936" s="193"/>
      <c r="AB1936" s="254"/>
      <c r="AC1936" s="193"/>
      <c r="AD1936" s="193"/>
      <c r="AE1936" s="254"/>
      <c r="AF1936" s="1707">
        <f t="shared" ref="AF1936:AQ1936" si="1516">SUMIF($AS$373:$AS$406,$B1648&amp;"propia",AF$373:AF$406)</f>
        <v>0</v>
      </c>
      <c r="AG1936" s="1707">
        <f t="shared" si="1516"/>
        <v>0</v>
      </c>
      <c r="AH1936" s="1707">
        <f t="shared" si="1516"/>
        <v>0</v>
      </c>
      <c r="AI1936" s="1707">
        <f t="shared" si="1516"/>
        <v>0</v>
      </c>
      <c r="AJ1936" s="1707">
        <f t="shared" si="1516"/>
        <v>0</v>
      </c>
      <c r="AK1936" s="1707">
        <f t="shared" si="1516"/>
        <v>0</v>
      </c>
      <c r="AL1936" s="1707">
        <f t="shared" si="1516"/>
        <v>0</v>
      </c>
      <c r="AM1936" s="1707">
        <f t="shared" si="1516"/>
        <v>0</v>
      </c>
      <c r="AN1936" s="1707">
        <f t="shared" si="1516"/>
        <v>0</v>
      </c>
      <c r="AO1936" s="1707">
        <f t="shared" si="1516"/>
        <v>0</v>
      </c>
      <c r="AP1936" s="1707">
        <f t="shared" si="1516"/>
        <v>0</v>
      </c>
      <c r="AQ1936" s="1708">
        <f t="shared" si="1516"/>
        <v>0</v>
      </c>
    </row>
    <row r="1937" spans="2:43" ht="13.75" hidden="1" customHeight="1" x14ac:dyDescent="0.2">
      <c r="B1937" s="1195"/>
      <c r="C1937" s="193">
        <f t="shared" si="1501"/>
        <v>0</v>
      </c>
      <c r="D1937" s="193"/>
      <c r="E1937" s="254"/>
      <c r="F1937" s="193"/>
      <c r="G1937" s="193"/>
      <c r="H1937" s="254"/>
      <c r="I1937" s="1707">
        <f t="shared" ref="I1937:T1937" si="1517">SUMIF($V$373:$V$406,$B1649&amp;"propia",I$373:I$406)</f>
        <v>0</v>
      </c>
      <c r="J1937" s="1707">
        <f t="shared" si="1517"/>
        <v>0</v>
      </c>
      <c r="K1937" s="1707">
        <f t="shared" si="1517"/>
        <v>0</v>
      </c>
      <c r="L1937" s="1707">
        <f t="shared" si="1517"/>
        <v>0</v>
      </c>
      <c r="M1937" s="1707">
        <f t="shared" si="1517"/>
        <v>0</v>
      </c>
      <c r="N1937" s="1707">
        <f t="shared" si="1517"/>
        <v>0</v>
      </c>
      <c r="O1937" s="1707">
        <f t="shared" si="1517"/>
        <v>0</v>
      </c>
      <c r="P1937" s="1707">
        <f t="shared" si="1517"/>
        <v>0</v>
      </c>
      <c r="Q1937" s="1707">
        <f t="shared" si="1517"/>
        <v>0</v>
      </c>
      <c r="R1937" s="1707">
        <f t="shared" si="1517"/>
        <v>0</v>
      </c>
      <c r="S1937" s="1707">
        <f t="shared" si="1517"/>
        <v>0</v>
      </c>
      <c r="T1937" s="1708">
        <f t="shared" si="1517"/>
        <v>0</v>
      </c>
      <c r="Y1937" s="1195"/>
      <c r="Z1937" s="193">
        <f t="shared" si="1503"/>
        <v>0</v>
      </c>
      <c r="AA1937" s="193"/>
      <c r="AB1937" s="254"/>
      <c r="AC1937" s="193"/>
      <c r="AD1937" s="193"/>
      <c r="AE1937" s="254"/>
      <c r="AF1937" s="1707">
        <f t="shared" ref="AF1937:AQ1937" si="1518">SUMIF($AS$373:$AS$406,$B1649&amp;"propia",AF$373:AF$406)</f>
        <v>0</v>
      </c>
      <c r="AG1937" s="1707">
        <f t="shared" si="1518"/>
        <v>0</v>
      </c>
      <c r="AH1937" s="1707">
        <f t="shared" si="1518"/>
        <v>0</v>
      </c>
      <c r="AI1937" s="1707">
        <f t="shared" si="1518"/>
        <v>0</v>
      </c>
      <c r="AJ1937" s="1707">
        <f t="shared" si="1518"/>
        <v>0</v>
      </c>
      <c r="AK1937" s="1707">
        <f t="shared" si="1518"/>
        <v>0</v>
      </c>
      <c r="AL1937" s="1707">
        <f t="shared" si="1518"/>
        <v>0</v>
      </c>
      <c r="AM1937" s="1707">
        <f t="shared" si="1518"/>
        <v>0</v>
      </c>
      <c r="AN1937" s="1707">
        <f t="shared" si="1518"/>
        <v>0</v>
      </c>
      <c r="AO1937" s="1707">
        <f t="shared" si="1518"/>
        <v>0</v>
      </c>
      <c r="AP1937" s="1707">
        <f t="shared" si="1518"/>
        <v>0</v>
      </c>
      <c r="AQ1937" s="1708">
        <f t="shared" si="1518"/>
        <v>0</v>
      </c>
    </row>
    <row r="1938" spans="2:43" ht="13.75" hidden="1" customHeight="1" x14ac:dyDescent="0.2">
      <c r="B1938" s="1195"/>
      <c r="C1938" s="193">
        <f t="shared" si="1501"/>
        <v>0</v>
      </c>
      <c r="D1938" s="193"/>
      <c r="E1938" s="254"/>
      <c r="F1938" s="193"/>
      <c r="G1938" s="193"/>
      <c r="H1938" s="254"/>
      <c r="I1938" s="1707">
        <f t="shared" ref="I1938:T1938" si="1519">SUMIF($V$373:$V$406,$B1650&amp;"propia",I$373:I$406)</f>
        <v>0</v>
      </c>
      <c r="J1938" s="1707">
        <f t="shared" si="1519"/>
        <v>0</v>
      </c>
      <c r="K1938" s="1707">
        <f t="shared" si="1519"/>
        <v>0</v>
      </c>
      <c r="L1938" s="1707">
        <f t="shared" si="1519"/>
        <v>0</v>
      </c>
      <c r="M1938" s="1707">
        <f t="shared" si="1519"/>
        <v>0</v>
      </c>
      <c r="N1938" s="1707">
        <f t="shared" si="1519"/>
        <v>0</v>
      </c>
      <c r="O1938" s="1707">
        <f t="shared" si="1519"/>
        <v>0</v>
      </c>
      <c r="P1938" s="1707">
        <f t="shared" si="1519"/>
        <v>0</v>
      </c>
      <c r="Q1938" s="1707">
        <f t="shared" si="1519"/>
        <v>0</v>
      </c>
      <c r="R1938" s="1707">
        <f t="shared" si="1519"/>
        <v>0</v>
      </c>
      <c r="S1938" s="1707">
        <f t="shared" si="1519"/>
        <v>0</v>
      </c>
      <c r="T1938" s="1708">
        <f t="shared" si="1519"/>
        <v>0</v>
      </c>
      <c r="Y1938" s="1195"/>
      <c r="Z1938" s="193">
        <f t="shared" si="1503"/>
        <v>0</v>
      </c>
      <c r="AA1938" s="193"/>
      <c r="AB1938" s="254"/>
      <c r="AC1938" s="193"/>
      <c r="AD1938" s="193"/>
      <c r="AE1938" s="254"/>
      <c r="AF1938" s="1707">
        <f t="shared" ref="AF1938:AQ1938" si="1520">SUMIF($AS$373:$AS$406,$B1650&amp;"propia",AF$373:AF$406)</f>
        <v>0</v>
      </c>
      <c r="AG1938" s="1707">
        <f t="shared" si="1520"/>
        <v>0</v>
      </c>
      <c r="AH1938" s="1707">
        <f t="shared" si="1520"/>
        <v>0</v>
      </c>
      <c r="AI1938" s="1707">
        <f t="shared" si="1520"/>
        <v>0</v>
      </c>
      <c r="AJ1938" s="1707">
        <f t="shared" si="1520"/>
        <v>0</v>
      </c>
      <c r="AK1938" s="1707">
        <f t="shared" si="1520"/>
        <v>0</v>
      </c>
      <c r="AL1938" s="1707">
        <f t="shared" si="1520"/>
        <v>0</v>
      </c>
      <c r="AM1938" s="1707">
        <f t="shared" si="1520"/>
        <v>0</v>
      </c>
      <c r="AN1938" s="1707">
        <f t="shared" si="1520"/>
        <v>0</v>
      </c>
      <c r="AO1938" s="1707">
        <f t="shared" si="1520"/>
        <v>0</v>
      </c>
      <c r="AP1938" s="1707">
        <f t="shared" si="1520"/>
        <v>0</v>
      </c>
      <c r="AQ1938" s="1708">
        <f t="shared" si="1520"/>
        <v>0</v>
      </c>
    </row>
    <row r="1939" spans="2:43" ht="13.75" hidden="1" customHeight="1" x14ac:dyDescent="0.2">
      <c r="B1939" s="1195"/>
      <c r="C1939" s="193">
        <f t="shared" si="1501"/>
        <v>0</v>
      </c>
      <c r="D1939" s="193"/>
      <c r="E1939" s="254"/>
      <c r="F1939" s="193"/>
      <c r="G1939" s="193"/>
      <c r="H1939" s="254"/>
      <c r="I1939" s="1707">
        <f t="shared" ref="I1939:T1939" si="1521">SUMIF($V$373:$V$406,$B1651&amp;"propia",I$373:I$406)</f>
        <v>0</v>
      </c>
      <c r="J1939" s="1707">
        <f t="shared" si="1521"/>
        <v>0</v>
      </c>
      <c r="K1939" s="1707">
        <f t="shared" si="1521"/>
        <v>0</v>
      </c>
      <c r="L1939" s="1707">
        <f t="shared" si="1521"/>
        <v>0</v>
      </c>
      <c r="M1939" s="1707">
        <f t="shared" si="1521"/>
        <v>0</v>
      </c>
      <c r="N1939" s="1707">
        <f t="shared" si="1521"/>
        <v>0</v>
      </c>
      <c r="O1939" s="1707">
        <f t="shared" si="1521"/>
        <v>0</v>
      </c>
      <c r="P1939" s="1707">
        <f t="shared" si="1521"/>
        <v>0</v>
      </c>
      <c r="Q1939" s="1707">
        <f t="shared" si="1521"/>
        <v>0</v>
      </c>
      <c r="R1939" s="1707">
        <f t="shared" si="1521"/>
        <v>0</v>
      </c>
      <c r="S1939" s="1707">
        <f t="shared" si="1521"/>
        <v>0</v>
      </c>
      <c r="T1939" s="1708">
        <f t="shared" si="1521"/>
        <v>0</v>
      </c>
      <c r="Y1939" s="1195"/>
      <c r="Z1939" s="193">
        <f t="shared" si="1503"/>
        <v>0</v>
      </c>
      <c r="AA1939" s="193"/>
      <c r="AB1939" s="254"/>
      <c r="AC1939" s="193"/>
      <c r="AD1939" s="193"/>
      <c r="AE1939" s="254"/>
      <c r="AF1939" s="1707">
        <f t="shared" ref="AF1939:AQ1939" si="1522">SUMIF($AS$373:$AS$406,$B1651&amp;"propia",AF$373:AF$406)</f>
        <v>0</v>
      </c>
      <c r="AG1939" s="1707">
        <f t="shared" si="1522"/>
        <v>0</v>
      </c>
      <c r="AH1939" s="1707">
        <f t="shared" si="1522"/>
        <v>0</v>
      </c>
      <c r="AI1939" s="1707">
        <f t="shared" si="1522"/>
        <v>0</v>
      </c>
      <c r="AJ1939" s="1707">
        <f t="shared" si="1522"/>
        <v>0</v>
      </c>
      <c r="AK1939" s="1707">
        <f t="shared" si="1522"/>
        <v>0</v>
      </c>
      <c r="AL1939" s="1707">
        <f t="shared" si="1522"/>
        <v>0</v>
      </c>
      <c r="AM1939" s="1707">
        <f t="shared" si="1522"/>
        <v>0</v>
      </c>
      <c r="AN1939" s="1707">
        <f t="shared" si="1522"/>
        <v>0</v>
      </c>
      <c r="AO1939" s="1707">
        <f t="shared" si="1522"/>
        <v>0</v>
      </c>
      <c r="AP1939" s="1707">
        <f t="shared" si="1522"/>
        <v>0</v>
      </c>
      <c r="AQ1939" s="1708">
        <f t="shared" si="1522"/>
        <v>0</v>
      </c>
    </row>
    <row r="1940" spans="2:43" ht="13.75" hidden="1" customHeight="1" x14ac:dyDescent="0.2">
      <c r="B1940" s="1195"/>
      <c r="C1940" s="193">
        <f t="shared" si="1501"/>
        <v>0</v>
      </c>
      <c r="D1940" s="193"/>
      <c r="E1940" s="254"/>
      <c r="F1940" s="193"/>
      <c r="G1940" s="193"/>
      <c r="H1940" s="254"/>
      <c r="I1940" s="1707">
        <f t="shared" ref="I1940:T1940" si="1523">SUMIF($V$373:$V$406,$B1652&amp;"propia",I$373:I$406)</f>
        <v>0</v>
      </c>
      <c r="J1940" s="1707">
        <f t="shared" si="1523"/>
        <v>0</v>
      </c>
      <c r="K1940" s="1707">
        <f t="shared" si="1523"/>
        <v>0</v>
      </c>
      <c r="L1940" s="1707">
        <f t="shared" si="1523"/>
        <v>0</v>
      </c>
      <c r="M1940" s="1707">
        <f t="shared" si="1523"/>
        <v>0</v>
      </c>
      <c r="N1940" s="1707">
        <f t="shared" si="1523"/>
        <v>0</v>
      </c>
      <c r="O1940" s="1707">
        <f t="shared" si="1523"/>
        <v>0</v>
      </c>
      <c r="P1940" s="1707">
        <f t="shared" si="1523"/>
        <v>0</v>
      </c>
      <c r="Q1940" s="1707">
        <f t="shared" si="1523"/>
        <v>0</v>
      </c>
      <c r="R1940" s="1707">
        <f t="shared" si="1523"/>
        <v>0</v>
      </c>
      <c r="S1940" s="1707">
        <f t="shared" si="1523"/>
        <v>0</v>
      </c>
      <c r="T1940" s="1708">
        <f t="shared" si="1523"/>
        <v>0</v>
      </c>
      <c r="Y1940" s="1195"/>
      <c r="Z1940" s="193">
        <f t="shared" si="1503"/>
        <v>0</v>
      </c>
      <c r="AA1940" s="193"/>
      <c r="AB1940" s="254"/>
      <c r="AC1940" s="193"/>
      <c r="AD1940" s="193"/>
      <c r="AE1940" s="254"/>
      <c r="AF1940" s="1707">
        <f t="shared" ref="AF1940:AQ1940" si="1524">SUMIF($AS$373:$AS$406,$B1652&amp;"propia",AF$373:AF$406)</f>
        <v>0</v>
      </c>
      <c r="AG1940" s="1707">
        <f t="shared" si="1524"/>
        <v>0</v>
      </c>
      <c r="AH1940" s="1707">
        <f t="shared" si="1524"/>
        <v>0</v>
      </c>
      <c r="AI1940" s="1707">
        <f t="shared" si="1524"/>
        <v>0</v>
      </c>
      <c r="AJ1940" s="1707">
        <f t="shared" si="1524"/>
        <v>0</v>
      </c>
      <c r="AK1940" s="1707">
        <f t="shared" si="1524"/>
        <v>0</v>
      </c>
      <c r="AL1940" s="1707">
        <f t="shared" si="1524"/>
        <v>0</v>
      </c>
      <c r="AM1940" s="1707">
        <f t="shared" si="1524"/>
        <v>0</v>
      </c>
      <c r="AN1940" s="1707">
        <f t="shared" si="1524"/>
        <v>0</v>
      </c>
      <c r="AO1940" s="1707">
        <f t="shared" si="1524"/>
        <v>0</v>
      </c>
      <c r="AP1940" s="1707">
        <f t="shared" si="1524"/>
        <v>0</v>
      </c>
      <c r="AQ1940" s="1708">
        <f t="shared" si="1524"/>
        <v>0</v>
      </c>
    </row>
    <row r="1941" spans="2:43" ht="13.75" hidden="1" customHeight="1" x14ac:dyDescent="0.2">
      <c r="B1941" s="1195"/>
      <c r="C1941" s="193">
        <f t="shared" si="1501"/>
        <v>0</v>
      </c>
      <c r="D1941" s="193"/>
      <c r="E1941" s="254"/>
      <c r="F1941" s="193"/>
      <c r="G1941" s="193"/>
      <c r="H1941" s="254"/>
      <c r="I1941" s="1707">
        <f t="shared" ref="I1941:T1941" si="1525">SUMIF($V$373:$V$406,$B1653&amp;"propia",I$373:I$406)</f>
        <v>0</v>
      </c>
      <c r="J1941" s="1707">
        <f t="shared" si="1525"/>
        <v>0</v>
      </c>
      <c r="K1941" s="1707">
        <f t="shared" si="1525"/>
        <v>0</v>
      </c>
      <c r="L1941" s="1707">
        <f t="shared" si="1525"/>
        <v>0</v>
      </c>
      <c r="M1941" s="1707">
        <f t="shared" si="1525"/>
        <v>0</v>
      </c>
      <c r="N1941" s="1707">
        <f t="shared" si="1525"/>
        <v>0</v>
      </c>
      <c r="O1941" s="1707">
        <f t="shared" si="1525"/>
        <v>0</v>
      </c>
      <c r="P1941" s="1707">
        <f t="shared" si="1525"/>
        <v>0</v>
      </c>
      <c r="Q1941" s="1707">
        <f t="shared" si="1525"/>
        <v>0</v>
      </c>
      <c r="R1941" s="1707">
        <f t="shared" si="1525"/>
        <v>0</v>
      </c>
      <c r="S1941" s="1707">
        <f t="shared" si="1525"/>
        <v>0</v>
      </c>
      <c r="T1941" s="1708">
        <f t="shared" si="1525"/>
        <v>0</v>
      </c>
      <c r="Y1941" s="1195"/>
      <c r="Z1941" s="193">
        <f t="shared" si="1503"/>
        <v>0</v>
      </c>
      <c r="AA1941" s="193"/>
      <c r="AB1941" s="254"/>
      <c r="AC1941" s="193"/>
      <c r="AD1941" s="193"/>
      <c r="AE1941" s="254"/>
      <c r="AF1941" s="1707">
        <f t="shared" ref="AF1941:AQ1941" si="1526">SUMIF($AS$373:$AS$406,$B1653&amp;"propia",AF$373:AF$406)</f>
        <v>0</v>
      </c>
      <c r="AG1941" s="1707">
        <f t="shared" si="1526"/>
        <v>0</v>
      </c>
      <c r="AH1941" s="1707">
        <f t="shared" si="1526"/>
        <v>0</v>
      </c>
      <c r="AI1941" s="1707">
        <f t="shared" si="1526"/>
        <v>0</v>
      </c>
      <c r="AJ1941" s="1707">
        <f t="shared" si="1526"/>
        <v>0</v>
      </c>
      <c r="AK1941" s="1707">
        <f t="shared" si="1526"/>
        <v>0</v>
      </c>
      <c r="AL1941" s="1707">
        <f t="shared" si="1526"/>
        <v>0</v>
      </c>
      <c r="AM1941" s="1707">
        <f t="shared" si="1526"/>
        <v>0</v>
      </c>
      <c r="AN1941" s="1707">
        <f t="shared" si="1526"/>
        <v>0</v>
      </c>
      <c r="AO1941" s="1707">
        <f t="shared" si="1526"/>
        <v>0</v>
      </c>
      <c r="AP1941" s="1707">
        <f t="shared" si="1526"/>
        <v>0</v>
      </c>
      <c r="AQ1941" s="1708">
        <f t="shared" si="1526"/>
        <v>0</v>
      </c>
    </row>
    <row r="1942" spans="2:43" ht="13.75" hidden="1" customHeight="1" x14ac:dyDescent="0.2">
      <c r="B1942" s="1195"/>
      <c r="C1942" s="193">
        <f t="shared" si="1501"/>
        <v>0</v>
      </c>
      <c r="D1942" s="193"/>
      <c r="E1942" s="254"/>
      <c r="F1942" s="193"/>
      <c r="G1942" s="193"/>
      <c r="H1942" s="254"/>
      <c r="I1942" s="1707">
        <f t="shared" ref="I1942:T1942" si="1527">SUMIF($V$373:$V$406,$B1654&amp;"propia",I$373:I$406)</f>
        <v>0</v>
      </c>
      <c r="J1942" s="1707">
        <f t="shared" si="1527"/>
        <v>0</v>
      </c>
      <c r="K1942" s="1707">
        <f t="shared" si="1527"/>
        <v>0</v>
      </c>
      <c r="L1942" s="1707">
        <f t="shared" si="1527"/>
        <v>0</v>
      </c>
      <c r="M1942" s="1707">
        <f t="shared" si="1527"/>
        <v>0</v>
      </c>
      <c r="N1942" s="1707">
        <f t="shared" si="1527"/>
        <v>0</v>
      </c>
      <c r="O1942" s="1707">
        <f t="shared" si="1527"/>
        <v>0</v>
      </c>
      <c r="P1942" s="1707">
        <f t="shared" si="1527"/>
        <v>0</v>
      </c>
      <c r="Q1942" s="1707">
        <f t="shared" si="1527"/>
        <v>0</v>
      </c>
      <c r="R1942" s="1707">
        <f t="shared" si="1527"/>
        <v>0</v>
      </c>
      <c r="S1942" s="1707">
        <f t="shared" si="1527"/>
        <v>0</v>
      </c>
      <c r="T1942" s="1708">
        <f t="shared" si="1527"/>
        <v>0</v>
      </c>
      <c r="Y1942" s="1195"/>
      <c r="Z1942" s="193">
        <f t="shared" si="1503"/>
        <v>0</v>
      </c>
      <c r="AA1942" s="193"/>
      <c r="AB1942" s="254"/>
      <c r="AC1942" s="193"/>
      <c r="AD1942" s="193"/>
      <c r="AE1942" s="254"/>
      <c r="AF1942" s="1707">
        <f t="shared" ref="AF1942:AQ1942" si="1528">SUMIF($AS$373:$AS$406,$B1654&amp;"propia",AF$373:AF$406)</f>
        <v>0</v>
      </c>
      <c r="AG1942" s="1707">
        <f t="shared" si="1528"/>
        <v>0</v>
      </c>
      <c r="AH1942" s="1707">
        <f t="shared" si="1528"/>
        <v>0</v>
      </c>
      <c r="AI1942" s="1707">
        <f t="shared" si="1528"/>
        <v>0</v>
      </c>
      <c r="AJ1942" s="1707">
        <f t="shared" si="1528"/>
        <v>0</v>
      </c>
      <c r="AK1942" s="1707">
        <f t="shared" si="1528"/>
        <v>0</v>
      </c>
      <c r="AL1942" s="1707">
        <f t="shared" si="1528"/>
        <v>0</v>
      </c>
      <c r="AM1942" s="1707">
        <f t="shared" si="1528"/>
        <v>0</v>
      </c>
      <c r="AN1942" s="1707">
        <f t="shared" si="1528"/>
        <v>0</v>
      </c>
      <c r="AO1942" s="1707">
        <f t="shared" si="1528"/>
        <v>0</v>
      </c>
      <c r="AP1942" s="1707">
        <f t="shared" si="1528"/>
        <v>0</v>
      </c>
      <c r="AQ1942" s="1708">
        <f t="shared" si="1528"/>
        <v>0</v>
      </c>
    </row>
    <row r="1943" spans="2:43" ht="14.4" hidden="1" customHeight="1" thickBot="1" x14ac:dyDescent="0.25">
      <c r="B1943" s="1198"/>
      <c r="C1943" s="1199">
        <f t="shared" si="1501"/>
        <v>0</v>
      </c>
      <c r="D1943" s="1199"/>
      <c r="E1943" s="1209"/>
      <c r="F1943" s="1199"/>
      <c r="G1943" s="1199"/>
      <c r="H1943" s="1209"/>
      <c r="I1943" s="1709">
        <f t="shared" ref="I1943:T1943" si="1529">SUMIF($V$373:$V$406,$B1655&amp;"propia",I$373:I$406)</f>
        <v>0</v>
      </c>
      <c r="J1943" s="1709">
        <f t="shared" si="1529"/>
        <v>0</v>
      </c>
      <c r="K1943" s="1709">
        <f t="shared" si="1529"/>
        <v>0</v>
      </c>
      <c r="L1943" s="1709">
        <f t="shared" si="1529"/>
        <v>0</v>
      </c>
      <c r="M1943" s="1709">
        <f t="shared" si="1529"/>
        <v>0</v>
      </c>
      <c r="N1943" s="1709">
        <f t="shared" si="1529"/>
        <v>0</v>
      </c>
      <c r="O1943" s="1709">
        <f t="shared" si="1529"/>
        <v>0</v>
      </c>
      <c r="P1943" s="1709">
        <f t="shared" si="1529"/>
        <v>0</v>
      </c>
      <c r="Q1943" s="1709">
        <f t="shared" si="1529"/>
        <v>0</v>
      </c>
      <c r="R1943" s="1709">
        <f t="shared" si="1529"/>
        <v>0</v>
      </c>
      <c r="S1943" s="1709">
        <f t="shared" si="1529"/>
        <v>0</v>
      </c>
      <c r="T1943" s="1710">
        <f t="shared" si="1529"/>
        <v>0</v>
      </c>
      <c r="Y1943" s="1198"/>
      <c r="Z1943" s="1199">
        <f t="shared" si="1503"/>
        <v>0</v>
      </c>
      <c r="AA1943" s="1199"/>
      <c r="AB1943" s="1209"/>
      <c r="AC1943" s="1199"/>
      <c r="AD1943" s="1199"/>
      <c r="AE1943" s="1209"/>
      <c r="AF1943" s="1709">
        <f t="shared" ref="AF1943:AQ1943" si="1530">SUMIF($AS$373:$AS$406,$B1655&amp;"propia",AF$373:AF$406)</f>
        <v>0</v>
      </c>
      <c r="AG1943" s="1709">
        <f t="shared" si="1530"/>
        <v>0</v>
      </c>
      <c r="AH1943" s="1709">
        <f t="shared" si="1530"/>
        <v>0</v>
      </c>
      <c r="AI1943" s="1709">
        <f t="shared" si="1530"/>
        <v>0</v>
      </c>
      <c r="AJ1943" s="1709">
        <f t="shared" si="1530"/>
        <v>0</v>
      </c>
      <c r="AK1943" s="1709">
        <f t="shared" si="1530"/>
        <v>0</v>
      </c>
      <c r="AL1943" s="1709">
        <f t="shared" si="1530"/>
        <v>0</v>
      </c>
      <c r="AM1943" s="1709">
        <f t="shared" si="1530"/>
        <v>0</v>
      </c>
      <c r="AN1943" s="1709">
        <f t="shared" si="1530"/>
        <v>0</v>
      </c>
      <c r="AO1943" s="1709">
        <f t="shared" si="1530"/>
        <v>0</v>
      </c>
      <c r="AP1943" s="1709">
        <f t="shared" si="1530"/>
        <v>0</v>
      </c>
      <c r="AQ1943" s="1710">
        <f t="shared" si="1530"/>
        <v>0</v>
      </c>
    </row>
    <row r="1944" spans="2:43" ht="14.4" hidden="1" customHeight="1" thickTop="1" x14ac:dyDescent="0.2">
      <c r="B1944" s="1584" t="s">
        <v>2020</v>
      </c>
      <c r="C1944" s="1194" t="s">
        <v>2018</v>
      </c>
      <c r="D1944" s="1194"/>
      <c r="E1944" s="1210"/>
      <c r="F1944" s="1194"/>
      <c r="G1944" s="1194"/>
      <c r="H1944" s="1210"/>
      <c r="I1944" s="1210"/>
      <c r="J1944" s="1210"/>
      <c r="K1944" s="1210"/>
      <c r="L1944" s="1210"/>
      <c r="M1944" s="1210"/>
      <c r="N1944" s="1210"/>
      <c r="O1944" s="1210"/>
      <c r="P1944" s="1210"/>
      <c r="Q1944" s="1210"/>
      <c r="R1944" s="1210"/>
      <c r="S1944" s="1210"/>
      <c r="T1944" s="1585"/>
      <c r="Y1944" s="1584" t="str">
        <f>+Y1908</f>
        <v xml:space="preserve">Labor CONTRATADA </v>
      </c>
      <c r="Z1944" s="1194" t="str">
        <f t="shared" si="1503"/>
        <v>Gasoli (Litros/unidad)</v>
      </c>
      <c r="AA1944" s="1194"/>
      <c r="AB1944" s="1210"/>
      <c r="AC1944" s="1194"/>
      <c r="AD1944" s="1194"/>
      <c r="AE1944" s="1210"/>
      <c r="AF1944" s="1210"/>
      <c r="AG1944" s="1210"/>
      <c r="AH1944" s="1210"/>
      <c r="AI1944" s="1210"/>
      <c r="AJ1944" s="1210"/>
      <c r="AK1944" s="1210"/>
      <c r="AL1944" s="1210"/>
      <c r="AM1944" s="1210"/>
      <c r="AN1944" s="1210"/>
      <c r="AO1944" s="1210"/>
      <c r="AP1944" s="1210"/>
      <c r="AQ1944" s="1585"/>
    </row>
    <row r="1945" spans="2:43" ht="13.75" hidden="1" customHeight="1" x14ac:dyDescent="0.2">
      <c r="B1945" s="1195" t="s">
        <v>2022</v>
      </c>
      <c r="C1945" s="193">
        <f t="shared" ref="C1945:C1958" si="1531">+C1909</f>
        <v>5</v>
      </c>
      <c r="D1945" s="193"/>
      <c r="E1945" s="254"/>
      <c r="F1945" s="193"/>
      <c r="G1945" s="193"/>
      <c r="H1945" s="254"/>
      <c r="I1945" s="1705">
        <f>SUMIF($V$373:$V$406,$B1657&amp;"contratada",I$373:I$406)</f>
        <v>0</v>
      </c>
      <c r="J1945" s="1705">
        <f t="shared" ref="J1945:T1945" si="1532">SUMIF($V$373:$V$406,$B1657&amp;"contratada",J$373:J$406)</f>
        <v>0</v>
      </c>
      <c r="K1945" s="1705">
        <f t="shared" si="1532"/>
        <v>0</v>
      </c>
      <c r="L1945" s="1705">
        <f t="shared" si="1532"/>
        <v>0</v>
      </c>
      <c r="M1945" s="1705">
        <f t="shared" si="1532"/>
        <v>0</v>
      </c>
      <c r="N1945" s="1705">
        <f t="shared" si="1532"/>
        <v>0</v>
      </c>
      <c r="O1945" s="1705">
        <f t="shared" si="1532"/>
        <v>0</v>
      </c>
      <c r="P1945" s="1705">
        <f t="shared" si="1532"/>
        <v>0</v>
      </c>
      <c r="Q1945" s="1705">
        <f t="shared" si="1532"/>
        <v>0</v>
      </c>
      <c r="R1945" s="1705">
        <f t="shared" si="1532"/>
        <v>0</v>
      </c>
      <c r="S1945" s="1705">
        <f t="shared" si="1532"/>
        <v>0</v>
      </c>
      <c r="T1945" s="1706">
        <f t="shared" si="1532"/>
        <v>0</v>
      </c>
      <c r="Y1945" s="1195"/>
      <c r="Z1945" s="193">
        <f t="shared" si="1503"/>
        <v>5</v>
      </c>
      <c r="AA1945" s="193"/>
      <c r="AB1945" s="254"/>
      <c r="AC1945" s="193"/>
      <c r="AD1945" s="193"/>
      <c r="AE1945" s="254"/>
      <c r="AF1945" s="1705">
        <f>SUMIF($AS$373:$AS$406,$B1657&amp;"contratada",AF$373:AF$406)</f>
        <v>0</v>
      </c>
      <c r="AG1945" s="1705">
        <f t="shared" ref="AG1945:AQ1945" si="1533">SUMIF($AS$373:$AS$406,$B1657&amp;"contratada",AG$373:AG$406)</f>
        <v>0</v>
      </c>
      <c r="AH1945" s="1705">
        <f t="shared" si="1533"/>
        <v>0</v>
      </c>
      <c r="AI1945" s="1705">
        <f t="shared" si="1533"/>
        <v>0</v>
      </c>
      <c r="AJ1945" s="1705">
        <f t="shared" si="1533"/>
        <v>0</v>
      </c>
      <c r="AK1945" s="1705">
        <f t="shared" si="1533"/>
        <v>0</v>
      </c>
      <c r="AL1945" s="1705">
        <f t="shared" si="1533"/>
        <v>0</v>
      </c>
      <c r="AM1945" s="1705">
        <f t="shared" si="1533"/>
        <v>0</v>
      </c>
      <c r="AN1945" s="1705">
        <f t="shared" si="1533"/>
        <v>0</v>
      </c>
      <c r="AO1945" s="1705">
        <f t="shared" si="1533"/>
        <v>0</v>
      </c>
      <c r="AP1945" s="1705">
        <f t="shared" si="1533"/>
        <v>0</v>
      </c>
      <c r="AQ1945" s="1706">
        <f t="shared" si="1533"/>
        <v>0</v>
      </c>
    </row>
    <row r="1946" spans="2:43" ht="13.75" hidden="1" customHeight="1" x14ac:dyDescent="0.2">
      <c r="B1946" s="1195"/>
      <c r="C1946" s="193">
        <f t="shared" si="1531"/>
        <v>5</v>
      </c>
      <c r="D1946" s="193"/>
      <c r="E1946" s="254"/>
      <c r="F1946" s="193"/>
      <c r="G1946" s="193"/>
      <c r="H1946" s="254"/>
      <c r="I1946" s="1707">
        <f t="shared" ref="I1946:T1946" si="1534">SUMIF($V$373:$V$406,$B1658&amp;"contratada",I$373:I$406)</f>
        <v>0</v>
      </c>
      <c r="J1946" s="1707">
        <f t="shared" si="1534"/>
        <v>0</v>
      </c>
      <c r="K1946" s="1707">
        <f t="shared" si="1534"/>
        <v>0</v>
      </c>
      <c r="L1946" s="1707">
        <f t="shared" si="1534"/>
        <v>0</v>
      </c>
      <c r="M1946" s="1707">
        <f t="shared" si="1534"/>
        <v>0</v>
      </c>
      <c r="N1946" s="1707">
        <f t="shared" si="1534"/>
        <v>0</v>
      </c>
      <c r="O1946" s="1707">
        <f t="shared" si="1534"/>
        <v>0</v>
      </c>
      <c r="P1946" s="1707">
        <f t="shared" si="1534"/>
        <v>0</v>
      </c>
      <c r="Q1946" s="1707">
        <f t="shared" si="1534"/>
        <v>0</v>
      </c>
      <c r="R1946" s="1707">
        <f t="shared" si="1534"/>
        <v>0</v>
      </c>
      <c r="S1946" s="1707">
        <f t="shared" si="1534"/>
        <v>0</v>
      </c>
      <c r="T1946" s="1708">
        <f t="shared" si="1534"/>
        <v>0</v>
      </c>
      <c r="Y1946" s="1195"/>
      <c r="Z1946" s="193">
        <f t="shared" si="1503"/>
        <v>5</v>
      </c>
      <c r="AA1946" s="193"/>
      <c r="AB1946" s="254"/>
      <c r="AC1946" s="193"/>
      <c r="AD1946" s="193"/>
      <c r="AE1946" s="254"/>
      <c r="AF1946" s="1707">
        <f t="shared" ref="AF1946:AQ1946" si="1535">SUMIF($AS$373:$AS$406,$B1658&amp;"contratada",AF$373:AF$406)</f>
        <v>0</v>
      </c>
      <c r="AG1946" s="1707">
        <f t="shared" si="1535"/>
        <v>0</v>
      </c>
      <c r="AH1946" s="1707">
        <f t="shared" si="1535"/>
        <v>0</v>
      </c>
      <c r="AI1946" s="1707">
        <f t="shared" si="1535"/>
        <v>0</v>
      </c>
      <c r="AJ1946" s="1707">
        <f t="shared" si="1535"/>
        <v>0</v>
      </c>
      <c r="AK1946" s="1707">
        <f t="shared" si="1535"/>
        <v>0</v>
      </c>
      <c r="AL1946" s="1707">
        <f t="shared" si="1535"/>
        <v>0</v>
      </c>
      <c r="AM1946" s="1707">
        <f t="shared" si="1535"/>
        <v>0</v>
      </c>
      <c r="AN1946" s="1707">
        <f t="shared" si="1535"/>
        <v>0</v>
      </c>
      <c r="AO1946" s="1707">
        <f t="shared" si="1535"/>
        <v>0</v>
      </c>
      <c r="AP1946" s="1707">
        <f t="shared" si="1535"/>
        <v>0</v>
      </c>
      <c r="AQ1946" s="1708">
        <f t="shared" si="1535"/>
        <v>0</v>
      </c>
    </row>
    <row r="1947" spans="2:43" ht="13.75" hidden="1" customHeight="1" x14ac:dyDescent="0.2">
      <c r="B1947" s="1195"/>
      <c r="C1947" s="193">
        <f t="shared" si="1531"/>
        <v>1.5</v>
      </c>
      <c r="D1947" s="193"/>
      <c r="E1947" s="254"/>
      <c r="F1947" s="193"/>
      <c r="G1947" s="193"/>
      <c r="H1947" s="254"/>
      <c r="I1947" s="1707">
        <f t="shared" ref="I1947:T1947" si="1536">SUMIF($V$373:$V$406,$B1659&amp;"contratada",I$373:I$406)</f>
        <v>0</v>
      </c>
      <c r="J1947" s="1707">
        <f t="shared" si="1536"/>
        <v>0</v>
      </c>
      <c r="K1947" s="1707">
        <f t="shared" si="1536"/>
        <v>0</v>
      </c>
      <c r="L1947" s="1707">
        <f t="shared" si="1536"/>
        <v>0</v>
      </c>
      <c r="M1947" s="1707">
        <f t="shared" si="1536"/>
        <v>0</v>
      </c>
      <c r="N1947" s="1707">
        <f t="shared" si="1536"/>
        <v>0</v>
      </c>
      <c r="O1947" s="1707">
        <f t="shared" si="1536"/>
        <v>0</v>
      </c>
      <c r="P1947" s="1707">
        <f t="shared" si="1536"/>
        <v>0</v>
      </c>
      <c r="Q1947" s="1707">
        <f t="shared" si="1536"/>
        <v>0</v>
      </c>
      <c r="R1947" s="1707">
        <f t="shared" si="1536"/>
        <v>0</v>
      </c>
      <c r="S1947" s="1707">
        <f t="shared" si="1536"/>
        <v>0</v>
      </c>
      <c r="T1947" s="1708">
        <f t="shared" si="1536"/>
        <v>0</v>
      </c>
      <c r="Y1947" s="1195"/>
      <c r="Z1947" s="193">
        <f t="shared" si="1503"/>
        <v>1.5</v>
      </c>
      <c r="AA1947" s="193"/>
      <c r="AB1947" s="254"/>
      <c r="AC1947" s="193"/>
      <c r="AD1947" s="193"/>
      <c r="AE1947" s="254"/>
      <c r="AF1947" s="1707">
        <f t="shared" ref="AF1947:AQ1947" si="1537">SUMIF($AS$373:$AS$406,$B1659&amp;"contratada",AF$373:AF$406)</f>
        <v>0</v>
      </c>
      <c r="AG1947" s="1707">
        <f t="shared" si="1537"/>
        <v>0</v>
      </c>
      <c r="AH1947" s="1707">
        <f t="shared" si="1537"/>
        <v>0</v>
      </c>
      <c r="AI1947" s="1707">
        <f t="shared" si="1537"/>
        <v>0</v>
      </c>
      <c r="AJ1947" s="1707">
        <f t="shared" si="1537"/>
        <v>0</v>
      </c>
      <c r="AK1947" s="1707">
        <f t="shared" si="1537"/>
        <v>0</v>
      </c>
      <c r="AL1947" s="1707">
        <f t="shared" si="1537"/>
        <v>0</v>
      </c>
      <c r="AM1947" s="1707">
        <f t="shared" si="1537"/>
        <v>0</v>
      </c>
      <c r="AN1947" s="1707">
        <f t="shared" si="1537"/>
        <v>0</v>
      </c>
      <c r="AO1947" s="1707">
        <f t="shared" si="1537"/>
        <v>0</v>
      </c>
      <c r="AP1947" s="1707">
        <f t="shared" si="1537"/>
        <v>0</v>
      </c>
      <c r="AQ1947" s="1708">
        <f t="shared" si="1537"/>
        <v>0</v>
      </c>
    </row>
    <row r="1948" spans="2:43" ht="13.75" hidden="1" customHeight="1" x14ac:dyDescent="0.2">
      <c r="B1948" s="1195"/>
      <c r="C1948" s="193">
        <f t="shared" si="1531"/>
        <v>1.5</v>
      </c>
      <c r="D1948" s="193"/>
      <c r="E1948" s="254"/>
      <c r="F1948" s="193"/>
      <c r="G1948" s="193"/>
      <c r="H1948" s="254"/>
      <c r="I1948" s="1707">
        <f t="shared" ref="I1948:T1948" si="1538">SUMIF($V$373:$V$406,$B1660&amp;"contratada",I$373:I$406)</f>
        <v>0</v>
      </c>
      <c r="J1948" s="1707">
        <f t="shared" si="1538"/>
        <v>0</v>
      </c>
      <c r="K1948" s="1707">
        <f t="shared" si="1538"/>
        <v>0</v>
      </c>
      <c r="L1948" s="1707">
        <f t="shared" si="1538"/>
        <v>0</v>
      </c>
      <c r="M1948" s="1707">
        <f t="shared" si="1538"/>
        <v>0</v>
      </c>
      <c r="N1948" s="1707">
        <f t="shared" si="1538"/>
        <v>0</v>
      </c>
      <c r="O1948" s="1707">
        <f t="shared" si="1538"/>
        <v>0</v>
      </c>
      <c r="P1948" s="1707">
        <f t="shared" si="1538"/>
        <v>0</v>
      </c>
      <c r="Q1948" s="1707">
        <f t="shared" si="1538"/>
        <v>0</v>
      </c>
      <c r="R1948" s="1707">
        <f t="shared" si="1538"/>
        <v>0</v>
      </c>
      <c r="S1948" s="1707">
        <f t="shared" si="1538"/>
        <v>0</v>
      </c>
      <c r="T1948" s="1708">
        <f t="shared" si="1538"/>
        <v>0</v>
      </c>
      <c r="Y1948" s="1195"/>
      <c r="Z1948" s="193">
        <f t="shared" si="1503"/>
        <v>1.5</v>
      </c>
      <c r="AA1948" s="193"/>
      <c r="AB1948" s="254"/>
      <c r="AC1948" s="193"/>
      <c r="AD1948" s="193"/>
      <c r="AE1948" s="254"/>
      <c r="AF1948" s="1707">
        <f t="shared" ref="AF1948:AQ1948" si="1539">SUMIF($AS$373:$AS$406,$B1660&amp;"contratada",AF$373:AF$406)</f>
        <v>0</v>
      </c>
      <c r="AG1948" s="1707">
        <f t="shared" si="1539"/>
        <v>0</v>
      </c>
      <c r="AH1948" s="1707">
        <f t="shared" si="1539"/>
        <v>0</v>
      </c>
      <c r="AI1948" s="1707">
        <f t="shared" si="1539"/>
        <v>0</v>
      </c>
      <c r="AJ1948" s="1707">
        <f t="shared" si="1539"/>
        <v>0</v>
      </c>
      <c r="AK1948" s="1707">
        <f t="shared" si="1539"/>
        <v>0</v>
      </c>
      <c r="AL1948" s="1707">
        <f t="shared" si="1539"/>
        <v>0</v>
      </c>
      <c r="AM1948" s="1707">
        <f t="shared" si="1539"/>
        <v>0</v>
      </c>
      <c r="AN1948" s="1707">
        <f t="shared" si="1539"/>
        <v>0</v>
      </c>
      <c r="AO1948" s="1707">
        <f t="shared" si="1539"/>
        <v>0</v>
      </c>
      <c r="AP1948" s="1707">
        <f t="shared" si="1539"/>
        <v>0</v>
      </c>
      <c r="AQ1948" s="1708">
        <f t="shared" si="1539"/>
        <v>0</v>
      </c>
    </row>
    <row r="1949" spans="2:43" ht="13.75" hidden="1" customHeight="1" x14ac:dyDescent="0.2">
      <c r="B1949" s="1195"/>
      <c r="C1949" s="193">
        <f t="shared" si="1531"/>
        <v>3</v>
      </c>
      <c r="D1949" s="193"/>
      <c r="E1949" s="254"/>
      <c r="F1949" s="193"/>
      <c r="G1949" s="193"/>
      <c r="H1949" s="254"/>
      <c r="I1949" s="1707">
        <f t="shared" ref="I1949:T1949" si="1540">SUMIF($V$373:$V$406,$B1661&amp;"contratada",I$373:I$406)</f>
        <v>0</v>
      </c>
      <c r="J1949" s="1707">
        <f t="shared" si="1540"/>
        <v>0</v>
      </c>
      <c r="K1949" s="1707">
        <f t="shared" si="1540"/>
        <v>0</v>
      </c>
      <c r="L1949" s="1707">
        <f t="shared" si="1540"/>
        <v>0</v>
      </c>
      <c r="M1949" s="1707">
        <f t="shared" si="1540"/>
        <v>0</v>
      </c>
      <c r="N1949" s="1707">
        <f t="shared" si="1540"/>
        <v>0</v>
      </c>
      <c r="O1949" s="1707">
        <f t="shared" si="1540"/>
        <v>0</v>
      </c>
      <c r="P1949" s="1707">
        <f t="shared" si="1540"/>
        <v>0</v>
      </c>
      <c r="Q1949" s="1707">
        <f t="shared" si="1540"/>
        <v>0</v>
      </c>
      <c r="R1949" s="1707">
        <f t="shared" si="1540"/>
        <v>0</v>
      </c>
      <c r="S1949" s="1707">
        <f t="shared" si="1540"/>
        <v>0</v>
      </c>
      <c r="T1949" s="1708">
        <f t="shared" si="1540"/>
        <v>0</v>
      </c>
      <c r="Y1949" s="1195"/>
      <c r="Z1949" s="193">
        <f t="shared" si="1503"/>
        <v>3</v>
      </c>
      <c r="AA1949" s="193"/>
      <c r="AB1949" s="254"/>
      <c r="AC1949" s="193"/>
      <c r="AD1949" s="193"/>
      <c r="AE1949" s="254"/>
      <c r="AF1949" s="1707">
        <f t="shared" ref="AF1949:AQ1949" si="1541">SUMIF($AS$373:$AS$406,$B1661&amp;"contratada",AF$373:AF$406)</f>
        <v>0</v>
      </c>
      <c r="AG1949" s="1707">
        <f t="shared" si="1541"/>
        <v>0</v>
      </c>
      <c r="AH1949" s="1707">
        <f t="shared" si="1541"/>
        <v>0</v>
      </c>
      <c r="AI1949" s="1707">
        <f t="shared" si="1541"/>
        <v>0</v>
      </c>
      <c r="AJ1949" s="1707">
        <f t="shared" si="1541"/>
        <v>0</v>
      </c>
      <c r="AK1949" s="1707">
        <f t="shared" si="1541"/>
        <v>0</v>
      </c>
      <c r="AL1949" s="1707">
        <f t="shared" si="1541"/>
        <v>0</v>
      </c>
      <c r="AM1949" s="1707">
        <f t="shared" si="1541"/>
        <v>0</v>
      </c>
      <c r="AN1949" s="1707">
        <f t="shared" si="1541"/>
        <v>0</v>
      </c>
      <c r="AO1949" s="1707">
        <f t="shared" si="1541"/>
        <v>0</v>
      </c>
      <c r="AP1949" s="1707">
        <f t="shared" si="1541"/>
        <v>0</v>
      </c>
      <c r="AQ1949" s="1708">
        <f t="shared" si="1541"/>
        <v>0</v>
      </c>
    </row>
    <row r="1950" spans="2:43" ht="13.75" hidden="1" customHeight="1" x14ac:dyDescent="0.2">
      <c r="B1950" s="1195"/>
      <c r="C1950" s="193">
        <f t="shared" si="1531"/>
        <v>3</v>
      </c>
      <c r="D1950" s="193"/>
      <c r="E1950" s="254"/>
      <c r="F1950" s="193"/>
      <c r="G1950" s="193"/>
      <c r="H1950" s="254"/>
      <c r="I1950" s="1707">
        <f t="shared" ref="I1950:T1950" si="1542">SUMIF($V$373:$V$406,$B1662&amp;"contratada",I$373:I$406)</f>
        <v>0</v>
      </c>
      <c r="J1950" s="1707">
        <f t="shared" si="1542"/>
        <v>0</v>
      </c>
      <c r="K1950" s="1707">
        <f t="shared" si="1542"/>
        <v>0</v>
      </c>
      <c r="L1950" s="1707">
        <f t="shared" si="1542"/>
        <v>0</v>
      </c>
      <c r="M1950" s="1707">
        <f t="shared" si="1542"/>
        <v>0</v>
      </c>
      <c r="N1950" s="1707">
        <f t="shared" si="1542"/>
        <v>0</v>
      </c>
      <c r="O1950" s="1707">
        <f t="shared" si="1542"/>
        <v>0</v>
      </c>
      <c r="P1950" s="1707">
        <f t="shared" si="1542"/>
        <v>0</v>
      </c>
      <c r="Q1950" s="1707">
        <f t="shared" si="1542"/>
        <v>0</v>
      </c>
      <c r="R1950" s="1707">
        <f t="shared" si="1542"/>
        <v>0</v>
      </c>
      <c r="S1950" s="1707">
        <f t="shared" si="1542"/>
        <v>0</v>
      </c>
      <c r="T1950" s="1708">
        <f t="shared" si="1542"/>
        <v>0</v>
      </c>
      <c r="Y1950" s="1195"/>
      <c r="Z1950" s="193">
        <f t="shared" si="1503"/>
        <v>3</v>
      </c>
      <c r="AA1950" s="193"/>
      <c r="AB1950" s="254"/>
      <c r="AC1950" s="193"/>
      <c r="AD1950" s="193"/>
      <c r="AE1950" s="254"/>
      <c r="AF1950" s="1707">
        <f t="shared" ref="AF1950:AQ1950" si="1543">SUMIF($AS$373:$AS$406,$B1662&amp;"contratada",AF$373:AF$406)</f>
        <v>0</v>
      </c>
      <c r="AG1950" s="1707">
        <f t="shared" si="1543"/>
        <v>0</v>
      </c>
      <c r="AH1950" s="1707">
        <f t="shared" si="1543"/>
        <v>0</v>
      </c>
      <c r="AI1950" s="1707">
        <f t="shared" si="1543"/>
        <v>0</v>
      </c>
      <c r="AJ1950" s="1707">
        <f t="shared" si="1543"/>
        <v>0</v>
      </c>
      <c r="AK1950" s="1707">
        <f t="shared" si="1543"/>
        <v>0</v>
      </c>
      <c r="AL1950" s="1707">
        <f t="shared" si="1543"/>
        <v>0</v>
      </c>
      <c r="AM1950" s="1707">
        <f t="shared" si="1543"/>
        <v>0</v>
      </c>
      <c r="AN1950" s="1707">
        <f t="shared" si="1543"/>
        <v>0</v>
      </c>
      <c r="AO1950" s="1707">
        <f t="shared" si="1543"/>
        <v>0</v>
      </c>
      <c r="AP1950" s="1707">
        <f t="shared" si="1543"/>
        <v>0</v>
      </c>
      <c r="AQ1950" s="1708">
        <f t="shared" si="1543"/>
        <v>0</v>
      </c>
    </row>
    <row r="1951" spans="2:43" ht="13.75" hidden="1" customHeight="1" x14ac:dyDescent="0.2">
      <c r="B1951" s="1195"/>
      <c r="C1951" s="193">
        <f t="shared" si="1531"/>
        <v>9</v>
      </c>
      <c r="D1951" s="193"/>
      <c r="E1951" s="254"/>
      <c r="F1951" s="193"/>
      <c r="G1951" s="193"/>
      <c r="H1951" s="254"/>
      <c r="I1951" s="1707">
        <f t="shared" ref="I1951:T1951" si="1544">SUMIF($V$373:$V$406,$B1663&amp;"contratada",I$373:I$406)</f>
        <v>0</v>
      </c>
      <c r="J1951" s="1707">
        <f t="shared" si="1544"/>
        <v>0</v>
      </c>
      <c r="K1951" s="1707">
        <f t="shared" si="1544"/>
        <v>0</v>
      </c>
      <c r="L1951" s="1707">
        <f t="shared" si="1544"/>
        <v>0</v>
      </c>
      <c r="M1951" s="1707">
        <f t="shared" si="1544"/>
        <v>0</v>
      </c>
      <c r="N1951" s="1707">
        <f t="shared" si="1544"/>
        <v>0</v>
      </c>
      <c r="O1951" s="1707">
        <f t="shared" si="1544"/>
        <v>0</v>
      </c>
      <c r="P1951" s="1707">
        <f t="shared" si="1544"/>
        <v>0</v>
      </c>
      <c r="Q1951" s="1707">
        <f t="shared" si="1544"/>
        <v>0</v>
      </c>
      <c r="R1951" s="1707">
        <f t="shared" si="1544"/>
        <v>0</v>
      </c>
      <c r="S1951" s="1707">
        <f t="shared" si="1544"/>
        <v>0</v>
      </c>
      <c r="T1951" s="1708">
        <f t="shared" si="1544"/>
        <v>0</v>
      </c>
      <c r="Y1951" s="1195"/>
      <c r="Z1951" s="193">
        <f t="shared" si="1503"/>
        <v>9</v>
      </c>
      <c r="AA1951" s="193"/>
      <c r="AB1951" s="254"/>
      <c r="AC1951" s="193"/>
      <c r="AD1951" s="193"/>
      <c r="AE1951" s="254"/>
      <c r="AF1951" s="1707">
        <f t="shared" ref="AF1951:AQ1951" si="1545">SUMIF($AS$373:$AS$406,$B1663&amp;"contratada",AF$373:AF$406)</f>
        <v>0</v>
      </c>
      <c r="AG1951" s="1707">
        <f t="shared" si="1545"/>
        <v>0</v>
      </c>
      <c r="AH1951" s="1707">
        <f t="shared" si="1545"/>
        <v>0</v>
      </c>
      <c r="AI1951" s="1707">
        <f t="shared" si="1545"/>
        <v>0</v>
      </c>
      <c r="AJ1951" s="1707">
        <f t="shared" si="1545"/>
        <v>0</v>
      </c>
      <c r="AK1951" s="1707">
        <f t="shared" si="1545"/>
        <v>0</v>
      </c>
      <c r="AL1951" s="1707">
        <f t="shared" si="1545"/>
        <v>0</v>
      </c>
      <c r="AM1951" s="1707">
        <f t="shared" si="1545"/>
        <v>0</v>
      </c>
      <c r="AN1951" s="1707">
        <f t="shared" si="1545"/>
        <v>0</v>
      </c>
      <c r="AO1951" s="1707">
        <f t="shared" si="1545"/>
        <v>0</v>
      </c>
      <c r="AP1951" s="1707">
        <f t="shared" si="1545"/>
        <v>0</v>
      </c>
      <c r="AQ1951" s="1708">
        <f t="shared" si="1545"/>
        <v>0</v>
      </c>
    </row>
    <row r="1952" spans="2:43" ht="13.75" hidden="1" customHeight="1" x14ac:dyDescent="0.2">
      <c r="B1952" s="1195"/>
      <c r="C1952" s="193">
        <f t="shared" si="1531"/>
        <v>0</v>
      </c>
      <c r="D1952" s="193"/>
      <c r="E1952" s="254"/>
      <c r="F1952" s="193"/>
      <c r="G1952" s="193"/>
      <c r="H1952" s="254"/>
      <c r="I1952" s="1707">
        <f t="shared" ref="I1952:T1952" si="1546">SUMIF($V$373:$V$406,$B1664&amp;"contratada",I$373:I$406)</f>
        <v>0</v>
      </c>
      <c r="J1952" s="1707">
        <f t="shared" si="1546"/>
        <v>0</v>
      </c>
      <c r="K1952" s="1707">
        <f t="shared" si="1546"/>
        <v>0</v>
      </c>
      <c r="L1952" s="1707">
        <f t="shared" si="1546"/>
        <v>0</v>
      </c>
      <c r="M1952" s="1707">
        <f t="shared" si="1546"/>
        <v>0</v>
      </c>
      <c r="N1952" s="1707">
        <f t="shared" si="1546"/>
        <v>0</v>
      </c>
      <c r="O1952" s="1707">
        <f t="shared" si="1546"/>
        <v>0</v>
      </c>
      <c r="P1952" s="1707">
        <f t="shared" si="1546"/>
        <v>0</v>
      </c>
      <c r="Q1952" s="1707">
        <f t="shared" si="1546"/>
        <v>0</v>
      </c>
      <c r="R1952" s="1707">
        <f t="shared" si="1546"/>
        <v>0</v>
      </c>
      <c r="S1952" s="1707">
        <f t="shared" si="1546"/>
        <v>0</v>
      </c>
      <c r="T1952" s="1708">
        <f t="shared" si="1546"/>
        <v>0</v>
      </c>
      <c r="Y1952" s="1195"/>
      <c r="Z1952" s="193">
        <f t="shared" si="1503"/>
        <v>0</v>
      </c>
      <c r="AA1952" s="193"/>
      <c r="AB1952" s="254"/>
      <c r="AC1952" s="193"/>
      <c r="AD1952" s="193"/>
      <c r="AE1952" s="254"/>
      <c r="AF1952" s="1707">
        <f t="shared" ref="AF1952:AQ1952" si="1547">SUMIF($AS$373:$AS$406,$B1664&amp;"contratada",AF$373:AF$406)</f>
        <v>0</v>
      </c>
      <c r="AG1952" s="1707">
        <f t="shared" si="1547"/>
        <v>0</v>
      </c>
      <c r="AH1952" s="1707">
        <f t="shared" si="1547"/>
        <v>0</v>
      </c>
      <c r="AI1952" s="1707">
        <f t="shared" si="1547"/>
        <v>0</v>
      </c>
      <c r="AJ1952" s="1707">
        <f t="shared" si="1547"/>
        <v>0</v>
      </c>
      <c r="AK1952" s="1707">
        <f t="shared" si="1547"/>
        <v>0</v>
      </c>
      <c r="AL1952" s="1707">
        <f t="shared" si="1547"/>
        <v>0</v>
      </c>
      <c r="AM1952" s="1707">
        <f t="shared" si="1547"/>
        <v>0</v>
      </c>
      <c r="AN1952" s="1707">
        <f t="shared" si="1547"/>
        <v>0</v>
      </c>
      <c r="AO1952" s="1707">
        <f t="shared" si="1547"/>
        <v>0</v>
      </c>
      <c r="AP1952" s="1707">
        <f t="shared" si="1547"/>
        <v>0</v>
      </c>
      <c r="AQ1952" s="1708">
        <f t="shared" si="1547"/>
        <v>0</v>
      </c>
    </row>
    <row r="1953" spans="2:43" ht="13.75" hidden="1" customHeight="1" x14ac:dyDescent="0.2">
      <c r="B1953" s="1195"/>
      <c r="C1953" s="193">
        <f t="shared" si="1531"/>
        <v>0</v>
      </c>
      <c r="D1953" s="193"/>
      <c r="E1953" s="254"/>
      <c r="F1953" s="193"/>
      <c r="G1953" s="193"/>
      <c r="H1953" s="254"/>
      <c r="I1953" s="1707">
        <f t="shared" ref="I1953:T1953" si="1548">SUMIF($V$373:$V$406,$B1665&amp;"contratada",I$373:I$406)</f>
        <v>0</v>
      </c>
      <c r="J1953" s="1707">
        <f t="shared" si="1548"/>
        <v>0</v>
      </c>
      <c r="K1953" s="1707">
        <f t="shared" si="1548"/>
        <v>0</v>
      </c>
      <c r="L1953" s="1707">
        <f t="shared" si="1548"/>
        <v>0</v>
      </c>
      <c r="M1953" s="1707">
        <f t="shared" si="1548"/>
        <v>0</v>
      </c>
      <c r="N1953" s="1707">
        <f t="shared" si="1548"/>
        <v>0</v>
      </c>
      <c r="O1953" s="1707">
        <f t="shared" si="1548"/>
        <v>0</v>
      </c>
      <c r="P1953" s="1707">
        <f t="shared" si="1548"/>
        <v>0</v>
      </c>
      <c r="Q1953" s="1707">
        <f t="shared" si="1548"/>
        <v>0</v>
      </c>
      <c r="R1953" s="1707">
        <f t="shared" si="1548"/>
        <v>0</v>
      </c>
      <c r="S1953" s="1707">
        <f t="shared" si="1548"/>
        <v>0</v>
      </c>
      <c r="T1953" s="1708">
        <f t="shared" si="1548"/>
        <v>0</v>
      </c>
      <c r="Y1953" s="1195"/>
      <c r="Z1953" s="193">
        <f t="shared" si="1503"/>
        <v>0</v>
      </c>
      <c r="AA1953" s="193"/>
      <c r="AB1953" s="254"/>
      <c r="AC1953" s="193"/>
      <c r="AD1953" s="193"/>
      <c r="AE1953" s="254"/>
      <c r="AF1953" s="1707">
        <f t="shared" ref="AF1953:AQ1953" si="1549">SUMIF($AS$373:$AS$406,$B1665&amp;"contratada",AF$373:AF$406)</f>
        <v>0</v>
      </c>
      <c r="AG1953" s="1707">
        <f t="shared" si="1549"/>
        <v>0</v>
      </c>
      <c r="AH1953" s="1707">
        <f t="shared" si="1549"/>
        <v>0</v>
      </c>
      <c r="AI1953" s="1707">
        <f t="shared" si="1549"/>
        <v>0</v>
      </c>
      <c r="AJ1953" s="1707">
        <f t="shared" si="1549"/>
        <v>0</v>
      </c>
      <c r="AK1953" s="1707">
        <f t="shared" si="1549"/>
        <v>0</v>
      </c>
      <c r="AL1953" s="1707">
        <f t="shared" si="1549"/>
        <v>0</v>
      </c>
      <c r="AM1953" s="1707">
        <f t="shared" si="1549"/>
        <v>0</v>
      </c>
      <c r="AN1953" s="1707">
        <f t="shared" si="1549"/>
        <v>0</v>
      </c>
      <c r="AO1953" s="1707">
        <f t="shared" si="1549"/>
        <v>0</v>
      </c>
      <c r="AP1953" s="1707">
        <f t="shared" si="1549"/>
        <v>0</v>
      </c>
      <c r="AQ1953" s="1708">
        <f t="shared" si="1549"/>
        <v>0</v>
      </c>
    </row>
    <row r="1954" spans="2:43" ht="13.75" hidden="1" customHeight="1" x14ac:dyDescent="0.2">
      <c r="B1954" s="1195"/>
      <c r="C1954" s="193">
        <f t="shared" si="1531"/>
        <v>0</v>
      </c>
      <c r="D1954" s="193"/>
      <c r="E1954" s="254"/>
      <c r="F1954" s="193"/>
      <c r="G1954" s="193"/>
      <c r="H1954" s="254"/>
      <c r="I1954" s="1707">
        <f t="shared" ref="I1954:T1954" si="1550">SUMIF($V$373:$V$406,$B1666&amp;"contratada",I$373:I$406)</f>
        <v>0</v>
      </c>
      <c r="J1954" s="1707">
        <f t="shared" si="1550"/>
        <v>0</v>
      </c>
      <c r="K1954" s="1707">
        <f t="shared" si="1550"/>
        <v>0</v>
      </c>
      <c r="L1954" s="1707">
        <f t="shared" si="1550"/>
        <v>0</v>
      </c>
      <c r="M1954" s="1707">
        <f t="shared" si="1550"/>
        <v>0</v>
      </c>
      <c r="N1954" s="1707">
        <f t="shared" si="1550"/>
        <v>0</v>
      </c>
      <c r="O1954" s="1707">
        <f t="shared" si="1550"/>
        <v>0</v>
      </c>
      <c r="P1954" s="1707">
        <f t="shared" si="1550"/>
        <v>0</v>
      </c>
      <c r="Q1954" s="1707">
        <f t="shared" si="1550"/>
        <v>0</v>
      </c>
      <c r="R1954" s="1707">
        <f t="shared" si="1550"/>
        <v>0</v>
      </c>
      <c r="S1954" s="1707">
        <f t="shared" si="1550"/>
        <v>0</v>
      </c>
      <c r="T1954" s="1708">
        <f t="shared" si="1550"/>
        <v>0</v>
      </c>
      <c r="Y1954" s="1195"/>
      <c r="Z1954" s="193">
        <f t="shared" si="1503"/>
        <v>0</v>
      </c>
      <c r="AA1954" s="193"/>
      <c r="AB1954" s="254"/>
      <c r="AC1954" s="193"/>
      <c r="AD1954" s="193"/>
      <c r="AE1954" s="254"/>
      <c r="AF1954" s="1707">
        <f t="shared" ref="AF1954:AQ1954" si="1551">SUMIF($AS$373:$AS$406,$B1666&amp;"contratada",AF$373:AF$406)</f>
        <v>0</v>
      </c>
      <c r="AG1954" s="1707">
        <f t="shared" si="1551"/>
        <v>0</v>
      </c>
      <c r="AH1954" s="1707">
        <f t="shared" si="1551"/>
        <v>0</v>
      </c>
      <c r="AI1954" s="1707">
        <f t="shared" si="1551"/>
        <v>0</v>
      </c>
      <c r="AJ1954" s="1707">
        <f t="shared" si="1551"/>
        <v>0</v>
      </c>
      <c r="AK1954" s="1707">
        <f t="shared" si="1551"/>
        <v>0</v>
      </c>
      <c r="AL1954" s="1707">
        <f t="shared" si="1551"/>
        <v>0</v>
      </c>
      <c r="AM1954" s="1707">
        <f t="shared" si="1551"/>
        <v>0</v>
      </c>
      <c r="AN1954" s="1707">
        <f t="shared" si="1551"/>
        <v>0</v>
      </c>
      <c r="AO1954" s="1707">
        <f t="shared" si="1551"/>
        <v>0</v>
      </c>
      <c r="AP1954" s="1707">
        <f t="shared" si="1551"/>
        <v>0</v>
      </c>
      <c r="AQ1954" s="1708">
        <f t="shared" si="1551"/>
        <v>0</v>
      </c>
    </row>
    <row r="1955" spans="2:43" ht="13.75" hidden="1" customHeight="1" x14ac:dyDescent="0.2">
      <c r="B1955" s="1195"/>
      <c r="C1955" s="193">
        <f t="shared" si="1531"/>
        <v>0</v>
      </c>
      <c r="D1955" s="193"/>
      <c r="E1955" s="254"/>
      <c r="F1955" s="193"/>
      <c r="G1955" s="193"/>
      <c r="H1955" s="254"/>
      <c r="I1955" s="1707">
        <f t="shared" ref="I1955:T1955" si="1552">SUMIF($V$373:$V$406,$B1667&amp;"contratada",I$373:I$406)</f>
        <v>0</v>
      </c>
      <c r="J1955" s="1707">
        <f t="shared" si="1552"/>
        <v>0</v>
      </c>
      <c r="K1955" s="1707">
        <f t="shared" si="1552"/>
        <v>0</v>
      </c>
      <c r="L1955" s="1707">
        <f t="shared" si="1552"/>
        <v>0</v>
      </c>
      <c r="M1955" s="1707">
        <f t="shared" si="1552"/>
        <v>0</v>
      </c>
      <c r="N1955" s="1707">
        <f t="shared" si="1552"/>
        <v>0</v>
      </c>
      <c r="O1955" s="1707">
        <f t="shared" si="1552"/>
        <v>0</v>
      </c>
      <c r="P1955" s="1707">
        <f t="shared" si="1552"/>
        <v>0</v>
      </c>
      <c r="Q1955" s="1707">
        <f t="shared" si="1552"/>
        <v>0</v>
      </c>
      <c r="R1955" s="1707">
        <f t="shared" si="1552"/>
        <v>0</v>
      </c>
      <c r="S1955" s="1707">
        <f t="shared" si="1552"/>
        <v>0</v>
      </c>
      <c r="T1955" s="1708">
        <f t="shared" si="1552"/>
        <v>0</v>
      </c>
      <c r="Y1955" s="1195"/>
      <c r="Z1955" s="193">
        <f t="shared" si="1503"/>
        <v>0</v>
      </c>
      <c r="AA1955" s="193"/>
      <c r="AB1955" s="254"/>
      <c r="AC1955" s="193"/>
      <c r="AD1955" s="193"/>
      <c r="AE1955" s="254"/>
      <c r="AF1955" s="1707">
        <f t="shared" ref="AF1955:AQ1955" si="1553">SUMIF($AS$373:$AS$406,$B1667&amp;"contratada",AF$373:AF$406)</f>
        <v>0</v>
      </c>
      <c r="AG1955" s="1707">
        <f t="shared" si="1553"/>
        <v>0</v>
      </c>
      <c r="AH1955" s="1707">
        <f t="shared" si="1553"/>
        <v>0</v>
      </c>
      <c r="AI1955" s="1707">
        <f t="shared" si="1553"/>
        <v>0</v>
      </c>
      <c r="AJ1955" s="1707">
        <f t="shared" si="1553"/>
        <v>0</v>
      </c>
      <c r="AK1955" s="1707">
        <f t="shared" si="1553"/>
        <v>0</v>
      </c>
      <c r="AL1955" s="1707">
        <f t="shared" si="1553"/>
        <v>0</v>
      </c>
      <c r="AM1955" s="1707">
        <f t="shared" si="1553"/>
        <v>0</v>
      </c>
      <c r="AN1955" s="1707">
        <f t="shared" si="1553"/>
        <v>0</v>
      </c>
      <c r="AO1955" s="1707">
        <f t="shared" si="1553"/>
        <v>0</v>
      </c>
      <c r="AP1955" s="1707">
        <f t="shared" si="1553"/>
        <v>0</v>
      </c>
      <c r="AQ1955" s="1708">
        <f t="shared" si="1553"/>
        <v>0</v>
      </c>
    </row>
    <row r="1956" spans="2:43" ht="13.75" hidden="1" customHeight="1" x14ac:dyDescent="0.2">
      <c r="B1956" s="1195"/>
      <c r="C1956" s="193">
        <f t="shared" si="1531"/>
        <v>0</v>
      </c>
      <c r="D1956" s="193"/>
      <c r="E1956" s="254"/>
      <c r="F1956" s="193"/>
      <c r="G1956" s="193"/>
      <c r="H1956" s="254"/>
      <c r="I1956" s="1707">
        <f t="shared" ref="I1956:T1956" si="1554">SUMIF($V$373:$V$406,$B1668&amp;"contratada",I$373:I$406)</f>
        <v>0</v>
      </c>
      <c r="J1956" s="1707">
        <f t="shared" si="1554"/>
        <v>0</v>
      </c>
      <c r="K1956" s="1707">
        <f t="shared" si="1554"/>
        <v>0</v>
      </c>
      <c r="L1956" s="1707">
        <f t="shared" si="1554"/>
        <v>0</v>
      </c>
      <c r="M1956" s="1707">
        <f t="shared" si="1554"/>
        <v>0</v>
      </c>
      <c r="N1956" s="1707">
        <f t="shared" si="1554"/>
        <v>0</v>
      </c>
      <c r="O1956" s="1707">
        <f t="shared" si="1554"/>
        <v>0</v>
      </c>
      <c r="P1956" s="1707">
        <f t="shared" si="1554"/>
        <v>0</v>
      </c>
      <c r="Q1956" s="1707">
        <f t="shared" si="1554"/>
        <v>0</v>
      </c>
      <c r="R1956" s="1707">
        <f t="shared" si="1554"/>
        <v>0</v>
      </c>
      <c r="S1956" s="1707">
        <f t="shared" si="1554"/>
        <v>0</v>
      </c>
      <c r="T1956" s="1708">
        <f t="shared" si="1554"/>
        <v>0</v>
      </c>
      <c r="Y1956" s="1195"/>
      <c r="Z1956" s="193">
        <f t="shared" si="1503"/>
        <v>0</v>
      </c>
      <c r="AA1956" s="193"/>
      <c r="AB1956" s="254"/>
      <c r="AC1956" s="193"/>
      <c r="AD1956" s="193"/>
      <c r="AE1956" s="254"/>
      <c r="AF1956" s="1707">
        <f t="shared" ref="AF1956:AQ1956" si="1555">SUMIF($AS$373:$AS$406,$B1668&amp;"contratada",AF$373:AF$406)</f>
        <v>0</v>
      </c>
      <c r="AG1956" s="1707">
        <f t="shared" si="1555"/>
        <v>0</v>
      </c>
      <c r="AH1956" s="1707">
        <f t="shared" si="1555"/>
        <v>0</v>
      </c>
      <c r="AI1956" s="1707">
        <f t="shared" si="1555"/>
        <v>0</v>
      </c>
      <c r="AJ1956" s="1707">
        <f t="shared" si="1555"/>
        <v>0</v>
      </c>
      <c r="AK1956" s="1707">
        <f t="shared" si="1555"/>
        <v>0</v>
      </c>
      <c r="AL1956" s="1707">
        <f t="shared" si="1555"/>
        <v>0</v>
      </c>
      <c r="AM1956" s="1707">
        <f t="shared" si="1555"/>
        <v>0</v>
      </c>
      <c r="AN1956" s="1707">
        <f t="shared" si="1555"/>
        <v>0</v>
      </c>
      <c r="AO1956" s="1707">
        <f t="shared" si="1555"/>
        <v>0</v>
      </c>
      <c r="AP1956" s="1707">
        <f t="shared" si="1555"/>
        <v>0</v>
      </c>
      <c r="AQ1956" s="1708">
        <f t="shared" si="1555"/>
        <v>0</v>
      </c>
    </row>
    <row r="1957" spans="2:43" ht="13.75" hidden="1" customHeight="1" x14ac:dyDescent="0.2">
      <c r="B1957" s="1195"/>
      <c r="C1957" s="193">
        <f t="shared" si="1531"/>
        <v>0</v>
      </c>
      <c r="D1957" s="193"/>
      <c r="E1957" s="254"/>
      <c r="F1957" s="193"/>
      <c r="G1957" s="193"/>
      <c r="H1957" s="254"/>
      <c r="I1957" s="1707">
        <f t="shared" ref="I1957:T1957" si="1556">SUMIF($V$373:$V$406,$B1669&amp;"contratada",I$373:I$406)</f>
        <v>0</v>
      </c>
      <c r="J1957" s="1707">
        <f t="shared" si="1556"/>
        <v>0</v>
      </c>
      <c r="K1957" s="1707">
        <f t="shared" si="1556"/>
        <v>0</v>
      </c>
      <c r="L1957" s="1707">
        <f t="shared" si="1556"/>
        <v>0</v>
      </c>
      <c r="M1957" s="1707">
        <f t="shared" si="1556"/>
        <v>0</v>
      </c>
      <c r="N1957" s="1707">
        <f t="shared" si="1556"/>
        <v>0</v>
      </c>
      <c r="O1957" s="1707">
        <f t="shared" si="1556"/>
        <v>0</v>
      </c>
      <c r="P1957" s="1707">
        <f t="shared" si="1556"/>
        <v>0</v>
      </c>
      <c r="Q1957" s="1707">
        <f t="shared" si="1556"/>
        <v>0</v>
      </c>
      <c r="R1957" s="1707">
        <f t="shared" si="1556"/>
        <v>0</v>
      </c>
      <c r="S1957" s="1707">
        <f t="shared" si="1556"/>
        <v>0</v>
      </c>
      <c r="T1957" s="1708">
        <f t="shared" si="1556"/>
        <v>0</v>
      </c>
      <c r="Y1957" s="1195"/>
      <c r="Z1957" s="193">
        <f t="shared" si="1503"/>
        <v>0</v>
      </c>
      <c r="AA1957" s="193"/>
      <c r="AB1957" s="254"/>
      <c r="AC1957" s="193"/>
      <c r="AD1957" s="193"/>
      <c r="AE1957" s="254"/>
      <c r="AF1957" s="1707">
        <f t="shared" ref="AF1957:AQ1957" si="1557">SUMIF($AS$373:$AS$406,$B1669&amp;"contratada",AF$373:AF$406)</f>
        <v>0</v>
      </c>
      <c r="AG1957" s="1707">
        <f t="shared" si="1557"/>
        <v>0</v>
      </c>
      <c r="AH1957" s="1707">
        <f t="shared" si="1557"/>
        <v>0</v>
      </c>
      <c r="AI1957" s="1707">
        <f t="shared" si="1557"/>
        <v>0</v>
      </c>
      <c r="AJ1957" s="1707">
        <f t="shared" si="1557"/>
        <v>0</v>
      </c>
      <c r="AK1957" s="1707">
        <f t="shared" si="1557"/>
        <v>0</v>
      </c>
      <c r="AL1957" s="1707">
        <f t="shared" si="1557"/>
        <v>0</v>
      </c>
      <c r="AM1957" s="1707">
        <f t="shared" si="1557"/>
        <v>0</v>
      </c>
      <c r="AN1957" s="1707">
        <f t="shared" si="1557"/>
        <v>0</v>
      </c>
      <c r="AO1957" s="1707">
        <f t="shared" si="1557"/>
        <v>0</v>
      </c>
      <c r="AP1957" s="1707">
        <f t="shared" si="1557"/>
        <v>0</v>
      </c>
      <c r="AQ1957" s="1708">
        <f t="shared" si="1557"/>
        <v>0</v>
      </c>
    </row>
    <row r="1958" spans="2:43" ht="14.4" hidden="1" customHeight="1" thickBot="1" x14ac:dyDescent="0.25">
      <c r="B1958" s="1198"/>
      <c r="C1958" s="1199">
        <f t="shared" si="1531"/>
        <v>0</v>
      </c>
      <c r="D1958" s="1199"/>
      <c r="E1958" s="1209"/>
      <c r="F1958" s="1199"/>
      <c r="G1958" s="1199"/>
      <c r="H1958" s="1209"/>
      <c r="I1958" s="1709">
        <f t="shared" ref="I1958:T1958" si="1558">SUMIF($V$373:$V$406,$B1670&amp;"contratada",I$373:I$406)</f>
        <v>0</v>
      </c>
      <c r="J1958" s="1709">
        <f t="shared" si="1558"/>
        <v>0</v>
      </c>
      <c r="K1958" s="1709">
        <f t="shared" si="1558"/>
        <v>0</v>
      </c>
      <c r="L1958" s="1709">
        <f t="shared" si="1558"/>
        <v>0</v>
      </c>
      <c r="M1958" s="1709">
        <f t="shared" si="1558"/>
        <v>0</v>
      </c>
      <c r="N1958" s="1709">
        <f t="shared" si="1558"/>
        <v>0</v>
      </c>
      <c r="O1958" s="1709">
        <f t="shared" si="1558"/>
        <v>0</v>
      </c>
      <c r="P1958" s="1709">
        <f t="shared" si="1558"/>
        <v>0</v>
      </c>
      <c r="Q1958" s="1709">
        <f t="shared" si="1558"/>
        <v>0</v>
      </c>
      <c r="R1958" s="1709">
        <f t="shared" si="1558"/>
        <v>0</v>
      </c>
      <c r="S1958" s="1709">
        <f t="shared" si="1558"/>
        <v>0</v>
      </c>
      <c r="T1958" s="1710">
        <f t="shared" si="1558"/>
        <v>0</v>
      </c>
      <c r="Y1958" s="1198"/>
      <c r="Z1958" s="1199">
        <f t="shared" si="1503"/>
        <v>0</v>
      </c>
      <c r="AA1958" s="1199"/>
      <c r="AB1958" s="1209"/>
      <c r="AC1958" s="1199"/>
      <c r="AD1958" s="1199"/>
      <c r="AE1958" s="1209"/>
      <c r="AF1958" s="1709">
        <f t="shared" ref="AF1958:AQ1958" si="1559">SUMIF($AS$373:$AS$406,$B1670&amp;"contratada",AF$373:AF$406)</f>
        <v>0</v>
      </c>
      <c r="AG1958" s="1709">
        <f t="shared" si="1559"/>
        <v>0</v>
      </c>
      <c r="AH1958" s="1709">
        <f t="shared" si="1559"/>
        <v>0</v>
      </c>
      <c r="AI1958" s="1709">
        <f t="shared" si="1559"/>
        <v>0</v>
      </c>
      <c r="AJ1958" s="1709">
        <f t="shared" si="1559"/>
        <v>0</v>
      </c>
      <c r="AK1958" s="1709">
        <f t="shared" si="1559"/>
        <v>0</v>
      </c>
      <c r="AL1958" s="1709">
        <f t="shared" si="1559"/>
        <v>0</v>
      </c>
      <c r="AM1958" s="1709">
        <f t="shared" si="1559"/>
        <v>0</v>
      </c>
      <c r="AN1958" s="1709">
        <f t="shared" si="1559"/>
        <v>0</v>
      </c>
      <c r="AO1958" s="1709">
        <f t="shared" si="1559"/>
        <v>0</v>
      </c>
      <c r="AP1958" s="1709">
        <f t="shared" si="1559"/>
        <v>0</v>
      </c>
      <c r="AQ1958" s="1710">
        <f t="shared" si="1559"/>
        <v>0</v>
      </c>
    </row>
    <row r="1959" spans="2:43" ht="15.05" hidden="1" customHeight="1" thickTop="1" thickBot="1" x14ac:dyDescent="0.25">
      <c r="B1959" s="1711" t="s">
        <v>705</v>
      </c>
      <c r="C1959" s="1712"/>
      <c r="D1959" s="1712"/>
      <c r="E1959" s="1712"/>
      <c r="F1959" s="1712"/>
      <c r="G1959" s="1712"/>
      <c r="H1959" s="1713" t="s">
        <v>230</v>
      </c>
      <c r="I1959" s="1715">
        <f t="shared" ref="I1959:T1959" si="1560">+SUMPRODUCT(I1930:I1958,$C$1930:$C$1958)</f>
        <v>0</v>
      </c>
      <c r="J1959" s="1715">
        <f t="shared" si="1560"/>
        <v>0</v>
      </c>
      <c r="K1959" s="1715">
        <f t="shared" si="1560"/>
        <v>0</v>
      </c>
      <c r="L1959" s="1715">
        <f t="shared" si="1560"/>
        <v>0</v>
      </c>
      <c r="M1959" s="1715">
        <f t="shared" si="1560"/>
        <v>0</v>
      </c>
      <c r="N1959" s="1715">
        <f t="shared" si="1560"/>
        <v>0</v>
      </c>
      <c r="O1959" s="1715">
        <f t="shared" si="1560"/>
        <v>0</v>
      </c>
      <c r="P1959" s="1715">
        <f t="shared" si="1560"/>
        <v>0</v>
      </c>
      <c r="Q1959" s="1715">
        <f t="shared" si="1560"/>
        <v>0</v>
      </c>
      <c r="R1959" s="1715">
        <f t="shared" si="1560"/>
        <v>0</v>
      </c>
      <c r="S1959" s="1715">
        <f t="shared" si="1560"/>
        <v>0</v>
      </c>
      <c r="T1959" s="1716">
        <f t="shared" si="1560"/>
        <v>0</v>
      </c>
      <c r="Y1959" s="1711" t="s">
        <v>705</v>
      </c>
      <c r="Z1959" s="1712"/>
      <c r="AA1959" s="1712"/>
      <c r="AB1959" s="1712"/>
      <c r="AC1959" s="1712"/>
      <c r="AD1959" s="1712"/>
      <c r="AE1959" s="1719" t="s">
        <v>230</v>
      </c>
      <c r="AF1959" s="1715">
        <f t="shared" ref="AF1959:AQ1959" si="1561">+SUMPRODUCT(AF1930:AF1958,$C$1930:$C$1958)</f>
        <v>0</v>
      </c>
      <c r="AG1959" s="1715">
        <f t="shared" si="1561"/>
        <v>0</v>
      </c>
      <c r="AH1959" s="1715">
        <f t="shared" si="1561"/>
        <v>0</v>
      </c>
      <c r="AI1959" s="1715">
        <f t="shared" si="1561"/>
        <v>0</v>
      </c>
      <c r="AJ1959" s="1715">
        <f t="shared" si="1561"/>
        <v>0</v>
      </c>
      <c r="AK1959" s="1715">
        <f t="shared" si="1561"/>
        <v>0</v>
      </c>
      <c r="AL1959" s="1715">
        <f t="shared" si="1561"/>
        <v>0</v>
      </c>
      <c r="AM1959" s="1715">
        <f t="shared" si="1561"/>
        <v>0</v>
      </c>
      <c r="AN1959" s="1715">
        <f t="shared" si="1561"/>
        <v>0</v>
      </c>
      <c r="AO1959" s="1715">
        <f t="shared" si="1561"/>
        <v>0</v>
      </c>
      <c r="AP1959" s="1715">
        <f t="shared" si="1561"/>
        <v>0</v>
      </c>
      <c r="AQ1959" s="1716">
        <f t="shared" si="1561"/>
        <v>0</v>
      </c>
    </row>
    <row r="1960" spans="2:43" ht="14.4" hidden="1" customHeight="1" thickTop="1" x14ac:dyDescent="0.2">
      <c r="B1960" s="1594"/>
      <c r="C1960" s="193"/>
      <c r="D1960" s="193"/>
      <c r="E1960" s="193"/>
      <c r="F1960" s="193"/>
      <c r="G1960" s="193"/>
      <c r="H1960" s="982" t="s">
        <v>698</v>
      </c>
      <c r="I1960" s="1205">
        <f t="shared" ref="I1960:T1960" si="1562">IFERROR(I1959*I1926/I1928,0)</f>
        <v>0</v>
      </c>
      <c r="J1960" s="1205">
        <f t="shared" si="1562"/>
        <v>0</v>
      </c>
      <c r="K1960" s="1205">
        <f t="shared" si="1562"/>
        <v>0</v>
      </c>
      <c r="L1960" s="1205">
        <f t="shared" si="1562"/>
        <v>0</v>
      </c>
      <c r="M1960" s="1205">
        <f t="shared" si="1562"/>
        <v>0</v>
      </c>
      <c r="N1960" s="1205">
        <f t="shared" si="1562"/>
        <v>0</v>
      </c>
      <c r="O1960" s="1205">
        <f t="shared" si="1562"/>
        <v>0</v>
      </c>
      <c r="P1960" s="1205">
        <f t="shared" si="1562"/>
        <v>0</v>
      </c>
      <c r="Q1960" s="1205">
        <f t="shared" si="1562"/>
        <v>0</v>
      </c>
      <c r="R1960" s="1205">
        <f t="shared" si="1562"/>
        <v>0</v>
      </c>
      <c r="S1960" s="1205">
        <f t="shared" si="1562"/>
        <v>0</v>
      </c>
      <c r="T1960" s="1714">
        <f t="shared" si="1562"/>
        <v>0</v>
      </c>
      <c r="Y1960" s="1594"/>
      <c r="Z1960" s="193"/>
      <c r="AA1960" s="193"/>
      <c r="AB1960" s="193"/>
      <c r="AC1960" s="193"/>
      <c r="AD1960" s="193"/>
      <c r="AE1960" s="1720" t="s">
        <v>698</v>
      </c>
      <c r="AF1960" s="1205">
        <f t="shared" ref="AF1960:AQ1960" si="1563">IFERROR(AF1959*AF1926/AF1928,0)</f>
        <v>0</v>
      </c>
      <c r="AG1960" s="1205">
        <f t="shared" si="1563"/>
        <v>0</v>
      </c>
      <c r="AH1960" s="1205">
        <f t="shared" si="1563"/>
        <v>0</v>
      </c>
      <c r="AI1960" s="1205">
        <f t="shared" si="1563"/>
        <v>0</v>
      </c>
      <c r="AJ1960" s="1205">
        <f t="shared" si="1563"/>
        <v>0</v>
      </c>
      <c r="AK1960" s="1205">
        <f t="shared" si="1563"/>
        <v>0</v>
      </c>
      <c r="AL1960" s="1205">
        <f t="shared" si="1563"/>
        <v>0</v>
      </c>
      <c r="AM1960" s="1205">
        <f t="shared" si="1563"/>
        <v>0</v>
      </c>
      <c r="AN1960" s="1205">
        <f t="shared" si="1563"/>
        <v>0</v>
      </c>
      <c r="AO1960" s="1205">
        <f t="shared" si="1563"/>
        <v>0</v>
      </c>
      <c r="AP1960" s="1205">
        <f t="shared" si="1563"/>
        <v>0</v>
      </c>
      <c r="AQ1960" s="1714">
        <f t="shared" si="1563"/>
        <v>0</v>
      </c>
    </row>
    <row r="1961" spans="2:43" ht="14.4" hidden="1" customHeight="1" thickBot="1" x14ac:dyDescent="0.25">
      <c r="B1961" s="1596"/>
      <c r="C1961" s="1199"/>
      <c r="D1961" s="1199"/>
      <c r="E1961" s="1199"/>
      <c r="F1961" s="1199"/>
      <c r="G1961" s="1199"/>
      <c r="H1961" s="1717" t="s">
        <v>699</v>
      </c>
      <c r="I1961" s="1590">
        <f t="shared" ref="I1961:T1961" si="1564">+I1959-I1960</f>
        <v>0</v>
      </c>
      <c r="J1961" s="1590">
        <f t="shared" si="1564"/>
        <v>0</v>
      </c>
      <c r="K1961" s="1590">
        <f t="shared" si="1564"/>
        <v>0</v>
      </c>
      <c r="L1961" s="1590">
        <f t="shared" si="1564"/>
        <v>0</v>
      </c>
      <c r="M1961" s="1590">
        <f t="shared" si="1564"/>
        <v>0</v>
      </c>
      <c r="N1961" s="1590">
        <f t="shared" si="1564"/>
        <v>0</v>
      </c>
      <c r="O1961" s="1590">
        <f t="shared" si="1564"/>
        <v>0</v>
      </c>
      <c r="P1961" s="1590">
        <f t="shared" si="1564"/>
        <v>0</v>
      </c>
      <c r="Q1961" s="1590">
        <f t="shared" si="1564"/>
        <v>0</v>
      </c>
      <c r="R1961" s="1590">
        <f t="shared" si="1564"/>
        <v>0</v>
      </c>
      <c r="S1961" s="1590">
        <f t="shared" si="1564"/>
        <v>0</v>
      </c>
      <c r="T1961" s="1655">
        <f t="shared" si="1564"/>
        <v>0</v>
      </c>
      <c r="Y1961" s="1596"/>
      <c r="Z1961" s="1199"/>
      <c r="AA1961" s="1199"/>
      <c r="AB1961" s="1199"/>
      <c r="AC1961" s="1199"/>
      <c r="AD1961" s="1199"/>
      <c r="AE1961" s="1721" t="s">
        <v>699</v>
      </c>
      <c r="AF1961" s="1590">
        <f>+AF1959-AF1960</f>
        <v>0</v>
      </c>
      <c r="AG1961" s="1590">
        <f t="shared" ref="AG1961:AQ1961" si="1565">+AG1959-AG1960</f>
        <v>0</v>
      </c>
      <c r="AH1961" s="1590">
        <f t="shared" si="1565"/>
        <v>0</v>
      </c>
      <c r="AI1961" s="1590">
        <f t="shared" si="1565"/>
        <v>0</v>
      </c>
      <c r="AJ1961" s="1590">
        <f t="shared" si="1565"/>
        <v>0</v>
      </c>
      <c r="AK1961" s="1590">
        <f t="shared" si="1565"/>
        <v>0</v>
      </c>
      <c r="AL1961" s="1590">
        <f t="shared" si="1565"/>
        <v>0</v>
      </c>
      <c r="AM1961" s="1590">
        <f t="shared" si="1565"/>
        <v>0</v>
      </c>
      <c r="AN1961" s="1590">
        <f t="shared" si="1565"/>
        <v>0</v>
      </c>
      <c r="AO1961" s="1590">
        <f t="shared" si="1565"/>
        <v>0</v>
      </c>
      <c r="AP1961" s="1590">
        <f t="shared" si="1565"/>
        <v>0</v>
      </c>
      <c r="AQ1961" s="1655">
        <f t="shared" si="1565"/>
        <v>0</v>
      </c>
    </row>
    <row r="1962" spans="2:43" ht="14.4" hidden="1" customHeight="1" thickTop="1" x14ac:dyDescent="0.2">
      <c r="B1962" s="1584" t="s">
        <v>795</v>
      </c>
      <c r="C1962" s="1581">
        <f>+C1574</f>
        <v>0</v>
      </c>
      <c r="D1962" s="1194"/>
      <c r="E1962" s="1194"/>
      <c r="F1962" s="1194"/>
      <c r="G1962" s="1194" t="s">
        <v>247</v>
      </c>
      <c r="H1962" s="1194" t="s">
        <v>691</v>
      </c>
      <c r="I1962" s="1668">
        <f t="shared" ref="I1962:T1962" si="1566">+I1575</f>
        <v>0</v>
      </c>
      <c r="J1962" s="1668">
        <f t="shared" si="1566"/>
        <v>0</v>
      </c>
      <c r="K1962" s="1668">
        <f t="shared" si="1566"/>
        <v>0</v>
      </c>
      <c r="L1962" s="1668">
        <f t="shared" si="1566"/>
        <v>0</v>
      </c>
      <c r="M1962" s="1668">
        <f t="shared" si="1566"/>
        <v>0</v>
      </c>
      <c r="N1962" s="1668">
        <f t="shared" si="1566"/>
        <v>0</v>
      </c>
      <c r="O1962" s="1668">
        <f t="shared" si="1566"/>
        <v>0</v>
      </c>
      <c r="P1962" s="1668">
        <f t="shared" si="1566"/>
        <v>0</v>
      </c>
      <c r="Q1962" s="1668">
        <f t="shared" si="1566"/>
        <v>0</v>
      </c>
      <c r="R1962" s="1668">
        <f t="shared" si="1566"/>
        <v>0</v>
      </c>
      <c r="S1962" s="1668">
        <f t="shared" si="1566"/>
        <v>0</v>
      </c>
      <c r="T1962" s="1704">
        <f t="shared" si="1566"/>
        <v>0</v>
      </c>
      <c r="Y1962" s="1722" t="s">
        <v>795</v>
      </c>
      <c r="Z1962" s="1581">
        <f>+Z1574</f>
        <v>0</v>
      </c>
      <c r="AA1962" s="1194"/>
      <c r="AB1962" s="1194"/>
      <c r="AC1962" s="1194"/>
      <c r="AD1962" s="1194">
        <f t="shared" ref="AD1962:AE1964" si="1567">+AC1774</f>
        <v>0</v>
      </c>
      <c r="AE1962" s="1194">
        <f t="shared" si="1567"/>
        <v>0</v>
      </c>
      <c r="AF1962" s="1668">
        <f t="shared" ref="AF1962:AQ1962" si="1568">+AF1575</f>
        <v>0</v>
      </c>
      <c r="AG1962" s="1668">
        <f t="shared" si="1568"/>
        <v>0</v>
      </c>
      <c r="AH1962" s="1668">
        <f t="shared" si="1568"/>
        <v>0</v>
      </c>
      <c r="AI1962" s="1668">
        <f t="shared" si="1568"/>
        <v>0</v>
      </c>
      <c r="AJ1962" s="1668">
        <f t="shared" si="1568"/>
        <v>0</v>
      </c>
      <c r="AK1962" s="1668">
        <f t="shared" si="1568"/>
        <v>0</v>
      </c>
      <c r="AL1962" s="1668">
        <f t="shared" si="1568"/>
        <v>0</v>
      </c>
      <c r="AM1962" s="1668">
        <f t="shared" si="1568"/>
        <v>0</v>
      </c>
      <c r="AN1962" s="1668">
        <f t="shared" si="1568"/>
        <v>0</v>
      </c>
      <c r="AO1962" s="1668">
        <f t="shared" si="1568"/>
        <v>0</v>
      </c>
      <c r="AP1962" s="1668">
        <f t="shared" si="1568"/>
        <v>0</v>
      </c>
      <c r="AQ1962" s="1704">
        <f t="shared" si="1568"/>
        <v>0</v>
      </c>
    </row>
    <row r="1963" spans="2:43" ht="13.75" hidden="1" customHeight="1" x14ac:dyDescent="0.2">
      <c r="B1963" s="1594"/>
      <c r="C1963" s="193"/>
      <c r="D1963" s="193"/>
      <c r="E1963" s="193"/>
      <c r="F1963" s="193"/>
      <c r="G1963" s="193" t="s">
        <v>344</v>
      </c>
      <c r="H1963" s="193" t="s">
        <v>693</v>
      </c>
      <c r="I1963" s="1283">
        <f t="shared" ref="I1963:T1963" si="1569">+I1576</f>
        <v>0</v>
      </c>
      <c r="J1963" s="1283">
        <f t="shared" si="1569"/>
        <v>0</v>
      </c>
      <c r="K1963" s="1283">
        <f t="shared" si="1569"/>
        <v>0</v>
      </c>
      <c r="L1963" s="1283">
        <f t="shared" si="1569"/>
        <v>0</v>
      </c>
      <c r="M1963" s="1283">
        <f t="shared" si="1569"/>
        <v>0</v>
      </c>
      <c r="N1963" s="1283">
        <f t="shared" si="1569"/>
        <v>0</v>
      </c>
      <c r="O1963" s="1283">
        <f t="shared" si="1569"/>
        <v>0</v>
      </c>
      <c r="P1963" s="1283">
        <f t="shared" si="1569"/>
        <v>0</v>
      </c>
      <c r="Q1963" s="1283">
        <f t="shared" si="1569"/>
        <v>0</v>
      </c>
      <c r="R1963" s="1283">
        <f t="shared" si="1569"/>
        <v>0</v>
      </c>
      <c r="S1963" s="1283">
        <f t="shared" si="1569"/>
        <v>0</v>
      </c>
      <c r="T1963" s="1601">
        <f t="shared" si="1569"/>
        <v>0</v>
      </c>
      <c r="Y1963" s="1594"/>
      <c r="Z1963" s="193"/>
      <c r="AA1963" s="193"/>
      <c r="AB1963" s="193"/>
      <c r="AC1963" s="193"/>
      <c r="AD1963" s="193">
        <f t="shared" si="1567"/>
        <v>0</v>
      </c>
      <c r="AE1963" s="193">
        <f t="shared" si="1567"/>
        <v>0</v>
      </c>
      <c r="AF1963" s="1283">
        <f t="shared" ref="AF1963:AQ1963" si="1570">+AF1576</f>
        <v>0</v>
      </c>
      <c r="AG1963" s="1283">
        <f t="shared" si="1570"/>
        <v>0</v>
      </c>
      <c r="AH1963" s="1283">
        <f t="shared" si="1570"/>
        <v>0</v>
      </c>
      <c r="AI1963" s="1283">
        <f t="shared" si="1570"/>
        <v>0</v>
      </c>
      <c r="AJ1963" s="1283">
        <f t="shared" si="1570"/>
        <v>0</v>
      </c>
      <c r="AK1963" s="1283">
        <f t="shared" si="1570"/>
        <v>0</v>
      </c>
      <c r="AL1963" s="1283">
        <f t="shared" si="1570"/>
        <v>0</v>
      </c>
      <c r="AM1963" s="1283">
        <f t="shared" si="1570"/>
        <v>0</v>
      </c>
      <c r="AN1963" s="1283">
        <f t="shared" si="1570"/>
        <v>0</v>
      </c>
      <c r="AO1963" s="1283">
        <f t="shared" si="1570"/>
        <v>0</v>
      </c>
      <c r="AP1963" s="1283">
        <f t="shared" si="1570"/>
        <v>0</v>
      </c>
      <c r="AQ1963" s="1601">
        <f t="shared" si="1570"/>
        <v>0</v>
      </c>
    </row>
    <row r="1964" spans="2:43" ht="14.4" hidden="1" customHeight="1" thickBot="1" x14ac:dyDescent="0.25">
      <c r="B1964" s="1596"/>
      <c r="C1964" s="1199"/>
      <c r="D1964" s="1199"/>
      <c r="E1964" s="1199"/>
      <c r="F1964" s="1199"/>
      <c r="G1964" s="1199" t="s">
        <v>344</v>
      </c>
      <c r="H1964" s="1199" t="s">
        <v>694</v>
      </c>
      <c r="I1964" s="1590">
        <f t="shared" ref="I1964:T1964" si="1571">+I1577</f>
        <v>0</v>
      </c>
      <c r="J1964" s="1590">
        <f t="shared" si="1571"/>
        <v>0</v>
      </c>
      <c r="K1964" s="1590">
        <f t="shared" si="1571"/>
        <v>0</v>
      </c>
      <c r="L1964" s="1590">
        <f t="shared" si="1571"/>
        <v>0</v>
      </c>
      <c r="M1964" s="1590">
        <f t="shared" si="1571"/>
        <v>0</v>
      </c>
      <c r="N1964" s="1590">
        <f t="shared" si="1571"/>
        <v>0</v>
      </c>
      <c r="O1964" s="1590">
        <f t="shared" si="1571"/>
        <v>0</v>
      </c>
      <c r="P1964" s="1590">
        <f t="shared" si="1571"/>
        <v>0</v>
      </c>
      <c r="Q1964" s="1590">
        <f t="shared" si="1571"/>
        <v>0</v>
      </c>
      <c r="R1964" s="1590">
        <f t="shared" si="1571"/>
        <v>0</v>
      </c>
      <c r="S1964" s="1590">
        <f t="shared" si="1571"/>
        <v>0</v>
      </c>
      <c r="T1964" s="1655">
        <f t="shared" si="1571"/>
        <v>0</v>
      </c>
      <c r="Y1964" s="1596"/>
      <c r="Z1964" s="1199"/>
      <c r="AA1964" s="1199"/>
      <c r="AB1964" s="1199"/>
      <c r="AC1964" s="1199"/>
      <c r="AD1964" s="1199">
        <f t="shared" si="1567"/>
        <v>0</v>
      </c>
      <c r="AE1964" s="1199">
        <f t="shared" si="1567"/>
        <v>0</v>
      </c>
      <c r="AF1964" s="1590">
        <f t="shared" ref="AF1964:AQ1964" si="1572">+AF1577</f>
        <v>0</v>
      </c>
      <c r="AG1964" s="1590">
        <f t="shared" si="1572"/>
        <v>0</v>
      </c>
      <c r="AH1964" s="1590">
        <f t="shared" si="1572"/>
        <v>0</v>
      </c>
      <c r="AI1964" s="1590">
        <f t="shared" si="1572"/>
        <v>0</v>
      </c>
      <c r="AJ1964" s="1590">
        <f t="shared" si="1572"/>
        <v>0</v>
      </c>
      <c r="AK1964" s="1590">
        <f t="shared" si="1572"/>
        <v>0</v>
      </c>
      <c r="AL1964" s="1590">
        <f t="shared" si="1572"/>
        <v>0</v>
      </c>
      <c r="AM1964" s="1590">
        <f t="shared" si="1572"/>
        <v>0</v>
      </c>
      <c r="AN1964" s="1590">
        <f t="shared" si="1572"/>
        <v>0</v>
      </c>
      <c r="AO1964" s="1590">
        <f t="shared" si="1572"/>
        <v>0</v>
      </c>
      <c r="AP1964" s="1590">
        <f t="shared" si="1572"/>
        <v>0</v>
      </c>
      <c r="AQ1964" s="1655">
        <f t="shared" si="1572"/>
        <v>0</v>
      </c>
    </row>
    <row r="1965" spans="2:43" ht="14.4" hidden="1" customHeight="1" thickTop="1" x14ac:dyDescent="0.2">
      <c r="B1965" s="1584" t="s">
        <v>2019</v>
      </c>
      <c r="C1965" s="1194" t="s">
        <v>2018</v>
      </c>
      <c r="D1965" s="1194"/>
      <c r="E1965" s="1194"/>
      <c r="F1965" s="1194"/>
      <c r="G1965" s="1194"/>
      <c r="H1965" s="1210"/>
      <c r="I1965" s="1194"/>
      <c r="J1965" s="1194"/>
      <c r="K1965" s="1194"/>
      <c r="L1965" s="1194"/>
      <c r="M1965" s="1194"/>
      <c r="N1965" s="1194"/>
      <c r="O1965" s="1194"/>
      <c r="P1965" s="1194"/>
      <c r="Q1965" s="1194"/>
      <c r="R1965" s="1194"/>
      <c r="S1965" s="1194"/>
      <c r="T1965" s="1599"/>
      <c r="Y1965" s="1584" t="s">
        <v>2019</v>
      </c>
      <c r="Z1965" s="1194" t="s">
        <v>2018</v>
      </c>
      <c r="AA1965" s="1194"/>
      <c r="AB1965" s="1194"/>
      <c r="AC1965" s="1194"/>
      <c r="AD1965" s="1194"/>
      <c r="AE1965" s="1210"/>
      <c r="AF1965" s="1194"/>
      <c r="AG1965" s="1194"/>
      <c r="AH1965" s="1194"/>
      <c r="AI1965" s="1194"/>
      <c r="AJ1965" s="1194"/>
      <c r="AK1965" s="1194"/>
      <c r="AL1965" s="1194"/>
      <c r="AM1965" s="1194"/>
      <c r="AN1965" s="1194"/>
      <c r="AO1965" s="1194"/>
      <c r="AP1965" s="1194"/>
      <c r="AQ1965" s="1599"/>
    </row>
    <row r="1966" spans="2:43" ht="13.75" hidden="1" customHeight="1" x14ac:dyDescent="0.2">
      <c r="B1966" s="1195" t="s">
        <v>2021</v>
      </c>
      <c r="C1966" s="193">
        <f t="shared" ref="C1966:C1979" si="1573">+C1930</f>
        <v>5</v>
      </c>
      <c r="D1966" s="193"/>
      <c r="E1966" s="254"/>
      <c r="F1966" s="193"/>
      <c r="G1966" s="193"/>
      <c r="H1966" s="254"/>
      <c r="I1966" s="1705">
        <f>SUMIF($V$414:$V$447,$B1642&amp;"propia",I$414:I$447)</f>
        <v>0</v>
      </c>
      <c r="J1966" s="1705">
        <f t="shared" ref="J1966:T1966" si="1574">SUMIF($V$414:$V$447,$B1642&amp;"propia",J$414:J$447)</f>
        <v>0</v>
      </c>
      <c r="K1966" s="1705">
        <f t="shared" si="1574"/>
        <v>0</v>
      </c>
      <c r="L1966" s="1705">
        <f t="shared" si="1574"/>
        <v>0</v>
      </c>
      <c r="M1966" s="1705">
        <f t="shared" si="1574"/>
        <v>0</v>
      </c>
      <c r="N1966" s="1705">
        <f t="shared" si="1574"/>
        <v>0</v>
      </c>
      <c r="O1966" s="1705">
        <f t="shared" si="1574"/>
        <v>0</v>
      </c>
      <c r="P1966" s="1705">
        <f t="shared" si="1574"/>
        <v>0</v>
      </c>
      <c r="Q1966" s="1705">
        <f t="shared" si="1574"/>
        <v>0</v>
      </c>
      <c r="R1966" s="1705">
        <f t="shared" si="1574"/>
        <v>0</v>
      </c>
      <c r="S1966" s="1705">
        <f t="shared" si="1574"/>
        <v>0</v>
      </c>
      <c r="T1966" s="1706">
        <f t="shared" si="1574"/>
        <v>0</v>
      </c>
      <c r="Y1966" s="1195" t="s">
        <v>2021</v>
      </c>
      <c r="Z1966" s="193">
        <f t="shared" ref="Z1966:Z1993" si="1575">+Z1930</f>
        <v>5</v>
      </c>
      <c r="AA1966" s="193"/>
      <c r="AB1966" s="254"/>
      <c r="AC1966" s="193"/>
      <c r="AD1966" s="193"/>
      <c r="AE1966" s="254"/>
      <c r="AF1966" s="1705">
        <f>SUMIF($AS$414:$AS$447,$B1642&amp;"propia",AF$414:AF$447)</f>
        <v>0</v>
      </c>
      <c r="AG1966" s="1705">
        <f t="shared" ref="AG1966:AQ1966" si="1576">SUMIF($AS$414:$AS$447,$B1642&amp;"propia",AG$414:AG$447)</f>
        <v>0</v>
      </c>
      <c r="AH1966" s="1705">
        <f t="shared" si="1576"/>
        <v>0</v>
      </c>
      <c r="AI1966" s="1705">
        <f t="shared" si="1576"/>
        <v>0</v>
      </c>
      <c r="AJ1966" s="1705">
        <f t="shared" si="1576"/>
        <v>0</v>
      </c>
      <c r="AK1966" s="1705">
        <f t="shared" si="1576"/>
        <v>0</v>
      </c>
      <c r="AL1966" s="1705">
        <f t="shared" si="1576"/>
        <v>0</v>
      </c>
      <c r="AM1966" s="1705">
        <f t="shared" si="1576"/>
        <v>0</v>
      </c>
      <c r="AN1966" s="1705">
        <f t="shared" si="1576"/>
        <v>0</v>
      </c>
      <c r="AO1966" s="1705">
        <f t="shared" si="1576"/>
        <v>0</v>
      </c>
      <c r="AP1966" s="1705">
        <f t="shared" si="1576"/>
        <v>0</v>
      </c>
      <c r="AQ1966" s="1706">
        <f t="shared" si="1576"/>
        <v>0</v>
      </c>
    </row>
    <row r="1967" spans="2:43" ht="13.75" hidden="1" customHeight="1" x14ac:dyDescent="0.2">
      <c r="B1967" s="1195"/>
      <c r="C1967" s="193">
        <f t="shared" si="1573"/>
        <v>5</v>
      </c>
      <c r="D1967" s="193"/>
      <c r="E1967" s="254"/>
      <c r="F1967" s="193"/>
      <c r="G1967" s="193"/>
      <c r="H1967" s="254"/>
      <c r="I1967" s="1707">
        <f t="shared" ref="I1967:T1967" si="1577">SUMIF($V$414:$V$447,$B1643&amp;"propia",I$414:I$447)</f>
        <v>0</v>
      </c>
      <c r="J1967" s="1707">
        <f t="shared" si="1577"/>
        <v>0</v>
      </c>
      <c r="K1967" s="1707">
        <f t="shared" si="1577"/>
        <v>0</v>
      </c>
      <c r="L1967" s="1707">
        <f t="shared" si="1577"/>
        <v>0</v>
      </c>
      <c r="M1967" s="1707">
        <f t="shared" si="1577"/>
        <v>0</v>
      </c>
      <c r="N1967" s="1707">
        <f t="shared" si="1577"/>
        <v>0</v>
      </c>
      <c r="O1967" s="1707">
        <f t="shared" si="1577"/>
        <v>0</v>
      </c>
      <c r="P1967" s="1707">
        <f t="shared" si="1577"/>
        <v>0</v>
      </c>
      <c r="Q1967" s="1707">
        <f t="shared" si="1577"/>
        <v>0</v>
      </c>
      <c r="R1967" s="1707">
        <f t="shared" si="1577"/>
        <v>0</v>
      </c>
      <c r="S1967" s="1707">
        <f t="shared" si="1577"/>
        <v>0</v>
      </c>
      <c r="T1967" s="1708">
        <f t="shared" si="1577"/>
        <v>0</v>
      </c>
      <c r="Y1967" s="1195"/>
      <c r="Z1967" s="193">
        <f t="shared" si="1575"/>
        <v>5</v>
      </c>
      <c r="AA1967" s="193"/>
      <c r="AB1967" s="254"/>
      <c r="AC1967" s="193"/>
      <c r="AD1967" s="193"/>
      <c r="AE1967" s="254"/>
      <c r="AF1967" s="1707">
        <f t="shared" ref="AF1967:AQ1967" si="1578">SUMIF($AS$414:$AS$447,$B1643&amp;"propia",AF$414:AF$447)</f>
        <v>0</v>
      </c>
      <c r="AG1967" s="1707">
        <f t="shared" si="1578"/>
        <v>0</v>
      </c>
      <c r="AH1967" s="1707">
        <f t="shared" si="1578"/>
        <v>0</v>
      </c>
      <c r="AI1967" s="1707">
        <f t="shared" si="1578"/>
        <v>0</v>
      </c>
      <c r="AJ1967" s="1707">
        <f t="shared" si="1578"/>
        <v>0</v>
      </c>
      <c r="AK1967" s="1707">
        <f t="shared" si="1578"/>
        <v>0</v>
      </c>
      <c r="AL1967" s="1707">
        <f t="shared" si="1578"/>
        <v>0</v>
      </c>
      <c r="AM1967" s="1707">
        <f t="shared" si="1578"/>
        <v>0</v>
      </c>
      <c r="AN1967" s="1707">
        <f t="shared" si="1578"/>
        <v>0</v>
      </c>
      <c r="AO1967" s="1707">
        <f t="shared" si="1578"/>
        <v>0</v>
      </c>
      <c r="AP1967" s="1707">
        <f t="shared" si="1578"/>
        <v>0</v>
      </c>
      <c r="AQ1967" s="1708">
        <f t="shared" si="1578"/>
        <v>0</v>
      </c>
    </row>
    <row r="1968" spans="2:43" ht="13.75" hidden="1" customHeight="1" x14ac:dyDescent="0.2">
      <c r="B1968" s="1195"/>
      <c r="C1968" s="193">
        <f t="shared" si="1573"/>
        <v>1.5</v>
      </c>
      <c r="D1968" s="193"/>
      <c r="E1968" s="254"/>
      <c r="F1968" s="193"/>
      <c r="G1968" s="193"/>
      <c r="H1968" s="254"/>
      <c r="I1968" s="1707">
        <f t="shared" ref="I1968:T1968" si="1579">SUMIF($V$414:$V$447,$B1644&amp;"propia",I$414:I$447)</f>
        <v>0</v>
      </c>
      <c r="J1968" s="1707">
        <f t="shared" si="1579"/>
        <v>0</v>
      </c>
      <c r="K1968" s="1707">
        <f t="shared" si="1579"/>
        <v>0</v>
      </c>
      <c r="L1968" s="1707">
        <f t="shared" si="1579"/>
        <v>0</v>
      </c>
      <c r="M1968" s="1707">
        <f t="shared" si="1579"/>
        <v>0</v>
      </c>
      <c r="N1968" s="1707">
        <f t="shared" si="1579"/>
        <v>0</v>
      </c>
      <c r="O1968" s="1707">
        <f t="shared" si="1579"/>
        <v>0</v>
      </c>
      <c r="P1968" s="1707">
        <f t="shared" si="1579"/>
        <v>0</v>
      </c>
      <c r="Q1968" s="1707">
        <f t="shared" si="1579"/>
        <v>0</v>
      </c>
      <c r="R1968" s="1707">
        <f t="shared" si="1579"/>
        <v>0</v>
      </c>
      <c r="S1968" s="1707">
        <f t="shared" si="1579"/>
        <v>0</v>
      </c>
      <c r="T1968" s="1708">
        <f t="shared" si="1579"/>
        <v>0</v>
      </c>
      <c r="Y1968" s="1195"/>
      <c r="Z1968" s="193">
        <f t="shared" si="1575"/>
        <v>1.5</v>
      </c>
      <c r="AA1968" s="193"/>
      <c r="AB1968" s="254"/>
      <c r="AC1968" s="193"/>
      <c r="AD1968" s="193"/>
      <c r="AE1968" s="254"/>
      <c r="AF1968" s="1707">
        <f t="shared" ref="AF1968:AQ1968" si="1580">SUMIF($AS$414:$AS$447,$B1644&amp;"propia",AF$414:AF$447)</f>
        <v>0</v>
      </c>
      <c r="AG1968" s="1707">
        <f t="shared" si="1580"/>
        <v>0</v>
      </c>
      <c r="AH1968" s="1707">
        <f t="shared" si="1580"/>
        <v>0</v>
      </c>
      <c r="AI1968" s="1707">
        <f t="shared" si="1580"/>
        <v>0</v>
      </c>
      <c r="AJ1968" s="1707">
        <f t="shared" si="1580"/>
        <v>0</v>
      </c>
      <c r="AK1968" s="1707">
        <f t="shared" si="1580"/>
        <v>0</v>
      </c>
      <c r="AL1968" s="1707">
        <f t="shared" si="1580"/>
        <v>0</v>
      </c>
      <c r="AM1968" s="1707">
        <f t="shared" si="1580"/>
        <v>0</v>
      </c>
      <c r="AN1968" s="1707">
        <f t="shared" si="1580"/>
        <v>0</v>
      </c>
      <c r="AO1968" s="1707">
        <f t="shared" si="1580"/>
        <v>0</v>
      </c>
      <c r="AP1968" s="1707">
        <f t="shared" si="1580"/>
        <v>0</v>
      </c>
      <c r="AQ1968" s="1708">
        <f t="shared" si="1580"/>
        <v>0</v>
      </c>
    </row>
    <row r="1969" spans="2:43" ht="13.75" hidden="1" customHeight="1" x14ac:dyDescent="0.2">
      <c r="B1969" s="1195"/>
      <c r="C1969" s="193">
        <f t="shared" si="1573"/>
        <v>1.5</v>
      </c>
      <c r="D1969" s="193"/>
      <c r="E1969" s="254"/>
      <c r="F1969" s="193"/>
      <c r="G1969" s="193"/>
      <c r="H1969" s="254"/>
      <c r="I1969" s="1707">
        <f t="shared" ref="I1969:T1969" si="1581">SUMIF($V$414:$V$447,$B1645&amp;"propia",I$414:I$447)</f>
        <v>0</v>
      </c>
      <c r="J1969" s="1707">
        <f t="shared" si="1581"/>
        <v>0</v>
      </c>
      <c r="K1969" s="1707">
        <f t="shared" si="1581"/>
        <v>0</v>
      </c>
      <c r="L1969" s="1707">
        <f t="shared" si="1581"/>
        <v>0</v>
      </c>
      <c r="M1969" s="1707">
        <f t="shared" si="1581"/>
        <v>0</v>
      </c>
      <c r="N1969" s="1707">
        <f t="shared" si="1581"/>
        <v>0</v>
      </c>
      <c r="O1969" s="1707">
        <f t="shared" si="1581"/>
        <v>0</v>
      </c>
      <c r="P1969" s="1707">
        <f t="shared" si="1581"/>
        <v>0</v>
      </c>
      <c r="Q1969" s="1707">
        <f t="shared" si="1581"/>
        <v>0</v>
      </c>
      <c r="R1969" s="1707">
        <f t="shared" si="1581"/>
        <v>0</v>
      </c>
      <c r="S1969" s="1707">
        <f t="shared" si="1581"/>
        <v>0</v>
      </c>
      <c r="T1969" s="1708">
        <f t="shared" si="1581"/>
        <v>0</v>
      </c>
      <c r="Y1969" s="1195"/>
      <c r="Z1969" s="193">
        <f t="shared" si="1575"/>
        <v>1.5</v>
      </c>
      <c r="AA1969" s="193"/>
      <c r="AB1969" s="254"/>
      <c r="AC1969" s="193"/>
      <c r="AD1969" s="193"/>
      <c r="AE1969" s="254"/>
      <c r="AF1969" s="1707">
        <f t="shared" ref="AF1969:AQ1969" si="1582">SUMIF($AS$414:$AS$447,$B1645&amp;"propia",AF$414:AF$447)</f>
        <v>0</v>
      </c>
      <c r="AG1969" s="1707">
        <f t="shared" si="1582"/>
        <v>0</v>
      </c>
      <c r="AH1969" s="1707">
        <f t="shared" si="1582"/>
        <v>0</v>
      </c>
      <c r="AI1969" s="1707">
        <f t="shared" si="1582"/>
        <v>0</v>
      </c>
      <c r="AJ1969" s="1707">
        <f t="shared" si="1582"/>
        <v>0</v>
      </c>
      <c r="AK1969" s="1707">
        <f t="shared" si="1582"/>
        <v>0</v>
      </c>
      <c r="AL1969" s="1707">
        <f t="shared" si="1582"/>
        <v>0</v>
      </c>
      <c r="AM1969" s="1707">
        <f t="shared" si="1582"/>
        <v>0</v>
      </c>
      <c r="AN1969" s="1707">
        <f t="shared" si="1582"/>
        <v>0</v>
      </c>
      <c r="AO1969" s="1707">
        <f t="shared" si="1582"/>
        <v>0</v>
      </c>
      <c r="AP1969" s="1707">
        <f t="shared" si="1582"/>
        <v>0</v>
      </c>
      <c r="AQ1969" s="1708">
        <f t="shared" si="1582"/>
        <v>0</v>
      </c>
    </row>
    <row r="1970" spans="2:43" ht="13.75" hidden="1" customHeight="1" x14ac:dyDescent="0.2">
      <c r="B1970" s="1195"/>
      <c r="C1970" s="193">
        <f t="shared" si="1573"/>
        <v>3</v>
      </c>
      <c r="D1970" s="193"/>
      <c r="E1970" s="254"/>
      <c r="F1970" s="193"/>
      <c r="G1970" s="193"/>
      <c r="H1970" s="254"/>
      <c r="I1970" s="1707">
        <f t="shared" ref="I1970:T1970" si="1583">SUMIF($V$414:$V$447,$B1646&amp;"propia",I$414:I$447)</f>
        <v>0</v>
      </c>
      <c r="J1970" s="1707">
        <f t="shared" si="1583"/>
        <v>0</v>
      </c>
      <c r="K1970" s="1707">
        <f t="shared" si="1583"/>
        <v>0</v>
      </c>
      <c r="L1970" s="1707">
        <f t="shared" si="1583"/>
        <v>0</v>
      </c>
      <c r="M1970" s="1707">
        <f t="shared" si="1583"/>
        <v>0</v>
      </c>
      <c r="N1970" s="1707">
        <f t="shared" si="1583"/>
        <v>0</v>
      </c>
      <c r="O1970" s="1707">
        <f t="shared" si="1583"/>
        <v>0</v>
      </c>
      <c r="P1970" s="1707">
        <f t="shared" si="1583"/>
        <v>0</v>
      </c>
      <c r="Q1970" s="1707">
        <f t="shared" si="1583"/>
        <v>0</v>
      </c>
      <c r="R1970" s="1707">
        <f t="shared" si="1583"/>
        <v>0</v>
      </c>
      <c r="S1970" s="1707">
        <f t="shared" si="1583"/>
        <v>0</v>
      </c>
      <c r="T1970" s="1708">
        <f t="shared" si="1583"/>
        <v>0</v>
      </c>
      <c r="Y1970" s="1195"/>
      <c r="Z1970" s="193">
        <f t="shared" si="1575"/>
        <v>3</v>
      </c>
      <c r="AA1970" s="193"/>
      <c r="AB1970" s="254"/>
      <c r="AC1970" s="193"/>
      <c r="AD1970" s="193"/>
      <c r="AE1970" s="254"/>
      <c r="AF1970" s="1707">
        <f t="shared" ref="AF1970:AQ1970" si="1584">SUMIF($AS$414:$AS$447,$B1646&amp;"propia",AF$414:AF$447)</f>
        <v>0</v>
      </c>
      <c r="AG1970" s="1707">
        <f t="shared" si="1584"/>
        <v>0</v>
      </c>
      <c r="AH1970" s="1707">
        <f t="shared" si="1584"/>
        <v>0</v>
      </c>
      <c r="AI1970" s="1707">
        <f t="shared" si="1584"/>
        <v>0</v>
      </c>
      <c r="AJ1970" s="1707">
        <f t="shared" si="1584"/>
        <v>0</v>
      </c>
      <c r="AK1970" s="1707">
        <f t="shared" si="1584"/>
        <v>0</v>
      </c>
      <c r="AL1970" s="1707">
        <f t="shared" si="1584"/>
        <v>0</v>
      </c>
      <c r="AM1970" s="1707">
        <f t="shared" si="1584"/>
        <v>0</v>
      </c>
      <c r="AN1970" s="1707">
        <f t="shared" si="1584"/>
        <v>0</v>
      </c>
      <c r="AO1970" s="1707">
        <f t="shared" si="1584"/>
        <v>0</v>
      </c>
      <c r="AP1970" s="1707">
        <f t="shared" si="1584"/>
        <v>0</v>
      </c>
      <c r="AQ1970" s="1708">
        <f t="shared" si="1584"/>
        <v>0</v>
      </c>
    </row>
    <row r="1971" spans="2:43" ht="13.75" hidden="1" customHeight="1" x14ac:dyDescent="0.2">
      <c r="B1971" s="1195"/>
      <c r="C1971" s="193">
        <f t="shared" si="1573"/>
        <v>3</v>
      </c>
      <c r="D1971" s="193"/>
      <c r="E1971" s="254"/>
      <c r="F1971" s="193"/>
      <c r="G1971" s="193"/>
      <c r="H1971" s="254"/>
      <c r="I1971" s="1707">
        <f t="shared" ref="I1971:T1971" si="1585">SUMIF($V$414:$V$447,$B1647&amp;"propia",I$414:I$447)</f>
        <v>0</v>
      </c>
      <c r="J1971" s="1707">
        <f t="shared" si="1585"/>
        <v>0</v>
      </c>
      <c r="K1971" s="1707">
        <f t="shared" si="1585"/>
        <v>0</v>
      </c>
      <c r="L1971" s="1707">
        <f t="shared" si="1585"/>
        <v>0</v>
      </c>
      <c r="M1971" s="1707">
        <f t="shared" si="1585"/>
        <v>0</v>
      </c>
      <c r="N1971" s="1707">
        <f t="shared" si="1585"/>
        <v>0</v>
      </c>
      <c r="O1971" s="1707">
        <f t="shared" si="1585"/>
        <v>0</v>
      </c>
      <c r="P1971" s="1707">
        <f t="shared" si="1585"/>
        <v>0</v>
      </c>
      <c r="Q1971" s="1707">
        <f t="shared" si="1585"/>
        <v>0</v>
      </c>
      <c r="R1971" s="1707">
        <f t="shared" si="1585"/>
        <v>0</v>
      </c>
      <c r="S1971" s="1707">
        <f t="shared" si="1585"/>
        <v>0</v>
      </c>
      <c r="T1971" s="1708">
        <f t="shared" si="1585"/>
        <v>0</v>
      </c>
      <c r="Y1971" s="1195"/>
      <c r="Z1971" s="193">
        <f t="shared" si="1575"/>
        <v>3</v>
      </c>
      <c r="AA1971" s="193"/>
      <c r="AB1971" s="254"/>
      <c r="AC1971" s="193"/>
      <c r="AD1971" s="193"/>
      <c r="AE1971" s="254"/>
      <c r="AF1971" s="1707">
        <f t="shared" ref="AF1971:AQ1971" si="1586">SUMIF($AS$414:$AS$447,$B1647&amp;"propia",AF$414:AF$447)</f>
        <v>0</v>
      </c>
      <c r="AG1971" s="1707">
        <f t="shared" si="1586"/>
        <v>0</v>
      </c>
      <c r="AH1971" s="1707">
        <f t="shared" si="1586"/>
        <v>0</v>
      </c>
      <c r="AI1971" s="1707">
        <f t="shared" si="1586"/>
        <v>0</v>
      </c>
      <c r="AJ1971" s="1707">
        <f t="shared" si="1586"/>
        <v>0</v>
      </c>
      <c r="AK1971" s="1707">
        <f t="shared" si="1586"/>
        <v>0</v>
      </c>
      <c r="AL1971" s="1707">
        <f t="shared" si="1586"/>
        <v>0</v>
      </c>
      <c r="AM1971" s="1707">
        <f t="shared" si="1586"/>
        <v>0</v>
      </c>
      <c r="AN1971" s="1707">
        <f t="shared" si="1586"/>
        <v>0</v>
      </c>
      <c r="AO1971" s="1707">
        <f t="shared" si="1586"/>
        <v>0</v>
      </c>
      <c r="AP1971" s="1707">
        <f t="shared" si="1586"/>
        <v>0</v>
      </c>
      <c r="AQ1971" s="1708">
        <f t="shared" si="1586"/>
        <v>0</v>
      </c>
    </row>
    <row r="1972" spans="2:43" ht="13.75" hidden="1" customHeight="1" x14ac:dyDescent="0.2">
      <c r="B1972" s="1195"/>
      <c r="C1972" s="193">
        <f t="shared" si="1573"/>
        <v>9</v>
      </c>
      <c r="D1972" s="193"/>
      <c r="E1972" s="254"/>
      <c r="F1972" s="193"/>
      <c r="G1972" s="193"/>
      <c r="H1972" s="254"/>
      <c r="I1972" s="1707">
        <f t="shared" ref="I1972:T1972" si="1587">SUMIF($V$414:$V$447,$B1648&amp;"propia",I$414:I$447)</f>
        <v>0</v>
      </c>
      <c r="J1972" s="1707">
        <f t="shared" si="1587"/>
        <v>0</v>
      </c>
      <c r="K1972" s="1707">
        <f t="shared" si="1587"/>
        <v>0</v>
      </c>
      <c r="L1972" s="1707">
        <f t="shared" si="1587"/>
        <v>0</v>
      </c>
      <c r="M1972" s="1707">
        <f t="shared" si="1587"/>
        <v>0</v>
      </c>
      <c r="N1972" s="1707">
        <f t="shared" si="1587"/>
        <v>0</v>
      </c>
      <c r="O1972" s="1707">
        <f t="shared" si="1587"/>
        <v>0</v>
      </c>
      <c r="P1972" s="1707">
        <f t="shared" si="1587"/>
        <v>0</v>
      </c>
      <c r="Q1972" s="1707">
        <f t="shared" si="1587"/>
        <v>0</v>
      </c>
      <c r="R1972" s="1707">
        <f t="shared" si="1587"/>
        <v>0</v>
      </c>
      <c r="S1972" s="1707">
        <f t="shared" si="1587"/>
        <v>0</v>
      </c>
      <c r="T1972" s="1708">
        <f t="shared" si="1587"/>
        <v>0</v>
      </c>
      <c r="Y1972" s="1195"/>
      <c r="Z1972" s="193">
        <f t="shared" si="1575"/>
        <v>9</v>
      </c>
      <c r="AA1972" s="193"/>
      <c r="AB1972" s="254"/>
      <c r="AC1972" s="193"/>
      <c r="AD1972" s="193"/>
      <c r="AE1972" s="254"/>
      <c r="AF1972" s="1707">
        <f t="shared" ref="AF1972:AQ1972" si="1588">SUMIF($AS$414:$AS$447,$B1648&amp;"propia",AF$414:AF$447)</f>
        <v>0</v>
      </c>
      <c r="AG1972" s="1707">
        <f t="shared" si="1588"/>
        <v>0</v>
      </c>
      <c r="AH1972" s="1707">
        <f t="shared" si="1588"/>
        <v>0</v>
      </c>
      <c r="AI1972" s="1707">
        <f t="shared" si="1588"/>
        <v>0</v>
      </c>
      <c r="AJ1972" s="1707">
        <f t="shared" si="1588"/>
        <v>0</v>
      </c>
      <c r="AK1972" s="1707">
        <f t="shared" si="1588"/>
        <v>0</v>
      </c>
      <c r="AL1972" s="1707">
        <f t="shared" si="1588"/>
        <v>0</v>
      </c>
      <c r="AM1972" s="1707">
        <f t="shared" si="1588"/>
        <v>0</v>
      </c>
      <c r="AN1972" s="1707">
        <f t="shared" si="1588"/>
        <v>0</v>
      </c>
      <c r="AO1972" s="1707">
        <f t="shared" si="1588"/>
        <v>0</v>
      </c>
      <c r="AP1972" s="1707">
        <f t="shared" si="1588"/>
        <v>0</v>
      </c>
      <c r="AQ1972" s="1708">
        <f t="shared" si="1588"/>
        <v>0</v>
      </c>
    </row>
    <row r="1973" spans="2:43" ht="13.75" hidden="1" customHeight="1" x14ac:dyDescent="0.2">
      <c r="B1973" s="1195"/>
      <c r="C1973" s="193">
        <f t="shared" si="1573"/>
        <v>0</v>
      </c>
      <c r="D1973" s="193"/>
      <c r="E1973" s="254"/>
      <c r="F1973" s="193"/>
      <c r="G1973" s="193"/>
      <c r="H1973" s="254"/>
      <c r="I1973" s="1707">
        <f t="shared" ref="I1973:T1973" si="1589">SUMIF($V$414:$V$447,$B1649&amp;"propia",I$414:I$447)</f>
        <v>0</v>
      </c>
      <c r="J1973" s="1707">
        <f t="shared" si="1589"/>
        <v>0</v>
      </c>
      <c r="K1973" s="1707">
        <f t="shared" si="1589"/>
        <v>0</v>
      </c>
      <c r="L1973" s="1707">
        <f t="shared" si="1589"/>
        <v>0</v>
      </c>
      <c r="M1973" s="1707">
        <f t="shared" si="1589"/>
        <v>0</v>
      </c>
      <c r="N1973" s="1707">
        <f t="shared" si="1589"/>
        <v>0</v>
      </c>
      <c r="O1973" s="1707">
        <f t="shared" si="1589"/>
        <v>0</v>
      </c>
      <c r="P1973" s="1707">
        <f t="shared" si="1589"/>
        <v>0</v>
      </c>
      <c r="Q1973" s="1707">
        <f t="shared" si="1589"/>
        <v>0</v>
      </c>
      <c r="R1973" s="1707">
        <f t="shared" si="1589"/>
        <v>0</v>
      </c>
      <c r="S1973" s="1707">
        <f t="shared" si="1589"/>
        <v>0</v>
      </c>
      <c r="T1973" s="1708">
        <f t="shared" si="1589"/>
        <v>0</v>
      </c>
      <c r="Y1973" s="1195"/>
      <c r="Z1973" s="193">
        <f t="shared" si="1575"/>
        <v>0</v>
      </c>
      <c r="AA1973" s="193"/>
      <c r="AB1973" s="254"/>
      <c r="AC1973" s="193"/>
      <c r="AD1973" s="193"/>
      <c r="AE1973" s="254"/>
      <c r="AF1973" s="1707">
        <f t="shared" ref="AF1973:AQ1973" si="1590">SUMIF($AS$414:$AS$447,$B1649&amp;"propia",AF$414:AF$447)</f>
        <v>0</v>
      </c>
      <c r="AG1973" s="1707">
        <f t="shared" si="1590"/>
        <v>0</v>
      </c>
      <c r="AH1973" s="1707">
        <f t="shared" si="1590"/>
        <v>0</v>
      </c>
      <c r="AI1973" s="1707">
        <f t="shared" si="1590"/>
        <v>0</v>
      </c>
      <c r="AJ1973" s="1707">
        <f t="shared" si="1590"/>
        <v>0</v>
      </c>
      <c r="AK1973" s="1707">
        <f t="shared" si="1590"/>
        <v>0</v>
      </c>
      <c r="AL1973" s="1707">
        <f t="shared" si="1590"/>
        <v>0</v>
      </c>
      <c r="AM1973" s="1707">
        <f t="shared" si="1590"/>
        <v>0</v>
      </c>
      <c r="AN1973" s="1707">
        <f t="shared" si="1590"/>
        <v>0</v>
      </c>
      <c r="AO1973" s="1707">
        <f t="shared" si="1590"/>
        <v>0</v>
      </c>
      <c r="AP1973" s="1707">
        <f t="shared" si="1590"/>
        <v>0</v>
      </c>
      <c r="AQ1973" s="1708">
        <f t="shared" si="1590"/>
        <v>0</v>
      </c>
    </row>
    <row r="1974" spans="2:43" ht="13.75" hidden="1" customHeight="1" x14ac:dyDescent="0.2">
      <c r="B1974" s="1195"/>
      <c r="C1974" s="193">
        <f t="shared" si="1573"/>
        <v>0</v>
      </c>
      <c r="D1974" s="193"/>
      <c r="E1974" s="254"/>
      <c r="F1974" s="193"/>
      <c r="G1974" s="193"/>
      <c r="H1974" s="254"/>
      <c r="I1974" s="1707">
        <f t="shared" ref="I1974:T1974" si="1591">SUMIF($V$414:$V$447,$B1650&amp;"propia",I$414:I$447)</f>
        <v>0</v>
      </c>
      <c r="J1974" s="1707">
        <f t="shared" si="1591"/>
        <v>0</v>
      </c>
      <c r="K1974" s="1707">
        <f t="shared" si="1591"/>
        <v>0</v>
      </c>
      <c r="L1974" s="1707">
        <f t="shared" si="1591"/>
        <v>0</v>
      </c>
      <c r="M1974" s="1707">
        <f t="shared" si="1591"/>
        <v>0</v>
      </c>
      <c r="N1974" s="1707">
        <f t="shared" si="1591"/>
        <v>0</v>
      </c>
      <c r="O1974" s="1707">
        <f t="shared" si="1591"/>
        <v>0</v>
      </c>
      <c r="P1974" s="1707">
        <f t="shared" si="1591"/>
        <v>0</v>
      </c>
      <c r="Q1974" s="1707">
        <f t="shared" si="1591"/>
        <v>0</v>
      </c>
      <c r="R1974" s="1707">
        <f t="shared" si="1591"/>
        <v>0</v>
      </c>
      <c r="S1974" s="1707">
        <f t="shared" si="1591"/>
        <v>0</v>
      </c>
      <c r="T1974" s="1708">
        <f t="shared" si="1591"/>
        <v>0</v>
      </c>
      <c r="Y1974" s="1195"/>
      <c r="Z1974" s="193">
        <f t="shared" si="1575"/>
        <v>0</v>
      </c>
      <c r="AA1974" s="193"/>
      <c r="AB1974" s="254"/>
      <c r="AC1974" s="193"/>
      <c r="AD1974" s="193"/>
      <c r="AE1974" s="254"/>
      <c r="AF1974" s="1707">
        <f t="shared" ref="AF1974:AQ1974" si="1592">SUMIF($AS$414:$AS$447,$B1650&amp;"propia",AF$414:AF$447)</f>
        <v>0</v>
      </c>
      <c r="AG1974" s="1707">
        <f t="shared" si="1592"/>
        <v>0</v>
      </c>
      <c r="AH1974" s="1707">
        <f t="shared" si="1592"/>
        <v>0</v>
      </c>
      <c r="AI1974" s="1707">
        <f t="shared" si="1592"/>
        <v>0</v>
      </c>
      <c r="AJ1974" s="1707">
        <f t="shared" si="1592"/>
        <v>0</v>
      </c>
      <c r="AK1974" s="1707">
        <f t="shared" si="1592"/>
        <v>0</v>
      </c>
      <c r="AL1974" s="1707">
        <f t="shared" si="1592"/>
        <v>0</v>
      </c>
      <c r="AM1974" s="1707">
        <f t="shared" si="1592"/>
        <v>0</v>
      </c>
      <c r="AN1974" s="1707">
        <f t="shared" si="1592"/>
        <v>0</v>
      </c>
      <c r="AO1974" s="1707">
        <f t="shared" si="1592"/>
        <v>0</v>
      </c>
      <c r="AP1974" s="1707">
        <f t="shared" si="1592"/>
        <v>0</v>
      </c>
      <c r="AQ1974" s="1708">
        <f t="shared" si="1592"/>
        <v>0</v>
      </c>
    </row>
    <row r="1975" spans="2:43" ht="13.75" hidden="1" customHeight="1" x14ac:dyDescent="0.2">
      <c r="B1975" s="1195"/>
      <c r="C1975" s="193">
        <f t="shared" si="1573"/>
        <v>0</v>
      </c>
      <c r="D1975" s="193"/>
      <c r="E1975" s="254"/>
      <c r="F1975" s="193"/>
      <c r="G1975" s="193"/>
      <c r="H1975" s="254"/>
      <c r="I1975" s="1707">
        <f t="shared" ref="I1975:T1975" si="1593">SUMIF($V$414:$V$447,$B1651&amp;"propia",I$414:I$447)</f>
        <v>0</v>
      </c>
      <c r="J1975" s="1707">
        <f t="shared" si="1593"/>
        <v>0</v>
      </c>
      <c r="K1975" s="1707">
        <f t="shared" si="1593"/>
        <v>0</v>
      </c>
      <c r="L1975" s="1707">
        <f t="shared" si="1593"/>
        <v>0</v>
      </c>
      <c r="M1975" s="1707">
        <f t="shared" si="1593"/>
        <v>0</v>
      </c>
      <c r="N1975" s="1707">
        <f t="shared" si="1593"/>
        <v>0</v>
      </c>
      <c r="O1975" s="1707">
        <f t="shared" si="1593"/>
        <v>0</v>
      </c>
      <c r="P1975" s="1707">
        <f t="shared" si="1593"/>
        <v>0</v>
      </c>
      <c r="Q1975" s="1707">
        <f t="shared" si="1593"/>
        <v>0</v>
      </c>
      <c r="R1975" s="1707">
        <f t="shared" si="1593"/>
        <v>0</v>
      </c>
      <c r="S1975" s="1707">
        <f t="shared" si="1593"/>
        <v>0</v>
      </c>
      <c r="T1975" s="1708">
        <f t="shared" si="1593"/>
        <v>0</v>
      </c>
      <c r="Y1975" s="1195"/>
      <c r="Z1975" s="193">
        <f t="shared" si="1575"/>
        <v>0</v>
      </c>
      <c r="AA1975" s="193"/>
      <c r="AB1975" s="254"/>
      <c r="AC1975" s="193"/>
      <c r="AD1975" s="193"/>
      <c r="AE1975" s="254"/>
      <c r="AF1975" s="1707">
        <f t="shared" ref="AF1975:AQ1975" si="1594">SUMIF($AS$414:$AS$447,$B1651&amp;"propia",AF$414:AF$447)</f>
        <v>0</v>
      </c>
      <c r="AG1975" s="1707">
        <f t="shared" si="1594"/>
        <v>0</v>
      </c>
      <c r="AH1975" s="1707">
        <f t="shared" si="1594"/>
        <v>0</v>
      </c>
      <c r="AI1975" s="1707">
        <f t="shared" si="1594"/>
        <v>0</v>
      </c>
      <c r="AJ1975" s="1707">
        <f t="shared" si="1594"/>
        <v>0</v>
      </c>
      <c r="AK1975" s="1707">
        <f t="shared" si="1594"/>
        <v>0</v>
      </c>
      <c r="AL1975" s="1707">
        <f t="shared" si="1594"/>
        <v>0</v>
      </c>
      <c r="AM1975" s="1707">
        <f t="shared" si="1594"/>
        <v>0</v>
      </c>
      <c r="AN1975" s="1707">
        <f t="shared" si="1594"/>
        <v>0</v>
      </c>
      <c r="AO1975" s="1707">
        <f t="shared" si="1594"/>
        <v>0</v>
      </c>
      <c r="AP1975" s="1707">
        <f t="shared" si="1594"/>
        <v>0</v>
      </c>
      <c r="AQ1975" s="1708">
        <f t="shared" si="1594"/>
        <v>0</v>
      </c>
    </row>
    <row r="1976" spans="2:43" ht="13.75" hidden="1" customHeight="1" x14ac:dyDescent="0.2">
      <c r="B1976" s="1195"/>
      <c r="C1976" s="193">
        <f t="shared" si="1573"/>
        <v>0</v>
      </c>
      <c r="D1976" s="193"/>
      <c r="E1976" s="254"/>
      <c r="F1976" s="193"/>
      <c r="G1976" s="193"/>
      <c r="H1976" s="254"/>
      <c r="I1976" s="1707">
        <f t="shared" ref="I1976:T1976" si="1595">SUMIF($V$414:$V$447,$B1652&amp;"propia",I$414:I$447)</f>
        <v>0</v>
      </c>
      <c r="J1976" s="1707">
        <f t="shared" si="1595"/>
        <v>0</v>
      </c>
      <c r="K1976" s="1707">
        <f t="shared" si="1595"/>
        <v>0</v>
      </c>
      <c r="L1976" s="1707">
        <f t="shared" si="1595"/>
        <v>0</v>
      </c>
      <c r="M1976" s="1707">
        <f t="shared" si="1595"/>
        <v>0</v>
      </c>
      <c r="N1976" s="1707">
        <f t="shared" si="1595"/>
        <v>0</v>
      </c>
      <c r="O1976" s="1707">
        <f t="shared" si="1595"/>
        <v>0</v>
      </c>
      <c r="P1976" s="1707">
        <f t="shared" si="1595"/>
        <v>0</v>
      </c>
      <c r="Q1976" s="1707">
        <f t="shared" si="1595"/>
        <v>0</v>
      </c>
      <c r="R1976" s="1707">
        <f t="shared" si="1595"/>
        <v>0</v>
      </c>
      <c r="S1976" s="1707">
        <f t="shared" si="1595"/>
        <v>0</v>
      </c>
      <c r="T1976" s="1708">
        <f t="shared" si="1595"/>
        <v>0</v>
      </c>
      <c r="Y1976" s="1195"/>
      <c r="Z1976" s="193">
        <f t="shared" si="1575"/>
        <v>0</v>
      </c>
      <c r="AA1976" s="193"/>
      <c r="AB1976" s="254"/>
      <c r="AC1976" s="193"/>
      <c r="AD1976" s="193"/>
      <c r="AE1976" s="254"/>
      <c r="AF1976" s="1707">
        <f t="shared" ref="AF1976:AQ1976" si="1596">SUMIF($AS$414:$AS$447,$B1652&amp;"propia",AF$414:AF$447)</f>
        <v>0</v>
      </c>
      <c r="AG1976" s="1707">
        <f t="shared" si="1596"/>
        <v>0</v>
      </c>
      <c r="AH1976" s="1707">
        <f t="shared" si="1596"/>
        <v>0</v>
      </c>
      <c r="AI1976" s="1707">
        <f t="shared" si="1596"/>
        <v>0</v>
      </c>
      <c r="AJ1976" s="1707">
        <f t="shared" si="1596"/>
        <v>0</v>
      </c>
      <c r="AK1976" s="1707">
        <f t="shared" si="1596"/>
        <v>0</v>
      </c>
      <c r="AL1976" s="1707">
        <f t="shared" si="1596"/>
        <v>0</v>
      </c>
      <c r="AM1976" s="1707">
        <f t="shared" si="1596"/>
        <v>0</v>
      </c>
      <c r="AN1976" s="1707">
        <f t="shared" si="1596"/>
        <v>0</v>
      </c>
      <c r="AO1976" s="1707">
        <f t="shared" si="1596"/>
        <v>0</v>
      </c>
      <c r="AP1976" s="1707">
        <f t="shared" si="1596"/>
        <v>0</v>
      </c>
      <c r="AQ1976" s="1708">
        <f t="shared" si="1596"/>
        <v>0</v>
      </c>
    </row>
    <row r="1977" spans="2:43" ht="13.75" hidden="1" customHeight="1" x14ac:dyDescent="0.2">
      <c r="B1977" s="1195"/>
      <c r="C1977" s="193">
        <f t="shared" si="1573"/>
        <v>0</v>
      </c>
      <c r="D1977" s="193"/>
      <c r="E1977" s="254"/>
      <c r="F1977" s="193"/>
      <c r="G1977" s="193"/>
      <c r="H1977" s="254"/>
      <c r="I1977" s="1707">
        <f t="shared" ref="I1977:T1977" si="1597">SUMIF($V$414:$V$447,$B1653&amp;"propia",I$414:I$447)</f>
        <v>0</v>
      </c>
      <c r="J1977" s="1707">
        <f t="shared" si="1597"/>
        <v>0</v>
      </c>
      <c r="K1977" s="1707">
        <f t="shared" si="1597"/>
        <v>0</v>
      </c>
      <c r="L1977" s="1707">
        <f t="shared" si="1597"/>
        <v>0</v>
      </c>
      <c r="M1977" s="1707">
        <f t="shared" si="1597"/>
        <v>0</v>
      </c>
      <c r="N1977" s="1707">
        <f t="shared" si="1597"/>
        <v>0</v>
      </c>
      <c r="O1977" s="1707">
        <f t="shared" si="1597"/>
        <v>0</v>
      </c>
      <c r="P1977" s="1707">
        <f t="shared" si="1597"/>
        <v>0</v>
      </c>
      <c r="Q1977" s="1707">
        <f t="shared" si="1597"/>
        <v>0</v>
      </c>
      <c r="R1977" s="1707">
        <f t="shared" si="1597"/>
        <v>0</v>
      </c>
      <c r="S1977" s="1707">
        <f t="shared" si="1597"/>
        <v>0</v>
      </c>
      <c r="T1977" s="1708">
        <f t="shared" si="1597"/>
        <v>0</v>
      </c>
      <c r="Y1977" s="1195"/>
      <c r="Z1977" s="193">
        <f t="shared" si="1575"/>
        <v>0</v>
      </c>
      <c r="AA1977" s="193"/>
      <c r="AB1977" s="254"/>
      <c r="AC1977" s="193"/>
      <c r="AD1977" s="193"/>
      <c r="AE1977" s="254"/>
      <c r="AF1977" s="1707">
        <f t="shared" ref="AF1977:AQ1977" si="1598">SUMIF($AS$414:$AS$447,$B1653&amp;"propia",AF$414:AF$447)</f>
        <v>0</v>
      </c>
      <c r="AG1977" s="1707">
        <f t="shared" si="1598"/>
        <v>0</v>
      </c>
      <c r="AH1977" s="1707">
        <f t="shared" si="1598"/>
        <v>0</v>
      </c>
      <c r="AI1977" s="1707">
        <f t="shared" si="1598"/>
        <v>0</v>
      </c>
      <c r="AJ1977" s="1707">
        <f t="shared" si="1598"/>
        <v>0</v>
      </c>
      <c r="AK1977" s="1707">
        <f t="shared" si="1598"/>
        <v>0</v>
      </c>
      <c r="AL1977" s="1707">
        <f t="shared" si="1598"/>
        <v>0</v>
      </c>
      <c r="AM1977" s="1707">
        <f t="shared" si="1598"/>
        <v>0</v>
      </c>
      <c r="AN1977" s="1707">
        <f t="shared" si="1598"/>
        <v>0</v>
      </c>
      <c r="AO1977" s="1707">
        <f t="shared" si="1598"/>
        <v>0</v>
      </c>
      <c r="AP1977" s="1707">
        <f t="shared" si="1598"/>
        <v>0</v>
      </c>
      <c r="AQ1977" s="1708">
        <f t="shared" si="1598"/>
        <v>0</v>
      </c>
    </row>
    <row r="1978" spans="2:43" ht="13.75" hidden="1" customHeight="1" x14ac:dyDescent="0.2">
      <c r="B1978" s="1195"/>
      <c r="C1978" s="193">
        <f t="shared" si="1573"/>
        <v>0</v>
      </c>
      <c r="D1978" s="193"/>
      <c r="E1978" s="254"/>
      <c r="F1978" s="193"/>
      <c r="G1978" s="193"/>
      <c r="H1978" s="254"/>
      <c r="I1978" s="1707">
        <f t="shared" ref="I1978:T1978" si="1599">SUMIF($V$414:$V$447,$B1654&amp;"propia",I$414:I$447)</f>
        <v>0</v>
      </c>
      <c r="J1978" s="1707">
        <f t="shared" si="1599"/>
        <v>0</v>
      </c>
      <c r="K1978" s="1707">
        <f t="shared" si="1599"/>
        <v>0</v>
      </c>
      <c r="L1978" s="1707">
        <f t="shared" si="1599"/>
        <v>0</v>
      </c>
      <c r="M1978" s="1707">
        <f t="shared" si="1599"/>
        <v>0</v>
      </c>
      <c r="N1978" s="1707">
        <f t="shared" si="1599"/>
        <v>0</v>
      </c>
      <c r="O1978" s="1707">
        <f t="shared" si="1599"/>
        <v>0</v>
      </c>
      <c r="P1978" s="1707">
        <f t="shared" si="1599"/>
        <v>0</v>
      </c>
      <c r="Q1978" s="1707">
        <f t="shared" si="1599"/>
        <v>0</v>
      </c>
      <c r="R1978" s="1707">
        <f t="shared" si="1599"/>
        <v>0</v>
      </c>
      <c r="S1978" s="1707">
        <f t="shared" si="1599"/>
        <v>0</v>
      </c>
      <c r="T1978" s="1708">
        <f t="shared" si="1599"/>
        <v>0</v>
      </c>
      <c r="Y1978" s="1195"/>
      <c r="Z1978" s="193">
        <f t="shared" si="1575"/>
        <v>0</v>
      </c>
      <c r="AA1978" s="193"/>
      <c r="AB1978" s="254"/>
      <c r="AC1978" s="193"/>
      <c r="AD1978" s="193"/>
      <c r="AE1978" s="254"/>
      <c r="AF1978" s="1707">
        <f t="shared" ref="AF1978:AQ1978" si="1600">SUMIF($AS$414:$AS$447,$B1654&amp;"propia",AF$414:AF$447)</f>
        <v>0</v>
      </c>
      <c r="AG1978" s="1707">
        <f t="shared" si="1600"/>
        <v>0</v>
      </c>
      <c r="AH1978" s="1707">
        <f t="shared" si="1600"/>
        <v>0</v>
      </c>
      <c r="AI1978" s="1707">
        <f t="shared" si="1600"/>
        <v>0</v>
      </c>
      <c r="AJ1978" s="1707">
        <f t="shared" si="1600"/>
        <v>0</v>
      </c>
      <c r="AK1978" s="1707">
        <f t="shared" si="1600"/>
        <v>0</v>
      </c>
      <c r="AL1978" s="1707">
        <f t="shared" si="1600"/>
        <v>0</v>
      </c>
      <c r="AM1978" s="1707">
        <f t="shared" si="1600"/>
        <v>0</v>
      </c>
      <c r="AN1978" s="1707">
        <f t="shared" si="1600"/>
        <v>0</v>
      </c>
      <c r="AO1978" s="1707">
        <f t="shared" si="1600"/>
        <v>0</v>
      </c>
      <c r="AP1978" s="1707">
        <f t="shared" si="1600"/>
        <v>0</v>
      </c>
      <c r="AQ1978" s="1708">
        <f t="shared" si="1600"/>
        <v>0</v>
      </c>
    </row>
    <row r="1979" spans="2:43" ht="14.4" hidden="1" customHeight="1" thickBot="1" x14ac:dyDescent="0.25">
      <c r="B1979" s="1198"/>
      <c r="C1979" s="1199">
        <f t="shared" si="1573"/>
        <v>0</v>
      </c>
      <c r="D1979" s="1199"/>
      <c r="E1979" s="1209"/>
      <c r="F1979" s="1199"/>
      <c r="G1979" s="1199"/>
      <c r="H1979" s="1209"/>
      <c r="I1979" s="1709">
        <f t="shared" ref="I1979:T1979" si="1601">SUMIF($V$414:$V$447,$B1655&amp;"propia",I$414:I$447)</f>
        <v>0</v>
      </c>
      <c r="J1979" s="1709">
        <f t="shared" si="1601"/>
        <v>0</v>
      </c>
      <c r="K1979" s="1709">
        <f t="shared" si="1601"/>
        <v>0</v>
      </c>
      <c r="L1979" s="1709">
        <f t="shared" si="1601"/>
        <v>0</v>
      </c>
      <c r="M1979" s="1709">
        <f t="shared" si="1601"/>
        <v>0</v>
      </c>
      <c r="N1979" s="1709">
        <f t="shared" si="1601"/>
        <v>0</v>
      </c>
      <c r="O1979" s="1709">
        <f t="shared" si="1601"/>
        <v>0</v>
      </c>
      <c r="P1979" s="1709">
        <f t="shared" si="1601"/>
        <v>0</v>
      </c>
      <c r="Q1979" s="1709">
        <f t="shared" si="1601"/>
        <v>0</v>
      </c>
      <c r="R1979" s="1709">
        <f t="shared" si="1601"/>
        <v>0</v>
      </c>
      <c r="S1979" s="1709">
        <f t="shared" si="1601"/>
        <v>0</v>
      </c>
      <c r="T1979" s="1710">
        <f t="shared" si="1601"/>
        <v>0</v>
      </c>
      <c r="Y1979" s="1198"/>
      <c r="Z1979" s="1199">
        <f t="shared" si="1575"/>
        <v>0</v>
      </c>
      <c r="AA1979" s="1199"/>
      <c r="AB1979" s="1209"/>
      <c r="AC1979" s="1199"/>
      <c r="AD1979" s="1199"/>
      <c r="AE1979" s="1209"/>
      <c r="AF1979" s="1709">
        <f t="shared" ref="AF1979:AQ1979" si="1602">SUMIF($AS$414:$AS$447,$B1655&amp;"propia",AF$414:AF$447)</f>
        <v>0</v>
      </c>
      <c r="AG1979" s="1709">
        <f t="shared" si="1602"/>
        <v>0</v>
      </c>
      <c r="AH1979" s="1709">
        <f t="shared" si="1602"/>
        <v>0</v>
      </c>
      <c r="AI1979" s="1709">
        <f t="shared" si="1602"/>
        <v>0</v>
      </c>
      <c r="AJ1979" s="1709">
        <f t="shared" si="1602"/>
        <v>0</v>
      </c>
      <c r="AK1979" s="1709">
        <f t="shared" si="1602"/>
        <v>0</v>
      </c>
      <c r="AL1979" s="1709">
        <f t="shared" si="1602"/>
        <v>0</v>
      </c>
      <c r="AM1979" s="1709">
        <f t="shared" si="1602"/>
        <v>0</v>
      </c>
      <c r="AN1979" s="1709">
        <f t="shared" si="1602"/>
        <v>0</v>
      </c>
      <c r="AO1979" s="1709">
        <f t="shared" si="1602"/>
        <v>0</v>
      </c>
      <c r="AP1979" s="1709">
        <f t="shared" si="1602"/>
        <v>0</v>
      </c>
      <c r="AQ1979" s="1710">
        <f t="shared" si="1602"/>
        <v>0</v>
      </c>
    </row>
    <row r="1980" spans="2:43" ht="14.4" hidden="1" customHeight="1" thickTop="1" x14ac:dyDescent="0.2">
      <c r="B1980" s="1584" t="s">
        <v>2020</v>
      </c>
      <c r="C1980" s="193" t="s">
        <v>2018</v>
      </c>
      <c r="D1980" s="193"/>
      <c r="E1980" s="254"/>
      <c r="F1980" s="193"/>
      <c r="G1980" s="193"/>
      <c r="H1980" s="254"/>
      <c r="I1980" s="1705"/>
      <c r="J1980" s="1705"/>
      <c r="K1980" s="1705"/>
      <c r="L1980" s="1705"/>
      <c r="M1980" s="1705"/>
      <c r="N1980" s="1705"/>
      <c r="O1980" s="1705"/>
      <c r="P1980" s="1705"/>
      <c r="Q1980" s="1705"/>
      <c r="R1980" s="1705"/>
      <c r="S1980" s="1705"/>
      <c r="T1980" s="1706"/>
      <c r="Y1980" s="1584" t="s">
        <v>2020</v>
      </c>
      <c r="Z1980" s="193" t="str">
        <f t="shared" si="1575"/>
        <v>Gasoli (Litros/unidad)</v>
      </c>
      <c r="AA1980" s="193"/>
      <c r="AB1980" s="254"/>
      <c r="AC1980" s="193"/>
      <c r="AD1980" s="193"/>
      <c r="AE1980" s="254"/>
      <c r="AF1980" s="1705"/>
      <c r="AG1980" s="1705"/>
      <c r="AH1980" s="1705"/>
      <c r="AI1980" s="1705"/>
      <c r="AJ1980" s="1705"/>
      <c r="AK1980" s="1705"/>
      <c r="AL1980" s="1705"/>
      <c r="AM1980" s="1705"/>
      <c r="AN1980" s="1705"/>
      <c r="AO1980" s="1705"/>
      <c r="AP1980" s="1705"/>
      <c r="AQ1980" s="1706"/>
    </row>
    <row r="1981" spans="2:43" ht="13.75" hidden="1" customHeight="1" x14ac:dyDescent="0.2">
      <c r="B1981" s="1195" t="s">
        <v>2022</v>
      </c>
      <c r="C1981" s="193">
        <f t="shared" ref="C1981:C1993" si="1603">+C1945</f>
        <v>5</v>
      </c>
      <c r="D1981" s="193"/>
      <c r="E1981" s="254"/>
      <c r="F1981" s="193"/>
      <c r="G1981" s="193"/>
      <c r="H1981" s="254"/>
      <c r="I1981" s="1707">
        <f>SUMIF($V$414:$V$447,$B1657&amp;"contratada",I$414:I$447)</f>
        <v>0</v>
      </c>
      <c r="J1981" s="1707">
        <f t="shared" ref="J1981:T1981" si="1604">SUMIF($V$414:$V$447,$B1657&amp;"contratada",J$414:J$447)</f>
        <v>0</v>
      </c>
      <c r="K1981" s="1707">
        <f t="shared" si="1604"/>
        <v>0</v>
      </c>
      <c r="L1981" s="1707">
        <f t="shared" si="1604"/>
        <v>0</v>
      </c>
      <c r="M1981" s="1707">
        <f t="shared" si="1604"/>
        <v>0</v>
      </c>
      <c r="N1981" s="1707">
        <f t="shared" si="1604"/>
        <v>0</v>
      </c>
      <c r="O1981" s="1707">
        <f t="shared" si="1604"/>
        <v>0</v>
      </c>
      <c r="P1981" s="1707">
        <f t="shared" si="1604"/>
        <v>0</v>
      </c>
      <c r="Q1981" s="1707">
        <f t="shared" si="1604"/>
        <v>0</v>
      </c>
      <c r="R1981" s="1707">
        <f t="shared" si="1604"/>
        <v>0</v>
      </c>
      <c r="S1981" s="1707">
        <f t="shared" si="1604"/>
        <v>0</v>
      </c>
      <c r="T1981" s="1708">
        <f t="shared" si="1604"/>
        <v>0</v>
      </c>
      <c r="Y1981" s="1195" t="s">
        <v>2022</v>
      </c>
      <c r="Z1981" s="193">
        <f t="shared" si="1575"/>
        <v>5</v>
      </c>
      <c r="AA1981" s="193"/>
      <c r="AB1981" s="254"/>
      <c r="AC1981" s="193"/>
      <c r="AD1981" s="193"/>
      <c r="AE1981" s="254"/>
      <c r="AF1981" s="1707">
        <f>SUMIF($AS$414:$AS$447,$B1657&amp;"contratada",AF$414:AF$447)</f>
        <v>0</v>
      </c>
      <c r="AG1981" s="1707">
        <f t="shared" ref="AG1981:AQ1981" si="1605">SUMIF($AS$414:$AS$447,$B1657&amp;"contratada",AG$414:AG$447)</f>
        <v>0</v>
      </c>
      <c r="AH1981" s="1707">
        <f t="shared" si="1605"/>
        <v>0</v>
      </c>
      <c r="AI1981" s="1707">
        <f t="shared" si="1605"/>
        <v>0</v>
      </c>
      <c r="AJ1981" s="1707">
        <f t="shared" si="1605"/>
        <v>0</v>
      </c>
      <c r="AK1981" s="1707">
        <f t="shared" si="1605"/>
        <v>0</v>
      </c>
      <c r="AL1981" s="1707">
        <f t="shared" si="1605"/>
        <v>0</v>
      </c>
      <c r="AM1981" s="1707">
        <f t="shared" si="1605"/>
        <v>0</v>
      </c>
      <c r="AN1981" s="1707">
        <f t="shared" si="1605"/>
        <v>0</v>
      </c>
      <c r="AO1981" s="1707">
        <f t="shared" si="1605"/>
        <v>0</v>
      </c>
      <c r="AP1981" s="1707">
        <f t="shared" si="1605"/>
        <v>0</v>
      </c>
      <c r="AQ1981" s="1708">
        <f t="shared" si="1605"/>
        <v>0</v>
      </c>
    </row>
    <row r="1982" spans="2:43" ht="13.75" hidden="1" customHeight="1" x14ac:dyDescent="0.2">
      <c r="B1982" s="1195"/>
      <c r="C1982" s="193">
        <f t="shared" si="1603"/>
        <v>5</v>
      </c>
      <c r="D1982" s="193"/>
      <c r="E1982" s="254"/>
      <c r="F1982" s="193"/>
      <c r="G1982" s="193"/>
      <c r="H1982" s="254"/>
      <c r="I1982" s="1707">
        <f t="shared" ref="I1982:T1982" si="1606">SUMIF($V$414:$V$447,$B1658&amp;"contratada",I$414:I$447)</f>
        <v>0</v>
      </c>
      <c r="J1982" s="1707">
        <f t="shared" si="1606"/>
        <v>0</v>
      </c>
      <c r="K1982" s="1707">
        <f t="shared" si="1606"/>
        <v>0</v>
      </c>
      <c r="L1982" s="1707">
        <f t="shared" si="1606"/>
        <v>0</v>
      </c>
      <c r="M1982" s="1707">
        <f t="shared" si="1606"/>
        <v>0</v>
      </c>
      <c r="N1982" s="1707">
        <f t="shared" si="1606"/>
        <v>0</v>
      </c>
      <c r="O1982" s="1707">
        <f t="shared" si="1606"/>
        <v>0</v>
      </c>
      <c r="P1982" s="1707">
        <f t="shared" si="1606"/>
        <v>0</v>
      </c>
      <c r="Q1982" s="1707">
        <f t="shared" si="1606"/>
        <v>0</v>
      </c>
      <c r="R1982" s="1707">
        <f t="shared" si="1606"/>
        <v>0</v>
      </c>
      <c r="S1982" s="1707">
        <f t="shared" si="1606"/>
        <v>0</v>
      </c>
      <c r="T1982" s="1708">
        <f t="shared" si="1606"/>
        <v>0</v>
      </c>
      <c r="Y1982" s="1195"/>
      <c r="Z1982" s="193">
        <f t="shared" si="1575"/>
        <v>5</v>
      </c>
      <c r="AA1982" s="193"/>
      <c r="AB1982" s="254"/>
      <c r="AC1982" s="193"/>
      <c r="AD1982" s="193"/>
      <c r="AE1982" s="254"/>
      <c r="AF1982" s="1707">
        <f t="shared" ref="AF1982:AQ1982" si="1607">SUMIF($AS$414:$AS$447,$B1658&amp;"contratada",AF$414:AF$447)</f>
        <v>0</v>
      </c>
      <c r="AG1982" s="1707">
        <f t="shared" si="1607"/>
        <v>0</v>
      </c>
      <c r="AH1982" s="1707">
        <f t="shared" si="1607"/>
        <v>0</v>
      </c>
      <c r="AI1982" s="1707">
        <f t="shared" si="1607"/>
        <v>0</v>
      </c>
      <c r="AJ1982" s="1707">
        <f t="shared" si="1607"/>
        <v>0</v>
      </c>
      <c r="AK1982" s="1707">
        <f t="shared" si="1607"/>
        <v>0</v>
      </c>
      <c r="AL1982" s="1707">
        <f t="shared" si="1607"/>
        <v>0</v>
      </c>
      <c r="AM1982" s="1707">
        <f t="shared" si="1607"/>
        <v>0</v>
      </c>
      <c r="AN1982" s="1707">
        <f t="shared" si="1607"/>
        <v>0</v>
      </c>
      <c r="AO1982" s="1707">
        <f t="shared" si="1607"/>
        <v>0</v>
      </c>
      <c r="AP1982" s="1707">
        <f t="shared" si="1607"/>
        <v>0</v>
      </c>
      <c r="AQ1982" s="1708">
        <f t="shared" si="1607"/>
        <v>0</v>
      </c>
    </row>
    <row r="1983" spans="2:43" ht="13.75" hidden="1" customHeight="1" x14ac:dyDescent="0.2">
      <c r="B1983" s="1195"/>
      <c r="C1983" s="193">
        <f t="shared" si="1603"/>
        <v>1.5</v>
      </c>
      <c r="D1983" s="193"/>
      <c r="E1983" s="254"/>
      <c r="F1983" s="193"/>
      <c r="G1983" s="193"/>
      <c r="H1983" s="254"/>
      <c r="I1983" s="1707">
        <f t="shared" ref="I1983:T1983" si="1608">SUMIF($V$414:$V$447,$B1659&amp;"contratada",I$414:I$447)</f>
        <v>0</v>
      </c>
      <c r="J1983" s="1707">
        <f t="shared" si="1608"/>
        <v>0</v>
      </c>
      <c r="K1983" s="1707">
        <f t="shared" si="1608"/>
        <v>0</v>
      </c>
      <c r="L1983" s="1707">
        <f t="shared" si="1608"/>
        <v>0</v>
      </c>
      <c r="M1983" s="1707">
        <f t="shared" si="1608"/>
        <v>0</v>
      </c>
      <c r="N1983" s="1707">
        <f t="shared" si="1608"/>
        <v>0</v>
      </c>
      <c r="O1983" s="1707">
        <f t="shared" si="1608"/>
        <v>0</v>
      </c>
      <c r="P1983" s="1707">
        <f t="shared" si="1608"/>
        <v>0</v>
      </c>
      <c r="Q1983" s="1707">
        <f t="shared" si="1608"/>
        <v>0</v>
      </c>
      <c r="R1983" s="1707">
        <f t="shared" si="1608"/>
        <v>0</v>
      </c>
      <c r="S1983" s="1707">
        <f t="shared" si="1608"/>
        <v>0</v>
      </c>
      <c r="T1983" s="1708">
        <f t="shared" si="1608"/>
        <v>0</v>
      </c>
      <c r="Y1983" s="1195"/>
      <c r="Z1983" s="193">
        <f t="shared" si="1575"/>
        <v>1.5</v>
      </c>
      <c r="AA1983" s="193"/>
      <c r="AB1983" s="254"/>
      <c r="AC1983" s="193"/>
      <c r="AD1983" s="193"/>
      <c r="AE1983" s="254"/>
      <c r="AF1983" s="1707">
        <f t="shared" ref="AF1983:AQ1983" si="1609">SUMIF($AS$414:$AS$447,$B1659&amp;"contratada",AF$414:AF$447)</f>
        <v>0</v>
      </c>
      <c r="AG1983" s="1707">
        <f t="shared" si="1609"/>
        <v>0</v>
      </c>
      <c r="AH1983" s="1707">
        <f t="shared" si="1609"/>
        <v>0</v>
      </c>
      <c r="AI1983" s="1707">
        <f t="shared" si="1609"/>
        <v>0</v>
      </c>
      <c r="AJ1983" s="1707">
        <f t="shared" si="1609"/>
        <v>0</v>
      </c>
      <c r="AK1983" s="1707">
        <f t="shared" si="1609"/>
        <v>0</v>
      </c>
      <c r="AL1983" s="1707">
        <f t="shared" si="1609"/>
        <v>0</v>
      </c>
      <c r="AM1983" s="1707">
        <f t="shared" si="1609"/>
        <v>0</v>
      </c>
      <c r="AN1983" s="1707">
        <f t="shared" si="1609"/>
        <v>0</v>
      </c>
      <c r="AO1983" s="1707">
        <f t="shared" si="1609"/>
        <v>0</v>
      </c>
      <c r="AP1983" s="1707">
        <f t="shared" si="1609"/>
        <v>0</v>
      </c>
      <c r="AQ1983" s="1708">
        <f t="shared" si="1609"/>
        <v>0</v>
      </c>
    </row>
    <row r="1984" spans="2:43" ht="13.75" hidden="1" customHeight="1" x14ac:dyDescent="0.2">
      <c r="B1984" s="1195"/>
      <c r="C1984" s="193">
        <f t="shared" si="1603"/>
        <v>1.5</v>
      </c>
      <c r="D1984" s="193"/>
      <c r="E1984" s="254"/>
      <c r="F1984" s="193"/>
      <c r="G1984" s="193"/>
      <c r="H1984" s="254"/>
      <c r="I1984" s="1707">
        <f t="shared" ref="I1984:T1984" si="1610">SUMIF($V$414:$V$447,$B1660&amp;"contratada",I$414:I$447)</f>
        <v>0</v>
      </c>
      <c r="J1984" s="1707">
        <f t="shared" si="1610"/>
        <v>0</v>
      </c>
      <c r="K1984" s="1707">
        <f t="shared" si="1610"/>
        <v>0</v>
      </c>
      <c r="L1984" s="1707">
        <f t="shared" si="1610"/>
        <v>0</v>
      </c>
      <c r="M1984" s="1707">
        <f t="shared" si="1610"/>
        <v>0</v>
      </c>
      <c r="N1984" s="1707">
        <f t="shared" si="1610"/>
        <v>0</v>
      </c>
      <c r="O1984" s="1707">
        <f t="shared" si="1610"/>
        <v>0</v>
      </c>
      <c r="P1984" s="1707">
        <f t="shared" si="1610"/>
        <v>0</v>
      </c>
      <c r="Q1984" s="1707">
        <f t="shared" si="1610"/>
        <v>0</v>
      </c>
      <c r="R1984" s="1707">
        <f t="shared" si="1610"/>
        <v>0</v>
      </c>
      <c r="S1984" s="1707">
        <f t="shared" si="1610"/>
        <v>0</v>
      </c>
      <c r="T1984" s="1708">
        <f t="shared" si="1610"/>
        <v>0</v>
      </c>
      <c r="Y1984" s="1195"/>
      <c r="Z1984" s="193">
        <f t="shared" si="1575"/>
        <v>1.5</v>
      </c>
      <c r="AA1984" s="193"/>
      <c r="AB1984" s="254"/>
      <c r="AC1984" s="193"/>
      <c r="AD1984" s="193"/>
      <c r="AE1984" s="254"/>
      <c r="AF1984" s="1707">
        <f t="shared" ref="AF1984:AQ1984" si="1611">SUMIF($AS$414:$AS$447,$B1660&amp;"contratada",AF$414:AF$447)</f>
        <v>0</v>
      </c>
      <c r="AG1984" s="1707">
        <f t="shared" si="1611"/>
        <v>0</v>
      </c>
      <c r="AH1984" s="1707">
        <f t="shared" si="1611"/>
        <v>0</v>
      </c>
      <c r="AI1984" s="1707">
        <f t="shared" si="1611"/>
        <v>0</v>
      </c>
      <c r="AJ1984" s="1707">
        <f t="shared" si="1611"/>
        <v>0</v>
      </c>
      <c r="AK1984" s="1707">
        <f t="shared" si="1611"/>
        <v>0</v>
      </c>
      <c r="AL1984" s="1707">
        <f t="shared" si="1611"/>
        <v>0</v>
      </c>
      <c r="AM1984" s="1707">
        <f t="shared" si="1611"/>
        <v>0</v>
      </c>
      <c r="AN1984" s="1707">
        <f t="shared" si="1611"/>
        <v>0</v>
      </c>
      <c r="AO1984" s="1707">
        <f t="shared" si="1611"/>
        <v>0</v>
      </c>
      <c r="AP1984" s="1707">
        <f t="shared" si="1611"/>
        <v>0</v>
      </c>
      <c r="AQ1984" s="1708">
        <f t="shared" si="1611"/>
        <v>0</v>
      </c>
    </row>
    <row r="1985" spans="2:43" ht="13.75" hidden="1" customHeight="1" x14ac:dyDescent="0.2">
      <c r="B1985" s="1195"/>
      <c r="C1985" s="193">
        <f t="shared" si="1603"/>
        <v>3</v>
      </c>
      <c r="D1985" s="193"/>
      <c r="E1985" s="254"/>
      <c r="F1985" s="193"/>
      <c r="G1985" s="193"/>
      <c r="H1985" s="254"/>
      <c r="I1985" s="1707">
        <f t="shared" ref="I1985:T1985" si="1612">SUMIF($V$414:$V$447,$B1661&amp;"contratada",I$414:I$447)</f>
        <v>0</v>
      </c>
      <c r="J1985" s="1707">
        <f t="shared" si="1612"/>
        <v>0</v>
      </c>
      <c r="K1985" s="1707">
        <f t="shared" si="1612"/>
        <v>0</v>
      </c>
      <c r="L1985" s="1707">
        <f t="shared" si="1612"/>
        <v>0</v>
      </c>
      <c r="M1985" s="1707">
        <f t="shared" si="1612"/>
        <v>0</v>
      </c>
      <c r="N1985" s="1707">
        <f t="shared" si="1612"/>
        <v>0</v>
      </c>
      <c r="O1985" s="1707">
        <f t="shared" si="1612"/>
        <v>0</v>
      </c>
      <c r="P1985" s="1707">
        <f t="shared" si="1612"/>
        <v>0</v>
      </c>
      <c r="Q1985" s="1707">
        <f t="shared" si="1612"/>
        <v>0</v>
      </c>
      <c r="R1985" s="1707">
        <f t="shared" si="1612"/>
        <v>0</v>
      </c>
      <c r="S1985" s="1707">
        <f t="shared" si="1612"/>
        <v>0</v>
      </c>
      <c r="T1985" s="1708">
        <f t="shared" si="1612"/>
        <v>0</v>
      </c>
      <c r="Y1985" s="1195"/>
      <c r="Z1985" s="193">
        <f t="shared" si="1575"/>
        <v>3</v>
      </c>
      <c r="AA1985" s="193"/>
      <c r="AB1985" s="254"/>
      <c r="AC1985" s="193"/>
      <c r="AD1985" s="193"/>
      <c r="AE1985" s="254"/>
      <c r="AF1985" s="1707">
        <f t="shared" ref="AF1985:AQ1985" si="1613">SUMIF($AS$414:$AS$447,$B1661&amp;"contratada",AF$414:AF$447)</f>
        <v>0</v>
      </c>
      <c r="AG1985" s="1707">
        <f t="shared" si="1613"/>
        <v>0</v>
      </c>
      <c r="AH1985" s="1707">
        <f t="shared" si="1613"/>
        <v>0</v>
      </c>
      <c r="AI1985" s="1707">
        <f t="shared" si="1613"/>
        <v>0</v>
      </c>
      <c r="AJ1985" s="1707">
        <f t="shared" si="1613"/>
        <v>0</v>
      </c>
      <c r="AK1985" s="1707">
        <f t="shared" si="1613"/>
        <v>0</v>
      </c>
      <c r="AL1985" s="1707">
        <f t="shared" si="1613"/>
        <v>0</v>
      </c>
      <c r="AM1985" s="1707">
        <f t="shared" si="1613"/>
        <v>0</v>
      </c>
      <c r="AN1985" s="1707">
        <f t="shared" si="1613"/>
        <v>0</v>
      </c>
      <c r="AO1985" s="1707">
        <f t="shared" si="1613"/>
        <v>0</v>
      </c>
      <c r="AP1985" s="1707">
        <f t="shared" si="1613"/>
        <v>0</v>
      </c>
      <c r="AQ1985" s="1708">
        <f t="shared" si="1613"/>
        <v>0</v>
      </c>
    </row>
    <row r="1986" spans="2:43" ht="13.75" hidden="1" customHeight="1" x14ac:dyDescent="0.2">
      <c r="B1986" s="1195"/>
      <c r="C1986" s="193">
        <f t="shared" si="1603"/>
        <v>3</v>
      </c>
      <c r="D1986" s="193"/>
      <c r="E1986" s="254"/>
      <c r="F1986" s="193"/>
      <c r="G1986" s="193"/>
      <c r="H1986" s="254"/>
      <c r="I1986" s="1707">
        <f t="shared" ref="I1986:T1986" si="1614">SUMIF($V$414:$V$447,$B1662&amp;"contratada",I$414:I$447)</f>
        <v>0</v>
      </c>
      <c r="J1986" s="1707">
        <f t="shared" si="1614"/>
        <v>0</v>
      </c>
      <c r="K1986" s="1707">
        <f t="shared" si="1614"/>
        <v>0</v>
      </c>
      <c r="L1986" s="1707">
        <f t="shared" si="1614"/>
        <v>0</v>
      </c>
      <c r="M1986" s="1707">
        <f t="shared" si="1614"/>
        <v>0</v>
      </c>
      <c r="N1986" s="1707">
        <f t="shared" si="1614"/>
        <v>0</v>
      </c>
      <c r="O1986" s="1707">
        <f t="shared" si="1614"/>
        <v>0</v>
      </c>
      <c r="P1986" s="1707">
        <f t="shared" si="1614"/>
        <v>0</v>
      </c>
      <c r="Q1986" s="1707">
        <f t="shared" si="1614"/>
        <v>0</v>
      </c>
      <c r="R1986" s="1707">
        <f t="shared" si="1614"/>
        <v>0</v>
      </c>
      <c r="S1986" s="1707">
        <f t="shared" si="1614"/>
        <v>0</v>
      </c>
      <c r="T1986" s="1708">
        <f t="shared" si="1614"/>
        <v>0</v>
      </c>
      <c r="Y1986" s="1195"/>
      <c r="Z1986" s="193">
        <f t="shared" si="1575"/>
        <v>3</v>
      </c>
      <c r="AA1986" s="193"/>
      <c r="AB1986" s="254"/>
      <c r="AC1986" s="193"/>
      <c r="AD1986" s="193"/>
      <c r="AE1986" s="254"/>
      <c r="AF1986" s="1707">
        <f t="shared" ref="AF1986:AQ1986" si="1615">SUMIF($AS$414:$AS$447,$B1662&amp;"contratada",AF$414:AF$447)</f>
        <v>0</v>
      </c>
      <c r="AG1986" s="1707">
        <f t="shared" si="1615"/>
        <v>0</v>
      </c>
      <c r="AH1986" s="1707">
        <f t="shared" si="1615"/>
        <v>0</v>
      </c>
      <c r="AI1986" s="1707">
        <f t="shared" si="1615"/>
        <v>0</v>
      </c>
      <c r="AJ1986" s="1707">
        <f t="shared" si="1615"/>
        <v>0</v>
      </c>
      <c r="AK1986" s="1707">
        <f t="shared" si="1615"/>
        <v>0</v>
      </c>
      <c r="AL1986" s="1707">
        <f t="shared" si="1615"/>
        <v>0</v>
      </c>
      <c r="AM1986" s="1707">
        <f t="shared" si="1615"/>
        <v>0</v>
      </c>
      <c r="AN1986" s="1707">
        <f t="shared" si="1615"/>
        <v>0</v>
      </c>
      <c r="AO1986" s="1707">
        <f t="shared" si="1615"/>
        <v>0</v>
      </c>
      <c r="AP1986" s="1707">
        <f t="shared" si="1615"/>
        <v>0</v>
      </c>
      <c r="AQ1986" s="1708">
        <f t="shared" si="1615"/>
        <v>0</v>
      </c>
    </row>
    <row r="1987" spans="2:43" ht="13.75" hidden="1" customHeight="1" x14ac:dyDescent="0.2">
      <c r="B1987" s="1195"/>
      <c r="C1987" s="193">
        <f t="shared" si="1603"/>
        <v>9</v>
      </c>
      <c r="D1987" s="193"/>
      <c r="E1987" s="254"/>
      <c r="F1987" s="193"/>
      <c r="G1987" s="193"/>
      <c r="H1987" s="254"/>
      <c r="I1987" s="1707">
        <f t="shared" ref="I1987:T1987" si="1616">SUMIF($V$414:$V$447,$B1663&amp;"contratada",I$414:I$447)</f>
        <v>0</v>
      </c>
      <c r="J1987" s="1707">
        <f t="shared" si="1616"/>
        <v>0</v>
      </c>
      <c r="K1987" s="1707">
        <f t="shared" si="1616"/>
        <v>0</v>
      </c>
      <c r="L1987" s="1707">
        <f t="shared" si="1616"/>
        <v>0</v>
      </c>
      <c r="M1987" s="1707">
        <f t="shared" si="1616"/>
        <v>0</v>
      </c>
      <c r="N1987" s="1707">
        <f t="shared" si="1616"/>
        <v>0</v>
      </c>
      <c r="O1987" s="1707">
        <f t="shared" si="1616"/>
        <v>0</v>
      </c>
      <c r="P1987" s="1707">
        <f t="shared" si="1616"/>
        <v>0</v>
      </c>
      <c r="Q1987" s="1707">
        <f t="shared" si="1616"/>
        <v>0</v>
      </c>
      <c r="R1987" s="1707">
        <f t="shared" si="1616"/>
        <v>0</v>
      </c>
      <c r="S1987" s="1707">
        <f t="shared" si="1616"/>
        <v>0</v>
      </c>
      <c r="T1987" s="1708">
        <f t="shared" si="1616"/>
        <v>0</v>
      </c>
      <c r="Y1987" s="1195"/>
      <c r="Z1987" s="193">
        <f t="shared" si="1575"/>
        <v>9</v>
      </c>
      <c r="AA1987" s="193"/>
      <c r="AB1987" s="254"/>
      <c r="AC1987" s="193"/>
      <c r="AD1987" s="193"/>
      <c r="AE1987" s="254"/>
      <c r="AF1987" s="1707">
        <f t="shared" ref="AF1987:AQ1987" si="1617">SUMIF($AS$414:$AS$447,$B1663&amp;"contratada",AF$414:AF$447)</f>
        <v>0</v>
      </c>
      <c r="AG1987" s="1707">
        <f t="shared" si="1617"/>
        <v>0</v>
      </c>
      <c r="AH1987" s="1707">
        <f t="shared" si="1617"/>
        <v>0</v>
      </c>
      <c r="AI1987" s="1707">
        <f t="shared" si="1617"/>
        <v>0</v>
      </c>
      <c r="AJ1987" s="1707">
        <f t="shared" si="1617"/>
        <v>0</v>
      </c>
      <c r="AK1987" s="1707">
        <f t="shared" si="1617"/>
        <v>0</v>
      </c>
      <c r="AL1987" s="1707">
        <f t="shared" si="1617"/>
        <v>0</v>
      </c>
      <c r="AM1987" s="1707">
        <f t="shared" si="1617"/>
        <v>0</v>
      </c>
      <c r="AN1987" s="1707">
        <f t="shared" si="1617"/>
        <v>0</v>
      </c>
      <c r="AO1987" s="1707">
        <f t="shared" si="1617"/>
        <v>0</v>
      </c>
      <c r="AP1987" s="1707">
        <f t="shared" si="1617"/>
        <v>0</v>
      </c>
      <c r="AQ1987" s="1708">
        <f t="shared" si="1617"/>
        <v>0</v>
      </c>
    </row>
    <row r="1988" spans="2:43" ht="13.75" hidden="1" customHeight="1" x14ac:dyDescent="0.2">
      <c r="B1988" s="1195"/>
      <c r="C1988" s="193">
        <f t="shared" si="1603"/>
        <v>0</v>
      </c>
      <c r="D1988" s="193"/>
      <c r="E1988" s="254"/>
      <c r="F1988" s="193"/>
      <c r="G1988" s="193"/>
      <c r="H1988" s="254"/>
      <c r="I1988" s="1707">
        <f t="shared" ref="I1988:T1988" si="1618">SUMIF($V$414:$V$447,$B1664&amp;"contratada",I$414:I$447)</f>
        <v>0</v>
      </c>
      <c r="J1988" s="1707">
        <f t="shared" si="1618"/>
        <v>0</v>
      </c>
      <c r="K1988" s="1707">
        <f t="shared" si="1618"/>
        <v>0</v>
      </c>
      <c r="L1988" s="1707">
        <f t="shared" si="1618"/>
        <v>0</v>
      </c>
      <c r="M1988" s="1707">
        <f t="shared" si="1618"/>
        <v>0</v>
      </c>
      <c r="N1988" s="1707">
        <f t="shared" si="1618"/>
        <v>0</v>
      </c>
      <c r="O1988" s="1707">
        <f t="shared" si="1618"/>
        <v>0</v>
      </c>
      <c r="P1988" s="1707">
        <f t="shared" si="1618"/>
        <v>0</v>
      </c>
      <c r="Q1988" s="1707">
        <f t="shared" si="1618"/>
        <v>0</v>
      </c>
      <c r="R1988" s="1707">
        <f t="shared" si="1618"/>
        <v>0</v>
      </c>
      <c r="S1988" s="1707">
        <f t="shared" si="1618"/>
        <v>0</v>
      </c>
      <c r="T1988" s="1708">
        <f t="shared" si="1618"/>
        <v>0</v>
      </c>
      <c r="Y1988" s="1195"/>
      <c r="Z1988" s="193">
        <f t="shared" si="1575"/>
        <v>0</v>
      </c>
      <c r="AA1988" s="193"/>
      <c r="AB1988" s="254"/>
      <c r="AC1988" s="193"/>
      <c r="AD1988" s="193"/>
      <c r="AE1988" s="254"/>
      <c r="AF1988" s="1707">
        <f t="shared" ref="AF1988:AQ1988" si="1619">SUMIF($AS$414:$AS$447,$B1664&amp;"contratada",AF$414:AF$447)</f>
        <v>0</v>
      </c>
      <c r="AG1988" s="1707">
        <f t="shared" si="1619"/>
        <v>0</v>
      </c>
      <c r="AH1988" s="1707">
        <f t="shared" si="1619"/>
        <v>0</v>
      </c>
      <c r="AI1988" s="1707">
        <f t="shared" si="1619"/>
        <v>0</v>
      </c>
      <c r="AJ1988" s="1707">
        <f t="shared" si="1619"/>
        <v>0</v>
      </c>
      <c r="AK1988" s="1707">
        <f t="shared" si="1619"/>
        <v>0</v>
      </c>
      <c r="AL1988" s="1707">
        <f t="shared" si="1619"/>
        <v>0</v>
      </c>
      <c r="AM1988" s="1707">
        <f t="shared" si="1619"/>
        <v>0</v>
      </c>
      <c r="AN1988" s="1707">
        <f t="shared" si="1619"/>
        <v>0</v>
      </c>
      <c r="AO1988" s="1707">
        <f t="shared" si="1619"/>
        <v>0</v>
      </c>
      <c r="AP1988" s="1707">
        <f t="shared" si="1619"/>
        <v>0</v>
      </c>
      <c r="AQ1988" s="1708">
        <f t="shared" si="1619"/>
        <v>0</v>
      </c>
    </row>
    <row r="1989" spans="2:43" ht="13.75" hidden="1" customHeight="1" x14ac:dyDescent="0.2">
      <c r="B1989" s="1195"/>
      <c r="C1989" s="193">
        <f t="shared" si="1603"/>
        <v>0</v>
      </c>
      <c r="D1989" s="193"/>
      <c r="E1989" s="254"/>
      <c r="F1989" s="193"/>
      <c r="G1989" s="193"/>
      <c r="H1989" s="254"/>
      <c r="I1989" s="1707">
        <f t="shared" ref="I1989:T1989" si="1620">SUMIF($V$414:$V$447,$B1665&amp;"contratada",I$414:I$447)</f>
        <v>0</v>
      </c>
      <c r="J1989" s="1707">
        <f t="shared" si="1620"/>
        <v>0</v>
      </c>
      <c r="K1989" s="1707">
        <f t="shared" si="1620"/>
        <v>0</v>
      </c>
      <c r="L1989" s="1707">
        <f t="shared" si="1620"/>
        <v>0</v>
      </c>
      <c r="M1989" s="1707">
        <f t="shared" si="1620"/>
        <v>0</v>
      </c>
      <c r="N1989" s="1707">
        <f t="shared" si="1620"/>
        <v>0</v>
      </c>
      <c r="O1989" s="1707">
        <f t="shared" si="1620"/>
        <v>0</v>
      </c>
      <c r="P1989" s="1707">
        <f t="shared" si="1620"/>
        <v>0</v>
      </c>
      <c r="Q1989" s="1707">
        <f t="shared" si="1620"/>
        <v>0</v>
      </c>
      <c r="R1989" s="1707">
        <f t="shared" si="1620"/>
        <v>0</v>
      </c>
      <c r="S1989" s="1707">
        <f t="shared" si="1620"/>
        <v>0</v>
      </c>
      <c r="T1989" s="1708">
        <f t="shared" si="1620"/>
        <v>0</v>
      </c>
      <c r="Y1989" s="1195"/>
      <c r="Z1989" s="193">
        <f t="shared" si="1575"/>
        <v>0</v>
      </c>
      <c r="AA1989" s="193"/>
      <c r="AB1989" s="254"/>
      <c r="AC1989" s="193"/>
      <c r="AD1989" s="193"/>
      <c r="AE1989" s="254"/>
      <c r="AF1989" s="1707">
        <f t="shared" ref="AF1989:AQ1989" si="1621">SUMIF($AS$414:$AS$447,$B1665&amp;"contratada",AF$414:AF$447)</f>
        <v>0</v>
      </c>
      <c r="AG1989" s="1707">
        <f t="shared" si="1621"/>
        <v>0</v>
      </c>
      <c r="AH1989" s="1707">
        <f t="shared" si="1621"/>
        <v>0</v>
      </c>
      <c r="AI1989" s="1707">
        <f t="shared" si="1621"/>
        <v>0</v>
      </c>
      <c r="AJ1989" s="1707">
        <f t="shared" si="1621"/>
        <v>0</v>
      </c>
      <c r="AK1989" s="1707">
        <f t="shared" si="1621"/>
        <v>0</v>
      </c>
      <c r="AL1989" s="1707">
        <f t="shared" si="1621"/>
        <v>0</v>
      </c>
      <c r="AM1989" s="1707">
        <f t="shared" si="1621"/>
        <v>0</v>
      </c>
      <c r="AN1989" s="1707">
        <f t="shared" si="1621"/>
        <v>0</v>
      </c>
      <c r="AO1989" s="1707">
        <f t="shared" si="1621"/>
        <v>0</v>
      </c>
      <c r="AP1989" s="1707">
        <f t="shared" si="1621"/>
        <v>0</v>
      </c>
      <c r="AQ1989" s="1708">
        <f t="shared" si="1621"/>
        <v>0</v>
      </c>
    </row>
    <row r="1990" spans="2:43" ht="13.75" hidden="1" customHeight="1" x14ac:dyDescent="0.2">
      <c r="B1990" s="1195"/>
      <c r="C1990" s="193">
        <f t="shared" si="1603"/>
        <v>0</v>
      </c>
      <c r="D1990" s="193"/>
      <c r="E1990" s="254"/>
      <c r="F1990" s="193"/>
      <c r="G1990" s="193"/>
      <c r="H1990" s="254"/>
      <c r="I1990" s="1707">
        <f t="shared" ref="I1990:T1990" si="1622">SUMIF($V$414:$V$447,$B1666&amp;"contratada",I$414:I$447)</f>
        <v>0</v>
      </c>
      <c r="J1990" s="1707">
        <f t="shared" si="1622"/>
        <v>0</v>
      </c>
      <c r="K1990" s="1707">
        <f t="shared" si="1622"/>
        <v>0</v>
      </c>
      <c r="L1990" s="1707">
        <f t="shared" si="1622"/>
        <v>0</v>
      </c>
      <c r="M1990" s="1707">
        <f t="shared" si="1622"/>
        <v>0</v>
      </c>
      <c r="N1990" s="1707">
        <f t="shared" si="1622"/>
        <v>0</v>
      </c>
      <c r="O1990" s="1707">
        <f t="shared" si="1622"/>
        <v>0</v>
      </c>
      <c r="P1990" s="1707">
        <f t="shared" si="1622"/>
        <v>0</v>
      </c>
      <c r="Q1990" s="1707">
        <f t="shared" si="1622"/>
        <v>0</v>
      </c>
      <c r="R1990" s="1707">
        <f t="shared" si="1622"/>
        <v>0</v>
      </c>
      <c r="S1990" s="1707">
        <f t="shared" si="1622"/>
        <v>0</v>
      </c>
      <c r="T1990" s="1708">
        <f t="shared" si="1622"/>
        <v>0</v>
      </c>
      <c r="Y1990" s="1195"/>
      <c r="Z1990" s="193">
        <f t="shared" si="1575"/>
        <v>0</v>
      </c>
      <c r="AA1990" s="193"/>
      <c r="AB1990" s="254"/>
      <c r="AC1990" s="193"/>
      <c r="AD1990" s="193"/>
      <c r="AE1990" s="254"/>
      <c r="AF1990" s="1707">
        <f t="shared" ref="AF1990:AQ1990" si="1623">SUMIF($AS$414:$AS$447,$B1666&amp;"contratada",AF$414:AF$447)</f>
        <v>0</v>
      </c>
      <c r="AG1990" s="1707">
        <f t="shared" si="1623"/>
        <v>0</v>
      </c>
      <c r="AH1990" s="1707">
        <f t="shared" si="1623"/>
        <v>0</v>
      </c>
      <c r="AI1990" s="1707">
        <f t="shared" si="1623"/>
        <v>0</v>
      </c>
      <c r="AJ1990" s="1707">
        <f t="shared" si="1623"/>
        <v>0</v>
      </c>
      <c r="AK1990" s="1707">
        <f t="shared" si="1623"/>
        <v>0</v>
      </c>
      <c r="AL1990" s="1707">
        <f t="shared" si="1623"/>
        <v>0</v>
      </c>
      <c r="AM1990" s="1707">
        <f t="shared" si="1623"/>
        <v>0</v>
      </c>
      <c r="AN1990" s="1707">
        <f t="shared" si="1623"/>
        <v>0</v>
      </c>
      <c r="AO1990" s="1707">
        <f t="shared" si="1623"/>
        <v>0</v>
      </c>
      <c r="AP1990" s="1707">
        <f t="shared" si="1623"/>
        <v>0</v>
      </c>
      <c r="AQ1990" s="1708">
        <f t="shared" si="1623"/>
        <v>0</v>
      </c>
    </row>
    <row r="1991" spans="2:43" ht="13.75" hidden="1" customHeight="1" x14ac:dyDescent="0.2">
      <c r="B1991" s="1195"/>
      <c r="C1991" s="193">
        <f t="shared" si="1603"/>
        <v>0</v>
      </c>
      <c r="D1991" s="193"/>
      <c r="E1991" s="254"/>
      <c r="F1991" s="193"/>
      <c r="G1991" s="193"/>
      <c r="H1991" s="254"/>
      <c r="I1991" s="1707">
        <f t="shared" ref="I1991:T1991" si="1624">SUMIF($V$414:$V$447,$B1667&amp;"contratada",I$414:I$447)</f>
        <v>0</v>
      </c>
      <c r="J1991" s="1707">
        <f t="shared" si="1624"/>
        <v>0</v>
      </c>
      <c r="K1991" s="1707">
        <f t="shared" si="1624"/>
        <v>0</v>
      </c>
      <c r="L1991" s="1707">
        <f t="shared" si="1624"/>
        <v>0</v>
      </c>
      <c r="M1991" s="1707">
        <f t="shared" si="1624"/>
        <v>0</v>
      </c>
      <c r="N1991" s="1707">
        <f t="shared" si="1624"/>
        <v>0</v>
      </c>
      <c r="O1991" s="1707">
        <f t="shared" si="1624"/>
        <v>0</v>
      </c>
      <c r="P1991" s="1707">
        <f t="shared" si="1624"/>
        <v>0</v>
      </c>
      <c r="Q1991" s="1707">
        <f t="shared" si="1624"/>
        <v>0</v>
      </c>
      <c r="R1991" s="1707">
        <f t="shared" si="1624"/>
        <v>0</v>
      </c>
      <c r="S1991" s="1707">
        <f t="shared" si="1624"/>
        <v>0</v>
      </c>
      <c r="T1991" s="1708">
        <f t="shared" si="1624"/>
        <v>0</v>
      </c>
      <c r="Y1991" s="1195"/>
      <c r="Z1991" s="193">
        <f t="shared" si="1575"/>
        <v>0</v>
      </c>
      <c r="AA1991" s="193"/>
      <c r="AB1991" s="254"/>
      <c r="AC1991" s="193"/>
      <c r="AD1991" s="193"/>
      <c r="AE1991" s="254"/>
      <c r="AF1991" s="1707">
        <f t="shared" ref="AF1991:AQ1991" si="1625">SUMIF($AS$414:$AS$447,$B1667&amp;"contratada",AF$414:AF$447)</f>
        <v>0</v>
      </c>
      <c r="AG1991" s="1707">
        <f t="shared" si="1625"/>
        <v>0</v>
      </c>
      <c r="AH1991" s="1707">
        <f t="shared" si="1625"/>
        <v>0</v>
      </c>
      <c r="AI1991" s="1707">
        <f t="shared" si="1625"/>
        <v>0</v>
      </c>
      <c r="AJ1991" s="1707">
        <f t="shared" si="1625"/>
        <v>0</v>
      </c>
      <c r="AK1991" s="1707">
        <f t="shared" si="1625"/>
        <v>0</v>
      </c>
      <c r="AL1991" s="1707">
        <f t="shared" si="1625"/>
        <v>0</v>
      </c>
      <c r="AM1991" s="1707">
        <f t="shared" si="1625"/>
        <v>0</v>
      </c>
      <c r="AN1991" s="1707">
        <f t="shared" si="1625"/>
        <v>0</v>
      </c>
      <c r="AO1991" s="1707">
        <f t="shared" si="1625"/>
        <v>0</v>
      </c>
      <c r="AP1991" s="1707">
        <f t="shared" si="1625"/>
        <v>0</v>
      </c>
      <c r="AQ1991" s="1708">
        <f t="shared" si="1625"/>
        <v>0</v>
      </c>
    </row>
    <row r="1992" spans="2:43" ht="13.75" hidden="1" customHeight="1" x14ac:dyDescent="0.2">
      <c r="B1992" s="1195"/>
      <c r="C1992" s="193">
        <f t="shared" si="1603"/>
        <v>0</v>
      </c>
      <c r="D1992" s="193"/>
      <c r="E1992" s="254"/>
      <c r="F1992" s="193"/>
      <c r="G1992" s="193"/>
      <c r="H1992" s="254"/>
      <c r="I1992" s="1707">
        <f t="shared" ref="I1992:T1992" si="1626">SUMIF($V$414:$V$447,$B1668&amp;"contratada",I$414:I$447)</f>
        <v>0</v>
      </c>
      <c r="J1992" s="1707">
        <f t="shared" si="1626"/>
        <v>0</v>
      </c>
      <c r="K1992" s="1707">
        <f t="shared" si="1626"/>
        <v>0</v>
      </c>
      <c r="L1992" s="1707">
        <f t="shared" si="1626"/>
        <v>0</v>
      </c>
      <c r="M1992" s="1707">
        <f t="shared" si="1626"/>
        <v>0</v>
      </c>
      <c r="N1992" s="1707">
        <f t="shared" si="1626"/>
        <v>0</v>
      </c>
      <c r="O1992" s="1707">
        <f t="shared" si="1626"/>
        <v>0</v>
      </c>
      <c r="P1992" s="1707">
        <f t="shared" si="1626"/>
        <v>0</v>
      </c>
      <c r="Q1992" s="1707">
        <f t="shared" si="1626"/>
        <v>0</v>
      </c>
      <c r="R1992" s="1707">
        <f t="shared" si="1626"/>
        <v>0</v>
      </c>
      <c r="S1992" s="1707">
        <f t="shared" si="1626"/>
        <v>0</v>
      </c>
      <c r="T1992" s="1708">
        <f t="shared" si="1626"/>
        <v>0</v>
      </c>
      <c r="Y1992" s="1195"/>
      <c r="Z1992" s="193">
        <f t="shared" si="1575"/>
        <v>0</v>
      </c>
      <c r="AA1992" s="193"/>
      <c r="AB1992" s="254"/>
      <c r="AC1992" s="193"/>
      <c r="AD1992" s="193"/>
      <c r="AE1992" s="254"/>
      <c r="AF1992" s="1707">
        <f t="shared" ref="AF1992:AQ1992" si="1627">SUMIF($AS$414:$AS$447,$B1668&amp;"contratada",AF$414:AF$447)</f>
        <v>0</v>
      </c>
      <c r="AG1992" s="1707">
        <f t="shared" si="1627"/>
        <v>0</v>
      </c>
      <c r="AH1992" s="1707">
        <f t="shared" si="1627"/>
        <v>0</v>
      </c>
      <c r="AI1992" s="1707">
        <f t="shared" si="1627"/>
        <v>0</v>
      </c>
      <c r="AJ1992" s="1707">
        <f t="shared" si="1627"/>
        <v>0</v>
      </c>
      <c r="AK1992" s="1707">
        <f t="shared" si="1627"/>
        <v>0</v>
      </c>
      <c r="AL1992" s="1707">
        <f t="shared" si="1627"/>
        <v>0</v>
      </c>
      <c r="AM1992" s="1707">
        <f t="shared" si="1627"/>
        <v>0</v>
      </c>
      <c r="AN1992" s="1707">
        <f t="shared" si="1627"/>
        <v>0</v>
      </c>
      <c r="AO1992" s="1707">
        <f t="shared" si="1627"/>
        <v>0</v>
      </c>
      <c r="AP1992" s="1707">
        <f t="shared" si="1627"/>
        <v>0</v>
      </c>
      <c r="AQ1992" s="1708">
        <f t="shared" si="1627"/>
        <v>0</v>
      </c>
    </row>
    <row r="1993" spans="2:43" ht="14.4" hidden="1" customHeight="1" thickBot="1" x14ac:dyDescent="0.25">
      <c r="B1993" s="1198"/>
      <c r="C1993" s="1199">
        <f t="shared" si="1603"/>
        <v>0</v>
      </c>
      <c r="D1993" s="1199"/>
      <c r="E1993" s="1209"/>
      <c r="F1993" s="1199"/>
      <c r="G1993" s="1199"/>
      <c r="H1993" s="1209"/>
      <c r="I1993" s="1709">
        <f t="shared" ref="I1993:T1993" si="1628">SUMIF($V$414:$V$447,$B1669&amp;"contratada",I$414:I$447)</f>
        <v>0</v>
      </c>
      <c r="J1993" s="1709">
        <f t="shared" si="1628"/>
        <v>0</v>
      </c>
      <c r="K1993" s="1709">
        <f t="shared" si="1628"/>
        <v>0</v>
      </c>
      <c r="L1993" s="1709">
        <f t="shared" si="1628"/>
        <v>0</v>
      </c>
      <c r="M1993" s="1709">
        <f t="shared" si="1628"/>
        <v>0</v>
      </c>
      <c r="N1993" s="1709">
        <f t="shared" si="1628"/>
        <v>0</v>
      </c>
      <c r="O1993" s="1709">
        <f t="shared" si="1628"/>
        <v>0</v>
      </c>
      <c r="P1993" s="1709">
        <f t="shared" si="1628"/>
        <v>0</v>
      </c>
      <c r="Q1993" s="1709">
        <f t="shared" si="1628"/>
        <v>0</v>
      </c>
      <c r="R1993" s="1709">
        <f t="shared" si="1628"/>
        <v>0</v>
      </c>
      <c r="S1993" s="1709">
        <f t="shared" si="1628"/>
        <v>0</v>
      </c>
      <c r="T1993" s="1710">
        <f t="shared" si="1628"/>
        <v>0</v>
      </c>
      <c r="Y1993" s="1198"/>
      <c r="Z1993" s="1199">
        <f t="shared" si="1575"/>
        <v>0</v>
      </c>
      <c r="AA1993" s="1199"/>
      <c r="AB1993" s="1209"/>
      <c r="AC1993" s="1199"/>
      <c r="AD1993" s="1199"/>
      <c r="AE1993" s="1209"/>
      <c r="AF1993" s="1709">
        <f t="shared" ref="AF1993:AQ1993" si="1629">SUMIF($AS$414:$AS$447,$B1669&amp;"contratada",AF$414:AF$447)</f>
        <v>0</v>
      </c>
      <c r="AG1993" s="1709">
        <f t="shared" si="1629"/>
        <v>0</v>
      </c>
      <c r="AH1993" s="1709">
        <f t="shared" si="1629"/>
        <v>0</v>
      </c>
      <c r="AI1993" s="1709">
        <f t="shared" si="1629"/>
        <v>0</v>
      </c>
      <c r="AJ1993" s="1709">
        <f t="shared" si="1629"/>
        <v>0</v>
      </c>
      <c r="AK1993" s="1709">
        <f t="shared" si="1629"/>
        <v>0</v>
      </c>
      <c r="AL1993" s="1709">
        <f t="shared" si="1629"/>
        <v>0</v>
      </c>
      <c r="AM1993" s="1709">
        <f t="shared" si="1629"/>
        <v>0</v>
      </c>
      <c r="AN1993" s="1709">
        <f t="shared" si="1629"/>
        <v>0</v>
      </c>
      <c r="AO1993" s="1709">
        <f t="shared" si="1629"/>
        <v>0</v>
      </c>
      <c r="AP1993" s="1709">
        <f t="shared" si="1629"/>
        <v>0</v>
      </c>
      <c r="AQ1993" s="1710">
        <f t="shared" si="1629"/>
        <v>0</v>
      </c>
    </row>
    <row r="1994" spans="2:43" ht="15.05" hidden="1" customHeight="1" thickTop="1" thickBot="1" x14ac:dyDescent="0.25">
      <c r="B1994" s="1711" t="s">
        <v>705</v>
      </c>
      <c r="C1994" s="1712"/>
      <c r="D1994" s="1712"/>
      <c r="E1994" s="1712"/>
      <c r="F1994" s="1712"/>
      <c r="G1994" s="1712"/>
      <c r="H1994" s="1713" t="s">
        <v>230</v>
      </c>
      <c r="I1994" s="1715">
        <f t="shared" ref="I1994:T1994" si="1630">+SUMPRODUCT(I1966:I1993,$C$1966:$C$1993)</f>
        <v>0</v>
      </c>
      <c r="J1994" s="1715">
        <f t="shared" si="1630"/>
        <v>0</v>
      </c>
      <c r="K1994" s="1715">
        <f t="shared" si="1630"/>
        <v>0</v>
      </c>
      <c r="L1994" s="1715">
        <f t="shared" si="1630"/>
        <v>0</v>
      </c>
      <c r="M1994" s="1715">
        <f t="shared" si="1630"/>
        <v>0</v>
      </c>
      <c r="N1994" s="1715">
        <f t="shared" si="1630"/>
        <v>0</v>
      </c>
      <c r="O1994" s="1715">
        <f t="shared" si="1630"/>
        <v>0</v>
      </c>
      <c r="P1994" s="1715">
        <f t="shared" si="1630"/>
        <v>0</v>
      </c>
      <c r="Q1994" s="1715">
        <f t="shared" si="1630"/>
        <v>0</v>
      </c>
      <c r="R1994" s="1715">
        <f t="shared" si="1630"/>
        <v>0</v>
      </c>
      <c r="S1994" s="1715">
        <f t="shared" si="1630"/>
        <v>0</v>
      </c>
      <c r="T1994" s="1716">
        <f t="shared" si="1630"/>
        <v>0</v>
      </c>
      <c r="Y1994" s="1711" t="s">
        <v>705</v>
      </c>
      <c r="Z1994" s="1712"/>
      <c r="AA1994" s="1712"/>
      <c r="AB1994" s="1712"/>
      <c r="AC1994" s="1712"/>
      <c r="AD1994" s="1712"/>
      <c r="AE1994" s="1719" t="s">
        <v>230</v>
      </c>
      <c r="AF1994" s="1715">
        <f t="shared" ref="AF1994:AQ1994" si="1631">+SUMPRODUCT(AF1966:AF1993,$C$1966:$C$1993)</f>
        <v>0</v>
      </c>
      <c r="AG1994" s="1715">
        <f t="shared" si="1631"/>
        <v>0</v>
      </c>
      <c r="AH1994" s="1715">
        <f t="shared" si="1631"/>
        <v>0</v>
      </c>
      <c r="AI1994" s="1715">
        <f t="shared" si="1631"/>
        <v>0</v>
      </c>
      <c r="AJ1994" s="1715">
        <f t="shared" si="1631"/>
        <v>0</v>
      </c>
      <c r="AK1994" s="1715">
        <f t="shared" si="1631"/>
        <v>0</v>
      </c>
      <c r="AL1994" s="1715">
        <f t="shared" si="1631"/>
        <v>0</v>
      </c>
      <c r="AM1994" s="1715">
        <f t="shared" si="1631"/>
        <v>0</v>
      </c>
      <c r="AN1994" s="1715">
        <f t="shared" si="1631"/>
        <v>0</v>
      </c>
      <c r="AO1994" s="1715">
        <f t="shared" si="1631"/>
        <v>0</v>
      </c>
      <c r="AP1994" s="1715">
        <f t="shared" si="1631"/>
        <v>0</v>
      </c>
      <c r="AQ1994" s="1716">
        <f t="shared" si="1631"/>
        <v>0</v>
      </c>
    </row>
    <row r="1995" spans="2:43" ht="14.4" hidden="1" customHeight="1" thickTop="1" x14ac:dyDescent="0.2">
      <c r="B1995" s="1594"/>
      <c r="C1995" s="193"/>
      <c r="D1995" s="193"/>
      <c r="E1995" s="193"/>
      <c r="F1995" s="193"/>
      <c r="G1995" s="193"/>
      <c r="H1995" s="982" t="s">
        <v>698</v>
      </c>
      <c r="I1995" s="1205">
        <f t="shared" ref="I1995:T1995" si="1632">IFERROR(I1994*I1962/I1964,0)</f>
        <v>0</v>
      </c>
      <c r="J1995" s="1205">
        <f t="shared" si="1632"/>
        <v>0</v>
      </c>
      <c r="K1995" s="1205">
        <f t="shared" si="1632"/>
        <v>0</v>
      </c>
      <c r="L1995" s="1205">
        <f t="shared" si="1632"/>
        <v>0</v>
      </c>
      <c r="M1995" s="1205">
        <f t="shared" si="1632"/>
        <v>0</v>
      </c>
      <c r="N1995" s="1205">
        <f t="shared" si="1632"/>
        <v>0</v>
      </c>
      <c r="O1995" s="1205">
        <f t="shared" si="1632"/>
        <v>0</v>
      </c>
      <c r="P1995" s="1205">
        <f t="shared" si="1632"/>
        <v>0</v>
      </c>
      <c r="Q1995" s="1205">
        <f t="shared" si="1632"/>
        <v>0</v>
      </c>
      <c r="R1995" s="1205">
        <f t="shared" si="1632"/>
        <v>0</v>
      </c>
      <c r="S1995" s="1205">
        <f t="shared" si="1632"/>
        <v>0</v>
      </c>
      <c r="T1995" s="1714">
        <f t="shared" si="1632"/>
        <v>0</v>
      </c>
      <c r="Y1995" s="1594"/>
      <c r="Z1995" s="193"/>
      <c r="AA1995" s="193"/>
      <c r="AB1995" s="193"/>
      <c r="AC1995" s="193"/>
      <c r="AD1995" s="193"/>
      <c r="AE1995" s="1720" t="s">
        <v>698</v>
      </c>
      <c r="AF1995" s="1205">
        <f t="shared" ref="AF1995:AQ1995" si="1633">IFERROR(AF1994*AF1962/AF1964,0)</f>
        <v>0</v>
      </c>
      <c r="AG1995" s="1205">
        <f t="shared" si="1633"/>
        <v>0</v>
      </c>
      <c r="AH1995" s="1205">
        <f t="shared" si="1633"/>
        <v>0</v>
      </c>
      <c r="AI1995" s="1205">
        <f t="shared" si="1633"/>
        <v>0</v>
      </c>
      <c r="AJ1995" s="1205">
        <f t="shared" si="1633"/>
        <v>0</v>
      </c>
      <c r="AK1995" s="1205">
        <f t="shared" si="1633"/>
        <v>0</v>
      </c>
      <c r="AL1995" s="1205">
        <f t="shared" si="1633"/>
        <v>0</v>
      </c>
      <c r="AM1995" s="1205">
        <f t="shared" si="1633"/>
        <v>0</v>
      </c>
      <c r="AN1995" s="1205">
        <f t="shared" si="1633"/>
        <v>0</v>
      </c>
      <c r="AO1995" s="1205">
        <f t="shared" si="1633"/>
        <v>0</v>
      </c>
      <c r="AP1995" s="1205">
        <f t="shared" si="1633"/>
        <v>0</v>
      </c>
      <c r="AQ1995" s="1714">
        <f t="shared" si="1633"/>
        <v>0</v>
      </c>
    </row>
    <row r="1996" spans="2:43" ht="14.4" hidden="1" customHeight="1" thickBot="1" x14ac:dyDescent="0.25">
      <c r="B1996" s="1596"/>
      <c r="C1996" s="1199"/>
      <c r="D1996" s="1199"/>
      <c r="E1996" s="1199"/>
      <c r="F1996" s="1199"/>
      <c r="G1996" s="1199"/>
      <c r="H1996" s="1717" t="s">
        <v>699</v>
      </c>
      <c r="I1996" s="1590">
        <f>+I1994-I1995</f>
        <v>0</v>
      </c>
      <c r="J1996" s="1590">
        <f t="shared" ref="J1996:T1996" si="1634">+J1994-J1995</f>
        <v>0</v>
      </c>
      <c r="K1996" s="1590">
        <f t="shared" si="1634"/>
        <v>0</v>
      </c>
      <c r="L1996" s="1590">
        <f t="shared" si="1634"/>
        <v>0</v>
      </c>
      <c r="M1996" s="1590">
        <f t="shared" si="1634"/>
        <v>0</v>
      </c>
      <c r="N1996" s="1590">
        <f t="shared" si="1634"/>
        <v>0</v>
      </c>
      <c r="O1996" s="1590">
        <f t="shared" si="1634"/>
        <v>0</v>
      </c>
      <c r="P1996" s="1590">
        <f t="shared" si="1634"/>
        <v>0</v>
      </c>
      <c r="Q1996" s="1590">
        <f t="shared" si="1634"/>
        <v>0</v>
      </c>
      <c r="R1996" s="1590">
        <f t="shared" si="1634"/>
        <v>0</v>
      </c>
      <c r="S1996" s="1590">
        <f t="shared" si="1634"/>
        <v>0</v>
      </c>
      <c r="T1996" s="1655">
        <f t="shared" si="1634"/>
        <v>0</v>
      </c>
      <c r="Y1996" s="1596"/>
      <c r="Z1996" s="1199"/>
      <c r="AA1996" s="1199"/>
      <c r="AB1996" s="1199"/>
      <c r="AC1996" s="1199"/>
      <c r="AD1996" s="1199"/>
      <c r="AE1996" s="1721" t="s">
        <v>699</v>
      </c>
      <c r="AF1996" s="1590">
        <f>+AF1994-AF1995</f>
        <v>0</v>
      </c>
      <c r="AG1996" s="1590">
        <f t="shared" ref="AG1996:AQ1996" si="1635">+AG1994-AG1995</f>
        <v>0</v>
      </c>
      <c r="AH1996" s="1590">
        <f t="shared" si="1635"/>
        <v>0</v>
      </c>
      <c r="AI1996" s="1590">
        <f t="shared" si="1635"/>
        <v>0</v>
      </c>
      <c r="AJ1996" s="1590">
        <f t="shared" si="1635"/>
        <v>0</v>
      </c>
      <c r="AK1996" s="1590">
        <f t="shared" si="1635"/>
        <v>0</v>
      </c>
      <c r="AL1996" s="1590">
        <f t="shared" si="1635"/>
        <v>0</v>
      </c>
      <c r="AM1996" s="1590">
        <f t="shared" si="1635"/>
        <v>0</v>
      </c>
      <c r="AN1996" s="1590">
        <f t="shared" si="1635"/>
        <v>0</v>
      </c>
      <c r="AO1996" s="1590">
        <f t="shared" si="1635"/>
        <v>0</v>
      </c>
      <c r="AP1996" s="1590">
        <f t="shared" si="1635"/>
        <v>0</v>
      </c>
      <c r="AQ1996" s="1655">
        <f t="shared" si="1635"/>
        <v>0</v>
      </c>
    </row>
    <row r="1997" spans="2:43" ht="14.4" hidden="1" customHeight="1" thickTop="1" x14ac:dyDescent="0.2">
      <c r="B1997" s="1584" t="s">
        <v>795</v>
      </c>
      <c r="C1997" s="1581">
        <f>+C1587</f>
        <v>0</v>
      </c>
      <c r="D1997" s="1194"/>
      <c r="E1997" s="1194"/>
      <c r="F1997" s="1194"/>
      <c r="G1997" s="1194" t="s">
        <v>247</v>
      </c>
      <c r="H1997" s="1194" t="s">
        <v>691</v>
      </c>
      <c r="I1997" s="1668">
        <f t="shared" ref="I1997:T1997" si="1636">+I1588</f>
        <v>0</v>
      </c>
      <c r="J1997" s="1668">
        <f t="shared" si="1636"/>
        <v>0</v>
      </c>
      <c r="K1997" s="1668">
        <f t="shared" si="1636"/>
        <v>0</v>
      </c>
      <c r="L1997" s="1668">
        <f t="shared" si="1636"/>
        <v>0</v>
      </c>
      <c r="M1997" s="1668">
        <f t="shared" si="1636"/>
        <v>0</v>
      </c>
      <c r="N1997" s="1668">
        <f t="shared" si="1636"/>
        <v>0</v>
      </c>
      <c r="O1997" s="1668">
        <f t="shared" si="1636"/>
        <v>0</v>
      </c>
      <c r="P1997" s="1668">
        <f t="shared" si="1636"/>
        <v>0</v>
      </c>
      <c r="Q1997" s="1668">
        <f t="shared" si="1636"/>
        <v>0</v>
      </c>
      <c r="R1997" s="1668">
        <f t="shared" si="1636"/>
        <v>0</v>
      </c>
      <c r="S1997" s="1668">
        <f t="shared" si="1636"/>
        <v>0</v>
      </c>
      <c r="T1997" s="1704">
        <f t="shared" si="1636"/>
        <v>0</v>
      </c>
      <c r="Y1997" s="1722" t="s">
        <v>795</v>
      </c>
      <c r="Z1997" s="1581">
        <f>+Z1587</f>
        <v>0</v>
      </c>
      <c r="AA1997" s="1194"/>
      <c r="AB1997" s="1194"/>
      <c r="AC1997" s="1194"/>
      <c r="AD1997" s="1194">
        <f t="shared" ref="AD1997:AE1999" si="1637">+AC1810</f>
        <v>0</v>
      </c>
      <c r="AE1997" s="1194">
        <f t="shared" si="1637"/>
        <v>0</v>
      </c>
      <c r="AF1997" s="1668">
        <f t="shared" ref="AF1997:AQ1997" si="1638">+AF1588</f>
        <v>0</v>
      </c>
      <c r="AG1997" s="1668">
        <f t="shared" si="1638"/>
        <v>0</v>
      </c>
      <c r="AH1997" s="1668">
        <f t="shared" si="1638"/>
        <v>0</v>
      </c>
      <c r="AI1997" s="1668">
        <f t="shared" si="1638"/>
        <v>0</v>
      </c>
      <c r="AJ1997" s="1668">
        <f t="shared" si="1638"/>
        <v>0</v>
      </c>
      <c r="AK1997" s="1668">
        <f t="shared" si="1638"/>
        <v>0</v>
      </c>
      <c r="AL1997" s="1668">
        <f t="shared" si="1638"/>
        <v>0</v>
      </c>
      <c r="AM1997" s="1668">
        <f t="shared" si="1638"/>
        <v>0</v>
      </c>
      <c r="AN1997" s="1668">
        <f t="shared" si="1638"/>
        <v>0</v>
      </c>
      <c r="AO1997" s="1668">
        <f t="shared" si="1638"/>
        <v>0</v>
      </c>
      <c r="AP1997" s="1668">
        <f t="shared" si="1638"/>
        <v>0</v>
      </c>
      <c r="AQ1997" s="1704">
        <f t="shared" si="1638"/>
        <v>0</v>
      </c>
    </row>
    <row r="1998" spans="2:43" ht="13.75" hidden="1" customHeight="1" x14ac:dyDescent="0.2">
      <c r="B1998" s="1594"/>
      <c r="C1998" s="193"/>
      <c r="D1998" s="193"/>
      <c r="E1998" s="193"/>
      <c r="F1998" s="193"/>
      <c r="G1998" s="193" t="s">
        <v>344</v>
      </c>
      <c r="H1998" s="193" t="s">
        <v>693</v>
      </c>
      <c r="I1998" s="1283">
        <f t="shared" ref="I1998:T1998" si="1639">+I1589</f>
        <v>0</v>
      </c>
      <c r="J1998" s="1283">
        <f t="shared" si="1639"/>
        <v>0</v>
      </c>
      <c r="K1998" s="1283">
        <f t="shared" si="1639"/>
        <v>0</v>
      </c>
      <c r="L1998" s="1283">
        <f t="shared" si="1639"/>
        <v>0</v>
      </c>
      <c r="M1998" s="1283">
        <f t="shared" si="1639"/>
        <v>0</v>
      </c>
      <c r="N1998" s="1283">
        <f t="shared" si="1639"/>
        <v>0</v>
      </c>
      <c r="O1998" s="1283">
        <f t="shared" si="1639"/>
        <v>0</v>
      </c>
      <c r="P1998" s="1283">
        <f t="shared" si="1639"/>
        <v>0</v>
      </c>
      <c r="Q1998" s="1283">
        <f t="shared" si="1639"/>
        <v>0</v>
      </c>
      <c r="R1998" s="1283">
        <f t="shared" si="1639"/>
        <v>0</v>
      </c>
      <c r="S1998" s="1283">
        <f t="shared" si="1639"/>
        <v>0</v>
      </c>
      <c r="T1998" s="1601">
        <f t="shared" si="1639"/>
        <v>0</v>
      </c>
      <c r="Y1998" s="1594"/>
      <c r="Z1998" s="193"/>
      <c r="AA1998" s="193"/>
      <c r="AB1998" s="193"/>
      <c r="AC1998" s="193"/>
      <c r="AD1998" s="193">
        <f t="shared" si="1637"/>
        <v>0</v>
      </c>
      <c r="AE1998" s="193">
        <f t="shared" si="1637"/>
        <v>0</v>
      </c>
      <c r="AF1998" s="1283">
        <f t="shared" ref="AF1998:AQ1998" si="1640">+AF1589</f>
        <v>0</v>
      </c>
      <c r="AG1998" s="1283">
        <f t="shared" si="1640"/>
        <v>0</v>
      </c>
      <c r="AH1998" s="1283">
        <f t="shared" si="1640"/>
        <v>0</v>
      </c>
      <c r="AI1998" s="1283">
        <f t="shared" si="1640"/>
        <v>0</v>
      </c>
      <c r="AJ1998" s="1283">
        <f t="shared" si="1640"/>
        <v>0</v>
      </c>
      <c r="AK1998" s="1283">
        <f t="shared" si="1640"/>
        <v>0</v>
      </c>
      <c r="AL1998" s="1283">
        <f t="shared" si="1640"/>
        <v>0</v>
      </c>
      <c r="AM1998" s="1283">
        <f t="shared" si="1640"/>
        <v>0</v>
      </c>
      <c r="AN1998" s="1283">
        <f t="shared" si="1640"/>
        <v>0</v>
      </c>
      <c r="AO1998" s="1283">
        <f t="shared" si="1640"/>
        <v>0</v>
      </c>
      <c r="AP1998" s="1283">
        <f t="shared" si="1640"/>
        <v>0</v>
      </c>
      <c r="AQ1998" s="1601">
        <f t="shared" si="1640"/>
        <v>0</v>
      </c>
    </row>
    <row r="1999" spans="2:43" ht="14.4" hidden="1" customHeight="1" thickBot="1" x14ac:dyDescent="0.25">
      <c r="B1999" s="1596"/>
      <c r="C1999" s="1199"/>
      <c r="D1999" s="1199"/>
      <c r="E1999" s="1199"/>
      <c r="F1999" s="1199"/>
      <c r="G1999" s="1199" t="s">
        <v>344</v>
      </c>
      <c r="H1999" s="1199" t="s">
        <v>694</v>
      </c>
      <c r="I1999" s="1590">
        <f t="shared" ref="I1999:T1999" si="1641">+I1590</f>
        <v>0</v>
      </c>
      <c r="J1999" s="1590">
        <f t="shared" si="1641"/>
        <v>0</v>
      </c>
      <c r="K1999" s="1590">
        <f t="shared" si="1641"/>
        <v>0</v>
      </c>
      <c r="L1999" s="1590">
        <f t="shared" si="1641"/>
        <v>0</v>
      </c>
      <c r="M1999" s="1590">
        <f t="shared" si="1641"/>
        <v>0</v>
      </c>
      <c r="N1999" s="1590">
        <f t="shared" si="1641"/>
        <v>0</v>
      </c>
      <c r="O1999" s="1590">
        <f t="shared" si="1641"/>
        <v>0</v>
      </c>
      <c r="P1999" s="1590">
        <f t="shared" si="1641"/>
        <v>0</v>
      </c>
      <c r="Q1999" s="1590">
        <f t="shared" si="1641"/>
        <v>0</v>
      </c>
      <c r="R1999" s="1590">
        <f t="shared" si="1641"/>
        <v>0</v>
      </c>
      <c r="S1999" s="1590">
        <f t="shared" si="1641"/>
        <v>0</v>
      </c>
      <c r="T1999" s="1655">
        <f t="shared" si="1641"/>
        <v>0</v>
      </c>
      <c r="Y1999" s="1596"/>
      <c r="Z1999" s="1199"/>
      <c r="AA1999" s="1199"/>
      <c r="AB1999" s="1199"/>
      <c r="AC1999" s="1199"/>
      <c r="AD1999" s="1199">
        <f t="shared" si="1637"/>
        <v>0</v>
      </c>
      <c r="AE1999" s="1199">
        <f t="shared" si="1637"/>
        <v>0</v>
      </c>
      <c r="AF1999" s="1590">
        <f t="shared" ref="AF1999:AQ1999" si="1642">+AF1590</f>
        <v>0</v>
      </c>
      <c r="AG1999" s="1590">
        <f t="shared" si="1642"/>
        <v>0</v>
      </c>
      <c r="AH1999" s="1590">
        <f t="shared" si="1642"/>
        <v>0</v>
      </c>
      <c r="AI1999" s="1590">
        <f t="shared" si="1642"/>
        <v>0</v>
      </c>
      <c r="AJ1999" s="1590">
        <f t="shared" si="1642"/>
        <v>0</v>
      </c>
      <c r="AK1999" s="1590">
        <f t="shared" si="1642"/>
        <v>0</v>
      </c>
      <c r="AL1999" s="1590">
        <f t="shared" si="1642"/>
        <v>0</v>
      </c>
      <c r="AM1999" s="1590">
        <f t="shared" si="1642"/>
        <v>0</v>
      </c>
      <c r="AN1999" s="1590">
        <f t="shared" si="1642"/>
        <v>0</v>
      </c>
      <c r="AO1999" s="1590">
        <f t="shared" si="1642"/>
        <v>0</v>
      </c>
      <c r="AP1999" s="1590">
        <f t="shared" si="1642"/>
        <v>0</v>
      </c>
      <c r="AQ1999" s="1655">
        <f t="shared" si="1642"/>
        <v>0</v>
      </c>
    </row>
    <row r="2000" spans="2:43" ht="14.4" hidden="1" customHeight="1" thickTop="1" x14ac:dyDescent="0.2">
      <c r="B2000" s="1584" t="s">
        <v>2019</v>
      </c>
      <c r="C2000" s="1194" t="s">
        <v>2018</v>
      </c>
      <c r="D2000" s="1194"/>
      <c r="E2000" s="1194"/>
      <c r="F2000" s="1194"/>
      <c r="G2000" s="1194"/>
      <c r="H2000" s="1210"/>
      <c r="I2000" s="1194"/>
      <c r="J2000" s="1194"/>
      <c r="K2000" s="1194"/>
      <c r="L2000" s="1194"/>
      <c r="M2000" s="1194"/>
      <c r="N2000" s="1194"/>
      <c r="O2000" s="1194"/>
      <c r="P2000" s="1194"/>
      <c r="Q2000" s="1194"/>
      <c r="R2000" s="1194"/>
      <c r="S2000" s="1194"/>
      <c r="T2000" s="1599"/>
      <c r="Y2000" s="1584" t="s">
        <v>2019</v>
      </c>
      <c r="Z2000" s="1194" t="s">
        <v>2018</v>
      </c>
      <c r="AA2000" s="1194"/>
      <c r="AB2000" s="1194"/>
      <c r="AC2000" s="1194"/>
      <c r="AD2000" s="1194"/>
      <c r="AE2000" s="1210"/>
      <c r="AF2000" s="1194"/>
      <c r="AG2000" s="1194"/>
      <c r="AH2000" s="1194"/>
      <c r="AI2000" s="1194"/>
      <c r="AJ2000" s="1194"/>
      <c r="AK2000" s="1194"/>
      <c r="AL2000" s="1194"/>
      <c r="AM2000" s="1194"/>
      <c r="AN2000" s="1194"/>
      <c r="AO2000" s="1194"/>
      <c r="AP2000" s="1194"/>
      <c r="AQ2000" s="1599"/>
    </row>
    <row r="2001" spans="2:43" ht="13.75" hidden="1" customHeight="1" x14ac:dyDescent="0.2">
      <c r="B2001" s="1195" t="s">
        <v>2021</v>
      </c>
      <c r="C2001" s="193">
        <f t="shared" ref="C2001:C2014" si="1643">+C1966</f>
        <v>5</v>
      </c>
      <c r="D2001" s="193"/>
      <c r="E2001" s="254"/>
      <c r="F2001" s="193"/>
      <c r="G2001" s="193"/>
      <c r="H2001" s="254"/>
      <c r="I2001" s="1705">
        <f>SUMIF($V$414:$V$447,$B1642&amp;"propia",I$414:I$447)</f>
        <v>0</v>
      </c>
      <c r="J2001" s="1705">
        <f t="shared" ref="J2001:T2001" si="1644">SUMIF($V$414:$V$447,$B1642&amp;"propia",J$414:J$447)</f>
        <v>0</v>
      </c>
      <c r="K2001" s="1705">
        <f t="shared" si="1644"/>
        <v>0</v>
      </c>
      <c r="L2001" s="1705">
        <f t="shared" si="1644"/>
        <v>0</v>
      </c>
      <c r="M2001" s="1705">
        <f t="shared" si="1644"/>
        <v>0</v>
      </c>
      <c r="N2001" s="1705">
        <f t="shared" si="1644"/>
        <v>0</v>
      </c>
      <c r="O2001" s="1705">
        <f t="shared" si="1644"/>
        <v>0</v>
      </c>
      <c r="P2001" s="1705">
        <f t="shared" si="1644"/>
        <v>0</v>
      </c>
      <c r="Q2001" s="1705">
        <f t="shared" si="1644"/>
        <v>0</v>
      </c>
      <c r="R2001" s="1705">
        <f t="shared" si="1644"/>
        <v>0</v>
      </c>
      <c r="S2001" s="1705">
        <f t="shared" si="1644"/>
        <v>0</v>
      </c>
      <c r="T2001" s="1705">
        <f t="shared" si="1644"/>
        <v>0</v>
      </c>
      <c r="Y2001" s="1195" t="s">
        <v>2021</v>
      </c>
      <c r="Z2001" s="193">
        <f t="shared" ref="Z2001:Z2029" si="1645">+Z1966</f>
        <v>5</v>
      </c>
      <c r="AA2001" s="193"/>
      <c r="AB2001" s="254"/>
      <c r="AC2001" s="193"/>
      <c r="AD2001" s="193"/>
      <c r="AE2001" s="254"/>
      <c r="AF2001" s="1705">
        <f>SUMIF($AS$414:$AS$447,$B1642&amp;"propia",AF$414:AF$447)</f>
        <v>0</v>
      </c>
      <c r="AG2001" s="1705">
        <f t="shared" ref="AG2001:AQ2001" si="1646">SUMIF($AS$414:$AS$447,$B1642&amp;"propia",AG$414:AG$447)</f>
        <v>0</v>
      </c>
      <c r="AH2001" s="1705">
        <f t="shared" si="1646"/>
        <v>0</v>
      </c>
      <c r="AI2001" s="1705">
        <f t="shared" si="1646"/>
        <v>0</v>
      </c>
      <c r="AJ2001" s="1705">
        <f t="shared" si="1646"/>
        <v>0</v>
      </c>
      <c r="AK2001" s="1705">
        <f t="shared" si="1646"/>
        <v>0</v>
      </c>
      <c r="AL2001" s="1705">
        <f t="shared" si="1646"/>
        <v>0</v>
      </c>
      <c r="AM2001" s="1705">
        <f t="shared" si="1646"/>
        <v>0</v>
      </c>
      <c r="AN2001" s="1705">
        <f t="shared" si="1646"/>
        <v>0</v>
      </c>
      <c r="AO2001" s="1705">
        <f t="shared" si="1646"/>
        <v>0</v>
      </c>
      <c r="AP2001" s="1705">
        <f t="shared" si="1646"/>
        <v>0</v>
      </c>
      <c r="AQ2001" s="1706">
        <f t="shared" si="1646"/>
        <v>0</v>
      </c>
    </row>
    <row r="2002" spans="2:43" ht="13.75" hidden="1" customHeight="1" x14ac:dyDescent="0.2">
      <c r="B2002" s="1195"/>
      <c r="C2002" s="193">
        <f t="shared" si="1643"/>
        <v>5</v>
      </c>
      <c r="D2002" s="193"/>
      <c r="E2002" s="254"/>
      <c r="F2002" s="193"/>
      <c r="G2002" s="193"/>
      <c r="H2002" s="254"/>
      <c r="I2002" s="1705">
        <f t="shared" ref="I2002:T2002" si="1647">SUMIF($V$414:$V$447,$B1643&amp;"propia",I$414:I$447)</f>
        <v>0</v>
      </c>
      <c r="J2002" s="1705">
        <f t="shared" si="1647"/>
        <v>0</v>
      </c>
      <c r="K2002" s="1705">
        <f t="shared" si="1647"/>
        <v>0</v>
      </c>
      <c r="L2002" s="1705">
        <f t="shared" si="1647"/>
        <v>0</v>
      </c>
      <c r="M2002" s="1705">
        <f t="shared" si="1647"/>
        <v>0</v>
      </c>
      <c r="N2002" s="1705">
        <f t="shared" si="1647"/>
        <v>0</v>
      </c>
      <c r="O2002" s="1705">
        <f t="shared" si="1647"/>
        <v>0</v>
      </c>
      <c r="P2002" s="1705">
        <f t="shared" si="1647"/>
        <v>0</v>
      </c>
      <c r="Q2002" s="1705">
        <f t="shared" si="1647"/>
        <v>0</v>
      </c>
      <c r="R2002" s="1705">
        <f t="shared" si="1647"/>
        <v>0</v>
      </c>
      <c r="S2002" s="1705">
        <f t="shared" si="1647"/>
        <v>0</v>
      </c>
      <c r="T2002" s="1705">
        <f t="shared" si="1647"/>
        <v>0</v>
      </c>
      <c r="Y2002" s="1195"/>
      <c r="Z2002" s="193">
        <f t="shared" si="1645"/>
        <v>5</v>
      </c>
      <c r="AA2002" s="193"/>
      <c r="AB2002" s="254"/>
      <c r="AC2002" s="193"/>
      <c r="AD2002" s="193"/>
      <c r="AE2002" s="254"/>
      <c r="AF2002" s="1707">
        <f t="shared" ref="AF2002:AQ2002" si="1648">SUMIF($AS$414:$AS$447,$B1643&amp;"propia",AF$414:AF$447)</f>
        <v>0</v>
      </c>
      <c r="AG2002" s="1707">
        <f t="shared" si="1648"/>
        <v>0</v>
      </c>
      <c r="AH2002" s="1707">
        <f t="shared" si="1648"/>
        <v>0</v>
      </c>
      <c r="AI2002" s="1707">
        <f t="shared" si="1648"/>
        <v>0</v>
      </c>
      <c r="AJ2002" s="1707">
        <f t="shared" si="1648"/>
        <v>0</v>
      </c>
      <c r="AK2002" s="1707">
        <f t="shared" si="1648"/>
        <v>0</v>
      </c>
      <c r="AL2002" s="1707">
        <f t="shared" si="1648"/>
        <v>0</v>
      </c>
      <c r="AM2002" s="1707">
        <f t="shared" si="1648"/>
        <v>0</v>
      </c>
      <c r="AN2002" s="1707">
        <f t="shared" si="1648"/>
        <v>0</v>
      </c>
      <c r="AO2002" s="1707">
        <f t="shared" si="1648"/>
        <v>0</v>
      </c>
      <c r="AP2002" s="1707">
        <f t="shared" si="1648"/>
        <v>0</v>
      </c>
      <c r="AQ2002" s="1708">
        <f t="shared" si="1648"/>
        <v>0</v>
      </c>
    </row>
    <row r="2003" spans="2:43" ht="13.75" hidden="1" customHeight="1" x14ac:dyDescent="0.2">
      <c r="B2003" s="1195"/>
      <c r="C2003" s="193">
        <f t="shared" si="1643"/>
        <v>1.5</v>
      </c>
      <c r="D2003" s="193"/>
      <c r="E2003" s="254"/>
      <c r="F2003" s="193"/>
      <c r="G2003" s="193"/>
      <c r="H2003" s="254"/>
      <c r="I2003" s="1705">
        <f t="shared" ref="I2003:T2003" si="1649">SUMIF($V$414:$V$447,$B1644&amp;"propia",I$414:I$447)</f>
        <v>0</v>
      </c>
      <c r="J2003" s="1705">
        <f t="shared" si="1649"/>
        <v>0</v>
      </c>
      <c r="K2003" s="1705">
        <f t="shared" si="1649"/>
        <v>0</v>
      </c>
      <c r="L2003" s="1705">
        <f t="shared" si="1649"/>
        <v>0</v>
      </c>
      <c r="M2003" s="1705">
        <f t="shared" si="1649"/>
        <v>0</v>
      </c>
      <c r="N2003" s="1705">
        <f t="shared" si="1649"/>
        <v>0</v>
      </c>
      <c r="O2003" s="1705">
        <f t="shared" si="1649"/>
        <v>0</v>
      </c>
      <c r="P2003" s="1705">
        <f t="shared" si="1649"/>
        <v>0</v>
      </c>
      <c r="Q2003" s="1705">
        <f t="shared" si="1649"/>
        <v>0</v>
      </c>
      <c r="R2003" s="1705">
        <f t="shared" si="1649"/>
        <v>0</v>
      </c>
      <c r="S2003" s="1705">
        <f t="shared" si="1649"/>
        <v>0</v>
      </c>
      <c r="T2003" s="1705">
        <f t="shared" si="1649"/>
        <v>0</v>
      </c>
      <c r="Y2003" s="1195"/>
      <c r="Z2003" s="193">
        <f t="shared" si="1645"/>
        <v>1.5</v>
      </c>
      <c r="AA2003" s="193"/>
      <c r="AB2003" s="254"/>
      <c r="AC2003" s="193"/>
      <c r="AD2003" s="193"/>
      <c r="AE2003" s="254"/>
      <c r="AF2003" s="1707">
        <f t="shared" ref="AF2003:AQ2003" si="1650">SUMIF($AS$414:$AS$447,$B1644&amp;"propia",AF$414:AF$447)</f>
        <v>0</v>
      </c>
      <c r="AG2003" s="1707">
        <f t="shared" si="1650"/>
        <v>0</v>
      </c>
      <c r="AH2003" s="1707">
        <f t="shared" si="1650"/>
        <v>0</v>
      </c>
      <c r="AI2003" s="1707">
        <f t="shared" si="1650"/>
        <v>0</v>
      </c>
      <c r="AJ2003" s="1707">
        <f t="shared" si="1650"/>
        <v>0</v>
      </c>
      <c r="AK2003" s="1707">
        <f t="shared" si="1650"/>
        <v>0</v>
      </c>
      <c r="AL2003" s="1707">
        <f t="shared" si="1650"/>
        <v>0</v>
      </c>
      <c r="AM2003" s="1707">
        <f t="shared" si="1650"/>
        <v>0</v>
      </c>
      <c r="AN2003" s="1707">
        <f t="shared" si="1650"/>
        <v>0</v>
      </c>
      <c r="AO2003" s="1707">
        <f t="shared" si="1650"/>
        <v>0</v>
      </c>
      <c r="AP2003" s="1707">
        <f t="shared" si="1650"/>
        <v>0</v>
      </c>
      <c r="AQ2003" s="1708">
        <f t="shared" si="1650"/>
        <v>0</v>
      </c>
    </row>
    <row r="2004" spans="2:43" ht="13.75" hidden="1" customHeight="1" x14ac:dyDescent="0.2">
      <c r="B2004" s="1195"/>
      <c r="C2004" s="193">
        <f t="shared" si="1643"/>
        <v>1.5</v>
      </c>
      <c r="D2004" s="193"/>
      <c r="E2004" s="254"/>
      <c r="F2004" s="193"/>
      <c r="G2004" s="193"/>
      <c r="H2004" s="254"/>
      <c r="I2004" s="1705">
        <f t="shared" ref="I2004:T2004" si="1651">SUMIF($V$414:$V$447,$B1645&amp;"propia",I$414:I$447)</f>
        <v>0</v>
      </c>
      <c r="J2004" s="1705">
        <f t="shared" si="1651"/>
        <v>0</v>
      </c>
      <c r="K2004" s="1705">
        <f t="shared" si="1651"/>
        <v>0</v>
      </c>
      <c r="L2004" s="1705">
        <f t="shared" si="1651"/>
        <v>0</v>
      </c>
      <c r="M2004" s="1705">
        <f t="shared" si="1651"/>
        <v>0</v>
      </c>
      <c r="N2004" s="1705">
        <f t="shared" si="1651"/>
        <v>0</v>
      </c>
      <c r="O2004" s="1705">
        <f t="shared" si="1651"/>
        <v>0</v>
      </c>
      <c r="P2004" s="1705">
        <f t="shared" si="1651"/>
        <v>0</v>
      </c>
      <c r="Q2004" s="1705">
        <f t="shared" si="1651"/>
        <v>0</v>
      </c>
      <c r="R2004" s="1705">
        <f t="shared" si="1651"/>
        <v>0</v>
      </c>
      <c r="S2004" s="1705">
        <f t="shared" si="1651"/>
        <v>0</v>
      </c>
      <c r="T2004" s="1705">
        <f t="shared" si="1651"/>
        <v>0</v>
      </c>
      <c r="Y2004" s="1195"/>
      <c r="Z2004" s="193">
        <f t="shared" si="1645"/>
        <v>1.5</v>
      </c>
      <c r="AA2004" s="193"/>
      <c r="AB2004" s="254"/>
      <c r="AC2004" s="193"/>
      <c r="AD2004" s="193"/>
      <c r="AE2004" s="254"/>
      <c r="AF2004" s="1707">
        <f t="shared" ref="AF2004:AQ2004" si="1652">SUMIF($AS$414:$AS$447,$B1645&amp;"propia",AF$414:AF$447)</f>
        <v>0</v>
      </c>
      <c r="AG2004" s="1707">
        <f t="shared" si="1652"/>
        <v>0</v>
      </c>
      <c r="AH2004" s="1707">
        <f t="shared" si="1652"/>
        <v>0</v>
      </c>
      <c r="AI2004" s="1707">
        <f t="shared" si="1652"/>
        <v>0</v>
      </c>
      <c r="AJ2004" s="1707">
        <f t="shared" si="1652"/>
        <v>0</v>
      </c>
      <c r="AK2004" s="1707">
        <f t="shared" si="1652"/>
        <v>0</v>
      </c>
      <c r="AL2004" s="1707">
        <f t="shared" si="1652"/>
        <v>0</v>
      </c>
      <c r="AM2004" s="1707">
        <f t="shared" si="1652"/>
        <v>0</v>
      </c>
      <c r="AN2004" s="1707">
        <f t="shared" si="1652"/>
        <v>0</v>
      </c>
      <c r="AO2004" s="1707">
        <f t="shared" si="1652"/>
        <v>0</v>
      </c>
      <c r="AP2004" s="1707">
        <f t="shared" si="1652"/>
        <v>0</v>
      </c>
      <c r="AQ2004" s="1708">
        <f t="shared" si="1652"/>
        <v>0</v>
      </c>
    </row>
    <row r="2005" spans="2:43" ht="13.75" hidden="1" customHeight="1" x14ac:dyDescent="0.2">
      <c r="B2005" s="1195"/>
      <c r="C2005" s="193">
        <f t="shared" si="1643"/>
        <v>3</v>
      </c>
      <c r="D2005" s="193"/>
      <c r="E2005" s="254"/>
      <c r="F2005" s="193"/>
      <c r="G2005" s="193"/>
      <c r="H2005" s="254"/>
      <c r="I2005" s="1705">
        <f t="shared" ref="I2005:T2005" si="1653">SUMIF($V$414:$V$447,$B1646&amp;"propia",I$414:I$447)</f>
        <v>0</v>
      </c>
      <c r="J2005" s="1705">
        <f t="shared" si="1653"/>
        <v>0</v>
      </c>
      <c r="K2005" s="1705">
        <f t="shared" si="1653"/>
        <v>0</v>
      </c>
      <c r="L2005" s="1705">
        <f t="shared" si="1653"/>
        <v>0</v>
      </c>
      <c r="M2005" s="1705">
        <f t="shared" si="1653"/>
        <v>0</v>
      </c>
      <c r="N2005" s="1705">
        <f t="shared" si="1653"/>
        <v>0</v>
      </c>
      <c r="O2005" s="1705">
        <f t="shared" si="1653"/>
        <v>0</v>
      </c>
      <c r="P2005" s="1705">
        <f t="shared" si="1653"/>
        <v>0</v>
      </c>
      <c r="Q2005" s="1705">
        <f t="shared" si="1653"/>
        <v>0</v>
      </c>
      <c r="R2005" s="1705">
        <f t="shared" si="1653"/>
        <v>0</v>
      </c>
      <c r="S2005" s="1705">
        <f t="shared" si="1653"/>
        <v>0</v>
      </c>
      <c r="T2005" s="1705">
        <f t="shared" si="1653"/>
        <v>0</v>
      </c>
      <c r="Y2005" s="1195"/>
      <c r="Z2005" s="193">
        <f t="shared" si="1645"/>
        <v>3</v>
      </c>
      <c r="AA2005" s="193"/>
      <c r="AB2005" s="254"/>
      <c r="AC2005" s="193"/>
      <c r="AD2005" s="193"/>
      <c r="AE2005" s="254"/>
      <c r="AF2005" s="1707">
        <f t="shared" ref="AF2005:AQ2005" si="1654">SUMIF($AS$414:$AS$447,$B1646&amp;"propia",AF$414:AF$447)</f>
        <v>0</v>
      </c>
      <c r="AG2005" s="1707">
        <f t="shared" si="1654"/>
        <v>0</v>
      </c>
      <c r="AH2005" s="1707">
        <f t="shared" si="1654"/>
        <v>0</v>
      </c>
      <c r="AI2005" s="1707">
        <f t="shared" si="1654"/>
        <v>0</v>
      </c>
      <c r="AJ2005" s="1707">
        <f t="shared" si="1654"/>
        <v>0</v>
      </c>
      <c r="AK2005" s="1707">
        <f t="shared" si="1654"/>
        <v>0</v>
      </c>
      <c r="AL2005" s="1707">
        <f t="shared" si="1654"/>
        <v>0</v>
      </c>
      <c r="AM2005" s="1707">
        <f t="shared" si="1654"/>
        <v>0</v>
      </c>
      <c r="AN2005" s="1707">
        <f t="shared" si="1654"/>
        <v>0</v>
      </c>
      <c r="AO2005" s="1707">
        <f t="shared" si="1654"/>
        <v>0</v>
      </c>
      <c r="AP2005" s="1707">
        <f t="shared" si="1654"/>
        <v>0</v>
      </c>
      <c r="AQ2005" s="1708">
        <f t="shared" si="1654"/>
        <v>0</v>
      </c>
    </row>
    <row r="2006" spans="2:43" ht="13.75" hidden="1" customHeight="1" x14ac:dyDescent="0.2">
      <c r="B2006" s="1195"/>
      <c r="C2006" s="193">
        <f t="shared" si="1643"/>
        <v>3</v>
      </c>
      <c r="D2006" s="193"/>
      <c r="E2006" s="254"/>
      <c r="F2006" s="193"/>
      <c r="G2006" s="193"/>
      <c r="H2006" s="254"/>
      <c r="I2006" s="1705">
        <f t="shared" ref="I2006:T2006" si="1655">SUMIF($V$414:$V$447,$B1647&amp;"propia",I$414:I$447)</f>
        <v>0</v>
      </c>
      <c r="J2006" s="1705">
        <f t="shared" si="1655"/>
        <v>0</v>
      </c>
      <c r="K2006" s="1705">
        <f t="shared" si="1655"/>
        <v>0</v>
      </c>
      <c r="L2006" s="1705">
        <f t="shared" si="1655"/>
        <v>0</v>
      </c>
      <c r="M2006" s="1705">
        <f t="shared" si="1655"/>
        <v>0</v>
      </c>
      <c r="N2006" s="1705">
        <f t="shared" si="1655"/>
        <v>0</v>
      </c>
      <c r="O2006" s="1705">
        <f t="shared" si="1655"/>
        <v>0</v>
      </c>
      <c r="P2006" s="1705">
        <f t="shared" si="1655"/>
        <v>0</v>
      </c>
      <c r="Q2006" s="1705">
        <f t="shared" si="1655"/>
        <v>0</v>
      </c>
      <c r="R2006" s="1705">
        <f t="shared" si="1655"/>
        <v>0</v>
      </c>
      <c r="S2006" s="1705">
        <f t="shared" si="1655"/>
        <v>0</v>
      </c>
      <c r="T2006" s="1705">
        <f t="shared" si="1655"/>
        <v>0</v>
      </c>
      <c r="Y2006" s="1195"/>
      <c r="Z2006" s="193">
        <f t="shared" si="1645"/>
        <v>3</v>
      </c>
      <c r="AA2006" s="193"/>
      <c r="AB2006" s="254"/>
      <c r="AC2006" s="193"/>
      <c r="AD2006" s="193"/>
      <c r="AE2006" s="254"/>
      <c r="AF2006" s="1707">
        <f t="shared" ref="AF2006:AQ2006" si="1656">SUMIF($AS$414:$AS$447,$B1647&amp;"propia",AF$414:AF$447)</f>
        <v>0</v>
      </c>
      <c r="AG2006" s="1707">
        <f t="shared" si="1656"/>
        <v>0</v>
      </c>
      <c r="AH2006" s="1707">
        <f t="shared" si="1656"/>
        <v>0</v>
      </c>
      <c r="AI2006" s="1707">
        <f t="shared" si="1656"/>
        <v>0</v>
      </c>
      <c r="AJ2006" s="1707">
        <f t="shared" si="1656"/>
        <v>0</v>
      </c>
      <c r="AK2006" s="1707">
        <f t="shared" si="1656"/>
        <v>0</v>
      </c>
      <c r="AL2006" s="1707">
        <f t="shared" si="1656"/>
        <v>0</v>
      </c>
      <c r="AM2006" s="1707">
        <f t="shared" si="1656"/>
        <v>0</v>
      </c>
      <c r="AN2006" s="1707">
        <f t="shared" si="1656"/>
        <v>0</v>
      </c>
      <c r="AO2006" s="1707">
        <f t="shared" si="1656"/>
        <v>0</v>
      </c>
      <c r="AP2006" s="1707">
        <f t="shared" si="1656"/>
        <v>0</v>
      </c>
      <c r="AQ2006" s="1708">
        <f t="shared" si="1656"/>
        <v>0</v>
      </c>
    </row>
    <row r="2007" spans="2:43" ht="13.75" hidden="1" customHeight="1" x14ac:dyDescent="0.2">
      <c r="B2007" s="1195"/>
      <c r="C2007" s="193">
        <f t="shared" si="1643"/>
        <v>9</v>
      </c>
      <c r="D2007" s="193"/>
      <c r="E2007" s="254"/>
      <c r="F2007" s="193"/>
      <c r="G2007" s="193"/>
      <c r="H2007" s="254"/>
      <c r="I2007" s="1705">
        <f t="shared" ref="I2007:T2007" si="1657">SUMIF($V$414:$V$447,$B1648&amp;"propia",I$414:I$447)</f>
        <v>0</v>
      </c>
      <c r="J2007" s="1705">
        <f t="shared" si="1657"/>
        <v>0</v>
      </c>
      <c r="K2007" s="1705">
        <f t="shared" si="1657"/>
        <v>0</v>
      </c>
      <c r="L2007" s="1705">
        <f t="shared" si="1657"/>
        <v>0</v>
      </c>
      <c r="M2007" s="1705">
        <f t="shared" si="1657"/>
        <v>0</v>
      </c>
      <c r="N2007" s="1705">
        <f t="shared" si="1657"/>
        <v>0</v>
      </c>
      <c r="O2007" s="1705">
        <f t="shared" si="1657"/>
        <v>0</v>
      </c>
      <c r="P2007" s="1705">
        <f t="shared" si="1657"/>
        <v>0</v>
      </c>
      <c r="Q2007" s="1705">
        <f t="shared" si="1657"/>
        <v>0</v>
      </c>
      <c r="R2007" s="1705">
        <f t="shared" si="1657"/>
        <v>0</v>
      </c>
      <c r="S2007" s="1705">
        <f t="shared" si="1657"/>
        <v>0</v>
      </c>
      <c r="T2007" s="1705">
        <f t="shared" si="1657"/>
        <v>0</v>
      </c>
      <c r="Y2007" s="1195"/>
      <c r="Z2007" s="193">
        <f t="shared" si="1645"/>
        <v>9</v>
      </c>
      <c r="AA2007" s="193"/>
      <c r="AB2007" s="254"/>
      <c r="AC2007" s="193"/>
      <c r="AD2007" s="193"/>
      <c r="AE2007" s="254"/>
      <c r="AF2007" s="1707">
        <f t="shared" ref="AF2007:AQ2007" si="1658">SUMIF($AS$414:$AS$447,$B1648&amp;"propia",AF$414:AF$447)</f>
        <v>0</v>
      </c>
      <c r="AG2007" s="1707">
        <f t="shared" si="1658"/>
        <v>0</v>
      </c>
      <c r="AH2007" s="1707">
        <f t="shared" si="1658"/>
        <v>0</v>
      </c>
      <c r="AI2007" s="1707">
        <f t="shared" si="1658"/>
        <v>0</v>
      </c>
      <c r="AJ2007" s="1707">
        <f t="shared" si="1658"/>
        <v>0</v>
      </c>
      <c r="AK2007" s="1707">
        <f t="shared" si="1658"/>
        <v>0</v>
      </c>
      <c r="AL2007" s="1707">
        <f t="shared" si="1658"/>
        <v>0</v>
      </c>
      <c r="AM2007" s="1707">
        <f t="shared" si="1658"/>
        <v>0</v>
      </c>
      <c r="AN2007" s="1707">
        <f t="shared" si="1658"/>
        <v>0</v>
      </c>
      <c r="AO2007" s="1707">
        <f t="shared" si="1658"/>
        <v>0</v>
      </c>
      <c r="AP2007" s="1707">
        <f t="shared" si="1658"/>
        <v>0</v>
      </c>
      <c r="AQ2007" s="1708">
        <f t="shared" si="1658"/>
        <v>0</v>
      </c>
    </row>
    <row r="2008" spans="2:43" ht="13.75" hidden="1" customHeight="1" x14ac:dyDescent="0.2">
      <c r="B2008" s="1195"/>
      <c r="C2008" s="193">
        <f t="shared" si="1643"/>
        <v>0</v>
      </c>
      <c r="D2008" s="193"/>
      <c r="E2008" s="254"/>
      <c r="F2008" s="193"/>
      <c r="G2008" s="193"/>
      <c r="H2008" s="254"/>
      <c r="I2008" s="1705">
        <f t="shared" ref="I2008:T2008" si="1659">SUMIF($V$414:$V$447,$B1649&amp;"propia",I$414:I$447)</f>
        <v>0</v>
      </c>
      <c r="J2008" s="1705">
        <f t="shared" si="1659"/>
        <v>0</v>
      </c>
      <c r="K2008" s="1705">
        <f t="shared" si="1659"/>
        <v>0</v>
      </c>
      <c r="L2008" s="1705">
        <f t="shared" si="1659"/>
        <v>0</v>
      </c>
      <c r="M2008" s="1705">
        <f t="shared" si="1659"/>
        <v>0</v>
      </c>
      <c r="N2008" s="1705">
        <f t="shared" si="1659"/>
        <v>0</v>
      </c>
      <c r="O2008" s="1705">
        <f t="shared" si="1659"/>
        <v>0</v>
      </c>
      <c r="P2008" s="1705">
        <f t="shared" si="1659"/>
        <v>0</v>
      </c>
      <c r="Q2008" s="1705">
        <f t="shared" si="1659"/>
        <v>0</v>
      </c>
      <c r="R2008" s="1705">
        <f t="shared" si="1659"/>
        <v>0</v>
      </c>
      <c r="S2008" s="1705">
        <f t="shared" si="1659"/>
        <v>0</v>
      </c>
      <c r="T2008" s="1705">
        <f t="shared" si="1659"/>
        <v>0</v>
      </c>
      <c r="Y2008" s="1195"/>
      <c r="Z2008" s="193">
        <f t="shared" si="1645"/>
        <v>0</v>
      </c>
      <c r="AA2008" s="193"/>
      <c r="AB2008" s="254"/>
      <c r="AC2008" s="193"/>
      <c r="AD2008" s="193"/>
      <c r="AE2008" s="254"/>
      <c r="AF2008" s="1707">
        <f t="shared" ref="AF2008:AQ2008" si="1660">SUMIF($AS$414:$AS$447,$B1649&amp;"propia",AF$414:AF$447)</f>
        <v>0</v>
      </c>
      <c r="AG2008" s="1707">
        <f t="shared" si="1660"/>
        <v>0</v>
      </c>
      <c r="AH2008" s="1707">
        <f t="shared" si="1660"/>
        <v>0</v>
      </c>
      <c r="AI2008" s="1707">
        <f t="shared" si="1660"/>
        <v>0</v>
      </c>
      <c r="AJ2008" s="1707">
        <f t="shared" si="1660"/>
        <v>0</v>
      </c>
      <c r="AK2008" s="1707">
        <f t="shared" si="1660"/>
        <v>0</v>
      </c>
      <c r="AL2008" s="1707">
        <f t="shared" si="1660"/>
        <v>0</v>
      </c>
      <c r="AM2008" s="1707">
        <f t="shared" si="1660"/>
        <v>0</v>
      </c>
      <c r="AN2008" s="1707">
        <f t="shared" si="1660"/>
        <v>0</v>
      </c>
      <c r="AO2008" s="1707">
        <f t="shared" si="1660"/>
        <v>0</v>
      </c>
      <c r="AP2008" s="1707">
        <f t="shared" si="1660"/>
        <v>0</v>
      </c>
      <c r="AQ2008" s="1708">
        <f t="shared" si="1660"/>
        <v>0</v>
      </c>
    </row>
    <row r="2009" spans="2:43" ht="13.75" hidden="1" customHeight="1" x14ac:dyDescent="0.2">
      <c r="B2009" s="1195"/>
      <c r="C2009" s="193">
        <f t="shared" si="1643"/>
        <v>0</v>
      </c>
      <c r="D2009" s="193"/>
      <c r="E2009" s="254"/>
      <c r="F2009" s="193"/>
      <c r="G2009" s="193"/>
      <c r="H2009" s="254"/>
      <c r="I2009" s="1705">
        <f t="shared" ref="I2009:T2009" si="1661">SUMIF($V$414:$V$447,$B1650&amp;"propia",I$414:I$447)</f>
        <v>0</v>
      </c>
      <c r="J2009" s="1705">
        <f t="shared" si="1661"/>
        <v>0</v>
      </c>
      <c r="K2009" s="1705">
        <f t="shared" si="1661"/>
        <v>0</v>
      </c>
      <c r="L2009" s="1705">
        <f t="shared" si="1661"/>
        <v>0</v>
      </c>
      <c r="M2009" s="1705">
        <f t="shared" si="1661"/>
        <v>0</v>
      </c>
      <c r="N2009" s="1705">
        <f t="shared" si="1661"/>
        <v>0</v>
      </c>
      <c r="O2009" s="1705">
        <f t="shared" si="1661"/>
        <v>0</v>
      </c>
      <c r="P2009" s="1705">
        <f t="shared" si="1661"/>
        <v>0</v>
      </c>
      <c r="Q2009" s="1705">
        <f t="shared" si="1661"/>
        <v>0</v>
      </c>
      <c r="R2009" s="1705">
        <f t="shared" si="1661"/>
        <v>0</v>
      </c>
      <c r="S2009" s="1705">
        <f t="shared" si="1661"/>
        <v>0</v>
      </c>
      <c r="T2009" s="1705">
        <f t="shared" si="1661"/>
        <v>0</v>
      </c>
      <c r="Y2009" s="1195"/>
      <c r="Z2009" s="193">
        <f t="shared" si="1645"/>
        <v>0</v>
      </c>
      <c r="AA2009" s="193"/>
      <c r="AB2009" s="254"/>
      <c r="AC2009" s="193"/>
      <c r="AD2009" s="193"/>
      <c r="AE2009" s="254"/>
      <c r="AF2009" s="1707">
        <f t="shared" ref="AF2009:AQ2009" si="1662">SUMIF($AS$414:$AS$447,$B1650&amp;"propia",AF$414:AF$447)</f>
        <v>0</v>
      </c>
      <c r="AG2009" s="1707">
        <f t="shared" si="1662"/>
        <v>0</v>
      </c>
      <c r="AH2009" s="1707">
        <f t="shared" si="1662"/>
        <v>0</v>
      </c>
      <c r="AI2009" s="1707">
        <f t="shared" si="1662"/>
        <v>0</v>
      </c>
      <c r="AJ2009" s="1707">
        <f t="shared" si="1662"/>
        <v>0</v>
      </c>
      <c r="AK2009" s="1707">
        <f t="shared" si="1662"/>
        <v>0</v>
      </c>
      <c r="AL2009" s="1707">
        <f t="shared" si="1662"/>
        <v>0</v>
      </c>
      <c r="AM2009" s="1707">
        <f t="shared" si="1662"/>
        <v>0</v>
      </c>
      <c r="AN2009" s="1707">
        <f t="shared" si="1662"/>
        <v>0</v>
      </c>
      <c r="AO2009" s="1707">
        <f t="shared" si="1662"/>
        <v>0</v>
      </c>
      <c r="AP2009" s="1707">
        <f t="shared" si="1662"/>
        <v>0</v>
      </c>
      <c r="AQ2009" s="1708">
        <f t="shared" si="1662"/>
        <v>0</v>
      </c>
    </row>
    <row r="2010" spans="2:43" ht="13.75" hidden="1" customHeight="1" x14ac:dyDescent="0.2">
      <c r="B2010" s="1195"/>
      <c r="C2010" s="193">
        <f t="shared" si="1643"/>
        <v>0</v>
      </c>
      <c r="D2010" s="193"/>
      <c r="E2010" s="254"/>
      <c r="F2010" s="193"/>
      <c r="G2010" s="193"/>
      <c r="H2010" s="254"/>
      <c r="I2010" s="1705">
        <f t="shared" ref="I2010:T2010" si="1663">SUMIF($V$414:$V$447,$B1651&amp;"propia",I$414:I$447)</f>
        <v>0</v>
      </c>
      <c r="J2010" s="1705">
        <f t="shared" si="1663"/>
        <v>0</v>
      </c>
      <c r="K2010" s="1705">
        <f t="shared" si="1663"/>
        <v>0</v>
      </c>
      <c r="L2010" s="1705">
        <f t="shared" si="1663"/>
        <v>0</v>
      </c>
      <c r="M2010" s="1705">
        <f t="shared" si="1663"/>
        <v>0</v>
      </c>
      <c r="N2010" s="1705">
        <f t="shared" si="1663"/>
        <v>0</v>
      </c>
      <c r="O2010" s="1705">
        <f t="shared" si="1663"/>
        <v>0</v>
      </c>
      <c r="P2010" s="1705">
        <f t="shared" si="1663"/>
        <v>0</v>
      </c>
      <c r="Q2010" s="1705">
        <f t="shared" si="1663"/>
        <v>0</v>
      </c>
      <c r="R2010" s="1705">
        <f t="shared" si="1663"/>
        <v>0</v>
      </c>
      <c r="S2010" s="1705">
        <f t="shared" si="1663"/>
        <v>0</v>
      </c>
      <c r="T2010" s="1705">
        <f t="shared" si="1663"/>
        <v>0</v>
      </c>
      <c r="Y2010" s="1195"/>
      <c r="Z2010" s="193">
        <f t="shared" si="1645"/>
        <v>0</v>
      </c>
      <c r="AA2010" s="193"/>
      <c r="AB2010" s="254"/>
      <c r="AC2010" s="193"/>
      <c r="AD2010" s="193"/>
      <c r="AE2010" s="254"/>
      <c r="AF2010" s="1707">
        <f t="shared" ref="AF2010:AQ2010" si="1664">SUMIF($AS$414:$AS$447,$B1651&amp;"propia",AF$414:AF$447)</f>
        <v>0</v>
      </c>
      <c r="AG2010" s="1707">
        <f t="shared" si="1664"/>
        <v>0</v>
      </c>
      <c r="AH2010" s="1707">
        <f t="shared" si="1664"/>
        <v>0</v>
      </c>
      <c r="AI2010" s="1707">
        <f t="shared" si="1664"/>
        <v>0</v>
      </c>
      <c r="AJ2010" s="1707">
        <f t="shared" si="1664"/>
        <v>0</v>
      </c>
      <c r="AK2010" s="1707">
        <f t="shared" si="1664"/>
        <v>0</v>
      </c>
      <c r="AL2010" s="1707">
        <f t="shared" si="1664"/>
        <v>0</v>
      </c>
      <c r="AM2010" s="1707">
        <f t="shared" si="1664"/>
        <v>0</v>
      </c>
      <c r="AN2010" s="1707">
        <f t="shared" si="1664"/>
        <v>0</v>
      </c>
      <c r="AO2010" s="1707">
        <f t="shared" si="1664"/>
        <v>0</v>
      </c>
      <c r="AP2010" s="1707">
        <f t="shared" si="1664"/>
        <v>0</v>
      </c>
      <c r="AQ2010" s="1708">
        <f t="shared" si="1664"/>
        <v>0</v>
      </c>
    </row>
    <row r="2011" spans="2:43" ht="13.75" hidden="1" customHeight="1" x14ac:dyDescent="0.2">
      <c r="B2011" s="1195"/>
      <c r="C2011" s="193">
        <f t="shared" si="1643"/>
        <v>0</v>
      </c>
      <c r="D2011" s="193"/>
      <c r="E2011" s="254"/>
      <c r="F2011" s="193"/>
      <c r="G2011" s="193"/>
      <c r="H2011" s="254"/>
      <c r="I2011" s="1705">
        <f t="shared" ref="I2011:T2011" si="1665">SUMIF($V$414:$V$447,$B1652&amp;"propia",I$414:I$447)</f>
        <v>0</v>
      </c>
      <c r="J2011" s="1705">
        <f t="shared" si="1665"/>
        <v>0</v>
      </c>
      <c r="K2011" s="1705">
        <f t="shared" si="1665"/>
        <v>0</v>
      </c>
      <c r="L2011" s="1705">
        <f t="shared" si="1665"/>
        <v>0</v>
      </c>
      <c r="M2011" s="1705">
        <f t="shared" si="1665"/>
        <v>0</v>
      </c>
      <c r="N2011" s="1705">
        <f t="shared" si="1665"/>
        <v>0</v>
      </c>
      <c r="O2011" s="1705">
        <f t="shared" si="1665"/>
        <v>0</v>
      </c>
      <c r="P2011" s="1705">
        <f t="shared" si="1665"/>
        <v>0</v>
      </c>
      <c r="Q2011" s="1705">
        <f t="shared" si="1665"/>
        <v>0</v>
      </c>
      <c r="R2011" s="1705">
        <f t="shared" si="1665"/>
        <v>0</v>
      </c>
      <c r="S2011" s="1705">
        <f t="shared" si="1665"/>
        <v>0</v>
      </c>
      <c r="T2011" s="1705">
        <f t="shared" si="1665"/>
        <v>0</v>
      </c>
      <c r="Y2011" s="1195"/>
      <c r="Z2011" s="193">
        <f t="shared" si="1645"/>
        <v>0</v>
      </c>
      <c r="AA2011" s="193"/>
      <c r="AB2011" s="254"/>
      <c r="AC2011" s="193"/>
      <c r="AD2011" s="193"/>
      <c r="AE2011" s="254"/>
      <c r="AF2011" s="1707">
        <f t="shared" ref="AF2011:AQ2011" si="1666">SUMIF($AS$414:$AS$447,$B1652&amp;"propia",AF$414:AF$447)</f>
        <v>0</v>
      </c>
      <c r="AG2011" s="1707">
        <f t="shared" si="1666"/>
        <v>0</v>
      </c>
      <c r="AH2011" s="1707">
        <f t="shared" si="1666"/>
        <v>0</v>
      </c>
      <c r="AI2011" s="1707">
        <f t="shared" si="1666"/>
        <v>0</v>
      </c>
      <c r="AJ2011" s="1707">
        <f t="shared" si="1666"/>
        <v>0</v>
      </c>
      <c r="AK2011" s="1707">
        <f t="shared" si="1666"/>
        <v>0</v>
      </c>
      <c r="AL2011" s="1707">
        <f t="shared" si="1666"/>
        <v>0</v>
      </c>
      <c r="AM2011" s="1707">
        <f t="shared" si="1666"/>
        <v>0</v>
      </c>
      <c r="AN2011" s="1707">
        <f t="shared" si="1666"/>
        <v>0</v>
      </c>
      <c r="AO2011" s="1707">
        <f t="shared" si="1666"/>
        <v>0</v>
      </c>
      <c r="AP2011" s="1707">
        <f t="shared" si="1666"/>
        <v>0</v>
      </c>
      <c r="AQ2011" s="1708">
        <f t="shared" si="1666"/>
        <v>0</v>
      </c>
    </row>
    <row r="2012" spans="2:43" ht="13.75" hidden="1" customHeight="1" x14ac:dyDescent="0.2">
      <c r="B2012" s="1195"/>
      <c r="C2012" s="193">
        <f t="shared" si="1643"/>
        <v>0</v>
      </c>
      <c r="D2012" s="193"/>
      <c r="E2012" s="254"/>
      <c r="F2012" s="193"/>
      <c r="G2012" s="193"/>
      <c r="H2012" s="254"/>
      <c r="I2012" s="1705">
        <f t="shared" ref="I2012:T2012" si="1667">SUMIF($V$414:$V$447,$B1653&amp;"propia",I$414:I$447)</f>
        <v>0</v>
      </c>
      <c r="J2012" s="1705">
        <f t="shared" si="1667"/>
        <v>0</v>
      </c>
      <c r="K2012" s="1705">
        <f t="shared" si="1667"/>
        <v>0</v>
      </c>
      <c r="L2012" s="1705">
        <f t="shared" si="1667"/>
        <v>0</v>
      </c>
      <c r="M2012" s="1705">
        <f t="shared" si="1667"/>
        <v>0</v>
      </c>
      <c r="N2012" s="1705">
        <f t="shared" si="1667"/>
        <v>0</v>
      </c>
      <c r="O2012" s="1705">
        <f t="shared" si="1667"/>
        <v>0</v>
      </c>
      <c r="P2012" s="1705">
        <f t="shared" si="1667"/>
        <v>0</v>
      </c>
      <c r="Q2012" s="1705">
        <f t="shared" si="1667"/>
        <v>0</v>
      </c>
      <c r="R2012" s="1705">
        <f t="shared" si="1667"/>
        <v>0</v>
      </c>
      <c r="S2012" s="1705">
        <f t="shared" si="1667"/>
        <v>0</v>
      </c>
      <c r="T2012" s="1705">
        <f t="shared" si="1667"/>
        <v>0</v>
      </c>
      <c r="Y2012" s="1195"/>
      <c r="Z2012" s="193">
        <f t="shared" si="1645"/>
        <v>0</v>
      </c>
      <c r="AA2012" s="193"/>
      <c r="AB2012" s="254"/>
      <c r="AC2012" s="193"/>
      <c r="AD2012" s="193"/>
      <c r="AE2012" s="254"/>
      <c r="AF2012" s="1707">
        <f t="shared" ref="AF2012:AQ2012" si="1668">SUMIF($AS$414:$AS$447,$B1653&amp;"propia",AF$414:AF$447)</f>
        <v>0</v>
      </c>
      <c r="AG2012" s="1707">
        <f t="shared" si="1668"/>
        <v>0</v>
      </c>
      <c r="AH2012" s="1707">
        <f t="shared" si="1668"/>
        <v>0</v>
      </c>
      <c r="AI2012" s="1707">
        <f t="shared" si="1668"/>
        <v>0</v>
      </c>
      <c r="AJ2012" s="1707">
        <f t="shared" si="1668"/>
        <v>0</v>
      </c>
      <c r="AK2012" s="1707">
        <f t="shared" si="1668"/>
        <v>0</v>
      </c>
      <c r="AL2012" s="1707">
        <f t="shared" si="1668"/>
        <v>0</v>
      </c>
      <c r="AM2012" s="1707">
        <f t="shared" si="1668"/>
        <v>0</v>
      </c>
      <c r="AN2012" s="1707">
        <f t="shared" si="1668"/>
        <v>0</v>
      </c>
      <c r="AO2012" s="1707">
        <f t="shared" si="1668"/>
        <v>0</v>
      </c>
      <c r="AP2012" s="1707">
        <f t="shared" si="1668"/>
        <v>0</v>
      </c>
      <c r="AQ2012" s="1708">
        <f t="shared" si="1668"/>
        <v>0</v>
      </c>
    </row>
    <row r="2013" spans="2:43" ht="13.75" hidden="1" customHeight="1" x14ac:dyDescent="0.2">
      <c r="B2013" s="1195"/>
      <c r="C2013" s="193">
        <f t="shared" si="1643"/>
        <v>0</v>
      </c>
      <c r="D2013" s="193"/>
      <c r="E2013" s="254"/>
      <c r="F2013" s="193"/>
      <c r="G2013" s="193"/>
      <c r="H2013" s="254"/>
      <c r="I2013" s="1705">
        <f t="shared" ref="I2013:T2013" si="1669">SUMIF($V$414:$V$447,$B1654&amp;"propia",I$414:I$447)</f>
        <v>0</v>
      </c>
      <c r="J2013" s="1705">
        <f t="shared" si="1669"/>
        <v>0</v>
      </c>
      <c r="K2013" s="1705">
        <f t="shared" si="1669"/>
        <v>0</v>
      </c>
      <c r="L2013" s="1705">
        <f t="shared" si="1669"/>
        <v>0</v>
      </c>
      <c r="M2013" s="1705">
        <f t="shared" si="1669"/>
        <v>0</v>
      </c>
      <c r="N2013" s="1705">
        <f t="shared" si="1669"/>
        <v>0</v>
      </c>
      <c r="O2013" s="1705">
        <f t="shared" si="1669"/>
        <v>0</v>
      </c>
      <c r="P2013" s="1705">
        <f t="shared" si="1669"/>
        <v>0</v>
      </c>
      <c r="Q2013" s="1705">
        <f t="shared" si="1669"/>
        <v>0</v>
      </c>
      <c r="R2013" s="1705">
        <f t="shared" si="1669"/>
        <v>0</v>
      </c>
      <c r="S2013" s="1705">
        <f t="shared" si="1669"/>
        <v>0</v>
      </c>
      <c r="T2013" s="1705">
        <f t="shared" si="1669"/>
        <v>0</v>
      </c>
      <c r="Y2013" s="1195"/>
      <c r="Z2013" s="193">
        <f t="shared" si="1645"/>
        <v>0</v>
      </c>
      <c r="AA2013" s="193"/>
      <c r="AB2013" s="254"/>
      <c r="AC2013" s="193"/>
      <c r="AD2013" s="193"/>
      <c r="AE2013" s="254"/>
      <c r="AF2013" s="1707">
        <f t="shared" ref="AF2013:AQ2013" si="1670">SUMIF($AS$414:$AS$447,$B1654&amp;"propia",AF$414:AF$447)</f>
        <v>0</v>
      </c>
      <c r="AG2013" s="1707">
        <f t="shared" si="1670"/>
        <v>0</v>
      </c>
      <c r="AH2013" s="1707">
        <f t="shared" si="1670"/>
        <v>0</v>
      </c>
      <c r="AI2013" s="1707">
        <f t="shared" si="1670"/>
        <v>0</v>
      </c>
      <c r="AJ2013" s="1707">
        <f t="shared" si="1670"/>
        <v>0</v>
      </c>
      <c r="AK2013" s="1707">
        <f t="shared" si="1670"/>
        <v>0</v>
      </c>
      <c r="AL2013" s="1707">
        <f t="shared" si="1670"/>
        <v>0</v>
      </c>
      <c r="AM2013" s="1707">
        <f t="shared" si="1670"/>
        <v>0</v>
      </c>
      <c r="AN2013" s="1707">
        <f t="shared" si="1670"/>
        <v>0</v>
      </c>
      <c r="AO2013" s="1707">
        <f t="shared" si="1670"/>
        <v>0</v>
      </c>
      <c r="AP2013" s="1707">
        <f t="shared" si="1670"/>
        <v>0</v>
      </c>
      <c r="AQ2013" s="1708">
        <f t="shared" si="1670"/>
        <v>0</v>
      </c>
    </row>
    <row r="2014" spans="2:43" ht="14.4" hidden="1" customHeight="1" thickBot="1" x14ac:dyDescent="0.25">
      <c r="B2014" s="1198"/>
      <c r="C2014" s="1199">
        <f t="shared" si="1643"/>
        <v>0</v>
      </c>
      <c r="D2014" s="1199"/>
      <c r="E2014" s="1209"/>
      <c r="F2014" s="1199"/>
      <c r="G2014" s="1199"/>
      <c r="H2014" s="1209"/>
      <c r="I2014" s="1705">
        <f t="shared" ref="I2014:T2014" si="1671">SUMIF($V$414:$V$447,$B1655&amp;"propia",I$414:I$447)</f>
        <v>0</v>
      </c>
      <c r="J2014" s="1705">
        <f t="shared" si="1671"/>
        <v>0</v>
      </c>
      <c r="K2014" s="1705">
        <f t="shared" si="1671"/>
        <v>0</v>
      </c>
      <c r="L2014" s="1705">
        <f t="shared" si="1671"/>
        <v>0</v>
      </c>
      <c r="M2014" s="1705">
        <f t="shared" si="1671"/>
        <v>0</v>
      </c>
      <c r="N2014" s="1705">
        <f t="shared" si="1671"/>
        <v>0</v>
      </c>
      <c r="O2014" s="1705">
        <f t="shared" si="1671"/>
        <v>0</v>
      </c>
      <c r="P2014" s="1705">
        <f t="shared" si="1671"/>
        <v>0</v>
      </c>
      <c r="Q2014" s="1705">
        <f t="shared" si="1671"/>
        <v>0</v>
      </c>
      <c r="R2014" s="1705">
        <f t="shared" si="1671"/>
        <v>0</v>
      </c>
      <c r="S2014" s="1705">
        <f t="shared" si="1671"/>
        <v>0</v>
      </c>
      <c r="T2014" s="1705">
        <f t="shared" si="1671"/>
        <v>0</v>
      </c>
      <c r="Y2014" s="1198"/>
      <c r="Z2014" s="1199">
        <f t="shared" si="1645"/>
        <v>0</v>
      </c>
      <c r="AA2014" s="1199"/>
      <c r="AB2014" s="1209"/>
      <c r="AC2014" s="1199"/>
      <c r="AD2014" s="1199"/>
      <c r="AE2014" s="1209"/>
      <c r="AF2014" s="1709">
        <f t="shared" ref="AF2014:AQ2014" si="1672">SUMIF($AS$414:$AS$447,$B1655&amp;"propia",AF$414:AF$447)</f>
        <v>0</v>
      </c>
      <c r="AG2014" s="1709">
        <f t="shared" si="1672"/>
        <v>0</v>
      </c>
      <c r="AH2014" s="1709">
        <f t="shared" si="1672"/>
        <v>0</v>
      </c>
      <c r="AI2014" s="1709">
        <f t="shared" si="1672"/>
        <v>0</v>
      </c>
      <c r="AJ2014" s="1709">
        <f t="shared" si="1672"/>
        <v>0</v>
      </c>
      <c r="AK2014" s="1709">
        <f t="shared" si="1672"/>
        <v>0</v>
      </c>
      <c r="AL2014" s="1709">
        <f t="shared" si="1672"/>
        <v>0</v>
      </c>
      <c r="AM2014" s="1709">
        <f t="shared" si="1672"/>
        <v>0</v>
      </c>
      <c r="AN2014" s="1709">
        <f t="shared" si="1672"/>
        <v>0</v>
      </c>
      <c r="AO2014" s="1709">
        <f t="shared" si="1672"/>
        <v>0</v>
      </c>
      <c r="AP2014" s="1709">
        <f t="shared" si="1672"/>
        <v>0</v>
      </c>
      <c r="AQ2014" s="1710">
        <f t="shared" si="1672"/>
        <v>0</v>
      </c>
    </row>
    <row r="2015" spans="2:43" ht="14.4" hidden="1" customHeight="1" thickTop="1" x14ac:dyDescent="0.2">
      <c r="B2015" s="1584" t="s">
        <v>2020</v>
      </c>
      <c r="C2015" s="1194" t="s">
        <v>2018</v>
      </c>
      <c r="D2015" s="1194"/>
      <c r="E2015" s="1210"/>
      <c r="F2015" s="1194"/>
      <c r="G2015" s="1194"/>
      <c r="H2015" s="1210"/>
      <c r="I2015" s="1210"/>
      <c r="J2015" s="1210"/>
      <c r="K2015" s="1210"/>
      <c r="L2015" s="1210"/>
      <c r="M2015" s="1210"/>
      <c r="N2015" s="1210"/>
      <c r="O2015" s="1210"/>
      <c r="P2015" s="1210"/>
      <c r="Q2015" s="1210"/>
      <c r="R2015" s="1210"/>
      <c r="S2015" s="1210"/>
      <c r="T2015" s="1585"/>
      <c r="Y2015" s="1584" t="s">
        <v>2020</v>
      </c>
      <c r="Z2015" s="1194" t="str">
        <f t="shared" si="1645"/>
        <v>Gasoli (Litros/unidad)</v>
      </c>
      <c r="AA2015" s="1194"/>
      <c r="AB2015" s="1210"/>
      <c r="AC2015" s="1194"/>
      <c r="AD2015" s="1194"/>
      <c r="AE2015" s="1210"/>
      <c r="AF2015" s="1210"/>
      <c r="AG2015" s="1210"/>
      <c r="AH2015" s="1210"/>
      <c r="AI2015" s="1210"/>
      <c r="AJ2015" s="1210"/>
      <c r="AK2015" s="1210"/>
      <c r="AL2015" s="1210"/>
      <c r="AM2015" s="1210"/>
      <c r="AN2015" s="1210"/>
      <c r="AO2015" s="1210"/>
      <c r="AP2015" s="1210"/>
      <c r="AQ2015" s="1585"/>
    </row>
    <row r="2016" spans="2:43" ht="13.75" hidden="1" customHeight="1" x14ac:dyDescent="0.2">
      <c r="B2016" s="1195" t="s">
        <v>2022</v>
      </c>
      <c r="C2016" s="193">
        <f t="shared" ref="C2016:C2029" si="1673">+C1981</f>
        <v>5</v>
      </c>
      <c r="D2016" s="193"/>
      <c r="E2016" s="254"/>
      <c r="F2016" s="193"/>
      <c r="G2016" s="193"/>
      <c r="H2016" s="254"/>
      <c r="I2016" s="1705">
        <f>SUMIF($V$414:$V$447,$B1657&amp;"contratada",I$414:I$447)</f>
        <v>0</v>
      </c>
      <c r="J2016" s="1705">
        <f t="shared" ref="J2016:T2016" si="1674">SUMIF($V$414:$V$447,$B1657&amp;"contratada",J$414:J$447)</f>
        <v>0</v>
      </c>
      <c r="K2016" s="1705">
        <f t="shared" si="1674"/>
        <v>0</v>
      </c>
      <c r="L2016" s="1705">
        <f t="shared" si="1674"/>
        <v>0</v>
      </c>
      <c r="M2016" s="1705">
        <f t="shared" si="1674"/>
        <v>0</v>
      </c>
      <c r="N2016" s="1705">
        <f t="shared" si="1674"/>
        <v>0</v>
      </c>
      <c r="O2016" s="1705">
        <f t="shared" si="1674"/>
        <v>0</v>
      </c>
      <c r="P2016" s="1705">
        <f t="shared" si="1674"/>
        <v>0</v>
      </c>
      <c r="Q2016" s="1705">
        <f t="shared" si="1674"/>
        <v>0</v>
      </c>
      <c r="R2016" s="1705">
        <f t="shared" si="1674"/>
        <v>0</v>
      </c>
      <c r="S2016" s="1705">
        <f t="shared" si="1674"/>
        <v>0</v>
      </c>
      <c r="T2016" s="1706">
        <f t="shared" si="1674"/>
        <v>0</v>
      </c>
      <c r="Y2016" s="1195" t="s">
        <v>2022</v>
      </c>
      <c r="Z2016" s="193">
        <f t="shared" si="1645"/>
        <v>5</v>
      </c>
      <c r="AA2016" s="193"/>
      <c r="AB2016" s="254"/>
      <c r="AC2016" s="193"/>
      <c r="AD2016" s="193"/>
      <c r="AE2016" s="254"/>
      <c r="AF2016" s="1705">
        <f>SUMIF($AS$414:$AS$447,$B1657&amp;"contratada",AF$414:AF$447)</f>
        <v>0</v>
      </c>
      <c r="AG2016" s="1705">
        <f t="shared" ref="AG2016:AQ2016" si="1675">SUMIF($AS$414:$AS$447,$B1657&amp;"contratada",AG$414:AG$447)</f>
        <v>0</v>
      </c>
      <c r="AH2016" s="1705">
        <f t="shared" si="1675"/>
        <v>0</v>
      </c>
      <c r="AI2016" s="1705">
        <f t="shared" si="1675"/>
        <v>0</v>
      </c>
      <c r="AJ2016" s="1705">
        <f t="shared" si="1675"/>
        <v>0</v>
      </c>
      <c r="AK2016" s="1705">
        <f t="shared" si="1675"/>
        <v>0</v>
      </c>
      <c r="AL2016" s="1705">
        <f t="shared" si="1675"/>
        <v>0</v>
      </c>
      <c r="AM2016" s="1705">
        <f t="shared" si="1675"/>
        <v>0</v>
      </c>
      <c r="AN2016" s="1705">
        <f t="shared" si="1675"/>
        <v>0</v>
      </c>
      <c r="AO2016" s="1705">
        <f t="shared" si="1675"/>
        <v>0</v>
      </c>
      <c r="AP2016" s="1705">
        <f t="shared" si="1675"/>
        <v>0</v>
      </c>
      <c r="AQ2016" s="1706">
        <f t="shared" si="1675"/>
        <v>0</v>
      </c>
    </row>
    <row r="2017" spans="2:43" ht="13.75" hidden="1" customHeight="1" x14ac:dyDescent="0.2">
      <c r="B2017" s="1195"/>
      <c r="C2017" s="193">
        <f t="shared" si="1673"/>
        <v>5</v>
      </c>
      <c r="D2017" s="193"/>
      <c r="E2017" s="254"/>
      <c r="F2017" s="193"/>
      <c r="G2017" s="193"/>
      <c r="H2017" s="254"/>
      <c r="I2017" s="1707">
        <f t="shared" ref="I2017:T2017" si="1676">SUMIF($V$414:$V$447,$B1658&amp;"contratada",I$414:I$447)</f>
        <v>0</v>
      </c>
      <c r="J2017" s="1707">
        <f t="shared" si="1676"/>
        <v>0</v>
      </c>
      <c r="K2017" s="1707">
        <f t="shared" si="1676"/>
        <v>0</v>
      </c>
      <c r="L2017" s="1707">
        <f t="shared" si="1676"/>
        <v>0</v>
      </c>
      <c r="M2017" s="1707">
        <f t="shared" si="1676"/>
        <v>0</v>
      </c>
      <c r="N2017" s="1707">
        <f t="shared" si="1676"/>
        <v>0</v>
      </c>
      <c r="O2017" s="1707">
        <f t="shared" si="1676"/>
        <v>0</v>
      </c>
      <c r="P2017" s="1707">
        <f t="shared" si="1676"/>
        <v>0</v>
      </c>
      <c r="Q2017" s="1707">
        <f t="shared" si="1676"/>
        <v>0</v>
      </c>
      <c r="R2017" s="1707">
        <f t="shared" si="1676"/>
        <v>0</v>
      </c>
      <c r="S2017" s="1707">
        <f t="shared" si="1676"/>
        <v>0</v>
      </c>
      <c r="T2017" s="1708">
        <f t="shared" si="1676"/>
        <v>0</v>
      </c>
      <c r="Y2017" s="1195"/>
      <c r="Z2017" s="193">
        <f t="shared" si="1645"/>
        <v>5</v>
      </c>
      <c r="AA2017" s="193"/>
      <c r="AB2017" s="254"/>
      <c r="AC2017" s="193"/>
      <c r="AD2017" s="193"/>
      <c r="AE2017" s="254"/>
      <c r="AF2017" s="1707">
        <f t="shared" ref="AF2017:AQ2017" si="1677">SUMIF($AS$414:$AS$447,$B1658&amp;"contratada",AF$414:AF$447)</f>
        <v>0</v>
      </c>
      <c r="AG2017" s="1707">
        <f t="shared" si="1677"/>
        <v>0</v>
      </c>
      <c r="AH2017" s="1707">
        <f t="shared" si="1677"/>
        <v>0</v>
      </c>
      <c r="AI2017" s="1707">
        <f t="shared" si="1677"/>
        <v>0</v>
      </c>
      <c r="AJ2017" s="1707">
        <f t="shared" si="1677"/>
        <v>0</v>
      </c>
      <c r="AK2017" s="1707">
        <f t="shared" si="1677"/>
        <v>0</v>
      </c>
      <c r="AL2017" s="1707">
        <f t="shared" si="1677"/>
        <v>0</v>
      </c>
      <c r="AM2017" s="1707">
        <f t="shared" si="1677"/>
        <v>0</v>
      </c>
      <c r="AN2017" s="1707">
        <f t="shared" si="1677"/>
        <v>0</v>
      </c>
      <c r="AO2017" s="1707">
        <f t="shared" si="1677"/>
        <v>0</v>
      </c>
      <c r="AP2017" s="1707">
        <f t="shared" si="1677"/>
        <v>0</v>
      </c>
      <c r="AQ2017" s="1708">
        <f t="shared" si="1677"/>
        <v>0</v>
      </c>
    </row>
    <row r="2018" spans="2:43" ht="13.75" hidden="1" customHeight="1" x14ac:dyDescent="0.2">
      <c r="B2018" s="1195"/>
      <c r="C2018" s="193">
        <f t="shared" si="1673"/>
        <v>1.5</v>
      </c>
      <c r="D2018" s="193"/>
      <c r="E2018" s="254"/>
      <c r="F2018" s="193"/>
      <c r="G2018" s="193"/>
      <c r="H2018" s="254"/>
      <c r="I2018" s="1707">
        <f t="shared" ref="I2018:T2018" si="1678">SUMIF($V$414:$V$447,$B1659&amp;"contratada",I$414:I$447)</f>
        <v>0</v>
      </c>
      <c r="J2018" s="1707">
        <f t="shared" si="1678"/>
        <v>0</v>
      </c>
      <c r="K2018" s="1707">
        <f t="shared" si="1678"/>
        <v>0</v>
      </c>
      <c r="L2018" s="1707">
        <f t="shared" si="1678"/>
        <v>0</v>
      </c>
      <c r="M2018" s="1707">
        <f t="shared" si="1678"/>
        <v>0</v>
      </c>
      <c r="N2018" s="1707">
        <f t="shared" si="1678"/>
        <v>0</v>
      </c>
      <c r="O2018" s="1707">
        <f t="shared" si="1678"/>
        <v>0</v>
      </c>
      <c r="P2018" s="1707">
        <f t="shared" si="1678"/>
        <v>0</v>
      </c>
      <c r="Q2018" s="1707">
        <f t="shared" si="1678"/>
        <v>0</v>
      </c>
      <c r="R2018" s="1707">
        <f t="shared" si="1678"/>
        <v>0</v>
      </c>
      <c r="S2018" s="1707">
        <f t="shared" si="1678"/>
        <v>0</v>
      </c>
      <c r="T2018" s="1708">
        <f t="shared" si="1678"/>
        <v>0</v>
      </c>
      <c r="Y2018" s="1195"/>
      <c r="Z2018" s="193">
        <f t="shared" si="1645"/>
        <v>1.5</v>
      </c>
      <c r="AA2018" s="193"/>
      <c r="AB2018" s="254"/>
      <c r="AC2018" s="193"/>
      <c r="AD2018" s="193"/>
      <c r="AE2018" s="254"/>
      <c r="AF2018" s="1707">
        <f t="shared" ref="AF2018:AQ2018" si="1679">SUMIF($AS$414:$AS$447,$B1659&amp;"contratada",AF$414:AF$447)</f>
        <v>0</v>
      </c>
      <c r="AG2018" s="1707">
        <f t="shared" si="1679"/>
        <v>0</v>
      </c>
      <c r="AH2018" s="1707">
        <f t="shared" si="1679"/>
        <v>0</v>
      </c>
      <c r="AI2018" s="1707">
        <f t="shared" si="1679"/>
        <v>0</v>
      </c>
      <c r="AJ2018" s="1707">
        <f t="shared" si="1679"/>
        <v>0</v>
      </c>
      <c r="AK2018" s="1707">
        <f t="shared" si="1679"/>
        <v>0</v>
      </c>
      <c r="AL2018" s="1707">
        <f t="shared" si="1679"/>
        <v>0</v>
      </c>
      <c r="AM2018" s="1707">
        <f t="shared" si="1679"/>
        <v>0</v>
      </c>
      <c r="AN2018" s="1707">
        <f t="shared" si="1679"/>
        <v>0</v>
      </c>
      <c r="AO2018" s="1707">
        <f t="shared" si="1679"/>
        <v>0</v>
      </c>
      <c r="AP2018" s="1707">
        <f t="shared" si="1679"/>
        <v>0</v>
      </c>
      <c r="AQ2018" s="1708">
        <f t="shared" si="1679"/>
        <v>0</v>
      </c>
    </row>
    <row r="2019" spans="2:43" ht="13.75" hidden="1" customHeight="1" x14ac:dyDescent="0.2">
      <c r="B2019" s="1195"/>
      <c r="C2019" s="193">
        <f t="shared" si="1673"/>
        <v>1.5</v>
      </c>
      <c r="D2019" s="193"/>
      <c r="E2019" s="254"/>
      <c r="F2019" s="193"/>
      <c r="G2019" s="193"/>
      <c r="H2019" s="254"/>
      <c r="I2019" s="1707">
        <f t="shared" ref="I2019:T2019" si="1680">SUMIF($V$414:$V$447,$B1660&amp;"contratada",I$414:I$447)</f>
        <v>0</v>
      </c>
      <c r="J2019" s="1707">
        <f t="shared" si="1680"/>
        <v>0</v>
      </c>
      <c r="K2019" s="1707">
        <f t="shared" si="1680"/>
        <v>0</v>
      </c>
      <c r="L2019" s="1707">
        <f t="shared" si="1680"/>
        <v>0</v>
      </c>
      <c r="M2019" s="1707">
        <f t="shared" si="1680"/>
        <v>0</v>
      </c>
      <c r="N2019" s="1707">
        <f t="shared" si="1680"/>
        <v>0</v>
      </c>
      <c r="O2019" s="1707">
        <f t="shared" si="1680"/>
        <v>0</v>
      </c>
      <c r="P2019" s="1707">
        <f t="shared" si="1680"/>
        <v>0</v>
      </c>
      <c r="Q2019" s="1707">
        <f t="shared" si="1680"/>
        <v>0</v>
      </c>
      <c r="R2019" s="1707">
        <f t="shared" si="1680"/>
        <v>0</v>
      </c>
      <c r="S2019" s="1707">
        <f t="shared" si="1680"/>
        <v>0</v>
      </c>
      <c r="T2019" s="1708">
        <f t="shared" si="1680"/>
        <v>0</v>
      </c>
      <c r="Y2019" s="1195"/>
      <c r="Z2019" s="193">
        <f t="shared" si="1645"/>
        <v>1.5</v>
      </c>
      <c r="AA2019" s="193"/>
      <c r="AB2019" s="254"/>
      <c r="AC2019" s="193"/>
      <c r="AD2019" s="193"/>
      <c r="AE2019" s="254"/>
      <c r="AF2019" s="1707">
        <f t="shared" ref="AF2019:AQ2019" si="1681">SUMIF($AS$414:$AS$447,$B1660&amp;"contratada",AF$414:AF$447)</f>
        <v>0</v>
      </c>
      <c r="AG2019" s="1707">
        <f t="shared" si="1681"/>
        <v>0</v>
      </c>
      <c r="AH2019" s="1707">
        <f t="shared" si="1681"/>
        <v>0</v>
      </c>
      <c r="AI2019" s="1707">
        <f t="shared" si="1681"/>
        <v>0</v>
      </c>
      <c r="AJ2019" s="1707">
        <f t="shared" si="1681"/>
        <v>0</v>
      </c>
      <c r="AK2019" s="1707">
        <f t="shared" si="1681"/>
        <v>0</v>
      </c>
      <c r="AL2019" s="1707">
        <f t="shared" si="1681"/>
        <v>0</v>
      </c>
      <c r="AM2019" s="1707">
        <f t="shared" si="1681"/>
        <v>0</v>
      </c>
      <c r="AN2019" s="1707">
        <f t="shared" si="1681"/>
        <v>0</v>
      </c>
      <c r="AO2019" s="1707">
        <f t="shared" si="1681"/>
        <v>0</v>
      </c>
      <c r="AP2019" s="1707">
        <f t="shared" si="1681"/>
        <v>0</v>
      </c>
      <c r="AQ2019" s="1708">
        <f t="shared" si="1681"/>
        <v>0</v>
      </c>
    </row>
    <row r="2020" spans="2:43" ht="13.75" hidden="1" customHeight="1" x14ac:dyDescent="0.2">
      <c r="B2020" s="1195"/>
      <c r="C2020" s="193">
        <f t="shared" si="1673"/>
        <v>3</v>
      </c>
      <c r="D2020" s="193"/>
      <c r="E2020" s="254"/>
      <c r="F2020" s="193"/>
      <c r="G2020" s="193"/>
      <c r="H2020" s="254"/>
      <c r="I2020" s="1707">
        <f t="shared" ref="I2020:T2020" si="1682">SUMIF($V$414:$V$447,$B1661&amp;"contratada",I$414:I$447)</f>
        <v>0</v>
      </c>
      <c r="J2020" s="1707">
        <f t="shared" si="1682"/>
        <v>0</v>
      </c>
      <c r="K2020" s="1707">
        <f t="shared" si="1682"/>
        <v>0</v>
      </c>
      <c r="L2020" s="1707">
        <f t="shared" si="1682"/>
        <v>0</v>
      </c>
      <c r="M2020" s="1707">
        <f t="shared" si="1682"/>
        <v>0</v>
      </c>
      <c r="N2020" s="1707">
        <f t="shared" si="1682"/>
        <v>0</v>
      </c>
      <c r="O2020" s="1707">
        <f t="shared" si="1682"/>
        <v>0</v>
      </c>
      <c r="P2020" s="1707">
        <f t="shared" si="1682"/>
        <v>0</v>
      </c>
      <c r="Q2020" s="1707">
        <f t="shared" si="1682"/>
        <v>0</v>
      </c>
      <c r="R2020" s="1707">
        <f t="shared" si="1682"/>
        <v>0</v>
      </c>
      <c r="S2020" s="1707">
        <f t="shared" si="1682"/>
        <v>0</v>
      </c>
      <c r="T2020" s="1708">
        <f t="shared" si="1682"/>
        <v>0</v>
      </c>
      <c r="Y2020" s="1195"/>
      <c r="Z2020" s="193">
        <f t="shared" si="1645"/>
        <v>3</v>
      </c>
      <c r="AA2020" s="193"/>
      <c r="AB2020" s="254"/>
      <c r="AC2020" s="193"/>
      <c r="AD2020" s="193"/>
      <c r="AE2020" s="254"/>
      <c r="AF2020" s="1707">
        <f t="shared" ref="AF2020:AQ2020" si="1683">SUMIF($AS$414:$AS$447,$B1661&amp;"contratada",AF$414:AF$447)</f>
        <v>0</v>
      </c>
      <c r="AG2020" s="1707">
        <f t="shared" si="1683"/>
        <v>0</v>
      </c>
      <c r="AH2020" s="1707">
        <f t="shared" si="1683"/>
        <v>0</v>
      </c>
      <c r="AI2020" s="1707">
        <f t="shared" si="1683"/>
        <v>0</v>
      </c>
      <c r="AJ2020" s="1707">
        <f t="shared" si="1683"/>
        <v>0</v>
      </c>
      <c r="AK2020" s="1707">
        <f t="shared" si="1683"/>
        <v>0</v>
      </c>
      <c r="AL2020" s="1707">
        <f t="shared" si="1683"/>
        <v>0</v>
      </c>
      <c r="AM2020" s="1707">
        <f t="shared" si="1683"/>
        <v>0</v>
      </c>
      <c r="AN2020" s="1707">
        <f t="shared" si="1683"/>
        <v>0</v>
      </c>
      <c r="AO2020" s="1707">
        <f t="shared" si="1683"/>
        <v>0</v>
      </c>
      <c r="AP2020" s="1707">
        <f t="shared" si="1683"/>
        <v>0</v>
      </c>
      <c r="AQ2020" s="1708">
        <f t="shared" si="1683"/>
        <v>0</v>
      </c>
    </row>
    <row r="2021" spans="2:43" ht="13.75" hidden="1" customHeight="1" x14ac:dyDescent="0.2">
      <c r="B2021" s="1195"/>
      <c r="C2021" s="193">
        <f t="shared" si="1673"/>
        <v>3</v>
      </c>
      <c r="D2021" s="193"/>
      <c r="E2021" s="254"/>
      <c r="F2021" s="193"/>
      <c r="G2021" s="193"/>
      <c r="H2021" s="254"/>
      <c r="I2021" s="1707">
        <f t="shared" ref="I2021:T2021" si="1684">SUMIF($V$414:$V$447,$B1662&amp;"contratada",I$414:I$447)</f>
        <v>0</v>
      </c>
      <c r="J2021" s="1707">
        <f t="shared" si="1684"/>
        <v>0</v>
      </c>
      <c r="K2021" s="1707">
        <f t="shared" si="1684"/>
        <v>0</v>
      </c>
      <c r="L2021" s="1707">
        <f t="shared" si="1684"/>
        <v>0</v>
      </c>
      <c r="M2021" s="1707">
        <f t="shared" si="1684"/>
        <v>0</v>
      </c>
      <c r="N2021" s="1707">
        <f t="shared" si="1684"/>
        <v>0</v>
      </c>
      <c r="O2021" s="1707">
        <f t="shared" si="1684"/>
        <v>0</v>
      </c>
      <c r="P2021" s="1707">
        <f t="shared" si="1684"/>
        <v>0</v>
      </c>
      <c r="Q2021" s="1707">
        <f t="shared" si="1684"/>
        <v>0</v>
      </c>
      <c r="R2021" s="1707">
        <f t="shared" si="1684"/>
        <v>0</v>
      </c>
      <c r="S2021" s="1707">
        <f t="shared" si="1684"/>
        <v>0</v>
      </c>
      <c r="T2021" s="1708">
        <f t="shared" si="1684"/>
        <v>0</v>
      </c>
      <c r="Y2021" s="1195"/>
      <c r="Z2021" s="193">
        <f t="shared" si="1645"/>
        <v>3</v>
      </c>
      <c r="AA2021" s="193"/>
      <c r="AB2021" s="254"/>
      <c r="AC2021" s="193"/>
      <c r="AD2021" s="193"/>
      <c r="AE2021" s="254"/>
      <c r="AF2021" s="1707">
        <f t="shared" ref="AF2021:AQ2021" si="1685">SUMIF($AS$414:$AS$447,$B1662&amp;"contratada",AF$414:AF$447)</f>
        <v>0</v>
      </c>
      <c r="AG2021" s="1707">
        <f t="shared" si="1685"/>
        <v>0</v>
      </c>
      <c r="AH2021" s="1707">
        <f t="shared" si="1685"/>
        <v>0</v>
      </c>
      <c r="AI2021" s="1707">
        <f t="shared" si="1685"/>
        <v>0</v>
      </c>
      <c r="AJ2021" s="1707">
        <f t="shared" si="1685"/>
        <v>0</v>
      </c>
      <c r="AK2021" s="1707">
        <f t="shared" si="1685"/>
        <v>0</v>
      </c>
      <c r="AL2021" s="1707">
        <f t="shared" si="1685"/>
        <v>0</v>
      </c>
      <c r="AM2021" s="1707">
        <f t="shared" si="1685"/>
        <v>0</v>
      </c>
      <c r="AN2021" s="1707">
        <f t="shared" si="1685"/>
        <v>0</v>
      </c>
      <c r="AO2021" s="1707">
        <f t="shared" si="1685"/>
        <v>0</v>
      </c>
      <c r="AP2021" s="1707">
        <f t="shared" si="1685"/>
        <v>0</v>
      </c>
      <c r="AQ2021" s="1708">
        <f t="shared" si="1685"/>
        <v>0</v>
      </c>
    </row>
    <row r="2022" spans="2:43" ht="13.75" hidden="1" customHeight="1" x14ac:dyDescent="0.2">
      <c r="B2022" s="1195"/>
      <c r="C2022" s="193">
        <f t="shared" si="1673"/>
        <v>9</v>
      </c>
      <c r="D2022" s="193"/>
      <c r="E2022" s="254"/>
      <c r="F2022" s="193"/>
      <c r="G2022" s="193"/>
      <c r="H2022" s="254"/>
      <c r="I2022" s="1707">
        <f t="shared" ref="I2022:T2022" si="1686">SUMIF($V$414:$V$447,$B1663&amp;"contratada",I$414:I$447)</f>
        <v>0</v>
      </c>
      <c r="J2022" s="1707">
        <f t="shared" si="1686"/>
        <v>0</v>
      </c>
      <c r="K2022" s="1707">
        <f t="shared" si="1686"/>
        <v>0</v>
      </c>
      <c r="L2022" s="1707">
        <f t="shared" si="1686"/>
        <v>0</v>
      </c>
      <c r="M2022" s="1707">
        <f t="shared" si="1686"/>
        <v>0</v>
      </c>
      <c r="N2022" s="1707">
        <f t="shared" si="1686"/>
        <v>0</v>
      </c>
      <c r="O2022" s="1707">
        <f t="shared" si="1686"/>
        <v>0</v>
      </c>
      <c r="P2022" s="1707">
        <f t="shared" si="1686"/>
        <v>0</v>
      </c>
      <c r="Q2022" s="1707">
        <f t="shared" si="1686"/>
        <v>0</v>
      </c>
      <c r="R2022" s="1707">
        <f t="shared" si="1686"/>
        <v>0</v>
      </c>
      <c r="S2022" s="1707">
        <f t="shared" si="1686"/>
        <v>0</v>
      </c>
      <c r="T2022" s="1708">
        <f t="shared" si="1686"/>
        <v>0</v>
      </c>
      <c r="Y2022" s="1195"/>
      <c r="Z2022" s="193">
        <f t="shared" si="1645"/>
        <v>9</v>
      </c>
      <c r="AA2022" s="193"/>
      <c r="AB2022" s="254"/>
      <c r="AC2022" s="193"/>
      <c r="AD2022" s="193"/>
      <c r="AE2022" s="254"/>
      <c r="AF2022" s="1707">
        <f t="shared" ref="AF2022:AQ2022" si="1687">SUMIF($AS$414:$AS$447,$B1663&amp;"contratada",AF$414:AF$447)</f>
        <v>0</v>
      </c>
      <c r="AG2022" s="1707">
        <f t="shared" si="1687"/>
        <v>0</v>
      </c>
      <c r="AH2022" s="1707">
        <f t="shared" si="1687"/>
        <v>0</v>
      </c>
      <c r="AI2022" s="1707">
        <f t="shared" si="1687"/>
        <v>0</v>
      </c>
      <c r="AJ2022" s="1707">
        <f t="shared" si="1687"/>
        <v>0</v>
      </c>
      <c r="AK2022" s="1707">
        <f t="shared" si="1687"/>
        <v>0</v>
      </c>
      <c r="AL2022" s="1707">
        <f t="shared" si="1687"/>
        <v>0</v>
      </c>
      <c r="AM2022" s="1707">
        <f t="shared" si="1687"/>
        <v>0</v>
      </c>
      <c r="AN2022" s="1707">
        <f t="shared" si="1687"/>
        <v>0</v>
      </c>
      <c r="AO2022" s="1707">
        <f t="shared" si="1687"/>
        <v>0</v>
      </c>
      <c r="AP2022" s="1707">
        <f t="shared" si="1687"/>
        <v>0</v>
      </c>
      <c r="AQ2022" s="1708">
        <f t="shared" si="1687"/>
        <v>0</v>
      </c>
    </row>
    <row r="2023" spans="2:43" ht="13.75" hidden="1" customHeight="1" x14ac:dyDescent="0.2">
      <c r="B2023" s="1195"/>
      <c r="C2023" s="193">
        <f t="shared" si="1673"/>
        <v>0</v>
      </c>
      <c r="D2023" s="193"/>
      <c r="E2023" s="254"/>
      <c r="F2023" s="193"/>
      <c r="G2023" s="193"/>
      <c r="H2023" s="254"/>
      <c r="I2023" s="1707">
        <f t="shared" ref="I2023:T2023" si="1688">SUMIF($V$414:$V$447,$B1664&amp;"contratada",I$414:I$447)</f>
        <v>0</v>
      </c>
      <c r="J2023" s="1707">
        <f t="shared" si="1688"/>
        <v>0</v>
      </c>
      <c r="K2023" s="1707">
        <f t="shared" si="1688"/>
        <v>0</v>
      </c>
      <c r="L2023" s="1707">
        <f t="shared" si="1688"/>
        <v>0</v>
      </c>
      <c r="M2023" s="1707">
        <f t="shared" si="1688"/>
        <v>0</v>
      </c>
      <c r="N2023" s="1707">
        <f t="shared" si="1688"/>
        <v>0</v>
      </c>
      <c r="O2023" s="1707">
        <f t="shared" si="1688"/>
        <v>0</v>
      </c>
      <c r="P2023" s="1707">
        <f t="shared" si="1688"/>
        <v>0</v>
      </c>
      <c r="Q2023" s="1707">
        <f t="shared" si="1688"/>
        <v>0</v>
      </c>
      <c r="R2023" s="1707">
        <f t="shared" si="1688"/>
        <v>0</v>
      </c>
      <c r="S2023" s="1707">
        <f t="shared" si="1688"/>
        <v>0</v>
      </c>
      <c r="T2023" s="1708">
        <f t="shared" si="1688"/>
        <v>0</v>
      </c>
      <c r="Y2023" s="1195"/>
      <c r="Z2023" s="193">
        <f t="shared" si="1645"/>
        <v>0</v>
      </c>
      <c r="AA2023" s="193"/>
      <c r="AB2023" s="254"/>
      <c r="AC2023" s="193"/>
      <c r="AD2023" s="193"/>
      <c r="AE2023" s="254"/>
      <c r="AF2023" s="1707">
        <f t="shared" ref="AF2023:AQ2023" si="1689">SUMIF($AS$414:$AS$447,$B1664&amp;"contratada",AF$414:AF$447)</f>
        <v>0</v>
      </c>
      <c r="AG2023" s="1707">
        <f t="shared" si="1689"/>
        <v>0</v>
      </c>
      <c r="AH2023" s="1707">
        <f t="shared" si="1689"/>
        <v>0</v>
      </c>
      <c r="AI2023" s="1707">
        <f t="shared" si="1689"/>
        <v>0</v>
      </c>
      <c r="AJ2023" s="1707">
        <f t="shared" si="1689"/>
        <v>0</v>
      </c>
      <c r="AK2023" s="1707">
        <f t="shared" si="1689"/>
        <v>0</v>
      </c>
      <c r="AL2023" s="1707">
        <f t="shared" si="1689"/>
        <v>0</v>
      </c>
      <c r="AM2023" s="1707">
        <f t="shared" si="1689"/>
        <v>0</v>
      </c>
      <c r="AN2023" s="1707">
        <f t="shared" si="1689"/>
        <v>0</v>
      </c>
      <c r="AO2023" s="1707">
        <f t="shared" si="1689"/>
        <v>0</v>
      </c>
      <c r="AP2023" s="1707">
        <f t="shared" si="1689"/>
        <v>0</v>
      </c>
      <c r="AQ2023" s="1708">
        <f t="shared" si="1689"/>
        <v>0</v>
      </c>
    </row>
    <row r="2024" spans="2:43" ht="13.75" hidden="1" customHeight="1" x14ac:dyDescent="0.2">
      <c r="B2024" s="1195"/>
      <c r="C2024" s="193">
        <f t="shared" si="1673"/>
        <v>0</v>
      </c>
      <c r="D2024" s="193"/>
      <c r="E2024" s="254"/>
      <c r="F2024" s="193"/>
      <c r="G2024" s="193"/>
      <c r="H2024" s="254"/>
      <c r="I2024" s="1707">
        <f t="shared" ref="I2024:T2024" si="1690">SUMIF($V$414:$V$447,$B1665&amp;"contratada",I$414:I$447)</f>
        <v>0</v>
      </c>
      <c r="J2024" s="1707">
        <f t="shared" si="1690"/>
        <v>0</v>
      </c>
      <c r="K2024" s="1707">
        <f t="shared" si="1690"/>
        <v>0</v>
      </c>
      <c r="L2024" s="1707">
        <f t="shared" si="1690"/>
        <v>0</v>
      </c>
      <c r="M2024" s="1707">
        <f t="shared" si="1690"/>
        <v>0</v>
      </c>
      <c r="N2024" s="1707">
        <f t="shared" si="1690"/>
        <v>0</v>
      </c>
      <c r="O2024" s="1707">
        <f t="shared" si="1690"/>
        <v>0</v>
      </c>
      <c r="P2024" s="1707">
        <f t="shared" si="1690"/>
        <v>0</v>
      </c>
      <c r="Q2024" s="1707">
        <f t="shared" si="1690"/>
        <v>0</v>
      </c>
      <c r="R2024" s="1707">
        <f t="shared" si="1690"/>
        <v>0</v>
      </c>
      <c r="S2024" s="1707">
        <f t="shared" si="1690"/>
        <v>0</v>
      </c>
      <c r="T2024" s="1708">
        <f t="shared" si="1690"/>
        <v>0</v>
      </c>
      <c r="Y2024" s="1195"/>
      <c r="Z2024" s="193">
        <f t="shared" si="1645"/>
        <v>0</v>
      </c>
      <c r="AA2024" s="193"/>
      <c r="AB2024" s="254"/>
      <c r="AC2024" s="193"/>
      <c r="AD2024" s="193"/>
      <c r="AE2024" s="254"/>
      <c r="AF2024" s="1707">
        <f t="shared" ref="AF2024:AQ2024" si="1691">SUMIF($AS$414:$AS$447,$B1665&amp;"contratada",AF$414:AF$447)</f>
        <v>0</v>
      </c>
      <c r="AG2024" s="1707">
        <f t="shared" si="1691"/>
        <v>0</v>
      </c>
      <c r="AH2024" s="1707">
        <f t="shared" si="1691"/>
        <v>0</v>
      </c>
      <c r="AI2024" s="1707">
        <f t="shared" si="1691"/>
        <v>0</v>
      </c>
      <c r="AJ2024" s="1707">
        <f t="shared" si="1691"/>
        <v>0</v>
      </c>
      <c r="AK2024" s="1707">
        <f t="shared" si="1691"/>
        <v>0</v>
      </c>
      <c r="AL2024" s="1707">
        <f t="shared" si="1691"/>
        <v>0</v>
      </c>
      <c r="AM2024" s="1707">
        <f t="shared" si="1691"/>
        <v>0</v>
      </c>
      <c r="AN2024" s="1707">
        <f t="shared" si="1691"/>
        <v>0</v>
      </c>
      <c r="AO2024" s="1707">
        <f t="shared" si="1691"/>
        <v>0</v>
      </c>
      <c r="AP2024" s="1707">
        <f t="shared" si="1691"/>
        <v>0</v>
      </c>
      <c r="AQ2024" s="1708">
        <f t="shared" si="1691"/>
        <v>0</v>
      </c>
    </row>
    <row r="2025" spans="2:43" ht="13.75" hidden="1" customHeight="1" x14ac:dyDescent="0.2">
      <c r="B2025" s="1195"/>
      <c r="C2025" s="193">
        <f t="shared" si="1673"/>
        <v>0</v>
      </c>
      <c r="D2025" s="193"/>
      <c r="E2025" s="254"/>
      <c r="F2025" s="193"/>
      <c r="G2025" s="193"/>
      <c r="H2025" s="254"/>
      <c r="I2025" s="1707">
        <f t="shared" ref="I2025:T2025" si="1692">SUMIF($V$414:$V$447,$B1666&amp;"contratada",I$414:I$447)</f>
        <v>0</v>
      </c>
      <c r="J2025" s="1707">
        <f t="shared" si="1692"/>
        <v>0</v>
      </c>
      <c r="K2025" s="1707">
        <f t="shared" si="1692"/>
        <v>0</v>
      </c>
      <c r="L2025" s="1707">
        <f t="shared" si="1692"/>
        <v>0</v>
      </c>
      <c r="M2025" s="1707">
        <f t="shared" si="1692"/>
        <v>0</v>
      </c>
      <c r="N2025" s="1707">
        <f t="shared" si="1692"/>
        <v>0</v>
      </c>
      <c r="O2025" s="1707">
        <f t="shared" si="1692"/>
        <v>0</v>
      </c>
      <c r="P2025" s="1707">
        <f t="shared" si="1692"/>
        <v>0</v>
      </c>
      <c r="Q2025" s="1707">
        <f t="shared" si="1692"/>
        <v>0</v>
      </c>
      <c r="R2025" s="1707">
        <f t="shared" si="1692"/>
        <v>0</v>
      </c>
      <c r="S2025" s="1707">
        <f t="shared" si="1692"/>
        <v>0</v>
      </c>
      <c r="T2025" s="1708">
        <f t="shared" si="1692"/>
        <v>0</v>
      </c>
      <c r="Y2025" s="1195"/>
      <c r="Z2025" s="193">
        <f t="shared" si="1645"/>
        <v>0</v>
      </c>
      <c r="AA2025" s="193"/>
      <c r="AB2025" s="254"/>
      <c r="AC2025" s="193"/>
      <c r="AD2025" s="193"/>
      <c r="AE2025" s="254"/>
      <c r="AF2025" s="1707">
        <f t="shared" ref="AF2025:AQ2025" si="1693">SUMIF($AS$414:$AS$447,$B1666&amp;"contratada",AF$414:AF$447)</f>
        <v>0</v>
      </c>
      <c r="AG2025" s="1707">
        <f t="shared" si="1693"/>
        <v>0</v>
      </c>
      <c r="AH2025" s="1707">
        <f t="shared" si="1693"/>
        <v>0</v>
      </c>
      <c r="AI2025" s="1707">
        <f t="shared" si="1693"/>
        <v>0</v>
      </c>
      <c r="AJ2025" s="1707">
        <f t="shared" si="1693"/>
        <v>0</v>
      </c>
      <c r="AK2025" s="1707">
        <f t="shared" si="1693"/>
        <v>0</v>
      </c>
      <c r="AL2025" s="1707">
        <f t="shared" si="1693"/>
        <v>0</v>
      </c>
      <c r="AM2025" s="1707">
        <f t="shared" si="1693"/>
        <v>0</v>
      </c>
      <c r="AN2025" s="1707">
        <f t="shared" si="1693"/>
        <v>0</v>
      </c>
      <c r="AO2025" s="1707">
        <f t="shared" si="1693"/>
        <v>0</v>
      </c>
      <c r="AP2025" s="1707">
        <f t="shared" si="1693"/>
        <v>0</v>
      </c>
      <c r="AQ2025" s="1708">
        <f t="shared" si="1693"/>
        <v>0</v>
      </c>
    </row>
    <row r="2026" spans="2:43" ht="13.75" hidden="1" customHeight="1" x14ac:dyDescent="0.2">
      <c r="B2026" s="1195"/>
      <c r="C2026" s="193">
        <f t="shared" si="1673"/>
        <v>0</v>
      </c>
      <c r="D2026" s="193"/>
      <c r="E2026" s="254"/>
      <c r="F2026" s="193"/>
      <c r="G2026" s="193"/>
      <c r="H2026" s="254"/>
      <c r="I2026" s="1707">
        <f t="shared" ref="I2026:T2026" si="1694">SUMIF($V$414:$V$447,$B1667&amp;"contratada",I$414:I$447)</f>
        <v>0</v>
      </c>
      <c r="J2026" s="1707">
        <f t="shared" si="1694"/>
        <v>0</v>
      </c>
      <c r="K2026" s="1707">
        <f t="shared" si="1694"/>
        <v>0</v>
      </c>
      <c r="L2026" s="1707">
        <f t="shared" si="1694"/>
        <v>0</v>
      </c>
      <c r="M2026" s="1707">
        <f t="shared" si="1694"/>
        <v>0</v>
      </c>
      <c r="N2026" s="1707">
        <f t="shared" si="1694"/>
        <v>0</v>
      </c>
      <c r="O2026" s="1707">
        <f t="shared" si="1694"/>
        <v>0</v>
      </c>
      <c r="P2026" s="1707">
        <f t="shared" si="1694"/>
        <v>0</v>
      </c>
      <c r="Q2026" s="1707">
        <f t="shared" si="1694"/>
        <v>0</v>
      </c>
      <c r="R2026" s="1707">
        <f t="shared" si="1694"/>
        <v>0</v>
      </c>
      <c r="S2026" s="1707">
        <f t="shared" si="1694"/>
        <v>0</v>
      </c>
      <c r="T2026" s="1708">
        <f t="shared" si="1694"/>
        <v>0</v>
      </c>
      <c r="Y2026" s="1195"/>
      <c r="Z2026" s="193">
        <f t="shared" si="1645"/>
        <v>0</v>
      </c>
      <c r="AA2026" s="193"/>
      <c r="AB2026" s="254"/>
      <c r="AC2026" s="193"/>
      <c r="AD2026" s="193"/>
      <c r="AE2026" s="254"/>
      <c r="AF2026" s="1707">
        <f t="shared" ref="AF2026:AQ2026" si="1695">SUMIF($AS$414:$AS$447,$B1667&amp;"contratada",AF$414:AF$447)</f>
        <v>0</v>
      </c>
      <c r="AG2026" s="1707">
        <f t="shared" si="1695"/>
        <v>0</v>
      </c>
      <c r="AH2026" s="1707">
        <f t="shared" si="1695"/>
        <v>0</v>
      </c>
      <c r="AI2026" s="1707">
        <f t="shared" si="1695"/>
        <v>0</v>
      </c>
      <c r="AJ2026" s="1707">
        <f t="shared" si="1695"/>
        <v>0</v>
      </c>
      <c r="AK2026" s="1707">
        <f t="shared" si="1695"/>
        <v>0</v>
      </c>
      <c r="AL2026" s="1707">
        <f t="shared" si="1695"/>
        <v>0</v>
      </c>
      <c r="AM2026" s="1707">
        <f t="shared" si="1695"/>
        <v>0</v>
      </c>
      <c r="AN2026" s="1707">
        <f t="shared" si="1695"/>
        <v>0</v>
      </c>
      <c r="AO2026" s="1707">
        <f t="shared" si="1695"/>
        <v>0</v>
      </c>
      <c r="AP2026" s="1707">
        <f t="shared" si="1695"/>
        <v>0</v>
      </c>
      <c r="AQ2026" s="1708">
        <f t="shared" si="1695"/>
        <v>0</v>
      </c>
    </row>
    <row r="2027" spans="2:43" ht="13.75" hidden="1" customHeight="1" x14ac:dyDescent="0.2">
      <c r="B2027" s="1195"/>
      <c r="C2027" s="193">
        <f t="shared" si="1673"/>
        <v>0</v>
      </c>
      <c r="D2027" s="193"/>
      <c r="E2027" s="254"/>
      <c r="F2027" s="193"/>
      <c r="G2027" s="193"/>
      <c r="H2027" s="254"/>
      <c r="I2027" s="1707">
        <f t="shared" ref="I2027:T2027" si="1696">SUMIF($V$414:$V$447,$B1668&amp;"contratada",I$414:I$447)</f>
        <v>0</v>
      </c>
      <c r="J2027" s="1707">
        <f t="shared" si="1696"/>
        <v>0</v>
      </c>
      <c r="K2027" s="1707">
        <f t="shared" si="1696"/>
        <v>0</v>
      </c>
      <c r="L2027" s="1707">
        <f t="shared" si="1696"/>
        <v>0</v>
      </c>
      <c r="M2027" s="1707">
        <f t="shared" si="1696"/>
        <v>0</v>
      </c>
      <c r="N2027" s="1707">
        <f t="shared" si="1696"/>
        <v>0</v>
      </c>
      <c r="O2027" s="1707">
        <f t="shared" si="1696"/>
        <v>0</v>
      </c>
      <c r="P2027" s="1707">
        <f t="shared" si="1696"/>
        <v>0</v>
      </c>
      <c r="Q2027" s="1707">
        <f t="shared" si="1696"/>
        <v>0</v>
      </c>
      <c r="R2027" s="1707">
        <f t="shared" si="1696"/>
        <v>0</v>
      </c>
      <c r="S2027" s="1707">
        <f t="shared" si="1696"/>
        <v>0</v>
      </c>
      <c r="T2027" s="1708">
        <f t="shared" si="1696"/>
        <v>0</v>
      </c>
      <c r="Y2027" s="1195"/>
      <c r="Z2027" s="193">
        <f t="shared" si="1645"/>
        <v>0</v>
      </c>
      <c r="AA2027" s="193"/>
      <c r="AB2027" s="254"/>
      <c r="AC2027" s="193"/>
      <c r="AD2027" s="193"/>
      <c r="AE2027" s="254"/>
      <c r="AF2027" s="1707">
        <f t="shared" ref="AF2027:AQ2027" si="1697">SUMIF($AS$414:$AS$447,$B1668&amp;"contratada",AF$414:AF$447)</f>
        <v>0</v>
      </c>
      <c r="AG2027" s="1707">
        <f t="shared" si="1697"/>
        <v>0</v>
      </c>
      <c r="AH2027" s="1707">
        <f t="shared" si="1697"/>
        <v>0</v>
      </c>
      <c r="AI2027" s="1707">
        <f t="shared" si="1697"/>
        <v>0</v>
      </c>
      <c r="AJ2027" s="1707">
        <f t="shared" si="1697"/>
        <v>0</v>
      </c>
      <c r="AK2027" s="1707">
        <f t="shared" si="1697"/>
        <v>0</v>
      </c>
      <c r="AL2027" s="1707">
        <f t="shared" si="1697"/>
        <v>0</v>
      </c>
      <c r="AM2027" s="1707">
        <f t="shared" si="1697"/>
        <v>0</v>
      </c>
      <c r="AN2027" s="1707">
        <f t="shared" si="1697"/>
        <v>0</v>
      </c>
      <c r="AO2027" s="1707">
        <f t="shared" si="1697"/>
        <v>0</v>
      </c>
      <c r="AP2027" s="1707">
        <f t="shared" si="1697"/>
        <v>0</v>
      </c>
      <c r="AQ2027" s="1708">
        <f t="shared" si="1697"/>
        <v>0</v>
      </c>
    </row>
    <row r="2028" spans="2:43" ht="13.75" hidden="1" customHeight="1" x14ac:dyDescent="0.2">
      <c r="B2028" s="1195"/>
      <c r="C2028" s="193">
        <f t="shared" si="1673"/>
        <v>0</v>
      </c>
      <c r="D2028" s="193"/>
      <c r="E2028" s="254"/>
      <c r="F2028" s="193"/>
      <c r="G2028" s="193"/>
      <c r="H2028" s="254"/>
      <c r="I2028" s="1707">
        <f t="shared" ref="I2028:T2028" si="1698">SUMIF($V$414:$V$447,$B1669&amp;"contratada",I$414:I$447)</f>
        <v>0</v>
      </c>
      <c r="J2028" s="1707">
        <f t="shared" si="1698"/>
        <v>0</v>
      </c>
      <c r="K2028" s="1707">
        <f t="shared" si="1698"/>
        <v>0</v>
      </c>
      <c r="L2028" s="1707">
        <f t="shared" si="1698"/>
        <v>0</v>
      </c>
      <c r="M2028" s="1707">
        <f t="shared" si="1698"/>
        <v>0</v>
      </c>
      <c r="N2028" s="1707">
        <f t="shared" si="1698"/>
        <v>0</v>
      </c>
      <c r="O2028" s="1707">
        <f t="shared" si="1698"/>
        <v>0</v>
      </c>
      <c r="P2028" s="1707">
        <f t="shared" si="1698"/>
        <v>0</v>
      </c>
      <c r="Q2028" s="1707">
        <f t="shared" si="1698"/>
        <v>0</v>
      </c>
      <c r="R2028" s="1707">
        <f t="shared" si="1698"/>
        <v>0</v>
      </c>
      <c r="S2028" s="1707">
        <f t="shared" si="1698"/>
        <v>0</v>
      </c>
      <c r="T2028" s="1708">
        <f t="shared" si="1698"/>
        <v>0</v>
      </c>
      <c r="Y2028" s="1195"/>
      <c r="Z2028" s="193">
        <f t="shared" si="1645"/>
        <v>0</v>
      </c>
      <c r="AA2028" s="193"/>
      <c r="AB2028" s="254"/>
      <c r="AC2028" s="193"/>
      <c r="AD2028" s="193"/>
      <c r="AE2028" s="254"/>
      <c r="AF2028" s="1707">
        <f t="shared" ref="AF2028:AQ2028" si="1699">SUMIF($AS$414:$AS$447,$B1669&amp;"contratada",AF$414:AF$447)</f>
        <v>0</v>
      </c>
      <c r="AG2028" s="1707">
        <f t="shared" si="1699"/>
        <v>0</v>
      </c>
      <c r="AH2028" s="1707">
        <f t="shared" si="1699"/>
        <v>0</v>
      </c>
      <c r="AI2028" s="1707">
        <f t="shared" si="1699"/>
        <v>0</v>
      </c>
      <c r="AJ2028" s="1707">
        <f t="shared" si="1699"/>
        <v>0</v>
      </c>
      <c r="AK2028" s="1707">
        <f t="shared" si="1699"/>
        <v>0</v>
      </c>
      <c r="AL2028" s="1707">
        <f t="shared" si="1699"/>
        <v>0</v>
      </c>
      <c r="AM2028" s="1707">
        <f t="shared" si="1699"/>
        <v>0</v>
      </c>
      <c r="AN2028" s="1707">
        <f t="shared" si="1699"/>
        <v>0</v>
      </c>
      <c r="AO2028" s="1707">
        <f t="shared" si="1699"/>
        <v>0</v>
      </c>
      <c r="AP2028" s="1707">
        <f t="shared" si="1699"/>
        <v>0</v>
      </c>
      <c r="AQ2028" s="1708">
        <f t="shared" si="1699"/>
        <v>0</v>
      </c>
    </row>
    <row r="2029" spans="2:43" ht="14.4" hidden="1" customHeight="1" thickBot="1" x14ac:dyDescent="0.25">
      <c r="B2029" s="1198"/>
      <c r="C2029" s="1199">
        <f t="shared" si="1673"/>
        <v>0</v>
      </c>
      <c r="D2029" s="1199"/>
      <c r="E2029" s="1209"/>
      <c r="F2029" s="1199"/>
      <c r="G2029" s="1199"/>
      <c r="H2029" s="1209"/>
      <c r="I2029" s="1709">
        <f t="shared" ref="I2029:T2029" si="1700">SUMIF($V$414:$V$447,$B1670&amp;"contratada",I$414:I$447)</f>
        <v>0</v>
      </c>
      <c r="J2029" s="1709">
        <f t="shared" si="1700"/>
        <v>0</v>
      </c>
      <c r="K2029" s="1709">
        <f t="shared" si="1700"/>
        <v>0</v>
      </c>
      <c r="L2029" s="1709">
        <f t="shared" si="1700"/>
        <v>0</v>
      </c>
      <c r="M2029" s="1709">
        <f t="shared" si="1700"/>
        <v>0</v>
      </c>
      <c r="N2029" s="1709">
        <f t="shared" si="1700"/>
        <v>0</v>
      </c>
      <c r="O2029" s="1709">
        <f t="shared" si="1700"/>
        <v>0</v>
      </c>
      <c r="P2029" s="1709">
        <f t="shared" si="1700"/>
        <v>0</v>
      </c>
      <c r="Q2029" s="1709">
        <f t="shared" si="1700"/>
        <v>0</v>
      </c>
      <c r="R2029" s="1709">
        <f t="shared" si="1700"/>
        <v>0</v>
      </c>
      <c r="S2029" s="1709">
        <f t="shared" si="1700"/>
        <v>0</v>
      </c>
      <c r="T2029" s="1710">
        <f t="shared" si="1700"/>
        <v>0</v>
      </c>
      <c r="Y2029" s="1198"/>
      <c r="Z2029" s="193">
        <f t="shared" si="1645"/>
        <v>0</v>
      </c>
      <c r="AA2029" s="1199"/>
      <c r="AB2029" s="1209"/>
      <c r="AC2029" s="1199"/>
      <c r="AD2029" s="1199"/>
      <c r="AE2029" s="1209"/>
      <c r="AF2029" s="1709">
        <f t="shared" ref="AF2029:AQ2029" si="1701">SUMIF($AS$414:$AS$447,$B1670&amp;"contratada",AF$414:AF$447)</f>
        <v>0</v>
      </c>
      <c r="AG2029" s="1709">
        <f t="shared" si="1701"/>
        <v>0</v>
      </c>
      <c r="AH2029" s="1709">
        <f t="shared" si="1701"/>
        <v>0</v>
      </c>
      <c r="AI2029" s="1709">
        <f t="shared" si="1701"/>
        <v>0</v>
      </c>
      <c r="AJ2029" s="1709">
        <f t="shared" si="1701"/>
        <v>0</v>
      </c>
      <c r="AK2029" s="1709">
        <f t="shared" si="1701"/>
        <v>0</v>
      </c>
      <c r="AL2029" s="1709">
        <f t="shared" si="1701"/>
        <v>0</v>
      </c>
      <c r="AM2029" s="1709">
        <f t="shared" si="1701"/>
        <v>0</v>
      </c>
      <c r="AN2029" s="1709">
        <f t="shared" si="1701"/>
        <v>0</v>
      </c>
      <c r="AO2029" s="1709">
        <f t="shared" si="1701"/>
        <v>0</v>
      </c>
      <c r="AP2029" s="1709">
        <f t="shared" si="1701"/>
        <v>0</v>
      </c>
      <c r="AQ2029" s="1710">
        <f t="shared" si="1701"/>
        <v>0</v>
      </c>
    </row>
    <row r="2030" spans="2:43" ht="15.05" hidden="1" customHeight="1" thickTop="1" thickBot="1" x14ac:dyDescent="0.25">
      <c r="B2030" s="1711" t="s">
        <v>705</v>
      </c>
      <c r="C2030" s="1712"/>
      <c r="D2030" s="1712"/>
      <c r="E2030" s="1712"/>
      <c r="F2030" s="1712"/>
      <c r="G2030" s="1712"/>
      <c r="H2030" s="1713" t="s">
        <v>230</v>
      </c>
      <c r="I2030" s="1715">
        <f t="shared" ref="I2030:T2030" si="1702">+SUMPRODUCT(I2001:I2029,$C$2001:$C$2029)</f>
        <v>0</v>
      </c>
      <c r="J2030" s="1715">
        <f t="shared" si="1702"/>
        <v>0</v>
      </c>
      <c r="K2030" s="1715">
        <f t="shared" si="1702"/>
        <v>0</v>
      </c>
      <c r="L2030" s="1715">
        <f t="shared" si="1702"/>
        <v>0</v>
      </c>
      <c r="M2030" s="1715">
        <f t="shared" si="1702"/>
        <v>0</v>
      </c>
      <c r="N2030" s="1715">
        <f t="shared" si="1702"/>
        <v>0</v>
      </c>
      <c r="O2030" s="1715">
        <f t="shared" si="1702"/>
        <v>0</v>
      </c>
      <c r="P2030" s="1715">
        <f t="shared" si="1702"/>
        <v>0</v>
      </c>
      <c r="Q2030" s="1715">
        <f t="shared" si="1702"/>
        <v>0</v>
      </c>
      <c r="R2030" s="1715">
        <f t="shared" si="1702"/>
        <v>0</v>
      </c>
      <c r="S2030" s="1715">
        <f t="shared" si="1702"/>
        <v>0</v>
      </c>
      <c r="T2030" s="1716">
        <f t="shared" si="1702"/>
        <v>0</v>
      </c>
      <c r="Y2030" s="1711" t="s">
        <v>705</v>
      </c>
      <c r="Z2030" s="1712"/>
      <c r="AA2030" s="1712"/>
      <c r="AB2030" s="1712"/>
      <c r="AC2030" s="1712"/>
      <c r="AD2030" s="1712"/>
      <c r="AE2030" s="1719" t="s">
        <v>230</v>
      </c>
      <c r="AF2030" s="1715">
        <f t="shared" ref="AF2030:AQ2030" si="1703">+SUMPRODUCT(AF2001:AF2029,$C$2001:$C$2029)</f>
        <v>0</v>
      </c>
      <c r="AG2030" s="1715">
        <f t="shared" si="1703"/>
        <v>0</v>
      </c>
      <c r="AH2030" s="1715">
        <f t="shared" si="1703"/>
        <v>0</v>
      </c>
      <c r="AI2030" s="1715">
        <f t="shared" si="1703"/>
        <v>0</v>
      </c>
      <c r="AJ2030" s="1715">
        <f t="shared" si="1703"/>
        <v>0</v>
      </c>
      <c r="AK2030" s="1715">
        <f t="shared" si="1703"/>
        <v>0</v>
      </c>
      <c r="AL2030" s="1715">
        <f t="shared" si="1703"/>
        <v>0</v>
      </c>
      <c r="AM2030" s="1715">
        <f t="shared" si="1703"/>
        <v>0</v>
      </c>
      <c r="AN2030" s="1715">
        <f t="shared" si="1703"/>
        <v>0</v>
      </c>
      <c r="AO2030" s="1715">
        <f t="shared" si="1703"/>
        <v>0</v>
      </c>
      <c r="AP2030" s="1715">
        <f t="shared" si="1703"/>
        <v>0</v>
      </c>
      <c r="AQ2030" s="1716">
        <f t="shared" si="1703"/>
        <v>0</v>
      </c>
    </row>
    <row r="2031" spans="2:43" ht="14.4" hidden="1" customHeight="1" thickTop="1" x14ac:dyDescent="0.2">
      <c r="B2031" s="1594"/>
      <c r="C2031" s="193"/>
      <c r="D2031" s="193"/>
      <c r="E2031" s="193"/>
      <c r="F2031" s="193"/>
      <c r="G2031" s="193"/>
      <c r="H2031" s="982" t="s">
        <v>698</v>
      </c>
      <c r="I2031" s="1205">
        <f t="shared" ref="I2031:T2031" si="1704">IFERROR(I2030*I1997/I1999,0)</f>
        <v>0</v>
      </c>
      <c r="J2031" s="1205">
        <f t="shared" si="1704"/>
        <v>0</v>
      </c>
      <c r="K2031" s="1205">
        <f t="shared" si="1704"/>
        <v>0</v>
      </c>
      <c r="L2031" s="1205">
        <f t="shared" si="1704"/>
        <v>0</v>
      </c>
      <c r="M2031" s="1205">
        <f t="shared" si="1704"/>
        <v>0</v>
      </c>
      <c r="N2031" s="1205">
        <f t="shared" si="1704"/>
        <v>0</v>
      </c>
      <c r="O2031" s="1205">
        <f t="shared" si="1704"/>
        <v>0</v>
      </c>
      <c r="P2031" s="1205">
        <f t="shared" si="1704"/>
        <v>0</v>
      </c>
      <c r="Q2031" s="1205">
        <f t="shared" si="1704"/>
        <v>0</v>
      </c>
      <c r="R2031" s="1205">
        <f t="shared" si="1704"/>
        <v>0</v>
      </c>
      <c r="S2031" s="1205">
        <f t="shared" si="1704"/>
        <v>0</v>
      </c>
      <c r="T2031" s="1714">
        <f t="shared" si="1704"/>
        <v>0</v>
      </c>
      <c r="Y2031" s="1594"/>
      <c r="Z2031" s="193"/>
      <c r="AA2031" s="193"/>
      <c r="AB2031" s="193"/>
      <c r="AC2031" s="193"/>
      <c r="AD2031" s="193"/>
      <c r="AE2031" s="1720" t="s">
        <v>698</v>
      </c>
      <c r="AF2031" s="1205">
        <f t="shared" ref="AF2031:AQ2031" si="1705">IFERROR(AF2030*AF1997/AF1999,0)</f>
        <v>0</v>
      </c>
      <c r="AG2031" s="1205">
        <f t="shared" si="1705"/>
        <v>0</v>
      </c>
      <c r="AH2031" s="1205">
        <f t="shared" si="1705"/>
        <v>0</v>
      </c>
      <c r="AI2031" s="1205">
        <f t="shared" si="1705"/>
        <v>0</v>
      </c>
      <c r="AJ2031" s="1205">
        <f t="shared" si="1705"/>
        <v>0</v>
      </c>
      <c r="AK2031" s="1205">
        <f t="shared" si="1705"/>
        <v>0</v>
      </c>
      <c r="AL2031" s="1205">
        <f t="shared" si="1705"/>
        <v>0</v>
      </c>
      <c r="AM2031" s="1205">
        <f t="shared" si="1705"/>
        <v>0</v>
      </c>
      <c r="AN2031" s="1205">
        <f t="shared" si="1705"/>
        <v>0</v>
      </c>
      <c r="AO2031" s="1205">
        <f t="shared" si="1705"/>
        <v>0</v>
      </c>
      <c r="AP2031" s="1205">
        <f t="shared" si="1705"/>
        <v>0</v>
      </c>
      <c r="AQ2031" s="1714">
        <f t="shared" si="1705"/>
        <v>0</v>
      </c>
    </row>
    <row r="2032" spans="2:43" ht="14.4" hidden="1" customHeight="1" thickBot="1" x14ac:dyDescent="0.25">
      <c r="B2032" s="1596"/>
      <c r="C2032" s="1199"/>
      <c r="D2032" s="1199"/>
      <c r="E2032" s="1199"/>
      <c r="F2032" s="1199"/>
      <c r="G2032" s="1199"/>
      <c r="H2032" s="1717" t="s">
        <v>699</v>
      </c>
      <c r="I2032" s="1590">
        <f>+I2030-I2031</f>
        <v>0</v>
      </c>
      <c r="J2032" s="1590">
        <f t="shared" ref="J2032:T2032" si="1706">+J2030-J2031</f>
        <v>0</v>
      </c>
      <c r="K2032" s="1590">
        <f t="shared" si="1706"/>
        <v>0</v>
      </c>
      <c r="L2032" s="1590">
        <f t="shared" si="1706"/>
        <v>0</v>
      </c>
      <c r="M2032" s="1590">
        <f t="shared" si="1706"/>
        <v>0</v>
      </c>
      <c r="N2032" s="1590">
        <f t="shared" si="1706"/>
        <v>0</v>
      </c>
      <c r="O2032" s="1590">
        <f t="shared" si="1706"/>
        <v>0</v>
      </c>
      <c r="P2032" s="1590">
        <f t="shared" si="1706"/>
        <v>0</v>
      </c>
      <c r="Q2032" s="1590">
        <f t="shared" si="1706"/>
        <v>0</v>
      </c>
      <c r="R2032" s="1590">
        <f t="shared" si="1706"/>
        <v>0</v>
      </c>
      <c r="S2032" s="1590">
        <f t="shared" si="1706"/>
        <v>0</v>
      </c>
      <c r="T2032" s="1655">
        <f t="shared" si="1706"/>
        <v>0</v>
      </c>
      <c r="Y2032" s="1596"/>
      <c r="Z2032" s="1199"/>
      <c r="AA2032" s="1199"/>
      <c r="AB2032" s="1199"/>
      <c r="AC2032" s="1199"/>
      <c r="AD2032" s="1199"/>
      <c r="AE2032" s="1721" t="s">
        <v>699</v>
      </c>
      <c r="AF2032" s="1590">
        <f>+AF2030-AF2031</f>
        <v>0</v>
      </c>
      <c r="AG2032" s="1590">
        <f t="shared" ref="AG2032:AQ2032" si="1707">+AG2030-AG2031</f>
        <v>0</v>
      </c>
      <c r="AH2032" s="1590">
        <f t="shared" si="1707"/>
        <v>0</v>
      </c>
      <c r="AI2032" s="1590">
        <f t="shared" si="1707"/>
        <v>0</v>
      </c>
      <c r="AJ2032" s="1590">
        <f t="shared" si="1707"/>
        <v>0</v>
      </c>
      <c r="AK2032" s="1590">
        <f t="shared" si="1707"/>
        <v>0</v>
      </c>
      <c r="AL2032" s="1590">
        <f t="shared" si="1707"/>
        <v>0</v>
      </c>
      <c r="AM2032" s="1590">
        <f t="shared" si="1707"/>
        <v>0</v>
      </c>
      <c r="AN2032" s="1590">
        <f t="shared" si="1707"/>
        <v>0</v>
      </c>
      <c r="AO2032" s="1590">
        <f t="shared" si="1707"/>
        <v>0</v>
      </c>
      <c r="AP2032" s="1590">
        <f t="shared" si="1707"/>
        <v>0</v>
      </c>
      <c r="AQ2032" s="1655">
        <f t="shared" si="1707"/>
        <v>0</v>
      </c>
    </row>
    <row r="2033" spans="2:43" ht="14.4" hidden="1" customHeight="1" thickTop="1" x14ac:dyDescent="0.2">
      <c r="B2033" s="1584" t="s">
        <v>795</v>
      </c>
      <c r="C2033" s="1581">
        <f>+C1600</f>
        <v>0</v>
      </c>
      <c r="D2033" s="1194"/>
      <c r="E2033" s="1194"/>
      <c r="F2033" s="1194"/>
      <c r="G2033" s="1194" t="s">
        <v>247</v>
      </c>
      <c r="H2033" s="1194" t="s">
        <v>691</v>
      </c>
      <c r="I2033" s="1668">
        <f t="shared" ref="I2033:T2033" si="1708">+I1601</f>
        <v>0</v>
      </c>
      <c r="J2033" s="1668">
        <f t="shared" si="1708"/>
        <v>0</v>
      </c>
      <c r="K2033" s="1668">
        <f t="shared" si="1708"/>
        <v>0</v>
      </c>
      <c r="L2033" s="1668">
        <f t="shared" si="1708"/>
        <v>0</v>
      </c>
      <c r="M2033" s="1668">
        <f t="shared" si="1708"/>
        <v>0</v>
      </c>
      <c r="N2033" s="1668">
        <f t="shared" si="1708"/>
        <v>0</v>
      </c>
      <c r="O2033" s="1668">
        <f t="shared" si="1708"/>
        <v>0</v>
      </c>
      <c r="P2033" s="1668">
        <f t="shared" si="1708"/>
        <v>0</v>
      </c>
      <c r="Q2033" s="1668">
        <f t="shared" si="1708"/>
        <v>0</v>
      </c>
      <c r="R2033" s="1668">
        <f t="shared" si="1708"/>
        <v>0</v>
      </c>
      <c r="S2033" s="1668">
        <f t="shared" si="1708"/>
        <v>0</v>
      </c>
      <c r="T2033" s="1704">
        <f t="shared" si="1708"/>
        <v>0</v>
      </c>
      <c r="Y2033" s="1722" t="s">
        <v>795</v>
      </c>
      <c r="Z2033" s="1581">
        <f>+Z1600</f>
        <v>0</v>
      </c>
      <c r="AA2033" s="1194"/>
      <c r="AB2033" s="1194"/>
      <c r="AC2033" s="1194"/>
      <c r="AD2033" s="1194">
        <f t="shared" ref="AD2033:AE2035" si="1709">+AC1846</f>
        <v>0</v>
      </c>
      <c r="AE2033" s="1194">
        <f t="shared" si="1709"/>
        <v>0</v>
      </c>
      <c r="AF2033" s="1668">
        <f t="shared" ref="AF2033:AQ2033" si="1710">+AF1601</f>
        <v>0</v>
      </c>
      <c r="AG2033" s="1668">
        <f t="shared" si="1710"/>
        <v>0</v>
      </c>
      <c r="AH2033" s="1668">
        <f t="shared" si="1710"/>
        <v>0</v>
      </c>
      <c r="AI2033" s="1668">
        <f t="shared" si="1710"/>
        <v>0</v>
      </c>
      <c r="AJ2033" s="1668">
        <f t="shared" si="1710"/>
        <v>0</v>
      </c>
      <c r="AK2033" s="1668">
        <f t="shared" si="1710"/>
        <v>0</v>
      </c>
      <c r="AL2033" s="1668">
        <f t="shared" si="1710"/>
        <v>0</v>
      </c>
      <c r="AM2033" s="1668">
        <f t="shared" si="1710"/>
        <v>0</v>
      </c>
      <c r="AN2033" s="1668">
        <f t="shared" si="1710"/>
        <v>0</v>
      </c>
      <c r="AO2033" s="1668">
        <f t="shared" si="1710"/>
        <v>0</v>
      </c>
      <c r="AP2033" s="1668">
        <f t="shared" si="1710"/>
        <v>0</v>
      </c>
      <c r="AQ2033" s="1704">
        <f t="shared" si="1710"/>
        <v>0</v>
      </c>
    </row>
    <row r="2034" spans="2:43" ht="13.75" hidden="1" customHeight="1" x14ac:dyDescent="0.2">
      <c r="B2034" s="1594"/>
      <c r="C2034" s="193"/>
      <c r="D2034" s="193"/>
      <c r="E2034" s="193"/>
      <c r="F2034" s="193"/>
      <c r="G2034" s="193" t="s">
        <v>344</v>
      </c>
      <c r="H2034" s="193" t="s">
        <v>693</v>
      </c>
      <c r="I2034" s="1283">
        <f t="shared" ref="I2034:T2034" si="1711">+I1602</f>
        <v>0</v>
      </c>
      <c r="J2034" s="1283">
        <f t="shared" si="1711"/>
        <v>0</v>
      </c>
      <c r="K2034" s="1283">
        <f t="shared" si="1711"/>
        <v>0</v>
      </c>
      <c r="L2034" s="1283">
        <f t="shared" si="1711"/>
        <v>0</v>
      </c>
      <c r="M2034" s="1283">
        <f t="shared" si="1711"/>
        <v>0</v>
      </c>
      <c r="N2034" s="1283">
        <f t="shared" si="1711"/>
        <v>0</v>
      </c>
      <c r="O2034" s="1283">
        <f t="shared" si="1711"/>
        <v>0</v>
      </c>
      <c r="P2034" s="1283">
        <f t="shared" si="1711"/>
        <v>0</v>
      </c>
      <c r="Q2034" s="1283">
        <f t="shared" si="1711"/>
        <v>0</v>
      </c>
      <c r="R2034" s="1283">
        <f t="shared" si="1711"/>
        <v>0</v>
      </c>
      <c r="S2034" s="1283">
        <f t="shared" si="1711"/>
        <v>0</v>
      </c>
      <c r="T2034" s="1601">
        <f t="shared" si="1711"/>
        <v>0</v>
      </c>
      <c r="Y2034" s="1594"/>
      <c r="Z2034" s="193"/>
      <c r="AA2034" s="193"/>
      <c r="AB2034" s="193"/>
      <c r="AC2034" s="193"/>
      <c r="AD2034" s="193">
        <f t="shared" si="1709"/>
        <v>0</v>
      </c>
      <c r="AE2034" s="193">
        <f t="shared" si="1709"/>
        <v>0</v>
      </c>
      <c r="AF2034" s="1283">
        <f t="shared" ref="AF2034:AQ2034" si="1712">+AF1602</f>
        <v>0</v>
      </c>
      <c r="AG2034" s="1283">
        <f t="shared" si="1712"/>
        <v>0</v>
      </c>
      <c r="AH2034" s="1283">
        <f t="shared" si="1712"/>
        <v>0</v>
      </c>
      <c r="AI2034" s="1283">
        <f t="shared" si="1712"/>
        <v>0</v>
      </c>
      <c r="AJ2034" s="1283">
        <f t="shared" si="1712"/>
        <v>0</v>
      </c>
      <c r="AK2034" s="1283">
        <f t="shared" si="1712"/>
        <v>0</v>
      </c>
      <c r="AL2034" s="1283">
        <f t="shared" si="1712"/>
        <v>0</v>
      </c>
      <c r="AM2034" s="1283">
        <f t="shared" si="1712"/>
        <v>0</v>
      </c>
      <c r="AN2034" s="1283">
        <f t="shared" si="1712"/>
        <v>0</v>
      </c>
      <c r="AO2034" s="1283">
        <f t="shared" si="1712"/>
        <v>0</v>
      </c>
      <c r="AP2034" s="1283">
        <f t="shared" si="1712"/>
        <v>0</v>
      </c>
      <c r="AQ2034" s="1601">
        <f t="shared" si="1712"/>
        <v>0</v>
      </c>
    </row>
    <row r="2035" spans="2:43" ht="14.4" hidden="1" customHeight="1" thickBot="1" x14ac:dyDescent="0.25">
      <c r="B2035" s="1596"/>
      <c r="C2035" s="1199"/>
      <c r="D2035" s="1199"/>
      <c r="E2035" s="1199"/>
      <c r="F2035" s="1199"/>
      <c r="G2035" s="1199" t="s">
        <v>344</v>
      </c>
      <c r="H2035" s="1199" t="s">
        <v>694</v>
      </c>
      <c r="I2035" s="1590">
        <f t="shared" ref="I2035:T2035" si="1713">+I1603</f>
        <v>0</v>
      </c>
      <c r="J2035" s="1590">
        <f t="shared" si="1713"/>
        <v>0</v>
      </c>
      <c r="K2035" s="1590">
        <f t="shared" si="1713"/>
        <v>0</v>
      </c>
      <c r="L2035" s="1590">
        <f t="shared" si="1713"/>
        <v>0</v>
      </c>
      <c r="M2035" s="1590">
        <f t="shared" si="1713"/>
        <v>0</v>
      </c>
      <c r="N2035" s="1590">
        <f t="shared" si="1713"/>
        <v>0</v>
      </c>
      <c r="O2035" s="1590">
        <f t="shared" si="1713"/>
        <v>0</v>
      </c>
      <c r="P2035" s="1590">
        <f t="shared" si="1713"/>
        <v>0</v>
      </c>
      <c r="Q2035" s="1590">
        <f t="shared" si="1713"/>
        <v>0</v>
      </c>
      <c r="R2035" s="1590">
        <f t="shared" si="1713"/>
        <v>0</v>
      </c>
      <c r="S2035" s="1590">
        <f t="shared" si="1713"/>
        <v>0</v>
      </c>
      <c r="T2035" s="1655">
        <f t="shared" si="1713"/>
        <v>0</v>
      </c>
      <c r="Y2035" s="1596"/>
      <c r="Z2035" s="1199"/>
      <c r="AA2035" s="1199"/>
      <c r="AB2035" s="1199"/>
      <c r="AC2035" s="1199"/>
      <c r="AD2035" s="1199">
        <f t="shared" si="1709"/>
        <v>0</v>
      </c>
      <c r="AE2035" s="1199">
        <f t="shared" si="1709"/>
        <v>0</v>
      </c>
      <c r="AF2035" s="1590">
        <f t="shared" ref="AF2035:AQ2035" si="1714">+AF1603</f>
        <v>0</v>
      </c>
      <c r="AG2035" s="1590">
        <f t="shared" si="1714"/>
        <v>0</v>
      </c>
      <c r="AH2035" s="1590">
        <f t="shared" si="1714"/>
        <v>0</v>
      </c>
      <c r="AI2035" s="1590">
        <f t="shared" si="1714"/>
        <v>0</v>
      </c>
      <c r="AJ2035" s="1590">
        <f t="shared" si="1714"/>
        <v>0</v>
      </c>
      <c r="AK2035" s="1590">
        <f t="shared" si="1714"/>
        <v>0</v>
      </c>
      <c r="AL2035" s="1590">
        <f t="shared" si="1714"/>
        <v>0</v>
      </c>
      <c r="AM2035" s="1590">
        <f t="shared" si="1714"/>
        <v>0</v>
      </c>
      <c r="AN2035" s="1590">
        <f t="shared" si="1714"/>
        <v>0</v>
      </c>
      <c r="AO2035" s="1590">
        <f t="shared" si="1714"/>
        <v>0</v>
      </c>
      <c r="AP2035" s="1590">
        <f t="shared" si="1714"/>
        <v>0</v>
      </c>
      <c r="AQ2035" s="1655">
        <f t="shared" si="1714"/>
        <v>0</v>
      </c>
    </row>
    <row r="2036" spans="2:43" ht="14.4" hidden="1" customHeight="1" thickTop="1" x14ac:dyDescent="0.2">
      <c r="B2036" s="1584" t="s">
        <v>2019</v>
      </c>
      <c r="C2036" s="1194" t="s">
        <v>2018</v>
      </c>
      <c r="D2036" s="1194"/>
      <c r="E2036" s="1194"/>
      <c r="F2036" s="1194"/>
      <c r="G2036" s="1194"/>
      <c r="H2036" s="1210"/>
      <c r="I2036" s="1194"/>
      <c r="J2036" s="1194"/>
      <c r="K2036" s="1194"/>
      <c r="L2036" s="1194"/>
      <c r="M2036" s="1194"/>
      <c r="N2036" s="1194"/>
      <c r="O2036" s="1194"/>
      <c r="P2036" s="1194"/>
      <c r="Q2036" s="1194"/>
      <c r="R2036" s="1194"/>
      <c r="S2036" s="1194"/>
      <c r="T2036" s="1599"/>
      <c r="Y2036" s="1584" t="s">
        <v>2019</v>
      </c>
      <c r="Z2036" s="1194" t="s">
        <v>2018</v>
      </c>
      <c r="AA2036" s="1194"/>
      <c r="AB2036" s="1194"/>
      <c r="AC2036" s="1194"/>
      <c r="AD2036" s="1194"/>
      <c r="AE2036" s="1210"/>
      <c r="AF2036" s="1194"/>
      <c r="AG2036" s="1194"/>
      <c r="AH2036" s="1194"/>
      <c r="AI2036" s="1194"/>
      <c r="AJ2036" s="1194"/>
      <c r="AK2036" s="1194"/>
      <c r="AL2036" s="1194"/>
      <c r="AM2036" s="1194"/>
      <c r="AN2036" s="1194"/>
      <c r="AO2036" s="1194"/>
      <c r="AP2036" s="1194"/>
      <c r="AQ2036" s="1599"/>
    </row>
    <row r="2037" spans="2:43" ht="13.75" hidden="1" customHeight="1" x14ac:dyDescent="0.2">
      <c r="B2037" s="1195" t="s">
        <v>2021</v>
      </c>
      <c r="C2037" s="193">
        <f t="shared" ref="C2037:C2050" si="1715">+C2001</f>
        <v>5</v>
      </c>
      <c r="D2037" s="193"/>
      <c r="E2037" s="254"/>
      <c r="F2037" s="193"/>
      <c r="G2037" s="193"/>
      <c r="H2037" s="254"/>
      <c r="I2037" s="1705">
        <f>SUMIF($V$455:$V$488,$B1642&amp;"propia",I$455:I$488)</f>
        <v>0</v>
      </c>
      <c r="J2037" s="1705">
        <f t="shared" ref="J2037:T2037" si="1716">SUMIF($V$455:$V$488,$B1642&amp;"propia",J$455:J$488)</f>
        <v>0</v>
      </c>
      <c r="K2037" s="1705">
        <f t="shared" si="1716"/>
        <v>0</v>
      </c>
      <c r="L2037" s="1705">
        <f t="shared" si="1716"/>
        <v>0</v>
      </c>
      <c r="M2037" s="1705">
        <f t="shared" si="1716"/>
        <v>0</v>
      </c>
      <c r="N2037" s="1705">
        <f t="shared" si="1716"/>
        <v>0</v>
      </c>
      <c r="O2037" s="1705">
        <f t="shared" si="1716"/>
        <v>0</v>
      </c>
      <c r="P2037" s="1705">
        <f t="shared" si="1716"/>
        <v>0</v>
      </c>
      <c r="Q2037" s="1705">
        <f t="shared" si="1716"/>
        <v>0</v>
      </c>
      <c r="R2037" s="1705">
        <f t="shared" si="1716"/>
        <v>0</v>
      </c>
      <c r="S2037" s="1705">
        <f t="shared" si="1716"/>
        <v>0</v>
      </c>
      <c r="T2037" s="1705">
        <f t="shared" si="1716"/>
        <v>0</v>
      </c>
      <c r="Y2037" s="1195" t="s">
        <v>2021</v>
      </c>
      <c r="Z2037" s="193">
        <f t="shared" ref="Z2037:Z2065" si="1717">+Z2001</f>
        <v>5</v>
      </c>
      <c r="AA2037" s="193"/>
      <c r="AB2037" s="254"/>
      <c r="AC2037" s="193"/>
      <c r="AD2037" s="193"/>
      <c r="AE2037" s="254"/>
      <c r="AF2037" s="1705">
        <f>SUMIF($AS$455:$AS$488,$B1642&amp;"propia",AF$455:AF$488)</f>
        <v>0</v>
      </c>
      <c r="AG2037" s="1705">
        <f t="shared" ref="AG2037:AQ2037" si="1718">SUMIF($AS$455:$AS$488,$B1642&amp;"propia",AG$455:AG$488)</f>
        <v>0</v>
      </c>
      <c r="AH2037" s="1705">
        <f t="shared" si="1718"/>
        <v>0</v>
      </c>
      <c r="AI2037" s="1705">
        <f t="shared" si="1718"/>
        <v>0</v>
      </c>
      <c r="AJ2037" s="1705">
        <f t="shared" si="1718"/>
        <v>0</v>
      </c>
      <c r="AK2037" s="1705">
        <f t="shared" si="1718"/>
        <v>0</v>
      </c>
      <c r="AL2037" s="1705">
        <f t="shared" si="1718"/>
        <v>0</v>
      </c>
      <c r="AM2037" s="1705">
        <f t="shared" si="1718"/>
        <v>0</v>
      </c>
      <c r="AN2037" s="1705">
        <f t="shared" si="1718"/>
        <v>0</v>
      </c>
      <c r="AO2037" s="1705">
        <f t="shared" si="1718"/>
        <v>0</v>
      </c>
      <c r="AP2037" s="1705">
        <f t="shared" si="1718"/>
        <v>0</v>
      </c>
      <c r="AQ2037" s="1706">
        <f t="shared" si="1718"/>
        <v>0</v>
      </c>
    </row>
    <row r="2038" spans="2:43" ht="13.75" hidden="1" customHeight="1" x14ac:dyDescent="0.2">
      <c r="B2038" s="1195"/>
      <c r="C2038" s="193">
        <f t="shared" si="1715"/>
        <v>5</v>
      </c>
      <c r="D2038" s="193"/>
      <c r="E2038" s="254"/>
      <c r="F2038" s="193"/>
      <c r="G2038" s="193"/>
      <c r="H2038" s="254"/>
      <c r="I2038" s="1707">
        <f t="shared" ref="I2038:T2038" si="1719">SUMIF($V$455:$V$488,$B1643&amp;"propia",I$455:I$488)</f>
        <v>0</v>
      </c>
      <c r="J2038" s="1707">
        <f t="shared" si="1719"/>
        <v>0</v>
      </c>
      <c r="K2038" s="1707">
        <f t="shared" si="1719"/>
        <v>0</v>
      </c>
      <c r="L2038" s="1707">
        <f t="shared" si="1719"/>
        <v>0</v>
      </c>
      <c r="M2038" s="1707">
        <f t="shared" si="1719"/>
        <v>0</v>
      </c>
      <c r="N2038" s="1707">
        <f t="shared" si="1719"/>
        <v>0</v>
      </c>
      <c r="O2038" s="1707">
        <f t="shared" si="1719"/>
        <v>0</v>
      </c>
      <c r="P2038" s="1707">
        <f t="shared" si="1719"/>
        <v>0</v>
      </c>
      <c r="Q2038" s="1707">
        <f t="shared" si="1719"/>
        <v>0</v>
      </c>
      <c r="R2038" s="1707">
        <f t="shared" si="1719"/>
        <v>0</v>
      </c>
      <c r="S2038" s="1707">
        <f t="shared" si="1719"/>
        <v>0</v>
      </c>
      <c r="T2038" s="1708">
        <f t="shared" si="1719"/>
        <v>0</v>
      </c>
      <c r="Y2038" s="1195"/>
      <c r="Z2038" s="193">
        <f t="shared" si="1717"/>
        <v>5</v>
      </c>
      <c r="AA2038" s="193"/>
      <c r="AB2038" s="254"/>
      <c r="AC2038" s="193"/>
      <c r="AD2038" s="193"/>
      <c r="AE2038" s="254"/>
      <c r="AF2038" s="1707">
        <f t="shared" ref="AF2038:AQ2038" si="1720">SUMIF($AS$455:$AS$488,$B1643&amp;"propia",AF$455:AF$488)</f>
        <v>0</v>
      </c>
      <c r="AG2038" s="1707">
        <f t="shared" si="1720"/>
        <v>0</v>
      </c>
      <c r="AH2038" s="1707">
        <f t="shared" si="1720"/>
        <v>0</v>
      </c>
      <c r="AI2038" s="1707">
        <f t="shared" si="1720"/>
        <v>0</v>
      </c>
      <c r="AJ2038" s="1707">
        <f t="shared" si="1720"/>
        <v>0</v>
      </c>
      <c r="AK2038" s="1707">
        <f t="shared" si="1720"/>
        <v>0</v>
      </c>
      <c r="AL2038" s="1707">
        <f t="shared" si="1720"/>
        <v>0</v>
      </c>
      <c r="AM2038" s="1707">
        <f t="shared" si="1720"/>
        <v>0</v>
      </c>
      <c r="AN2038" s="1707">
        <f t="shared" si="1720"/>
        <v>0</v>
      </c>
      <c r="AO2038" s="1707">
        <f t="shared" si="1720"/>
        <v>0</v>
      </c>
      <c r="AP2038" s="1707">
        <f t="shared" si="1720"/>
        <v>0</v>
      </c>
      <c r="AQ2038" s="1708">
        <f t="shared" si="1720"/>
        <v>0</v>
      </c>
    </row>
    <row r="2039" spans="2:43" ht="13.75" hidden="1" customHeight="1" x14ac:dyDescent="0.2">
      <c r="B2039" s="1195"/>
      <c r="C2039" s="193">
        <f t="shared" si="1715"/>
        <v>1.5</v>
      </c>
      <c r="D2039" s="193"/>
      <c r="E2039" s="254"/>
      <c r="F2039" s="193"/>
      <c r="G2039" s="193"/>
      <c r="H2039" s="254"/>
      <c r="I2039" s="1707">
        <f t="shared" ref="I2039:T2039" si="1721">SUMIF($V$455:$V$488,$B1644&amp;"propia",I$455:I$488)</f>
        <v>0</v>
      </c>
      <c r="J2039" s="1707">
        <f t="shared" si="1721"/>
        <v>0</v>
      </c>
      <c r="K2039" s="1707">
        <f t="shared" si="1721"/>
        <v>0</v>
      </c>
      <c r="L2039" s="1707">
        <f t="shared" si="1721"/>
        <v>0</v>
      </c>
      <c r="M2039" s="1707">
        <f t="shared" si="1721"/>
        <v>0</v>
      </c>
      <c r="N2039" s="1707">
        <f t="shared" si="1721"/>
        <v>0</v>
      </c>
      <c r="O2039" s="1707">
        <f t="shared" si="1721"/>
        <v>0</v>
      </c>
      <c r="P2039" s="1707">
        <f t="shared" si="1721"/>
        <v>0</v>
      </c>
      <c r="Q2039" s="1707">
        <f t="shared" si="1721"/>
        <v>0</v>
      </c>
      <c r="R2039" s="1707">
        <f t="shared" si="1721"/>
        <v>0</v>
      </c>
      <c r="S2039" s="1707">
        <f t="shared" si="1721"/>
        <v>0</v>
      </c>
      <c r="T2039" s="1708">
        <f t="shared" si="1721"/>
        <v>0</v>
      </c>
      <c r="Y2039" s="1195"/>
      <c r="Z2039" s="193">
        <f t="shared" si="1717"/>
        <v>1.5</v>
      </c>
      <c r="AA2039" s="193"/>
      <c r="AB2039" s="254"/>
      <c r="AC2039" s="193"/>
      <c r="AD2039" s="193"/>
      <c r="AE2039" s="254"/>
      <c r="AF2039" s="1707">
        <f t="shared" ref="AF2039:AQ2039" si="1722">SUMIF($AS$455:$AS$488,$B1644&amp;"propia",AF$455:AF$488)</f>
        <v>0</v>
      </c>
      <c r="AG2039" s="1707">
        <f t="shared" si="1722"/>
        <v>0</v>
      </c>
      <c r="AH2039" s="1707">
        <f t="shared" si="1722"/>
        <v>0</v>
      </c>
      <c r="AI2039" s="1707">
        <f t="shared" si="1722"/>
        <v>0</v>
      </c>
      <c r="AJ2039" s="1707">
        <f t="shared" si="1722"/>
        <v>0</v>
      </c>
      <c r="AK2039" s="1707">
        <f t="shared" si="1722"/>
        <v>0</v>
      </c>
      <c r="AL2039" s="1707">
        <f t="shared" si="1722"/>
        <v>0</v>
      </c>
      <c r="AM2039" s="1707">
        <f t="shared" si="1722"/>
        <v>0</v>
      </c>
      <c r="AN2039" s="1707">
        <f t="shared" si="1722"/>
        <v>0</v>
      </c>
      <c r="AO2039" s="1707">
        <f t="shared" si="1722"/>
        <v>0</v>
      </c>
      <c r="AP2039" s="1707">
        <f t="shared" si="1722"/>
        <v>0</v>
      </c>
      <c r="AQ2039" s="1708">
        <f t="shared" si="1722"/>
        <v>0</v>
      </c>
    </row>
    <row r="2040" spans="2:43" ht="13.75" hidden="1" customHeight="1" x14ac:dyDescent="0.2">
      <c r="B2040" s="1195"/>
      <c r="C2040" s="193">
        <f t="shared" si="1715"/>
        <v>1.5</v>
      </c>
      <c r="D2040" s="193"/>
      <c r="E2040" s="254"/>
      <c r="F2040" s="193"/>
      <c r="G2040" s="193"/>
      <c r="H2040" s="254"/>
      <c r="I2040" s="1707">
        <f t="shared" ref="I2040:T2040" si="1723">SUMIF($V$455:$V$488,$B1645&amp;"propia",I$455:I$488)</f>
        <v>0</v>
      </c>
      <c r="J2040" s="1707">
        <f t="shared" si="1723"/>
        <v>0</v>
      </c>
      <c r="K2040" s="1707">
        <f t="shared" si="1723"/>
        <v>0</v>
      </c>
      <c r="L2040" s="1707">
        <f t="shared" si="1723"/>
        <v>0</v>
      </c>
      <c r="M2040" s="1707">
        <f t="shared" si="1723"/>
        <v>0</v>
      </c>
      <c r="N2040" s="1707">
        <f t="shared" si="1723"/>
        <v>0</v>
      </c>
      <c r="O2040" s="1707">
        <f t="shared" si="1723"/>
        <v>0</v>
      </c>
      <c r="P2040" s="1707">
        <f t="shared" si="1723"/>
        <v>0</v>
      </c>
      <c r="Q2040" s="1707">
        <f t="shared" si="1723"/>
        <v>0</v>
      </c>
      <c r="R2040" s="1707">
        <f t="shared" si="1723"/>
        <v>0</v>
      </c>
      <c r="S2040" s="1707">
        <f t="shared" si="1723"/>
        <v>0</v>
      </c>
      <c r="T2040" s="1708">
        <f t="shared" si="1723"/>
        <v>0</v>
      </c>
      <c r="Y2040" s="1195"/>
      <c r="Z2040" s="193">
        <f t="shared" si="1717"/>
        <v>1.5</v>
      </c>
      <c r="AA2040" s="193"/>
      <c r="AB2040" s="254"/>
      <c r="AC2040" s="193"/>
      <c r="AD2040" s="193"/>
      <c r="AE2040" s="254"/>
      <c r="AF2040" s="1707">
        <f t="shared" ref="AF2040:AQ2040" si="1724">SUMIF($AS$455:$AS$488,$B1645&amp;"propia",AF$455:AF$488)</f>
        <v>0</v>
      </c>
      <c r="AG2040" s="1707">
        <f t="shared" si="1724"/>
        <v>0</v>
      </c>
      <c r="AH2040" s="1707">
        <f t="shared" si="1724"/>
        <v>0</v>
      </c>
      <c r="AI2040" s="1707">
        <f t="shared" si="1724"/>
        <v>0</v>
      </c>
      <c r="AJ2040" s="1707">
        <f t="shared" si="1724"/>
        <v>0</v>
      </c>
      <c r="AK2040" s="1707">
        <f t="shared" si="1724"/>
        <v>0</v>
      </c>
      <c r="AL2040" s="1707">
        <f t="shared" si="1724"/>
        <v>0</v>
      </c>
      <c r="AM2040" s="1707">
        <f t="shared" si="1724"/>
        <v>0</v>
      </c>
      <c r="AN2040" s="1707">
        <f t="shared" si="1724"/>
        <v>0</v>
      </c>
      <c r="AO2040" s="1707">
        <f t="shared" si="1724"/>
        <v>0</v>
      </c>
      <c r="AP2040" s="1707">
        <f t="shared" si="1724"/>
        <v>0</v>
      </c>
      <c r="AQ2040" s="1708">
        <f t="shared" si="1724"/>
        <v>0</v>
      </c>
    </row>
    <row r="2041" spans="2:43" ht="13.75" hidden="1" customHeight="1" x14ac:dyDescent="0.2">
      <c r="B2041" s="1195"/>
      <c r="C2041" s="193">
        <f t="shared" si="1715"/>
        <v>3</v>
      </c>
      <c r="D2041" s="193"/>
      <c r="E2041" s="254"/>
      <c r="F2041" s="193"/>
      <c r="G2041" s="193"/>
      <c r="H2041" s="254"/>
      <c r="I2041" s="1707">
        <f t="shared" ref="I2041:T2041" si="1725">SUMIF($V$455:$V$488,$B1646&amp;"propia",I$455:I$488)</f>
        <v>0</v>
      </c>
      <c r="J2041" s="1707">
        <f t="shared" si="1725"/>
        <v>0</v>
      </c>
      <c r="K2041" s="1707">
        <f t="shared" si="1725"/>
        <v>0</v>
      </c>
      <c r="L2041" s="1707">
        <f t="shared" si="1725"/>
        <v>0</v>
      </c>
      <c r="M2041" s="1707">
        <f t="shared" si="1725"/>
        <v>0</v>
      </c>
      <c r="N2041" s="1707">
        <f t="shared" si="1725"/>
        <v>0</v>
      </c>
      <c r="O2041" s="1707">
        <f t="shared" si="1725"/>
        <v>0</v>
      </c>
      <c r="P2041" s="1707">
        <f t="shared" si="1725"/>
        <v>0</v>
      </c>
      <c r="Q2041" s="1707">
        <f t="shared" si="1725"/>
        <v>0</v>
      </c>
      <c r="R2041" s="1707">
        <f t="shared" si="1725"/>
        <v>0</v>
      </c>
      <c r="S2041" s="1707">
        <f t="shared" si="1725"/>
        <v>0</v>
      </c>
      <c r="T2041" s="1708">
        <f t="shared" si="1725"/>
        <v>0</v>
      </c>
      <c r="Y2041" s="1195"/>
      <c r="Z2041" s="193">
        <f t="shared" si="1717"/>
        <v>3</v>
      </c>
      <c r="AA2041" s="193"/>
      <c r="AB2041" s="254"/>
      <c r="AC2041" s="193"/>
      <c r="AD2041" s="193"/>
      <c r="AE2041" s="254"/>
      <c r="AF2041" s="1707">
        <f t="shared" ref="AF2041:AQ2041" si="1726">SUMIF($AS$455:$AS$488,$B1646&amp;"propia",AF$455:AF$488)</f>
        <v>0</v>
      </c>
      <c r="AG2041" s="1707">
        <f t="shared" si="1726"/>
        <v>0</v>
      </c>
      <c r="AH2041" s="1707">
        <f t="shared" si="1726"/>
        <v>0</v>
      </c>
      <c r="AI2041" s="1707">
        <f t="shared" si="1726"/>
        <v>0</v>
      </c>
      <c r="AJ2041" s="1707">
        <f t="shared" si="1726"/>
        <v>0</v>
      </c>
      <c r="AK2041" s="1707">
        <f t="shared" si="1726"/>
        <v>0</v>
      </c>
      <c r="AL2041" s="1707">
        <f t="shared" si="1726"/>
        <v>0</v>
      </c>
      <c r="AM2041" s="1707">
        <f t="shared" si="1726"/>
        <v>0</v>
      </c>
      <c r="AN2041" s="1707">
        <f t="shared" si="1726"/>
        <v>0</v>
      </c>
      <c r="AO2041" s="1707">
        <f t="shared" si="1726"/>
        <v>0</v>
      </c>
      <c r="AP2041" s="1707">
        <f t="shared" si="1726"/>
        <v>0</v>
      </c>
      <c r="AQ2041" s="1708">
        <f t="shared" si="1726"/>
        <v>0</v>
      </c>
    </row>
    <row r="2042" spans="2:43" ht="13.75" hidden="1" customHeight="1" x14ac:dyDescent="0.2">
      <c r="B2042" s="1195"/>
      <c r="C2042" s="193">
        <f t="shared" si="1715"/>
        <v>3</v>
      </c>
      <c r="D2042" s="193"/>
      <c r="E2042" s="254"/>
      <c r="F2042" s="193"/>
      <c r="G2042" s="193"/>
      <c r="H2042" s="254"/>
      <c r="I2042" s="1707">
        <f t="shared" ref="I2042:T2042" si="1727">SUMIF($V$455:$V$488,$B1647&amp;"propia",I$455:I$488)</f>
        <v>0</v>
      </c>
      <c r="J2042" s="1707">
        <f t="shared" si="1727"/>
        <v>0</v>
      </c>
      <c r="K2042" s="1707">
        <f t="shared" si="1727"/>
        <v>0</v>
      </c>
      <c r="L2042" s="1707">
        <f t="shared" si="1727"/>
        <v>0</v>
      </c>
      <c r="M2042" s="1707">
        <f t="shared" si="1727"/>
        <v>0</v>
      </c>
      <c r="N2042" s="1707">
        <f t="shared" si="1727"/>
        <v>0</v>
      </c>
      <c r="O2042" s="1707">
        <f t="shared" si="1727"/>
        <v>0</v>
      </c>
      <c r="P2042" s="1707">
        <f t="shared" si="1727"/>
        <v>0</v>
      </c>
      <c r="Q2042" s="1707">
        <f t="shared" si="1727"/>
        <v>0</v>
      </c>
      <c r="R2042" s="1707">
        <f t="shared" si="1727"/>
        <v>0</v>
      </c>
      <c r="S2042" s="1707">
        <f t="shared" si="1727"/>
        <v>0</v>
      </c>
      <c r="T2042" s="1708">
        <f t="shared" si="1727"/>
        <v>0</v>
      </c>
      <c r="Y2042" s="1195"/>
      <c r="Z2042" s="193">
        <f t="shared" si="1717"/>
        <v>3</v>
      </c>
      <c r="AA2042" s="193"/>
      <c r="AB2042" s="254"/>
      <c r="AC2042" s="193"/>
      <c r="AD2042" s="193"/>
      <c r="AE2042" s="254"/>
      <c r="AF2042" s="1707">
        <f t="shared" ref="AF2042:AQ2042" si="1728">SUMIF($AS$455:$AS$488,$B1647&amp;"propia",AF$455:AF$488)</f>
        <v>0</v>
      </c>
      <c r="AG2042" s="1707">
        <f t="shared" si="1728"/>
        <v>0</v>
      </c>
      <c r="AH2042" s="1707">
        <f t="shared" si="1728"/>
        <v>0</v>
      </c>
      <c r="AI2042" s="1707">
        <f t="shared" si="1728"/>
        <v>0</v>
      </c>
      <c r="AJ2042" s="1707">
        <f t="shared" si="1728"/>
        <v>0</v>
      </c>
      <c r="AK2042" s="1707">
        <f t="shared" si="1728"/>
        <v>0</v>
      </c>
      <c r="AL2042" s="1707">
        <f t="shared" si="1728"/>
        <v>0</v>
      </c>
      <c r="AM2042" s="1707">
        <f t="shared" si="1728"/>
        <v>0</v>
      </c>
      <c r="AN2042" s="1707">
        <f t="shared" si="1728"/>
        <v>0</v>
      </c>
      <c r="AO2042" s="1707">
        <f t="shared" si="1728"/>
        <v>0</v>
      </c>
      <c r="AP2042" s="1707">
        <f t="shared" si="1728"/>
        <v>0</v>
      </c>
      <c r="AQ2042" s="1708">
        <f t="shared" si="1728"/>
        <v>0</v>
      </c>
    </row>
    <row r="2043" spans="2:43" ht="13.75" hidden="1" customHeight="1" x14ac:dyDescent="0.2">
      <c r="B2043" s="1195"/>
      <c r="C2043" s="193">
        <f t="shared" si="1715"/>
        <v>9</v>
      </c>
      <c r="D2043" s="193"/>
      <c r="E2043" s="254"/>
      <c r="F2043" s="193"/>
      <c r="G2043" s="193"/>
      <c r="H2043" s="254"/>
      <c r="I2043" s="1707">
        <f t="shared" ref="I2043:T2043" si="1729">SUMIF($V$455:$V$488,$B1648&amp;"propia",I$455:I$488)</f>
        <v>0</v>
      </c>
      <c r="J2043" s="1707">
        <f t="shared" si="1729"/>
        <v>0</v>
      </c>
      <c r="K2043" s="1707">
        <f t="shared" si="1729"/>
        <v>0</v>
      </c>
      <c r="L2043" s="1707">
        <f t="shared" si="1729"/>
        <v>0</v>
      </c>
      <c r="M2043" s="1707">
        <f t="shared" si="1729"/>
        <v>0</v>
      </c>
      <c r="N2043" s="1707">
        <f t="shared" si="1729"/>
        <v>0</v>
      </c>
      <c r="O2043" s="1707">
        <f t="shared" si="1729"/>
        <v>0</v>
      </c>
      <c r="P2043" s="1707">
        <f t="shared" si="1729"/>
        <v>0</v>
      </c>
      <c r="Q2043" s="1707">
        <f t="shared" si="1729"/>
        <v>0</v>
      </c>
      <c r="R2043" s="1707">
        <f t="shared" si="1729"/>
        <v>0</v>
      </c>
      <c r="S2043" s="1707">
        <f t="shared" si="1729"/>
        <v>0</v>
      </c>
      <c r="T2043" s="1708">
        <f t="shared" si="1729"/>
        <v>0</v>
      </c>
      <c r="Y2043" s="1195"/>
      <c r="Z2043" s="193">
        <f t="shared" si="1717"/>
        <v>9</v>
      </c>
      <c r="AA2043" s="193"/>
      <c r="AB2043" s="254"/>
      <c r="AC2043" s="193"/>
      <c r="AD2043" s="193"/>
      <c r="AE2043" s="254"/>
      <c r="AF2043" s="1707">
        <f t="shared" ref="AF2043:AQ2043" si="1730">SUMIF($AS$455:$AS$488,$B1648&amp;"propia",AF$455:AF$488)</f>
        <v>0</v>
      </c>
      <c r="AG2043" s="1707">
        <f t="shared" si="1730"/>
        <v>0</v>
      </c>
      <c r="AH2043" s="1707">
        <f t="shared" si="1730"/>
        <v>0</v>
      </c>
      <c r="AI2043" s="1707">
        <f t="shared" si="1730"/>
        <v>0</v>
      </c>
      <c r="AJ2043" s="1707">
        <f t="shared" si="1730"/>
        <v>0</v>
      </c>
      <c r="AK2043" s="1707">
        <f t="shared" si="1730"/>
        <v>0</v>
      </c>
      <c r="AL2043" s="1707">
        <f t="shared" si="1730"/>
        <v>0</v>
      </c>
      <c r="AM2043" s="1707">
        <f t="shared" si="1730"/>
        <v>0</v>
      </c>
      <c r="AN2043" s="1707">
        <f t="shared" si="1730"/>
        <v>0</v>
      </c>
      <c r="AO2043" s="1707">
        <f t="shared" si="1730"/>
        <v>0</v>
      </c>
      <c r="AP2043" s="1707">
        <f t="shared" si="1730"/>
        <v>0</v>
      </c>
      <c r="AQ2043" s="1708">
        <f t="shared" si="1730"/>
        <v>0</v>
      </c>
    </row>
    <row r="2044" spans="2:43" ht="13.75" hidden="1" customHeight="1" x14ac:dyDescent="0.2">
      <c r="B2044" s="1195"/>
      <c r="C2044" s="193">
        <f t="shared" si="1715"/>
        <v>0</v>
      </c>
      <c r="D2044" s="193"/>
      <c r="E2044" s="254"/>
      <c r="F2044" s="193"/>
      <c r="G2044" s="193"/>
      <c r="H2044" s="254"/>
      <c r="I2044" s="1707">
        <f t="shared" ref="I2044:T2044" si="1731">SUMIF($V$455:$V$488,$B1649&amp;"propia",I$455:I$488)</f>
        <v>0</v>
      </c>
      <c r="J2044" s="1707">
        <f t="shared" si="1731"/>
        <v>0</v>
      </c>
      <c r="K2044" s="1707">
        <f t="shared" si="1731"/>
        <v>0</v>
      </c>
      <c r="L2044" s="1707">
        <f t="shared" si="1731"/>
        <v>0</v>
      </c>
      <c r="M2044" s="1707">
        <f t="shared" si="1731"/>
        <v>0</v>
      </c>
      <c r="N2044" s="1707">
        <f t="shared" si="1731"/>
        <v>0</v>
      </c>
      <c r="O2044" s="1707">
        <f t="shared" si="1731"/>
        <v>0</v>
      </c>
      <c r="P2044" s="1707">
        <f t="shared" si="1731"/>
        <v>0</v>
      </c>
      <c r="Q2044" s="1707">
        <f t="shared" si="1731"/>
        <v>0</v>
      </c>
      <c r="R2044" s="1707">
        <f t="shared" si="1731"/>
        <v>0</v>
      </c>
      <c r="S2044" s="1707">
        <f t="shared" si="1731"/>
        <v>0</v>
      </c>
      <c r="T2044" s="1708">
        <f t="shared" si="1731"/>
        <v>0</v>
      </c>
      <c r="Y2044" s="1195"/>
      <c r="Z2044" s="193">
        <f t="shared" si="1717"/>
        <v>0</v>
      </c>
      <c r="AA2044" s="193"/>
      <c r="AB2044" s="254"/>
      <c r="AC2044" s="193"/>
      <c r="AD2044" s="193"/>
      <c r="AE2044" s="254"/>
      <c r="AF2044" s="1707">
        <f t="shared" ref="AF2044:AQ2044" si="1732">SUMIF($AS$455:$AS$488,$B1649&amp;"propia",AF$455:AF$488)</f>
        <v>0</v>
      </c>
      <c r="AG2044" s="1707">
        <f t="shared" si="1732"/>
        <v>0</v>
      </c>
      <c r="AH2044" s="1707">
        <f t="shared" si="1732"/>
        <v>0</v>
      </c>
      <c r="AI2044" s="1707">
        <f t="shared" si="1732"/>
        <v>0</v>
      </c>
      <c r="AJ2044" s="1707">
        <f t="shared" si="1732"/>
        <v>0</v>
      </c>
      <c r="AK2044" s="1707">
        <f t="shared" si="1732"/>
        <v>0</v>
      </c>
      <c r="AL2044" s="1707">
        <f t="shared" si="1732"/>
        <v>0</v>
      </c>
      <c r="AM2044" s="1707">
        <f t="shared" si="1732"/>
        <v>0</v>
      </c>
      <c r="AN2044" s="1707">
        <f t="shared" si="1732"/>
        <v>0</v>
      </c>
      <c r="AO2044" s="1707">
        <f t="shared" si="1732"/>
        <v>0</v>
      </c>
      <c r="AP2044" s="1707">
        <f t="shared" si="1732"/>
        <v>0</v>
      </c>
      <c r="AQ2044" s="1708">
        <f t="shared" si="1732"/>
        <v>0</v>
      </c>
    </row>
    <row r="2045" spans="2:43" ht="13.75" hidden="1" customHeight="1" x14ac:dyDescent="0.2">
      <c r="B2045" s="1195"/>
      <c r="C2045" s="193">
        <f t="shared" si="1715"/>
        <v>0</v>
      </c>
      <c r="D2045" s="193"/>
      <c r="E2045" s="254"/>
      <c r="F2045" s="193"/>
      <c r="G2045" s="193"/>
      <c r="H2045" s="254"/>
      <c r="I2045" s="1707">
        <f t="shared" ref="I2045:T2045" si="1733">SUMIF($V$455:$V$488,$B1650&amp;"propia",I$455:I$488)</f>
        <v>0</v>
      </c>
      <c r="J2045" s="1707">
        <f t="shared" si="1733"/>
        <v>0</v>
      </c>
      <c r="K2045" s="1707">
        <f t="shared" si="1733"/>
        <v>0</v>
      </c>
      <c r="L2045" s="1707">
        <f t="shared" si="1733"/>
        <v>0</v>
      </c>
      <c r="M2045" s="1707">
        <f t="shared" si="1733"/>
        <v>0</v>
      </c>
      <c r="N2045" s="1707">
        <f t="shared" si="1733"/>
        <v>0</v>
      </c>
      <c r="O2045" s="1707">
        <f t="shared" si="1733"/>
        <v>0</v>
      </c>
      <c r="P2045" s="1707">
        <f t="shared" si="1733"/>
        <v>0</v>
      </c>
      <c r="Q2045" s="1707">
        <f t="shared" si="1733"/>
        <v>0</v>
      </c>
      <c r="R2045" s="1707">
        <f t="shared" si="1733"/>
        <v>0</v>
      </c>
      <c r="S2045" s="1707">
        <f t="shared" si="1733"/>
        <v>0</v>
      </c>
      <c r="T2045" s="1708">
        <f t="shared" si="1733"/>
        <v>0</v>
      </c>
      <c r="Y2045" s="1195"/>
      <c r="Z2045" s="193">
        <f t="shared" si="1717"/>
        <v>0</v>
      </c>
      <c r="AA2045" s="193"/>
      <c r="AB2045" s="254"/>
      <c r="AC2045" s="193"/>
      <c r="AD2045" s="193"/>
      <c r="AE2045" s="254"/>
      <c r="AF2045" s="1707">
        <f t="shared" ref="AF2045:AQ2045" si="1734">SUMIF($AS$455:$AS$488,$B1650&amp;"propia",AF$455:AF$488)</f>
        <v>0</v>
      </c>
      <c r="AG2045" s="1707">
        <f t="shared" si="1734"/>
        <v>0</v>
      </c>
      <c r="AH2045" s="1707">
        <f t="shared" si="1734"/>
        <v>0</v>
      </c>
      <c r="AI2045" s="1707">
        <f t="shared" si="1734"/>
        <v>0</v>
      </c>
      <c r="AJ2045" s="1707">
        <f t="shared" si="1734"/>
        <v>0</v>
      </c>
      <c r="AK2045" s="1707">
        <f t="shared" si="1734"/>
        <v>0</v>
      </c>
      <c r="AL2045" s="1707">
        <f t="shared" si="1734"/>
        <v>0</v>
      </c>
      <c r="AM2045" s="1707">
        <f t="shared" si="1734"/>
        <v>0</v>
      </c>
      <c r="AN2045" s="1707">
        <f t="shared" si="1734"/>
        <v>0</v>
      </c>
      <c r="AO2045" s="1707">
        <f t="shared" si="1734"/>
        <v>0</v>
      </c>
      <c r="AP2045" s="1707">
        <f t="shared" si="1734"/>
        <v>0</v>
      </c>
      <c r="AQ2045" s="1708">
        <f t="shared" si="1734"/>
        <v>0</v>
      </c>
    </row>
    <row r="2046" spans="2:43" ht="13.75" hidden="1" customHeight="1" x14ac:dyDescent="0.2">
      <c r="B2046" s="1195"/>
      <c r="C2046" s="193">
        <f t="shared" si="1715"/>
        <v>0</v>
      </c>
      <c r="D2046" s="193"/>
      <c r="E2046" s="254"/>
      <c r="F2046" s="193"/>
      <c r="G2046" s="193"/>
      <c r="H2046" s="254"/>
      <c r="I2046" s="1707">
        <f t="shared" ref="I2046:T2046" si="1735">SUMIF($V$455:$V$488,$B1651&amp;"propia",I$455:I$488)</f>
        <v>0</v>
      </c>
      <c r="J2046" s="1707">
        <f t="shared" si="1735"/>
        <v>0</v>
      </c>
      <c r="K2046" s="1707">
        <f t="shared" si="1735"/>
        <v>0</v>
      </c>
      <c r="L2046" s="1707">
        <f t="shared" si="1735"/>
        <v>0</v>
      </c>
      <c r="M2046" s="1707">
        <f t="shared" si="1735"/>
        <v>0</v>
      </c>
      <c r="N2046" s="1707">
        <f t="shared" si="1735"/>
        <v>0</v>
      </c>
      <c r="O2046" s="1707">
        <f t="shared" si="1735"/>
        <v>0</v>
      </c>
      <c r="P2046" s="1707">
        <f t="shared" si="1735"/>
        <v>0</v>
      </c>
      <c r="Q2046" s="1707">
        <f t="shared" si="1735"/>
        <v>0</v>
      </c>
      <c r="R2046" s="1707">
        <f t="shared" si="1735"/>
        <v>0</v>
      </c>
      <c r="S2046" s="1707">
        <f t="shared" si="1735"/>
        <v>0</v>
      </c>
      <c r="T2046" s="1708">
        <f t="shared" si="1735"/>
        <v>0</v>
      </c>
      <c r="Y2046" s="1195"/>
      <c r="Z2046" s="193">
        <f t="shared" si="1717"/>
        <v>0</v>
      </c>
      <c r="AA2046" s="193"/>
      <c r="AB2046" s="254"/>
      <c r="AC2046" s="193"/>
      <c r="AD2046" s="193"/>
      <c r="AE2046" s="254"/>
      <c r="AF2046" s="1707">
        <f t="shared" ref="AF2046:AQ2046" si="1736">SUMIF($AS$455:$AS$488,$B1651&amp;"propia",AF$455:AF$488)</f>
        <v>0</v>
      </c>
      <c r="AG2046" s="1707">
        <f t="shared" si="1736"/>
        <v>0</v>
      </c>
      <c r="AH2046" s="1707">
        <f t="shared" si="1736"/>
        <v>0</v>
      </c>
      <c r="AI2046" s="1707">
        <f t="shared" si="1736"/>
        <v>0</v>
      </c>
      <c r="AJ2046" s="1707">
        <f t="shared" si="1736"/>
        <v>0</v>
      </c>
      <c r="AK2046" s="1707">
        <f t="shared" si="1736"/>
        <v>0</v>
      </c>
      <c r="AL2046" s="1707">
        <f t="shared" si="1736"/>
        <v>0</v>
      </c>
      <c r="AM2046" s="1707">
        <f t="shared" si="1736"/>
        <v>0</v>
      </c>
      <c r="AN2046" s="1707">
        <f t="shared" si="1736"/>
        <v>0</v>
      </c>
      <c r="AO2046" s="1707">
        <f t="shared" si="1736"/>
        <v>0</v>
      </c>
      <c r="AP2046" s="1707">
        <f t="shared" si="1736"/>
        <v>0</v>
      </c>
      <c r="AQ2046" s="1708">
        <f t="shared" si="1736"/>
        <v>0</v>
      </c>
    </row>
    <row r="2047" spans="2:43" ht="13.75" hidden="1" customHeight="1" x14ac:dyDescent="0.2">
      <c r="B2047" s="1195"/>
      <c r="C2047" s="193">
        <f t="shared" si="1715"/>
        <v>0</v>
      </c>
      <c r="D2047" s="193"/>
      <c r="E2047" s="254"/>
      <c r="F2047" s="193"/>
      <c r="G2047" s="193"/>
      <c r="H2047" s="254"/>
      <c r="I2047" s="1707">
        <f t="shared" ref="I2047:T2047" si="1737">SUMIF($V$455:$V$488,$B1652&amp;"propia",I$455:I$488)</f>
        <v>0</v>
      </c>
      <c r="J2047" s="1707">
        <f t="shared" si="1737"/>
        <v>0</v>
      </c>
      <c r="K2047" s="1707">
        <f t="shared" si="1737"/>
        <v>0</v>
      </c>
      <c r="L2047" s="1707">
        <f t="shared" si="1737"/>
        <v>0</v>
      </c>
      <c r="M2047" s="1707">
        <f t="shared" si="1737"/>
        <v>0</v>
      </c>
      <c r="N2047" s="1707">
        <f t="shared" si="1737"/>
        <v>0</v>
      </c>
      <c r="O2047" s="1707">
        <f t="shared" si="1737"/>
        <v>0</v>
      </c>
      <c r="P2047" s="1707">
        <f t="shared" si="1737"/>
        <v>0</v>
      </c>
      <c r="Q2047" s="1707">
        <f t="shared" si="1737"/>
        <v>0</v>
      </c>
      <c r="R2047" s="1707">
        <f t="shared" si="1737"/>
        <v>0</v>
      </c>
      <c r="S2047" s="1707">
        <f t="shared" si="1737"/>
        <v>0</v>
      </c>
      <c r="T2047" s="1708">
        <f t="shared" si="1737"/>
        <v>0</v>
      </c>
      <c r="Y2047" s="1195"/>
      <c r="Z2047" s="193">
        <f t="shared" si="1717"/>
        <v>0</v>
      </c>
      <c r="AA2047" s="193"/>
      <c r="AB2047" s="254"/>
      <c r="AC2047" s="193"/>
      <c r="AD2047" s="193"/>
      <c r="AE2047" s="254"/>
      <c r="AF2047" s="1707">
        <f t="shared" ref="AF2047:AQ2047" si="1738">SUMIF($AS$455:$AS$488,$B1652&amp;"propia",AF$455:AF$488)</f>
        <v>0</v>
      </c>
      <c r="AG2047" s="1707">
        <f t="shared" si="1738"/>
        <v>0</v>
      </c>
      <c r="AH2047" s="1707">
        <f t="shared" si="1738"/>
        <v>0</v>
      </c>
      <c r="AI2047" s="1707">
        <f t="shared" si="1738"/>
        <v>0</v>
      </c>
      <c r="AJ2047" s="1707">
        <f t="shared" si="1738"/>
        <v>0</v>
      </c>
      <c r="AK2047" s="1707">
        <f t="shared" si="1738"/>
        <v>0</v>
      </c>
      <c r="AL2047" s="1707">
        <f t="shared" si="1738"/>
        <v>0</v>
      </c>
      <c r="AM2047" s="1707">
        <f t="shared" si="1738"/>
        <v>0</v>
      </c>
      <c r="AN2047" s="1707">
        <f t="shared" si="1738"/>
        <v>0</v>
      </c>
      <c r="AO2047" s="1707">
        <f t="shared" si="1738"/>
        <v>0</v>
      </c>
      <c r="AP2047" s="1707">
        <f t="shared" si="1738"/>
        <v>0</v>
      </c>
      <c r="AQ2047" s="1708">
        <f t="shared" si="1738"/>
        <v>0</v>
      </c>
    </row>
    <row r="2048" spans="2:43" ht="13.75" hidden="1" customHeight="1" x14ac:dyDescent="0.2">
      <c r="B2048" s="1195"/>
      <c r="C2048" s="193">
        <f t="shared" si="1715"/>
        <v>0</v>
      </c>
      <c r="D2048" s="193"/>
      <c r="E2048" s="254"/>
      <c r="F2048" s="193"/>
      <c r="G2048" s="193"/>
      <c r="H2048" s="254"/>
      <c r="I2048" s="1707">
        <f t="shared" ref="I2048:T2048" si="1739">SUMIF($V$455:$V$488,$B1653&amp;"propia",I$455:I$488)</f>
        <v>0</v>
      </c>
      <c r="J2048" s="1707">
        <f t="shared" si="1739"/>
        <v>0</v>
      </c>
      <c r="K2048" s="1707">
        <f t="shared" si="1739"/>
        <v>0</v>
      </c>
      <c r="L2048" s="1707">
        <f t="shared" si="1739"/>
        <v>0</v>
      </c>
      <c r="M2048" s="1707">
        <f t="shared" si="1739"/>
        <v>0</v>
      </c>
      <c r="N2048" s="1707">
        <f t="shared" si="1739"/>
        <v>0</v>
      </c>
      <c r="O2048" s="1707">
        <f t="shared" si="1739"/>
        <v>0</v>
      </c>
      <c r="P2048" s="1707">
        <f t="shared" si="1739"/>
        <v>0</v>
      </c>
      <c r="Q2048" s="1707">
        <f t="shared" si="1739"/>
        <v>0</v>
      </c>
      <c r="R2048" s="1707">
        <f t="shared" si="1739"/>
        <v>0</v>
      </c>
      <c r="S2048" s="1707">
        <f t="shared" si="1739"/>
        <v>0</v>
      </c>
      <c r="T2048" s="1708">
        <f t="shared" si="1739"/>
        <v>0</v>
      </c>
      <c r="Y2048" s="1195"/>
      <c r="Z2048" s="193">
        <f t="shared" si="1717"/>
        <v>0</v>
      </c>
      <c r="AA2048" s="193"/>
      <c r="AB2048" s="254"/>
      <c r="AC2048" s="193"/>
      <c r="AD2048" s="193"/>
      <c r="AE2048" s="254"/>
      <c r="AF2048" s="1707">
        <f t="shared" ref="AF2048:AQ2048" si="1740">SUMIF($AS$455:$AS$488,$B1653&amp;"propia",AF$455:AF$488)</f>
        <v>0</v>
      </c>
      <c r="AG2048" s="1707">
        <f t="shared" si="1740"/>
        <v>0</v>
      </c>
      <c r="AH2048" s="1707">
        <f t="shared" si="1740"/>
        <v>0</v>
      </c>
      <c r="AI2048" s="1707">
        <f t="shared" si="1740"/>
        <v>0</v>
      </c>
      <c r="AJ2048" s="1707">
        <f t="shared" si="1740"/>
        <v>0</v>
      </c>
      <c r="AK2048" s="1707">
        <f t="shared" si="1740"/>
        <v>0</v>
      </c>
      <c r="AL2048" s="1707">
        <f t="shared" si="1740"/>
        <v>0</v>
      </c>
      <c r="AM2048" s="1707">
        <f t="shared" si="1740"/>
        <v>0</v>
      </c>
      <c r="AN2048" s="1707">
        <f t="shared" si="1740"/>
        <v>0</v>
      </c>
      <c r="AO2048" s="1707">
        <f t="shared" si="1740"/>
        <v>0</v>
      </c>
      <c r="AP2048" s="1707">
        <f t="shared" si="1740"/>
        <v>0</v>
      </c>
      <c r="AQ2048" s="1708">
        <f t="shared" si="1740"/>
        <v>0</v>
      </c>
    </row>
    <row r="2049" spans="2:43" ht="13.75" hidden="1" customHeight="1" x14ac:dyDescent="0.2">
      <c r="B2049" s="1195"/>
      <c r="C2049" s="193">
        <f t="shared" si="1715"/>
        <v>0</v>
      </c>
      <c r="D2049" s="193"/>
      <c r="E2049" s="254"/>
      <c r="F2049" s="193"/>
      <c r="G2049" s="193"/>
      <c r="H2049" s="254"/>
      <c r="I2049" s="1707">
        <f t="shared" ref="I2049:T2049" si="1741">SUMIF($V$455:$V$488,$B1654&amp;"propia",I$455:I$488)</f>
        <v>0</v>
      </c>
      <c r="J2049" s="1707">
        <f t="shared" si="1741"/>
        <v>0</v>
      </c>
      <c r="K2049" s="1707">
        <f t="shared" si="1741"/>
        <v>0</v>
      </c>
      <c r="L2049" s="1707">
        <f t="shared" si="1741"/>
        <v>0</v>
      </c>
      <c r="M2049" s="1707">
        <f t="shared" si="1741"/>
        <v>0</v>
      </c>
      <c r="N2049" s="1707">
        <f t="shared" si="1741"/>
        <v>0</v>
      </c>
      <c r="O2049" s="1707">
        <f t="shared" si="1741"/>
        <v>0</v>
      </c>
      <c r="P2049" s="1707">
        <f t="shared" si="1741"/>
        <v>0</v>
      </c>
      <c r="Q2049" s="1707">
        <f t="shared" si="1741"/>
        <v>0</v>
      </c>
      <c r="R2049" s="1707">
        <f t="shared" si="1741"/>
        <v>0</v>
      </c>
      <c r="S2049" s="1707">
        <f t="shared" si="1741"/>
        <v>0</v>
      </c>
      <c r="T2049" s="1708">
        <f t="shared" si="1741"/>
        <v>0</v>
      </c>
      <c r="Y2049" s="1195"/>
      <c r="Z2049" s="193">
        <f t="shared" si="1717"/>
        <v>0</v>
      </c>
      <c r="AA2049" s="193"/>
      <c r="AB2049" s="254"/>
      <c r="AC2049" s="193"/>
      <c r="AD2049" s="193"/>
      <c r="AE2049" s="254"/>
      <c r="AF2049" s="1707">
        <f t="shared" ref="AF2049:AQ2049" si="1742">SUMIF($AS$455:$AS$488,$B1654&amp;"propia",AF$455:AF$488)</f>
        <v>0</v>
      </c>
      <c r="AG2049" s="1707">
        <f t="shared" si="1742"/>
        <v>0</v>
      </c>
      <c r="AH2049" s="1707">
        <f t="shared" si="1742"/>
        <v>0</v>
      </c>
      <c r="AI2049" s="1707">
        <f t="shared" si="1742"/>
        <v>0</v>
      </c>
      <c r="AJ2049" s="1707">
        <f t="shared" si="1742"/>
        <v>0</v>
      </c>
      <c r="AK2049" s="1707">
        <f t="shared" si="1742"/>
        <v>0</v>
      </c>
      <c r="AL2049" s="1707">
        <f t="shared" si="1742"/>
        <v>0</v>
      </c>
      <c r="AM2049" s="1707">
        <f t="shared" si="1742"/>
        <v>0</v>
      </c>
      <c r="AN2049" s="1707">
        <f t="shared" si="1742"/>
        <v>0</v>
      </c>
      <c r="AO2049" s="1707">
        <f t="shared" si="1742"/>
        <v>0</v>
      </c>
      <c r="AP2049" s="1707">
        <f t="shared" si="1742"/>
        <v>0</v>
      </c>
      <c r="AQ2049" s="1708">
        <f t="shared" si="1742"/>
        <v>0</v>
      </c>
    </row>
    <row r="2050" spans="2:43" ht="14.4" hidden="1" customHeight="1" thickBot="1" x14ac:dyDescent="0.25">
      <c r="B2050" s="1198"/>
      <c r="C2050" s="1199">
        <f t="shared" si="1715"/>
        <v>0</v>
      </c>
      <c r="D2050" s="1199"/>
      <c r="E2050" s="1209"/>
      <c r="F2050" s="1199"/>
      <c r="G2050" s="1199"/>
      <c r="H2050" s="1209"/>
      <c r="I2050" s="1709">
        <f t="shared" ref="I2050:T2050" si="1743">SUMIF($V$455:$V$488,$B1655&amp;"propia",I$455:I$488)</f>
        <v>0</v>
      </c>
      <c r="J2050" s="1709">
        <f t="shared" si="1743"/>
        <v>0</v>
      </c>
      <c r="K2050" s="1709">
        <f t="shared" si="1743"/>
        <v>0</v>
      </c>
      <c r="L2050" s="1709">
        <f t="shared" si="1743"/>
        <v>0</v>
      </c>
      <c r="M2050" s="1709">
        <f t="shared" si="1743"/>
        <v>0</v>
      </c>
      <c r="N2050" s="1709">
        <f t="shared" si="1743"/>
        <v>0</v>
      </c>
      <c r="O2050" s="1709">
        <f t="shared" si="1743"/>
        <v>0</v>
      </c>
      <c r="P2050" s="1709">
        <f t="shared" si="1743"/>
        <v>0</v>
      </c>
      <c r="Q2050" s="1709">
        <f t="shared" si="1743"/>
        <v>0</v>
      </c>
      <c r="R2050" s="1709">
        <f t="shared" si="1743"/>
        <v>0</v>
      </c>
      <c r="S2050" s="1709">
        <f t="shared" si="1743"/>
        <v>0</v>
      </c>
      <c r="T2050" s="1710">
        <f t="shared" si="1743"/>
        <v>0</v>
      </c>
      <c r="Y2050" s="1198"/>
      <c r="Z2050" s="1199">
        <f t="shared" si="1717"/>
        <v>0</v>
      </c>
      <c r="AA2050" s="1199"/>
      <c r="AB2050" s="1209"/>
      <c r="AC2050" s="1199"/>
      <c r="AD2050" s="1199"/>
      <c r="AE2050" s="1209"/>
      <c r="AF2050" s="1709">
        <f t="shared" ref="AF2050:AQ2050" si="1744">SUMIF($AS$455:$AS$488,$B1655&amp;"propia",AF$455:AF$488)</f>
        <v>0</v>
      </c>
      <c r="AG2050" s="1709">
        <f t="shared" si="1744"/>
        <v>0</v>
      </c>
      <c r="AH2050" s="1709">
        <f t="shared" si="1744"/>
        <v>0</v>
      </c>
      <c r="AI2050" s="1709">
        <f t="shared" si="1744"/>
        <v>0</v>
      </c>
      <c r="AJ2050" s="1709">
        <f t="shared" si="1744"/>
        <v>0</v>
      </c>
      <c r="AK2050" s="1709">
        <f t="shared" si="1744"/>
        <v>0</v>
      </c>
      <c r="AL2050" s="1709">
        <f t="shared" si="1744"/>
        <v>0</v>
      </c>
      <c r="AM2050" s="1709">
        <f t="shared" si="1744"/>
        <v>0</v>
      </c>
      <c r="AN2050" s="1709">
        <f t="shared" si="1744"/>
        <v>0</v>
      </c>
      <c r="AO2050" s="1709">
        <f t="shared" si="1744"/>
        <v>0</v>
      </c>
      <c r="AP2050" s="1709">
        <f t="shared" si="1744"/>
        <v>0</v>
      </c>
      <c r="AQ2050" s="1710">
        <f t="shared" si="1744"/>
        <v>0</v>
      </c>
    </row>
    <row r="2051" spans="2:43" ht="14.4" hidden="1" customHeight="1" thickTop="1" x14ac:dyDescent="0.2">
      <c r="B2051" s="1584" t="s">
        <v>2020</v>
      </c>
      <c r="C2051" s="1194" t="s">
        <v>2018</v>
      </c>
      <c r="D2051" s="1194"/>
      <c r="E2051" s="1210"/>
      <c r="F2051" s="1194"/>
      <c r="G2051" s="1194"/>
      <c r="H2051" s="1210"/>
      <c r="I2051" s="1210"/>
      <c r="J2051" s="1210"/>
      <c r="K2051" s="1210"/>
      <c r="L2051" s="1210"/>
      <c r="M2051" s="1210"/>
      <c r="N2051" s="1210"/>
      <c r="O2051" s="1210"/>
      <c r="P2051" s="1210"/>
      <c r="Q2051" s="1210"/>
      <c r="R2051" s="1210"/>
      <c r="S2051" s="1210"/>
      <c r="T2051" s="1585"/>
      <c r="Y2051" s="1584" t="s">
        <v>2020</v>
      </c>
      <c r="Z2051" s="1194" t="str">
        <f t="shared" si="1717"/>
        <v>Gasoli (Litros/unidad)</v>
      </c>
      <c r="AA2051" s="1194"/>
      <c r="AB2051" s="1210"/>
      <c r="AC2051" s="1194"/>
      <c r="AD2051" s="1194"/>
      <c r="AE2051" s="1210"/>
      <c r="AF2051" s="1210"/>
      <c r="AG2051" s="1210"/>
      <c r="AH2051" s="1210"/>
      <c r="AI2051" s="1210"/>
      <c r="AJ2051" s="1210"/>
      <c r="AK2051" s="1210"/>
      <c r="AL2051" s="1210"/>
      <c r="AM2051" s="1210"/>
      <c r="AN2051" s="1210"/>
      <c r="AO2051" s="1210"/>
      <c r="AP2051" s="1210"/>
      <c r="AQ2051" s="1585"/>
    </row>
    <row r="2052" spans="2:43" ht="13.75" hidden="1" customHeight="1" x14ac:dyDescent="0.2">
      <c r="B2052" s="1195" t="s">
        <v>2022</v>
      </c>
      <c r="C2052" s="193">
        <f t="shared" ref="C2052:C2065" si="1745">+C2016</f>
        <v>5</v>
      </c>
      <c r="D2052" s="193"/>
      <c r="E2052" s="254"/>
      <c r="F2052" s="193"/>
      <c r="G2052" s="193"/>
      <c r="H2052" s="254"/>
      <c r="I2052" s="1705">
        <f>SUMIF($V$455:$V$488,$B1657&amp;"contratada",I$455:I$488)</f>
        <v>0</v>
      </c>
      <c r="J2052" s="1705">
        <f t="shared" ref="J2052:T2052" si="1746">SUMIF($V$455:$V$488,$B1657&amp;"contratada",J$455:J$488)</f>
        <v>0</v>
      </c>
      <c r="K2052" s="1705">
        <f t="shared" si="1746"/>
        <v>0</v>
      </c>
      <c r="L2052" s="1705">
        <f t="shared" si="1746"/>
        <v>0</v>
      </c>
      <c r="M2052" s="1705">
        <f t="shared" si="1746"/>
        <v>0</v>
      </c>
      <c r="N2052" s="1705">
        <f t="shared" si="1746"/>
        <v>0</v>
      </c>
      <c r="O2052" s="1705">
        <f t="shared" si="1746"/>
        <v>0</v>
      </c>
      <c r="P2052" s="1705">
        <f t="shared" si="1746"/>
        <v>0</v>
      </c>
      <c r="Q2052" s="1705">
        <f t="shared" si="1746"/>
        <v>0</v>
      </c>
      <c r="R2052" s="1705">
        <f t="shared" si="1746"/>
        <v>0</v>
      </c>
      <c r="S2052" s="1705">
        <f t="shared" si="1746"/>
        <v>0</v>
      </c>
      <c r="T2052" s="1705">
        <f t="shared" si="1746"/>
        <v>0</v>
      </c>
      <c r="Y2052" s="1195" t="s">
        <v>2022</v>
      </c>
      <c r="Z2052" s="193">
        <f t="shared" si="1717"/>
        <v>5</v>
      </c>
      <c r="AA2052" s="193"/>
      <c r="AB2052" s="254"/>
      <c r="AC2052" s="193"/>
      <c r="AD2052" s="193"/>
      <c r="AE2052" s="254"/>
      <c r="AF2052" s="1705">
        <f>SUMIF($AS$455:$AS$488,$B1657&amp;"contratada",AF$455:AF$488)</f>
        <v>0</v>
      </c>
      <c r="AG2052" s="1705">
        <f t="shared" ref="AG2052:AQ2052" si="1747">SUMIF($AS$455:$AS$488,$B1657&amp;"contratada",AG$455:AG$488)</f>
        <v>0</v>
      </c>
      <c r="AH2052" s="1705">
        <f t="shared" si="1747"/>
        <v>0</v>
      </c>
      <c r="AI2052" s="1705">
        <f t="shared" si="1747"/>
        <v>0</v>
      </c>
      <c r="AJ2052" s="1705">
        <f t="shared" si="1747"/>
        <v>0</v>
      </c>
      <c r="AK2052" s="1705">
        <f t="shared" si="1747"/>
        <v>0</v>
      </c>
      <c r="AL2052" s="1705">
        <f t="shared" si="1747"/>
        <v>0</v>
      </c>
      <c r="AM2052" s="1705">
        <f t="shared" si="1747"/>
        <v>0</v>
      </c>
      <c r="AN2052" s="1705">
        <f t="shared" si="1747"/>
        <v>0</v>
      </c>
      <c r="AO2052" s="1705">
        <f t="shared" si="1747"/>
        <v>0</v>
      </c>
      <c r="AP2052" s="1705">
        <f t="shared" si="1747"/>
        <v>0</v>
      </c>
      <c r="AQ2052" s="1706">
        <f t="shared" si="1747"/>
        <v>0</v>
      </c>
    </row>
    <row r="2053" spans="2:43" ht="13.75" hidden="1" customHeight="1" x14ac:dyDescent="0.2">
      <c r="B2053" s="1195"/>
      <c r="C2053" s="193">
        <f t="shared" si="1745"/>
        <v>5</v>
      </c>
      <c r="D2053" s="193"/>
      <c r="E2053" s="254"/>
      <c r="F2053" s="193"/>
      <c r="G2053" s="193"/>
      <c r="H2053" s="254"/>
      <c r="I2053" s="1707">
        <f t="shared" ref="I2053:T2053" si="1748">SUMIF($V$455:$V$488,$B1658&amp;"contratada",I$455:I$488)</f>
        <v>0</v>
      </c>
      <c r="J2053" s="1707">
        <f t="shared" si="1748"/>
        <v>0</v>
      </c>
      <c r="K2053" s="1707">
        <f t="shared" si="1748"/>
        <v>0</v>
      </c>
      <c r="L2053" s="1707">
        <f t="shared" si="1748"/>
        <v>0</v>
      </c>
      <c r="M2053" s="1707">
        <f t="shared" si="1748"/>
        <v>0</v>
      </c>
      <c r="N2053" s="1707">
        <f t="shared" si="1748"/>
        <v>0</v>
      </c>
      <c r="O2053" s="1707">
        <f t="shared" si="1748"/>
        <v>0</v>
      </c>
      <c r="P2053" s="1707">
        <f t="shared" si="1748"/>
        <v>0</v>
      </c>
      <c r="Q2053" s="1707">
        <f t="shared" si="1748"/>
        <v>0</v>
      </c>
      <c r="R2053" s="1707">
        <f t="shared" si="1748"/>
        <v>0</v>
      </c>
      <c r="S2053" s="1707">
        <f t="shared" si="1748"/>
        <v>0</v>
      </c>
      <c r="T2053" s="1708">
        <f t="shared" si="1748"/>
        <v>0</v>
      </c>
      <c r="Y2053" s="1195"/>
      <c r="Z2053" s="193">
        <f t="shared" si="1717"/>
        <v>5</v>
      </c>
      <c r="AA2053" s="193"/>
      <c r="AB2053" s="254"/>
      <c r="AC2053" s="193"/>
      <c r="AD2053" s="193"/>
      <c r="AE2053" s="254"/>
      <c r="AF2053" s="1707">
        <f t="shared" ref="AF2053:AQ2053" si="1749">SUMIF($AS$455:$AS$488,$B1658&amp;"contratada",AF$455:AF$488)</f>
        <v>0</v>
      </c>
      <c r="AG2053" s="1707">
        <f t="shared" si="1749"/>
        <v>0</v>
      </c>
      <c r="AH2053" s="1707">
        <f t="shared" si="1749"/>
        <v>0</v>
      </c>
      <c r="AI2053" s="1707">
        <f t="shared" si="1749"/>
        <v>0</v>
      </c>
      <c r="AJ2053" s="1707">
        <f t="shared" si="1749"/>
        <v>0</v>
      </c>
      <c r="AK2053" s="1707">
        <f t="shared" si="1749"/>
        <v>0</v>
      </c>
      <c r="AL2053" s="1707">
        <f t="shared" si="1749"/>
        <v>0</v>
      </c>
      <c r="AM2053" s="1707">
        <f t="shared" si="1749"/>
        <v>0</v>
      </c>
      <c r="AN2053" s="1707">
        <f t="shared" si="1749"/>
        <v>0</v>
      </c>
      <c r="AO2053" s="1707">
        <f t="shared" si="1749"/>
        <v>0</v>
      </c>
      <c r="AP2053" s="1707">
        <f t="shared" si="1749"/>
        <v>0</v>
      </c>
      <c r="AQ2053" s="1708">
        <f t="shared" si="1749"/>
        <v>0</v>
      </c>
    </row>
    <row r="2054" spans="2:43" ht="13.75" hidden="1" customHeight="1" x14ac:dyDescent="0.2">
      <c r="B2054" s="1195"/>
      <c r="C2054" s="193">
        <f t="shared" si="1745"/>
        <v>1.5</v>
      </c>
      <c r="D2054" s="193"/>
      <c r="E2054" s="254"/>
      <c r="F2054" s="193"/>
      <c r="G2054" s="193"/>
      <c r="H2054" s="254"/>
      <c r="I2054" s="1707">
        <f t="shared" ref="I2054:T2054" si="1750">SUMIF($V$455:$V$488,$B1659&amp;"contratada",I$455:I$488)</f>
        <v>0</v>
      </c>
      <c r="J2054" s="1707">
        <f t="shared" si="1750"/>
        <v>0</v>
      </c>
      <c r="K2054" s="1707">
        <f t="shared" si="1750"/>
        <v>0</v>
      </c>
      <c r="L2054" s="1707">
        <f t="shared" si="1750"/>
        <v>0</v>
      </c>
      <c r="M2054" s="1707">
        <f t="shared" si="1750"/>
        <v>0</v>
      </c>
      <c r="N2054" s="1707">
        <f t="shared" si="1750"/>
        <v>0</v>
      </c>
      <c r="O2054" s="1707">
        <f t="shared" si="1750"/>
        <v>0</v>
      </c>
      <c r="P2054" s="1707">
        <f t="shared" si="1750"/>
        <v>0</v>
      </c>
      <c r="Q2054" s="1707">
        <f t="shared" si="1750"/>
        <v>0</v>
      </c>
      <c r="R2054" s="1707">
        <f t="shared" si="1750"/>
        <v>0</v>
      </c>
      <c r="S2054" s="1707">
        <f t="shared" si="1750"/>
        <v>0</v>
      </c>
      <c r="T2054" s="1708">
        <f t="shared" si="1750"/>
        <v>0</v>
      </c>
      <c r="Y2054" s="1195"/>
      <c r="Z2054" s="193">
        <f t="shared" si="1717"/>
        <v>1.5</v>
      </c>
      <c r="AA2054" s="193"/>
      <c r="AB2054" s="254"/>
      <c r="AC2054" s="193"/>
      <c r="AD2054" s="193"/>
      <c r="AE2054" s="254"/>
      <c r="AF2054" s="1707">
        <f t="shared" ref="AF2054:AQ2054" si="1751">SUMIF($AS$455:$AS$488,$B1659&amp;"contratada",AF$455:AF$488)</f>
        <v>0</v>
      </c>
      <c r="AG2054" s="1707">
        <f t="shared" si="1751"/>
        <v>0</v>
      </c>
      <c r="AH2054" s="1707">
        <f t="shared" si="1751"/>
        <v>0</v>
      </c>
      <c r="AI2054" s="1707">
        <f t="shared" si="1751"/>
        <v>0</v>
      </c>
      <c r="AJ2054" s="1707">
        <f t="shared" si="1751"/>
        <v>0</v>
      </c>
      <c r="AK2054" s="1707">
        <f t="shared" si="1751"/>
        <v>0</v>
      </c>
      <c r="AL2054" s="1707">
        <f t="shared" si="1751"/>
        <v>0</v>
      </c>
      <c r="AM2054" s="1707">
        <f t="shared" si="1751"/>
        <v>0</v>
      </c>
      <c r="AN2054" s="1707">
        <f t="shared" si="1751"/>
        <v>0</v>
      </c>
      <c r="AO2054" s="1707">
        <f t="shared" si="1751"/>
        <v>0</v>
      </c>
      <c r="AP2054" s="1707">
        <f t="shared" si="1751"/>
        <v>0</v>
      </c>
      <c r="AQ2054" s="1708">
        <f t="shared" si="1751"/>
        <v>0</v>
      </c>
    </row>
    <row r="2055" spans="2:43" ht="13.75" hidden="1" customHeight="1" x14ac:dyDescent="0.2">
      <c r="B2055" s="1195"/>
      <c r="C2055" s="193">
        <f t="shared" si="1745"/>
        <v>1.5</v>
      </c>
      <c r="D2055" s="193"/>
      <c r="E2055" s="254"/>
      <c r="F2055" s="193"/>
      <c r="G2055" s="193"/>
      <c r="H2055" s="254"/>
      <c r="I2055" s="1707">
        <f t="shared" ref="I2055:T2055" si="1752">SUMIF($V$455:$V$488,$B1660&amp;"contratada",I$455:I$488)</f>
        <v>0</v>
      </c>
      <c r="J2055" s="1707">
        <f t="shared" si="1752"/>
        <v>0</v>
      </c>
      <c r="K2055" s="1707">
        <f t="shared" si="1752"/>
        <v>0</v>
      </c>
      <c r="L2055" s="1707">
        <f t="shared" si="1752"/>
        <v>0</v>
      </c>
      <c r="M2055" s="1707">
        <f t="shared" si="1752"/>
        <v>0</v>
      </c>
      <c r="N2055" s="1707">
        <f t="shared" si="1752"/>
        <v>0</v>
      </c>
      <c r="O2055" s="1707">
        <f t="shared" si="1752"/>
        <v>0</v>
      </c>
      <c r="P2055" s="1707">
        <f t="shared" si="1752"/>
        <v>0</v>
      </c>
      <c r="Q2055" s="1707">
        <f t="shared" si="1752"/>
        <v>0</v>
      </c>
      <c r="R2055" s="1707">
        <f t="shared" si="1752"/>
        <v>0</v>
      </c>
      <c r="S2055" s="1707">
        <f t="shared" si="1752"/>
        <v>0</v>
      </c>
      <c r="T2055" s="1708">
        <f t="shared" si="1752"/>
        <v>0</v>
      </c>
      <c r="Y2055" s="1195"/>
      <c r="Z2055" s="193">
        <f t="shared" si="1717"/>
        <v>1.5</v>
      </c>
      <c r="AA2055" s="193"/>
      <c r="AB2055" s="254"/>
      <c r="AC2055" s="193"/>
      <c r="AD2055" s="193"/>
      <c r="AE2055" s="254"/>
      <c r="AF2055" s="1707">
        <f t="shared" ref="AF2055:AQ2055" si="1753">SUMIF($AS$455:$AS$488,$B1660&amp;"contratada",AF$455:AF$488)</f>
        <v>0</v>
      </c>
      <c r="AG2055" s="1707">
        <f t="shared" si="1753"/>
        <v>0</v>
      </c>
      <c r="AH2055" s="1707">
        <f t="shared" si="1753"/>
        <v>0</v>
      </c>
      <c r="AI2055" s="1707">
        <f t="shared" si="1753"/>
        <v>0</v>
      </c>
      <c r="AJ2055" s="1707">
        <f t="shared" si="1753"/>
        <v>0</v>
      </c>
      <c r="AK2055" s="1707">
        <f t="shared" si="1753"/>
        <v>0</v>
      </c>
      <c r="AL2055" s="1707">
        <f t="shared" si="1753"/>
        <v>0</v>
      </c>
      <c r="AM2055" s="1707">
        <f t="shared" si="1753"/>
        <v>0</v>
      </c>
      <c r="AN2055" s="1707">
        <f t="shared" si="1753"/>
        <v>0</v>
      </c>
      <c r="AO2055" s="1707">
        <f t="shared" si="1753"/>
        <v>0</v>
      </c>
      <c r="AP2055" s="1707">
        <f t="shared" si="1753"/>
        <v>0</v>
      </c>
      <c r="AQ2055" s="1708">
        <f t="shared" si="1753"/>
        <v>0</v>
      </c>
    </row>
    <row r="2056" spans="2:43" ht="13.75" hidden="1" customHeight="1" x14ac:dyDescent="0.2">
      <c r="B2056" s="1195"/>
      <c r="C2056" s="193">
        <f t="shared" si="1745"/>
        <v>3</v>
      </c>
      <c r="D2056" s="193"/>
      <c r="E2056" s="254"/>
      <c r="F2056" s="193"/>
      <c r="G2056" s="193"/>
      <c r="H2056" s="254"/>
      <c r="I2056" s="1707">
        <f t="shared" ref="I2056:T2056" si="1754">SUMIF($V$455:$V$488,$B1661&amp;"contratada",I$455:I$488)</f>
        <v>0</v>
      </c>
      <c r="J2056" s="1707">
        <f t="shared" si="1754"/>
        <v>0</v>
      </c>
      <c r="K2056" s="1707">
        <f t="shared" si="1754"/>
        <v>0</v>
      </c>
      <c r="L2056" s="1707">
        <f t="shared" si="1754"/>
        <v>0</v>
      </c>
      <c r="M2056" s="1707">
        <f t="shared" si="1754"/>
        <v>0</v>
      </c>
      <c r="N2056" s="1707">
        <f t="shared" si="1754"/>
        <v>0</v>
      </c>
      <c r="O2056" s="1707">
        <f t="shared" si="1754"/>
        <v>0</v>
      </c>
      <c r="P2056" s="1707">
        <f t="shared" si="1754"/>
        <v>0</v>
      </c>
      <c r="Q2056" s="1707">
        <f t="shared" si="1754"/>
        <v>0</v>
      </c>
      <c r="R2056" s="1707">
        <f t="shared" si="1754"/>
        <v>0</v>
      </c>
      <c r="S2056" s="1707">
        <f t="shared" si="1754"/>
        <v>0</v>
      </c>
      <c r="T2056" s="1708">
        <f t="shared" si="1754"/>
        <v>0</v>
      </c>
      <c r="Y2056" s="1195"/>
      <c r="Z2056" s="193">
        <f t="shared" si="1717"/>
        <v>3</v>
      </c>
      <c r="AA2056" s="193"/>
      <c r="AB2056" s="254"/>
      <c r="AC2056" s="193"/>
      <c r="AD2056" s="193"/>
      <c r="AE2056" s="254"/>
      <c r="AF2056" s="1707">
        <f t="shared" ref="AF2056:AQ2056" si="1755">SUMIF($AS$455:$AS$488,$B1661&amp;"contratada",AF$455:AF$488)</f>
        <v>0</v>
      </c>
      <c r="AG2056" s="1707">
        <f t="shared" si="1755"/>
        <v>0</v>
      </c>
      <c r="AH2056" s="1707">
        <f t="shared" si="1755"/>
        <v>0</v>
      </c>
      <c r="AI2056" s="1707">
        <f t="shared" si="1755"/>
        <v>0</v>
      </c>
      <c r="AJ2056" s="1707">
        <f t="shared" si="1755"/>
        <v>0</v>
      </c>
      <c r="AK2056" s="1707">
        <f t="shared" si="1755"/>
        <v>0</v>
      </c>
      <c r="AL2056" s="1707">
        <f t="shared" si="1755"/>
        <v>0</v>
      </c>
      <c r="AM2056" s="1707">
        <f t="shared" si="1755"/>
        <v>0</v>
      </c>
      <c r="AN2056" s="1707">
        <f t="shared" si="1755"/>
        <v>0</v>
      </c>
      <c r="AO2056" s="1707">
        <f t="shared" si="1755"/>
        <v>0</v>
      </c>
      <c r="AP2056" s="1707">
        <f t="shared" si="1755"/>
        <v>0</v>
      </c>
      <c r="AQ2056" s="1708">
        <f t="shared" si="1755"/>
        <v>0</v>
      </c>
    </row>
    <row r="2057" spans="2:43" ht="13.75" hidden="1" customHeight="1" x14ac:dyDescent="0.2">
      <c r="B2057" s="1195"/>
      <c r="C2057" s="193">
        <f t="shared" si="1745"/>
        <v>3</v>
      </c>
      <c r="D2057" s="193"/>
      <c r="E2057" s="254"/>
      <c r="F2057" s="193"/>
      <c r="G2057" s="193"/>
      <c r="H2057" s="254"/>
      <c r="I2057" s="1707">
        <f t="shared" ref="I2057:T2057" si="1756">SUMIF($V$455:$V$488,$B1662&amp;"contratada",I$455:I$488)</f>
        <v>0</v>
      </c>
      <c r="J2057" s="1707">
        <f t="shared" si="1756"/>
        <v>0</v>
      </c>
      <c r="K2057" s="1707">
        <f t="shared" si="1756"/>
        <v>0</v>
      </c>
      <c r="L2057" s="1707">
        <f t="shared" si="1756"/>
        <v>0</v>
      </c>
      <c r="M2057" s="1707">
        <f t="shared" si="1756"/>
        <v>0</v>
      </c>
      <c r="N2057" s="1707">
        <f t="shared" si="1756"/>
        <v>0</v>
      </c>
      <c r="O2057" s="1707">
        <f t="shared" si="1756"/>
        <v>0</v>
      </c>
      <c r="P2057" s="1707">
        <f t="shared" si="1756"/>
        <v>0</v>
      </c>
      <c r="Q2057" s="1707">
        <f t="shared" si="1756"/>
        <v>0</v>
      </c>
      <c r="R2057" s="1707">
        <f t="shared" si="1756"/>
        <v>0</v>
      </c>
      <c r="S2057" s="1707">
        <f t="shared" si="1756"/>
        <v>0</v>
      </c>
      <c r="T2057" s="1708">
        <f t="shared" si="1756"/>
        <v>0</v>
      </c>
      <c r="Y2057" s="1195"/>
      <c r="Z2057" s="193">
        <f t="shared" si="1717"/>
        <v>3</v>
      </c>
      <c r="AA2057" s="193"/>
      <c r="AB2057" s="254"/>
      <c r="AC2057" s="193"/>
      <c r="AD2057" s="193"/>
      <c r="AE2057" s="254"/>
      <c r="AF2057" s="1707">
        <f t="shared" ref="AF2057:AQ2057" si="1757">SUMIF($AS$455:$AS$488,$B1662&amp;"contratada",AF$455:AF$488)</f>
        <v>0</v>
      </c>
      <c r="AG2057" s="1707">
        <f t="shared" si="1757"/>
        <v>0</v>
      </c>
      <c r="AH2057" s="1707">
        <f t="shared" si="1757"/>
        <v>0</v>
      </c>
      <c r="AI2057" s="1707">
        <f t="shared" si="1757"/>
        <v>0</v>
      </c>
      <c r="AJ2057" s="1707">
        <f t="shared" si="1757"/>
        <v>0</v>
      </c>
      <c r="AK2057" s="1707">
        <f t="shared" si="1757"/>
        <v>0</v>
      </c>
      <c r="AL2057" s="1707">
        <f t="shared" si="1757"/>
        <v>0</v>
      </c>
      <c r="AM2057" s="1707">
        <f t="shared" si="1757"/>
        <v>0</v>
      </c>
      <c r="AN2057" s="1707">
        <f t="shared" si="1757"/>
        <v>0</v>
      </c>
      <c r="AO2057" s="1707">
        <f t="shared" si="1757"/>
        <v>0</v>
      </c>
      <c r="AP2057" s="1707">
        <f t="shared" si="1757"/>
        <v>0</v>
      </c>
      <c r="AQ2057" s="1708">
        <f t="shared" si="1757"/>
        <v>0</v>
      </c>
    </row>
    <row r="2058" spans="2:43" ht="13.75" hidden="1" customHeight="1" x14ac:dyDescent="0.2">
      <c r="B2058" s="1195"/>
      <c r="C2058" s="193">
        <f t="shared" si="1745"/>
        <v>9</v>
      </c>
      <c r="D2058" s="193"/>
      <c r="E2058" s="254"/>
      <c r="F2058" s="193"/>
      <c r="G2058" s="193"/>
      <c r="H2058" s="254"/>
      <c r="I2058" s="1707">
        <f t="shared" ref="I2058:T2058" si="1758">SUMIF($V$455:$V$488,$B1663&amp;"contratada",I$455:I$488)</f>
        <v>0</v>
      </c>
      <c r="J2058" s="1707">
        <f t="shared" si="1758"/>
        <v>0</v>
      </c>
      <c r="K2058" s="1707">
        <f t="shared" si="1758"/>
        <v>0</v>
      </c>
      <c r="L2058" s="1707">
        <f t="shared" si="1758"/>
        <v>0</v>
      </c>
      <c r="M2058" s="1707">
        <f t="shared" si="1758"/>
        <v>0</v>
      </c>
      <c r="N2058" s="1707">
        <f t="shared" si="1758"/>
        <v>0</v>
      </c>
      <c r="O2058" s="1707">
        <f t="shared" si="1758"/>
        <v>0</v>
      </c>
      <c r="P2058" s="1707">
        <f t="shared" si="1758"/>
        <v>0</v>
      </c>
      <c r="Q2058" s="1707">
        <f t="shared" si="1758"/>
        <v>0</v>
      </c>
      <c r="R2058" s="1707">
        <f t="shared" si="1758"/>
        <v>0</v>
      </c>
      <c r="S2058" s="1707">
        <f t="shared" si="1758"/>
        <v>0</v>
      </c>
      <c r="T2058" s="1708">
        <f t="shared" si="1758"/>
        <v>0</v>
      </c>
      <c r="Y2058" s="1195"/>
      <c r="Z2058" s="193">
        <f t="shared" si="1717"/>
        <v>9</v>
      </c>
      <c r="AA2058" s="193"/>
      <c r="AB2058" s="254"/>
      <c r="AC2058" s="193"/>
      <c r="AD2058" s="193"/>
      <c r="AE2058" s="254"/>
      <c r="AF2058" s="1707">
        <f t="shared" ref="AF2058:AQ2058" si="1759">SUMIF($AS$455:$AS$488,$B1663&amp;"contratada",AF$455:AF$488)</f>
        <v>0</v>
      </c>
      <c r="AG2058" s="1707">
        <f t="shared" si="1759"/>
        <v>0</v>
      </c>
      <c r="AH2058" s="1707">
        <f t="shared" si="1759"/>
        <v>0</v>
      </c>
      <c r="AI2058" s="1707">
        <f t="shared" si="1759"/>
        <v>0</v>
      </c>
      <c r="AJ2058" s="1707">
        <f t="shared" si="1759"/>
        <v>0</v>
      </c>
      <c r="AK2058" s="1707">
        <f t="shared" si="1759"/>
        <v>0</v>
      </c>
      <c r="AL2058" s="1707">
        <f t="shared" si="1759"/>
        <v>0</v>
      </c>
      <c r="AM2058" s="1707">
        <f t="shared" si="1759"/>
        <v>0</v>
      </c>
      <c r="AN2058" s="1707">
        <f t="shared" si="1759"/>
        <v>0</v>
      </c>
      <c r="AO2058" s="1707">
        <f t="shared" si="1759"/>
        <v>0</v>
      </c>
      <c r="AP2058" s="1707">
        <f t="shared" si="1759"/>
        <v>0</v>
      </c>
      <c r="AQ2058" s="1708">
        <f t="shared" si="1759"/>
        <v>0</v>
      </c>
    </row>
    <row r="2059" spans="2:43" ht="13.75" hidden="1" customHeight="1" x14ac:dyDescent="0.2">
      <c r="B2059" s="1195"/>
      <c r="C2059" s="193">
        <f t="shared" si="1745"/>
        <v>0</v>
      </c>
      <c r="D2059" s="193"/>
      <c r="E2059" s="254"/>
      <c r="F2059" s="193"/>
      <c r="G2059" s="193"/>
      <c r="H2059" s="254"/>
      <c r="I2059" s="1707">
        <f t="shared" ref="I2059:T2059" si="1760">SUMIF($V$455:$V$488,$B1664&amp;"contratada",I$455:I$488)</f>
        <v>0</v>
      </c>
      <c r="J2059" s="1707">
        <f t="shared" si="1760"/>
        <v>0</v>
      </c>
      <c r="K2059" s="1707">
        <f t="shared" si="1760"/>
        <v>0</v>
      </c>
      <c r="L2059" s="1707">
        <f t="shared" si="1760"/>
        <v>0</v>
      </c>
      <c r="M2059" s="1707">
        <f t="shared" si="1760"/>
        <v>0</v>
      </c>
      <c r="N2059" s="1707">
        <f t="shared" si="1760"/>
        <v>0</v>
      </c>
      <c r="O2059" s="1707">
        <f t="shared" si="1760"/>
        <v>0</v>
      </c>
      <c r="P2059" s="1707">
        <f t="shared" si="1760"/>
        <v>0</v>
      </c>
      <c r="Q2059" s="1707">
        <f t="shared" si="1760"/>
        <v>0</v>
      </c>
      <c r="R2059" s="1707">
        <f t="shared" si="1760"/>
        <v>0</v>
      </c>
      <c r="S2059" s="1707">
        <f t="shared" si="1760"/>
        <v>0</v>
      </c>
      <c r="T2059" s="1708">
        <f t="shared" si="1760"/>
        <v>0</v>
      </c>
      <c r="Y2059" s="1195"/>
      <c r="Z2059" s="193">
        <f t="shared" si="1717"/>
        <v>0</v>
      </c>
      <c r="AA2059" s="193"/>
      <c r="AB2059" s="254"/>
      <c r="AC2059" s="193"/>
      <c r="AD2059" s="193"/>
      <c r="AE2059" s="254"/>
      <c r="AF2059" s="1707">
        <f t="shared" ref="AF2059:AQ2059" si="1761">SUMIF($AS$455:$AS$488,$B1664&amp;"contratada",AF$455:AF$488)</f>
        <v>0</v>
      </c>
      <c r="AG2059" s="1707">
        <f t="shared" si="1761"/>
        <v>0</v>
      </c>
      <c r="AH2059" s="1707">
        <f t="shared" si="1761"/>
        <v>0</v>
      </c>
      <c r="AI2059" s="1707">
        <f t="shared" si="1761"/>
        <v>0</v>
      </c>
      <c r="AJ2059" s="1707">
        <f t="shared" si="1761"/>
        <v>0</v>
      </c>
      <c r="AK2059" s="1707">
        <f t="shared" si="1761"/>
        <v>0</v>
      </c>
      <c r="AL2059" s="1707">
        <f t="shared" si="1761"/>
        <v>0</v>
      </c>
      <c r="AM2059" s="1707">
        <f t="shared" si="1761"/>
        <v>0</v>
      </c>
      <c r="AN2059" s="1707">
        <f t="shared" si="1761"/>
        <v>0</v>
      </c>
      <c r="AO2059" s="1707">
        <f t="shared" si="1761"/>
        <v>0</v>
      </c>
      <c r="AP2059" s="1707">
        <f t="shared" si="1761"/>
        <v>0</v>
      </c>
      <c r="AQ2059" s="1708">
        <f t="shared" si="1761"/>
        <v>0</v>
      </c>
    </row>
    <row r="2060" spans="2:43" ht="13.75" hidden="1" customHeight="1" x14ac:dyDescent="0.2">
      <c r="B2060" s="1195"/>
      <c r="C2060" s="193">
        <f t="shared" si="1745"/>
        <v>0</v>
      </c>
      <c r="D2060" s="193"/>
      <c r="E2060" s="254"/>
      <c r="F2060" s="193"/>
      <c r="G2060" s="193"/>
      <c r="H2060" s="254"/>
      <c r="I2060" s="1707">
        <f>SUMIF($V$455:$V$488,$B1665&amp;"contratada",I$455:I$488)</f>
        <v>0</v>
      </c>
      <c r="J2060" s="1707">
        <f t="shared" ref="J2060:T2060" si="1762">SUMIF($V$455:$V$488,$B1665&amp;"contratada",J$455:J$488)</f>
        <v>0</v>
      </c>
      <c r="K2060" s="1707">
        <f t="shared" si="1762"/>
        <v>0</v>
      </c>
      <c r="L2060" s="1707">
        <f t="shared" si="1762"/>
        <v>0</v>
      </c>
      <c r="M2060" s="1707">
        <f t="shared" si="1762"/>
        <v>0</v>
      </c>
      <c r="N2060" s="1707">
        <f t="shared" si="1762"/>
        <v>0</v>
      </c>
      <c r="O2060" s="1707">
        <f t="shared" si="1762"/>
        <v>0</v>
      </c>
      <c r="P2060" s="1707">
        <f t="shared" si="1762"/>
        <v>0</v>
      </c>
      <c r="Q2060" s="1707">
        <f t="shared" si="1762"/>
        <v>0</v>
      </c>
      <c r="R2060" s="1707">
        <f t="shared" si="1762"/>
        <v>0</v>
      </c>
      <c r="S2060" s="1707">
        <f t="shared" si="1762"/>
        <v>0</v>
      </c>
      <c r="T2060" s="1708">
        <f t="shared" si="1762"/>
        <v>0</v>
      </c>
      <c r="Y2060" s="1195"/>
      <c r="Z2060" s="193">
        <f t="shared" si="1717"/>
        <v>0</v>
      </c>
      <c r="AA2060" s="193"/>
      <c r="AB2060" s="254"/>
      <c r="AC2060" s="193"/>
      <c r="AD2060" s="193"/>
      <c r="AE2060" s="254"/>
      <c r="AF2060" s="1707">
        <f t="shared" ref="AF2060:AQ2060" si="1763">SUMIF($AS$455:$AS$488,$B1665&amp;"contratada",AF$455:AF$488)</f>
        <v>0</v>
      </c>
      <c r="AG2060" s="1707">
        <f t="shared" si="1763"/>
        <v>0</v>
      </c>
      <c r="AH2060" s="1707">
        <f t="shared" si="1763"/>
        <v>0</v>
      </c>
      <c r="AI2060" s="1707">
        <f t="shared" si="1763"/>
        <v>0</v>
      </c>
      <c r="AJ2060" s="1707">
        <f t="shared" si="1763"/>
        <v>0</v>
      </c>
      <c r="AK2060" s="1707">
        <f t="shared" si="1763"/>
        <v>0</v>
      </c>
      <c r="AL2060" s="1707">
        <f t="shared" si="1763"/>
        <v>0</v>
      </c>
      <c r="AM2060" s="1707">
        <f t="shared" si="1763"/>
        <v>0</v>
      </c>
      <c r="AN2060" s="1707">
        <f t="shared" si="1763"/>
        <v>0</v>
      </c>
      <c r="AO2060" s="1707">
        <f t="shared" si="1763"/>
        <v>0</v>
      </c>
      <c r="AP2060" s="1707">
        <f t="shared" si="1763"/>
        <v>0</v>
      </c>
      <c r="AQ2060" s="1708">
        <f t="shared" si="1763"/>
        <v>0</v>
      </c>
    </row>
    <row r="2061" spans="2:43" ht="13.75" hidden="1" customHeight="1" x14ac:dyDescent="0.2">
      <c r="B2061" s="1195"/>
      <c r="C2061" s="193">
        <f t="shared" si="1745"/>
        <v>0</v>
      </c>
      <c r="D2061" s="193"/>
      <c r="E2061" s="254"/>
      <c r="F2061" s="193"/>
      <c r="G2061" s="193"/>
      <c r="H2061" s="254"/>
      <c r="I2061" s="1707">
        <f t="shared" ref="I2061:T2061" si="1764">SUMIF($V$455:$V$488,$B1666&amp;"contratada",I$455:I$488)</f>
        <v>0</v>
      </c>
      <c r="J2061" s="1707">
        <f t="shared" si="1764"/>
        <v>0</v>
      </c>
      <c r="K2061" s="1707">
        <f t="shared" si="1764"/>
        <v>0</v>
      </c>
      <c r="L2061" s="1707">
        <f t="shared" si="1764"/>
        <v>0</v>
      </c>
      <c r="M2061" s="1707">
        <f t="shared" si="1764"/>
        <v>0</v>
      </c>
      <c r="N2061" s="1707">
        <f t="shared" si="1764"/>
        <v>0</v>
      </c>
      <c r="O2061" s="1707">
        <f t="shared" si="1764"/>
        <v>0</v>
      </c>
      <c r="P2061" s="1707">
        <f t="shared" si="1764"/>
        <v>0</v>
      </c>
      <c r="Q2061" s="1707">
        <f t="shared" si="1764"/>
        <v>0</v>
      </c>
      <c r="R2061" s="1707">
        <f t="shared" si="1764"/>
        <v>0</v>
      </c>
      <c r="S2061" s="1707">
        <f t="shared" si="1764"/>
        <v>0</v>
      </c>
      <c r="T2061" s="1708">
        <f t="shared" si="1764"/>
        <v>0</v>
      </c>
      <c r="Y2061" s="1195"/>
      <c r="Z2061" s="193">
        <f t="shared" si="1717"/>
        <v>0</v>
      </c>
      <c r="AA2061" s="193"/>
      <c r="AB2061" s="254"/>
      <c r="AC2061" s="193"/>
      <c r="AD2061" s="193"/>
      <c r="AE2061" s="254"/>
      <c r="AF2061" s="1707">
        <f t="shared" ref="AF2061:AQ2061" si="1765">SUMIF($AS$455:$AS$488,$B1666&amp;"contratada",AF$455:AF$488)</f>
        <v>0</v>
      </c>
      <c r="AG2061" s="1707">
        <f t="shared" si="1765"/>
        <v>0</v>
      </c>
      <c r="AH2061" s="1707">
        <f t="shared" si="1765"/>
        <v>0</v>
      </c>
      <c r="AI2061" s="1707">
        <f t="shared" si="1765"/>
        <v>0</v>
      </c>
      <c r="AJ2061" s="1707">
        <f t="shared" si="1765"/>
        <v>0</v>
      </c>
      <c r="AK2061" s="1707">
        <f t="shared" si="1765"/>
        <v>0</v>
      </c>
      <c r="AL2061" s="1707">
        <f t="shared" si="1765"/>
        <v>0</v>
      </c>
      <c r="AM2061" s="1707">
        <f t="shared" si="1765"/>
        <v>0</v>
      </c>
      <c r="AN2061" s="1707">
        <f t="shared" si="1765"/>
        <v>0</v>
      </c>
      <c r="AO2061" s="1707">
        <f t="shared" si="1765"/>
        <v>0</v>
      </c>
      <c r="AP2061" s="1707">
        <f t="shared" si="1765"/>
        <v>0</v>
      </c>
      <c r="AQ2061" s="1708">
        <f t="shared" si="1765"/>
        <v>0</v>
      </c>
    </row>
    <row r="2062" spans="2:43" ht="13.75" hidden="1" customHeight="1" x14ac:dyDescent="0.2">
      <c r="B2062" s="1195"/>
      <c r="C2062" s="193">
        <f t="shared" si="1745"/>
        <v>0</v>
      </c>
      <c r="D2062" s="193"/>
      <c r="E2062" s="254"/>
      <c r="F2062" s="193"/>
      <c r="G2062" s="193"/>
      <c r="H2062" s="254"/>
      <c r="I2062" s="1707">
        <f t="shared" ref="I2062:T2062" si="1766">SUMIF($V$455:$V$488,$B1667&amp;"contratada",I$455:I$488)</f>
        <v>0</v>
      </c>
      <c r="J2062" s="1707">
        <f t="shared" si="1766"/>
        <v>0</v>
      </c>
      <c r="K2062" s="1707">
        <f t="shared" si="1766"/>
        <v>0</v>
      </c>
      <c r="L2062" s="1707">
        <f t="shared" si="1766"/>
        <v>0</v>
      </c>
      <c r="M2062" s="1707">
        <f t="shared" si="1766"/>
        <v>0</v>
      </c>
      <c r="N2062" s="1707">
        <f t="shared" si="1766"/>
        <v>0</v>
      </c>
      <c r="O2062" s="1707">
        <f t="shared" si="1766"/>
        <v>0</v>
      </c>
      <c r="P2062" s="1707">
        <f t="shared" si="1766"/>
        <v>0</v>
      </c>
      <c r="Q2062" s="1707">
        <f t="shared" si="1766"/>
        <v>0</v>
      </c>
      <c r="R2062" s="1707">
        <f t="shared" si="1766"/>
        <v>0</v>
      </c>
      <c r="S2062" s="1707">
        <f t="shared" si="1766"/>
        <v>0</v>
      </c>
      <c r="T2062" s="1708">
        <f t="shared" si="1766"/>
        <v>0</v>
      </c>
      <c r="Y2062" s="1195"/>
      <c r="Z2062" s="193">
        <f t="shared" si="1717"/>
        <v>0</v>
      </c>
      <c r="AA2062" s="193"/>
      <c r="AB2062" s="254"/>
      <c r="AC2062" s="193"/>
      <c r="AD2062" s="193"/>
      <c r="AE2062" s="254"/>
      <c r="AF2062" s="1707">
        <f t="shared" ref="AF2062:AQ2062" si="1767">SUMIF($AS$455:$AS$488,$B1667&amp;"contratada",AF$455:AF$488)</f>
        <v>0</v>
      </c>
      <c r="AG2062" s="1707">
        <f t="shared" si="1767"/>
        <v>0</v>
      </c>
      <c r="AH2062" s="1707">
        <f t="shared" si="1767"/>
        <v>0</v>
      </c>
      <c r="AI2062" s="1707">
        <f t="shared" si="1767"/>
        <v>0</v>
      </c>
      <c r="AJ2062" s="1707">
        <f t="shared" si="1767"/>
        <v>0</v>
      </c>
      <c r="AK2062" s="1707">
        <f t="shared" si="1767"/>
        <v>0</v>
      </c>
      <c r="AL2062" s="1707">
        <f t="shared" si="1767"/>
        <v>0</v>
      </c>
      <c r="AM2062" s="1707">
        <f t="shared" si="1767"/>
        <v>0</v>
      </c>
      <c r="AN2062" s="1707">
        <f t="shared" si="1767"/>
        <v>0</v>
      </c>
      <c r="AO2062" s="1707">
        <f t="shared" si="1767"/>
        <v>0</v>
      </c>
      <c r="AP2062" s="1707">
        <f t="shared" si="1767"/>
        <v>0</v>
      </c>
      <c r="AQ2062" s="1708">
        <f t="shared" si="1767"/>
        <v>0</v>
      </c>
    </row>
    <row r="2063" spans="2:43" ht="13.75" hidden="1" customHeight="1" x14ac:dyDescent="0.2">
      <c r="B2063" s="1195"/>
      <c r="C2063" s="193">
        <f t="shared" si="1745"/>
        <v>0</v>
      </c>
      <c r="D2063" s="193"/>
      <c r="E2063" s="254"/>
      <c r="F2063" s="193"/>
      <c r="G2063" s="193"/>
      <c r="H2063" s="254"/>
      <c r="I2063" s="1707">
        <f t="shared" ref="I2063:T2063" si="1768">SUMIF($V$455:$V$488,$B1668&amp;"contratada",I$455:I$488)</f>
        <v>0</v>
      </c>
      <c r="J2063" s="1707">
        <f t="shared" si="1768"/>
        <v>0</v>
      </c>
      <c r="K2063" s="1707">
        <f t="shared" si="1768"/>
        <v>0</v>
      </c>
      <c r="L2063" s="1707">
        <f t="shared" si="1768"/>
        <v>0</v>
      </c>
      <c r="M2063" s="1707">
        <f t="shared" si="1768"/>
        <v>0</v>
      </c>
      <c r="N2063" s="1707">
        <f t="shared" si="1768"/>
        <v>0</v>
      </c>
      <c r="O2063" s="1707">
        <f t="shared" si="1768"/>
        <v>0</v>
      </c>
      <c r="P2063" s="1707">
        <f t="shared" si="1768"/>
        <v>0</v>
      </c>
      <c r="Q2063" s="1707">
        <f t="shared" si="1768"/>
        <v>0</v>
      </c>
      <c r="R2063" s="1707">
        <f t="shared" si="1768"/>
        <v>0</v>
      </c>
      <c r="S2063" s="1707">
        <f t="shared" si="1768"/>
        <v>0</v>
      </c>
      <c r="T2063" s="1708">
        <f t="shared" si="1768"/>
        <v>0</v>
      </c>
      <c r="Y2063" s="1195"/>
      <c r="Z2063" s="193">
        <f t="shared" si="1717"/>
        <v>0</v>
      </c>
      <c r="AA2063" s="193"/>
      <c r="AB2063" s="254"/>
      <c r="AC2063" s="193"/>
      <c r="AD2063" s="193"/>
      <c r="AE2063" s="254"/>
      <c r="AF2063" s="1707">
        <f t="shared" ref="AF2063:AQ2063" si="1769">SUMIF($AS$455:$AS$488,$B1668&amp;"contratada",AF$455:AF$488)</f>
        <v>0</v>
      </c>
      <c r="AG2063" s="1707">
        <f t="shared" si="1769"/>
        <v>0</v>
      </c>
      <c r="AH2063" s="1707">
        <f t="shared" si="1769"/>
        <v>0</v>
      </c>
      <c r="AI2063" s="1707">
        <f t="shared" si="1769"/>
        <v>0</v>
      </c>
      <c r="AJ2063" s="1707">
        <f t="shared" si="1769"/>
        <v>0</v>
      </c>
      <c r="AK2063" s="1707">
        <f t="shared" si="1769"/>
        <v>0</v>
      </c>
      <c r="AL2063" s="1707">
        <f t="shared" si="1769"/>
        <v>0</v>
      </c>
      <c r="AM2063" s="1707">
        <f t="shared" si="1769"/>
        <v>0</v>
      </c>
      <c r="AN2063" s="1707">
        <f t="shared" si="1769"/>
        <v>0</v>
      </c>
      <c r="AO2063" s="1707">
        <f t="shared" si="1769"/>
        <v>0</v>
      </c>
      <c r="AP2063" s="1707">
        <f t="shared" si="1769"/>
        <v>0</v>
      </c>
      <c r="AQ2063" s="1708">
        <f t="shared" si="1769"/>
        <v>0</v>
      </c>
    </row>
    <row r="2064" spans="2:43" ht="13.75" hidden="1" customHeight="1" x14ac:dyDescent="0.2">
      <c r="B2064" s="1195"/>
      <c r="C2064" s="193">
        <f t="shared" si="1745"/>
        <v>0</v>
      </c>
      <c r="D2064" s="193"/>
      <c r="E2064" s="254"/>
      <c r="F2064" s="193"/>
      <c r="G2064" s="193"/>
      <c r="H2064" s="254"/>
      <c r="I2064" s="1707">
        <f t="shared" ref="I2064:T2064" si="1770">SUMIF($V$455:$V$488,$B1669&amp;"contratada",I$455:I$488)</f>
        <v>0</v>
      </c>
      <c r="J2064" s="1707">
        <f t="shared" si="1770"/>
        <v>0</v>
      </c>
      <c r="K2064" s="1707">
        <f t="shared" si="1770"/>
        <v>0</v>
      </c>
      <c r="L2064" s="1707">
        <f t="shared" si="1770"/>
        <v>0</v>
      </c>
      <c r="M2064" s="1707">
        <f t="shared" si="1770"/>
        <v>0</v>
      </c>
      <c r="N2064" s="1707">
        <f t="shared" si="1770"/>
        <v>0</v>
      </c>
      <c r="O2064" s="1707">
        <f t="shared" si="1770"/>
        <v>0</v>
      </c>
      <c r="P2064" s="1707">
        <f t="shared" si="1770"/>
        <v>0</v>
      </c>
      <c r="Q2064" s="1707">
        <f t="shared" si="1770"/>
        <v>0</v>
      </c>
      <c r="R2064" s="1707">
        <f t="shared" si="1770"/>
        <v>0</v>
      </c>
      <c r="S2064" s="1707">
        <f t="shared" si="1770"/>
        <v>0</v>
      </c>
      <c r="T2064" s="1708">
        <f t="shared" si="1770"/>
        <v>0</v>
      </c>
      <c r="Y2064" s="1195"/>
      <c r="Z2064" s="193">
        <f t="shared" si="1717"/>
        <v>0</v>
      </c>
      <c r="AA2064" s="193"/>
      <c r="AB2064" s="254"/>
      <c r="AC2064" s="193"/>
      <c r="AD2064" s="193"/>
      <c r="AE2064" s="254"/>
      <c r="AF2064" s="1707">
        <f t="shared" ref="AF2064:AQ2064" si="1771">SUMIF($AS$455:$AS$488,$B1669&amp;"contratada",AF$455:AF$488)</f>
        <v>0</v>
      </c>
      <c r="AG2064" s="1707">
        <f t="shared" si="1771"/>
        <v>0</v>
      </c>
      <c r="AH2064" s="1707">
        <f t="shared" si="1771"/>
        <v>0</v>
      </c>
      <c r="AI2064" s="1707">
        <f t="shared" si="1771"/>
        <v>0</v>
      </c>
      <c r="AJ2064" s="1707">
        <f t="shared" si="1771"/>
        <v>0</v>
      </c>
      <c r="AK2064" s="1707">
        <f t="shared" si="1771"/>
        <v>0</v>
      </c>
      <c r="AL2064" s="1707">
        <f t="shared" si="1771"/>
        <v>0</v>
      </c>
      <c r="AM2064" s="1707">
        <f t="shared" si="1771"/>
        <v>0</v>
      </c>
      <c r="AN2064" s="1707">
        <f t="shared" si="1771"/>
        <v>0</v>
      </c>
      <c r="AO2064" s="1707">
        <f t="shared" si="1771"/>
        <v>0</v>
      </c>
      <c r="AP2064" s="1707">
        <f t="shared" si="1771"/>
        <v>0</v>
      </c>
      <c r="AQ2064" s="1708">
        <f t="shared" si="1771"/>
        <v>0</v>
      </c>
    </row>
    <row r="2065" spans="1:44" ht="14.4" hidden="1" customHeight="1" thickBot="1" x14ac:dyDescent="0.25">
      <c r="B2065" s="1198"/>
      <c r="C2065" s="1199">
        <f t="shared" si="1745"/>
        <v>0</v>
      </c>
      <c r="D2065" s="1199"/>
      <c r="E2065" s="1209"/>
      <c r="F2065" s="1199"/>
      <c r="G2065" s="1199"/>
      <c r="H2065" s="1209"/>
      <c r="I2065" s="1709">
        <f t="shared" ref="I2065:T2065" si="1772">SUMIF($V$455:$V$488,$B1670&amp;"contratada",I$455:I$488)</f>
        <v>0</v>
      </c>
      <c r="J2065" s="1709">
        <f t="shared" si="1772"/>
        <v>0</v>
      </c>
      <c r="K2065" s="1709">
        <f t="shared" si="1772"/>
        <v>0</v>
      </c>
      <c r="L2065" s="1709">
        <f t="shared" si="1772"/>
        <v>0</v>
      </c>
      <c r="M2065" s="1709">
        <f t="shared" si="1772"/>
        <v>0</v>
      </c>
      <c r="N2065" s="1709">
        <f t="shared" si="1772"/>
        <v>0</v>
      </c>
      <c r="O2065" s="1709">
        <f t="shared" si="1772"/>
        <v>0</v>
      </c>
      <c r="P2065" s="1709">
        <f t="shared" si="1772"/>
        <v>0</v>
      </c>
      <c r="Q2065" s="1709">
        <f t="shared" si="1772"/>
        <v>0</v>
      </c>
      <c r="R2065" s="1709">
        <f t="shared" si="1772"/>
        <v>0</v>
      </c>
      <c r="S2065" s="1709">
        <f t="shared" si="1772"/>
        <v>0</v>
      </c>
      <c r="T2065" s="1710">
        <f t="shared" si="1772"/>
        <v>0</v>
      </c>
      <c r="Y2065" s="1198"/>
      <c r="Z2065" s="1199">
        <f t="shared" si="1717"/>
        <v>0</v>
      </c>
      <c r="AA2065" s="1199"/>
      <c r="AB2065" s="1209"/>
      <c r="AC2065" s="1199"/>
      <c r="AD2065" s="1199"/>
      <c r="AE2065" s="1209"/>
      <c r="AF2065" s="1709">
        <f t="shared" ref="AF2065:AQ2065" si="1773">SUMIF($AS$455:$AS$488,$B1670&amp;"contratada",AF$455:AF$488)</f>
        <v>0</v>
      </c>
      <c r="AG2065" s="1709">
        <f t="shared" si="1773"/>
        <v>0</v>
      </c>
      <c r="AH2065" s="1709">
        <f t="shared" si="1773"/>
        <v>0</v>
      </c>
      <c r="AI2065" s="1709">
        <f t="shared" si="1773"/>
        <v>0</v>
      </c>
      <c r="AJ2065" s="1709">
        <f t="shared" si="1773"/>
        <v>0</v>
      </c>
      <c r="AK2065" s="1709">
        <f t="shared" si="1773"/>
        <v>0</v>
      </c>
      <c r="AL2065" s="1709">
        <f t="shared" si="1773"/>
        <v>0</v>
      </c>
      <c r="AM2065" s="1709">
        <f t="shared" si="1773"/>
        <v>0</v>
      </c>
      <c r="AN2065" s="1709">
        <f t="shared" si="1773"/>
        <v>0</v>
      </c>
      <c r="AO2065" s="1709">
        <f t="shared" si="1773"/>
        <v>0</v>
      </c>
      <c r="AP2065" s="1709">
        <f t="shared" si="1773"/>
        <v>0</v>
      </c>
      <c r="AQ2065" s="1710">
        <f t="shared" si="1773"/>
        <v>0</v>
      </c>
    </row>
    <row r="2066" spans="1:44" ht="15.05" hidden="1" customHeight="1" thickTop="1" thickBot="1" x14ac:dyDescent="0.25">
      <c r="B2066" s="1711" t="s">
        <v>705</v>
      </c>
      <c r="C2066" s="1712"/>
      <c r="D2066" s="1712"/>
      <c r="E2066" s="1712"/>
      <c r="F2066" s="1712"/>
      <c r="G2066" s="1712"/>
      <c r="H2066" s="1713" t="s">
        <v>230</v>
      </c>
      <c r="I2066" s="1715">
        <f t="shared" ref="I2066:T2066" si="1774">+SUMPRODUCT(I2037:I2065,$C$2037:$C$2065)</f>
        <v>0</v>
      </c>
      <c r="J2066" s="1715">
        <f t="shared" si="1774"/>
        <v>0</v>
      </c>
      <c r="K2066" s="1715">
        <f t="shared" si="1774"/>
        <v>0</v>
      </c>
      <c r="L2066" s="1715">
        <f t="shared" si="1774"/>
        <v>0</v>
      </c>
      <c r="M2066" s="1715">
        <f t="shared" si="1774"/>
        <v>0</v>
      </c>
      <c r="N2066" s="1715">
        <f t="shared" si="1774"/>
        <v>0</v>
      </c>
      <c r="O2066" s="1715">
        <f t="shared" si="1774"/>
        <v>0</v>
      </c>
      <c r="P2066" s="1715">
        <f t="shared" si="1774"/>
        <v>0</v>
      </c>
      <c r="Q2066" s="1715">
        <f t="shared" si="1774"/>
        <v>0</v>
      </c>
      <c r="R2066" s="1715">
        <f t="shared" si="1774"/>
        <v>0</v>
      </c>
      <c r="S2066" s="1715">
        <f t="shared" si="1774"/>
        <v>0</v>
      </c>
      <c r="T2066" s="1716">
        <f t="shared" si="1774"/>
        <v>0</v>
      </c>
      <c r="Y2066" s="1711" t="s">
        <v>705</v>
      </c>
      <c r="Z2066" s="1712"/>
      <c r="AA2066" s="1712"/>
      <c r="AB2066" s="1712"/>
      <c r="AC2066" s="1712"/>
      <c r="AD2066" s="1712"/>
      <c r="AE2066" s="1719" t="s">
        <v>230</v>
      </c>
      <c r="AF2066" s="1715">
        <f t="shared" ref="AF2066:AQ2066" si="1775">+SUMPRODUCT(AF2037:AF2065,$C$2037:$C$2065)</f>
        <v>0</v>
      </c>
      <c r="AG2066" s="1715">
        <f t="shared" si="1775"/>
        <v>0</v>
      </c>
      <c r="AH2066" s="1715">
        <f t="shared" si="1775"/>
        <v>0</v>
      </c>
      <c r="AI2066" s="1715">
        <f t="shared" si="1775"/>
        <v>0</v>
      </c>
      <c r="AJ2066" s="1715">
        <f t="shared" si="1775"/>
        <v>0</v>
      </c>
      <c r="AK2066" s="1715">
        <f t="shared" si="1775"/>
        <v>0</v>
      </c>
      <c r="AL2066" s="1715">
        <f t="shared" si="1775"/>
        <v>0</v>
      </c>
      <c r="AM2066" s="1715">
        <f t="shared" si="1775"/>
        <v>0</v>
      </c>
      <c r="AN2066" s="1715">
        <f t="shared" si="1775"/>
        <v>0</v>
      </c>
      <c r="AO2066" s="1715">
        <f t="shared" si="1775"/>
        <v>0</v>
      </c>
      <c r="AP2066" s="1715">
        <f t="shared" si="1775"/>
        <v>0</v>
      </c>
      <c r="AQ2066" s="1716">
        <f t="shared" si="1775"/>
        <v>0</v>
      </c>
    </row>
    <row r="2067" spans="1:44" ht="14.4" hidden="1" customHeight="1" thickTop="1" x14ac:dyDescent="0.2">
      <c r="B2067" s="1594"/>
      <c r="C2067" s="193"/>
      <c r="D2067" s="193"/>
      <c r="E2067" s="193"/>
      <c r="F2067" s="193"/>
      <c r="G2067" s="193"/>
      <c r="H2067" s="982" t="s">
        <v>698</v>
      </c>
      <c r="I2067" s="1205">
        <f t="shared" ref="I2067:T2067" si="1776">IFERROR(I2066*I2033/I2035,0)</f>
        <v>0</v>
      </c>
      <c r="J2067" s="1205">
        <f t="shared" si="1776"/>
        <v>0</v>
      </c>
      <c r="K2067" s="1205">
        <f t="shared" si="1776"/>
        <v>0</v>
      </c>
      <c r="L2067" s="1205">
        <f t="shared" si="1776"/>
        <v>0</v>
      </c>
      <c r="M2067" s="1205">
        <f t="shared" si="1776"/>
        <v>0</v>
      </c>
      <c r="N2067" s="1205">
        <f t="shared" si="1776"/>
        <v>0</v>
      </c>
      <c r="O2067" s="1205">
        <f t="shared" si="1776"/>
        <v>0</v>
      </c>
      <c r="P2067" s="1205">
        <f t="shared" si="1776"/>
        <v>0</v>
      </c>
      <c r="Q2067" s="1205">
        <f t="shared" si="1776"/>
        <v>0</v>
      </c>
      <c r="R2067" s="1205">
        <f t="shared" si="1776"/>
        <v>0</v>
      </c>
      <c r="S2067" s="1205">
        <f t="shared" si="1776"/>
        <v>0</v>
      </c>
      <c r="T2067" s="1714">
        <f t="shared" si="1776"/>
        <v>0</v>
      </c>
      <c r="Y2067" s="1594"/>
      <c r="Z2067" s="193"/>
      <c r="AA2067" s="193"/>
      <c r="AB2067" s="193"/>
      <c r="AC2067" s="193"/>
      <c r="AD2067" s="193"/>
      <c r="AE2067" s="1720" t="s">
        <v>698</v>
      </c>
      <c r="AF2067" s="1205">
        <f>IFERROR(AF2066*#REF!/AF2034,0)</f>
        <v>0</v>
      </c>
      <c r="AG2067" s="1205">
        <f>IFERROR(AG2066*#REF!/AG2034,0)</f>
        <v>0</v>
      </c>
      <c r="AH2067" s="1205">
        <f>IFERROR(AH2066*#REF!/AH2034,0)</f>
        <v>0</v>
      </c>
      <c r="AI2067" s="1205">
        <f>IFERROR(AI2066*#REF!/AI2034,0)</f>
        <v>0</v>
      </c>
      <c r="AJ2067" s="1205">
        <f>IFERROR(AJ2066*#REF!/AJ2034,0)</f>
        <v>0</v>
      </c>
      <c r="AK2067" s="1205">
        <f>IFERROR(AK2066*#REF!/AK2034,0)</f>
        <v>0</v>
      </c>
      <c r="AL2067" s="1205">
        <f>IFERROR(AL2066*#REF!/AL2034,0)</f>
        <v>0</v>
      </c>
      <c r="AM2067" s="1205">
        <f>IFERROR(AM2066*#REF!/AM2034,0)</f>
        <v>0</v>
      </c>
      <c r="AN2067" s="1205">
        <f>IFERROR(AN2066*#REF!/AN2034,0)</f>
        <v>0</v>
      </c>
      <c r="AO2067" s="1205">
        <f>IFERROR(AO2066*#REF!/AO2034,0)</f>
        <v>0</v>
      </c>
      <c r="AP2067" s="1205">
        <f>IFERROR(AP2066*#REF!/AP2034,0)</f>
        <v>0</v>
      </c>
      <c r="AQ2067" s="1714">
        <f>IFERROR(AQ2066*#REF!/AQ2034,0)</f>
        <v>0</v>
      </c>
    </row>
    <row r="2068" spans="1:44" ht="14.4" hidden="1" customHeight="1" thickBot="1" x14ac:dyDescent="0.25">
      <c r="B2068" s="1596"/>
      <c r="C2068" s="1199"/>
      <c r="D2068" s="1199"/>
      <c r="E2068" s="1199"/>
      <c r="F2068" s="1199"/>
      <c r="G2068" s="1199"/>
      <c r="H2068" s="1717" t="s">
        <v>699</v>
      </c>
      <c r="I2068" s="1590">
        <f>+I2066-I2067</f>
        <v>0</v>
      </c>
      <c r="J2068" s="1590">
        <f t="shared" ref="J2068:T2068" si="1777">+J2066-J2067</f>
        <v>0</v>
      </c>
      <c r="K2068" s="1590">
        <f t="shared" si="1777"/>
        <v>0</v>
      </c>
      <c r="L2068" s="1590">
        <f t="shared" si="1777"/>
        <v>0</v>
      </c>
      <c r="M2068" s="1590">
        <f t="shared" si="1777"/>
        <v>0</v>
      </c>
      <c r="N2068" s="1590">
        <f t="shared" si="1777"/>
        <v>0</v>
      </c>
      <c r="O2068" s="1590">
        <f t="shared" si="1777"/>
        <v>0</v>
      </c>
      <c r="P2068" s="1590">
        <f t="shared" si="1777"/>
        <v>0</v>
      </c>
      <c r="Q2068" s="1590">
        <f t="shared" si="1777"/>
        <v>0</v>
      </c>
      <c r="R2068" s="1590">
        <f t="shared" si="1777"/>
        <v>0</v>
      </c>
      <c r="S2068" s="1590">
        <f t="shared" si="1777"/>
        <v>0</v>
      </c>
      <c r="T2068" s="1655">
        <f t="shared" si="1777"/>
        <v>0</v>
      </c>
      <c r="Y2068" s="1596"/>
      <c r="Z2068" s="1199"/>
      <c r="AA2068" s="1199"/>
      <c r="AB2068" s="1199"/>
      <c r="AC2068" s="1199"/>
      <c r="AD2068" s="1199"/>
      <c r="AE2068" s="1721" t="s">
        <v>699</v>
      </c>
      <c r="AF2068" s="1590">
        <f>+AF2066-AF2067</f>
        <v>0</v>
      </c>
      <c r="AG2068" s="1590">
        <f t="shared" ref="AG2068:AQ2068" si="1778">+AG2066-AG2067</f>
        <v>0</v>
      </c>
      <c r="AH2068" s="1590">
        <f t="shared" si="1778"/>
        <v>0</v>
      </c>
      <c r="AI2068" s="1590">
        <f t="shared" si="1778"/>
        <v>0</v>
      </c>
      <c r="AJ2068" s="1590">
        <f t="shared" si="1778"/>
        <v>0</v>
      </c>
      <c r="AK2068" s="1590">
        <f t="shared" si="1778"/>
        <v>0</v>
      </c>
      <c r="AL2068" s="1590">
        <f t="shared" si="1778"/>
        <v>0</v>
      </c>
      <c r="AM2068" s="1590">
        <f t="shared" si="1778"/>
        <v>0</v>
      </c>
      <c r="AN2068" s="1590">
        <f t="shared" si="1778"/>
        <v>0</v>
      </c>
      <c r="AO2068" s="1590">
        <f t="shared" si="1778"/>
        <v>0</v>
      </c>
      <c r="AP2068" s="1590">
        <f t="shared" si="1778"/>
        <v>0</v>
      </c>
      <c r="AQ2068" s="1655">
        <f t="shared" si="1778"/>
        <v>0</v>
      </c>
    </row>
    <row r="2069" spans="1:44" s="254" customFormat="1" ht="15.05" hidden="1" customHeight="1" thickTop="1" thickBot="1" x14ac:dyDescent="0.25">
      <c r="A2069" s="2188">
        <v>1108</v>
      </c>
      <c r="B2069" s="1689" t="s">
        <v>761</v>
      </c>
      <c r="C2069" s="1581"/>
      <c r="D2069" s="1581"/>
      <c r="E2069" s="1679"/>
      <c r="F2069" s="1581"/>
      <c r="G2069" s="1581"/>
      <c r="H2069" s="1679"/>
      <c r="I2069" s="1679"/>
      <c r="J2069" s="1679"/>
      <c r="K2069" s="1679"/>
      <c r="L2069" s="1679"/>
      <c r="M2069" s="1679"/>
      <c r="N2069" s="1679"/>
      <c r="O2069" s="1679"/>
      <c r="P2069" s="1679"/>
      <c r="Q2069" s="1679"/>
      <c r="R2069" s="1679"/>
      <c r="S2069" s="1679"/>
      <c r="T2069" s="1680"/>
      <c r="U2069" s="193"/>
      <c r="Z2069" s="193"/>
      <c r="AA2069" s="193"/>
      <c r="AB2069" s="193"/>
      <c r="AC2069" s="193"/>
      <c r="AD2069" s="193"/>
      <c r="AE2069" s="193"/>
      <c r="AF2069" s="193"/>
      <c r="AG2069" s="193"/>
      <c r="AH2069" s="193"/>
      <c r="AI2069" s="193"/>
      <c r="AJ2069" s="193"/>
      <c r="AK2069" s="193"/>
      <c r="AL2069" s="193"/>
      <c r="AM2069" s="193"/>
      <c r="AN2069" s="193"/>
      <c r="AO2069" s="193"/>
      <c r="AP2069" s="193"/>
      <c r="AQ2069" s="193"/>
      <c r="AR2069" s="193"/>
    </row>
    <row r="2070" spans="1:44" ht="14.4" hidden="1" customHeight="1" thickTop="1" x14ac:dyDescent="0.2">
      <c r="B2070" s="1584" t="s">
        <v>2019</v>
      </c>
      <c r="C2070" s="1194" t="s">
        <v>2023</v>
      </c>
      <c r="D2070" s="1194"/>
      <c r="E2070" s="1210"/>
      <c r="F2070" s="1194"/>
      <c r="G2070" s="1194"/>
      <c r="H2070" s="1210"/>
      <c r="I2070" s="1210"/>
      <c r="J2070" s="1210"/>
      <c r="K2070" s="1210"/>
      <c r="L2070" s="1210"/>
      <c r="M2070" s="1210"/>
      <c r="N2070" s="1210"/>
      <c r="O2070" s="1210"/>
      <c r="P2070" s="1210"/>
      <c r="Q2070" s="1210"/>
      <c r="R2070" s="1210"/>
      <c r="S2070" s="1210"/>
      <c r="T2070" s="1585"/>
    </row>
    <row r="2071" spans="1:44" ht="13.75" hidden="1" customHeight="1" x14ac:dyDescent="0.2">
      <c r="B2071" s="1195" t="s">
        <v>2021</v>
      </c>
      <c r="C2071" s="193">
        <f>+C2037</f>
        <v>5</v>
      </c>
      <c r="D2071" s="193"/>
      <c r="E2071" s="254"/>
      <c r="F2071" s="193"/>
      <c r="G2071" s="193"/>
      <c r="H2071" s="254"/>
      <c r="I2071" s="1705">
        <f ca="1">SUMIF($V$546:$V$590,$B1650&amp;"propia",I$547:I$589)</f>
        <v>0</v>
      </c>
      <c r="J2071" s="1705">
        <f t="shared" ref="J2071:S2071" ca="1" si="1779">SUMIF($V$546:$V$590,$B1650&amp;"propia",J$547:J$589)</f>
        <v>0</v>
      </c>
      <c r="K2071" s="1705">
        <f t="shared" ca="1" si="1779"/>
        <v>0</v>
      </c>
      <c r="L2071" s="1705">
        <f t="shared" ca="1" si="1779"/>
        <v>0</v>
      </c>
      <c r="M2071" s="1705">
        <f t="shared" ca="1" si="1779"/>
        <v>0</v>
      </c>
      <c r="N2071" s="1705">
        <f t="shared" ca="1" si="1779"/>
        <v>0</v>
      </c>
      <c r="O2071" s="1705">
        <f t="shared" ca="1" si="1779"/>
        <v>0</v>
      </c>
      <c r="P2071" s="1705">
        <f t="shared" ca="1" si="1779"/>
        <v>0</v>
      </c>
      <c r="Q2071" s="1705">
        <f t="shared" ca="1" si="1779"/>
        <v>0</v>
      </c>
      <c r="R2071" s="1705">
        <f t="shared" ca="1" si="1779"/>
        <v>0</v>
      </c>
      <c r="S2071" s="1705">
        <f t="shared" ca="1" si="1779"/>
        <v>0</v>
      </c>
      <c r="T2071" s="1705">
        <f ca="1">SUMIF($V$546:$V$590,$B1650&amp;"propia",T$547:T$589)</f>
        <v>0</v>
      </c>
    </row>
    <row r="2072" spans="1:44" ht="13.75" hidden="1" customHeight="1" x14ac:dyDescent="0.2">
      <c r="B2072" s="1195"/>
      <c r="C2072" s="193">
        <f t="shared" ref="C2072:C2083" si="1780">+C2038</f>
        <v>5</v>
      </c>
      <c r="D2072" s="193"/>
      <c r="E2072" s="254"/>
      <c r="F2072" s="193"/>
      <c r="G2072" s="193"/>
      <c r="H2072" s="254"/>
      <c r="I2072" s="1707">
        <f t="shared" ref="I2072:T2072" ca="1" si="1781">SUMIF($V$546:$V$590,$B1651&amp;"propia",I$547:I$589)</f>
        <v>0</v>
      </c>
      <c r="J2072" s="1707">
        <f t="shared" ca="1" si="1781"/>
        <v>0</v>
      </c>
      <c r="K2072" s="1707">
        <f t="shared" ca="1" si="1781"/>
        <v>0</v>
      </c>
      <c r="L2072" s="1707">
        <f t="shared" ca="1" si="1781"/>
        <v>0</v>
      </c>
      <c r="M2072" s="1707">
        <f t="shared" ca="1" si="1781"/>
        <v>0</v>
      </c>
      <c r="N2072" s="1707">
        <f t="shared" ca="1" si="1781"/>
        <v>0</v>
      </c>
      <c r="O2072" s="1707">
        <f t="shared" ca="1" si="1781"/>
        <v>0</v>
      </c>
      <c r="P2072" s="1707">
        <f t="shared" ca="1" si="1781"/>
        <v>0</v>
      </c>
      <c r="Q2072" s="1707">
        <f t="shared" ca="1" si="1781"/>
        <v>0</v>
      </c>
      <c r="R2072" s="1707">
        <f t="shared" ca="1" si="1781"/>
        <v>0</v>
      </c>
      <c r="S2072" s="1707">
        <f t="shared" ca="1" si="1781"/>
        <v>0</v>
      </c>
      <c r="T2072" s="1708">
        <f t="shared" ca="1" si="1781"/>
        <v>0</v>
      </c>
    </row>
    <row r="2073" spans="1:44" ht="13.75" hidden="1" customHeight="1" x14ac:dyDescent="0.2">
      <c r="B2073" s="1195"/>
      <c r="C2073" s="193">
        <f t="shared" si="1780"/>
        <v>1.5</v>
      </c>
      <c r="D2073" s="193"/>
      <c r="E2073" s="254"/>
      <c r="F2073" s="193"/>
      <c r="G2073" s="193"/>
      <c r="H2073" s="254"/>
      <c r="I2073" s="1707">
        <f t="shared" ref="I2073:T2073" ca="1" si="1782">SUMIF($V$546:$V$590,$B1652&amp;"propia",I$547:I$589)</f>
        <v>0</v>
      </c>
      <c r="J2073" s="1707">
        <f t="shared" ca="1" si="1782"/>
        <v>0</v>
      </c>
      <c r="K2073" s="1707">
        <f t="shared" ca="1" si="1782"/>
        <v>0</v>
      </c>
      <c r="L2073" s="1707">
        <f t="shared" ca="1" si="1782"/>
        <v>0</v>
      </c>
      <c r="M2073" s="1707">
        <f t="shared" ca="1" si="1782"/>
        <v>0</v>
      </c>
      <c r="N2073" s="1707">
        <f t="shared" ca="1" si="1782"/>
        <v>0</v>
      </c>
      <c r="O2073" s="1707">
        <f t="shared" ca="1" si="1782"/>
        <v>0</v>
      </c>
      <c r="P2073" s="1707">
        <f t="shared" ca="1" si="1782"/>
        <v>0</v>
      </c>
      <c r="Q2073" s="1707">
        <f t="shared" ca="1" si="1782"/>
        <v>0</v>
      </c>
      <c r="R2073" s="1707">
        <f t="shared" ca="1" si="1782"/>
        <v>0</v>
      </c>
      <c r="S2073" s="1707">
        <f t="shared" ca="1" si="1782"/>
        <v>0</v>
      </c>
      <c r="T2073" s="1708">
        <f t="shared" ca="1" si="1782"/>
        <v>0</v>
      </c>
    </row>
    <row r="2074" spans="1:44" ht="13.75" hidden="1" customHeight="1" x14ac:dyDescent="0.2">
      <c r="B2074" s="1195"/>
      <c r="C2074" s="193">
        <f t="shared" si="1780"/>
        <v>1.5</v>
      </c>
      <c r="D2074" s="193"/>
      <c r="E2074" s="254"/>
      <c r="F2074" s="193"/>
      <c r="G2074" s="193"/>
      <c r="H2074" s="254"/>
      <c r="I2074" s="1707">
        <f t="shared" ref="I2074:T2074" ca="1" si="1783">SUMIF($V$546:$V$590,$B1653&amp;"propia",I$547:I$589)</f>
        <v>0</v>
      </c>
      <c r="J2074" s="1707">
        <f t="shared" ca="1" si="1783"/>
        <v>0</v>
      </c>
      <c r="K2074" s="1707">
        <f t="shared" ca="1" si="1783"/>
        <v>0</v>
      </c>
      <c r="L2074" s="1707">
        <f t="shared" ca="1" si="1783"/>
        <v>0</v>
      </c>
      <c r="M2074" s="1707">
        <f t="shared" ca="1" si="1783"/>
        <v>0</v>
      </c>
      <c r="N2074" s="1707">
        <f t="shared" ca="1" si="1783"/>
        <v>0</v>
      </c>
      <c r="O2074" s="1707">
        <f t="shared" ca="1" si="1783"/>
        <v>0</v>
      </c>
      <c r="P2074" s="1707">
        <f t="shared" ca="1" si="1783"/>
        <v>0</v>
      </c>
      <c r="Q2074" s="1707">
        <f t="shared" ca="1" si="1783"/>
        <v>0</v>
      </c>
      <c r="R2074" s="1707">
        <f t="shared" ca="1" si="1783"/>
        <v>0</v>
      </c>
      <c r="S2074" s="1707">
        <f t="shared" ca="1" si="1783"/>
        <v>0</v>
      </c>
      <c r="T2074" s="1708">
        <f t="shared" ca="1" si="1783"/>
        <v>0</v>
      </c>
    </row>
    <row r="2075" spans="1:44" ht="13.75" hidden="1" customHeight="1" x14ac:dyDescent="0.2">
      <c r="B2075" s="1195"/>
      <c r="C2075" s="193">
        <f t="shared" si="1780"/>
        <v>3</v>
      </c>
      <c r="D2075" s="193"/>
      <c r="E2075" s="254"/>
      <c r="F2075" s="193"/>
      <c r="G2075" s="193"/>
      <c r="H2075" s="254"/>
      <c r="I2075" s="1707">
        <f t="shared" ref="I2075:T2075" ca="1" si="1784">SUMIF($V$546:$V$590,$B1654&amp;"propia",I$547:I$589)</f>
        <v>0</v>
      </c>
      <c r="J2075" s="1707">
        <f t="shared" ca="1" si="1784"/>
        <v>0</v>
      </c>
      <c r="K2075" s="1707">
        <f t="shared" ca="1" si="1784"/>
        <v>0</v>
      </c>
      <c r="L2075" s="1707">
        <f t="shared" ca="1" si="1784"/>
        <v>0</v>
      </c>
      <c r="M2075" s="1707">
        <f t="shared" ca="1" si="1784"/>
        <v>0</v>
      </c>
      <c r="N2075" s="1707">
        <f t="shared" ca="1" si="1784"/>
        <v>0</v>
      </c>
      <c r="O2075" s="1707">
        <f t="shared" ca="1" si="1784"/>
        <v>0</v>
      </c>
      <c r="P2075" s="1707">
        <f t="shared" ca="1" si="1784"/>
        <v>0</v>
      </c>
      <c r="Q2075" s="1707">
        <f t="shared" ca="1" si="1784"/>
        <v>0</v>
      </c>
      <c r="R2075" s="1707">
        <f t="shared" ca="1" si="1784"/>
        <v>0</v>
      </c>
      <c r="S2075" s="1707">
        <f t="shared" ca="1" si="1784"/>
        <v>0</v>
      </c>
      <c r="T2075" s="1708">
        <f t="shared" ca="1" si="1784"/>
        <v>0</v>
      </c>
    </row>
    <row r="2076" spans="1:44" ht="13.75" hidden="1" customHeight="1" x14ac:dyDescent="0.2">
      <c r="B2076" s="1195"/>
      <c r="C2076" s="193">
        <f t="shared" si="1780"/>
        <v>3</v>
      </c>
      <c r="D2076" s="193"/>
      <c r="E2076" s="254"/>
      <c r="F2076" s="193"/>
      <c r="G2076" s="193"/>
      <c r="H2076" s="254"/>
      <c r="I2076" s="1707">
        <f t="shared" ref="I2076:T2076" ca="1" si="1785">SUMIF($V$546:$V$590,$B1655&amp;"propia",I$547:I$589)</f>
        <v>0</v>
      </c>
      <c r="J2076" s="1707">
        <f t="shared" ca="1" si="1785"/>
        <v>0</v>
      </c>
      <c r="K2076" s="1707">
        <f t="shared" ca="1" si="1785"/>
        <v>0</v>
      </c>
      <c r="L2076" s="1707">
        <f t="shared" ca="1" si="1785"/>
        <v>0</v>
      </c>
      <c r="M2076" s="1707">
        <f t="shared" ca="1" si="1785"/>
        <v>0</v>
      </c>
      <c r="N2076" s="1707">
        <f t="shared" ca="1" si="1785"/>
        <v>0</v>
      </c>
      <c r="O2076" s="1707">
        <f t="shared" ca="1" si="1785"/>
        <v>0</v>
      </c>
      <c r="P2076" s="1707">
        <f t="shared" ca="1" si="1785"/>
        <v>0</v>
      </c>
      <c r="Q2076" s="1707">
        <f t="shared" ca="1" si="1785"/>
        <v>0</v>
      </c>
      <c r="R2076" s="1707">
        <f t="shared" ca="1" si="1785"/>
        <v>0</v>
      </c>
      <c r="S2076" s="1707">
        <f t="shared" ca="1" si="1785"/>
        <v>0</v>
      </c>
      <c r="T2076" s="1708">
        <f t="shared" ca="1" si="1785"/>
        <v>0</v>
      </c>
    </row>
    <row r="2077" spans="1:44" ht="13.75" hidden="1" customHeight="1" x14ac:dyDescent="0.2">
      <c r="B2077" s="1195"/>
      <c r="C2077" s="193">
        <f t="shared" si="1780"/>
        <v>9</v>
      </c>
      <c r="D2077" s="193"/>
      <c r="E2077" s="254"/>
      <c r="F2077" s="193"/>
      <c r="G2077" s="193"/>
      <c r="H2077" s="254"/>
      <c r="I2077" s="1707">
        <f t="shared" ref="I2077:T2077" ca="1" si="1786">SUMIF($V$546:$V$590,$B1656&amp;"propia",I$547:I$589)</f>
        <v>0</v>
      </c>
      <c r="J2077" s="1707">
        <f t="shared" ca="1" si="1786"/>
        <v>0</v>
      </c>
      <c r="K2077" s="1707">
        <f t="shared" ca="1" si="1786"/>
        <v>0</v>
      </c>
      <c r="L2077" s="1707">
        <f t="shared" ca="1" si="1786"/>
        <v>0</v>
      </c>
      <c r="M2077" s="1707">
        <f t="shared" ca="1" si="1786"/>
        <v>0</v>
      </c>
      <c r="N2077" s="1707">
        <f t="shared" ca="1" si="1786"/>
        <v>0</v>
      </c>
      <c r="O2077" s="1707">
        <f t="shared" ca="1" si="1786"/>
        <v>0</v>
      </c>
      <c r="P2077" s="1707">
        <f t="shared" ca="1" si="1786"/>
        <v>0</v>
      </c>
      <c r="Q2077" s="1707">
        <f t="shared" ca="1" si="1786"/>
        <v>0</v>
      </c>
      <c r="R2077" s="1707">
        <f t="shared" ca="1" si="1786"/>
        <v>0</v>
      </c>
      <c r="S2077" s="1707">
        <f t="shared" ca="1" si="1786"/>
        <v>0</v>
      </c>
      <c r="T2077" s="1708">
        <f t="shared" ca="1" si="1786"/>
        <v>0</v>
      </c>
    </row>
    <row r="2078" spans="1:44" ht="13.75" hidden="1" customHeight="1" x14ac:dyDescent="0.2">
      <c r="B2078" s="1195"/>
      <c r="C2078" s="193">
        <f t="shared" si="1780"/>
        <v>0</v>
      </c>
      <c r="D2078" s="193"/>
      <c r="E2078" s="254"/>
      <c r="F2078" s="193"/>
      <c r="G2078" s="193"/>
      <c r="H2078" s="254"/>
      <c r="I2078" s="1707">
        <f t="shared" ref="I2078:T2078" ca="1" si="1787">SUMIF($V$546:$V$590,$B1657&amp;"propia",I$547:I$589)</f>
        <v>0</v>
      </c>
      <c r="J2078" s="1707">
        <f t="shared" ca="1" si="1787"/>
        <v>0</v>
      </c>
      <c r="K2078" s="1707">
        <f t="shared" ca="1" si="1787"/>
        <v>0</v>
      </c>
      <c r="L2078" s="1707">
        <f t="shared" ca="1" si="1787"/>
        <v>0</v>
      </c>
      <c r="M2078" s="1707">
        <f t="shared" ca="1" si="1787"/>
        <v>0</v>
      </c>
      <c r="N2078" s="1707">
        <f t="shared" ca="1" si="1787"/>
        <v>0</v>
      </c>
      <c r="O2078" s="1707">
        <f t="shared" ca="1" si="1787"/>
        <v>0</v>
      </c>
      <c r="P2078" s="1707">
        <f t="shared" ca="1" si="1787"/>
        <v>0</v>
      </c>
      <c r="Q2078" s="1707">
        <f t="shared" ca="1" si="1787"/>
        <v>0</v>
      </c>
      <c r="R2078" s="1707">
        <f t="shared" ca="1" si="1787"/>
        <v>0</v>
      </c>
      <c r="S2078" s="1707">
        <f t="shared" ca="1" si="1787"/>
        <v>0</v>
      </c>
      <c r="T2078" s="1708">
        <f t="shared" ca="1" si="1787"/>
        <v>0</v>
      </c>
    </row>
    <row r="2079" spans="1:44" ht="13.75" hidden="1" customHeight="1" x14ac:dyDescent="0.2">
      <c r="B2079" s="1195"/>
      <c r="C2079" s="193">
        <f t="shared" si="1780"/>
        <v>0</v>
      </c>
      <c r="D2079" s="193"/>
      <c r="E2079" s="254"/>
      <c r="F2079" s="193"/>
      <c r="G2079" s="193"/>
      <c r="H2079" s="254"/>
      <c r="I2079" s="1707">
        <f t="shared" ref="I2079:T2079" ca="1" si="1788">SUMIF($V$546:$V$590,$B1658&amp;"propia",I$547:I$589)</f>
        <v>0</v>
      </c>
      <c r="J2079" s="1707">
        <f t="shared" ca="1" si="1788"/>
        <v>0</v>
      </c>
      <c r="K2079" s="1707">
        <f t="shared" ca="1" si="1788"/>
        <v>0</v>
      </c>
      <c r="L2079" s="1707">
        <f t="shared" ca="1" si="1788"/>
        <v>0</v>
      </c>
      <c r="M2079" s="1707">
        <f t="shared" ca="1" si="1788"/>
        <v>0</v>
      </c>
      <c r="N2079" s="1707">
        <f t="shared" ca="1" si="1788"/>
        <v>0</v>
      </c>
      <c r="O2079" s="1707">
        <f t="shared" ca="1" si="1788"/>
        <v>0</v>
      </c>
      <c r="P2079" s="1707">
        <f t="shared" ca="1" si="1788"/>
        <v>0</v>
      </c>
      <c r="Q2079" s="1707">
        <f t="shared" ca="1" si="1788"/>
        <v>0</v>
      </c>
      <c r="R2079" s="1707">
        <f t="shared" ca="1" si="1788"/>
        <v>0</v>
      </c>
      <c r="S2079" s="1707">
        <f t="shared" ca="1" si="1788"/>
        <v>0</v>
      </c>
      <c r="T2079" s="1708">
        <f t="shared" ca="1" si="1788"/>
        <v>0</v>
      </c>
    </row>
    <row r="2080" spans="1:44" ht="13.75" hidden="1" customHeight="1" x14ac:dyDescent="0.2">
      <c r="B2080" s="1195"/>
      <c r="C2080" s="193">
        <f t="shared" si="1780"/>
        <v>0</v>
      </c>
      <c r="D2080" s="193"/>
      <c r="E2080" s="254"/>
      <c r="F2080" s="193"/>
      <c r="G2080" s="193"/>
      <c r="H2080" s="254"/>
      <c r="I2080" s="1707">
        <f t="shared" ref="I2080:T2080" ca="1" si="1789">SUMIF($V$546:$V$590,$B1659&amp;"propia",I$547:I$589)</f>
        <v>0</v>
      </c>
      <c r="J2080" s="1707">
        <f t="shared" ca="1" si="1789"/>
        <v>0</v>
      </c>
      <c r="K2080" s="1707">
        <f t="shared" ca="1" si="1789"/>
        <v>0</v>
      </c>
      <c r="L2080" s="1707">
        <f t="shared" ca="1" si="1789"/>
        <v>0</v>
      </c>
      <c r="M2080" s="1707">
        <f t="shared" ca="1" si="1789"/>
        <v>0</v>
      </c>
      <c r="N2080" s="1707">
        <f t="shared" ca="1" si="1789"/>
        <v>0</v>
      </c>
      <c r="O2080" s="1707">
        <f t="shared" ca="1" si="1789"/>
        <v>0</v>
      </c>
      <c r="P2080" s="1707">
        <f t="shared" ca="1" si="1789"/>
        <v>0</v>
      </c>
      <c r="Q2080" s="1707">
        <f t="shared" ca="1" si="1789"/>
        <v>0</v>
      </c>
      <c r="R2080" s="1707">
        <f t="shared" ca="1" si="1789"/>
        <v>0</v>
      </c>
      <c r="S2080" s="1707">
        <f t="shared" ca="1" si="1789"/>
        <v>0</v>
      </c>
      <c r="T2080" s="1708">
        <f t="shared" ca="1" si="1789"/>
        <v>0</v>
      </c>
    </row>
    <row r="2081" spans="2:20" ht="13.75" hidden="1" customHeight="1" x14ac:dyDescent="0.2">
      <c r="B2081" s="1195"/>
      <c r="C2081" s="193">
        <f t="shared" si="1780"/>
        <v>0</v>
      </c>
      <c r="D2081" s="193"/>
      <c r="E2081" s="254"/>
      <c r="F2081" s="193"/>
      <c r="G2081" s="193"/>
      <c r="H2081" s="254"/>
      <c r="I2081" s="1707">
        <f t="shared" ref="I2081:T2081" ca="1" si="1790">SUMIF($V$546:$V$590,$B1660&amp;"propia",I$547:I$589)</f>
        <v>0</v>
      </c>
      <c r="J2081" s="1707">
        <f t="shared" ca="1" si="1790"/>
        <v>0</v>
      </c>
      <c r="K2081" s="1707">
        <f t="shared" ca="1" si="1790"/>
        <v>0</v>
      </c>
      <c r="L2081" s="1707">
        <f t="shared" ca="1" si="1790"/>
        <v>0</v>
      </c>
      <c r="M2081" s="1707">
        <f t="shared" ca="1" si="1790"/>
        <v>0</v>
      </c>
      <c r="N2081" s="1707">
        <f t="shared" ca="1" si="1790"/>
        <v>0</v>
      </c>
      <c r="O2081" s="1707">
        <f t="shared" ca="1" si="1790"/>
        <v>0</v>
      </c>
      <c r="P2081" s="1707">
        <f t="shared" ca="1" si="1790"/>
        <v>0</v>
      </c>
      <c r="Q2081" s="1707">
        <f t="shared" ca="1" si="1790"/>
        <v>0</v>
      </c>
      <c r="R2081" s="1707">
        <f t="shared" ca="1" si="1790"/>
        <v>0</v>
      </c>
      <c r="S2081" s="1707">
        <f t="shared" ca="1" si="1790"/>
        <v>0</v>
      </c>
      <c r="T2081" s="1708">
        <f t="shared" ca="1" si="1790"/>
        <v>0</v>
      </c>
    </row>
    <row r="2082" spans="2:20" ht="13.75" hidden="1" customHeight="1" x14ac:dyDescent="0.2">
      <c r="B2082" s="1195"/>
      <c r="C2082" s="193">
        <f t="shared" si="1780"/>
        <v>0</v>
      </c>
      <c r="D2082" s="193"/>
      <c r="E2082" s="254"/>
      <c r="F2082" s="193"/>
      <c r="G2082" s="193"/>
      <c r="H2082" s="254"/>
      <c r="I2082" s="1707">
        <f t="shared" ref="I2082:T2082" ca="1" si="1791">SUMIF($V$546:$V$590,$B1661&amp;"propia",I$547:I$589)</f>
        <v>0</v>
      </c>
      <c r="J2082" s="1707">
        <f t="shared" ca="1" si="1791"/>
        <v>0</v>
      </c>
      <c r="K2082" s="1707">
        <f t="shared" ca="1" si="1791"/>
        <v>0</v>
      </c>
      <c r="L2082" s="1707">
        <f t="shared" ca="1" si="1791"/>
        <v>0</v>
      </c>
      <c r="M2082" s="1707">
        <f t="shared" ca="1" si="1791"/>
        <v>0</v>
      </c>
      <c r="N2082" s="1707">
        <f t="shared" ca="1" si="1791"/>
        <v>0</v>
      </c>
      <c r="O2082" s="1707">
        <f t="shared" ca="1" si="1791"/>
        <v>0</v>
      </c>
      <c r="P2082" s="1707">
        <f t="shared" ca="1" si="1791"/>
        <v>0</v>
      </c>
      <c r="Q2082" s="1707">
        <f t="shared" ca="1" si="1791"/>
        <v>0</v>
      </c>
      <c r="R2082" s="1707">
        <f t="shared" ca="1" si="1791"/>
        <v>0</v>
      </c>
      <c r="S2082" s="1707">
        <f t="shared" ca="1" si="1791"/>
        <v>0</v>
      </c>
      <c r="T2082" s="1708">
        <f t="shared" ca="1" si="1791"/>
        <v>0</v>
      </c>
    </row>
    <row r="2083" spans="2:20" ht="13.75" hidden="1" customHeight="1" x14ac:dyDescent="0.2">
      <c r="B2083" s="1195"/>
      <c r="C2083" s="193">
        <f t="shared" si="1780"/>
        <v>0</v>
      </c>
      <c r="D2083" s="193"/>
      <c r="E2083" s="254"/>
      <c r="F2083" s="193"/>
      <c r="G2083" s="193"/>
      <c r="H2083" s="254"/>
      <c r="I2083" s="1707">
        <f t="shared" ref="I2083:T2083" ca="1" si="1792">SUMIF($V$546:$V$590,$B1662&amp;"propia",I$547:I$589)</f>
        <v>0</v>
      </c>
      <c r="J2083" s="1707">
        <f t="shared" ca="1" si="1792"/>
        <v>0</v>
      </c>
      <c r="K2083" s="1707">
        <f t="shared" ca="1" si="1792"/>
        <v>0</v>
      </c>
      <c r="L2083" s="1707">
        <f t="shared" ca="1" si="1792"/>
        <v>0</v>
      </c>
      <c r="M2083" s="1707">
        <f t="shared" ca="1" si="1792"/>
        <v>0</v>
      </c>
      <c r="N2083" s="1707">
        <f t="shared" ca="1" si="1792"/>
        <v>0</v>
      </c>
      <c r="O2083" s="1707">
        <f t="shared" ca="1" si="1792"/>
        <v>0</v>
      </c>
      <c r="P2083" s="1707">
        <f t="shared" ca="1" si="1792"/>
        <v>0</v>
      </c>
      <c r="Q2083" s="1707">
        <f t="shared" ca="1" si="1792"/>
        <v>0</v>
      </c>
      <c r="R2083" s="1707">
        <f t="shared" ca="1" si="1792"/>
        <v>0</v>
      </c>
      <c r="S2083" s="1707">
        <f t="shared" ca="1" si="1792"/>
        <v>0</v>
      </c>
      <c r="T2083" s="1708">
        <f t="shared" ca="1" si="1792"/>
        <v>0</v>
      </c>
    </row>
    <row r="2084" spans="2:20" ht="14.4" hidden="1" customHeight="1" thickBot="1" x14ac:dyDescent="0.25">
      <c r="B2084" s="1198"/>
      <c r="C2084" s="1199">
        <f>+C2050</f>
        <v>0</v>
      </c>
      <c r="D2084" s="1199"/>
      <c r="E2084" s="1209"/>
      <c r="F2084" s="1199"/>
      <c r="G2084" s="1199"/>
      <c r="H2084" s="1209"/>
      <c r="I2084" s="1709">
        <f t="shared" ref="I2084:T2084" ca="1" si="1793">SUMIF($V$546:$V$590,$B1663&amp;"propia",I$547:I$589)</f>
        <v>0</v>
      </c>
      <c r="J2084" s="1709">
        <f t="shared" ca="1" si="1793"/>
        <v>0</v>
      </c>
      <c r="K2084" s="1709">
        <f t="shared" ca="1" si="1793"/>
        <v>0</v>
      </c>
      <c r="L2084" s="1709">
        <f t="shared" ca="1" si="1793"/>
        <v>0</v>
      </c>
      <c r="M2084" s="1709">
        <f t="shared" ca="1" si="1793"/>
        <v>0</v>
      </c>
      <c r="N2084" s="1709">
        <f t="shared" ca="1" si="1793"/>
        <v>0</v>
      </c>
      <c r="O2084" s="1709">
        <f t="shared" ca="1" si="1793"/>
        <v>0</v>
      </c>
      <c r="P2084" s="1709">
        <f t="shared" ca="1" si="1793"/>
        <v>0</v>
      </c>
      <c r="Q2084" s="1709">
        <f t="shared" ca="1" si="1793"/>
        <v>0</v>
      </c>
      <c r="R2084" s="1709">
        <f t="shared" ca="1" si="1793"/>
        <v>0</v>
      </c>
      <c r="S2084" s="1709">
        <f t="shared" ca="1" si="1793"/>
        <v>0</v>
      </c>
      <c r="T2084" s="1710">
        <f t="shared" ca="1" si="1793"/>
        <v>0</v>
      </c>
    </row>
    <row r="2085" spans="2:20" ht="14.4" hidden="1" customHeight="1" thickTop="1" x14ac:dyDescent="0.2">
      <c r="B2085" s="1584" t="s">
        <v>2020</v>
      </c>
      <c r="C2085" s="1194" t="str">
        <f>+C2070</f>
        <v>Litros de Combustible</v>
      </c>
      <c r="D2085" s="1194"/>
      <c r="E2085" s="1210"/>
      <c r="F2085" s="1194"/>
      <c r="G2085" s="1194"/>
      <c r="H2085" s="1210"/>
      <c r="I2085" s="1210"/>
      <c r="J2085" s="1210"/>
      <c r="K2085" s="1210"/>
      <c r="L2085" s="1210"/>
      <c r="M2085" s="1210"/>
      <c r="N2085" s="1210"/>
      <c r="O2085" s="1210"/>
      <c r="P2085" s="1210"/>
      <c r="Q2085" s="1210"/>
      <c r="R2085" s="1210"/>
      <c r="S2085" s="1210"/>
      <c r="T2085" s="1585"/>
    </row>
    <row r="2086" spans="2:20" ht="13.75" hidden="1" customHeight="1" x14ac:dyDescent="0.2">
      <c r="B2086" s="1195" t="s">
        <v>2021</v>
      </c>
      <c r="C2086" s="193">
        <f t="shared" ref="C2086:C2099" si="1794">+C2071</f>
        <v>5</v>
      </c>
      <c r="D2086" s="193"/>
      <c r="E2086" s="254"/>
      <c r="F2086" s="193"/>
      <c r="G2086" s="193"/>
      <c r="H2086" s="254"/>
      <c r="I2086" s="1705">
        <f ca="1">SUMIF($V$546:$V$590,$B1650&amp;"contratada",I$547:I$589)</f>
        <v>0</v>
      </c>
      <c r="J2086" s="1705">
        <f t="shared" ref="J2086:T2086" ca="1" si="1795">SUMIF($V$546:$V$590,$B1650&amp;"contratada",J$547:J$589)</f>
        <v>0</v>
      </c>
      <c r="K2086" s="1705">
        <f t="shared" ca="1" si="1795"/>
        <v>0</v>
      </c>
      <c r="L2086" s="1705">
        <f t="shared" ca="1" si="1795"/>
        <v>0</v>
      </c>
      <c r="M2086" s="1705">
        <f t="shared" ca="1" si="1795"/>
        <v>0</v>
      </c>
      <c r="N2086" s="1705">
        <f t="shared" ca="1" si="1795"/>
        <v>0</v>
      </c>
      <c r="O2086" s="1705">
        <f t="shared" ca="1" si="1795"/>
        <v>0</v>
      </c>
      <c r="P2086" s="1705">
        <f t="shared" ca="1" si="1795"/>
        <v>0</v>
      </c>
      <c r="Q2086" s="1705">
        <f t="shared" ca="1" si="1795"/>
        <v>0</v>
      </c>
      <c r="R2086" s="1705">
        <f t="shared" ca="1" si="1795"/>
        <v>0</v>
      </c>
      <c r="S2086" s="1705">
        <f t="shared" ca="1" si="1795"/>
        <v>0</v>
      </c>
      <c r="T2086" s="1705">
        <f t="shared" ca="1" si="1795"/>
        <v>0</v>
      </c>
    </row>
    <row r="2087" spans="2:20" ht="13.75" hidden="1" customHeight="1" x14ac:dyDescent="0.2">
      <c r="B2087" s="1195"/>
      <c r="C2087" s="193">
        <f t="shared" si="1794"/>
        <v>5</v>
      </c>
      <c r="D2087" s="193"/>
      <c r="E2087" s="254"/>
      <c r="F2087" s="193"/>
      <c r="G2087" s="193"/>
      <c r="H2087" s="254"/>
      <c r="I2087" s="1707">
        <f t="shared" ref="I2087:T2087" ca="1" si="1796">SUMIF($V$546:$V$590,$B1651&amp;"contratada",I$547:I$589)</f>
        <v>0</v>
      </c>
      <c r="J2087" s="1707">
        <f t="shared" ca="1" si="1796"/>
        <v>0</v>
      </c>
      <c r="K2087" s="1707">
        <f t="shared" ca="1" si="1796"/>
        <v>0</v>
      </c>
      <c r="L2087" s="1707">
        <f t="shared" ca="1" si="1796"/>
        <v>0</v>
      </c>
      <c r="M2087" s="1707">
        <f t="shared" ca="1" si="1796"/>
        <v>0</v>
      </c>
      <c r="N2087" s="1707">
        <f t="shared" ca="1" si="1796"/>
        <v>0</v>
      </c>
      <c r="O2087" s="1707">
        <f t="shared" ca="1" si="1796"/>
        <v>0</v>
      </c>
      <c r="P2087" s="1707">
        <f t="shared" ca="1" si="1796"/>
        <v>0</v>
      </c>
      <c r="Q2087" s="1707">
        <f t="shared" ca="1" si="1796"/>
        <v>0</v>
      </c>
      <c r="R2087" s="1707">
        <f t="shared" ca="1" si="1796"/>
        <v>0</v>
      </c>
      <c r="S2087" s="1707">
        <f t="shared" ca="1" si="1796"/>
        <v>0</v>
      </c>
      <c r="T2087" s="1708">
        <f t="shared" ca="1" si="1796"/>
        <v>0</v>
      </c>
    </row>
    <row r="2088" spans="2:20" ht="13.75" hidden="1" customHeight="1" x14ac:dyDescent="0.2">
      <c r="B2088" s="1195"/>
      <c r="C2088" s="193">
        <f t="shared" si="1794"/>
        <v>1.5</v>
      </c>
      <c r="D2088" s="193"/>
      <c r="E2088" s="254"/>
      <c r="F2088" s="193"/>
      <c r="G2088" s="193"/>
      <c r="H2088" s="254"/>
      <c r="I2088" s="1707">
        <f t="shared" ref="I2088:T2088" ca="1" si="1797">SUMIF($V$546:$V$590,$B1652&amp;"contratada",I$547:I$589)</f>
        <v>0</v>
      </c>
      <c r="J2088" s="1707">
        <f t="shared" ca="1" si="1797"/>
        <v>0</v>
      </c>
      <c r="K2088" s="1707">
        <f t="shared" ca="1" si="1797"/>
        <v>0</v>
      </c>
      <c r="L2088" s="1707">
        <f t="shared" ca="1" si="1797"/>
        <v>0</v>
      </c>
      <c r="M2088" s="1707">
        <f t="shared" ca="1" si="1797"/>
        <v>0</v>
      </c>
      <c r="N2088" s="1707">
        <f t="shared" ca="1" si="1797"/>
        <v>0</v>
      </c>
      <c r="O2088" s="1707">
        <f t="shared" ca="1" si="1797"/>
        <v>0</v>
      </c>
      <c r="P2088" s="1707">
        <f t="shared" ca="1" si="1797"/>
        <v>0</v>
      </c>
      <c r="Q2088" s="1707">
        <f t="shared" ca="1" si="1797"/>
        <v>0</v>
      </c>
      <c r="R2088" s="1707">
        <f t="shared" ca="1" si="1797"/>
        <v>0</v>
      </c>
      <c r="S2088" s="1707">
        <f t="shared" ca="1" si="1797"/>
        <v>0</v>
      </c>
      <c r="T2088" s="1708">
        <f t="shared" ca="1" si="1797"/>
        <v>0</v>
      </c>
    </row>
    <row r="2089" spans="2:20" ht="13.75" hidden="1" customHeight="1" x14ac:dyDescent="0.2">
      <c r="B2089" s="1195"/>
      <c r="C2089" s="193">
        <f t="shared" si="1794"/>
        <v>1.5</v>
      </c>
      <c r="D2089" s="193"/>
      <c r="E2089" s="254"/>
      <c r="F2089" s="193"/>
      <c r="G2089" s="193"/>
      <c r="H2089" s="254"/>
      <c r="I2089" s="1707">
        <f t="shared" ref="I2089:T2089" ca="1" si="1798">SUMIF($V$546:$V$590,$B1653&amp;"contratada",I$547:I$589)</f>
        <v>0</v>
      </c>
      <c r="J2089" s="1707">
        <f t="shared" ca="1" si="1798"/>
        <v>0</v>
      </c>
      <c r="K2089" s="1707">
        <f t="shared" ca="1" si="1798"/>
        <v>0</v>
      </c>
      <c r="L2089" s="1707">
        <f t="shared" ca="1" si="1798"/>
        <v>0</v>
      </c>
      <c r="M2089" s="1707">
        <f t="shared" ca="1" si="1798"/>
        <v>0</v>
      </c>
      <c r="N2089" s="1707">
        <f t="shared" ca="1" si="1798"/>
        <v>0</v>
      </c>
      <c r="O2089" s="1707">
        <f t="shared" ca="1" si="1798"/>
        <v>0</v>
      </c>
      <c r="P2089" s="1707">
        <f t="shared" ca="1" si="1798"/>
        <v>0</v>
      </c>
      <c r="Q2089" s="1707">
        <f t="shared" ca="1" si="1798"/>
        <v>0</v>
      </c>
      <c r="R2089" s="1707">
        <f t="shared" ca="1" si="1798"/>
        <v>0</v>
      </c>
      <c r="S2089" s="1707">
        <f t="shared" ca="1" si="1798"/>
        <v>0</v>
      </c>
      <c r="T2089" s="1708">
        <f t="shared" ca="1" si="1798"/>
        <v>0</v>
      </c>
    </row>
    <row r="2090" spans="2:20" ht="13.75" hidden="1" customHeight="1" x14ac:dyDescent="0.2">
      <c r="B2090" s="1195"/>
      <c r="C2090" s="193">
        <f t="shared" si="1794"/>
        <v>3</v>
      </c>
      <c r="D2090" s="193"/>
      <c r="E2090" s="254"/>
      <c r="F2090" s="193"/>
      <c r="G2090" s="193"/>
      <c r="H2090" s="254"/>
      <c r="I2090" s="1707">
        <f t="shared" ref="I2090:T2090" ca="1" si="1799">SUMIF($V$546:$V$590,$B1654&amp;"contratada",I$547:I$589)</f>
        <v>0</v>
      </c>
      <c r="J2090" s="1707">
        <f t="shared" ca="1" si="1799"/>
        <v>0</v>
      </c>
      <c r="K2090" s="1707">
        <f t="shared" ca="1" si="1799"/>
        <v>0</v>
      </c>
      <c r="L2090" s="1707">
        <f t="shared" ca="1" si="1799"/>
        <v>0</v>
      </c>
      <c r="M2090" s="1707">
        <f t="shared" ca="1" si="1799"/>
        <v>0</v>
      </c>
      <c r="N2090" s="1707">
        <f t="shared" ca="1" si="1799"/>
        <v>0</v>
      </c>
      <c r="O2090" s="1707">
        <f t="shared" ca="1" si="1799"/>
        <v>0</v>
      </c>
      <c r="P2090" s="1707">
        <f t="shared" ca="1" si="1799"/>
        <v>0</v>
      </c>
      <c r="Q2090" s="1707">
        <f t="shared" ca="1" si="1799"/>
        <v>0</v>
      </c>
      <c r="R2090" s="1707">
        <f t="shared" ca="1" si="1799"/>
        <v>0</v>
      </c>
      <c r="S2090" s="1707">
        <f t="shared" ca="1" si="1799"/>
        <v>0</v>
      </c>
      <c r="T2090" s="1708">
        <f t="shared" ca="1" si="1799"/>
        <v>0</v>
      </c>
    </row>
    <row r="2091" spans="2:20" ht="13.75" hidden="1" customHeight="1" x14ac:dyDescent="0.2">
      <c r="B2091" s="1195"/>
      <c r="C2091" s="193">
        <f t="shared" si="1794"/>
        <v>3</v>
      </c>
      <c r="D2091" s="193"/>
      <c r="E2091" s="254"/>
      <c r="F2091" s="193"/>
      <c r="G2091" s="193"/>
      <c r="H2091" s="254"/>
      <c r="I2091" s="1707">
        <f t="shared" ref="I2091:T2091" ca="1" si="1800">SUMIF($V$546:$V$590,$B1655&amp;"contratada",I$547:I$589)</f>
        <v>0</v>
      </c>
      <c r="J2091" s="1707">
        <f t="shared" ca="1" si="1800"/>
        <v>0</v>
      </c>
      <c r="K2091" s="1707">
        <f t="shared" ca="1" si="1800"/>
        <v>0</v>
      </c>
      <c r="L2091" s="1707">
        <f t="shared" ca="1" si="1800"/>
        <v>0</v>
      </c>
      <c r="M2091" s="1707">
        <f t="shared" ca="1" si="1800"/>
        <v>0</v>
      </c>
      <c r="N2091" s="1707">
        <f t="shared" ca="1" si="1800"/>
        <v>0</v>
      </c>
      <c r="O2091" s="1707">
        <f t="shared" ca="1" si="1800"/>
        <v>0</v>
      </c>
      <c r="P2091" s="1707">
        <f t="shared" ca="1" si="1800"/>
        <v>0</v>
      </c>
      <c r="Q2091" s="1707">
        <f t="shared" ca="1" si="1800"/>
        <v>0</v>
      </c>
      <c r="R2091" s="1707">
        <f t="shared" ca="1" si="1800"/>
        <v>0</v>
      </c>
      <c r="S2091" s="1707">
        <f t="shared" ca="1" si="1800"/>
        <v>0</v>
      </c>
      <c r="T2091" s="1708">
        <f t="shared" ca="1" si="1800"/>
        <v>0</v>
      </c>
    </row>
    <row r="2092" spans="2:20" ht="13.75" hidden="1" customHeight="1" x14ac:dyDescent="0.2">
      <c r="B2092" s="1195"/>
      <c r="C2092" s="193">
        <f t="shared" si="1794"/>
        <v>9</v>
      </c>
      <c r="D2092" s="193"/>
      <c r="E2092" s="254"/>
      <c r="F2092" s="193"/>
      <c r="G2092" s="193"/>
      <c r="H2092" s="254"/>
      <c r="I2092" s="1707">
        <f t="shared" ref="I2092:T2092" ca="1" si="1801">SUMIF($V$546:$V$590,$B1656&amp;"contratada",I$547:I$589)</f>
        <v>0</v>
      </c>
      <c r="J2092" s="1707">
        <f t="shared" ca="1" si="1801"/>
        <v>0</v>
      </c>
      <c r="K2092" s="1707">
        <f t="shared" ca="1" si="1801"/>
        <v>0</v>
      </c>
      <c r="L2092" s="1707">
        <f t="shared" ca="1" si="1801"/>
        <v>0</v>
      </c>
      <c r="M2092" s="1707">
        <f t="shared" ca="1" si="1801"/>
        <v>0</v>
      </c>
      <c r="N2092" s="1707">
        <f t="shared" ca="1" si="1801"/>
        <v>0</v>
      </c>
      <c r="O2092" s="1707">
        <f t="shared" ca="1" si="1801"/>
        <v>0</v>
      </c>
      <c r="P2092" s="1707">
        <f t="shared" ca="1" si="1801"/>
        <v>0</v>
      </c>
      <c r="Q2092" s="1707">
        <f t="shared" ca="1" si="1801"/>
        <v>0</v>
      </c>
      <c r="R2092" s="1707">
        <f t="shared" ca="1" si="1801"/>
        <v>0</v>
      </c>
      <c r="S2092" s="1707">
        <f t="shared" ca="1" si="1801"/>
        <v>0</v>
      </c>
      <c r="T2092" s="1708">
        <f t="shared" ca="1" si="1801"/>
        <v>0</v>
      </c>
    </row>
    <row r="2093" spans="2:20" ht="13.75" hidden="1" customHeight="1" x14ac:dyDescent="0.2">
      <c r="B2093" s="1195"/>
      <c r="C2093" s="193">
        <f t="shared" si="1794"/>
        <v>0</v>
      </c>
      <c r="D2093" s="193"/>
      <c r="E2093" s="254"/>
      <c r="F2093" s="193"/>
      <c r="G2093" s="193"/>
      <c r="H2093" s="254"/>
      <c r="I2093" s="1707">
        <f t="shared" ref="I2093:T2093" ca="1" si="1802">SUMIF($V$546:$V$590,$B1657&amp;"contratada",I$547:I$589)</f>
        <v>0</v>
      </c>
      <c r="J2093" s="1707">
        <f t="shared" ca="1" si="1802"/>
        <v>0</v>
      </c>
      <c r="K2093" s="1707">
        <f t="shared" ca="1" si="1802"/>
        <v>0</v>
      </c>
      <c r="L2093" s="1707">
        <f t="shared" ca="1" si="1802"/>
        <v>0</v>
      </c>
      <c r="M2093" s="1707">
        <f t="shared" ca="1" si="1802"/>
        <v>0</v>
      </c>
      <c r="N2093" s="1707">
        <f t="shared" ca="1" si="1802"/>
        <v>0</v>
      </c>
      <c r="O2093" s="1707">
        <f t="shared" ca="1" si="1802"/>
        <v>0</v>
      </c>
      <c r="P2093" s="1707">
        <f t="shared" ca="1" si="1802"/>
        <v>0</v>
      </c>
      <c r="Q2093" s="1707">
        <f t="shared" ca="1" si="1802"/>
        <v>0</v>
      </c>
      <c r="R2093" s="1707">
        <f t="shared" ca="1" si="1802"/>
        <v>0</v>
      </c>
      <c r="S2093" s="1707">
        <f t="shared" ca="1" si="1802"/>
        <v>0</v>
      </c>
      <c r="T2093" s="1708">
        <f t="shared" ca="1" si="1802"/>
        <v>0</v>
      </c>
    </row>
    <row r="2094" spans="2:20" ht="13.75" hidden="1" customHeight="1" x14ac:dyDescent="0.2">
      <c r="B2094" s="1195"/>
      <c r="C2094" s="193">
        <f t="shared" si="1794"/>
        <v>0</v>
      </c>
      <c r="D2094" s="193"/>
      <c r="E2094" s="254"/>
      <c r="F2094" s="193"/>
      <c r="G2094" s="193"/>
      <c r="H2094" s="254"/>
      <c r="I2094" s="1707">
        <f t="shared" ref="I2094:T2094" ca="1" si="1803">SUMIF($V$546:$V$590,$B1658&amp;"contratada",I$547:I$589)</f>
        <v>0</v>
      </c>
      <c r="J2094" s="1707">
        <f t="shared" ca="1" si="1803"/>
        <v>0</v>
      </c>
      <c r="K2094" s="1707">
        <f t="shared" ca="1" si="1803"/>
        <v>0</v>
      </c>
      <c r="L2094" s="1707">
        <f t="shared" ca="1" si="1803"/>
        <v>0</v>
      </c>
      <c r="M2094" s="1707">
        <f t="shared" ca="1" si="1803"/>
        <v>0</v>
      </c>
      <c r="N2094" s="1707">
        <f t="shared" ca="1" si="1803"/>
        <v>0</v>
      </c>
      <c r="O2094" s="1707">
        <f t="shared" ca="1" si="1803"/>
        <v>0</v>
      </c>
      <c r="P2094" s="1707">
        <f t="shared" ca="1" si="1803"/>
        <v>0</v>
      </c>
      <c r="Q2094" s="1707">
        <f t="shared" ca="1" si="1803"/>
        <v>0</v>
      </c>
      <c r="R2094" s="1707">
        <f t="shared" ca="1" si="1803"/>
        <v>0</v>
      </c>
      <c r="S2094" s="1707">
        <f t="shared" ca="1" si="1803"/>
        <v>0</v>
      </c>
      <c r="T2094" s="1708">
        <f t="shared" ca="1" si="1803"/>
        <v>0</v>
      </c>
    </row>
    <row r="2095" spans="2:20" ht="13.75" hidden="1" customHeight="1" x14ac:dyDescent="0.2">
      <c r="B2095" s="1195"/>
      <c r="C2095" s="193">
        <f t="shared" si="1794"/>
        <v>0</v>
      </c>
      <c r="D2095" s="193"/>
      <c r="E2095" s="254"/>
      <c r="F2095" s="193"/>
      <c r="G2095" s="193"/>
      <c r="H2095" s="254"/>
      <c r="I2095" s="1707">
        <f t="shared" ref="I2095:T2095" ca="1" si="1804">SUMIF($V$546:$V$590,$B1659&amp;"contratada",I$547:I$589)</f>
        <v>0</v>
      </c>
      <c r="J2095" s="1707">
        <f t="shared" ca="1" si="1804"/>
        <v>0</v>
      </c>
      <c r="K2095" s="1707">
        <f t="shared" ca="1" si="1804"/>
        <v>0</v>
      </c>
      <c r="L2095" s="1707">
        <f t="shared" ca="1" si="1804"/>
        <v>0</v>
      </c>
      <c r="M2095" s="1707">
        <f t="shared" ca="1" si="1804"/>
        <v>0</v>
      </c>
      <c r="N2095" s="1707">
        <f t="shared" ca="1" si="1804"/>
        <v>0</v>
      </c>
      <c r="O2095" s="1707">
        <f t="shared" ca="1" si="1804"/>
        <v>0</v>
      </c>
      <c r="P2095" s="1707">
        <f t="shared" ca="1" si="1804"/>
        <v>0</v>
      </c>
      <c r="Q2095" s="1707">
        <f t="shared" ca="1" si="1804"/>
        <v>0</v>
      </c>
      <c r="R2095" s="1707">
        <f t="shared" ca="1" si="1804"/>
        <v>0</v>
      </c>
      <c r="S2095" s="1707">
        <f t="shared" ca="1" si="1804"/>
        <v>0</v>
      </c>
      <c r="T2095" s="1708">
        <f t="shared" ca="1" si="1804"/>
        <v>0</v>
      </c>
    </row>
    <row r="2096" spans="2:20" ht="13.75" hidden="1" customHeight="1" x14ac:dyDescent="0.2">
      <c r="B2096" s="1195"/>
      <c r="C2096" s="193">
        <f t="shared" si="1794"/>
        <v>0</v>
      </c>
      <c r="D2096" s="193"/>
      <c r="E2096" s="254"/>
      <c r="F2096" s="193"/>
      <c r="G2096" s="193"/>
      <c r="H2096" s="254"/>
      <c r="I2096" s="1707">
        <f t="shared" ref="I2096:T2096" ca="1" si="1805">SUMIF($V$546:$V$590,$B1660&amp;"contratada",I$547:I$589)</f>
        <v>0</v>
      </c>
      <c r="J2096" s="1707">
        <f t="shared" ca="1" si="1805"/>
        <v>0</v>
      </c>
      <c r="K2096" s="1707">
        <f t="shared" ca="1" si="1805"/>
        <v>0</v>
      </c>
      <c r="L2096" s="1707">
        <f t="shared" ca="1" si="1805"/>
        <v>0</v>
      </c>
      <c r="M2096" s="1707">
        <f t="shared" ca="1" si="1805"/>
        <v>0</v>
      </c>
      <c r="N2096" s="1707">
        <f t="shared" ca="1" si="1805"/>
        <v>0</v>
      </c>
      <c r="O2096" s="1707">
        <f t="shared" ca="1" si="1805"/>
        <v>0</v>
      </c>
      <c r="P2096" s="1707">
        <f t="shared" ca="1" si="1805"/>
        <v>0</v>
      </c>
      <c r="Q2096" s="1707">
        <f t="shared" ca="1" si="1805"/>
        <v>0</v>
      </c>
      <c r="R2096" s="1707">
        <f t="shared" ca="1" si="1805"/>
        <v>0</v>
      </c>
      <c r="S2096" s="1707">
        <f t="shared" ca="1" si="1805"/>
        <v>0</v>
      </c>
      <c r="T2096" s="1708">
        <f t="shared" ca="1" si="1805"/>
        <v>0</v>
      </c>
    </row>
    <row r="2097" spans="1:20" ht="13.75" hidden="1" customHeight="1" x14ac:dyDescent="0.2">
      <c r="B2097" s="1195"/>
      <c r="C2097" s="193">
        <f t="shared" si="1794"/>
        <v>0</v>
      </c>
      <c r="D2097" s="193"/>
      <c r="E2097" s="254"/>
      <c r="F2097" s="193"/>
      <c r="G2097" s="193"/>
      <c r="H2097" s="254"/>
      <c r="I2097" s="1707">
        <f t="shared" ref="I2097:T2097" ca="1" si="1806">SUMIF($V$546:$V$590,$B1661&amp;"contratada",I$547:I$589)</f>
        <v>0</v>
      </c>
      <c r="J2097" s="1707">
        <f t="shared" ca="1" si="1806"/>
        <v>0</v>
      </c>
      <c r="K2097" s="1707">
        <f t="shared" ca="1" si="1806"/>
        <v>0</v>
      </c>
      <c r="L2097" s="1707">
        <f t="shared" ca="1" si="1806"/>
        <v>0</v>
      </c>
      <c r="M2097" s="1707">
        <f t="shared" ca="1" si="1806"/>
        <v>0</v>
      </c>
      <c r="N2097" s="1707">
        <f t="shared" ca="1" si="1806"/>
        <v>0</v>
      </c>
      <c r="O2097" s="1707">
        <f t="shared" ca="1" si="1806"/>
        <v>0</v>
      </c>
      <c r="P2097" s="1707">
        <f t="shared" ca="1" si="1806"/>
        <v>0</v>
      </c>
      <c r="Q2097" s="1707">
        <f t="shared" ca="1" si="1806"/>
        <v>0</v>
      </c>
      <c r="R2097" s="1707">
        <f t="shared" ca="1" si="1806"/>
        <v>0</v>
      </c>
      <c r="S2097" s="1707">
        <f t="shared" ca="1" si="1806"/>
        <v>0</v>
      </c>
      <c r="T2097" s="1708">
        <f t="shared" ca="1" si="1806"/>
        <v>0</v>
      </c>
    </row>
    <row r="2098" spans="1:20" ht="13.75" hidden="1" customHeight="1" x14ac:dyDescent="0.2">
      <c r="B2098" s="1195"/>
      <c r="C2098" s="193">
        <f t="shared" si="1794"/>
        <v>0</v>
      </c>
      <c r="D2098" s="193"/>
      <c r="E2098" s="254"/>
      <c r="F2098" s="193"/>
      <c r="G2098" s="193"/>
      <c r="H2098" s="254"/>
      <c r="I2098" s="1707">
        <f t="shared" ref="I2098:T2098" ca="1" si="1807">SUMIF($V$546:$V$590,$B1662&amp;"contratada",I$547:I$589)</f>
        <v>0</v>
      </c>
      <c r="J2098" s="1707">
        <f t="shared" ca="1" si="1807"/>
        <v>0</v>
      </c>
      <c r="K2098" s="1707">
        <f t="shared" ca="1" si="1807"/>
        <v>0</v>
      </c>
      <c r="L2098" s="1707">
        <f t="shared" ca="1" si="1807"/>
        <v>0</v>
      </c>
      <c r="M2098" s="1707">
        <f t="shared" ca="1" si="1807"/>
        <v>0</v>
      </c>
      <c r="N2098" s="1707">
        <f t="shared" ca="1" si="1807"/>
        <v>0</v>
      </c>
      <c r="O2098" s="1707">
        <f t="shared" ca="1" si="1807"/>
        <v>0</v>
      </c>
      <c r="P2098" s="1707">
        <f t="shared" ca="1" si="1807"/>
        <v>0</v>
      </c>
      <c r="Q2098" s="1707">
        <f t="shared" ca="1" si="1807"/>
        <v>0</v>
      </c>
      <c r="R2098" s="1707">
        <f t="shared" ca="1" si="1807"/>
        <v>0</v>
      </c>
      <c r="S2098" s="1707">
        <f t="shared" ca="1" si="1807"/>
        <v>0</v>
      </c>
      <c r="T2098" s="1708">
        <f t="shared" ca="1" si="1807"/>
        <v>0</v>
      </c>
    </row>
    <row r="2099" spans="1:20" ht="14.4" hidden="1" customHeight="1" thickBot="1" x14ac:dyDescent="0.25">
      <c r="B2099" s="1198"/>
      <c r="C2099" s="1199">
        <f t="shared" si="1794"/>
        <v>0</v>
      </c>
      <c r="D2099" s="1199"/>
      <c r="E2099" s="1209"/>
      <c r="F2099" s="1199"/>
      <c r="G2099" s="1199"/>
      <c r="H2099" s="1209"/>
      <c r="I2099" s="1709"/>
      <c r="J2099" s="1709"/>
      <c r="K2099" s="1709"/>
      <c r="L2099" s="1709"/>
      <c r="M2099" s="1709"/>
      <c r="N2099" s="1709"/>
      <c r="O2099" s="1709"/>
      <c r="P2099" s="1709"/>
      <c r="Q2099" s="1709"/>
      <c r="R2099" s="1709"/>
      <c r="S2099" s="1709"/>
      <c r="T2099" s="1710"/>
    </row>
    <row r="2100" spans="1:20" ht="15.05" hidden="1" customHeight="1" thickTop="1" thickBot="1" x14ac:dyDescent="0.25">
      <c r="A2100" s="2188">
        <v>1109</v>
      </c>
      <c r="B2100" s="1689" t="s">
        <v>762</v>
      </c>
      <c r="C2100" s="1581"/>
      <c r="D2100" s="1581"/>
      <c r="E2100" s="1679"/>
      <c r="F2100" s="1581"/>
      <c r="G2100" s="1581"/>
      <c r="H2100" s="1679"/>
      <c r="I2100" s="1679"/>
      <c r="J2100" s="1679"/>
      <c r="K2100" s="1679"/>
      <c r="L2100" s="1679"/>
      <c r="M2100" s="1679"/>
      <c r="N2100" s="1679"/>
      <c r="O2100" s="1679"/>
      <c r="P2100" s="1679"/>
      <c r="Q2100" s="1679"/>
      <c r="R2100" s="1679"/>
      <c r="S2100" s="1679"/>
      <c r="T2100" s="1680"/>
    </row>
    <row r="2101" spans="1:20" ht="14.4" hidden="1" customHeight="1" thickTop="1" x14ac:dyDescent="0.2">
      <c r="B2101" s="1584" t="s">
        <v>2019</v>
      </c>
      <c r="C2101" s="1194" t="str">
        <f>+C2085</f>
        <v>Litros de Combustible</v>
      </c>
      <c r="D2101" s="1194"/>
      <c r="E2101" s="1210"/>
      <c r="F2101" s="1194"/>
      <c r="G2101" s="1194"/>
      <c r="H2101" s="1210"/>
      <c r="I2101" s="1210"/>
      <c r="J2101" s="1210"/>
      <c r="K2101" s="1210"/>
      <c r="L2101" s="1210"/>
      <c r="M2101" s="1210"/>
      <c r="N2101" s="1210"/>
      <c r="O2101" s="1210"/>
      <c r="P2101" s="1210"/>
      <c r="Q2101" s="1210"/>
      <c r="R2101" s="1210"/>
      <c r="S2101" s="1210"/>
      <c r="T2101" s="1585"/>
    </row>
    <row r="2102" spans="1:20" ht="13.75" hidden="1" customHeight="1" x14ac:dyDescent="0.2">
      <c r="B2102" s="1195" t="s">
        <v>2021</v>
      </c>
      <c r="C2102" s="193">
        <f t="shared" ref="C2102:C2115" si="1808">+C2086</f>
        <v>5</v>
      </c>
      <c r="D2102" s="193"/>
      <c r="E2102" s="254"/>
      <c r="F2102" s="193"/>
      <c r="G2102" s="193"/>
      <c r="H2102" s="254"/>
      <c r="I2102" s="1705">
        <f>SUMIF($V$592:$V$632,$B1650&amp;"propia",I$592:I$632)</f>
        <v>0</v>
      </c>
      <c r="J2102" s="1705">
        <f t="shared" ref="J2102:T2102" si="1809">SUMIF($V$592:$V$632,$B1650&amp;"propia",J$592:J$632)</f>
        <v>0</v>
      </c>
      <c r="K2102" s="1705">
        <f t="shared" si="1809"/>
        <v>0</v>
      </c>
      <c r="L2102" s="1705">
        <f t="shared" si="1809"/>
        <v>0</v>
      </c>
      <c r="M2102" s="1705">
        <f t="shared" si="1809"/>
        <v>0</v>
      </c>
      <c r="N2102" s="1705">
        <f t="shared" si="1809"/>
        <v>0</v>
      </c>
      <c r="O2102" s="1705">
        <f t="shared" si="1809"/>
        <v>0</v>
      </c>
      <c r="P2102" s="1705">
        <f t="shared" si="1809"/>
        <v>0</v>
      </c>
      <c r="Q2102" s="1705">
        <f t="shared" si="1809"/>
        <v>0</v>
      </c>
      <c r="R2102" s="1705">
        <f t="shared" si="1809"/>
        <v>0</v>
      </c>
      <c r="S2102" s="1705">
        <f t="shared" si="1809"/>
        <v>0</v>
      </c>
      <c r="T2102" s="1705">
        <f t="shared" si="1809"/>
        <v>0</v>
      </c>
    </row>
    <row r="2103" spans="1:20" ht="13.75" hidden="1" customHeight="1" x14ac:dyDescent="0.2">
      <c r="B2103" s="1195"/>
      <c r="C2103" s="193">
        <f t="shared" si="1808"/>
        <v>5</v>
      </c>
      <c r="D2103" s="193"/>
      <c r="E2103" s="254"/>
      <c r="F2103" s="193"/>
      <c r="G2103" s="193"/>
      <c r="H2103" s="254"/>
      <c r="I2103" s="1707">
        <f t="shared" ref="I2103:T2103" si="1810">SUMIF($V$592:$V$632,$B1651&amp;"propia",I$592:I$632)</f>
        <v>0</v>
      </c>
      <c r="J2103" s="1707">
        <f t="shared" si="1810"/>
        <v>0</v>
      </c>
      <c r="K2103" s="1707">
        <f t="shared" si="1810"/>
        <v>0</v>
      </c>
      <c r="L2103" s="1707">
        <f t="shared" si="1810"/>
        <v>0</v>
      </c>
      <c r="M2103" s="1707">
        <f t="shared" si="1810"/>
        <v>0</v>
      </c>
      <c r="N2103" s="1707">
        <f t="shared" si="1810"/>
        <v>0</v>
      </c>
      <c r="O2103" s="1707">
        <f t="shared" si="1810"/>
        <v>0</v>
      </c>
      <c r="P2103" s="1707">
        <f t="shared" si="1810"/>
        <v>0</v>
      </c>
      <c r="Q2103" s="1707">
        <f t="shared" si="1810"/>
        <v>0</v>
      </c>
      <c r="R2103" s="1707">
        <f t="shared" si="1810"/>
        <v>0</v>
      </c>
      <c r="S2103" s="1707">
        <f t="shared" si="1810"/>
        <v>0</v>
      </c>
      <c r="T2103" s="1708">
        <f t="shared" si="1810"/>
        <v>0</v>
      </c>
    </row>
    <row r="2104" spans="1:20" ht="13.75" hidden="1" customHeight="1" x14ac:dyDescent="0.2">
      <c r="B2104" s="1195"/>
      <c r="C2104" s="193">
        <f t="shared" si="1808"/>
        <v>1.5</v>
      </c>
      <c r="D2104" s="193"/>
      <c r="E2104" s="254"/>
      <c r="F2104" s="193"/>
      <c r="G2104" s="193"/>
      <c r="H2104" s="254"/>
      <c r="I2104" s="1707">
        <f t="shared" ref="I2104:T2104" si="1811">SUMIF($V$592:$V$632,$B1652&amp;"propia",I$592:I$632)</f>
        <v>0</v>
      </c>
      <c r="J2104" s="1707">
        <f t="shared" si="1811"/>
        <v>0</v>
      </c>
      <c r="K2104" s="1707">
        <f t="shared" si="1811"/>
        <v>0</v>
      </c>
      <c r="L2104" s="1707">
        <f t="shared" si="1811"/>
        <v>0</v>
      </c>
      <c r="M2104" s="1707">
        <f t="shared" si="1811"/>
        <v>0</v>
      </c>
      <c r="N2104" s="1707">
        <f t="shared" si="1811"/>
        <v>0</v>
      </c>
      <c r="O2104" s="1707">
        <f t="shared" si="1811"/>
        <v>0</v>
      </c>
      <c r="P2104" s="1707">
        <f t="shared" si="1811"/>
        <v>0</v>
      </c>
      <c r="Q2104" s="1707">
        <f t="shared" si="1811"/>
        <v>0</v>
      </c>
      <c r="R2104" s="1707">
        <f t="shared" si="1811"/>
        <v>0</v>
      </c>
      <c r="S2104" s="1707">
        <f t="shared" si="1811"/>
        <v>0</v>
      </c>
      <c r="T2104" s="1708">
        <f t="shared" si="1811"/>
        <v>0</v>
      </c>
    </row>
    <row r="2105" spans="1:20" ht="13.75" hidden="1" customHeight="1" x14ac:dyDescent="0.2">
      <c r="B2105" s="1195"/>
      <c r="C2105" s="193">
        <f t="shared" si="1808"/>
        <v>1.5</v>
      </c>
      <c r="D2105" s="193"/>
      <c r="E2105" s="254"/>
      <c r="F2105" s="193"/>
      <c r="G2105" s="193"/>
      <c r="H2105" s="254"/>
      <c r="I2105" s="1707">
        <f t="shared" ref="I2105:T2105" si="1812">SUMIF($V$592:$V$632,$B1653&amp;"propia",I$592:I$632)</f>
        <v>0</v>
      </c>
      <c r="J2105" s="1707">
        <f t="shared" si="1812"/>
        <v>0</v>
      </c>
      <c r="K2105" s="1707">
        <f t="shared" si="1812"/>
        <v>0</v>
      </c>
      <c r="L2105" s="1707">
        <f t="shared" si="1812"/>
        <v>0</v>
      </c>
      <c r="M2105" s="1707">
        <f t="shared" si="1812"/>
        <v>0</v>
      </c>
      <c r="N2105" s="1707">
        <f t="shared" si="1812"/>
        <v>0</v>
      </c>
      <c r="O2105" s="1707">
        <f t="shared" si="1812"/>
        <v>0</v>
      </c>
      <c r="P2105" s="1707">
        <f t="shared" si="1812"/>
        <v>0</v>
      </c>
      <c r="Q2105" s="1707">
        <f t="shared" si="1812"/>
        <v>0</v>
      </c>
      <c r="R2105" s="1707">
        <f t="shared" si="1812"/>
        <v>0</v>
      </c>
      <c r="S2105" s="1707">
        <f t="shared" si="1812"/>
        <v>0</v>
      </c>
      <c r="T2105" s="1708">
        <f t="shared" si="1812"/>
        <v>0</v>
      </c>
    </row>
    <row r="2106" spans="1:20" ht="13.75" hidden="1" customHeight="1" x14ac:dyDescent="0.2">
      <c r="B2106" s="1195"/>
      <c r="C2106" s="193">
        <f t="shared" si="1808"/>
        <v>3</v>
      </c>
      <c r="D2106" s="193"/>
      <c r="E2106" s="254"/>
      <c r="F2106" s="193"/>
      <c r="G2106" s="193"/>
      <c r="H2106" s="254"/>
      <c r="I2106" s="1707">
        <f t="shared" ref="I2106:T2106" si="1813">SUMIF($V$592:$V$632,$B1654&amp;"propia",I$592:I$632)</f>
        <v>0</v>
      </c>
      <c r="J2106" s="1707">
        <f t="shared" si="1813"/>
        <v>0</v>
      </c>
      <c r="K2106" s="1707">
        <f t="shared" si="1813"/>
        <v>0</v>
      </c>
      <c r="L2106" s="1707">
        <f t="shared" si="1813"/>
        <v>0</v>
      </c>
      <c r="M2106" s="1707">
        <f t="shared" si="1813"/>
        <v>0</v>
      </c>
      <c r="N2106" s="1707">
        <f t="shared" si="1813"/>
        <v>0</v>
      </c>
      <c r="O2106" s="1707">
        <f t="shared" si="1813"/>
        <v>0</v>
      </c>
      <c r="P2106" s="1707">
        <f t="shared" si="1813"/>
        <v>0</v>
      </c>
      <c r="Q2106" s="1707">
        <f t="shared" si="1813"/>
        <v>0</v>
      </c>
      <c r="R2106" s="1707">
        <f t="shared" si="1813"/>
        <v>0</v>
      </c>
      <c r="S2106" s="1707">
        <f t="shared" si="1813"/>
        <v>0</v>
      </c>
      <c r="T2106" s="1708">
        <f t="shared" si="1813"/>
        <v>0</v>
      </c>
    </row>
    <row r="2107" spans="1:20" ht="13.75" hidden="1" customHeight="1" x14ac:dyDescent="0.2">
      <c r="B2107" s="1195"/>
      <c r="C2107" s="193">
        <f t="shared" si="1808"/>
        <v>3</v>
      </c>
      <c r="D2107" s="193"/>
      <c r="E2107" s="254"/>
      <c r="F2107" s="193"/>
      <c r="G2107" s="193"/>
      <c r="H2107" s="254"/>
      <c r="I2107" s="1707">
        <f t="shared" ref="I2107:T2107" si="1814">SUMIF($V$592:$V$632,$B1655&amp;"propia",I$592:I$632)</f>
        <v>0</v>
      </c>
      <c r="J2107" s="1707">
        <f t="shared" si="1814"/>
        <v>0</v>
      </c>
      <c r="K2107" s="1707">
        <f t="shared" si="1814"/>
        <v>0</v>
      </c>
      <c r="L2107" s="1707">
        <f t="shared" si="1814"/>
        <v>0</v>
      </c>
      <c r="M2107" s="1707">
        <f t="shared" si="1814"/>
        <v>0</v>
      </c>
      <c r="N2107" s="1707">
        <f t="shared" si="1814"/>
        <v>0</v>
      </c>
      <c r="O2107" s="1707">
        <f t="shared" si="1814"/>
        <v>0</v>
      </c>
      <c r="P2107" s="1707">
        <f t="shared" si="1814"/>
        <v>0</v>
      </c>
      <c r="Q2107" s="1707">
        <f t="shared" si="1814"/>
        <v>0</v>
      </c>
      <c r="R2107" s="1707">
        <f t="shared" si="1814"/>
        <v>0</v>
      </c>
      <c r="S2107" s="1707">
        <f t="shared" si="1814"/>
        <v>0</v>
      </c>
      <c r="T2107" s="1708">
        <f t="shared" si="1814"/>
        <v>0</v>
      </c>
    </row>
    <row r="2108" spans="1:20" ht="13.75" hidden="1" customHeight="1" x14ac:dyDescent="0.2">
      <c r="B2108" s="1195"/>
      <c r="C2108" s="193">
        <f t="shared" si="1808"/>
        <v>9</v>
      </c>
      <c r="D2108" s="193"/>
      <c r="E2108" s="254"/>
      <c r="F2108" s="193"/>
      <c r="G2108" s="193"/>
      <c r="H2108" s="254"/>
      <c r="I2108" s="1707">
        <f t="shared" ref="I2108:T2108" si="1815">SUMIF($V$592:$V$632,$B1656&amp;"propia",I$592:I$632)</f>
        <v>0</v>
      </c>
      <c r="J2108" s="1707">
        <f t="shared" si="1815"/>
        <v>0</v>
      </c>
      <c r="K2108" s="1707">
        <f t="shared" si="1815"/>
        <v>0</v>
      </c>
      <c r="L2108" s="1707">
        <f t="shared" si="1815"/>
        <v>0</v>
      </c>
      <c r="M2108" s="1707">
        <f t="shared" si="1815"/>
        <v>0</v>
      </c>
      <c r="N2108" s="1707">
        <f t="shared" si="1815"/>
        <v>0</v>
      </c>
      <c r="O2108" s="1707">
        <f t="shared" si="1815"/>
        <v>0</v>
      </c>
      <c r="P2108" s="1707">
        <f t="shared" si="1815"/>
        <v>0</v>
      </c>
      <c r="Q2108" s="1707">
        <f t="shared" si="1815"/>
        <v>0</v>
      </c>
      <c r="R2108" s="1707">
        <f t="shared" si="1815"/>
        <v>0</v>
      </c>
      <c r="S2108" s="1707">
        <f t="shared" si="1815"/>
        <v>0</v>
      </c>
      <c r="T2108" s="1708">
        <f t="shared" si="1815"/>
        <v>0</v>
      </c>
    </row>
    <row r="2109" spans="1:20" ht="13.75" hidden="1" customHeight="1" x14ac:dyDescent="0.2">
      <c r="B2109" s="1195"/>
      <c r="C2109" s="193">
        <f t="shared" si="1808"/>
        <v>0</v>
      </c>
      <c r="D2109" s="193"/>
      <c r="E2109" s="254"/>
      <c r="F2109" s="193"/>
      <c r="G2109" s="193"/>
      <c r="H2109" s="254"/>
      <c r="I2109" s="1707">
        <f t="shared" ref="I2109:T2109" si="1816">SUMIF($V$592:$V$632,$B1657&amp;"propia",I$592:I$632)</f>
        <v>0</v>
      </c>
      <c r="J2109" s="1707">
        <f t="shared" si="1816"/>
        <v>0</v>
      </c>
      <c r="K2109" s="1707">
        <f t="shared" si="1816"/>
        <v>0</v>
      </c>
      <c r="L2109" s="1707">
        <f t="shared" si="1816"/>
        <v>0</v>
      </c>
      <c r="M2109" s="1707">
        <f t="shared" si="1816"/>
        <v>0</v>
      </c>
      <c r="N2109" s="1707">
        <f t="shared" si="1816"/>
        <v>0</v>
      </c>
      <c r="O2109" s="1707">
        <f t="shared" si="1816"/>
        <v>0</v>
      </c>
      <c r="P2109" s="1707">
        <f t="shared" si="1816"/>
        <v>0</v>
      </c>
      <c r="Q2109" s="1707">
        <f t="shared" si="1816"/>
        <v>0</v>
      </c>
      <c r="R2109" s="1707">
        <f t="shared" si="1816"/>
        <v>0</v>
      </c>
      <c r="S2109" s="1707">
        <f t="shared" si="1816"/>
        <v>0</v>
      </c>
      <c r="T2109" s="1708">
        <f t="shared" si="1816"/>
        <v>0</v>
      </c>
    </row>
    <row r="2110" spans="1:20" ht="13.75" hidden="1" customHeight="1" x14ac:dyDescent="0.2">
      <c r="B2110" s="1195"/>
      <c r="C2110" s="193">
        <f t="shared" si="1808"/>
        <v>0</v>
      </c>
      <c r="D2110" s="193"/>
      <c r="E2110" s="254"/>
      <c r="F2110" s="193"/>
      <c r="G2110" s="193"/>
      <c r="H2110" s="254"/>
      <c r="I2110" s="1707">
        <f t="shared" ref="I2110:T2110" si="1817">SUMIF($V$592:$V$632,$B1658&amp;"propia",I$592:I$632)</f>
        <v>0</v>
      </c>
      <c r="J2110" s="1707">
        <f t="shared" si="1817"/>
        <v>0</v>
      </c>
      <c r="K2110" s="1707">
        <f t="shared" si="1817"/>
        <v>0</v>
      </c>
      <c r="L2110" s="1707">
        <f t="shared" si="1817"/>
        <v>0</v>
      </c>
      <c r="M2110" s="1707">
        <f t="shared" si="1817"/>
        <v>0</v>
      </c>
      <c r="N2110" s="1707">
        <f t="shared" si="1817"/>
        <v>0</v>
      </c>
      <c r="O2110" s="1707">
        <f t="shared" si="1817"/>
        <v>0</v>
      </c>
      <c r="P2110" s="1707">
        <f t="shared" si="1817"/>
        <v>0</v>
      </c>
      <c r="Q2110" s="1707">
        <f t="shared" si="1817"/>
        <v>0</v>
      </c>
      <c r="R2110" s="1707">
        <f t="shared" si="1817"/>
        <v>0</v>
      </c>
      <c r="S2110" s="1707">
        <f t="shared" si="1817"/>
        <v>0</v>
      </c>
      <c r="T2110" s="1708">
        <f t="shared" si="1817"/>
        <v>0</v>
      </c>
    </row>
    <row r="2111" spans="1:20" ht="13.75" hidden="1" customHeight="1" x14ac:dyDescent="0.2">
      <c r="B2111" s="1195"/>
      <c r="C2111" s="193">
        <f t="shared" si="1808"/>
        <v>0</v>
      </c>
      <c r="D2111" s="193"/>
      <c r="E2111" s="254"/>
      <c r="F2111" s="193"/>
      <c r="G2111" s="193"/>
      <c r="H2111" s="254"/>
      <c r="I2111" s="1707">
        <f t="shared" ref="I2111:T2111" si="1818">SUMIF($V$592:$V$632,$B1659&amp;"propia",I$592:I$632)</f>
        <v>0</v>
      </c>
      <c r="J2111" s="1707">
        <f t="shared" si="1818"/>
        <v>0</v>
      </c>
      <c r="K2111" s="1707">
        <f t="shared" si="1818"/>
        <v>0</v>
      </c>
      <c r="L2111" s="1707">
        <f t="shared" si="1818"/>
        <v>0</v>
      </c>
      <c r="M2111" s="1707">
        <f t="shared" si="1818"/>
        <v>0</v>
      </c>
      <c r="N2111" s="1707">
        <f t="shared" si="1818"/>
        <v>0</v>
      </c>
      <c r="O2111" s="1707">
        <f t="shared" si="1818"/>
        <v>0</v>
      </c>
      <c r="P2111" s="1707">
        <f t="shared" si="1818"/>
        <v>0</v>
      </c>
      <c r="Q2111" s="1707">
        <f t="shared" si="1818"/>
        <v>0</v>
      </c>
      <c r="R2111" s="1707">
        <f t="shared" si="1818"/>
        <v>0</v>
      </c>
      <c r="S2111" s="1707">
        <f t="shared" si="1818"/>
        <v>0</v>
      </c>
      <c r="T2111" s="1708">
        <f t="shared" si="1818"/>
        <v>0</v>
      </c>
    </row>
    <row r="2112" spans="1:20" ht="13.75" hidden="1" customHeight="1" x14ac:dyDescent="0.2">
      <c r="B2112" s="1195"/>
      <c r="C2112" s="193">
        <f t="shared" si="1808"/>
        <v>0</v>
      </c>
      <c r="D2112" s="193"/>
      <c r="E2112" s="254"/>
      <c r="F2112" s="193"/>
      <c r="G2112" s="193"/>
      <c r="H2112" s="254"/>
      <c r="I2112" s="1707">
        <f t="shared" ref="I2112:T2112" si="1819">SUMIF($V$592:$V$632,$B1660&amp;"propia",I$592:I$632)</f>
        <v>0</v>
      </c>
      <c r="J2112" s="1707">
        <f t="shared" si="1819"/>
        <v>0</v>
      </c>
      <c r="K2112" s="1707">
        <f t="shared" si="1819"/>
        <v>0</v>
      </c>
      <c r="L2112" s="1707">
        <f t="shared" si="1819"/>
        <v>0</v>
      </c>
      <c r="M2112" s="1707">
        <f t="shared" si="1819"/>
        <v>0</v>
      </c>
      <c r="N2112" s="1707">
        <f t="shared" si="1819"/>
        <v>0</v>
      </c>
      <c r="O2112" s="1707">
        <f t="shared" si="1819"/>
        <v>0</v>
      </c>
      <c r="P2112" s="1707">
        <f t="shared" si="1819"/>
        <v>0</v>
      </c>
      <c r="Q2112" s="1707">
        <f t="shared" si="1819"/>
        <v>0</v>
      </c>
      <c r="R2112" s="1707">
        <f t="shared" si="1819"/>
        <v>0</v>
      </c>
      <c r="S2112" s="1707">
        <f t="shared" si="1819"/>
        <v>0</v>
      </c>
      <c r="T2112" s="1708">
        <f t="shared" si="1819"/>
        <v>0</v>
      </c>
    </row>
    <row r="2113" spans="2:20" ht="13.75" hidden="1" customHeight="1" x14ac:dyDescent="0.2">
      <c r="B2113" s="1195"/>
      <c r="C2113" s="193">
        <f t="shared" si="1808"/>
        <v>0</v>
      </c>
      <c r="D2113" s="193"/>
      <c r="E2113" s="254"/>
      <c r="F2113" s="193"/>
      <c r="G2113" s="193"/>
      <c r="H2113" s="254"/>
      <c r="I2113" s="1707">
        <f t="shared" ref="I2113:T2113" si="1820">SUMIF($V$592:$V$632,$B1661&amp;"propia",I$592:I$632)</f>
        <v>0</v>
      </c>
      <c r="J2113" s="1707">
        <f t="shared" si="1820"/>
        <v>0</v>
      </c>
      <c r="K2113" s="1707">
        <f t="shared" si="1820"/>
        <v>0</v>
      </c>
      <c r="L2113" s="1707">
        <f t="shared" si="1820"/>
        <v>0</v>
      </c>
      <c r="M2113" s="1707">
        <f t="shared" si="1820"/>
        <v>0</v>
      </c>
      <c r="N2113" s="1707">
        <f t="shared" si="1820"/>
        <v>0</v>
      </c>
      <c r="O2113" s="1707">
        <f t="shared" si="1820"/>
        <v>0</v>
      </c>
      <c r="P2113" s="1707">
        <f t="shared" si="1820"/>
        <v>0</v>
      </c>
      <c r="Q2113" s="1707">
        <f t="shared" si="1820"/>
        <v>0</v>
      </c>
      <c r="R2113" s="1707">
        <f t="shared" si="1820"/>
        <v>0</v>
      </c>
      <c r="S2113" s="1707">
        <f t="shared" si="1820"/>
        <v>0</v>
      </c>
      <c r="T2113" s="1708">
        <f t="shared" si="1820"/>
        <v>0</v>
      </c>
    </row>
    <row r="2114" spans="2:20" ht="13.75" hidden="1" customHeight="1" x14ac:dyDescent="0.2">
      <c r="B2114" s="1195"/>
      <c r="C2114" s="193">
        <f t="shared" si="1808"/>
        <v>0</v>
      </c>
      <c r="D2114" s="193"/>
      <c r="E2114" s="254"/>
      <c r="F2114" s="193"/>
      <c r="G2114" s="193"/>
      <c r="H2114" s="254"/>
      <c r="I2114" s="1707">
        <f t="shared" ref="I2114:T2114" si="1821">SUMIF($V$592:$V$632,$B1662&amp;"propia",I$592:I$632)</f>
        <v>0</v>
      </c>
      <c r="J2114" s="1707">
        <f t="shared" si="1821"/>
        <v>0</v>
      </c>
      <c r="K2114" s="1707">
        <f t="shared" si="1821"/>
        <v>0</v>
      </c>
      <c r="L2114" s="1707">
        <f t="shared" si="1821"/>
        <v>0</v>
      </c>
      <c r="M2114" s="1707">
        <f t="shared" si="1821"/>
        <v>0</v>
      </c>
      <c r="N2114" s="1707">
        <f t="shared" si="1821"/>
        <v>0</v>
      </c>
      <c r="O2114" s="1707">
        <f t="shared" si="1821"/>
        <v>0</v>
      </c>
      <c r="P2114" s="1707">
        <f t="shared" si="1821"/>
        <v>0</v>
      </c>
      <c r="Q2114" s="1707">
        <f t="shared" si="1821"/>
        <v>0</v>
      </c>
      <c r="R2114" s="1707">
        <f t="shared" si="1821"/>
        <v>0</v>
      </c>
      <c r="S2114" s="1707">
        <f t="shared" si="1821"/>
        <v>0</v>
      </c>
      <c r="T2114" s="1708">
        <f t="shared" si="1821"/>
        <v>0</v>
      </c>
    </row>
    <row r="2115" spans="2:20" ht="14.4" hidden="1" customHeight="1" thickBot="1" x14ac:dyDescent="0.25">
      <c r="B2115" s="1198"/>
      <c r="C2115" s="1199">
        <f t="shared" si="1808"/>
        <v>0</v>
      </c>
      <c r="D2115" s="1199"/>
      <c r="E2115" s="1209"/>
      <c r="F2115" s="1199"/>
      <c r="G2115" s="1199"/>
      <c r="H2115" s="1209"/>
      <c r="I2115" s="1709">
        <f t="shared" ref="I2115:T2115" si="1822">SUMIF($V$592:$V$632,$B1663&amp;"propia",I$592:I$632)</f>
        <v>0</v>
      </c>
      <c r="J2115" s="1709">
        <f t="shared" si="1822"/>
        <v>0</v>
      </c>
      <c r="K2115" s="1709">
        <f t="shared" si="1822"/>
        <v>0</v>
      </c>
      <c r="L2115" s="1709">
        <f t="shared" si="1822"/>
        <v>0</v>
      </c>
      <c r="M2115" s="1709">
        <f t="shared" si="1822"/>
        <v>0</v>
      </c>
      <c r="N2115" s="1709">
        <f t="shared" si="1822"/>
        <v>0</v>
      </c>
      <c r="O2115" s="1709">
        <f t="shared" si="1822"/>
        <v>0</v>
      </c>
      <c r="P2115" s="1709">
        <f t="shared" si="1822"/>
        <v>0</v>
      </c>
      <c r="Q2115" s="1709">
        <f t="shared" si="1822"/>
        <v>0</v>
      </c>
      <c r="R2115" s="1709">
        <f t="shared" si="1822"/>
        <v>0</v>
      </c>
      <c r="S2115" s="1709">
        <f t="shared" si="1822"/>
        <v>0</v>
      </c>
      <c r="T2115" s="1710">
        <f t="shared" si="1822"/>
        <v>0</v>
      </c>
    </row>
    <row r="2116" spans="2:20" ht="14.4" hidden="1" customHeight="1" thickTop="1" x14ac:dyDescent="0.2">
      <c r="B2116" s="1584" t="s">
        <v>2020</v>
      </c>
      <c r="C2116" s="1194" t="str">
        <f>+C2101</f>
        <v>Litros de Combustible</v>
      </c>
      <c r="D2116" s="1194"/>
      <c r="E2116" s="1210"/>
      <c r="F2116" s="1194"/>
      <c r="G2116" s="1194"/>
      <c r="H2116" s="1210"/>
      <c r="I2116" s="1210"/>
      <c r="J2116" s="1210"/>
      <c r="K2116" s="1210"/>
      <c r="L2116" s="1210"/>
      <c r="M2116" s="1210"/>
      <c r="N2116" s="1210"/>
      <c r="O2116" s="1210"/>
      <c r="P2116" s="1210"/>
      <c r="Q2116" s="1210"/>
      <c r="R2116" s="1210"/>
      <c r="S2116" s="1210"/>
      <c r="T2116" s="1585"/>
    </row>
    <row r="2117" spans="2:20" ht="13.75" hidden="1" customHeight="1" x14ac:dyDescent="0.2">
      <c r="B2117" s="1195" t="s">
        <v>2021</v>
      </c>
      <c r="C2117" s="193">
        <f t="shared" ref="C2117:C2130" si="1823">+C2102</f>
        <v>5</v>
      </c>
      <c r="D2117" s="193"/>
      <c r="E2117" s="254"/>
      <c r="F2117" s="193"/>
      <c r="G2117" s="193"/>
      <c r="H2117" s="254"/>
      <c r="I2117" s="1705">
        <f>SUMIF($V$592:$V$632,$B1650&amp;"contratada",I$592:I$632)</f>
        <v>0</v>
      </c>
      <c r="J2117" s="1705">
        <f t="shared" ref="J2117:T2117" si="1824">SUMIF($V$592:$V$632,$B1650&amp;"contratada",J$592:J$632)</f>
        <v>0</v>
      </c>
      <c r="K2117" s="1705">
        <f t="shared" si="1824"/>
        <v>0</v>
      </c>
      <c r="L2117" s="1705">
        <f t="shared" si="1824"/>
        <v>0</v>
      </c>
      <c r="M2117" s="1705">
        <f t="shared" si="1824"/>
        <v>0</v>
      </c>
      <c r="N2117" s="1705">
        <f t="shared" si="1824"/>
        <v>0</v>
      </c>
      <c r="O2117" s="1705">
        <f t="shared" si="1824"/>
        <v>0</v>
      </c>
      <c r="P2117" s="1705">
        <f t="shared" si="1824"/>
        <v>0</v>
      </c>
      <c r="Q2117" s="1705">
        <f t="shared" si="1824"/>
        <v>0</v>
      </c>
      <c r="R2117" s="1705">
        <f t="shared" si="1824"/>
        <v>0</v>
      </c>
      <c r="S2117" s="1705">
        <f t="shared" si="1824"/>
        <v>0</v>
      </c>
      <c r="T2117" s="1705">
        <f t="shared" si="1824"/>
        <v>0</v>
      </c>
    </row>
    <row r="2118" spans="2:20" ht="13.75" hidden="1" customHeight="1" x14ac:dyDescent="0.2">
      <c r="B2118" s="1195"/>
      <c r="C2118" s="193">
        <f t="shared" si="1823"/>
        <v>5</v>
      </c>
      <c r="D2118" s="193"/>
      <c r="E2118" s="254"/>
      <c r="F2118" s="193"/>
      <c r="G2118" s="193"/>
      <c r="H2118" s="254"/>
      <c r="I2118" s="1707">
        <f t="shared" ref="I2118:T2118" si="1825">SUMIF($V$592:$V$632,$B1651&amp;"contratada",I$592:I$632)</f>
        <v>0</v>
      </c>
      <c r="J2118" s="1707">
        <f t="shared" si="1825"/>
        <v>0</v>
      </c>
      <c r="K2118" s="1707">
        <f t="shared" si="1825"/>
        <v>0</v>
      </c>
      <c r="L2118" s="1707">
        <f t="shared" si="1825"/>
        <v>0</v>
      </c>
      <c r="M2118" s="1707">
        <f t="shared" si="1825"/>
        <v>0</v>
      </c>
      <c r="N2118" s="1707">
        <f t="shared" si="1825"/>
        <v>0</v>
      </c>
      <c r="O2118" s="1707">
        <f t="shared" si="1825"/>
        <v>0</v>
      </c>
      <c r="P2118" s="1707">
        <f t="shared" si="1825"/>
        <v>0</v>
      </c>
      <c r="Q2118" s="1707">
        <f t="shared" si="1825"/>
        <v>0</v>
      </c>
      <c r="R2118" s="1707">
        <f t="shared" si="1825"/>
        <v>0</v>
      </c>
      <c r="S2118" s="1707">
        <f t="shared" si="1825"/>
        <v>0</v>
      </c>
      <c r="T2118" s="1708">
        <f t="shared" si="1825"/>
        <v>0</v>
      </c>
    </row>
    <row r="2119" spans="2:20" ht="13.75" hidden="1" customHeight="1" x14ac:dyDescent="0.2">
      <c r="B2119" s="1195"/>
      <c r="C2119" s="193">
        <f t="shared" si="1823"/>
        <v>1.5</v>
      </c>
      <c r="D2119" s="193"/>
      <c r="E2119" s="254"/>
      <c r="F2119" s="193"/>
      <c r="G2119" s="193"/>
      <c r="H2119" s="254"/>
      <c r="I2119" s="1707">
        <f t="shared" ref="I2119:T2119" si="1826">SUMIF($V$592:$V$632,$B1652&amp;"contratada",I$592:I$632)</f>
        <v>0</v>
      </c>
      <c r="J2119" s="1707">
        <f t="shared" si="1826"/>
        <v>0</v>
      </c>
      <c r="K2119" s="1707">
        <f t="shared" si="1826"/>
        <v>0</v>
      </c>
      <c r="L2119" s="1707">
        <f t="shared" si="1826"/>
        <v>0</v>
      </c>
      <c r="M2119" s="1707">
        <f t="shared" si="1826"/>
        <v>0</v>
      </c>
      <c r="N2119" s="1707">
        <f t="shared" si="1826"/>
        <v>0</v>
      </c>
      <c r="O2119" s="1707">
        <f t="shared" si="1826"/>
        <v>0</v>
      </c>
      <c r="P2119" s="1707">
        <f t="shared" si="1826"/>
        <v>0</v>
      </c>
      <c r="Q2119" s="1707">
        <f t="shared" si="1826"/>
        <v>0</v>
      </c>
      <c r="R2119" s="1707">
        <f t="shared" si="1826"/>
        <v>0</v>
      </c>
      <c r="S2119" s="1707">
        <f t="shared" si="1826"/>
        <v>0</v>
      </c>
      <c r="T2119" s="1708">
        <f t="shared" si="1826"/>
        <v>0</v>
      </c>
    </row>
    <row r="2120" spans="2:20" ht="13.75" hidden="1" customHeight="1" x14ac:dyDescent="0.2">
      <c r="B2120" s="1195"/>
      <c r="C2120" s="193">
        <f t="shared" si="1823"/>
        <v>1.5</v>
      </c>
      <c r="D2120" s="193"/>
      <c r="E2120" s="254"/>
      <c r="F2120" s="193"/>
      <c r="G2120" s="193"/>
      <c r="H2120" s="254"/>
      <c r="I2120" s="1707">
        <f t="shared" ref="I2120:T2120" si="1827">SUMIF($V$592:$V$632,$B1653&amp;"contratada",I$592:I$632)</f>
        <v>0</v>
      </c>
      <c r="J2120" s="1707">
        <f t="shared" si="1827"/>
        <v>0</v>
      </c>
      <c r="K2120" s="1707">
        <f t="shared" si="1827"/>
        <v>0</v>
      </c>
      <c r="L2120" s="1707">
        <f t="shared" si="1827"/>
        <v>0</v>
      </c>
      <c r="M2120" s="1707">
        <f t="shared" si="1827"/>
        <v>0</v>
      </c>
      <c r="N2120" s="1707">
        <f t="shared" si="1827"/>
        <v>0</v>
      </c>
      <c r="O2120" s="1707">
        <f t="shared" si="1827"/>
        <v>0</v>
      </c>
      <c r="P2120" s="1707">
        <f t="shared" si="1827"/>
        <v>0</v>
      </c>
      <c r="Q2120" s="1707">
        <f t="shared" si="1827"/>
        <v>0</v>
      </c>
      <c r="R2120" s="1707">
        <f t="shared" si="1827"/>
        <v>0</v>
      </c>
      <c r="S2120" s="1707">
        <f t="shared" si="1827"/>
        <v>0</v>
      </c>
      <c r="T2120" s="1708">
        <f t="shared" si="1827"/>
        <v>0</v>
      </c>
    </row>
    <row r="2121" spans="2:20" ht="13.75" hidden="1" customHeight="1" x14ac:dyDescent="0.2">
      <c r="B2121" s="1195"/>
      <c r="C2121" s="193">
        <f t="shared" si="1823"/>
        <v>3</v>
      </c>
      <c r="D2121" s="193"/>
      <c r="E2121" s="254"/>
      <c r="F2121" s="193"/>
      <c r="G2121" s="193"/>
      <c r="H2121" s="254"/>
      <c r="I2121" s="1707">
        <f t="shared" ref="I2121:T2121" si="1828">SUMIF($V$592:$V$632,$B1654&amp;"contratada",I$592:I$632)</f>
        <v>0</v>
      </c>
      <c r="J2121" s="1707">
        <f t="shared" si="1828"/>
        <v>0</v>
      </c>
      <c r="K2121" s="1707">
        <f t="shared" si="1828"/>
        <v>0</v>
      </c>
      <c r="L2121" s="1707">
        <f t="shared" si="1828"/>
        <v>0</v>
      </c>
      <c r="M2121" s="1707">
        <f t="shared" si="1828"/>
        <v>0</v>
      </c>
      <c r="N2121" s="1707">
        <f t="shared" si="1828"/>
        <v>0</v>
      </c>
      <c r="O2121" s="1707">
        <f t="shared" si="1828"/>
        <v>0</v>
      </c>
      <c r="P2121" s="1707">
        <f t="shared" si="1828"/>
        <v>0</v>
      </c>
      <c r="Q2121" s="1707">
        <f t="shared" si="1828"/>
        <v>0</v>
      </c>
      <c r="R2121" s="1707">
        <f t="shared" si="1828"/>
        <v>0</v>
      </c>
      <c r="S2121" s="1707">
        <f t="shared" si="1828"/>
        <v>0</v>
      </c>
      <c r="T2121" s="1708">
        <f t="shared" si="1828"/>
        <v>0</v>
      </c>
    </row>
    <row r="2122" spans="2:20" ht="13.75" hidden="1" customHeight="1" x14ac:dyDescent="0.2">
      <c r="B2122" s="1195"/>
      <c r="C2122" s="193">
        <f t="shared" si="1823"/>
        <v>3</v>
      </c>
      <c r="D2122" s="193"/>
      <c r="E2122" s="254"/>
      <c r="F2122" s="193"/>
      <c r="G2122" s="193"/>
      <c r="H2122" s="254"/>
      <c r="I2122" s="1707">
        <f t="shared" ref="I2122:T2122" si="1829">SUMIF($V$592:$V$632,$B1655&amp;"contratada",I$592:I$632)</f>
        <v>0</v>
      </c>
      <c r="J2122" s="1707">
        <f t="shared" si="1829"/>
        <v>0</v>
      </c>
      <c r="K2122" s="1707">
        <f t="shared" si="1829"/>
        <v>0</v>
      </c>
      <c r="L2122" s="1707">
        <f t="shared" si="1829"/>
        <v>0</v>
      </c>
      <c r="M2122" s="1707">
        <f t="shared" si="1829"/>
        <v>0</v>
      </c>
      <c r="N2122" s="1707">
        <f t="shared" si="1829"/>
        <v>0</v>
      </c>
      <c r="O2122" s="1707">
        <f t="shared" si="1829"/>
        <v>0</v>
      </c>
      <c r="P2122" s="1707">
        <f t="shared" si="1829"/>
        <v>0</v>
      </c>
      <c r="Q2122" s="1707">
        <f t="shared" si="1829"/>
        <v>0</v>
      </c>
      <c r="R2122" s="1707">
        <f t="shared" si="1829"/>
        <v>0</v>
      </c>
      <c r="S2122" s="1707">
        <f t="shared" si="1829"/>
        <v>0</v>
      </c>
      <c r="T2122" s="1708">
        <f t="shared" si="1829"/>
        <v>0</v>
      </c>
    </row>
    <row r="2123" spans="2:20" ht="13.75" hidden="1" customHeight="1" x14ac:dyDescent="0.2">
      <c r="B2123" s="1195"/>
      <c r="C2123" s="193">
        <f t="shared" si="1823"/>
        <v>9</v>
      </c>
      <c r="D2123" s="193"/>
      <c r="E2123" s="254"/>
      <c r="F2123" s="193"/>
      <c r="G2123" s="193"/>
      <c r="H2123" s="254"/>
      <c r="I2123" s="1707">
        <f t="shared" ref="I2123:T2123" si="1830">SUMIF($V$592:$V$632,$B1656&amp;"contratada",I$592:I$632)</f>
        <v>0</v>
      </c>
      <c r="J2123" s="1707">
        <f t="shared" si="1830"/>
        <v>0</v>
      </c>
      <c r="K2123" s="1707">
        <f t="shared" si="1830"/>
        <v>0</v>
      </c>
      <c r="L2123" s="1707">
        <f t="shared" si="1830"/>
        <v>0</v>
      </c>
      <c r="M2123" s="1707">
        <f t="shared" si="1830"/>
        <v>0</v>
      </c>
      <c r="N2123" s="1707">
        <f t="shared" si="1830"/>
        <v>0</v>
      </c>
      <c r="O2123" s="1707">
        <f t="shared" si="1830"/>
        <v>0</v>
      </c>
      <c r="P2123" s="1707">
        <f t="shared" si="1830"/>
        <v>0</v>
      </c>
      <c r="Q2123" s="1707">
        <f t="shared" si="1830"/>
        <v>0</v>
      </c>
      <c r="R2123" s="1707">
        <f t="shared" si="1830"/>
        <v>0</v>
      </c>
      <c r="S2123" s="1707">
        <f t="shared" si="1830"/>
        <v>0</v>
      </c>
      <c r="T2123" s="1708">
        <f t="shared" si="1830"/>
        <v>0</v>
      </c>
    </row>
    <row r="2124" spans="2:20" ht="13.75" hidden="1" customHeight="1" x14ac:dyDescent="0.2">
      <c r="B2124" s="1195"/>
      <c r="C2124" s="193">
        <f t="shared" si="1823"/>
        <v>0</v>
      </c>
      <c r="D2124" s="193"/>
      <c r="E2124" s="254"/>
      <c r="F2124" s="193"/>
      <c r="G2124" s="193"/>
      <c r="H2124" s="254"/>
      <c r="I2124" s="1707">
        <f t="shared" ref="I2124:T2124" si="1831">SUMIF($V$592:$V$632,$B1657&amp;"contratada",I$592:I$632)</f>
        <v>0</v>
      </c>
      <c r="J2124" s="1707">
        <f t="shared" si="1831"/>
        <v>0</v>
      </c>
      <c r="K2124" s="1707">
        <f t="shared" si="1831"/>
        <v>0</v>
      </c>
      <c r="L2124" s="1707">
        <f t="shared" si="1831"/>
        <v>0</v>
      </c>
      <c r="M2124" s="1707">
        <f t="shared" si="1831"/>
        <v>0</v>
      </c>
      <c r="N2124" s="1707">
        <f t="shared" si="1831"/>
        <v>0</v>
      </c>
      <c r="O2124" s="1707">
        <f t="shared" si="1831"/>
        <v>0</v>
      </c>
      <c r="P2124" s="1707">
        <f t="shared" si="1831"/>
        <v>0</v>
      </c>
      <c r="Q2124" s="1707">
        <f t="shared" si="1831"/>
        <v>0</v>
      </c>
      <c r="R2124" s="1707">
        <f t="shared" si="1831"/>
        <v>0</v>
      </c>
      <c r="S2124" s="1707">
        <f t="shared" si="1831"/>
        <v>0</v>
      </c>
      <c r="T2124" s="1708">
        <f t="shared" si="1831"/>
        <v>0</v>
      </c>
    </row>
    <row r="2125" spans="2:20" ht="13.75" hidden="1" customHeight="1" x14ac:dyDescent="0.2">
      <c r="B2125" s="1195"/>
      <c r="C2125" s="193">
        <f t="shared" si="1823"/>
        <v>0</v>
      </c>
      <c r="D2125" s="193"/>
      <c r="E2125" s="254"/>
      <c r="F2125" s="193"/>
      <c r="G2125" s="193"/>
      <c r="H2125" s="254"/>
      <c r="I2125" s="1707">
        <f t="shared" ref="I2125:T2125" si="1832">SUMIF($V$592:$V$632,$B1658&amp;"contratada",I$592:I$632)</f>
        <v>0</v>
      </c>
      <c r="J2125" s="1707">
        <f t="shared" si="1832"/>
        <v>0</v>
      </c>
      <c r="K2125" s="1707">
        <f t="shared" si="1832"/>
        <v>0</v>
      </c>
      <c r="L2125" s="1707">
        <f t="shared" si="1832"/>
        <v>0</v>
      </c>
      <c r="M2125" s="1707">
        <f t="shared" si="1832"/>
        <v>0</v>
      </c>
      <c r="N2125" s="1707">
        <f t="shared" si="1832"/>
        <v>0</v>
      </c>
      <c r="O2125" s="1707">
        <f t="shared" si="1832"/>
        <v>0</v>
      </c>
      <c r="P2125" s="1707">
        <f t="shared" si="1832"/>
        <v>0</v>
      </c>
      <c r="Q2125" s="1707">
        <f t="shared" si="1832"/>
        <v>0</v>
      </c>
      <c r="R2125" s="1707">
        <f t="shared" si="1832"/>
        <v>0</v>
      </c>
      <c r="S2125" s="1707">
        <f t="shared" si="1832"/>
        <v>0</v>
      </c>
      <c r="T2125" s="1708">
        <f t="shared" si="1832"/>
        <v>0</v>
      </c>
    </row>
    <row r="2126" spans="2:20" ht="13.75" hidden="1" customHeight="1" x14ac:dyDescent="0.2">
      <c r="B2126" s="1195"/>
      <c r="C2126" s="193">
        <f t="shared" si="1823"/>
        <v>0</v>
      </c>
      <c r="D2126" s="193"/>
      <c r="E2126" s="254"/>
      <c r="F2126" s="193"/>
      <c r="G2126" s="193"/>
      <c r="H2126" s="254"/>
      <c r="I2126" s="1707">
        <f t="shared" ref="I2126:T2126" si="1833">SUMIF($V$592:$V$632,$B1659&amp;"contratada",I$592:I$632)</f>
        <v>0</v>
      </c>
      <c r="J2126" s="1707">
        <f t="shared" si="1833"/>
        <v>0</v>
      </c>
      <c r="K2126" s="1707">
        <f t="shared" si="1833"/>
        <v>0</v>
      </c>
      <c r="L2126" s="1707">
        <f t="shared" si="1833"/>
        <v>0</v>
      </c>
      <c r="M2126" s="1707">
        <f t="shared" si="1833"/>
        <v>0</v>
      </c>
      <c r="N2126" s="1707">
        <f t="shared" si="1833"/>
        <v>0</v>
      </c>
      <c r="O2126" s="1707">
        <f t="shared" si="1833"/>
        <v>0</v>
      </c>
      <c r="P2126" s="1707">
        <f t="shared" si="1833"/>
        <v>0</v>
      </c>
      <c r="Q2126" s="1707">
        <f t="shared" si="1833"/>
        <v>0</v>
      </c>
      <c r="R2126" s="1707">
        <f t="shared" si="1833"/>
        <v>0</v>
      </c>
      <c r="S2126" s="1707">
        <f t="shared" si="1833"/>
        <v>0</v>
      </c>
      <c r="T2126" s="1708">
        <f t="shared" si="1833"/>
        <v>0</v>
      </c>
    </row>
    <row r="2127" spans="2:20" ht="13.75" hidden="1" customHeight="1" x14ac:dyDescent="0.2">
      <c r="B2127" s="1195"/>
      <c r="C2127" s="193">
        <f t="shared" si="1823"/>
        <v>0</v>
      </c>
      <c r="D2127" s="193"/>
      <c r="E2127" s="254"/>
      <c r="F2127" s="193"/>
      <c r="G2127" s="193"/>
      <c r="H2127" s="254"/>
      <c r="I2127" s="1707">
        <f t="shared" ref="I2127:T2127" si="1834">SUMIF($V$592:$V$632,$B1660&amp;"contratada",I$592:I$632)</f>
        <v>0</v>
      </c>
      <c r="J2127" s="1707">
        <f t="shared" si="1834"/>
        <v>0</v>
      </c>
      <c r="K2127" s="1707">
        <f t="shared" si="1834"/>
        <v>0</v>
      </c>
      <c r="L2127" s="1707">
        <f t="shared" si="1834"/>
        <v>0</v>
      </c>
      <c r="M2127" s="1707">
        <f t="shared" si="1834"/>
        <v>0</v>
      </c>
      <c r="N2127" s="1707">
        <f t="shared" si="1834"/>
        <v>0</v>
      </c>
      <c r="O2127" s="1707">
        <f t="shared" si="1834"/>
        <v>0</v>
      </c>
      <c r="P2127" s="1707">
        <f t="shared" si="1834"/>
        <v>0</v>
      </c>
      <c r="Q2127" s="1707">
        <f t="shared" si="1834"/>
        <v>0</v>
      </c>
      <c r="R2127" s="1707">
        <f t="shared" si="1834"/>
        <v>0</v>
      </c>
      <c r="S2127" s="1707">
        <f t="shared" si="1834"/>
        <v>0</v>
      </c>
      <c r="T2127" s="1708">
        <f t="shared" si="1834"/>
        <v>0</v>
      </c>
    </row>
    <row r="2128" spans="2:20" ht="13.75" hidden="1" customHeight="1" x14ac:dyDescent="0.2">
      <c r="B2128" s="1195"/>
      <c r="C2128" s="193">
        <f t="shared" si="1823"/>
        <v>0</v>
      </c>
      <c r="D2128" s="193"/>
      <c r="E2128" s="254"/>
      <c r="F2128" s="193"/>
      <c r="G2128" s="193"/>
      <c r="H2128" s="254"/>
      <c r="I2128" s="1707">
        <f t="shared" ref="I2128:T2128" si="1835">SUMIF($V$592:$V$632,$B1661&amp;"contratada",I$592:I$632)</f>
        <v>0</v>
      </c>
      <c r="J2128" s="1707">
        <f t="shared" si="1835"/>
        <v>0</v>
      </c>
      <c r="K2128" s="1707">
        <f t="shared" si="1835"/>
        <v>0</v>
      </c>
      <c r="L2128" s="1707">
        <f t="shared" si="1835"/>
        <v>0</v>
      </c>
      <c r="M2128" s="1707">
        <f t="shared" si="1835"/>
        <v>0</v>
      </c>
      <c r="N2128" s="1707">
        <f t="shared" si="1835"/>
        <v>0</v>
      </c>
      <c r="O2128" s="1707">
        <f t="shared" si="1835"/>
        <v>0</v>
      </c>
      <c r="P2128" s="1707">
        <f t="shared" si="1835"/>
        <v>0</v>
      </c>
      <c r="Q2128" s="1707">
        <f t="shared" si="1835"/>
        <v>0</v>
      </c>
      <c r="R2128" s="1707">
        <f t="shared" si="1835"/>
        <v>0</v>
      </c>
      <c r="S2128" s="1707">
        <f t="shared" si="1835"/>
        <v>0</v>
      </c>
      <c r="T2128" s="1708">
        <f t="shared" si="1835"/>
        <v>0</v>
      </c>
    </row>
    <row r="2129" spans="1:22" ht="13.75" hidden="1" customHeight="1" x14ac:dyDescent="0.2">
      <c r="B2129" s="1195"/>
      <c r="C2129" s="193">
        <f t="shared" si="1823"/>
        <v>0</v>
      </c>
      <c r="D2129" s="193"/>
      <c r="E2129" s="254"/>
      <c r="F2129" s="193"/>
      <c r="G2129" s="193"/>
      <c r="H2129" s="254"/>
      <c r="I2129" s="1707">
        <f t="shared" ref="I2129:T2129" si="1836">SUMIF($V$592:$V$632,$B1662&amp;"contratada",I$592:I$632)</f>
        <v>0</v>
      </c>
      <c r="J2129" s="1707">
        <f t="shared" si="1836"/>
        <v>0</v>
      </c>
      <c r="K2129" s="1707">
        <f t="shared" si="1836"/>
        <v>0</v>
      </c>
      <c r="L2129" s="1707">
        <f t="shared" si="1836"/>
        <v>0</v>
      </c>
      <c r="M2129" s="1707">
        <f t="shared" si="1836"/>
        <v>0</v>
      </c>
      <c r="N2129" s="1707">
        <f t="shared" si="1836"/>
        <v>0</v>
      </c>
      <c r="O2129" s="1707">
        <f t="shared" si="1836"/>
        <v>0</v>
      </c>
      <c r="P2129" s="1707">
        <f t="shared" si="1836"/>
        <v>0</v>
      </c>
      <c r="Q2129" s="1707">
        <f t="shared" si="1836"/>
        <v>0</v>
      </c>
      <c r="R2129" s="1707">
        <f t="shared" si="1836"/>
        <v>0</v>
      </c>
      <c r="S2129" s="1707">
        <f t="shared" si="1836"/>
        <v>0</v>
      </c>
      <c r="T2129" s="1708">
        <f t="shared" si="1836"/>
        <v>0</v>
      </c>
    </row>
    <row r="2130" spans="1:22" ht="14.4" hidden="1" customHeight="1" thickBot="1" x14ac:dyDescent="0.25">
      <c r="B2130" s="1198"/>
      <c r="C2130" s="1199">
        <f t="shared" si="1823"/>
        <v>0</v>
      </c>
      <c r="D2130" s="1199"/>
      <c r="E2130" s="1209"/>
      <c r="F2130" s="1199"/>
      <c r="G2130" s="1199"/>
      <c r="H2130" s="1209"/>
      <c r="I2130" s="1709">
        <f t="shared" ref="I2130:T2130" si="1837">SUMIF($V$592:$V$632,$B1663&amp;"contratada",I$592:I$632)</f>
        <v>0</v>
      </c>
      <c r="J2130" s="1709">
        <f t="shared" si="1837"/>
        <v>0</v>
      </c>
      <c r="K2130" s="1709">
        <f t="shared" si="1837"/>
        <v>0</v>
      </c>
      <c r="L2130" s="1709">
        <f t="shared" si="1837"/>
        <v>0</v>
      </c>
      <c r="M2130" s="1709">
        <f t="shared" si="1837"/>
        <v>0</v>
      </c>
      <c r="N2130" s="1709">
        <f t="shared" si="1837"/>
        <v>0</v>
      </c>
      <c r="O2130" s="1709">
        <f t="shared" si="1837"/>
        <v>0</v>
      </c>
      <c r="P2130" s="1709">
        <f t="shared" si="1837"/>
        <v>0</v>
      </c>
      <c r="Q2130" s="1709">
        <f t="shared" si="1837"/>
        <v>0</v>
      </c>
      <c r="R2130" s="1709">
        <f t="shared" si="1837"/>
        <v>0</v>
      </c>
      <c r="S2130" s="1709">
        <f t="shared" si="1837"/>
        <v>0</v>
      </c>
      <c r="T2130" s="1710">
        <f t="shared" si="1837"/>
        <v>0</v>
      </c>
    </row>
    <row r="2131" spans="1:22" ht="15.05" hidden="1" customHeight="1" thickTop="1" thickBot="1" x14ac:dyDescent="0.25">
      <c r="B2131" s="193"/>
      <c r="C2131" s="193"/>
      <c r="D2131" s="193"/>
      <c r="E2131" s="254"/>
      <c r="F2131" s="193"/>
      <c r="G2131" s="193"/>
      <c r="H2131" s="254"/>
      <c r="I2131" s="254"/>
      <c r="J2131" s="254"/>
      <c r="K2131" s="254"/>
      <c r="L2131" s="254"/>
      <c r="M2131" s="254"/>
      <c r="N2131" s="254"/>
      <c r="O2131" s="254"/>
      <c r="P2131" s="254"/>
      <c r="Q2131" s="254"/>
      <c r="R2131" s="254"/>
      <c r="S2131" s="254"/>
      <c r="T2131" s="254"/>
    </row>
    <row r="2132" spans="1:22" ht="15.05" hidden="1" customHeight="1" thickTop="1" thickBot="1" x14ac:dyDescent="0.25">
      <c r="A2132" s="2188">
        <v>1110</v>
      </c>
      <c r="B2132" s="1689" t="s">
        <v>796</v>
      </c>
      <c r="C2132" s="1581"/>
      <c r="D2132" s="1581"/>
      <c r="E2132" s="1679"/>
      <c r="F2132" s="1581"/>
      <c r="G2132" s="1581"/>
      <c r="H2132" s="1679"/>
      <c r="I2132" s="1679"/>
      <c r="J2132" s="1679"/>
      <c r="K2132" s="1679"/>
      <c r="L2132" s="1679"/>
      <c r="M2132" s="1679"/>
      <c r="N2132" s="1679"/>
      <c r="O2132" s="1679"/>
      <c r="P2132" s="1679"/>
      <c r="Q2132" s="1679"/>
      <c r="R2132" s="1679"/>
      <c r="S2132" s="1679"/>
      <c r="T2132" s="1680"/>
    </row>
    <row r="2133" spans="1:22" ht="14.4" hidden="1" customHeight="1" thickTop="1" x14ac:dyDescent="0.2">
      <c r="B2133" s="1724" t="s">
        <v>2024</v>
      </c>
      <c r="C2133" s="1194"/>
      <c r="D2133" s="1194"/>
      <c r="E2133" s="1581" t="str">
        <f>+B666</f>
        <v>Maíz Silo</v>
      </c>
      <c r="F2133" s="1194"/>
      <c r="G2133" s="1194" t="s">
        <v>791</v>
      </c>
      <c r="H2133" s="1194"/>
      <c r="I2133" s="1668">
        <f>+I2134+I2135</f>
        <v>0</v>
      </c>
      <c r="J2133" s="1668">
        <f t="shared" ref="J2133:T2133" si="1838">+J2134+J2135</f>
        <v>0</v>
      </c>
      <c r="K2133" s="1668">
        <f t="shared" si="1838"/>
        <v>0</v>
      </c>
      <c r="L2133" s="1668">
        <f t="shared" si="1838"/>
        <v>0</v>
      </c>
      <c r="M2133" s="1668">
        <f t="shared" si="1838"/>
        <v>0</v>
      </c>
      <c r="N2133" s="1668">
        <f t="shared" si="1838"/>
        <v>0</v>
      </c>
      <c r="O2133" s="1668">
        <f t="shared" si="1838"/>
        <v>0</v>
      </c>
      <c r="P2133" s="1668">
        <f t="shared" si="1838"/>
        <v>0</v>
      </c>
      <c r="Q2133" s="1668">
        <f t="shared" si="1838"/>
        <v>0</v>
      </c>
      <c r="R2133" s="1668">
        <f t="shared" si="1838"/>
        <v>0</v>
      </c>
      <c r="S2133" s="1668">
        <f t="shared" si="1838"/>
        <v>0</v>
      </c>
      <c r="T2133" s="1704">
        <f t="shared" si="1838"/>
        <v>0</v>
      </c>
    </row>
    <row r="2134" spans="1:22" ht="13.75" hidden="1" customHeight="1" x14ac:dyDescent="0.2">
      <c r="B2134" s="1594"/>
      <c r="C2134" s="193"/>
      <c r="D2134" s="193"/>
      <c r="E2134" s="193"/>
      <c r="F2134" s="193"/>
      <c r="G2134" s="193" t="s">
        <v>793</v>
      </c>
      <c r="H2134" s="193"/>
      <c r="I2134" s="1283">
        <f>VLOOKUP($E$2133,UsoSuelo!$E$1366:$Q$1377,2,FALSE)</f>
        <v>0</v>
      </c>
      <c r="J2134" s="1283">
        <f>VLOOKUP($E$2133,UsoSuelo!$E$1366:$Q$1377,3,FALSE)</f>
        <v>0</v>
      </c>
      <c r="K2134" s="1283">
        <f>VLOOKUP($E$2133,UsoSuelo!$E$1366:$Q$1377,4,FALSE)</f>
        <v>0</v>
      </c>
      <c r="L2134" s="1283">
        <f>VLOOKUP($E$2133,UsoSuelo!$E$1366:$Q$1377,5,FALSE)</f>
        <v>0</v>
      </c>
      <c r="M2134" s="1283">
        <f>VLOOKUP($E$2133,UsoSuelo!$E$1366:$Q$1377,6,FALSE)</f>
        <v>0</v>
      </c>
      <c r="N2134" s="1283">
        <f>VLOOKUP($E$2133,UsoSuelo!$E$1366:$Q$1377,7,FALSE)</f>
        <v>0</v>
      </c>
      <c r="O2134" s="1283">
        <f>VLOOKUP($E$2133,UsoSuelo!$E$1366:$Q$1377,8,FALSE)</f>
        <v>0</v>
      </c>
      <c r="P2134" s="1283">
        <f>VLOOKUP($E$2133,UsoSuelo!$E$1366:$Q$1377,9,FALSE)</f>
        <v>0</v>
      </c>
      <c r="Q2134" s="1283">
        <f>VLOOKUP($E$2133,UsoSuelo!$E$1366:$Q$1377,10,FALSE)</f>
        <v>0</v>
      </c>
      <c r="R2134" s="1283">
        <f>VLOOKUP($E$2133,UsoSuelo!$E$1366:$Q$1377,11,FALSE)</f>
        <v>0</v>
      </c>
      <c r="S2134" s="1283">
        <f>VLOOKUP($E$2133,UsoSuelo!$E$1366:$Q$1377,12,FALSE)</f>
        <v>0</v>
      </c>
      <c r="T2134" s="1601">
        <f>VLOOKUP($E$2133,UsoSuelo!$E$1366:$Q$1377,13,FALSE)</f>
        <v>0</v>
      </c>
    </row>
    <row r="2135" spans="1:22" ht="14.4" hidden="1" customHeight="1" thickBot="1" x14ac:dyDescent="0.25">
      <c r="B2135" s="1596"/>
      <c r="C2135" s="1199"/>
      <c r="D2135" s="1199"/>
      <c r="E2135" s="1199"/>
      <c r="F2135" s="1199"/>
      <c r="G2135" s="1199" t="s">
        <v>792</v>
      </c>
      <c r="H2135" s="1199"/>
      <c r="I2135" s="1590">
        <f>VLOOKUP($E$2133,UsoSuelo!$E$1383:$Q$1394,2,FALSE)</f>
        <v>0</v>
      </c>
      <c r="J2135" s="1590">
        <f>VLOOKUP($E$2133,UsoSuelo!$E$1383:$Q$1394,3,FALSE)</f>
        <v>0</v>
      </c>
      <c r="K2135" s="1590">
        <f>VLOOKUP($E$2133,UsoSuelo!$E$1383:$Q$1394,4,FALSE)</f>
        <v>0</v>
      </c>
      <c r="L2135" s="1590">
        <f>VLOOKUP($E$2133,UsoSuelo!$E$1383:$Q$1394,5,FALSE)</f>
        <v>0</v>
      </c>
      <c r="M2135" s="1590">
        <f>VLOOKUP($E$2133,UsoSuelo!$E$1383:$Q$1394,6,FALSE)</f>
        <v>0</v>
      </c>
      <c r="N2135" s="1590">
        <f>VLOOKUP($E$2133,UsoSuelo!$E$1383:$Q$1394,7,FALSE)</f>
        <v>0</v>
      </c>
      <c r="O2135" s="1590">
        <f>VLOOKUP($E$2133,UsoSuelo!$E$1383:$Q$1394,8,FALSE)</f>
        <v>0</v>
      </c>
      <c r="P2135" s="1590">
        <f>VLOOKUP($E$2133,UsoSuelo!$E$1383:$Q$1394,9,FALSE)</f>
        <v>0</v>
      </c>
      <c r="Q2135" s="1590">
        <f>VLOOKUP($E$2133,UsoSuelo!$E$1383:$Q$1394,10,FALSE)</f>
        <v>0</v>
      </c>
      <c r="R2135" s="1590">
        <f>VLOOKUP($E$2133,UsoSuelo!$E$1383:$Q$1394,11,FALSE)</f>
        <v>0</v>
      </c>
      <c r="S2135" s="1590">
        <f>VLOOKUP($E$2133,UsoSuelo!$E$1383:$Q$1394,12,FALSE)</f>
        <v>0</v>
      </c>
      <c r="T2135" s="1655">
        <f>VLOOKUP($E$2133,UsoSuelo!$E$1383:$Q$1394,13,FALSE)</f>
        <v>0</v>
      </c>
    </row>
    <row r="2136" spans="1:22" ht="14.4" hidden="1" customHeight="1" thickTop="1" x14ac:dyDescent="0.2">
      <c r="B2136" s="1664" t="str">
        <f>+Precios!H87</f>
        <v>Cosechar cultivos de invierno contratada</v>
      </c>
      <c r="C2136" s="1194">
        <f>+Precios!K87</f>
        <v>12</v>
      </c>
      <c r="D2136" s="1194"/>
      <c r="E2136" s="1194"/>
      <c r="F2136" s="1194"/>
      <c r="G2136" s="1194"/>
      <c r="H2136" s="1210"/>
      <c r="I2136" s="1667">
        <f>SUMIF($V$668:$V$670,$B2136&amp;"contratada",I$668:I$670)</f>
        <v>0</v>
      </c>
      <c r="J2136" s="1668">
        <f t="shared" ref="J2136:T2146" si="1839">SUMIF($V$668:$V$670,$B2136&amp;"contratada",J$668:J$670)</f>
        <v>0</v>
      </c>
      <c r="K2136" s="1668">
        <f t="shared" si="1839"/>
        <v>0</v>
      </c>
      <c r="L2136" s="1668">
        <f t="shared" si="1839"/>
        <v>0</v>
      </c>
      <c r="M2136" s="1668">
        <f t="shared" si="1839"/>
        <v>0</v>
      </c>
      <c r="N2136" s="1668">
        <f t="shared" si="1839"/>
        <v>0</v>
      </c>
      <c r="O2136" s="1668">
        <f t="shared" si="1839"/>
        <v>0</v>
      </c>
      <c r="P2136" s="1668">
        <f t="shared" si="1839"/>
        <v>0</v>
      </c>
      <c r="Q2136" s="1668">
        <f t="shared" si="1839"/>
        <v>0</v>
      </c>
      <c r="R2136" s="1668">
        <f t="shared" si="1839"/>
        <v>0</v>
      </c>
      <c r="S2136" s="1668">
        <f t="shared" si="1839"/>
        <v>0</v>
      </c>
      <c r="T2136" s="1704">
        <f t="shared" si="1839"/>
        <v>0</v>
      </c>
      <c r="V2136" s="232" t="s">
        <v>2025</v>
      </c>
    </row>
    <row r="2137" spans="1:22" ht="13.75" hidden="1" customHeight="1" x14ac:dyDescent="0.2">
      <c r="B2137" s="1665" t="str">
        <f>+Precios!H88</f>
        <v>Cosechar cultivos de verano contratada</v>
      </c>
      <c r="C2137" s="193">
        <f>+Precios!K88</f>
        <v>17</v>
      </c>
      <c r="D2137" s="193"/>
      <c r="E2137" s="193"/>
      <c r="F2137" s="193"/>
      <c r="G2137" s="193"/>
      <c r="H2137" s="254"/>
      <c r="I2137" s="1179">
        <f t="shared" ref="I2137:I2149" si="1840">SUMIF($V$668:$V$670,$B2137&amp;"contratada",I$668:I$670)</f>
        <v>0</v>
      </c>
      <c r="J2137" s="1283">
        <f t="shared" si="1839"/>
        <v>0</v>
      </c>
      <c r="K2137" s="1283">
        <f t="shared" si="1839"/>
        <v>0</v>
      </c>
      <c r="L2137" s="1283">
        <f t="shared" si="1839"/>
        <v>0</v>
      </c>
      <c r="M2137" s="1283">
        <f t="shared" si="1839"/>
        <v>0</v>
      </c>
      <c r="N2137" s="1283">
        <f t="shared" si="1839"/>
        <v>0</v>
      </c>
      <c r="O2137" s="1283">
        <f t="shared" si="1839"/>
        <v>0</v>
      </c>
      <c r="P2137" s="1283">
        <f t="shared" si="1839"/>
        <v>0</v>
      </c>
      <c r="Q2137" s="1283">
        <f t="shared" si="1839"/>
        <v>0</v>
      </c>
      <c r="R2137" s="1283">
        <f t="shared" si="1839"/>
        <v>0</v>
      </c>
      <c r="S2137" s="1283">
        <f t="shared" si="1839"/>
        <v>0</v>
      </c>
      <c r="T2137" s="1601">
        <f t="shared" si="1839"/>
        <v>0</v>
      </c>
    </row>
    <row r="2138" spans="1:22" ht="13.75" hidden="1" customHeight="1" x14ac:dyDescent="0.2">
      <c r="B2138" s="1665" t="str">
        <f>+Precios!H89</f>
        <v>Cosechar cultivos de invierno propia</v>
      </c>
      <c r="C2138" s="193">
        <f>+Precios!K89</f>
        <v>12</v>
      </c>
      <c r="D2138" s="193"/>
      <c r="E2138" s="193"/>
      <c r="F2138" s="193"/>
      <c r="G2138" s="193"/>
      <c r="H2138" s="254"/>
      <c r="I2138" s="1179">
        <f t="shared" si="1840"/>
        <v>0</v>
      </c>
      <c r="J2138" s="1283">
        <f t="shared" si="1839"/>
        <v>0</v>
      </c>
      <c r="K2138" s="1283">
        <f t="shared" si="1839"/>
        <v>0</v>
      </c>
      <c r="L2138" s="1283">
        <f t="shared" si="1839"/>
        <v>0</v>
      </c>
      <c r="M2138" s="1283">
        <f t="shared" si="1839"/>
        <v>0</v>
      </c>
      <c r="N2138" s="1283">
        <f t="shared" si="1839"/>
        <v>0</v>
      </c>
      <c r="O2138" s="1283">
        <f t="shared" si="1839"/>
        <v>0</v>
      </c>
      <c r="P2138" s="1283">
        <f t="shared" si="1839"/>
        <v>0</v>
      </c>
      <c r="Q2138" s="1283">
        <f t="shared" si="1839"/>
        <v>0</v>
      </c>
      <c r="R2138" s="1283">
        <f t="shared" si="1839"/>
        <v>0</v>
      </c>
      <c r="S2138" s="1283">
        <f t="shared" si="1839"/>
        <v>0</v>
      </c>
      <c r="T2138" s="1601">
        <f t="shared" si="1839"/>
        <v>0</v>
      </c>
    </row>
    <row r="2139" spans="1:22" ht="13.75" hidden="1" customHeight="1" x14ac:dyDescent="0.2">
      <c r="B2139" s="1665" t="str">
        <f>+Precios!H90</f>
        <v>Cosechar cultivos de verano propia</v>
      </c>
      <c r="C2139" s="193">
        <f>+Precios!K90</f>
        <v>15</v>
      </c>
      <c r="D2139" s="193"/>
      <c r="E2139" s="193"/>
      <c r="F2139" s="193"/>
      <c r="G2139" s="193"/>
      <c r="H2139" s="254"/>
      <c r="I2139" s="1179">
        <f t="shared" si="1840"/>
        <v>0</v>
      </c>
      <c r="J2139" s="1283">
        <f t="shared" si="1839"/>
        <v>0</v>
      </c>
      <c r="K2139" s="1283">
        <f t="shared" si="1839"/>
        <v>0</v>
      </c>
      <c r="L2139" s="1283">
        <f t="shared" si="1839"/>
        <v>0</v>
      </c>
      <c r="M2139" s="1283">
        <f t="shared" si="1839"/>
        <v>0</v>
      </c>
      <c r="N2139" s="1283">
        <f t="shared" si="1839"/>
        <v>0</v>
      </c>
      <c r="O2139" s="1283">
        <f t="shared" si="1839"/>
        <v>0</v>
      </c>
      <c r="P2139" s="1283">
        <f t="shared" si="1839"/>
        <v>0</v>
      </c>
      <c r="Q2139" s="1283">
        <f t="shared" si="1839"/>
        <v>0</v>
      </c>
      <c r="R2139" s="1283">
        <f t="shared" si="1839"/>
        <v>0</v>
      </c>
      <c r="S2139" s="1283">
        <f t="shared" si="1839"/>
        <v>0</v>
      </c>
      <c r="T2139" s="1601">
        <f t="shared" si="1839"/>
        <v>0</v>
      </c>
    </row>
    <row r="2140" spans="1:22" ht="13.75" hidden="1" customHeight="1" x14ac:dyDescent="0.2">
      <c r="B2140" s="1665" t="str">
        <f>+Precios!H91</f>
        <v>Cosechar maíz</v>
      </c>
      <c r="C2140" s="193">
        <f>+Precios!K91</f>
        <v>15</v>
      </c>
      <c r="D2140" s="193"/>
      <c r="E2140" s="193"/>
      <c r="F2140" s="193"/>
      <c r="G2140" s="193"/>
      <c r="H2140" s="254"/>
      <c r="I2140" s="1179">
        <f t="shared" si="1840"/>
        <v>0</v>
      </c>
      <c r="J2140" s="1283">
        <f t="shared" si="1839"/>
        <v>0</v>
      </c>
      <c r="K2140" s="1283">
        <f t="shared" si="1839"/>
        <v>0</v>
      </c>
      <c r="L2140" s="1283">
        <f t="shared" si="1839"/>
        <v>0</v>
      </c>
      <c r="M2140" s="1283">
        <f t="shared" si="1839"/>
        <v>0</v>
      </c>
      <c r="N2140" s="1283">
        <f t="shared" si="1839"/>
        <v>0</v>
      </c>
      <c r="O2140" s="1283">
        <f t="shared" si="1839"/>
        <v>0</v>
      </c>
      <c r="P2140" s="1283">
        <f t="shared" si="1839"/>
        <v>0</v>
      </c>
      <c r="Q2140" s="1283">
        <f t="shared" si="1839"/>
        <v>0</v>
      </c>
      <c r="R2140" s="1283">
        <f t="shared" si="1839"/>
        <v>0</v>
      </c>
      <c r="S2140" s="1283">
        <f t="shared" si="1839"/>
        <v>0</v>
      </c>
      <c r="T2140" s="1601">
        <f t="shared" si="1839"/>
        <v>0</v>
      </c>
    </row>
    <row r="2141" spans="1:22" ht="13.75" hidden="1" customHeight="1" x14ac:dyDescent="0.2">
      <c r="B2141" s="1665" t="str">
        <f>+Precios!H92</f>
        <v xml:space="preserve">Cosecha + hilerado </v>
      </c>
      <c r="C2141" s="193">
        <f>+Precios!K92</f>
        <v>15</v>
      </c>
      <c r="D2141" s="193"/>
      <c r="E2141" s="193"/>
      <c r="F2141" s="193"/>
      <c r="G2141" s="193"/>
      <c r="H2141" s="254"/>
      <c r="I2141" s="1179">
        <f t="shared" si="1840"/>
        <v>0</v>
      </c>
      <c r="J2141" s="1283">
        <f t="shared" si="1839"/>
        <v>0</v>
      </c>
      <c r="K2141" s="1283">
        <f t="shared" si="1839"/>
        <v>0</v>
      </c>
      <c r="L2141" s="1283">
        <f t="shared" si="1839"/>
        <v>0</v>
      </c>
      <c r="M2141" s="1283">
        <f t="shared" si="1839"/>
        <v>0</v>
      </c>
      <c r="N2141" s="1283">
        <f t="shared" si="1839"/>
        <v>0</v>
      </c>
      <c r="O2141" s="1283">
        <f t="shared" si="1839"/>
        <v>0</v>
      </c>
      <c r="P2141" s="1283">
        <f t="shared" si="1839"/>
        <v>0</v>
      </c>
      <c r="Q2141" s="1283">
        <f t="shared" si="1839"/>
        <v>0</v>
      </c>
      <c r="R2141" s="1283">
        <f t="shared" si="1839"/>
        <v>0</v>
      </c>
      <c r="S2141" s="1283">
        <f t="shared" si="1839"/>
        <v>0</v>
      </c>
      <c r="T2141" s="1601">
        <f t="shared" si="1839"/>
        <v>0</v>
      </c>
    </row>
    <row r="2142" spans="1:22" ht="13.75" hidden="1" customHeight="1" x14ac:dyDescent="0.2">
      <c r="B2142" s="1665" t="str">
        <f>+Precios!H93</f>
        <v>Embolsar grano U$D/t (incluye materiales)</v>
      </c>
      <c r="C2142" s="193">
        <f>+Precios!K93</f>
        <v>0</v>
      </c>
      <c r="D2142" s="193"/>
      <c r="E2142" s="193"/>
      <c r="F2142" s="193"/>
      <c r="G2142" s="193"/>
      <c r="H2142" s="254"/>
      <c r="I2142" s="1179">
        <f t="shared" si="1840"/>
        <v>0</v>
      </c>
      <c r="J2142" s="1283">
        <f t="shared" si="1839"/>
        <v>0</v>
      </c>
      <c r="K2142" s="1283">
        <f t="shared" si="1839"/>
        <v>0</v>
      </c>
      <c r="L2142" s="1283">
        <f t="shared" si="1839"/>
        <v>0</v>
      </c>
      <c r="M2142" s="1283">
        <f t="shared" si="1839"/>
        <v>0</v>
      </c>
      <c r="N2142" s="1283">
        <f t="shared" si="1839"/>
        <v>0</v>
      </c>
      <c r="O2142" s="1283">
        <f t="shared" si="1839"/>
        <v>0</v>
      </c>
      <c r="P2142" s="1283">
        <f t="shared" si="1839"/>
        <v>0</v>
      </c>
      <c r="Q2142" s="1283">
        <f t="shared" si="1839"/>
        <v>0</v>
      </c>
      <c r="R2142" s="1283">
        <f t="shared" si="1839"/>
        <v>0</v>
      </c>
      <c r="S2142" s="1283">
        <f t="shared" si="1839"/>
        <v>0</v>
      </c>
      <c r="T2142" s="1601">
        <f t="shared" si="1839"/>
        <v>0</v>
      </c>
    </row>
    <row r="2143" spans="1:22" ht="13.75" hidden="1" customHeight="1" x14ac:dyDescent="0.2">
      <c r="B2143" s="1665" t="str">
        <f>+Precios!H94</f>
        <v>Cosechar semillero de leguminosa</v>
      </c>
      <c r="C2143" s="193">
        <f>+Precios!K94</f>
        <v>15</v>
      </c>
      <c r="D2143" s="193"/>
      <c r="E2143" s="193"/>
      <c r="F2143" s="193"/>
      <c r="G2143" s="193"/>
      <c r="H2143" s="254"/>
      <c r="I2143" s="1179">
        <f t="shared" si="1840"/>
        <v>0</v>
      </c>
      <c r="J2143" s="1283">
        <f t="shared" si="1839"/>
        <v>0</v>
      </c>
      <c r="K2143" s="1283">
        <f t="shared" si="1839"/>
        <v>0</v>
      </c>
      <c r="L2143" s="1283">
        <f t="shared" si="1839"/>
        <v>0</v>
      </c>
      <c r="M2143" s="1283">
        <f t="shared" si="1839"/>
        <v>0</v>
      </c>
      <c r="N2143" s="1283">
        <f t="shared" si="1839"/>
        <v>0</v>
      </c>
      <c r="O2143" s="1283">
        <f t="shared" si="1839"/>
        <v>0</v>
      </c>
      <c r="P2143" s="1283">
        <f t="shared" si="1839"/>
        <v>0</v>
      </c>
      <c r="Q2143" s="1283">
        <f t="shared" si="1839"/>
        <v>0</v>
      </c>
      <c r="R2143" s="1283">
        <f t="shared" si="1839"/>
        <v>0</v>
      </c>
      <c r="S2143" s="1283">
        <f t="shared" si="1839"/>
        <v>0</v>
      </c>
      <c r="T2143" s="1601">
        <f t="shared" si="1839"/>
        <v>0</v>
      </c>
    </row>
    <row r="2144" spans="1:22" ht="13.75" hidden="1" customHeight="1" x14ac:dyDescent="0.2">
      <c r="B2144" s="1665" t="str">
        <f>+Precios!H95</f>
        <v>Cosechar semillero de gramínea</v>
      </c>
      <c r="C2144" s="193">
        <f>+Precios!K95</f>
        <v>15</v>
      </c>
      <c r="D2144" s="193"/>
      <c r="E2144" s="193"/>
      <c r="F2144" s="193"/>
      <c r="G2144" s="193"/>
      <c r="H2144" s="254"/>
      <c r="I2144" s="1179">
        <f t="shared" si="1840"/>
        <v>0</v>
      </c>
      <c r="J2144" s="1283">
        <f t="shared" si="1839"/>
        <v>0</v>
      </c>
      <c r="K2144" s="1283">
        <f t="shared" si="1839"/>
        <v>0</v>
      </c>
      <c r="L2144" s="1283">
        <f t="shared" si="1839"/>
        <v>0</v>
      </c>
      <c r="M2144" s="1283">
        <f t="shared" si="1839"/>
        <v>0</v>
      </c>
      <c r="N2144" s="1283">
        <f t="shared" si="1839"/>
        <v>0</v>
      </c>
      <c r="O2144" s="1283">
        <f t="shared" si="1839"/>
        <v>0</v>
      </c>
      <c r="P2144" s="1283">
        <f t="shared" si="1839"/>
        <v>0</v>
      </c>
      <c r="Q2144" s="1283">
        <f t="shared" si="1839"/>
        <v>0</v>
      </c>
      <c r="R2144" s="1283">
        <f t="shared" si="1839"/>
        <v>0</v>
      </c>
      <c r="S2144" s="1283">
        <f t="shared" si="1839"/>
        <v>0</v>
      </c>
      <c r="T2144" s="1601">
        <f t="shared" si="1839"/>
        <v>0</v>
      </c>
    </row>
    <row r="2145" spans="2:31" ht="13.75" hidden="1" customHeight="1" x14ac:dyDescent="0.2">
      <c r="B2145" s="1665" t="str">
        <f>+Precios!H96</f>
        <v>Ensilar Silo de Maíz</v>
      </c>
      <c r="C2145" s="193">
        <f>+Precios!K96</f>
        <v>38</v>
      </c>
      <c r="D2145" s="193"/>
      <c r="E2145" s="193"/>
      <c r="F2145" s="193"/>
      <c r="G2145" s="193"/>
      <c r="H2145" s="254"/>
      <c r="I2145" s="1179">
        <f t="shared" si="1840"/>
        <v>0</v>
      </c>
      <c r="J2145" s="1283">
        <f t="shared" si="1839"/>
        <v>0</v>
      </c>
      <c r="K2145" s="1283">
        <f t="shared" si="1839"/>
        <v>0</v>
      </c>
      <c r="L2145" s="1283">
        <f t="shared" si="1839"/>
        <v>0</v>
      </c>
      <c r="M2145" s="1283">
        <f t="shared" si="1839"/>
        <v>0</v>
      </c>
      <c r="N2145" s="1283">
        <f t="shared" si="1839"/>
        <v>0</v>
      </c>
      <c r="O2145" s="1283">
        <f t="shared" si="1839"/>
        <v>0</v>
      </c>
      <c r="P2145" s="1283">
        <f t="shared" si="1839"/>
        <v>0</v>
      </c>
      <c r="Q2145" s="1283">
        <f t="shared" si="1839"/>
        <v>0</v>
      </c>
      <c r="R2145" s="1283">
        <f t="shared" si="1839"/>
        <v>0</v>
      </c>
      <c r="S2145" s="1283">
        <f t="shared" si="1839"/>
        <v>0</v>
      </c>
      <c r="T2145" s="1601">
        <f t="shared" si="1839"/>
        <v>0</v>
      </c>
    </row>
    <row r="2146" spans="2:31" ht="13.75" hidden="1" customHeight="1" x14ac:dyDescent="0.2">
      <c r="B2146" s="1665" t="str">
        <f>+Precios!H97</f>
        <v>Enfardar</v>
      </c>
      <c r="C2146" s="193">
        <f>+Precios!K97</f>
        <v>1.8</v>
      </c>
      <c r="D2146" s="193"/>
      <c r="E2146" s="193"/>
      <c r="F2146" s="193"/>
      <c r="G2146" s="193"/>
      <c r="H2146" s="254"/>
      <c r="I2146" s="1179">
        <f t="shared" si="1840"/>
        <v>0</v>
      </c>
      <c r="J2146" s="1283">
        <f t="shared" si="1839"/>
        <v>0</v>
      </c>
      <c r="K2146" s="1283">
        <f t="shared" si="1839"/>
        <v>0</v>
      </c>
      <c r="L2146" s="1283">
        <f t="shared" ref="J2146:T2149" si="1841">SUMIF($V$668:$V$670,$B2146&amp;"contratada",L$668:L$670)</f>
        <v>0</v>
      </c>
      <c r="M2146" s="1283">
        <f t="shared" si="1841"/>
        <v>0</v>
      </c>
      <c r="N2146" s="1283">
        <f t="shared" si="1841"/>
        <v>0</v>
      </c>
      <c r="O2146" s="1283">
        <f t="shared" si="1841"/>
        <v>0</v>
      </c>
      <c r="P2146" s="1283">
        <f t="shared" si="1841"/>
        <v>0</v>
      </c>
      <c r="Q2146" s="1283">
        <f t="shared" si="1841"/>
        <v>0</v>
      </c>
      <c r="R2146" s="1283">
        <f t="shared" si="1841"/>
        <v>0</v>
      </c>
      <c r="S2146" s="1283">
        <f t="shared" si="1841"/>
        <v>0</v>
      </c>
      <c r="T2146" s="1601">
        <f t="shared" si="1841"/>
        <v>0</v>
      </c>
    </row>
    <row r="2147" spans="2:31" ht="13.75" hidden="1" customHeight="1" x14ac:dyDescent="0.2">
      <c r="B2147" s="1665" t="str">
        <f>+Precios!H98</f>
        <v>Ensilar Verdeos de Invierno / Praderas</v>
      </c>
      <c r="C2147" s="193">
        <f>+Precios!K98</f>
        <v>38</v>
      </c>
      <c r="D2147" s="193"/>
      <c r="E2147" s="193"/>
      <c r="F2147" s="193"/>
      <c r="G2147" s="193"/>
      <c r="H2147" s="254"/>
      <c r="I2147" s="1179">
        <f t="shared" si="1840"/>
        <v>0</v>
      </c>
      <c r="J2147" s="1283">
        <f t="shared" si="1841"/>
        <v>0</v>
      </c>
      <c r="K2147" s="1283">
        <f t="shared" si="1841"/>
        <v>0</v>
      </c>
      <c r="L2147" s="1283">
        <f t="shared" si="1841"/>
        <v>0</v>
      </c>
      <c r="M2147" s="1283">
        <f t="shared" si="1841"/>
        <v>0</v>
      </c>
      <c r="N2147" s="1283">
        <f t="shared" si="1841"/>
        <v>0</v>
      </c>
      <c r="O2147" s="1283">
        <f t="shared" si="1841"/>
        <v>0</v>
      </c>
      <c r="P2147" s="1283">
        <f t="shared" si="1841"/>
        <v>0</v>
      </c>
      <c r="Q2147" s="1283">
        <f t="shared" si="1841"/>
        <v>0</v>
      </c>
      <c r="R2147" s="1283">
        <f t="shared" si="1841"/>
        <v>0</v>
      </c>
      <c r="S2147" s="1283">
        <f t="shared" si="1841"/>
        <v>0</v>
      </c>
      <c r="T2147" s="1601">
        <f t="shared" si="1841"/>
        <v>0</v>
      </c>
    </row>
    <row r="2148" spans="2:31" ht="13.75" hidden="1" customHeight="1" x14ac:dyDescent="0.2">
      <c r="B2148" s="1665">
        <f>+Precios!H99</f>
        <v>0</v>
      </c>
      <c r="C2148" s="193">
        <f>+Precios!K99</f>
        <v>0</v>
      </c>
      <c r="D2148" s="193"/>
      <c r="E2148" s="193"/>
      <c r="F2148" s="193"/>
      <c r="G2148" s="193"/>
      <c r="H2148" s="254"/>
      <c r="I2148" s="1179">
        <f t="shared" si="1840"/>
        <v>0</v>
      </c>
      <c r="J2148" s="1283">
        <f t="shared" si="1841"/>
        <v>0</v>
      </c>
      <c r="K2148" s="1283">
        <f t="shared" si="1841"/>
        <v>0</v>
      </c>
      <c r="L2148" s="1283">
        <f t="shared" si="1841"/>
        <v>0</v>
      </c>
      <c r="M2148" s="1283">
        <f t="shared" si="1841"/>
        <v>0</v>
      </c>
      <c r="N2148" s="1283">
        <f t="shared" si="1841"/>
        <v>0</v>
      </c>
      <c r="O2148" s="1283">
        <f t="shared" si="1841"/>
        <v>0</v>
      </c>
      <c r="P2148" s="1283">
        <f t="shared" si="1841"/>
        <v>0</v>
      </c>
      <c r="Q2148" s="1283">
        <f t="shared" si="1841"/>
        <v>0</v>
      </c>
      <c r="R2148" s="1283">
        <f t="shared" si="1841"/>
        <v>0</v>
      </c>
      <c r="S2148" s="1283">
        <f t="shared" si="1841"/>
        <v>0</v>
      </c>
      <c r="T2148" s="1601">
        <f t="shared" si="1841"/>
        <v>0</v>
      </c>
    </row>
    <row r="2149" spans="2:31" ht="14.4" hidden="1" customHeight="1" thickBot="1" x14ac:dyDescent="0.25">
      <c r="B2149" s="1665">
        <f>+Precios!H100</f>
        <v>0</v>
      </c>
      <c r="C2149" s="193">
        <f>+Precios!K100</f>
        <v>0</v>
      </c>
      <c r="D2149" s="193"/>
      <c r="E2149" s="193"/>
      <c r="F2149" s="193"/>
      <c r="G2149" s="193"/>
      <c r="H2149" s="254"/>
      <c r="I2149" s="377">
        <f t="shared" si="1840"/>
        <v>0</v>
      </c>
      <c r="J2149" s="1200">
        <f t="shared" si="1841"/>
        <v>0</v>
      </c>
      <c r="K2149" s="1200">
        <f t="shared" si="1841"/>
        <v>0</v>
      </c>
      <c r="L2149" s="1200">
        <f t="shared" si="1841"/>
        <v>0</v>
      </c>
      <c r="M2149" s="1200">
        <f t="shared" si="1841"/>
        <v>0</v>
      </c>
      <c r="N2149" s="1200">
        <f t="shared" si="1841"/>
        <v>0</v>
      </c>
      <c r="O2149" s="1200">
        <f t="shared" si="1841"/>
        <v>0</v>
      </c>
      <c r="P2149" s="1200">
        <f t="shared" si="1841"/>
        <v>0</v>
      </c>
      <c r="Q2149" s="1200">
        <f t="shared" si="1841"/>
        <v>0</v>
      </c>
      <c r="R2149" s="1200">
        <f t="shared" si="1841"/>
        <v>0</v>
      </c>
      <c r="S2149" s="1200">
        <f t="shared" si="1841"/>
        <v>0</v>
      </c>
      <c r="T2149" s="1718">
        <f t="shared" si="1841"/>
        <v>0</v>
      </c>
    </row>
    <row r="2150" spans="2:31" ht="13.75" hidden="1" customHeight="1" x14ac:dyDescent="0.2">
      <c r="B2150" s="1732" t="s">
        <v>705</v>
      </c>
      <c r="C2150" s="1733"/>
      <c r="D2150" s="1733"/>
      <c r="E2150" s="1733"/>
      <c r="F2150" s="1733"/>
      <c r="G2150" s="1734" t="s">
        <v>21</v>
      </c>
      <c r="H2150" s="1532"/>
      <c r="I2150" s="1735">
        <f t="shared" ref="I2150:T2150" si="1842">+SUMPRODUCT(I2136:I2149,$C$2136:$C$2149)</f>
        <v>0</v>
      </c>
      <c r="J2150" s="1736">
        <f t="shared" si="1842"/>
        <v>0</v>
      </c>
      <c r="K2150" s="1736">
        <f t="shared" si="1842"/>
        <v>0</v>
      </c>
      <c r="L2150" s="1736">
        <f t="shared" si="1842"/>
        <v>0</v>
      </c>
      <c r="M2150" s="1736">
        <f t="shared" si="1842"/>
        <v>0</v>
      </c>
      <c r="N2150" s="1736">
        <f t="shared" si="1842"/>
        <v>0</v>
      </c>
      <c r="O2150" s="1736">
        <f t="shared" si="1842"/>
        <v>0</v>
      </c>
      <c r="P2150" s="1736">
        <f t="shared" si="1842"/>
        <v>0</v>
      </c>
      <c r="Q2150" s="1736">
        <f t="shared" si="1842"/>
        <v>0</v>
      </c>
      <c r="R2150" s="1736">
        <f t="shared" si="1842"/>
        <v>0</v>
      </c>
      <c r="S2150" s="1736">
        <f t="shared" si="1842"/>
        <v>0</v>
      </c>
      <c r="T2150" s="1737">
        <f t="shared" si="1842"/>
        <v>0</v>
      </c>
      <c r="Y2150" s="359"/>
      <c r="AE2150" s="232"/>
    </row>
    <row r="2151" spans="2:31" ht="13.75" hidden="1" customHeight="1" x14ac:dyDescent="0.2">
      <c r="B2151" s="1728"/>
      <c r="C2151" s="970"/>
      <c r="D2151" s="970"/>
      <c r="E2151" s="970"/>
      <c r="F2151" s="970"/>
      <c r="G2151" s="982" t="s">
        <v>698</v>
      </c>
      <c r="I2151" s="1725">
        <f t="shared" ref="I2151:T2151" si="1843">IFERROR(I2150*I2134/I2133,0)</f>
        <v>0</v>
      </c>
      <c r="J2151" s="1726">
        <f t="shared" si="1843"/>
        <v>0</v>
      </c>
      <c r="K2151" s="1726">
        <f t="shared" si="1843"/>
        <v>0</v>
      </c>
      <c r="L2151" s="1726">
        <f t="shared" si="1843"/>
        <v>0</v>
      </c>
      <c r="M2151" s="1726">
        <f t="shared" si="1843"/>
        <v>0</v>
      </c>
      <c r="N2151" s="1726">
        <f t="shared" si="1843"/>
        <v>0</v>
      </c>
      <c r="O2151" s="1726">
        <f t="shared" si="1843"/>
        <v>0</v>
      </c>
      <c r="P2151" s="1726">
        <f t="shared" si="1843"/>
        <v>0</v>
      </c>
      <c r="Q2151" s="1726">
        <f t="shared" si="1843"/>
        <v>0</v>
      </c>
      <c r="R2151" s="1726">
        <f t="shared" si="1843"/>
        <v>0</v>
      </c>
      <c r="S2151" s="1726">
        <f t="shared" si="1843"/>
        <v>0</v>
      </c>
      <c r="T2151" s="1727">
        <f t="shared" si="1843"/>
        <v>0</v>
      </c>
      <c r="Y2151" s="359"/>
      <c r="AE2151" s="232"/>
    </row>
    <row r="2152" spans="2:31" ht="14.4" hidden="1" customHeight="1" thickBot="1" x14ac:dyDescent="0.25">
      <c r="B2152" s="1728"/>
      <c r="C2152" s="970"/>
      <c r="D2152" s="970"/>
      <c r="E2152" s="970"/>
      <c r="F2152" s="970"/>
      <c r="G2152" s="982" t="s">
        <v>699</v>
      </c>
      <c r="I2152" s="1729">
        <f>+I2150-I2151</f>
        <v>0</v>
      </c>
      <c r="J2152" s="1730">
        <f t="shared" ref="J2152:T2152" si="1844">+J2150-J2151</f>
        <v>0</v>
      </c>
      <c r="K2152" s="1730">
        <f t="shared" si="1844"/>
        <v>0</v>
      </c>
      <c r="L2152" s="1730">
        <f t="shared" si="1844"/>
        <v>0</v>
      </c>
      <c r="M2152" s="1730">
        <f t="shared" si="1844"/>
        <v>0</v>
      </c>
      <c r="N2152" s="1730">
        <f t="shared" si="1844"/>
        <v>0</v>
      </c>
      <c r="O2152" s="1730">
        <f t="shared" si="1844"/>
        <v>0</v>
      </c>
      <c r="P2152" s="1730">
        <f t="shared" si="1844"/>
        <v>0</v>
      </c>
      <c r="Q2152" s="1730">
        <f t="shared" si="1844"/>
        <v>0</v>
      </c>
      <c r="R2152" s="1730">
        <f t="shared" si="1844"/>
        <v>0</v>
      </c>
      <c r="S2152" s="1730">
        <f t="shared" si="1844"/>
        <v>0</v>
      </c>
      <c r="T2152" s="1731">
        <f t="shared" si="1844"/>
        <v>0</v>
      </c>
      <c r="Y2152" s="359"/>
      <c r="AE2152" s="232"/>
    </row>
    <row r="2153" spans="2:31" ht="14.4" hidden="1" customHeight="1" thickTop="1" x14ac:dyDescent="0.2">
      <c r="B2153" s="1724" t="s">
        <v>2026</v>
      </c>
      <c r="C2153" s="1194"/>
      <c r="D2153" s="1194"/>
      <c r="E2153" s="1194"/>
      <c r="F2153" s="1210"/>
      <c r="G2153" s="1641" t="s">
        <v>813</v>
      </c>
      <c r="H2153" s="1210"/>
      <c r="I2153" s="1667">
        <f t="shared" ref="I2153:T2153" si="1845">SUMPRODUCT(I668:I670,$F668:$F670)</f>
        <v>0</v>
      </c>
      <c r="J2153" s="1668">
        <f t="shared" si="1845"/>
        <v>0</v>
      </c>
      <c r="K2153" s="1668">
        <f t="shared" si="1845"/>
        <v>0</v>
      </c>
      <c r="L2153" s="1668">
        <f t="shared" si="1845"/>
        <v>0</v>
      </c>
      <c r="M2153" s="1668">
        <f t="shared" si="1845"/>
        <v>0</v>
      </c>
      <c r="N2153" s="1668">
        <f t="shared" si="1845"/>
        <v>0</v>
      </c>
      <c r="O2153" s="1668">
        <f t="shared" si="1845"/>
        <v>0</v>
      </c>
      <c r="P2153" s="1668">
        <f t="shared" si="1845"/>
        <v>0</v>
      </c>
      <c r="Q2153" s="1668">
        <f t="shared" si="1845"/>
        <v>0</v>
      </c>
      <c r="R2153" s="1668">
        <f t="shared" si="1845"/>
        <v>0</v>
      </c>
      <c r="S2153" s="1668">
        <f t="shared" si="1845"/>
        <v>0</v>
      </c>
      <c r="T2153" s="1704">
        <f t="shared" si="1845"/>
        <v>0</v>
      </c>
    </row>
    <row r="2154" spans="2:31" ht="13.75" hidden="1" customHeight="1" x14ac:dyDescent="0.2">
      <c r="B2154" s="1594"/>
      <c r="C2154" s="193"/>
      <c r="D2154" s="193"/>
      <c r="E2154" s="193"/>
      <c r="F2154" s="193"/>
      <c r="G2154" s="254" t="s">
        <v>698</v>
      </c>
      <c r="H2154" s="254"/>
      <c r="I2154" s="1179">
        <f t="shared" ref="I2154:T2154" si="1846">IFERROR(I2153*(I2134/I2133),0)</f>
        <v>0</v>
      </c>
      <c r="J2154" s="1283">
        <f t="shared" si="1846"/>
        <v>0</v>
      </c>
      <c r="K2154" s="1283">
        <f t="shared" si="1846"/>
        <v>0</v>
      </c>
      <c r="L2154" s="1283">
        <f t="shared" si="1846"/>
        <v>0</v>
      </c>
      <c r="M2154" s="1283">
        <f t="shared" si="1846"/>
        <v>0</v>
      </c>
      <c r="N2154" s="1283">
        <f t="shared" si="1846"/>
        <v>0</v>
      </c>
      <c r="O2154" s="1283">
        <f t="shared" si="1846"/>
        <v>0</v>
      </c>
      <c r="P2154" s="1283">
        <f t="shared" si="1846"/>
        <v>0</v>
      </c>
      <c r="Q2154" s="1283">
        <f t="shared" si="1846"/>
        <v>0</v>
      </c>
      <c r="R2154" s="1283">
        <f t="shared" si="1846"/>
        <v>0</v>
      </c>
      <c r="S2154" s="1283">
        <f t="shared" si="1846"/>
        <v>0</v>
      </c>
      <c r="T2154" s="1601">
        <f t="shared" si="1846"/>
        <v>0</v>
      </c>
    </row>
    <row r="2155" spans="2:31" ht="14.4" hidden="1" customHeight="1" thickBot="1" x14ac:dyDescent="0.25">
      <c r="B2155" s="1596"/>
      <c r="C2155" s="1199"/>
      <c r="D2155" s="1199"/>
      <c r="E2155" s="1199"/>
      <c r="F2155" s="1199"/>
      <c r="G2155" s="1209" t="s">
        <v>699</v>
      </c>
      <c r="H2155" s="1209"/>
      <c r="I2155" s="1654">
        <f t="shared" ref="I2155:T2155" si="1847">IFERROR(I2154*(I2135/I2133),0)</f>
        <v>0</v>
      </c>
      <c r="J2155" s="1590">
        <f t="shared" si="1847"/>
        <v>0</v>
      </c>
      <c r="K2155" s="1590">
        <f t="shared" si="1847"/>
        <v>0</v>
      </c>
      <c r="L2155" s="1590">
        <f t="shared" si="1847"/>
        <v>0</v>
      </c>
      <c r="M2155" s="1590">
        <f t="shared" si="1847"/>
        <v>0</v>
      </c>
      <c r="N2155" s="1590">
        <f t="shared" si="1847"/>
        <v>0</v>
      </c>
      <c r="O2155" s="1590">
        <f t="shared" si="1847"/>
        <v>0</v>
      </c>
      <c r="P2155" s="1590">
        <f t="shared" si="1847"/>
        <v>0</v>
      </c>
      <c r="Q2155" s="1590">
        <f t="shared" si="1847"/>
        <v>0</v>
      </c>
      <c r="R2155" s="1590">
        <f t="shared" si="1847"/>
        <v>0</v>
      </c>
      <c r="S2155" s="1590">
        <f t="shared" si="1847"/>
        <v>0</v>
      </c>
      <c r="T2155" s="1655">
        <f t="shared" si="1847"/>
        <v>0</v>
      </c>
    </row>
    <row r="2156" spans="2:31" ht="15.05" hidden="1" customHeight="1" thickTop="1" thickBot="1" x14ac:dyDescent="0.25">
      <c r="H2156" s="232"/>
      <c r="I2156" s="1738">
        <v>2</v>
      </c>
      <c r="J2156" s="1738">
        <v>3</v>
      </c>
      <c r="K2156" s="1738">
        <v>4</v>
      </c>
      <c r="L2156" s="1738">
        <v>5</v>
      </c>
      <c r="M2156" s="1738">
        <v>6</v>
      </c>
      <c r="N2156" s="1738">
        <v>7</v>
      </c>
      <c r="O2156" s="1738">
        <v>8</v>
      </c>
      <c r="P2156" s="1738">
        <v>9</v>
      </c>
      <c r="Q2156" s="1738">
        <v>10</v>
      </c>
      <c r="R2156" s="1738">
        <v>11</v>
      </c>
      <c r="S2156" s="1738">
        <v>12</v>
      </c>
      <c r="T2156" s="1738">
        <v>13</v>
      </c>
      <c r="V2156" s="232" t="s">
        <v>2027</v>
      </c>
    </row>
    <row r="2157" spans="2:31" ht="14.4" hidden="1" customHeight="1" thickTop="1" x14ac:dyDescent="0.2">
      <c r="B2157" s="1724" t="s">
        <v>797</v>
      </c>
      <c r="C2157" s="1194"/>
      <c r="D2157" s="1194"/>
      <c r="E2157" s="1581" t="str">
        <f>B671</f>
        <v>Sorgo silo</v>
      </c>
      <c r="F2157" s="232"/>
      <c r="G2157" s="1194" t="s">
        <v>791</v>
      </c>
      <c r="H2157" s="1194"/>
      <c r="I2157" s="1668">
        <f>+I2158+I2159</f>
        <v>0</v>
      </c>
      <c r="J2157" s="1668">
        <f t="shared" ref="J2157:S2157" si="1848">+J2158+J2159</f>
        <v>0</v>
      </c>
      <c r="K2157" s="1668">
        <f t="shared" si="1848"/>
        <v>0</v>
      </c>
      <c r="L2157" s="1668">
        <f t="shared" si="1848"/>
        <v>0</v>
      </c>
      <c r="M2157" s="1668">
        <f t="shared" si="1848"/>
        <v>0</v>
      </c>
      <c r="N2157" s="1668">
        <f t="shared" si="1848"/>
        <v>0</v>
      </c>
      <c r="O2157" s="1668">
        <f t="shared" si="1848"/>
        <v>0</v>
      </c>
      <c r="P2157" s="1668">
        <f t="shared" si="1848"/>
        <v>0</v>
      </c>
      <c r="Q2157" s="1668">
        <f t="shared" si="1848"/>
        <v>0</v>
      </c>
      <c r="R2157" s="1668">
        <f t="shared" si="1848"/>
        <v>0</v>
      </c>
      <c r="S2157" s="1668">
        <f t="shared" si="1848"/>
        <v>0</v>
      </c>
      <c r="T2157" s="1704">
        <f>+T2158+T2159</f>
        <v>0</v>
      </c>
    </row>
    <row r="2158" spans="2:31" ht="13.75" hidden="1" customHeight="1" x14ac:dyDescent="0.2">
      <c r="B2158" s="1594" t="s">
        <v>798</v>
      </c>
      <c r="C2158" s="193"/>
      <c r="D2158" s="193"/>
      <c r="E2158" s="193"/>
      <c r="F2158" s="232"/>
      <c r="G2158" s="193" t="s">
        <v>793</v>
      </c>
      <c r="H2158" s="193"/>
      <c r="I2158" s="1283">
        <f>VLOOKUP($E$2157,UsoSuelo!$E$1366:$Q$1377,I$2156,FALSE)</f>
        <v>0</v>
      </c>
      <c r="J2158" s="1283">
        <f>VLOOKUP($E$2157,UsoSuelo!$E$1366:$Q$1377,J$2156,FALSE)</f>
        <v>0</v>
      </c>
      <c r="K2158" s="1283">
        <f>VLOOKUP($E$2157,UsoSuelo!$E$1366:$Q$1377,K$2156,FALSE)</f>
        <v>0</v>
      </c>
      <c r="L2158" s="1283">
        <f>VLOOKUP($E$2157,UsoSuelo!$E$1366:$Q$1377,L$2156,FALSE)</f>
        <v>0</v>
      </c>
      <c r="M2158" s="1283">
        <f>VLOOKUP($E$2157,UsoSuelo!$E$1366:$Q$1377,M$2156,FALSE)</f>
        <v>0</v>
      </c>
      <c r="N2158" s="1283">
        <f>VLOOKUP($E$2157,UsoSuelo!$E$1366:$Q$1377,N$2156,FALSE)</f>
        <v>0</v>
      </c>
      <c r="O2158" s="1283">
        <f>VLOOKUP($E$2157,UsoSuelo!$E$1366:$Q$1377,O$2156,FALSE)</f>
        <v>0</v>
      </c>
      <c r="P2158" s="1283">
        <f>VLOOKUP($E$2157,UsoSuelo!$E$1366:$Q$1377,P$2156,FALSE)</f>
        <v>0</v>
      </c>
      <c r="Q2158" s="1283">
        <f>VLOOKUP($E$2157,UsoSuelo!$E$1366:$Q$1377,Q$2156,FALSE)</f>
        <v>0</v>
      </c>
      <c r="R2158" s="1283">
        <f>VLOOKUP($E$2157,UsoSuelo!$E$1366:$Q$1377,R$2156,FALSE)</f>
        <v>0</v>
      </c>
      <c r="S2158" s="1283">
        <f>VLOOKUP($E$2157,UsoSuelo!$E$1366:$Q$1377,S$2156,FALSE)</f>
        <v>0</v>
      </c>
      <c r="T2158" s="1601">
        <f>VLOOKUP($E$2157,UsoSuelo!$E$1366:$Q$1377,T$2156,FALSE)</f>
        <v>0</v>
      </c>
    </row>
    <row r="2159" spans="2:31" ht="14.4" hidden="1" customHeight="1" thickBot="1" x14ac:dyDescent="0.25">
      <c r="B2159" s="1596"/>
      <c r="C2159" s="1199"/>
      <c r="D2159" s="1199"/>
      <c r="E2159" s="1199"/>
      <c r="F2159" s="232"/>
      <c r="G2159" s="1199" t="s">
        <v>792</v>
      </c>
      <c r="H2159" s="1199"/>
      <c r="I2159" s="1590">
        <f>VLOOKUP($E$2157,UsoSuelo!$E$1383:$Q$1394,I$2156,FALSE)</f>
        <v>0</v>
      </c>
      <c r="J2159" s="1590">
        <f>VLOOKUP($E$2157,UsoSuelo!$E$1383:$Q$1394,J$2156,FALSE)</f>
        <v>0</v>
      </c>
      <c r="K2159" s="1590">
        <f>VLOOKUP($E$2157,UsoSuelo!$E$1383:$Q$1394,K$2156,FALSE)</f>
        <v>0</v>
      </c>
      <c r="L2159" s="1590">
        <f>VLOOKUP($E$2157,UsoSuelo!$E$1383:$Q$1394,L$2156,FALSE)</f>
        <v>0</v>
      </c>
      <c r="M2159" s="1590">
        <f>VLOOKUP($E$2157,UsoSuelo!$E$1383:$Q$1394,M$2156,FALSE)</f>
        <v>0</v>
      </c>
      <c r="N2159" s="1590">
        <f>VLOOKUP($E$2157,UsoSuelo!$E$1383:$Q$1394,N$2156,FALSE)</f>
        <v>0</v>
      </c>
      <c r="O2159" s="1590">
        <f>VLOOKUP($E$2157,UsoSuelo!$E$1383:$Q$1394,O$2156,FALSE)</f>
        <v>0</v>
      </c>
      <c r="P2159" s="1590">
        <f>VLOOKUP($E$2157,UsoSuelo!$E$1383:$Q$1394,P$2156,FALSE)</f>
        <v>0</v>
      </c>
      <c r="Q2159" s="1590">
        <f>VLOOKUP($E$2157,UsoSuelo!$E$1383:$Q$1394,Q$2156,FALSE)</f>
        <v>0</v>
      </c>
      <c r="R2159" s="1590">
        <f>VLOOKUP($E$2157,UsoSuelo!$E$1383:$Q$1394,R$2156,FALSE)</f>
        <v>0</v>
      </c>
      <c r="S2159" s="1590">
        <f>VLOOKUP($E$2157,UsoSuelo!$E$1383:$Q$1394,S$2156,FALSE)</f>
        <v>0</v>
      </c>
      <c r="T2159" s="1655">
        <f>VLOOKUP($E$2157,UsoSuelo!$E$1383:$Q$1394,T$2156,FALSE)</f>
        <v>0</v>
      </c>
    </row>
    <row r="2160" spans="2:31" ht="14.4" hidden="1" customHeight="1" thickTop="1" x14ac:dyDescent="0.2">
      <c r="B2160" s="1664"/>
      <c r="C2160" s="1194"/>
      <c r="D2160" s="1194"/>
      <c r="E2160" s="1194"/>
      <c r="F2160" s="1194"/>
      <c r="G2160" s="1194"/>
      <c r="H2160" s="1210"/>
      <c r="I2160" s="1667">
        <f t="shared" ref="I2160:T2160" si="1849">SUMIF($V$672:$V$675,$B2136&amp;"contratada",I$672:I$675)</f>
        <v>0</v>
      </c>
      <c r="J2160" s="1668">
        <f t="shared" si="1849"/>
        <v>0</v>
      </c>
      <c r="K2160" s="1668">
        <f t="shared" si="1849"/>
        <v>0</v>
      </c>
      <c r="L2160" s="1668">
        <f t="shared" si="1849"/>
        <v>0</v>
      </c>
      <c r="M2160" s="1668">
        <f t="shared" si="1849"/>
        <v>0</v>
      </c>
      <c r="N2160" s="1668">
        <f t="shared" si="1849"/>
        <v>0</v>
      </c>
      <c r="O2160" s="1668">
        <f t="shared" si="1849"/>
        <v>0</v>
      </c>
      <c r="P2160" s="1668">
        <f t="shared" si="1849"/>
        <v>0</v>
      </c>
      <c r="Q2160" s="1668">
        <f t="shared" si="1849"/>
        <v>0</v>
      </c>
      <c r="R2160" s="1668">
        <f t="shared" si="1849"/>
        <v>0</v>
      </c>
      <c r="S2160" s="1668">
        <f t="shared" si="1849"/>
        <v>0</v>
      </c>
      <c r="T2160" s="1704">
        <f t="shared" si="1849"/>
        <v>0</v>
      </c>
    </row>
    <row r="2161" spans="2:31" ht="13.75" hidden="1" customHeight="1" x14ac:dyDescent="0.2">
      <c r="B2161" s="1665"/>
      <c r="C2161" s="193"/>
      <c r="D2161" s="193"/>
      <c r="E2161" s="193"/>
      <c r="F2161" s="193"/>
      <c r="G2161" s="193"/>
      <c r="H2161" s="254"/>
      <c r="I2161" s="1179">
        <f t="shared" ref="I2161:T2161" si="1850">SUMIF($V$672:$V$675,$B2137&amp;"contratada",I$672:I$675)</f>
        <v>0</v>
      </c>
      <c r="J2161" s="1283">
        <f t="shared" si="1850"/>
        <v>0</v>
      </c>
      <c r="K2161" s="1283">
        <f t="shared" si="1850"/>
        <v>0</v>
      </c>
      <c r="L2161" s="1283">
        <f t="shared" si="1850"/>
        <v>0</v>
      </c>
      <c r="M2161" s="1283">
        <f t="shared" si="1850"/>
        <v>0</v>
      </c>
      <c r="N2161" s="1283">
        <f t="shared" si="1850"/>
        <v>0</v>
      </c>
      <c r="O2161" s="1283">
        <f t="shared" si="1850"/>
        <v>0</v>
      </c>
      <c r="P2161" s="1283">
        <f t="shared" si="1850"/>
        <v>0</v>
      </c>
      <c r="Q2161" s="1283">
        <f t="shared" si="1850"/>
        <v>0</v>
      </c>
      <c r="R2161" s="1283">
        <f t="shared" si="1850"/>
        <v>0</v>
      </c>
      <c r="S2161" s="1283">
        <f t="shared" si="1850"/>
        <v>0</v>
      </c>
      <c r="T2161" s="1601">
        <f t="shared" si="1850"/>
        <v>0</v>
      </c>
    </row>
    <row r="2162" spans="2:31" ht="13.75" hidden="1" customHeight="1" x14ac:dyDescent="0.2">
      <c r="B2162" s="1665"/>
      <c r="C2162" s="193"/>
      <c r="D2162" s="193"/>
      <c r="E2162" s="193"/>
      <c r="F2162" s="193"/>
      <c r="G2162" s="193"/>
      <c r="H2162" s="254"/>
      <c r="I2162" s="1179">
        <f t="shared" ref="I2162:T2162" si="1851">SUMIF($V$672:$V$675,$B2138&amp;"contratada",I$672:I$675)</f>
        <v>0</v>
      </c>
      <c r="J2162" s="1283">
        <f t="shared" si="1851"/>
        <v>0</v>
      </c>
      <c r="K2162" s="1283">
        <f t="shared" si="1851"/>
        <v>0</v>
      </c>
      <c r="L2162" s="1283">
        <f t="shared" si="1851"/>
        <v>0</v>
      </c>
      <c r="M2162" s="1283">
        <f t="shared" si="1851"/>
        <v>0</v>
      </c>
      <c r="N2162" s="1283">
        <f t="shared" si="1851"/>
        <v>0</v>
      </c>
      <c r="O2162" s="1283">
        <f t="shared" si="1851"/>
        <v>0</v>
      </c>
      <c r="P2162" s="1283">
        <f t="shared" si="1851"/>
        <v>0</v>
      </c>
      <c r="Q2162" s="1283">
        <f t="shared" si="1851"/>
        <v>0</v>
      </c>
      <c r="R2162" s="1283">
        <f t="shared" si="1851"/>
        <v>0</v>
      </c>
      <c r="S2162" s="1283">
        <f t="shared" si="1851"/>
        <v>0</v>
      </c>
      <c r="T2162" s="1601">
        <f t="shared" si="1851"/>
        <v>0</v>
      </c>
    </row>
    <row r="2163" spans="2:31" ht="13.75" hidden="1" customHeight="1" x14ac:dyDescent="0.2">
      <c r="B2163" s="1665"/>
      <c r="C2163" s="193"/>
      <c r="D2163" s="193"/>
      <c r="E2163" s="193"/>
      <c r="F2163" s="193"/>
      <c r="G2163" s="193"/>
      <c r="H2163" s="254"/>
      <c r="I2163" s="1179">
        <f t="shared" ref="I2163:T2163" si="1852">SUMIF($V$672:$V$675,$B2139&amp;"contratada",I$672:I$675)</f>
        <v>0</v>
      </c>
      <c r="J2163" s="1283">
        <f t="shared" si="1852"/>
        <v>0</v>
      </c>
      <c r="K2163" s="1283">
        <f t="shared" si="1852"/>
        <v>0</v>
      </c>
      <c r="L2163" s="1283">
        <f t="shared" si="1852"/>
        <v>0</v>
      </c>
      <c r="M2163" s="1283">
        <f t="shared" si="1852"/>
        <v>0</v>
      </c>
      <c r="N2163" s="1283">
        <f t="shared" si="1852"/>
        <v>0</v>
      </c>
      <c r="O2163" s="1283">
        <f t="shared" si="1852"/>
        <v>0</v>
      </c>
      <c r="P2163" s="1283">
        <f t="shared" si="1852"/>
        <v>0</v>
      </c>
      <c r="Q2163" s="1283">
        <f t="shared" si="1852"/>
        <v>0</v>
      </c>
      <c r="R2163" s="1283">
        <f t="shared" si="1852"/>
        <v>0</v>
      </c>
      <c r="S2163" s="1283">
        <f t="shared" si="1852"/>
        <v>0</v>
      </c>
      <c r="T2163" s="1601">
        <f t="shared" si="1852"/>
        <v>0</v>
      </c>
    </row>
    <row r="2164" spans="2:31" ht="13.75" hidden="1" customHeight="1" x14ac:dyDescent="0.2">
      <c r="B2164" s="1665"/>
      <c r="C2164" s="193"/>
      <c r="D2164" s="193"/>
      <c r="E2164" s="193"/>
      <c r="F2164" s="193"/>
      <c r="G2164" s="193"/>
      <c r="H2164" s="254"/>
      <c r="I2164" s="1179">
        <f t="shared" ref="I2164:T2164" si="1853">SUMIF($V$672:$V$675,$B2140&amp;"contratada",I$672:I$675)</f>
        <v>0</v>
      </c>
      <c r="J2164" s="1283">
        <f t="shared" si="1853"/>
        <v>0</v>
      </c>
      <c r="K2164" s="1283">
        <f t="shared" si="1853"/>
        <v>0</v>
      </c>
      <c r="L2164" s="1283">
        <f t="shared" si="1853"/>
        <v>0</v>
      </c>
      <c r="M2164" s="1283">
        <f t="shared" si="1853"/>
        <v>0</v>
      </c>
      <c r="N2164" s="1283">
        <f t="shared" si="1853"/>
        <v>0</v>
      </c>
      <c r="O2164" s="1283">
        <f t="shared" si="1853"/>
        <v>0</v>
      </c>
      <c r="P2164" s="1283">
        <f t="shared" si="1853"/>
        <v>0</v>
      </c>
      <c r="Q2164" s="1283">
        <f t="shared" si="1853"/>
        <v>0</v>
      </c>
      <c r="R2164" s="1283">
        <f t="shared" si="1853"/>
        <v>0</v>
      </c>
      <c r="S2164" s="1283">
        <f t="shared" si="1853"/>
        <v>0</v>
      </c>
      <c r="T2164" s="1601">
        <f t="shared" si="1853"/>
        <v>0</v>
      </c>
    </row>
    <row r="2165" spans="2:31" ht="13.75" hidden="1" customHeight="1" x14ac:dyDescent="0.2">
      <c r="B2165" s="1665"/>
      <c r="C2165" s="193"/>
      <c r="D2165" s="193"/>
      <c r="E2165" s="193"/>
      <c r="F2165" s="193"/>
      <c r="G2165" s="193"/>
      <c r="H2165" s="254"/>
      <c r="I2165" s="1179">
        <f t="shared" ref="I2165:T2165" si="1854">SUMIF($V$672:$V$675,$B2141&amp;"contratada",I$672:I$675)</f>
        <v>0</v>
      </c>
      <c r="J2165" s="1283">
        <f t="shared" si="1854"/>
        <v>0</v>
      </c>
      <c r="K2165" s="1283">
        <f t="shared" si="1854"/>
        <v>0</v>
      </c>
      <c r="L2165" s="1283">
        <f t="shared" si="1854"/>
        <v>0</v>
      </c>
      <c r="M2165" s="1283">
        <f t="shared" si="1854"/>
        <v>0</v>
      </c>
      <c r="N2165" s="1283">
        <f t="shared" si="1854"/>
        <v>0</v>
      </c>
      <c r="O2165" s="1283">
        <f t="shared" si="1854"/>
        <v>0</v>
      </c>
      <c r="P2165" s="1283">
        <f t="shared" si="1854"/>
        <v>0</v>
      </c>
      <c r="Q2165" s="1283">
        <f t="shared" si="1854"/>
        <v>0</v>
      </c>
      <c r="R2165" s="1283">
        <f t="shared" si="1854"/>
        <v>0</v>
      </c>
      <c r="S2165" s="1283">
        <f t="shared" si="1854"/>
        <v>0</v>
      </c>
      <c r="T2165" s="1601">
        <f t="shared" si="1854"/>
        <v>0</v>
      </c>
    </row>
    <row r="2166" spans="2:31" ht="13.75" hidden="1" customHeight="1" x14ac:dyDescent="0.2">
      <c r="B2166" s="1665"/>
      <c r="C2166" s="193"/>
      <c r="D2166" s="193"/>
      <c r="E2166" s="193"/>
      <c r="F2166" s="193"/>
      <c r="G2166" s="193"/>
      <c r="H2166" s="254"/>
      <c r="I2166" s="1179">
        <f t="shared" ref="I2166:T2166" si="1855">SUMIF($V$672:$V$675,$B2142&amp;"contratada",I$672:I$675)</f>
        <v>0</v>
      </c>
      <c r="J2166" s="1283">
        <f t="shared" si="1855"/>
        <v>0</v>
      </c>
      <c r="K2166" s="1283">
        <f t="shared" si="1855"/>
        <v>0</v>
      </c>
      <c r="L2166" s="1283">
        <f t="shared" si="1855"/>
        <v>0</v>
      </c>
      <c r="M2166" s="1283">
        <f t="shared" si="1855"/>
        <v>0</v>
      </c>
      <c r="N2166" s="1283">
        <f t="shared" si="1855"/>
        <v>0</v>
      </c>
      <c r="O2166" s="1283">
        <f t="shared" si="1855"/>
        <v>0</v>
      </c>
      <c r="P2166" s="1283">
        <f t="shared" si="1855"/>
        <v>0</v>
      </c>
      <c r="Q2166" s="1283">
        <f t="shared" si="1855"/>
        <v>0</v>
      </c>
      <c r="R2166" s="1283">
        <f t="shared" si="1855"/>
        <v>0</v>
      </c>
      <c r="S2166" s="1283">
        <f t="shared" si="1855"/>
        <v>0</v>
      </c>
      <c r="T2166" s="1601">
        <f t="shared" si="1855"/>
        <v>0</v>
      </c>
    </row>
    <row r="2167" spans="2:31" ht="13.75" hidden="1" customHeight="1" x14ac:dyDescent="0.2">
      <c r="B2167" s="1665"/>
      <c r="C2167" s="193"/>
      <c r="D2167" s="193"/>
      <c r="E2167" s="193"/>
      <c r="F2167" s="193"/>
      <c r="G2167" s="193"/>
      <c r="H2167" s="254"/>
      <c r="I2167" s="1179">
        <f t="shared" ref="I2167:T2167" si="1856">SUMIF($V$672:$V$675,$B2143&amp;"contratada",I$672:I$675)</f>
        <v>0</v>
      </c>
      <c r="J2167" s="1283">
        <f t="shared" si="1856"/>
        <v>0</v>
      </c>
      <c r="K2167" s="1283">
        <f t="shared" si="1856"/>
        <v>0</v>
      </c>
      <c r="L2167" s="1283">
        <f t="shared" si="1856"/>
        <v>0</v>
      </c>
      <c r="M2167" s="1283">
        <f t="shared" si="1856"/>
        <v>0</v>
      </c>
      <c r="N2167" s="1283">
        <f t="shared" si="1856"/>
        <v>0</v>
      </c>
      <c r="O2167" s="1283">
        <f t="shared" si="1856"/>
        <v>0</v>
      </c>
      <c r="P2167" s="1283">
        <f t="shared" si="1856"/>
        <v>0</v>
      </c>
      <c r="Q2167" s="1283">
        <f t="shared" si="1856"/>
        <v>0</v>
      </c>
      <c r="R2167" s="1283">
        <f t="shared" si="1856"/>
        <v>0</v>
      </c>
      <c r="S2167" s="1283">
        <f t="shared" si="1856"/>
        <v>0</v>
      </c>
      <c r="T2167" s="1601">
        <f t="shared" si="1856"/>
        <v>0</v>
      </c>
    </row>
    <row r="2168" spans="2:31" ht="13.75" hidden="1" customHeight="1" x14ac:dyDescent="0.2">
      <c r="B2168" s="1665"/>
      <c r="C2168" s="193"/>
      <c r="D2168" s="193"/>
      <c r="E2168" s="193"/>
      <c r="F2168" s="193"/>
      <c r="G2168" s="193"/>
      <c r="H2168" s="254"/>
      <c r="I2168" s="1179">
        <f t="shared" ref="I2168:T2168" si="1857">SUMIF($V$672:$V$675,$B2144&amp;"contratada",I$672:I$675)</f>
        <v>0</v>
      </c>
      <c r="J2168" s="1283">
        <f t="shared" si="1857"/>
        <v>0</v>
      </c>
      <c r="K2168" s="1283">
        <f t="shared" si="1857"/>
        <v>0</v>
      </c>
      <c r="L2168" s="1283">
        <f t="shared" si="1857"/>
        <v>0</v>
      </c>
      <c r="M2168" s="1283">
        <f t="shared" si="1857"/>
        <v>0</v>
      </c>
      <c r="N2168" s="1283">
        <f t="shared" si="1857"/>
        <v>0</v>
      </c>
      <c r="O2168" s="1283">
        <f t="shared" si="1857"/>
        <v>0</v>
      </c>
      <c r="P2168" s="1283">
        <f t="shared" si="1857"/>
        <v>0</v>
      </c>
      <c r="Q2168" s="1283">
        <f t="shared" si="1857"/>
        <v>0</v>
      </c>
      <c r="R2168" s="1283">
        <f t="shared" si="1857"/>
        <v>0</v>
      </c>
      <c r="S2168" s="1283">
        <f t="shared" si="1857"/>
        <v>0</v>
      </c>
      <c r="T2168" s="1601">
        <f t="shared" si="1857"/>
        <v>0</v>
      </c>
    </row>
    <row r="2169" spans="2:31" ht="13.75" hidden="1" customHeight="1" x14ac:dyDescent="0.2">
      <c r="B2169" s="1665"/>
      <c r="C2169" s="193"/>
      <c r="D2169" s="193"/>
      <c r="E2169" s="193"/>
      <c r="F2169" s="193"/>
      <c r="G2169" s="193"/>
      <c r="H2169" s="254"/>
      <c r="I2169" s="1179">
        <f t="shared" ref="I2169:T2169" si="1858">SUMIF($V$672:$V$675,$B2145&amp;"contratada",I$672:I$675)</f>
        <v>0</v>
      </c>
      <c r="J2169" s="1283">
        <f t="shared" si="1858"/>
        <v>0</v>
      </c>
      <c r="K2169" s="1283">
        <f t="shared" si="1858"/>
        <v>0</v>
      </c>
      <c r="L2169" s="1283">
        <f t="shared" si="1858"/>
        <v>0</v>
      </c>
      <c r="M2169" s="1283">
        <f t="shared" si="1858"/>
        <v>0</v>
      </c>
      <c r="N2169" s="1283">
        <f t="shared" si="1858"/>
        <v>0</v>
      </c>
      <c r="O2169" s="1283">
        <f t="shared" si="1858"/>
        <v>0</v>
      </c>
      <c r="P2169" s="1283">
        <f t="shared" si="1858"/>
        <v>0</v>
      </c>
      <c r="Q2169" s="1283">
        <f t="shared" si="1858"/>
        <v>0</v>
      </c>
      <c r="R2169" s="1283">
        <f t="shared" si="1858"/>
        <v>0</v>
      </c>
      <c r="S2169" s="1283">
        <f t="shared" si="1858"/>
        <v>0</v>
      </c>
      <c r="T2169" s="1601">
        <f t="shared" si="1858"/>
        <v>0</v>
      </c>
    </row>
    <row r="2170" spans="2:31" ht="13.75" hidden="1" customHeight="1" x14ac:dyDescent="0.2">
      <c r="B2170" s="1665"/>
      <c r="C2170" s="193"/>
      <c r="D2170" s="193"/>
      <c r="E2170" s="193"/>
      <c r="F2170" s="193"/>
      <c r="G2170" s="193"/>
      <c r="H2170" s="254"/>
      <c r="I2170" s="1179">
        <f t="shared" ref="I2170:T2170" si="1859">SUMIF($V$672:$V$675,$B2146&amp;"contratada",I$672:I$675)</f>
        <v>0</v>
      </c>
      <c r="J2170" s="1283">
        <f t="shared" si="1859"/>
        <v>0</v>
      </c>
      <c r="K2170" s="1283">
        <f t="shared" si="1859"/>
        <v>0</v>
      </c>
      <c r="L2170" s="1283">
        <f t="shared" si="1859"/>
        <v>0</v>
      </c>
      <c r="M2170" s="1283">
        <f t="shared" si="1859"/>
        <v>0</v>
      </c>
      <c r="N2170" s="1283">
        <f t="shared" si="1859"/>
        <v>0</v>
      </c>
      <c r="O2170" s="1283">
        <f t="shared" si="1859"/>
        <v>0</v>
      </c>
      <c r="P2170" s="1283">
        <f t="shared" si="1859"/>
        <v>0</v>
      </c>
      <c r="Q2170" s="1283">
        <f t="shared" si="1859"/>
        <v>0</v>
      </c>
      <c r="R2170" s="1283">
        <f t="shared" si="1859"/>
        <v>0</v>
      </c>
      <c r="S2170" s="1283">
        <f t="shared" si="1859"/>
        <v>0</v>
      </c>
      <c r="T2170" s="1601">
        <f t="shared" si="1859"/>
        <v>0</v>
      </c>
    </row>
    <row r="2171" spans="2:31" ht="13.75" hidden="1" customHeight="1" x14ac:dyDescent="0.2">
      <c r="B2171" s="1665"/>
      <c r="C2171" s="193"/>
      <c r="D2171" s="193"/>
      <c r="E2171" s="193"/>
      <c r="F2171" s="193"/>
      <c r="G2171" s="193"/>
      <c r="H2171" s="254"/>
      <c r="I2171" s="1179">
        <f t="shared" ref="I2171:T2171" si="1860">SUMIF($V$672:$V$675,$B2147&amp;"contratada",I$672:I$675)</f>
        <v>0</v>
      </c>
      <c r="J2171" s="1283">
        <f t="shared" si="1860"/>
        <v>0</v>
      </c>
      <c r="K2171" s="1283">
        <f t="shared" si="1860"/>
        <v>0</v>
      </c>
      <c r="L2171" s="1283">
        <f t="shared" si="1860"/>
        <v>0</v>
      </c>
      <c r="M2171" s="1283">
        <f t="shared" si="1860"/>
        <v>0</v>
      </c>
      <c r="N2171" s="1283">
        <f t="shared" si="1860"/>
        <v>0</v>
      </c>
      <c r="O2171" s="1283">
        <f t="shared" si="1860"/>
        <v>0</v>
      </c>
      <c r="P2171" s="1283">
        <f t="shared" si="1860"/>
        <v>0</v>
      </c>
      <c r="Q2171" s="1283">
        <f t="shared" si="1860"/>
        <v>0</v>
      </c>
      <c r="R2171" s="1283">
        <f t="shared" si="1860"/>
        <v>0</v>
      </c>
      <c r="S2171" s="1283">
        <f t="shared" si="1860"/>
        <v>0</v>
      </c>
      <c r="T2171" s="1601">
        <f t="shared" si="1860"/>
        <v>0</v>
      </c>
    </row>
    <row r="2172" spans="2:31" ht="13.75" hidden="1" customHeight="1" x14ac:dyDescent="0.2">
      <c r="B2172" s="1665"/>
      <c r="C2172" s="193"/>
      <c r="D2172" s="193"/>
      <c r="E2172" s="193"/>
      <c r="F2172" s="193"/>
      <c r="G2172" s="193"/>
      <c r="H2172" s="254"/>
      <c r="I2172" s="1179">
        <f t="shared" ref="I2172:T2172" si="1861">SUMIF($V$672:$V$675,$B2148&amp;"contratada",I$672:I$675)</f>
        <v>0</v>
      </c>
      <c r="J2172" s="1283">
        <f t="shared" si="1861"/>
        <v>0</v>
      </c>
      <c r="K2172" s="1283">
        <f t="shared" si="1861"/>
        <v>0</v>
      </c>
      <c r="L2172" s="1283">
        <f t="shared" si="1861"/>
        <v>0</v>
      </c>
      <c r="M2172" s="1283">
        <f t="shared" si="1861"/>
        <v>0</v>
      </c>
      <c r="N2172" s="1283">
        <f t="shared" si="1861"/>
        <v>0</v>
      </c>
      <c r="O2172" s="1283">
        <f t="shared" si="1861"/>
        <v>0</v>
      </c>
      <c r="P2172" s="1283">
        <f t="shared" si="1861"/>
        <v>0</v>
      </c>
      <c r="Q2172" s="1283">
        <f t="shared" si="1861"/>
        <v>0</v>
      </c>
      <c r="R2172" s="1283">
        <f t="shared" si="1861"/>
        <v>0</v>
      </c>
      <c r="S2172" s="1283">
        <f t="shared" si="1861"/>
        <v>0</v>
      </c>
      <c r="T2172" s="1601">
        <f t="shared" si="1861"/>
        <v>0</v>
      </c>
    </row>
    <row r="2173" spans="2:31" ht="14.4" hidden="1" customHeight="1" thickBot="1" x14ac:dyDescent="0.25">
      <c r="B2173" s="1665"/>
      <c r="C2173" s="193"/>
      <c r="D2173" s="193"/>
      <c r="E2173" s="193"/>
      <c r="F2173" s="193"/>
      <c r="G2173" s="193"/>
      <c r="H2173" s="254"/>
      <c r="I2173" s="377">
        <f t="shared" ref="I2173:T2173" si="1862">SUMIF($V$672:$V$675,$B2149&amp;"contratada",I$672:I$675)</f>
        <v>0</v>
      </c>
      <c r="J2173" s="1200">
        <f t="shared" si="1862"/>
        <v>0</v>
      </c>
      <c r="K2173" s="1200">
        <f t="shared" si="1862"/>
        <v>0</v>
      </c>
      <c r="L2173" s="1200">
        <f t="shared" si="1862"/>
        <v>0</v>
      </c>
      <c r="M2173" s="1200">
        <f t="shared" si="1862"/>
        <v>0</v>
      </c>
      <c r="N2173" s="1200">
        <f t="shared" si="1862"/>
        <v>0</v>
      </c>
      <c r="O2173" s="1200">
        <f t="shared" si="1862"/>
        <v>0</v>
      </c>
      <c r="P2173" s="1200">
        <f t="shared" si="1862"/>
        <v>0</v>
      </c>
      <c r="Q2173" s="1200">
        <f t="shared" si="1862"/>
        <v>0</v>
      </c>
      <c r="R2173" s="1200">
        <f t="shared" si="1862"/>
        <v>0</v>
      </c>
      <c r="S2173" s="1200">
        <f t="shared" si="1862"/>
        <v>0</v>
      </c>
      <c r="T2173" s="1718">
        <f t="shared" si="1862"/>
        <v>0</v>
      </c>
    </row>
    <row r="2174" spans="2:31" ht="13.75" hidden="1" customHeight="1" x14ac:dyDescent="0.2">
      <c r="B2174" s="1732" t="s">
        <v>705</v>
      </c>
      <c r="C2174" s="1733"/>
      <c r="D2174" s="1733"/>
      <c r="E2174" s="1733"/>
      <c r="F2174" s="1733"/>
      <c r="G2174" s="1734" t="s">
        <v>1596</v>
      </c>
      <c r="H2174" s="1532"/>
      <c r="I2174" s="1735">
        <f>+SUMPRODUCT(I2160:I2173,$C$2136:$C$2149)</f>
        <v>0</v>
      </c>
      <c r="J2174" s="1736">
        <f t="shared" ref="J2174:T2174" si="1863">+SUMPRODUCT(J2160:J2173,$C$2160:$C$2173)</f>
        <v>0</v>
      </c>
      <c r="K2174" s="1736">
        <f t="shared" si="1863"/>
        <v>0</v>
      </c>
      <c r="L2174" s="1736">
        <f t="shared" si="1863"/>
        <v>0</v>
      </c>
      <c r="M2174" s="1736">
        <f t="shared" si="1863"/>
        <v>0</v>
      </c>
      <c r="N2174" s="1736">
        <f t="shared" si="1863"/>
        <v>0</v>
      </c>
      <c r="O2174" s="1736">
        <f t="shared" si="1863"/>
        <v>0</v>
      </c>
      <c r="P2174" s="1736">
        <f t="shared" si="1863"/>
        <v>0</v>
      </c>
      <c r="Q2174" s="1736">
        <f t="shared" si="1863"/>
        <v>0</v>
      </c>
      <c r="R2174" s="1736">
        <f t="shared" si="1863"/>
        <v>0</v>
      </c>
      <c r="S2174" s="1736">
        <f t="shared" si="1863"/>
        <v>0</v>
      </c>
      <c r="T2174" s="1737">
        <f t="shared" si="1863"/>
        <v>0</v>
      </c>
      <c r="Y2174" s="359"/>
      <c r="AE2174" s="232"/>
    </row>
    <row r="2175" spans="2:31" ht="13.75" hidden="1" customHeight="1" x14ac:dyDescent="0.2">
      <c r="B2175" s="1728"/>
      <c r="C2175" s="970"/>
      <c r="D2175" s="970"/>
      <c r="E2175" s="970"/>
      <c r="F2175" s="970"/>
      <c r="G2175" s="982" t="s">
        <v>698</v>
      </c>
      <c r="I2175" s="1725">
        <f t="shared" ref="I2175:T2175" si="1864">IFERROR(I2174*I2158/I2157,0)</f>
        <v>0</v>
      </c>
      <c r="J2175" s="1726">
        <f t="shared" si="1864"/>
        <v>0</v>
      </c>
      <c r="K2175" s="1726">
        <f t="shared" si="1864"/>
        <v>0</v>
      </c>
      <c r="L2175" s="1726">
        <f t="shared" si="1864"/>
        <v>0</v>
      </c>
      <c r="M2175" s="1726">
        <f t="shared" si="1864"/>
        <v>0</v>
      </c>
      <c r="N2175" s="1726">
        <f t="shared" si="1864"/>
        <v>0</v>
      </c>
      <c r="O2175" s="1726">
        <f t="shared" si="1864"/>
        <v>0</v>
      </c>
      <c r="P2175" s="1726">
        <f t="shared" si="1864"/>
        <v>0</v>
      </c>
      <c r="Q2175" s="1726">
        <f t="shared" si="1864"/>
        <v>0</v>
      </c>
      <c r="R2175" s="1726">
        <f t="shared" si="1864"/>
        <v>0</v>
      </c>
      <c r="S2175" s="1726">
        <f t="shared" si="1864"/>
        <v>0</v>
      </c>
      <c r="T2175" s="1727">
        <f t="shared" si="1864"/>
        <v>0</v>
      </c>
      <c r="Y2175" s="359"/>
      <c r="AE2175" s="232"/>
    </row>
    <row r="2176" spans="2:31" ht="14.4" hidden="1" customHeight="1" thickBot="1" x14ac:dyDescent="0.25">
      <c r="B2176" s="1728"/>
      <c r="C2176" s="970"/>
      <c r="D2176" s="970"/>
      <c r="E2176" s="970"/>
      <c r="F2176" s="970"/>
      <c r="G2176" s="982" t="s">
        <v>699</v>
      </c>
      <c r="I2176" s="1729">
        <f t="shared" ref="I2176:T2176" si="1865">+I2174-I2175</f>
        <v>0</v>
      </c>
      <c r="J2176" s="1730">
        <f t="shared" si="1865"/>
        <v>0</v>
      </c>
      <c r="K2176" s="1730">
        <f t="shared" si="1865"/>
        <v>0</v>
      </c>
      <c r="L2176" s="1730">
        <f t="shared" si="1865"/>
        <v>0</v>
      </c>
      <c r="M2176" s="1730">
        <f t="shared" si="1865"/>
        <v>0</v>
      </c>
      <c r="N2176" s="1730">
        <f t="shared" si="1865"/>
        <v>0</v>
      </c>
      <c r="O2176" s="1730">
        <f t="shared" si="1865"/>
        <v>0</v>
      </c>
      <c r="P2176" s="1730">
        <f t="shared" si="1865"/>
        <v>0</v>
      </c>
      <c r="Q2176" s="1730">
        <f t="shared" si="1865"/>
        <v>0</v>
      </c>
      <c r="R2176" s="1730">
        <f t="shared" si="1865"/>
        <v>0</v>
      </c>
      <c r="S2176" s="1730">
        <f t="shared" si="1865"/>
        <v>0</v>
      </c>
      <c r="T2176" s="1731">
        <f t="shared" si="1865"/>
        <v>0</v>
      </c>
      <c r="Y2176" s="359"/>
      <c r="AE2176" s="232"/>
    </row>
    <row r="2177" spans="2:20" ht="14.4" hidden="1" customHeight="1" thickTop="1" x14ac:dyDescent="0.2">
      <c r="B2177" s="1724" t="s">
        <v>812</v>
      </c>
      <c r="C2177" s="1194"/>
      <c r="D2177" s="1194"/>
      <c r="E2177" s="1194"/>
      <c r="F2177" s="1210"/>
      <c r="G2177" s="1641" t="s">
        <v>813</v>
      </c>
      <c r="H2177" s="1210"/>
      <c r="I2177" s="1667">
        <f t="shared" ref="I2177:T2177" si="1866">SUMPRODUCT(I673:I675,$F$673:$F$675)</f>
        <v>0</v>
      </c>
      <c r="J2177" s="1668">
        <f t="shared" si="1866"/>
        <v>0</v>
      </c>
      <c r="K2177" s="1668">
        <f t="shared" si="1866"/>
        <v>0</v>
      </c>
      <c r="L2177" s="1668">
        <f t="shared" si="1866"/>
        <v>0</v>
      </c>
      <c r="M2177" s="1668">
        <f t="shared" si="1866"/>
        <v>0</v>
      </c>
      <c r="N2177" s="1668">
        <f t="shared" si="1866"/>
        <v>0</v>
      </c>
      <c r="O2177" s="1668">
        <f t="shared" si="1866"/>
        <v>0</v>
      </c>
      <c r="P2177" s="1668">
        <f t="shared" si="1866"/>
        <v>0</v>
      </c>
      <c r="Q2177" s="1668">
        <f t="shared" si="1866"/>
        <v>0</v>
      </c>
      <c r="R2177" s="1668">
        <f t="shared" si="1866"/>
        <v>0</v>
      </c>
      <c r="S2177" s="1668">
        <f t="shared" si="1866"/>
        <v>0</v>
      </c>
      <c r="T2177" s="1704">
        <f t="shared" si="1866"/>
        <v>0</v>
      </c>
    </row>
    <row r="2178" spans="2:20" ht="13.75" hidden="1" customHeight="1" x14ac:dyDescent="0.2">
      <c r="B2178" s="1594"/>
      <c r="C2178" s="193"/>
      <c r="D2178" s="193"/>
      <c r="E2178" s="193"/>
      <c r="F2178" s="193"/>
      <c r="G2178" s="254" t="s">
        <v>698</v>
      </c>
      <c r="H2178" s="254"/>
      <c r="I2178" s="1179">
        <f t="shared" ref="I2178:T2178" si="1867">IFERROR(I2177*(I2158/I2157),0)</f>
        <v>0</v>
      </c>
      <c r="J2178" s="1283">
        <f t="shared" si="1867"/>
        <v>0</v>
      </c>
      <c r="K2178" s="1283">
        <f t="shared" si="1867"/>
        <v>0</v>
      </c>
      <c r="L2178" s="1283">
        <f t="shared" si="1867"/>
        <v>0</v>
      </c>
      <c r="M2178" s="1283">
        <f t="shared" si="1867"/>
        <v>0</v>
      </c>
      <c r="N2178" s="1283">
        <f t="shared" si="1867"/>
        <v>0</v>
      </c>
      <c r="O2178" s="1283">
        <f t="shared" si="1867"/>
        <v>0</v>
      </c>
      <c r="P2178" s="1283">
        <f t="shared" si="1867"/>
        <v>0</v>
      </c>
      <c r="Q2178" s="1283">
        <f t="shared" si="1867"/>
        <v>0</v>
      </c>
      <c r="R2178" s="1283">
        <f t="shared" si="1867"/>
        <v>0</v>
      </c>
      <c r="S2178" s="1283">
        <f t="shared" si="1867"/>
        <v>0</v>
      </c>
      <c r="T2178" s="1601">
        <f t="shared" si="1867"/>
        <v>0</v>
      </c>
    </row>
    <row r="2179" spans="2:20" ht="14.4" hidden="1" customHeight="1" thickBot="1" x14ac:dyDescent="0.25">
      <c r="B2179" s="1596"/>
      <c r="C2179" s="1199"/>
      <c r="D2179" s="1199"/>
      <c r="E2179" s="1199"/>
      <c r="F2179" s="1199"/>
      <c r="G2179" s="1209" t="s">
        <v>699</v>
      </c>
      <c r="H2179" s="1209"/>
      <c r="I2179" s="1654">
        <f t="shared" ref="I2179:T2179" si="1868">IFERROR(I2178*(I2159/I2157),0)</f>
        <v>0</v>
      </c>
      <c r="J2179" s="1590">
        <f t="shared" si="1868"/>
        <v>0</v>
      </c>
      <c r="K2179" s="1590">
        <f t="shared" si="1868"/>
        <v>0</v>
      </c>
      <c r="L2179" s="1590">
        <f t="shared" si="1868"/>
        <v>0</v>
      </c>
      <c r="M2179" s="1590">
        <f t="shared" si="1868"/>
        <v>0</v>
      </c>
      <c r="N2179" s="1590">
        <f t="shared" si="1868"/>
        <v>0</v>
      </c>
      <c r="O2179" s="1590">
        <f t="shared" si="1868"/>
        <v>0</v>
      </c>
      <c r="P2179" s="1590">
        <f t="shared" si="1868"/>
        <v>0</v>
      </c>
      <c r="Q2179" s="1590">
        <f t="shared" si="1868"/>
        <v>0</v>
      </c>
      <c r="R2179" s="1590">
        <f t="shared" si="1868"/>
        <v>0</v>
      </c>
      <c r="S2179" s="1590">
        <f t="shared" si="1868"/>
        <v>0</v>
      </c>
      <c r="T2179" s="1655">
        <f t="shared" si="1868"/>
        <v>0</v>
      </c>
    </row>
    <row r="2180" spans="2:20" ht="14.4" hidden="1" customHeight="1" thickTop="1" x14ac:dyDescent="0.2">
      <c r="B2180" s="1724" t="s">
        <v>797</v>
      </c>
      <c r="C2180" s="1194"/>
      <c r="D2180" s="1194"/>
      <c r="E2180" s="1581" t="str">
        <f>B676</f>
        <v>Moha</v>
      </c>
      <c r="F2180" s="232"/>
      <c r="G2180" s="1194" t="s">
        <v>791</v>
      </c>
      <c r="H2180" s="1194"/>
      <c r="I2180" s="1668">
        <f t="shared" ref="I2180:R2180" si="1869">+I2181+I2182</f>
        <v>0</v>
      </c>
      <c r="J2180" s="1668">
        <f t="shared" si="1869"/>
        <v>0</v>
      </c>
      <c r="K2180" s="1668">
        <f t="shared" si="1869"/>
        <v>0</v>
      </c>
      <c r="L2180" s="1668">
        <f t="shared" si="1869"/>
        <v>0</v>
      </c>
      <c r="M2180" s="1668">
        <f t="shared" si="1869"/>
        <v>0</v>
      </c>
      <c r="N2180" s="1668">
        <f t="shared" si="1869"/>
        <v>0</v>
      </c>
      <c r="O2180" s="1668">
        <f t="shared" si="1869"/>
        <v>0</v>
      </c>
      <c r="P2180" s="1668">
        <f t="shared" si="1869"/>
        <v>0</v>
      </c>
      <c r="Q2180" s="1668">
        <f t="shared" si="1869"/>
        <v>0</v>
      </c>
      <c r="R2180" s="1668">
        <f t="shared" si="1869"/>
        <v>0</v>
      </c>
      <c r="S2180" s="1668">
        <f>+S2181+S2182</f>
        <v>0</v>
      </c>
      <c r="T2180" s="1704">
        <f>+T2181+T2182</f>
        <v>0</v>
      </c>
    </row>
    <row r="2181" spans="2:20" ht="13.75" hidden="1" customHeight="1" x14ac:dyDescent="0.2">
      <c r="B2181" s="1594" t="s">
        <v>798</v>
      </c>
      <c r="C2181" s="193"/>
      <c r="D2181" s="193"/>
      <c r="E2181" s="193"/>
      <c r="F2181" s="232"/>
      <c r="G2181" s="193" t="s">
        <v>793</v>
      </c>
      <c r="H2181" s="193"/>
      <c r="I2181" s="1283">
        <f>VLOOKUP($E$2180,UsoSuelo!$E$1366:$Q$1377,I$2156,FALSE)</f>
        <v>0</v>
      </c>
      <c r="J2181" s="1283">
        <f>VLOOKUP($E$2180,UsoSuelo!$E$1366:$Q$1377,J$2156,FALSE)</f>
        <v>0</v>
      </c>
      <c r="K2181" s="1283">
        <f>VLOOKUP($E$2180,UsoSuelo!$E$1366:$Q$1377,K$2156,FALSE)</f>
        <v>0</v>
      </c>
      <c r="L2181" s="1283">
        <f>VLOOKUP($E$2180,UsoSuelo!$E$1366:$Q$1377,L$2156,FALSE)</f>
        <v>0</v>
      </c>
      <c r="M2181" s="1283">
        <f>VLOOKUP($E$2180,UsoSuelo!$E$1366:$Q$1377,M$2156,FALSE)</f>
        <v>0</v>
      </c>
      <c r="N2181" s="1283">
        <f>VLOOKUP($E$2180,UsoSuelo!$E$1366:$Q$1377,N$2156,FALSE)</f>
        <v>0</v>
      </c>
      <c r="O2181" s="1283">
        <f>VLOOKUP($E$2180,UsoSuelo!$E$1366:$Q$1377,O$2156,FALSE)</f>
        <v>0</v>
      </c>
      <c r="P2181" s="1283">
        <f>VLOOKUP($E$2180,UsoSuelo!$E$1366:$Q$1377,P$2156,FALSE)</f>
        <v>0</v>
      </c>
      <c r="Q2181" s="1283">
        <f>VLOOKUP($E$2180,UsoSuelo!$E$1366:$Q$1377,Q$2156,FALSE)</f>
        <v>0</v>
      </c>
      <c r="R2181" s="1283">
        <f>VLOOKUP($E$2180,UsoSuelo!$E$1366:$Q$1377,R$2156,FALSE)</f>
        <v>0</v>
      </c>
      <c r="S2181" s="1283">
        <f>VLOOKUP($E$2180,UsoSuelo!$E$1366:$Q$1377,S$2156,FALSE)</f>
        <v>0</v>
      </c>
      <c r="T2181" s="1601">
        <f>VLOOKUP($E$2180,UsoSuelo!$E$1366:$Q$1377,T$2156,FALSE)</f>
        <v>0</v>
      </c>
    </row>
    <row r="2182" spans="2:20" ht="14.4" hidden="1" customHeight="1" thickBot="1" x14ac:dyDescent="0.25">
      <c r="B2182" s="1596"/>
      <c r="C2182" s="1199"/>
      <c r="D2182" s="1199"/>
      <c r="E2182" s="1199"/>
      <c r="F2182" s="232"/>
      <c r="G2182" s="1199" t="s">
        <v>792</v>
      </c>
      <c r="H2182" s="1199"/>
      <c r="I2182" s="1590">
        <f>VLOOKUP($E$2180,UsoSuelo!$E$1383:$Q$1394,I$2156,FALSE)</f>
        <v>0</v>
      </c>
      <c r="J2182" s="1590">
        <f>VLOOKUP($E$2180,UsoSuelo!$E$1383:$Q$1394,J$2156,FALSE)</f>
        <v>0</v>
      </c>
      <c r="K2182" s="1590">
        <f>VLOOKUP($E$2180,UsoSuelo!$E$1383:$Q$1394,K$2156,FALSE)</f>
        <v>0</v>
      </c>
      <c r="L2182" s="1590">
        <f>VLOOKUP($E$2180,UsoSuelo!$E$1383:$Q$1394,L$2156,FALSE)</f>
        <v>0</v>
      </c>
      <c r="M2182" s="1590">
        <f>VLOOKUP($E$2180,UsoSuelo!$E$1383:$Q$1394,M$2156,FALSE)</f>
        <v>0</v>
      </c>
      <c r="N2182" s="1590">
        <f>VLOOKUP($E$2180,UsoSuelo!$E$1383:$Q$1394,N$2156,FALSE)</f>
        <v>0</v>
      </c>
      <c r="O2182" s="1590">
        <f>VLOOKUP($E$2180,UsoSuelo!$E$1383:$Q$1394,O$2156,FALSE)</f>
        <v>0</v>
      </c>
      <c r="P2182" s="1590">
        <f>VLOOKUP($E$2180,UsoSuelo!$E$1383:$Q$1394,P$2156,FALSE)</f>
        <v>0</v>
      </c>
      <c r="Q2182" s="1590">
        <f>VLOOKUP($E$2180,UsoSuelo!$E$1383:$Q$1394,Q$2156,FALSE)</f>
        <v>0</v>
      </c>
      <c r="R2182" s="1590">
        <f>VLOOKUP($E$2180,UsoSuelo!$E$1383:$Q$1394,R$2156,FALSE)</f>
        <v>0</v>
      </c>
      <c r="S2182" s="1590">
        <f>VLOOKUP($E$2180,UsoSuelo!$E$1383:$Q$1394,S$2156,FALSE)</f>
        <v>0</v>
      </c>
      <c r="T2182" s="1655">
        <f>VLOOKUP($E$2180,UsoSuelo!$E$1383:$Q$1394,T$2156,FALSE)</f>
        <v>0</v>
      </c>
    </row>
    <row r="2183" spans="2:20" ht="14.4" hidden="1" customHeight="1" thickTop="1" x14ac:dyDescent="0.2">
      <c r="B2183" s="1664"/>
      <c r="C2183" s="1194"/>
      <c r="D2183" s="1194"/>
      <c r="E2183" s="1194"/>
      <c r="F2183" s="1194"/>
      <c r="G2183" s="1194"/>
      <c r="H2183" s="1210"/>
      <c r="I2183" s="1667">
        <f t="shared" ref="I2183:T2183" si="1870">SUMIF($V$677:$V$680,$B2136&amp;"contratada",I$677:I$680)</f>
        <v>0</v>
      </c>
      <c r="J2183" s="1668">
        <f t="shared" si="1870"/>
        <v>0</v>
      </c>
      <c r="K2183" s="1668">
        <f t="shared" si="1870"/>
        <v>0</v>
      </c>
      <c r="L2183" s="1668">
        <f t="shared" si="1870"/>
        <v>0</v>
      </c>
      <c r="M2183" s="1668">
        <f t="shared" si="1870"/>
        <v>0</v>
      </c>
      <c r="N2183" s="1668">
        <f t="shared" si="1870"/>
        <v>0</v>
      </c>
      <c r="O2183" s="1668">
        <f t="shared" si="1870"/>
        <v>0</v>
      </c>
      <c r="P2183" s="1668">
        <f t="shared" si="1870"/>
        <v>0</v>
      </c>
      <c r="Q2183" s="1668">
        <f t="shared" si="1870"/>
        <v>0</v>
      </c>
      <c r="R2183" s="1668">
        <f t="shared" si="1870"/>
        <v>0</v>
      </c>
      <c r="S2183" s="1668">
        <f t="shared" si="1870"/>
        <v>0</v>
      </c>
      <c r="T2183" s="1704">
        <f t="shared" si="1870"/>
        <v>0</v>
      </c>
    </row>
    <row r="2184" spans="2:20" ht="13.75" hidden="1" customHeight="1" x14ac:dyDescent="0.2">
      <c r="B2184" s="1665"/>
      <c r="C2184" s="193"/>
      <c r="D2184" s="193"/>
      <c r="E2184" s="193"/>
      <c r="F2184" s="193"/>
      <c r="G2184" s="193"/>
      <c r="H2184" s="254"/>
      <c r="I2184" s="1179">
        <f t="shared" ref="I2184:T2184" si="1871">SUMIF($V$677:$V$680,$B2137&amp;"contratada",I$677:I$680)</f>
        <v>0</v>
      </c>
      <c r="J2184" s="1283">
        <f t="shared" si="1871"/>
        <v>0</v>
      </c>
      <c r="K2184" s="1283">
        <f t="shared" si="1871"/>
        <v>0</v>
      </c>
      <c r="L2184" s="1283">
        <f t="shared" si="1871"/>
        <v>0</v>
      </c>
      <c r="M2184" s="1283">
        <f t="shared" si="1871"/>
        <v>0</v>
      </c>
      <c r="N2184" s="1283">
        <f t="shared" si="1871"/>
        <v>0</v>
      </c>
      <c r="O2184" s="1283">
        <f t="shared" si="1871"/>
        <v>0</v>
      </c>
      <c r="P2184" s="1283">
        <f t="shared" si="1871"/>
        <v>0</v>
      </c>
      <c r="Q2184" s="1283">
        <f t="shared" si="1871"/>
        <v>0</v>
      </c>
      <c r="R2184" s="1283">
        <f t="shared" si="1871"/>
        <v>0</v>
      </c>
      <c r="S2184" s="1283">
        <f t="shared" si="1871"/>
        <v>0</v>
      </c>
      <c r="T2184" s="1601">
        <f t="shared" si="1871"/>
        <v>0</v>
      </c>
    </row>
    <row r="2185" spans="2:20" ht="13.75" hidden="1" customHeight="1" x14ac:dyDescent="0.2">
      <c r="B2185" s="1665"/>
      <c r="C2185" s="193"/>
      <c r="D2185" s="193"/>
      <c r="E2185" s="193"/>
      <c r="F2185" s="193"/>
      <c r="G2185" s="193"/>
      <c r="H2185" s="254"/>
      <c r="I2185" s="1179">
        <f t="shared" ref="I2185:T2185" si="1872">SUMIF($V$677:$V$680,$B2138&amp;"contratada",I$677:I$680)</f>
        <v>0</v>
      </c>
      <c r="J2185" s="1283">
        <f t="shared" si="1872"/>
        <v>0</v>
      </c>
      <c r="K2185" s="1283">
        <f t="shared" si="1872"/>
        <v>0</v>
      </c>
      <c r="L2185" s="1283">
        <f t="shared" si="1872"/>
        <v>0</v>
      </c>
      <c r="M2185" s="1283">
        <f t="shared" si="1872"/>
        <v>0</v>
      </c>
      <c r="N2185" s="1283">
        <f t="shared" si="1872"/>
        <v>0</v>
      </c>
      <c r="O2185" s="1283">
        <f t="shared" si="1872"/>
        <v>0</v>
      </c>
      <c r="P2185" s="1283">
        <f t="shared" si="1872"/>
        <v>0</v>
      </c>
      <c r="Q2185" s="1283">
        <f t="shared" si="1872"/>
        <v>0</v>
      </c>
      <c r="R2185" s="1283">
        <f t="shared" si="1872"/>
        <v>0</v>
      </c>
      <c r="S2185" s="1283">
        <f t="shared" si="1872"/>
        <v>0</v>
      </c>
      <c r="T2185" s="1601">
        <f t="shared" si="1872"/>
        <v>0</v>
      </c>
    </row>
    <row r="2186" spans="2:20" ht="13.75" hidden="1" customHeight="1" x14ac:dyDescent="0.2">
      <c r="B2186" s="1665"/>
      <c r="C2186" s="193"/>
      <c r="D2186" s="193"/>
      <c r="E2186" s="193"/>
      <c r="F2186" s="193"/>
      <c r="G2186" s="193"/>
      <c r="H2186" s="254"/>
      <c r="I2186" s="1179">
        <f t="shared" ref="I2186:T2186" si="1873">SUMIF($V$677:$V$680,$B2139&amp;"contratada",I$677:I$680)</f>
        <v>0</v>
      </c>
      <c r="J2186" s="1283">
        <f t="shared" si="1873"/>
        <v>0</v>
      </c>
      <c r="K2186" s="1283">
        <f t="shared" si="1873"/>
        <v>0</v>
      </c>
      <c r="L2186" s="1283">
        <f t="shared" si="1873"/>
        <v>0</v>
      </c>
      <c r="M2186" s="1283">
        <f t="shared" si="1873"/>
        <v>0</v>
      </c>
      <c r="N2186" s="1283">
        <f t="shared" si="1873"/>
        <v>0</v>
      </c>
      <c r="O2186" s="1283">
        <f t="shared" si="1873"/>
        <v>0</v>
      </c>
      <c r="P2186" s="1283">
        <f t="shared" si="1873"/>
        <v>0</v>
      </c>
      <c r="Q2186" s="1283">
        <f t="shared" si="1873"/>
        <v>0</v>
      </c>
      <c r="R2186" s="1283">
        <f t="shared" si="1873"/>
        <v>0</v>
      </c>
      <c r="S2186" s="1283">
        <f t="shared" si="1873"/>
        <v>0</v>
      </c>
      <c r="T2186" s="1601">
        <f t="shared" si="1873"/>
        <v>0</v>
      </c>
    </row>
    <row r="2187" spans="2:20" ht="13.75" hidden="1" customHeight="1" x14ac:dyDescent="0.2">
      <c r="B2187" s="1665"/>
      <c r="C2187" s="193"/>
      <c r="D2187" s="193"/>
      <c r="E2187" s="193"/>
      <c r="F2187" s="193"/>
      <c r="G2187" s="193"/>
      <c r="H2187" s="254"/>
      <c r="I2187" s="1179">
        <f t="shared" ref="I2187:T2187" si="1874">SUMIF($V$677:$V$680,$B2140&amp;"contratada",I$677:I$680)</f>
        <v>0</v>
      </c>
      <c r="J2187" s="1283">
        <f t="shared" si="1874"/>
        <v>0</v>
      </c>
      <c r="K2187" s="1283">
        <f t="shared" si="1874"/>
        <v>0</v>
      </c>
      <c r="L2187" s="1283">
        <f t="shared" si="1874"/>
        <v>0</v>
      </c>
      <c r="M2187" s="1283">
        <f t="shared" si="1874"/>
        <v>0</v>
      </c>
      <c r="N2187" s="1283">
        <f t="shared" si="1874"/>
        <v>0</v>
      </c>
      <c r="O2187" s="1283">
        <f t="shared" si="1874"/>
        <v>0</v>
      </c>
      <c r="P2187" s="1283">
        <f t="shared" si="1874"/>
        <v>0</v>
      </c>
      <c r="Q2187" s="1283">
        <f t="shared" si="1874"/>
        <v>0</v>
      </c>
      <c r="R2187" s="1283">
        <f t="shared" si="1874"/>
        <v>0</v>
      </c>
      <c r="S2187" s="1283">
        <f t="shared" si="1874"/>
        <v>0</v>
      </c>
      <c r="T2187" s="1601">
        <f t="shared" si="1874"/>
        <v>0</v>
      </c>
    </row>
    <row r="2188" spans="2:20" ht="13.75" hidden="1" customHeight="1" x14ac:dyDescent="0.2">
      <c r="B2188" s="1665"/>
      <c r="C2188" s="193"/>
      <c r="D2188" s="193"/>
      <c r="E2188" s="193"/>
      <c r="F2188" s="193"/>
      <c r="G2188" s="193"/>
      <c r="H2188" s="254"/>
      <c r="I2188" s="1179">
        <f t="shared" ref="I2188:T2188" si="1875">SUMIF($V$677:$V$680,$B2141&amp;"contratada",I$677:I$680)</f>
        <v>0</v>
      </c>
      <c r="J2188" s="1283">
        <f t="shared" si="1875"/>
        <v>0</v>
      </c>
      <c r="K2188" s="1283">
        <f t="shared" si="1875"/>
        <v>0</v>
      </c>
      <c r="L2188" s="1283">
        <f t="shared" si="1875"/>
        <v>0</v>
      </c>
      <c r="M2188" s="1283">
        <f t="shared" si="1875"/>
        <v>0</v>
      </c>
      <c r="N2188" s="1283">
        <f t="shared" si="1875"/>
        <v>0</v>
      </c>
      <c r="O2188" s="1283">
        <f t="shared" si="1875"/>
        <v>0</v>
      </c>
      <c r="P2188" s="1283">
        <f t="shared" si="1875"/>
        <v>0</v>
      </c>
      <c r="Q2188" s="1283">
        <f t="shared" si="1875"/>
        <v>0</v>
      </c>
      <c r="R2188" s="1283">
        <f t="shared" si="1875"/>
        <v>0</v>
      </c>
      <c r="S2188" s="1283">
        <f t="shared" si="1875"/>
        <v>0</v>
      </c>
      <c r="T2188" s="1601">
        <f t="shared" si="1875"/>
        <v>0</v>
      </c>
    </row>
    <row r="2189" spans="2:20" ht="13.75" hidden="1" customHeight="1" x14ac:dyDescent="0.2">
      <c r="B2189" s="1665"/>
      <c r="C2189" s="193"/>
      <c r="D2189" s="193"/>
      <c r="E2189" s="193"/>
      <c r="F2189" s="193"/>
      <c r="G2189" s="193"/>
      <c r="H2189" s="254"/>
      <c r="I2189" s="1179">
        <f t="shared" ref="I2189:T2189" si="1876">SUMIF($V$677:$V$680,$B2142&amp;"contratada",I$677:I$680)</f>
        <v>0</v>
      </c>
      <c r="J2189" s="1283">
        <f t="shared" si="1876"/>
        <v>0</v>
      </c>
      <c r="K2189" s="1283">
        <f t="shared" si="1876"/>
        <v>0</v>
      </c>
      <c r="L2189" s="1283">
        <f t="shared" si="1876"/>
        <v>0</v>
      </c>
      <c r="M2189" s="1283">
        <f t="shared" si="1876"/>
        <v>0</v>
      </c>
      <c r="N2189" s="1283">
        <f t="shared" si="1876"/>
        <v>0</v>
      </c>
      <c r="O2189" s="1283">
        <f t="shared" si="1876"/>
        <v>0</v>
      </c>
      <c r="P2189" s="1283">
        <f t="shared" si="1876"/>
        <v>0</v>
      </c>
      <c r="Q2189" s="1283">
        <f t="shared" si="1876"/>
        <v>0</v>
      </c>
      <c r="R2189" s="1283">
        <f t="shared" si="1876"/>
        <v>0</v>
      </c>
      <c r="S2189" s="1283">
        <f t="shared" si="1876"/>
        <v>0</v>
      </c>
      <c r="T2189" s="1601">
        <f t="shared" si="1876"/>
        <v>0</v>
      </c>
    </row>
    <row r="2190" spans="2:20" ht="13.75" hidden="1" customHeight="1" x14ac:dyDescent="0.2">
      <c r="B2190" s="1665"/>
      <c r="C2190" s="193"/>
      <c r="D2190" s="193"/>
      <c r="E2190" s="193"/>
      <c r="F2190" s="193"/>
      <c r="G2190" s="193"/>
      <c r="H2190" s="254"/>
      <c r="I2190" s="1179">
        <f t="shared" ref="I2190:T2190" si="1877">SUMIF($V$677:$V$680,$B2143&amp;"contratada",I$677:I$680)</f>
        <v>0</v>
      </c>
      <c r="J2190" s="1283">
        <f t="shared" si="1877"/>
        <v>0</v>
      </c>
      <c r="K2190" s="1283">
        <f t="shared" si="1877"/>
        <v>0</v>
      </c>
      <c r="L2190" s="1283">
        <f t="shared" si="1877"/>
        <v>0</v>
      </c>
      <c r="M2190" s="1283">
        <f t="shared" si="1877"/>
        <v>0</v>
      </c>
      <c r="N2190" s="1283">
        <f t="shared" si="1877"/>
        <v>0</v>
      </c>
      <c r="O2190" s="1283">
        <f t="shared" si="1877"/>
        <v>0</v>
      </c>
      <c r="P2190" s="1283">
        <f t="shared" si="1877"/>
        <v>0</v>
      </c>
      <c r="Q2190" s="1283">
        <f t="shared" si="1877"/>
        <v>0</v>
      </c>
      <c r="R2190" s="1283">
        <f t="shared" si="1877"/>
        <v>0</v>
      </c>
      <c r="S2190" s="1283">
        <f t="shared" si="1877"/>
        <v>0</v>
      </c>
      <c r="T2190" s="1601">
        <f t="shared" si="1877"/>
        <v>0</v>
      </c>
    </row>
    <row r="2191" spans="2:20" ht="13.75" hidden="1" customHeight="1" x14ac:dyDescent="0.2">
      <c r="B2191" s="1665"/>
      <c r="C2191" s="193"/>
      <c r="D2191" s="193"/>
      <c r="E2191" s="193"/>
      <c r="F2191" s="193"/>
      <c r="G2191" s="193"/>
      <c r="H2191" s="254"/>
      <c r="I2191" s="1179">
        <f t="shared" ref="I2191:T2191" si="1878">SUMIF($V$677:$V$680,$B2144&amp;"contratada",I$677:I$680)</f>
        <v>0</v>
      </c>
      <c r="J2191" s="1283">
        <f t="shared" si="1878"/>
        <v>0</v>
      </c>
      <c r="K2191" s="1283">
        <f t="shared" si="1878"/>
        <v>0</v>
      </c>
      <c r="L2191" s="1283">
        <f t="shared" si="1878"/>
        <v>0</v>
      </c>
      <c r="M2191" s="1283">
        <f t="shared" si="1878"/>
        <v>0</v>
      </c>
      <c r="N2191" s="1283">
        <f t="shared" si="1878"/>
        <v>0</v>
      </c>
      <c r="O2191" s="1283">
        <f t="shared" si="1878"/>
        <v>0</v>
      </c>
      <c r="P2191" s="1283">
        <f t="shared" si="1878"/>
        <v>0</v>
      </c>
      <c r="Q2191" s="1283">
        <f t="shared" si="1878"/>
        <v>0</v>
      </c>
      <c r="R2191" s="1283">
        <f t="shared" si="1878"/>
        <v>0</v>
      </c>
      <c r="S2191" s="1283">
        <f t="shared" si="1878"/>
        <v>0</v>
      </c>
      <c r="T2191" s="1601">
        <f t="shared" si="1878"/>
        <v>0</v>
      </c>
    </row>
    <row r="2192" spans="2:20" ht="13.75" hidden="1" customHeight="1" x14ac:dyDescent="0.2">
      <c r="B2192" s="1665"/>
      <c r="C2192" s="193"/>
      <c r="D2192" s="193"/>
      <c r="E2192" s="193"/>
      <c r="F2192" s="193"/>
      <c r="G2192" s="193"/>
      <c r="H2192" s="254"/>
      <c r="I2192" s="1179">
        <f t="shared" ref="I2192:T2192" si="1879">SUMIF($V$677:$V$680,$B2145&amp;"contratada",I$677:I$680)</f>
        <v>0</v>
      </c>
      <c r="J2192" s="1283">
        <f t="shared" si="1879"/>
        <v>0</v>
      </c>
      <c r="K2192" s="1283">
        <f t="shared" si="1879"/>
        <v>0</v>
      </c>
      <c r="L2192" s="1283">
        <f t="shared" si="1879"/>
        <v>0</v>
      </c>
      <c r="M2192" s="1283">
        <f t="shared" si="1879"/>
        <v>0</v>
      </c>
      <c r="N2192" s="1283">
        <f t="shared" si="1879"/>
        <v>0</v>
      </c>
      <c r="O2192" s="1283">
        <f t="shared" si="1879"/>
        <v>0</v>
      </c>
      <c r="P2192" s="1283">
        <f t="shared" si="1879"/>
        <v>0</v>
      </c>
      <c r="Q2192" s="1283">
        <f t="shared" si="1879"/>
        <v>0</v>
      </c>
      <c r="R2192" s="1283">
        <f t="shared" si="1879"/>
        <v>0</v>
      </c>
      <c r="S2192" s="1283">
        <f t="shared" si="1879"/>
        <v>0</v>
      </c>
      <c r="T2192" s="1601">
        <f t="shared" si="1879"/>
        <v>0</v>
      </c>
    </row>
    <row r="2193" spans="2:31" ht="13.75" hidden="1" customHeight="1" x14ac:dyDescent="0.2">
      <c r="B2193" s="1665"/>
      <c r="C2193" s="193"/>
      <c r="D2193" s="193"/>
      <c r="E2193" s="193"/>
      <c r="F2193" s="193"/>
      <c r="G2193" s="193"/>
      <c r="H2193" s="254"/>
      <c r="I2193" s="1179">
        <f t="shared" ref="I2193:T2193" si="1880">SUMIF($V$677:$V$680,$B2146&amp;"contratada",I$677:I$680)</f>
        <v>0</v>
      </c>
      <c r="J2193" s="1283">
        <f t="shared" si="1880"/>
        <v>0</v>
      </c>
      <c r="K2193" s="1283">
        <f t="shared" si="1880"/>
        <v>0</v>
      </c>
      <c r="L2193" s="1283">
        <f t="shared" si="1880"/>
        <v>0</v>
      </c>
      <c r="M2193" s="1283">
        <f t="shared" si="1880"/>
        <v>0</v>
      </c>
      <c r="N2193" s="1283">
        <f t="shared" si="1880"/>
        <v>0</v>
      </c>
      <c r="O2193" s="1283">
        <f t="shared" si="1880"/>
        <v>0</v>
      </c>
      <c r="P2193" s="1283">
        <f t="shared" si="1880"/>
        <v>0</v>
      </c>
      <c r="Q2193" s="1283">
        <f t="shared" si="1880"/>
        <v>0</v>
      </c>
      <c r="R2193" s="1283">
        <f t="shared" si="1880"/>
        <v>0</v>
      </c>
      <c r="S2193" s="1283">
        <f t="shared" si="1880"/>
        <v>0</v>
      </c>
      <c r="T2193" s="1601">
        <f t="shared" si="1880"/>
        <v>0</v>
      </c>
    </row>
    <row r="2194" spans="2:31" ht="13.75" hidden="1" customHeight="1" x14ac:dyDescent="0.2">
      <c r="B2194" s="1665"/>
      <c r="C2194" s="193"/>
      <c r="D2194" s="193"/>
      <c r="E2194" s="193"/>
      <c r="F2194" s="193"/>
      <c r="G2194" s="193"/>
      <c r="H2194" s="254"/>
      <c r="I2194" s="1179">
        <f t="shared" ref="I2194:T2194" si="1881">SUMIF($V$677:$V$680,$B2147&amp;"contratada",I$677:I$680)</f>
        <v>0</v>
      </c>
      <c r="J2194" s="1283">
        <f t="shared" si="1881"/>
        <v>0</v>
      </c>
      <c r="K2194" s="1283">
        <f t="shared" si="1881"/>
        <v>0</v>
      </c>
      <c r="L2194" s="1283">
        <f t="shared" si="1881"/>
        <v>0</v>
      </c>
      <c r="M2194" s="1283">
        <f t="shared" si="1881"/>
        <v>0</v>
      </c>
      <c r="N2194" s="1283">
        <f t="shared" si="1881"/>
        <v>0</v>
      </c>
      <c r="O2194" s="1283">
        <f t="shared" si="1881"/>
        <v>0</v>
      </c>
      <c r="P2194" s="1283">
        <f t="shared" si="1881"/>
        <v>0</v>
      </c>
      <c r="Q2194" s="1283">
        <f t="shared" si="1881"/>
        <v>0</v>
      </c>
      <c r="R2194" s="1283">
        <f t="shared" si="1881"/>
        <v>0</v>
      </c>
      <c r="S2194" s="1283">
        <f t="shared" si="1881"/>
        <v>0</v>
      </c>
      <c r="T2194" s="1601">
        <f t="shared" si="1881"/>
        <v>0</v>
      </c>
    </row>
    <row r="2195" spans="2:31" ht="13.75" hidden="1" customHeight="1" x14ac:dyDescent="0.2">
      <c r="B2195" s="1665"/>
      <c r="C2195" s="193"/>
      <c r="D2195" s="193"/>
      <c r="E2195" s="193"/>
      <c r="F2195" s="193"/>
      <c r="G2195" s="193"/>
      <c r="H2195" s="254"/>
      <c r="I2195" s="1179">
        <f t="shared" ref="I2195:T2195" si="1882">SUMIF($V$677:$V$680,$B2148&amp;"contratada",I$677:I$680)</f>
        <v>0</v>
      </c>
      <c r="J2195" s="1283">
        <f t="shared" si="1882"/>
        <v>0</v>
      </c>
      <c r="K2195" s="1283">
        <f t="shared" si="1882"/>
        <v>0</v>
      </c>
      <c r="L2195" s="1283">
        <f t="shared" si="1882"/>
        <v>0</v>
      </c>
      <c r="M2195" s="1283">
        <f t="shared" si="1882"/>
        <v>0</v>
      </c>
      <c r="N2195" s="1283">
        <f t="shared" si="1882"/>
        <v>0</v>
      </c>
      <c r="O2195" s="1283">
        <f t="shared" si="1882"/>
        <v>0</v>
      </c>
      <c r="P2195" s="1283">
        <f t="shared" si="1882"/>
        <v>0</v>
      </c>
      <c r="Q2195" s="1283">
        <f t="shared" si="1882"/>
        <v>0</v>
      </c>
      <c r="R2195" s="1283">
        <f t="shared" si="1882"/>
        <v>0</v>
      </c>
      <c r="S2195" s="1283">
        <f t="shared" si="1882"/>
        <v>0</v>
      </c>
      <c r="T2195" s="1601">
        <f t="shared" si="1882"/>
        <v>0</v>
      </c>
    </row>
    <row r="2196" spans="2:31" ht="14.4" hidden="1" customHeight="1" thickBot="1" x14ac:dyDescent="0.25">
      <c r="B2196" s="1665"/>
      <c r="C2196" s="193"/>
      <c r="D2196" s="193"/>
      <c r="E2196" s="193"/>
      <c r="F2196" s="193"/>
      <c r="G2196" s="193"/>
      <c r="H2196" s="254"/>
      <c r="I2196" s="377">
        <f t="shared" ref="I2196:T2196" si="1883">SUMIF($V$677:$V$680,$B2149&amp;"contratada",I$677:I$680)</f>
        <v>0</v>
      </c>
      <c r="J2196" s="1200">
        <f t="shared" si="1883"/>
        <v>0</v>
      </c>
      <c r="K2196" s="1200">
        <f t="shared" si="1883"/>
        <v>0</v>
      </c>
      <c r="L2196" s="1200">
        <f t="shared" si="1883"/>
        <v>0</v>
      </c>
      <c r="M2196" s="1200">
        <f t="shared" si="1883"/>
        <v>0</v>
      </c>
      <c r="N2196" s="1200">
        <f t="shared" si="1883"/>
        <v>0</v>
      </c>
      <c r="O2196" s="1200">
        <f t="shared" si="1883"/>
        <v>0</v>
      </c>
      <c r="P2196" s="1200">
        <f t="shared" si="1883"/>
        <v>0</v>
      </c>
      <c r="Q2196" s="1200">
        <f t="shared" si="1883"/>
        <v>0</v>
      </c>
      <c r="R2196" s="1200">
        <f t="shared" si="1883"/>
        <v>0</v>
      </c>
      <c r="S2196" s="1200">
        <f t="shared" si="1883"/>
        <v>0</v>
      </c>
      <c r="T2196" s="1718">
        <f t="shared" si="1883"/>
        <v>0</v>
      </c>
    </row>
    <row r="2197" spans="2:31" ht="13.75" hidden="1" customHeight="1" x14ac:dyDescent="0.2">
      <c r="B2197" s="1732" t="s">
        <v>705</v>
      </c>
      <c r="C2197" s="1733"/>
      <c r="D2197" s="1733"/>
      <c r="E2197" s="1733"/>
      <c r="F2197" s="1733"/>
      <c r="G2197" s="1734"/>
      <c r="H2197" s="1532"/>
      <c r="I2197" s="1735">
        <f t="shared" ref="I2197:T2197" si="1884">+SUMPRODUCT(I2183:I2196,$C$2136:$C$2149)</f>
        <v>0</v>
      </c>
      <c r="J2197" s="1736">
        <f t="shared" si="1884"/>
        <v>0</v>
      </c>
      <c r="K2197" s="1736">
        <f t="shared" si="1884"/>
        <v>0</v>
      </c>
      <c r="L2197" s="1736">
        <f t="shared" si="1884"/>
        <v>0</v>
      </c>
      <c r="M2197" s="1736">
        <f t="shared" si="1884"/>
        <v>0</v>
      </c>
      <c r="N2197" s="1736">
        <f t="shared" si="1884"/>
        <v>0</v>
      </c>
      <c r="O2197" s="1736">
        <f t="shared" si="1884"/>
        <v>0</v>
      </c>
      <c r="P2197" s="1736">
        <f t="shared" si="1884"/>
        <v>0</v>
      </c>
      <c r="Q2197" s="1736">
        <f t="shared" si="1884"/>
        <v>0</v>
      </c>
      <c r="R2197" s="1736">
        <f t="shared" si="1884"/>
        <v>0</v>
      </c>
      <c r="S2197" s="1736">
        <f t="shared" si="1884"/>
        <v>0</v>
      </c>
      <c r="T2197" s="1737">
        <f t="shared" si="1884"/>
        <v>0</v>
      </c>
      <c r="Y2197" s="359"/>
      <c r="AE2197" s="232"/>
    </row>
    <row r="2198" spans="2:31" ht="13.75" hidden="1" customHeight="1" x14ac:dyDescent="0.2">
      <c r="B2198" s="1728"/>
      <c r="C2198" s="970"/>
      <c r="D2198" s="970"/>
      <c r="E2198" s="970"/>
      <c r="F2198" s="970"/>
      <c r="G2198" s="982" t="s">
        <v>698</v>
      </c>
      <c r="I2198" s="1725">
        <f t="shared" ref="I2198:T2198" si="1885">IFERROR(I2197*I2181/I2180,0)</f>
        <v>0</v>
      </c>
      <c r="J2198" s="1726">
        <f t="shared" si="1885"/>
        <v>0</v>
      </c>
      <c r="K2198" s="1726">
        <f t="shared" si="1885"/>
        <v>0</v>
      </c>
      <c r="L2198" s="1726">
        <f t="shared" si="1885"/>
        <v>0</v>
      </c>
      <c r="M2198" s="1726">
        <f t="shared" si="1885"/>
        <v>0</v>
      </c>
      <c r="N2198" s="1726">
        <f t="shared" si="1885"/>
        <v>0</v>
      </c>
      <c r="O2198" s="1726">
        <f t="shared" si="1885"/>
        <v>0</v>
      </c>
      <c r="P2198" s="1726">
        <f t="shared" si="1885"/>
        <v>0</v>
      </c>
      <c r="Q2198" s="1726">
        <f t="shared" si="1885"/>
        <v>0</v>
      </c>
      <c r="R2198" s="1726">
        <f t="shared" si="1885"/>
        <v>0</v>
      </c>
      <c r="S2198" s="1726">
        <f t="shared" si="1885"/>
        <v>0</v>
      </c>
      <c r="T2198" s="1727">
        <f t="shared" si="1885"/>
        <v>0</v>
      </c>
      <c r="Y2198" s="359"/>
      <c r="AE2198" s="232"/>
    </row>
    <row r="2199" spans="2:31" ht="14.4" hidden="1" customHeight="1" thickBot="1" x14ac:dyDescent="0.25">
      <c r="B2199" s="1728"/>
      <c r="C2199" s="970"/>
      <c r="D2199" s="970"/>
      <c r="E2199" s="970"/>
      <c r="F2199" s="970"/>
      <c r="G2199" s="982" t="s">
        <v>699</v>
      </c>
      <c r="I2199" s="1729">
        <f t="shared" ref="I2199:T2199" si="1886">+I2197-I2198</f>
        <v>0</v>
      </c>
      <c r="J2199" s="1730">
        <f t="shared" si="1886"/>
        <v>0</v>
      </c>
      <c r="K2199" s="1730">
        <f t="shared" si="1886"/>
        <v>0</v>
      </c>
      <c r="L2199" s="1730">
        <f t="shared" si="1886"/>
        <v>0</v>
      </c>
      <c r="M2199" s="1730">
        <f t="shared" si="1886"/>
        <v>0</v>
      </c>
      <c r="N2199" s="1730">
        <f t="shared" si="1886"/>
        <v>0</v>
      </c>
      <c r="O2199" s="1730">
        <f t="shared" si="1886"/>
        <v>0</v>
      </c>
      <c r="P2199" s="1730">
        <f t="shared" si="1886"/>
        <v>0</v>
      </c>
      <c r="Q2199" s="1730">
        <f t="shared" si="1886"/>
        <v>0</v>
      </c>
      <c r="R2199" s="1730">
        <f t="shared" si="1886"/>
        <v>0</v>
      </c>
      <c r="S2199" s="1730">
        <f t="shared" si="1886"/>
        <v>0</v>
      </c>
      <c r="T2199" s="1731">
        <f t="shared" si="1886"/>
        <v>0</v>
      </c>
      <c r="Y2199" s="359"/>
      <c r="AE2199" s="232"/>
    </row>
    <row r="2200" spans="2:31" ht="14.4" hidden="1" customHeight="1" thickTop="1" x14ac:dyDescent="0.2">
      <c r="B2200" s="1724" t="s">
        <v>812</v>
      </c>
      <c r="C2200" s="1194"/>
      <c r="D2200" s="1194"/>
      <c r="E2200" s="1194"/>
      <c r="F2200" s="1210"/>
      <c r="G2200" s="1641" t="s">
        <v>813</v>
      </c>
      <c r="H2200" s="1210"/>
      <c r="I2200" s="1667">
        <f t="shared" ref="I2200:T2200" si="1887">+SUMPRODUCT(I678:I680,$F$678:$F$680)</f>
        <v>0</v>
      </c>
      <c r="J2200" s="1668">
        <f t="shared" si="1887"/>
        <v>0</v>
      </c>
      <c r="K2200" s="1668">
        <f t="shared" si="1887"/>
        <v>0</v>
      </c>
      <c r="L2200" s="1668">
        <f t="shared" si="1887"/>
        <v>0</v>
      </c>
      <c r="M2200" s="1668">
        <f t="shared" si="1887"/>
        <v>0</v>
      </c>
      <c r="N2200" s="1668">
        <f t="shared" si="1887"/>
        <v>0</v>
      </c>
      <c r="O2200" s="1668">
        <f t="shared" si="1887"/>
        <v>0</v>
      </c>
      <c r="P2200" s="1668">
        <f t="shared" si="1887"/>
        <v>0</v>
      </c>
      <c r="Q2200" s="1668">
        <f t="shared" si="1887"/>
        <v>0</v>
      </c>
      <c r="R2200" s="1668">
        <f t="shared" si="1887"/>
        <v>0</v>
      </c>
      <c r="S2200" s="1668">
        <f t="shared" si="1887"/>
        <v>0</v>
      </c>
      <c r="T2200" s="1704">
        <f t="shared" si="1887"/>
        <v>0</v>
      </c>
    </row>
    <row r="2201" spans="2:31" ht="13.75" hidden="1" customHeight="1" x14ac:dyDescent="0.2">
      <c r="B2201" s="1594"/>
      <c r="C2201" s="193"/>
      <c r="D2201" s="193"/>
      <c r="E2201" s="193"/>
      <c r="F2201" s="193"/>
      <c r="G2201" s="254" t="s">
        <v>698</v>
      </c>
      <c r="H2201" s="254"/>
      <c r="I2201" s="1179">
        <f t="shared" ref="I2201:T2201" si="1888">IFERROR(I2200*(I2181/I2180),0)</f>
        <v>0</v>
      </c>
      <c r="J2201" s="1283">
        <f t="shared" si="1888"/>
        <v>0</v>
      </c>
      <c r="K2201" s="1283">
        <f t="shared" si="1888"/>
        <v>0</v>
      </c>
      <c r="L2201" s="1283">
        <f t="shared" si="1888"/>
        <v>0</v>
      </c>
      <c r="M2201" s="1283">
        <f t="shared" si="1888"/>
        <v>0</v>
      </c>
      <c r="N2201" s="1283">
        <f t="shared" si="1888"/>
        <v>0</v>
      </c>
      <c r="O2201" s="1283">
        <f t="shared" si="1888"/>
        <v>0</v>
      </c>
      <c r="P2201" s="1283">
        <f t="shared" si="1888"/>
        <v>0</v>
      </c>
      <c r="Q2201" s="1283">
        <f t="shared" si="1888"/>
        <v>0</v>
      </c>
      <c r="R2201" s="1283">
        <f t="shared" si="1888"/>
        <v>0</v>
      </c>
      <c r="S2201" s="1283">
        <f t="shared" si="1888"/>
        <v>0</v>
      </c>
      <c r="T2201" s="1601">
        <f t="shared" si="1888"/>
        <v>0</v>
      </c>
    </row>
    <row r="2202" spans="2:31" ht="14.4" hidden="1" customHeight="1" thickBot="1" x14ac:dyDescent="0.25">
      <c r="B2202" s="1596"/>
      <c r="C2202" s="1199"/>
      <c r="D2202" s="1199"/>
      <c r="E2202" s="1199"/>
      <c r="F2202" s="1199"/>
      <c r="G2202" s="1209" t="s">
        <v>699</v>
      </c>
      <c r="H2202" s="1209"/>
      <c r="I2202" s="1654">
        <f t="shared" ref="I2202:T2202" si="1889">IFERROR(I2201*(I2182/I2180),0)</f>
        <v>0</v>
      </c>
      <c r="J2202" s="1590">
        <f t="shared" si="1889"/>
        <v>0</v>
      </c>
      <c r="K2202" s="1590">
        <f t="shared" si="1889"/>
        <v>0</v>
      </c>
      <c r="L2202" s="1590">
        <f t="shared" si="1889"/>
        <v>0</v>
      </c>
      <c r="M2202" s="1590">
        <f t="shared" si="1889"/>
        <v>0</v>
      </c>
      <c r="N2202" s="1590">
        <f t="shared" si="1889"/>
        <v>0</v>
      </c>
      <c r="O2202" s="1590">
        <f t="shared" si="1889"/>
        <v>0</v>
      </c>
      <c r="P2202" s="1590">
        <f t="shared" si="1889"/>
        <v>0</v>
      </c>
      <c r="Q2202" s="1590">
        <f t="shared" si="1889"/>
        <v>0</v>
      </c>
      <c r="R2202" s="1590">
        <f t="shared" si="1889"/>
        <v>0</v>
      </c>
      <c r="S2202" s="1590">
        <f t="shared" si="1889"/>
        <v>0</v>
      </c>
      <c r="T2202" s="1655">
        <f t="shared" si="1889"/>
        <v>0</v>
      </c>
    </row>
    <row r="2203" spans="2:31" ht="14.4" hidden="1" customHeight="1" thickTop="1" x14ac:dyDescent="0.2">
      <c r="B2203" s="1724" t="s">
        <v>797</v>
      </c>
      <c r="C2203" s="1194"/>
      <c r="D2203" s="1194"/>
      <c r="E2203" s="1581" t="str">
        <f>+B681</f>
        <v>Soja reserva</v>
      </c>
      <c r="F2203" s="232"/>
      <c r="G2203" s="1194" t="s">
        <v>791</v>
      </c>
      <c r="H2203" s="1194"/>
      <c r="I2203" s="1668">
        <f t="shared" ref="I2203:T2203" si="1890">+I2204+I2205</f>
        <v>0</v>
      </c>
      <c r="J2203" s="1668">
        <f t="shared" si="1890"/>
        <v>0</v>
      </c>
      <c r="K2203" s="1668">
        <f t="shared" si="1890"/>
        <v>0</v>
      </c>
      <c r="L2203" s="1668">
        <f t="shared" si="1890"/>
        <v>0</v>
      </c>
      <c r="M2203" s="1668">
        <f t="shared" si="1890"/>
        <v>0</v>
      </c>
      <c r="N2203" s="1668">
        <f t="shared" si="1890"/>
        <v>0</v>
      </c>
      <c r="O2203" s="1668">
        <f t="shared" si="1890"/>
        <v>0</v>
      </c>
      <c r="P2203" s="1668">
        <f t="shared" si="1890"/>
        <v>0</v>
      </c>
      <c r="Q2203" s="1668">
        <f t="shared" si="1890"/>
        <v>0</v>
      </c>
      <c r="R2203" s="1668">
        <f t="shared" si="1890"/>
        <v>0</v>
      </c>
      <c r="S2203" s="1668">
        <f t="shared" si="1890"/>
        <v>0</v>
      </c>
      <c r="T2203" s="1704">
        <f t="shared" si="1890"/>
        <v>0</v>
      </c>
    </row>
    <row r="2204" spans="2:31" ht="13.75" hidden="1" customHeight="1" x14ac:dyDescent="0.2">
      <c r="B2204" s="1594" t="s">
        <v>798</v>
      </c>
      <c r="C2204" s="193"/>
      <c r="D2204" s="193"/>
      <c r="E2204" s="193"/>
      <c r="F2204" s="232"/>
      <c r="G2204" s="193" t="s">
        <v>793</v>
      </c>
      <c r="H2204" s="193"/>
      <c r="I2204" s="1283">
        <f>VLOOKUP($E$2203,UsoSuelo!$E$1366:$Q$1377,I$2156,FALSE)</f>
        <v>0</v>
      </c>
      <c r="J2204" s="1283">
        <f>VLOOKUP($E$2203,UsoSuelo!$E$1366:$Q$1377,J$2156,FALSE)</f>
        <v>0</v>
      </c>
      <c r="K2204" s="1283">
        <f>VLOOKUP($E$2203,UsoSuelo!$E$1366:$Q$1377,K$2156,FALSE)</f>
        <v>0</v>
      </c>
      <c r="L2204" s="1283">
        <f>VLOOKUP($E$2203,UsoSuelo!$E$1366:$Q$1377,L$2156,FALSE)</f>
        <v>0</v>
      </c>
      <c r="M2204" s="1283">
        <f>VLOOKUP($E$2203,UsoSuelo!$E$1366:$Q$1377,M$2156,FALSE)</f>
        <v>0</v>
      </c>
      <c r="N2204" s="1283">
        <f>VLOOKUP($E$2203,UsoSuelo!$E$1366:$Q$1377,N$2156,FALSE)</f>
        <v>0</v>
      </c>
      <c r="O2204" s="1283">
        <f>VLOOKUP($E$2203,UsoSuelo!$E$1366:$Q$1377,O$2156,FALSE)</f>
        <v>0</v>
      </c>
      <c r="P2204" s="1283">
        <f>VLOOKUP($E$2203,UsoSuelo!$E$1366:$Q$1377,P$2156,FALSE)</f>
        <v>0</v>
      </c>
      <c r="Q2204" s="1283">
        <f>VLOOKUP($E$2203,UsoSuelo!$E$1366:$Q$1377,Q$2156,FALSE)</f>
        <v>0</v>
      </c>
      <c r="R2204" s="1283">
        <f>VLOOKUP($E$2203,UsoSuelo!$E$1366:$Q$1377,R$2156,FALSE)</f>
        <v>0</v>
      </c>
      <c r="S2204" s="1283">
        <f>VLOOKUP($E$2203,UsoSuelo!$E$1366:$Q$1377,S$2156,FALSE)</f>
        <v>0</v>
      </c>
      <c r="T2204" s="1601">
        <f>VLOOKUP($E$2203,UsoSuelo!$E$1366:$Q$1377,T$2156,FALSE)</f>
        <v>0</v>
      </c>
    </row>
    <row r="2205" spans="2:31" ht="14.4" hidden="1" customHeight="1" thickBot="1" x14ac:dyDescent="0.25">
      <c r="B2205" s="1596"/>
      <c r="C2205" s="1199"/>
      <c r="D2205" s="1199"/>
      <c r="E2205" s="1199"/>
      <c r="F2205" s="232"/>
      <c r="G2205" s="1199" t="s">
        <v>792</v>
      </c>
      <c r="H2205" s="1199"/>
      <c r="I2205" s="1590">
        <f>VLOOKUP($E$2203,UsoSuelo!$E$1383:$Q$1394,I$2156,FALSE)</f>
        <v>0</v>
      </c>
      <c r="J2205" s="1590">
        <f>VLOOKUP($E$2203,UsoSuelo!$E$1383:$Q$1394,J$2156,FALSE)</f>
        <v>0</v>
      </c>
      <c r="K2205" s="1590">
        <f>VLOOKUP($E$2203,UsoSuelo!$E$1383:$Q$1394,K$2156,FALSE)</f>
        <v>0</v>
      </c>
      <c r="L2205" s="1590">
        <f>VLOOKUP($E$2203,UsoSuelo!$E$1383:$Q$1394,L$2156,FALSE)</f>
        <v>0</v>
      </c>
      <c r="M2205" s="1590">
        <f>VLOOKUP($E$2203,UsoSuelo!$E$1383:$Q$1394,M$2156,FALSE)</f>
        <v>0</v>
      </c>
      <c r="N2205" s="1590">
        <f>VLOOKUP($E$2203,UsoSuelo!$E$1383:$Q$1394,N$2156,FALSE)</f>
        <v>0</v>
      </c>
      <c r="O2205" s="1590">
        <f>VLOOKUP($E$2203,UsoSuelo!$E$1383:$Q$1394,O$2156,FALSE)</f>
        <v>0</v>
      </c>
      <c r="P2205" s="1590">
        <f>VLOOKUP($E$2203,UsoSuelo!$E$1383:$Q$1394,P$2156,FALSE)</f>
        <v>0</v>
      </c>
      <c r="Q2205" s="1590">
        <f>VLOOKUP($E$2203,UsoSuelo!$E$1383:$Q$1394,Q$2156,FALSE)</f>
        <v>0</v>
      </c>
      <c r="R2205" s="1590">
        <f>VLOOKUP($E$2203,UsoSuelo!$E$1383:$Q$1394,R$2156,FALSE)</f>
        <v>0</v>
      </c>
      <c r="S2205" s="1590">
        <f>VLOOKUP($E$2203,UsoSuelo!$E$1383:$Q$1394,S$2156,FALSE)</f>
        <v>0</v>
      </c>
      <c r="T2205" s="1655">
        <f>VLOOKUP($E$2203,UsoSuelo!$E$1383:$Q$1394,T$2156,FALSE)</f>
        <v>0</v>
      </c>
    </row>
    <row r="2206" spans="2:31" ht="14.4" hidden="1" customHeight="1" thickTop="1" x14ac:dyDescent="0.2">
      <c r="B2206" s="1664"/>
      <c r="C2206" s="1194"/>
      <c r="D2206" s="1194"/>
      <c r="E2206" s="1194"/>
      <c r="F2206" s="1194"/>
      <c r="G2206" s="1194"/>
      <c r="H2206" s="1210"/>
      <c r="I2206" s="1667">
        <f t="shared" ref="I2206:T2206" si="1891">SUMIF($V$682:$V$685,$B2136&amp;"contratada",I$682:I$685)</f>
        <v>0</v>
      </c>
      <c r="J2206" s="1668">
        <f t="shared" si="1891"/>
        <v>0</v>
      </c>
      <c r="K2206" s="1668">
        <f t="shared" si="1891"/>
        <v>0</v>
      </c>
      <c r="L2206" s="1668">
        <f t="shared" si="1891"/>
        <v>0</v>
      </c>
      <c r="M2206" s="1668">
        <f t="shared" si="1891"/>
        <v>0</v>
      </c>
      <c r="N2206" s="1668">
        <f t="shared" si="1891"/>
        <v>0</v>
      </c>
      <c r="O2206" s="1668">
        <f t="shared" si="1891"/>
        <v>0</v>
      </c>
      <c r="P2206" s="1668">
        <f t="shared" si="1891"/>
        <v>0</v>
      </c>
      <c r="Q2206" s="1668">
        <f t="shared" si="1891"/>
        <v>0</v>
      </c>
      <c r="R2206" s="1668">
        <f t="shared" si="1891"/>
        <v>0</v>
      </c>
      <c r="S2206" s="1668">
        <f t="shared" si="1891"/>
        <v>0</v>
      </c>
      <c r="T2206" s="1704">
        <f t="shared" si="1891"/>
        <v>0</v>
      </c>
    </row>
    <row r="2207" spans="2:31" ht="13.75" hidden="1" customHeight="1" x14ac:dyDescent="0.2">
      <c r="B2207" s="1665"/>
      <c r="C2207" s="193"/>
      <c r="D2207" s="193"/>
      <c r="E2207" s="193"/>
      <c r="F2207" s="193"/>
      <c r="G2207" s="193"/>
      <c r="H2207" s="254"/>
      <c r="I2207" s="1179">
        <f t="shared" ref="I2207:T2207" si="1892">SUMIF($V$682:$V$685,$B2137&amp;"contratada",I$682:I$685)</f>
        <v>0</v>
      </c>
      <c r="J2207" s="1283">
        <f t="shared" si="1892"/>
        <v>0</v>
      </c>
      <c r="K2207" s="1283">
        <f t="shared" si="1892"/>
        <v>0</v>
      </c>
      <c r="L2207" s="1283">
        <f t="shared" si="1892"/>
        <v>0</v>
      </c>
      <c r="M2207" s="1283">
        <f t="shared" si="1892"/>
        <v>0</v>
      </c>
      <c r="N2207" s="1283">
        <f t="shared" si="1892"/>
        <v>0</v>
      </c>
      <c r="O2207" s="1283">
        <f t="shared" si="1892"/>
        <v>0</v>
      </c>
      <c r="P2207" s="1283">
        <f t="shared" si="1892"/>
        <v>0</v>
      </c>
      <c r="Q2207" s="1283">
        <f t="shared" si="1892"/>
        <v>0</v>
      </c>
      <c r="R2207" s="1283">
        <f t="shared" si="1892"/>
        <v>0</v>
      </c>
      <c r="S2207" s="1283">
        <f t="shared" si="1892"/>
        <v>0</v>
      </c>
      <c r="T2207" s="1601">
        <f t="shared" si="1892"/>
        <v>0</v>
      </c>
    </row>
    <row r="2208" spans="2:31" ht="13.75" hidden="1" customHeight="1" x14ac:dyDescent="0.2">
      <c r="B2208" s="1665"/>
      <c r="C2208" s="193"/>
      <c r="D2208" s="193"/>
      <c r="E2208" s="193"/>
      <c r="F2208" s="193"/>
      <c r="G2208" s="193"/>
      <c r="H2208" s="254"/>
      <c r="I2208" s="1179">
        <f t="shared" ref="I2208:T2208" si="1893">SUMIF($V$682:$V$685,$B2138&amp;"contratada",I$682:I$685)</f>
        <v>0</v>
      </c>
      <c r="J2208" s="1283">
        <f t="shared" si="1893"/>
        <v>0</v>
      </c>
      <c r="K2208" s="1283">
        <f t="shared" si="1893"/>
        <v>0</v>
      </c>
      <c r="L2208" s="1283">
        <f t="shared" si="1893"/>
        <v>0</v>
      </c>
      <c r="M2208" s="1283">
        <f t="shared" si="1893"/>
        <v>0</v>
      </c>
      <c r="N2208" s="1283">
        <f t="shared" si="1893"/>
        <v>0</v>
      </c>
      <c r="O2208" s="1283">
        <f t="shared" si="1893"/>
        <v>0</v>
      </c>
      <c r="P2208" s="1283">
        <f t="shared" si="1893"/>
        <v>0</v>
      </c>
      <c r="Q2208" s="1283">
        <f t="shared" si="1893"/>
        <v>0</v>
      </c>
      <c r="R2208" s="1283">
        <f t="shared" si="1893"/>
        <v>0</v>
      </c>
      <c r="S2208" s="1283">
        <f t="shared" si="1893"/>
        <v>0</v>
      </c>
      <c r="T2208" s="1601">
        <f t="shared" si="1893"/>
        <v>0</v>
      </c>
    </row>
    <row r="2209" spans="2:31" ht="13.75" hidden="1" customHeight="1" x14ac:dyDescent="0.2">
      <c r="B2209" s="1665"/>
      <c r="C2209" s="193"/>
      <c r="D2209" s="193"/>
      <c r="E2209" s="193"/>
      <c r="F2209" s="193"/>
      <c r="G2209" s="193"/>
      <c r="H2209" s="254"/>
      <c r="I2209" s="1179">
        <f t="shared" ref="I2209:T2209" si="1894">SUMIF($V$682:$V$685,$B2139&amp;"contratada",I$682:I$685)</f>
        <v>0</v>
      </c>
      <c r="J2209" s="1283">
        <f t="shared" si="1894"/>
        <v>0</v>
      </c>
      <c r="K2209" s="1283">
        <f t="shared" si="1894"/>
        <v>0</v>
      </c>
      <c r="L2209" s="1283">
        <f t="shared" si="1894"/>
        <v>0</v>
      </c>
      <c r="M2209" s="1283">
        <f t="shared" si="1894"/>
        <v>0</v>
      </c>
      <c r="N2209" s="1283">
        <f t="shared" si="1894"/>
        <v>0</v>
      </c>
      <c r="O2209" s="1283">
        <f t="shared" si="1894"/>
        <v>0</v>
      </c>
      <c r="P2209" s="1283">
        <f t="shared" si="1894"/>
        <v>0</v>
      </c>
      <c r="Q2209" s="1283">
        <f t="shared" si="1894"/>
        <v>0</v>
      </c>
      <c r="R2209" s="1283">
        <f t="shared" si="1894"/>
        <v>0</v>
      </c>
      <c r="S2209" s="1283">
        <f t="shared" si="1894"/>
        <v>0</v>
      </c>
      <c r="T2209" s="1601">
        <f t="shared" si="1894"/>
        <v>0</v>
      </c>
    </row>
    <row r="2210" spans="2:31" ht="13.75" hidden="1" customHeight="1" x14ac:dyDescent="0.2">
      <c r="B2210" s="1665"/>
      <c r="C2210" s="193"/>
      <c r="D2210" s="193"/>
      <c r="E2210" s="193"/>
      <c r="F2210" s="193"/>
      <c r="G2210" s="193"/>
      <c r="H2210" s="254"/>
      <c r="I2210" s="1179">
        <f t="shared" ref="I2210:T2210" si="1895">SUMIF($V$682:$V$685,$B2140&amp;"contratada",I$682:I$685)</f>
        <v>0</v>
      </c>
      <c r="J2210" s="1283">
        <f t="shared" si="1895"/>
        <v>0</v>
      </c>
      <c r="K2210" s="1283">
        <f t="shared" si="1895"/>
        <v>0</v>
      </c>
      <c r="L2210" s="1283">
        <f t="shared" si="1895"/>
        <v>0</v>
      </c>
      <c r="M2210" s="1283">
        <f t="shared" si="1895"/>
        <v>0</v>
      </c>
      <c r="N2210" s="1283">
        <f t="shared" si="1895"/>
        <v>0</v>
      </c>
      <c r="O2210" s="1283">
        <f t="shared" si="1895"/>
        <v>0</v>
      </c>
      <c r="P2210" s="1283">
        <f t="shared" si="1895"/>
        <v>0</v>
      </c>
      <c r="Q2210" s="1283">
        <f t="shared" si="1895"/>
        <v>0</v>
      </c>
      <c r="R2210" s="1283">
        <f t="shared" si="1895"/>
        <v>0</v>
      </c>
      <c r="S2210" s="1283">
        <f t="shared" si="1895"/>
        <v>0</v>
      </c>
      <c r="T2210" s="1601">
        <f t="shared" si="1895"/>
        <v>0</v>
      </c>
    </row>
    <row r="2211" spans="2:31" ht="13.75" hidden="1" customHeight="1" x14ac:dyDescent="0.2">
      <c r="B2211" s="1665"/>
      <c r="C2211" s="193"/>
      <c r="D2211" s="193"/>
      <c r="E2211" s="193"/>
      <c r="F2211" s="193"/>
      <c r="G2211" s="193"/>
      <c r="H2211" s="254"/>
      <c r="I2211" s="1179">
        <f t="shared" ref="I2211:T2211" si="1896">SUMIF($V$682:$V$685,$B2141&amp;"contratada",I$682:I$685)</f>
        <v>0</v>
      </c>
      <c r="J2211" s="1283">
        <f t="shared" si="1896"/>
        <v>0</v>
      </c>
      <c r="K2211" s="1283">
        <f t="shared" si="1896"/>
        <v>0</v>
      </c>
      <c r="L2211" s="1283">
        <f t="shared" si="1896"/>
        <v>0</v>
      </c>
      <c r="M2211" s="1283">
        <f t="shared" si="1896"/>
        <v>0</v>
      </c>
      <c r="N2211" s="1283">
        <f t="shared" si="1896"/>
        <v>0</v>
      </c>
      <c r="O2211" s="1283">
        <f t="shared" si="1896"/>
        <v>0</v>
      </c>
      <c r="P2211" s="1283">
        <f t="shared" si="1896"/>
        <v>0</v>
      </c>
      <c r="Q2211" s="1283">
        <f t="shared" si="1896"/>
        <v>0</v>
      </c>
      <c r="R2211" s="1283">
        <f t="shared" si="1896"/>
        <v>0</v>
      </c>
      <c r="S2211" s="1283">
        <f t="shared" si="1896"/>
        <v>0</v>
      </c>
      <c r="T2211" s="1601">
        <f t="shared" si="1896"/>
        <v>0</v>
      </c>
    </row>
    <row r="2212" spans="2:31" ht="13.75" hidden="1" customHeight="1" x14ac:dyDescent="0.2">
      <c r="B2212" s="1665"/>
      <c r="C2212" s="193"/>
      <c r="D2212" s="193"/>
      <c r="E2212" s="193"/>
      <c r="F2212" s="193"/>
      <c r="G2212" s="193"/>
      <c r="H2212" s="254"/>
      <c r="I2212" s="1179">
        <f t="shared" ref="I2212:T2212" si="1897">SUMIF($V$682:$V$685,$B2142&amp;"contratada",I$682:I$685)</f>
        <v>0</v>
      </c>
      <c r="J2212" s="1283">
        <f t="shared" si="1897"/>
        <v>0</v>
      </c>
      <c r="K2212" s="1283">
        <f t="shared" si="1897"/>
        <v>0</v>
      </c>
      <c r="L2212" s="1283">
        <f t="shared" si="1897"/>
        <v>0</v>
      </c>
      <c r="M2212" s="1283">
        <f t="shared" si="1897"/>
        <v>0</v>
      </c>
      <c r="N2212" s="1283">
        <f t="shared" si="1897"/>
        <v>0</v>
      </c>
      <c r="O2212" s="1283">
        <f t="shared" si="1897"/>
        <v>0</v>
      </c>
      <c r="P2212" s="1283">
        <f t="shared" si="1897"/>
        <v>0</v>
      </c>
      <c r="Q2212" s="1283">
        <f t="shared" si="1897"/>
        <v>0</v>
      </c>
      <c r="R2212" s="1283">
        <f t="shared" si="1897"/>
        <v>0</v>
      </c>
      <c r="S2212" s="1283">
        <f t="shared" si="1897"/>
        <v>0</v>
      </c>
      <c r="T2212" s="1601">
        <f t="shared" si="1897"/>
        <v>0</v>
      </c>
    </row>
    <row r="2213" spans="2:31" ht="13.75" hidden="1" customHeight="1" x14ac:dyDescent="0.2">
      <c r="B2213" s="1665"/>
      <c r="C2213" s="193"/>
      <c r="D2213" s="193"/>
      <c r="E2213" s="193"/>
      <c r="F2213" s="193"/>
      <c r="G2213" s="193"/>
      <c r="H2213" s="254"/>
      <c r="I2213" s="1179">
        <f t="shared" ref="I2213:T2213" si="1898">SUMIF($V$682:$V$685,$B2143&amp;"contratada",I$682:I$685)</f>
        <v>0</v>
      </c>
      <c r="J2213" s="1283">
        <f t="shared" si="1898"/>
        <v>0</v>
      </c>
      <c r="K2213" s="1283">
        <f t="shared" si="1898"/>
        <v>0</v>
      </c>
      <c r="L2213" s="1283">
        <f t="shared" si="1898"/>
        <v>0</v>
      </c>
      <c r="M2213" s="1283">
        <f t="shared" si="1898"/>
        <v>0</v>
      </c>
      <c r="N2213" s="1283">
        <f t="shared" si="1898"/>
        <v>0</v>
      </c>
      <c r="O2213" s="1283">
        <f t="shared" si="1898"/>
        <v>0</v>
      </c>
      <c r="P2213" s="1283">
        <f t="shared" si="1898"/>
        <v>0</v>
      </c>
      <c r="Q2213" s="1283">
        <f t="shared" si="1898"/>
        <v>0</v>
      </c>
      <c r="R2213" s="1283">
        <f t="shared" si="1898"/>
        <v>0</v>
      </c>
      <c r="S2213" s="1283">
        <f t="shared" si="1898"/>
        <v>0</v>
      </c>
      <c r="T2213" s="1601">
        <f t="shared" si="1898"/>
        <v>0</v>
      </c>
    </row>
    <row r="2214" spans="2:31" ht="13.75" hidden="1" customHeight="1" x14ac:dyDescent="0.2">
      <c r="B2214" s="1665"/>
      <c r="C2214" s="193"/>
      <c r="D2214" s="193"/>
      <c r="E2214" s="193"/>
      <c r="F2214" s="193"/>
      <c r="G2214" s="193"/>
      <c r="H2214" s="254"/>
      <c r="I2214" s="1179">
        <f t="shared" ref="I2214:T2214" si="1899">SUMIF($V$682:$V$685,$B2144&amp;"contratada",I$682:I$685)</f>
        <v>0</v>
      </c>
      <c r="J2214" s="1283">
        <f t="shared" si="1899"/>
        <v>0</v>
      </c>
      <c r="K2214" s="1283">
        <f t="shared" si="1899"/>
        <v>0</v>
      </c>
      <c r="L2214" s="1283">
        <f t="shared" si="1899"/>
        <v>0</v>
      </c>
      <c r="M2214" s="1283">
        <f t="shared" si="1899"/>
        <v>0</v>
      </c>
      <c r="N2214" s="1283">
        <f t="shared" si="1899"/>
        <v>0</v>
      </c>
      <c r="O2214" s="1283">
        <f t="shared" si="1899"/>
        <v>0</v>
      </c>
      <c r="P2214" s="1283">
        <f t="shared" si="1899"/>
        <v>0</v>
      </c>
      <c r="Q2214" s="1283">
        <f t="shared" si="1899"/>
        <v>0</v>
      </c>
      <c r="R2214" s="1283">
        <f t="shared" si="1899"/>
        <v>0</v>
      </c>
      <c r="S2214" s="1283">
        <f t="shared" si="1899"/>
        <v>0</v>
      </c>
      <c r="T2214" s="1601">
        <f t="shared" si="1899"/>
        <v>0</v>
      </c>
    </row>
    <row r="2215" spans="2:31" ht="13.75" hidden="1" customHeight="1" x14ac:dyDescent="0.2">
      <c r="B2215" s="1665"/>
      <c r="C2215" s="193"/>
      <c r="D2215" s="193"/>
      <c r="E2215" s="193"/>
      <c r="F2215" s="193"/>
      <c r="G2215" s="193"/>
      <c r="H2215" s="254"/>
      <c r="I2215" s="1179">
        <f t="shared" ref="I2215:T2215" si="1900">SUMIF($V$682:$V$685,$B2145&amp;"contratada",I$682:I$685)</f>
        <v>0</v>
      </c>
      <c r="J2215" s="1283">
        <f t="shared" si="1900"/>
        <v>0</v>
      </c>
      <c r="K2215" s="1283">
        <f t="shared" si="1900"/>
        <v>0</v>
      </c>
      <c r="L2215" s="1283">
        <f t="shared" si="1900"/>
        <v>0</v>
      </c>
      <c r="M2215" s="1283">
        <f t="shared" si="1900"/>
        <v>0</v>
      </c>
      <c r="N2215" s="1283">
        <f t="shared" si="1900"/>
        <v>0</v>
      </c>
      <c r="O2215" s="1283">
        <f t="shared" si="1900"/>
        <v>0</v>
      </c>
      <c r="P2215" s="1283">
        <f t="shared" si="1900"/>
        <v>0</v>
      </c>
      <c r="Q2215" s="1283">
        <f t="shared" si="1900"/>
        <v>0</v>
      </c>
      <c r="R2215" s="1283">
        <f t="shared" si="1900"/>
        <v>0</v>
      </c>
      <c r="S2215" s="1283">
        <f t="shared" si="1900"/>
        <v>0</v>
      </c>
      <c r="T2215" s="1601">
        <f t="shared" si="1900"/>
        <v>0</v>
      </c>
    </row>
    <row r="2216" spans="2:31" ht="13.75" hidden="1" customHeight="1" x14ac:dyDescent="0.2">
      <c r="B2216" s="1665"/>
      <c r="C2216" s="193"/>
      <c r="D2216" s="193"/>
      <c r="E2216" s="193"/>
      <c r="F2216" s="193"/>
      <c r="G2216" s="193"/>
      <c r="H2216" s="254"/>
      <c r="I2216" s="1179">
        <f t="shared" ref="I2216:T2216" si="1901">SUMIF($V$682:$V$685,$B2146&amp;"contratada",I$682:I$685)</f>
        <v>0</v>
      </c>
      <c r="J2216" s="1283">
        <f t="shared" si="1901"/>
        <v>0</v>
      </c>
      <c r="K2216" s="1283">
        <f t="shared" si="1901"/>
        <v>0</v>
      </c>
      <c r="L2216" s="1283">
        <f t="shared" si="1901"/>
        <v>0</v>
      </c>
      <c r="M2216" s="1283">
        <f t="shared" si="1901"/>
        <v>0</v>
      </c>
      <c r="N2216" s="1283">
        <f t="shared" si="1901"/>
        <v>0</v>
      </c>
      <c r="O2216" s="1283">
        <f t="shared" si="1901"/>
        <v>0</v>
      </c>
      <c r="P2216" s="1283">
        <f t="shared" si="1901"/>
        <v>0</v>
      </c>
      <c r="Q2216" s="1283">
        <f t="shared" si="1901"/>
        <v>0</v>
      </c>
      <c r="R2216" s="1283">
        <f t="shared" si="1901"/>
        <v>0</v>
      </c>
      <c r="S2216" s="1283">
        <f t="shared" si="1901"/>
        <v>0</v>
      </c>
      <c r="T2216" s="1601">
        <f t="shared" si="1901"/>
        <v>0</v>
      </c>
    </row>
    <row r="2217" spans="2:31" ht="13.75" hidden="1" customHeight="1" x14ac:dyDescent="0.2">
      <c r="B2217" s="1665"/>
      <c r="C2217" s="193"/>
      <c r="D2217" s="193"/>
      <c r="E2217" s="193"/>
      <c r="F2217" s="193"/>
      <c r="G2217" s="193"/>
      <c r="H2217" s="254"/>
      <c r="I2217" s="1179">
        <f t="shared" ref="I2217:T2217" si="1902">SUMIF($V$682:$V$685,$B2147&amp;"contratada",I$682:I$685)</f>
        <v>0</v>
      </c>
      <c r="J2217" s="1283">
        <f t="shared" si="1902"/>
        <v>0</v>
      </c>
      <c r="K2217" s="1283">
        <f t="shared" si="1902"/>
        <v>0</v>
      </c>
      <c r="L2217" s="1283">
        <f t="shared" si="1902"/>
        <v>0</v>
      </c>
      <c r="M2217" s="1283">
        <f t="shared" si="1902"/>
        <v>0</v>
      </c>
      <c r="N2217" s="1283">
        <f t="shared" si="1902"/>
        <v>0</v>
      </c>
      <c r="O2217" s="1283">
        <f t="shared" si="1902"/>
        <v>0</v>
      </c>
      <c r="P2217" s="1283">
        <f t="shared" si="1902"/>
        <v>0</v>
      </c>
      <c r="Q2217" s="1283">
        <f t="shared" si="1902"/>
        <v>0</v>
      </c>
      <c r="R2217" s="1283">
        <f t="shared" si="1902"/>
        <v>0</v>
      </c>
      <c r="S2217" s="1283">
        <f t="shared" si="1902"/>
        <v>0</v>
      </c>
      <c r="T2217" s="1601">
        <f t="shared" si="1902"/>
        <v>0</v>
      </c>
    </row>
    <row r="2218" spans="2:31" ht="13.75" hidden="1" customHeight="1" x14ac:dyDescent="0.2">
      <c r="B2218" s="1665"/>
      <c r="C2218" s="193"/>
      <c r="D2218" s="193"/>
      <c r="E2218" s="193"/>
      <c r="F2218" s="193"/>
      <c r="G2218" s="193"/>
      <c r="H2218" s="254"/>
      <c r="I2218" s="1179">
        <f t="shared" ref="I2218:T2218" si="1903">SUMIF($V$682:$V$685,$B2148&amp;"contratada",I$682:I$685)</f>
        <v>0</v>
      </c>
      <c r="J2218" s="1283">
        <f t="shared" si="1903"/>
        <v>0</v>
      </c>
      <c r="K2218" s="1283">
        <f t="shared" si="1903"/>
        <v>0</v>
      </c>
      <c r="L2218" s="1283">
        <f t="shared" si="1903"/>
        <v>0</v>
      </c>
      <c r="M2218" s="1283">
        <f t="shared" si="1903"/>
        <v>0</v>
      </c>
      <c r="N2218" s="1283">
        <f t="shared" si="1903"/>
        <v>0</v>
      </c>
      <c r="O2218" s="1283">
        <f t="shared" si="1903"/>
        <v>0</v>
      </c>
      <c r="P2218" s="1283">
        <f t="shared" si="1903"/>
        <v>0</v>
      </c>
      <c r="Q2218" s="1283">
        <f t="shared" si="1903"/>
        <v>0</v>
      </c>
      <c r="R2218" s="1283">
        <f t="shared" si="1903"/>
        <v>0</v>
      </c>
      <c r="S2218" s="1283">
        <f t="shared" si="1903"/>
        <v>0</v>
      </c>
      <c r="T2218" s="1601">
        <f t="shared" si="1903"/>
        <v>0</v>
      </c>
    </row>
    <row r="2219" spans="2:31" ht="14.4" hidden="1" customHeight="1" thickBot="1" x14ac:dyDescent="0.25">
      <c r="B2219" s="1665"/>
      <c r="C2219" s="193"/>
      <c r="D2219" s="193"/>
      <c r="E2219" s="193"/>
      <c r="F2219" s="193"/>
      <c r="G2219" s="193"/>
      <c r="H2219" s="254"/>
      <c r="I2219" s="377">
        <f t="shared" ref="I2219:T2219" si="1904">SUMIF($V$682:$V$685,$B2149&amp;"contratada",I$682:I$685)</f>
        <v>0</v>
      </c>
      <c r="J2219" s="1200">
        <f t="shared" si="1904"/>
        <v>0</v>
      </c>
      <c r="K2219" s="1200">
        <f t="shared" si="1904"/>
        <v>0</v>
      </c>
      <c r="L2219" s="1200">
        <f t="shared" si="1904"/>
        <v>0</v>
      </c>
      <c r="M2219" s="1200">
        <f t="shared" si="1904"/>
        <v>0</v>
      </c>
      <c r="N2219" s="1200">
        <f t="shared" si="1904"/>
        <v>0</v>
      </c>
      <c r="O2219" s="1200">
        <f t="shared" si="1904"/>
        <v>0</v>
      </c>
      <c r="P2219" s="1200">
        <f t="shared" si="1904"/>
        <v>0</v>
      </c>
      <c r="Q2219" s="1200">
        <f t="shared" si="1904"/>
        <v>0</v>
      </c>
      <c r="R2219" s="1200">
        <f t="shared" si="1904"/>
        <v>0</v>
      </c>
      <c r="S2219" s="1200">
        <f t="shared" si="1904"/>
        <v>0</v>
      </c>
      <c r="T2219" s="1718">
        <f t="shared" si="1904"/>
        <v>0</v>
      </c>
    </row>
    <row r="2220" spans="2:31" ht="13.75" hidden="1" customHeight="1" x14ac:dyDescent="0.2">
      <c r="B2220" s="1732" t="s">
        <v>705</v>
      </c>
      <c r="C2220" s="1733"/>
      <c r="D2220" s="1733"/>
      <c r="E2220" s="1733"/>
      <c r="F2220" s="1733"/>
      <c r="G2220" s="1734" t="s">
        <v>230</v>
      </c>
      <c r="H2220" s="1532"/>
      <c r="I2220" s="1735">
        <f t="shared" ref="I2220:T2220" si="1905">+SUMPRODUCT(I2206:I2219,$C$2136:$C$2149)</f>
        <v>0</v>
      </c>
      <c r="J2220" s="1736">
        <f t="shared" si="1905"/>
        <v>0</v>
      </c>
      <c r="K2220" s="1736">
        <f t="shared" si="1905"/>
        <v>0</v>
      </c>
      <c r="L2220" s="1736">
        <f t="shared" si="1905"/>
        <v>0</v>
      </c>
      <c r="M2220" s="1736">
        <f t="shared" si="1905"/>
        <v>0</v>
      </c>
      <c r="N2220" s="1736">
        <f t="shared" si="1905"/>
        <v>0</v>
      </c>
      <c r="O2220" s="1736">
        <f t="shared" si="1905"/>
        <v>0</v>
      </c>
      <c r="P2220" s="1736">
        <f t="shared" si="1905"/>
        <v>0</v>
      </c>
      <c r="Q2220" s="1736">
        <f t="shared" si="1905"/>
        <v>0</v>
      </c>
      <c r="R2220" s="1736">
        <f t="shared" si="1905"/>
        <v>0</v>
      </c>
      <c r="S2220" s="1736">
        <f t="shared" si="1905"/>
        <v>0</v>
      </c>
      <c r="T2220" s="1737">
        <f t="shared" si="1905"/>
        <v>0</v>
      </c>
      <c r="Y2220" s="359"/>
      <c r="AE2220" s="232"/>
    </row>
    <row r="2221" spans="2:31" ht="13.75" hidden="1" customHeight="1" x14ac:dyDescent="0.2">
      <c r="B2221" s="1728"/>
      <c r="C2221" s="970"/>
      <c r="D2221" s="970"/>
      <c r="E2221" s="970"/>
      <c r="F2221" s="970"/>
      <c r="G2221" s="982" t="s">
        <v>698</v>
      </c>
      <c r="I2221" s="1725">
        <f t="shared" ref="I2221:T2221" si="1906">IFERROR(I2220*I2204/I2203,0)</f>
        <v>0</v>
      </c>
      <c r="J2221" s="1726">
        <f t="shared" si="1906"/>
        <v>0</v>
      </c>
      <c r="K2221" s="1726">
        <f t="shared" si="1906"/>
        <v>0</v>
      </c>
      <c r="L2221" s="1726">
        <f t="shared" si="1906"/>
        <v>0</v>
      </c>
      <c r="M2221" s="1726">
        <f t="shared" si="1906"/>
        <v>0</v>
      </c>
      <c r="N2221" s="1726">
        <f t="shared" si="1906"/>
        <v>0</v>
      </c>
      <c r="O2221" s="1726">
        <f t="shared" si="1906"/>
        <v>0</v>
      </c>
      <c r="P2221" s="1726">
        <f t="shared" si="1906"/>
        <v>0</v>
      </c>
      <c r="Q2221" s="1726">
        <f t="shared" si="1906"/>
        <v>0</v>
      </c>
      <c r="R2221" s="1726">
        <f t="shared" si="1906"/>
        <v>0</v>
      </c>
      <c r="S2221" s="1726">
        <f t="shared" si="1906"/>
        <v>0</v>
      </c>
      <c r="T2221" s="1727">
        <f t="shared" si="1906"/>
        <v>0</v>
      </c>
      <c r="Y2221" s="359"/>
      <c r="AE2221" s="232"/>
    </row>
    <row r="2222" spans="2:31" ht="14.4" hidden="1" customHeight="1" thickBot="1" x14ac:dyDescent="0.25">
      <c r="B2222" s="1728"/>
      <c r="C2222" s="970"/>
      <c r="D2222" s="970"/>
      <c r="E2222" s="970"/>
      <c r="F2222" s="970"/>
      <c r="G2222" s="982" t="s">
        <v>699</v>
      </c>
      <c r="I2222" s="1729">
        <f t="shared" ref="I2222:T2222" si="1907">+I2220-I2221</f>
        <v>0</v>
      </c>
      <c r="J2222" s="1730">
        <f t="shared" si="1907"/>
        <v>0</v>
      </c>
      <c r="K2222" s="1730">
        <f t="shared" si="1907"/>
        <v>0</v>
      </c>
      <c r="L2222" s="1730">
        <f t="shared" si="1907"/>
        <v>0</v>
      </c>
      <c r="M2222" s="1730">
        <f t="shared" si="1907"/>
        <v>0</v>
      </c>
      <c r="N2222" s="1730">
        <f t="shared" si="1907"/>
        <v>0</v>
      </c>
      <c r="O2222" s="1730">
        <f t="shared" si="1907"/>
        <v>0</v>
      </c>
      <c r="P2222" s="1730">
        <f t="shared" si="1907"/>
        <v>0</v>
      </c>
      <c r="Q2222" s="1730">
        <f t="shared" si="1907"/>
        <v>0</v>
      </c>
      <c r="R2222" s="1730">
        <f t="shared" si="1907"/>
        <v>0</v>
      </c>
      <c r="S2222" s="1730">
        <f t="shared" si="1907"/>
        <v>0</v>
      </c>
      <c r="T2222" s="1731">
        <f t="shared" si="1907"/>
        <v>0</v>
      </c>
      <c r="Y2222" s="359"/>
      <c r="AE2222" s="232"/>
    </row>
    <row r="2223" spans="2:31" ht="14.4" hidden="1" customHeight="1" thickTop="1" x14ac:dyDescent="0.2">
      <c r="B2223" s="1724" t="s">
        <v>812</v>
      </c>
      <c r="C2223" s="1194"/>
      <c r="D2223" s="1194"/>
      <c r="E2223" s="1194"/>
      <c r="F2223" s="1210"/>
      <c r="G2223" s="1641" t="s">
        <v>813</v>
      </c>
      <c r="H2223" s="1210"/>
      <c r="I2223" s="1667">
        <f t="shared" ref="I2223:T2223" si="1908">+SUM(I683:I685,$F$683:$F$685)</f>
        <v>0</v>
      </c>
      <c r="J2223" s="1668">
        <f t="shared" si="1908"/>
        <v>0</v>
      </c>
      <c r="K2223" s="1668">
        <f t="shared" si="1908"/>
        <v>0</v>
      </c>
      <c r="L2223" s="1668">
        <f t="shared" si="1908"/>
        <v>0</v>
      </c>
      <c r="M2223" s="1668">
        <f t="shared" si="1908"/>
        <v>0</v>
      </c>
      <c r="N2223" s="1668">
        <f t="shared" si="1908"/>
        <v>0</v>
      </c>
      <c r="O2223" s="1668">
        <f t="shared" si="1908"/>
        <v>0</v>
      </c>
      <c r="P2223" s="1668">
        <f t="shared" si="1908"/>
        <v>0</v>
      </c>
      <c r="Q2223" s="1668">
        <f t="shared" si="1908"/>
        <v>0</v>
      </c>
      <c r="R2223" s="1668">
        <f t="shared" si="1908"/>
        <v>0</v>
      </c>
      <c r="S2223" s="1668">
        <f t="shared" si="1908"/>
        <v>0</v>
      </c>
      <c r="T2223" s="1704">
        <f t="shared" si="1908"/>
        <v>0</v>
      </c>
    </row>
    <row r="2224" spans="2:31" ht="13.75" hidden="1" customHeight="1" x14ac:dyDescent="0.2">
      <c r="B2224" s="1594"/>
      <c r="C2224" s="193"/>
      <c r="D2224" s="193"/>
      <c r="E2224" s="193"/>
      <c r="F2224" s="193"/>
      <c r="G2224" s="254" t="s">
        <v>698</v>
      </c>
      <c r="H2224" s="254"/>
      <c r="I2224" s="1179">
        <f t="shared" ref="I2224:T2224" si="1909">IFERROR(I2223*(I2204/I2203),0)</f>
        <v>0</v>
      </c>
      <c r="J2224" s="1283">
        <f t="shared" si="1909"/>
        <v>0</v>
      </c>
      <c r="K2224" s="1283">
        <f t="shared" si="1909"/>
        <v>0</v>
      </c>
      <c r="L2224" s="1283">
        <f t="shared" si="1909"/>
        <v>0</v>
      </c>
      <c r="M2224" s="1283">
        <f t="shared" si="1909"/>
        <v>0</v>
      </c>
      <c r="N2224" s="1283">
        <f t="shared" si="1909"/>
        <v>0</v>
      </c>
      <c r="O2224" s="1283">
        <f t="shared" si="1909"/>
        <v>0</v>
      </c>
      <c r="P2224" s="1283">
        <f t="shared" si="1909"/>
        <v>0</v>
      </c>
      <c r="Q2224" s="1283">
        <f t="shared" si="1909"/>
        <v>0</v>
      </c>
      <c r="R2224" s="1283">
        <f t="shared" si="1909"/>
        <v>0</v>
      </c>
      <c r="S2224" s="1283">
        <f t="shared" si="1909"/>
        <v>0</v>
      </c>
      <c r="T2224" s="1601">
        <f t="shared" si="1909"/>
        <v>0</v>
      </c>
    </row>
    <row r="2225" spans="2:20" ht="14.4" hidden="1" customHeight="1" thickBot="1" x14ac:dyDescent="0.25">
      <c r="B2225" s="1596"/>
      <c r="C2225" s="1199"/>
      <c r="D2225" s="1199"/>
      <c r="E2225" s="1199"/>
      <c r="F2225" s="1199"/>
      <c r="G2225" s="1209" t="s">
        <v>699</v>
      </c>
      <c r="H2225" s="1209"/>
      <c r="I2225" s="1654">
        <f t="shared" ref="I2225:T2225" si="1910">IFERROR(I2224*(I2205/I2203),0)</f>
        <v>0</v>
      </c>
      <c r="J2225" s="1590">
        <f t="shared" si="1910"/>
        <v>0</v>
      </c>
      <c r="K2225" s="1590">
        <f t="shared" si="1910"/>
        <v>0</v>
      </c>
      <c r="L2225" s="1590">
        <f t="shared" si="1910"/>
        <v>0</v>
      </c>
      <c r="M2225" s="1590">
        <f t="shared" si="1910"/>
        <v>0</v>
      </c>
      <c r="N2225" s="1590">
        <f t="shared" si="1910"/>
        <v>0</v>
      </c>
      <c r="O2225" s="1590">
        <f t="shared" si="1910"/>
        <v>0</v>
      </c>
      <c r="P2225" s="1590">
        <f t="shared" si="1910"/>
        <v>0</v>
      </c>
      <c r="Q2225" s="1590">
        <f t="shared" si="1910"/>
        <v>0</v>
      </c>
      <c r="R2225" s="1590">
        <f t="shared" si="1910"/>
        <v>0</v>
      </c>
      <c r="S2225" s="1590">
        <f t="shared" si="1910"/>
        <v>0</v>
      </c>
      <c r="T2225" s="1655">
        <f t="shared" si="1910"/>
        <v>0</v>
      </c>
    </row>
    <row r="2226" spans="2:20" ht="14.4" hidden="1" customHeight="1" thickTop="1" x14ac:dyDescent="0.2">
      <c r="B2226" s="1724" t="s">
        <v>797</v>
      </c>
      <c r="C2226" s="1194"/>
      <c r="D2226" s="1194"/>
      <c r="E2226" s="1581">
        <f>+B686</f>
        <v>0</v>
      </c>
      <c r="F2226" s="232"/>
      <c r="G2226" s="1194" t="s">
        <v>791</v>
      </c>
      <c r="H2226" s="1194"/>
      <c r="I2226" s="1668">
        <f t="shared" ref="I2226:T2226" si="1911">+I2227+I2228</f>
        <v>0</v>
      </c>
      <c r="J2226" s="1668">
        <f t="shared" si="1911"/>
        <v>0</v>
      </c>
      <c r="K2226" s="1668">
        <f t="shared" si="1911"/>
        <v>0</v>
      </c>
      <c r="L2226" s="1668">
        <f t="shared" si="1911"/>
        <v>0</v>
      </c>
      <c r="M2226" s="1668">
        <f t="shared" si="1911"/>
        <v>0</v>
      </c>
      <c r="N2226" s="1668">
        <f t="shared" si="1911"/>
        <v>0</v>
      </c>
      <c r="O2226" s="1668">
        <f t="shared" si="1911"/>
        <v>0</v>
      </c>
      <c r="P2226" s="1668">
        <f t="shared" si="1911"/>
        <v>0</v>
      </c>
      <c r="Q2226" s="1668">
        <f t="shared" si="1911"/>
        <v>0</v>
      </c>
      <c r="R2226" s="1668">
        <f t="shared" si="1911"/>
        <v>0</v>
      </c>
      <c r="S2226" s="1668">
        <f t="shared" si="1911"/>
        <v>0</v>
      </c>
      <c r="T2226" s="1704">
        <f t="shared" si="1911"/>
        <v>0</v>
      </c>
    </row>
    <row r="2227" spans="2:20" ht="13.75" hidden="1" customHeight="1" x14ac:dyDescent="0.2">
      <c r="B2227" s="1594" t="s">
        <v>798</v>
      </c>
      <c r="C2227" s="193"/>
      <c r="D2227" s="193"/>
      <c r="E2227" s="193"/>
      <c r="F2227" s="232"/>
      <c r="G2227" s="193" t="s">
        <v>793</v>
      </c>
      <c r="H2227" s="193"/>
      <c r="I2227" s="1283">
        <f>VLOOKUP($E$2226,UsoSuelo!$E$1366:$Q$1377,I$2156,FALSE)</f>
        <v>0</v>
      </c>
      <c r="J2227" s="1283">
        <f>VLOOKUP($E$2226,UsoSuelo!$E$1366:$Q$1377,J$2156,FALSE)</f>
        <v>0</v>
      </c>
      <c r="K2227" s="1283">
        <f>VLOOKUP($E$2226,UsoSuelo!$E$1366:$Q$1377,K$2156,FALSE)</f>
        <v>0</v>
      </c>
      <c r="L2227" s="1283">
        <f>VLOOKUP($E$2226,UsoSuelo!$E$1366:$Q$1377,L$2156,FALSE)</f>
        <v>0</v>
      </c>
      <c r="M2227" s="1283">
        <f>VLOOKUP($E$2226,UsoSuelo!$E$1366:$Q$1377,M$2156,FALSE)</f>
        <v>0</v>
      </c>
      <c r="N2227" s="1283">
        <f>VLOOKUP($E$2226,UsoSuelo!$E$1366:$Q$1377,N$2156,FALSE)</f>
        <v>0</v>
      </c>
      <c r="O2227" s="1283">
        <f>VLOOKUP($E$2226,UsoSuelo!$E$1366:$Q$1377,O$2156,FALSE)</f>
        <v>0</v>
      </c>
      <c r="P2227" s="1283">
        <f>VLOOKUP($E$2226,UsoSuelo!$E$1366:$Q$1377,P$2156,FALSE)</f>
        <v>0</v>
      </c>
      <c r="Q2227" s="1283">
        <f>VLOOKUP($E$2226,UsoSuelo!$E$1366:$Q$1377,Q$2156,FALSE)</f>
        <v>0</v>
      </c>
      <c r="R2227" s="1283">
        <f>VLOOKUP($E$2226,UsoSuelo!$E$1366:$Q$1377,R$2156,FALSE)</f>
        <v>0</v>
      </c>
      <c r="S2227" s="1283">
        <f>VLOOKUP($E$2226,UsoSuelo!$E$1366:$Q$1377,S$2156,FALSE)</f>
        <v>0</v>
      </c>
      <c r="T2227" s="1601">
        <f>VLOOKUP($E$2226,UsoSuelo!$E$1366:$Q$1377,T$2156,FALSE)</f>
        <v>0</v>
      </c>
    </row>
    <row r="2228" spans="2:20" ht="14.4" hidden="1" customHeight="1" thickBot="1" x14ac:dyDescent="0.25">
      <c r="B2228" s="1596"/>
      <c r="C2228" s="1199"/>
      <c r="D2228" s="1199"/>
      <c r="E2228" s="1199"/>
      <c r="F2228" s="232"/>
      <c r="G2228" s="1199" t="s">
        <v>792</v>
      </c>
      <c r="H2228" s="1199"/>
      <c r="I2228" s="1590">
        <f>VLOOKUP($E$2226,UsoSuelo!$E$1383:$Q$1394,I$2156,FALSE)</f>
        <v>0</v>
      </c>
      <c r="J2228" s="1590">
        <f>VLOOKUP($E$2226,UsoSuelo!$E$1383:$Q$1394,J$2156,FALSE)</f>
        <v>0</v>
      </c>
      <c r="K2228" s="1590">
        <f>VLOOKUP($E$2226,UsoSuelo!$E$1383:$Q$1394,K$2156,FALSE)</f>
        <v>0</v>
      </c>
      <c r="L2228" s="1590">
        <f>VLOOKUP($E$2226,UsoSuelo!$E$1383:$Q$1394,L$2156,FALSE)</f>
        <v>0</v>
      </c>
      <c r="M2228" s="1590">
        <f>VLOOKUP($E$2226,UsoSuelo!$E$1383:$Q$1394,M$2156,FALSE)</f>
        <v>0</v>
      </c>
      <c r="N2228" s="1590">
        <f>VLOOKUP($E$2226,UsoSuelo!$E$1383:$Q$1394,N$2156,FALSE)</f>
        <v>0</v>
      </c>
      <c r="O2228" s="1590">
        <f>VLOOKUP($E$2226,UsoSuelo!$E$1383:$Q$1394,O$2156,FALSE)</f>
        <v>0</v>
      </c>
      <c r="P2228" s="1590">
        <f>VLOOKUP($E$2226,UsoSuelo!$E$1383:$Q$1394,P$2156,FALSE)</f>
        <v>0</v>
      </c>
      <c r="Q2228" s="1590">
        <f>VLOOKUP($E$2226,UsoSuelo!$E$1383:$Q$1394,Q$2156,FALSE)</f>
        <v>0</v>
      </c>
      <c r="R2228" s="1590">
        <f>VLOOKUP($E$2226,UsoSuelo!$E$1383:$Q$1394,R$2156,FALSE)</f>
        <v>0</v>
      </c>
      <c r="S2228" s="1590">
        <f>VLOOKUP($E$2226,UsoSuelo!$E$1383:$Q$1394,S$2156,FALSE)</f>
        <v>0</v>
      </c>
      <c r="T2228" s="1655">
        <f>VLOOKUP($E$2226,UsoSuelo!$E$1383:$Q$1394,T$2156,FALSE)</f>
        <v>0</v>
      </c>
    </row>
    <row r="2229" spans="2:20" ht="14.4" hidden="1" customHeight="1" thickTop="1" x14ac:dyDescent="0.2">
      <c r="B2229" s="1664"/>
      <c r="C2229" s="1194"/>
      <c r="D2229" s="1194"/>
      <c r="E2229" s="1194"/>
      <c r="F2229" s="1194"/>
      <c r="G2229" s="1194"/>
      <c r="H2229" s="1210"/>
      <c r="I2229" s="1667">
        <f t="shared" ref="I2229:T2229" si="1912">SUMIF($V$687:$V$690,$B2136&amp;"contratada",I$687:I$690)</f>
        <v>0</v>
      </c>
      <c r="J2229" s="1668">
        <f t="shared" si="1912"/>
        <v>0</v>
      </c>
      <c r="K2229" s="1668">
        <f t="shared" si="1912"/>
        <v>0</v>
      </c>
      <c r="L2229" s="1668">
        <f t="shared" si="1912"/>
        <v>0</v>
      </c>
      <c r="M2229" s="1668">
        <f t="shared" si="1912"/>
        <v>0</v>
      </c>
      <c r="N2229" s="1668">
        <f t="shared" si="1912"/>
        <v>0</v>
      </c>
      <c r="O2229" s="1668">
        <f t="shared" si="1912"/>
        <v>0</v>
      </c>
      <c r="P2229" s="1668">
        <f t="shared" si="1912"/>
        <v>0</v>
      </c>
      <c r="Q2229" s="1668">
        <f t="shared" si="1912"/>
        <v>0</v>
      </c>
      <c r="R2229" s="1668">
        <f t="shared" si="1912"/>
        <v>0</v>
      </c>
      <c r="S2229" s="1668">
        <f t="shared" si="1912"/>
        <v>0</v>
      </c>
      <c r="T2229" s="1704">
        <f t="shared" si="1912"/>
        <v>0</v>
      </c>
    </row>
    <row r="2230" spans="2:20" ht="13.75" hidden="1" customHeight="1" x14ac:dyDescent="0.2">
      <c r="B2230" s="1665"/>
      <c r="C2230" s="193"/>
      <c r="D2230" s="193"/>
      <c r="E2230" s="193"/>
      <c r="F2230" s="193"/>
      <c r="G2230" s="193"/>
      <c r="H2230" s="254"/>
      <c r="I2230" s="1179">
        <f t="shared" ref="I2230:T2230" si="1913">SUMIF($V$687:$V$690,$B2137&amp;"contratada",I$687:I$690)</f>
        <v>0</v>
      </c>
      <c r="J2230" s="1283">
        <f t="shared" si="1913"/>
        <v>0</v>
      </c>
      <c r="K2230" s="1283">
        <f t="shared" si="1913"/>
        <v>0</v>
      </c>
      <c r="L2230" s="1283">
        <f t="shared" si="1913"/>
        <v>0</v>
      </c>
      <c r="M2230" s="1283">
        <f t="shared" si="1913"/>
        <v>0</v>
      </c>
      <c r="N2230" s="1283">
        <f t="shared" si="1913"/>
        <v>0</v>
      </c>
      <c r="O2230" s="1283">
        <f t="shared" si="1913"/>
        <v>0</v>
      </c>
      <c r="P2230" s="1283">
        <f t="shared" si="1913"/>
        <v>0</v>
      </c>
      <c r="Q2230" s="1283">
        <f t="shared" si="1913"/>
        <v>0</v>
      </c>
      <c r="R2230" s="1283">
        <f t="shared" si="1913"/>
        <v>0</v>
      </c>
      <c r="S2230" s="1283">
        <f t="shared" si="1913"/>
        <v>0</v>
      </c>
      <c r="T2230" s="1601">
        <f t="shared" si="1913"/>
        <v>0</v>
      </c>
    </row>
    <row r="2231" spans="2:20" ht="13.75" hidden="1" customHeight="1" x14ac:dyDescent="0.2">
      <c r="B2231" s="1665"/>
      <c r="C2231" s="193"/>
      <c r="D2231" s="193"/>
      <c r="E2231" s="193"/>
      <c r="F2231" s="193"/>
      <c r="G2231" s="193"/>
      <c r="H2231" s="254"/>
      <c r="I2231" s="1179">
        <f t="shared" ref="I2231:T2231" si="1914">SUMIF($V$687:$V$690,$B2138&amp;"contratada",I$687:I$690)</f>
        <v>0</v>
      </c>
      <c r="J2231" s="1283">
        <f t="shared" si="1914"/>
        <v>0</v>
      </c>
      <c r="K2231" s="1283">
        <f t="shared" si="1914"/>
        <v>0</v>
      </c>
      <c r="L2231" s="1283">
        <f t="shared" si="1914"/>
        <v>0</v>
      </c>
      <c r="M2231" s="1283">
        <f t="shared" si="1914"/>
        <v>0</v>
      </c>
      <c r="N2231" s="1283">
        <f t="shared" si="1914"/>
        <v>0</v>
      </c>
      <c r="O2231" s="1283">
        <f t="shared" si="1914"/>
        <v>0</v>
      </c>
      <c r="P2231" s="1283">
        <f t="shared" si="1914"/>
        <v>0</v>
      </c>
      <c r="Q2231" s="1283">
        <f t="shared" si="1914"/>
        <v>0</v>
      </c>
      <c r="R2231" s="1283">
        <f t="shared" si="1914"/>
        <v>0</v>
      </c>
      <c r="S2231" s="1283">
        <f t="shared" si="1914"/>
        <v>0</v>
      </c>
      <c r="T2231" s="1601">
        <f t="shared" si="1914"/>
        <v>0</v>
      </c>
    </row>
    <row r="2232" spans="2:20" ht="13.75" hidden="1" customHeight="1" x14ac:dyDescent="0.2">
      <c r="B2232" s="1665"/>
      <c r="C2232" s="193"/>
      <c r="D2232" s="193"/>
      <c r="E2232" s="193"/>
      <c r="F2232" s="193"/>
      <c r="G2232" s="193"/>
      <c r="H2232" s="254"/>
      <c r="I2232" s="1179">
        <f t="shared" ref="I2232:T2232" si="1915">SUMIF($V$687:$V$690,$B2139&amp;"contratada",I$687:I$690)</f>
        <v>0</v>
      </c>
      <c r="J2232" s="1283">
        <f t="shared" si="1915"/>
        <v>0</v>
      </c>
      <c r="K2232" s="1283">
        <f t="shared" si="1915"/>
        <v>0</v>
      </c>
      <c r="L2232" s="1283">
        <f t="shared" si="1915"/>
        <v>0</v>
      </c>
      <c r="M2232" s="1283">
        <f t="shared" si="1915"/>
        <v>0</v>
      </c>
      <c r="N2232" s="1283">
        <f t="shared" si="1915"/>
        <v>0</v>
      </c>
      <c r="O2232" s="1283">
        <f t="shared" si="1915"/>
        <v>0</v>
      </c>
      <c r="P2232" s="1283">
        <f t="shared" si="1915"/>
        <v>0</v>
      </c>
      <c r="Q2232" s="1283">
        <f t="shared" si="1915"/>
        <v>0</v>
      </c>
      <c r="R2232" s="1283">
        <f t="shared" si="1915"/>
        <v>0</v>
      </c>
      <c r="S2232" s="1283">
        <f t="shared" si="1915"/>
        <v>0</v>
      </c>
      <c r="T2232" s="1601">
        <f t="shared" si="1915"/>
        <v>0</v>
      </c>
    </row>
    <row r="2233" spans="2:20" ht="13.75" hidden="1" customHeight="1" x14ac:dyDescent="0.2">
      <c r="B2233" s="1665"/>
      <c r="C2233" s="193"/>
      <c r="D2233" s="193"/>
      <c r="E2233" s="193"/>
      <c r="F2233" s="193"/>
      <c r="G2233" s="193"/>
      <c r="H2233" s="254"/>
      <c r="I2233" s="1179">
        <f t="shared" ref="I2233:T2233" si="1916">SUMIF($V$687:$V$690,$B2140&amp;"contratada",I$687:I$690)</f>
        <v>0</v>
      </c>
      <c r="J2233" s="1283">
        <f t="shared" si="1916"/>
        <v>0</v>
      </c>
      <c r="K2233" s="1283">
        <f t="shared" si="1916"/>
        <v>0</v>
      </c>
      <c r="L2233" s="1283">
        <f t="shared" si="1916"/>
        <v>0</v>
      </c>
      <c r="M2233" s="1283">
        <f t="shared" si="1916"/>
        <v>0</v>
      </c>
      <c r="N2233" s="1283">
        <f t="shared" si="1916"/>
        <v>0</v>
      </c>
      <c r="O2233" s="1283">
        <f t="shared" si="1916"/>
        <v>0</v>
      </c>
      <c r="P2233" s="1283">
        <f t="shared" si="1916"/>
        <v>0</v>
      </c>
      <c r="Q2233" s="1283">
        <f t="shared" si="1916"/>
        <v>0</v>
      </c>
      <c r="R2233" s="1283">
        <f t="shared" si="1916"/>
        <v>0</v>
      </c>
      <c r="S2233" s="1283">
        <f t="shared" si="1916"/>
        <v>0</v>
      </c>
      <c r="T2233" s="1601">
        <f t="shared" si="1916"/>
        <v>0</v>
      </c>
    </row>
    <row r="2234" spans="2:20" ht="13.75" hidden="1" customHeight="1" x14ac:dyDescent="0.2">
      <c r="B2234" s="1665"/>
      <c r="C2234" s="193"/>
      <c r="D2234" s="193"/>
      <c r="E2234" s="193"/>
      <c r="F2234" s="193"/>
      <c r="G2234" s="193"/>
      <c r="H2234" s="254"/>
      <c r="I2234" s="1179">
        <f t="shared" ref="I2234:T2234" si="1917">SUMIF($V$687:$V$690,$B2141&amp;"contratada",I$687:I$690)</f>
        <v>0</v>
      </c>
      <c r="J2234" s="1283">
        <f t="shared" si="1917"/>
        <v>0</v>
      </c>
      <c r="K2234" s="1283">
        <f t="shared" si="1917"/>
        <v>0</v>
      </c>
      <c r="L2234" s="1283">
        <f t="shared" si="1917"/>
        <v>0</v>
      </c>
      <c r="M2234" s="1283">
        <f t="shared" si="1917"/>
        <v>0</v>
      </c>
      <c r="N2234" s="1283">
        <f t="shared" si="1917"/>
        <v>0</v>
      </c>
      <c r="O2234" s="1283">
        <f t="shared" si="1917"/>
        <v>0</v>
      </c>
      <c r="P2234" s="1283">
        <f t="shared" si="1917"/>
        <v>0</v>
      </c>
      <c r="Q2234" s="1283">
        <f t="shared" si="1917"/>
        <v>0</v>
      </c>
      <c r="R2234" s="1283">
        <f t="shared" si="1917"/>
        <v>0</v>
      </c>
      <c r="S2234" s="1283">
        <f t="shared" si="1917"/>
        <v>0</v>
      </c>
      <c r="T2234" s="1601">
        <f t="shared" si="1917"/>
        <v>0</v>
      </c>
    </row>
    <row r="2235" spans="2:20" ht="13.75" hidden="1" customHeight="1" x14ac:dyDescent="0.2">
      <c r="B2235" s="1665"/>
      <c r="C2235" s="193"/>
      <c r="D2235" s="193"/>
      <c r="E2235" s="193"/>
      <c r="F2235" s="193"/>
      <c r="G2235" s="193"/>
      <c r="H2235" s="254"/>
      <c r="I2235" s="1179">
        <f t="shared" ref="I2235:T2235" si="1918">SUMIF($V$687:$V$690,$B2142&amp;"contratada",I$687:I$690)</f>
        <v>0</v>
      </c>
      <c r="J2235" s="1283">
        <f t="shared" si="1918"/>
        <v>0</v>
      </c>
      <c r="K2235" s="1283">
        <f t="shared" si="1918"/>
        <v>0</v>
      </c>
      <c r="L2235" s="1283">
        <f t="shared" si="1918"/>
        <v>0</v>
      </c>
      <c r="M2235" s="1283">
        <f t="shared" si="1918"/>
        <v>0</v>
      </c>
      <c r="N2235" s="1283">
        <f t="shared" si="1918"/>
        <v>0</v>
      </c>
      <c r="O2235" s="1283">
        <f t="shared" si="1918"/>
        <v>0</v>
      </c>
      <c r="P2235" s="1283">
        <f t="shared" si="1918"/>
        <v>0</v>
      </c>
      <c r="Q2235" s="1283">
        <f t="shared" si="1918"/>
        <v>0</v>
      </c>
      <c r="R2235" s="1283">
        <f t="shared" si="1918"/>
        <v>0</v>
      </c>
      <c r="S2235" s="1283">
        <f t="shared" si="1918"/>
        <v>0</v>
      </c>
      <c r="T2235" s="1601">
        <f t="shared" si="1918"/>
        <v>0</v>
      </c>
    </row>
    <row r="2236" spans="2:20" ht="13.75" hidden="1" customHeight="1" x14ac:dyDescent="0.2">
      <c r="B2236" s="1665"/>
      <c r="C2236" s="193"/>
      <c r="D2236" s="193"/>
      <c r="E2236" s="193"/>
      <c r="F2236" s="193"/>
      <c r="G2236" s="193"/>
      <c r="H2236" s="254"/>
      <c r="I2236" s="1179">
        <f t="shared" ref="I2236:T2236" si="1919">SUMIF($V$687:$V$690,$B2143&amp;"contratada",I$687:I$690)</f>
        <v>0</v>
      </c>
      <c r="J2236" s="1283">
        <f t="shared" si="1919"/>
        <v>0</v>
      </c>
      <c r="K2236" s="1283">
        <f t="shared" si="1919"/>
        <v>0</v>
      </c>
      <c r="L2236" s="1283">
        <f t="shared" si="1919"/>
        <v>0</v>
      </c>
      <c r="M2236" s="1283">
        <f t="shared" si="1919"/>
        <v>0</v>
      </c>
      <c r="N2236" s="1283">
        <f t="shared" si="1919"/>
        <v>0</v>
      </c>
      <c r="O2236" s="1283">
        <f t="shared" si="1919"/>
        <v>0</v>
      </c>
      <c r="P2236" s="1283">
        <f t="shared" si="1919"/>
        <v>0</v>
      </c>
      <c r="Q2236" s="1283">
        <f t="shared" si="1919"/>
        <v>0</v>
      </c>
      <c r="R2236" s="1283">
        <f t="shared" si="1919"/>
        <v>0</v>
      </c>
      <c r="S2236" s="1283">
        <f t="shared" si="1919"/>
        <v>0</v>
      </c>
      <c r="T2236" s="1601">
        <f t="shared" si="1919"/>
        <v>0</v>
      </c>
    </row>
    <row r="2237" spans="2:20" ht="13.75" hidden="1" customHeight="1" x14ac:dyDescent="0.2">
      <c r="B2237" s="1665"/>
      <c r="C2237" s="193"/>
      <c r="D2237" s="193"/>
      <c r="E2237" s="193"/>
      <c r="F2237" s="193"/>
      <c r="G2237" s="193"/>
      <c r="H2237" s="254"/>
      <c r="I2237" s="1179">
        <f t="shared" ref="I2237:T2237" si="1920">SUMIF($V$687:$V$690,$B2144&amp;"contratada",I$687:I$690)</f>
        <v>0</v>
      </c>
      <c r="J2237" s="1283">
        <f t="shared" si="1920"/>
        <v>0</v>
      </c>
      <c r="K2237" s="1283">
        <f t="shared" si="1920"/>
        <v>0</v>
      </c>
      <c r="L2237" s="1283">
        <f t="shared" si="1920"/>
        <v>0</v>
      </c>
      <c r="M2237" s="1283">
        <f t="shared" si="1920"/>
        <v>0</v>
      </c>
      <c r="N2237" s="1283">
        <f t="shared" si="1920"/>
        <v>0</v>
      </c>
      <c r="O2237" s="1283">
        <f t="shared" si="1920"/>
        <v>0</v>
      </c>
      <c r="P2237" s="1283">
        <f t="shared" si="1920"/>
        <v>0</v>
      </c>
      <c r="Q2237" s="1283">
        <f t="shared" si="1920"/>
        <v>0</v>
      </c>
      <c r="R2237" s="1283">
        <f t="shared" si="1920"/>
        <v>0</v>
      </c>
      <c r="S2237" s="1283">
        <f t="shared" si="1920"/>
        <v>0</v>
      </c>
      <c r="T2237" s="1601">
        <f t="shared" si="1920"/>
        <v>0</v>
      </c>
    </row>
    <row r="2238" spans="2:20" ht="13.75" hidden="1" customHeight="1" x14ac:dyDescent="0.2">
      <c r="B2238" s="1665"/>
      <c r="C2238" s="193"/>
      <c r="D2238" s="193"/>
      <c r="E2238" s="193"/>
      <c r="F2238" s="193"/>
      <c r="G2238" s="193"/>
      <c r="H2238" s="254"/>
      <c r="I2238" s="1179">
        <f t="shared" ref="I2238:T2238" si="1921">SUMIF($V$687:$V$690,$B2145&amp;"contratada",I$687:I$690)</f>
        <v>0</v>
      </c>
      <c r="J2238" s="1283">
        <f t="shared" si="1921"/>
        <v>0</v>
      </c>
      <c r="K2238" s="1283">
        <f t="shared" si="1921"/>
        <v>0</v>
      </c>
      <c r="L2238" s="1283">
        <f t="shared" si="1921"/>
        <v>0</v>
      </c>
      <c r="M2238" s="1283">
        <f t="shared" si="1921"/>
        <v>0</v>
      </c>
      <c r="N2238" s="1283">
        <f t="shared" si="1921"/>
        <v>0</v>
      </c>
      <c r="O2238" s="1283">
        <f t="shared" si="1921"/>
        <v>0</v>
      </c>
      <c r="P2238" s="1283">
        <f t="shared" si="1921"/>
        <v>0</v>
      </c>
      <c r="Q2238" s="1283">
        <f t="shared" si="1921"/>
        <v>0</v>
      </c>
      <c r="R2238" s="1283">
        <f t="shared" si="1921"/>
        <v>0</v>
      </c>
      <c r="S2238" s="1283">
        <f t="shared" si="1921"/>
        <v>0</v>
      </c>
      <c r="T2238" s="1601">
        <f t="shared" si="1921"/>
        <v>0</v>
      </c>
    </row>
    <row r="2239" spans="2:20" ht="13.75" hidden="1" customHeight="1" x14ac:dyDescent="0.2">
      <c r="B2239" s="1665"/>
      <c r="C2239" s="193"/>
      <c r="D2239" s="193"/>
      <c r="E2239" s="193"/>
      <c r="F2239" s="193"/>
      <c r="G2239" s="193"/>
      <c r="H2239" s="254"/>
      <c r="I2239" s="1179">
        <f t="shared" ref="I2239:T2239" si="1922">SUMIF($V$687:$V$690,$B2146&amp;"contratada",I$687:I$690)</f>
        <v>0</v>
      </c>
      <c r="J2239" s="1283">
        <f t="shared" si="1922"/>
        <v>0</v>
      </c>
      <c r="K2239" s="1283">
        <f t="shared" si="1922"/>
        <v>0</v>
      </c>
      <c r="L2239" s="1283">
        <f t="shared" si="1922"/>
        <v>0</v>
      </c>
      <c r="M2239" s="1283">
        <f t="shared" si="1922"/>
        <v>0</v>
      </c>
      <c r="N2239" s="1283">
        <f t="shared" si="1922"/>
        <v>0</v>
      </c>
      <c r="O2239" s="1283">
        <f t="shared" si="1922"/>
        <v>0</v>
      </c>
      <c r="P2239" s="1283">
        <f t="shared" si="1922"/>
        <v>0</v>
      </c>
      <c r="Q2239" s="1283">
        <f t="shared" si="1922"/>
        <v>0</v>
      </c>
      <c r="R2239" s="1283">
        <f t="shared" si="1922"/>
        <v>0</v>
      </c>
      <c r="S2239" s="1283">
        <f t="shared" si="1922"/>
        <v>0</v>
      </c>
      <c r="T2239" s="1601">
        <f t="shared" si="1922"/>
        <v>0</v>
      </c>
    </row>
    <row r="2240" spans="2:20" ht="13.75" hidden="1" customHeight="1" x14ac:dyDescent="0.2">
      <c r="B2240" s="1665"/>
      <c r="C2240" s="193"/>
      <c r="D2240" s="193"/>
      <c r="E2240" s="193"/>
      <c r="F2240" s="193"/>
      <c r="G2240" s="193"/>
      <c r="H2240" s="254"/>
      <c r="I2240" s="1179">
        <f t="shared" ref="I2240:T2240" si="1923">SUMIF($V$687:$V$690,$B2147&amp;"contratada",I$687:I$690)</f>
        <v>0</v>
      </c>
      <c r="J2240" s="1283">
        <f t="shared" si="1923"/>
        <v>0</v>
      </c>
      <c r="K2240" s="1283">
        <f t="shared" si="1923"/>
        <v>0</v>
      </c>
      <c r="L2240" s="1283">
        <f t="shared" si="1923"/>
        <v>0</v>
      </c>
      <c r="M2240" s="1283">
        <f t="shared" si="1923"/>
        <v>0</v>
      </c>
      <c r="N2240" s="1283">
        <f t="shared" si="1923"/>
        <v>0</v>
      </c>
      <c r="O2240" s="1283">
        <f t="shared" si="1923"/>
        <v>0</v>
      </c>
      <c r="P2240" s="1283">
        <f t="shared" si="1923"/>
        <v>0</v>
      </c>
      <c r="Q2240" s="1283">
        <f t="shared" si="1923"/>
        <v>0</v>
      </c>
      <c r="R2240" s="1283">
        <f t="shared" si="1923"/>
        <v>0</v>
      </c>
      <c r="S2240" s="1283">
        <f t="shared" si="1923"/>
        <v>0</v>
      </c>
      <c r="T2240" s="1601">
        <f t="shared" si="1923"/>
        <v>0</v>
      </c>
    </row>
    <row r="2241" spans="2:31" ht="13.75" hidden="1" customHeight="1" x14ac:dyDescent="0.2">
      <c r="B2241" s="1665"/>
      <c r="C2241" s="193"/>
      <c r="D2241" s="193"/>
      <c r="E2241" s="193"/>
      <c r="F2241" s="193"/>
      <c r="G2241" s="193"/>
      <c r="H2241" s="254"/>
      <c r="I2241" s="1179">
        <f t="shared" ref="I2241:T2241" si="1924">SUMIF($V$687:$V$690,$B2148&amp;"contratada",I$687:I$690)</f>
        <v>0</v>
      </c>
      <c r="J2241" s="1283">
        <f t="shared" si="1924"/>
        <v>0</v>
      </c>
      <c r="K2241" s="1283">
        <f t="shared" si="1924"/>
        <v>0</v>
      </c>
      <c r="L2241" s="1283">
        <f t="shared" si="1924"/>
        <v>0</v>
      </c>
      <c r="M2241" s="1283">
        <f t="shared" si="1924"/>
        <v>0</v>
      </c>
      <c r="N2241" s="1283">
        <f t="shared" si="1924"/>
        <v>0</v>
      </c>
      <c r="O2241" s="1283">
        <f t="shared" si="1924"/>
        <v>0</v>
      </c>
      <c r="P2241" s="1283">
        <f t="shared" si="1924"/>
        <v>0</v>
      </c>
      <c r="Q2241" s="1283">
        <f t="shared" si="1924"/>
        <v>0</v>
      </c>
      <c r="R2241" s="1283">
        <f t="shared" si="1924"/>
        <v>0</v>
      </c>
      <c r="S2241" s="1283">
        <f t="shared" si="1924"/>
        <v>0</v>
      </c>
      <c r="T2241" s="1601">
        <f t="shared" si="1924"/>
        <v>0</v>
      </c>
    </row>
    <row r="2242" spans="2:31" ht="14.4" hidden="1" customHeight="1" thickBot="1" x14ac:dyDescent="0.25">
      <c r="B2242" s="1665"/>
      <c r="C2242" s="193"/>
      <c r="D2242" s="193"/>
      <c r="E2242" s="193"/>
      <c r="F2242" s="193"/>
      <c r="G2242" s="193"/>
      <c r="H2242" s="254"/>
      <c r="I2242" s="377">
        <f t="shared" ref="I2242:T2242" si="1925">SUMIF($V$687:$V$690,$B2149&amp;"contratada",I$687:I$690)</f>
        <v>0</v>
      </c>
      <c r="J2242" s="1200">
        <f t="shared" si="1925"/>
        <v>0</v>
      </c>
      <c r="K2242" s="1200">
        <f t="shared" si="1925"/>
        <v>0</v>
      </c>
      <c r="L2242" s="1200">
        <f t="shared" si="1925"/>
        <v>0</v>
      </c>
      <c r="M2242" s="1200">
        <f t="shared" si="1925"/>
        <v>0</v>
      </c>
      <c r="N2242" s="1200">
        <f t="shared" si="1925"/>
        <v>0</v>
      </c>
      <c r="O2242" s="1200">
        <f t="shared" si="1925"/>
        <v>0</v>
      </c>
      <c r="P2242" s="1200">
        <f t="shared" si="1925"/>
        <v>0</v>
      </c>
      <c r="Q2242" s="1200">
        <f t="shared" si="1925"/>
        <v>0</v>
      </c>
      <c r="R2242" s="1200">
        <f t="shared" si="1925"/>
        <v>0</v>
      </c>
      <c r="S2242" s="1200">
        <f t="shared" si="1925"/>
        <v>0</v>
      </c>
      <c r="T2242" s="1718">
        <f t="shared" si="1925"/>
        <v>0</v>
      </c>
    </row>
    <row r="2243" spans="2:31" ht="13.75" hidden="1" customHeight="1" x14ac:dyDescent="0.2">
      <c r="B2243" s="1732" t="s">
        <v>705</v>
      </c>
      <c r="C2243" s="1733"/>
      <c r="D2243" s="1733"/>
      <c r="E2243" s="1733"/>
      <c r="F2243" s="1733"/>
      <c r="G2243" s="1734" t="s">
        <v>230</v>
      </c>
      <c r="H2243" s="1532"/>
      <c r="I2243" s="1735">
        <f t="shared" ref="I2243:T2243" si="1926">+SUMPRODUCT(I2229:I2242,$C$2136:$C$2149)</f>
        <v>0</v>
      </c>
      <c r="J2243" s="1736">
        <f t="shared" si="1926"/>
        <v>0</v>
      </c>
      <c r="K2243" s="1736">
        <f t="shared" si="1926"/>
        <v>0</v>
      </c>
      <c r="L2243" s="1736">
        <f t="shared" si="1926"/>
        <v>0</v>
      </c>
      <c r="M2243" s="1736">
        <f t="shared" si="1926"/>
        <v>0</v>
      </c>
      <c r="N2243" s="1736">
        <f t="shared" si="1926"/>
        <v>0</v>
      </c>
      <c r="O2243" s="1736">
        <f t="shared" si="1926"/>
        <v>0</v>
      </c>
      <c r="P2243" s="1736">
        <f t="shared" si="1926"/>
        <v>0</v>
      </c>
      <c r="Q2243" s="1736">
        <f t="shared" si="1926"/>
        <v>0</v>
      </c>
      <c r="R2243" s="1736">
        <f t="shared" si="1926"/>
        <v>0</v>
      </c>
      <c r="S2243" s="1736">
        <f t="shared" si="1926"/>
        <v>0</v>
      </c>
      <c r="T2243" s="1737">
        <f t="shared" si="1926"/>
        <v>0</v>
      </c>
      <c r="Y2243" s="359"/>
      <c r="AE2243" s="232"/>
    </row>
    <row r="2244" spans="2:31" ht="13.75" hidden="1" customHeight="1" x14ac:dyDescent="0.2">
      <c r="B2244" s="1728"/>
      <c r="C2244" s="970"/>
      <c r="D2244" s="970"/>
      <c r="E2244" s="970"/>
      <c r="F2244" s="970"/>
      <c r="G2244" s="982" t="s">
        <v>698</v>
      </c>
      <c r="I2244" s="1725">
        <f t="shared" ref="I2244:T2244" si="1927">IFERROR(I2243*I2227/I2226,0)</f>
        <v>0</v>
      </c>
      <c r="J2244" s="1726">
        <f t="shared" si="1927"/>
        <v>0</v>
      </c>
      <c r="K2244" s="1726">
        <f t="shared" si="1927"/>
        <v>0</v>
      </c>
      <c r="L2244" s="1726">
        <f t="shared" si="1927"/>
        <v>0</v>
      </c>
      <c r="M2244" s="1726">
        <f t="shared" si="1927"/>
        <v>0</v>
      </c>
      <c r="N2244" s="1726">
        <f t="shared" si="1927"/>
        <v>0</v>
      </c>
      <c r="O2244" s="1726">
        <f t="shared" si="1927"/>
        <v>0</v>
      </c>
      <c r="P2244" s="1726">
        <f t="shared" si="1927"/>
        <v>0</v>
      </c>
      <c r="Q2244" s="1726">
        <f t="shared" si="1927"/>
        <v>0</v>
      </c>
      <c r="R2244" s="1726">
        <f t="shared" si="1927"/>
        <v>0</v>
      </c>
      <c r="S2244" s="1726">
        <f t="shared" si="1927"/>
        <v>0</v>
      </c>
      <c r="T2244" s="1727">
        <f t="shared" si="1927"/>
        <v>0</v>
      </c>
      <c r="Y2244" s="359"/>
      <c r="AE2244" s="232"/>
    </row>
    <row r="2245" spans="2:31" ht="14.4" hidden="1" customHeight="1" thickBot="1" x14ac:dyDescent="0.25">
      <c r="B2245" s="1728"/>
      <c r="C2245" s="970"/>
      <c r="D2245" s="970"/>
      <c r="E2245" s="970"/>
      <c r="F2245" s="970"/>
      <c r="G2245" s="982" t="s">
        <v>699</v>
      </c>
      <c r="I2245" s="1729">
        <f t="shared" ref="I2245:T2245" si="1928">+I2243-I2244</f>
        <v>0</v>
      </c>
      <c r="J2245" s="1730">
        <f t="shared" si="1928"/>
        <v>0</v>
      </c>
      <c r="K2245" s="1730">
        <f t="shared" si="1928"/>
        <v>0</v>
      </c>
      <c r="L2245" s="1730">
        <f t="shared" si="1928"/>
        <v>0</v>
      </c>
      <c r="M2245" s="1730">
        <f t="shared" si="1928"/>
        <v>0</v>
      </c>
      <c r="N2245" s="1730">
        <f t="shared" si="1928"/>
        <v>0</v>
      </c>
      <c r="O2245" s="1730">
        <f t="shared" si="1928"/>
        <v>0</v>
      </c>
      <c r="P2245" s="1730">
        <f t="shared" si="1928"/>
        <v>0</v>
      </c>
      <c r="Q2245" s="1730">
        <f t="shared" si="1928"/>
        <v>0</v>
      </c>
      <c r="R2245" s="1730">
        <f t="shared" si="1928"/>
        <v>0</v>
      </c>
      <c r="S2245" s="1730">
        <f t="shared" si="1928"/>
        <v>0</v>
      </c>
      <c r="T2245" s="1731">
        <f t="shared" si="1928"/>
        <v>0</v>
      </c>
      <c r="Y2245" s="359"/>
      <c r="AE2245" s="232"/>
    </row>
    <row r="2246" spans="2:31" ht="14.4" hidden="1" customHeight="1" thickTop="1" x14ac:dyDescent="0.2">
      <c r="B2246" s="1724" t="s">
        <v>812</v>
      </c>
      <c r="C2246" s="1194"/>
      <c r="D2246" s="1194"/>
      <c r="E2246" s="1194"/>
      <c r="F2246" s="1210"/>
      <c r="G2246" s="1641" t="s">
        <v>813</v>
      </c>
      <c r="H2246" s="1210"/>
      <c r="I2246" s="1667">
        <f t="shared" ref="I2246:T2246" si="1929">+SUM(I688:I690,$F$688:$F$690)</f>
        <v>0</v>
      </c>
      <c r="J2246" s="1668">
        <f t="shared" si="1929"/>
        <v>0</v>
      </c>
      <c r="K2246" s="1668">
        <f t="shared" si="1929"/>
        <v>0</v>
      </c>
      <c r="L2246" s="1668">
        <f t="shared" si="1929"/>
        <v>0</v>
      </c>
      <c r="M2246" s="1668">
        <f t="shared" si="1929"/>
        <v>0</v>
      </c>
      <c r="N2246" s="1668">
        <f t="shared" si="1929"/>
        <v>0</v>
      </c>
      <c r="O2246" s="1668">
        <f t="shared" si="1929"/>
        <v>0</v>
      </c>
      <c r="P2246" s="1668">
        <f t="shared" si="1929"/>
        <v>0</v>
      </c>
      <c r="Q2246" s="1668">
        <f t="shared" si="1929"/>
        <v>0</v>
      </c>
      <c r="R2246" s="1668">
        <f t="shared" si="1929"/>
        <v>0</v>
      </c>
      <c r="S2246" s="1668">
        <f t="shared" si="1929"/>
        <v>0</v>
      </c>
      <c r="T2246" s="1704">
        <f t="shared" si="1929"/>
        <v>0</v>
      </c>
    </row>
    <row r="2247" spans="2:31" ht="13.75" hidden="1" customHeight="1" x14ac:dyDescent="0.2">
      <c r="B2247" s="1594"/>
      <c r="C2247" s="193"/>
      <c r="D2247" s="193"/>
      <c r="E2247" s="193"/>
      <c r="F2247" s="193"/>
      <c r="G2247" s="254" t="s">
        <v>698</v>
      </c>
      <c r="H2247" s="254"/>
      <c r="I2247" s="1179">
        <f t="shared" ref="I2247:T2247" si="1930">IFERROR(I2246*(I2227/I2226),0)</f>
        <v>0</v>
      </c>
      <c r="J2247" s="1283">
        <f t="shared" si="1930"/>
        <v>0</v>
      </c>
      <c r="K2247" s="1283">
        <f t="shared" si="1930"/>
        <v>0</v>
      </c>
      <c r="L2247" s="1283">
        <f t="shared" si="1930"/>
        <v>0</v>
      </c>
      <c r="M2247" s="1283">
        <f t="shared" si="1930"/>
        <v>0</v>
      </c>
      <c r="N2247" s="1283">
        <f t="shared" si="1930"/>
        <v>0</v>
      </c>
      <c r="O2247" s="1283">
        <f t="shared" si="1930"/>
        <v>0</v>
      </c>
      <c r="P2247" s="1283">
        <f t="shared" si="1930"/>
        <v>0</v>
      </c>
      <c r="Q2247" s="1283">
        <f t="shared" si="1930"/>
        <v>0</v>
      </c>
      <c r="R2247" s="1283">
        <f t="shared" si="1930"/>
        <v>0</v>
      </c>
      <c r="S2247" s="1283">
        <f t="shared" si="1930"/>
        <v>0</v>
      </c>
      <c r="T2247" s="1601">
        <f t="shared" si="1930"/>
        <v>0</v>
      </c>
    </row>
    <row r="2248" spans="2:31" ht="14.4" hidden="1" customHeight="1" thickBot="1" x14ac:dyDescent="0.25">
      <c r="B2248" s="1596"/>
      <c r="C2248" s="1199"/>
      <c r="D2248" s="1199"/>
      <c r="E2248" s="1199"/>
      <c r="F2248" s="1199"/>
      <c r="G2248" s="1209" t="s">
        <v>699</v>
      </c>
      <c r="H2248" s="1209"/>
      <c r="I2248" s="1654">
        <f t="shared" ref="I2248:T2248" si="1931">IFERROR(I2247*(I2228/I2226),0)</f>
        <v>0</v>
      </c>
      <c r="J2248" s="1590">
        <f t="shared" si="1931"/>
        <v>0</v>
      </c>
      <c r="K2248" s="1590">
        <f t="shared" si="1931"/>
        <v>0</v>
      </c>
      <c r="L2248" s="1590">
        <f t="shared" si="1931"/>
        <v>0</v>
      </c>
      <c r="M2248" s="1590">
        <f t="shared" si="1931"/>
        <v>0</v>
      </c>
      <c r="N2248" s="1590">
        <f t="shared" si="1931"/>
        <v>0</v>
      </c>
      <c r="O2248" s="1590">
        <f t="shared" si="1931"/>
        <v>0</v>
      </c>
      <c r="P2248" s="1590">
        <f t="shared" si="1931"/>
        <v>0</v>
      </c>
      <c r="Q2248" s="1590">
        <f t="shared" si="1931"/>
        <v>0</v>
      </c>
      <c r="R2248" s="1590">
        <f t="shared" si="1931"/>
        <v>0</v>
      </c>
      <c r="S2248" s="1590">
        <f t="shared" si="1931"/>
        <v>0</v>
      </c>
      <c r="T2248" s="1655">
        <f t="shared" si="1931"/>
        <v>0</v>
      </c>
    </row>
    <row r="2249" spans="2:31" ht="14.4" hidden="1" customHeight="1" thickTop="1" x14ac:dyDescent="0.2">
      <c r="B2249" s="1724" t="s">
        <v>797</v>
      </c>
      <c r="C2249" s="1194"/>
      <c r="D2249" s="1194"/>
      <c r="E2249" s="1581">
        <f>+B691</f>
        <v>0</v>
      </c>
      <c r="F2249" s="232"/>
      <c r="G2249" s="1194" t="s">
        <v>791</v>
      </c>
      <c r="H2249" s="1194"/>
      <c r="I2249" s="1668">
        <f t="shared" ref="I2249:T2249" si="1932">+I2250+I2251</f>
        <v>0</v>
      </c>
      <c r="J2249" s="1668">
        <f t="shared" si="1932"/>
        <v>0</v>
      </c>
      <c r="K2249" s="1668">
        <f t="shared" si="1932"/>
        <v>0</v>
      </c>
      <c r="L2249" s="1668">
        <f t="shared" si="1932"/>
        <v>0</v>
      </c>
      <c r="M2249" s="1668">
        <f t="shared" si="1932"/>
        <v>0</v>
      </c>
      <c r="N2249" s="1668">
        <f t="shared" si="1932"/>
        <v>0</v>
      </c>
      <c r="O2249" s="1668">
        <f t="shared" si="1932"/>
        <v>0</v>
      </c>
      <c r="P2249" s="1668">
        <f t="shared" si="1932"/>
        <v>0</v>
      </c>
      <c r="Q2249" s="1668">
        <f t="shared" si="1932"/>
        <v>0</v>
      </c>
      <c r="R2249" s="1668">
        <f t="shared" si="1932"/>
        <v>0</v>
      </c>
      <c r="S2249" s="1668">
        <f t="shared" si="1932"/>
        <v>0</v>
      </c>
      <c r="T2249" s="1704">
        <f t="shared" si="1932"/>
        <v>0</v>
      </c>
    </row>
    <row r="2250" spans="2:31" ht="13.75" hidden="1" customHeight="1" x14ac:dyDescent="0.2">
      <c r="B2250" s="1594" t="s">
        <v>798</v>
      </c>
      <c r="C2250" s="193"/>
      <c r="D2250" s="193"/>
      <c r="E2250" s="193"/>
      <c r="F2250" s="232"/>
      <c r="G2250" s="193" t="s">
        <v>793</v>
      </c>
      <c r="H2250" s="193"/>
      <c r="I2250" s="1283">
        <f>VLOOKUP($E$2249,UsoSuelo!$E$1366:$Q$1377,I$2156,FALSE)</f>
        <v>0</v>
      </c>
      <c r="J2250" s="1283">
        <f>VLOOKUP($E$2249,UsoSuelo!$E$1366:$Q$1377,J$2156,FALSE)</f>
        <v>0</v>
      </c>
      <c r="K2250" s="1283">
        <f>VLOOKUP($E$2249,UsoSuelo!$E$1366:$Q$1377,K$2156,FALSE)</f>
        <v>0</v>
      </c>
      <c r="L2250" s="1283">
        <f>VLOOKUP($E$2249,UsoSuelo!$E$1366:$Q$1377,L$2156,FALSE)</f>
        <v>0</v>
      </c>
      <c r="M2250" s="1283">
        <f>VLOOKUP($E$2249,UsoSuelo!$E$1366:$Q$1377,M$2156,FALSE)</f>
        <v>0</v>
      </c>
      <c r="N2250" s="1283">
        <f>VLOOKUP($E$2249,UsoSuelo!$E$1366:$Q$1377,N$2156,FALSE)</f>
        <v>0</v>
      </c>
      <c r="O2250" s="1283">
        <f>VLOOKUP($E$2249,UsoSuelo!$E$1366:$Q$1377,O$2156,FALSE)</f>
        <v>0</v>
      </c>
      <c r="P2250" s="1283">
        <f>VLOOKUP($E$2249,UsoSuelo!$E$1366:$Q$1377,P$2156,FALSE)</f>
        <v>0</v>
      </c>
      <c r="Q2250" s="1283">
        <f>VLOOKUP($E$2249,UsoSuelo!$E$1366:$Q$1377,Q$2156,FALSE)</f>
        <v>0</v>
      </c>
      <c r="R2250" s="1283">
        <f>VLOOKUP($E$2249,UsoSuelo!$E$1366:$Q$1377,R$2156,FALSE)</f>
        <v>0</v>
      </c>
      <c r="S2250" s="1283">
        <f>VLOOKUP($E$2249,UsoSuelo!$E$1366:$Q$1377,S$2156,FALSE)</f>
        <v>0</v>
      </c>
      <c r="T2250" s="1601">
        <f>VLOOKUP($E$2249,UsoSuelo!$E$1366:$Q$1377,T$2156,FALSE)</f>
        <v>0</v>
      </c>
    </row>
    <row r="2251" spans="2:31" ht="14.4" hidden="1" customHeight="1" thickBot="1" x14ac:dyDescent="0.25">
      <c r="B2251" s="1596"/>
      <c r="C2251" s="1199"/>
      <c r="D2251" s="1199"/>
      <c r="E2251" s="1199"/>
      <c r="F2251" s="232"/>
      <c r="G2251" s="1199" t="s">
        <v>792</v>
      </c>
      <c r="H2251" s="1199"/>
      <c r="I2251" s="1590">
        <f>VLOOKUP($E$2249,UsoSuelo!$E$1383:$Q$1394,I$2156,FALSE)</f>
        <v>0</v>
      </c>
      <c r="J2251" s="1590">
        <f>VLOOKUP($E$2249,UsoSuelo!$E$1383:$Q$1394,J$2156,FALSE)</f>
        <v>0</v>
      </c>
      <c r="K2251" s="1590">
        <f>VLOOKUP($E$2249,UsoSuelo!$E$1383:$Q$1394,K$2156,FALSE)</f>
        <v>0</v>
      </c>
      <c r="L2251" s="1590">
        <f>VLOOKUP($E$2249,UsoSuelo!$E$1383:$Q$1394,L$2156,FALSE)</f>
        <v>0</v>
      </c>
      <c r="M2251" s="1590">
        <f>VLOOKUP($E$2249,UsoSuelo!$E$1383:$Q$1394,M$2156,FALSE)</f>
        <v>0</v>
      </c>
      <c r="N2251" s="1590">
        <f>VLOOKUP($E$2249,UsoSuelo!$E$1383:$Q$1394,N$2156,FALSE)</f>
        <v>0</v>
      </c>
      <c r="O2251" s="1590">
        <f>VLOOKUP($E$2249,UsoSuelo!$E$1383:$Q$1394,O$2156,FALSE)</f>
        <v>0</v>
      </c>
      <c r="P2251" s="1590">
        <f>VLOOKUP($E$2249,UsoSuelo!$E$1383:$Q$1394,P$2156,FALSE)</f>
        <v>0</v>
      </c>
      <c r="Q2251" s="1590">
        <f>VLOOKUP($E$2249,UsoSuelo!$E$1383:$Q$1394,Q$2156,FALSE)</f>
        <v>0</v>
      </c>
      <c r="R2251" s="1590">
        <f>VLOOKUP($E$2249,UsoSuelo!$E$1383:$Q$1394,R$2156,FALSE)</f>
        <v>0</v>
      </c>
      <c r="S2251" s="1590">
        <f>VLOOKUP($E$2249,UsoSuelo!$E$1383:$Q$1394,S$2156,FALSE)</f>
        <v>0</v>
      </c>
      <c r="T2251" s="1655">
        <f>VLOOKUP($E$2249,UsoSuelo!$E$1383:$Q$1394,T$2156,FALSE)</f>
        <v>0</v>
      </c>
    </row>
    <row r="2252" spans="2:31" ht="14.4" hidden="1" customHeight="1" thickTop="1" x14ac:dyDescent="0.2">
      <c r="B2252" s="1664"/>
      <c r="C2252" s="1194"/>
      <c r="D2252" s="1194"/>
      <c r="E2252" s="1194"/>
      <c r="F2252" s="1194"/>
      <c r="G2252" s="1194"/>
      <c r="H2252" s="1210"/>
      <c r="I2252" s="1667">
        <f t="shared" ref="I2252:T2252" si="1933">SUMIF($V$692:$V$695,$B2136&amp;"contratada",I$692:I$695)</f>
        <v>0</v>
      </c>
      <c r="J2252" s="1668">
        <f t="shared" si="1933"/>
        <v>0</v>
      </c>
      <c r="K2252" s="1668">
        <f t="shared" si="1933"/>
        <v>0</v>
      </c>
      <c r="L2252" s="1668">
        <f t="shared" si="1933"/>
        <v>0</v>
      </c>
      <c r="M2252" s="1668">
        <f t="shared" si="1933"/>
        <v>0</v>
      </c>
      <c r="N2252" s="1668">
        <f t="shared" si="1933"/>
        <v>0</v>
      </c>
      <c r="O2252" s="1668">
        <f t="shared" si="1933"/>
        <v>0</v>
      </c>
      <c r="P2252" s="1668">
        <f t="shared" si="1933"/>
        <v>0</v>
      </c>
      <c r="Q2252" s="1668">
        <f t="shared" si="1933"/>
        <v>0</v>
      </c>
      <c r="R2252" s="1668">
        <f t="shared" si="1933"/>
        <v>0</v>
      </c>
      <c r="S2252" s="1668">
        <f t="shared" si="1933"/>
        <v>0</v>
      </c>
      <c r="T2252" s="1704">
        <f t="shared" si="1933"/>
        <v>0</v>
      </c>
    </row>
    <row r="2253" spans="2:31" ht="13.75" hidden="1" customHeight="1" x14ac:dyDescent="0.2">
      <c r="B2253" s="1665"/>
      <c r="C2253" s="193"/>
      <c r="D2253" s="193"/>
      <c r="E2253" s="193"/>
      <c r="F2253" s="193"/>
      <c r="G2253" s="193"/>
      <c r="H2253" s="254"/>
      <c r="I2253" s="1179">
        <f t="shared" ref="I2253:T2253" si="1934">SUMIF($V$692:$V$695,$B2137&amp;"contratada",I$692:I$695)</f>
        <v>0</v>
      </c>
      <c r="J2253" s="1283">
        <f t="shared" si="1934"/>
        <v>0</v>
      </c>
      <c r="K2253" s="1283">
        <f t="shared" si="1934"/>
        <v>0</v>
      </c>
      <c r="L2253" s="1283">
        <f t="shared" si="1934"/>
        <v>0</v>
      </c>
      <c r="M2253" s="1283">
        <f t="shared" si="1934"/>
        <v>0</v>
      </c>
      <c r="N2253" s="1283">
        <f t="shared" si="1934"/>
        <v>0</v>
      </c>
      <c r="O2253" s="1283">
        <f t="shared" si="1934"/>
        <v>0</v>
      </c>
      <c r="P2253" s="1283">
        <f t="shared" si="1934"/>
        <v>0</v>
      </c>
      <c r="Q2253" s="1283">
        <f t="shared" si="1934"/>
        <v>0</v>
      </c>
      <c r="R2253" s="1283">
        <f t="shared" si="1934"/>
        <v>0</v>
      </c>
      <c r="S2253" s="1283">
        <f t="shared" si="1934"/>
        <v>0</v>
      </c>
      <c r="T2253" s="1601">
        <f t="shared" si="1934"/>
        <v>0</v>
      </c>
    </row>
    <row r="2254" spans="2:31" ht="13.75" hidden="1" customHeight="1" x14ac:dyDescent="0.2">
      <c r="B2254" s="1665"/>
      <c r="C2254" s="193"/>
      <c r="D2254" s="193"/>
      <c r="E2254" s="193"/>
      <c r="F2254" s="193"/>
      <c r="G2254" s="193"/>
      <c r="H2254" s="254"/>
      <c r="I2254" s="1179">
        <f t="shared" ref="I2254:T2254" si="1935">SUMIF($V$692:$V$695,$B2138&amp;"contratada",I$692:I$695)</f>
        <v>0</v>
      </c>
      <c r="J2254" s="1283">
        <f t="shared" si="1935"/>
        <v>0</v>
      </c>
      <c r="K2254" s="1283">
        <f t="shared" si="1935"/>
        <v>0</v>
      </c>
      <c r="L2254" s="1283">
        <f t="shared" si="1935"/>
        <v>0</v>
      </c>
      <c r="M2254" s="1283">
        <f t="shared" si="1935"/>
        <v>0</v>
      </c>
      <c r="N2254" s="1283">
        <f t="shared" si="1935"/>
        <v>0</v>
      </c>
      <c r="O2254" s="1283">
        <f t="shared" si="1935"/>
        <v>0</v>
      </c>
      <c r="P2254" s="1283">
        <f t="shared" si="1935"/>
        <v>0</v>
      </c>
      <c r="Q2254" s="1283">
        <f t="shared" si="1935"/>
        <v>0</v>
      </c>
      <c r="R2254" s="1283">
        <f t="shared" si="1935"/>
        <v>0</v>
      </c>
      <c r="S2254" s="1283">
        <f t="shared" si="1935"/>
        <v>0</v>
      </c>
      <c r="T2254" s="1601">
        <f t="shared" si="1935"/>
        <v>0</v>
      </c>
    </row>
    <row r="2255" spans="2:31" ht="13.75" hidden="1" customHeight="1" x14ac:dyDescent="0.2">
      <c r="B2255" s="1665"/>
      <c r="C2255" s="193"/>
      <c r="D2255" s="193"/>
      <c r="E2255" s="193"/>
      <c r="F2255" s="193"/>
      <c r="G2255" s="193"/>
      <c r="H2255" s="254"/>
      <c r="I2255" s="1179">
        <f t="shared" ref="I2255:T2255" si="1936">SUMIF($V$692:$V$695,$B2139&amp;"contratada",I$692:I$695)</f>
        <v>0</v>
      </c>
      <c r="J2255" s="1283">
        <f t="shared" si="1936"/>
        <v>0</v>
      </c>
      <c r="K2255" s="1283">
        <f t="shared" si="1936"/>
        <v>0</v>
      </c>
      <c r="L2255" s="1283">
        <f t="shared" si="1936"/>
        <v>0</v>
      </c>
      <c r="M2255" s="1283">
        <f t="shared" si="1936"/>
        <v>0</v>
      </c>
      <c r="N2255" s="1283">
        <f t="shared" si="1936"/>
        <v>0</v>
      </c>
      <c r="O2255" s="1283">
        <f t="shared" si="1936"/>
        <v>0</v>
      </c>
      <c r="P2255" s="1283">
        <f t="shared" si="1936"/>
        <v>0</v>
      </c>
      <c r="Q2255" s="1283">
        <f t="shared" si="1936"/>
        <v>0</v>
      </c>
      <c r="R2255" s="1283">
        <f t="shared" si="1936"/>
        <v>0</v>
      </c>
      <c r="S2255" s="1283">
        <f t="shared" si="1936"/>
        <v>0</v>
      </c>
      <c r="T2255" s="1601">
        <f t="shared" si="1936"/>
        <v>0</v>
      </c>
    </row>
    <row r="2256" spans="2:31" ht="13.75" hidden="1" customHeight="1" x14ac:dyDescent="0.2">
      <c r="B2256" s="1665"/>
      <c r="C2256" s="193"/>
      <c r="D2256" s="193"/>
      <c r="E2256" s="193"/>
      <c r="F2256" s="193"/>
      <c r="G2256" s="193"/>
      <c r="H2256" s="254"/>
      <c r="I2256" s="1179">
        <f t="shared" ref="I2256:T2256" si="1937">SUMIF($V$692:$V$695,$B2140&amp;"contratada",I$692:I$695)</f>
        <v>0</v>
      </c>
      <c r="J2256" s="1283">
        <f t="shared" si="1937"/>
        <v>0</v>
      </c>
      <c r="K2256" s="1283">
        <f t="shared" si="1937"/>
        <v>0</v>
      </c>
      <c r="L2256" s="1283">
        <f t="shared" si="1937"/>
        <v>0</v>
      </c>
      <c r="M2256" s="1283">
        <f t="shared" si="1937"/>
        <v>0</v>
      </c>
      <c r="N2256" s="1283">
        <f t="shared" si="1937"/>
        <v>0</v>
      </c>
      <c r="O2256" s="1283">
        <f t="shared" si="1937"/>
        <v>0</v>
      </c>
      <c r="P2256" s="1283">
        <f t="shared" si="1937"/>
        <v>0</v>
      </c>
      <c r="Q2256" s="1283">
        <f t="shared" si="1937"/>
        <v>0</v>
      </c>
      <c r="R2256" s="1283">
        <f t="shared" si="1937"/>
        <v>0</v>
      </c>
      <c r="S2256" s="1283">
        <f t="shared" si="1937"/>
        <v>0</v>
      </c>
      <c r="T2256" s="1601">
        <f t="shared" si="1937"/>
        <v>0</v>
      </c>
    </row>
    <row r="2257" spans="2:31" ht="13.75" hidden="1" customHeight="1" x14ac:dyDescent="0.2">
      <c r="B2257" s="1665"/>
      <c r="C2257" s="193"/>
      <c r="D2257" s="193"/>
      <c r="E2257" s="193"/>
      <c r="F2257" s="193"/>
      <c r="G2257" s="193"/>
      <c r="H2257" s="254"/>
      <c r="I2257" s="1179">
        <f t="shared" ref="I2257:T2257" si="1938">SUMIF($V$692:$V$695,$B2141&amp;"contratada",I$692:I$695)</f>
        <v>0</v>
      </c>
      <c r="J2257" s="1283">
        <f t="shared" si="1938"/>
        <v>0</v>
      </c>
      <c r="K2257" s="1283">
        <f t="shared" si="1938"/>
        <v>0</v>
      </c>
      <c r="L2257" s="1283">
        <f t="shared" si="1938"/>
        <v>0</v>
      </c>
      <c r="M2257" s="1283">
        <f t="shared" si="1938"/>
        <v>0</v>
      </c>
      <c r="N2257" s="1283">
        <f t="shared" si="1938"/>
        <v>0</v>
      </c>
      <c r="O2257" s="1283">
        <f t="shared" si="1938"/>
        <v>0</v>
      </c>
      <c r="P2257" s="1283">
        <f t="shared" si="1938"/>
        <v>0</v>
      </c>
      <c r="Q2257" s="1283">
        <f t="shared" si="1938"/>
        <v>0</v>
      </c>
      <c r="R2257" s="1283">
        <f t="shared" si="1938"/>
        <v>0</v>
      </c>
      <c r="S2257" s="1283">
        <f t="shared" si="1938"/>
        <v>0</v>
      </c>
      <c r="T2257" s="1601">
        <f t="shared" si="1938"/>
        <v>0</v>
      </c>
    </row>
    <row r="2258" spans="2:31" ht="13.75" hidden="1" customHeight="1" x14ac:dyDescent="0.2">
      <c r="B2258" s="1665"/>
      <c r="C2258" s="193"/>
      <c r="D2258" s="193"/>
      <c r="E2258" s="193"/>
      <c r="F2258" s="193"/>
      <c r="G2258" s="193"/>
      <c r="H2258" s="254"/>
      <c r="I2258" s="1179">
        <f t="shared" ref="I2258:T2258" si="1939">SUMIF($V$692:$V$695,$B2142&amp;"contratada",I$692:I$695)</f>
        <v>0</v>
      </c>
      <c r="J2258" s="1283">
        <f t="shared" si="1939"/>
        <v>0</v>
      </c>
      <c r="K2258" s="1283">
        <f t="shared" si="1939"/>
        <v>0</v>
      </c>
      <c r="L2258" s="1283">
        <f t="shared" si="1939"/>
        <v>0</v>
      </c>
      <c r="M2258" s="1283">
        <f t="shared" si="1939"/>
        <v>0</v>
      </c>
      <c r="N2258" s="1283">
        <f t="shared" si="1939"/>
        <v>0</v>
      </c>
      <c r="O2258" s="1283">
        <f t="shared" si="1939"/>
        <v>0</v>
      </c>
      <c r="P2258" s="1283">
        <f t="shared" si="1939"/>
        <v>0</v>
      </c>
      <c r="Q2258" s="1283">
        <f t="shared" si="1939"/>
        <v>0</v>
      </c>
      <c r="R2258" s="1283">
        <f t="shared" si="1939"/>
        <v>0</v>
      </c>
      <c r="S2258" s="1283">
        <f t="shared" si="1939"/>
        <v>0</v>
      </c>
      <c r="T2258" s="1601">
        <f t="shared" si="1939"/>
        <v>0</v>
      </c>
    </row>
    <row r="2259" spans="2:31" ht="13.75" hidden="1" customHeight="1" x14ac:dyDescent="0.2">
      <c r="B2259" s="1665"/>
      <c r="C2259" s="193"/>
      <c r="D2259" s="193"/>
      <c r="E2259" s="193"/>
      <c r="F2259" s="193"/>
      <c r="G2259" s="193"/>
      <c r="H2259" s="254"/>
      <c r="I2259" s="1179">
        <f t="shared" ref="I2259:T2259" si="1940">SUMIF($V$692:$V$695,$B2143&amp;"contratada",I$692:I$695)</f>
        <v>0</v>
      </c>
      <c r="J2259" s="1283">
        <f t="shared" si="1940"/>
        <v>0</v>
      </c>
      <c r="K2259" s="1283">
        <f t="shared" si="1940"/>
        <v>0</v>
      </c>
      <c r="L2259" s="1283">
        <f t="shared" si="1940"/>
        <v>0</v>
      </c>
      <c r="M2259" s="1283">
        <f t="shared" si="1940"/>
        <v>0</v>
      </c>
      <c r="N2259" s="1283">
        <f t="shared" si="1940"/>
        <v>0</v>
      </c>
      <c r="O2259" s="1283">
        <f t="shared" si="1940"/>
        <v>0</v>
      </c>
      <c r="P2259" s="1283">
        <f t="shared" si="1940"/>
        <v>0</v>
      </c>
      <c r="Q2259" s="1283">
        <f t="shared" si="1940"/>
        <v>0</v>
      </c>
      <c r="R2259" s="1283">
        <f t="shared" si="1940"/>
        <v>0</v>
      </c>
      <c r="S2259" s="1283">
        <f t="shared" si="1940"/>
        <v>0</v>
      </c>
      <c r="T2259" s="1601">
        <f t="shared" si="1940"/>
        <v>0</v>
      </c>
    </row>
    <row r="2260" spans="2:31" ht="13.75" hidden="1" customHeight="1" x14ac:dyDescent="0.2">
      <c r="B2260" s="1665"/>
      <c r="C2260" s="193"/>
      <c r="D2260" s="193"/>
      <c r="E2260" s="193"/>
      <c r="F2260" s="193"/>
      <c r="G2260" s="193"/>
      <c r="H2260" s="254"/>
      <c r="I2260" s="1179">
        <f t="shared" ref="I2260:T2260" si="1941">SUMIF($V$692:$V$695,$B2144&amp;"contratada",I$692:I$695)</f>
        <v>0</v>
      </c>
      <c r="J2260" s="1283">
        <f t="shared" si="1941"/>
        <v>0</v>
      </c>
      <c r="K2260" s="1283">
        <f t="shared" si="1941"/>
        <v>0</v>
      </c>
      <c r="L2260" s="1283">
        <f t="shared" si="1941"/>
        <v>0</v>
      </c>
      <c r="M2260" s="1283">
        <f t="shared" si="1941"/>
        <v>0</v>
      </c>
      <c r="N2260" s="1283">
        <f t="shared" si="1941"/>
        <v>0</v>
      </c>
      <c r="O2260" s="1283">
        <f t="shared" si="1941"/>
        <v>0</v>
      </c>
      <c r="P2260" s="1283">
        <f t="shared" si="1941"/>
        <v>0</v>
      </c>
      <c r="Q2260" s="1283">
        <f t="shared" si="1941"/>
        <v>0</v>
      </c>
      <c r="R2260" s="1283">
        <f t="shared" si="1941"/>
        <v>0</v>
      </c>
      <c r="S2260" s="1283">
        <f t="shared" si="1941"/>
        <v>0</v>
      </c>
      <c r="T2260" s="1601">
        <f t="shared" si="1941"/>
        <v>0</v>
      </c>
    </row>
    <row r="2261" spans="2:31" ht="13.75" hidden="1" customHeight="1" x14ac:dyDescent="0.2">
      <c r="B2261" s="1665"/>
      <c r="C2261" s="193"/>
      <c r="D2261" s="193"/>
      <c r="E2261" s="193"/>
      <c r="F2261" s="193"/>
      <c r="G2261" s="193"/>
      <c r="H2261" s="254"/>
      <c r="I2261" s="1179">
        <f t="shared" ref="I2261:T2261" si="1942">SUMIF($V$692:$V$695,$B2145&amp;"contratada",I$692:I$695)</f>
        <v>0</v>
      </c>
      <c r="J2261" s="1283">
        <f t="shared" si="1942"/>
        <v>0</v>
      </c>
      <c r="K2261" s="1283">
        <f t="shared" si="1942"/>
        <v>0</v>
      </c>
      <c r="L2261" s="1283">
        <f t="shared" si="1942"/>
        <v>0</v>
      </c>
      <c r="M2261" s="1283">
        <f t="shared" si="1942"/>
        <v>0</v>
      </c>
      <c r="N2261" s="1283">
        <f t="shared" si="1942"/>
        <v>0</v>
      </c>
      <c r="O2261" s="1283">
        <f t="shared" si="1942"/>
        <v>0</v>
      </c>
      <c r="P2261" s="1283">
        <f t="shared" si="1942"/>
        <v>0</v>
      </c>
      <c r="Q2261" s="1283">
        <f t="shared" si="1942"/>
        <v>0</v>
      </c>
      <c r="R2261" s="1283">
        <f t="shared" si="1942"/>
        <v>0</v>
      </c>
      <c r="S2261" s="1283">
        <f t="shared" si="1942"/>
        <v>0</v>
      </c>
      <c r="T2261" s="1601">
        <f t="shared" si="1942"/>
        <v>0</v>
      </c>
    </row>
    <row r="2262" spans="2:31" ht="13.75" hidden="1" customHeight="1" x14ac:dyDescent="0.2">
      <c r="B2262" s="1665"/>
      <c r="C2262" s="193"/>
      <c r="D2262" s="193"/>
      <c r="E2262" s="193"/>
      <c r="F2262" s="193"/>
      <c r="G2262" s="193"/>
      <c r="H2262" s="254"/>
      <c r="I2262" s="1179">
        <f t="shared" ref="I2262:T2262" si="1943">SUMIF($V$692:$V$695,$B2146&amp;"contratada",I$692:I$695)</f>
        <v>0</v>
      </c>
      <c r="J2262" s="1283">
        <f t="shared" si="1943"/>
        <v>0</v>
      </c>
      <c r="K2262" s="1283">
        <f t="shared" si="1943"/>
        <v>0</v>
      </c>
      <c r="L2262" s="1283">
        <f t="shared" si="1943"/>
        <v>0</v>
      </c>
      <c r="M2262" s="1283">
        <f t="shared" si="1943"/>
        <v>0</v>
      </c>
      <c r="N2262" s="1283">
        <f t="shared" si="1943"/>
        <v>0</v>
      </c>
      <c r="O2262" s="1283">
        <f t="shared" si="1943"/>
        <v>0</v>
      </c>
      <c r="P2262" s="1283">
        <f t="shared" si="1943"/>
        <v>0</v>
      </c>
      <c r="Q2262" s="1283">
        <f t="shared" si="1943"/>
        <v>0</v>
      </c>
      <c r="R2262" s="1283">
        <f t="shared" si="1943"/>
        <v>0</v>
      </c>
      <c r="S2262" s="1283">
        <f t="shared" si="1943"/>
        <v>0</v>
      </c>
      <c r="T2262" s="1601">
        <f t="shared" si="1943"/>
        <v>0</v>
      </c>
    </row>
    <row r="2263" spans="2:31" ht="13.75" hidden="1" customHeight="1" x14ac:dyDescent="0.2">
      <c r="B2263" s="1665"/>
      <c r="C2263" s="193"/>
      <c r="D2263" s="193"/>
      <c r="E2263" s="193"/>
      <c r="F2263" s="193"/>
      <c r="G2263" s="193"/>
      <c r="H2263" s="254"/>
      <c r="I2263" s="1179">
        <f t="shared" ref="I2263:T2263" si="1944">SUMIF($V$692:$V$695,$B2147&amp;"contratada",I$692:I$695)</f>
        <v>0</v>
      </c>
      <c r="J2263" s="1283">
        <f t="shared" si="1944"/>
        <v>0</v>
      </c>
      <c r="K2263" s="1283">
        <f t="shared" si="1944"/>
        <v>0</v>
      </c>
      <c r="L2263" s="1283">
        <f t="shared" si="1944"/>
        <v>0</v>
      </c>
      <c r="M2263" s="1283">
        <f t="shared" si="1944"/>
        <v>0</v>
      </c>
      <c r="N2263" s="1283">
        <f t="shared" si="1944"/>
        <v>0</v>
      </c>
      <c r="O2263" s="1283">
        <f t="shared" si="1944"/>
        <v>0</v>
      </c>
      <c r="P2263" s="1283">
        <f t="shared" si="1944"/>
        <v>0</v>
      </c>
      <c r="Q2263" s="1283">
        <f t="shared" si="1944"/>
        <v>0</v>
      </c>
      <c r="R2263" s="1283">
        <f t="shared" si="1944"/>
        <v>0</v>
      </c>
      <c r="S2263" s="1283">
        <f t="shared" si="1944"/>
        <v>0</v>
      </c>
      <c r="T2263" s="1601">
        <f t="shared" si="1944"/>
        <v>0</v>
      </c>
    </row>
    <row r="2264" spans="2:31" ht="13.75" hidden="1" customHeight="1" x14ac:dyDescent="0.2">
      <c r="B2264" s="1665"/>
      <c r="C2264" s="193"/>
      <c r="D2264" s="193"/>
      <c r="E2264" s="193"/>
      <c r="F2264" s="193"/>
      <c r="G2264" s="193"/>
      <c r="H2264" s="254"/>
      <c r="I2264" s="1179">
        <f t="shared" ref="I2264:T2264" si="1945">SUMIF($V$692:$V$695,$B2148&amp;"contratada",I$692:I$695)</f>
        <v>0</v>
      </c>
      <c r="J2264" s="1283">
        <f t="shared" si="1945"/>
        <v>0</v>
      </c>
      <c r="K2264" s="1283">
        <f t="shared" si="1945"/>
        <v>0</v>
      </c>
      <c r="L2264" s="1283">
        <f t="shared" si="1945"/>
        <v>0</v>
      </c>
      <c r="M2264" s="1283">
        <f t="shared" si="1945"/>
        <v>0</v>
      </c>
      <c r="N2264" s="1283">
        <f t="shared" si="1945"/>
        <v>0</v>
      </c>
      <c r="O2264" s="1283">
        <f t="shared" si="1945"/>
        <v>0</v>
      </c>
      <c r="P2264" s="1283">
        <f t="shared" si="1945"/>
        <v>0</v>
      </c>
      <c r="Q2264" s="1283">
        <f t="shared" si="1945"/>
        <v>0</v>
      </c>
      <c r="R2264" s="1283">
        <f t="shared" si="1945"/>
        <v>0</v>
      </c>
      <c r="S2264" s="1283">
        <f t="shared" si="1945"/>
        <v>0</v>
      </c>
      <c r="T2264" s="1601">
        <f t="shared" si="1945"/>
        <v>0</v>
      </c>
    </row>
    <row r="2265" spans="2:31" ht="14.4" hidden="1" customHeight="1" thickBot="1" x14ac:dyDescent="0.25">
      <c r="B2265" s="1665"/>
      <c r="C2265" s="193"/>
      <c r="D2265" s="193"/>
      <c r="E2265" s="193"/>
      <c r="F2265" s="193"/>
      <c r="G2265" s="193"/>
      <c r="H2265" s="254"/>
      <c r="I2265" s="377">
        <f t="shared" ref="I2265:T2265" si="1946">SUMIF($V$692:$V$695,$B2149&amp;"contratada",I$692:I$695)</f>
        <v>0</v>
      </c>
      <c r="J2265" s="1200">
        <f t="shared" si="1946"/>
        <v>0</v>
      </c>
      <c r="K2265" s="1200">
        <f t="shared" si="1946"/>
        <v>0</v>
      </c>
      <c r="L2265" s="1200">
        <f t="shared" si="1946"/>
        <v>0</v>
      </c>
      <c r="M2265" s="1200">
        <f t="shared" si="1946"/>
        <v>0</v>
      </c>
      <c r="N2265" s="1200">
        <f t="shared" si="1946"/>
        <v>0</v>
      </c>
      <c r="O2265" s="1200">
        <f t="shared" si="1946"/>
        <v>0</v>
      </c>
      <c r="P2265" s="1200">
        <f t="shared" si="1946"/>
        <v>0</v>
      </c>
      <c r="Q2265" s="1200">
        <f t="shared" si="1946"/>
        <v>0</v>
      </c>
      <c r="R2265" s="1200">
        <f t="shared" si="1946"/>
        <v>0</v>
      </c>
      <c r="S2265" s="1200">
        <f t="shared" si="1946"/>
        <v>0</v>
      </c>
      <c r="T2265" s="1718">
        <f t="shared" si="1946"/>
        <v>0</v>
      </c>
    </row>
    <row r="2266" spans="2:31" ht="13.75" hidden="1" customHeight="1" x14ac:dyDescent="0.2">
      <c r="B2266" s="1732" t="s">
        <v>705</v>
      </c>
      <c r="C2266" s="1733"/>
      <c r="D2266" s="1733"/>
      <c r="E2266" s="1733"/>
      <c r="F2266" s="1733"/>
      <c r="G2266" s="1734" t="s">
        <v>230</v>
      </c>
      <c r="H2266" s="1532"/>
      <c r="I2266" s="1735">
        <f t="shared" ref="I2266:T2266" si="1947">+SUMPRODUCT(I2252:I2265,$C$2136:$C$2149)</f>
        <v>0</v>
      </c>
      <c r="J2266" s="1736">
        <f t="shared" si="1947"/>
        <v>0</v>
      </c>
      <c r="K2266" s="1736">
        <f t="shared" si="1947"/>
        <v>0</v>
      </c>
      <c r="L2266" s="1736">
        <f t="shared" si="1947"/>
        <v>0</v>
      </c>
      <c r="M2266" s="1736">
        <f t="shared" si="1947"/>
        <v>0</v>
      </c>
      <c r="N2266" s="1736">
        <f t="shared" si="1947"/>
        <v>0</v>
      </c>
      <c r="O2266" s="1736">
        <f t="shared" si="1947"/>
        <v>0</v>
      </c>
      <c r="P2266" s="1736">
        <f t="shared" si="1947"/>
        <v>0</v>
      </c>
      <c r="Q2266" s="1736">
        <f t="shared" si="1947"/>
        <v>0</v>
      </c>
      <c r="R2266" s="1736">
        <f t="shared" si="1947"/>
        <v>0</v>
      </c>
      <c r="S2266" s="1736">
        <f t="shared" si="1947"/>
        <v>0</v>
      </c>
      <c r="T2266" s="1737">
        <f t="shared" si="1947"/>
        <v>0</v>
      </c>
      <c r="Y2266" s="359"/>
      <c r="AE2266" s="232"/>
    </row>
    <row r="2267" spans="2:31" ht="13.75" hidden="1" customHeight="1" x14ac:dyDescent="0.2">
      <c r="B2267" s="1728"/>
      <c r="C2267" s="970"/>
      <c r="D2267" s="970"/>
      <c r="E2267" s="970"/>
      <c r="F2267" s="970"/>
      <c r="G2267" s="982" t="s">
        <v>698</v>
      </c>
      <c r="I2267" s="1725">
        <f t="shared" ref="I2267:T2267" si="1948">IFERROR(I2266*I2250/I2249,0)</f>
        <v>0</v>
      </c>
      <c r="J2267" s="1726">
        <f t="shared" si="1948"/>
        <v>0</v>
      </c>
      <c r="K2267" s="1726">
        <f t="shared" si="1948"/>
        <v>0</v>
      </c>
      <c r="L2267" s="1726">
        <f t="shared" si="1948"/>
        <v>0</v>
      </c>
      <c r="M2267" s="1726">
        <f t="shared" si="1948"/>
        <v>0</v>
      </c>
      <c r="N2267" s="1726">
        <f t="shared" si="1948"/>
        <v>0</v>
      </c>
      <c r="O2267" s="1726">
        <f t="shared" si="1948"/>
        <v>0</v>
      </c>
      <c r="P2267" s="1726">
        <f t="shared" si="1948"/>
        <v>0</v>
      </c>
      <c r="Q2267" s="1726">
        <f t="shared" si="1948"/>
        <v>0</v>
      </c>
      <c r="R2267" s="1726">
        <f t="shared" si="1948"/>
        <v>0</v>
      </c>
      <c r="S2267" s="1726">
        <f t="shared" si="1948"/>
        <v>0</v>
      </c>
      <c r="T2267" s="1727">
        <f t="shared" si="1948"/>
        <v>0</v>
      </c>
      <c r="Y2267" s="359"/>
      <c r="AE2267" s="232"/>
    </row>
    <row r="2268" spans="2:31" ht="14.4" hidden="1" customHeight="1" thickBot="1" x14ac:dyDescent="0.25">
      <c r="B2268" s="1728"/>
      <c r="C2268" s="970"/>
      <c r="D2268" s="970"/>
      <c r="E2268" s="970"/>
      <c r="F2268" s="970"/>
      <c r="G2268" s="982" t="s">
        <v>699</v>
      </c>
      <c r="I2268" s="1729">
        <f t="shared" ref="I2268:T2268" si="1949">+I2266-I2267</f>
        <v>0</v>
      </c>
      <c r="J2268" s="1730">
        <f t="shared" si="1949"/>
        <v>0</v>
      </c>
      <c r="K2268" s="1730">
        <f t="shared" si="1949"/>
        <v>0</v>
      </c>
      <c r="L2268" s="1730">
        <f t="shared" si="1949"/>
        <v>0</v>
      </c>
      <c r="M2268" s="1730">
        <f t="shared" si="1949"/>
        <v>0</v>
      </c>
      <c r="N2268" s="1730">
        <f t="shared" si="1949"/>
        <v>0</v>
      </c>
      <c r="O2268" s="1730">
        <f t="shared" si="1949"/>
        <v>0</v>
      </c>
      <c r="P2268" s="1730">
        <f t="shared" si="1949"/>
        <v>0</v>
      </c>
      <c r="Q2268" s="1730">
        <f t="shared" si="1949"/>
        <v>0</v>
      </c>
      <c r="R2268" s="1730">
        <f t="shared" si="1949"/>
        <v>0</v>
      </c>
      <c r="S2268" s="1730">
        <f t="shared" si="1949"/>
        <v>0</v>
      </c>
      <c r="T2268" s="1731">
        <f t="shared" si="1949"/>
        <v>0</v>
      </c>
      <c r="Y2268" s="359"/>
      <c r="AE2268" s="232"/>
    </row>
    <row r="2269" spans="2:31" ht="14.4" hidden="1" customHeight="1" thickTop="1" x14ac:dyDescent="0.2">
      <c r="B2269" s="1724" t="s">
        <v>812</v>
      </c>
      <c r="C2269" s="1194"/>
      <c r="D2269" s="1194"/>
      <c r="E2269" s="1194"/>
      <c r="F2269" s="1210"/>
      <c r="G2269" s="1641" t="s">
        <v>813</v>
      </c>
      <c r="H2269" s="1210"/>
      <c r="I2269" s="1667">
        <f t="shared" ref="I2269:T2269" si="1950">+SUM(I693:I695,$F$693:$F$695)</f>
        <v>0</v>
      </c>
      <c r="J2269" s="1668">
        <f t="shared" si="1950"/>
        <v>0</v>
      </c>
      <c r="K2269" s="1668">
        <f t="shared" si="1950"/>
        <v>0</v>
      </c>
      <c r="L2269" s="1668">
        <f t="shared" si="1950"/>
        <v>0</v>
      </c>
      <c r="M2269" s="1668">
        <f t="shared" si="1950"/>
        <v>0</v>
      </c>
      <c r="N2269" s="1668">
        <f t="shared" si="1950"/>
        <v>0</v>
      </c>
      <c r="O2269" s="1668">
        <f t="shared" si="1950"/>
        <v>0</v>
      </c>
      <c r="P2269" s="1668">
        <f t="shared" si="1950"/>
        <v>0</v>
      </c>
      <c r="Q2269" s="1668">
        <f t="shared" si="1950"/>
        <v>0</v>
      </c>
      <c r="R2269" s="1668">
        <f t="shared" si="1950"/>
        <v>0</v>
      </c>
      <c r="S2269" s="1668">
        <f t="shared" si="1950"/>
        <v>0</v>
      </c>
      <c r="T2269" s="1704">
        <f t="shared" si="1950"/>
        <v>0</v>
      </c>
    </row>
    <row r="2270" spans="2:31" ht="13.75" hidden="1" customHeight="1" x14ac:dyDescent="0.2">
      <c r="B2270" s="1594"/>
      <c r="C2270" s="193"/>
      <c r="D2270" s="193"/>
      <c r="E2270" s="193"/>
      <c r="F2270" s="193"/>
      <c r="G2270" s="254" t="s">
        <v>698</v>
      </c>
      <c r="H2270" s="254"/>
      <c r="I2270" s="1179">
        <f t="shared" ref="I2270:T2270" si="1951">IFERROR(I2269*(I2250/I2249),0)</f>
        <v>0</v>
      </c>
      <c r="J2270" s="1283">
        <f t="shared" si="1951"/>
        <v>0</v>
      </c>
      <c r="K2270" s="1283">
        <f t="shared" si="1951"/>
        <v>0</v>
      </c>
      <c r="L2270" s="1283">
        <f t="shared" si="1951"/>
        <v>0</v>
      </c>
      <c r="M2270" s="1283">
        <f t="shared" si="1951"/>
        <v>0</v>
      </c>
      <c r="N2270" s="1283">
        <f t="shared" si="1951"/>
        <v>0</v>
      </c>
      <c r="O2270" s="1283">
        <f t="shared" si="1951"/>
        <v>0</v>
      </c>
      <c r="P2270" s="1283">
        <f t="shared" si="1951"/>
        <v>0</v>
      </c>
      <c r="Q2270" s="1283">
        <f t="shared" si="1951"/>
        <v>0</v>
      </c>
      <c r="R2270" s="1283">
        <f t="shared" si="1951"/>
        <v>0</v>
      </c>
      <c r="S2270" s="1283">
        <f t="shared" si="1951"/>
        <v>0</v>
      </c>
      <c r="T2270" s="1601">
        <f t="shared" si="1951"/>
        <v>0</v>
      </c>
    </row>
    <row r="2271" spans="2:31" ht="14.4" hidden="1" customHeight="1" thickBot="1" x14ac:dyDescent="0.25">
      <c r="B2271" s="1596"/>
      <c r="C2271" s="1199"/>
      <c r="D2271" s="1199"/>
      <c r="E2271" s="1199"/>
      <c r="F2271" s="1199"/>
      <c r="G2271" s="1209" t="s">
        <v>699</v>
      </c>
      <c r="H2271" s="1209"/>
      <c r="I2271" s="1654">
        <f t="shared" ref="I2271:T2271" si="1952">IFERROR(I2270*(I2251/I2249),0)</f>
        <v>0</v>
      </c>
      <c r="J2271" s="1590">
        <f t="shared" si="1952"/>
        <v>0</v>
      </c>
      <c r="K2271" s="1590">
        <f t="shared" si="1952"/>
        <v>0</v>
      </c>
      <c r="L2271" s="1590">
        <f t="shared" si="1952"/>
        <v>0</v>
      </c>
      <c r="M2271" s="1590">
        <f t="shared" si="1952"/>
        <v>0</v>
      </c>
      <c r="N2271" s="1590">
        <f t="shared" si="1952"/>
        <v>0</v>
      </c>
      <c r="O2271" s="1590">
        <f t="shared" si="1952"/>
        <v>0</v>
      </c>
      <c r="P2271" s="1590">
        <f t="shared" si="1952"/>
        <v>0</v>
      </c>
      <c r="Q2271" s="1590">
        <f t="shared" si="1952"/>
        <v>0</v>
      </c>
      <c r="R2271" s="1590">
        <f t="shared" si="1952"/>
        <v>0</v>
      </c>
      <c r="S2271" s="1590">
        <f t="shared" si="1952"/>
        <v>0</v>
      </c>
      <c r="T2271" s="1655">
        <f t="shared" si="1952"/>
        <v>0</v>
      </c>
    </row>
    <row r="2272" spans="2:31" ht="14.4" hidden="1" customHeight="1" thickTop="1" x14ac:dyDescent="0.2">
      <c r="B2272" s="1724" t="s">
        <v>797</v>
      </c>
      <c r="C2272" s="1194"/>
      <c r="D2272" s="1194"/>
      <c r="E2272" s="1581" t="str">
        <f>B698</f>
        <v>Avena silo</v>
      </c>
      <c r="F2272" s="232"/>
      <c r="G2272" s="1194" t="s">
        <v>791</v>
      </c>
      <c r="H2272" s="1194"/>
      <c r="I2272" s="1668">
        <f t="shared" ref="I2272:T2272" si="1953">+I2273+I2274</f>
        <v>0</v>
      </c>
      <c r="J2272" s="1668">
        <f t="shared" si="1953"/>
        <v>0</v>
      </c>
      <c r="K2272" s="1668">
        <f t="shared" si="1953"/>
        <v>0</v>
      </c>
      <c r="L2272" s="1668">
        <f t="shared" si="1953"/>
        <v>0</v>
      </c>
      <c r="M2272" s="1668">
        <f t="shared" si="1953"/>
        <v>0</v>
      </c>
      <c r="N2272" s="1668">
        <f t="shared" si="1953"/>
        <v>0</v>
      </c>
      <c r="O2272" s="1668">
        <f t="shared" si="1953"/>
        <v>0</v>
      </c>
      <c r="P2272" s="1668">
        <f t="shared" si="1953"/>
        <v>0</v>
      </c>
      <c r="Q2272" s="1668">
        <f t="shared" si="1953"/>
        <v>0</v>
      </c>
      <c r="R2272" s="1668">
        <f t="shared" si="1953"/>
        <v>0</v>
      </c>
      <c r="S2272" s="1668">
        <f t="shared" si="1953"/>
        <v>0</v>
      </c>
      <c r="T2272" s="1704">
        <f t="shared" si="1953"/>
        <v>0</v>
      </c>
    </row>
    <row r="2273" spans="2:20" ht="13.75" hidden="1" customHeight="1" x14ac:dyDescent="0.2">
      <c r="B2273" s="1594" t="s">
        <v>798</v>
      </c>
      <c r="C2273" s="193"/>
      <c r="D2273" s="193"/>
      <c r="E2273" s="193"/>
      <c r="F2273" s="232"/>
      <c r="G2273" s="193" t="s">
        <v>793</v>
      </c>
      <c r="H2273" s="193"/>
      <c r="I2273" s="1283">
        <f>VLOOKUP($E$2272,UsoSuelo!$E$1366:$Q$1377,I$2156,FALSE)</f>
        <v>0</v>
      </c>
      <c r="J2273" s="1283">
        <f>VLOOKUP($E$2272,UsoSuelo!$E$1366:$Q$1377,J$2156,FALSE)</f>
        <v>0</v>
      </c>
      <c r="K2273" s="1283">
        <f>VLOOKUP($E$2272,UsoSuelo!$E$1366:$Q$1377,K$2156,FALSE)</f>
        <v>0</v>
      </c>
      <c r="L2273" s="1283">
        <f>VLOOKUP($E$2272,UsoSuelo!$E$1366:$Q$1377,L$2156,FALSE)</f>
        <v>0</v>
      </c>
      <c r="M2273" s="1283">
        <f>VLOOKUP($E$2272,UsoSuelo!$E$1366:$Q$1377,M$2156,FALSE)</f>
        <v>0</v>
      </c>
      <c r="N2273" s="1283">
        <f>VLOOKUP($E$2272,UsoSuelo!$E$1366:$Q$1377,N$2156,FALSE)</f>
        <v>0</v>
      </c>
      <c r="O2273" s="1283">
        <f>VLOOKUP($E$2272,UsoSuelo!$E$1366:$Q$1377,O$2156,FALSE)</f>
        <v>0</v>
      </c>
      <c r="P2273" s="1283">
        <f>VLOOKUP($E$2272,UsoSuelo!$E$1366:$Q$1377,P$2156,FALSE)</f>
        <v>0</v>
      </c>
      <c r="Q2273" s="1283">
        <f>VLOOKUP($E$2272,UsoSuelo!$E$1366:$Q$1377,Q$2156,FALSE)</f>
        <v>0</v>
      </c>
      <c r="R2273" s="1283">
        <f>VLOOKUP($E$2272,UsoSuelo!$E$1366:$Q$1377,R$2156,FALSE)</f>
        <v>0</v>
      </c>
      <c r="S2273" s="1283">
        <f>VLOOKUP($E$2272,UsoSuelo!$E$1366:$Q$1377,S$2156,FALSE)</f>
        <v>0</v>
      </c>
      <c r="T2273" s="1601">
        <f>VLOOKUP($E$2272,UsoSuelo!$E$1366:$Q$1377,T$2156,FALSE)</f>
        <v>0</v>
      </c>
    </row>
    <row r="2274" spans="2:20" ht="14.4" hidden="1" customHeight="1" thickBot="1" x14ac:dyDescent="0.25">
      <c r="B2274" s="1596"/>
      <c r="C2274" s="1199"/>
      <c r="D2274" s="1199"/>
      <c r="E2274" s="1199"/>
      <c r="F2274" s="232"/>
      <c r="G2274" s="1199" t="s">
        <v>792</v>
      </c>
      <c r="H2274" s="1199"/>
      <c r="I2274" s="1590">
        <f>VLOOKUP($E$2272,UsoSuelo!$E$1383:$Q$1394,I$2156,FALSE)</f>
        <v>0</v>
      </c>
      <c r="J2274" s="1590">
        <f>VLOOKUP($E$2272,UsoSuelo!$E$1383:$Q$1394,J$2156,FALSE)</f>
        <v>0</v>
      </c>
      <c r="K2274" s="1590">
        <f>VLOOKUP($E$2272,UsoSuelo!$E$1383:$Q$1394,K$2156,FALSE)</f>
        <v>0</v>
      </c>
      <c r="L2274" s="1590">
        <f>VLOOKUP($E$2272,UsoSuelo!$E$1383:$Q$1394,L$2156,FALSE)</f>
        <v>0</v>
      </c>
      <c r="M2274" s="1590">
        <f>VLOOKUP($E$2272,UsoSuelo!$E$1383:$Q$1394,M$2156,FALSE)</f>
        <v>0</v>
      </c>
      <c r="N2274" s="1590">
        <f>VLOOKUP($E$2272,UsoSuelo!$E$1383:$Q$1394,N$2156,FALSE)</f>
        <v>0</v>
      </c>
      <c r="O2274" s="1590">
        <f>VLOOKUP($E$2272,UsoSuelo!$E$1383:$Q$1394,O$2156,FALSE)</f>
        <v>0</v>
      </c>
      <c r="P2274" s="1590">
        <f>VLOOKUP($E$2272,UsoSuelo!$E$1383:$Q$1394,P$2156,FALSE)</f>
        <v>0</v>
      </c>
      <c r="Q2274" s="1590">
        <f>VLOOKUP($E$2272,UsoSuelo!$E$1383:$Q$1394,Q$2156,FALSE)</f>
        <v>0</v>
      </c>
      <c r="R2274" s="1590">
        <f>VLOOKUP($E$2272,UsoSuelo!$E$1383:$Q$1394,R$2156,FALSE)</f>
        <v>0</v>
      </c>
      <c r="S2274" s="1590">
        <f>VLOOKUP($E$2272,UsoSuelo!$E$1383:$Q$1394,S$2156,FALSE)</f>
        <v>0</v>
      </c>
      <c r="T2274" s="1655">
        <f>VLOOKUP($E$2272,UsoSuelo!$E$1383:$Q$1394,T$2156,FALSE)</f>
        <v>0</v>
      </c>
    </row>
    <row r="2275" spans="2:20" ht="14.4" hidden="1" customHeight="1" thickTop="1" x14ac:dyDescent="0.2">
      <c r="B2275" s="1664"/>
      <c r="C2275" s="1194"/>
      <c r="D2275" s="1194"/>
      <c r="E2275" s="1194"/>
      <c r="F2275" s="1194"/>
      <c r="G2275" s="1194"/>
      <c r="H2275" s="1210"/>
      <c r="I2275" s="1667">
        <f t="shared" ref="I2275:T2275" si="1954">SUMIF($V$699:$V$702,$B2136&amp;"contratada",I$699:I$702)</f>
        <v>0</v>
      </c>
      <c r="J2275" s="1668">
        <f t="shared" si="1954"/>
        <v>0</v>
      </c>
      <c r="K2275" s="1668">
        <f t="shared" si="1954"/>
        <v>0</v>
      </c>
      <c r="L2275" s="1668">
        <f t="shared" si="1954"/>
        <v>0</v>
      </c>
      <c r="M2275" s="1668">
        <f t="shared" si="1954"/>
        <v>0</v>
      </c>
      <c r="N2275" s="1668">
        <f t="shared" si="1954"/>
        <v>0</v>
      </c>
      <c r="O2275" s="1668">
        <f t="shared" si="1954"/>
        <v>0</v>
      </c>
      <c r="P2275" s="1668">
        <f t="shared" si="1954"/>
        <v>0</v>
      </c>
      <c r="Q2275" s="1668">
        <f t="shared" si="1954"/>
        <v>0</v>
      </c>
      <c r="R2275" s="1668">
        <f t="shared" si="1954"/>
        <v>0</v>
      </c>
      <c r="S2275" s="1668">
        <f t="shared" si="1954"/>
        <v>0</v>
      </c>
      <c r="T2275" s="1704">
        <f t="shared" si="1954"/>
        <v>0</v>
      </c>
    </row>
    <row r="2276" spans="2:20" ht="13.75" hidden="1" customHeight="1" x14ac:dyDescent="0.2">
      <c r="B2276" s="1665"/>
      <c r="C2276" s="193"/>
      <c r="D2276" s="193"/>
      <c r="E2276" s="193"/>
      <c r="F2276" s="193"/>
      <c r="G2276" s="193"/>
      <c r="H2276" s="254"/>
      <c r="I2276" s="1179">
        <f t="shared" ref="I2276:T2276" si="1955">SUMIF($V$699:$V$702,$B2137&amp;"contratada",I$699:I$702)</f>
        <v>0</v>
      </c>
      <c r="J2276" s="1283">
        <f t="shared" si="1955"/>
        <v>0</v>
      </c>
      <c r="K2276" s="1283">
        <f t="shared" si="1955"/>
        <v>0</v>
      </c>
      <c r="L2276" s="1283">
        <f t="shared" si="1955"/>
        <v>0</v>
      </c>
      <c r="M2276" s="1283">
        <f t="shared" si="1955"/>
        <v>0</v>
      </c>
      <c r="N2276" s="1283">
        <f t="shared" si="1955"/>
        <v>0</v>
      </c>
      <c r="O2276" s="1283">
        <f t="shared" si="1955"/>
        <v>0</v>
      </c>
      <c r="P2276" s="1283">
        <f t="shared" si="1955"/>
        <v>0</v>
      </c>
      <c r="Q2276" s="1283">
        <f t="shared" si="1955"/>
        <v>0</v>
      </c>
      <c r="R2276" s="1283">
        <f t="shared" si="1955"/>
        <v>0</v>
      </c>
      <c r="S2276" s="1283">
        <f t="shared" si="1955"/>
        <v>0</v>
      </c>
      <c r="T2276" s="1601">
        <f t="shared" si="1955"/>
        <v>0</v>
      </c>
    </row>
    <row r="2277" spans="2:20" ht="13.75" hidden="1" customHeight="1" x14ac:dyDescent="0.2">
      <c r="B2277" s="1665"/>
      <c r="C2277" s="193"/>
      <c r="D2277" s="193"/>
      <c r="E2277" s="193"/>
      <c r="F2277" s="193"/>
      <c r="G2277" s="193"/>
      <c r="H2277" s="254"/>
      <c r="I2277" s="1179">
        <f t="shared" ref="I2277:T2277" si="1956">SUMIF($V$699:$V$702,$B2138&amp;"contratada",I$699:I$702)</f>
        <v>0</v>
      </c>
      <c r="J2277" s="1283">
        <f t="shared" si="1956"/>
        <v>0</v>
      </c>
      <c r="K2277" s="1283">
        <f t="shared" si="1956"/>
        <v>0</v>
      </c>
      <c r="L2277" s="1283">
        <f t="shared" si="1956"/>
        <v>0</v>
      </c>
      <c r="M2277" s="1283">
        <f t="shared" si="1956"/>
        <v>0</v>
      </c>
      <c r="N2277" s="1283">
        <f t="shared" si="1956"/>
        <v>0</v>
      </c>
      <c r="O2277" s="1283">
        <f t="shared" si="1956"/>
        <v>0</v>
      </c>
      <c r="P2277" s="1283">
        <f t="shared" si="1956"/>
        <v>0</v>
      </c>
      <c r="Q2277" s="1283">
        <f t="shared" si="1956"/>
        <v>0</v>
      </c>
      <c r="R2277" s="1283">
        <f t="shared" si="1956"/>
        <v>0</v>
      </c>
      <c r="S2277" s="1283">
        <f t="shared" si="1956"/>
        <v>0</v>
      </c>
      <c r="T2277" s="1601">
        <f t="shared" si="1956"/>
        <v>0</v>
      </c>
    </row>
    <row r="2278" spans="2:20" ht="13.75" hidden="1" customHeight="1" x14ac:dyDescent="0.2">
      <c r="B2278" s="1665"/>
      <c r="C2278" s="193"/>
      <c r="D2278" s="193"/>
      <c r="E2278" s="193"/>
      <c r="F2278" s="193"/>
      <c r="G2278" s="193"/>
      <c r="H2278" s="254"/>
      <c r="I2278" s="1179">
        <f t="shared" ref="I2278:T2278" si="1957">SUMIF($V$699:$V$702,$B2139&amp;"contratada",I$699:I$702)</f>
        <v>0</v>
      </c>
      <c r="J2278" s="1283">
        <f t="shared" si="1957"/>
        <v>0</v>
      </c>
      <c r="K2278" s="1283">
        <f t="shared" si="1957"/>
        <v>0</v>
      </c>
      <c r="L2278" s="1283">
        <f t="shared" si="1957"/>
        <v>0</v>
      </c>
      <c r="M2278" s="1283">
        <f t="shared" si="1957"/>
        <v>0</v>
      </c>
      <c r="N2278" s="1283">
        <f t="shared" si="1957"/>
        <v>0</v>
      </c>
      <c r="O2278" s="1283">
        <f t="shared" si="1957"/>
        <v>0</v>
      </c>
      <c r="P2278" s="1283">
        <f t="shared" si="1957"/>
        <v>0</v>
      </c>
      <c r="Q2278" s="1283">
        <f t="shared" si="1957"/>
        <v>0</v>
      </c>
      <c r="R2278" s="1283">
        <f t="shared" si="1957"/>
        <v>0</v>
      </c>
      <c r="S2278" s="1283">
        <f t="shared" si="1957"/>
        <v>0</v>
      </c>
      <c r="T2278" s="1601">
        <f t="shared" si="1957"/>
        <v>0</v>
      </c>
    </row>
    <row r="2279" spans="2:20" ht="13.75" hidden="1" customHeight="1" x14ac:dyDescent="0.2">
      <c r="B2279" s="1665"/>
      <c r="C2279" s="193"/>
      <c r="D2279" s="193"/>
      <c r="E2279" s="193"/>
      <c r="F2279" s="193"/>
      <c r="G2279" s="193"/>
      <c r="H2279" s="254"/>
      <c r="I2279" s="1179">
        <f t="shared" ref="I2279:T2279" si="1958">SUMIF($V$699:$V$702,$B2140&amp;"contratada",I$699:I$702)</f>
        <v>0</v>
      </c>
      <c r="J2279" s="1283">
        <f t="shared" si="1958"/>
        <v>0</v>
      </c>
      <c r="K2279" s="1283">
        <f t="shared" si="1958"/>
        <v>0</v>
      </c>
      <c r="L2279" s="1283">
        <f t="shared" si="1958"/>
        <v>0</v>
      </c>
      <c r="M2279" s="1283">
        <f t="shared" si="1958"/>
        <v>0</v>
      </c>
      <c r="N2279" s="1283">
        <f t="shared" si="1958"/>
        <v>0</v>
      </c>
      <c r="O2279" s="1283">
        <f t="shared" si="1958"/>
        <v>0</v>
      </c>
      <c r="P2279" s="1283">
        <f t="shared" si="1958"/>
        <v>0</v>
      </c>
      <c r="Q2279" s="1283">
        <f t="shared" si="1958"/>
        <v>0</v>
      </c>
      <c r="R2279" s="1283">
        <f t="shared" si="1958"/>
        <v>0</v>
      </c>
      <c r="S2279" s="1283">
        <f t="shared" si="1958"/>
        <v>0</v>
      </c>
      <c r="T2279" s="1601">
        <f t="shared" si="1958"/>
        <v>0</v>
      </c>
    </row>
    <row r="2280" spans="2:20" ht="13.75" hidden="1" customHeight="1" x14ac:dyDescent="0.2">
      <c r="B2280" s="1665"/>
      <c r="C2280" s="193"/>
      <c r="D2280" s="193"/>
      <c r="E2280" s="193"/>
      <c r="F2280" s="193"/>
      <c r="G2280" s="193"/>
      <c r="H2280" s="254"/>
      <c r="I2280" s="1179">
        <f t="shared" ref="I2280:T2280" si="1959">SUMIF($V$699:$V$702,$B2141&amp;"contratada",I$699:I$702)</f>
        <v>0</v>
      </c>
      <c r="J2280" s="1283">
        <f t="shared" si="1959"/>
        <v>0</v>
      </c>
      <c r="K2280" s="1283">
        <f t="shared" si="1959"/>
        <v>0</v>
      </c>
      <c r="L2280" s="1283">
        <f t="shared" si="1959"/>
        <v>0</v>
      </c>
      <c r="M2280" s="1283">
        <f t="shared" si="1959"/>
        <v>0</v>
      </c>
      <c r="N2280" s="1283">
        <f t="shared" si="1959"/>
        <v>0</v>
      </c>
      <c r="O2280" s="1283">
        <f t="shared" si="1959"/>
        <v>0</v>
      </c>
      <c r="P2280" s="1283">
        <f t="shared" si="1959"/>
        <v>0</v>
      </c>
      <c r="Q2280" s="1283">
        <f t="shared" si="1959"/>
        <v>0</v>
      </c>
      <c r="R2280" s="1283">
        <f t="shared" si="1959"/>
        <v>0</v>
      </c>
      <c r="S2280" s="1283">
        <f t="shared" si="1959"/>
        <v>0</v>
      </c>
      <c r="T2280" s="1601">
        <f t="shared" si="1959"/>
        <v>0</v>
      </c>
    </row>
    <row r="2281" spans="2:20" ht="13.75" hidden="1" customHeight="1" x14ac:dyDescent="0.2">
      <c r="B2281" s="1665"/>
      <c r="C2281" s="193"/>
      <c r="D2281" s="193"/>
      <c r="E2281" s="193"/>
      <c r="F2281" s="193"/>
      <c r="G2281" s="193"/>
      <c r="H2281" s="254"/>
      <c r="I2281" s="1179">
        <f t="shared" ref="I2281:T2281" si="1960">SUMIF($V$699:$V$702,$B2142&amp;"contratada",I$699:I$702)</f>
        <v>0</v>
      </c>
      <c r="J2281" s="1283">
        <f t="shared" si="1960"/>
        <v>0</v>
      </c>
      <c r="K2281" s="1283">
        <f t="shared" si="1960"/>
        <v>0</v>
      </c>
      <c r="L2281" s="1283">
        <f t="shared" si="1960"/>
        <v>0</v>
      </c>
      <c r="M2281" s="1283">
        <f t="shared" si="1960"/>
        <v>0</v>
      </c>
      <c r="N2281" s="1283">
        <f t="shared" si="1960"/>
        <v>0</v>
      </c>
      <c r="O2281" s="1283">
        <f t="shared" si="1960"/>
        <v>0</v>
      </c>
      <c r="P2281" s="1283">
        <f t="shared" si="1960"/>
        <v>0</v>
      </c>
      <c r="Q2281" s="1283">
        <f t="shared" si="1960"/>
        <v>0</v>
      </c>
      <c r="R2281" s="1283">
        <f t="shared" si="1960"/>
        <v>0</v>
      </c>
      <c r="S2281" s="1283">
        <f t="shared" si="1960"/>
        <v>0</v>
      </c>
      <c r="T2281" s="1601">
        <f t="shared" si="1960"/>
        <v>0</v>
      </c>
    </row>
    <row r="2282" spans="2:20" ht="13.75" hidden="1" customHeight="1" x14ac:dyDescent="0.2">
      <c r="B2282" s="1665"/>
      <c r="C2282" s="193"/>
      <c r="D2282" s="193"/>
      <c r="E2282" s="193"/>
      <c r="F2282" s="193"/>
      <c r="G2282" s="193"/>
      <c r="H2282" s="254"/>
      <c r="I2282" s="1179">
        <f t="shared" ref="I2282:T2282" si="1961">SUMIF($V$699:$V$702,$B2143&amp;"contratada",I$699:I$702)</f>
        <v>0</v>
      </c>
      <c r="J2282" s="1283">
        <f t="shared" si="1961"/>
        <v>0</v>
      </c>
      <c r="K2282" s="1283">
        <f t="shared" si="1961"/>
        <v>0</v>
      </c>
      <c r="L2282" s="1283">
        <f t="shared" si="1961"/>
        <v>0</v>
      </c>
      <c r="M2282" s="1283">
        <f t="shared" si="1961"/>
        <v>0</v>
      </c>
      <c r="N2282" s="1283">
        <f t="shared" si="1961"/>
        <v>0</v>
      </c>
      <c r="O2282" s="1283">
        <f t="shared" si="1961"/>
        <v>0</v>
      </c>
      <c r="P2282" s="1283">
        <f t="shared" si="1961"/>
        <v>0</v>
      </c>
      <c r="Q2282" s="1283">
        <f t="shared" si="1961"/>
        <v>0</v>
      </c>
      <c r="R2282" s="1283">
        <f t="shared" si="1961"/>
        <v>0</v>
      </c>
      <c r="S2282" s="1283">
        <f t="shared" si="1961"/>
        <v>0</v>
      </c>
      <c r="T2282" s="1601">
        <f t="shared" si="1961"/>
        <v>0</v>
      </c>
    </row>
    <row r="2283" spans="2:20" ht="13.75" hidden="1" customHeight="1" x14ac:dyDescent="0.2">
      <c r="B2283" s="1665"/>
      <c r="C2283" s="193"/>
      <c r="D2283" s="193"/>
      <c r="E2283" s="193"/>
      <c r="F2283" s="193"/>
      <c r="G2283" s="193"/>
      <c r="H2283" s="254"/>
      <c r="I2283" s="1179">
        <f t="shared" ref="I2283:T2283" si="1962">SUMIF($V$699:$V$702,$B2144&amp;"contratada",I$699:I$702)</f>
        <v>0</v>
      </c>
      <c r="J2283" s="1283">
        <f t="shared" si="1962"/>
        <v>0</v>
      </c>
      <c r="K2283" s="1283">
        <f t="shared" si="1962"/>
        <v>0</v>
      </c>
      <c r="L2283" s="1283">
        <f t="shared" si="1962"/>
        <v>0</v>
      </c>
      <c r="M2283" s="1283">
        <f t="shared" si="1962"/>
        <v>0</v>
      </c>
      <c r="N2283" s="1283">
        <f t="shared" si="1962"/>
        <v>0</v>
      </c>
      <c r="O2283" s="1283">
        <f t="shared" si="1962"/>
        <v>0</v>
      </c>
      <c r="P2283" s="1283">
        <f t="shared" si="1962"/>
        <v>0</v>
      </c>
      <c r="Q2283" s="1283">
        <f t="shared" si="1962"/>
        <v>0</v>
      </c>
      <c r="R2283" s="1283">
        <f t="shared" si="1962"/>
        <v>0</v>
      </c>
      <c r="S2283" s="1283">
        <f t="shared" si="1962"/>
        <v>0</v>
      </c>
      <c r="T2283" s="1601">
        <f t="shared" si="1962"/>
        <v>0</v>
      </c>
    </row>
    <row r="2284" spans="2:20" ht="13.75" hidden="1" customHeight="1" x14ac:dyDescent="0.2">
      <c r="B2284" s="1665"/>
      <c r="C2284" s="193"/>
      <c r="D2284" s="193"/>
      <c r="E2284" s="193"/>
      <c r="F2284" s="193"/>
      <c r="G2284" s="193"/>
      <c r="H2284" s="254"/>
      <c r="I2284" s="1179">
        <f t="shared" ref="I2284:T2284" si="1963">SUMIF($V$699:$V$702,$B2145&amp;"contratada",I$699:I$702)</f>
        <v>0</v>
      </c>
      <c r="J2284" s="1283">
        <f t="shared" si="1963"/>
        <v>0</v>
      </c>
      <c r="K2284" s="1283">
        <f t="shared" si="1963"/>
        <v>0</v>
      </c>
      <c r="L2284" s="1283">
        <f t="shared" si="1963"/>
        <v>0</v>
      </c>
      <c r="M2284" s="1283">
        <f t="shared" si="1963"/>
        <v>0</v>
      </c>
      <c r="N2284" s="1283">
        <f t="shared" si="1963"/>
        <v>0</v>
      </c>
      <c r="O2284" s="1283">
        <f t="shared" si="1963"/>
        <v>0</v>
      </c>
      <c r="P2284" s="1283">
        <f t="shared" si="1963"/>
        <v>0</v>
      </c>
      <c r="Q2284" s="1283">
        <f t="shared" si="1963"/>
        <v>0</v>
      </c>
      <c r="R2284" s="1283">
        <f t="shared" si="1963"/>
        <v>0</v>
      </c>
      <c r="S2284" s="1283">
        <f t="shared" si="1963"/>
        <v>0</v>
      </c>
      <c r="T2284" s="1601">
        <f t="shared" si="1963"/>
        <v>0</v>
      </c>
    </row>
    <row r="2285" spans="2:20" ht="13.75" hidden="1" customHeight="1" x14ac:dyDescent="0.2">
      <c r="B2285" s="1665"/>
      <c r="C2285" s="193"/>
      <c r="D2285" s="193"/>
      <c r="E2285" s="193"/>
      <c r="F2285" s="193"/>
      <c r="G2285" s="193"/>
      <c r="H2285" s="254"/>
      <c r="I2285" s="1179">
        <f t="shared" ref="I2285:T2285" si="1964">SUMIF($V$699:$V$702,$B2146&amp;"contratada",I$699:I$702)</f>
        <v>0</v>
      </c>
      <c r="J2285" s="1283">
        <f t="shared" si="1964"/>
        <v>0</v>
      </c>
      <c r="K2285" s="1283">
        <f t="shared" si="1964"/>
        <v>0</v>
      </c>
      <c r="L2285" s="1283">
        <f t="shared" si="1964"/>
        <v>0</v>
      </c>
      <c r="M2285" s="1283">
        <f t="shared" si="1964"/>
        <v>0</v>
      </c>
      <c r="N2285" s="1283">
        <f t="shared" si="1964"/>
        <v>0</v>
      </c>
      <c r="O2285" s="1283">
        <f t="shared" si="1964"/>
        <v>0</v>
      </c>
      <c r="P2285" s="1283">
        <f t="shared" si="1964"/>
        <v>0</v>
      </c>
      <c r="Q2285" s="1283">
        <f t="shared" si="1964"/>
        <v>0</v>
      </c>
      <c r="R2285" s="1283">
        <f t="shared" si="1964"/>
        <v>0</v>
      </c>
      <c r="S2285" s="1283">
        <f t="shared" si="1964"/>
        <v>0</v>
      </c>
      <c r="T2285" s="1601">
        <f t="shared" si="1964"/>
        <v>0</v>
      </c>
    </row>
    <row r="2286" spans="2:20" ht="13.75" hidden="1" customHeight="1" x14ac:dyDescent="0.2">
      <c r="B2286" s="1665"/>
      <c r="C2286" s="193"/>
      <c r="D2286" s="193"/>
      <c r="E2286" s="193"/>
      <c r="F2286" s="193"/>
      <c r="G2286" s="193"/>
      <c r="H2286" s="254"/>
      <c r="I2286" s="1179">
        <f t="shared" ref="I2286:T2286" si="1965">SUMIF($V$699:$V$702,$B2147&amp;"contratada",I$699:I$702)</f>
        <v>0</v>
      </c>
      <c r="J2286" s="1283">
        <f t="shared" si="1965"/>
        <v>0</v>
      </c>
      <c r="K2286" s="1283">
        <f t="shared" si="1965"/>
        <v>0</v>
      </c>
      <c r="L2286" s="1283">
        <f t="shared" si="1965"/>
        <v>0</v>
      </c>
      <c r="M2286" s="1283">
        <f t="shared" si="1965"/>
        <v>0</v>
      </c>
      <c r="N2286" s="1283">
        <f t="shared" si="1965"/>
        <v>0</v>
      </c>
      <c r="O2286" s="1283">
        <f t="shared" si="1965"/>
        <v>0</v>
      </c>
      <c r="P2286" s="1283">
        <f t="shared" si="1965"/>
        <v>0</v>
      </c>
      <c r="Q2286" s="1283">
        <f t="shared" si="1965"/>
        <v>0</v>
      </c>
      <c r="R2286" s="1283">
        <f t="shared" si="1965"/>
        <v>0</v>
      </c>
      <c r="S2286" s="1283">
        <f t="shared" si="1965"/>
        <v>0</v>
      </c>
      <c r="T2286" s="1601">
        <f t="shared" si="1965"/>
        <v>0</v>
      </c>
    </row>
    <row r="2287" spans="2:20" ht="13.75" hidden="1" customHeight="1" x14ac:dyDescent="0.2">
      <c r="B2287" s="1665"/>
      <c r="C2287" s="193"/>
      <c r="D2287" s="193"/>
      <c r="E2287" s="193"/>
      <c r="F2287" s="193"/>
      <c r="G2287" s="193"/>
      <c r="H2287" s="254"/>
      <c r="I2287" s="1179">
        <f t="shared" ref="I2287:T2287" si="1966">SUMIF($V$699:$V$702,$B2148&amp;"contratada",I$699:I$702)</f>
        <v>0</v>
      </c>
      <c r="J2287" s="1283">
        <f t="shared" si="1966"/>
        <v>0</v>
      </c>
      <c r="K2287" s="1283">
        <f t="shared" si="1966"/>
        <v>0</v>
      </c>
      <c r="L2287" s="1283">
        <f t="shared" si="1966"/>
        <v>0</v>
      </c>
      <c r="M2287" s="1283">
        <f t="shared" si="1966"/>
        <v>0</v>
      </c>
      <c r="N2287" s="1283">
        <f t="shared" si="1966"/>
        <v>0</v>
      </c>
      <c r="O2287" s="1283">
        <f t="shared" si="1966"/>
        <v>0</v>
      </c>
      <c r="P2287" s="1283">
        <f t="shared" si="1966"/>
        <v>0</v>
      </c>
      <c r="Q2287" s="1283">
        <f t="shared" si="1966"/>
        <v>0</v>
      </c>
      <c r="R2287" s="1283">
        <f t="shared" si="1966"/>
        <v>0</v>
      </c>
      <c r="S2287" s="1283">
        <f t="shared" si="1966"/>
        <v>0</v>
      </c>
      <c r="T2287" s="1601">
        <f t="shared" si="1966"/>
        <v>0</v>
      </c>
    </row>
    <row r="2288" spans="2:20" ht="14.4" hidden="1" customHeight="1" thickBot="1" x14ac:dyDescent="0.25">
      <c r="B2288" s="1665"/>
      <c r="C2288" s="193"/>
      <c r="D2288" s="193"/>
      <c r="E2288" s="193"/>
      <c r="F2288" s="193"/>
      <c r="G2288" s="193"/>
      <c r="H2288" s="254"/>
      <c r="I2288" s="377">
        <f t="shared" ref="I2288:T2288" si="1967">SUMIF($V$699:$V$702,$B2149&amp;"contratada",I$699:I$702)</f>
        <v>0</v>
      </c>
      <c r="J2288" s="1200">
        <f t="shared" si="1967"/>
        <v>0</v>
      </c>
      <c r="K2288" s="1200">
        <f t="shared" si="1967"/>
        <v>0</v>
      </c>
      <c r="L2288" s="1200">
        <f t="shared" si="1967"/>
        <v>0</v>
      </c>
      <c r="M2288" s="1200">
        <f t="shared" si="1967"/>
        <v>0</v>
      </c>
      <c r="N2288" s="1200">
        <f t="shared" si="1967"/>
        <v>0</v>
      </c>
      <c r="O2288" s="1200">
        <f t="shared" si="1967"/>
        <v>0</v>
      </c>
      <c r="P2288" s="1200">
        <f t="shared" si="1967"/>
        <v>0</v>
      </c>
      <c r="Q2288" s="1200">
        <f t="shared" si="1967"/>
        <v>0</v>
      </c>
      <c r="R2288" s="1200">
        <f t="shared" si="1967"/>
        <v>0</v>
      </c>
      <c r="S2288" s="1200">
        <f t="shared" si="1967"/>
        <v>0</v>
      </c>
      <c r="T2288" s="1718">
        <f t="shared" si="1967"/>
        <v>0</v>
      </c>
    </row>
    <row r="2289" spans="2:31" ht="13.75" hidden="1" customHeight="1" x14ac:dyDescent="0.2">
      <c r="B2289" s="1732" t="s">
        <v>705</v>
      </c>
      <c r="C2289" s="1733"/>
      <c r="D2289" s="1733"/>
      <c r="E2289" s="1733"/>
      <c r="F2289" s="1733"/>
      <c r="G2289" s="1734" t="s">
        <v>21</v>
      </c>
      <c r="H2289" s="1532"/>
      <c r="I2289" s="1735">
        <f t="shared" ref="I2289:T2289" si="1968">+SUMPRODUCT(I2275:I2288,$C$2136:$C$2149)</f>
        <v>0</v>
      </c>
      <c r="J2289" s="1736">
        <f t="shared" si="1968"/>
        <v>0</v>
      </c>
      <c r="K2289" s="1736">
        <f t="shared" si="1968"/>
        <v>0</v>
      </c>
      <c r="L2289" s="1736">
        <f t="shared" si="1968"/>
        <v>0</v>
      </c>
      <c r="M2289" s="1736">
        <f t="shared" si="1968"/>
        <v>0</v>
      </c>
      <c r="N2289" s="1736">
        <f t="shared" si="1968"/>
        <v>0</v>
      </c>
      <c r="O2289" s="1736">
        <f t="shared" si="1968"/>
        <v>0</v>
      </c>
      <c r="P2289" s="1736">
        <f t="shared" si="1968"/>
        <v>0</v>
      </c>
      <c r="Q2289" s="1736">
        <f t="shared" si="1968"/>
        <v>0</v>
      </c>
      <c r="R2289" s="1736">
        <f t="shared" si="1968"/>
        <v>0</v>
      </c>
      <c r="S2289" s="1736">
        <f t="shared" si="1968"/>
        <v>0</v>
      </c>
      <c r="T2289" s="1737">
        <f t="shared" si="1968"/>
        <v>0</v>
      </c>
      <c r="Y2289" s="359"/>
      <c r="AE2289" s="232"/>
    </row>
    <row r="2290" spans="2:31" ht="13.75" hidden="1" customHeight="1" x14ac:dyDescent="0.2">
      <c r="B2290" s="1728"/>
      <c r="C2290" s="970"/>
      <c r="D2290" s="970"/>
      <c r="E2290" s="970"/>
      <c r="F2290" s="970"/>
      <c r="G2290" s="982" t="s">
        <v>698</v>
      </c>
      <c r="I2290" s="1725">
        <f t="shared" ref="I2290:T2290" si="1969">IFERROR(I2289*I2273/I2272,0)</f>
        <v>0</v>
      </c>
      <c r="J2290" s="1726">
        <f t="shared" si="1969"/>
        <v>0</v>
      </c>
      <c r="K2290" s="1726">
        <f t="shared" si="1969"/>
        <v>0</v>
      </c>
      <c r="L2290" s="1726">
        <f t="shared" si="1969"/>
        <v>0</v>
      </c>
      <c r="M2290" s="1726">
        <f t="shared" si="1969"/>
        <v>0</v>
      </c>
      <c r="N2290" s="1726">
        <f t="shared" si="1969"/>
        <v>0</v>
      </c>
      <c r="O2290" s="1726">
        <f t="shared" si="1969"/>
        <v>0</v>
      </c>
      <c r="P2290" s="1726">
        <f t="shared" si="1969"/>
        <v>0</v>
      </c>
      <c r="Q2290" s="1726">
        <f t="shared" si="1969"/>
        <v>0</v>
      </c>
      <c r="R2290" s="1726">
        <f t="shared" si="1969"/>
        <v>0</v>
      </c>
      <c r="S2290" s="1726">
        <f t="shared" si="1969"/>
        <v>0</v>
      </c>
      <c r="T2290" s="1727">
        <f t="shared" si="1969"/>
        <v>0</v>
      </c>
      <c r="Y2290" s="359"/>
      <c r="AE2290" s="232"/>
    </row>
    <row r="2291" spans="2:31" ht="14.4" hidden="1" customHeight="1" thickBot="1" x14ac:dyDescent="0.25">
      <c r="B2291" s="1728"/>
      <c r="C2291" s="970"/>
      <c r="D2291" s="970"/>
      <c r="E2291" s="970"/>
      <c r="F2291" s="970"/>
      <c r="G2291" s="982" t="s">
        <v>699</v>
      </c>
      <c r="I2291" s="1729">
        <f t="shared" ref="I2291:T2291" si="1970">+I2289-I2290</f>
        <v>0</v>
      </c>
      <c r="J2291" s="1730">
        <f t="shared" si="1970"/>
        <v>0</v>
      </c>
      <c r="K2291" s="1730">
        <f t="shared" si="1970"/>
        <v>0</v>
      </c>
      <c r="L2291" s="1730">
        <f t="shared" si="1970"/>
        <v>0</v>
      </c>
      <c r="M2291" s="1730">
        <f t="shared" si="1970"/>
        <v>0</v>
      </c>
      <c r="N2291" s="1730">
        <f t="shared" si="1970"/>
        <v>0</v>
      </c>
      <c r="O2291" s="1730">
        <f t="shared" si="1970"/>
        <v>0</v>
      </c>
      <c r="P2291" s="1730">
        <f t="shared" si="1970"/>
        <v>0</v>
      </c>
      <c r="Q2291" s="1730">
        <f t="shared" si="1970"/>
        <v>0</v>
      </c>
      <c r="R2291" s="1730">
        <f t="shared" si="1970"/>
        <v>0</v>
      </c>
      <c r="S2291" s="1730">
        <f t="shared" si="1970"/>
        <v>0</v>
      </c>
      <c r="T2291" s="1731">
        <f t="shared" si="1970"/>
        <v>0</v>
      </c>
      <c r="Y2291" s="359"/>
      <c r="AE2291" s="232"/>
    </row>
    <row r="2292" spans="2:31" ht="14.4" hidden="1" customHeight="1" thickTop="1" x14ac:dyDescent="0.2">
      <c r="B2292" s="1724" t="s">
        <v>812</v>
      </c>
      <c r="C2292" s="1194"/>
      <c r="D2292" s="1194"/>
      <c r="E2292" s="1194"/>
      <c r="F2292" s="1210"/>
      <c r="G2292" s="1641" t="s">
        <v>813</v>
      </c>
      <c r="H2292" s="1210"/>
      <c r="I2292" s="1667">
        <f t="shared" ref="I2292:T2292" si="1971">+SUM(I700:I702,$F$700:$F$702)</f>
        <v>2.9888888888888889</v>
      </c>
      <c r="J2292" s="1668">
        <f t="shared" si="1971"/>
        <v>2.9888888888888889</v>
      </c>
      <c r="K2292" s="1668">
        <f t="shared" si="1971"/>
        <v>2.9888888888888889</v>
      </c>
      <c r="L2292" s="1668">
        <f t="shared" si="1971"/>
        <v>2.9888888888888889</v>
      </c>
      <c r="M2292" s="1668">
        <f t="shared" si="1971"/>
        <v>2.9888888888888889</v>
      </c>
      <c r="N2292" s="1668">
        <f t="shared" si="1971"/>
        <v>2.9888888888888889</v>
      </c>
      <c r="O2292" s="1668">
        <f t="shared" si="1971"/>
        <v>2.9888888888888889</v>
      </c>
      <c r="P2292" s="1668">
        <f t="shared" si="1971"/>
        <v>2.9888888888888889</v>
      </c>
      <c r="Q2292" s="1668">
        <f t="shared" si="1971"/>
        <v>2.9888888888888889</v>
      </c>
      <c r="R2292" s="1668">
        <f t="shared" si="1971"/>
        <v>2.9888888888888889</v>
      </c>
      <c r="S2292" s="1668">
        <f t="shared" si="1971"/>
        <v>2.9888888888888889</v>
      </c>
      <c r="T2292" s="1704">
        <f t="shared" si="1971"/>
        <v>2.9888888888888889</v>
      </c>
    </row>
    <row r="2293" spans="2:31" ht="13.75" hidden="1" customHeight="1" x14ac:dyDescent="0.2">
      <c r="B2293" s="1594"/>
      <c r="C2293" s="193"/>
      <c r="D2293" s="193"/>
      <c r="E2293" s="193"/>
      <c r="F2293" s="193"/>
      <c r="G2293" s="254" t="s">
        <v>698</v>
      </c>
      <c r="H2293" s="254"/>
      <c r="I2293" s="1179">
        <f t="shared" ref="I2293:T2293" si="1972">IFERROR(I2292*(I2273/I2272),0)</f>
        <v>0</v>
      </c>
      <c r="J2293" s="1283">
        <f t="shared" si="1972"/>
        <v>0</v>
      </c>
      <c r="K2293" s="1283">
        <f t="shared" si="1972"/>
        <v>0</v>
      </c>
      <c r="L2293" s="1283">
        <f t="shared" si="1972"/>
        <v>0</v>
      </c>
      <c r="M2293" s="1283">
        <f t="shared" si="1972"/>
        <v>0</v>
      </c>
      <c r="N2293" s="1283">
        <f t="shared" si="1972"/>
        <v>0</v>
      </c>
      <c r="O2293" s="1283">
        <f t="shared" si="1972"/>
        <v>0</v>
      </c>
      <c r="P2293" s="1283">
        <f t="shared" si="1972"/>
        <v>0</v>
      </c>
      <c r="Q2293" s="1283">
        <f t="shared" si="1972"/>
        <v>0</v>
      </c>
      <c r="R2293" s="1283">
        <f t="shared" si="1972"/>
        <v>0</v>
      </c>
      <c r="S2293" s="1283">
        <f t="shared" si="1972"/>
        <v>0</v>
      </c>
      <c r="T2293" s="1601">
        <f t="shared" si="1972"/>
        <v>0</v>
      </c>
    </row>
    <row r="2294" spans="2:31" ht="14.4" hidden="1" customHeight="1" thickBot="1" x14ac:dyDescent="0.25">
      <c r="B2294" s="1596"/>
      <c r="C2294" s="1199"/>
      <c r="D2294" s="1199"/>
      <c r="E2294" s="1199"/>
      <c r="F2294" s="1199"/>
      <c r="G2294" s="1209" t="s">
        <v>699</v>
      </c>
      <c r="H2294" s="1209"/>
      <c r="I2294" s="1654">
        <f t="shared" ref="I2294:T2294" si="1973">IFERROR(I2293*(I2274/I2272),0)</f>
        <v>0</v>
      </c>
      <c r="J2294" s="1590">
        <f t="shared" si="1973"/>
        <v>0</v>
      </c>
      <c r="K2294" s="1590">
        <f t="shared" si="1973"/>
        <v>0</v>
      </c>
      <c r="L2294" s="1590">
        <f t="shared" si="1973"/>
        <v>0</v>
      </c>
      <c r="M2294" s="1590">
        <f t="shared" si="1973"/>
        <v>0</v>
      </c>
      <c r="N2294" s="1590">
        <f t="shared" si="1973"/>
        <v>0</v>
      </c>
      <c r="O2294" s="1590">
        <f t="shared" si="1973"/>
        <v>0</v>
      </c>
      <c r="P2294" s="1590">
        <f t="shared" si="1973"/>
        <v>0</v>
      </c>
      <c r="Q2294" s="1590">
        <f t="shared" si="1973"/>
        <v>0</v>
      </c>
      <c r="R2294" s="1590">
        <f t="shared" si="1973"/>
        <v>0</v>
      </c>
      <c r="S2294" s="1590">
        <f t="shared" si="1973"/>
        <v>0</v>
      </c>
      <c r="T2294" s="1655">
        <f t="shared" si="1973"/>
        <v>0</v>
      </c>
    </row>
    <row r="2295" spans="2:31" ht="14.4" hidden="1" customHeight="1" thickTop="1" x14ac:dyDescent="0.2">
      <c r="B2295" s="1724" t="s">
        <v>797</v>
      </c>
      <c r="C2295" s="1194"/>
      <c r="D2295" s="1194"/>
      <c r="E2295" s="1581" t="str">
        <f>+B703</f>
        <v>Raigrás Silo</v>
      </c>
      <c r="F2295" s="232"/>
      <c r="G2295" s="1194" t="s">
        <v>791</v>
      </c>
      <c r="H2295" s="1194"/>
      <c r="I2295" s="1668">
        <f t="shared" ref="I2295:T2295" si="1974">+I2296+I2297</f>
        <v>0</v>
      </c>
      <c r="J2295" s="1668">
        <f t="shared" si="1974"/>
        <v>0</v>
      </c>
      <c r="K2295" s="1668">
        <f t="shared" si="1974"/>
        <v>0</v>
      </c>
      <c r="L2295" s="1668">
        <f t="shared" si="1974"/>
        <v>0</v>
      </c>
      <c r="M2295" s="1668">
        <f t="shared" si="1974"/>
        <v>0</v>
      </c>
      <c r="N2295" s="1668">
        <f t="shared" si="1974"/>
        <v>0</v>
      </c>
      <c r="O2295" s="1668">
        <f t="shared" si="1974"/>
        <v>0</v>
      </c>
      <c r="P2295" s="1668">
        <f t="shared" si="1974"/>
        <v>0</v>
      </c>
      <c r="Q2295" s="1668">
        <f t="shared" si="1974"/>
        <v>0</v>
      </c>
      <c r="R2295" s="1668">
        <f t="shared" si="1974"/>
        <v>0</v>
      </c>
      <c r="S2295" s="1668">
        <f t="shared" si="1974"/>
        <v>0</v>
      </c>
      <c r="T2295" s="1704">
        <f t="shared" si="1974"/>
        <v>0</v>
      </c>
    </row>
    <row r="2296" spans="2:31" ht="13.75" hidden="1" customHeight="1" x14ac:dyDescent="0.2">
      <c r="B2296" s="1594" t="s">
        <v>798</v>
      </c>
      <c r="C2296" s="193"/>
      <c r="D2296" s="193"/>
      <c r="E2296" s="193"/>
      <c r="F2296" s="232"/>
      <c r="G2296" s="193" t="s">
        <v>793</v>
      </c>
      <c r="H2296" s="193"/>
      <c r="I2296" s="1283">
        <f>VLOOKUP($E$2295,UsoSuelo!$E$1366:$Q$1377,I$2156,FALSE)</f>
        <v>0</v>
      </c>
      <c r="J2296" s="1283">
        <f>VLOOKUP($E$2295,UsoSuelo!$E$1366:$Q$1377,J$2156,FALSE)</f>
        <v>0</v>
      </c>
      <c r="K2296" s="1283">
        <f>VLOOKUP($E$2295,UsoSuelo!$E$1366:$Q$1377,K$2156,FALSE)</f>
        <v>0</v>
      </c>
      <c r="L2296" s="1283">
        <f>VLOOKUP($E$2295,UsoSuelo!$E$1366:$Q$1377,L$2156,FALSE)</f>
        <v>0</v>
      </c>
      <c r="M2296" s="1283">
        <f>VLOOKUP($E$2295,UsoSuelo!$E$1366:$Q$1377,M$2156,FALSE)</f>
        <v>0</v>
      </c>
      <c r="N2296" s="1283">
        <f>VLOOKUP($E$2295,UsoSuelo!$E$1366:$Q$1377,N$2156,FALSE)</f>
        <v>0</v>
      </c>
      <c r="O2296" s="1283">
        <f>VLOOKUP($E$2295,UsoSuelo!$E$1366:$Q$1377,O$2156,FALSE)</f>
        <v>0</v>
      </c>
      <c r="P2296" s="1283">
        <f>VLOOKUP($E$2295,UsoSuelo!$E$1366:$Q$1377,P$2156,FALSE)</f>
        <v>0</v>
      </c>
      <c r="Q2296" s="1283">
        <f>VLOOKUP($E$2295,UsoSuelo!$E$1366:$Q$1377,Q$2156,FALSE)</f>
        <v>0</v>
      </c>
      <c r="R2296" s="1283">
        <f>VLOOKUP($E$2295,UsoSuelo!$E$1366:$Q$1377,R$2156,FALSE)</f>
        <v>0</v>
      </c>
      <c r="S2296" s="1283">
        <f>VLOOKUP($E$2295,UsoSuelo!$E$1366:$Q$1377,S$2156,FALSE)</f>
        <v>0</v>
      </c>
      <c r="T2296" s="1601">
        <f>VLOOKUP($E$2295,UsoSuelo!$E$1366:$Q$1377,T$2156,FALSE)</f>
        <v>0</v>
      </c>
    </row>
    <row r="2297" spans="2:31" ht="14.4" hidden="1" customHeight="1" thickBot="1" x14ac:dyDescent="0.25">
      <c r="B2297" s="1596"/>
      <c r="C2297" s="1199"/>
      <c r="D2297" s="1199"/>
      <c r="E2297" s="1199"/>
      <c r="F2297" s="232"/>
      <c r="G2297" s="1199" t="s">
        <v>792</v>
      </c>
      <c r="H2297" s="1199"/>
      <c r="I2297" s="1590">
        <f>VLOOKUP($E$2295,UsoSuelo!$E$1383:$Q$1394,I$2156,FALSE)</f>
        <v>0</v>
      </c>
      <c r="J2297" s="1590">
        <f>VLOOKUP($E$2295,UsoSuelo!$E$1383:$Q$1394,J$2156,FALSE)</f>
        <v>0</v>
      </c>
      <c r="K2297" s="1590">
        <f>VLOOKUP($E$2295,UsoSuelo!$E$1383:$Q$1394,K$2156,FALSE)</f>
        <v>0</v>
      </c>
      <c r="L2297" s="1590">
        <f>VLOOKUP($E$2295,UsoSuelo!$E$1383:$Q$1394,L$2156,FALSE)</f>
        <v>0</v>
      </c>
      <c r="M2297" s="1590">
        <f>VLOOKUP($E$2295,UsoSuelo!$E$1383:$Q$1394,M$2156,FALSE)</f>
        <v>0</v>
      </c>
      <c r="N2297" s="1590">
        <f>VLOOKUP($E$2295,UsoSuelo!$E$1383:$Q$1394,N$2156,FALSE)</f>
        <v>0</v>
      </c>
      <c r="O2297" s="1590">
        <f>VLOOKUP($E$2295,UsoSuelo!$E$1383:$Q$1394,O$2156,FALSE)</f>
        <v>0</v>
      </c>
      <c r="P2297" s="1590">
        <f>VLOOKUP($E$2295,UsoSuelo!$E$1383:$Q$1394,P$2156,FALSE)</f>
        <v>0</v>
      </c>
      <c r="Q2297" s="1590">
        <f>VLOOKUP($E$2295,UsoSuelo!$E$1383:$Q$1394,Q$2156,FALSE)</f>
        <v>0</v>
      </c>
      <c r="R2297" s="1590">
        <f>VLOOKUP($E$2295,UsoSuelo!$E$1383:$Q$1394,R$2156,FALSE)</f>
        <v>0</v>
      </c>
      <c r="S2297" s="1590">
        <f>VLOOKUP($E$2295,UsoSuelo!$E$1383:$Q$1394,S$2156,FALSE)</f>
        <v>0</v>
      </c>
      <c r="T2297" s="1655">
        <f>VLOOKUP($E$2295,UsoSuelo!$E$1383:$Q$1394,T$2156,FALSE)</f>
        <v>0</v>
      </c>
    </row>
    <row r="2298" spans="2:31" ht="14.4" hidden="1" customHeight="1" thickTop="1" x14ac:dyDescent="0.2">
      <c r="B2298" s="1664"/>
      <c r="C2298" s="1194"/>
      <c r="D2298" s="1194"/>
      <c r="E2298" s="1194"/>
      <c r="F2298" s="1194"/>
      <c r="G2298" s="1194"/>
      <c r="H2298" s="1210"/>
      <c r="I2298" s="1667">
        <f t="shared" ref="I2298:T2298" si="1975">SUMIF($V$705:$V$708,$B2136&amp;"contratada",I$704:I$707)</f>
        <v>0</v>
      </c>
      <c r="J2298" s="1668">
        <f t="shared" si="1975"/>
        <v>0</v>
      </c>
      <c r="K2298" s="1668">
        <f t="shared" si="1975"/>
        <v>0</v>
      </c>
      <c r="L2298" s="1668">
        <f t="shared" si="1975"/>
        <v>0</v>
      </c>
      <c r="M2298" s="1668">
        <f t="shared" si="1975"/>
        <v>0</v>
      </c>
      <c r="N2298" s="1668">
        <f t="shared" si="1975"/>
        <v>0</v>
      </c>
      <c r="O2298" s="1668">
        <f t="shared" si="1975"/>
        <v>0</v>
      </c>
      <c r="P2298" s="1668">
        <f t="shared" si="1975"/>
        <v>0</v>
      </c>
      <c r="Q2298" s="1668">
        <f t="shared" si="1975"/>
        <v>0</v>
      </c>
      <c r="R2298" s="1668">
        <f t="shared" si="1975"/>
        <v>0</v>
      </c>
      <c r="S2298" s="1668">
        <f t="shared" si="1975"/>
        <v>0</v>
      </c>
      <c r="T2298" s="1704">
        <f t="shared" si="1975"/>
        <v>0</v>
      </c>
    </row>
    <row r="2299" spans="2:31" ht="13.75" hidden="1" customHeight="1" x14ac:dyDescent="0.2">
      <c r="B2299" s="1665"/>
      <c r="C2299" s="193"/>
      <c r="D2299" s="193"/>
      <c r="E2299" s="193"/>
      <c r="F2299" s="193"/>
      <c r="G2299" s="193"/>
      <c r="H2299" s="254"/>
      <c r="I2299" s="1179">
        <f t="shared" ref="I2299:T2299" si="1976">SUMIF($V$705:$V$708,$B2137&amp;"contratada",I$704:I$707)</f>
        <v>0</v>
      </c>
      <c r="J2299" s="1283">
        <f t="shared" si="1976"/>
        <v>0</v>
      </c>
      <c r="K2299" s="1283">
        <f t="shared" si="1976"/>
        <v>0</v>
      </c>
      <c r="L2299" s="1283">
        <f t="shared" si="1976"/>
        <v>0</v>
      </c>
      <c r="M2299" s="1283">
        <f t="shared" si="1976"/>
        <v>0</v>
      </c>
      <c r="N2299" s="1283">
        <f t="shared" si="1976"/>
        <v>0</v>
      </c>
      <c r="O2299" s="1283">
        <f t="shared" si="1976"/>
        <v>0</v>
      </c>
      <c r="P2299" s="1283">
        <f t="shared" si="1976"/>
        <v>0</v>
      </c>
      <c r="Q2299" s="1283">
        <f t="shared" si="1976"/>
        <v>0</v>
      </c>
      <c r="R2299" s="1283">
        <f t="shared" si="1976"/>
        <v>0</v>
      </c>
      <c r="S2299" s="1283">
        <f t="shared" si="1976"/>
        <v>0</v>
      </c>
      <c r="T2299" s="1601">
        <f t="shared" si="1976"/>
        <v>0</v>
      </c>
    </row>
    <row r="2300" spans="2:31" ht="13.75" hidden="1" customHeight="1" x14ac:dyDescent="0.2">
      <c r="B2300" s="1665"/>
      <c r="C2300" s="193"/>
      <c r="D2300" s="193"/>
      <c r="E2300" s="193"/>
      <c r="F2300" s="193"/>
      <c r="G2300" s="193"/>
      <c r="H2300" s="254"/>
      <c r="I2300" s="1179">
        <f t="shared" ref="I2300:T2300" si="1977">SUMIF($V$705:$V$708,$B2138&amp;"contratada",I$704:I$707)</f>
        <v>0</v>
      </c>
      <c r="J2300" s="1283">
        <f t="shared" si="1977"/>
        <v>0</v>
      </c>
      <c r="K2300" s="1283">
        <f t="shared" si="1977"/>
        <v>0</v>
      </c>
      <c r="L2300" s="1283">
        <f t="shared" si="1977"/>
        <v>0</v>
      </c>
      <c r="M2300" s="1283">
        <f t="shared" si="1977"/>
        <v>0</v>
      </c>
      <c r="N2300" s="1283">
        <f t="shared" si="1977"/>
        <v>0</v>
      </c>
      <c r="O2300" s="1283">
        <f t="shared" si="1977"/>
        <v>0</v>
      </c>
      <c r="P2300" s="1283">
        <f t="shared" si="1977"/>
        <v>0</v>
      </c>
      <c r="Q2300" s="1283">
        <f t="shared" si="1977"/>
        <v>0</v>
      </c>
      <c r="R2300" s="1283">
        <f t="shared" si="1977"/>
        <v>0</v>
      </c>
      <c r="S2300" s="1283">
        <f t="shared" si="1977"/>
        <v>0</v>
      </c>
      <c r="T2300" s="1601">
        <f t="shared" si="1977"/>
        <v>0</v>
      </c>
    </row>
    <row r="2301" spans="2:31" ht="13.75" hidden="1" customHeight="1" x14ac:dyDescent="0.2">
      <c r="B2301" s="1665"/>
      <c r="C2301" s="193"/>
      <c r="D2301" s="193"/>
      <c r="E2301" s="193"/>
      <c r="F2301" s="193"/>
      <c r="G2301" s="193"/>
      <c r="H2301" s="254"/>
      <c r="I2301" s="1179">
        <f t="shared" ref="I2301:T2301" si="1978">SUMIF($V$705:$V$708,$B2139&amp;"contratada",I$704:I$707)</f>
        <v>0</v>
      </c>
      <c r="J2301" s="1283">
        <f t="shared" si="1978"/>
        <v>0</v>
      </c>
      <c r="K2301" s="1283">
        <f t="shared" si="1978"/>
        <v>0</v>
      </c>
      <c r="L2301" s="1283">
        <f t="shared" si="1978"/>
        <v>0</v>
      </c>
      <c r="M2301" s="1283">
        <f t="shared" si="1978"/>
        <v>0</v>
      </c>
      <c r="N2301" s="1283">
        <f t="shared" si="1978"/>
        <v>0</v>
      </c>
      <c r="O2301" s="1283">
        <f t="shared" si="1978"/>
        <v>0</v>
      </c>
      <c r="P2301" s="1283">
        <f t="shared" si="1978"/>
        <v>0</v>
      </c>
      <c r="Q2301" s="1283">
        <f t="shared" si="1978"/>
        <v>0</v>
      </c>
      <c r="R2301" s="1283">
        <f t="shared" si="1978"/>
        <v>0</v>
      </c>
      <c r="S2301" s="1283">
        <f t="shared" si="1978"/>
        <v>0</v>
      </c>
      <c r="T2301" s="1601">
        <f t="shared" si="1978"/>
        <v>0</v>
      </c>
    </row>
    <row r="2302" spans="2:31" ht="13.75" hidden="1" customHeight="1" x14ac:dyDescent="0.2">
      <c r="B2302" s="1665"/>
      <c r="C2302" s="193"/>
      <c r="D2302" s="193"/>
      <c r="E2302" s="193"/>
      <c r="F2302" s="193"/>
      <c r="G2302" s="193"/>
      <c r="H2302" s="254"/>
      <c r="I2302" s="1179">
        <f t="shared" ref="I2302:T2302" si="1979">SUMIF($V$705:$V$708,$B2140&amp;"contratada",I$704:I$707)</f>
        <v>0</v>
      </c>
      <c r="J2302" s="1283">
        <f t="shared" si="1979"/>
        <v>0</v>
      </c>
      <c r="K2302" s="1283">
        <f t="shared" si="1979"/>
        <v>0</v>
      </c>
      <c r="L2302" s="1283">
        <f t="shared" si="1979"/>
        <v>0</v>
      </c>
      <c r="M2302" s="1283">
        <f t="shared" si="1979"/>
        <v>0</v>
      </c>
      <c r="N2302" s="1283">
        <f t="shared" si="1979"/>
        <v>0</v>
      </c>
      <c r="O2302" s="1283">
        <f t="shared" si="1979"/>
        <v>0</v>
      </c>
      <c r="P2302" s="1283">
        <f t="shared" si="1979"/>
        <v>0</v>
      </c>
      <c r="Q2302" s="1283">
        <f t="shared" si="1979"/>
        <v>0</v>
      </c>
      <c r="R2302" s="1283">
        <f t="shared" si="1979"/>
        <v>0</v>
      </c>
      <c r="S2302" s="1283">
        <f t="shared" si="1979"/>
        <v>0</v>
      </c>
      <c r="T2302" s="1601">
        <f t="shared" si="1979"/>
        <v>0</v>
      </c>
    </row>
    <row r="2303" spans="2:31" ht="13.75" hidden="1" customHeight="1" x14ac:dyDescent="0.2">
      <c r="B2303" s="1665"/>
      <c r="C2303" s="193"/>
      <c r="D2303" s="193"/>
      <c r="E2303" s="193"/>
      <c r="F2303" s="193"/>
      <c r="G2303" s="193"/>
      <c r="H2303" s="254"/>
      <c r="I2303" s="1179">
        <f t="shared" ref="I2303:T2303" si="1980">SUMIF($V$705:$V$708,$B2141&amp;"contratada",I$704:I$707)</f>
        <v>0</v>
      </c>
      <c r="J2303" s="1283">
        <f t="shared" si="1980"/>
        <v>0</v>
      </c>
      <c r="K2303" s="1283">
        <f t="shared" si="1980"/>
        <v>0</v>
      </c>
      <c r="L2303" s="1283">
        <f t="shared" si="1980"/>
        <v>0</v>
      </c>
      <c r="M2303" s="1283">
        <f t="shared" si="1980"/>
        <v>0</v>
      </c>
      <c r="N2303" s="1283">
        <f t="shared" si="1980"/>
        <v>0</v>
      </c>
      <c r="O2303" s="1283">
        <f t="shared" si="1980"/>
        <v>0</v>
      </c>
      <c r="P2303" s="1283">
        <f t="shared" si="1980"/>
        <v>0</v>
      </c>
      <c r="Q2303" s="1283">
        <f t="shared" si="1980"/>
        <v>0</v>
      </c>
      <c r="R2303" s="1283">
        <f t="shared" si="1980"/>
        <v>0</v>
      </c>
      <c r="S2303" s="1283">
        <f t="shared" si="1980"/>
        <v>0</v>
      </c>
      <c r="T2303" s="1601">
        <f t="shared" si="1980"/>
        <v>0</v>
      </c>
    </row>
    <row r="2304" spans="2:31" ht="13.75" hidden="1" customHeight="1" x14ac:dyDescent="0.2">
      <c r="B2304" s="1665"/>
      <c r="C2304" s="193"/>
      <c r="D2304" s="193"/>
      <c r="E2304" s="193"/>
      <c r="F2304" s="193"/>
      <c r="G2304" s="193"/>
      <c r="H2304" s="254"/>
      <c r="I2304" s="1179">
        <f t="shared" ref="I2304:T2304" si="1981">SUMIF($V$705:$V$708,$B2142&amp;"contratada",I$704:I$707)</f>
        <v>0</v>
      </c>
      <c r="J2304" s="1283">
        <f t="shared" si="1981"/>
        <v>0</v>
      </c>
      <c r="K2304" s="1283">
        <f t="shared" si="1981"/>
        <v>0</v>
      </c>
      <c r="L2304" s="1283">
        <f t="shared" si="1981"/>
        <v>0</v>
      </c>
      <c r="M2304" s="1283">
        <f t="shared" si="1981"/>
        <v>0</v>
      </c>
      <c r="N2304" s="1283">
        <f t="shared" si="1981"/>
        <v>0</v>
      </c>
      <c r="O2304" s="1283">
        <f t="shared" si="1981"/>
        <v>0</v>
      </c>
      <c r="P2304" s="1283">
        <f t="shared" si="1981"/>
        <v>0</v>
      </c>
      <c r="Q2304" s="1283">
        <f t="shared" si="1981"/>
        <v>0</v>
      </c>
      <c r="R2304" s="1283">
        <f t="shared" si="1981"/>
        <v>0</v>
      </c>
      <c r="S2304" s="1283">
        <f t="shared" si="1981"/>
        <v>0</v>
      </c>
      <c r="T2304" s="1601">
        <f t="shared" si="1981"/>
        <v>0</v>
      </c>
    </row>
    <row r="2305" spans="2:31" ht="13.75" hidden="1" customHeight="1" x14ac:dyDescent="0.2">
      <c r="B2305" s="1665"/>
      <c r="C2305" s="193"/>
      <c r="D2305" s="193"/>
      <c r="E2305" s="193"/>
      <c r="F2305" s="193"/>
      <c r="G2305" s="193"/>
      <c r="H2305" s="254"/>
      <c r="I2305" s="1179">
        <f t="shared" ref="I2305:T2305" si="1982">SUMIF($V$705:$V$708,$B2143&amp;"contratada",I$704:I$707)</f>
        <v>0</v>
      </c>
      <c r="J2305" s="1283">
        <f t="shared" si="1982"/>
        <v>0</v>
      </c>
      <c r="K2305" s="1283">
        <f t="shared" si="1982"/>
        <v>0</v>
      </c>
      <c r="L2305" s="1283">
        <f t="shared" si="1982"/>
        <v>0</v>
      </c>
      <c r="M2305" s="1283">
        <f t="shared" si="1982"/>
        <v>0</v>
      </c>
      <c r="N2305" s="1283">
        <f t="shared" si="1982"/>
        <v>0</v>
      </c>
      <c r="O2305" s="1283">
        <f t="shared" si="1982"/>
        <v>0</v>
      </c>
      <c r="P2305" s="1283">
        <f t="shared" si="1982"/>
        <v>0</v>
      </c>
      <c r="Q2305" s="1283">
        <f t="shared" si="1982"/>
        <v>0</v>
      </c>
      <c r="R2305" s="1283">
        <f t="shared" si="1982"/>
        <v>0</v>
      </c>
      <c r="S2305" s="1283">
        <f t="shared" si="1982"/>
        <v>0</v>
      </c>
      <c r="T2305" s="1601">
        <f t="shared" si="1982"/>
        <v>0</v>
      </c>
    </row>
    <row r="2306" spans="2:31" ht="13.75" hidden="1" customHeight="1" x14ac:dyDescent="0.2">
      <c r="B2306" s="1665"/>
      <c r="C2306" s="193"/>
      <c r="D2306" s="193"/>
      <c r="E2306" s="193"/>
      <c r="F2306" s="193"/>
      <c r="G2306" s="193"/>
      <c r="H2306" s="254"/>
      <c r="I2306" s="1179">
        <f t="shared" ref="I2306:T2306" si="1983">SUMIF($V$705:$V$708,$B2144&amp;"contratada",I$704:I$707)</f>
        <v>0</v>
      </c>
      <c r="J2306" s="1283">
        <f t="shared" si="1983"/>
        <v>0</v>
      </c>
      <c r="K2306" s="1283">
        <f t="shared" si="1983"/>
        <v>0</v>
      </c>
      <c r="L2306" s="1283">
        <f t="shared" si="1983"/>
        <v>0</v>
      </c>
      <c r="M2306" s="1283">
        <f t="shared" si="1983"/>
        <v>0</v>
      </c>
      <c r="N2306" s="1283">
        <f t="shared" si="1983"/>
        <v>0</v>
      </c>
      <c r="O2306" s="1283">
        <f t="shared" si="1983"/>
        <v>0</v>
      </c>
      <c r="P2306" s="1283">
        <f t="shared" si="1983"/>
        <v>0</v>
      </c>
      <c r="Q2306" s="1283">
        <f t="shared" si="1983"/>
        <v>0</v>
      </c>
      <c r="R2306" s="1283">
        <f t="shared" si="1983"/>
        <v>0</v>
      </c>
      <c r="S2306" s="1283">
        <f t="shared" si="1983"/>
        <v>0</v>
      </c>
      <c r="T2306" s="1601">
        <f t="shared" si="1983"/>
        <v>0</v>
      </c>
    </row>
    <row r="2307" spans="2:31" ht="13.75" hidden="1" customHeight="1" x14ac:dyDescent="0.2">
      <c r="B2307" s="1665"/>
      <c r="C2307" s="193"/>
      <c r="D2307" s="193"/>
      <c r="E2307" s="193"/>
      <c r="F2307" s="193"/>
      <c r="G2307" s="193"/>
      <c r="H2307" s="254"/>
      <c r="I2307" s="1179">
        <f t="shared" ref="I2307:T2307" si="1984">SUMIF($V$705:$V$708,$B2145&amp;"contratada",I$704:I$707)</f>
        <v>0</v>
      </c>
      <c r="J2307" s="1283">
        <f t="shared" si="1984"/>
        <v>0</v>
      </c>
      <c r="K2307" s="1283">
        <f t="shared" si="1984"/>
        <v>0</v>
      </c>
      <c r="L2307" s="1283">
        <f t="shared" si="1984"/>
        <v>0</v>
      </c>
      <c r="M2307" s="1283">
        <f t="shared" si="1984"/>
        <v>0</v>
      </c>
      <c r="N2307" s="1283">
        <f t="shared" si="1984"/>
        <v>0</v>
      </c>
      <c r="O2307" s="1283">
        <f t="shared" si="1984"/>
        <v>0</v>
      </c>
      <c r="P2307" s="1283">
        <f t="shared" si="1984"/>
        <v>0</v>
      </c>
      <c r="Q2307" s="1283">
        <f t="shared" si="1984"/>
        <v>0</v>
      </c>
      <c r="R2307" s="1283">
        <f t="shared" si="1984"/>
        <v>0</v>
      </c>
      <c r="S2307" s="1283">
        <f t="shared" si="1984"/>
        <v>0</v>
      </c>
      <c r="T2307" s="1601">
        <f t="shared" si="1984"/>
        <v>0</v>
      </c>
    </row>
    <row r="2308" spans="2:31" ht="13.75" hidden="1" customHeight="1" x14ac:dyDescent="0.2">
      <c r="B2308" s="1665"/>
      <c r="C2308" s="193"/>
      <c r="D2308" s="193"/>
      <c r="E2308" s="193"/>
      <c r="F2308" s="193"/>
      <c r="G2308" s="193"/>
      <c r="H2308" s="254"/>
      <c r="I2308" s="1179">
        <f t="shared" ref="I2308:T2308" si="1985">SUMIF($V$705:$V$708,$B2146&amp;"contratada",I$704:I$707)</f>
        <v>0</v>
      </c>
      <c r="J2308" s="1283">
        <f t="shared" si="1985"/>
        <v>0</v>
      </c>
      <c r="K2308" s="1283">
        <f t="shared" si="1985"/>
        <v>0</v>
      </c>
      <c r="L2308" s="1283">
        <f t="shared" si="1985"/>
        <v>0</v>
      </c>
      <c r="M2308" s="1283">
        <f t="shared" si="1985"/>
        <v>0</v>
      </c>
      <c r="N2308" s="1283">
        <f t="shared" si="1985"/>
        <v>0</v>
      </c>
      <c r="O2308" s="1283">
        <f t="shared" si="1985"/>
        <v>0</v>
      </c>
      <c r="P2308" s="1283">
        <f t="shared" si="1985"/>
        <v>0</v>
      </c>
      <c r="Q2308" s="1283">
        <f t="shared" si="1985"/>
        <v>0</v>
      </c>
      <c r="R2308" s="1283">
        <f t="shared" si="1985"/>
        <v>0</v>
      </c>
      <c r="S2308" s="1283">
        <f t="shared" si="1985"/>
        <v>0</v>
      </c>
      <c r="T2308" s="1601">
        <f t="shared" si="1985"/>
        <v>0</v>
      </c>
    </row>
    <row r="2309" spans="2:31" ht="13.75" hidden="1" customHeight="1" x14ac:dyDescent="0.2">
      <c r="B2309" s="1665"/>
      <c r="C2309" s="193"/>
      <c r="D2309" s="193"/>
      <c r="E2309" s="193"/>
      <c r="F2309" s="193"/>
      <c r="G2309" s="193"/>
      <c r="H2309" s="254"/>
      <c r="I2309" s="1179">
        <f t="shared" ref="I2309:T2309" si="1986">SUMIF($V$705:$V$708,$B2147&amp;"contratada",I$704:I$707)</f>
        <v>0</v>
      </c>
      <c r="J2309" s="1283">
        <f t="shared" si="1986"/>
        <v>0</v>
      </c>
      <c r="K2309" s="1283">
        <f t="shared" si="1986"/>
        <v>0</v>
      </c>
      <c r="L2309" s="1283">
        <f t="shared" si="1986"/>
        <v>0</v>
      </c>
      <c r="M2309" s="1283">
        <f t="shared" si="1986"/>
        <v>0</v>
      </c>
      <c r="N2309" s="1283">
        <f t="shared" si="1986"/>
        <v>0</v>
      </c>
      <c r="O2309" s="1283">
        <f t="shared" si="1986"/>
        <v>0</v>
      </c>
      <c r="P2309" s="1283">
        <f t="shared" si="1986"/>
        <v>0</v>
      </c>
      <c r="Q2309" s="1283">
        <f t="shared" si="1986"/>
        <v>0</v>
      </c>
      <c r="R2309" s="1283">
        <f t="shared" si="1986"/>
        <v>0</v>
      </c>
      <c r="S2309" s="1283">
        <f t="shared" si="1986"/>
        <v>0</v>
      </c>
      <c r="T2309" s="1601">
        <f t="shared" si="1986"/>
        <v>0</v>
      </c>
    </row>
    <row r="2310" spans="2:31" ht="13.75" hidden="1" customHeight="1" x14ac:dyDescent="0.2">
      <c r="B2310" s="1665"/>
      <c r="C2310" s="193"/>
      <c r="D2310" s="193"/>
      <c r="E2310" s="193"/>
      <c r="F2310" s="193"/>
      <c r="G2310" s="193"/>
      <c r="H2310" s="254"/>
      <c r="I2310" s="1179">
        <f t="shared" ref="I2310:T2310" si="1987">SUMIF($V$705:$V$708,$B2148&amp;"contratada",I$704:I$707)</f>
        <v>0</v>
      </c>
      <c r="J2310" s="1283">
        <f t="shared" si="1987"/>
        <v>0</v>
      </c>
      <c r="K2310" s="1283">
        <f t="shared" si="1987"/>
        <v>0</v>
      </c>
      <c r="L2310" s="1283">
        <f t="shared" si="1987"/>
        <v>0</v>
      </c>
      <c r="M2310" s="1283">
        <f t="shared" si="1987"/>
        <v>0</v>
      </c>
      <c r="N2310" s="1283">
        <f t="shared" si="1987"/>
        <v>0</v>
      </c>
      <c r="O2310" s="1283">
        <f t="shared" si="1987"/>
        <v>0</v>
      </c>
      <c r="P2310" s="1283">
        <f t="shared" si="1987"/>
        <v>0</v>
      </c>
      <c r="Q2310" s="1283">
        <f t="shared" si="1987"/>
        <v>0</v>
      </c>
      <c r="R2310" s="1283">
        <f t="shared" si="1987"/>
        <v>0</v>
      </c>
      <c r="S2310" s="1283">
        <f t="shared" si="1987"/>
        <v>0</v>
      </c>
      <c r="T2310" s="1601">
        <f t="shared" si="1987"/>
        <v>0</v>
      </c>
    </row>
    <row r="2311" spans="2:31" ht="14.4" hidden="1" customHeight="1" thickBot="1" x14ac:dyDescent="0.25">
      <c r="B2311" s="1665"/>
      <c r="C2311" s="193"/>
      <c r="D2311" s="193"/>
      <c r="E2311" s="193"/>
      <c r="F2311" s="193"/>
      <c r="G2311" s="193"/>
      <c r="H2311" s="254"/>
      <c r="I2311" s="377">
        <f t="shared" ref="I2311:T2311" si="1988">SUMIF($V$705:$V$708,$B2149&amp;"contratada",I$704:I$707)</f>
        <v>0</v>
      </c>
      <c r="J2311" s="1200">
        <f t="shared" si="1988"/>
        <v>0</v>
      </c>
      <c r="K2311" s="1200">
        <f t="shared" si="1988"/>
        <v>0</v>
      </c>
      <c r="L2311" s="1200">
        <f t="shared" si="1988"/>
        <v>0</v>
      </c>
      <c r="M2311" s="1200">
        <f t="shared" si="1988"/>
        <v>0</v>
      </c>
      <c r="N2311" s="1200">
        <f t="shared" si="1988"/>
        <v>0</v>
      </c>
      <c r="O2311" s="1200">
        <f t="shared" si="1988"/>
        <v>0</v>
      </c>
      <c r="P2311" s="1200">
        <f t="shared" si="1988"/>
        <v>0</v>
      </c>
      <c r="Q2311" s="1200">
        <f t="shared" si="1988"/>
        <v>0</v>
      </c>
      <c r="R2311" s="1200">
        <f t="shared" si="1988"/>
        <v>0</v>
      </c>
      <c r="S2311" s="1200">
        <f t="shared" si="1988"/>
        <v>0</v>
      </c>
      <c r="T2311" s="1718">
        <f t="shared" si="1988"/>
        <v>0</v>
      </c>
    </row>
    <row r="2312" spans="2:31" ht="13.75" hidden="1" customHeight="1" x14ac:dyDescent="0.2">
      <c r="B2312" s="1732" t="s">
        <v>705</v>
      </c>
      <c r="C2312" s="1733"/>
      <c r="D2312" s="1733"/>
      <c r="E2312" s="1733"/>
      <c r="F2312" s="1733"/>
      <c r="G2312" s="1734"/>
      <c r="H2312" s="1532"/>
      <c r="I2312" s="1735">
        <f t="shared" ref="I2312:T2312" si="1989">+SUMPRODUCT(I2298:I2311,$C$2136:$C$2149)</f>
        <v>0</v>
      </c>
      <c r="J2312" s="1736">
        <f t="shared" si="1989"/>
        <v>0</v>
      </c>
      <c r="K2312" s="1736">
        <f t="shared" si="1989"/>
        <v>0</v>
      </c>
      <c r="L2312" s="1736">
        <f t="shared" si="1989"/>
        <v>0</v>
      </c>
      <c r="M2312" s="1736">
        <f t="shared" si="1989"/>
        <v>0</v>
      </c>
      <c r="N2312" s="1736">
        <f t="shared" si="1989"/>
        <v>0</v>
      </c>
      <c r="O2312" s="1736">
        <f t="shared" si="1989"/>
        <v>0</v>
      </c>
      <c r="P2312" s="1736">
        <f t="shared" si="1989"/>
        <v>0</v>
      </c>
      <c r="Q2312" s="1736">
        <f t="shared" si="1989"/>
        <v>0</v>
      </c>
      <c r="R2312" s="1736">
        <f t="shared" si="1989"/>
        <v>0</v>
      </c>
      <c r="S2312" s="1736">
        <f t="shared" si="1989"/>
        <v>0</v>
      </c>
      <c r="T2312" s="1737">
        <f t="shared" si="1989"/>
        <v>0</v>
      </c>
      <c r="Y2312" s="359"/>
      <c r="AE2312" s="232"/>
    </row>
    <row r="2313" spans="2:31" ht="13.75" hidden="1" customHeight="1" x14ac:dyDescent="0.2">
      <c r="B2313" s="1728"/>
      <c r="C2313" s="970"/>
      <c r="D2313" s="970"/>
      <c r="E2313" s="970"/>
      <c r="F2313" s="970"/>
      <c r="G2313" s="982" t="s">
        <v>698</v>
      </c>
      <c r="I2313" s="1725">
        <f t="shared" ref="I2313:T2313" si="1990">IFERROR(I2312*I2296/I2295,0)</f>
        <v>0</v>
      </c>
      <c r="J2313" s="1726">
        <f t="shared" si="1990"/>
        <v>0</v>
      </c>
      <c r="K2313" s="1726">
        <f t="shared" si="1990"/>
        <v>0</v>
      </c>
      <c r="L2313" s="1726">
        <f t="shared" si="1990"/>
        <v>0</v>
      </c>
      <c r="M2313" s="1726">
        <f t="shared" si="1990"/>
        <v>0</v>
      </c>
      <c r="N2313" s="1726">
        <f t="shared" si="1990"/>
        <v>0</v>
      </c>
      <c r="O2313" s="1726">
        <f t="shared" si="1990"/>
        <v>0</v>
      </c>
      <c r="P2313" s="1726">
        <f t="shared" si="1990"/>
        <v>0</v>
      </c>
      <c r="Q2313" s="1726">
        <f t="shared" si="1990"/>
        <v>0</v>
      </c>
      <c r="R2313" s="1726">
        <f t="shared" si="1990"/>
        <v>0</v>
      </c>
      <c r="S2313" s="1726">
        <f t="shared" si="1990"/>
        <v>0</v>
      </c>
      <c r="T2313" s="1727">
        <f t="shared" si="1990"/>
        <v>0</v>
      </c>
      <c r="Y2313" s="359"/>
      <c r="AE2313" s="232"/>
    </row>
    <row r="2314" spans="2:31" ht="14.4" hidden="1" customHeight="1" thickBot="1" x14ac:dyDescent="0.25">
      <c r="B2314" s="1728"/>
      <c r="C2314" s="970"/>
      <c r="D2314" s="970"/>
      <c r="E2314" s="970"/>
      <c r="F2314" s="970"/>
      <c r="G2314" s="982" t="s">
        <v>699</v>
      </c>
      <c r="I2314" s="1729">
        <f t="shared" ref="I2314:T2314" si="1991">+I2312-I2313</f>
        <v>0</v>
      </c>
      <c r="J2314" s="1730">
        <f t="shared" si="1991"/>
        <v>0</v>
      </c>
      <c r="K2314" s="1730">
        <f t="shared" si="1991"/>
        <v>0</v>
      </c>
      <c r="L2314" s="1730">
        <f t="shared" si="1991"/>
        <v>0</v>
      </c>
      <c r="M2314" s="1730">
        <f t="shared" si="1991"/>
        <v>0</v>
      </c>
      <c r="N2314" s="1730">
        <f t="shared" si="1991"/>
        <v>0</v>
      </c>
      <c r="O2314" s="1730">
        <f t="shared" si="1991"/>
        <v>0</v>
      </c>
      <c r="P2314" s="1730">
        <f t="shared" si="1991"/>
        <v>0</v>
      </c>
      <c r="Q2314" s="1730">
        <f t="shared" si="1991"/>
        <v>0</v>
      </c>
      <c r="R2314" s="1730">
        <f t="shared" si="1991"/>
        <v>0</v>
      </c>
      <c r="S2314" s="1730">
        <f t="shared" si="1991"/>
        <v>0</v>
      </c>
      <c r="T2314" s="1731">
        <f t="shared" si="1991"/>
        <v>0</v>
      </c>
      <c r="Y2314" s="359"/>
      <c r="AE2314" s="232"/>
    </row>
    <row r="2315" spans="2:31" ht="14.4" hidden="1" customHeight="1" thickTop="1" x14ac:dyDescent="0.2">
      <c r="B2315" s="1724" t="s">
        <v>812</v>
      </c>
      <c r="C2315" s="1194"/>
      <c r="D2315" s="1194"/>
      <c r="E2315" s="1194"/>
      <c r="F2315" s="1210"/>
      <c r="G2315" s="1641" t="s">
        <v>813</v>
      </c>
      <c r="H2315" s="1210"/>
      <c r="I2315" s="1667">
        <f t="shared" ref="I2315:T2315" si="1992">+SUM(I705:I707,$F$705:$F$707)</f>
        <v>2.9888888888888889</v>
      </c>
      <c r="J2315" s="1668">
        <f t="shared" si="1992"/>
        <v>2.9888888888888889</v>
      </c>
      <c r="K2315" s="1668">
        <f t="shared" si="1992"/>
        <v>2.9888888888888889</v>
      </c>
      <c r="L2315" s="1668">
        <f t="shared" si="1992"/>
        <v>2.9888888888888889</v>
      </c>
      <c r="M2315" s="1668">
        <f t="shared" si="1992"/>
        <v>2.9888888888888889</v>
      </c>
      <c r="N2315" s="1668">
        <f t="shared" si="1992"/>
        <v>2.9888888888888889</v>
      </c>
      <c r="O2315" s="1668">
        <f t="shared" si="1992"/>
        <v>2.9888888888888889</v>
      </c>
      <c r="P2315" s="1668">
        <f t="shared" si="1992"/>
        <v>2.9888888888888889</v>
      </c>
      <c r="Q2315" s="1668">
        <f t="shared" si="1992"/>
        <v>2.9888888888888889</v>
      </c>
      <c r="R2315" s="1668">
        <f t="shared" si="1992"/>
        <v>2.9888888888888889</v>
      </c>
      <c r="S2315" s="1668">
        <f t="shared" si="1992"/>
        <v>2.9888888888888889</v>
      </c>
      <c r="T2315" s="1704">
        <f t="shared" si="1992"/>
        <v>2.9888888888888889</v>
      </c>
    </row>
    <row r="2316" spans="2:31" ht="13.75" hidden="1" customHeight="1" x14ac:dyDescent="0.2">
      <c r="B2316" s="1594"/>
      <c r="C2316" s="193"/>
      <c r="D2316" s="193"/>
      <c r="E2316" s="193"/>
      <c r="F2316" s="193"/>
      <c r="G2316" s="254" t="s">
        <v>698</v>
      </c>
      <c r="H2316" s="254"/>
      <c r="I2316" s="1179">
        <f>IFERROR(I2315*(I2296/I2295),0)</f>
        <v>0</v>
      </c>
      <c r="J2316" s="1283">
        <f>IFERROR(J2315*(J2295/#REF!),0)</f>
        <v>0</v>
      </c>
      <c r="K2316" s="1283">
        <f>IFERROR(K2315*(K2295/#REF!),0)</f>
        <v>0</v>
      </c>
      <c r="L2316" s="1283">
        <f>IFERROR(L2315*(L2295/#REF!),0)</f>
        <v>0</v>
      </c>
      <c r="M2316" s="1283">
        <f>IFERROR(M2315*(M2295/#REF!),0)</f>
        <v>0</v>
      </c>
      <c r="N2316" s="1283">
        <f>IFERROR(N2315*(N2295/#REF!),0)</f>
        <v>0</v>
      </c>
      <c r="O2316" s="1283">
        <f>IFERROR(O2315*(O2295/#REF!),0)</f>
        <v>0</v>
      </c>
      <c r="P2316" s="1283">
        <f>IFERROR(P2315*(P2295/#REF!),0)</f>
        <v>0</v>
      </c>
      <c r="Q2316" s="1283">
        <f>IFERROR(Q2315*(Q2295/#REF!),0)</f>
        <v>0</v>
      </c>
      <c r="R2316" s="1283">
        <f>IFERROR(R2315*(R2295/#REF!),0)</f>
        <v>0</v>
      </c>
      <c r="S2316" s="1283">
        <f>IFERROR(S2315*(S2295/#REF!),0)</f>
        <v>0</v>
      </c>
      <c r="T2316" s="1601">
        <f>IFERROR(T2315*(T2295/#REF!),0)</f>
        <v>0</v>
      </c>
    </row>
    <row r="2317" spans="2:31" ht="14.4" hidden="1" customHeight="1" thickBot="1" x14ac:dyDescent="0.25">
      <c r="B2317" s="1596"/>
      <c r="C2317" s="1199"/>
      <c r="D2317" s="1199"/>
      <c r="E2317" s="1199"/>
      <c r="F2317" s="1199"/>
      <c r="G2317" s="1209" t="s">
        <v>699</v>
      </c>
      <c r="H2317" s="1209"/>
      <c r="I2317" s="1654">
        <f>IFERROR(I2316*(I2297/I2295),0)</f>
        <v>0</v>
      </c>
      <c r="J2317" s="1590">
        <f>IFERROR(J2316*(J2296/#REF!),0)</f>
        <v>0</v>
      </c>
      <c r="K2317" s="1590">
        <f>IFERROR(K2316*(K2296/#REF!),0)</f>
        <v>0</v>
      </c>
      <c r="L2317" s="1590">
        <f>IFERROR(L2316*(L2296/#REF!),0)</f>
        <v>0</v>
      </c>
      <c r="M2317" s="1590">
        <f>IFERROR(M2316*(M2296/#REF!),0)</f>
        <v>0</v>
      </c>
      <c r="N2317" s="1590">
        <f>IFERROR(N2316*(N2296/#REF!),0)</f>
        <v>0</v>
      </c>
      <c r="O2317" s="1590">
        <f>IFERROR(O2316*(O2296/#REF!),0)</f>
        <v>0</v>
      </c>
      <c r="P2317" s="1590">
        <f>IFERROR(P2316*(P2296/#REF!),0)</f>
        <v>0</v>
      </c>
      <c r="Q2317" s="1590">
        <f>IFERROR(Q2316*(Q2296/#REF!),0)</f>
        <v>0</v>
      </c>
      <c r="R2317" s="1590">
        <f>IFERROR(R2316*(R2296/#REF!),0)</f>
        <v>0</v>
      </c>
      <c r="S2317" s="1590">
        <f>IFERROR(S2316*(S2296/#REF!),0)</f>
        <v>0</v>
      </c>
      <c r="T2317" s="1655">
        <f>IFERROR(T2316*(T2296/#REF!),0)</f>
        <v>0</v>
      </c>
    </row>
    <row r="2318" spans="2:31" ht="14.4" hidden="1" customHeight="1" thickTop="1" x14ac:dyDescent="0.2">
      <c r="B2318" s="1724" t="s">
        <v>797</v>
      </c>
      <c r="C2318" s="1194"/>
      <c r="D2318" s="1194"/>
      <c r="E2318" s="1581" t="str">
        <f>+B708</f>
        <v>Ra Silo Cierre Ago</v>
      </c>
      <c r="F2318" s="232"/>
      <c r="G2318" s="1194" t="s">
        <v>791</v>
      </c>
      <c r="H2318" s="1194"/>
      <c r="I2318" s="1668">
        <f t="shared" ref="I2318:T2318" si="1993">+I2319+I2320</f>
        <v>0</v>
      </c>
      <c r="J2318" s="1668">
        <f t="shared" si="1993"/>
        <v>0</v>
      </c>
      <c r="K2318" s="1668">
        <f t="shared" si="1993"/>
        <v>0</v>
      </c>
      <c r="L2318" s="1668">
        <f t="shared" si="1993"/>
        <v>0</v>
      </c>
      <c r="M2318" s="1668">
        <f t="shared" si="1993"/>
        <v>0</v>
      </c>
      <c r="N2318" s="1668">
        <f t="shared" si="1993"/>
        <v>0</v>
      </c>
      <c r="O2318" s="1668">
        <f t="shared" si="1993"/>
        <v>0</v>
      </c>
      <c r="P2318" s="1668">
        <f t="shared" si="1993"/>
        <v>0</v>
      </c>
      <c r="Q2318" s="1668">
        <f t="shared" si="1993"/>
        <v>0</v>
      </c>
      <c r="R2318" s="1668">
        <f t="shared" si="1993"/>
        <v>0</v>
      </c>
      <c r="S2318" s="1668">
        <f t="shared" si="1993"/>
        <v>0</v>
      </c>
      <c r="T2318" s="1704">
        <f t="shared" si="1993"/>
        <v>0</v>
      </c>
    </row>
    <row r="2319" spans="2:31" ht="13.75" hidden="1" customHeight="1" x14ac:dyDescent="0.2">
      <c r="B2319" s="1594" t="s">
        <v>798</v>
      </c>
      <c r="C2319" s="193"/>
      <c r="D2319" s="193"/>
      <c r="E2319" s="193"/>
      <c r="F2319" s="232"/>
      <c r="G2319" s="193" t="s">
        <v>793</v>
      </c>
      <c r="H2319" s="193"/>
      <c r="I2319" s="1283">
        <f>VLOOKUP($E$2318,UsoSuelo!$E$1366:$Q$1377,I$2156,FALSE)</f>
        <v>0</v>
      </c>
      <c r="J2319" s="1283">
        <f>VLOOKUP($E$2318,UsoSuelo!$E$1366:$Q$1377,J$2156,FALSE)</f>
        <v>0</v>
      </c>
      <c r="K2319" s="1283">
        <f>VLOOKUP($E$2318,UsoSuelo!$E$1366:$Q$1377,K$2156,FALSE)</f>
        <v>0</v>
      </c>
      <c r="L2319" s="1283">
        <f>VLOOKUP($E$2318,UsoSuelo!$E$1366:$Q$1377,L$2156,FALSE)</f>
        <v>0</v>
      </c>
      <c r="M2319" s="1283">
        <f>VLOOKUP($E$2318,UsoSuelo!$E$1366:$Q$1377,M$2156,FALSE)</f>
        <v>0</v>
      </c>
      <c r="N2319" s="1283">
        <f>VLOOKUP($E$2318,UsoSuelo!$E$1366:$Q$1377,N$2156,FALSE)</f>
        <v>0</v>
      </c>
      <c r="O2319" s="1283">
        <f>VLOOKUP($E$2318,UsoSuelo!$E$1366:$Q$1377,O$2156,FALSE)</f>
        <v>0</v>
      </c>
      <c r="P2319" s="1283">
        <f>VLOOKUP($E$2318,UsoSuelo!$E$1366:$Q$1377,P$2156,FALSE)</f>
        <v>0</v>
      </c>
      <c r="Q2319" s="1283">
        <f>VLOOKUP($E$2318,UsoSuelo!$E$1366:$Q$1377,Q$2156,FALSE)</f>
        <v>0</v>
      </c>
      <c r="R2319" s="1283">
        <f>VLOOKUP($E$2318,UsoSuelo!$E$1366:$Q$1377,R$2156,FALSE)</f>
        <v>0</v>
      </c>
      <c r="S2319" s="1283">
        <f>VLOOKUP($E$2318,UsoSuelo!$E$1366:$Q$1377,S$2156,FALSE)</f>
        <v>0</v>
      </c>
      <c r="T2319" s="1601">
        <f>VLOOKUP($E$2318,UsoSuelo!$E$1366:$Q$1377,T$2156,FALSE)</f>
        <v>0</v>
      </c>
    </row>
    <row r="2320" spans="2:31" ht="14.4" hidden="1" customHeight="1" thickBot="1" x14ac:dyDescent="0.25">
      <c r="B2320" s="1596"/>
      <c r="C2320" s="1199"/>
      <c r="D2320" s="1199"/>
      <c r="E2320" s="1199"/>
      <c r="F2320" s="232"/>
      <c r="G2320" s="1199" t="s">
        <v>792</v>
      </c>
      <c r="H2320" s="1199"/>
      <c r="I2320" s="1590">
        <f>VLOOKUP($E$2318,UsoSuelo!$E$1383:$Q$1394,I$2156,FALSE)</f>
        <v>0</v>
      </c>
      <c r="J2320" s="1590">
        <f>VLOOKUP($E$2318,UsoSuelo!$E$1383:$Q$1394,J$2156,FALSE)</f>
        <v>0</v>
      </c>
      <c r="K2320" s="1590">
        <f>VLOOKUP($E$2318,UsoSuelo!$E$1383:$Q$1394,K$2156,FALSE)</f>
        <v>0</v>
      </c>
      <c r="L2320" s="1590">
        <f>VLOOKUP($E$2318,UsoSuelo!$E$1383:$Q$1394,L$2156,FALSE)</f>
        <v>0</v>
      </c>
      <c r="M2320" s="1590">
        <f>VLOOKUP($E$2318,UsoSuelo!$E$1383:$Q$1394,M$2156,FALSE)</f>
        <v>0</v>
      </c>
      <c r="N2320" s="1590">
        <f>VLOOKUP($E$2318,UsoSuelo!$E$1383:$Q$1394,N$2156,FALSE)</f>
        <v>0</v>
      </c>
      <c r="O2320" s="1590">
        <f>VLOOKUP($E$2318,UsoSuelo!$E$1383:$Q$1394,O$2156,FALSE)</f>
        <v>0</v>
      </c>
      <c r="P2320" s="1590">
        <f>VLOOKUP($E$2318,UsoSuelo!$E$1383:$Q$1394,P$2156,FALSE)</f>
        <v>0</v>
      </c>
      <c r="Q2320" s="1590">
        <f>VLOOKUP($E$2318,UsoSuelo!$E$1383:$Q$1394,Q$2156,FALSE)</f>
        <v>0</v>
      </c>
      <c r="R2320" s="1590">
        <f>VLOOKUP($E$2318,UsoSuelo!$E$1383:$Q$1394,R$2156,FALSE)</f>
        <v>0</v>
      </c>
      <c r="S2320" s="1590">
        <f>VLOOKUP($E$2318,UsoSuelo!$E$1383:$Q$1394,S$2156,FALSE)</f>
        <v>0</v>
      </c>
      <c r="T2320" s="1655">
        <f>VLOOKUP($E$2318,UsoSuelo!$E$1383:$Q$1394,T$2156,FALSE)</f>
        <v>0</v>
      </c>
    </row>
    <row r="2321" spans="2:31" ht="14.4" hidden="1" customHeight="1" thickTop="1" x14ac:dyDescent="0.2">
      <c r="B2321" s="1664"/>
      <c r="C2321" s="1194"/>
      <c r="D2321" s="1194"/>
      <c r="E2321" s="1194"/>
      <c r="F2321" s="1194"/>
      <c r="G2321" s="1194"/>
      <c r="H2321" s="1210"/>
      <c r="I2321" s="1667">
        <f t="shared" ref="I2321:T2321" si="1994">SUMIF($V$709:$V$712,$B2139&amp;"contratada",I$709:I$712)</f>
        <v>0</v>
      </c>
      <c r="J2321" s="1668">
        <f t="shared" si="1994"/>
        <v>0</v>
      </c>
      <c r="K2321" s="1668">
        <f t="shared" si="1994"/>
        <v>0</v>
      </c>
      <c r="L2321" s="1668">
        <f t="shared" si="1994"/>
        <v>0</v>
      </c>
      <c r="M2321" s="1668">
        <f t="shared" si="1994"/>
        <v>0</v>
      </c>
      <c r="N2321" s="1668">
        <f t="shared" si="1994"/>
        <v>0</v>
      </c>
      <c r="O2321" s="1668">
        <f t="shared" si="1994"/>
        <v>0</v>
      </c>
      <c r="P2321" s="1668">
        <f t="shared" si="1994"/>
        <v>0</v>
      </c>
      <c r="Q2321" s="1668">
        <f t="shared" si="1994"/>
        <v>0</v>
      </c>
      <c r="R2321" s="1668">
        <f t="shared" si="1994"/>
        <v>0</v>
      </c>
      <c r="S2321" s="1668">
        <f t="shared" si="1994"/>
        <v>0</v>
      </c>
      <c r="T2321" s="1704">
        <f t="shared" si="1994"/>
        <v>0</v>
      </c>
    </row>
    <row r="2322" spans="2:31" ht="13.75" hidden="1" customHeight="1" x14ac:dyDescent="0.2">
      <c r="B2322" s="1665"/>
      <c r="C2322" s="193"/>
      <c r="D2322" s="193"/>
      <c r="E2322" s="193"/>
      <c r="F2322" s="193"/>
      <c r="G2322" s="193"/>
      <c r="H2322" s="254"/>
      <c r="I2322" s="1179">
        <f t="shared" ref="I2322:T2322" si="1995">SUMIF($V$709:$V$712,$B2140&amp;"contratada",I$709:I$712)</f>
        <v>0</v>
      </c>
      <c r="J2322" s="1283">
        <f t="shared" si="1995"/>
        <v>0</v>
      </c>
      <c r="K2322" s="1283">
        <f t="shared" si="1995"/>
        <v>0</v>
      </c>
      <c r="L2322" s="1283">
        <f t="shared" si="1995"/>
        <v>0</v>
      </c>
      <c r="M2322" s="1283">
        <f t="shared" si="1995"/>
        <v>0</v>
      </c>
      <c r="N2322" s="1283">
        <f t="shared" si="1995"/>
        <v>0</v>
      </c>
      <c r="O2322" s="1283">
        <f t="shared" si="1995"/>
        <v>0</v>
      </c>
      <c r="P2322" s="1283">
        <f t="shared" si="1995"/>
        <v>0</v>
      </c>
      <c r="Q2322" s="1283">
        <f t="shared" si="1995"/>
        <v>0</v>
      </c>
      <c r="R2322" s="1283">
        <f t="shared" si="1995"/>
        <v>0</v>
      </c>
      <c r="S2322" s="1283">
        <f t="shared" si="1995"/>
        <v>0</v>
      </c>
      <c r="T2322" s="1601">
        <f t="shared" si="1995"/>
        <v>0</v>
      </c>
    </row>
    <row r="2323" spans="2:31" ht="13.75" hidden="1" customHeight="1" x14ac:dyDescent="0.2">
      <c r="B2323" s="1665"/>
      <c r="C2323" s="193"/>
      <c r="D2323" s="193"/>
      <c r="E2323" s="193"/>
      <c r="F2323" s="193"/>
      <c r="G2323" s="193"/>
      <c r="H2323" s="254"/>
      <c r="I2323" s="1179">
        <f t="shared" ref="I2323:T2323" si="1996">SUMIF($V$709:$V$712,$B2141&amp;"contratada",I$709:I$712)</f>
        <v>0</v>
      </c>
      <c r="J2323" s="1283">
        <f t="shared" si="1996"/>
        <v>0</v>
      </c>
      <c r="K2323" s="1283">
        <f t="shared" si="1996"/>
        <v>0</v>
      </c>
      <c r="L2323" s="1283">
        <f t="shared" si="1996"/>
        <v>0</v>
      </c>
      <c r="M2323" s="1283">
        <f t="shared" si="1996"/>
        <v>0</v>
      </c>
      <c r="N2323" s="1283">
        <f t="shared" si="1996"/>
        <v>0</v>
      </c>
      <c r="O2323" s="1283">
        <f t="shared" si="1996"/>
        <v>0</v>
      </c>
      <c r="P2323" s="1283">
        <f t="shared" si="1996"/>
        <v>0</v>
      </c>
      <c r="Q2323" s="1283">
        <f t="shared" si="1996"/>
        <v>0</v>
      </c>
      <c r="R2323" s="1283">
        <f t="shared" si="1996"/>
        <v>0</v>
      </c>
      <c r="S2323" s="1283">
        <f t="shared" si="1996"/>
        <v>0</v>
      </c>
      <c r="T2323" s="1601">
        <f t="shared" si="1996"/>
        <v>0</v>
      </c>
    </row>
    <row r="2324" spans="2:31" ht="13.75" hidden="1" customHeight="1" x14ac:dyDescent="0.2">
      <c r="B2324" s="1665"/>
      <c r="C2324" s="193"/>
      <c r="D2324" s="193"/>
      <c r="E2324" s="193"/>
      <c r="F2324" s="193"/>
      <c r="G2324" s="193"/>
      <c r="H2324" s="254"/>
      <c r="I2324" s="1179">
        <f t="shared" ref="I2324:T2324" si="1997">SUMIF($V$709:$V$712,$B2142&amp;"contratada",I$709:I$712)</f>
        <v>0</v>
      </c>
      <c r="J2324" s="1283">
        <f t="shared" si="1997"/>
        <v>0</v>
      </c>
      <c r="K2324" s="1283">
        <f t="shared" si="1997"/>
        <v>0</v>
      </c>
      <c r="L2324" s="1283">
        <f t="shared" si="1997"/>
        <v>0</v>
      </c>
      <c r="M2324" s="1283">
        <f t="shared" si="1997"/>
        <v>0</v>
      </c>
      <c r="N2324" s="1283">
        <f t="shared" si="1997"/>
        <v>0</v>
      </c>
      <c r="O2324" s="1283">
        <f t="shared" si="1997"/>
        <v>0</v>
      </c>
      <c r="P2324" s="1283">
        <f t="shared" si="1997"/>
        <v>0</v>
      </c>
      <c r="Q2324" s="1283">
        <f t="shared" si="1997"/>
        <v>0</v>
      </c>
      <c r="R2324" s="1283">
        <f t="shared" si="1997"/>
        <v>0</v>
      </c>
      <c r="S2324" s="1283">
        <f t="shared" si="1997"/>
        <v>0</v>
      </c>
      <c r="T2324" s="1601">
        <f t="shared" si="1997"/>
        <v>0</v>
      </c>
    </row>
    <row r="2325" spans="2:31" ht="13.75" hidden="1" customHeight="1" x14ac:dyDescent="0.2">
      <c r="B2325" s="1665"/>
      <c r="C2325" s="193"/>
      <c r="D2325" s="193"/>
      <c r="E2325" s="193"/>
      <c r="F2325" s="193"/>
      <c r="G2325" s="193"/>
      <c r="H2325" s="254"/>
      <c r="I2325" s="1179">
        <f t="shared" ref="I2325:T2325" si="1998">SUMIF($V$709:$V$712,$B2143&amp;"contratada",I$709:I$712)</f>
        <v>0</v>
      </c>
      <c r="J2325" s="1283">
        <f t="shared" si="1998"/>
        <v>0</v>
      </c>
      <c r="K2325" s="1283">
        <f t="shared" si="1998"/>
        <v>0</v>
      </c>
      <c r="L2325" s="1283">
        <f t="shared" si="1998"/>
        <v>0</v>
      </c>
      <c r="M2325" s="1283">
        <f t="shared" si="1998"/>
        <v>0</v>
      </c>
      <c r="N2325" s="1283">
        <f t="shared" si="1998"/>
        <v>0</v>
      </c>
      <c r="O2325" s="1283">
        <f t="shared" si="1998"/>
        <v>0</v>
      </c>
      <c r="P2325" s="1283">
        <f t="shared" si="1998"/>
        <v>0</v>
      </c>
      <c r="Q2325" s="1283">
        <f t="shared" si="1998"/>
        <v>0</v>
      </c>
      <c r="R2325" s="1283">
        <f t="shared" si="1998"/>
        <v>0</v>
      </c>
      <c r="S2325" s="1283">
        <f t="shared" si="1998"/>
        <v>0</v>
      </c>
      <c r="T2325" s="1601">
        <f t="shared" si="1998"/>
        <v>0</v>
      </c>
    </row>
    <row r="2326" spans="2:31" ht="13.75" hidden="1" customHeight="1" x14ac:dyDescent="0.2">
      <c r="B2326" s="1665"/>
      <c r="C2326" s="193"/>
      <c r="D2326" s="193"/>
      <c r="E2326" s="193"/>
      <c r="F2326" s="193"/>
      <c r="G2326" s="193"/>
      <c r="H2326" s="254"/>
      <c r="I2326" s="1179">
        <f t="shared" ref="I2326:T2326" si="1999">SUMIF($V$709:$V$712,$B2144&amp;"contratada",I$709:I$712)</f>
        <v>0</v>
      </c>
      <c r="J2326" s="1283">
        <f t="shared" si="1999"/>
        <v>0</v>
      </c>
      <c r="K2326" s="1283">
        <f t="shared" si="1999"/>
        <v>0</v>
      </c>
      <c r="L2326" s="1283">
        <f t="shared" si="1999"/>
        <v>0</v>
      </c>
      <c r="M2326" s="1283">
        <f t="shared" si="1999"/>
        <v>0</v>
      </c>
      <c r="N2326" s="1283">
        <f t="shared" si="1999"/>
        <v>0</v>
      </c>
      <c r="O2326" s="1283">
        <f t="shared" si="1999"/>
        <v>0</v>
      </c>
      <c r="P2326" s="1283">
        <f t="shared" si="1999"/>
        <v>0</v>
      </c>
      <c r="Q2326" s="1283">
        <f t="shared" si="1999"/>
        <v>0</v>
      </c>
      <c r="R2326" s="1283">
        <f t="shared" si="1999"/>
        <v>0</v>
      </c>
      <c r="S2326" s="1283">
        <f t="shared" si="1999"/>
        <v>0</v>
      </c>
      <c r="T2326" s="1601">
        <f t="shared" si="1999"/>
        <v>0</v>
      </c>
    </row>
    <row r="2327" spans="2:31" ht="13.75" hidden="1" customHeight="1" x14ac:dyDescent="0.2">
      <c r="B2327" s="1665"/>
      <c r="C2327" s="193"/>
      <c r="D2327" s="193"/>
      <c r="E2327" s="193"/>
      <c r="F2327" s="193"/>
      <c r="G2327" s="193"/>
      <c r="H2327" s="254"/>
      <c r="I2327" s="1179">
        <f t="shared" ref="I2327:T2327" si="2000">SUMIF($V$709:$V$712,$B2145&amp;"contratada",I$709:I$712)</f>
        <v>0</v>
      </c>
      <c r="J2327" s="1283">
        <f t="shared" si="2000"/>
        <v>0</v>
      </c>
      <c r="K2327" s="1283">
        <f t="shared" si="2000"/>
        <v>0</v>
      </c>
      <c r="L2327" s="1283">
        <f t="shared" si="2000"/>
        <v>0</v>
      </c>
      <c r="M2327" s="1283">
        <f t="shared" si="2000"/>
        <v>0</v>
      </c>
      <c r="N2327" s="1283">
        <f t="shared" si="2000"/>
        <v>0</v>
      </c>
      <c r="O2327" s="1283">
        <f t="shared" si="2000"/>
        <v>0</v>
      </c>
      <c r="P2327" s="1283">
        <f t="shared" si="2000"/>
        <v>0</v>
      </c>
      <c r="Q2327" s="1283">
        <f t="shared" si="2000"/>
        <v>0</v>
      </c>
      <c r="R2327" s="1283">
        <f t="shared" si="2000"/>
        <v>0</v>
      </c>
      <c r="S2327" s="1283">
        <f t="shared" si="2000"/>
        <v>0</v>
      </c>
      <c r="T2327" s="1601">
        <f t="shared" si="2000"/>
        <v>0</v>
      </c>
    </row>
    <row r="2328" spans="2:31" ht="13.75" hidden="1" customHeight="1" x14ac:dyDescent="0.2">
      <c r="B2328" s="1665"/>
      <c r="C2328" s="193"/>
      <c r="D2328" s="193"/>
      <c r="E2328" s="193"/>
      <c r="F2328" s="193"/>
      <c r="G2328" s="193"/>
      <c r="H2328" s="254"/>
      <c r="I2328" s="1179">
        <f t="shared" ref="I2328:T2328" si="2001">SUMIF($V$709:$V$712,$B2146&amp;"contratada",I$709:I$712)</f>
        <v>0</v>
      </c>
      <c r="J2328" s="1283">
        <f t="shared" si="2001"/>
        <v>0</v>
      </c>
      <c r="K2328" s="1283">
        <f t="shared" si="2001"/>
        <v>0</v>
      </c>
      <c r="L2328" s="1283">
        <f t="shared" si="2001"/>
        <v>0</v>
      </c>
      <c r="M2328" s="1283">
        <f t="shared" si="2001"/>
        <v>0</v>
      </c>
      <c r="N2328" s="1283">
        <f t="shared" si="2001"/>
        <v>0</v>
      </c>
      <c r="O2328" s="1283">
        <f t="shared" si="2001"/>
        <v>0</v>
      </c>
      <c r="P2328" s="1283">
        <f t="shared" si="2001"/>
        <v>0</v>
      </c>
      <c r="Q2328" s="1283">
        <f t="shared" si="2001"/>
        <v>0</v>
      </c>
      <c r="R2328" s="1283">
        <f t="shared" si="2001"/>
        <v>0</v>
      </c>
      <c r="S2328" s="1283">
        <f t="shared" si="2001"/>
        <v>0</v>
      </c>
      <c r="T2328" s="1601">
        <f t="shared" si="2001"/>
        <v>0</v>
      </c>
    </row>
    <row r="2329" spans="2:31" ht="13.75" hidden="1" customHeight="1" x14ac:dyDescent="0.2">
      <c r="B2329" s="1665"/>
      <c r="C2329" s="193"/>
      <c r="D2329" s="193"/>
      <c r="E2329" s="193"/>
      <c r="F2329" s="193"/>
      <c r="G2329" s="193"/>
      <c r="H2329" s="254"/>
      <c r="I2329" s="1179">
        <f t="shared" ref="I2329:T2329" si="2002">SUMIF($V$709:$V$712,$B2147&amp;"contratada",I$709:I$712)</f>
        <v>0</v>
      </c>
      <c r="J2329" s="1283">
        <f t="shared" si="2002"/>
        <v>0</v>
      </c>
      <c r="K2329" s="1283">
        <f t="shared" si="2002"/>
        <v>0</v>
      </c>
      <c r="L2329" s="1283">
        <f t="shared" si="2002"/>
        <v>0</v>
      </c>
      <c r="M2329" s="1283">
        <f t="shared" si="2002"/>
        <v>0</v>
      </c>
      <c r="N2329" s="1283">
        <f t="shared" si="2002"/>
        <v>0</v>
      </c>
      <c r="O2329" s="1283">
        <f t="shared" si="2002"/>
        <v>0</v>
      </c>
      <c r="P2329" s="1283">
        <f t="shared" si="2002"/>
        <v>0</v>
      </c>
      <c r="Q2329" s="1283">
        <f t="shared" si="2002"/>
        <v>0</v>
      </c>
      <c r="R2329" s="1283">
        <f t="shared" si="2002"/>
        <v>0</v>
      </c>
      <c r="S2329" s="1283">
        <f t="shared" si="2002"/>
        <v>0</v>
      </c>
      <c r="T2329" s="1601">
        <f t="shared" si="2002"/>
        <v>0</v>
      </c>
    </row>
    <row r="2330" spans="2:31" ht="13.75" hidden="1" customHeight="1" x14ac:dyDescent="0.2">
      <c r="B2330" s="1665"/>
      <c r="C2330" s="193"/>
      <c r="D2330" s="193"/>
      <c r="E2330" s="193"/>
      <c r="F2330" s="193"/>
      <c r="G2330" s="193"/>
      <c r="H2330" s="254"/>
      <c r="I2330" s="1179">
        <f t="shared" ref="I2330:T2330" si="2003">SUMIF($V$709:$V$712,$B2148&amp;"contratada",I$709:I$712)</f>
        <v>0</v>
      </c>
      <c r="J2330" s="1283">
        <f t="shared" si="2003"/>
        <v>0</v>
      </c>
      <c r="K2330" s="1283">
        <f t="shared" si="2003"/>
        <v>0</v>
      </c>
      <c r="L2330" s="1283">
        <f t="shared" si="2003"/>
        <v>0</v>
      </c>
      <c r="M2330" s="1283">
        <f t="shared" si="2003"/>
        <v>0</v>
      </c>
      <c r="N2330" s="1283">
        <f t="shared" si="2003"/>
        <v>0</v>
      </c>
      <c r="O2330" s="1283">
        <f t="shared" si="2003"/>
        <v>0</v>
      </c>
      <c r="P2330" s="1283">
        <f t="shared" si="2003"/>
        <v>0</v>
      </c>
      <c r="Q2330" s="1283">
        <f t="shared" si="2003"/>
        <v>0</v>
      </c>
      <c r="R2330" s="1283">
        <f t="shared" si="2003"/>
        <v>0</v>
      </c>
      <c r="S2330" s="1283">
        <f t="shared" si="2003"/>
        <v>0</v>
      </c>
      <c r="T2330" s="1601">
        <f t="shared" si="2003"/>
        <v>0</v>
      </c>
    </row>
    <row r="2331" spans="2:31" ht="13.75" hidden="1" customHeight="1" x14ac:dyDescent="0.2">
      <c r="B2331" s="1665"/>
      <c r="C2331" s="193"/>
      <c r="D2331" s="193"/>
      <c r="E2331" s="193"/>
      <c r="F2331" s="193"/>
      <c r="G2331" s="193"/>
      <c r="H2331" s="254"/>
      <c r="I2331" s="1179">
        <f t="shared" ref="I2331:T2331" si="2004">SUMIF($V$709:$V$712,$B2149&amp;"contratada",I$709:I$712)</f>
        <v>0</v>
      </c>
      <c r="J2331" s="1283">
        <f t="shared" si="2004"/>
        <v>0</v>
      </c>
      <c r="K2331" s="1283">
        <f t="shared" si="2004"/>
        <v>0</v>
      </c>
      <c r="L2331" s="1283">
        <f t="shared" si="2004"/>
        <v>0</v>
      </c>
      <c r="M2331" s="1283">
        <f t="shared" si="2004"/>
        <v>0</v>
      </c>
      <c r="N2331" s="1283">
        <f t="shared" si="2004"/>
        <v>0</v>
      </c>
      <c r="O2331" s="1283">
        <f t="shared" si="2004"/>
        <v>0</v>
      </c>
      <c r="P2331" s="1283">
        <f t="shared" si="2004"/>
        <v>0</v>
      </c>
      <c r="Q2331" s="1283">
        <f t="shared" si="2004"/>
        <v>0</v>
      </c>
      <c r="R2331" s="1283">
        <f t="shared" si="2004"/>
        <v>0</v>
      </c>
      <c r="S2331" s="1283">
        <f t="shared" si="2004"/>
        <v>0</v>
      </c>
      <c r="T2331" s="1601">
        <f t="shared" si="2004"/>
        <v>0</v>
      </c>
    </row>
    <row r="2332" spans="2:31" ht="13.75" hidden="1" customHeight="1" x14ac:dyDescent="0.2">
      <c r="B2332" s="1665"/>
      <c r="C2332" s="193"/>
      <c r="D2332" s="193"/>
      <c r="E2332" s="193"/>
      <c r="F2332" s="193"/>
      <c r="G2332" s="193"/>
      <c r="H2332" s="254"/>
      <c r="I2332" s="1179">
        <f t="shared" ref="I2332:T2332" si="2005">SUMIF($V$709:$V$712,$B2150&amp;"contratada",I$709:I$712)</f>
        <v>0</v>
      </c>
      <c r="J2332" s="1283">
        <f t="shared" si="2005"/>
        <v>0</v>
      </c>
      <c r="K2332" s="1283">
        <f t="shared" si="2005"/>
        <v>0</v>
      </c>
      <c r="L2332" s="1283">
        <f t="shared" si="2005"/>
        <v>0</v>
      </c>
      <c r="M2332" s="1283">
        <f t="shared" si="2005"/>
        <v>0</v>
      </c>
      <c r="N2332" s="1283">
        <f t="shared" si="2005"/>
        <v>0</v>
      </c>
      <c r="O2332" s="1283">
        <f t="shared" si="2005"/>
        <v>0</v>
      </c>
      <c r="P2332" s="1283">
        <f t="shared" si="2005"/>
        <v>0</v>
      </c>
      <c r="Q2332" s="1283">
        <f t="shared" si="2005"/>
        <v>0</v>
      </c>
      <c r="R2332" s="1283">
        <f t="shared" si="2005"/>
        <v>0</v>
      </c>
      <c r="S2332" s="1283">
        <f t="shared" si="2005"/>
        <v>0</v>
      </c>
      <c r="T2332" s="1601">
        <f t="shared" si="2005"/>
        <v>0</v>
      </c>
    </row>
    <row r="2333" spans="2:31" ht="13.75" hidden="1" customHeight="1" x14ac:dyDescent="0.2">
      <c r="B2333" s="1665"/>
      <c r="C2333" s="193"/>
      <c r="D2333" s="193"/>
      <c r="E2333" s="193"/>
      <c r="F2333" s="193"/>
      <c r="G2333" s="193"/>
      <c r="H2333" s="254"/>
      <c r="I2333" s="1179">
        <f t="shared" ref="I2333:T2333" si="2006">SUMIF($V$709:$V$712,$B2151&amp;"contratada",I$709:I$712)</f>
        <v>0</v>
      </c>
      <c r="J2333" s="1283">
        <f t="shared" si="2006"/>
        <v>0</v>
      </c>
      <c r="K2333" s="1283">
        <f t="shared" si="2006"/>
        <v>0</v>
      </c>
      <c r="L2333" s="1283">
        <f t="shared" si="2006"/>
        <v>0</v>
      </c>
      <c r="M2333" s="1283">
        <f t="shared" si="2006"/>
        <v>0</v>
      </c>
      <c r="N2333" s="1283">
        <f t="shared" si="2006"/>
        <v>0</v>
      </c>
      <c r="O2333" s="1283">
        <f t="shared" si="2006"/>
        <v>0</v>
      </c>
      <c r="P2333" s="1283">
        <f t="shared" si="2006"/>
        <v>0</v>
      </c>
      <c r="Q2333" s="1283">
        <f t="shared" si="2006"/>
        <v>0</v>
      </c>
      <c r="R2333" s="1283">
        <f t="shared" si="2006"/>
        <v>0</v>
      </c>
      <c r="S2333" s="1283">
        <f t="shared" si="2006"/>
        <v>0</v>
      </c>
      <c r="T2333" s="1601">
        <f t="shared" si="2006"/>
        <v>0</v>
      </c>
    </row>
    <row r="2334" spans="2:31" ht="14.4" hidden="1" customHeight="1" thickBot="1" x14ac:dyDescent="0.25">
      <c r="B2334" s="1665"/>
      <c r="C2334" s="193"/>
      <c r="D2334" s="193"/>
      <c r="E2334" s="193"/>
      <c r="F2334" s="193"/>
      <c r="G2334" s="193"/>
      <c r="H2334" s="254"/>
      <c r="I2334" s="377">
        <f t="shared" ref="I2334:T2334" si="2007">SUMIF($V$709:$V$712,$B2152&amp;"contratada",I$709:I$712)</f>
        <v>0</v>
      </c>
      <c r="J2334" s="1200">
        <f t="shared" si="2007"/>
        <v>0</v>
      </c>
      <c r="K2334" s="1200">
        <f t="shared" si="2007"/>
        <v>0</v>
      </c>
      <c r="L2334" s="1200">
        <f t="shared" si="2007"/>
        <v>0</v>
      </c>
      <c r="M2334" s="1200">
        <f t="shared" si="2007"/>
        <v>0</v>
      </c>
      <c r="N2334" s="1200">
        <f t="shared" si="2007"/>
        <v>0</v>
      </c>
      <c r="O2334" s="1200">
        <f t="shared" si="2007"/>
        <v>0</v>
      </c>
      <c r="P2334" s="1200">
        <f t="shared" si="2007"/>
        <v>0</v>
      </c>
      <c r="Q2334" s="1200">
        <f t="shared" si="2007"/>
        <v>0</v>
      </c>
      <c r="R2334" s="1200">
        <f t="shared" si="2007"/>
        <v>0</v>
      </c>
      <c r="S2334" s="1200">
        <f t="shared" si="2007"/>
        <v>0</v>
      </c>
      <c r="T2334" s="1718">
        <f t="shared" si="2007"/>
        <v>0</v>
      </c>
    </row>
    <row r="2335" spans="2:31" ht="13.75" hidden="1" customHeight="1" x14ac:dyDescent="0.2">
      <c r="B2335" s="1732" t="s">
        <v>705</v>
      </c>
      <c r="C2335" s="1733"/>
      <c r="D2335" s="1733"/>
      <c r="E2335" s="1733"/>
      <c r="F2335" s="1733"/>
      <c r="G2335" s="1734"/>
      <c r="H2335" s="1532"/>
      <c r="I2335" s="1735">
        <f t="shared" ref="I2335:T2335" si="2008">+SUMPRODUCT(I2321:I2334,$C$2136:$C$2149)</f>
        <v>0</v>
      </c>
      <c r="J2335" s="1736">
        <f t="shared" si="2008"/>
        <v>0</v>
      </c>
      <c r="K2335" s="1736">
        <f t="shared" si="2008"/>
        <v>0</v>
      </c>
      <c r="L2335" s="1736">
        <f t="shared" si="2008"/>
        <v>0</v>
      </c>
      <c r="M2335" s="1736">
        <f t="shared" si="2008"/>
        <v>0</v>
      </c>
      <c r="N2335" s="1736">
        <f t="shared" si="2008"/>
        <v>0</v>
      </c>
      <c r="O2335" s="1736">
        <f t="shared" si="2008"/>
        <v>0</v>
      </c>
      <c r="P2335" s="1736">
        <f t="shared" si="2008"/>
        <v>0</v>
      </c>
      <c r="Q2335" s="1736">
        <f t="shared" si="2008"/>
        <v>0</v>
      </c>
      <c r="R2335" s="1736">
        <f t="shared" si="2008"/>
        <v>0</v>
      </c>
      <c r="S2335" s="1736">
        <f t="shared" si="2008"/>
        <v>0</v>
      </c>
      <c r="T2335" s="1737">
        <f t="shared" si="2008"/>
        <v>0</v>
      </c>
      <c r="Y2335" s="359"/>
      <c r="AE2335" s="232"/>
    </row>
    <row r="2336" spans="2:31" ht="13.75" hidden="1" customHeight="1" x14ac:dyDescent="0.2">
      <c r="B2336" s="1728"/>
      <c r="C2336" s="970"/>
      <c r="D2336" s="970"/>
      <c r="E2336" s="970"/>
      <c r="F2336" s="970"/>
      <c r="G2336" s="982" t="s">
        <v>698</v>
      </c>
      <c r="I2336" s="1725">
        <f t="shared" ref="I2336:T2336" si="2009">IFERROR(I2335*I2319/I2318,0)</f>
        <v>0</v>
      </c>
      <c r="J2336" s="1726">
        <f t="shared" si="2009"/>
        <v>0</v>
      </c>
      <c r="K2336" s="1726">
        <f t="shared" si="2009"/>
        <v>0</v>
      </c>
      <c r="L2336" s="1726">
        <f t="shared" si="2009"/>
        <v>0</v>
      </c>
      <c r="M2336" s="1726">
        <f t="shared" si="2009"/>
        <v>0</v>
      </c>
      <c r="N2336" s="1726">
        <f t="shared" si="2009"/>
        <v>0</v>
      </c>
      <c r="O2336" s="1726">
        <f t="shared" si="2009"/>
        <v>0</v>
      </c>
      <c r="P2336" s="1726">
        <f t="shared" si="2009"/>
        <v>0</v>
      </c>
      <c r="Q2336" s="1726">
        <f t="shared" si="2009"/>
        <v>0</v>
      </c>
      <c r="R2336" s="1726">
        <f t="shared" si="2009"/>
        <v>0</v>
      </c>
      <c r="S2336" s="1726">
        <f t="shared" si="2009"/>
        <v>0</v>
      </c>
      <c r="T2336" s="1727">
        <f t="shared" si="2009"/>
        <v>0</v>
      </c>
      <c r="Y2336" s="359"/>
      <c r="AE2336" s="232"/>
    </row>
    <row r="2337" spans="2:31" ht="14.4" hidden="1" customHeight="1" thickBot="1" x14ac:dyDescent="0.25">
      <c r="B2337" s="1728"/>
      <c r="C2337" s="970"/>
      <c r="D2337" s="970"/>
      <c r="E2337" s="970"/>
      <c r="F2337" s="970"/>
      <c r="G2337" s="982" t="s">
        <v>699</v>
      </c>
      <c r="I2337" s="1729">
        <f t="shared" ref="I2337:T2337" si="2010">+I2335-I2336</f>
        <v>0</v>
      </c>
      <c r="J2337" s="1730">
        <f t="shared" si="2010"/>
        <v>0</v>
      </c>
      <c r="K2337" s="1730">
        <f t="shared" si="2010"/>
        <v>0</v>
      </c>
      <c r="L2337" s="1730">
        <f t="shared" si="2010"/>
        <v>0</v>
      </c>
      <c r="M2337" s="1730">
        <f t="shared" si="2010"/>
        <v>0</v>
      </c>
      <c r="N2337" s="1730">
        <f t="shared" si="2010"/>
        <v>0</v>
      </c>
      <c r="O2337" s="1730">
        <f t="shared" si="2010"/>
        <v>0</v>
      </c>
      <c r="P2337" s="1730">
        <f t="shared" si="2010"/>
        <v>0</v>
      </c>
      <c r="Q2337" s="1730">
        <f t="shared" si="2010"/>
        <v>0</v>
      </c>
      <c r="R2337" s="1730">
        <f t="shared" si="2010"/>
        <v>0</v>
      </c>
      <c r="S2337" s="1730">
        <f t="shared" si="2010"/>
        <v>0</v>
      </c>
      <c r="T2337" s="1731">
        <f t="shared" si="2010"/>
        <v>0</v>
      </c>
      <c r="Y2337" s="359"/>
      <c r="AE2337" s="232"/>
    </row>
    <row r="2338" spans="2:31" ht="14.4" hidden="1" customHeight="1" thickTop="1" x14ac:dyDescent="0.2">
      <c r="B2338" s="1724" t="s">
        <v>812</v>
      </c>
      <c r="C2338" s="1194"/>
      <c r="D2338" s="1194"/>
      <c r="E2338" s="1194"/>
      <c r="F2338" s="1210"/>
      <c r="G2338" s="1641" t="s">
        <v>813</v>
      </c>
      <c r="H2338" s="1210"/>
      <c r="I2338" s="1667">
        <f t="shared" ref="I2338:T2338" si="2011">+SUM(I710:I712,$F$710:$F$712)</f>
        <v>0</v>
      </c>
      <c r="J2338" s="1668">
        <f t="shared" si="2011"/>
        <v>0</v>
      </c>
      <c r="K2338" s="1668">
        <f t="shared" si="2011"/>
        <v>0</v>
      </c>
      <c r="L2338" s="1668">
        <f t="shared" si="2011"/>
        <v>0</v>
      </c>
      <c r="M2338" s="1668">
        <f t="shared" si="2011"/>
        <v>0</v>
      </c>
      <c r="N2338" s="1668">
        <f t="shared" si="2011"/>
        <v>0</v>
      </c>
      <c r="O2338" s="1668">
        <f t="shared" si="2011"/>
        <v>0</v>
      </c>
      <c r="P2338" s="1668">
        <f t="shared" si="2011"/>
        <v>0</v>
      </c>
      <c r="Q2338" s="1668">
        <f t="shared" si="2011"/>
        <v>0</v>
      </c>
      <c r="R2338" s="1668">
        <f t="shared" si="2011"/>
        <v>0</v>
      </c>
      <c r="S2338" s="1668">
        <f t="shared" si="2011"/>
        <v>0</v>
      </c>
      <c r="T2338" s="1704">
        <f t="shared" si="2011"/>
        <v>0</v>
      </c>
    </row>
    <row r="2339" spans="2:31" ht="13.75" hidden="1" customHeight="1" x14ac:dyDescent="0.2">
      <c r="B2339" s="1594"/>
      <c r="C2339" s="193"/>
      <c r="D2339" s="193"/>
      <c r="E2339" s="193"/>
      <c r="F2339" s="193"/>
      <c r="G2339" s="254" t="s">
        <v>698</v>
      </c>
      <c r="H2339" s="254"/>
      <c r="I2339" s="1179">
        <f t="shared" ref="I2339:T2339" si="2012">IFERROR(I2338*(I2319/I2318),0)</f>
        <v>0</v>
      </c>
      <c r="J2339" s="1283">
        <f t="shared" si="2012"/>
        <v>0</v>
      </c>
      <c r="K2339" s="1283">
        <f t="shared" si="2012"/>
        <v>0</v>
      </c>
      <c r="L2339" s="1283">
        <f t="shared" si="2012"/>
        <v>0</v>
      </c>
      <c r="M2339" s="1283">
        <f t="shared" si="2012"/>
        <v>0</v>
      </c>
      <c r="N2339" s="1283">
        <f t="shared" si="2012"/>
        <v>0</v>
      </c>
      <c r="O2339" s="1283">
        <f t="shared" si="2012"/>
        <v>0</v>
      </c>
      <c r="P2339" s="1283">
        <f t="shared" si="2012"/>
        <v>0</v>
      </c>
      <c r="Q2339" s="1283">
        <f t="shared" si="2012"/>
        <v>0</v>
      </c>
      <c r="R2339" s="1283">
        <f t="shared" si="2012"/>
        <v>0</v>
      </c>
      <c r="S2339" s="1283">
        <f t="shared" si="2012"/>
        <v>0</v>
      </c>
      <c r="T2339" s="1601">
        <f t="shared" si="2012"/>
        <v>0</v>
      </c>
    </row>
    <row r="2340" spans="2:31" ht="14.4" hidden="1" customHeight="1" thickBot="1" x14ac:dyDescent="0.25">
      <c r="B2340" s="1596"/>
      <c r="C2340" s="1199"/>
      <c r="D2340" s="1199"/>
      <c r="E2340" s="1199"/>
      <c r="F2340" s="1199"/>
      <c r="G2340" s="1209" t="s">
        <v>699</v>
      </c>
      <c r="H2340" s="1209"/>
      <c r="I2340" s="1654">
        <f t="shared" ref="I2340:T2340" si="2013">IFERROR(I2339*(I2320/I2318),0)</f>
        <v>0</v>
      </c>
      <c r="J2340" s="1590">
        <f t="shared" si="2013"/>
        <v>0</v>
      </c>
      <c r="K2340" s="1590">
        <f t="shared" si="2013"/>
        <v>0</v>
      </c>
      <c r="L2340" s="1590">
        <f t="shared" si="2013"/>
        <v>0</v>
      </c>
      <c r="M2340" s="1590">
        <f t="shared" si="2013"/>
        <v>0</v>
      </c>
      <c r="N2340" s="1590">
        <f t="shared" si="2013"/>
        <v>0</v>
      </c>
      <c r="O2340" s="1590">
        <f t="shared" si="2013"/>
        <v>0</v>
      </c>
      <c r="P2340" s="1590">
        <f t="shared" si="2013"/>
        <v>0</v>
      </c>
      <c r="Q2340" s="1590">
        <f t="shared" si="2013"/>
        <v>0</v>
      </c>
      <c r="R2340" s="1590">
        <f t="shared" si="2013"/>
        <v>0</v>
      </c>
      <c r="S2340" s="1590">
        <f t="shared" si="2013"/>
        <v>0</v>
      </c>
      <c r="T2340" s="1655">
        <f t="shared" si="2013"/>
        <v>0</v>
      </c>
    </row>
    <row r="2341" spans="2:31" ht="14.4" hidden="1" customHeight="1" thickTop="1" x14ac:dyDescent="0.2">
      <c r="B2341" s="1724" t="s">
        <v>797</v>
      </c>
      <c r="C2341" s="1194"/>
      <c r="D2341" s="1194"/>
      <c r="E2341" s="1581">
        <f>+B713</f>
        <v>0</v>
      </c>
      <c r="F2341" s="232"/>
      <c r="G2341" s="1194" t="s">
        <v>791</v>
      </c>
      <c r="H2341" s="1194"/>
      <c r="I2341" s="1668">
        <f t="shared" ref="I2341:T2341" si="2014">+I2342+I2343</f>
        <v>0</v>
      </c>
      <c r="J2341" s="1668">
        <f t="shared" si="2014"/>
        <v>0</v>
      </c>
      <c r="K2341" s="1668">
        <f t="shared" si="2014"/>
        <v>0</v>
      </c>
      <c r="L2341" s="1668">
        <f t="shared" si="2014"/>
        <v>0</v>
      </c>
      <c r="M2341" s="1668">
        <f t="shared" si="2014"/>
        <v>0</v>
      </c>
      <c r="N2341" s="1668">
        <f t="shared" si="2014"/>
        <v>0</v>
      </c>
      <c r="O2341" s="1668">
        <f t="shared" si="2014"/>
        <v>0</v>
      </c>
      <c r="P2341" s="1668">
        <f t="shared" si="2014"/>
        <v>0</v>
      </c>
      <c r="Q2341" s="1668">
        <f t="shared" si="2014"/>
        <v>0</v>
      </c>
      <c r="R2341" s="1668">
        <f t="shared" si="2014"/>
        <v>0</v>
      </c>
      <c r="S2341" s="1668">
        <f t="shared" si="2014"/>
        <v>0</v>
      </c>
      <c r="T2341" s="1704">
        <f t="shared" si="2014"/>
        <v>0</v>
      </c>
    </row>
    <row r="2342" spans="2:31" ht="13.75" hidden="1" customHeight="1" x14ac:dyDescent="0.2">
      <c r="B2342" s="1594" t="s">
        <v>798</v>
      </c>
      <c r="C2342" s="193"/>
      <c r="D2342" s="193"/>
      <c r="E2342" s="193"/>
      <c r="F2342" s="232"/>
      <c r="G2342" s="193" t="s">
        <v>793</v>
      </c>
      <c r="H2342" s="193"/>
      <c r="I2342" s="1283">
        <f>VLOOKUP($E$2341,UsoSuelo!$E$1366:$Q$1377,I$2156,FALSE)</f>
        <v>0</v>
      </c>
      <c r="J2342" s="1283">
        <f>VLOOKUP($E$2341,UsoSuelo!$E$1366:$Q$1377,J$2156,FALSE)</f>
        <v>0</v>
      </c>
      <c r="K2342" s="1283">
        <f>VLOOKUP($E$2341,UsoSuelo!$E$1366:$Q$1377,K$2156,FALSE)</f>
        <v>0</v>
      </c>
      <c r="L2342" s="1283">
        <f>VLOOKUP($E$2341,UsoSuelo!$E$1366:$Q$1377,L$2156,FALSE)</f>
        <v>0</v>
      </c>
      <c r="M2342" s="1283">
        <f>VLOOKUP($E$2341,UsoSuelo!$E$1366:$Q$1377,M$2156,FALSE)</f>
        <v>0</v>
      </c>
      <c r="N2342" s="1283">
        <f>VLOOKUP($E$2341,UsoSuelo!$E$1366:$Q$1377,N$2156,FALSE)</f>
        <v>0</v>
      </c>
      <c r="O2342" s="1283">
        <f>VLOOKUP($E$2341,UsoSuelo!$E$1366:$Q$1377,O$2156,FALSE)</f>
        <v>0</v>
      </c>
      <c r="P2342" s="1283">
        <f>VLOOKUP($E$2341,UsoSuelo!$E$1366:$Q$1377,P$2156,FALSE)</f>
        <v>0</v>
      </c>
      <c r="Q2342" s="1283">
        <f>VLOOKUP($E$2341,UsoSuelo!$E$1366:$Q$1377,Q$2156,FALSE)</f>
        <v>0</v>
      </c>
      <c r="R2342" s="1283">
        <f>VLOOKUP($E$2341,UsoSuelo!$E$1366:$Q$1377,R$2156,FALSE)</f>
        <v>0</v>
      </c>
      <c r="S2342" s="1283">
        <f>VLOOKUP($E$2341,UsoSuelo!$E$1366:$Q$1377,S$2156,FALSE)</f>
        <v>0</v>
      </c>
      <c r="T2342" s="1601">
        <f>VLOOKUP($E$2341,UsoSuelo!$E$1366:$Q$1377,T$2156,FALSE)</f>
        <v>0</v>
      </c>
    </row>
    <row r="2343" spans="2:31" ht="14.4" hidden="1" customHeight="1" thickBot="1" x14ac:dyDescent="0.25">
      <c r="B2343" s="1596"/>
      <c r="C2343" s="1199"/>
      <c r="D2343" s="1199"/>
      <c r="E2343" s="1199"/>
      <c r="F2343" s="232"/>
      <c r="G2343" s="1199" t="s">
        <v>792</v>
      </c>
      <c r="H2343" s="1199"/>
      <c r="I2343" s="1590">
        <f>VLOOKUP($E$2341,UsoSuelo!$E$1383:$Q$1394,I$2156,FALSE)</f>
        <v>0</v>
      </c>
      <c r="J2343" s="1590">
        <f>VLOOKUP($E$2341,UsoSuelo!$E$1383:$Q$1394,J$2156,FALSE)</f>
        <v>0</v>
      </c>
      <c r="K2343" s="1590">
        <f>VLOOKUP($E$2341,UsoSuelo!$E$1383:$Q$1394,K$2156,FALSE)</f>
        <v>0</v>
      </c>
      <c r="L2343" s="1590">
        <f>VLOOKUP($E$2341,UsoSuelo!$E$1383:$Q$1394,L$2156,FALSE)</f>
        <v>0</v>
      </c>
      <c r="M2343" s="1590">
        <f>VLOOKUP($E$2341,UsoSuelo!$E$1383:$Q$1394,M$2156,FALSE)</f>
        <v>0</v>
      </c>
      <c r="N2343" s="1590">
        <f>VLOOKUP($E$2341,UsoSuelo!$E$1383:$Q$1394,N$2156,FALSE)</f>
        <v>0</v>
      </c>
      <c r="O2343" s="1590">
        <f>VLOOKUP($E$2341,UsoSuelo!$E$1383:$Q$1394,O$2156,FALSE)</f>
        <v>0</v>
      </c>
      <c r="P2343" s="1590">
        <f>VLOOKUP($E$2341,UsoSuelo!$E$1383:$Q$1394,P$2156,FALSE)</f>
        <v>0</v>
      </c>
      <c r="Q2343" s="1590">
        <f>VLOOKUP($E$2341,UsoSuelo!$E$1383:$Q$1394,Q$2156,FALSE)</f>
        <v>0</v>
      </c>
      <c r="R2343" s="1590">
        <f>VLOOKUP($E$2341,UsoSuelo!$E$1383:$Q$1394,R$2156,FALSE)</f>
        <v>0</v>
      </c>
      <c r="S2343" s="1590">
        <f>VLOOKUP($E$2341,UsoSuelo!$E$1383:$Q$1394,S$2156,FALSE)</f>
        <v>0</v>
      </c>
      <c r="T2343" s="1655">
        <f>VLOOKUP($E$2341,UsoSuelo!$E$1383:$Q$1394,T$2156,FALSE)</f>
        <v>0</v>
      </c>
    </row>
    <row r="2344" spans="2:31" ht="14.4" hidden="1" customHeight="1" thickTop="1" x14ac:dyDescent="0.2">
      <c r="B2344" s="1664"/>
      <c r="C2344" s="1194"/>
      <c r="D2344" s="1194"/>
      <c r="E2344" s="1194"/>
      <c r="F2344" s="1194"/>
      <c r="G2344" s="1194"/>
      <c r="H2344" s="1210"/>
      <c r="I2344" s="1667">
        <f t="shared" ref="I2344:T2344" si="2015">SUMIF($V$714:$V$717,$B2136&amp;"contratada",I$714:I$717)</f>
        <v>0</v>
      </c>
      <c r="J2344" s="1668">
        <f t="shared" si="2015"/>
        <v>0</v>
      </c>
      <c r="K2344" s="1668">
        <f t="shared" si="2015"/>
        <v>0</v>
      </c>
      <c r="L2344" s="1668">
        <f t="shared" si="2015"/>
        <v>0</v>
      </c>
      <c r="M2344" s="1668">
        <f t="shared" si="2015"/>
        <v>0</v>
      </c>
      <c r="N2344" s="1668">
        <f t="shared" si="2015"/>
        <v>0</v>
      </c>
      <c r="O2344" s="1668">
        <f t="shared" si="2015"/>
        <v>0</v>
      </c>
      <c r="P2344" s="1668">
        <f t="shared" si="2015"/>
        <v>0</v>
      </c>
      <c r="Q2344" s="1668">
        <f t="shared" si="2015"/>
        <v>0</v>
      </c>
      <c r="R2344" s="1668">
        <f t="shared" si="2015"/>
        <v>0</v>
      </c>
      <c r="S2344" s="1668">
        <f t="shared" si="2015"/>
        <v>0</v>
      </c>
      <c r="T2344" s="1704">
        <f t="shared" si="2015"/>
        <v>0</v>
      </c>
    </row>
    <row r="2345" spans="2:31" ht="13.75" hidden="1" customHeight="1" x14ac:dyDescent="0.2">
      <c r="B2345" s="1665"/>
      <c r="C2345" s="193"/>
      <c r="D2345" s="193"/>
      <c r="E2345" s="193"/>
      <c r="F2345" s="193"/>
      <c r="G2345" s="193"/>
      <c r="H2345" s="254"/>
      <c r="I2345" s="1179">
        <f t="shared" ref="I2345:T2345" si="2016">SUMIF($V$714:$V$717,$B2137&amp;"contratada",I$714:I$717)</f>
        <v>0</v>
      </c>
      <c r="J2345" s="1283">
        <f t="shared" si="2016"/>
        <v>0</v>
      </c>
      <c r="K2345" s="1283">
        <f t="shared" si="2016"/>
        <v>0</v>
      </c>
      <c r="L2345" s="1283">
        <f t="shared" si="2016"/>
        <v>0</v>
      </c>
      <c r="M2345" s="1283">
        <f t="shared" si="2016"/>
        <v>0</v>
      </c>
      <c r="N2345" s="1283">
        <f t="shared" si="2016"/>
        <v>0</v>
      </c>
      <c r="O2345" s="1283">
        <f t="shared" si="2016"/>
        <v>0</v>
      </c>
      <c r="P2345" s="1283">
        <f t="shared" si="2016"/>
        <v>0</v>
      </c>
      <c r="Q2345" s="1283">
        <f t="shared" si="2016"/>
        <v>0</v>
      </c>
      <c r="R2345" s="1283">
        <f t="shared" si="2016"/>
        <v>0</v>
      </c>
      <c r="S2345" s="1283">
        <f t="shared" si="2016"/>
        <v>0</v>
      </c>
      <c r="T2345" s="1601">
        <f t="shared" si="2016"/>
        <v>0</v>
      </c>
    </row>
    <row r="2346" spans="2:31" ht="13.75" hidden="1" customHeight="1" x14ac:dyDescent="0.2">
      <c r="B2346" s="1665"/>
      <c r="C2346" s="193"/>
      <c r="D2346" s="193"/>
      <c r="E2346" s="193"/>
      <c r="F2346" s="193"/>
      <c r="G2346" s="193"/>
      <c r="H2346" s="254"/>
      <c r="I2346" s="1179">
        <f t="shared" ref="I2346:T2346" si="2017">SUMIF($V$714:$V$717,$B2138&amp;"contratada",I$714:I$717)</f>
        <v>0</v>
      </c>
      <c r="J2346" s="1283">
        <f t="shared" si="2017"/>
        <v>0</v>
      </c>
      <c r="K2346" s="1283">
        <f t="shared" si="2017"/>
        <v>0</v>
      </c>
      <c r="L2346" s="1283">
        <f t="shared" si="2017"/>
        <v>0</v>
      </c>
      <c r="M2346" s="1283">
        <f t="shared" si="2017"/>
        <v>0</v>
      </c>
      <c r="N2346" s="1283">
        <f t="shared" si="2017"/>
        <v>0</v>
      </c>
      <c r="O2346" s="1283">
        <f t="shared" si="2017"/>
        <v>0</v>
      </c>
      <c r="P2346" s="1283">
        <f t="shared" si="2017"/>
        <v>0</v>
      </c>
      <c r="Q2346" s="1283">
        <f t="shared" si="2017"/>
        <v>0</v>
      </c>
      <c r="R2346" s="1283">
        <f t="shared" si="2017"/>
        <v>0</v>
      </c>
      <c r="S2346" s="1283">
        <f t="shared" si="2017"/>
        <v>0</v>
      </c>
      <c r="T2346" s="1601">
        <f t="shared" si="2017"/>
        <v>0</v>
      </c>
    </row>
    <row r="2347" spans="2:31" ht="13.75" hidden="1" customHeight="1" x14ac:dyDescent="0.2">
      <c r="B2347" s="1665"/>
      <c r="C2347" s="193"/>
      <c r="D2347" s="193"/>
      <c r="E2347" s="193"/>
      <c r="F2347" s="193"/>
      <c r="G2347" s="193"/>
      <c r="H2347" s="254"/>
      <c r="I2347" s="1179">
        <f t="shared" ref="I2347:T2347" si="2018">SUMIF($V$714:$V$717,$B2139&amp;"contratada",I$714:I$717)</f>
        <v>0</v>
      </c>
      <c r="J2347" s="1283">
        <f t="shared" si="2018"/>
        <v>0</v>
      </c>
      <c r="K2347" s="1283">
        <f t="shared" si="2018"/>
        <v>0</v>
      </c>
      <c r="L2347" s="1283">
        <f t="shared" si="2018"/>
        <v>0</v>
      </c>
      <c r="M2347" s="1283">
        <f t="shared" si="2018"/>
        <v>0</v>
      </c>
      <c r="N2347" s="1283">
        <f t="shared" si="2018"/>
        <v>0</v>
      </c>
      <c r="O2347" s="1283">
        <f t="shared" si="2018"/>
        <v>0</v>
      </c>
      <c r="P2347" s="1283">
        <f t="shared" si="2018"/>
        <v>0</v>
      </c>
      <c r="Q2347" s="1283">
        <f t="shared" si="2018"/>
        <v>0</v>
      </c>
      <c r="R2347" s="1283">
        <f t="shared" si="2018"/>
        <v>0</v>
      </c>
      <c r="S2347" s="1283">
        <f t="shared" si="2018"/>
        <v>0</v>
      </c>
      <c r="T2347" s="1601">
        <f t="shared" si="2018"/>
        <v>0</v>
      </c>
    </row>
    <row r="2348" spans="2:31" ht="13.75" hidden="1" customHeight="1" x14ac:dyDescent="0.2">
      <c r="B2348" s="1665"/>
      <c r="C2348" s="193"/>
      <c r="D2348" s="193"/>
      <c r="E2348" s="193"/>
      <c r="F2348" s="193"/>
      <c r="G2348" s="193"/>
      <c r="H2348" s="254"/>
      <c r="I2348" s="1179">
        <f t="shared" ref="I2348:T2348" si="2019">SUMIF($V$714:$V$717,$B2140&amp;"contratada",I$714:I$717)</f>
        <v>0</v>
      </c>
      <c r="J2348" s="1283">
        <f t="shared" si="2019"/>
        <v>0</v>
      </c>
      <c r="K2348" s="1283">
        <f t="shared" si="2019"/>
        <v>0</v>
      </c>
      <c r="L2348" s="1283">
        <f t="shared" si="2019"/>
        <v>0</v>
      </c>
      <c r="M2348" s="1283">
        <f t="shared" si="2019"/>
        <v>0</v>
      </c>
      <c r="N2348" s="1283">
        <f t="shared" si="2019"/>
        <v>0</v>
      </c>
      <c r="O2348" s="1283">
        <f t="shared" si="2019"/>
        <v>0</v>
      </c>
      <c r="P2348" s="1283">
        <f t="shared" si="2019"/>
        <v>0</v>
      </c>
      <c r="Q2348" s="1283">
        <f t="shared" si="2019"/>
        <v>0</v>
      </c>
      <c r="R2348" s="1283">
        <f t="shared" si="2019"/>
        <v>0</v>
      </c>
      <c r="S2348" s="1283">
        <f t="shared" si="2019"/>
        <v>0</v>
      </c>
      <c r="T2348" s="1601">
        <f t="shared" si="2019"/>
        <v>0</v>
      </c>
    </row>
    <row r="2349" spans="2:31" ht="13.75" hidden="1" customHeight="1" x14ac:dyDescent="0.2">
      <c r="B2349" s="1665"/>
      <c r="C2349" s="193"/>
      <c r="D2349" s="193"/>
      <c r="E2349" s="193"/>
      <c r="F2349" s="193"/>
      <c r="G2349" s="193"/>
      <c r="H2349" s="254"/>
      <c r="I2349" s="1179">
        <f t="shared" ref="I2349:T2349" si="2020">SUMIF($V$714:$V$717,$B2141&amp;"contratada",I$714:I$717)</f>
        <v>0</v>
      </c>
      <c r="J2349" s="1283">
        <f t="shared" si="2020"/>
        <v>0</v>
      </c>
      <c r="K2349" s="1283">
        <f t="shared" si="2020"/>
        <v>0</v>
      </c>
      <c r="L2349" s="1283">
        <f t="shared" si="2020"/>
        <v>0</v>
      </c>
      <c r="M2349" s="1283">
        <f t="shared" si="2020"/>
        <v>0</v>
      </c>
      <c r="N2349" s="1283">
        <f t="shared" si="2020"/>
        <v>0</v>
      </c>
      <c r="O2349" s="1283">
        <f t="shared" si="2020"/>
        <v>0</v>
      </c>
      <c r="P2349" s="1283">
        <f t="shared" si="2020"/>
        <v>0</v>
      </c>
      <c r="Q2349" s="1283">
        <f t="shared" si="2020"/>
        <v>0</v>
      </c>
      <c r="R2349" s="1283">
        <f t="shared" si="2020"/>
        <v>0</v>
      </c>
      <c r="S2349" s="1283">
        <f t="shared" si="2020"/>
        <v>0</v>
      </c>
      <c r="T2349" s="1601">
        <f t="shared" si="2020"/>
        <v>0</v>
      </c>
    </row>
    <row r="2350" spans="2:31" ht="13.75" hidden="1" customHeight="1" x14ac:dyDescent="0.2">
      <c r="B2350" s="1665"/>
      <c r="C2350" s="193"/>
      <c r="D2350" s="193"/>
      <c r="E2350" s="193"/>
      <c r="F2350" s="193"/>
      <c r="G2350" s="193"/>
      <c r="H2350" s="254"/>
      <c r="I2350" s="1179">
        <f t="shared" ref="I2350:T2350" si="2021">SUMIF($V$714:$V$717,$B2142&amp;"contratada",I$714:I$717)</f>
        <v>0</v>
      </c>
      <c r="J2350" s="1283">
        <f t="shared" si="2021"/>
        <v>0</v>
      </c>
      <c r="K2350" s="1283">
        <f t="shared" si="2021"/>
        <v>0</v>
      </c>
      <c r="L2350" s="1283">
        <f t="shared" si="2021"/>
        <v>0</v>
      </c>
      <c r="M2350" s="1283">
        <f t="shared" si="2021"/>
        <v>0</v>
      </c>
      <c r="N2350" s="1283">
        <f t="shared" si="2021"/>
        <v>0</v>
      </c>
      <c r="O2350" s="1283">
        <f t="shared" si="2021"/>
        <v>0</v>
      </c>
      <c r="P2350" s="1283">
        <f t="shared" si="2021"/>
        <v>0</v>
      </c>
      <c r="Q2350" s="1283">
        <f t="shared" si="2021"/>
        <v>0</v>
      </c>
      <c r="R2350" s="1283">
        <f t="shared" si="2021"/>
        <v>0</v>
      </c>
      <c r="S2350" s="1283">
        <f t="shared" si="2021"/>
        <v>0</v>
      </c>
      <c r="T2350" s="1601">
        <f t="shared" si="2021"/>
        <v>0</v>
      </c>
    </row>
    <row r="2351" spans="2:31" ht="13.75" hidden="1" customHeight="1" x14ac:dyDescent="0.2">
      <c r="B2351" s="1665"/>
      <c r="C2351" s="193"/>
      <c r="D2351" s="193"/>
      <c r="E2351" s="193"/>
      <c r="F2351" s="193"/>
      <c r="G2351" s="193"/>
      <c r="H2351" s="254"/>
      <c r="I2351" s="1179">
        <f t="shared" ref="I2351:T2351" si="2022">SUMIF($V$714:$V$717,$B2143&amp;"contratada",I$714:I$717)</f>
        <v>0</v>
      </c>
      <c r="J2351" s="1283">
        <f t="shared" si="2022"/>
        <v>0</v>
      </c>
      <c r="K2351" s="1283">
        <f t="shared" si="2022"/>
        <v>0</v>
      </c>
      <c r="L2351" s="1283">
        <f t="shared" si="2022"/>
        <v>0</v>
      </c>
      <c r="M2351" s="1283">
        <f t="shared" si="2022"/>
        <v>0</v>
      </c>
      <c r="N2351" s="1283">
        <f t="shared" si="2022"/>
        <v>0</v>
      </c>
      <c r="O2351" s="1283">
        <f t="shared" si="2022"/>
        <v>0</v>
      </c>
      <c r="P2351" s="1283">
        <f t="shared" si="2022"/>
        <v>0</v>
      </c>
      <c r="Q2351" s="1283">
        <f t="shared" si="2022"/>
        <v>0</v>
      </c>
      <c r="R2351" s="1283">
        <f t="shared" si="2022"/>
        <v>0</v>
      </c>
      <c r="S2351" s="1283">
        <f t="shared" si="2022"/>
        <v>0</v>
      </c>
      <c r="T2351" s="1601">
        <f t="shared" si="2022"/>
        <v>0</v>
      </c>
    </row>
    <row r="2352" spans="2:31" ht="13.75" hidden="1" customHeight="1" x14ac:dyDescent="0.2">
      <c r="B2352" s="1665"/>
      <c r="C2352" s="193"/>
      <c r="D2352" s="193"/>
      <c r="E2352" s="193"/>
      <c r="F2352" s="193"/>
      <c r="G2352" s="193"/>
      <c r="H2352" s="254"/>
      <c r="I2352" s="1179">
        <f t="shared" ref="I2352:T2352" si="2023">SUMIF($V$714:$V$717,$B2144&amp;"contratada",I$714:I$717)</f>
        <v>0</v>
      </c>
      <c r="J2352" s="1283">
        <f t="shared" si="2023"/>
        <v>0</v>
      </c>
      <c r="K2352" s="1283">
        <f t="shared" si="2023"/>
        <v>0</v>
      </c>
      <c r="L2352" s="1283">
        <f t="shared" si="2023"/>
        <v>0</v>
      </c>
      <c r="M2352" s="1283">
        <f t="shared" si="2023"/>
        <v>0</v>
      </c>
      <c r="N2352" s="1283">
        <f t="shared" si="2023"/>
        <v>0</v>
      </c>
      <c r="O2352" s="1283">
        <f t="shared" si="2023"/>
        <v>0</v>
      </c>
      <c r="P2352" s="1283">
        <f t="shared" si="2023"/>
        <v>0</v>
      </c>
      <c r="Q2352" s="1283">
        <f t="shared" si="2023"/>
        <v>0</v>
      </c>
      <c r="R2352" s="1283">
        <f t="shared" si="2023"/>
        <v>0</v>
      </c>
      <c r="S2352" s="1283">
        <f t="shared" si="2023"/>
        <v>0</v>
      </c>
      <c r="T2352" s="1601">
        <f t="shared" si="2023"/>
        <v>0</v>
      </c>
    </row>
    <row r="2353" spans="2:31" ht="13.75" hidden="1" customHeight="1" x14ac:dyDescent="0.2">
      <c r="B2353" s="1665"/>
      <c r="C2353" s="193"/>
      <c r="D2353" s="193"/>
      <c r="E2353" s="193"/>
      <c r="F2353" s="193"/>
      <c r="G2353" s="193"/>
      <c r="H2353" s="254"/>
      <c r="I2353" s="1179">
        <f t="shared" ref="I2353:T2353" si="2024">SUMIF($V$714:$V$717,$B2145&amp;"contratada",I$714:I$717)</f>
        <v>0</v>
      </c>
      <c r="J2353" s="1283">
        <f t="shared" si="2024"/>
        <v>0</v>
      </c>
      <c r="K2353" s="1283">
        <f t="shared" si="2024"/>
        <v>0</v>
      </c>
      <c r="L2353" s="1283">
        <f t="shared" si="2024"/>
        <v>0</v>
      </c>
      <c r="M2353" s="1283">
        <f t="shared" si="2024"/>
        <v>0</v>
      </c>
      <c r="N2353" s="1283">
        <f t="shared" si="2024"/>
        <v>0</v>
      </c>
      <c r="O2353" s="1283">
        <f t="shared" si="2024"/>
        <v>0</v>
      </c>
      <c r="P2353" s="1283">
        <f t="shared" si="2024"/>
        <v>0</v>
      </c>
      <c r="Q2353" s="1283">
        <f t="shared" si="2024"/>
        <v>0</v>
      </c>
      <c r="R2353" s="1283">
        <f t="shared" si="2024"/>
        <v>0</v>
      </c>
      <c r="S2353" s="1283">
        <f t="shared" si="2024"/>
        <v>0</v>
      </c>
      <c r="T2353" s="1601">
        <f t="shared" si="2024"/>
        <v>0</v>
      </c>
    </row>
    <row r="2354" spans="2:31" ht="13.75" hidden="1" customHeight="1" x14ac:dyDescent="0.2">
      <c r="B2354" s="1665"/>
      <c r="C2354" s="193"/>
      <c r="D2354" s="193"/>
      <c r="E2354" s="193"/>
      <c r="F2354" s="193"/>
      <c r="G2354" s="193"/>
      <c r="H2354" s="254"/>
      <c r="I2354" s="1179">
        <f t="shared" ref="I2354:T2354" si="2025">SUMIF($V$714:$V$717,$B2146&amp;"contratada",I$714:I$717)</f>
        <v>0</v>
      </c>
      <c r="J2354" s="1283">
        <f t="shared" si="2025"/>
        <v>0</v>
      </c>
      <c r="K2354" s="1283">
        <f t="shared" si="2025"/>
        <v>0</v>
      </c>
      <c r="L2354" s="1283">
        <f t="shared" si="2025"/>
        <v>0</v>
      </c>
      <c r="M2354" s="1283">
        <f t="shared" si="2025"/>
        <v>0</v>
      </c>
      <c r="N2354" s="1283">
        <f t="shared" si="2025"/>
        <v>0</v>
      </c>
      <c r="O2354" s="1283">
        <f t="shared" si="2025"/>
        <v>0</v>
      </c>
      <c r="P2354" s="1283">
        <f t="shared" si="2025"/>
        <v>0</v>
      </c>
      <c r="Q2354" s="1283">
        <f t="shared" si="2025"/>
        <v>0</v>
      </c>
      <c r="R2354" s="1283">
        <f t="shared" si="2025"/>
        <v>0</v>
      </c>
      <c r="S2354" s="1283">
        <f t="shared" si="2025"/>
        <v>0</v>
      </c>
      <c r="T2354" s="1601">
        <f t="shared" si="2025"/>
        <v>0</v>
      </c>
    </row>
    <row r="2355" spans="2:31" ht="13.75" hidden="1" customHeight="1" x14ac:dyDescent="0.2">
      <c r="B2355" s="1665"/>
      <c r="C2355" s="193"/>
      <c r="D2355" s="193"/>
      <c r="E2355" s="193"/>
      <c r="F2355" s="193"/>
      <c r="G2355" s="193"/>
      <c r="H2355" s="254"/>
      <c r="I2355" s="1179">
        <f t="shared" ref="I2355:T2355" si="2026">SUMIF($V$714:$V$717,$B2147&amp;"contratada",I$714:I$717)</f>
        <v>0</v>
      </c>
      <c r="J2355" s="1283">
        <f t="shared" si="2026"/>
        <v>0</v>
      </c>
      <c r="K2355" s="1283">
        <f t="shared" si="2026"/>
        <v>0</v>
      </c>
      <c r="L2355" s="1283">
        <f t="shared" si="2026"/>
        <v>0</v>
      </c>
      <c r="M2355" s="1283">
        <f t="shared" si="2026"/>
        <v>0</v>
      </c>
      <c r="N2355" s="1283">
        <f t="shared" si="2026"/>
        <v>0</v>
      </c>
      <c r="O2355" s="1283">
        <f t="shared" si="2026"/>
        <v>0</v>
      </c>
      <c r="P2355" s="1283">
        <f t="shared" si="2026"/>
        <v>0</v>
      </c>
      <c r="Q2355" s="1283">
        <f t="shared" si="2026"/>
        <v>0</v>
      </c>
      <c r="R2355" s="1283">
        <f t="shared" si="2026"/>
        <v>0</v>
      </c>
      <c r="S2355" s="1283">
        <f t="shared" si="2026"/>
        <v>0</v>
      </c>
      <c r="T2355" s="1601">
        <f t="shared" si="2026"/>
        <v>0</v>
      </c>
    </row>
    <row r="2356" spans="2:31" ht="13.75" hidden="1" customHeight="1" x14ac:dyDescent="0.2">
      <c r="B2356" s="1665"/>
      <c r="C2356" s="193"/>
      <c r="D2356" s="193"/>
      <c r="E2356" s="193"/>
      <c r="F2356" s="193"/>
      <c r="G2356" s="193"/>
      <c r="H2356" s="254"/>
      <c r="I2356" s="1179">
        <f t="shared" ref="I2356:T2356" si="2027">SUMIF($V$714:$V$717,$B2148&amp;"contratada",I$714:I$717)</f>
        <v>0</v>
      </c>
      <c r="J2356" s="1283">
        <f t="shared" si="2027"/>
        <v>0</v>
      </c>
      <c r="K2356" s="1283">
        <f t="shared" si="2027"/>
        <v>0</v>
      </c>
      <c r="L2356" s="1283">
        <f t="shared" si="2027"/>
        <v>0</v>
      </c>
      <c r="M2356" s="1283">
        <f t="shared" si="2027"/>
        <v>0</v>
      </c>
      <c r="N2356" s="1283">
        <f t="shared" si="2027"/>
        <v>0</v>
      </c>
      <c r="O2356" s="1283">
        <f t="shared" si="2027"/>
        <v>0</v>
      </c>
      <c r="P2356" s="1283">
        <f t="shared" si="2027"/>
        <v>0</v>
      </c>
      <c r="Q2356" s="1283">
        <f t="shared" si="2027"/>
        <v>0</v>
      </c>
      <c r="R2356" s="1283">
        <f t="shared" si="2027"/>
        <v>0</v>
      </c>
      <c r="S2356" s="1283">
        <f t="shared" si="2027"/>
        <v>0</v>
      </c>
      <c r="T2356" s="1601">
        <f t="shared" si="2027"/>
        <v>0</v>
      </c>
    </row>
    <row r="2357" spans="2:31" ht="14.4" hidden="1" customHeight="1" thickBot="1" x14ac:dyDescent="0.25">
      <c r="B2357" s="1665"/>
      <c r="C2357" s="193"/>
      <c r="D2357" s="193"/>
      <c r="E2357" s="193"/>
      <c r="F2357" s="193"/>
      <c r="G2357" s="193"/>
      <c r="H2357" s="254"/>
      <c r="I2357" s="377">
        <f t="shared" ref="I2357:T2357" si="2028">SUMIF($V$714:$V$717,$B2149&amp;"contratada",I$714:I$717)</f>
        <v>0</v>
      </c>
      <c r="J2357" s="1200">
        <f t="shared" si="2028"/>
        <v>0</v>
      </c>
      <c r="K2357" s="1200">
        <f t="shared" si="2028"/>
        <v>0</v>
      </c>
      <c r="L2357" s="1200">
        <f t="shared" si="2028"/>
        <v>0</v>
      </c>
      <c r="M2357" s="1200">
        <f t="shared" si="2028"/>
        <v>0</v>
      </c>
      <c r="N2357" s="1200">
        <f t="shared" si="2028"/>
        <v>0</v>
      </c>
      <c r="O2357" s="1200">
        <f t="shared" si="2028"/>
        <v>0</v>
      </c>
      <c r="P2357" s="1200">
        <f t="shared" si="2028"/>
        <v>0</v>
      </c>
      <c r="Q2357" s="1200">
        <f t="shared" si="2028"/>
        <v>0</v>
      </c>
      <c r="R2357" s="1200">
        <f t="shared" si="2028"/>
        <v>0</v>
      </c>
      <c r="S2357" s="1200">
        <f t="shared" si="2028"/>
        <v>0</v>
      </c>
      <c r="T2357" s="1718">
        <f t="shared" si="2028"/>
        <v>0</v>
      </c>
    </row>
    <row r="2358" spans="2:31" ht="13.75" hidden="1" customHeight="1" x14ac:dyDescent="0.2">
      <c r="B2358" s="1732" t="s">
        <v>705</v>
      </c>
      <c r="C2358" s="1733"/>
      <c r="D2358" s="1733"/>
      <c r="E2358" s="1733"/>
      <c r="F2358" s="1733"/>
      <c r="G2358" s="1734"/>
      <c r="H2358" s="1532"/>
      <c r="I2358" s="1735">
        <f t="shared" ref="I2358:T2358" si="2029">+SUMPRODUCT(I2344:I2357,$C$2136:$C$2149)</f>
        <v>0</v>
      </c>
      <c r="J2358" s="1736">
        <f t="shared" si="2029"/>
        <v>0</v>
      </c>
      <c r="K2358" s="1736">
        <f t="shared" si="2029"/>
        <v>0</v>
      </c>
      <c r="L2358" s="1736">
        <f t="shared" si="2029"/>
        <v>0</v>
      </c>
      <c r="M2358" s="1736">
        <f t="shared" si="2029"/>
        <v>0</v>
      </c>
      <c r="N2358" s="1736">
        <f t="shared" si="2029"/>
        <v>0</v>
      </c>
      <c r="O2358" s="1736">
        <f t="shared" si="2029"/>
        <v>0</v>
      </c>
      <c r="P2358" s="1736">
        <f t="shared" si="2029"/>
        <v>0</v>
      </c>
      <c r="Q2358" s="1736">
        <f t="shared" si="2029"/>
        <v>0</v>
      </c>
      <c r="R2358" s="1736">
        <f t="shared" si="2029"/>
        <v>0</v>
      </c>
      <c r="S2358" s="1736">
        <f t="shared" si="2029"/>
        <v>0</v>
      </c>
      <c r="T2358" s="1737">
        <f t="shared" si="2029"/>
        <v>0</v>
      </c>
      <c r="Y2358" s="359"/>
      <c r="AE2358" s="232"/>
    </row>
    <row r="2359" spans="2:31" ht="13.75" hidden="1" customHeight="1" x14ac:dyDescent="0.2">
      <c r="B2359" s="1728"/>
      <c r="C2359" s="970"/>
      <c r="D2359" s="970"/>
      <c r="E2359" s="970"/>
      <c r="F2359" s="970"/>
      <c r="G2359" s="982" t="s">
        <v>698</v>
      </c>
      <c r="I2359" s="1725">
        <f t="shared" ref="I2359:T2359" si="2030">IFERROR(I2358*I2342/I2341,0)</f>
        <v>0</v>
      </c>
      <c r="J2359" s="1726">
        <f t="shared" si="2030"/>
        <v>0</v>
      </c>
      <c r="K2359" s="1726">
        <f t="shared" si="2030"/>
        <v>0</v>
      </c>
      <c r="L2359" s="1726">
        <f t="shared" si="2030"/>
        <v>0</v>
      </c>
      <c r="M2359" s="1726">
        <f t="shared" si="2030"/>
        <v>0</v>
      </c>
      <c r="N2359" s="1726">
        <f t="shared" si="2030"/>
        <v>0</v>
      </c>
      <c r="O2359" s="1726">
        <f t="shared" si="2030"/>
        <v>0</v>
      </c>
      <c r="P2359" s="1726">
        <f t="shared" si="2030"/>
        <v>0</v>
      </c>
      <c r="Q2359" s="1726">
        <f t="shared" si="2030"/>
        <v>0</v>
      </c>
      <c r="R2359" s="1726">
        <f t="shared" si="2030"/>
        <v>0</v>
      </c>
      <c r="S2359" s="1726">
        <f t="shared" si="2030"/>
        <v>0</v>
      </c>
      <c r="T2359" s="1727">
        <f t="shared" si="2030"/>
        <v>0</v>
      </c>
      <c r="Y2359" s="359"/>
      <c r="AE2359" s="232"/>
    </row>
    <row r="2360" spans="2:31" ht="14.4" hidden="1" customHeight="1" thickBot="1" x14ac:dyDescent="0.25">
      <c r="B2360" s="1728"/>
      <c r="C2360" s="970"/>
      <c r="D2360" s="970"/>
      <c r="E2360" s="970"/>
      <c r="F2360" s="970"/>
      <c r="G2360" s="982" t="s">
        <v>699</v>
      </c>
      <c r="I2360" s="1729">
        <f t="shared" ref="I2360:T2360" si="2031">+I2358-I2359</f>
        <v>0</v>
      </c>
      <c r="J2360" s="1730">
        <f t="shared" si="2031"/>
        <v>0</v>
      </c>
      <c r="K2360" s="1730">
        <f t="shared" si="2031"/>
        <v>0</v>
      </c>
      <c r="L2360" s="1730">
        <f t="shared" si="2031"/>
        <v>0</v>
      </c>
      <c r="M2360" s="1730">
        <f t="shared" si="2031"/>
        <v>0</v>
      </c>
      <c r="N2360" s="1730">
        <f t="shared" si="2031"/>
        <v>0</v>
      </c>
      <c r="O2360" s="1730">
        <f t="shared" si="2031"/>
        <v>0</v>
      </c>
      <c r="P2360" s="1730">
        <f t="shared" si="2031"/>
        <v>0</v>
      </c>
      <c r="Q2360" s="1730">
        <f t="shared" si="2031"/>
        <v>0</v>
      </c>
      <c r="R2360" s="1730">
        <f t="shared" si="2031"/>
        <v>0</v>
      </c>
      <c r="S2360" s="1730">
        <f t="shared" si="2031"/>
        <v>0</v>
      </c>
      <c r="T2360" s="1731">
        <f t="shared" si="2031"/>
        <v>0</v>
      </c>
      <c r="Y2360" s="359"/>
      <c r="AE2360" s="232"/>
    </row>
    <row r="2361" spans="2:31" ht="14.4" hidden="1" customHeight="1" thickTop="1" x14ac:dyDescent="0.2">
      <c r="B2361" s="1724" t="s">
        <v>812</v>
      </c>
      <c r="C2361" s="1194"/>
      <c r="D2361" s="1194"/>
      <c r="E2361" s="1194"/>
      <c r="F2361" s="1210"/>
      <c r="G2361" s="1641" t="s">
        <v>813</v>
      </c>
      <c r="H2361" s="1210"/>
      <c r="I2361" s="1667">
        <f t="shared" ref="I2361:T2361" si="2032">+SUM(I715:I717,$F$715:$F$717)</f>
        <v>0</v>
      </c>
      <c r="J2361" s="1668">
        <f t="shared" si="2032"/>
        <v>0</v>
      </c>
      <c r="K2361" s="1668">
        <f t="shared" si="2032"/>
        <v>0</v>
      </c>
      <c r="L2361" s="1668">
        <f t="shared" si="2032"/>
        <v>0</v>
      </c>
      <c r="M2361" s="1668">
        <f t="shared" si="2032"/>
        <v>0</v>
      </c>
      <c r="N2361" s="1668">
        <f t="shared" si="2032"/>
        <v>0</v>
      </c>
      <c r="O2361" s="1668">
        <f t="shared" si="2032"/>
        <v>0</v>
      </c>
      <c r="P2361" s="1668">
        <f t="shared" si="2032"/>
        <v>0</v>
      </c>
      <c r="Q2361" s="1668">
        <f t="shared" si="2032"/>
        <v>0</v>
      </c>
      <c r="R2361" s="1668">
        <f t="shared" si="2032"/>
        <v>0</v>
      </c>
      <c r="S2361" s="1668">
        <f t="shared" si="2032"/>
        <v>0</v>
      </c>
      <c r="T2361" s="1704">
        <f t="shared" si="2032"/>
        <v>0</v>
      </c>
    </row>
    <row r="2362" spans="2:31" ht="13.75" hidden="1" customHeight="1" x14ac:dyDescent="0.2">
      <c r="B2362" s="1594"/>
      <c r="C2362" s="193"/>
      <c r="D2362" s="193"/>
      <c r="E2362" s="193"/>
      <c r="F2362" s="193"/>
      <c r="G2362" s="254" t="s">
        <v>698</v>
      </c>
      <c r="H2362" s="254"/>
      <c r="I2362" s="1179">
        <f t="shared" ref="I2362:T2362" si="2033">IFERROR(I2361*(I2342/I2341),0)</f>
        <v>0</v>
      </c>
      <c r="J2362" s="1283">
        <f t="shared" si="2033"/>
        <v>0</v>
      </c>
      <c r="K2362" s="1283">
        <f t="shared" si="2033"/>
        <v>0</v>
      </c>
      <c r="L2362" s="1283">
        <f t="shared" si="2033"/>
        <v>0</v>
      </c>
      <c r="M2362" s="1283">
        <f t="shared" si="2033"/>
        <v>0</v>
      </c>
      <c r="N2362" s="1283">
        <f t="shared" si="2033"/>
        <v>0</v>
      </c>
      <c r="O2362" s="1283">
        <f t="shared" si="2033"/>
        <v>0</v>
      </c>
      <c r="P2362" s="1283">
        <f t="shared" si="2033"/>
        <v>0</v>
      </c>
      <c r="Q2362" s="1283">
        <f t="shared" si="2033"/>
        <v>0</v>
      </c>
      <c r="R2362" s="1283">
        <f t="shared" si="2033"/>
        <v>0</v>
      </c>
      <c r="S2362" s="1283">
        <f t="shared" si="2033"/>
        <v>0</v>
      </c>
      <c r="T2362" s="1601">
        <f t="shared" si="2033"/>
        <v>0</v>
      </c>
    </row>
    <row r="2363" spans="2:31" ht="14.4" hidden="1" customHeight="1" thickBot="1" x14ac:dyDescent="0.25">
      <c r="B2363" s="1596"/>
      <c r="C2363" s="1199"/>
      <c r="D2363" s="1199"/>
      <c r="E2363" s="1199"/>
      <c r="F2363" s="1199"/>
      <c r="G2363" s="1209" t="s">
        <v>699</v>
      </c>
      <c r="H2363" s="1209"/>
      <c r="I2363" s="1654">
        <f t="shared" ref="I2363:T2363" si="2034">IFERROR(I2362*(I2343/I2341),0)</f>
        <v>0</v>
      </c>
      <c r="J2363" s="1590">
        <f t="shared" si="2034"/>
        <v>0</v>
      </c>
      <c r="K2363" s="1590">
        <f t="shared" si="2034"/>
        <v>0</v>
      </c>
      <c r="L2363" s="1590">
        <f t="shared" si="2034"/>
        <v>0</v>
      </c>
      <c r="M2363" s="1590">
        <f t="shared" si="2034"/>
        <v>0</v>
      </c>
      <c r="N2363" s="1590">
        <f t="shared" si="2034"/>
        <v>0</v>
      </c>
      <c r="O2363" s="1590">
        <f t="shared" si="2034"/>
        <v>0</v>
      </c>
      <c r="P2363" s="1590">
        <f t="shared" si="2034"/>
        <v>0</v>
      </c>
      <c r="Q2363" s="1590">
        <f t="shared" si="2034"/>
        <v>0</v>
      </c>
      <c r="R2363" s="1590">
        <f t="shared" si="2034"/>
        <v>0</v>
      </c>
      <c r="S2363" s="1590">
        <f t="shared" si="2034"/>
        <v>0</v>
      </c>
      <c r="T2363" s="1655">
        <f t="shared" si="2034"/>
        <v>0</v>
      </c>
    </row>
    <row r="2364" spans="2:31" ht="14.4" hidden="1" customHeight="1" thickTop="1" x14ac:dyDescent="0.2">
      <c r="B2364" s="1724" t="s">
        <v>797</v>
      </c>
      <c r="C2364" s="1194"/>
      <c r="D2364" s="1194"/>
      <c r="E2364" s="1581">
        <f>+B718</f>
        <v>0</v>
      </c>
      <c r="F2364" s="232"/>
      <c r="G2364" s="1194" t="s">
        <v>791</v>
      </c>
      <c r="H2364" s="1194"/>
      <c r="I2364" s="1668">
        <f t="shared" ref="I2364:T2364" si="2035">+I2365+I2366</f>
        <v>0</v>
      </c>
      <c r="J2364" s="1668">
        <f t="shared" si="2035"/>
        <v>0</v>
      </c>
      <c r="K2364" s="1668">
        <f t="shared" si="2035"/>
        <v>0</v>
      </c>
      <c r="L2364" s="1668">
        <f t="shared" si="2035"/>
        <v>0</v>
      </c>
      <c r="M2364" s="1668">
        <f t="shared" si="2035"/>
        <v>0</v>
      </c>
      <c r="N2364" s="1668">
        <f t="shared" si="2035"/>
        <v>0</v>
      </c>
      <c r="O2364" s="1668">
        <f t="shared" si="2035"/>
        <v>0</v>
      </c>
      <c r="P2364" s="1668">
        <f t="shared" si="2035"/>
        <v>0</v>
      </c>
      <c r="Q2364" s="1668">
        <f t="shared" si="2035"/>
        <v>0</v>
      </c>
      <c r="R2364" s="1668">
        <f t="shared" si="2035"/>
        <v>0</v>
      </c>
      <c r="S2364" s="1668">
        <f t="shared" si="2035"/>
        <v>0</v>
      </c>
      <c r="T2364" s="1704">
        <f t="shared" si="2035"/>
        <v>0</v>
      </c>
    </row>
    <row r="2365" spans="2:31" ht="13.75" hidden="1" customHeight="1" x14ac:dyDescent="0.2">
      <c r="B2365" s="1594" t="s">
        <v>798</v>
      </c>
      <c r="C2365" s="193"/>
      <c r="D2365" s="193"/>
      <c r="E2365" s="193"/>
      <c r="F2365" s="232"/>
      <c r="G2365" s="193" t="s">
        <v>793</v>
      </c>
      <c r="H2365" s="193"/>
      <c r="I2365" s="1283">
        <f>VLOOKUP($E$2364,UsoSuelo!$E$1366:$Q$1377,I$2156,FALSE)</f>
        <v>0</v>
      </c>
      <c r="J2365" s="1283">
        <f>VLOOKUP($E$2364,UsoSuelo!$E$1366:$Q$1377,J$2156,FALSE)</f>
        <v>0</v>
      </c>
      <c r="K2365" s="1283">
        <f>VLOOKUP($E$2364,UsoSuelo!$E$1366:$Q$1377,K$2156,FALSE)</f>
        <v>0</v>
      </c>
      <c r="L2365" s="1283">
        <f>VLOOKUP($E$2364,UsoSuelo!$E$1366:$Q$1377,L$2156,FALSE)</f>
        <v>0</v>
      </c>
      <c r="M2365" s="1283">
        <f>VLOOKUP($E$2364,UsoSuelo!$E$1366:$Q$1377,M$2156,FALSE)</f>
        <v>0</v>
      </c>
      <c r="N2365" s="1283">
        <f>VLOOKUP($E$2364,UsoSuelo!$E$1366:$Q$1377,N$2156,FALSE)</f>
        <v>0</v>
      </c>
      <c r="O2365" s="1283">
        <f>VLOOKUP($E$2364,UsoSuelo!$E$1366:$Q$1377,O$2156,FALSE)</f>
        <v>0</v>
      </c>
      <c r="P2365" s="1283">
        <f>VLOOKUP($E$2364,UsoSuelo!$E$1366:$Q$1377,P$2156,FALSE)</f>
        <v>0</v>
      </c>
      <c r="Q2365" s="1283">
        <f>VLOOKUP($E$2364,UsoSuelo!$E$1366:$Q$1377,Q$2156,FALSE)</f>
        <v>0</v>
      </c>
      <c r="R2365" s="1283">
        <f>VLOOKUP($E$2364,UsoSuelo!$E$1366:$Q$1377,R$2156,FALSE)</f>
        <v>0</v>
      </c>
      <c r="S2365" s="1283">
        <f>VLOOKUP($E$2364,UsoSuelo!$E$1366:$Q$1377,S$2156,FALSE)</f>
        <v>0</v>
      </c>
      <c r="T2365" s="1601">
        <f>VLOOKUP($E$2364,UsoSuelo!$E$1366:$Q$1377,T$2156,FALSE)</f>
        <v>0</v>
      </c>
    </row>
    <row r="2366" spans="2:31" ht="14.4" hidden="1" customHeight="1" thickBot="1" x14ac:dyDescent="0.25">
      <c r="B2366" s="1596"/>
      <c r="C2366" s="1199"/>
      <c r="D2366" s="1199"/>
      <c r="E2366" s="1199"/>
      <c r="F2366" s="232"/>
      <c r="G2366" s="1199" t="s">
        <v>792</v>
      </c>
      <c r="H2366" s="1199"/>
      <c r="I2366" s="1590">
        <f>VLOOKUP($E$2364,UsoSuelo!$E$1383:$Q$1394,I$2156,FALSE)</f>
        <v>0</v>
      </c>
      <c r="J2366" s="1590">
        <f>VLOOKUP($E$2364,UsoSuelo!$E$1383:$Q$1394,J$2156,FALSE)</f>
        <v>0</v>
      </c>
      <c r="K2366" s="1590">
        <f>VLOOKUP($E$2364,UsoSuelo!$E$1383:$Q$1394,K$2156,FALSE)</f>
        <v>0</v>
      </c>
      <c r="L2366" s="1590">
        <f>VLOOKUP($E$2364,UsoSuelo!$E$1383:$Q$1394,L$2156,FALSE)</f>
        <v>0</v>
      </c>
      <c r="M2366" s="1590">
        <f>VLOOKUP($E$2364,UsoSuelo!$E$1383:$Q$1394,M$2156,FALSE)</f>
        <v>0</v>
      </c>
      <c r="N2366" s="1590">
        <f>VLOOKUP($E$2364,UsoSuelo!$E$1383:$Q$1394,N$2156,FALSE)</f>
        <v>0</v>
      </c>
      <c r="O2366" s="1590">
        <f>VLOOKUP($E$2364,UsoSuelo!$E$1383:$Q$1394,O$2156,FALSE)</f>
        <v>0</v>
      </c>
      <c r="P2366" s="1590">
        <f>VLOOKUP($E$2364,UsoSuelo!$E$1383:$Q$1394,P$2156,FALSE)</f>
        <v>0</v>
      </c>
      <c r="Q2366" s="1590">
        <f>VLOOKUP($E$2364,UsoSuelo!$E$1383:$Q$1394,Q$2156,FALSE)</f>
        <v>0</v>
      </c>
      <c r="R2366" s="1590">
        <f>VLOOKUP($E$2364,UsoSuelo!$E$1383:$Q$1394,R$2156,FALSE)</f>
        <v>0</v>
      </c>
      <c r="S2366" s="1590">
        <f>VLOOKUP($E$2364,UsoSuelo!$E$1383:$Q$1394,S$2156,FALSE)</f>
        <v>0</v>
      </c>
      <c r="T2366" s="1655">
        <f>VLOOKUP($E$2364,UsoSuelo!$E$1383:$Q$1394,T$2156,FALSE)</f>
        <v>0</v>
      </c>
    </row>
    <row r="2367" spans="2:31" ht="14.4" hidden="1" customHeight="1" thickTop="1" x14ac:dyDescent="0.2">
      <c r="B2367" s="1664"/>
      <c r="C2367" s="1194"/>
      <c r="D2367" s="1194"/>
      <c r="E2367" s="1194"/>
      <c r="F2367" s="1194"/>
      <c r="G2367" s="1194"/>
      <c r="H2367" s="1210"/>
      <c r="I2367" s="1667">
        <f t="shared" ref="I2367:T2367" si="2036">SUMIF($V$719:$V$722,$B2136&amp;"contratada",I$719:I$722)</f>
        <v>0</v>
      </c>
      <c r="J2367" s="1668">
        <f t="shared" si="2036"/>
        <v>0</v>
      </c>
      <c r="K2367" s="1668">
        <f t="shared" si="2036"/>
        <v>0</v>
      </c>
      <c r="L2367" s="1668">
        <f t="shared" si="2036"/>
        <v>0</v>
      </c>
      <c r="M2367" s="1668">
        <f t="shared" si="2036"/>
        <v>0</v>
      </c>
      <c r="N2367" s="1668">
        <f t="shared" si="2036"/>
        <v>0</v>
      </c>
      <c r="O2367" s="1668">
        <f t="shared" si="2036"/>
        <v>0</v>
      </c>
      <c r="P2367" s="1668">
        <f t="shared" si="2036"/>
        <v>0</v>
      </c>
      <c r="Q2367" s="1668">
        <f t="shared" si="2036"/>
        <v>0</v>
      </c>
      <c r="R2367" s="1668">
        <f t="shared" si="2036"/>
        <v>0</v>
      </c>
      <c r="S2367" s="1668">
        <f t="shared" si="2036"/>
        <v>0</v>
      </c>
      <c r="T2367" s="1704">
        <f t="shared" si="2036"/>
        <v>0</v>
      </c>
    </row>
    <row r="2368" spans="2:31" ht="13.75" hidden="1" customHeight="1" x14ac:dyDescent="0.2">
      <c r="B2368" s="1665"/>
      <c r="C2368" s="193"/>
      <c r="D2368" s="193"/>
      <c r="E2368" s="193"/>
      <c r="F2368" s="193"/>
      <c r="G2368" s="193"/>
      <c r="H2368" s="254"/>
      <c r="I2368" s="1179">
        <f t="shared" ref="I2368:T2368" si="2037">SUMIF($V$719:$V$722,$B2137&amp;"contratada",I$719:I$722)</f>
        <v>0</v>
      </c>
      <c r="J2368" s="1283">
        <f t="shared" si="2037"/>
        <v>0</v>
      </c>
      <c r="K2368" s="1283">
        <f t="shared" si="2037"/>
        <v>0</v>
      </c>
      <c r="L2368" s="1283">
        <f t="shared" si="2037"/>
        <v>0</v>
      </c>
      <c r="M2368" s="1283">
        <f t="shared" si="2037"/>
        <v>0</v>
      </c>
      <c r="N2368" s="1283">
        <f t="shared" si="2037"/>
        <v>0</v>
      </c>
      <c r="O2368" s="1283">
        <f t="shared" si="2037"/>
        <v>0</v>
      </c>
      <c r="P2368" s="1283">
        <f t="shared" si="2037"/>
        <v>0</v>
      </c>
      <c r="Q2368" s="1283">
        <f t="shared" si="2037"/>
        <v>0</v>
      </c>
      <c r="R2368" s="1283">
        <f t="shared" si="2037"/>
        <v>0</v>
      </c>
      <c r="S2368" s="1283">
        <f t="shared" si="2037"/>
        <v>0</v>
      </c>
      <c r="T2368" s="1601">
        <f t="shared" si="2037"/>
        <v>0</v>
      </c>
    </row>
    <row r="2369" spans="2:31" ht="13.75" hidden="1" customHeight="1" x14ac:dyDescent="0.2">
      <c r="B2369" s="1665"/>
      <c r="C2369" s="193"/>
      <c r="D2369" s="193"/>
      <c r="E2369" s="193"/>
      <c r="F2369" s="193"/>
      <c r="G2369" s="193"/>
      <c r="H2369" s="254"/>
      <c r="I2369" s="1179">
        <f t="shared" ref="I2369:T2369" si="2038">SUMIF($V$719:$V$722,$B2138&amp;"contratada",I$719:I$722)</f>
        <v>0</v>
      </c>
      <c r="J2369" s="1283">
        <f t="shared" si="2038"/>
        <v>0</v>
      </c>
      <c r="K2369" s="1283">
        <f t="shared" si="2038"/>
        <v>0</v>
      </c>
      <c r="L2369" s="1283">
        <f t="shared" si="2038"/>
        <v>0</v>
      </c>
      <c r="M2369" s="1283">
        <f t="shared" si="2038"/>
        <v>0</v>
      </c>
      <c r="N2369" s="1283">
        <f t="shared" si="2038"/>
        <v>0</v>
      </c>
      <c r="O2369" s="1283">
        <f t="shared" si="2038"/>
        <v>0</v>
      </c>
      <c r="P2369" s="1283">
        <f t="shared" si="2038"/>
        <v>0</v>
      </c>
      <c r="Q2369" s="1283">
        <f t="shared" si="2038"/>
        <v>0</v>
      </c>
      <c r="R2369" s="1283">
        <f t="shared" si="2038"/>
        <v>0</v>
      </c>
      <c r="S2369" s="1283">
        <f t="shared" si="2038"/>
        <v>0</v>
      </c>
      <c r="T2369" s="1601">
        <f t="shared" si="2038"/>
        <v>0</v>
      </c>
    </row>
    <row r="2370" spans="2:31" ht="13.75" hidden="1" customHeight="1" x14ac:dyDescent="0.2">
      <c r="B2370" s="1665"/>
      <c r="C2370" s="193"/>
      <c r="D2370" s="193"/>
      <c r="E2370" s="193"/>
      <c r="F2370" s="193"/>
      <c r="G2370" s="193"/>
      <c r="H2370" s="254"/>
      <c r="I2370" s="1179">
        <f t="shared" ref="I2370:T2370" si="2039">SUMIF($V$719:$V$722,$B2139&amp;"contratada",I$719:I$722)</f>
        <v>0</v>
      </c>
      <c r="J2370" s="1283">
        <f t="shared" si="2039"/>
        <v>0</v>
      </c>
      <c r="K2370" s="1283">
        <f t="shared" si="2039"/>
        <v>0</v>
      </c>
      <c r="L2370" s="1283">
        <f t="shared" si="2039"/>
        <v>0</v>
      </c>
      <c r="M2370" s="1283">
        <f t="shared" si="2039"/>
        <v>0</v>
      </c>
      <c r="N2370" s="1283">
        <f t="shared" si="2039"/>
        <v>0</v>
      </c>
      <c r="O2370" s="1283">
        <f t="shared" si="2039"/>
        <v>0</v>
      </c>
      <c r="P2370" s="1283">
        <f t="shared" si="2039"/>
        <v>0</v>
      </c>
      <c r="Q2370" s="1283">
        <f t="shared" si="2039"/>
        <v>0</v>
      </c>
      <c r="R2370" s="1283">
        <f t="shared" si="2039"/>
        <v>0</v>
      </c>
      <c r="S2370" s="1283">
        <f t="shared" si="2039"/>
        <v>0</v>
      </c>
      <c r="T2370" s="1601">
        <f t="shared" si="2039"/>
        <v>0</v>
      </c>
    </row>
    <row r="2371" spans="2:31" ht="13.75" hidden="1" customHeight="1" x14ac:dyDescent="0.2">
      <c r="B2371" s="1665"/>
      <c r="C2371" s="193"/>
      <c r="D2371" s="193"/>
      <c r="E2371" s="193"/>
      <c r="F2371" s="193"/>
      <c r="G2371" s="193"/>
      <c r="H2371" s="254"/>
      <c r="I2371" s="1179">
        <f t="shared" ref="I2371:T2371" si="2040">SUMIF($V$719:$V$722,$B2140&amp;"contratada",I$719:I$722)</f>
        <v>0</v>
      </c>
      <c r="J2371" s="1283">
        <f t="shared" si="2040"/>
        <v>0</v>
      </c>
      <c r="K2371" s="1283">
        <f t="shared" si="2040"/>
        <v>0</v>
      </c>
      <c r="L2371" s="1283">
        <f t="shared" si="2040"/>
        <v>0</v>
      </c>
      <c r="M2371" s="1283">
        <f t="shared" si="2040"/>
        <v>0</v>
      </c>
      <c r="N2371" s="1283">
        <f t="shared" si="2040"/>
        <v>0</v>
      </c>
      <c r="O2371" s="1283">
        <f t="shared" si="2040"/>
        <v>0</v>
      </c>
      <c r="P2371" s="1283">
        <f t="shared" si="2040"/>
        <v>0</v>
      </c>
      <c r="Q2371" s="1283">
        <f t="shared" si="2040"/>
        <v>0</v>
      </c>
      <c r="R2371" s="1283">
        <f t="shared" si="2040"/>
        <v>0</v>
      </c>
      <c r="S2371" s="1283">
        <f t="shared" si="2040"/>
        <v>0</v>
      </c>
      <c r="T2371" s="1601">
        <f t="shared" si="2040"/>
        <v>0</v>
      </c>
    </row>
    <row r="2372" spans="2:31" ht="13.75" hidden="1" customHeight="1" x14ac:dyDescent="0.2">
      <c r="B2372" s="1665"/>
      <c r="C2372" s="193"/>
      <c r="D2372" s="193"/>
      <c r="E2372" s="193"/>
      <c r="F2372" s="193"/>
      <c r="G2372" s="193"/>
      <c r="H2372" s="254"/>
      <c r="I2372" s="1179">
        <f t="shared" ref="I2372:T2372" si="2041">SUMIF($V$719:$V$722,$B2141&amp;"contratada",I$719:I$722)</f>
        <v>0</v>
      </c>
      <c r="J2372" s="1283">
        <f t="shared" si="2041"/>
        <v>0</v>
      </c>
      <c r="K2372" s="1283">
        <f t="shared" si="2041"/>
        <v>0</v>
      </c>
      <c r="L2372" s="1283">
        <f t="shared" si="2041"/>
        <v>0</v>
      </c>
      <c r="M2372" s="1283">
        <f t="shared" si="2041"/>
        <v>0</v>
      </c>
      <c r="N2372" s="1283">
        <f t="shared" si="2041"/>
        <v>0</v>
      </c>
      <c r="O2372" s="1283">
        <f t="shared" si="2041"/>
        <v>0</v>
      </c>
      <c r="P2372" s="1283">
        <f t="shared" si="2041"/>
        <v>0</v>
      </c>
      <c r="Q2372" s="1283">
        <f t="shared" si="2041"/>
        <v>0</v>
      </c>
      <c r="R2372" s="1283">
        <f t="shared" si="2041"/>
        <v>0</v>
      </c>
      <c r="S2372" s="1283">
        <f t="shared" si="2041"/>
        <v>0</v>
      </c>
      <c r="T2372" s="1601">
        <f t="shared" si="2041"/>
        <v>0</v>
      </c>
    </row>
    <row r="2373" spans="2:31" ht="13.75" hidden="1" customHeight="1" x14ac:dyDescent="0.2">
      <c r="B2373" s="1665"/>
      <c r="C2373" s="193"/>
      <c r="D2373" s="193"/>
      <c r="E2373" s="193"/>
      <c r="F2373" s="193"/>
      <c r="G2373" s="193"/>
      <c r="H2373" s="254"/>
      <c r="I2373" s="1179">
        <f t="shared" ref="I2373:T2373" si="2042">SUMIF($V$719:$V$722,$B2142&amp;"contratada",I$719:I$722)</f>
        <v>0</v>
      </c>
      <c r="J2373" s="1283">
        <f t="shared" si="2042"/>
        <v>0</v>
      </c>
      <c r="K2373" s="1283">
        <f t="shared" si="2042"/>
        <v>0</v>
      </c>
      <c r="L2373" s="1283">
        <f t="shared" si="2042"/>
        <v>0</v>
      </c>
      <c r="M2373" s="1283">
        <f t="shared" si="2042"/>
        <v>0</v>
      </c>
      <c r="N2373" s="1283">
        <f t="shared" si="2042"/>
        <v>0</v>
      </c>
      <c r="O2373" s="1283">
        <f t="shared" si="2042"/>
        <v>0</v>
      </c>
      <c r="P2373" s="1283">
        <f t="shared" si="2042"/>
        <v>0</v>
      </c>
      <c r="Q2373" s="1283">
        <f t="shared" si="2042"/>
        <v>0</v>
      </c>
      <c r="R2373" s="1283">
        <f t="shared" si="2042"/>
        <v>0</v>
      </c>
      <c r="S2373" s="1283">
        <f t="shared" si="2042"/>
        <v>0</v>
      </c>
      <c r="T2373" s="1601">
        <f t="shared" si="2042"/>
        <v>0</v>
      </c>
    </row>
    <row r="2374" spans="2:31" ht="13.75" hidden="1" customHeight="1" x14ac:dyDescent="0.2">
      <c r="B2374" s="1665"/>
      <c r="C2374" s="193"/>
      <c r="D2374" s="193"/>
      <c r="E2374" s="193"/>
      <c r="F2374" s="193"/>
      <c r="G2374" s="193"/>
      <c r="H2374" s="254"/>
      <c r="I2374" s="1179">
        <f t="shared" ref="I2374:T2374" si="2043">SUMIF($V$719:$V$722,$B2143&amp;"contratada",I$719:I$722)</f>
        <v>0</v>
      </c>
      <c r="J2374" s="1283">
        <f t="shared" si="2043"/>
        <v>0</v>
      </c>
      <c r="K2374" s="1283">
        <f t="shared" si="2043"/>
        <v>0</v>
      </c>
      <c r="L2374" s="1283">
        <f t="shared" si="2043"/>
        <v>0</v>
      </c>
      <c r="M2374" s="1283">
        <f t="shared" si="2043"/>
        <v>0</v>
      </c>
      <c r="N2374" s="1283">
        <f t="shared" si="2043"/>
        <v>0</v>
      </c>
      <c r="O2374" s="1283">
        <f t="shared" si="2043"/>
        <v>0</v>
      </c>
      <c r="P2374" s="1283">
        <f t="shared" si="2043"/>
        <v>0</v>
      </c>
      <c r="Q2374" s="1283">
        <f t="shared" si="2043"/>
        <v>0</v>
      </c>
      <c r="R2374" s="1283">
        <f t="shared" si="2043"/>
        <v>0</v>
      </c>
      <c r="S2374" s="1283">
        <f t="shared" si="2043"/>
        <v>0</v>
      </c>
      <c r="T2374" s="1601">
        <f t="shared" si="2043"/>
        <v>0</v>
      </c>
    </row>
    <row r="2375" spans="2:31" ht="13.75" hidden="1" customHeight="1" x14ac:dyDescent="0.2">
      <c r="B2375" s="1665"/>
      <c r="C2375" s="193"/>
      <c r="D2375" s="193"/>
      <c r="E2375" s="193"/>
      <c r="F2375" s="193"/>
      <c r="G2375" s="193"/>
      <c r="H2375" s="254"/>
      <c r="I2375" s="1179">
        <f t="shared" ref="I2375:T2375" si="2044">SUMIF($V$719:$V$722,$B2144&amp;"contratada",I$719:I$722)</f>
        <v>0</v>
      </c>
      <c r="J2375" s="1283">
        <f t="shared" si="2044"/>
        <v>0</v>
      </c>
      <c r="K2375" s="1283">
        <f t="shared" si="2044"/>
        <v>0</v>
      </c>
      <c r="L2375" s="1283">
        <f t="shared" si="2044"/>
        <v>0</v>
      </c>
      <c r="M2375" s="1283">
        <f t="shared" si="2044"/>
        <v>0</v>
      </c>
      <c r="N2375" s="1283">
        <f t="shared" si="2044"/>
        <v>0</v>
      </c>
      <c r="O2375" s="1283">
        <f t="shared" si="2044"/>
        <v>0</v>
      </c>
      <c r="P2375" s="1283">
        <f t="shared" si="2044"/>
        <v>0</v>
      </c>
      <c r="Q2375" s="1283">
        <f t="shared" si="2044"/>
        <v>0</v>
      </c>
      <c r="R2375" s="1283">
        <f t="shared" si="2044"/>
        <v>0</v>
      </c>
      <c r="S2375" s="1283">
        <f t="shared" si="2044"/>
        <v>0</v>
      </c>
      <c r="T2375" s="1601">
        <f t="shared" si="2044"/>
        <v>0</v>
      </c>
    </row>
    <row r="2376" spans="2:31" ht="13.75" hidden="1" customHeight="1" x14ac:dyDescent="0.2">
      <c r="B2376" s="1665"/>
      <c r="C2376" s="193"/>
      <c r="D2376" s="193"/>
      <c r="E2376" s="193"/>
      <c r="F2376" s="193"/>
      <c r="G2376" s="193"/>
      <c r="H2376" s="254"/>
      <c r="I2376" s="1179">
        <f t="shared" ref="I2376:T2376" si="2045">SUMIF($V$719:$V$722,$B2145&amp;"contratada",I$719:I$722)</f>
        <v>0</v>
      </c>
      <c r="J2376" s="1283">
        <f t="shared" si="2045"/>
        <v>0</v>
      </c>
      <c r="K2376" s="1283">
        <f t="shared" si="2045"/>
        <v>0</v>
      </c>
      <c r="L2376" s="1283">
        <f t="shared" si="2045"/>
        <v>0</v>
      </c>
      <c r="M2376" s="1283">
        <f t="shared" si="2045"/>
        <v>0</v>
      </c>
      <c r="N2376" s="1283">
        <f t="shared" si="2045"/>
        <v>0</v>
      </c>
      <c r="O2376" s="1283">
        <f t="shared" si="2045"/>
        <v>0</v>
      </c>
      <c r="P2376" s="1283">
        <f t="shared" si="2045"/>
        <v>0</v>
      </c>
      <c r="Q2376" s="1283">
        <f t="shared" si="2045"/>
        <v>0</v>
      </c>
      <c r="R2376" s="1283">
        <f t="shared" si="2045"/>
        <v>0</v>
      </c>
      <c r="S2376" s="1283">
        <f t="shared" si="2045"/>
        <v>0</v>
      </c>
      <c r="T2376" s="1601">
        <f t="shared" si="2045"/>
        <v>0</v>
      </c>
    </row>
    <row r="2377" spans="2:31" ht="13.75" hidden="1" customHeight="1" x14ac:dyDescent="0.2">
      <c r="B2377" s="1665"/>
      <c r="C2377" s="193"/>
      <c r="D2377" s="193"/>
      <c r="E2377" s="193"/>
      <c r="F2377" s="193"/>
      <c r="G2377" s="193"/>
      <c r="H2377" s="254"/>
      <c r="I2377" s="1179">
        <f t="shared" ref="I2377:T2377" si="2046">SUMIF($V$719:$V$722,$B2146&amp;"contratada",I$719:I$722)</f>
        <v>0</v>
      </c>
      <c r="J2377" s="1283">
        <f t="shared" si="2046"/>
        <v>0</v>
      </c>
      <c r="K2377" s="1283">
        <f t="shared" si="2046"/>
        <v>0</v>
      </c>
      <c r="L2377" s="1283">
        <f t="shared" si="2046"/>
        <v>0</v>
      </c>
      <c r="M2377" s="1283">
        <f t="shared" si="2046"/>
        <v>0</v>
      </c>
      <c r="N2377" s="1283">
        <f t="shared" si="2046"/>
        <v>0</v>
      </c>
      <c r="O2377" s="1283">
        <f t="shared" si="2046"/>
        <v>0</v>
      </c>
      <c r="P2377" s="1283">
        <f t="shared" si="2046"/>
        <v>0</v>
      </c>
      <c r="Q2377" s="1283">
        <f t="shared" si="2046"/>
        <v>0</v>
      </c>
      <c r="R2377" s="1283">
        <f t="shared" si="2046"/>
        <v>0</v>
      </c>
      <c r="S2377" s="1283">
        <f t="shared" si="2046"/>
        <v>0</v>
      </c>
      <c r="T2377" s="1601">
        <f t="shared" si="2046"/>
        <v>0</v>
      </c>
    </row>
    <row r="2378" spans="2:31" ht="13.75" hidden="1" customHeight="1" x14ac:dyDescent="0.2">
      <c r="B2378" s="1665"/>
      <c r="C2378" s="193"/>
      <c r="D2378" s="193"/>
      <c r="E2378" s="193"/>
      <c r="F2378" s="193"/>
      <c r="G2378" s="193"/>
      <c r="H2378" s="254"/>
      <c r="I2378" s="1179">
        <f t="shared" ref="I2378:T2378" si="2047">SUMIF($V$719:$V$722,$B2147&amp;"contratada",I$719:I$722)</f>
        <v>0</v>
      </c>
      <c r="J2378" s="1283">
        <f t="shared" si="2047"/>
        <v>0</v>
      </c>
      <c r="K2378" s="1283">
        <f t="shared" si="2047"/>
        <v>0</v>
      </c>
      <c r="L2378" s="1283">
        <f t="shared" si="2047"/>
        <v>0</v>
      </c>
      <c r="M2378" s="1283">
        <f t="shared" si="2047"/>
        <v>0</v>
      </c>
      <c r="N2378" s="1283">
        <f t="shared" si="2047"/>
        <v>0</v>
      </c>
      <c r="O2378" s="1283">
        <f t="shared" si="2047"/>
        <v>0</v>
      </c>
      <c r="P2378" s="1283">
        <f t="shared" si="2047"/>
        <v>0</v>
      </c>
      <c r="Q2378" s="1283">
        <f t="shared" si="2047"/>
        <v>0</v>
      </c>
      <c r="R2378" s="1283">
        <f t="shared" si="2047"/>
        <v>0</v>
      </c>
      <c r="S2378" s="1283">
        <f t="shared" si="2047"/>
        <v>0</v>
      </c>
      <c r="T2378" s="1601">
        <f t="shared" si="2047"/>
        <v>0</v>
      </c>
    </row>
    <row r="2379" spans="2:31" ht="13.75" hidden="1" customHeight="1" x14ac:dyDescent="0.2">
      <c r="B2379" s="1665"/>
      <c r="C2379" s="193"/>
      <c r="D2379" s="193"/>
      <c r="E2379" s="193"/>
      <c r="F2379" s="193"/>
      <c r="G2379" s="193"/>
      <c r="H2379" s="254"/>
      <c r="I2379" s="1179">
        <f t="shared" ref="I2379:T2379" si="2048">SUMIF($V$719:$V$722,$B2148&amp;"contratada",I$719:I$722)</f>
        <v>0</v>
      </c>
      <c r="J2379" s="1283">
        <f t="shared" si="2048"/>
        <v>0</v>
      </c>
      <c r="K2379" s="1283">
        <f t="shared" si="2048"/>
        <v>0</v>
      </c>
      <c r="L2379" s="1283">
        <f t="shared" si="2048"/>
        <v>0</v>
      </c>
      <c r="M2379" s="1283">
        <f t="shared" si="2048"/>
        <v>0</v>
      </c>
      <c r="N2379" s="1283">
        <f t="shared" si="2048"/>
        <v>0</v>
      </c>
      <c r="O2379" s="1283">
        <f t="shared" si="2048"/>
        <v>0</v>
      </c>
      <c r="P2379" s="1283">
        <f t="shared" si="2048"/>
        <v>0</v>
      </c>
      <c r="Q2379" s="1283">
        <f t="shared" si="2048"/>
        <v>0</v>
      </c>
      <c r="R2379" s="1283">
        <f t="shared" si="2048"/>
        <v>0</v>
      </c>
      <c r="S2379" s="1283">
        <f t="shared" si="2048"/>
        <v>0</v>
      </c>
      <c r="T2379" s="1601">
        <f t="shared" si="2048"/>
        <v>0</v>
      </c>
    </row>
    <row r="2380" spans="2:31" ht="14.4" hidden="1" customHeight="1" thickBot="1" x14ac:dyDescent="0.25">
      <c r="B2380" s="1665"/>
      <c r="C2380" s="193"/>
      <c r="D2380" s="193"/>
      <c r="E2380" s="193"/>
      <c r="F2380" s="193"/>
      <c r="G2380" s="193"/>
      <c r="H2380" s="254"/>
      <c r="I2380" s="377">
        <f t="shared" ref="I2380:T2380" si="2049">SUMIF($V$719:$V$722,$B2149&amp;"contratada",I$719:I$722)</f>
        <v>0</v>
      </c>
      <c r="J2380" s="1200">
        <f t="shared" si="2049"/>
        <v>0</v>
      </c>
      <c r="K2380" s="1200">
        <f t="shared" si="2049"/>
        <v>0</v>
      </c>
      <c r="L2380" s="1200">
        <f t="shared" si="2049"/>
        <v>0</v>
      </c>
      <c r="M2380" s="1200">
        <f t="shared" si="2049"/>
        <v>0</v>
      </c>
      <c r="N2380" s="1200">
        <f t="shared" si="2049"/>
        <v>0</v>
      </c>
      <c r="O2380" s="1200">
        <f t="shared" si="2049"/>
        <v>0</v>
      </c>
      <c r="P2380" s="1200">
        <f t="shared" si="2049"/>
        <v>0</v>
      </c>
      <c r="Q2380" s="1200">
        <f t="shared" si="2049"/>
        <v>0</v>
      </c>
      <c r="R2380" s="1200">
        <f t="shared" si="2049"/>
        <v>0</v>
      </c>
      <c r="S2380" s="1200">
        <f t="shared" si="2049"/>
        <v>0</v>
      </c>
      <c r="T2380" s="1718">
        <f t="shared" si="2049"/>
        <v>0</v>
      </c>
    </row>
    <row r="2381" spans="2:31" ht="13.75" hidden="1" customHeight="1" x14ac:dyDescent="0.2">
      <c r="B2381" s="1732" t="s">
        <v>705</v>
      </c>
      <c r="C2381" s="1733"/>
      <c r="D2381" s="1733"/>
      <c r="E2381" s="1733"/>
      <c r="F2381" s="1733"/>
      <c r="G2381" s="1734"/>
      <c r="H2381" s="1532"/>
      <c r="I2381" s="1735">
        <f>+SUMPRODUCT(I2367:I2380,$C$2136:$C$2149)</f>
        <v>0</v>
      </c>
      <c r="J2381" s="1736">
        <f t="shared" ref="J2381:T2381" si="2050">+SUMPRODUCT(J2367:J2380,$C$2136:$C$2149)</f>
        <v>0</v>
      </c>
      <c r="K2381" s="1736">
        <f t="shared" si="2050"/>
        <v>0</v>
      </c>
      <c r="L2381" s="1736">
        <f t="shared" si="2050"/>
        <v>0</v>
      </c>
      <c r="M2381" s="1736">
        <f t="shared" si="2050"/>
        <v>0</v>
      </c>
      <c r="N2381" s="1736">
        <f t="shared" si="2050"/>
        <v>0</v>
      </c>
      <c r="O2381" s="1736">
        <f t="shared" si="2050"/>
        <v>0</v>
      </c>
      <c r="P2381" s="1736">
        <f t="shared" si="2050"/>
        <v>0</v>
      </c>
      <c r="Q2381" s="1736">
        <f t="shared" si="2050"/>
        <v>0</v>
      </c>
      <c r="R2381" s="1736">
        <f t="shared" si="2050"/>
        <v>0</v>
      </c>
      <c r="S2381" s="1736">
        <f t="shared" si="2050"/>
        <v>0</v>
      </c>
      <c r="T2381" s="1737">
        <f t="shared" si="2050"/>
        <v>0</v>
      </c>
      <c r="Y2381" s="359"/>
      <c r="AE2381" s="232"/>
    </row>
    <row r="2382" spans="2:31" ht="13.75" hidden="1" customHeight="1" x14ac:dyDescent="0.2">
      <c r="B2382" s="1728"/>
      <c r="C2382" s="970"/>
      <c r="D2382" s="970"/>
      <c r="E2382" s="970"/>
      <c r="F2382" s="970"/>
      <c r="G2382" s="982" t="s">
        <v>698</v>
      </c>
      <c r="I2382" s="1725">
        <f t="shared" ref="I2382:T2382" si="2051">IFERROR(I2381*I2365/I2364,0)</f>
        <v>0</v>
      </c>
      <c r="J2382" s="1726">
        <f t="shared" si="2051"/>
        <v>0</v>
      </c>
      <c r="K2382" s="1726">
        <f t="shared" si="2051"/>
        <v>0</v>
      </c>
      <c r="L2382" s="1726">
        <f t="shared" si="2051"/>
        <v>0</v>
      </c>
      <c r="M2382" s="1726">
        <f t="shared" si="2051"/>
        <v>0</v>
      </c>
      <c r="N2382" s="1726">
        <f t="shared" si="2051"/>
        <v>0</v>
      </c>
      <c r="O2382" s="1726">
        <f t="shared" si="2051"/>
        <v>0</v>
      </c>
      <c r="P2382" s="1726">
        <f t="shared" si="2051"/>
        <v>0</v>
      </c>
      <c r="Q2382" s="1726">
        <f t="shared" si="2051"/>
        <v>0</v>
      </c>
      <c r="R2382" s="1726">
        <f t="shared" si="2051"/>
        <v>0</v>
      </c>
      <c r="S2382" s="1726">
        <f t="shared" si="2051"/>
        <v>0</v>
      </c>
      <c r="T2382" s="1727">
        <f t="shared" si="2051"/>
        <v>0</v>
      </c>
      <c r="Y2382" s="359"/>
      <c r="AE2382" s="232"/>
    </row>
    <row r="2383" spans="2:31" ht="14.4" hidden="1" customHeight="1" thickBot="1" x14ac:dyDescent="0.25">
      <c r="B2383" s="1728"/>
      <c r="C2383" s="970"/>
      <c r="D2383" s="970"/>
      <c r="E2383" s="970"/>
      <c r="F2383" s="970"/>
      <c r="G2383" s="982" t="s">
        <v>699</v>
      </c>
      <c r="I2383" s="1729">
        <f t="shared" ref="I2383:T2383" si="2052">+I2381-I2382</f>
        <v>0</v>
      </c>
      <c r="J2383" s="1730">
        <f t="shared" si="2052"/>
        <v>0</v>
      </c>
      <c r="K2383" s="1730">
        <f t="shared" si="2052"/>
        <v>0</v>
      </c>
      <c r="L2383" s="1730">
        <f t="shared" si="2052"/>
        <v>0</v>
      </c>
      <c r="M2383" s="1730">
        <f t="shared" si="2052"/>
        <v>0</v>
      </c>
      <c r="N2383" s="1730">
        <f t="shared" si="2052"/>
        <v>0</v>
      </c>
      <c r="O2383" s="1730">
        <f t="shared" si="2052"/>
        <v>0</v>
      </c>
      <c r="P2383" s="1730">
        <f t="shared" si="2052"/>
        <v>0</v>
      </c>
      <c r="Q2383" s="1730">
        <f t="shared" si="2052"/>
        <v>0</v>
      </c>
      <c r="R2383" s="1730">
        <f t="shared" si="2052"/>
        <v>0</v>
      </c>
      <c r="S2383" s="1730">
        <f t="shared" si="2052"/>
        <v>0</v>
      </c>
      <c r="T2383" s="1731">
        <f t="shared" si="2052"/>
        <v>0</v>
      </c>
      <c r="Y2383" s="359"/>
      <c r="AE2383" s="232"/>
    </row>
    <row r="2384" spans="2:31" ht="14.4" hidden="1" customHeight="1" thickTop="1" x14ac:dyDescent="0.2">
      <c r="B2384" s="1724" t="s">
        <v>812</v>
      </c>
      <c r="C2384" s="1194"/>
      <c r="D2384" s="1194"/>
      <c r="E2384" s="1194"/>
      <c r="F2384" s="1210"/>
      <c r="G2384" s="1641" t="s">
        <v>813</v>
      </c>
      <c r="H2384" s="1210"/>
      <c r="I2384" s="1667">
        <f>+SUM(I720:I722,$F$720:$F$722)</f>
        <v>0</v>
      </c>
      <c r="J2384" s="1668">
        <f t="shared" ref="J2384:T2384" si="2053">+SUM(J720:J722,$F$720:$F$722)</f>
        <v>0</v>
      </c>
      <c r="K2384" s="1668">
        <f t="shared" si="2053"/>
        <v>0</v>
      </c>
      <c r="L2384" s="1668">
        <f t="shared" si="2053"/>
        <v>0</v>
      </c>
      <c r="M2384" s="1668">
        <f t="shared" si="2053"/>
        <v>0</v>
      </c>
      <c r="N2384" s="1668">
        <f t="shared" si="2053"/>
        <v>0</v>
      </c>
      <c r="O2384" s="1668">
        <f t="shared" si="2053"/>
        <v>0</v>
      </c>
      <c r="P2384" s="1668">
        <f t="shared" si="2053"/>
        <v>0</v>
      </c>
      <c r="Q2384" s="1668">
        <f t="shared" si="2053"/>
        <v>0</v>
      </c>
      <c r="R2384" s="1668">
        <f t="shared" si="2053"/>
        <v>0</v>
      </c>
      <c r="S2384" s="1668">
        <f t="shared" si="2053"/>
        <v>0</v>
      </c>
      <c r="T2384" s="1704">
        <f t="shared" si="2053"/>
        <v>0</v>
      </c>
    </row>
    <row r="2385" spans="1:20" ht="13.75" hidden="1" customHeight="1" x14ac:dyDescent="0.2">
      <c r="B2385" s="1594"/>
      <c r="C2385" s="193"/>
      <c r="D2385" s="193"/>
      <c r="E2385" s="193"/>
      <c r="F2385" s="193"/>
      <c r="G2385" s="254" t="s">
        <v>698</v>
      </c>
      <c r="H2385" s="254"/>
      <c r="I2385" s="1179">
        <f>IFERROR(I2384*(I2365/I2364),0)</f>
        <v>0</v>
      </c>
      <c r="J2385" s="1283">
        <f t="shared" ref="J2385:T2385" si="2054">IFERROR(J2384*(J2365/J2364),0)</f>
        <v>0</v>
      </c>
      <c r="K2385" s="1283">
        <f t="shared" si="2054"/>
        <v>0</v>
      </c>
      <c r="L2385" s="1283">
        <f t="shared" si="2054"/>
        <v>0</v>
      </c>
      <c r="M2385" s="1283">
        <f t="shared" si="2054"/>
        <v>0</v>
      </c>
      <c r="N2385" s="1283">
        <f t="shared" si="2054"/>
        <v>0</v>
      </c>
      <c r="O2385" s="1283">
        <f t="shared" si="2054"/>
        <v>0</v>
      </c>
      <c r="P2385" s="1283">
        <f t="shared" si="2054"/>
        <v>0</v>
      </c>
      <c r="Q2385" s="1283">
        <f t="shared" si="2054"/>
        <v>0</v>
      </c>
      <c r="R2385" s="1283">
        <f t="shared" si="2054"/>
        <v>0</v>
      </c>
      <c r="S2385" s="1283">
        <f t="shared" si="2054"/>
        <v>0</v>
      </c>
      <c r="T2385" s="1601">
        <f t="shared" si="2054"/>
        <v>0</v>
      </c>
    </row>
    <row r="2386" spans="1:20" ht="14.4" hidden="1" customHeight="1" thickBot="1" x14ac:dyDescent="0.25">
      <c r="B2386" s="1596"/>
      <c r="C2386" s="1199"/>
      <c r="D2386" s="1199"/>
      <c r="E2386" s="1199"/>
      <c r="F2386" s="1199"/>
      <c r="G2386" s="1209" t="s">
        <v>699</v>
      </c>
      <c r="H2386" s="1209"/>
      <c r="I2386" s="1654">
        <f>IFERROR(I2385*(I2366/I2364),0)</f>
        <v>0</v>
      </c>
      <c r="J2386" s="1590">
        <f t="shared" ref="J2386:T2386" si="2055">IFERROR(J2385*(J2366/J2364),0)</f>
        <v>0</v>
      </c>
      <c r="K2386" s="1590">
        <f t="shared" si="2055"/>
        <v>0</v>
      </c>
      <c r="L2386" s="1590">
        <f t="shared" si="2055"/>
        <v>0</v>
      </c>
      <c r="M2386" s="1590">
        <f t="shared" si="2055"/>
        <v>0</v>
      </c>
      <c r="N2386" s="1590">
        <f t="shared" si="2055"/>
        <v>0</v>
      </c>
      <c r="O2386" s="1590">
        <f t="shared" si="2055"/>
        <v>0</v>
      </c>
      <c r="P2386" s="1590">
        <f t="shared" si="2055"/>
        <v>0</v>
      </c>
      <c r="Q2386" s="1590">
        <f t="shared" si="2055"/>
        <v>0</v>
      </c>
      <c r="R2386" s="1590">
        <f t="shared" si="2055"/>
        <v>0</v>
      </c>
      <c r="S2386" s="1590">
        <f t="shared" si="2055"/>
        <v>0</v>
      </c>
      <c r="T2386" s="1655">
        <f t="shared" si="2055"/>
        <v>0</v>
      </c>
    </row>
    <row r="2387" spans="1:20" ht="14.4" hidden="1" customHeight="1" thickTop="1" thickBot="1" x14ac:dyDescent="0.25">
      <c r="B2387" s="381"/>
      <c r="C2387" s="193"/>
      <c r="D2387" s="193"/>
      <c r="E2387" s="193"/>
      <c r="F2387" s="193"/>
      <c r="G2387" s="254"/>
      <c r="H2387" s="254"/>
      <c r="I2387" s="193"/>
      <c r="J2387" s="193"/>
      <c r="K2387" s="193"/>
      <c r="L2387" s="193"/>
      <c r="M2387" s="193"/>
      <c r="N2387" s="193"/>
      <c r="O2387" s="193"/>
      <c r="P2387" s="193"/>
      <c r="Q2387" s="193"/>
      <c r="R2387" s="193"/>
      <c r="S2387" s="193"/>
      <c r="T2387" s="193"/>
    </row>
    <row r="2388" spans="1:20" ht="14.4" hidden="1" customHeight="1" thickTop="1" x14ac:dyDescent="0.2">
      <c r="B2388" s="1724" t="s">
        <v>2181</v>
      </c>
      <c r="C2388" s="1194"/>
      <c r="D2388" s="1194"/>
      <c r="E2388" s="1194"/>
      <c r="F2388" s="1194"/>
      <c r="G2388" s="1210"/>
      <c r="H2388" s="1210"/>
      <c r="I2388" s="1194"/>
      <c r="J2388" s="1194"/>
      <c r="K2388" s="1194"/>
      <c r="L2388" s="1194"/>
      <c r="M2388" s="1194"/>
      <c r="N2388" s="1194"/>
      <c r="O2388" s="1194"/>
      <c r="P2388" s="1194"/>
      <c r="Q2388" s="1194"/>
      <c r="R2388" s="1194"/>
      <c r="S2388" s="1194"/>
      <c r="T2388" s="1599"/>
    </row>
    <row r="2389" spans="1:20" ht="14.4" hidden="1" customHeight="1" thickBot="1" x14ac:dyDescent="0.25">
      <c r="B2389" s="1596" t="s">
        <v>368</v>
      </c>
      <c r="C2389" s="1199"/>
      <c r="D2389" s="1199"/>
      <c r="E2389" s="1199"/>
      <c r="F2389" s="1199"/>
      <c r="G2389" s="1209"/>
      <c r="H2389" s="1209"/>
      <c r="I2389" s="1199">
        <f>SUM(I1301:I1303)</f>
        <v>0</v>
      </c>
      <c r="J2389" s="1199">
        <f t="shared" ref="J2389:T2389" si="2056">SUM(J1301:J1303)</f>
        <v>0</v>
      </c>
      <c r="K2389" s="1199">
        <f t="shared" si="2056"/>
        <v>0</v>
      </c>
      <c r="L2389" s="1199">
        <f t="shared" si="2056"/>
        <v>0</v>
      </c>
      <c r="M2389" s="1199">
        <f t="shared" si="2056"/>
        <v>0</v>
      </c>
      <c r="N2389" s="1199">
        <f t="shared" si="2056"/>
        <v>0</v>
      </c>
      <c r="O2389" s="1199">
        <f t="shared" si="2056"/>
        <v>0</v>
      </c>
      <c r="P2389" s="1199">
        <f t="shared" si="2056"/>
        <v>0</v>
      </c>
      <c r="Q2389" s="1199">
        <f t="shared" si="2056"/>
        <v>0</v>
      </c>
      <c r="R2389" s="1199">
        <f t="shared" si="2056"/>
        <v>0</v>
      </c>
      <c r="S2389" s="1199">
        <f t="shared" si="2056"/>
        <v>0</v>
      </c>
      <c r="T2389" s="1602">
        <f t="shared" si="2056"/>
        <v>0</v>
      </c>
    </row>
    <row r="2390" spans="1:20" ht="14.4" hidden="1" customHeight="1" thickTop="1" x14ac:dyDescent="0.2">
      <c r="B2390" s="1584"/>
      <c r="C2390" s="1194"/>
      <c r="D2390" s="1194"/>
      <c r="E2390" s="1194"/>
      <c r="F2390" s="1194"/>
      <c r="G2390" s="1210"/>
      <c r="H2390" s="1210" t="s">
        <v>695</v>
      </c>
      <c r="I2390" s="2234">
        <f>+Alimentos!G697</f>
        <v>0</v>
      </c>
      <c r="J2390" s="2234">
        <f>+Alimentos!H697</f>
        <v>0</v>
      </c>
      <c r="K2390" s="2234">
        <f>+Alimentos!I697</f>
        <v>0</v>
      </c>
      <c r="L2390" s="2234">
        <f>+Alimentos!J697</f>
        <v>0</v>
      </c>
      <c r="M2390" s="2234">
        <f>+Alimentos!K697</f>
        <v>0</v>
      </c>
      <c r="N2390" s="2234">
        <f>+Alimentos!L697</f>
        <v>0</v>
      </c>
      <c r="O2390" s="2234">
        <f>+Alimentos!M697</f>
        <v>0</v>
      </c>
      <c r="P2390" s="2234">
        <f>+Alimentos!N697</f>
        <v>0</v>
      </c>
      <c r="Q2390" s="2234">
        <f>+Alimentos!O697</f>
        <v>0</v>
      </c>
      <c r="R2390" s="2234">
        <f>+Alimentos!P697</f>
        <v>0</v>
      </c>
      <c r="S2390" s="2234">
        <f>+Alimentos!Q697</f>
        <v>0</v>
      </c>
      <c r="T2390" s="2235">
        <f>+Alimentos!R697</f>
        <v>0</v>
      </c>
    </row>
    <row r="2391" spans="1:20" ht="14.4" hidden="1" customHeight="1" thickBot="1" x14ac:dyDescent="0.25">
      <c r="B2391" s="1596"/>
      <c r="C2391" s="1199"/>
      <c r="D2391" s="1199"/>
      <c r="E2391" s="1199"/>
      <c r="F2391" s="1199"/>
      <c r="G2391" s="1209"/>
      <c r="H2391" s="1209" t="s">
        <v>696</v>
      </c>
      <c r="I2391" s="2236">
        <f>+Alimentos!G698</f>
        <v>0</v>
      </c>
      <c r="J2391" s="2236">
        <f>+Alimentos!H698</f>
        <v>0</v>
      </c>
      <c r="K2391" s="2236">
        <f>+Alimentos!I698</f>
        <v>0</v>
      </c>
      <c r="L2391" s="2236">
        <f>+Alimentos!J698</f>
        <v>0</v>
      </c>
      <c r="M2391" s="2236">
        <f>+Alimentos!K698</f>
        <v>0</v>
      </c>
      <c r="N2391" s="2236">
        <f>+Alimentos!L698</f>
        <v>0</v>
      </c>
      <c r="O2391" s="2236">
        <f>+Alimentos!M698</f>
        <v>0</v>
      </c>
      <c r="P2391" s="2236">
        <f>+Alimentos!N698</f>
        <v>0</v>
      </c>
      <c r="Q2391" s="2236">
        <f>+Alimentos!O698</f>
        <v>0</v>
      </c>
      <c r="R2391" s="2236">
        <f>+Alimentos!P698</f>
        <v>0</v>
      </c>
      <c r="S2391" s="2236">
        <f>+Alimentos!Q698</f>
        <v>0</v>
      </c>
      <c r="T2391" s="2237">
        <f>+Alimentos!R698</f>
        <v>0</v>
      </c>
    </row>
    <row r="2392" spans="1:20" ht="14.4" hidden="1" customHeight="1" thickTop="1" x14ac:dyDescent="0.2">
      <c r="B2392" s="1584" t="s">
        <v>2182</v>
      </c>
      <c r="C2392" s="1194"/>
      <c r="D2392" s="1194"/>
      <c r="E2392" s="1194"/>
      <c r="F2392" s="1194"/>
      <c r="G2392" s="1210"/>
      <c r="H2392" s="1210"/>
      <c r="I2392" s="2238">
        <f>+I2389*I2390</f>
        <v>0</v>
      </c>
      <c r="J2392" s="2238">
        <f t="shared" ref="J2392:T2392" si="2057">+J2389*J2390</f>
        <v>0</v>
      </c>
      <c r="K2392" s="2238">
        <f t="shared" si="2057"/>
        <v>0</v>
      </c>
      <c r="L2392" s="2238">
        <f t="shared" si="2057"/>
        <v>0</v>
      </c>
      <c r="M2392" s="2238">
        <f t="shared" si="2057"/>
        <v>0</v>
      </c>
      <c r="N2392" s="2238">
        <f t="shared" si="2057"/>
        <v>0</v>
      </c>
      <c r="O2392" s="2238">
        <f t="shared" si="2057"/>
        <v>0</v>
      </c>
      <c r="P2392" s="2238">
        <f t="shared" si="2057"/>
        <v>0</v>
      </c>
      <c r="Q2392" s="2238">
        <f t="shared" si="2057"/>
        <v>0</v>
      </c>
      <c r="R2392" s="2238">
        <f t="shared" si="2057"/>
        <v>0</v>
      </c>
      <c r="S2392" s="2238">
        <f t="shared" si="2057"/>
        <v>0</v>
      </c>
      <c r="T2392" s="2239">
        <f t="shared" si="2057"/>
        <v>0</v>
      </c>
    </row>
    <row r="2393" spans="1:20" ht="14.4" hidden="1" customHeight="1" thickBot="1" x14ac:dyDescent="0.25">
      <c r="B2393" s="1596" t="s">
        <v>2183</v>
      </c>
      <c r="C2393" s="1199"/>
      <c r="D2393" s="1199"/>
      <c r="E2393" s="1199"/>
      <c r="F2393" s="1199"/>
      <c r="G2393" s="1209"/>
      <c r="H2393" s="1209"/>
      <c r="I2393" s="2240">
        <f>+I2389*I2391</f>
        <v>0</v>
      </c>
      <c r="J2393" s="2240">
        <f t="shared" ref="J2393:T2393" si="2058">+J2389*J2391</f>
        <v>0</v>
      </c>
      <c r="K2393" s="2240">
        <f t="shared" si="2058"/>
        <v>0</v>
      </c>
      <c r="L2393" s="2240">
        <f t="shared" si="2058"/>
        <v>0</v>
      </c>
      <c r="M2393" s="2240">
        <f t="shared" si="2058"/>
        <v>0</v>
      </c>
      <c r="N2393" s="2240">
        <f t="shared" si="2058"/>
        <v>0</v>
      </c>
      <c r="O2393" s="2240">
        <f t="shared" si="2058"/>
        <v>0</v>
      </c>
      <c r="P2393" s="2240">
        <f t="shared" si="2058"/>
        <v>0</v>
      </c>
      <c r="Q2393" s="2240">
        <f t="shared" si="2058"/>
        <v>0</v>
      </c>
      <c r="R2393" s="2240">
        <f t="shared" si="2058"/>
        <v>0</v>
      </c>
      <c r="S2393" s="2240">
        <f t="shared" si="2058"/>
        <v>0</v>
      </c>
      <c r="T2393" s="2241">
        <f t="shared" si="2058"/>
        <v>0</v>
      </c>
    </row>
    <row r="2394" spans="1:20" ht="14.4" hidden="1" customHeight="1" thickTop="1" x14ac:dyDescent="0.2">
      <c r="B2394" s="381"/>
      <c r="C2394" s="193"/>
      <c r="D2394" s="193"/>
      <c r="E2394" s="193"/>
      <c r="F2394" s="193"/>
      <c r="G2394" s="254"/>
      <c r="H2394" s="254"/>
      <c r="I2394" s="1975"/>
      <c r="J2394" s="1975"/>
      <c r="K2394" s="1975"/>
      <c r="L2394" s="1975"/>
      <c r="M2394" s="1975"/>
      <c r="N2394" s="1975"/>
      <c r="O2394" s="1975"/>
      <c r="P2394" s="1975"/>
      <c r="Q2394" s="1975"/>
      <c r="R2394" s="1975"/>
      <c r="S2394" s="1975"/>
      <c r="T2394" s="1975"/>
    </row>
    <row r="2395" spans="1:20" ht="14.4" hidden="1" customHeight="1" x14ac:dyDescent="0.2">
      <c r="B2395" s="381"/>
      <c r="C2395" s="193"/>
      <c r="D2395" s="193"/>
      <c r="E2395" s="193"/>
      <c r="F2395" s="193"/>
      <c r="G2395" s="254"/>
      <c r="H2395" s="254"/>
      <c r="I2395" s="1975"/>
      <c r="J2395" s="1975"/>
      <c r="K2395" s="1975"/>
      <c r="L2395" s="1975"/>
      <c r="M2395" s="1975"/>
      <c r="N2395" s="1975"/>
      <c r="O2395" s="1975"/>
      <c r="P2395" s="1975"/>
      <c r="Q2395" s="1975"/>
      <c r="R2395" s="1975"/>
      <c r="S2395" s="1975"/>
      <c r="T2395" s="1975"/>
    </row>
    <row r="2396" spans="1:20" ht="14.4" hidden="1" customHeight="1" x14ac:dyDescent="0.2">
      <c r="B2396" s="381"/>
      <c r="C2396" s="193"/>
      <c r="D2396" s="193"/>
      <c r="E2396" s="193"/>
      <c r="F2396" s="193"/>
      <c r="G2396" s="254"/>
      <c r="H2396" s="254"/>
      <c r="I2396" s="193"/>
      <c r="J2396" s="193"/>
      <c r="K2396" s="193"/>
      <c r="L2396" s="193"/>
      <c r="M2396" s="193"/>
      <c r="N2396" s="193"/>
      <c r="O2396" s="193"/>
      <c r="P2396" s="193"/>
      <c r="Q2396" s="193"/>
      <c r="R2396" s="193"/>
      <c r="S2396" s="193"/>
      <c r="T2396" s="193"/>
    </row>
    <row r="2397" spans="1:20" ht="15.05" hidden="1" customHeight="1" thickBot="1" x14ac:dyDescent="0.25">
      <c r="A2397" s="2188">
        <v>1111</v>
      </c>
      <c r="B2397" s="1574" t="s">
        <v>2028</v>
      </c>
      <c r="C2397" s="1574"/>
      <c r="D2397" s="1574"/>
      <c r="E2397" s="1574"/>
      <c r="F2397" s="1574"/>
      <c r="G2397" s="1576"/>
      <c r="H2397" s="1576"/>
      <c r="I2397" s="1574"/>
      <c r="J2397" s="1574"/>
      <c r="K2397" s="1574"/>
      <c r="L2397" s="1574"/>
      <c r="M2397" s="1574"/>
      <c r="N2397" s="1574"/>
      <c r="O2397" s="1574"/>
      <c r="P2397" s="1574"/>
      <c r="Q2397" s="1574"/>
      <c r="R2397" s="1574"/>
      <c r="S2397" s="1574"/>
      <c r="T2397" s="1574"/>
    </row>
    <row r="2398" spans="1:20" ht="14.4" hidden="1" customHeight="1" thickTop="1" x14ac:dyDescent="0.2">
      <c r="B2398" s="1740" t="s">
        <v>763</v>
      </c>
      <c r="C2398" s="1194"/>
      <c r="D2398" s="1194"/>
      <c r="E2398" s="1210"/>
      <c r="F2398" s="1210" t="s">
        <v>691</v>
      </c>
      <c r="G2398" s="1210"/>
      <c r="H2398" s="1210"/>
      <c r="I2398" s="1194">
        <f t="shared" ref="I2398:T2399" si="2059">+I2067+I2031+I1995+I1960+I1924+I1888+I1852+I1816+I1780+I1744+I1708+I1672+AF2067</f>
        <v>0</v>
      </c>
      <c r="J2398" s="1194">
        <f t="shared" si="2059"/>
        <v>0</v>
      </c>
      <c r="K2398" s="1194">
        <f t="shared" si="2059"/>
        <v>0</v>
      </c>
      <c r="L2398" s="1194">
        <f t="shared" si="2059"/>
        <v>0</v>
      </c>
      <c r="M2398" s="1194">
        <f t="shared" si="2059"/>
        <v>0</v>
      </c>
      <c r="N2398" s="1194">
        <f t="shared" si="2059"/>
        <v>0</v>
      </c>
      <c r="O2398" s="1194">
        <f t="shared" si="2059"/>
        <v>0</v>
      </c>
      <c r="P2398" s="1194">
        <f t="shared" si="2059"/>
        <v>0</v>
      </c>
      <c r="Q2398" s="1194">
        <f t="shared" si="2059"/>
        <v>0</v>
      </c>
      <c r="R2398" s="1194">
        <f t="shared" si="2059"/>
        <v>0</v>
      </c>
      <c r="S2398" s="1194">
        <f t="shared" si="2059"/>
        <v>0</v>
      </c>
      <c r="T2398" s="1599">
        <f t="shared" si="2059"/>
        <v>0</v>
      </c>
    </row>
    <row r="2399" spans="1:20" ht="13.75" hidden="1" customHeight="1" x14ac:dyDescent="0.2">
      <c r="B2399" s="1195"/>
      <c r="C2399" s="193"/>
      <c r="D2399" s="193"/>
      <c r="E2399" s="193"/>
      <c r="F2399" s="254" t="s">
        <v>720</v>
      </c>
      <c r="G2399" s="254"/>
      <c r="H2399" s="254"/>
      <c r="I2399" s="193">
        <f t="shared" si="2059"/>
        <v>0</v>
      </c>
      <c r="J2399" s="193">
        <f t="shared" si="2059"/>
        <v>0</v>
      </c>
      <c r="K2399" s="193">
        <f t="shared" si="2059"/>
        <v>0</v>
      </c>
      <c r="L2399" s="193">
        <f t="shared" si="2059"/>
        <v>0</v>
      </c>
      <c r="M2399" s="193">
        <f t="shared" si="2059"/>
        <v>0</v>
      </c>
      <c r="N2399" s="193">
        <f t="shared" si="2059"/>
        <v>0</v>
      </c>
      <c r="O2399" s="193">
        <f t="shared" si="2059"/>
        <v>0</v>
      </c>
      <c r="P2399" s="193">
        <f t="shared" si="2059"/>
        <v>0</v>
      </c>
      <c r="Q2399" s="193">
        <f t="shared" si="2059"/>
        <v>0</v>
      </c>
      <c r="R2399" s="193">
        <f t="shared" si="2059"/>
        <v>0</v>
      </c>
      <c r="S2399" s="193">
        <f t="shared" si="2059"/>
        <v>0</v>
      </c>
      <c r="T2399" s="1600">
        <f t="shared" si="2059"/>
        <v>0</v>
      </c>
    </row>
    <row r="2400" spans="1:20" ht="14.4" hidden="1" customHeight="1" thickBot="1" x14ac:dyDescent="0.25">
      <c r="B2400" s="1198"/>
      <c r="C2400" s="1199"/>
      <c r="D2400" s="1199"/>
      <c r="E2400" s="1199"/>
      <c r="F2400" s="1209"/>
      <c r="G2400" s="1209"/>
      <c r="H2400" s="1209"/>
      <c r="I2400" s="1199"/>
      <c r="J2400" s="1199"/>
      <c r="K2400" s="1199"/>
      <c r="L2400" s="1199"/>
      <c r="M2400" s="1199"/>
      <c r="N2400" s="1199"/>
      <c r="O2400" s="1199"/>
      <c r="P2400" s="1199"/>
      <c r="Q2400" s="1199"/>
      <c r="R2400" s="1199"/>
      <c r="S2400" s="1199"/>
      <c r="T2400" s="1602"/>
    </row>
    <row r="2401" spans="2:20" ht="14.4" hidden="1" customHeight="1" thickTop="1" x14ac:dyDescent="0.2">
      <c r="B2401" s="1740" t="s">
        <v>764</v>
      </c>
      <c r="C2401" s="1194"/>
      <c r="D2401" s="1194"/>
      <c r="E2401" s="1210"/>
      <c r="F2401" s="1210" t="s">
        <v>691</v>
      </c>
      <c r="G2401" s="1210"/>
      <c r="H2401" s="1210"/>
      <c r="I2401" s="1194">
        <f t="shared" ref="I2401:T2401" ca="1" si="2060">+SUMPRODUCT(I2071:I2084,$C$2071:$C$2084)</f>
        <v>0</v>
      </c>
      <c r="J2401" s="1194">
        <f t="shared" ca="1" si="2060"/>
        <v>0</v>
      </c>
      <c r="K2401" s="1194">
        <f t="shared" ca="1" si="2060"/>
        <v>0</v>
      </c>
      <c r="L2401" s="1194">
        <f t="shared" ca="1" si="2060"/>
        <v>0</v>
      </c>
      <c r="M2401" s="1194">
        <f t="shared" ca="1" si="2060"/>
        <v>0</v>
      </c>
      <c r="N2401" s="1194">
        <f t="shared" ca="1" si="2060"/>
        <v>0</v>
      </c>
      <c r="O2401" s="1194">
        <f t="shared" ca="1" si="2060"/>
        <v>0</v>
      </c>
      <c r="P2401" s="1194">
        <f t="shared" ca="1" si="2060"/>
        <v>0</v>
      </c>
      <c r="Q2401" s="1194">
        <f t="shared" ca="1" si="2060"/>
        <v>0</v>
      </c>
      <c r="R2401" s="1194">
        <f t="shared" ca="1" si="2060"/>
        <v>0</v>
      </c>
      <c r="S2401" s="1194">
        <f t="shared" ca="1" si="2060"/>
        <v>0</v>
      </c>
      <c r="T2401" s="1599">
        <f t="shared" ca="1" si="2060"/>
        <v>0</v>
      </c>
    </row>
    <row r="2402" spans="2:20" ht="13.75" hidden="1" customHeight="1" x14ac:dyDescent="0.2">
      <c r="B2402" s="1195"/>
      <c r="C2402" s="193"/>
      <c r="D2402" s="193"/>
      <c r="E2402" s="193"/>
      <c r="F2402" s="254" t="s">
        <v>718</v>
      </c>
      <c r="G2402" s="254"/>
      <c r="H2402" s="254"/>
      <c r="I2402" s="193">
        <f t="shared" ref="I2402:T2402" si="2061">+SUMPRODUCT(I2102:I2115,$C$2101:$C$2114)</f>
        <v>0</v>
      </c>
      <c r="J2402" s="193">
        <f t="shared" si="2061"/>
        <v>0</v>
      </c>
      <c r="K2402" s="193">
        <f t="shared" si="2061"/>
        <v>0</v>
      </c>
      <c r="L2402" s="193">
        <f t="shared" si="2061"/>
        <v>0</v>
      </c>
      <c r="M2402" s="193">
        <f t="shared" si="2061"/>
        <v>0</v>
      </c>
      <c r="N2402" s="193">
        <f t="shared" si="2061"/>
        <v>0</v>
      </c>
      <c r="O2402" s="193">
        <f t="shared" si="2061"/>
        <v>0</v>
      </c>
      <c r="P2402" s="193">
        <f t="shared" si="2061"/>
        <v>0</v>
      </c>
      <c r="Q2402" s="193">
        <f t="shared" si="2061"/>
        <v>0</v>
      </c>
      <c r="R2402" s="193">
        <f t="shared" si="2061"/>
        <v>0</v>
      </c>
      <c r="S2402" s="193">
        <f t="shared" si="2061"/>
        <v>0</v>
      </c>
      <c r="T2402" s="1600">
        <f t="shared" si="2061"/>
        <v>0</v>
      </c>
    </row>
    <row r="2403" spans="2:20" ht="14.4" hidden="1" customHeight="1" thickBot="1" x14ac:dyDescent="0.25">
      <c r="B2403" s="1198"/>
      <c r="C2403" s="1199"/>
      <c r="D2403" s="1199"/>
      <c r="E2403" s="1199"/>
      <c r="F2403" s="1209"/>
      <c r="G2403" s="1209"/>
      <c r="H2403" s="1209"/>
      <c r="I2403" s="1199"/>
      <c r="J2403" s="1199"/>
      <c r="K2403" s="1199"/>
      <c r="L2403" s="1199"/>
      <c r="M2403" s="1199"/>
      <c r="N2403" s="1199"/>
      <c r="O2403" s="1199"/>
      <c r="P2403" s="1199"/>
      <c r="Q2403" s="1199"/>
      <c r="R2403" s="1199"/>
      <c r="S2403" s="1199"/>
      <c r="T2403" s="1602"/>
    </row>
    <row r="2404" spans="2:20" ht="14.4" hidden="1" customHeight="1" thickTop="1" x14ac:dyDescent="0.2">
      <c r="B2404" s="1740" t="s">
        <v>794</v>
      </c>
      <c r="C2404" s="1194"/>
      <c r="D2404" s="1194"/>
      <c r="E2404" s="1210"/>
      <c r="F2404" s="1210" t="s">
        <v>691</v>
      </c>
      <c r="G2404" s="1210"/>
      <c r="H2404" s="1210"/>
      <c r="I2404" s="1194">
        <f t="shared" ref="I2404:T2404" si="2062">+I2382+I2359+I2336+I2313+I2290+I2267+I2244+I2221+I2198+I2175+I2151</f>
        <v>0</v>
      </c>
      <c r="J2404" s="1194">
        <f t="shared" si="2062"/>
        <v>0</v>
      </c>
      <c r="K2404" s="1194">
        <f t="shared" si="2062"/>
        <v>0</v>
      </c>
      <c r="L2404" s="1194">
        <f t="shared" si="2062"/>
        <v>0</v>
      </c>
      <c r="M2404" s="1194">
        <f t="shared" si="2062"/>
        <v>0</v>
      </c>
      <c r="N2404" s="1194">
        <f t="shared" si="2062"/>
        <v>0</v>
      </c>
      <c r="O2404" s="1194">
        <f t="shared" si="2062"/>
        <v>0</v>
      </c>
      <c r="P2404" s="1194">
        <f t="shared" si="2062"/>
        <v>0</v>
      </c>
      <c r="Q2404" s="1194">
        <f t="shared" si="2062"/>
        <v>0</v>
      </c>
      <c r="R2404" s="1194">
        <f t="shared" si="2062"/>
        <v>0</v>
      </c>
      <c r="S2404" s="1194">
        <f t="shared" si="2062"/>
        <v>0</v>
      </c>
      <c r="T2404" s="1599">
        <f t="shared" si="2062"/>
        <v>0</v>
      </c>
    </row>
    <row r="2405" spans="2:20" ht="13.75" hidden="1" customHeight="1" x14ac:dyDescent="0.2">
      <c r="B2405" s="1195"/>
      <c r="C2405" s="193"/>
      <c r="D2405" s="193"/>
      <c r="E2405" s="193"/>
      <c r="F2405" s="254" t="s">
        <v>718</v>
      </c>
      <c r="G2405" s="254"/>
      <c r="H2405" s="254"/>
      <c r="I2405" s="193">
        <f t="shared" ref="I2405:T2405" si="2063">+I2383+I2360+I2337+I2314+I2291+I2268+I2245+I2222+I2199+I2176+I2152</f>
        <v>0</v>
      </c>
      <c r="J2405" s="193">
        <f t="shared" si="2063"/>
        <v>0</v>
      </c>
      <c r="K2405" s="193">
        <f t="shared" si="2063"/>
        <v>0</v>
      </c>
      <c r="L2405" s="193">
        <f t="shared" si="2063"/>
        <v>0</v>
      </c>
      <c r="M2405" s="193">
        <f t="shared" si="2063"/>
        <v>0</v>
      </c>
      <c r="N2405" s="193">
        <f t="shared" si="2063"/>
        <v>0</v>
      </c>
      <c r="O2405" s="193">
        <f t="shared" si="2063"/>
        <v>0</v>
      </c>
      <c r="P2405" s="193">
        <f t="shared" si="2063"/>
        <v>0</v>
      </c>
      <c r="Q2405" s="193">
        <f t="shared" si="2063"/>
        <v>0</v>
      </c>
      <c r="R2405" s="193">
        <f t="shared" si="2063"/>
        <v>0</v>
      </c>
      <c r="S2405" s="193">
        <f t="shared" si="2063"/>
        <v>0</v>
      </c>
      <c r="T2405" s="1600">
        <f t="shared" si="2063"/>
        <v>0</v>
      </c>
    </row>
    <row r="2406" spans="2:20" ht="14.4" hidden="1" customHeight="1" thickBot="1" x14ac:dyDescent="0.25">
      <c r="B2406" s="1198"/>
      <c r="C2406" s="1199"/>
      <c r="D2406" s="1199"/>
      <c r="E2406" s="1199"/>
      <c r="F2406" s="1209"/>
      <c r="G2406" s="1209"/>
      <c r="H2406" s="1209"/>
      <c r="I2406" s="1199"/>
      <c r="J2406" s="1199"/>
      <c r="K2406" s="1199"/>
      <c r="L2406" s="1199"/>
      <c r="M2406" s="1199"/>
      <c r="N2406" s="1199"/>
      <c r="O2406" s="1199"/>
      <c r="P2406" s="1199"/>
      <c r="Q2406" s="1199"/>
      <c r="R2406" s="1199"/>
      <c r="S2406" s="1199"/>
      <c r="T2406" s="1602"/>
    </row>
    <row r="2407" spans="2:20" ht="14.4" hidden="1" customHeight="1" thickTop="1" x14ac:dyDescent="0.2">
      <c r="B2407" s="1195" t="s">
        <v>2184</v>
      </c>
      <c r="C2407" s="193"/>
      <c r="D2407" s="193"/>
      <c r="E2407" s="193"/>
      <c r="F2407" s="254" t="s">
        <v>691</v>
      </c>
      <c r="G2407" s="254"/>
      <c r="H2407" s="254"/>
      <c r="I2407" s="193">
        <f>+I2392</f>
        <v>0</v>
      </c>
      <c r="J2407" s="193">
        <f t="shared" ref="J2407:T2407" si="2064">+J2392</f>
        <v>0</v>
      </c>
      <c r="K2407" s="193">
        <f t="shared" si="2064"/>
        <v>0</v>
      </c>
      <c r="L2407" s="193">
        <f t="shared" si="2064"/>
        <v>0</v>
      </c>
      <c r="M2407" s="193">
        <f t="shared" si="2064"/>
        <v>0</v>
      </c>
      <c r="N2407" s="193">
        <f t="shared" si="2064"/>
        <v>0</v>
      </c>
      <c r="O2407" s="193">
        <f t="shared" si="2064"/>
        <v>0</v>
      </c>
      <c r="P2407" s="193">
        <f t="shared" si="2064"/>
        <v>0</v>
      </c>
      <c r="Q2407" s="193">
        <f t="shared" si="2064"/>
        <v>0</v>
      </c>
      <c r="R2407" s="193">
        <f t="shared" si="2064"/>
        <v>0</v>
      </c>
      <c r="S2407" s="193">
        <f t="shared" si="2064"/>
        <v>0</v>
      </c>
      <c r="T2407" s="1600">
        <f t="shared" si="2064"/>
        <v>0</v>
      </c>
    </row>
    <row r="2408" spans="2:20" ht="14.4" hidden="1" customHeight="1" x14ac:dyDescent="0.2">
      <c r="B2408" s="1195"/>
      <c r="C2408" s="193"/>
      <c r="D2408" s="193"/>
      <c r="E2408" s="193"/>
      <c r="F2408" s="254" t="s">
        <v>718</v>
      </c>
      <c r="G2408" s="254"/>
      <c r="H2408" s="254"/>
      <c r="I2408" s="193">
        <f>+I2393</f>
        <v>0</v>
      </c>
      <c r="J2408" s="193">
        <f t="shared" ref="J2408:T2408" si="2065">+J2393</f>
        <v>0</v>
      </c>
      <c r="K2408" s="193">
        <f t="shared" si="2065"/>
        <v>0</v>
      </c>
      <c r="L2408" s="193">
        <f t="shared" si="2065"/>
        <v>0</v>
      </c>
      <c r="M2408" s="193">
        <f t="shared" si="2065"/>
        <v>0</v>
      </c>
      <c r="N2408" s="193">
        <f t="shared" si="2065"/>
        <v>0</v>
      </c>
      <c r="O2408" s="193">
        <f t="shared" si="2065"/>
        <v>0</v>
      </c>
      <c r="P2408" s="193">
        <f t="shared" si="2065"/>
        <v>0</v>
      </c>
      <c r="Q2408" s="193">
        <f t="shared" si="2065"/>
        <v>0</v>
      </c>
      <c r="R2408" s="193">
        <f t="shared" si="2065"/>
        <v>0</v>
      </c>
      <c r="S2408" s="193">
        <f t="shared" si="2065"/>
        <v>0</v>
      </c>
      <c r="T2408" s="1600">
        <f t="shared" si="2065"/>
        <v>0</v>
      </c>
    </row>
    <row r="2409" spans="2:20" ht="14.4" hidden="1" customHeight="1" thickBot="1" x14ac:dyDescent="0.25">
      <c r="B2409" s="1195"/>
      <c r="C2409" s="193"/>
      <c r="D2409" s="193"/>
      <c r="E2409" s="193"/>
      <c r="F2409" s="254"/>
      <c r="G2409" s="254"/>
      <c r="H2409" s="254"/>
      <c r="I2409" s="193"/>
      <c r="J2409" s="193"/>
      <c r="K2409" s="193"/>
      <c r="L2409" s="193"/>
      <c r="M2409" s="193"/>
      <c r="N2409" s="193"/>
      <c r="O2409" s="193"/>
      <c r="P2409" s="193"/>
      <c r="Q2409" s="193"/>
      <c r="R2409" s="193"/>
      <c r="S2409" s="193"/>
      <c r="T2409" s="1600"/>
    </row>
    <row r="2410" spans="2:20" ht="14.4" hidden="1" customHeight="1" thickTop="1" x14ac:dyDescent="0.2">
      <c r="B2410" s="1740" t="s">
        <v>2029</v>
      </c>
      <c r="C2410" s="1194"/>
      <c r="D2410" s="1194"/>
      <c r="E2410" s="1210"/>
      <c r="F2410" s="1210" t="s">
        <v>691</v>
      </c>
      <c r="G2410" s="1210"/>
      <c r="H2410" s="1210"/>
      <c r="I2410" s="1194">
        <f ca="1">+I2398+I2401+I2404+I2407</f>
        <v>0</v>
      </c>
      <c r="J2410" s="1194">
        <f t="shared" ref="J2410:T2410" ca="1" si="2066">+J2398+J2401+J2404+J2407</f>
        <v>0</v>
      </c>
      <c r="K2410" s="1194">
        <f t="shared" ca="1" si="2066"/>
        <v>0</v>
      </c>
      <c r="L2410" s="1194">
        <f t="shared" ca="1" si="2066"/>
        <v>0</v>
      </c>
      <c r="M2410" s="1194">
        <f t="shared" ca="1" si="2066"/>
        <v>0</v>
      </c>
      <c r="N2410" s="1194">
        <f t="shared" ca="1" si="2066"/>
        <v>0</v>
      </c>
      <c r="O2410" s="1194">
        <f t="shared" ca="1" si="2066"/>
        <v>0</v>
      </c>
      <c r="P2410" s="1194">
        <f t="shared" ca="1" si="2066"/>
        <v>0</v>
      </c>
      <c r="Q2410" s="1194">
        <f t="shared" ca="1" si="2066"/>
        <v>0</v>
      </c>
      <c r="R2410" s="1194">
        <f t="shared" ca="1" si="2066"/>
        <v>0</v>
      </c>
      <c r="S2410" s="1194">
        <f t="shared" ca="1" si="2066"/>
        <v>0</v>
      </c>
      <c r="T2410" s="1599">
        <f t="shared" ca="1" si="2066"/>
        <v>0</v>
      </c>
    </row>
    <row r="2411" spans="2:20" ht="13.75" hidden="1" customHeight="1" x14ac:dyDescent="0.2">
      <c r="B2411" s="1195"/>
      <c r="C2411" s="193"/>
      <c r="D2411" s="193"/>
      <c r="E2411" s="193"/>
      <c r="F2411" s="254" t="s">
        <v>718</v>
      </c>
      <c r="G2411" s="254"/>
      <c r="H2411" s="254"/>
      <c r="I2411" s="193">
        <f>+I2399+I2402+I2405+I2408</f>
        <v>0</v>
      </c>
      <c r="J2411" s="193">
        <f t="shared" ref="J2411:T2411" si="2067">+J2399+J2402+J2405+J2408</f>
        <v>0</v>
      </c>
      <c r="K2411" s="193">
        <f t="shared" si="2067"/>
        <v>0</v>
      </c>
      <c r="L2411" s="193">
        <f t="shared" si="2067"/>
        <v>0</v>
      </c>
      <c r="M2411" s="193">
        <f t="shared" si="2067"/>
        <v>0</v>
      </c>
      <c r="N2411" s="193">
        <f t="shared" si="2067"/>
        <v>0</v>
      </c>
      <c r="O2411" s="193">
        <f t="shared" si="2067"/>
        <v>0</v>
      </c>
      <c r="P2411" s="193">
        <f t="shared" si="2067"/>
        <v>0</v>
      </c>
      <c r="Q2411" s="193">
        <f t="shared" si="2067"/>
        <v>0</v>
      </c>
      <c r="R2411" s="193">
        <f t="shared" si="2067"/>
        <v>0</v>
      </c>
      <c r="S2411" s="193">
        <f t="shared" si="2067"/>
        <v>0</v>
      </c>
      <c r="T2411" s="1600">
        <f t="shared" si="2067"/>
        <v>0</v>
      </c>
    </row>
    <row r="2412" spans="2:20" ht="14.4" hidden="1" customHeight="1" thickBot="1" x14ac:dyDescent="0.25">
      <c r="B2412" s="1198"/>
      <c r="C2412" s="1199"/>
      <c r="D2412" s="1199"/>
      <c r="E2412" s="1199"/>
      <c r="F2412" s="1209"/>
      <c r="G2412" s="1209"/>
      <c r="H2412" s="1209"/>
      <c r="I2412" s="1199"/>
      <c r="J2412" s="1199"/>
      <c r="K2412" s="1199"/>
      <c r="L2412" s="1199"/>
      <c r="M2412" s="1199"/>
      <c r="N2412" s="1199"/>
      <c r="O2412" s="1199"/>
      <c r="P2412" s="1199"/>
      <c r="Q2412" s="1199"/>
      <c r="R2412" s="1199"/>
      <c r="S2412" s="1199"/>
      <c r="T2412" s="1602"/>
    </row>
    <row r="2413" spans="2:20" ht="14.4" hidden="1" customHeight="1" thickTop="1" x14ac:dyDescent="0.2">
      <c r="B2413" s="1740" t="s">
        <v>2030</v>
      </c>
      <c r="C2413" s="1739">
        <f>+Precios!C102</f>
        <v>1.2</v>
      </c>
      <c r="D2413" s="232"/>
      <c r="E2413" s="1210"/>
      <c r="F2413" s="1210" t="s">
        <v>691</v>
      </c>
      <c r="G2413" s="1210"/>
      <c r="H2413" s="1210"/>
      <c r="I2413" s="1194">
        <f t="shared" ref="I2413:T2413" ca="1" si="2068">+I2410*$C$2413</f>
        <v>0</v>
      </c>
      <c r="J2413" s="1194">
        <f t="shared" ca="1" si="2068"/>
        <v>0</v>
      </c>
      <c r="K2413" s="1194">
        <f t="shared" ca="1" si="2068"/>
        <v>0</v>
      </c>
      <c r="L2413" s="1194">
        <f t="shared" ca="1" si="2068"/>
        <v>0</v>
      </c>
      <c r="M2413" s="1194">
        <f t="shared" ca="1" si="2068"/>
        <v>0</v>
      </c>
      <c r="N2413" s="1194">
        <f t="shared" ca="1" si="2068"/>
        <v>0</v>
      </c>
      <c r="O2413" s="1194">
        <f t="shared" ca="1" si="2068"/>
        <v>0</v>
      </c>
      <c r="P2413" s="1194">
        <f t="shared" ca="1" si="2068"/>
        <v>0</v>
      </c>
      <c r="Q2413" s="1194">
        <f t="shared" ca="1" si="2068"/>
        <v>0</v>
      </c>
      <c r="R2413" s="1194">
        <f t="shared" ca="1" si="2068"/>
        <v>0</v>
      </c>
      <c r="S2413" s="1194">
        <f t="shared" ca="1" si="2068"/>
        <v>0</v>
      </c>
      <c r="T2413" s="1599">
        <f t="shared" ca="1" si="2068"/>
        <v>0</v>
      </c>
    </row>
    <row r="2414" spans="2:20" ht="13.75" hidden="1" customHeight="1" x14ac:dyDescent="0.2">
      <c r="B2414" s="1195"/>
      <c r="C2414" s="193"/>
      <c r="D2414" s="193"/>
      <c r="E2414" s="193"/>
      <c r="F2414" s="254" t="s">
        <v>718</v>
      </c>
      <c r="G2414" s="254"/>
      <c r="H2414" s="254"/>
      <c r="I2414" s="193">
        <f t="shared" ref="I2414:T2414" si="2069">+I2411*$C$2413</f>
        <v>0</v>
      </c>
      <c r="J2414" s="193">
        <f t="shared" si="2069"/>
        <v>0</v>
      </c>
      <c r="K2414" s="193">
        <f t="shared" si="2069"/>
        <v>0</v>
      </c>
      <c r="L2414" s="193">
        <f t="shared" si="2069"/>
        <v>0</v>
      </c>
      <c r="M2414" s="193">
        <f t="shared" si="2069"/>
        <v>0</v>
      </c>
      <c r="N2414" s="193">
        <f t="shared" si="2069"/>
        <v>0</v>
      </c>
      <c r="O2414" s="193">
        <f t="shared" si="2069"/>
        <v>0</v>
      </c>
      <c r="P2414" s="193">
        <f t="shared" si="2069"/>
        <v>0</v>
      </c>
      <c r="Q2414" s="193">
        <f t="shared" si="2069"/>
        <v>0</v>
      </c>
      <c r="R2414" s="193">
        <f t="shared" si="2069"/>
        <v>0</v>
      </c>
      <c r="S2414" s="193">
        <f t="shared" si="2069"/>
        <v>0</v>
      </c>
      <c r="T2414" s="1600">
        <f t="shared" si="2069"/>
        <v>0</v>
      </c>
    </row>
    <row r="2415" spans="2:20" ht="14.4" hidden="1" customHeight="1" thickBot="1" x14ac:dyDescent="0.25">
      <c r="B2415" s="1198"/>
      <c r="C2415" s="1199"/>
      <c r="D2415" s="1199"/>
      <c r="E2415" s="1199"/>
      <c r="F2415" s="1209"/>
      <c r="G2415" s="1209"/>
      <c r="H2415" s="1209"/>
      <c r="I2415" s="1199"/>
      <c r="J2415" s="1199"/>
      <c r="K2415" s="1199"/>
      <c r="L2415" s="1199"/>
      <c r="M2415" s="1199"/>
      <c r="N2415" s="1199"/>
      <c r="O2415" s="1199"/>
      <c r="P2415" s="1199"/>
      <c r="Q2415" s="1199"/>
      <c r="R2415" s="1199"/>
      <c r="S2415" s="1199"/>
      <c r="T2415" s="1602"/>
    </row>
    <row r="2416" spans="2:20" ht="14.4" hidden="1" customHeight="1" thickTop="1" x14ac:dyDescent="0.2">
      <c r="B2416" s="1740" t="s">
        <v>814</v>
      </c>
      <c r="C2416" s="1739"/>
      <c r="D2416" s="232"/>
      <c r="E2416" s="1210"/>
      <c r="F2416" s="1210" t="s">
        <v>691</v>
      </c>
      <c r="G2416" s="1210"/>
      <c r="H2416" s="1210"/>
      <c r="I2416" s="1194">
        <f t="shared" ref="I2416:T2416" si="2070">+I2385+I2362+I2339+I2316+I2293+I2270+I2247+I2224+I2201+I2178+I2154</f>
        <v>0</v>
      </c>
      <c r="J2416" s="1194">
        <f t="shared" si="2070"/>
        <v>0</v>
      </c>
      <c r="K2416" s="1194">
        <f t="shared" si="2070"/>
        <v>0</v>
      </c>
      <c r="L2416" s="1194">
        <f t="shared" si="2070"/>
        <v>0</v>
      </c>
      <c r="M2416" s="1194">
        <f t="shared" si="2070"/>
        <v>0</v>
      </c>
      <c r="N2416" s="1194">
        <f t="shared" si="2070"/>
        <v>0</v>
      </c>
      <c r="O2416" s="1194">
        <f t="shared" si="2070"/>
        <v>0</v>
      </c>
      <c r="P2416" s="1194">
        <f t="shared" si="2070"/>
        <v>0</v>
      </c>
      <c r="Q2416" s="1194">
        <f t="shared" si="2070"/>
        <v>0</v>
      </c>
      <c r="R2416" s="1194">
        <f t="shared" si="2070"/>
        <v>0</v>
      </c>
      <c r="S2416" s="1194">
        <f t="shared" si="2070"/>
        <v>0</v>
      </c>
      <c r="T2416" s="1599">
        <f t="shared" si="2070"/>
        <v>0</v>
      </c>
    </row>
    <row r="2417" spans="1:20" ht="13.75" hidden="1" customHeight="1" x14ac:dyDescent="0.2">
      <c r="B2417" s="1195"/>
      <c r="C2417" s="193"/>
      <c r="D2417" s="193"/>
      <c r="E2417" s="193"/>
      <c r="F2417" s="254" t="s">
        <v>718</v>
      </c>
      <c r="G2417" s="254"/>
      <c r="H2417" s="254"/>
      <c r="I2417" s="193">
        <f t="shared" ref="I2417:T2417" si="2071">+I2386+I2363+I2340+I2317+I2294+I2271+I2248+I2225+I2202+I2179+I2155</f>
        <v>0</v>
      </c>
      <c r="J2417" s="193">
        <f t="shared" si="2071"/>
        <v>0</v>
      </c>
      <c r="K2417" s="193">
        <f t="shared" si="2071"/>
        <v>0</v>
      </c>
      <c r="L2417" s="193">
        <f t="shared" si="2071"/>
        <v>0</v>
      </c>
      <c r="M2417" s="193">
        <f t="shared" si="2071"/>
        <v>0</v>
      </c>
      <c r="N2417" s="193">
        <f t="shared" si="2071"/>
        <v>0</v>
      </c>
      <c r="O2417" s="193">
        <f t="shared" si="2071"/>
        <v>0</v>
      </c>
      <c r="P2417" s="193">
        <f t="shared" si="2071"/>
        <v>0</v>
      </c>
      <c r="Q2417" s="193">
        <f t="shared" si="2071"/>
        <v>0</v>
      </c>
      <c r="R2417" s="193">
        <f t="shared" si="2071"/>
        <v>0</v>
      </c>
      <c r="S2417" s="193">
        <f t="shared" si="2071"/>
        <v>0</v>
      </c>
      <c r="T2417" s="1600">
        <f t="shared" si="2071"/>
        <v>0</v>
      </c>
    </row>
    <row r="2418" spans="1:20" ht="14.4" hidden="1" customHeight="1" thickBot="1" x14ac:dyDescent="0.25">
      <c r="B2418" s="1198"/>
      <c r="C2418" s="1199"/>
      <c r="D2418" s="1199"/>
      <c r="E2418" s="1199"/>
      <c r="F2418" s="1209" t="s">
        <v>694</v>
      </c>
      <c r="G2418" s="1209"/>
      <c r="H2418" s="1209"/>
      <c r="I2418" s="1199">
        <f t="shared" ref="I2418:T2418" si="2072">+I2384+I2361+I2338+I2315+I2292+I2269+I2246+I2223+I2200+I2177+I2153</f>
        <v>5.9777777777777779</v>
      </c>
      <c r="J2418" s="1199">
        <f t="shared" si="2072"/>
        <v>5.9777777777777779</v>
      </c>
      <c r="K2418" s="1199">
        <f t="shared" si="2072"/>
        <v>5.9777777777777779</v>
      </c>
      <c r="L2418" s="1199">
        <f t="shared" si="2072"/>
        <v>5.9777777777777779</v>
      </c>
      <c r="M2418" s="1199">
        <f t="shared" si="2072"/>
        <v>5.9777777777777779</v>
      </c>
      <c r="N2418" s="1199">
        <f t="shared" si="2072"/>
        <v>5.9777777777777779</v>
      </c>
      <c r="O2418" s="1199">
        <f t="shared" si="2072"/>
        <v>5.9777777777777779</v>
      </c>
      <c r="P2418" s="1199">
        <f t="shared" si="2072"/>
        <v>5.9777777777777779</v>
      </c>
      <c r="Q2418" s="1199">
        <f t="shared" si="2072"/>
        <v>5.9777777777777779</v>
      </c>
      <c r="R2418" s="1199">
        <f t="shared" si="2072"/>
        <v>5.9777777777777779</v>
      </c>
      <c r="S2418" s="1199">
        <f t="shared" si="2072"/>
        <v>5.9777777777777779</v>
      </c>
      <c r="T2418" s="1602">
        <f t="shared" si="2072"/>
        <v>5.9777777777777779</v>
      </c>
    </row>
    <row r="2419" spans="1:20" ht="14.4" hidden="1" customHeight="1" thickTop="1" x14ac:dyDescent="0.2">
      <c r="B2419" s="141"/>
      <c r="G2419" s="232"/>
      <c r="H2419" s="232"/>
    </row>
    <row r="2420" spans="1:20" ht="34.200000000000003" hidden="1" customHeight="1" thickBot="1" x14ac:dyDescent="0.25"/>
    <row r="2421" spans="1:20" ht="15.05" hidden="1" customHeight="1" thickTop="1" thickBot="1" x14ac:dyDescent="0.25">
      <c r="A2421" s="2188">
        <v>1112</v>
      </c>
      <c r="B2421" s="1741" t="s">
        <v>472</v>
      </c>
      <c r="C2421" s="1685"/>
      <c r="D2421" s="1685"/>
      <c r="E2421" s="1742"/>
    </row>
    <row r="2422" spans="1:20" ht="14.4" hidden="1" customHeight="1" thickTop="1" x14ac:dyDescent="0.2">
      <c r="B2422" s="1665">
        <f>+B45</f>
        <v>0</v>
      </c>
      <c r="C2422" s="193">
        <f t="shared" ref="C2422:C2427" si="2073">+U45</f>
        <v>0</v>
      </c>
      <c r="D2422" s="193"/>
      <c r="E2422" s="1600"/>
    </row>
    <row r="2423" spans="1:20" ht="13.75" hidden="1" customHeight="1" x14ac:dyDescent="0.2">
      <c r="B2423" s="1665">
        <f>+B46</f>
        <v>0</v>
      </c>
      <c r="C2423" s="193">
        <f t="shared" si="2073"/>
        <v>0</v>
      </c>
      <c r="D2423" s="193"/>
      <c r="E2423" s="1600"/>
    </row>
    <row r="2424" spans="1:20" ht="13.75" hidden="1" customHeight="1" x14ac:dyDescent="0.2">
      <c r="B2424" s="1665">
        <f>+B47</f>
        <v>0</v>
      </c>
      <c r="C2424" s="193">
        <f t="shared" si="2073"/>
        <v>0</v>
      </c>
      <c r="D2424" s="193"/>
      <c r="E2424" s="1600"/>
    </row>
    <row r="2425" spans="1:20" ht="13.75" hidden="1" customHeight="1" x14ac:dyDescent="0.2">
      <c r="B2425" s="1665">
        <f>+B48</f>
        <v>0</v>
      </c>
      <c r="C2425" s="193">
        <f t="shared" si="2073"/>
        <v>0</v>
      </c>
      <c r="D2425" s="193"/>
      <c r="E2425" s="1600"/>
    </row>
    <row r="2426" spans="1:20" ht="13.75" hidden="1" customHeight="1" x14ac:dyDescent="0.2">
      <c r="B2426" s="1665">
        <f>+B49</f>
        <v>0</v>
      </c>
      <c r="C2426" s="193">
        <f t="shared" si="2073"/>
        <v>0</v>
      </c>
      <c r="D2426" s="193"/>
      <c r="E2426" s="1600"/>
    </row>
    <row r="2427" spans="1:20" ht="13.75" hidden="1" customHeight="1" x14ac:dyDescent="0.2">
      <c r="B2427" s="1665" t="str">
        <f t="shared" ref="B2427:B2432" si="2074">+B51</f>
        <v>Labores con maquinaria contratada</v>
      </c>
      <c r="C2427" s="193">
        <f t="shared" si="2073"/>
        <v>0</v>
      </c>
      <c r="D2427" s="193"/>
      <c r="E2427" s="1600"/>
    </row>
    <row r="2428" spans="1:20" ht="13.75" hidden="1" customHeight="1" x14ac:dyDescent="0.2">
      <c r="B2428" s="1665">
        <f t="shared" si="2074"/>
        <v>0</v>
      </c>
      <c r="C2428" s="193">
        <f t="shared" ref="C2428:C2433" si="2075">+U52</f>
        <v>0</v>
      </c>
      <c r="D2428" s="193"/>
      <c r="E2428" s="1600"/>
    </row>
    <row r="2429" spans="1:20" ht="13.75" hidden="1" customHeight="1" x14ac:dyDescent="0.2">
      <c r="B2429" s="1665">
        <f t="shared" si="2074"/>
        <v>0</v>
      </c>
      <c r="C2429" s="193">
        <f t="shared" si="2075"/>
        <v>0</v>
      </c>
      <c r="D2429" s="193"/>
      <c r="E2429" s="1600"/>
    </row>
    <row r="2430" spans="1:20" ht="13.75" hidden="1" customHeight="1" x14ac:dyDescent="0.2">
      <c r="B2430" s="1665">
        <f t="shared" si="2074"/>
        <v>0</v>
      </c>
      <c r="C2430" s="193">
        <f t="shared" si="2075"/>
        <v>0</v>
      </c>
      <c r="D2430" s="193"/>
      <c r="E2430" s="1600"/>
    </row>
    <row r="2431" spans="1:20" ht="13.75" hidden="1" customHeight="1" x14ac:dyDescent="0.2">
      <c r="B2431" s="1665">
        <f t="shared" si="2074"/>
        <v>0</v>
      </c>
      <c r="C2431" s="193">
        <f t="shared" si="2075"/>
        <v>0</v>
      </c>
      <c r="D2431" s="193"/>
      <c r="E2431" s="1600"/>
    </row>
    <row r="2432" spans="1:20" ht="13.75" hidden="1" customHeight="1" x14ac:dyDescent="0.2">
      <c r="B2432" s="1665">
        <f t="shared" si="2074"/>
        <v>0</v>
      </c>
      <c r="C2432" s="193">
        <f t="shared" si="2075"/>
        <v>0</v>
      </c>
      <c r="D2432" s="193"/>
      <c r="E2432" s="1600"/>
    </row>
    <row r="2433" spans="2:5" ht="13.75" hidden="1" customHeight="1" x14ac:dyDescent="0.2">
      <c r="B2433" s="1665" t="str">
        <f t="shared" ref="B2433:B2441" si="2076">+B58</f>
        <v>Semillas</v>
      </c>
      <c r="C2433" s="193">
        <f t="shared" si="2075"/>
        <v>0</v>
      </c>
      <c r="D2433" s="193"/>
      <c r="E2433" s="1600"/>
    </row>
    <row r="2434" spans="2:5" ht="13.75" hidden="1" customHeight="1" x14ac:dyDescent="0.2">
      <c r="B2434" s="1665">
        <f t="shared" si="2076"/>
        <v>0</v>
      </c>
      <c r="C2434" s="193">
        <f t="shared" ref="C2434:C2442" si="2077">+U59</f>
        <v>0</v>
      </c>
      <c r="D2434" s="193"/>
      <c r="E2434" s="1600"/>
    </row>
    <row r="2435" spans="2:5" ht="13.75" hidden="1" customHeight="1" x14ac:dyDescent="0.2">
      <c r="B2435" s="1665">
        <f t="shared" si="2076"/>
        <v>0</v>
      </c>
      <c r="C2435" s="193">
        <f t="shared" si="2077"/>
        <v>0</v>
      </c>
      <c r="D2435" s="193"/>
      <c r="E2435" s="1600"/>
    </row>
    <row r="2436" spans="2:5" ht="13.75" hidden="1" customHeight="1" x14ac:dyDescent="0.2">
      <c r="B2436" s="1665">
        <f t="shared" si="2076"/>
        <v>0</v>
      </c>
      <c r="C2436" s="193">
        <f t="shared" si="2077"/>
        <v>0</v>
      </c>
      <c r="D2436" s="193"/>
      <c r="E2436" s="1600"/>
    </row>
    <row r="2437" spans="2:5" ht="13.75" hidden="1" customHeight="1" x14ac:dyDescent="0.2">
      <c r="B2437" s="1665">
        <f t="shared" si="2076"/>
        <v>0</v>
      </c>
      <c r="C2437" s="193">
        <f t="shared" si="2077"/>
        <v>0</v>
      </c>
      <c r="D2437" s="193"/>
      <c r="E2437" s="1600"/>
    </row>
    <row r="2438" spans="2:5" ht="13.75" hidden="1" customHeight="1" x14ac:dyDescent="0.2">
      <c r="B2438" s="1665">
        <f t="shared" si="2076"/>
        <v>0</v>
      </c>
      <c r="C2438" s="193">
        <f t="shared" si="2077"/>
        <v>0</v>
      </c>
      <c r="D2438" s="193"/>
      <c r="E2438" s="1600"/>
    </row>
    <row r="2439" spans="2:5" ht="13.75" hidden="1" customHeight="1" x14ac:dyDescent="0.2">
      <c r="B2439" s="1665">
        <f t="shared" si="2076"/>
        <v>0</v>
      </c>
      <c r="C2439" s="193">
        <f t="shared" si="2077"/>
        <v>0</v>
      </c>
      <c r="D2439" s="193"/>
      <c r="E2439" s="1600"/>
    </row>
    <row r="2440" spans="2:5" ht="13.75" hidden="1" customHeight="1" x14ac:dyDescent="0.2">
      <c r="B2440" s="1665">
        <f t="shared" si="2076"/>
        <v>0</v>
      </c>
      <c r="C2440" s="193">
        <f t="shared" si="2077"/>
        <v>0</v>
      </c>
      <c r="D2440" s="193"/>
      <c r="E2440" s="1600"/>
    </row>
    <row r="2441" spans="2:5" ht="13.75" hidden="1" customHeight="1" x14ac:dyDescent="0.2">
      <c r="B2441" s="1665">
        <f t="shared" si="2076"/>
        <v>0</v>
      </c>
      <c r="C2441" s="193">
        <f t="shared" si="2077"/>
        <v>0</v>
      </c>
      <c r="D2441" s="193"/>
      <c r="E2441" s="1600"/>
    </row>
    <row r="2442" spans="2:5" ht="13.75" hidden="1" customHeight="1" x14ac:dyDescent="0.2">
      <c r="B2442" s="1665" t="str">
        <f>+B68</f>
        <v xml:space="preserve">Fertilizantes </v>
      </c>
      <c r="C2442" s="193">
        <f t="shared" si="2077"/>
        <v>0</v>
      </c>
      <c r="D2442" s="193"/>
      <c r="E2442" s="1600"/>
    </row>
    <row r="2443" spans="2:5" ht="13.75" hidden="1" customHeight="1" x14ac:dyDescent="0.2">
      <c r="B2443" s="1665">
        <f>+B69</f>
        <v>0</v>
      </c>
      <c r="C2443" s="193">
        <f>+U69</f>
        <v>0</v>
      </c>
      <c r="D2443" s="193"/>
      <c r="E2443" s="1600"/>
    </row>
    <row r="2444" spans="2:5" ht="13.75" hidden="1" customHeight="1" x14ac:dyDescent="0.2">
      <c r="B2444" s="1665">
        <f>+B70</f>
        <v>0</v>
      </c>
      <c r="C2444" s="193">
        <f>+U70</f>
        <v>0</v>
      </c>
      <c r="D2444" s="193"/>
      <c r="E2444" s="1600"/>
    </row>
    <row r="2445" spans="2:5" ht="13.75" hidden="1" customHeight="1" x14ac:dyDescent="0.2">
      <c r="B2445" s="1665">
        <f>+B71</f>
        <v>0</v>
      </c>
      <c r="C2445" s="193">
        <f>+U71</f>
        <v>0</v>
      </c>
      <c r="D2445" s="193"/>
      <c r="E2445" s="1600"/>
    </row>
    <row r="2446" spans="2:5" ht="13.75" hidden="1" customHeight="1" x14ac:dyDescent="0.2">
      <c r="B2446" s="1665" t="str">
        <f t="shared" ref="B2446:B2452" si="2078">+B73</f>
        <v xml:space="preserve">Agroquímicos </v>
      </c>
      <c r="C2446" s="193">
        <f>+U72</f>
        <v>0</v>
      </c>
      <c r="D2446" s="193"/>
      <c r="E2446" s="1600"/>
    </row>
    <row r="2447" spans="2:5" ht="13.75" hidden="1" customHeight="1" x14ac:dyDescent="0.2">
      <c r="B2447" s="1665">
        <f t="shared" si="2078"/>
        <v>0</v>
      </c>
      <c r="C2447" s="193">
        <f t="shared" ref="C2447:C2452" si="2079">+U74</f>
        <v>0</v>
      </c>
      <c r="D2447" s="193"/>
      <c r="E2447" s="1600"/>
    </row>
    <row r="2448" spans="2:5" ht="13.75" hidden="1" customHeight="1" x14ac:dyDescent="0.2">
      <c r="B2448" s="1665">
        <f t="shared" si="2078"/>
        <v>0</v>
      </c>
      <c r="C2448" s="193">
        <f t="shared" si="2079"/>
        <v>0</v>
      </c>
      <c r="D2448" s="193"/>
      <c r="E2448" s="1600"/>
    </row>
    <row r="2449" spans="2:5" ht="13.75" hidden="1" customHeight="1" x14ac:dyDescent="0.2">
      <c r="B2449" s="1665">
        <f t="shared" si="2078"/>
        <v>0</v>
      </c>
      <c r="C2449" s="193">
        <f t="shared" si="2079"/>
        <v>0</v>
      </c>
      <c r="D2449" s="193"/>
      <c r="E2449" s="1600"/>
    </row>
    <row r="2450" spans="2:5" ht="13.75" hidden="1" customHeight="1" x14ac:dyDescent="0.2">
      <c r="B2450" s="1665" t="str">
        <f t="shared" si="2078"/>
        <v>Sub total agroquímicos</v>
      </c>
      <c r="C2450" s="193">
        <f t="shared" si="2079"/>
        <v>0</v>
      </c>
      <c r="D2450" s="193"/>
      <c r="E2450" s="1600"/>
    </row>
    <row r="2451" spans="2:5" ht="13.75" hidden="1" customHeight="1" x14ac:dyDescent="0.2">
      <c r="B2451" s="1665" t="str">
        <f t="shared" si="2078"/>
        <v xml:space="preserve">COSTO TOTAL DE IMPLANTACIÓN </v>
      </c>
      <c r="C2451" s="193">
        <f t="shared" si="2079"/>
        <v>0</v>
      </c>
      <c r="D2451" s="193"/>
      <c r="E2451" s="1600"/>
    </row>
    <row r="2452" spans="2:5" ht="13.75" hidden="1" customHeight="1" x14ac:dyDescent="0.2">
      <c r="B2452" s="1665">
        <f t="shared" si="2078"/>
        <v>0</v>
      </c>
      <c r="C2452" s="193">
        <f t="shared" si="2079"/>
        <v>0</v>
      </c>
      <c r="D2452" s="193"/>
      <c r="E2452" s="1600"/>
    </row>
    <row r="2453" spans="2:5" ht="13.75" hidden="1" customHeight="1" x14ac:dyDescent="0.2">
      <c r="B2453" s="1665" t="str">
        <f>+B81</f>
        <v>Costo de implantación de</v>
      </c>
      <c r="C2453" s="193" t="str">
        <f>+U82</f>
        <v>Has/año</v>
      </c>
      <c r="D2453" s="193"/>
      <c r="E2453" s="1600"/>
    </row>
    <row r="2454" spans="2:5" ht="13.75" hidden="1" customHeight="1" x14ac:dyDescent="0.2">
      <c r="B2454" s="1665">
        <f>+C81</f>
        <v>0</v>
      </c>
      <c r="C2454" s="193" t="str">
        <f t="shared" ref="C2454:C2460" si="2080">+U85</f>
        <v>por año</v>
      </c>
      <c r="D2454" s="193"/>
      <c r="E2454" s="1600"/>
    </row>
    <row r="2455" spans="2:5" ht="13.75" hidden="1" customHeight="1" x14ac:dyDescent="0.2">
      <c r="B2455" s="1665">
        <f t="shared" ref="B2455:B2460" si="2081">+B86</f>
        <v>0</v>
      </c>
      <c r="C2455" s="193">
        <f t="shared" si="2080"/>
        <v>0</v>
      </c>
      <c r="D2455" s="193"/>
      <c r="E2455" s="1600"/>
    </row>
    <row r="2456" spans="2:5" ht="13.75" hidden="1" customHeight="1" x14ac:dyDescent="0.2">
      <c r="B2456" s="1665">
        <f t="shared" si="2081"/>
        <v>0</v>
      </c>
      <c r="C2456" s="193">
        <f t="shared" si="2080"/>
        <v>0</v>
      </c>
      <c r="D2456" s="193"/>
      <c r="E2456" s="1600"/>
    </row>
    <row r="2457" spans="2:5" ht="13.75" hidden="1" customHeight="1" x14ac:dyDescent="0.2">
      <c r="B2457" s="1665">
        <f t="shared" si="2081"/>
        <v>0</v>
      </c>
      <c r="C2457" s="193">
        <f t="shared" si="2080"/>
        <v>0</v>
      </c>
      <c r="D2457" s="193"/>
      <c r="E2457" s="1600"/>
    </row>
    <row r="2458" spans="2:5" ht="13.75" hidden="1" customHeight="1" x14ac:dyDescent="0.2">
      <c r="B2458" s="1665">
        <f t="shared" si="2081"/>
        <v>0</v>
      </c>
      <c r="C2458" s="193">
        <f t="shared" si="2080"/>
        <v>0</v>
      </c>
      <c r="D2458" s="193"/>
      <c r="E2458" s="1600"/>
    </row>
    <row r="2459" spans="2:5" ht="13.75" hidden="1" customHeight="1" x14ac:dyDescent="0.2">
      <c r="B2459" s="1665">
        <f t="shared" si="2081"/>
        <v>0</v>
      </c>
      <c r="C2459" s="193">
        <f t="shared" si="2080"/>
        <v>0</v>
      </c>
      <c r="D2459" s="193"/>
      <c r="E2459" s="1600"/>
    </row>
    <row r="2460" spans="2:5" ht="13.75" hidden="1" customHeight="1" x14ac:dyDescent="0.2">
      <c r="B2460" s="1665" t="str">
        <f t="shared" si="2081"/>
        <v>Sub total Labores maquinaria propia</v>
      </c>
      <c r="C2460" s="193">
        <f t="shared" si="2080"/>
        <v>0</v>
      </c>
      <c r="D2460" s="193"/>
      <c r="E2460" s="1600"/>
    </row>
    <row r="2461" spans="2:5" ht="13.75" hidden="1" customHeight="1" x14ac:dyDescent="0.2">
      <c r="B2461" s="1665" t="str">
        <f t="shared" ref="B2461:B2466" si="2082">+B92</f>
        <v>Labores con maquinaria contratada</v>
      </c>
      <c r="C2461" s="193">
        <f>+U91</f>
        <v>0</v>
      </c>
      <c r="D2461" s="193"/>
      <c r="E2461" s="1600"/>
    </row>
    <row r="2462" spans="2:5" ht="13.75" hidden="1" customHeight="1" x14ac:dyDescent="0.2">
      <c r="B2462" s="1665">
        <f t="shared" si="2082"/>
        <v>0</v>
      </c>
      <c r="C2462" s="193">
        <f t="shared" ref="C2462:C2467" si="2083">+U93</f>
        <v>0</v>
      </c>
      <c r="D2462" s="193"/>
      <c r="E2462" s="1600"/>
    </row>
    <row r="2463" spans="2:5" ht="13.75" hidden="1" customHeight="1" x14ac:dyDescent="0.2">
      <c r="B2463" s="1665">
        <f t="shared" si="2082"/>
        <v>0</v>
      </c>
      <c r="C2463" s="193">
        <f t="shared" si="2083"/>
        <v>0</v>
      </c>
      <c r="D2463" s="193"/>
      <c r="E2463" s="1600"/>
    </row>
    <row r="2464" spans="2:5" ht="13.75" hidden="1" customHeight="1" x14ac:dyDescent="0.2">
      <c r="B2464" s="1665">
        <f t="shared" si="2082"/>
        <v>0</v>
      </c>
      <c r="C2464" s="193">
        <f t="shared" si="2083"/>
        <v>0</v>
      </c>
      <c r="D2464" s="193"/>
      <c r="E2464" s="1600"/>
    </row>
    <row r="2465" spans="2:5" ht="13.75" hidden="1" customHeight="1" x14ac:dyDescent="0.2">
      <c r="B2465" s="1665">
        <f t="shared" si="2082"/>
        <v>0</v>
      </c>
      <c r="C2465" s="193">
        <f t="shared" si="2083"/>
        <v>0</v>
      </c>
      <c r="D2465" s="193"/>
      <c r="E2465" s="1600"/>
    </row>
    <row r="2466" spans="2:5" ht="13.75" hidden="1" customHeight="1" x14ac:dyDescent="0.2">
      <c r="B2466" s="1665">
        <f t="shared" si="2082"/>
        <v>0</v>
      </c>
      <c r="C2466" s="193">
        <f t="shared" si="2083"/>
        <v>0</v>
      </c>
      <c r="D2466" s="193"/>
      <c r="E2466" s="1600"/>
    </row>
    <row r="2467" spans="2:5" ht="13.75" hidden="1" customHeight="1" x14ac:dyDescent="0.2">
      <c r="B2467" s="1665" t="str">
        <f t="shared" ref="B2467:B2475" si="2084">+B99</f>
        <v>Semillas</v>
      </c>
      <c r="C2467" s="193">
        <f t="shared" si="2083"/>
        <v>0</v>
      </c>
      <c r="D2467" s="193"/>
      <c r="E2467" s="1600"/>
    </row>
    <row r="2468" spans="2:5" ht="13.75" hidden="1" customHeight="1" x14ac:dyDescent="0.2">
      <c r="B2468" s="1665">
        <f t="shared" si="2084"/>
        <v>0</v>
      </c>
      <c r="C2468" s="193">
        <f t="shared" ref="C2468:C2476" si="2085">+U100</f>
        <v>0</v>
      </c>
      <c r="D2468" s="193"/>
      <c r="E2468" s="1600"/>
    </row>
    <row r="2469" spans="2:5" ht="13.75" hidden="1" customHeight="1" x14ac:dyDescent="0.2">
      <c r="B2469" s="1665">
        <f t="shared" si="2084"/>
        <v>0</v>
      </c>
      <c r="C2469" s="193">
        <f t="shared" si="2085"/>
        <v>0</v>
      </c>
      <c r="D2469" s="193"/>
      <c r="E2469" s="1600"/>
    </row>
    <row r="2470" spans="2:5" ht="13.75" hidden="1" customHeight="1" x14ac:dyDescent="0.2">
      <c r="B2470" s="1665">
        <f t="shared" si="2084"/>
        <v>0</v>
      </c>
      <c r="C2470" s="193">
        <f t="shared" si="2085"/>
        <v>0</v>
      </c>
      <c r="D2470" s="193"/>
      <c r="E2470" s="1600"/>
    </row>
    <row r="2471" spans="2:5" ht="13.75" hidden="1" customHeight="1" x14ac:dyDescent="0.2">
      <c r="B2471" s="1665">
        <f t="shared" si="2084"/>
        <v>0</v>
      </c>
      <c r="C2471" s="193">
        <f t="shared" si="2085"/>
        <v>0</v>
      </c>
      <c r="D2471" s="193"/>
      <c r="E2471" s="1600"/>
    </row>
    <row r="2472" spans="2:5" ht="13.75" hidden="1" customHeight="1" x14ac:dyDescent="0.2">
      <c r="B2472" s="1665">
        <f t="shared" si="2084"/>
        <v>0</v>
      </c>
      <c r="C2472" s="193">
        <f t="shared" si="2085"/>
        <v>0</v>
      </c>
      <c r="D2472" s="193"/>
      <c r="E2472" s="1600"/>
    </row>
    <row r="2473" spans="2:5" ht="13.75" hidden="1" customHeight="1" x14ac:dyDescent="0.2">
      <c r="B2473" s="1665">
        <f t="shared" si="2084"/>
        <v>0</v>
      </c>
      <c r="C2473" s="193">
        <f t="shared" si="2085"/>
        <v>0</v>
      </c>
      <c r="D2473" s="193"/>
      <c r="E2473" s="1600"/>
    </row>
    <row r="2474" spans="2:5" ht="13.75" hidden="1" customHeight="1" x14ac:dyDescent="0.2">
      <c r="B2474" s="1665">
        <f t="shared" si="2084"/>
        <v>0</v>
      </c>
      <c r="C2474" s="193">
        <f t="shared" si="2085"/>
        <v>0</v>
      </c>
      <c r="D2474" s="193"/>
      <c r="E2474" s="1600"/>
    </row>
    <row r="2475" spans="2:5" ht="13.75" hidden="1" customHeight="1" x14ac:dyDescent="0.2">
      <c r="B2475" s="1665">
        <f t="shared" si="2084"/>
        <v>0</v>
      </c>
      <c r="C2475" s="193">
        <f t="shared" si="2085"/>
        <v>0</v>
      </c>
      <c r="D2475" s="193"/>
      <c r="E2475" s="1600"/>
    </row>
    <row r="2476" spans="2:5" ht="13.75" hidden="1" customHeight="1" x14ac:dyDescent="0.2">
      <c r="B2476" s="1665" t="str">
        <f>+B109</f>
        <v xml:space="preserve">Fertilizantes </v>
      </c>
      <c r="C2476" s="193">
        <f t="shared" si="2085"/>
        <v>0</v>
      </c>
      <c r="D2476" s="193"/>
      <c r="E2476" s="1600"/>
    </row>
    <row r="2477" spans="2:5" ht="13.75" hidden="1" customHeight="1" x14ac:dyDescent="0.2">
      <c r="B2477" s="1665">
        <f>+B110</f>
        <v>0</v>
      </c>
      <c r="C2477" s="193">
        <f>+U110</f>
        <v>0</v>
      </c>
      <c r="D2477" s="193"/>
      <c r="E2477" s="1600"/>
    </row>
    <row r="2478" spans="2:5" ht="13.75" hidden="1" customHeight="1" x14ac:dyDescent="0.2">
      <c r="B2478" s="1665">
        <f>+B111</f>
        <v>0</v>
      </c>
      <c r="C2478" s="193">
        <f>+U111</f>
        <v>0</v>
      </c>
      <c r="D2478" s="193"/>
      <c r="E2478" s="1600"/>
    </row>
    <row r="2479" spans="2:5" ht="13.75" hidden="1" customHeight="1" x14ac:dyDescent="0.2">
      <c r="B2479" s="1665">
        <f>+B112</f>
        <v>0</v>
      </c>
      <c r="C2479" s="193">
        <f>+U112</f>
        <v>0</v>
      </c>
      <c r="D2479" s="193"/>
      <c r="E2479" s="1600"/>
    </row>
    <row r="2480" spans="2:5" ht="13.75" hidden="1" customHeight="1" x14ac:dyDescent="0.2">
      <c r="B2480" s="1665" t="str">
        <f t="shared" ref="B2480:B2486" si="2086">+B114</f>
        <v xml:space="preserve">Agroquímicos </v>
      </c>
      <c r="C2480" s="193">
        <f>+U113</f>
        <v>0</v>
      </c>
      <c r="D2480" s="193"/>
      <c r="E2480" s="1600"/>
    </row>
    <row r="2481" spans="2:5" ht="13.75" hidden="1" customHeight="1" x14ac:dyDescent="0.2">
      <c r="B2481" s="1665">
        <f t="shared" si="2086"/>
        <v>0</v>
      </c>
      <c r="C2481" s="193">
        <f t="shared" ref="C2481:C2486" si="2087">+U115</f>
        <v>0</v>
      </c>
      <c r="D2481" s="193"/>
      <c r="E2481" s="1600"/>
    </row>
    <row r="2482" spans="2:5" ht="13.75" hidden="1" customHeight="1" x14ac:dyDescent="0.2">
      <c r="B2482" s="1665">
        <f t="shared" si="2086"/>
        <v>0</v>
      </c>
      <c r="C2482" s="193">
        <f t="shared" si="2087"/>
        <v>0</v>
      </c>
      <c r="D2482" s="193"/>
      <c r="E2482" s="1600"/>
    </row>
    <row r="2483" spans="2:5" ht="13.75" hidden="1" customHeight="1" x14ac:dyDescent="0.2">
      <c r="B2483" s="1665">
        <f t="shared" si="2086"/>
        <v>0</v>
      </c>
      <c r="C2483" s="193">
        <f t="shared" si="2087"/>
        <v>0</v>
      </c>
      <c r="D2483" s="193"/>
      <c r="E2483" s="1600"/>
    </row>
    <row r="2484" spans="2:5" ht="13.75" hidden="1" customHeight="1" x14ac:dyDescent="0.2">
      <c r="B2484" s="1665" t="str">
        <f t="shared" si="2086"/>
        <v>Sub total agroquímicos</v>
      </c>
      <c r="C2484" s="193">
        <f t="shared" si="2087"/>
        <v>0</v>
      </c>
      <c r="D2484" s="193"/>
      <c r="E2484" s="1600"/>
    </row>
    <row r="2485" spans="2:5" ht="13.75" hidden="1" customHeight="1" x14ac:dyDescent="0.2">
      <c r="B2485" s="1665" t="str">
        <f t="shared" si="2086"/>
        <v xml:space="preserve">COSTO TOTAL DE IMPLANTACIÓN </v>
      </c>
      <c r="C2485" s="193">
        <f t="shared" si="2087"/>
        <v>0</v>
      </c>
      <c r="D2485" s="193"/>
      <c r="E2485" s="1600"/>
    </row>
    <row r="2486" spans="2:5" ht="13.75" hidden="1" customHeight="1" x14ac:dyDescent="0.2">
      <c r="B2486" s="1665">
        <f t="shared" si="2086"/>
        <v>0</v>
      </c>
      <c r="C2486" s="193">
        <f t="shared" si="2087"/>
        <v>0</v>
      </c>
      <c r="D2486" s="193"/>
      <c r="E2486" s="1600"/>
    </row>
    <row r="2487" spans="2:5" ht="13.75" hidden="1" customHeight="1" x14ac:dyDescent="0.2">
      <c r="B2487" s="1665" t="str">
        <f>+B122</f>
        <v>Costo de implantación de</v>
      </c>
      <c r="C2487" s="193">
        <f>+U122</f>
        <v>0</v>
      </c>
      <c r="D2487" s="193"/>
      <c r="E2487" s="1600"/>
    </row>
    <row r="2488" spans="2:5" ht="13.75" hidden="1" customHeight="1" x14ac:dyDescent="0.2">
      <c r="B2488" s="1665">
        <f>+C122</f>
        <v>0</v>
      </c>
      <c r="C2488" s="193" t="str">
        <f>+U123</f>
        <v>Has/año</v>
      </c>
      <c r="D2488" s="193"/>
      <c r="E2488" s="1600"/>
    </row>
    <row r="2489" spans="2:5" ht="13.75" hidden="1" customHeight="1" x14ac:dyDescent="0.2">
      <c r="B2489" s="1665" t="str">
        <f t="shared" ref="B2489:B2494" si="2088">+B126</f>
        <v>Labores con maquinaria propia</v>
      </c>
      <c r="C2489" s="193">
        <f>+U124</f>
        <v>0</v>
      </c>
      <c r="D2489" s="193"/>
      <c r="E2489" s="1600"/>
    </row>
    <row r="2490" spans="2:5" ht="13.75" hidden="1" customHeight="1" x14ac:dyDescent="0.2">
      <c r="B2490" s="1665">
        <f t="shared" si="2088"/>
        <v>0</v>
      </c>
      <c r="C2490" s="193">
        <f t="shared" ref="C2490:C2495" si="2089">+U127</f>
        <v>0</v>
      </c>
      <c r="D2490" s="193"/>
      <c r="E2490" s="1600"/>
    </row>
    <row r="2491" spans="2:5" ht="13.75" hidden="1" customHeight="1" x14ac:dyDescent="0.2">
      <c r="B2491" s="1665">
        <f t="shared" si="2088"/>
        <v>0</v>
      </c>
      <c r="C2491" s="193">
        <f t="shared" si="2089"/>
        <v>0</v>
      </c>
      <c r="D2491" s="193"/>
      <c r="E2491" s="1600"/>
    </row>
    <row r="2492" spans="2:5" ht="13.75" hidden="1" customHeight="1" x14ac:dyDescent="0.2">
      <c r="B2492" s="1665">
        <f t="shared" si="2088"/>
        <v>0</v>
      </c>
      <c r="C2492" s="193">
        <f t="shared" si="2089"/>
        <v>0</v>
      </c>
      <c r="D2492" s="193"/>
      <c r="E2492" s="1600"/>
    </row>
    <row r="2493" spans="2:5" ht="13.75" hidden="1" customHeight="1" x14ac:dyDescent="0.2">
      <c r="B2493" s="1665">
        <f t="shared" si="2088"/>
        <v>0</v>
      </c>
      <c r="C2493" s="193">
        <f t="shared" si="2089"/>
        <v>0</v>
      </c>
      <c r="D2493" s="193"/>
      <c r="E2493" s="1600"/>
    </row>
    <row r="2494" spans="2:5" ht="13.75" hidden="1" customHeight="1" x14ac:dyDescent="0.2">
      <c r="B2494" s="1665">
        <f t="shared" si="2088"/>
        <v>0</v>
      </c>
      <c r="C2494" s="193">
        <f t="shared" si="2089"/>
        <v>0</v>
      </c>
      <c r="D2494" s="193"/>
      <c r="E2494" s="1600"/>
    </row>
    <row r="2495" spans="2:5" ht="13.75" hidden="1" customHeight="1" x14ac:dyDescent="0.2">
      <c r="B2495" s="1665" t="str">
        <f t="shared" ref="B2495:B2500" si="2090">+B133</f>
        <v>Labores con maquinaria contratada</v>
      </c>
      <c r="C2495" s="193">
        <f t="shared" si="2089"/>
        <v>0</v>
      </c>
      <c r="D2495" s="193"/>
      <c r="E2495" s="1600"/>
    </row>
    <row r="2496" spans="2:5" ht="13.75" hidden="1" customHeight="1" x14ac:dyDescent="0.2">
      <c r="B2496" s="1665">
        <f t="shared" si="2090"/>
        <v>0</v>
      </c>
      <c r="C2496" s="193">
        <f t="shared" ref="C2496:C2501" si="2091">+U134</f>
        <v>0</v>
      </c>
      <c r="D2496" s="193"/>
      <c r="E2496" s="1600"/>
    </row>
    <row r="2497" spans="2:5" ht="13.75" hidden="1" customHeight="1" x14ac:dyDescent="0.2">
      <c r="B2497" s="1665">
        <f t="shared" si="2090"/>
        <v>0</v>
      </c>
      <c r="C2497" s="193">
        <f t="shared" si="2091"/>
        <v>0</v>
      </c>
      <c r="D2497" s="193"/>
      <c r="E2497" s="1600"/>
    </row>
    <row r="2498" spans="2:5" ht="13.75" hidden="1" customHeight="1" x14ac:dyDescent="0.2">
      <c r="B2498" s="1665">
        <f t="shared" si="2090"/>
        <v>0</v>
      </c>
      <c r="C2498" s="193">
        <f t="shared" si="2091"/>
        <v>0</v>
      </c>
      <c r="D2498" s="193"/>
      <c r="E2498" s="1600"/>
    </row>
    <row r="2499" spans="2:5" ht="13.75" hidden="1" customHeight="1" x14ac:dyDescent="0.2">
      <c r="B2499" s="1665">
        <f t="shared" si="2090"/>
        <v>0</v>
      </c>
      <c r="C2499" s="193">
        <f t="shared" si="2091"/>
        <v>0</v>
      </c>
      <c r="D2499" s="193"/>
      <c r="E2499" s="1600"/>
    </row>
    <row r="2500" spans="2:5" ht="13.75" hidden="1" customHeight="1" x14ac:dyDescent="0.2">
      <c r="B2500" s="1665">
        <f t="shared" si="2090"/>
        <v>0</v>
      </c>
      <c r="C2500" s="193">
        <f t="shared" si="2091"/>
        <v>0</v>
      </c>
      <c r="D2500" s="193"/>
      <c r="E2500" s="1600"/>
    </row>
    <row r="2501" spans="2:5" ht="13.75" hidden="1" customHeight="1" x14ac:dyDescent="0.2">
      <c r="B2501" s="1665" t="str">
        <f t="shared" ref="B2501:B2509" si="2092">+B140</f>
        <v>Semillas</v>
      </c>
      <c r="C2501" s="193">
        <f t="shared" si="2091"/>
        <v>0</v>
      </c>
      <c r="D2501" s="193"/>
      <c r="E2501" s="1600"/>
    </row>
    <row r="2502" spans="2:5" ht="13.75" hidden="1" customHeight="1" x14ac:dyDescent="0.2">
      <c r="B2502" s="1665">
        <f t="shared" si="2092"/>
        <v>0</v>
      </c>
      <c r="C2502" s="193">
        <f t="shared" ref="C2502:C2510" si="2093">+U141</f>
        <v>0</v>
      </c>
      <c r="D2502" s="193"/>
      <c r="E2502" s="1600"/>
    </row>
    <row r="2503" spans="2:5" ht="13.75" hidden="1" customHeight="1" x14ac:dyDescent="0.2">
      <c r="B2503" s="1665">
        <f t="shared" si="2092"/>
        <v>0</v>
      </c>
      <c r="C2503" s="193">
        <f t="shared" si="2093"/>
        <v>0</v>
      </c>
      <c r="D2503" s="193"/>
      <c r="E2503" s="1600"/>
    </row>
    <row r="2504" spans="2:5" ht="13.75" hidden="1" customHeight="1" x14ac:dyDescent="0.2">
      <c r="B2504" s="1665">
        <f t="shared" si="2092"/>
        <v>0</v>
      </c>
      <c r="C2504" s="193">
        <f t="shared" si="2093"/>
        <v>0</v>
      </c>
      <c r="D2504" s="193"/>
      <c r="E2504" s="1600"/>
    </row>
    <row r="2505" spans="2:5" ht="13.75" hidden="1" customHeight="1" x14ac:dyDescent="0.2">
      <c r="B2505" s="1665">
        <f t="shared" si="2092"/>
        <v>0</v>
      </c>
      <c r="C2505" s="193">
        <f t="shared" si="2093"/>
        <v>0</v>
      </c>
      <c r="D2505" s="193"/>
      <c r="E2505" s="1600"/>
    </row>
    <row r="2506" spans="2:5" ht="13.75" hidden="1" customHeight="1" x14ac:dyDescent="0.2">
      <c r="B2506" s="1665">
        <f t="shared" si="2092"/>
        <v>0</v>
      </c>
      <c r="C2506" s="193">
        <f t="shared" si="2093"/>
        <v>0</v>
      </c>
      <c r="D2506" s="193"/>
      <c r="E2506" s="1600"/>
    </row>
    <row r="2507" spans="2:5" ht="13.75" hidden="1" customHeight="1" x14ac:dyDescent="0.2">
      <c r="B2507" s="1665">
        <f t="shared" si="2092"/>
        <v>0</v>
      </c>
      <c r="C2507" s="193">
        <f t="shared" si="2093"/>
        <v>0</v>
      </c>
      <c r="D2507" s="193"/>
      <c r="E2507" s="1600"/>
    </row>
    <row r="2508" spans="2:5" ht="13.75" hidden="1" customHeight="1" x14ac:dyDescent="0.2">
      <c r="B2508" s="1665">
        <f t="shared" si="2092"/>
        <v>0</v>
      </c>
      <c r="C2508" s="193">
        <f t="shared" si="2093"/>
        <v>0</v>
      </c>
      <c r="D2508" s="193"/>
      <c r="E2508" s="1600"/>
    </row>
    <row r="2509" spans="2:5" ht="13.75" hidden="1" customHeight="1" x14ac:dyDescent="0.2">
      <c r="B2509" s="1665">
        <f t="shared" si="2092"/>
        <v>0</v>
      </c>
      <c r="C2509" s="193">
        <f t="shared" si="2093"/>
        <v>0</v>
      </c>
      <c r="D2509" s="193"/>
      <c r="E2509" s="1600"/>
    </row>
    <row r="2510" spans="2:5" ht="13.75" hidden="1" customHeight="1" x14ac:dyDescent="0.2">
      <c r="B2510" s="1665" t="str">
        <f>+B150</f>
        <v xml:space="preserve">Fertilizantes </v>
      </c>
      <c r="C2510" s="193">
        <f t="shared" si="2093"/>
        <v>0</v>
      </c>
      <c r="D2510" s="193"/>
      <c r="E2510" s="1600"/>
    </row>
    <row r="2511" spans="2:5" ht="13.75" hidden="1" customHeight="1" x14ac:dyDescent="0.2">
      <c r="B2511" s="1665">
        <f>+B151</f>
        <v>0</v>
      </c>
      <c r="C2511" s="193">
        <f>+U151</f>
        <v>0</v>
      </c>
      <c r="D2511" s="193"/>
      <c r="E2511" s="1600"/>
    </row>
    <row r="2512" spans="2:5" ht="13.75" hidden="1" customHeight="1" x14ac:dyDescent="0.2">
      <c r="B2512" s="1665">
        <f>+B152</f>
        <v>0</v>
      </c>
      <c r="C2512" s="193">
        <f>+U152</f>
        <v>0</v>
      </c>
      <c r="D2512" s="193"/>
      <c r="E2512" s="1600"/>
    </row>
    <row r="2513" spans="2:5" ht="13.75" hidden="1" customHeight="1" x14ac:dyDescent="0.2">
      <c r="B2513" s="1665">
        <f>+B153</f>
        <v>0</v>
      </c>
      <c r="C2513" s="193">
        <f>+U153</f>
        <v>0</v>
      </c>
      <c r="D2513" s="193"/>
      <c r="E2513" s="1600"/>
    </row>
    <row r="2514" spans="2:5" ht="13.75" hidden="1" customHeight="1" x14ac:dyDescent="0.2">
      <c r="B2514" s="1665" t="str">
        <f t="shared" ref="B2514:B2520" si="2094">+B155</f>
        <v xml:space="preserve">Agroquímicos </v>
      </c>
      <c r="C2514" s="193">
        <f>+U154</f>
        <v>0</v>
      </c>
      <c r="D2514" s="193"/>
      <c r="E2514" s="1600"/>
    </row>
    <row r="2515" spans="2:5" ht="13.75" hidden="1" customHeight="1" x14ac:dyDescent="0.2">
      <c r="B2515" s="1665">
        <f t="shared" si="2094"/>
        <v>0</v>
      </c>
      <c r="C2515" s="193">
        <f t="shared" ref="C2515:C2520" si="2095">+U156</f>
        <v>0</v>
      </c>
      <c r="D2515" s="193"/>
      <c r="E2515" s="1600"/>
    </row>
    <row r="2516" spans="2:5" ht="13.75" hidden="1" customHeight="1" x14ac:dyDescent="0.2">
      <c r="B2516" s="1665">
        <f t="shared" si="2094"/>
        <v>0</v>
      </c>
      <c r="C2516" s="193">
        <f t="shared" si="2095"/>
        <v>0</v>
      </c>
      <c r="D2516" s="193"/>
      <c r="E2516" s="1600"/>
    </row>
    <row r="2517" spans="2:5" ht="13.75" hidden="1" customHeight="1" x14ac:dyDescent="0.2">
      <c r="B2517" s="1665">
        <f t="shared" si="2094"/>
        <v>0</v>
      </c>
      <c r="C2517" s="193">
        <f t="shared" si="2095"/>
        <v>0</v>
      </c>
      <c r="D2517" s="193"/>
      <c r="E2517" s="1600"/>
    </row>
    <row r="2518" spans="2:5" ht="13.75" hidden="1" customHeight="1" x14ac:dyDescent="0.2">
      <c r="B2518" s="1665" t="str">
        <f t="shared" si="2094"/>
        <v>Sub total agroquímicos</v>
      </c>
      <c r="C2518" s="193">
        <f t="shared" si="2095"/>
        <v>0</v>
      </c>
      <c r="D2518" s="193"/>
      <c r="E2518" s="1600"/>
    </row>
    <row r="2519" spans="2:5" ht="13.75" hidden="1" customHeight="1" x14ac:dyDescent="0.2">
      <c r="B2519" s="1665" t="str">
        <f t="shared" si="2094"/>
        <v xml:space="preserve">COSTO TOTAL DE IMPLANTACIÓN </v>
      </c>
      <c r="C2519" s="193">
        <f t="shared" si="2095"/>
        <v>0</v>
      </c>
      <c r="D2519" s="193"/>
      <c r="E2519" s="1600"/>
    </row>
    <row r="2520" spans="2:5" ht="13.75" hidden="1" customHeight="1" x14ac:dyDescent="0.2">
      <c r="B2520" s="1665">
        <f t="shared" si="2094"/>
        <v>0</v>
      </c>
      <c r="C2520" s="193">
        <f t="shared" si="2095"/>
        <v>0</v>
      </c>
      <c r="D2520" s="193"/>
      <c r="E2520" s="1600"/>
    </row>
    <row r="2521" spans="2:5" ht="13.75" hidden="1" customHeight="1" x14ac:dyDescent="0.2">
      <c r="B2521" s="1665" t="str">
        <f>+B163</f>
        <v>Costo de implantación de</v>
      </c>
      <c r="C2521" s="193" t="str">
        <f>+U164</f>
        <v>Has/año</v>
      </c>
      <c r="D2521" s="193"/>
      <c r="E2521" s="1600"/>
    </row>
    <row r="2522" spans="2:5" ht="13.75" hidden="1" customHeight="1" x14ac:dyDescent="0.2">
      <c r="B2522" s="1665">
        <f>+C163</f>
        <v>0</v>
      </c>
      <c r="C2522" s="193" t="str">
        <f>+U167</f>
        <v>por año</v>
      </c>
      <c r="D2522" s="193"/>
      <c r="E2522" s="1600"/>
    </row>
    <row r="2523" spans="2:5" ht="13.75" hidden="1" customHeight="1" x14ac:dyDescent="0.2">
      <c r="B2523" s="1665" t="e">
        <f>+#REF!</f>
        <v>#REF!</v>
      </c>
      <c r="C2523" s="193">
        <f>+U165</f>
        <v>0</v>
      </c>
      <c r="D2523" s="193"/>
      <c r="E2523" s="1600"/>
    </row>
    <row r="2524" spans="2:5" ht="13.75" hidden="1" customHeight="1" x14ac:dyDescent="0.2">
      <c r="B2524" s="1665">
        <f>+B168</f>
        <v>0</v>
      </c>
      <c r="C2524" s="193">
        <f t="shared" ref="C2524:C2529" si="2096">+U168</f>
        <v>0</v>
      </c>
      <c r="D2524" s="193"/>
      <c r="E2524" s="1600"/>
    </row>
    <row r="2525" spans="2:5" ht="13.75" hidden="1" customHeight="1" x14ac:dyDescent="0.2">
      <c r="B2525" s="1665">
        <f>+B169</f>
        <v>0</v>
      </c>
      <c r="C2525" s="193">
        <f t="shared" si="2096"/>
        <v>0</v>
      </c>
      <c r="D2525" s="193"/>
      <c r="E2525" s="1600"/>
    </row>
    <row r="2526" spans="2:5" ht="13.75" hidden="1" customHeight="1" x14ac:dyDescent="0.2">
      <c r="B2526" s="1665">
        <f>+B170</f>
        <v>0</v>
      </c>
      <c r="C2526" s="193">
        <f t="shared" si="2096"/>
        <v>0</v>
      </c>
      <c r="D2526" s="193"/>
      <c r="E2526" s="1600"/>
    </row>
    <row r="2527" spans="2:5" ht="13.75" hidden="1" customHeight="1" x14ac:dyDescent="0.2">
      <c r="B2527" s="1665">
        <f>+B171</f>
        <v>0</v>
      </c>
      <c r="C2527" s="193">
        <f t="shared" si="2096"/>
        <v>0</v>
      </c>
      <c r="D2527" s="193"/>
      <c r="E2527" s="1600"/>
    </row>
    <row r="2528" spans="2:5" ht="13.75" hidden="1" customHeight="1" x14ac:dyDescent="0.2">
      <c r="B2528" s="1665">
        <f>+B172</f>
        <v>0</v>
      </c>
      <c r="C2528" s="193">
        <f t="shared" si="2096"/>
        <v>0</v>
      </c>
      <c r="D2528" s="193"/>
      <c r="E2528" s="1600"/>
    </row>
    <row r="2529" spans="2:5" ht="13.75" hidden="1" customHeight="1" x14ac:dyDescent="0.2">
      <c r="B2529" s="1665" t="str">
        <f t="shared" ref="B2529:B2534" si="2097">+B174</f>
        <v>Labores con maquinaria contratada</v>
      </c>
      <c r="C2529" s="193">
        <f t="shared" si="2096"/>
        <v>0</v>
      </c>
      <c r="D2529" s="193"/>
      <c r="E2529" s="1600"/>
    </row>
    <row r="2530" spans="2:5" ht="13.75" hidden="1" customHeight="1" x14ac:dyDescent="0.2">
      <c r="B2530" s="1665">
        <f t="shared" si="2097"/>
        <v>0</v>
      </c>
      <c r="C2530" s="193">
        <f t="shared" ref="C2530:C2535" si="2098">+U175</f>
        <v>0</v>
      </c>
      <c r="D2530" s="193"/>
      <c r="E2530" s="1600"/>
    </row>
    <row r="2531" spans="2:5" ht="13.75" hidden="1" customHeight="1" x14ac:dyDescent="0.2">
      <c r="B2531" s="1665">
        <f t="shared" si="2097"/>
        <v>0</v>
      </c>
      <c r="C2531" s="193">
        <f t="shared" si="2098"/>
        <v>0</v>
      </c>
      <c r="D2531" s="193"/>
      <c r="E2531" s="1600"/>
    </row>
    <row r="2532" spans="2:5" ht="13.75" hidden="1" customHeight="1" x14ac:dyDescent="0.2">
      <c r="B2532" s="1665">
        <f t="shared" si="2097"/>
        <v>0</v>
      </c>
      <c r="C2532" s="193">
        <f t="shared" si="2098"/>
        <v>0</v>
      </c>
      <c r="D2532" s="193"/>
      <c r="E2532" s="1600"/>
    </row>
    <row r="2533" spans="2:5" ht="13.75" hidden="1" customHeight="1" x14ac:dyDescent="0.2">
      <c r="B2533" s="1665">
        <f t="shared" si="2097"/>
        <v>0</v>
      </c>
      <c r="C2533" s="193">
        <f t="shared" si="2098"/>
        <v>0</v>
      </c>
      <c r="D2533" s="193"/>
      <c r="E2533" s="1600"/>
    </row>
    <row r="2534" spans="2:5" ht="13.75" hidden="1" customHeight="1" x14ac:dyDescent="0.2">
      <c r="B2534" s="1665">
        <f t="shared" si="2097"/>
        <v>0</v>
      </c>
      <c r="C2534" s="193">
        <f t="shared" si="2098"/>
        <v>0</v>
      </c>
      <c r="D2534" s="193"/>
      <c r="E2534" s="1600"/>
    </row>
    <row r="2535" spans="2:5" ht="13.75" hidden="1" customHeight="1" x14ac:dyDescent="0.2">
      <c r="B2535" s="1665" t="str">
        <f t="shared" ref="B2535:B2543" si="2099">+B181</f>
        <v>Semillas</v>
      </c>
      <c r="C2535" s="193">
        <f t="shared" si="2098"/>
        <v>0</v>
      </c>
      <c r="D2535" s="193"/>
      <c r="E2535" s="1600"/>
    </row>
    <row r="2536" spans="2:5" ht="13.75" hidden="1" customHeight="1" x14ac:dyDescent="0.2">
      <c r="B2536" s="1665">
        <f t="shared" si="2099"/>
        <v>0</v>
      </c>
      <c r="C2536" s="193">
        <f t="shared" ref="C2536:C2544" si="2100">+U182</f>
        <v>0</v>
      </c>
      <c r="D2536" s="193"/>
      <c r="E2536" s="1600"/>
    </row>
    <row r="2537" spans="2:5" ht="13.75" hidden="1" customHeight="1" x14ac:dyDescent="0.2">
      <c r="B2537" s="1665">
        <f t="shared" si="2099"/>
        <v>0</v>
      </c>
      <c r="C2537" s="193">
        <f t="shared" si="2100"/>
        <v>0</v>
      </c>
      <c r="D2537" s="193"/>
      <c r="E2537" s="1600"/>
    </row>
    <row r="2538" spans="2:5" ht="13.75" hidden="1" customHeight="1" x14ac:dyDescent="0.2">
      <c r="B2538" s="1665">
        <f t="shared" si="2099"/>
        <v>0</v>
      </c>
      <c r="C2538" s="193">
        <f t="shared" si="2100"/>
        <v>0</v>
      </c>
      <c r="D2538" s="193"/>
      <c r="E2538" s="1600"/>
    </row>
    <row r="2539" spans="2:5" ht="13.75" hidden="1" customHeight="1" x14ac:dyDescent="0.2">
      <c r="B2539" s="1665">
        <f t="shared" si="2099"/>
        <v>0</v>
      </c>
      <c r="C2539" s="193">
        <f t="shared" si="2100"/>
        <v>0</v>
      </c>
      <c r="D2539" s="193"/>
      <c r="E2539" s="1600"/>
    </row>
    <row r="2540" spans="2:5" ht="13.75" hidden="1" customHeight="1" x14ac:dyDescent="0.2">
      <c r="B2540" s="1665">
        <f t="shared" si="2099"/>
        <v>0</v>
      </c>
      <c r="C2540" s="193">
        <f t="shared" si="2100"/>
        <v>0</v>
      </c>
      <c r="D2540" s="193"/>
      <c r="E2540" s="1600"/>
    </row>
    <row r="2541" spans="2:5" ht="13.75" hidden="1" customHeight="1" x14ac:dyDescent="0.2">
      <c r="B2541" s="1665">
        <f t="shared" si="2099"/>
        <v>0</v>
      </c>
      <c r="C2541" s="193">
        <f t="shared" si="2100"/>
        <v>0</v>
      </c>
      <c r="D2541" s="193"/>
      <c r="E2541" s="1600"/>
    </row>
    <row r="2542" spans="2:5" ht="13.75" hidden="1" customHeight="1" x14ac:dyDescent="0.2">
      <c r="B2542" s="1665">
        <f t="shared" si="2099"/>
        <v>0</v>
      </c>
      <c r="C2542" s="193">
        <f t="shared" si="2100"/>
        <v>0</v>
      </c>
      <c r="D2542" s="193"/>
      <c r="E2542" s="1600"/>
    </row>
    <row r="2543" spans="2:5" ht="13.75" hidden="1" customHeight="1" x14ac:dyDescent="0.2">
      <c r="B2543" s="1665">
        <f t="shared" si="2099"/>
        <v>0</v>
      </c>
      <c r="C2543" s="193">
        <f t="shared" si="2100"/>
        <v>0</v>
      </c>
      <c r="D2543" s="193"/>
      <c r="E2543" s="1600"/>
    </row>
    <row r="2544" spans="2:5" ht="13.75" hidden="1" customHeight="1" x14ac:dyDescent="0.2">
      <c r="B2544" s="1665" t="str">
        <f>+B191</f>
        <v xml:space="preserve">Fertilizantes </v>
      </c>
      <c r="C2544" s="193">
        <f t="shared" si="2100"/>
        <v>0</v>
      </c>
      <c r="D2544" s="193"/>
      <c r="E2544" s="1600"/>
    </row>
    <row r="2545" spans="2:5" ht="13.75" hidden="1" customHeight="1" x14ac:dyDescent="0.2">
      <c r="B2545" s="1665">
        <f>+B192</f>
        <v>0</v>
      </c>
      <c r="C2545" s="193">
        <f>+U192</f>
        <v>0</v>
      </c>
      <c r="D2545" s="193"/>
      <c r="E2545" s="1600"/>
    </row>
    <row r="2546" spans="2:5" ht="13.75" hidden="1" customHeight="1" x14ac:dyDescent="0.2">
      <c r="B2546" s="1665">
        <f>+B193</f>
        <v>0</v>
      </c>
      <c r="C2546" s="193">
        <f>+U193</f>
        <v>0</v>
      </c>
      <c r="D2546" s="193"/>
      <c r="E2546" s="1600"/>
    </row>
    <row r="2547" spans="2:5" ht="13.75" hidden="1" customHeight="1" x14ac:dyDescent="0.2">
      <c r="B2547" s="1665">
        <f>+B194</f>
        <v>0</v>
      </c>
      <c r="C2547" s="193">
        <f>+U194</f>
        <v>0</v>
      </c>
      <c r="D2547" s="193"/>
      <c r="E2547" s="1600"/>
    </row>
    <row r="2548" spans="2:5" ht="13.75" hidden="1" customHeight="1" x14ac:dyDescent="0.2">
      <c r="B2548" s="1665" t="str">
        <f t="shared" ref="B2548:B2554" si="2101">+B196</f>
        <v xml:space="preserve">Agroquímicos </v>
      </c>
      <c r="C2548" s="193">
        <f>+U195</f>
        <v>0</v>
      </c>
      <c r="D2548" s="193"/>
      <c r="E2548" s="1600"/>
    </row>
    <row r="2549" spans="2:5" ht="13.75" hidden="1" customHeight="1" x14ac:dyDescent="0.2">
      <c r="B2549" s="1665">
        <f t="shared" si="2101"/>
        <v>0</v>
      </c>
      <c r="C2549" s="193">
        <f t="shared" ref="C2549:C2554" si="2102">+U197</f>
        <v>0</v>
      </c>
      <c r="D2549" s="193"/>
      <c r="E2549" s="1600"/>
    </row>
    <row r="2550" spans="2:5" ht="13.75" hidden="1" customHeight="1" x14ac:dyDescent="0.2">
      <c r="B2550" s="1665">
        <f t="shared" si="2101"/>
        <v>0</v>
      </c>
      <c r="C2550" s="193">
        <f t="shared" si="2102"/>
        <v>0</v>
      </c>
      <c r="D2550" s="193"/>
      <c r="E2550" s="1600"/>
    </row>
    <row r="2551" spans="2:5" ht="13.75" hidden="1" customHeight="1" x14ac:dyDescent="0.2">
      <c r="B2551" s="1665">
        <f t="shared" si="2101"/>
        <v>0</v>
      </c>
      <c r="C2551" s="193">
        <f t="shared" si="2102"/>
        <v>0</v>
      </c>
      <c r="D2551" s="193"/>
      <c r="E2551" s="1600"/>
    </row>
    <row r="2552" spans="2:5" ht="13.75" hidden="1" customHeight="1" x14ac:dyDescent="0.2">
      <c r="B2552" s="1665" t="str">
        <f t="shared" si="2101"/>
        <v>Sub total agroquímicos</v>
      </c>
      <c r="C2552" s="193">
        <f t="shared" si="2102"/>
        <v>0</v>
      </c>
      <c r="D2552" s="193"/>
      <c r="E2552" s="1600"/>
    </row>
    <row r="2553" spans="2:5" ht="13.75" hidden="1" customHeight="1" x14ac:dyDescent="0.2">
      <c r="B2553" s="1665" t="str">
        <f t="shared" si="2101"/>
        <v xml:space="preserve">COSTO TOTAL DE IMPLANTACIÓN </v>
      </c>
      <c r="C2553" s="193">
        <f t="shared" si="2102"/>
        <v>0</v>
      </c>
      <c r="D2553" s="193"/>
      <c r="E2553" s="1600"/>
    </row>
    <row r="2554" spans="2:5" ht="13.75" hidden="1" customHeight="1" x14ac:dyDescent="0.2">
      <c r="B2554" s="1665">
        <f t="shared" si="2101"/>
        <v>0</v>
      </c>
      <c r="C2554" s="193">
        <f t="shared" si="2102"/>
        <v>0</v>
      </c>
      <c r="D2554" s="193"/>
      <c r="E2554" s="1600"/>
    </row>
    <row r="2555" spans="2:5" ht="13.75" hidden="1" customHeight="1" x14ac:dyDescent="0.2">
      <c r="B2555" s="1665" t="str">
        <f>+B204</f>
        <v>Costo de implantación de</v>
      </c>
      <c r="C2555" s="193" t="str">
        <f>+U205</f>
        <v>Has/año</v>
      </c>
      <c r="D2555" s="193"/>
      <c r="E2555" s="1600"/>
    </row>
    <row r="2556" spans="2:5" ht="13.75" hidden="1" customHeight="1" x14ac:dyDescent="0.2">
      <c r="B2556" s="1665">
        <f>+C204</f>
        <v>0</v>
      </c>
      <c r="C2556" s="193" t="str">
        <f>+U207</f>
        <v>Unidades</v>
      </c>
      <c r="D2556" s="193"/>
      <c r="E2556" s="1600"/>
    </row>
    <row r="2557" spans="2:5" ht="13.75" hidden="1" customHeight="1" x14ac:dyDescent="0.2">
      <c r="B2557" s="1665" t="str">
        <f t="shared" ref="B2557:B2562" si="2103">+B208</f>
        <v>Labores con maquinaria propia</v>
      </c>
      <c r="C2557" s="193">
        <f>+U206</f>
        <v>0</v>
      </c>
      <c r="D2557" s="193"/>
      <c r="E2557" s="1600"/>
    </row>
    <row r="2558" spans="2:5" ht="13.75" hidden="1" customHeight="1" x14ac:dyDescent="0.2">
      <c r="B2558" s="1665">
        <f t="shared" si="2103"/>
        <v>0</v>
      </c>
      <c r="C2558" s="193">
        <f t="shared" ref="C2558:C2563" si="2104">+U209</f>
        <v>0</v>
      </c>
      <c r="D2558" s="193"/>
      <c r="E2558" s="1600"/>
    </row>
    <row r="2559" spans="2:5" ht="13.75" hidden="1" customHeight="1" x14ac:dyDescent="0.2">
      <c r="B2559" s="1665">
        <f t="shared" si="2103"/>
        <v>0</v>
      </c>
      <c r="C2559" s="193">
        <f t="shared" si="2104"/>
        <v>0</v>
      </c>
      <c r="D2559" s="193"/>
      <c r="E2559" s="1600"/>
    </row>
    <row r="2560" spans="2:5" ht="13.75" hidden="1" customHeight="1" x14ac:dyDescent="0.2">
      <c r="B2560" s="1665">
        <f t="shared" si="2103"/>
        <v>0</v>
      </c>
      <c r="C2560" s="193">
        <f t="shared" si="2104"/>
        <v>0</v>
      </c>
      <c r="D2560" s="193"/>
      <c r="E2560" s="1600"/>
    </row>
    <row r="2561" spans="2:5" ht="13.75" hidden="1" customHeight="1" x14ac:dyDescent="0.2">
      <c r="B2561" s="1665">
        <f t="shared" si="2103"/>
        <v>0</v>
      </c>
      <c r="C2561" s="193">
        <f t="shared" si="2104"/>
        <v>0</v>
      </c>
      <c r="D2561" s="193"/>
      <c r="E2561" s="1600"/>
    </row>
    <row r="2562" spans="2:5" ht="13.75" hidden="1" customHeight="1" x14ac:dyDescent="0.2">
      <c r="B2562" s="1665">
        <f t="shared" si="2103"/>
        <v>0</v>
      </c>
      <c r="C2562" s="193">
        <f t="shared" si="2104"/>
        <v>0</v>
      </c>
      <c r="D2562" s="193"/>
      <c r="E2562" s="1600"/>
    </row>
    <row r="2563" spans="2:5" ht="13.75" hidden="1" customHeight="1" x14ac:dyDescent="0.2">
      <c r="B2563" s="1665" t="str">
        <f t="shared" ref="B2563:B2568" si="2105">+B215</f>
        <v>Labores con maquinaria contratada</v>
      </c>
      <c r="C2563" s="193">
        <f t="shared" si="2104"/>
        <v>0</v>
      </c>
      <c r="D2563" s="193"/>
      <c r="E2563" s="1600"/>
    </row>
    <row r="2564" spans="2:5" ht="13.75" hidden="1" customHeight="1" x14ac:dyDescent="0.2">
      <c r="B2564" s="1665">
        <f t="shared" si="2105"/>
        <v>0</v>
      </c>
      <c r="C2564" s="193">
        <f t="shared" ref="C2564:C2569" si="2106">+U216</f>
        <v>0</v>
      </c>
      <c r="D2564" s="193"/>
      <c r="E2564" s="1600"/>
    </row>
    <row r="2565" spans="2:5" ht="13.75" hidden="1" customHeight="1" x14ac:dyDescent="0.2">
      <c r="B2565" s="1665">
        <f t="shared" si="2105"/>
        <v>0</v>
      </c>
      <c r="C2565" s="193">
        <f t="shared" si="2106"/>
        <v>0</v>
      </c>
      <c r="D2565" s="193"/>
      <c r="E2565" s="1600"/>
    </row>
    <row r="2566" spans="2:5" ht="13.75" hidden="1" customHeight="1" x14ac:dyDescent="0.2">
      <c r="B2566" s="1665">
        <f t="shared" si="2105"/>
        <v>0</v>
      </c>
      <c r="C2566" s="193">
        <f t="shared" si="2106"/>
        <v>0</v>
      </c>
      <c r="D2566" s="193"/>
      <c r="E2566" s="1600"/>
    </row>
    <row r="2567" spans="2:5" ht="13.75" hidden="1" customHeight="1" x14ac:dyDescent="0.2">
      <c r="B2567" s="1665">
        <f t="shared" si="2105"/>
        <v>0</v>
      </c>
      <c r="C2567" s="193">
        <f t="shared" si="2106"/>
        <v>0</v>
      </c>
      <c r="D2567" s="193"/>
      <c r="E2567" s="1600"/>
    </row>
    <row r="2568" spans="2:5" ht="13.75" hidden="1" customHeight="1" x14ac:dyDescent="0.2">
      <c r="B2568" s="1665">
        <f t="shared" si="2105"/>
        <v>0</v>
      </c>
      <c r="C2568" s="193">
        <f t="shared" si="2106"/>
        <v>0</v>
      </c>
      <c r="D2568" s="193"/>
      <c r="E2568" s="1600"/>
    </row>
    <row r="2569" spans="2:5" ht="13.75" hidden="1" customHeight="1" x14ac:dyDescent="0.2">
      <c r="B2569" s="1665" t="str">
        <f t="shared" ref="B2569:B2577" si="2107">+B222</f>
        <v>Semillas</v>
      </c>
      <c r="C2569" s="193">
        <f t="shared" si="2106"/>
        <v>0</v>
      </c>
      <c r="D2569" s="193"/>
      <c r="E2569" s="1600"/>
    </row>
    <row r="2570" spans="2:5" ht="13.75" hidden="1" customHeight="1" x14ac:dyDescent="0.2">
      <c r="B2570" s="1665">
        <f t="shared" si="2107"/>
        <v>0</v>
      </c>
      <c r="C2570" s="193">
        <f t="shared" ref="C2570:C2578" si="2108">+U223</f>
        <v>0</v>
      </c>
      <c r="D2570" s="193"/>
      <c r="E2570" s="1600"/>
    </row>
    <row r="2571" spans="2:5" ht="13.75" hidden="1" customHeight="1" x14ac:dyDescent="0.2">
      <c r="B2571" s="1665">
        <f t="shared" si="2107"/>
        <v>0</v>
      </c>
      <c r="C2571" s="193">
        <f t="shared" si="2108"/>
        <v>0</v>
      </c>
      <c r="D2571" s="193"/>
      <c r="E2571" s="1600"/>
    </row>
    <row r="2572" spans="2:5" ht="13.75" hidden="1" customHeight="1" x14ac:dyDescent="0.2">
      <c r="B2572" s="1665">
        <f t="shared" si="2107"/>
        <v>0</v>
      </c>
      <c r="C2572" s="193">
        <f t="shared" si="2108"/>
        <v>0</v>
      </c>
      <c r="D2572" s="193"/>
      <c r="E2572" s="1600"/>
    </row>
    <row r="2573" spans="2:5" ht="13.75" hidden="1" customHeight="1" x14ac:dyDescent="0.2">
      <c r="B2573" s="1665">
        <f t="shared" si="2107"/>
        <v>0</v>
      </c>
      <c r="C2573" s="193">
        <f t="shared" si="2108"/>
        <v>0</v>
      </c>
      <c r="D2573" s="193"/>
      <c r="E2573" s="1600"/>
    </row>
    <row r="2574" spans="2:5" ht="13.75" hidden="1" customHeight="1" x14ac:dyDescent="0.2">
      <c r="B2574" s="1665">
        <f t="shared" si="2107"/>
        <v>0</v>
      </c>
      <c r="C2574" s="193">
        <f t="shared" si="2108"/>
        <v>0</v>
      </c>
      <c r="D2574" s="193"/>
      <c r="E2574" s="1600"/>
    </row>
    <row r="2575" spans="2:5" ht="13.75" hidden="1" customHeight="1" x14ac:dyDescent="0.2">
      <c r="B2575" s="1665">
        <f t="shared" si="2107"/>
        <v>0</v>
      </c>
      <c r="C2575" s="193">
        <f t="shared" si="2108"/>
        <v>0</v>
      </c>
      <c r="D2575" s="193"/>
      <c r="E2575" s="1600"/>
    </row>
    <row r="2576" spans="2:5" ht="13.75" hidden="1" customHeight="1" x14ac:dyDescent="0.2">
      <c r="B2576" s="1665">
        <f t="shared" si="2107"/>
        <v>0</v>
      </c>
      <c r="C2576" s="193">
        <f t="shared" si="2108"/>
        <v>0</v>
      </c>
      <c r="D2576" s="193"/>
      <c r="E2576" s="1600"/>
    </row>
    <row r="2577" spans="2:5" ht="13.75" hidden="1" customHeight="1" x14ac:dyDescent="0.2">
      <c r="B2577" s="1665">
        <f t="shared" si="2107"/>
        <v>0</v>
      </c>
      <c r="C2577" s="193">
        <f t="shared" si="2108"/>
        <v>0</v>
      </c>
      <c r="D2577" s="193"/>
      <c r="E2577" s="1600"/>
    </row>
    <row r="2578" spans="2:5" ht="13.75" hidden="1" customHeight="1" x14ac:dyDescent="0.2">
      <c r="B2578" s="1665" t="str">
        <f>+B232</f>
        <v xml:space="preserve">Fertilizantes </v>
      </c>
      <c r="C2578" s="193">
        <f t="shared" si="2108"/>
        <v>0</v>
      </c>
      <c r="D2578" s="193"/>
      <c r="E2578" s="1600"/>
    </row>
    <row r="2579" spans="2:5" ht="13.75" hidden="1" customHeight="1" x14ac:dyDescent="0.2">
      <c r="B2579" s="1665">
        <f>+B233</f>
        <v>0</v>
      </c>
      <c r="C2579" s="193">
        <f>+U233</f>
        <v>0</v>
      </c>
      <c r="D2579" s="193"/>
      <c r="E2579" s="1600"/>
    </row>
    <row r="2580" spans="2:5" ht="13.75" hidden="1" customHeight="1" x14ac:dyDescent="0.2">
      <c r="B2580" s="1665">
        <f>+B234</f>
        <v>0</v>
      </c>
      <c r="C2580" s="193">
        <f>+U234</f>
        <v>0</v>
      </c>
      <c r="D2580" s="193"/>
      <c r="E2580" s="1600"/>
    </row>
    <row r="2581" spans="2:5" ht="13.75" hidden="1" customHeight="1" x14ac:dyDescent="0.2">
      <c r="B2581" s="1665">
        <f>+B235</f>
        <v>0</v>
      </c>
      <c r="C2581" s="193">
        <f>+U235</f>
        <v>0</v>
      </c>
      <c r="D2581" s="193"/>
      <c r="E2581" s="1600"/>
    </row>
    <row r="2582" spans="2:5" ht="13.75" hidden="1" customHeight="1" x14ac:dyDescent="0.2">
      <c r="B2582" s="1665" t="str">
        <f t="shared" ref="B2582:B2588" si="2109">+B237</f>
        <v xml:space="preserve">Agroquímicos </v>
      </c>
      <c r="C2582" s="193">
        <f>+U236</f>
        <v>0</v>
      </c>
      <c r="D2582" s="193"/>
      <c r="E2582" s="1600"/>
    </row>
    <row r="2583" spans="2:5" ht="13.75" hidden="1" customHeight="1" x14ac:dyDescent="0.2">
      <c r="B2583" s="1665">
        <f t="shared" si="2109"/>
        <v>0</v>
      </c>
      <c r="C2583" s="193">
        <f t="shared" ref="C2583:C2588" si="2110">+U238</f>
        <v>0</v>
      </c>
      <c r="D2583" s="193"/>
      <c r="E2583" s="1600"/>
    </row>
    <row r="2584" spans="2:5" ht="13.75" hidden="1" customHeight="1" x14ac:dyDescent="0.2">
      <c r="B2584" s="1665">
        <f t="shared" si="2109"/>
        <v>0</v>
      </c>
      <c r="C2584" s="193">
        <f t="shared" si="2110"/>
        <v>0</v>
      </c>
      <c r="D2584" s="193"/>
      <c r="E2584" s="1600"/>
    </row>
    <row r="2585" spans="2:5" ht="13.75" hidden="1" customHeight="1" x14ac:dyDescent="0.2">
      <c r="B2585" s="1665">
        <f t="shared" si="2109"/>
        <v>0</v>
      </c>
      <c r="C2585" s="193">
        <f t="shared" si="2110"/>
        <v>0</v>
      </c>
      <c r="D2585" s="193"/>
      <c r="E2585" s="1600"/>
    </row>
    <row r="2586" spans="2:5" ht="13.75" hidden="1" customHeight="1" x14ac:dyDescent="0.2">
      <c r="B2586" s="1665" t="str">
        <f t="shared" si="2109"/>
        <v>Sub total agroquímicos</v>
      </c>
      <c r="C2586" s="193">
        <f t="shared" si="2110"/>
        <v>0</v>
      </c>
      <c r="D2586" s="193"/>
      <c r="E2586" s="1600"/>
    </row>
    <row r="2587" spans="2:5" ht="13.75" hidden="1" customHeight="1" x14ac:dyDescent="0.2">
      <c r="B2587" s="1665" t="str">
        <f t="shared" si="2109"/>
        <v xml:space="preserve">COSTO TOTAL DE IMPLANTACIÓN </v>
      </c>
      <c r="C2587" s="193">
        <f t="shared" si="2110"/>
        <v>0</v>
      </c>
      <c r="D2587" s="193"/>
      <c r="E2587" s="1600"/>
    </row>
    <row r="2588" spans="2:5" ht="13.75" hidden="1" customHeight="1" x14ac:dyDescent="0.2">
      <c r="B2588" s="1665">
        <f t="shared" si="2109"/>
        <v>0</v>
      </c>
      <c r="C2588" s="193">
        <f t="shared" si="2110"/>
        <v>0</v>
      </c>
      <c r="D2588" s="193"/>
      <c r="E2588" s="1600"/>
    </row>
    <row r="2589" spans="2:5" ht="13.75" hidden="1" customHeight="1" x14ac:dyDescent="0.2">
      <c r="B2589" s="1665" t="str">
        <f>+B245</f>
        <v>Costo de implantación de</v>
      </c>
      <c r="C2589" s="193">
        <f>+U245</f>
        <v>0</v>
      </c>
      <c r="D2589" s="193"/>
      <c r="E2589" s="1600"/>
    </row>
    <row r="2590" spans="2:5" ht="13.75" hidden="1" customHeight="1" x14ac:dyDescent="0.2">
      <c r="B2590" s="1665">
        <f>+C245</f>
        <v>0</v>
      </c>
      <c r="C2590" s="193" t="str">
        <f t="shared" ref="C2590:C2597" si="2111">+U248</f>
        <v>Unidades</v>
      </c>
      <c r="D2590" s="193"/>
      <c r="E2590" s="1600"/>
    </row>
    <row r="2591" spans="2:5" ht="13.75" hidden="1" customHeight="1" x14ac:dyDescent="0.2">
      <c r="B2591" s="1665" t="str">
        <f t="shared" ref="B2591:B2596" si="2112">+B249</f>
        <v>Labores con maquinaria propia</v>
      </c>
      <c r="C2591" s="193" t="str">
        <f t="shared" si="2111"/>
        <v>por año</v>
      </c>
      <c r="D2591" s="193"/>
      <c r="E2591" s="1600"/>
    </row>
    <row r="2592" spans="2:5" ht="13.75" hidden="1" customHeight="1" x14ac:dyDescent="0.2">
      <c r="B2592" s="1665">
        <f t="shared" si="2112"/>
        <v>0</v>
      </c>
      <c r="C2592" s="193">
        <f t="shared" si="2111"/>
        <v>0</v>
      </c>
      <c r="D2592" s="193"/>
      <c r="E2592" s="1600"/>
    </row>
    <row r="2593" spans="2:5" ht="13.75" hidden="1" customHeight="1" x14ac:dyDescent="0.2">
      <c r="B2593" s="1665">
        <f t="shared" si="2112"/>
        <v>0</v>
      </c>
      <c r="C2593" s="193">
        <f t="shared" si="2111"/>
        <v>0</v>
      </c>
      <c r="D2593" s="193"/>
      <c r="E2593" s="1600"/>
    </row>
    <row r="2594" spans="2:5" ht="13.75" hidden="1" customHeight="1" x14ac:dyDescent="0.2">
      <c r="B2594" s="1665">
        <f t="shared" si="2112"/>
        <v>0</v>
      </c>
      <c r="C2594" s="193">
        <f t="shared" si="2111"/>
        <v>0</v>
      </c>
      <c r="D2594" s="193"/>
      <c r="E2594" s="1600"/>
    </row>
    <row r="2595" spans="2:5" ht="13.75" hidden="1" customHeight="1" x14ac:dyDescent="0.2">
      <c r="B2595" s="1665">
        <f t="shared" si="2112"/>
        <v>0</v>
      </c>
      <c r="C2595" s="193">
        <f t="shared" si="2111"/>
        <v>0</v>
      </c>
      <c r="D2595" s="193"/>
      <c r="E2595" s="1600"/>
    </row>
    <row r="2596" spans="2:5" ht="13.75" hidden="1" customHeight="1" x14ac:dyDescent="0.2">
      <c r="B2596" s="1665">
        <f t="shared" si="2112"/>
        <v>0</v>
      </c>
      <c r="C2596" s="193">
        <f t="shared" si="2111"/>
        <v>0</v>
      </c>
      <c r="D2596" s="193"/>
      <c r="E2596" s="1600"/>
    </row>
    <row r="2597" spans="2:5" ht="13.75" hidden="1" customHeight="1" x14ac:dyDescent="0.2">
      <c r="B2597" s="1665" t="str">
        <f t="shared" ref="B2597:B2602" si="2113">+B256</f>
        <v>Labores con maquinaria contratada</v>
      </c>
      <c r="C2597" s="193">
        <f t="shared" si="2111"/>
        <v>0</v>
      </c>
      <c r="D2597" s="193"/>
      <c r="E2597" s="1600"/>
    </row>
    <row r="2598" spans="2:5" ht="13.75" hidden="1" customHeight="1" x14ac:dyDescent="0.2">
      <c r="B2598" s="1665">
        <f t="shared" si="2113"/>
        <v>0</v>
      </c>
      <c r="C2598" s="193">
        <f t="shared" ref="C2598:C2603" si="2114">+U257</f>
        <v>0</v>
      </c>
      <c r="D2598" s="193"/>
      <c r="E2598" s="1600"/>
    </row>
    <row r="2599" spans="2:5" ht="13.75" hidden="1" customHeight="1" x14ac:dyDescent="0.2">
      <c r="B2599" s="1665">
        <f t="shared" si="2113"/>
        <v>0</v>
      </c>
      <c r="C2599" s="193">
        <f t="shared" si="2114"/>
        <v>0</v>
      </c>
      <c r="D2599" s="193"/>
      <c r="E2599" s="1600"/>
    </row>
    <row r="2600" spans="2:5" ht="13.75" hidden="1" customHeight="1" x14ac:dyDescent="0.2">
      <c r="B2600" s="1665">
        <f t="shared" si="2113"/>
        <v>0</v>
      </c>
      <c r="C2600" s="193">
        <f t="shared" si="2114"/>
        <v>0</v>
      </c>
      <c r="D2600" s="193"/>
      <c r="E2600" s="1600"/>
    </row>
    <row r="2601" spans="2:5" ht="13.75" hidden="1" customHeight="1" x14ac:dyDescent="0.2">
      <c r="B2601" s="1665">
        <f t="shared" si="2113"/>
        <v>0</v>
      </c>
      <c r="C2601" s="193">
        <f t="shared" si="2114"/>
        <v>0</v>
      </c>
      <c r="D2601" s="193"/>
      <c r="E2601" s="1600"/>
    </row>
    <row r="2602" spans="2:5" ht="13.75" hidden="1" customHeight="1" x14ac:dyDescent="0.2">
      <c r="B2602" s="1665">
        <f t="shared" si="2113"/>
        <v>0</v>
      </c>
      <c r="C2602" s="193">
        <f t="shared" si="2114"/>
        <v>0</v>
      </c>
      <c r="D2602" s="193"/>
      <c r="E2602" s="1600"/>
    </row>
    <row r="2603" spans="2:5" ht="13.75" hidden="1" customHeight="1" x14ac:dyDescent="0.2">
      <c r="B2603" s="1665" t="str">
        <f t="shared" ref="B2603:B2611" si="2115">+B263</f>
        <v>Semillas</v>
      </c>
      <c r="C2603" s="193">
        <f t="shared" si="2114"/>
        <v>0</v>
      </c>
      <c r="D2603" s="193"/>
      <c r="E2603" s="1600"/>
    </row>
    <row r="2604" spans="2:5" ht="13.75" hidden="1" customHeight="1" x14ac:dyDescent="0.2">
      <c r="B2604" s="1665">
        <f t="shared" si="2115"/>
        <v>0</v>
      </c>
      <c r="C2604" s="193">
        <f t="shared" ref="C2604:C2612" si="2116">+U264</f>
        <v>0</v>
      </c>
      <c r="D2604" s="193"/>
      <c r="E2604" s="1600"/>
    </row>
    <row r="2605" spans="2:5" ht="13.75" hidden="1" customHeight="1" x14ac:dyDescent="0.2">
      <c r="B2605" s="1665">
        <f t="shared" si="2115"/>
        <v>0</v>
      </c>
      <c r="C2605" s="193">
        <f t="shared" si="2116"/>
        <v>0</v>
      </c>
      <c r="D2605" s="193"/>
      <c r="E2605" s="1600"/>
    </row>
    <row r="2606" spans="2:5" ht="13.75" hidden="1" customHeight="1" x14ac:dyDescent="0.2">
      <c r="B2606" s="1665">
        <f t="shared" si="2115"/>
        <v>0</v>
      </c>
      <c r="C2606" s="193">
        <f t="shared" si="2116"/>
        <v>0</v>
      </c>
      <c r="D2606" s="193"/>
      <c r="E2606" s="1600"/>
    </row>
    <row r="2607" spans="2:5" ht="13.75" hidden="1" customHeight="1" x14ac:dyDescent="0.2">
      <c r="B2607" s="1665">
        <f t="shared" si="2115"/>
        <v>0</v>
      </c>
      <c r="C2607" s="193">
        <f t="shared" si="2116"/>
        <v>0</v>
      </c>
      <c r="D2607" s="193"/>
      <c r="E2607" s="1600"/>
    </row>
    <row r="2608" spans="2:5" ht="13.75" hidden="1" customHeight="1" x14ac:dyDescent="0.2">
      <c r="B2608" s="1665">
        <f t="shared" si="2115"/>
        <v>0</v>
      </c>
      <c r="C2608" s="193">
        <f t="shared" si="2116"/>
        <v>0</v>
      </c>
      <c r="D2608" s="193"/>
      <c r="E2608" s="1600"/>
    </row>
    <row r="2609" spans="2:5" ht="13.75" hidden="1" customHeight="1" x14ac:dyDescent="0.2">
      <c r="B2609" s="1665">
        <f t="shared" si="2115"/>
        <v>0</v>
      </c>
      <c r="C2609" s="193">
        <f t="shared" si="2116"/>
        <v>0</v>
      </c>
      <c r="D2609" s="193"/>
      <c r="E2609" s="1600"/>
    </row>
    <row r="2610" spans="2:5" ht="13.75" hidden="1" customHeight="1" x14ac:dyDescent="0.2">
      <c r="B2610" s="1665">
        <f t="shared" si="2115"/>
        <v>0</v>
      </c>
      <c r="C2610" s="193">
        <f t="shared" si="2116"/>
        <v>0</v>
      </c>
      <c r="D2610" s="193"/>
      <c r="E2610" s="1600"/>
    </row>
    <row r="2611" spans="2:5" ht="13.75" hidden="1" customHeight="1" x14ac:dyDescent="0.2">
      <c r="B2611" s="1665">
        <f t="shared" si="2115"/>
        <v>0</v>
      </c>
      <c r="C2611" s="193">
        <f t="shared" si="2116"/>
        <v>0</v>
      </c>
      <c r="D2611" s="193"/>
      <c r="E2611" s="1600"/>
    </row>
    <row r="2612" spans="2:5" ht="13.75" hidden="1" customHeight="1" x14ac:dyDescent="0.2">
      <c r="B2612" s="1665" t="str">
        <f>+B273</f>
        <v xml:space="preserve">Fertilizantes </v>
      </c>
      <c r="C2612" s="193">
        <f t="shared" si="2116"/>
        <v>0</v>
      </c>
      <c r="D2612" s="193"/>
      <c r="E2612" s="1600"/>
    </row>
    <row r="2613" spans="2:5" ht="13.75" hidden="1" customHeight="1" x14ac:dyDescent="0.2">
      <c r="B2613" s="1665">
        <f>+B274</f>
        <v>0</v>
      </c>
      <c r="C2613" s="193">
        <f>+U274</f>
        <v>0</v>
      </c>
      <c r="D2613" s="193"/>
      <c r="E2613" s="1600"/>
    </row>
    <row r="2614" spans="2:5" ht="13.75" hidden="1" customHeight="1" x14ac:dyDescent="0.2">
      <c r="B2614" s="1665">
        <f>+B275</f>
        <v>0</v>
      </c>
      <c r="C2614" s="193">
        <f>+U275</f>
        <v>0</v>
      </c>
      <c r="D2614" s="193"/>
      <c r="E2614" s="1600"/>
    </row>
    <row r="2615" spans="2:5" ht="13.75" hidden="1" customHeight="1" x14ac:dyDescent="0.2">
      <c r="B2615" s="1665">
        <f>+B276</f>
        <v>0</v>
      </c>
      <c r="C2615" s="193">
        <f>+U276</f>
        <v>0</v>
      </c>
      <c r="D2615" s="193"/>
      <c r="E2615" s="1600"/>
    </row>
    <row r="2616" spans="2:5" ht="13.75" hidden="1" customHeight="1" x14ac:dyDescent="0.2">
      <c r="B2616" s="1665" t="str">
        <f t="shared" ref="B2616:B2622" si="2117">+B278</f>
        <v xml:space="preserve">Agroquímicos </v>
      </c>
      <c r="C2616" s="193">
        <f>+U277</f>
        <v>0</v>
      </c>
      <c r="D2616" s="193"/>
      <c r="E2616" s="1600"/>
    </row>
    <row r="2617" spans="2:5" ht="13.75" hidden="1" customHeight="1" x14ac:dyDescent="0.2">
      <c r="B2617" s="1665">
        <f t="shared" si="2117"/>
        <v>0</v>
      </c>
      <c r="C2617" s="193">
        <f t="shared" ref="C2617:C2622" si="2118">+U279</f>
        <v>0</v>
      </c>
      <c r="D2617" s="193"/>
      <c r="E2617" s="1600"/>
    </row>
    <row r="2618" spans="2:5" ht="13.75" hidden="1" customHeight="1" x14ac:dyDescent="0.2">
      <c r="B2618" s="1665">
        <f t="shared" si="2117"/>
        <v>0</v>
      </c>
      <c r="C2618" s="193">
        <f t="shared" si="2118"/>
        <v>0</v>
      </c>
      <c r="D2618" s="193"/>
      <c r="E2618" s="1600"/>
    </row>
    <row r="2619" spans="2:5" ht="13.75" hidden="1" customHeight="1" x14ac:dyDescent="0.2">
      <c r="B2619" s="1665">
        <f t="shared" si="2117"/>
        <v>0</v>
      </c>
      <c r="C2619" s="193">
        <f t="shared" si="2118"/>
        <v>0</v>
      </c>
      <c r="D2619" s="193"/>
      <c r="E2619" s="1600"/>
    </row>
    <row r="2620" spans="2:5" ht="13.75" hidden="1" customHeight="1" x14ac:dyDescent="0.2">
      <c r="B2620" s="1665" t="str">
        <f t="shared" si="2117"/>
        <v>Sub total agroquímicos</v>
      </c>
      <c r="C2620" s="193">
        <f t="shared" si="2118"/>
        <v>0</v>
      </c>
      <c r="D2620" s="193"/>
      <c r="E2620" s="1600"/>
    </row>
    <row r="2621" spans="2:5" ht="13.75" hidden="1" customHeight="1" x14ac:dyDescent="0.2">
      <c r="B2621" s="1665" t="str">
        <f t="shared" si="2117"/>
        <v xml:space="preserve">COSTO TOTAL DE IMPLANTACIÓN </v>
      </c>
      <c r="C2621" s="193">
        <f t="shared" si="2118"/>
        <v>0</v>
      </c>
      <c r="D2621" s="193"/>
      <c r="E2621" s="1600"/>
    </row>
    <row r="2622" spans="2:5" ht="13.75" hidden="1" customHeight="1" x14ac:dyDescent="0.2">
      <c r="B2622" s="1665">
        <f t="shared" si="2117"/>
        <v>0</v>
      </c>
      <c r="C2622" s="193">
        <f t="shared" si="2118"/>
        <v>0</v>
      </c>
      <c r="D2622" s="193"/>
      <c r="E2622" s="1600"/>
    </row>
    <row r="2623" spans="2:5" ht="13.75" hidden="1" customHeight="1" x14ac:dyDescent="0.2">
      <c r="B2623" s="1665" t="str">
        <f>+B286</f>
        <v>Costo de implantación de</v>
      </c>
      <c r="C2623" s="193">
        <f>+U286</f>
        <v>0</v>
      </c>
      <c r="D2623" s="193"/>
      <c r="E2623" s="1600"/>
    </row>
    <row r="2624" spans="2:5" ht="13.75" hidden="1" customHeight="1" x14ac:dyDescent="0.2">
      <c r="B2624" s="1665">
        <f>+C286</f>
        <v>0</v>
      </c>
      <c r="C2624" s="193" t="str">
        <f>+U289</f>
        <v>Unidades</v>
      </c>
      <c r="D2624" s="193"/>
      <c r="E2624" s="1600"/>
    </row>
    <row r="2625" spans="2:5" ht="13.75" hidden="1" customHeight="1" x14ac:dyDescent="0.2">
      <c r="B2625" s="1665" t="str">
        <f t="shared" ref="B2625:B2630" si="2119">+B290</f>
        <v>Labores con maquinaria propia</v>
      </c>
      <c r="C2625" s="193">
        <f>+U288</f>
        <v>0</v>
      </c>
      <c r="D2625" s="193"/>
      <c r="E2625" s="1600"/>
    </row>
    <row r="2626" spans="2:5" ht="13.75" hidden="1" customHeight="1" x14ac:dyDescent="0.2">
      <c r="B2626" s="1665">
        <f t="shared" si="2119"/>
        <v>0</v>
      </c>
      <c r="C2626" s="193">
        <f t="shared" ref="C2626:C2631" si="2120">+U291</f>
        <v>0</v>
      </c>
      <c r="D2626" s="193"/>
      <c r="E2626" s="1600"/>
    </row>
    <row r="2627" spans="2:5" ht="13.75" hidden="1" customHeight="1" x14ac:dyDescent="0.2">
      <c r="B2627" s="1665">
        <f t="shared" si="2119"/>
        <v>0</v>
      </c>
      <c r="C2627" s="193">
        <f t="shared" si="2120"/>
        <v>0</v>
      </c>
      <c r="D2627" s="193"/>
      <c r="E2627" s="1600"/>
    </row>
    <row r="2628" spans="2:5" ht="13.75" hidden="1" customHeight="1" x14ac:dyDescent="0.2">
      <c r="B2628" s="1665">
        <f t="shared" si="2119"/>
        <v>0</v>
      </c>
      <c r="C2628" s="193">
        <f t="shared" si="2120"/>
        <v>0</v>
      </c>
      <c r="D2628" s="193"/>
      <c r="E2628" s="1600"/>
    </row>
    <row r="2629" spans="2:5" ht="13.75" hidden="1" customHeight="1" x14ac:dyDescent="0.2">
      <c r="B2629" s="1665">
        <f t="shared" si="2119"/>
        <v>0</v>
      </c>
      <c r="C2629" s="193">
        <f t="shared" si="2120"/>
        <v>0</v>
      </c>
      <c r="D2629" s="193"/>
      <c r="E2629" s="1600"/>
    </row>
    <row r="2630" spans="2:5" ht="13.75" hidden="1" customHeight="1" x14ac:dyDescent="0.2">
      <c r="B2630" s="1665">
        <f t="shared" si="2119"/>
        <v>0</v>
      </c>
      <c r="C2630" s="193">
        <f t="shared" si="2120"/>
        <v>0</v>
      </c>
      <c r="D2630" s="193"/>
      <c r="E2630" s="1600"/>
    </row>
    <row r="2631" spans="2:5" ht="13.75" hidden="1" customHeight="1" x14ac:dyDescent="0.2">
      <c r="B2631" s="1665" t="str">
        <f t="shared" ref="B2631:B2636" si="2121">+B297</f>
        <v>Labores con maquinaria contratada</v>
      </c>
      <c r="C2631" s="193">
        <f t="shared" si="2120"/>
        <v>0</v>
      </c>
      <c r="D2631" s="193"/>
      <c r="E2631" s="1600"/>
    </row>
    <row r="2632" spans="2:5" ht="13.75" hidden="1" customHeight="1" x14ac:dyDescent="0.2">
      <c r="B2632" s="1665">
        <f t="shared" si="2121"/>
        <v>0</v>
      </c>
      <c r="C2632" s="193">
        <f t="shared" ref="C2632:C2637" si="2122">+U298</f>
        <v>0</v>
      </c>
      <c r="D2632" s="193"/>
      <c r="E2632" s="1600"/>
    </row>
    <row r="2633" spans="2:5" ht="13.75" hidden="1" customHeight="1" x14ac:dyDescent="0.2">
      <c r="B2633" s="1665">
        <f t="shared" si="2121"/>
        <v>0</v>
      </c>
      <c r="C2633" s="193">
        <f t="shared" si="2122"/>
        <v>0</v>
      </c>
      <c r="D2633" s="193"/>
      <c r="E2633" s="1600"/>
    </row>
    <row r="2634" spans="2:5" ht="13.75" hidden="1" customHeight="1" x14ac:dyDescent="0.2">
      <c r="B2634" s="1665">
        <f t="shared" si="2121"/>
        <v>0</v>
      </c>
      <c r="C2634" s="193">
        <f t="shared" si="2122"/>
        <v>0</v>
      </c>
      <c r="D2634" s="193"/>
      <c r="E2634" s="1600"/>
    </row>
    <row r="2635" spans="2:5" ht="13.75" hidden="1" customHeight="1" x14ac:dyDescent="0.2">
      <c r="B2635" s="1665">
        <f t="shared" si="2121"/>
        <v>0</v>
      </c>
      <c r="C2635" s="193">
        <f t="shared" si="2122"/>
        <v>0</v>
      </c>
      <c r="D2635" s="193"/>
      <c r="E2635" s="1600"/>
    </row>
    <row r="2636" spans="2:5" ht="13.75" hidden="1" customHeight="1" x14ac:dyDescent="0.2">
      <c r="B2636" s="1665">
        <f t="shared" si="2121"/>
        <v>0</v>
      </c>
      <c r="C2636" s="193">
        <f t="shared" si="2122"/>
        <v>0</v>
      </c>
      <c r="D2636" s="193"/>
      <c r="E2636" s="1600"/>
    </row>
    <row r="2637" spans="2:5" ht="13.75" hidden="1" customHeight="1" x14ac:dyDescent="0.2">
      <c r="B2637" s="1665" t="str">
        <f t="shared" ref="B2637:B2645" si="2123">+B304</f>
        <v>Semillas</v>
      </c>
      <c r="C2637" s="193">
        <f t="shared" si="2122"/>
        <v>0</v>
      </c>
      <c r="D2637" s="193"/>
      <c r="E2637" s="1600"/>
    </row>
    <row r="2638" spans="2:5" ht="13.75" hidden="1" customHeight="1" x14ac:dyDescent="0.2">
      <c r="B2638" s="1665">
        <f t="shared" si="2123"/>
        <v>0</v>
      </c>
      <c r="C2638" s="193">
        <f t="shared" ref="C2638:C2646" si="2124">+U305</f>
        <v>0</v>
      </c>
      <c r="D2638" s="193"/>
      <c r="E2638" s="1600"/>
    </row>
    <row r="2639" spans="2:5" ht="13.75" hidden="1" customHeight="1" x14ac:dyDescent="0.2">
      <c r="B2639" s="1665">
        <f t="shared" si="2123"/>
        <v>0</v>
      </c>
      <c r="C2639" s="193">
        <f t="shared" si="2124"/>
        <v>0</v>
      </c>
      <c r="D2639" s="193"/>
      <c r="E2639" s="1600"/>
    </row>
    <row r="2640" spans="2:5" ht="13.75" hidden="1" customHeight="1" x14ac:dyDescent="0.2">
      <c r="B2640" s="1665">
        <f t="shared" si="2123"/>
        <v>0</v>
      </c>
      <c r="C2640" s="193">
        <f t="shared" si="2124"/>
        <v>0</v>
      </c>
      <c r="D2640" s="193"/>
      <c r="E2640" s="1600"/>
    </row>
    <row r="2641" spans="2:5" ht="13.75" hidden="1" customHeight="1" x14ac:dyDescent="0.2">
      <c r="B2641" s="1665">
        <f t="shared" si="2123"/>
        <v>0</v>
      </c>
      <c r="C2641" s="193">
        <f t="shared" si="2124"/>
        <v>0</v>
      </c>
      <c r="D2641" s="193"/>
      <c r="E2641" s="1600"/>
    </row>
    <row r="2642" spans="2:5" ht="13.75" hidden="1" customHeight="1" x14ac:dyDescent="0.2">
      <c r="B2642" s="1665">
        <f t="shared" si="2123"/>
        <v>0</v>
      </c>
      <c r="C2642" s="193">
        <f t="shared" si="2124"/>
        <v>0</v>
      </c>
      <c r="D2642" s="193"/>
      <c r="E2642" s="1600"/>
    </row>
    <row r="2643" spans="2:5" ht="13.75" hidden="1" customHeight="1" x14ac:dyDescent="0.2">
      <c r="B2643" s="1665">
        <f t="shared" si="2123"/>
        <v>0</v>
      </c>
      <c r="C2643" s="193">
        <f t="shared" si="2124"/>
        <v>0</v>
      </c>
      <c r="D2643" s="193"/>
      <c r="E2643" s="1600"/>
    </row>
    <row r="2644" spans="2:5" ht="13.75" hidden="1" customHeight="1" x14ac:dyDescent="0.2">
      <c r="B2644" s="1665">
        <f t="shared" si="2123"/>
        <v>0</v>
      </c>
      <c r="C2644" s="193">
        <f t="shared" si="2124"/>
        <v>0</v>
      </c>
      <c r="D2644" s="193"/>
      <c r="E2644" s="1600"/>
    </row>
    <row r="2645" spans="2:5" ht="13.75" hidden="1" customHeight="1" x14ac:dyDescent="0.2">
      <c r="B2645" s="1665">
        <f t="shared" si="2123"/>
        <v>0</v>
      </c>
      <c r="C2645" s="193">
        <f t="shared" si="2124"/>
        <v>0</v>
      </c>
      <c r="D2645" s="193"/>
      <c r="E2645" s="1600"/>
    </row>
    <row r="2646" spans="2:5" ht="13.75" hidden="1" customHeight="1" x14ac:dyDescent="0.2">
      <c r="B2646" s="1665" t="str">
        <f>+B314</f>
        <v xml:space="preserve">Fertilizantes </v>
      </c>
      <c r="C2646" s="193">
        <f t="shared" si="2124"/>
        <v>0</v>
      </c>
      <c r="D2646" s="193"/>
      <c r="E2646" s="1600"/>
    </row>
    <row r="2647" spans="2:5" ht="13.75" hidden="1" customHeight="1" x14ac:dyDescent="0.2">
      <c r="B2647" s="1665">
        <f>+B315</f>
        <v>0</v>
      </c>
      <c r="C2647" s="193">
        <f>+U315</f>
        <v>0</v>
      </c>
      <c r="D2647" s="193"/>
      <c r="E2647" s="1600"/>
    </row>
    <row r="2648" spans="2:5" ht="13.75" hidden="1" customHeight="1" x14ac:dyDescent="0.2">
      <c r="B2648" s="1665">
        <f>+B316</f>
        <v>0</v>
      </c>
      <c r="C2648" s="193">
        <f>+U316</f>
        <v>0</v>
      </c>
      <c r="D2648" s="193"/>
      <c r="E2648" s="1600"/>
    </row>
    <row r="2649" spans="2:5" ht="13.75" hidden="1" customHeight="1" x14ac:dyDescent="0.2">
      <c r="B2649" s="1665">
        <f>+B317</f>
        <v>0</v>
      </c>
      <c r="C2649" s="193">
        <f>+U317</f>
        <v>0</v>
      </c>
      <c r="D2649" s="193"/>
      <c r="E2649" s="1600"/>
    </row>
    <row r="2650" spans="2:5" ht="13.75" hidden="1" customHeight="1" x14ac:dyDescent="0.2">
      <c r="B2650" s="1665" t="str">
        <f t="shared" ref="B2650:B2656" si="2125">+B319</f>
        <v xml:space="preserve">Agroquímicos </v>
      </c>
      <c r="C2650" s="193">
        <f>+U318</f>
        <v>0</v>
      </c>
      <c r="D2650" s="193"/>
      <c r="E2650" s="1600"/>
    </row>
    <row r="2651" spans="2:5" ht="13.75" hidden="1" customHeight="1" x14ac:dyDescent="0.2">
      <c r="B2651" s="1665">
        <f t="shared" si="2125"/>
        <v>0</v>
      </c>
      <c r="C2651" s="193">
        <f t="shared" ref="C2651:C2656" si="2126">+U320</f>
        <v>0</v>
      </c>
      <c r="D2651" s="193"/>
      <c r="E2651" s="1600"/>
    </row>
    <row r="2652" spans="2:5" ht="13.75" hidden="1" customHeight="1" x14ac:dyDescent="0.2">
      <c r="B2652" s="1665">
        <f t="shared" si="2125"/>
        <v>0</v>
      </c>
      <c r="C2652" s="193">
        <f t="shared" si="2126"/>
        <v>0</v>
      </c>
      <c r="D2652" s="193"/>
      <c r="E2652" s="1600"/>
    </row>
    <row r="2653" spans="2:5" ht="13.75" hidden="1" customHeight="1" x14ac:dyDescent="0.2">
      <c r="B2653" s="1665">
        <f t="shared" si="2125"/>
        <v>0</v>
      </c>
      <c r="C2653" s="193">
        <f t="shared" si="2126"/>
        <v>0</v>
      </c>
      <c r="D2653" s="193"/>
      <c r="E2653" s="1600"/>
    </row>
    <row r="2654" spans="2:5" ht="13.75" hidden="1" customHeight="1" x14ac:dyDescent="0.2">
      <c r="B2654" s="1665" t="str">
        <f t="shared" si="2125"/>
        <v>Sub total agroquímicos</v>
      </c>
      <c r="C2654" s="193">
        <f t="shared" si="2126"/>
        <v>0</v>
      </c>
      <c r="D2654" s="193"/>
      <c r="E2654" s="1600"/>
    </row>
    <row r="2655" spans="2:5" ht="13.75" hidden="1" customHeight="1" x14ac:dyDescent="0.2">
      <c r="B2655" s="1665" t="str">
        <f t="shared" si="2125"/>
        <v xml:space="preserve">COSTO TOTAL DE IMPLANTACIÓN </v>
      </c>
      <c r="C2655" s="193">
        <f t="shared" si="2126"/>
        <v>0</v>
      </c>
      <c r="D2655" s="193"/>
      <c r="E2655" s="1600"/>
    </row>
    <row r="2656" spans="2:5" ht="13.75" hidden="1" customHeight="1" x14ac:dyDescent="0.2">
      <c r="B2656" s="1665">
        <f t="shared" si="2125"/>
        <v>0</v>
      </c>
      <c r="C2656" s="193">
        <f t="shared" si="2126"/>
        <v>0</v>
      </c>
      <c r="D2656" s="193"/>
      <c r="E2656" s="1600"/>
    </row>
    <row r="2657" spans="2:5" ht="13.75" hidden="1" customHeight="1" x14ac:dyDescent="0.2">
      <c r="B2657" s="1665" t="str">
        <f>+B327</f>
        <v>Costo de implantación de</v>
      </c>
      <c r="C2657" s="193">
        <f>+U327</f>
        <v>0</v>
      </c>
      <c r="D2657" s="193"/>
      <c r="E2657" s="1600"/>
    </row>
    <row r="2658" spans="2:5" ht="13.75" hidden="1" customHeight="1" x14ac:dyDescent="0.2">
      <c r="B2658" s="1665">
        <f>+C327</f>
        <v>0</v>
      </c>
      <c r="C2658" s="193" t="str">
        <f t="shared" ref="C2658:C2664" si="2127">+U330</f>
        <v>Unidades</v>
      </c>
      <c r="D2658" s="193"/>
      <c r="E2658" s="1600"/>
    </row>
    <row r="2659" spans="2:5" ht="13.75" hidden="1" customHeight="1" x14ac:dyDescent="0.2">
      <c r="B2659" s="1665" t="str">
        <f t="shared" ref="B2659:B2664" si="2128">+B331</f>
        <v>Labores con maquinaria propia</v>
      </c>
      <c r="C2659" s="193" t="str">
        <f t="shared" si="2127"/>
        <v>por año</v>
      </c>
      <c r="D2659" s="193"/>
      <c r="E2659" s="1600"/>
    </row>
    <row r="2660" spans="2:5" ht="13.75" hidden="1" customHeight="1" x14ac:dyDescent="0.2">
      <c r="B2660" s="1665">
        <f t="shared" si="2128"/>
        <v>0</v>
      </c>
      <c r="C2660" s="193">
        <f t="shared" si="2127"/>
        <v>0</v>
      </c>
      <c r="D2660" s="193"/>
      <c r="E2660" s="1600"/>
    </row>
    <row r="2661" spans="2:5" ht="13.75" hidden="1" customHeight="1" x14ac:dyDescent="0.2">
      <c r="B2661" s="1665">
        <f t="shared" si="2128"/>
        <v>0</v>
      </c>
      <c r="C2661" s="193">
        <f t="shared" si="2127"/>
        <v>0</v>
      </c>
      <c r="D2661" s="193"/>
      <c r="E2661" s="1600"/>
    </row>
    <row r="2662" spans="2:5" ht="13.75" hidden="1" customHeight="1" x14ac:dyDescent="0.2">
      <c r="B2662" s="1665">
        <f t="shared" si="2128"/>
        <v>0</v>
      </c>
      <c r="C2662" s="193">
        <f t="shared" si="2127"/>
        <v>0</v>
      </c>
      <c r="D2662" s="193"/>
      <c r="E2662" s="1600"/>
    </row>
    <row r="2663" spans="2:5" ht="13.75" hidden="1" customHeight="1" x14ac:dyDescent="0.2">
      <c r="B2663" s="1665">
        <f t="shared" si="2128"/>
        <v>0</v>
      </c>
      <c r="C2663" s="193">
        <f t="shared" si="2127"/>
        <v>0</v>
      </c>
      <c r="D2663" s="193"/>
      <c r="E2663" s="1600"/>
    </row>
    <row r="2664" spans="2:5" ht="13.75" hidden="1" customHeight="1" x14ac:dyDescent="0.2">
      <c r="B2664" s="1665">
        <f t="shared" si="2128"/>
        <v>0</v>
      </c>
      <c r="C2664" s="193">
        <f t="shared" si="2127"/>
        <v>0</v>
      </c>
      <c r="D2664" s="193"/>
      <c r="E2664" s="1600"/>
    </row>
    <row r="2665" spans="2:5" ht="13.75" hidden="1" customHeight="1" x14ac:dyDescent="0.2">
      <c r="B2665" s="1665" t="str">
        <f t="shared" ref="B2665:B2670" si="2129">+B338</f>
        <v>Labores con maquinaria contratada</v>
      </c>
      <c r="C2665" s="193">
        <f t="shared" ref="C2665:C2671" si="2130">+U338</f>
        <v>0</v>
      </c>
      <c r="D2665" s="193"/>
      <c r="E2665" s="1600"/>
    </row>
    <row r="2666" spans="2:5" ht="13.75" hidden="1" customHeight="1" x14ac:dyDescent="0.2">
      <c r="B2666" s="1665">
        <f t="shared" si="2129"/>
        <v>0</v>
      </c>
      <c r="C2666" s="193">
        <f t="shared" si="2130"/>
        <v>0</v>
      </c>
      <c r="D2666" s="193"/>
      <c r="E2666" s="1600"/>
    </row>
    <row r="2667" spans="2:5" ht="13.75" hidden="1" customHeight="1" x14ac:dyDescent="0.2">
      <c r="B2667" s="1665">
        <f t="shared" si="2129"/>
        <v>0</v>
      </c>
      <c r="C2667" s="193">
        <f t="shared" si="2130"/>
        <v>0</v>
      </c>
      <c r="D2667" s="193"/>
      <c r="E2667" s="1600"/>
    </row>
    <row r="2668" spans="2:5" ht="13.75" hidden="1" customHeight="1" x14ac:dyDescent="0.2">
      <c r="B2668" s="1665">
        <f t="shared" si="2129"/>
        <v>0</v>
      </c>
      <c r="C2668" s="193">
        <f t="shared" si="2130"/>
        <v>0</v>
      </c>
      <c r="D2668" s="193"/>
      <c r="E2668" s="1600"/>
    </row>
    <row r="2669" spans="2:5" ht="13.75" hidden="1" customHeight="1" x14ac:dyDescent="0.2">
      <c r="B2669" s="1665">
        <f t="shared" si="2129"/>
        <v>0</v>
      </c>
      <c r="C2669" s="193">
        <f t="shared" si="2130"/>
        <v>0</v>
      </c>
      <c r="D2669" s="193"/>
      <c r="E2669" s="1600"/>
    </row>
    <row r="2670" spans="2:5" ht="13.75" hidden="1" customHeight="1" x14ac:dyDescent="0.2">
      <c r="B2670" s="1665">
        <f t="shared" si="2129"/>
        <v>0</v>
      </c>
      <c r="C2670" s="193">
        <f t="shared" si="2130"/>
        <v>0</v>
      </c>
      <c r="D2670" s="193"/>
      <c r="E2670" s="1600"/>
    </row>
    <row r="2671" spans="2:5" ht="13.75" hidden="1" customHeight="1" x14ac:dyDescent="0.2">
      <c r="B2671" s="1665" t="str">
        <f t="shared" ref="B2671:B2679" si="2131">+B345</f>
        <v>Semillas</v>
      </c>
      <c r="C2671" s="193">
        <f t="shared" si="2130"/>
        <v>0</v>
      </c>
      <c r="D2671" s="193"/>
      <c r="E2671" s="1600"/>
    </row>
    <row r="2672" spans="2:5" ht="13.75" hidden="1" customHeight="1" x14ac:dyDescent="0.2">
      <c r="B2672" s="1665">
        <f t="shared" si="2131"/>
        <v>0</v>
      </c>
      <c r="C2672" s="193">
        <f t="shared" ref="C2672:C2680" si="2132">+U346</f>
        <v>0</v>
      </c>
      <c r="D2672" s="193"/>
      <c r="E2672" s="1600"/>
    </row>
    <row r="2673" spans="2:5" ht="13.75" hidden="1" customHeight="1" x14ac:dyDescent="0.2">
      <c r="B2673" s="1665">
        <f t="shared" si="2131"/>
        <v>0</v>
      </c>
      <c r="C2673" s="193">
        <f t="shared" si="2132"/>
        <v>0</v>
      </c>
      <c r="D2673" s="193"/>
      <c r="E2673" s="1600"/>
    </row>
    <row r="2674" spans="2:5" ht="13.75" hidden="1" customHeight="1" x14ac:dyDescent="0.2">
      <c r="B2674" s="1665">
        <f t="shared" si="2131"/>
        <v>0</v>
      </c>
      <c r="C2674" s="193">
        <f t="shared" si="2132"/>
        <v>0</v>
      </c>
      <c r="D2674" s="193"/>
      <c r="E2674" s="1600"/>
    </row>
    <row r="2675" spans="2:5" ht="13.75" hidden="1" customHeight="1" x14ac:dyDescent="0.2">
      <c r="B2675" s="1665">
        <f t="shared" si="2131"/>
        <v>0</v>
      </c>
      <c r="C2675" s="193">
        <f t="shared" si="2132"/>
        <v>0</v>
      </c>
      <c r="D2675" s="193"/>
      <c r="E2675" s="1600"/>
    </row>
    <row r="2676" spans="2:5" ht="13.75" hidden="1" customHeight="1" x14ac:dyDescent="0.2">
      <c r="B2676" s="1665">
        <f t="shared" si="2131"/>
        <v>0</v>
      </c>
      <c r="C2676" s="193">
        <f t="shared" si="2132"/>
        <v>0</v>
      </c>
      <c r="D2676" s="193"/>
      <c r="E2676" s="1600"/>
    </row>
    <row r="2677" spans="2:5" ht="13.75" hidden="1" customHeight="1" x14ac:dyDescent="0.2">
      <c r="B2677" s="1665">
        <f t="shared" si="2131"/>
        <v>0</v>
      </c>
      <c r="C2677" s="193">
        <f t="shared" si="2132"/>
        <v>0</v>
      </c>
      <c r="D2677" s="193"/>
      <c r="E2677" s="1600"/>
    </row>
    <row r="2678" spans="2:5" ht="13.75" hidden="1" customHeight="1" x14ac:dyDescent="0.2">
      <c r="B2678" s="1665">
        <f t="shared" si="2131"/>
        <v>0</v>
      </c>
      <c r="C2678" s="193">
        <f t="shared" si="2132"/>
        <v>0</v>
      </c>
      <c r="D2678" s="193"/>
      <c r="E2678" s="1600"/>
    </row>
    <row r="2679" spans="2:5" ht="13.75" hidden="1" customHeight="1" x14ac:dyDescent="0.2">
      <c r="B2679" s="1665">
        <f t="shared" si="2131"/>
        <v>0</v>
      </c>
      <c r="C2679" s="193">
        <f t="shared" si="2132"/>
        <v>0</v>
      </c>
      <c r="D2679" s="193"/>
      <c r="E2679" s="1600"/>
    </row>
    <row r="2680" spans="2:5" ht="13.75" hidden="1" customHeight="1" x14ac:dyDescent="0.2">
      <c r="B2680" s="1665" t="str">
        <f>+B355</f>
        <v xml:space="preserve">Fertilizantes </v>
      </c>
      <c r="C2680" s="193">
        <f t="shared" si="2132"/>
        <v>0</v>
      </c>
      <c r="D2680" s="193"/>
      <c r="E2680" s="1600"/>
    </row>
    <row r="2681" spans="2:5" ht="13.75" hidden="1" customHeight="1" x14ac:dyDescent="0.2">
      <c r="B2681" s="1665">
        <f>+B356</f>
        <v>0</v>
      </c>
      <c r="C2681" s="193">
        <f>+U356</f>
        <v>0</v>
      </c>
      <c r="D2681" s="193"/>
      <c r="E2681" s="1600"/>
    </row>
    <row r="2682" spans="2:5" ht="13.75" hidden="1" customHeight="1" x14ac:dyDescent="0.2">
      <c r="B2682" s="1665">
        <f>+B357</f>
        <v>0</v>
      </c>
      <c r="C2682" s="193">
        <f>+U357</f>
        <v>0</v>
      </c>
      <c r="D2682" s="193"/>
      <c r="E2682" s="1600"/>
    </row>
    <row r="2683" spans="2:5" ht="13.75" hidden="1" customHeight="1" x14ac:dyDescent="0.2">
      <c r="B2683" s="1665">
        <f>+B358</f>
        <v>0</v>
      </c>
      <c r="C2683" s="193">
        <f>+U358</f>
        <v>0</v>
      </c>
      <c r="D2683" s="193"/>
      <c r="E2683" s="1600"/>
    </row>
    <row r="2684" spans="2:5" ht="13.75" hidden="1" customHeight="1" x14ac:dyDescent="0.2">
      <c r="B2684" s="1665" t="str">
        <f t="shared" ref="B2684:B2690" si="2133">+B360</f>
        <v xml:space="preserve">Agroquímicos </v>
      </c>
      <c r="C2684" s="193">
        <f>+U359</f>
        <v>0</v>
      </c>
      <c r="D2684" s="193"/>
      <c r="E2684" s="1600"/>
    </row>
    <row r="2685" spans="2:5" ht="13.75" hidden="1" customHeight="1" x14ac:dyDescent="0.2">
      <c r="B2685" s="1665">
        <f t="shared" si="2133"/>
        <v>0</v>
      </c>
      <c r="C2685" s="193">
        <f t="shared" ref="C2685:C2690" si="2134">+U361</f>
        <v>0</v>
      </c>
      <c r="D2685" s="193"/>
      <c r="E2685" s="1600"/>
    </row>
    <row r="2686" spans="2:5" ht="13.75" hidden="1" customHeight="1" x14ac:dyDescent="0.2">
      <c r="B2686" s="1665">
        <f t="shared" si="2133"/>
        <v>0</v>
      </c>
      <c r="C2686" s="193">
        <f t="shared" si="2134"/>
        <v>0</v>
      </c>
      <c r="D2686" s="193"/>
      <c r="E2686" s="1600"/>
    </row>
    <row r="2687" spans="2:5" ht="13.75" hidden="1" customHeight="1" x14ac:dyDescent="0.2">
      <c r="B2687" s="1665">
        <f t="shared" si="2133"/>
        <v>0</v>
      </c>
      <c r="C2687" s="193">
        <f t="shared" si="2134"/>
        <v>0</v>
      </c>
      <c r="D2687" s="193"/>
      <c r="E2687" s="1600"/>
    </row>
    <row r="2688" spans="2:5" ht="13.75" hidden="1" customHeight="1" x14ac:dyDescent="0.2">
      <c r="B2688" s="1665" t="str">
        <f t="shared" si="2133"/>
        <v>Sub total agroquímicos</v>
      </c>
      <c r="C2688" s="193">
        <f t="shared" si="2134"/>
        <v>0</v>
      </c>
      <c r="D2688" s="193"/>
      <c r="E2688" s="1600"/>
    </row>
    <row r="2689" spans="2:5" ht="13.75" hidden="1" customHeight="1" x14ac:dyDescent="0.2">
      <c r="B2689" s="1665" t="str">
        <f t="shared" si="2133"/>
        <v xml:space="preserve">COSTO TOTAL DE IMPLANTACIÓN </v>
      </c>
      <c r="C2689" s="193">
        <f t="shared" si="2134"/>
        <v>0</v>
      </c>
      <c r="D2689" s="193"/>
      <c r="E2689" s="1600"/>
    </row>
    <row r="2690" spans="2:5" ht="13.75" hidden="1" customHeight="1" x14ac:dyDescent="0.2">
      <c r="B2690" s="1665">
        <f t="shared" si="2133"/>
        <v>0</v>
      </c>
      <c r="C2690" s="193">
        <f t="shared" si="2134"/>
        <v>0</v>
      </c>
      <c r="D2690" s="193"/>
      <c r="E2690" s="1600"/>
    </row>
    <row r="2691" spans="2:5" ht="13.75" hidden="1" customHeight="1" x14ac:dyDescent="0.2">
      <c r="B2691" s="1665" t="str">
        <f>+B368</f>
        <v>Costo de implantación de</v>
      </c>
      <c r="C2691" s="193">
        <f>+U368</f>
        <v>0</v>
      </c>
      <c r="D2691" s="193"/>
      <c r="E2691" s="1600"/>
    </row>
    <row r="2692" spans="2:5" ht="13.75" hidden="1" customHeight="1" x14ac:dyDescent="0.2">
      <c r="B2692" s="1665">
        <f>+C368</f>
        <v>0</v>
      </c>
      <c r="C2692" s="193" t="str">
        <f t="shared" ref="C2692:C2699" si="2135">+U371</f>
        <v>Unidades</v>
      </c>
      <c r="D2692" s="193"/>
      <c r="E2692" s="1600"/>
    </row>
    <row r="2693" spans="2:5" ht="13.75" hidden="1" customHeight="1" x14ac:dyDescent="0.2">
      <c r="B2693" s="1665" t="str">
        <f t="shared" ref="B2693:B2698" si="2136">+B372</f>
        <v>Labores con maquinaria propia</v>
      </c>
      <c r="C2693" s="193" t="str">
        <f t="shared" si="2135"/>
        <v>por año</v>
      </c>
      <c r="D2693" s="193"/>
      <c r="E2693" s="1600"/>
    </row>
    <row r="2694" spans="2:5" ht="13.75" hidden="1" customHeight="1" x14ac:dyDescent="0.2">
      <c r="B2694" s="1665">
        <f t="shared" si="2136"/>
        <v>0</v>
      </c>
      <c r="C2694" s="193">
        <f t="shared" si="2135"/>
        <v>0</v>
      </c>
      <c r="D2694" s="193"/>
      <c r="E2694" s="1600"/>
    </row>
    <row r="2695" spans="2:5" ht="13.75" hidden="1" customHeight="1" x14ac:dyDescent="0.2">
      <c r="B2695" s="1665">
        <f t="shared" si="2136"/>
        <v>0</v>
      </c>
      <c r="C2695" s="193">
        <f t="shared" si="2135"/>
        <v>0</v>
      </c>
      <c r="D2695" s="193"/>
      <c r="E2695" s="1600"/>
    </row>
    <row r="2696" spans="2:5" ht="13.75" hidden="1" customHeight="1" x14ac:dyDescent="0.2">
      <c r="B2696" s="1665">
        <f t="shared" si="2136"/>
        <v>0</v>
      </c>
      <c r="C2696" s="193">
        <f t="shared" si="2135"/>
        <v>0</v>
      </c>
      <c r="D2696" s="193"/>
      <c r="E2696" s="1600"/>
    </row>
    <row r="2697" spans="2:5" ht="13.75" hidden="1" customHeight="1" x14ac:dyDescent="0.2">
      <c r="B2697" s="1665">
        <f t="shared" si="2136"/>
        <v>0</v>
      </c>
      <c r="C2697" s="193">
        <f t="shared" si="2135"/>
        <v>0</v>
      </c>
      <c r="D2697" s="193"/>
      <c r="E2697" s="1600"/>
    </row>
    <row r="2698" spans="2:5" ht="13.75" hidden="1" customHeight="1" x14ac:dyDescent="0.2">
      <c r="B2698" s="1665">
        <f t="shared" si="2136"/>
        <v>0</v>
      </c>
      <c r="C2698" s="193">
        <f t="shared" si="2135"/>
        <v>0</v>
      </c>
      <c r="D2698" s="193"/>
      <c r="E2698" s="1600"/>
    </row>
    <row r="2699" spans="2:5" ht="13.75" hidden="1" customHeight="1" x14ac:dyDescent="0.2">
      <c r="B2699" s="1665" t="str">
        <f t="shared" ref="B2699:B2704" si="2137">+B379</f>
        <v>Labores con maquinaria contratada</v>
      </c>
      <c r="C2699" s="193">
        <f t="shared" si="2135"/>
        <v>0</v>
      </c>
      <c r="D2699" s="193"/>
      <c r="E2699" s="1600"/>
    </row>
    <row r="2700" spans="2:5" ht="13.75" hidden="1" customHeight="1" x14ac:dyDescent="0.2">
      <c r="B2700" s="1665">
        <f t="shared" si="2137"/>
        <v>0</v>
      </c>
      <c r="C2700" s="193">
        <f t="shared" ref="C2700:C2705" si="2138">+U380</f>
        <v>0</v>
      </c>
      <c r="D2700" s="193"/>
      <c r="E2700" s="1600"/>
    </row>
    <row r="2701" spans="2:5" ht="13.75" hidden="1" customHeight="1" x14ac:dyDescent="0.2">
      <c r="B2701" s="1665">
        <f t="shared" si="2137"/>
        <v>0</v>
      </c>
      <c r="C2701" s="193">
        <f t="shared" si="2138"/>
        <v>0</v>
      </c>
      <c r="D2701" s="193"/>
      <c r="E2701" s="1600"/>
    </row>
    <row r="2702" spans="2:5" ht="13.75" hidden="1" customHeight="1" x14ac:dyDescent="0.2">
      <c r="B2702" s="1665">
        <f t="shared" si="2137"/>
        <v>0</v>
      </c>
      <c r="C2702" s="193">
        <f t="shared" si="2138"/>
        <v>0</v>
      </c>
      <c r="D2702" s="193"/>
      <c r="E2702" s="1600"/>
    </row>
    <row r="2703" spans="2:5" ht="13.75" hidden="1" customHeight="1" x14ac:dyDescent="0.2">
      <c r="B2703" s="1665">
        <f t="shared" si="2137"/>
        <v>0</v>
      </c>
      <c r="C2703" s="193">
        <f t="shared" si="2138"/>
        <v>0</v>
      </c>
      <c r="D2703" s="193"/>
      <c r="E2703" s="1600"/>
    </row>
    <row r="2704" spans="2:5" ht="13.75" hidden="1" customHeight="1" x14ac:dyDescent="0.2">
      <c r="B2704" s="1665">
        <f t="shared" si="2137"/>
        <v>0</v>
      </c>
      <c r="C2704" s="193">
        <f t="shared" si="2138"/>
        <v>0</v>
      </c>
      <c r="D2704" s="193"/>
      <c r="E2704" s="1600"/>
    </row>
    <row r="2705" spans="2:5" ht="13.75" hidden="1" customHeight="1" x14ac:dyDescent="0.2">
      <c r="B2705" s="1665" t="str">
        <f t="shared" ref="B2705:B2713" si="2139">+B386</f>
        <v>Semillas</v>
      </c>
      <c r="C2705" s="193">
        <f t="shared" si="2138"/>
        <v>0</v>
      </c>
      <c r="D2705" s="193"/>
      <c r="E2705" s="1600"/>
    </row>
    <row r="2706" spans="2:5" ht="13.75" hidden="1" customHeight="1" x14ac:dyDescent="0.2">
      <c r="B2706" s="1665">
        <f t="shared" si="2139"/>
        <v>0</v>
      </c>
      <c r="C2706" s="193">
        <f t="shared" ref="C2706:C2714" si="2140">+U387</f>
        <v>0</v>
      </c>
      <c r="D2706" s="193"/>
      <c r="E2706" s="1600"/>
    </row>
    <row r="2707" spans="2:5" ht="13.75" hidden="1" customHeight="1" x14ac:dyDescent="0.2">
      <c r="B2707" s="1665">
        <f t="shared" si="2139"/>
        <v>0</v>
      </c>
      <c r="C2707" s="193">
        <f t="shared" si="2140"/>
        <v>0</v>
      </c>
      <c r="D2707" s="193"/>
      <c r="E2707" s="1600"/>
    </row>
    <row r="2708" spans="2:5" ht="13.75" hidden="1" customHeight="1" x14ac:dyDescent="0.2">
      <c r="B2708" s="1665">
        <f t="shared" si="2139"/>
        <v>0</v>
      </c>
      <c r="C2708" s="193">
        <f t="shared" si="2140"/>
        <v>0</v>
      </c>
      <c r="D2708" s="193"/>
      <c r="E2708" s="1600"/>
    </row>
    <row r="2709" spans="2:5" ht="13.75" hidden="1" customHeight="1" x14ac:dyDescent="0.2">
      <c r="B2709" s="1665">
        <f t="shared" si="2139"/>
        <v>0</v>
      </c>
      <c r="C2709" s="193">
        <f t="shared" si="2140"/>
        <v>0</v>
      </c>
      <c r="D2709" s="193"/>
      <c r="E2709" s="1600"/>
    </row>
    <row r="2710" spans="2:5" ht="13.75" hidden="1" customHeight="1" x14ac:dyDescent="0.2">
      <c r="B2710" s="1665">
        <f t="shared" si="2139"/>
        <v>0</v>
      </c>
      <c r="C2710" s="193">
        <f t="shared" si="2140"/>
        <v>0</v>
      </c>
      <c r="D2710" s="193"/>
      <c r="E2710" s="1600"/>
    </row>
    <row r="2711" spans="2:5" ht="13.75" hidden="1" customHeight="1" x14ac:dyDescent="0.2">
      <c r="B2711" s="1665">
        <f t="shared" si="2139"/>
        <v>0</v>
      </c>
      <c r="C2711" s="193">
        <f t="shared" si="2140"/>
        <v>0</v>
      </c>
      <c r="D2711" s="193"/>
      <c r="E2711" s="1600"/>
    </row>
    <row r="2712" spans="2:5" ht="13.75" hidden="1" customHeight="1" x14ac:dyDescent="0.2">
      <c r="B2712" s="1665">
        <f t="shared" si="2139"/>
        <v>0</v>
      </c>
      <c r="C2712" s="193">
        <f t="shared" si="2140"/>
        <v>0</v>
      </c>
      <c r="D2712" s="193"/>
      <c r="E2712" s="1600"/>
    </row>
    <row r="2713" spans="2:5" ht="13.75" hidden="1" customHeight="1" x14ac:dyDescent="0.2">
      <c r="B2713" s="1665">
        <f t="shared" si="2139"/>
        <v>0</v>
      </c>
      <c r="C2713" s="193">
        <f t="shared" si="2140"/>
        <v>0</v>
      </c>
      <c r="D2713" s="193"/>
      <c r="E2713" s="1600"/>
    </row>
    <row r="2714" spans="2:5" ht="13.75" hidden="1" customHeight="1" x14ac:dyDescent="0.2">
      <c r="B2714" s="1665" t="str">
        <f>+B396</f>
        <v xml:space="preserve">Fertilizantes </v>
      </c>
      <c r="C2714" s="193">
        <f t="shared" si="2140"/>
        <v>0</v>
      </c>
      <c r="D2714" s="193"/>
      <c r="E2714" s="1600"/>
    </row>
    <row r="2715" spans="2:5" ht="13.75" hidden="1" customHeight="1" x14ac:dyDescent="0.2">
      <c r="B2715" s="1665">
        <f>+B397</f>
        <v>0</v>
      </c>
      <c r="C2715" s="193">
        <f>+U397</f>
        <v>0</v>
      </c>
      <c r="D2715" s="193"/>
      <c r="E2715" s="1600"/>
    </row>
    <row r="2716" spans="2:5" ht="13.75" hidden="1" customHeight="1" x14ac:dyDescent="0.2">
      <c r="B2716" s="1665">
        <f>+B398</f>
        <v>0</v>
      </c>
      <c r="C2716" s="193">
        <f>+U398</f>
        <v>0</v>
      </c>
      <c r="D2716" s="193"/>
      <c r="E2716" s="1600"/>
    </row>
    <row r="2717" spans="2:5" ht="13.75" hidden="1" customHeight="1" x14ac:dyDescent="0.2">
      <c r="B2717" s="1665">
        <f>+B399</f>
        <v>0</v>
      </c>
      <c r="C2717" s="193">
        <f>+U399</f>
        <v>0</v>
      </c>
      <c r="D2717" s="193"/>
      <c r="E2717" s="1600"/>
    </row>
    <row r="2718" spans="2:5" ht="13.75" hidden="1" customHeight="1" x14ac:dyDescent="0.2">
      <c r="B2718" s="1665" t="str">
        <f t="shared" ref="B2718:B2724" si="2141">+B401</f>
        <v xml:space="preserve">Agroquímicos </v>
      </c>
      <c r="C2718" s="193">
        <f>+U400</f>
        <v>0</v>
      </c>
      <c r="D2718" s="193"/>
      <c r="E2718" s="1600"/>
    </row>
    <row r="2719" spans="2:5" ht="13.75" hidden="1" customHeight="1" x14ac:dyDescent="0.2">
      <c r="B2719" s="1665">
        <f t="shared" si="2141"/>
        <v>0</v>
      </c>
      <c r="C2719" s="193">
        <f t="shared" ref="C2719:C2724" si="2142">+U402</f>
        <v>0</v>
      </c>
      <c r="D2719" s="193"/>
      <c r="E2719" s="1600"/>
    </row>
    <row r="2720" spans="2:5" ht="13.75" hidden="1" customHeight="1" x14ac:dyDescent="0.2">
      <c r="B2720" s="1665">
        <f t="shared" si="2141"/>
        <v>0</v>
      </c>
      <c r="C2720" s="193">
        <f t="shared" si="2142"/>
        <v>0</v>
      </c>
      <c r="D2720" s="193"/>
      <c r="E2720" s="1600"/>
    </row>
    <row r="2721" spans="2:5" ht="13.75" hidden="1" customHeight="1" x14ac:dyDescent="0.2">
      <c r="B2721" s="1665">
        <f t="shared" si="2141"/>
        <v>0</v>
      </c>
      <c r="C2721" s="193">
        <f t="shared" si="2142"/>
        <v>0</v>
      </c>
      <c r="D2721" s="193"/>
      <c r="E2721" s="1600"/>
    </row>
    <row r="2722" spans="2:5" ht="13.75" hidden="1" customHeight="1" x14ac:dyDescent="0.2">
      <c r="B2722" s="1665" t="str">
        <f t="shared" si="2141"/>
        <v>Sub total agroquímicos</v>
      </c>
      <c r="C2722" s="193">
        <f t="shared" si="2142"/>
        <v>0</v>
      </c>
      <c r="D2722" s="193"/>
      <c r="E2722" s="1600"/>
    </row>
    <row r="2723" spans="2:5" ht="13.75" hidden="1" customHeight="1" x14ac:dyDescent="0.2">
      <c r="B2723" s="1665" t="str">
        <f t="shared" si="2141"/>
        <v xml:space="preserve">COSTO TOTAL DE IMPLANTACIÓN </v>
      </c>
      <c r="C2723" s="193">
        <f t="shared" si="2142"/>
        <v>0</v>
      </c>
      <c r="D2723" s="193"/>
      <c r="E2723" s="1600"/>
    </row>
    <row r="2724" spans="2:5" ht="13.75" hidden="1" customHeight="1" x14ac:dyDescent="0.2">
      <c r="B2724" s="1665">
        <f t="shared" si="2141"/>
        <v>0</v>
      </c>
      <c r="C2724" s="193">
        <f t="shared" si="2142"/>
        <v>0</v>
      </c>
      <c r="D2724" s="193"/>
      <c r="E2724" s="1600"/>
    </row>
    <row r="2725" spans="2:5" ht="13.75" hidden="1" customHeight="1" x14ac:dyDescent="0.2">
      <c r="B2725" s="1665" t="str">
        <f>+B409</f>
        <v>Costo de implantación de</v>
      </c>
      <c r="C2725" s="193">
        <f>+U409</f>
        <v>0</v>
      </c>
      <c r="D2725" s="193"/>
      <c r="E2725" s="1600"/>
    </row>
    <row r="2726" spans="2:5" ht="13.75" hidden="1" customHeight="1" x14ac:dyDescent="0.2">
      <c r="B2726" s="1665">
        <f>+C409</f>
        <v>0</v>
      </c>
      <c r="C2726" s="193" t="str">
        <f>+U410</f>
        <v>Has/año</v>
      </c>
      <c r="D2726" s="193"/>
      <c r="E2726" s="1600"/>
    </row>
    <row r="2727" spans="2:5" ht="13.75" hidden="1" customHeight="1" x14ac:dyDescent="0.2">
      <c r="B2727" s="1665" t="str">
        <f t="shared" ref="B2727:B2732" si="2143">+B413</f>
        <v>Labores con maquinaria propia</v>
      </c>
      <c r="C2727" s="193">
        <f>+U411</f>
        <v>0</v>
      </c>
      <c r="D2727" s="193"/>
      <c r="E2727" s="1600"/>
    </row>
    <row r="2728" spans="2:5" ht="13.75" hidden="1" customHeight="1" x14ac:dyDescent="0.2">
      <c r="B2728" s="1665">
        <f t="shared" si="2143"/>
        <v>0</v>
      </c>
      <c r="C2728" s="193">
        <f t="shared" ref="C2728:C2733" si="2144">+U414</f>
        <v>0</v>
      </c>
      <c r="D2728" s="193"/>
      <c r="E2728" s="1600"/>
    </row>
    <row r="2729" spans="2:5" ht="13.75" hidden="1" customHeight="1" x14ac:dyDescent="0.2">
      <c r="B2729" s="1665">
        <f t="shared" si="2143"/>
        <v>0</v>
      </c>
      <c r="C2729" s="193">
        <f t="shared" si="2144"/>
        <v>0</v>
      </c>
      <c r="D2729" s="193"/>
      <c r="E2729" s="1600"/>
    </row>
    <row r="2730" spans="2:5" ht="13.75" hidden="1" customHeight="1" x14ac:dyDescent="0.2">
      <c r="B2730" s="1665">
        <f t="shared" si="2143"/>
        <v>0</v>
      </c>
      <c r="C2730" s="193">
        <f t="shared" si="2144"/>
        <v>0</v>
      </c>
      <c r="D2730" s="193"/>
      <c r="E2730" s="1600"/>
    </row>
    <row r="2731" spans="2:5" ht="13.75" hidden="1" customHeight="1" x14ac:dyDescent="0.2">
      <c r="B2731" s="1665">
        <f t="shared" si="2143"/>
        <v>0</v>
      </c>
      <c r="C2731" s="193">
        <f t="shared" si="2144"/>
        <v>0</v>
      </c>
      <c r="D2731" s="193"/>
      <c r="E2731" s="1600"/>
    </row>
    <row r="2732" spans="2:5" ht="13.75" hidden="1" customHeight="1" x14ac:dyDescent="0.2">
      <c r="B2732" s="1665">
        <f t="shared" si="2143"/>
        <v>0</v>
      </c>
      <c r="C2732" s="193">
        <f t="shared" si="2144"/>
        <v>0</v>
      </c>
      <c r="D2732" s="193"/>
      <c r="E2732" s="1600"/>
    </row>
    <row r="2733" spans="2:5" ht="13.75" hidden="1" customHeight="1" x14ac:dyDescent="0.2">
      <c r="B2733" s="1665" t="str">
        <f t="shared" ref="B2733:B2738" si="2145">+B420</f>
        <v>Labores con maquinaria contratada</v>
      </c>
      <c r="C2733" s="193">
        <f t="shared" si="2144"/>
        <v>0</v>
      </c>
      <c r="D2733" s="193"/>
      <c r="E2733" s="1600"/>
    </row>
    <row r="2734" spans="2:5" ht="13.75" hidden="1" customHeight="1" x14ac:dyDescent="0.2">
      <c r="B2734" s="1665">
        <f t="shared" si="2145"/>
        <v>0</v>
      </c>
      <c r="C2734" s="193">
        <f t="shared" ref="C2734:C2739" si="2146">+U421</f>
        <v>0</v>
      </c>
      <c r="D2734" s="193"/>
      <c r="E2734" s="1600"/>
    </row>
    <row r="2735" spans="2:5" ht="13.75" hidden="1" customHeight="1" x14ac:dyDescent="0.2">
      <c r="B2735" s="1665">
        <f t="shared" si="2145"/>
        <v>0</v>
      </c>
      <c r="C2735" s="193">
        <f t="shared" si="2146"/>
        <v>0</v>
      </c>
      <c r="D2735" s="193"/>
      <c r="E2735" s="1600"/>
    </row>
    <row r="2736" spans="2:5" ht="13.75" hidden="1" customHeight="1" x14ac:dyDescent="0.2">
      <c r="B2736" s="1665">
        <f t="shared" si="2145"/>
        <v>0</v>
      </c>
      <c r="C2736" s="193">
        <f t="shared" si="2146"/>
        <v>0</v>
      </c>
      <c r="D2736" s="193"/>
      <c r="E2736" s="1600"/>
    </row>
    <row r="2737" spans="2:5" ht="13.75" hidden="1" customHeight="1" x14ac:dyDescent="0.2">
      <c r="B2737" s="1665">
        <f t="shared" si="2145"/>
        <v>0</v>
      </c>
      <c r="C2737" s="193">
        <f t="shared" si="2146"/>
        <v>0</v>
      </c>
      <c r="D2737" s="193"/>
      <c r="E2737" s="1600"/>
    </row>
    <row r="2738" spans="2:5" ht="13.75" hidden="1" customHeight="1" x14ac:dyDescent="0.2">
      <c r="B2738" s="1665">
        <f t="shared" si="2145"/>
        <v>0</v>
      </c>
      <c r="C2738" s="193">
        <f t="shared" si="2146"/>
        <v>0</v>
      </c>
      <c r="D2738" s="193"/>
      <c r="E2738" s="1600"/>
    </row>
    <row r="2739" spans="2:5" ht="13.75" hidden="1" customHeight="1" x14ac:dyDescent="0.2">
      <c r="B2739" s="1665" t="str">
        <f t="shared" ref="B2739:B2747" si="2147">+B427</f>
        <v>Semillas</v>
      </c>
      <c r="C2739" s="193">
        <f t="shared" si="2146"/>
        <v>0</v>
      </c>
      <c r="D2739" s="193"/>
      <c r="E2739" s="1600"/>
    </row>
    <row r="2740" spans="2:5" ht="13.75" hidden="1" customHeight="1" x14ac:dyDescent="0.2">
      <c r="B2740" s="1665">
        <f t="shared" si="2147"/>
        <v>0</v>
      </c>
      <c r="C2740" s="193">
        <f t="shared" ref="C2740:C2748" si="2148">+U428</f>
        <v>0</v>
      </c>
      <c r="D2740" s="193"/>
      <c r="E2740" s="1600"/>
    </row>
    <row r="2741" spans="2:5" ht="13.75" hidden="1" customHeight="1" x14ac:dyDescent="0.2">
      <c r="B2741" s="1665">
        <f t="shared" si="2147"/>
        <v>0</v>
      </c>
      <c r="C2741" s="193">
        <f t="shared" si="2148"/>
        <v>0</v>
      </c>
      <c r="D2741" s="193"/>
      <c r="E2741" s="1600"/>
    </row>
    <row r="2742" spans="2:5" ht="13.75" hidden="1" customHeight="1" x14ac:dyDescent="0.2">
      <c r="B2742" s="1665">
        <f t="shared" si="2147"/>
        <v>0</v>
      </c>
      <c r="C2742" s="193">
        <f t="shared" si="2148"/>
        <v>0</v>
      </c>
      <c r="D2742" s="193"/>
      <c r="E2742" s="1600"/>
    </row>
    <row r="2743" spans="2:5" ht="13.75" hidden="1" customHeight="1" x14ac:dyDescent="0.2">
      <c r="B2743" s="1665">
        <f t="shared" si="2147"/>
        <v>0</v>
      </c>
      <c r="C2743" s="193">
        <f t="shared" si="2148"/>
        <v>0</v>
      </c>
      <c r="D2743" s="193"/>
      <c r="E2743" s="1600"/>
    </row>
    <row r="2744" spans="2:5" ht="13.75" hidden="1" customHeight="1" x14ac:dyDescent="0.2">
      <c r="B2744" s="1665">
        <f t="shared" si="2147"/>
        <v>0</v>
      </c>
      <c r="C2744" s="193">
        <f t="shared" si="2148"/>
        <v>0</v>
      </c>
      <c r="D2744" s="193"/>
      <c r="E2744" s="1600"/>
    </row>
    <row r="2745" spans="2:5" ht="13.75" hidden="1" customHeight="1" x14ac:dyDescent="0.2">
      <c r="B2745" s="1665">
        <f t="shared" si="2147"/>
        <v>0</v>
      </c>
      <c r="C2745" s="193">
        <f t="shared" si="2148"/>
        <v>0</v>
      </c>
      <c r="D2745" s="193"/>
      <c r="E2745" s="1600"/>
    </row>
    <row r="2746" spans="2:5" ht="13.75" hidden="1" customHeight="1" x14ac:dyDescent="0.2">
      <c r="B2746" s="1665">
        <f t="shared" si="2147"/>
        <v>0</v>
      </c>
      <c r="C2746" s="193">
        <f t="shared" si="2148"/>
        <v>0</v>
      </c>
      <c r="D2746" s="193"/>
      <c r="E2746" s="1600"/>
    </row>
    <row r="2747" spans="2:5" ht="13.75" hidden="1" customHeight="1" x14ac:dyDescent="0.2">
      <c r="B2747" s="1665">
        <f t="shared" si="2147"/>
        <v>0</v>
      </c>
      <c r="C2747" s="193">
        <f t="shared" si="2148"/>
        <v>0</v>
      </c>
      <c r="D2747" s="193"/>
      <c r="E2747" s="1600"/>
    </row>
    <row r="2748" spans="2:5" ht="13.75" hidden="1" customHeight="1" x14ac:dyDescent="0.2">
      <c r="B2748" s="1665" t="str">
        <f>+B437</f>
        <v xml:space="preserve">Fertilizantes </v>
      </c>
      <c r="C2748" s="193">
        <f t="shared" si="2148"/>
        <v>0</v>
      </c>
      <c r="D2748" s="193"/>
      <c r="E2748" s="1600"/>
    </row>
    <row r="2749" spans="2:5" ht="13.75" hidden="1" customHeight="1" x14ac:dyDescent="0.2">
      <c r="B2749" s="1665">
        <f>+B438</f>
        <v>0</v>
      </c>
      <c r="C2749" s="193">
        <f>+U438</f>
        <v>0</v>
      </c>
      <c r="D2749" s="193"/>
      <c r="E2749" s="1600"/>
    </row>
    <row r="2750" spans="2:5" ht="13.75" hidden="1" customHeight="1" x14ac:dyDescent="0.2">
      <c r="B2750" s="1665">
        <f>+B439</f>
        <v>0</v>
      </c>
      <c r="C2750" s="193">
        <f>+U439</f>
        <v>0</v>
      </c>
      <c r="D2750" s="193"/>
      <c r="E2750" s="1600"/>
    </row>
    <row r="2751" spans="2:5" ht="13.75" hidden="1" customHeight="1" x14ac:dyDescent="0.2">
      <c r="B2751" s="1665">
        <f>+B440</f>
        <v>0</v>
      </c>
      <c r="C2751" s="193">
        <f>+U440</f>
        <v>0</v>
      </c>
      <c r="D2751" s="193"/>
      <c r="E2751" s="1600"/>
    </row>
    <row r="2752" spans="2:5" ht="13.75" hidden="1" customHeight="1" x14ac:dyDescent="0.2">
      <c r="B2752" s="1665" t="str">
        <f t="shared" ref="B2752:B2758" si="2149">+B442</f>
        <v xml:space="preserve">Agroquímicos </v>
      </c>
      <c r="C2752" s="193">
        <f>+U441</f>
        <v>0</v>
      </c>
      <c r="D2752" s="193"/>
      <c r="E2752" s="1600"/>
    </row>
    <row r="2753" spans="2:5" ht="13.75" hidden="1" customHeight="1" x14ac:dyDescent="0.2">
      <c r="B2753" s="1665">
        <f t="shared" si="2149"/>
        <v>0</v>
      </c>
      <c r="C2753" s="193">
        <f t="shared" ref="C2753:C2758" si="2150">+U443</f>
        <v>0</v>
      </c>
      <c r="D2753" s="193"/>
      <c r="E2753" s="1600"/>
    </row>
    <row r="2754" spans="2:5" ht="13.75" hidden="1" customHeight="1" x14ac:dyDescent="0.2">
      <c r="B2754" s="1665">
        <f t="shared" si="2149"/>
        <v>0</v>
      </c>
      <c r="C2754" s="193">
        <f t="shared" si="2150"/>
        <v>0</v>
      </c>
      <c r="D2754" s="193"/>
      <c r="E2754" s="1600"/>
    </row>
    <row r="2755" spans="2:5" ht="13.75" hidden="1" customHeight="1" x14ac:dyDescent="0.2">
      <c r="B2755" s="1665">
        <f t="shared" si="2149"/>
        <v>0</v>
      </c>
      <c r="C2755" s="193">
        <f t="shared" si="2150"/>
        <v>0</v>
      </c>
      <c r="D2755" s="193"/>
      <c r="E2755" s="1600"/>
    </row>
    <row r="2756" spans="2:5" ht="13.75" hidden="1" customHeight="1" x14ac:dyDescent="0.2">
      <c r="B2756" s="1665" t="str">
        <f t="shared" si="2149"/>
        <v>Sub total agroquímicos</v>
      </c>
      <c r="C2756" s="193">
        <f t="shared" si="2150"/>
        <v>0</v>
      </c>
      <c r="D2756" s="193"/>
      <c r="E2756" s="1600"/>
    </row>
    <row r="2757" spans="2:5" ht="13.75" hidden="1" customHeight="1" x14ac:dyDescent="0.2">
      <c r="B2757" s="1665" t="str">
        <f t="shared" si="2149"/>
        <v xml:space="preserve">COSTO TOTAL DE IMPLANTACIÓN </v>
      </c>
      <c r="C2757" s="193">
        <f t="shared" si="2150"/>
        <v>0</v>
      </c>
      <c r="D2757" s="193"/>
      <c r="E2757" s="1600"/>
    </row>
    <row r="2758" spans="2:5" ht="13.75" hidden="1" customHeight="1" x14ac:dyDescent="0.2">
      <c r="B2758" s="1665">
        <f t="shared" si="2149"/>
        <v>0</v>
      </c>
      <c r="C2758" s="193">
        <f t="shared" si="2150"/>
        <v>0</v>
      </c>
      <c r="D2758" s="193"/>
      <c r="E2758" s="1600"/>
    </row>
    <row r="2759" spans="2:5" ht="13.75" hidden="1" customHeight="1" x14ac:dyDescent="0.2">
      <c r="B2759" s="1665" t="str">
        <f>+B450</f>
        <v>Costo de implantación de</v>
      </c>
      <c r="C2759" s="193">
        <f>+U450</f>
        <v>0</v>
      </c>
      <c r="D2759" s="193"/>
      <c r="E2759" s="1600"/>
    </row>
    <row r="2760" spans="2:5" ht="13.75" hidden="1" customHeight="1" x14ac:dyDescent="0.2">
      <c r="B2760" s="1665">
        <f>+C450</f>
        <v>0</v>
      </c>
      <c r="C2760" s="193" t="str">
        <f>+U451</f>
        <v>Has/año</v>
      </c>
      <c r="D2760" s="193"/>
      <c r="E2760" s="1600"/>
    </row>
    <row r="2761" spans="2:5" ht="13.75" hidden="1" customHeight="1" x14ac:dyDescent="0.2">
      <c r="B2761" s="1665" t="str">
        <f t="shared" ref="B2761:B2766" si="2151">+B454</f>
        <v>Labores con maquinaria propia</v>
      </c>
      <c r="C2761" s="193" t="str">
        <f t="shared" ref="C2761:C2767" si="2152">+U454</f>
        <v>por año</v>
      </c>
      <c r="D2761" s="193"/>
      <c r="E2761" s="1600"/>
    </row>
    <row r="2762" spans="2:5" ht="13.75" hidden="1" customHeight="1" x14ac:dyDescent="0.2">
      <c r="B2762" s="1665">
        <f t="shared" si="2151"/>
        <v>0</v>
      </c>
      <c r="C2762" s="193">
        <f t="shared" si="2152"/>
        <v>0</v>
      </c>
      <c r="D2762" s="193"/>
      <c r="E2762" s="1600"/>
    </row>
    <row r="2763" spans="2:5" ht="13.75" hidden="1" customHeight="1" x14ac:dyDescent="0.2">
      <c r="B2763" s="1665">
        <f t="shared" si="2151"/>
        <v>0</v>
      </c>
      <c r="C2763" s="193">
        <f t="shared" si="2152"/>
        <v>0</v>
      </c>
      <c r="D2763" s="193"/>
      <c r="E2763" s="1600"/>
    </row>
    <row r="2764" spans="2:5" ht="13.75" hidden="1" customHeight="1" x14ac:dyDescent="0.2">
      <c r="B2764" s="1665">
        <f t="shared" si="2151"/>
        <v>0</v>
      </c>
      <c r="C2764" s="193">
        <f t="shared" si="2152"/>
        <v>0</v>
      </c>
      <c r="D2764" s="193"/>
      <c r="E2764" s="1600"/>
    </row>
    <row r="2765" spans="2:5" ht="13.75" hidden="1" customHeight="1" x14ac:dyDescent="0.2">
      <c r="B2765" s="1665">
        <f t="shared" si="2151"/>
        <v>0</v>
      </c>
      <c r="C2765" s="193">
        <f t="shared" si="2152"/>
        <v>0</v>
      </c>
      <c r="D2765" s="193"/>
      <c r="E2765" s="1600"/>
    </row>
    <row r="2766" spans="2:5" ht="13.75" hidden="1" customHeight="1" x14ac:dyDescent="0.2">
      <c r="B2766" s="1665">
        <f t="shared" si="2151"/>
        <v>0</v>
      </c>
      <c r="C2766" s="193">
        <f t="shared" si="2152"/>
        <v>0</v>
      </c>
      <c r="D2766" s="193"/>
      <c r="E2766" s="1600"/>
    </row>
    <row r="2767" spans="2:5" ht="13.75" hidden="1" customHeight="1" x14ac:dyDescent="0.2">
      <c r="B2767" s="1665" t="str">
        <f t="shared" ref="B2767:B2772" si="2153">+B461</f>
        <v>Labores con maquinaria contratada</v>
      </c>
      <c r="C2767" s="193">
        <f t="shared" si="2152"/>
        <v>0</v>
      </c>
      <c r="D2767" s="193"/>
      <c r="E2767" s="1600"/>
    </row>
    <row r="2768" spans="2:5" ht="13.75" hidden="1" customHeight="1" x14ac:dyDescent="0.2">
      <c r="B2768" s="1665">
        <f t="shared" si="2153"/>
        <v>0</v>
      </c>
      <c r="C2768" s="193">
        <f t="shared" ref="C2768:C2773" si="2154">+U462</f>
        <v>0</v>
      </c>
      <c r="D2768" s="193"/>
      <c r="E2768" s="1600"/>
    </row>
    <row r="2769" spans="2:5" ht="13.75" hidden="1" customHeight="1" x14ac:dyDescent="0.2">
      <c r="B2769" s="1665">
        <f t="shared" si="2153"/>
        <v>0</v>
      </c>
      <c r="C2769" s="193">
        <f t="shared" si="2154"/>
        <v>0</v>
      </c>
      <c r="D2769" s="193"/>
      <c r="E2769" s="1600"/>
    </row>
    <row r="2770" spans="2:5" ht="13.75" hidden="1" customHeight="1" x14ac:dyDescent="0.2">
      <c r="B2770" s="1665">
        <f t="shared" si="2153"/>
        <v>0</v>
      </c>
      <c r="C2770" s="193">
        <f t="shared" si="2154"/>
        <v>0</v>
      </c>
      <c r="D2770" s="193"/>
      <c r="E2770" s="1600"/>
    </row>
    <row r="2771" spans="2:5" ht="13.75" hidden="1" customHeight="1" x14ac:dyDescent="0.2">
      <c r="B2771" s="1665">
        <f t="shared" si="2153"/>
        <v>0</v>
      </c>
      <c r="C2771" s="193">
        <f t="shared" si="2154"/>
        <v>0</v>
      </c>
      <c r="D2771" s="193"/>
      <c r="E2771" s="1600"/>
    </row>
    <row r="2772" spans="2:5" ht="13.75" hidden="1" customHeight="1" x14ac:dyDescent="0.2">
      <c r="B2772" s="1665">
        <f t="shared" si="2153"/>
        <v>0</v>
      </c>
      <c r="C2772" s="193">
        <f t="shared" si="2154"/>
        <v>0</v>
      </c>
      <c r="D2772" s="193"/>
      <c r="E2772" s="1600"/>
    </row>
    <row r="2773" spans="2:5" ht="13.75" hidden="1" customHeight="1" x14ac:dyDescent="0.2">
      <c r="B2773" s="1665" t="str">
        <f t="shared" ref="B2773:B2781" si="2155">+B468</f>
        <v>Semillas</v>
      </c>
      <c r="C2773" s="193">
        <f t="shared" si="2154"/>
        <v>0</v>
      </c>
      <c r="D2773" s="193"/>
      <c r="E2773" s="1600"/>
    </row>
    <row r="2774" spans="2:5" ht="13.75" hidden="1" customHeight="1" x14ac:dyDescent="0.2">
      <c r="B2774" s="1665">
        <f t="shared" si="2155"/>
        <v>0</v>
      </c>
      <c r="C2774" s="193">
        <f t="shared" ref="C2774:C2782" si="2156">+U469</f>
        <v>0</v>
      </c>
      <c r="D2774" s="193"/>
      <c r="E2774" s="1600"/>
    </row>
    <row r="2775" spans="2:5" ht="13.75" hidden="1" customHeight="1" x14ac:dyDescent="0.2">
      <c r="B2775" s="1665">
        <f t="shared" si="2155"/>
        <v>0</v>
      </c>
      <c r="C2775" s="193">
        <f t="shared" si="2156"/>
        <v>0</v>
      </c>
      <c r="D2775" s="193"/>
      <c r="E2775" s="1600"/>
    </row>
    <row r="2776" spans="2:5" ht="13.75" hidden="1" customHeight="1" x14ac:dyDescent="0.2">
      <c r="B2776" s="1665">
        <f t="shared" si="2155"/>
        <v>0</v>
      </c>
      <c r="C2776" s="193">
        <f t="shared" si="2156"/>
        <v>0</v>
      </c>
      <c r="D2776" s="193"/>
      <c r="E2776" s="1600"/>
    </row>
    <row r="2777" spans="2:5" ht="13.75" hidden="1" customHeight="1" x14ac:dyDescent="0.2">
      <c r="B2777" s="1665">
        <f t="shared" si="2155"/>
        <v>0</v>
      </c>
      <c r="C2777" s="193">
        <f t="shared" si="2156"/>
        <v>0</v>
      </c>
      <c r="D2777" s="193"/>
      <c r="E2777" s="1600"/>
    </row>
    <row r="2778" spans="2:5" ht="13.75" hidden="1" customHeight="1" x14ac:dyDescent="0.2">
      <c r="B2778" s="1665">
        <f t="shared" si="2155"/>
        <v>0</v>
      </c>
      <c r="C2778" s="193">
        <f t="shared" si="2156"/>
        <v>0</v>
      </c>
      <c r="D2778" s="193"/>
      <c r="E2778" s="1600"/>
    </row>
    <row r="2779" spans="2:5" ht="13.75" hidden="1" customHeight="1" x14ac:dyDescent="0.2">
      <c r="B2779" s="1665">
        <f t="shared" si="2155"/>
        <v>0</v>
      </c>
      <c r="C2779" s="193">
        <f t="shared" si="2156"/>
        <v>0</v>
      </c>
      <c r="D2779" s="193"/>
      <c r="E2779" s="1600"/>
    </row>
    <row r="2780" spans="2:5" ht="13.75" hidden="1" customHeight="1" x14ac:dyDescent="0.2">
      <c r="B2780" s="1665">
        <f t="shared" si="2155"/>
        <v>0</v>
      </c>
      <c r="C2780" s="193">
        <f t="shared" si="2156"/>
        <v>0</v>
      </c>
      <c r="D2780" s="193"/>
      <c r="E2780" s="1600"/>
    </row>
    <row r="2781" spans="2:5" ht="13.75" hidden="1" customHeight="1" x14ac:dyDescent="0.2">
      <c r="B2781" s="1665">
        <f t="shared" si="2155"/>
        <v>0</v>
      </c>
      <c r="C2781" s="193">
        <f t="shared" si="2156"/>
        <v>0</v>
      </c>
      <c r="D2781" s="193"/>
      <c r="E2781" s="1600"/>
    </row>
    <row r="2782" spans="2:5" ht="13.75" hidden="1" customHeight="1" x14ac:dyDescent="0.2">
      <c r="B2782" s="1665" t="str">
        <f>+B478</f>
        <v xml:space="preserve">Fertilizantes </v>
      </c>
      <c r="C2782" s="193">
        <f t="shared" si="2156"/>
        <v>0</v>
      </c>
      <c r="D2782" s="193"/>
      <c r="E2782" s="1600"/>
    </row>
    <row r="2783" spans="2:5" ht="13.75" hidden="1" customHeight="1" x14ac:dyDescent="0.2">
      <c r="B2783" s="1665">
        <f>+B479</f>
        <v>0</v>
      </c>
      <c r="C2783" s="193">
        <f>+U479</f>
        <v>0</v>
      </c>
      <c r="D2783" s="193"/>
      <c r="E2783" s="1600"/>
    </row>
    <row r="2784" spans="2:5" ht="13.75" hidden="1" customHeight="1" x14ac:dyDescent="0.2">
      <c r="B2784" s="1665">
        <f>+B480</f>
        <v>0</v>
      </c>
      <c r="C2784" s="193">
        <f>+U480</f>
        <v>0</v>
      </c>
      <c r="D2784" s="193"/>
      <c r="E2784" s="1600"/>
    </row>
    <row r="2785" spans="2:5" ht="13.75" hidden="1" customHeight="1" x14ac:dyDescent="0.2">
      <c r="B2785" s="1665">
        <f>+B481</f>
        <v>0</v>
      </c>
      <c r="C2785" s="193">
        <f>+U481</f>
        <v>0</v>
      </c>
      <c r="D2785" s="193"/>
      <c r="E2785" s="1600"/>
    </row>
    <row r="2786" spans="2:5" ht="13.75" hidden="1" customHeight="1" x14ac:dyDescent="0.2">
      <c r="B2786" s="1665" t="str">
        <f t="shared" ref="B2786:B2792" si="2157">+B483</f>
        <v xml:space="preserve">Agroquímicos </v>
      </c>
      <c r="C2786" s="193">
        <f>+U482</f>
        <v>0</v>
      </c>
      <c r="D2786" s="193"/>
      <c r="E2786" s="1600"/>
    </row>
    <row r="2787" spans="2:5" ht="13.75" hidden="1" customHeight="1" x14ac:dyDescent="0.2">
      <c r="B2787" s="1665">
        <f t="shared" si="2157"/>
        <v>0</v>
      </c>
      <c r="C2787" s="193">
        <f t="shared" ref="C2787:C2792" si="2158">+U484</f>
        <v>0</v>
      </c>
      <c r="D2787" s="193"/>
      <c r="E2787" s="1600"/>
    </row>
    <row r="2788" spans="2:5" ht="13.75" hidden="1" customHeight="1" x14ac:dyDescent="0.2">
      <c r="B2788" s="1665">
        <f t="shared" si="2157"/>
        <v>0</v>
      </c>
      <c r="C2788" s="193">
        <f t="shared" si="2158"/>
        <v>0</v>
      </c>
      <c r="D2788" s="193"/>
      <c r="E2788" s="1600"/>
    </row>
    <row r="2789" spans="2:5" ht="13.75" hidden="1" customHeight="1" x14ac:dyDescent="0.2">
      <c r="B2789" s="1665">
        <f t="shared" si="2157"/>
        <v>0</v>
      </c>
      <c r="C2789" s="193">
        <f t="shared" si="2158"/>
        <v>0</v>
      </c>
      <c r="D2789" s="193"/>
      <c r="E2789" s="1600"/>
    </row>
    <row r="2790" spans="2:5" ht="13.75" hidden="1" customHeight="1" x14ac:dyDescent="0.2">
      <c r="B2790" s="1665" t="str">
        <f t="shared" si="2157"/>
        <v>Sub total agroquímicos</v>
      </c>
      <c r="C2790" s="193">
        <f t="shared" si="2158"/>
        <v>0</v>
      </c>
      <c r="D2790" s="193"/>
      <c r="E2790" s="1600"/>
    </row>
    <row r="2791" spans="2:5" ht="13.75" hidden="1" customHeight="1" x14ac:dyDescent="0.2">
      <c r="B2791" s="1665" t="str">
        <f t="shared" si="2157"/>
        <v xml:space="preserve">COSTO TOTAL DE IMPLANTACIÓN </v>
      </c>
      <c r="C2791" s="193">
        <f t="shared" si="2158"/>
        <v>0</v>
      </c>
      <c r="D2791" s="193"/>
      <c r="E2791" s="1600"/>
    </row>
    <row r="2792" spans="2:5" ht="13.75" hidden="1" customHeight="1" x14ac:dyDescent="0.2">
      <c r="B2792" s="1665">
        <f t="shared" si="2157"/>
        <v>0</v>
      </c>
      <c r="C2792" s="193">
        <f t="shared" si="2158"/>
        <v>0</v>
      </c>
      <c r="D2792" s="193"/>
      <c r="E2792" s="1600"/>
    </row>
    <row r="2793" spans="2:5" ht="13.75" hidden="1" customHeight="1" x14ac:dyDescent="0.2">
      <c r="B2793" s="1665" t="str">
        <f>+B491</f>
        <v>Costo de implantación de</v>
      </c>
      <c r="C2793" s="193">
        <f>+U491</f>
        <v>0</v>
      </c>
      <c r="D2793" s="193"/>
      <c r="E2793" s="1600"/>
    </row>
    <row r="2794" spans="2:5" ht="13.75" hidden="1" customHeight="1" x14ac:dyDescent="0.2">
      <c r="B2794" s="1665">
        <f>+C491</f>
        <v>0</v>
      </c>
      <c r="C2794" s="193" t="str">
        <f>+U492</f>
        <v>Has/año</v>
      </c>
      <c r="D2794" s="193"/>
      <c r="E2794" s="1600"/>
    </row>
    <row r="2795" spans="2:5" ht="13.75" hidden="1" customHeight="1" x14ac:dyDescent="0.2">
      <c r="B2795" s="1665" t="str">
        <f t="shared" ref="B2795:B2800" si="2159">+B495</f>
        <v>Labores con maquinaria propia</v>
      </c>
      <c r="C2795" s="193" t="str">
        <f t="shared" ref="C2795:C2801" si="2160">+U495</f>
        <v>por año</v>
      </c>
      <c r="D2795" s="193"/>
      <c r="E2795" s="1600"/>
    </row>
    <row r="2796" spans="2:5" ht="13.75" hidden="1" customHeight="1" x14ac:dyDescent="0.2">
      <c r="B2796" s="1665">
        <f t="shared" si="2159"/>
        <v>0</v>
      </c>
      <c r="C2796" s="193">
        <f t="shared" si="2160"/>
        <v>0</v>
      </c>
      <c r="D2796" s="193"/>
      <c r="E2796" s="1600"/>
    </row>
    <row r="2797" spans="2:5" ht="13.75" hidden="1" customHeight="1" x14ac:dyDescent="0.2">
      <c r="B2797" s="1665">
        <f t="shared" si="2159"/>
        <v>0</v>
      </c>
      <c r="C2797" s="193">
        <f t="shared" si="2160"/>
        <v>0</v>
      </c>
      <c r="D2797" s="193"/>
      <c r="E2797" s="1600"/>
    </row>
    <row r="2798" spans="2:5" ht="13.75" hidden="1" customHeight="1" x14ac:dyDescent="0.2">
      <c r="B2798" s="1665">
        <f t="shared" si="2159"/>
        <v>0</v>
      </c>
      <c r="C2798" s="193">
        <f t="shared" si="2160"/>
        <v>0</v>
      </c>
      <c r="D2798" s="193"/>
      <c r="E2798" s="1600"/>
    </row>
    <row r="2799" spans="2:5" ht="13.75" hidden="1" customHeight="1" x14ac:dyDescent="0.2">
      <c r="B2799" s="1665">
        <f t="shared" si="2159"/>
        <v>0</v>
      </c>
      <c r="C2799" s="193">
        <f t="shared" si="2160"/>
        <v>0</v>
      </c>
      <c r="D2799" s="193"/>
      <c r="E2799" s="1600"/>
    </row>
    <row r="2800" spans="2:5" ht="13.75" hidden="1" customHeight="1" x14ac:dyDescent="0.2">
      <c r="B2800" s="1665">
        <f t="shared" si="2159"/>
        <v>0</v>
      </c>
      <c r="C2800" s="193">
        <f t="shared" si="2160"/>
        <v>0</v>
      </c>
      <c r="D2800" s="193"/>
      <c r="E2800" s="1600"/>
    </row>
    <row r="2801" spans="2:5" ht="13.75" hidden="1" customHeight="1" x14ac:dyDescent="0.2">
      <c r="B2801" s="1665" t="str">
        <f t="shared" ref="B2801:B2806" si="2161">+B502</f>
        <v>Labores con maquinaria contratada</v>
      </c>
      <c r="C2801" s="193">
        <f t="shared" si="2160"/>
        <v>0</v>
      </c>
      <c r="D2801" s="193"/>
      <c r="E2801" s="1600"/>
    </row>
    <row r="2802" spans="2:5" ht="13.75" hidden="1" customHeight="1" x14ac:dyDescent="0.2">
      <c r="B2802" s="1665">
        <f t="shared" si="2161"/>
        <v>0</v>
      </c>
      <c r="C2802" s="193">
        <f t="shared" ref="C2802:C2807" si="2162">+U503</f>
        <v>0</v>
      </c>
      <c r="D2802" s="193"/>
      <c r="E2802" s="1600"/>
    </row>
    <row r="2803" spans="2:5" ht="13.75" hidden="1" customHeight="1" x14ac:dyDescent="0.2">
      <c r="B2803" s="1665">
        <f t="shared" si="2161"/>
        <v>0</v>
      </c>
      <c r="C2803" s="193">
        <f t="shared" si="2162"/>
        <v>0</v>
      </c>
      <c r="D2803" s="193"/>
      <c r="E2803" s="1600"/>
    </row>
    <row r="2804" spans="2:5" ht="13.75" hidden="1" customHeight="1" x14ac:dyDescent="0.2">
      <c r="B2804" s="1665">
        <f t="shared" si="2161"/>
        <v>0</v>
      </c>
      <c r="C2804" s="193">
        <f t="shared" si="2162"/>
        <v>0</v>
      </c>
      <c r="D2804" s="193"/>
      <c r="E2804" s="1600"/>
    </row>
    <row r="2805" spans="2:5" ht="13.75" hidden="1" customHeight="1" x14ac:dyDescent="0.2">
      <c r="B2805" s="1665">
        <f t="shared" si="2161"/>
        <v>0</v>
      </c>
      <c r="C2805" s="193">
        <f t="shared" si="2162"/>
        <v>0</v>
      </c>
      <c r="D2805" s="193"/>
      <c r="E2805" s="1600"/>
    </row>
    <row r="2806" spans="2:5" ht="13.75" hidden="1" customHeight="1" x14ac:dyDescent="0.2">
      <c r="B2806" s="1665">
        <f t="shared" si="2161"/>
        <v>0</v>
      </c>
      <c r="C2806" s="193">
        <f t="shared" si="2162"/>
        <v>0</v>
      </c>
      <c r="D2806" s="193"/>
      <c r="E2806" s="1600"/>
    </row>
    <row r="2807" spans="2:5" ht="13.75" hidden="1" customHeight="1" x14ac:dyDescent="0.2">
      <c r="B2807" s="1665" t="str">
        <f t="shared" ref="B2807:B2815" si="2163">+B509</f>
        <v>Semillas</v>
      </c>
      <c r="C2807" s="193">
        <f t="shared" si="2162"/>
        <v>0</v>
      </c>
      <c r="D2807" s="193"/>
      <c r="E2807" s="1600"/>
    </row>
    <row r="2808" spans="2:5" ht="13.75" hidden="1" customHeight="1" x14ac:dyDescent="0.2">
      <c r="B2808" s="1665">
        <f t="shared" si="2163"/>
        <v>0</v>
      </c>
      <c r="C2808" s="193">
        <f t="shared" ref="C2808:C2816" si="2164">+U510</f>
        <v>0</v>
      </c>
      <c r="D2808" s="193"/>
      <c r="E2808" s="1600"/>
    </row>
    <row r="2809" spans="2:5" ht="13.75" hidden="1" customHeight="1" x14ac:dyDescent="0.2">
      <c r="B2809" s="1665">
        <f t="shared" si="2163"/>
        <v>0</v>
      </c>
      <c r="C2809" s="193">
        <f t="shared" si="2164"/>
        <v>0</v>
      </c>
      <c r="D2809" s="193"/>
      <c r="E2809" s="1600"/>
    </row>
    <row r="2810" spans="2:5" ht="13.75" hidden="1" customHeight="1" x14ac:dyDescent="0.2">
      <c r="B2810" s="1665">
        <f t="shared" si="2163"/>
        <v>0</v>
      </c>
      <c r="C2810" s="193">
        <f t="shared" si="2164"/>
        <v>0</v>
      </c>
      <c r="D2810" s="193"/>
      <c r="E2810" s="1600"/>
    </row>
    <row r="2811" spans="2:5" ht="13.75" hidden="1" customHeight="1" x14ac:dyDescent="0.2">
      <c r="B2811" s="1665">
        <f t="shared" si="2163"/>
        <v>0</v>
      </c>
      <c r="C2811" s="193">
        <f t="shared" si="2164"/>
        <v>0</v>
      </c>
      <c r="D2811" s="193"/>
      <c r="E2811" s="1600"/>
    </row>
    <row r="2812" spans="2:5" ht="13.75" hidden="1" customHeight="1" x14ac:dyDescent="0.2">
      <c r="B2812" s="1665">
        <f t="shared" si="2163"/>
        <v>0</v>
      </c>
      <c r="C2812" s="193">
        <f t="shared" si="2164"/>
        <v>0</v>
      </c>
      <c r="D2812" s="193"/>
      <c r="E2812" s="1600"/>
    </row>
    <row r="2813" spans="2:5" ht="13.75" hidden="1" customHeight="1" x14ac:dyDescent="0.2">
      <c r="B2813" s="1665">
        <f t="shared" si="2163"/>
        <v>0</v>
      </c>
      <c r="C2813" s="193">
        <f t="shared" si="2164"/>
        <v>0</v>
      </c>
      <c r="D2813" s="193"/>
      <c r="E2813" s="1600"/>
    </row>
    <row r="2814" spans="2:5" ht="13.75" hidden="1" customHeight="1" x14ac:dyDescent="0.2">
      <c r="B2814" s="1665">
        <f t="shared" si="2163"/>
        <v>0</v>
      </c>
      <c r="C2814" s="193">
        <f t="shared" si="2164"/>
        <v>0</v>
      </c>
      <c r="D2814" s="193"/>
      <c r="E2814" s="1600"/>
    </row>
    <row r="2815" spans="2:5" ht="13.75" hidden="1" customHeight="1" x14ac:dyDescent="0.2">
      <c r="B2815" s="1665">
        <f t="shared" si="2163"/>
        <v>0</v>
      </c>
      <c r="C2815" s="193">
        <f t="shared" si="2164"/>
        <v>0</v>
      </c>
      <c r="D2815" s="193"/>
      <c r="E2815" s="1600"/>
    </row>
    <row r="2816" spans="2:5" ht="13.75" hidden="1" customHeight="1" x14ac:dyDescent="0.2">
      <c r="B2816" s="1665" t="str">
        <f>+B519</f>
        <v xml:space="preserve">Fertilizantes </v>
      </c>
      <c r="C2816" s="193">
        <f t="shared" si="2164"/>
        <v>0</v>
      </c>
      <c r="D2816" s="193"/>
      <c r="E2816" s="1600"/>
    </row>
    <row r="2817" spans="2:5" ht="13.75" hidden="1" customHeight="1" x14ac:dyDescent="0.2">
      <c r="B2817" s="1665">
        <f>+B520</f>
        <v>0</v>
      </c>
      <c r="C2817" s="193">
        <f>+U520</f>
        <v>0</v>
      </c>
      <c r="D2817" s="193"/>
      <c r="E2817" s="1600"/>
    </row>
    <row r="2818" spans="2:5" ht="13.75" hidden="1" customHeight="1" x14ac:dyDescent="0.2">
      <c r="B2818" s="1665">
        <f>+B521</f>
        <v>0</v>
      </c>
      <c r="C2818" s="193">
        <f>+U521</f>
        <v>0</v>
      </c>
      <c r="D2818" s="193"/>
      <c r="E2818" s="1600"/>
    </row>
    <row r="2819" spans="2:5" ht="13.75" hidden="1" customHeight="1" x14ac:dyDescent="0.2">
      <c r="B2819" s="1665">
        <f>+B522</f>
        <v>0</v>
      </c>
      <c r="C2819" s="193">
        <f>+U522</f>
        <v>0</v>
      </c>
      <c r="D2819" s="193"/>
      <c r="E2819" s="1600"/>
    </row>
    <row r="2820" spans="2:5" ht="13.75" hidden="1" customHeight="1" x14ac:dyDescent="0.2">
      <c r="B2820" s="1665" t="str">
        <f t="shared" ref="B2820:B2825" si="2165">+B524</f>
        <v xml:space="preserve">Agroquímicos </v>
      </c>
      <c r="C2820" s="193">
        <f>+U523</f>
        <v>0</v>
      </c>
      <c r="D2820" s="193"/>
      <c r="E2820" s="1600"/>
    </row>
    <row r="2821" spans="2:5" ht="13.75" hidden="1" customHeight="1" x14ac:dyDescent="0.2">
      <c r="B2821" s="1665">
        <f t="shared" si="2165"/>
        <v>0</v>
      </c>
      <c r="C2821" s="193">
        <f>+U525</f>
        <v>0</v>
      </c>
      <c r="D2821" s="193"/>
      <c r="E2821" s="1600"/>
    </row>
    <row r="2822" spans="2:5" ht="13.75" hidden="1" customHeight="1" x14ac:dyDescent="0.2">
      <c r="B2822" s="1665">
        <f t="shared" si="2165"/>
        <v>0</v>
      </c>
      <c r="C2822" s="193">
        <f>+U526</f>
        <v>0</v>
      </c>
      <c r="D2822" s="193"/>
      <c r="E2822" s="1600"/>
    </row>
    <row r="2823" spans="2:5" ht="13.75" hidden="1" customHeight="1" x14ac:dyDescent="0.2">
      <c r="B2823" s="1665">
        <f t="shared" si="2165"/>
        <v>0</v>
      </c>
      <c r="C2823" s="193">
        <f>+U527</f>
        <v>0</v>
      </c>
      <c r="D2823" s="193"/>
      <c r="E2823" s="1600"/>
    </row>
    <row r="2824" spans="2:5" ht="13.75" hidden="1" customHeight="1" x14ac:dyDescent="0.2">
      <c r="B2824" s="1665" t="str">
        <f t="shared" si="2165"/>
        <v>Sub total agroquímicos</v>
      </c>
      <c r="C2824" s="193">
        <f>+U528</f>
        <v>0</v>
      </c>
      <c r="D2824" s="193"/>
      <c r="E2824" s="1600"/>
    </row>
    <row r="2825" spans="2:5" ht="13.75" hidden="1" customHeight="1" x14ac:dyDescent="0.2">
      <c r="B2825" s="1665" t="str">
        <f t="shared" si="2165"/>
        <v xml:space="preserve">COSTO TOTAL DE IMPLANTACIÓN </v>
      </c>
      <c r="C2825" s="193">
        <f>+U529</f>
        <v>0</v>
      </c>
      <c r="D2825" s="193"/>
      <c r="E2825" s="1600"/>
    </row>
    <row r="2826" spans="2:5" ht="13.75" hidden="1" customHeight="1" x14ac:dyDescent="0.2">
      <c r="B2826" s="1665">
        <f>+Y45</f>
        <v>0</v>
      </c>
      <c r="C2826" s="193">
        <f t="shared" ref="C2826:C2831" si="2166">AR45</f>
        <v>0</v>
      </c>
      <c r="D2826" s="193"/>
      <c r="E2826" s="1600"/>
    </row>
    <row r="2827" spans="2:5" ht="13.75" hidden="1" customHeight="1" x14ac:dyDescent="0.2">
      <c r="B2827" s="1665">
        <f>+Y46</f>
        <v>0</v>
      </c>
      <c r="C2827" s="193">
        <f t="shared" si="2166"/>
        <v>0</v>
      </c>
      <c r="D2827" s="193"/>
      <c r="E2827" s="1600"/>
    </row>
    <row r="2828" spans="2:5" ht="13.75" hidden="1" customHeight="1" x14ac:dyDescent="0.2">
      <c r="B2828" s="1665">
        <f>+Y47</f>
        <v>0</v>
      </c>
      <c r="C2828" s="193">
        <f t="shared" si="2166"/>
        <v>0</v>
      </c>
      <c r="D2828" s="193"/>
      <c r="E2828" s="1600"/>
    </row>
    <row r="2829" spans="2:5" ht="13.75" hidden="1" customHeight="1" x14ac:dyDescent="0.2">
      <c r="B2829" s="1665">
        <f>+Y48</f>
        <v>0</v>
      </c>
      <c r="C2829" s="193">
        <f t="shared" si="2166"/>
        <v>0</v>
      </c>
      <c r="D2829" s="193"/>
      <c r="E2829" s="1600"/>
    </row>
    <row r="2830" spans="2:5" ht="13.75" hidden="1" customHeight="1" x14ac:dyDescent="0.2">
      <c r="B2830" s="1665">
        <f>+Y49</f>
        <v>0</v>
      </c>
      <c r="C2830" s="193">
        <f t="shared" si="2166"/>
        <v>0</v>
      </c>
      <c r="D2830" s="193"/>
      <c r="E2830" s="1600"/>
    </row>
    <row r="2831" spans="2:5" ht="13.75" hidden="1" customHeight="1" x14ac:dyDescent="0.2">
      <c r="B2831" s="1665" t="str">
        <f t="shared" ref="B2831:B2836" si="2167">+Y51</f>
        <v>Labores con maquinaria contratada</v>
      </c>
      <c r="C2831" s="193">
        <f t="shared" si="2166"/>
        <v>0</v>
      </c>
      <c r="D2831" s="193"/>
      <c r="E2831" s="1600"/>
    </row>
    <row r="2832" spans="2:5" ht="13.75" hidden="1" customHeight="1" x14ac:dyDescent="0.2">
      <c r="B2832" s="1665">
        <f t="shared" si="2167"/>
        <v>0</v>
      </c>
      <c r="C2832" s="193">
        <f t="shared" ref="C2832:C2837" si="2168">AR52</f>
        <v>0</v>
      </c>
      <c r="D2832" s="193"/>
      <c r="E2832" s="1600"/>
    </row>
    <row r="2833" spans="2:5" ht="13.75" hidden="1" customHeight="1" x14ac:dyDescent="0.2">
      <c r="B2833" s="1665">
        <f t="shared" si="2167"/>
        <v>0</v>
      </c>
      <c r="C2833" s="193">
        <f t="shared" si="2168"/>
        <v>0</v>
      </c>
      <c r="D2833" s="193"/>
      <c r="E2833" s="1600"/>
    </row>
    <row r="2834" spans="2:5" ht="13.75" hidden="1" customHeight="1" x14ac:dyDescent="0.2">
      <c r="B2834" s="1665">
        <f t="shared" si="2167"/>
        <v>0</v>
      </c>
      <c r="C2834" s="193">
        <f t="shared" si="2168"/>
        <v>0</v>
      </c>
      <c r="D2834" s="193"/>
      <c r="E2834" s="1600"/>
    </row>
    <row r="2835" spans="2:5" ht="13.75" hidden="1" customHeight="1" x14ac:dyDescent="0.2">
      <c r="B2835" s="1665">
        <f t="shared" si="2167"/>
        <v>0</v>
      </c>
      <c r="C2835" s="193">
        <f t="shared" si="2168"/>
        <v>0</v>
      </c>
      <c r="D2835" s="193"/>
      <c r="E2835" s="1600"/>
    </row>
    <row r="2836" spans="2:5" ht="13.75" hidden="1" customHeight="1" x14ac:dyDescent="0.2">
      <c r="B2836" s="1665">
        <f t="shared" si="2167"/>
        <v>0</v>
      </c>
      <c r="C2836" s="193">
        <f t="shared" si="2168"/>
        <v>0</v>
      </c>
      <c r="D2836" s="193"/>
      <c r="E2836" s="1600"/>
    </row>
    <row r="2837" spans="2:5" ht="13.75" hidden="1" customHeight="1" x14ac:dyDescent="0.2">
      <c r="B2837" s="1665" t="str">
        <f t="shared" ref="B2837:B2845" si="2169">+Y58</f>
        <v>Semillas</v>
      </c>
      <c r="C2837" s="193">
        <f t="shared" si="2168"/>
        <v>0</v>
      </c>
      <c r="D2837" s="193"/>
      <c r="E2837" s="1600"/>
    </row>
    <row r="2838" spans="2:5" ht="13.75" hidden="1" customHeight="1" x14ac:dyDescent="0.2">
      <c r="B2838" s="1665">
        <f t="shared" si="2169"/>
        <v>0</v>
      </c>
      <c r="C2838" s="193">
        <f t="shared" ref="C2838:C2846" si="2170">AR59</f>
        <v>0</v>
      </c>
      <c r="D2838" s="193"/>
      <c r="E2838" s="1600"/>
    </row>
    <row r="2839" spans="2:5" ht="13.75" hidden="1" customHeight="1" x14ac:dyDescent="0.2">
      <c r="B2839" s="1665">
        <f t="shared" si="2169"/>
        <v>0</v>
      </c>
      <c r="C2839" s="193">
        <f t="shared" si="2170"/>
        <v>0</v>
      </c>
      <c r="D2839" s="193"/>
      <c r="E2839" s="1600"/>
    </row>
    <row r="2840" spans="2:5" ht="13.75" hidden="1" customHeight="1" x14ac:dyDescent="0.2">
      <c r="B2840" s="1665">
        <f t="shared" si="2169"/>
        <v>0</v>
      </c>
      <c r="C2840" s="193">
        <f t="shared" si="2170"/>
        <v>0</v>
      </c>
      <c r="D2840" s="193"/>
      <c r="E2840" s="1600"/>
    </row>
    <row r="2841" spans="2:5" ht="13.75" hidden="1" customHeight="1" x14ac:dyDescent="0.2">
      <c r="B2841" s="1665">
        <f t="shared" si="2169"/>
        <v>0</v>
      </c>
      <c r="C2841" s="193">
        <f t="shared" si="2170"/>
        <v>0</v>
      </c>
      <c r="D2841" s="193"/>
      <c r="E2841" s="1600"/>
    </row>
    <row r="2842" spans="2:5" ht="13.75" hidden="1" customHeight="1" x14ac:dyDescent="0.2">
      <c r="B2842" s="1665">
        <f t="shared" si="2169"/>
        <v>0</v>
      </c>
      <c r="C2842" s="193">
        <f t="shared" si="2170"/>
        <v>0</v>
      </c>
      <c r="D2842" s="193"/>
      <c r="E2842" s="1600"/>
    </row>
    <row r="2843" spans="2:5" ht="13.75" hidden="1" customHeight="1" x14ac:dyDescent="0.2">
      <c r="B2843" s="1665">
        <f t="shared" si="2169"/>
        <v>0</v>
      </c>
      <c r="C2843" s="193">
        <f t="shared" si="2170"/>
        <v>0</v>
      </c>
      <c r="D2843" s="193"/>
      <c r="E2843" s="1600"/>
    </row>
    <row r="2844" spans="2:5" ht="13.75" hidden="1" customHeight="1" x14ac:dyDescent="0.2">
      <c r="B2844" s="1665">
        <f t="shared" si="2169"/>
        <v>0</v>
      </c>
      <c r="C2844" s="193">
        <f t="shared" si="2170"/>
        <v>0</v>
      </c>
      <c r="D2844" s="193"/>
      <c r="E2844" s="1600"/>
    </row>
    <row r="2845" spans="2:5" ht="13.75" hidden="1" customHeight="1" x14ac:dyDescent="0.2">
      <c r="B2845" s="1665">
        <f t="shared" si="2169"/>
        <v>0</v>
      </c>
      <c r="C2845" s="193">
        <f t="shared" si="2170"/>
        <v>0</v>
      </c>
      <c r="D2845" s="193"/>
      <c r="E2845" s="1600"/>
    </row>
    <row r="2846" spans="2:5" ht="13.75" hidden="1" customHeight="1" x14ac:dyDescent="0.2">
      <c r="B2846" s="1665" t="str">
        <f>+Y68</f>
        <v xml:space="preserve">Fertilizantes </v>
      </c>
      <c r="C2846" s="193">
        <f t="shared" si="2170"/>
        <v>0</v>
      </c>
      <c r="D2846" s="193"/>
      <c r="E2846" s="1600"/>
    </row>
    <row r="2847" spans="2:5" ht="13.75" hidden="1" customHeight="1" x14ac:dyDescent="0.2">
      <c r="B2847" s="1665">
        <f>+Y69</f>
        <v>0</v>
      </c>
      <c r="C2847" s="193">
        <f>AR69</f>
        <v>0</v>
      </c>
      <c r="D2847" s="193"/>
      <c r="E2847" s="1600"/>
    </row>
    <row r="2848" spans="2:5" ht="13.75" hidden="1" customHeight="1" x14ac:dyDescent="0.2">
      <c r="B2848" s="1665">
        <f>+Y70</f>
        <v>0</v>
      </c>
      <c r="C2848" s="193">
        <f>AR70</f>
        <v>0</v>
      </c>
      <c r="D2848" s="193"/>
      <c r="E2848" s="1600"/>
    </row>
    <row r="2849" spans="2:5" ht="13.75" hidden="1" customHeight="1" x14ac:dyDescent="0.2">
      <c r="B2849" s="1665">
        <f>+Y71</f>
        <v>0</v>
      </c>
      <c r="C2849" s="193">
        <f>AR71</f>
        <v>0</v>
      </c>
      <c r="D2849" s="193"/>
      <c r="E2849" s="1600"/>
    </row>
    <row r="2850" spans="2:5" ht="13.75" hidden="1" customHeight="1" x14ac:dyDescent="0.2">
      <c r="B2850" s="1665" t="str">
        <f t="shared" ref="B2850:B2856" si="2171">+Y73</f>
        <v xml:space="preserve">Agroquímicos </v>
      </c>
      <c r="C2850" s="193">
        <f>AR72</f>
        <v>0</v>
      </c>
      <c r="D2850" s="193"/>
      <c r="E2850" s="1600"/>
    </row>
    <row r="2851" spans="2:5" ht="13.75" hidden="1" customHeight="1" x14ac:dyDescent="0.2">
      <c r="B2851" s="1665">
        <f t="shared" si="2171"/>
        <v>0</v>
      </c>
      <c r="C2851" s="193">
        <f t="shared" ref="C2851:C2856" si="2172">AR74</f>
        <v>0</v>
      </c>
      <c r="D2851" s="193"/>
      <c r="E2851" s="1600"/>
    </row>
    <row r="2852" spans="2:5" ht="13.75" hidden="1" customHeight="1" x14ac:dyDescent="0.2">
      <c r="B2852" s="1665">
        <f t="shared" si="2171"/>
        <v>0</v>
      </c>
      <c r="C2852" s="193">
        <f t="shared" si="2172"/>
        <v>0</v>
      </c>
      <c r="D2852" s="193"/>
      <c r="E2852" s="1600"/>
    </row>
    <row r="2853" spans="2:5" ht="13.75" hidden="1" customHeight="1" x14ac:dyDescent="0.2">
      <c r="B2853" s="1665">
        <f t="shared" si="2171"/>
        <v>0</v>
      </c>
      <c r="C2853" s="193">
        <f t="shared" si="2172"/>
        <v>0</v>
      </c>
      <c r="D2853" s="193"/>
      <c r="E2853" s="1600"/>
    </row>
    <row r="2854" spans="2:5" ht="13.75" hidden="1" customHeight="1" x14ac:dyDescent="0.2">
      <c r="B2854" s="1665" t="str">
        <f t="shared" si="2171"/>
        <v>Sub total agroquímicos</v>
      </c>
      <c r="C2854" s="193">
        <f t="shared" si="2172"/>
        <v>0</v>
      </c>
      <c r="D2854" s="193"/>
      <c r="E2854" s="1600"/>
    </row>
    <row r="2855" spans="2:5" ht="13.75" hidden="1" customHeight="1" x14ac:dyDescent="0.2">
      <c r="B2855" s="1665" t="str">
        <f t="shared" si="2171"/>
        <v xml:space="preserve">COSTO TOTAL DE IMPLANTACIÓN </v>
      </c>
      <c r="C2855" s="193">
        <f t="shared" si="2172"/>
        <v>0</v>
      </c>
      <c r="D2855" s="193"/>
      <c r="E2855" s="1600"/>
    </row>
    <row r="2856" spans="2:5" ht="13.75" hidden="1" customHeight="1" x14ac:dyDescent="0.2">
      <c r="B2856" s="1665">
        <f t="shared" si="2171"/>
        <v>0</v>
      </c>
      <c r="C2856" s="193">
        <f t="shared" si="2172"/>
        <v>0</v>
      </c>
      <c r="D2856" s="193"/>
      <c r="E2856" s="1600"/>
    </row>
    <row r="2857" spans="2:5" ht="13.75" hidden="1" customHeight="1" x14ac:dyDescent="0.2">
      <c r="B2857" s="1665" t="str">
        <f>+Y81</f>
        <v>Uso de Insumos y Costo de implantación de:</v>
      </c>
      <c r="C2857" s="193">
        <f>AR81</f>
        <v>0</v>
      </c>
      <c r="D2857" s="193"/>
      <c r="E2857" s="1600"/>
    </row>
    <row r="2858" spans="2:5" ht="13.75" hidden="1" customHeight="1" x14ac:dyDescent="0.2">
      <c r="B2858" s="1665">
        <f>+Z81</f>
        <v>0</v>
      </c>
      <c r="C2858" s="193" t="str">
        <f t="shared" ref="C2858:C2865" si="2173">AR84</f>
        <v>Unidades</v>
      </c>
      <c r="D2858" s="193"/>
      <c r="E2858" s="1600"/>
    </row>
    <row r="2859" spans="2:5" ht="13.75" hidden="1" customHeight="1" x14ac:dyDescent="0.2">
      <c r="B2859" s="1665" t="str">
        <f t="shared" ref="B2859:B2864" si="2174">+Y85</f>
        <v>Labores con maquinaria propia</v>
      </c>
      <c r="C2859" s="193" t="str">
        <f t="shared" si="2173"/>
        <v>por año</v>
      </c>
      <c r="D2859" s="193"/>
      <c r="E2859" s="1600"/>
    </row>
    <row r="2860" spans="2:5" ht="13.75" hidden="1" customHeight="1" x14ac:dyDescent="0.2">
      <c r="B2860" s="1665">
        <f t="shared" si="2174"/>
        <v>0</v>
      </c>
      <c r="C2860" s="193">
        <f t="shared" si="2173"/>
        <v>0</v>
      </c>
      <c r="D2860" s="193"/>
      <c r="E2860" s="1600"/>
    </row>
    <row r="2861" spans="2:5" ht="13.75" hidden="1" customHeight="1" x14ac:dyDescent="0.2">
      <c r="B2861" s="1665">
        <f t="shared" si="2174"/>
        <v>0</v>
      </c>
      <c r="C2861" s="193">
        <f t="shared" si="2173"/>
        <v>0</v>
      </c>
      <c r="D2861" s="193"/>
      <c r="E2861" s="1600"/>
    </row>
    <row r="2862" spans="2:5" ht="13.75" hidden="1" customHeight="1" x14ac:dyDescent="0.2">
      <c r="B2862" s="1665">
        <f t="shared" si="2174"/>
        <v>0</v>
      </c>
      <c r="C2862" s="193">
        <f t="shared" si="2173"/>
        <v>0</v>
      </c>
      <c r="D2862" s="193"/>
      <c r="E2862" s="1600"/>
    </row>
    <row r="2863" spans="2:5" ht="13.75" hidden="1" customHeight="1" x14ac:dyDescent="0.2">
      <c r="B2863" s="1665">
        <f t="shared" si="2174"/>
        <v>0</v>
      </c>
      <c r="C2863" s="193">
        <f t="shared" si="2173"/>
        <v>0</v>
      </c>
      <c r="D2863" s="193"/>
      <c r="E2863" s="1600"/>
    </row>
    <row r="2864" spans="2:5" ht="13.75" hidden="1" customHeight="1" x14ac:dyDescent="0.2">
      <c r="B2864" s="1665">
        <f t="shared" si="2174"/>
        <v>0</v>
      </c>
      <c r="C2864" s="193">
        <f t="shared" si="2173"/>
        <v>0</v>
      </c>
      <c r="D2864" s="193"/>
      <c r="E2864" s="1600"/>
    </row>
    <row r="2865" spans="2:5" ht="13.75" hidden="1" customHeight="1" x14ac:dyDescent="0.2">
      <c r="B2865" s="1665" t="str">
        <f t="shared" ref="B2865:B2870" si="2175">+Y92</f>
        <v>Labores con maquinaria contratada</v>
      </c>
      <c r="C2865" s="193">
        <f t="shared" si="2173"/>
        <v>0</v>
      </c>
      <c r="D2865" s="193"/>
      <c r="E2865" s="1600"/>
    </row>
    <row r="2866" spans="2:5" ht="13.75" hidden="1" customHeight="1" x14ac:dyDescent="0.2">
      <c r="B2866" s="1665">
        <f t="shared" si="2175"/>
        <v>0</v>
      </c>
      <c r="C2866" s="193">
        <f t="shared" ref="C2866:C2871" si="2176">AR93</f>
        <v>0</v>
      </c>
      <c r="D2866" s="193"/>
      <c r="E2866" s="1600"/>
    </row>
    <row r="2867" spans="2:5" ht="13.75" hidden="1" customHeight="1" x14ac:dyDescent="0.2">
      <c r="B2867" s="1665">
        <f t="shared" si="2175"/>
        <v>0</v>
      </c>
      <c r="C2867" s="193">
        <f t="shared" si="2176"/>
        <v>0</v>
      </c>
      <c r="D2867" s="193"/>
      <c r="E2867" s="1600"/>
    </row>
    <row r="2868" spans="2:5" ht="13.75" hidden="1" customHeight="1" x14ac:dyDescent="0.2">
      <c r="B2868" s="1665">
        <f t="shared" si="2175"/>
        <v>0</v>
      </c>
      <c r="C2868" s="193">
        <f t="shared" si="2176"/>
        <v>0</v>
      </c>
      <c r="D2868" s="193"/>
      <c r="E2868" s="1600"/>
    </row>
    <row r="2869" spans="2:5" ht="13.75" hidden="1" customHeight="1" x14ac:dyDescent="0.2">
      <c r="B2869" s="1665">
        <f t="shared" si="2175"/>
        <v>0</v>
      </c>
      <c r="C2869" s="193">
        <f t="shared" si="2176"/>
        <v>0</v>
      </c>
      <c r="D2869" s="193"/>
      <c r="E2869" s="1600"/>
    </row>
    <row r="2870" spans="2:5" ht="13.75" hidden="1" customHeight="1" x14ac:dyDescent="0.2">
      <c r="B2870" s="1665">
        <f t="shared" si="2175"/>
        <v>0</v>
      </c>
      <c r="C2870" s="193">
        <f t="shared" si="2176"/>
        <v>0</v>
      </c>
      <c r="D2870" s="193"/>
      <c r="E2870" s="1600"/>
    </row>
    <row r="2871" spans="2:5" ht="13.75" hidden="1" customHeight="1" x14ac:dyDescent="0.2">
      <c r="B2871" s="1665" t="str">
        <f t="shared" ref="B2871:B2879" si="2177">+Y99</f>
        <v>Semillas</v>
      </c>
      <c r="C2871" s="193">
        <f t="shared" si="2176"/>
        <v>0</v>
      </c>
      <c r="D2871" s="193"/>
      <c r="E2871" s="1600"/>
    </row>
    <row r="2872" spans="2:5" ht="13.75" hidden="1" customHeight="1" x14ac:dyDescent="0.2">
      <c r="B2872" s="1665">
        <f t="shared" si="2177"/>
        <v>0</v>
      </c>
      <c r="C2872" s="193">
        <f t="shared" ref="C2872:C2880" si="2178">AR100</f>
        <v>0</v>
      </c>
      <c r="D2872" s="193"/>
      <c r="E2872" s="1600"/>
    </row>
    <row r="2873" spans="2:5" ht="13.75" hidden="1" customHeight="1" x14ac:dyDescent="0.2">
      <c r="B2873" s="1665">
        <f t="shared" si="2177"/>
        <v>0</v>
      </c>
      <c r="C2873" s="193">
        <f t="shared" si="2178"/>
        <v>0</v>
      </c>
      <c r="D2873" s="193"/>
      <c r="E2873" s="1600"/>
    </row>
    <row r="2874" spans="2:5" ht="13.75" hidden="1" customHeight="1" x14ac:dyDescent="0.2">
      <c r="B2874" s="1665">
        <f t="shared" si="2177"/>
        <v>0</v>
      </c>
      <c r="C2874" s="193">
        <f t="shared" si="2178"/>
        <v>0</v>
      </c>
      <c r="D2874" s="193"/>
      <c r="E2874" s="1600"/>
    </row>
    <row r="2875" spans="2:5" ht="13.75" hidden="1" customHeight="1" x14ac:dyDescent="0.2">
      <c r="B2875" s="1665">
        <f t="shared" si="2177"/>
        <v>0</v>
      </c>
      <c r="C2875" s="193">
        <f t="shared" si="2178"/>
        <v>0</v>
      </c>
      <c r="D2875" s="193"/>
      <c r="E2875" s="1600"/>
    </row>
    <row r="2876" spans="2:5" ht="13.75" hidden="1" customHeight="1" x14ac:dyDescent="0.2">
      <c r="B2876" s="1665">
        <f t="shared" si="2177"/>
        <v>0</v>
      </c>
      <c r="C2876" s="193">
        <f t="shared" si="2178"/>
        <v>0</v>
      </c>
      <c r="D2876" s="193"/>
      <c r="E2876" s="1600"/>
    </row>
    <row r="2877" spans="2:5" ht="13.75" hidden="1" customHeight="1" x14ac:dyDescent="0.2">
      <c r="B2877" s="1665">
        <f t="shared" si="2177"/>
        <v>0</v>
      </c>
      <c r="C2877" s="193">
        <f t="shared" si="2178"/>
        <v>0</v>
      </c>
      <c r="D2877" s="193"/>
      <c r="E2877" s="1600"/>
    </row>
    <row r="2878" spans="2:5" ht="13.75" hidden="1" customHeight="1" x14ac:dyDescent="0.2">
      <c r="B2878" s="1665">
        <f t="shared" si="2177"/>
        <v>0</v>
      </c>
      <c r="C2878" s="193">
        <f t="shared" si="2178"/>
        <v>0</v>
      </c>
      <c r="D2878" s="193"/>
      <c r="E2878" s="1600"/>
    </row>
    <row r="2879" spans="2:5" ht="13.75" hidden="1" customHeight="1" x14ac:dyDescent="0.2">
      <c r="B2879" s="1665">
        <f t="shared" si="2177"/>
        <v>0</v>
      </c>
      <c r="C2879" s="193">
        <f t="shared" si="2178"/>
        <v>0</v>
      </c>
      <c r="D2879" s="193"/>
      <c r="E2879" s="1600"/>
    </row>
    <row r="2880" spans="2:5" ht="13.75" hidden="1" customHeight="1" x14ac:dyDescent="0.2">
      <c r="B2880" s="1665" t="str">
        <f>+Y109</f>
        <v xml:space="preserve">Fertilizantes </v>
      </c>
      <c r="C2880" s="193">
        <f t="shared" si="2178"/>
        <v>0</v>
      </c>
      <c r="D2880" s="193"/>
      <c r="E2880" s="1600"/>
    </row>
    <row r="2881" spans="2:5" ht="13.75" hidden="1" customHeight="1" x14ac:dyDescent="0.2">
      <c r="B2881" s="1665">
        <f>+Y110</f>
        <v>0</v>
      </c>
      <c r="C2881" s="193">
        <f>AR110</f>
        <v>0</v>
      </c>
      <c r="D2881" s="193"/>
      <c r="E2881" s="1600"/>
    </row>
    <row r="2882" spans="2:5" ht="13.75" hidden="1" customHeight="1" x14ac:dyDescent="0.2">
      <c r="B2882" s="1665">
        <f>+Y111</f>
        <v>0</v>
      </c>
      <c r="C2882" s="193">
        <f>AR111</f>
        <v>0</v>
      </c>
      <c r="D2882" s="193"/>
      <c r="E2882" s="1600"/>
    </row>
    <row r="2883" spans="2:5" ht="13.75" hidden="1" customHeight="1" x14ac:dyDescent="0.2">
      <c r="B2883" s="1665">
        <f>+Y112</f>
        <v>0</v>
      </c>
      <c r="C2883" s="193">
        <f>AR112</f>
        <v>0</v>
      </c>
      <c r="D2883" s="193"/>
      <c r="E2883" s="1600"/>
    </row>
    <row r="2884" spans="2:5" ht="13.75" hidden="1" customHeight="1" x14ac:dyDescent="0.2">
      <c r="B2884" s="1665" t="str">
        <f t="shared" ref="B2884:B2890" si="2179">+Y114</f>
        <v xml:space="preserve">Agroquímicos </v>
      </c>
      <c r="C2884" s="193">
        <f>AR113</f>
        <v>0</v>
      </c>
      <c r="D2884" s="193"/>
      <c r="E2884" s="1600"/>
    </row>
    <row r="2885" spans="2:5" ht="13.75" hidden="1" customHeight="1" x14ac:dyDescent="0.2">
      <c r="B2885" s="1665">
        <f t="shared" si="2179"/>
        <v>0</v>
      </c>
      <c r="C2885" s="193">
        <f t="shared" ref="C2885:C2890" si="2180">AR115</f>
        <v>0</v>
      </c>
      <c r="D2885" s="193"/>
      <c r="E2885" s="1600"/>
    </row>
    <row r="2886" spans="2:5" ht="13.75" hidden="1" customHeight="1" x14ac:dyDescent="0.2">
      <c r="B2886" s="1665">
        <f t="shared" si="2179"/>
        <v>0</v>
      </c>
      <c r="C2886" s="193">
        <f t="shared" si="2180"/>
        <v>0</v>
      </c>
      <c r="D2886" s="193"/>
      <c r="E2886" s="1600"/>
    </row>
    <row r="2887" spans="2:5" ht="13.75" hidden="1" customHeight="1" x14ac:dyDescent="0.2">
      <c r="B2887" s="1665">
        <f t="shared" si="2179"/>
        <v>0</v>
      </c>
      <c r="C2887" s="193">
        <f t="shared" si="2180"/>
        <v>0</v>
      </c>
      <c r="D2887" s="193"/>
      <c r="E2887" s="1600"/>
    </row>
    <row r="2888" spans="2:5" ht="13.75" hidden="1" customHeight="1" x14ac:dyDescent="0.2">
      <c r="B2888" s="1665">
        <f t="shared" si="2179"/>
        <v>0</v>
      </c>
      <c r="C2888" s="193">
        <f t="shared" si="2180"/>
        <v>0</v>
      </c>
      <c r="D2888" s="193"/>
      <c r="E2888" s="1600"/>
    </row>
    <row r="2889" spans="2:5" ht="13.75" hidden="1" customHeight="1" x14ac:dyDescent="0.2">
      <c r="B2889" s="1665" t="str">
        <f t="shared" si="2179"/>
        <v xml:space="preserve">COSTO TOTAL DE IMPLANTACIÓN </v>
      </c>
      <c r="C2889" s="193">
        <f t="shared" si="2180"/>
        <v>0</v>
      </c>
      <c r="D2889" s="193"/>
      <c r="E2889" s="1600"/>
    </row>
    <row r="2890" spans="2:5" ht="13.75" hidden="1" customHeight="1" x14ac:dyDescent="0.2">
      <c r="B2890" s="1665">
        <f t="shared" si="2179"/>
        <v>0</v>
      </c>
      <c r="C2890" s="193">
        <f t="shared" si="2180"/>
        <v>0</v>
      </c>
      <c r="D2890" s="193"/>
      <c r="E2890" s="1600"/>
    </row>
    <row r="2891" spans="2:5" ht="13.75" hidden="1" customHeight="1" x14ac:dyDescent="0.2">
      <c r="B2891" s="1665" t="str">
        <f>+Y122</f>
        <v>Costo de implantación de</v>
      </c>
      <c r="C2891" s="193">
        <f>AR122</f>
        <v>0</v>
      </c>
      <c r="D2891" s="193"/>
      <c r="E2891" s="1600"/>
    </row>
    <row r="2892" spans="2:5" ht="13.75" hidden="1" customHeight="1" x14ac:dyDescent="0.2">
      <c r="B2892" s="1665">
        <f>+Z122</f>
        <v>0</v>
      </c>
      <c r="C2892" s="193" t="str">
        <f t="shared" ref="C2892:C2899" si="2181">AR125</f>
        <v>Unidades</v>
      </c>
      <c r="D2892" s="193"/>
      <c r="E2892" s="1600"/>
    </row>
    <row r="2893" spans="2:5" ht="13.75" hidden="1" customHeight="1" x14ac:dyDescent="0.2">
      <c r="B2893" s="1665" t="str">
        <f t="shared" ref="B2893:B2898" si="2182">+Y126</f>
        <v>Labores con maquinaria propia</v>
      </c>
      <c r="C2893" s="193" t="str">
        <f t="shared" si="2181"/>
        <v>por año</v>
      </c>
      <c r="D2893" s="193"/>
      <c r="E2893" s="1600"/>
    </row>
    <row r="2894" spans="2:5" ht="13.75" hidden="1" customHeight="1" x14ac:dyDescent="0.2">
      <c r="B2894" s="1665">
        <f t="shared" si="2182"/>
        <v>0</v>
      </c>
      <c r="C2894" s="193">
        <f t="shared" si="2181"/>
        <v>0</v>
      </c>
      <c r="D2894" s="193"/>
      <c r="E2894" s="1600"/>
    </row>
    <row r="2895" spans="2:5" ht="13.75" hidden="1" customHeight="1" x14ac:dyDescent="0.2">
      <c r="B2895" s="1665">
        <f t="shared" si="2182"/>
        <v>0</v>
      </c>
      <c r="C2895" s="193">
        <f t="shared" si="2181"/>
        <v>0</v>
      </c>
      <c r="D2895" s="193"/>
      <c r="E2895" s="1600"/>
    </row>
    <row r="2896" spans="2:5" ht="13.75" hidden="1" customHeight="1" x14ac:dyDescent="0.2">
      <c r="B2896" s="1665">
        <f t="shared" si="2182"/>
        <v>0</v>
      </c>
      <c r="C2896" s="193">
        <f t="shared" si="2181"/>
        <v>0</v>
      </c>
      <c r="D2896" s="193"/>
      <c r="E2896" s="1600"/>
    </row>
    <row r="2897" spans="2:5" ht="13.75" hidden="1" customHeight="1" x14ac:dyDescent="0.2">
      <c r="B2897" s="1665">
        <f t="shared" si="2182"/>
        <v>0</v>
      </c>
      <c r="C2897" s="193">
        <f t="shared" si="2181"/>
        <v>0</v>
      </c>
      <c r="D2897" s="193"/>
      <c r="E2897" s="1600"/>
    </row>
    <row r="2898" spans="2:5" ht="13.75" hidden="1" customHeight="1" x14ac:dyDescent="0.2">
      <c r="B2898" s="1665">
        <f t="shared" si="2182"/>
        <v>0</v>
      </c>
      <c r="C2898" s="193">
        <f t="shared" si="2181"/>
        <v>0</v>
      </c>
      <c r="D2898" s="193"/>
      <c r="E2898" s="1600"/>
    </row>
    <row r="2899" spans="2:5" ht="13.75" hidden="1" customHeight="1" x14ac:dyDescent="0.2">
      <c r="B2899" s="1665" t="str">
        <f t="shared" ref="B2899:B2904" si="2183">+Y133</f>
        <v>Labores con maquinaria contratada</v>
      </c>
      <c r="C2899" s="193">
        <f t="shared" si="2181"/>
        <v>0</v>
      </c>
      <c r="D2899" s="193"/>
      <c r="E2899" s="1600"/>
    </row>
    <row r="2900" spans="2:5" ht="13.75" hidden="1" customHeight="1" x14ac:dyDescent="0.2">
      <c r="B2900" s="1665">
        <f t="shared" si="2183"/>
        <v>0</v>
      </c>
      <c r="C2900" s="193">
        <f t="shared" ref="C2900:C2905" si="2184">AR134</f>
        <v>0</v>
      </c>
      <c r="D2900" s="193"/>
      <c r="E2900" s="1600"/>
    </row>
    <row r="2901" spans="2:5" ht="13.75" hidden="1" customHeight="1" x14ac:dyDescent="0.2">
      <c r="B2901" s="1665">
        <f t="shared" si="2183"/>
        <v>0</v>
      </c>
      <c r="C2901" s="193">
        <f t="shared" si="2184"/>
        <v>0</v>
      </c>
      <c r="D2901" s="193"/>
      <c r="E2901" s="1600"/>
    </row>
    <row r="2902" spans="2:5" ht="13.75" hidden="1" customHeight="1" x14ac:dyDescent="0.2">
      <c r="B2902" s="1665">
        <f t="shared" si="2183"/>
        <v>0</v>
      </c>
      <c r="C2902" s="193">
        <f t="shared" si="2184"/>
        <v>0</v>
      </c>
      <c r="D2902" s="193"/>
      <c r="E2902" s="1600"/>
    </row>
    <row r="2903" spans="2:5" ht="13.75" hidden="1" customHeight="1" x14ac:dyDescent="0.2">
      <c r="B2903" s="1665">
        <f t="shared" si="2183"/>
        <v>0</v>
      </c>
      <c r="C2903" s="193">
        <f t="shared" si="2184"/>
        <v>0</v>
      </c>
      <c r="D2903" s="193"/>
      <c r="E2903" s="1600"/>
    </row>
    <row r="2904" spans="2:5" ht="13.75" hidden="1" customHeight="1" x14ac:dyDescent="0.2">
      <c r="B2904" s="1665">
        <f t="shared" si="2183"/>
        <v>0</v>
      </c>
      <c r="C2904" s="193">
        <f t="shared" si="2184"/>
        <v>0</v>
      </c>
      <c r="D2904" s="193"/>
      <c r="E2904" s="1600"/>
    </row>
    <row r="2905" spans="2:5" ht="13.75" hidden="1" customHeight="1" x14ac:dyDescent="0.2">
      <c r="B2905" s="1665" t="str">
        <f t="shared" ref="B2905:B2913" si="2185">+Y140</f>
        <v>Semillas</v>
      </c>
      <c r="C2905" s="193">
        <f t="shared" si="2184"/>
        <v>0</v>
      </c>
      <c r="D2905" s="193"/>
      <c r="E2905" s="1600"/>
    </row>
    <row r="2906" spans="2:5" ht="13.75" hidden="1" customHeight="1" x14ac:dyDescent="0.2">
      <c r="B2906" s="1665">
        <f t="shared" si="2185"/>
        <v>0</v>
      </c>
      <c r="C2906" s="193">
        <f t="shared" ref="C2906:C2914" si="2186">AR141</f>
        <v>0</v>
      </c>
      <c r="D2906" s="193"/>
      <c r="E2906" s="1600"/>
    </row>
    <row r="2907" spans="2:5" ht="13.75" hidden="1" customHeight="1" x14ac:dyDescent="0.2">
      <c r="B2907" s="1665">
        <f t="shared" si="2185"/>
        <v>0</v>
      </c>
      <c r="C2907" s="193">
        <f t="shared" si="2186"/>
        <v>0</v>
      </c>
      <c r="D2907" s="193"/>
      <c r="E2907" s="1600"/>
    </row>
    <row r="2908" spans="2:5" ht="13.75" hidden="1" customHeight="1" x14ac:dyDescent="0.2">
      <c r="B2908" s="1665">
        <f t="shared" si="2185"/>
        <v>0</v>
      </c>
      <c r="C2908" s="193">
        <f t="shared" si="2186"/>
        <v>0</v>
      </c>
      <c r="D2908" s="193"/>
      <c r="E2908" s="1600"/>
    </row>
    <row r="2909" spans="2:5" ht="13.75" hidden="1" customHeight="1" x14ac:dyDescent="0.2">
      <c r="B2909" s="1665">
        <f t="shared" si="2185"/>
        <v>0</v>
      </c>
      <c r="C2909" s="193">
        <f t="shared" si="2186"/>
        <v>0</v>
      </c>
      <c r="D2909" s="193"/>
      <c r="E2909" s="1600"/>
    </row>
    <row r="2910" spans="2:5" ht="13.75" hidden="1" customHeight="1" x14ac:dyDescent="0.2">
      <c r="B2910" s="1665">
        <f t="shared" si="2185"/>
        <v>0</v>
      </c>
      <c r="C2910" s="193">
        <f t="shared" si="2186"/>
        <v>0</v>
      </c>
      <c r="D2910" s="193"/>
      <c r="E2910" s="1600"/>
    </row>
    <row r="2911" spans="2:5" ht="13.75" hidden="1" customHeight="1" x14ac:dyDescent="0.2">
      <c r="B2911" s="1665">
        <f t="shared" si="2185"/>
        <v>0</v>
      </c>
      <c r="C2911" s="193">
        <f t="shared" si="2186"/>
        <v>0</v>
      </c>
      <c r="D2911" s="193"/>
      <c r="E2911" s="1600"/>
    </row>
    <row r="2912" spans="2:5" ht="13.75" hidden="1" customHeight="1" x14ac:dyDescent="0.2">
      <c r="B2912" s="1665">
        <f t="shared" si="2185"/>
        <v>0</v>
      </c>
      <c r="C2912" s="193">
        <f t="shared" si="2186"/>
        <v>0</v>
      </c>
      <c r="D2912" s="193"/>
      <c r="E2912" s="1600"/>
    </row>
    <row r="2913" spans="2:5" ht="13.75" hidden="1" customHeight="1" x14ac:dyDescent="0.2">
      <c r="B2913" s="1665">
        <f t="shared" si="2185"/>
        <v>0</v>
      </c>
      <c r="C2913" s="193">
        <f t="shared" si="2186"/>
        <v>0</v>
      </c>
      <c r="D2913" s="193"/>
      <c r="E2913" s="1600"/>
    </row>
    <row r="2914" spans="2:5" ht="13.75" hidden="1" customHeight="1" x14ac:dyDescent="0.2">
      <c r="B2914" s="1665" t="str">
        <f>+Y150</f>
        <v xml:space="preserve">Fertilizantes </v>
      </c>
      <c r="C2914" s="193">
        <f t="shared" si="2186"/>
        <v>0</v>
      </c>
      <c r="D2914" s="193"/>
      <c r="E2914" s="1600"/>
    </row>
    <row r="2915" spans="2:5" ht="13.75" hidden="1" customHeight="1" x14ac:dyDescent="0.2">
      <c r="B2915" s="1665">
        <f>+Y151</f>
        <v>0</v>
      </c>
      <c r="C2915" s="193">
        <f>AR151</f>
        <v>0</v>
      </c>
      <c r="D2915" s="193"/>
      <c r="E2915" s="1600"/>
    </row>
    <row r="2916" spans="2:5" ht="13.75" hidden="1" customHeight="1" x14ac:dyDescent="0.2">
      <c r="B2916" s="1665">
        <f>+Y152</f>
        <v>0</v>
      </c>
      <c r="C2916" s="193">
        <f>AR152</f>
        <v>0</v>
      </c>
      <c r="D2916" s="193"/>
      <c r="E2916" s="1600"/>
    </row>
    <row r="2917" spans="2:5" ht="13.75" hidden="1" customHeight="1" x14ac:dyDescent="0.2">
      <c r="B2917" s="1665">
        <f>+Y153</f>
        <v>0</v>
      </c>
      <c r="C2917" s="193">
        <f>AR153</f>
        <v>0</v>
      </c>
      <c r="D2917" s="193"/>
      <c r="E2917" s="1600"/>
    </row>
    <row r="2918" spans="2:5" ht="13.75" hidden="1" customHeight="1" x14ac:dyDescent="0.2">
      <c r="B2918" s="1665" t="str">
        <f t="shared" ref="B2918:B2924" si="2187">+Y155</f>
        <v xml:space="preserve">Agroquímicos </v>
      </c>
      <c r="C2918" s="193">
        <f>AR154</f>
        <v>0</v>
      </c>
      <c r="D2918" s="193"/>
      <c r="E2918" s="1600"/>
    </row>
    <row r="2919" spans="2:5" ht="13.75" hidden="1" customHeight="1" x14ac:dyDescent="0.2">
      <c r="B2919" s="1665">
        <f t="shared" si="2187"/>
        <v>0</v>
      </c>
      <c r="C2919" s="193">
        <f t="shared" ref="C2919:C2924" si="2188">AR156</f>
        <v>0</v>
      </c>
      <c r="D2919" s="193"/>
      <c r="E2919" s="1600"/>
    </row>
    <row r="2920" spans="2:5" ht="13.75" hidden="1" customHeight="1" x14ac:dyDescent="0.2">
      <c r="B2920" s="1665">
        <f t="shared" si="2187"/>
        <v>0</v>
      </c>
      <c r="C2920" s="193">
        <f t="shared" si="2188"/>
        <v>0</v>
      </c>
      <c r="D2920" s="193"/>
      <c r="E2920" s="1600"/>
    </row>
    <row r="2921" spans="2:5" ht="13.75" hidden="1" customHeight="1" x14ac:dyDescent="0.2">
      <c r="B2921" s="1665">
        <f t="shared" si="2187"/>
        <v>0</v>
      </c>
      <c r="C2921" s="193">
        <f t="shared" si="2188"/>
        <v>0</v>
      </c>
      <c r="D2921" s="193"/>
      <c r="E2921" s="1600"/>
    </row>
    <row r="2922" spans="2:5" ht="13.75" hidden="1" customHeight="1" x14ac:dyDescent="0.2">
      <c r="B2922" s="1665" t="str">
        <f t="shared" si="2187"/>
        <v>Sub total agroquímicos</v>
      </c>
      <c r="C2922" s="193">
        <f t="shared" si="2188"/>
        <v>0</v>
      </c>
      <c r="D2922" s="193"/>
      <c r="E2922" s="1600"/>
    </row>
    <row r="2923" spans="2:5" ht="13.75" hidden="1" customHeight="1" x14ac:dyDescent="0.2">
      <c r="B2923" s="1665" t="str">
        <f t="shared" si="2187"/>
        <v xml:space="preserve">COSTO TOTAL DE IMPLANTACIÓN </v>
      </c>
      <c r="C2923" s="193">
        <f t="shared" si="2188"/>
        <v>0</v>
      </c>
      <c r="D2923" s="193"/>
      <c r="E2923" s="1600"/>
    </row>
    <row r="2924" spans="2:5" ht="13.75" hidden="1" customHeight="1" x14ac:dyDescent="0.2">
      <c r="B2924" s="1665">
        <f t="shared" si="2187"/>
        <v>0</v>
      </c>
      <c r="C2924" s="193">
        <f t="shared" si="2188"/>
        <v>0</v>
      </c>
      <c r="D2924" s="193"/>
      <c r="E2924" s="1600"/>
    </row>
    <row r="2925" spans="2:5" ht="13.75" hidden="1" customHeight="1" x14ac:dyDescent="0.2">
      <c r="B2925" s="1665" t="str">
        <f>+Y163</f>
        <v>Costo de implantación de</v>
      </c>
      <c r="C2925" s="193">
        <f>AR163</f>
        <v>0</v>
      </c>
      <c r="D2925" s="193"/>
      <c r="E2925" s="1600"/>
    </row>
    <row r="2926" spans="2:5" ht="13.75" hidden="1" customHeight="1" x14ac:dyDescent="0.2">
      <c r="B2926" s="1665">
        <f>+Z163</f>
        <v>0</v>
      </c>
      <c r="C2926" s="193" t="str">
        <f>AR167</f>
        <v>por año</v>
      </c>
      <c r="D2926" s="193"/>
      <c r="E2926" s="1600"/>
    </row>
    <row r="2927" spans="2:5" ht="13.75" hidden="1" customHeight="1" x14ac:dyDescent="0.2">
      <c r="B2927" s="1665">
        <f>+Z164</f>
        <v>0</v>
      </c>
      <c r="C2927" s="193">
        <f>AR168</f>
        <v>0</v>
      </c>
      <c r="D2927" s="193"/>
      <c r="E2927" s="1600"/>
    </row>
    <row r="2928" spans="2:5" ht="13.75" hidden="1" customHeight="1" x14ac:dyDescent="0.2">
      <c r="B2928" s="1665">
        <f>+Y168</f>
        <v>0</v>
      </c>
      <c r="C2928" s="193">
        <f t="shared" ref="C2928:C2933" si="2189">AR168</f>
        <v>0</v>
      </c>
      <c r="D2928" s="193"/>
      <c r="E2928" s="1600"/>
    </row>
    <row r="2929" spans="2:5" ht="13.75" hidden="1" customHeight="1" x14ac:dyDescent="0.2">
      <c r="B2929" s="1665">
        <f>+Y169</f>
        <v>0</v>
      </c>
      <c r="C2929" s="193">
        <f t="shared" si="2189"/>
        <v>0</v>
      </c>
      <c r="D2929" s="193"/>
      <c r="E2929" s="1600"/>
    </row>
    <row r="2930" spans="2:5" ht="13.75" hidden="1" customHeight="1" x14ac:dyDescent="0.2">
      <c r="B2930" s="1665">
        <f>+Y170</f>
        <v>0</v>
      </c>
      <c r="C2930" s="193">
        <f t="shared" si="2189"/>
        <v>0</v>
      </c>
      <c r="D2930" s="193"/>
      <c r="E2930" s="1600"/>
    </row>
    <row r="2931" spans="2:5" ht="13.75" hidden="1" customHeight="1" x14ac:dyDescent="0.2">
      <c r="B2931" s="1665">
        <f>+Y171</f>
        <v>0</v>
      </c>
      <c r="C2931" s="193">
        <f t="shared" si="2189"/>
        <v>0</v>
      </c>
      <c r="D2931" s="193"/>
      <c r="E2931" s="1600"/>
    </row>
    <row r="2932" spans="2:5" ht="13.75" hidden="1" customHeight="1" x14ac:dyDescent="0.2">
      <c r="B2932" s="1665">
        <f>+Y172</f>
        <v>0</v>
      </c>
      <c r="C2932" s="193">
        <f t="shared" si="2189"/>
        <v>0</v>
      </c>
      <c r="D2932" s="193"/>
      <c r="E2932" s="1600"/>
    </row>
    <row r="2933" spans="2:5" ht="13.75" hidden="1" customHeight="1" x14ac:dyDescent="0.2">
      <c r="B2933" s="1665" t="str">
        <f t="shared" ref="B2933:B2938" si="2190">+Y174</f>
        <v>Labores con maquinaria contratada</v>
      </c>
      <c r="C2933" s="193">
        <f t="shared" si="2189"/>
        <v>0</v>
      </c>
      <c r="D2933" s="193"/>
      <c r="E2933" s="1600"/>
    </row>
    <row r="2934" spans="2:5" ht="13.75" hidden="1" customHeight="1" x14ac:dyDescent="0.2">
      <c r="B2934" s="1665">
        <f t="shared" si="2190"/>
        <v>0</v>
      </c>
      <c r="C2934" s="193">
        <f t="shared" ref="C2934:C2939" si="2191">AR175</f>
        <v>0</v>
      </c>
      <c r="D2934" s="193"/>
      <c r="E2934" s="1600"/>
    </row>
    <row r="2935" spans="2:5" ht="13.75" hidden="1" customHeight="1" x14ac:dyDescent="0.2">
      <c r="B2935" s="1665">
        <f t="shared" si="2190"/>
        <v>0</v>
      </c>
      <c r="C2935" s="193">
        <f t="shared" si="2191"/>
        <v>0</v>
      </c>
      <c r="D2935" s="193"/>
      <c r="E2935" s="1600"/>
    </row>
    <row r="2936" spans="2:5" ht="13.75" hidden="1" customHeight="1" x14ac:dyDescent="0.2">
      <c r="B2936" s="1665">
        <f t="shared" si="2190"/>
        <v>0</v>
      </c>
      <c r="C2936" s="193">
        <f t="shared" si="2191"/>
        <v>0</v>
      </c>
      <c r="D2936" s="193"/>
      <c r="E2936" s="1600"/>
    </row>
    <row r="2937" spans="2:5" ht="13.75" hidden="1" customHeight="1" x14ac:dyDescent="0.2">
      <c r="B2937" s="1665">
        <f t="shared" si="2190"/>
        <v>0</v>
      </c>
      <c r="C2937" s="193">
        <f t="shared" si="2191"/>
        <v>0</v>
      </c>
      <c r="D2937" s="193"/>
      <c r="E2937" s="1600"/>
    </row>
    <row r="2938" spans="2:5" ht="13.75" hidden="1" customHeight="1" x14ac:dyDescent="0.2">
      <c r="B2938" s="1665">
        <f t="shared" si="2190"/>
        <v>0</v>
      </c>
      <c r="C2938" s="193">
        <f t="shared" si="2191"/>
        <v>0</v>
      </c>
      <c r="D2938" s="193"/>
      <c r="E2938" s="1600"/>
    </row>
    <row r="2939" spans="2:5" ht="13.75" hidden="1" customHeight="1" x14ac:dyDescent="0.2">
      <c r="B2939" s="1665" t="str">
        <f t="shared" ref="B2939:B2947" si="2192">+Y181</f>
        <v>Semillas</v>
      </c>
      <c r="C2939" s="193">
        <f t="shared" si="2191"/>
        <v>0</v>
      </c>
      <c r="D2939" s="193"/>
      <c r="E2939" s="1600"/>
    </row>
    <row r="2940" spans="2:5" ht="13.75" hidden="1" customHeight="1" x14ac:dyDescent="0.2">
      <c r="B2940" s="1665">
        <f t="shared" si="2192"/>
        <v>0</v>
      </c>
      <c r="C2940" s="193">
        <f t="shared" ref="C2940:C2948" si="2193">AR182</f>
        <v>0</v>
      </c>
      <c r="D2940" s="193"/>
      <c r="E2940" s="1600"/>
    </row>
    <row r="2941" spans="2:5" ht="13.75" hidden="1" customHeight="1" x14ac:dyDescent="0.2">
      <c r="B2941" s="1665">
        <f t="shared" si="2192"/>
        <v>0</v>
      </c>
      <c r="C2941" s="193">
        <f t="shared" si="2193"/>
        <v>0</v>
      </c>
      <c r="D2941" s="193"/>
      <c r="E2941" s="1600"/>
    </row>
    <row r="2942" spans="2:5" ht="13.75" hidden="1" customHeight="1" x14ac:dyDescent="0.2">
      <c r="B2942" s="1665">
        <f t="shared" si="2192"/>
        <v>0</v>
      </c>
      <c r="C2942" s="193">
        <f t="shared" si="2193"/>
        <v>0</v>
      </c>
      <c r="D2942" s="193"/>
      <c r="E2942" s="1600"/>
    </row>
    <row r="2943" spans="2:5" ht="13.75" hidden="1" customHeight="1" x14ac:dyDescent="0.2">
      <c r="B2943" s="1665">
        <f t="shared" si="2192"/>
        <v>0</v>
      </c>
      <c r="C2943" s="193">
        <f t="shared" si="2193"/>
        <v>0</v>
      </c>
      <c r="D2943" s="193"/>
      <c r="E2943" s="1600"/>
    </row>
    <row r="2944" spans="2:5" ht="13.75" hidden="1" customHeight="1" x14ac:dyDescent="0.2">
      <c r="B2944" s="1665">
        <f t="shared" si="2192"/>
        <v>0</v>
      </c>
      <c r="C2944" s="193">
        <f t="shared" si="2193"/>
        <v>0</v>
      </c>
      <c r="D2944" s="193"/>
      <c r="E2944" s="1600"/>
    </row>
    <row r="2945" spans="2:5" ht="13.75" hidden="1" customHeight="1" x14ac:dyDescent="0.2">
      <c r="B2945" s="1665">
        <f t="shared" si="2192"/>
        <v>0</v>
      </c>
      <c r="C2945" s="193">
        <f t="shared" si="2193"/>
        <v>0</v>
      </c>
      <c r="D2945" s="193"/>
      <c r="E2945" s="1600"/>
    </row>
    <row r="2946" spans="2:5" ht="13.75" hidden="1" customHeight="1" x14ac:dyDescent="0.2">
      <c r="B2946" s="1665">
        <f t="shared" si="2192"/>
        <v>0</v>
      </c>
      <c r="C2946" s="193">
        <f t="shared" si="2193"/>
        <v>0</v>
      </c>
      <c r="D2946" s="193"/>
      <c r="E2946" s="1600"/>
    </row>
    <row r="2947" spans="2:5" ht="13.75" hidden="1" customHeight="1" x14ac:dyDescent="0.2">
      <c r="B2947" s="1665">
        <f t="shared" si="2192"/>
        <v>0</v>
      </c>
      <c r="C2947" s="193">
        <f t="shared" si="2193"/>
        <v>0</v>
      </c>
      <c r="D2947" s="193"/>
      <c r="E2947" s="1600"/>
    </row>
    <row r="2948" spans="2:5" ht="13.75" hidden="1" customHeight="1" x14ac:dyDescent="0.2">
      <c r="B2948" s="1665" t="str">
        <f>+Y191</f>
        <v xml:space="preserve">Fertilizantes </v>
      </c>
      <c r="C2948" s="193">
        <f t="shared" si="2193"/>
        <v>0</v>
      </c>
      <c r="D2948" s="193"/>
      <c r="E2948" s="1600"/>
    </row>
    <row r="2949" spans="2:5" ht="13.75" hidden="1" customHeight="1" x14ac:dyDescent="0.2">
      <c r="B2949" s="1665">
        <f>+Y192</f>
        <v>0</v>
      </c>
      <c r="C2949" s="193">
        <f>AR192</f>
        <v>0</v>
      </c>
      <c r="D2949" s="193"/>
      <c r="E2949" s="1600"/>
    </row>
    <row r="2950" spans="2:5" ht="13.75" hidden="1" customHeight="1" x14ac:dyDescent="0.2">
      <c r="B2950" s="1665">
        <f>+Y193</f>
        <v>0</v>
      </c>
      <c r="C2950" s="193">
        <f>AR193</f>
        <v>0</v>
      </c>
      <c r="D2950" s="193"/>
      <c r="E2950" s="1600"/>
    </row>
    <row r="2951" spans="2:5" ht="13.75" hidden="1" customHeight="1" x14ac:dyDescent="0.2">
      <c r="B2951" s="1665">
        <f>+Y194</f>
        <v>0</v>
      </c>
      <c r="C2951" s="193">
        <f>AR194</f>
        <v>0</v>
      </c>
      <c r="D2951" s="193"/>
      <c r="E2951" s="1600"/>
    </row>
    <row r="2952" spans="2:5" ht="13.75" hidden="1" customHeight="1" x14ac:dyDescent="0.2">
      <c r="B2952" s="1665" t="str">
        <f t="shared" ref="B2952:B2958" si="2194">+Y196</f>
        <v xml:space="preserve">Agroquímicos </v>
      </c>
      <c r="C2952" s="193">
        <f>AR195</f>
        <v>0</v>
      </c>
      <c r="D2952" s="193"/>
      <c r="E2952" s="1600"/>
    </row>
    <row r="2953" spans="2:5" ht="13.75" hidden="1" customHeight="1" x14ac:dyDescent="0.2">
      <c r="B2953" s="1665">
        <f t="shared" si="2194"/>
        <v>0</v>
      </c>
      <c r="C2953" s="193">
        <f t="shared" ref="C2953:C2958" si="2195">AR197</f>
        <v>0</v>
      </c>
      <c r="D2953" s="193"/>
      <c r="E2953" s="1600"/>
    </row>
    <row r="2954" spans="2:5" ht="13.75" hidden="1" customHeight="1" x14ac:dyDescent="0.2">
      <c r="B2954" s="1665">
        <f t="shared" si="2194"/>
        <v>0</v>
      </c>
      <c r="C2954" s="193">
        <f t="shared" si="2195"/>
        <v>0</v>
      </c>
      <c r="D2954" s="193"/>
      <c r="E2954" s="1600"/>
    </row>
    <row r="2955" spans="2:5" ht="13.75" hidden="1" customHeight="1" x14ac:dyDescent="0.2">
      <c r="B2955" s="1665">
        <f t="shared" si="2194"/>
        <v>0</v>
      </c>
      <c r="C2955" s="193">
        <f t="shared" si="2195"/>
        <v>0</v>
      </c>
      <c r="D2955" s="193"/>
      <c r="E2955" s="1600"/>
    </row>
    <row r="2956" spans="2:5" ht="13.75" hidden="1" customHeight="1" x14ac:dyDescent="0.2">
      <c r="B2956" s="1665" t="str">
        <f t="shared" si="2194"/>
        <v>Sub total agroquímicos</v>
      </c>
      <c r="C2956" s="193">
        <f t="shared" si="2195"/>
        <v>0</v>
      </c>
      <c r="D2956" s="193"/>
      <c r="E2956" s="1600"/>
    </row>
    <row r="2957" spans="2:5" ht="13.75" hidden="1" customHeight="1" x14ac:dyDescent="0.2">
      <c r="B2957" s="1665" t="str">
        <f t="shared" si="2194"/>
        <v xml:space="preserve">COSTO TOTAL DE IMPLANTACIÓN </v>
      </c>
      <c r="C2957" s="193">
        <f t="shared" si="2195"/>
        <v>0</v>
      </c>
      <c r="D2957" s="193"/>
      <c r="E2957" s="1600"/>
    </row>
    <row r="2958" spans="2:5" ht="13.75" hidden="1" customHeight="1" x14ac:dyDescent="0.2">
      <c r="B2958" s="1665">
        <f t="shared" si="2194"/>
        <v>0</v>
      </c>
      <c r="C2958" s="193">
        <f t="shared" si="2195"/>
        <v>0</v>
      </c>
      <c r="D2958" s="193"/>
      <c r="E2958" s="1600"/>
    </row>
    <row r="2959" spans="2:5" ht="13.75" hidden="1" customHeight="1" x14ac:dyDescent="0.2">
      <c r="B2959" s="1665" t="str">
        <f>+Y204</f>
        <v>Costo de implantación de</v>
      </c>
      <c r="C2959" s="193">
        <f>AR204</f>
        <v>0</v>
      </c>
      <c r="D2959" s="193"/>
      <c r="E2959" s="1600"/>
    </row>
    <row r="2960" spans="2:5" ht="13.75" hidden="1" customHeight="1" x14ac:dyDescent="0.2">
      <c r="B2960" s="1665">
        <f>+Z204</f>
        <v>0</v>
      </c>
      <c r="C2960" s="193" t="str">
        <f t="shared" ref="C2960:C2967" si="2196">AR207</f>
        <v>Unidades</v>
      </c>
      <c r="D2960" s="193"/>
      <c r="E2960" s="1600"/>
    </row>
    <row r="2961" spans="2:5" ht="13.75" hidden="1" customHeight="1" x14ac:dyDescent="0.2">
      <c r="B2961" s="1665" t="str">
        <f t="shared" ref="B2961:B2966" si="2197">+Y208</f>
        <v>Labores con maquinaria propia</v>
      </c>
      <c r="C2961" s="193" t="str">
        <f t="shared" si="2196"/>
        <v>por año</v>
      </c>
      <c r="D2961" s="193"/>
      <c r="E2961" s="1600"/>
    </row>
    <row r="2962" spans="2:5" ht="13.75" hidden="1" customHeight="1" x14ac:dyDescent="0.2">
      <c r="B2962" s="1665">
        <f t="shared" si="2197"/>
        <v>0</v>
      </c>
      <c r="C2962" s="193">
        <f t="shared" si="2196"/>
        <v>0</v>
      </c>
      <c r="D2962" s="193"/>
      <c r="E2962" s="1600"/>
    </row>
    <row r="2963" spans="2:5" ht="13.75" hidden="1" customHeight="1" x14ac:dyDescent="0.2">
      <c r="B2963" s="1665">
        <f t="shared" si="2197"/>
        <v>0</v>
      </c>
      <c r="C2963" s="193">
        <f t="shared" si="2196"/>
        <v>0</v>
      </c>
      <c r="D2963" s="193"/>
      <c r="E2963" s="1600"/>
    </row>
    <row r="2964" spans="2:5" ht="13.75" hidden="1" customHeight="1" x14ac:dyDescent="0.2">
      <c r="B2964" s="1665">
        <f t="shared" si="2197"/>
        <v>0</v>
      </c>
      <c r="C2964" s="193">
        <f t="shared" si="2196"/>
        <v>0</v>
      </c>
      <c r="D2964" s="193"/>
      <c r="E2964" s="1600"/>
    </row>
    <row r="2965" spans="2:5" ht="13.75" hidden="1" customHeight="1" x14ac:dyDescent="0.2">
      <c r="B2965" s="1665">
        <f t="shared" si="2197"/>
        <v>0</v>
      </c>
      <c r="C2965" s="193">
        <f t="shared" si="2196"/>
        <v>0</v>
      </c>
      <c r="D2965" s="193"/>
      <c r="E2965" s="1600"/>
    </row>
    <row r="2966" spans="2:5" ht="13.75" hidden="1" customHeight="1" x14ac:dyDescent="0.2">
      <c r="B2966" s="1665">
        <f t="shared" si="2197"/>
        <v>0</v>
      </c>
      <c r="C2966" s="193">
        <f t="shared" si="2196"/>
        <v>0</v>
      </c>
      <c r="D2966" s="193"/>
      <c r="E2966" s="1600"/>
    </row>
    <row r="2967" spans="2:5" ht="13.75" hidden="1" customHeight="1" x14ac:dyDescent="0.2">
      <c r="B2967" s="1665" t="str">
        <f t="shared" ref="B2967:B2972" si="2198">+Y215</f>
        <v>Labores con maquinaria contratada</v>
      </c>
      <c r="C2967" s="193">
        <f t="shared" si="2196"/>
        <v>0</v>
      </c>
      <c r="D2967" s="193"/>
      <c r="E2967" s="1600"/>
    </row>
    <row r="2968" spans="2:5" ht="13.75" hidden="1" customHeight="1" x14ac:dyDescent="0.2">
      <c r="B2968" s="1665">
        <f t="shared" si="2198"/>
        <v>0</v>
      </c>
      <c r="C2968" s="193">
        <f t="shared" ref="C2968:C2973" si="2199">AR216</f>
        <v>0</v>
      </c>
      <c r="D2968" s="193"/>
      <c r="E2968" s="1600"/>
    </row>
    <row r="2969" spans="2:5" ht="13.75" hidden="1" customHeight="1" x14ac:dyDescent="0.2">
      <c r="B2969" s="1665">
        <f t="shared" si="2198"/>
        <v>0</v>
      </c>
      <c r="C2969" s="193">
        <f t="shared" si="2199"/>
        <v>0</v>
      </c>
      <c r="D2969" s="193"/>
      <c r="E2969" s="1600"/>
    </row>
    <row r="2970" spans="2:5" ht="13.75" hidden="1" customHeight="1" x14ac:dyDescent="0.2">
      <c r="B2970" s="1665">
        <f t="shared" si="2198"/>
        <v>0</v>
      </c>
      <c r="C2970" s="193">
        <f t="shared" si="2199"/>
        <v>0</v>
      </c>
      <c r="D2970" s="193"/>
      <c r="E2970" s="1600"/>
    </row>
    <row r="2971" spans="2:5" ht="13.75" hidden="1" customHeight="1" x14ac:dyDescent="0.2">
      <c r="B2971" s="1665">
        <f t="shared" si="2198"/>
        <v>0</v>
      </c>
      <c r="C2971" s="193">
        <f t="shared" si="2199"/>
        <v>0</v>
      </c>
      <c r="D2971" s="193"/>
      <c r="E2971" s="1600"/>
    </row>
    <row r="2972" spans="2:5" ht="13.75" hidden="1" customHeight="1" x14ac:dyDescent="0.2">
      <c r="B2972" s="1665">
        <f t="shared" si="2198"/>
        <v>0</v>
      </c>
      <c r="C2972" s="193">
        <f t="shared" si="2199"/>
        <v>0</v>
      </c>
      <c r="D2972" s="193"/>
      <c r="E2972" s="1600"/>
    </row>
    <row r="2973" spans="2:5" ht="13.75" hidden="1" customHeight="1" x14ac:dyDescent="0.2">
      <c r="B2973" s="1665" t="str">
        <f t="shared" ref="B2973:B2981" si="2200">+Y222</f>
        <v>Semillas</v>
      </c>
      <c r="C2973" s="193">
        <f t="shared" si="2199"/>
        <v>0</v>
      </c>
      <c r="D2973" s="193"/>
      <c r="E2973" s="1600"/>
    </row>
    <row r="2974" spans="2:5" ht="13.75" hidden="1" customHeight="1" x14ac:dyDescent="0.2">
      <c r="B2974" s="1665">
        <f t="shared" si="2200"/>
        <v>0</v>
      </c>
      <c r="C2974" s="193">
        <f t="shared" ref="C2974:C2982" si="2201">AR223</f>
        <v>0</v>
      </c>
      <c r="D2974" s="193"/>
      <c r="E2974" s="1600"/>
    </row>
    <row r="2975" spans="2:5" ht="13.75" hidden="1" customHeight="1" x14ac:dyDescent="0.2">
      <c r="B2975" s="1665">
        <f t="shared" si="2200"/>
        <v>0</v>
      </c>
      <c r="C2975" s="193">
        <f t="shared" si="2201"/>
        <v>0</v>
      </c>
      <c r="D2975" s="193"/>
      <c r="E2975" s="1600"/>
    </row>
    <row r="2976" spans="2:5" ht="13.75" hidden="1" customHeight="1" x14ac:dyDescent="0.2">
      <c r="B2976" s="1665">
        <f t="shared" si="2200"/>
        <v>0</v>
      </c>
      <c r="C2976" s="193">
        <f t="shared" si="2201"/>
        <v>0</v>
      </c>
      <c r="D2976" s="193"/>
      <c r="E2976" s="1600"/>
    </row>
    <row r="2977" spans="2:5" ht="13.75" hidden="1" customHeight="1" x14ac:dyDescent="0.2">
      <c r="B2977" s="1665">
        <f t="shared" si="2200"/>
        <v>0</v>
      </c>
      <c r="C2977" s="193">
        <f t="shared" si="2201"/>
        <v>0</v>
      </c>
      <c r="D2977" s="193"/>
      <c r="E2977" s="1600"/>
    </row>
    <row r="2978" spans="2:5" ht="13.75" hidden="1" customHeight="1" x14ac:dyDescent="0.2">
      <c r="B2978" s="1665">
        <f t="shared" si="2200"/>
        <v>0</v>
      </c>
      <c r="C2978" s="193">
        <f t="shared" si="2201"/>
        <v>0</v>
      </c>
      <c r="D2978" s="193"/>
      <c r="E2978" s="1600"/>
    </row>
    <row r="2979" spans="2:5" ht="13.75" hidden="1" customHeight="1" x14ac:dyDescent="0.2">
      <c r="B2979" s="1665">
        <f t="shared" si="2200"/>
        <v>0</v>
      </c>
      <c r="C2979" s="193">
        <f t="shared" si="2201"/>
        <v>0</v>
      </c>
      <c r="D2979" s="193"/>
      <c r="E2979" s="1600"/>
    </row>
    <row r="2980" spans="2:5" ht="13.75" hidden="1" customHeight="1" x14ac:dyDescent="0.2">
      <c r="B2980" s="1665">
        <f t="shared" si="2200"/>
        <v>0</v>
      </c>
      <c r="C2980" s="193">
        <f t="shared" si="2201"/>
        <v>0</v>
      </c>
      <c r="D2980" s="193"/>
      <c r="E2980" s="1600"/>
    </row>
    <row r="2981" spans="2:5" ht="13.75" hidden="1" customHeight="1" x14ac:dyDescent="0.2">
      <c r="B2981" s="1665">
        <f t="shared" si="2200"/>
        <v>0</v>
      </c>
      <c r="C2981" s="193">
        <f t="shared" si="2201"/>
        <v>0</v>
      </c>
      <c r="D2981" s="193"/>
      <c r="E2981" s="1600"/>
    </row>
    <row r="2982" spans="2:5" ht="13.75" hidden="1" customHeight="1" x14ac:dyDescent="0.2">
      <c r="B2982" s="1665" t="str">
        <f>+Y232</f>
        <v xml:space="preserve">Fertilizantes </v>
      </c>
      <c r="C2982" s="193">
        <f t="shared" si="2201"/>
        <v>0</v>
      </c>
      <c r="D2982" s="193"/>
      <c r="E2982" s="1600"/>
    </row>
    <row r="2983" spans="2:5" ht="13.75" hidden="1" customHeight="1" x14ac:dyDescent="0.2">
      <c r="B2983" s="1665">
        <f>+Y233</f>
        <v>0</v>
      </c>
      <c r="C2983" s="193">
        <f>AR233</f>
        <v>0</v>
      </c>
      <c r="D2983" s="193"/>
      <c r="E2983" s="1600"/>
    </row>
    <row r="2984" spans="2:5" ht="13.75" hidden="1" customHeight="1" x14ac:dyDescent="0.2">
      <c r="B2984" s="1665">
        <f>+Y234</f>
        <v>0</v>
      </c>
      <c r="C2984" s="193">
        <f>AR234</f>
        <v>0</v>
      </c>
      <c r="D2984" s="193"/>
      <c r="E2984" s="1600"/>
    </row>
    <row r="2985" spans="2:5" ht="13.75" hidden="1" customHeight="1" x14ac:dyDescent="0.2">
      <c r="B2985" s="1665">
        <f>+Y235</f>
        <v>0</v>
      </c>
      <c r="C2985" s="193">
        <f>AR235</f>
        <v>0</v>
      </c>
      <c r="D2985" s="193"/>
      <c r="E2985" s="1600"/>
    </row>
    <row r="2986" spans="2:5" ht="13.75" hidden="1" customHeight="1" x14ac:dyDescent="0.2">
      <c r="B2986" s="1665" t="str">
        <f t="shared" ref="B2986:B2992" si="2202">+Y237</f>
        <v xml:space="preserve">Agroquímicos </v>
      </c>
      <c r="C2986" s="193">
        <f>AR236</f>
        <v>0</v>
      </c>
      <c r="D2986" s="193"/>
      <c r="E2986" s="1600"/>
    </row>
    <row r="2987" spans="2:5" ht="13.75" hidden="1" customHeight="1" x14ac:dyDescent="0.2">
      <c r="B2987" s="1665">
        <f t="shared" si="2202"/>
        <v>0</v>
      </c>
      <c r="C2987" s="193">
        <f t="shared" ref="C2987:C2992" si="2203">AR238</f>
        <v>0</v>
      </c>
      <c r="D2987" s="193"/>
      <c r="E2987" s="1600"/>
    </row>
    <row r="2988" spans="2:5" ht="13.75" hidden="1" customHeight="1" x14ac:dyDescent="0.2">
      <c r="B2988" s="1665">
        <f t="shared" si="2202"/>
        <v>0</v>
      </c>
      <c r="C2988" s="193">
        <f t="shared" si="2203"/>
        <v>0</v>
      </c>
      <c r="D2988" s="193"/>
      <c r="E2988" s="1600"/>
    </row>
    <row r="2989" spans="2:5" ht="13.75" hidden="1" customHeight="1" x14ac:dyDescent="0.2">
      <c r="B2989" s="1665">
        <f t="shared" si="2202"/>
        <v>0</v>
      </c>
      <c r="C2989" s="193">
        <f t="shared" si="2203"/>
        <v>0</v>
      </c>
      <c r="D2989" s="193"/>
      <c r="E2989" s="1600"/>
    </row>
    <row r="2990" spans="2:5" ht="13.75" hidden="1" customHeight="1" x14ac:dyDescent="0.2">
      <c r="B2990" s="1665">
        <f t="shared" si="2202"/>
        <v>0</v>
      </c>
      <c r="C2990" s="193">
        <f t="shared" si="2203"/>
        <v>0</v>
      </c>
      <c r="D2990" s="193"/>
      <c r="E2990" s="1600"/>
    </row>
    <row r="2991" spans="2:5" ht="13.75" hidden="1" customHeight="1" x14ac:dyDescent="0.2">
      <c r="B2991" s="1665" t="str">
        <f t="shared" si="2202"/>
        <v xml:space="preserve">COSTO TOTAL DE IMPLANTACIÓN </v>
      </c>
      <c r="C2991" s="193">
        <f t="shared" si="2203"/>
        <v>0</v>
      </c>
      <c r="D2991" s="193"/>
      <c r="E2991" s="1600"/>
    </row>
    <row r="2992" spans="2:5" ht="13.75" hidden="1" customHeight="1" x14ac:dyDescent="0.2">
      <c r="B2992" s="1665">
        <f t="shared" si="2202"/>
        <v>0</v>
      </c>
      <c r="C2992" s="193">
        <f t="shared" si="2203"/>
        <v>0</v>
      </c>
      <c r="D2992" s="193"/>
      <c r="E2992" s="1600"/>
    </row>
    <row r="2993" spans="2:5" ht="13.75" hidden="1" customHeight="1" x14ac:dyDescent="0.2">
      <c r="B2993" s="1665" t="str">
        <f>+Y245</f>
        <v>Costo de implantación de</v>
      </c>
      <c r="C2993" s="193">
        <f>AR245</f>
        <v>0</v>
      </c>
      <c r="D2993" s="193"/>
      <c r="E2993" s="1600"/>
    </row>
    <row r="2994" spans="2:5" ht="13.75" hidden="1" customHeight="1" x14ac:dyDescent="0.2">
      <c r="B2994" s="1665">
        <f>+Z245</f>
        <v>0</v>
      </c>
      <c r="C2994" s="193" t="str">
        <f t="shared" ref="C2994:C3001" si="2204">AR248</f>
        <v>Unidades</v>
      </c>
      <c r="D2994" s="193"/>
      <c r="E2994" s="1600"/>
    </row>
    <row r="2995" spans="2:5" ht="13.75" hidden="1" customHeight="1" x14ac:dyDescent="0.2">
      <c r="B2995" s="1665" t="str">
        <f t="shared" ref="B2995:B3000" si="2205">+Y249</f>
        <v>Labores con maquinaria propia</v>
      </c>
      <c r="C2995" s="193" t="str">
        <f t="shared" si="2204"/>
        <v>por año</v>
      </c>
      <c r="D2995" s="193"/>
      <c r="E2995" s="1600"/>
    </row>
    <row r="2996" spans="2:5" ht="13.75" hidden="1" customHeight="1" x14ac:dyDescent="0.2">
      <c r="B2996" s="1665">
        <f t="shared" si="2205"/>
        <v>0</v>
      </c>
      <c r="C2996" s="193">
        <f t="shared" si="2204"/>
        <v>0</v>
      </c>
      <c r="D2996" s="193"/>
      <c r="E2996" s="1600"/>
    </row>
    <row r="2997" spans="2:5" ht="13.75" hidden="1" customHeight="1" x14ac:dyDescent="0.2">
      <c r="B2997" s="1665">
        <f t="shared" si="2205"/>
        <v>0</v>
      </c>
      <c r="C2997" s="193">
        <f t="shared" si="2204"/>
        <v>0</v>
      </c>
      <c r="D2997" s="193"/>
      <c r="E2997" s="1600"/>
    </row>
    <row r="2998" spans="2:5" ht="13.75" hidden="1" customHeight="1" x14ac:dyDescent="0.2">
      <c r="B2998" s="1665">
        <f t="shared" si="2205"/>
        <v>0</v>
      </c>
      <c r="C2998" s="193">
        <f t="shared" si="2204"/>
        <v>0</v>
      </c>
      <c r="D2998" s="193"/>
      <c r="E2998" s="1600"/>
    </row>
    <row r="2999" spans="2:5" ht="13.75" hidden="1" customHeight="1" x14ac:dyDescent="0.2">
      <c r="B2999" s="1665">
        <f t="shared" si="2205"/>
        <v>0</v>
      </c>
      <c r="C2999" s="193">
        <f t="shared" si="2204"/>
        <v>0</v>
      </c>
      <c r="D2999" s="193"/>
      <c r="E2999" s="1600"/>
    </row>
    <row r="3000" spans="2:5" ht="13.75" hidden="1" customHeight="1" x14ac:dyDescent="0.2">
      <c r="B3000" s="1665">
        <f t="shared" si="2205"/>
        <v>0</v>
      </c>
      <c r="C3000" s="193">
        <f t="shared" si="2204"/>
        <v>0</v>
      </c>
      <c r="D3000" s="193"/>
      <c r="E3000" s="1600"/>
    </row>
    <row r="3001" spans="2:5" ht="13.75" hidden="1" customHeight="1" x14ac:dyDescent="0.2">
      <c r="B3001" s="1665" t="str">
        <f t="shared" ref="B3001:B3006" si="2206">+Y256</f>
        <v>Labores con maquinaria contratada</v>
      </c>
      <c r="C3001" s="193">
        <f t="shared" si="2204"/>
        <v>0</v>
      </c>
      <c r="D3001" s="193"/>
      <c r="E3001" s="1600"/>
    </row>
    <row r="3002" spans="2:5" ht="13.75" hidden="1" customHeight="1" x14ac:dyDescent="0.2">
      <c r="B3002" s="1665">
        <f t="shared" si="2206"/>
        <v>0</v>
      </c>
      <c r="C3002" s="193">
        <f t="shared" ref="C3002:C3007" si="2207">AR257</f>
        <v>0</v>
      </c>
      <c r="D3002" s="193"/>
      <c r="E3002" s="1600"/>
    </row>
    <row r="3003" spans="2:5" ht="13.75" hidden="1" customHeight="1" x14ac:dyDescent="0.2">
      <c r="B3003" s="1665">
        <f t="shared" si="2206"/>
        <v>0</v>
      </c>
      <c r="C3003" s="193">
        <f t="shared" si="2207"/>
        <v>0</v>
      </c>
      <c r="D3003" s="193"/>
      <c r="E3003" s="1600"/>
    </row>
    <row r="3004" spans="2:5" ht="13.75" hidden="1" customHeight="1" x14ac:dyDescent="0.2">
      <c r="B3004" s="1665">
        <f t="shared" si="2206"/>
        <v>0</v>
      </c>
      <c r="C3004" s="193">
        <f t="shared" si="2207"/>
        <v>0</v>
      </c>
      <c r="D3004" s="193"/>
      <c r="E3004" s="1600"/>
    </row>
    <row r="3005" spans="2:5" ht="13.75" hidden="1" customHeight="1" x14ac:dyDescent="0.2">
      <c r="B3005" s="1665">
        <f t="shared" si="2206"/>
        <v>0</v>
      </c>
      <c r="C3005" s="193">
        <f t="shared" si="2207"/>
        <v>0</v>
      </c>
      <c r="D3005" s="193"/>
      <c r="E3005" s="1600"/>
    </row>
    <row r="3006" spans="2:5" ht="13.75" hidden="1" customHeight="1" x14ac:dyDescent="0.2">
      <c r="B3006" s="1665">
        <f t="shared" si="2206"/>
        <v>0</v>
      </c>
      <c r="C3006" s="193">
        <f t="shared" si="2207"/>
        <v>0</v>
      </c>
      <c r="D3006" s="193"/>
      <c r="E3006" s="1600"/>
    </row>
    <row r="3007" spans="2:5" ht="13.75" hidden="1" customHeight="1" x14ac:dyDescent="0.2">
      <c r="B3007" s="1665" t="str">
        <f t="shared" ref="B3007:B3015" si="2208">+Y263</f>
        <v>Semillas</v>
      </c>
      <c r="C3007" s="193">
        <f t="shared" si="2207"/>
        <v>0</v>
      </c>
      <c r="D3007" s="193"/>
      <c r="E3007" s="1600"/>
    </row>
    <row r="3008" spans="2:5" ht="13.75" hidden="1" customHeight="1" x14ac:dyDescent="0.2">
      <c r="B3008" s="1665">
        <f t="shared" si="2208"/>
        <v>0</v>
      </c>
      <c r="C3008" s="193">
        <f t="shared" ref="C3008:C3016" si="2209">AR264</f>
        <v>0</v>
      </c>
      <c r="D3008" s="193"/>
      <c r="E3008" s="1600"/>
    </row>
    <row r="3009" spans="2:5" ht="13.75" hidden="1" customHeight="1" x14ac:dyDescent="0.2">
      <c r="B3009" s="1665">
        <f t="shared" si="2208"/>
        <v>0</v>
      </c>
      <c r="C3009" s="193">
        <f t="shared" si="2209"/>
        <v>0</v>
      </c>
      <c r="D3009" s="193"/>
      <c r="E3009" s="1600"/>
    </row>
    <row r="3010" spans="2:5" ht="13.75" hidden="1" customHeight="1" x14ac:dyDescent="0.2">
      <c r="B3010" s="1665">
        <f t="shared" si="2208"/>
        <v>0</v>
      </c>
      <c r="C3010" s="193">
        <f t="shared" si="2209"/>
        <v>0</v>
      </c>
      <c r="D3010" s="193"/>
      <c r="E3010" s="1600"/>
    </row>
    <row r="3011" spans="2:5" ht="13.75" hidden="1" customHeight="1" x14ac:dyDescent="0.2">
      <c r="B3011" s="1665">
        <f t="shared" si="2208"/>
        <v>0</v>
      </c>
      <c r="C3011" s="193">
        <f t="shared" si="2209"/>
        <v>0</v>
      </c>
      <c r="D3011" s="193"/>
      <c r="E3011" s="1600"/>
    </row>
    <row r="3012" spans="2:5" ht="13.75" hidden="1" customHeight="1" x14ac:dyDescent="0.2">
      <c r="B3012" s="1665">
        <f t="shared" si="2208"/>
        <v>0</v>
      </c>
      <c r="C3012" s="193">
        <f t="shared" si="2209"/>
        <v>0</v>
      </c>
      <c r="D3012" s="193"/>
      <c r="E3012" s="1600"/>
    </row>
    <row r="3013" spans="2:5" ht="13.75" hidden="1" customHeight="1" x14ac:dyDescent="0.2">
      <c r="B3013" s="1665">
        <f t="shared" si="2208"/>
        <v>0</v>
      </c>
      <c r="C3013" s="193">
        <f t="shared" si="2209"/>
        <v>0</v>
      </c>
      <c r="D3013" s="193"/>
      <c r="E3013" s="1600"/>
    </row>
    <row r="3014" spans="2:5" ht="13.75" hidden="1" customHeight="1" x14ac:dyDescent="0.2">
      <c r="B3014" s="1665">
        <f t="shared" si="2208"/>
        <v>0</v>
      </c>
      <c r="C3014" s="193">
        <f t="shared" si="2209"/>
        <v>0</v>
      </c>
      <c r="D3014" s="193"/>
      <c r="E3014" s="1600"/>
    </row>
    <row r="3015" spans="2:5" ht="13.75" hidden="1" customHeight="1" x14ac:dyDescent="0.2">
      <c r="B3015" s="1665">
        <f t="shared" si="2208"/>
        <v>0</v>
      </c>
      <c r="C3015" s="193">
        <f t="shared" si="2209"/>
        <v>0</v>
      </c>
      <c r="D3015" s="193"/>
      <c r="E3015" s="1600"/>
    </row>
    <row r="3016" spans="2:5" ht="13.75" hidden="1" customHeight="1" x14ac:dyDescent="0.2">
      <c r="B3016" s="1665" t="str">
        <f>+Y273</f>
        <v xml:space="preserve">Fertilizantes </v>
      </c>
      <c r="C3016" s="193">
        <f t="shared" si="2209"/>
        <v>0</v>
      </c>
      <c r="D3016" s="193"/>
      <c r="E3016" s="1600"/>
    </row>
    <row r="3017" spans="2:5" ht="13.75" hidden="1" customHeight="1" x14ac:dyDescent="0.2">
      <c r="B3017" s="1665">
        <f>+Y274</f>
        <v>0</v>
      </c>
      <c r="C3017" s="193">
        <f>AR274</f>
        <v>0</v>
      </c>
      <c r="D3017" s="193"/>
      <c r="E3017" s="1600"/>
    </row>
    <row r="3018" spans="2:5" ht="13.75" hidden="1" customHeight="1" x14ac:dyDescent="0.2">
      <c r="B3018" s="1665">
        <f>+Y275</f>
        <v>0</v>
      </c>
      <c r="C3018" s="193">
        <f>AR275</f>
        <v>0</v>
      </c>
      <c r="D3018" s="193"/>
      <c r="E3018" s="1600"/>
    </row>
    <row r="3019" spans="2:5" ht="13.75" hidden="1" customHeight="1" x14ac:dyDescent="0.2">
      <c r="B3019" s="1665">
        <f>+Y276</f>
        <v>0</v>
      </c>
      <c r="C3019" s="193">
        <f>AR276</f>
        <v>0</v>
      </c>
      <c r="D3019" s="193"/>
      <c r="E3019" s="1600"/>
    </row>
    <row r="3020" spans="2:5" ht="13.75" hidden="1" customHeight="1" x14ac:dyDescent="0.2">
      <c r="B3020" s="1665" t="str">
        <f t="shared" ref="B3020:B3026" si="2210">+Y278</f>
        <v xml:space="preserve">Agroquímicos </v>
      </c>
      <c r="C3020" s="193">
        <f>AR277</f>
        <v>0</v>
      </c>
      <c r="D3020" s="193"/>
      <c r="E3020" s="1600"/>
    </row>
    <row r="3021" spans="2:5" ht="13.75" hidden="1" customHeight="1" x14ac:dyDescent="0.2">
      <c r="B3021" s="1665">
        <f t="shared" si="2210"/>
        <v>0</v>
      </c>
      <c r="C3021" s="193">
        <f t="shared" ref="C3021:C3026" si="2211">AR279</f>
        <v>0</v>
      </c>
      <c r="D3021" s="193"/>
      <c r="E3021" s="1600"/>
    </row>
    <row r="3022" spans="2:5" ht="13.75" hidden="1" customHeight="1" x14ac:dyDescent="0.2">
      <c r="B3022" s="1665">
        <f t="shared" si="2210"/>
        <v>0</v>
      </c>
      <c r="C3022" s="193">
        <f t="shared" si="2211"/>
        <v>0</v>
      </c>
      <c r="D3022" s="193"/>
      <c r="E3022" s="1600"/>
    </row>
    <row r="3023" spans="2:5" ht="13.75" hidden="1" customHeight="1" x14ac:dyDescent="0.2">
      <c r="B3023" s="1665">
        <f t="shared" si="2210"/>
        <v>0</v>
      </c>
      <c r="C3023" s="193">
        <f t="shared" si="2211"/>
        <v>0</v>
      </c>
      <c r="D3023" s="193"/>
      <c r="E3023" s="1600"/>
    </row>
    <row r="3024" spans="2:5" ht="13.75" hidden="1" customHeight="1" x14ac:dyDescent="0.2">
      <c r="B3024" s="1665" t="str">
        <f t="shared" si="2210"/>
        <v>Sub total agroquímicos</v>
      </c>
      <c r="C3024" s="193">
        <f t="shared" si="2211"/>
        <v>0</v>
      </c>
      <c r="D3024" s="193"/>
      <c r="E3024" s="1600"/>
    </row>
    <row r="3025" spans="2:5" ht="13.75" hidden="1" customHeight="1" x14ac:dyDescent="0.2">
      <c r="B3025" s="1665" t="str">
        <f t="shared" si="2210"/>
        <v xml:space="preserve">COSTO TOTAL DE IMPLANTACIÓN </v>
      </c>
      <c r="C3025" s="193">
        <f t="shared" si="2211"/>
        <v>0</v>
      </c>
      <c r="D3025" s="193"/>
      <c r="E3025" s="1600"/>
    </row>
    <row r="3026" spans="2:5" ht="13.75" hidden="1" customHeight="1" x14ac:dyDescent="0.2">
      <c r="B3026" s="1665">
        <f t="shared" si="2210"/>
        <v>0</v>
      </c>
      <c r="C3026" s="193">
        <f t="shared" si="2211"/>
        <v>0</v>
      </c>
      <c r="D3026" s="193"/>
      <c r="E3026" s="1600"/>
    </row>
    <row r="3027" spans="2:5" ht="13.75" hidden="1" customHeight="1" x14ac:dyDescent="0.2">
      <c r="B3027" s="1665" t="str">
        <f>+Y286</f>
        <v>Costo de implantación de</v>
      </c>
      <c r="C3027" s="193">
        <f>AR286</f>
        <v>0</v>
      </c>
      <c r="D3027" s="193"/>
      <c r="E3027" s="1600"/>
    </row>
    <row r="3028" spans="2:5" ht="13.75" hidden="1" customHeight="1" x14ac:dyDescent="0.2">
      <c r="B3028" s="1665">
        <f>+Z286</f>
        <v>0</v>
      </c>
      <c r="C3028" s="193" t="str">
        <f t="shared" ref="C3028:C3035" si="2212">AR289</f>
        <v>Unidades</v>
      </c>
      <c r="D3028" s="193"/>
      <c r="E3028" s="1600"/>
    </row>
    <row r="3029" spans="2:5" ht="13.75" hidden="1" customHeight="1" x14ac:dyDescent="0.2">
      <c r="B3029" s="1665" t="str">
        <f t="shared" ref="B3029:B3034" si="2213">+Y290</f>
        <v>Labores con maquinaria propia</v>
      </c>
      <c r="C3029" s="193" t="str">
        <f t="shared" si="2212"/>
        <v>por año</v>
      </c>
      <c r="D3029" s="193"/>
      <c r="E3029" s="1600"/>
    </row>
    <row r="3030" spans="2:5" ht="13.75" hidden="1" customHeight="1" x14ac:dyDescent="0.2">
      <c r="B3030" s="1665">
        <f t="shared" si="2213"/>
        <v>0</v>
      </c>
      <c r="C3030" s="193">
        <f t="shared" si="2212"/>
        <v>0</v>
      </c>
      <c r="D3030" s="193"/>
      <c r="E3030" s="1600"/>
    </row>
    <row r="3031" spans="2:5" ht="13.75" hidden="1" customHeight="1" x14ac:dyDescent="0.2">
      <c r="B3031" s="1665">
        <f t="shared" si="2213"/>
        <v>0</v>
      </c>
      <c r="C3031" s="193">
        <f t="shared" si="2212"/>
        <v>0</v>
      </c>
      <c r="D3031" s="193"/>
      <c r="E3031" s="1600"/>
    </row>
    <row r="3032" spans="2:5" ht="13.75" hidden="1" customHeight="1" x14ac:dyDescent="0.2">
      <c r="B3032" s="1665">
        <f t="shared" si="2213"/>
        <v>0</v>
      </c>
      <c r="C3032" s="193">
        <f t="shared" si="2212"/>
        <v>0</v>
      </c>
      <c r="D3032" s="193"/>
      <c r="E3032" s="1600"/>
    </row>
    <row r="3033" spans="2:5" ht="13.75" hidden="1" customHeight="1" x14ac:dyDescent="0.2">
      <c r="B3033" s="1665">
        <f t="shared" si="2213"/>
        <v>0</v>
      </c>
      <c r="C3033" s="193">
        <f t="shared" si="2212"/>
        <v>0</v>
      </c>
      <c r="D3033" s="193"/>
      <c r="E3033" s="1600"/>
    </row>
    <row r="3034" spans="2:5" ht="13.75" hidden="1" customHeight="1" x14ac:dyDescent="0.2">
      <c r="B3034" s="1665">
        <f t="shared" si="2213"/>
        <v>0</v>
      </c>
      <c r="C3034" s="193">
        <f t="shared" si="2212"/>
        <v>0</v>
      </c>
      <c r="D3034" s="193"/>
      <c r="E3034" s="1600"/>
    </row>
    <row r="3035" spans="2:5" ht="13.75" hidden="1" customHeight="1" x14ac:dyDescent="0.2">
      <c r="B3035" s="1665" t="str">
        <f t="shared" ref="B3035:B3040" si="2214">+Y297</f>
        <v>Labores con maquinaria contratada</v>
      </c>
      <c r="C3035" s="193">
        <f t="shared" si="2212"/>
        <v>0</v>
      </c>
      <c r="D3035" s="193"/>
      <c r="E3035" s="1600"/>
    </row>
    <row r="3036" spans="2:5" ht="13.75" hidden="1" customHeight="1" x14ac:dyDescent="0.2">
      <c r="B3036" s="1665">
        <f t="shared" si="2214"/>
        <v>0</v>
      </c>
      <c r="C3036" s="193">
        <f t="shared" ref="C3036:C3041" si="2215">AR298</f>
        <v>0</v>
      </c>
      <c r="D3036" s="193"/>
      <c r="E3036" s="1600"/>
    </row>
    <row r="3037" spans="2:5" ht="13.75" hidden="1" customHeight="1" x14ac:dyDescent="0.2">
      <c r="B3037" s="1665">
        <f t="shared" si="2214"/>
        <v>0</v>
      </c>
      <c r="C3037" s="193">
        <f t="shared" si="2215"/>
        <v>0</v>
      </c>
      <c r="D3037" s="193"/>
      <c r="E3037" s="1600"/>
    </row>
    <row r="3038" spans="2:5" ht="13.75" hidden="1" customHeight="1" x14ac:dyDescent="0.2">
      <c r="B3038" s="1665">
        <f t="shared" si="2214"/>
        <v>0</v>
      </c>
      <c r="C3038" s="193">
        <f t="shared" si="2215"/>
        <v>0</v>
      </c>
      <c r="D3038" s="193"/>
      <c r="E3038" s="1600"/>
    </row>
    <row r="3039" spans="2:5" ht="13.75" hidden="1" customHeight="1" x14ac:dyDescent="0.2">
      <c r="B3039" s="1665">
        <f t="shared" si="2214"/>
        <v>0</v>
      </c>
      <c r="C3039" s="193">
        <f t="shared" si="2215"/>
        <v>0</v>
      </c>
      <c r="D3039" s="193"/>
      <c r="E3039" s="1600"/>
    </row>
    <row r="3040" spans="2:5" ht="13.75" hidden="1" customHeight="1" x14ac:dyDescent="0.2">
      <c r="B3040" s="1665">
        <f t="shared" si="2214"/>
        <v>0</v>
      </c>
      <c r="C3040" s="193">
        <f t="shared" si="2215"/>
        <v>0</v>
      </c>
      <c r="D3040" s="193"/>
      <c r="E3040" s="1600"/>
    </row>
    <row r="3041" spans="2:5" ht="13.75" hidden="1" customHeight="1" x14ac:dyDescent="0.2">
      <c r="B3041" s="1665" t="str">
        <f t="shared" ref="B3041:B3049" si="2216">+Y304</f>
        <v>Semillas</v>
      </c>
      <c r="C3041" s="193">
        <f t="shared" si="2215"/>
        <v>0</v>
      </c>
      <c r="D3041" s="193"/>
      <c r="E3041" s="1600"/>
    </row>
    <row r="3042" spans="2:5" ht="13.75" hidden="1" customHeight="1" x14ac:dyDescent="0.2">
      <c r="B3042" s="1665">
        <f t="shared" si="2216"/>
        <v>0</v>
      </c>
      <c r="C3042" s="193">
        <f t="shared" ref="C3042:C3050" si="2217">AR305</f>
        <v>0</v>
      </c>
      <c r="D3042" s="193"/>
      <c r="E3042" s="1600"/>
    </row>
    <row r="3043" spans="2:5" ht="13.75" hidden="1" customHeight="1" x14ac:dyDescent="0.2">
      <c r="B3043" s="1665">
        <f t="shared" si="2216"/>
        <v>0</v>
      </c>
      <c r="C3043" s="193">
        <f t="shared" si="2217"/>
        <v>0</v>
      </c>
      <c r="D3043" s="193"/>
      <c r="E3043" s="1600"/>
    </row>
    <row r="3044" spans="2:5" ht="13.75" hidden="1" customHeight="1" x14ac:dyDescent="0.2">
      <c r="B3044" s="1665">
        <f t="shared" si="2216"/>
        <v>0</v>
      </c>
      <c r="C3044" s="193">
        <f t="shared" si="2217"/>
        <v>0</v>
      </c>
      <c r="D3044" s="193"/>
      <c r="E3044" s="1600"/>
    </row>
    <row r="3045" spans="2:5" ht="13.75" hidden="1" customHeight="1" x14ac:dyDescent="0.2">
      <c r="B3045" s="1665">
        <f t="shared" si="2216"/>
        <v>0</v>
      </c>
      <c r="C3045" s="193">
        <f t="shared" si="2217"/>
        <v>0</v>
      </c>
      <c r="D3045" s="193"/>
      <c r="E3045" s="1600"/>
    </row>
    <row r="3046" spans="2:5" ht="13.75" hidden="1" customHeight="1" x14ac:dyDescent="0.2">
      <c r="B3046" s="1665">
        <f t="shared" si="2216"/>
        <v>0</v>
      </c>
      <c r="C3046" s="193">
        <f t="shared" si="2217"/>
        <v>0</v>
      </c>
      <c r="D3046" s="193"/>
      <c r="E3046" s="1600"/>
    </row>
    <row r="3047" spans="2:5" ht="13.75" hidden="1" customHeight="1" x14ac:dyDescent="0.2">
      <c r="B3047" s="1665">
        <f t="shared" si="2216"/>
        <v>0</v>
      </c>
      <c r="C3047" s="193">
        <f t="shared" si="2217"/>
        <v>0</v>
      </c>
      <c r="D3047" s="193"/>
      <c r="E3047" s="1600"/>
    </row>
    <row r="3048" spans="2:5" ht="13.75" hidden="1" customHeight="1" x14ac:dyDescent="0.2">
      <c r="B3048" s="1665">
        <f t="shared" si="2216"/>
        <v>0</v>
      </c>
      <c r="C3048" s="193">
        <f t="shared" si="2217"/>
        <v>0</v>
      </c>
      <c r="D3048" s="193"/>
      <c r="E3048" s="1600"/>
    </row>
    <row r="3049" spans="2:5" ht="13.75" hidden="1" customHeight="1" x14ac:dyDescent="0.2">
      <c r="B3049" s="1665">
        <f t="shared" si="2216"/>
        <v>0</v>
      </c>
      <c r="C3049" s="193">
        <f t="shared" si="2217"/>
        <v>0</v>
      </c>
      <c r="D3049" s="193"/>
      <c r="E3049" s="1600"/>
    </row>
    <row r="3050" spans="2:5" ht="13.75" hidden="1" customHeight="1" x14ac:dyDescent="0.2">
      <c r="B3050" s="1665" t="str">
        <f>+Y314</f>
        <v xml:space="preserve">Fertilizantes </v>
      </c>
      <c r="C3050" s="193">
        <f t="shared" si="2217"/>
        <v>0</v>
      </c>
      <c r="D3050" s="193"/>
      <c r="E3050" s="1600"/>
    </row>
    <row r="3051" spans="2:5" ht="13.75" hidden="1" customHeight="1" x14ac:dyDescent="0.2">
      <c r="B3051" s="1665">
        <f>+Y315</f>
        <v>0</v>
      </c>
      <c r="C3051" s="193">
        <f>AR315</f>
        <v>0</v>
      </c>
      <c r="D3051" s="193"/>
      <c r="E3051" s="1600"/>
    </row>
    <row r="3052" spans="2:5" ht="13.75" hidden="1" customHeight="1" x14ac:dyDescent="0.2">
      <c r="B3052" s="1665">
        <f>+Y316</f>
        <v>0</v>
      </c>
      <c r="C3052" s="193">
        <f>AR316</f>
        <v>0</v>
      </c>
      <c r="D3052" s="193"/>
      <c r="E3052" s="1600"/>
    </row>
    <row r="3053" spans="2:5" ht="13.75" hidden="1" customHeight="1" x14ac:dyDescent="0.2">
      <c r="B3053" s="1665">
        <f>+Y317</f>
        <v>0</v>
      </c>
      <c r="C3053" s="193">
        <f>AR317</f>
        <v>0</v>
      </c>
      <c r="D3053" s="193"/>
      <c r="E3053" s="1600"/>
    </row>
    <row r="3054" spans="2:5" ht="13.75" hidden="1" customHeight="1" x14ac:dyDescent="0.2">
      <c r="B3054" s="1665" t="str">
        <f t="shared" ref="B3054:B3060" si="2218">+Y319</f>
        <v xml:space="preserve">Agroquímicos </v>
      </c>
      <c r="C3054" s="193">
        <f>AR318</f>
        <v>0</v>
      </c>
      <c r="D3054" s="193"/>
      <c r="E3054" s="1600"/>
    </row>
    <row r="3055" spans="2:5" ht="13.75" hidden="1" customHeight="1" x14ac:dyDescent="0.2">
      <c r="B3055" s="1665">
        <f t="shared" si="2218"/>
        <v>0</v>
      </c>
      <c r="C3055" s="193">
        <f t="shared" ref="C3055:C3060" si="2219">AR320</f>
        <v>0</v>
      </c>
      <c r="D3055" s="193"/>
      <c r="E3055" s="1600"/>
    </row>
    <row r="3056" spans="2:5" ht="13.75" hidden="1" customHeight="1" x14ac:dyDescent="0.2">
      <c r="B3056" s="1665">
        <f t="shared" si="2218"/>
        <v>0</v>
      </c>
      <c r="C3056" s="193">
        <f t="shared" si="2219"/>
        <v>0</v>
      </c>
      <c r="D3056" s="193"/>
      <c r="E3056" s="1600"/>
    </row>
    <row r="3057" spans="2:5" ht="13.75" hidden="1" customHeight="1" x14ac:dyDescent="0.2">
      <c r="B3057" s="1665">
        <f t="shared" si="2218"/>
        <v>0</v>
      </c>
      <c r="C3057" s="193">
        <f t="shared" si="2219"/>
        <v>0</v>
      </c>
      <c r="D3057" s="193"/>
      <c r="E3057" s="1600"/>
    </row>
    <row r="3058" spans="2:5" ht="13.75" hidden="1" customHeight="1" x14ac:dyDescent="0.2">
      <c r="B3058" s="1665" t="str">
        <f t="shared" si="2218"/>
        <v>Sub total agroquímicos</v>
      </c>
      <c r="C3058" s="193">
        <f t="shared" si="2219"/>
        <v>0</v>
      </c>
      <c r="D3058" s="193"/>
      <c r="E3058" s="1600"/>
    </row>
    <row r="3059" spans="2:5" ht="13.75" hidden="1" customHeight="1" x14ac:dyDescent="0.2">
      <c r="B3059" s="1665" t="str">
        <f t="shared" si="2218"/>
        <v xml:space="preserve">COSTO TOTAL DE IMPLANTACIÓN </v>
      </c>
      <c r="C3059" s="193">
        <f t="shared" si="2219"/>
        <v>0</v>
      </c>
      <c r="D3059" s="193"/>
      <c r="E3059" s="1600"/>
    </row>
    <row r="3060" spans="2:5" ht="13.75" hidden="1" customHeight="1" x14ac:dyDescent="0.2">
      <c r="B3060" s="1665">
        <f t="shared" si="2218"/>
        <v>0</v>
      </c>
      <c r="C3060" s="193">
        <f t="shared" si="2219"/>
        <v>0</v>
      </c>
      <c r="D3060" s="193"/>
      <c r="E3060" s="1600"/>
    </row>
    <row r="3061" spans="2:5" ht="13.75" hidden="1" customHeight="1" x14ac:dyDescent="0.2">
      <c r="B3061" s="1665" t="str">
        <f>+Y327</f>
        <v>Costo de implantación de</v>
      </c>
      <c r="C3061" s="193">
        <f>AR327</f>
        <v>0</v>
      </c>
      <c r="D3061" s="193"/>
      <c r="E3061" s="1600"/>
    </row>
    <row r="3062" spans="2:5" ht="13.75" hidden="1" customHeight="1" x14ac:dyDescent="0.2">
      <c r="B3062" s="1665">
        <f>+Z327</f>
        <v>0</v>
      </c>
      <c r="C3062" s="193" t="str">
        <f t="shared" ref="C3062:C3069" si="2220">AR330</f>
        <v>Unidades</v>
      </c>
      <c r="D3062" s="193"/>
      <c r="E3062" s="1600"/>
    </row>
    <row r="3063" spans="2:5" ht="13.75" hidden="1" customHeight="1" x14ac:dyDescent="0.2">
      <c r="B3063" s="1665" t="str">
        <f t="shared" ref="B3063:B3068" si="2221">+Y331</f>
        <v>Labores con maquinaria propia</v>
      </c>
      <c r="C3063" s="193" t="str">
        <f t="shared" si="2220"/>
        <v>por año</v>
      </c>
      <c r="D3063" s="193"/>
      <c r="E3063" s="1600"/>
    </row>
    <row r="3064" spans="2:5" ht="13.75" hidden="1" customHeight="1" x14ac:dyDescent="0.2">
      <c r="B3064" s="1665">
        <f t="shared" si="2221"/>
        <v>0</v>
      </c>
      <c r="C3064" s="193">
        <f t="shared" si="2220"/>
        <v>0</v>
      </c>
      <c r="D3064" s="193"/>
      <c r="E3064" s="1600"/>
    </row>
    <row r="3065" spans="2:5" ht="13.75" hidden="1" customHeight="1" x14ac:dyDescent="0.2">
      <c r="B3065" s="1665">
        <f t="shared" si="2221"/>
        <v>0</v>
      </c>
      <c r="C3065" s="193">
        <f t="shared" si="2220"/>
        <v>0</v>
      </c>
      <c r="D3065" s="193"/>
      <c r="E3065" s="1600"/>
    </row>
    <row r="3066" spans="2:5" ht="13.75" hidden="1" customHeight="1" x14ac:dyDescent="0.2">
      <c r="B3066" s="1665">
        <f t="shared" si="2221"/>
        <v>0</v>
      </c>
      <c r="C3066" s="193">
        <f t="shared" si="2220"/>
        <v>0</v>
      </c>
      <c r="D3066" s="193"/>
      <c r="E3066" s="1600"/>
    </row>
    <row r="3067" spans="2:5" ht="13.75" hidden="1" customHeight="1" x14ac:dyDescent="0.2">
      <c r="B3067" s="1665">
        <f t="shared" si="2221"/>
        <v>0</v>
      </c>
      <c r="C3067" s="193">
        <f t="shared" si="2220"/>
        <v>0</v>
      </c>
      <c r="D3067" s="193"/>
      <c r="E3067" s="1600"/>
    </row>
    <row r="3068" spans="2:5" ht="13.75" hidden="1" customHeight="1" x14ac:dyDescent="0.2">
      <c r="B3068" s="1665">
        <f t="shared" si="2221"/>
        <v>0</v>
      </c>
      <c r="C3068" s="193">
        <f t="shared" si="2220"/>
        <v>0</v>
      </c>
      <c r="D3068" s="193"/>
      <c r="E3068" s="1600"/>
    </row>
    <row r="3069" spans="2:5" ht="13.75" hidden="1" customHeight="1" x14ac:dyDescent="0.2">
      <c r="B3069" s="1665" t="str">
        <f t="shared" ref="B3069:B3074" si="2222">+Y338</f>
        <v>Labores con maquinaria contratada</v>
      </c>
      <c r="C3069" s="193">
        <f t="shared" si="2220"/>
        <v>0</v>
      </c>
      <c r="D3069" s="193"/>
      <c r="E3069" s="1600"/>
    </row>
    <row r="3070" spans="2:5" ht="13.75" hidden="1" customHeight="1" x14ac:dyDescent="0.2">
      <c r="B3070" s="1665">
        <f t="shared" si="2222"/>
        <v>0</v>
      </c>
      <c r="C3070" s="193">
        <f t="shared" ref="C3070:C3075" si="2223">AR339</f>
        <v>0</v>
      </c>
      <c r="D3070" s="193"/>
      <c r="E3070" s="1600"/>
    </row>
    <row r="3071" spans="2:5" ht="13.75" hidden="1" customHeight="1" x14ac:dyDescent="0.2">
      <c r="B3071" s="1665">
        <f t="shared" si="2222"/>
        <v>0</v>
      </c>
      <c r="C3071" s="193">
        <f t="shared" si="2223"/>
        <v>0</v>
      </c>
      <c r="D3071" s="193"/>
      <c r="E3071" s="1600"/>
    </row>
    <row r="3072" spans="2:5" ht="13.75" hidden="1" customHeight="1" x14ac:dyDescent="0.2">
      <c r="B3072" s="1665">
        <f t="shared" si="2222"/>
        <v>0</v>
      </c>
      <c r="C3072" s="193">
        <f t="shared" si="2223"/>
        <v>0</v>
      </c>
      <c r="D3072" s="193"/>
      <c r="E3072" s="1600"/>
    </row>
    <row r="3073" spans="2:5" ht="13.75" hidden="1" customHeight="1" x14ac:dyDescent="0.2">
      <c r="B3073" s="1665">
        <f t="shared" si="2222"/>
        <v>0</v>
      </c>
      <c r="C3073" s="193">
        <f t="shared" si="2223"/>
        <v>0</v>
      </c>
      <c r="D3073" s="193"/>
      <c r="E3073" s="1600"/>
    </row>
    <row r="3074" spans="2:5" ht="13.75" hidden="1" customHeight="1" x14ac:dyDescent="0.2">
      <c r="B3074" s="1665">
        <f t="shared" si="2222"/>
        <v>0</v>
      </c>
      <c r="C3074" s="193">
        <f t="shared" si="2223"/>
        <v>0</v>
      </c>
      <c r="D3074" s="193"/>
      <c r="E3074" s="1600"/>
    </row>
    <row r="3075" spans="2:5" ht="13.75" hidden="1" customHeight="1" x14ac:dyDescent="0.2">
      <c r="B3075" s="1665" t="str">
        <f t="shared" ref="B3075:B3083" si="2224">+Y345</f>
        <v>Semillas</v>
      </c>
      <c r="C3075" s="193">
        <f t="shared" si="2223"/>
        <v>0</v>
      </c>
      <c r="D3075" s="193"/>
      <c r="E3075" s="1600"/>
    </row>
    <row r="3076" spans="2:5" ht="13.75" hidden="1" customHeight="1" x14ac:dyDescent="0.2">
      <c r="B3076" s="1665">
        <f t="shared" si="2224"/>
        <v>0</v>
      </c>
      <c r="C3076" s="193">
        <f t="shared" ref="C3076:C3084" si="2225">AR346</f>
        <v>0</v>
      </c>
      <c r="D3076" s="193"/>
      <c r="E3076" s="1600"/>
    </row>
    <row r="3077" spans="2:5" ht="13.75" hidden="1" customHeight="1" x14ac:dyDescent="0.2">
      <c r="B3077" s="1665">
        <f t="shared" si="2224"/>
        <v>0</v>
      </c>
      <c r="C3077" s="193">
        <f t="shared" si="2225"/>
        <v>0</v>
      </c>
      <c r="D3077" s="193"/>
      <c r="E3077" s="1600"/>
    </row>
    <row r="3078" spans="2:5" ht="13.75" hidden="1" customHeight="1" x14ac:dyDescent="0.2">
      <c r="B3078" s="1665">
        <f t="shared" si="2224"/>
        <v>0</v>
      </c>
      <c r="C3078" s="193">
        <f t="shared" si="2225"/>
        <v>0</v>
      </c>
      <c r="D3078" s="193"/>
      <c r="E3078" s="1600"/>
    </row>
    <row r="3079" spans="2:5" ht="13.75" hidden="1" customHeight="1" x14ac:dyDescent="0.2">
      <c r="B3079" s="1665">
        <f t="shared" si="2224"/>
        <v>0</v>
      </c>
      <c r="C3079" s="193">
        <f t="shared" si="2225"/>
        <v>0</v>
      </c>
      <c r="D3079" s="193"/>
      <c r="E3079" s="1600"/>
    </row>
    <row r="3080" spans="2:5" ht="13.75" hidden="1" customHeight="1" x14ac:dyDescent="0.2">
      <c r="B3080" s="1665">
        <f t="shared" si="2224"/>
        <v>0</v>
      </c>
      <c r="C3080" s="193">
        <f t="shared" si="2225"/>
        <v>0</v>
      </c>
      <c r="D3080" s="193"/>
      <c r="E3080" s="1600"/>
    </row>
    <row r="3081" spans="2:5" ht="13.75" hidden="1" customHeight="1" x14ac:dyDescent="0.2">
      <c r="B3081" s="1665">
        <f t="shared" si="2224"/>
        <v>0</v>
      </c>
      <c r="C3081" s="193">
        <f t="shared" si="2225"/>
        <v>0</v>
      </c>
      <c r="D3081" s="193"/>
      <c r="E3081" s="1600"/>
    </row>
    <row r="3082" spans="2:5" ht="13.75" hidden="1" customHeight="1" x14ac:dyDescent="0.2">
      <c r="B3082" s="1665">
        <f t="shared" si="2224"/>
        <v>0</v>
      </c>
      <c r="C3082" s="193">
        <f t="shared" si="2225"/>
        <v>0</v>
      </c>
      <c r="D3082" s="193"/>
      <c r="E3082" s="1600"/>
    </row>
    <row r="3083" spans="2:5" ht="13.75" hidden="1" customHeight="1" x14ac:dyDescent="0.2">
      <c r="B3083" s="1665">
        <f t="shared" si="2224"/>
        <v>0</v>
      </c>
      <c r="C3083" s="193">
        <f t="shared" si="2225"/>
        <v>0</v>
      </c>
      <c r="D3083" s="193"/>
      <c r="E3083" s="1600"/>
    </row>
    <row r="3084" spans="2:5" ht="13.75" hidden="1" customHeight="1" x14ac:dyDescent="0.2">
      <c r="B3084" s="1665" t="str">
        <f>+Y355</f>
        <v xml:space="preserve">Fertilizantes </v>
      </c>
      <c r="C3084" s="193">
        <f t="shared" si="2225"/>
        <v>0</v>
      </c>
      <c r="D3084" s="193"/>
      <c r="E3084" s="1600"/>
    </row>
    <row r="3085" spans="2:5" ht="13.75" hidden="1" customHeight="1" x14ac:dyDescent="0.2">
      <c r="B3085" s="1665">
        <f>+Y356</f>
        <v>0</v>
      </c>
      <c r="C3085" s="193">
        <f>AR356</f>
        <v>0</v>
      </c>
      <c r="D3085" s="193"/>
      <c r="E3085" s="1600"/>
    </row>
    <row r="3086" spans="2:5" ht="13.75" hidden="1" customHeight="1" x14ac:dyDescent="0.2">
      <c r="B3086" s="1665">
        <f>+Y357</f>
        <v>0</v>
      </c>
      <c r="C3086" s="193">
        <f>AR357</f>
        <v>0</v>
      </c>
      <c r="D3086" s="193"/>
      <c r="E3086" s="1600"/>
    </row>
    <row r="3087" spans="2:5" ht="13.75" hidden="1" customHeight="1" x14ac:dyDescent="0.2">
      <c r="B3087" s="1665">
        <f>+Y358</f>
        <v>0</v>
      </c>
      <c r="C3087" s="193">
        <f>AR358</f>
        <v>0</v>
      </c>
      <c r="D3087" s="193"/>
      <c r="E3087" s="1600"/>
    </row>
    <row r="3088" spans="2:5" ht="13.75" hidden="1" customHeight="1" x14ac:dyDescent="0.2">
      <c r="B3088" s="1665" t="str">
        <f t="shared" ref="B3088:B3094" si="2226">+Y360</f>
        <v xml:space="preserve">Agroquímicos </v>
      </c>
      <c r="C3088" s="193">
        <f>AR359</f>
        <v>0</v>
      </c>
      <c r="D3088" s="193"/>
      <c r="E3088" s="1600"/>
    </row>
    <row r="3089" spans="2:5" ht="13.75" hidden="1" customHeight="1" x14ac:dyDescent="0.2">
      <c r="B3089" s="1665">
        <f t="shared" si="2226"/>
        <v>0</v>
      </c>
      <c r="C3089" s="193">
        <f t="shared" ref="C3089:C3094" si="2227">AR361</f>
        <v>0</v>
      </c>
      <c r="D3089" s="193"/>
      <c r="E3089" s="1600"/>
    </row>
    <row r="3090" spans="2:5" ht="13.75" hidden="1" customHeight="1" x14ac:dyDescent="0.2">
      <c r="B3090" s="1665">
        <f t="shared" si="2226"/>
        <v>0</v>
      </c>
      <c r="C3090" s="193">
        <f t="shared" si="2227"/>
        <v>0</v>
      </c>
      <c r="D3090" s="193"/>
      <c r="E3090" s="1600"/>
    </row>
    <row r="3091" spans="2:5" ht="13.75" hidden="1" customHeight="1" x14ac:dyDescent="0.2">
      <c r="B3091" s="1665">
        <f t="shared" si="2226"/>
        <v>0</v>
      </c>
      <c r="C3091" s="193">
        <f t="shared" si="2227"/>
        <v>0</v>
      </c>
      <c r="D3091" s="193"/>
      <c r="E3091" s="1600"/>
    </row>
    <row r="3092" spans="2:5" ht="13.75" hidden="1" customHeight="1" x14ac:dyDescent="0.2">
      <c r="B3092" s="1665" t="str">
        <f t="shared" si="2226"/>
        <v>Sub total agroquímicos</v>
      </c>
      <c r="C3092" s="193">
        <f t="shared" si="2227"/>
        <v>0</v>
      </c>
      <c r="D3092" s="193"/>
      <c r="E3092" s="1600"/>
    </row>
    <row r="3093" spans="2:5" ht="13.75" hidden="1" customHeight="1" x14ac:dyDescent="0.2">
      <c r="B3093" s="1665" t="str">
        <f t="shared" si="2226"/>
        <v xml:space="preserve">COSTO TOTAL DE IMPLANTACIÓN </v>
      </c>
      <c r="C3093" s="193">
        <f t="shared" si="2227"/>
        <v>0</v>
      </c>
      <c r="D3093" s="193"/>
      <c r="E3093" s="1600"/>
    </row>
    <row r="3094" spans="2:5" ht="13.75" hidden="1" customHeight="1" x14ac:dyDescent="0.2">
      <c r="B3094" s="1665">
        <f t="shared" si="2226"/>
        <v>0</v>
      </c>
      <c r="C3094" s="193">
        <f t="shared" si="2227"/>
        <v>0</v>
      </c>
      <c r="D3094" s="193"/>
      <c r="E3094" s="1600"/>
    </row>
    <row r="3095" spans="2:5" ht="13.75" hidden="1" customHeight="1" x14ac:dyDescent="0.2">
      <c r="B3095" s="1665" t="str">
        <f>+Y368</f>
        <v>Costo de implantación de</v>
      </c>
      <c r="C3095" s="193">
        <f>AR368</f>
        <v>0</v>
      </c>
      <c r="D3095" s="193"/>
      <c r="E3095" s="1600"/>
    </row>
    <row r="3096" spans="2:5" ht="13.75" hidden="1" customHeight="1" x14ac:dyDescent="0.2">
      <c r="B3096" s="1665">
        <f>+Z368</f>
        <v>0</v>
      </c>
      <c r="C3096" s="193" t="str">
        <f t="shared" ref="C3096:C3103" si="2228">AR371</f>
        <v>Unidades</v>
      </c>
      <c r="D3096" s="193"/>
      <c r="E3096" s="1600"/>
    </row>
    <row r="3097" spans="2:5" ht="13.75" hidden="1" customHeight="1" x14ac:dyDescent="0.2">
      <c r="B3097" s="1665" t="str">
        <f t="shared" ref="B3097:B3102" si="2229">+Y372</f>
        <v>Labores con maquinaria propia</v>
      </c>
      <c r="C3097" s="193" t="str">
        <f t="shared" si="2228"/>
        <v>por año</v>
      </c>
      <c r="D3097" s="193"/>
      <c r="E3097" s="1600"/>
    </row>
    <row r="3098" spans="2:5" ht="13.75" hidden="1" customHeight="1" x14ac:dyDescent="0.2">
      <c r="B3098" s="1665">
        <f t="shared" si="2229"/>
        <v>0</v>
      </c>
      <c r="C3098" s="193">
        <f t="shared" si="2228"/>
        <v>0</v>
      </c>
      <c r="D3098" s="193"/>
      <c r="E3098" s="1600"/>
    </row>
    <row r="3099" spans="2:5" ht="13.75" hidden="1" customHeight="1" x14ac:dyDescent="0.2">
      <c r="B3099" s="1665">
        <f t="shared" si="2229"/>
        <v>0</v>
      </c>
      <c r="C3099" s="193">
        <f t="shared" si="2228"/>
        <v>0</v>
      </c>
      <c r="D3099" s="193"/>
      <c r="E3099" s="1600"/>
    </row>
    <row r="3100" spans="2:5" ht="13.75" hidden="1" customHeight="1" x14ac:dyDescent="0.2">
      <c r="B3100" s="1665">
        <f t="shared" si="2229"/>
        <v>0</v>
      </c>
      <c r="C3100" s="193">
        <f t="shared" si="2228"/>
        <v>0</v>
      </c>
      <c r="D3100" s="193"/>
      <c r="E3100" s="1600"/>
    </row>
    <row r="3101" spans="2:5" ht="13.75" hidden="1" customHeight="1" x14ac:dyDescent="0.2">
      <c r="B3101" s="1665">
        <f t="shared" si="2229"/>
        <v>0</v>
      </c>
      <c r="C3101" s="193">
        <f t="shared" si="2228"/>
        <v>0</v>
      </c>
      <c r="D3101" s="193"/>
      <c r="E3101" s="1600"/>
    </row>
    <row r="3102" spans="2:5" ht="13.75" hidden="1" customHeight="1" x14ac:dyDescent="0.2">
      <c r="B3102" s="1665">
        <f t="shared" si="2229"/>
        <v>0</v>
      </c>
      <c r="C3102" s="193">
        <f t="shared" si="2228"/>
        <v>0</v>
      </c>
      <c r="D3102" s="193"/>
      <c r="E3102" s="1600"/>
    </row>
    <row r="3103" spans="2:5" ht="13.75" hidden="1" customHeight="1" x14ac:dyDescent="0.2">
      <c r="B3103" s="1665" t="str">
        <f t="shared" ref="B3103:B3108" si="2230">+Y379</f>
        <v>Labores con maquinaria contratada</v>
      </c>
      <c r="C3103" s="193">
        <f t="shared" si="2228"/>
        <v>0</v>
      </c>
      <c r="D3103" s="193"/>
      <c r="E3103" s="1600"/>
    </row>
    <row r="3104" spans="2:5" ht="13.75" hidden="1" customHeight="1" x14ac:dyDescent="0.2">
      <c r="B3104" s="1665">
        <f t="shared" si="2230"/>
        <v>0</v>
      </c>
      <c r="C3104" s="193">
        <f t="shared" ref="C3104:C3109" si="2231">AR380</f>
        <v>0</v>
      </c>
      <c r="D3104" s="193"/>
      <c r="E3104" s="1600"/>
    </row>
    <row r="3105" spans="2:5" ht="13.75" hidden="1" customHeight="1" x14ac:dyDescent="0.2">
      <c r="B3105" s="1665">
        <f t="shared" si="2230"/>
        <v>0</v>
      </c>
      <c r="C3105" s="193">
        <f t="shared" si="2231"/>
        <v>0</v>
      </c>
      <c r="D3105" s="193"/>
      <c r="E3105" s="1600"/>
    </row>
    <row r="3106" spans="2:5" ht="13.75" hidden="1" customHeight="1" x14ac:dyDescent="0.2">
      <c r="B3106" s="1665">
        <f t="shared" si="2230"/>
        <v>0</v>
      </c>
      <c r="C3106" s="193">
        <f t="shared" si="2231"/>
        <v>0</v>
      </c>
      <c r="D3106" s="193"/>
      <c r="E3106" s="1600"/>
    </row>
    <row r="3107" spans="2:5" ht="13.75" hidden="1" customHeight="1" x14ac:dyDescent="0.2">
      <c r="B3107" s="1665">
        <f t="shared" si="2230"/>
        <v>0</v>
      </c>
      <c r="C3107" s="193">
        <f t="shared" si="2231"/>
        <v>0</v>
      </c>
      <c r="D3107" s="193"/>
      <c r="E3107" s="1600"/>
    </row>
    <row r="3108" spans="2:5" ht="13.75" hidden="1" customHeight="1" x14ac:dyDescent="0.2">
      <c r="B3108" s="1665">
        <f t="shared" si="2230"/>
        <v>0</v>
      </c>
      <c r="C3108" s="193">
        <f t="shared" si="2231"/>
        <v>0</v>
      </c>
      <c r="D3108" s="193"/>
      <c r="E3108" s="1600"/>
    </row>
    <row r="3109" spans="2:5" ht="13.75" hidden="1" customHeight="1" x14ac:dyDescent="0.2">
      <c r="B3109" s="1665" t="str">
        <f t="shared" ref="B3109:B3117" si="2232">+Y386</f>
        <v>Semillas</v>
      </c>
      <c r="C3109" s="193">
        <f t="shared" si="2231"/>
        <v>0</v>
      </c>
      <c r="D3109" s="193"/>
      <c r="E3109" s="1600"/>
    </row>
    <row r="3110" spans="2:5" ht="13.75" hidden="1" customHeight="1" x14ac:dyDescent="0.2">
      <c r="B3110" s="1665">
        <f t="shared" si="2232"/>
        <v>0</v>
      </c>
      <c r="C3110" s="193">
        <f t="shared" ref="C3110:C3118" si="2233">AR387</f>
        <v>0</v>
      </c>
      <c r="D3110" s="193"/>
      <c r="E3110" s="1600"/>
    </row>
    <row r="3111" spans="2:5" ht="13.75" hidden="1" customHeight="1" x14ac:dyDescent="0.2">
      <c r="B3111" s="1665">
        <f t="shared" si="2232"/>
        <v>0</v>
      </c>
      <c r="C3111" s="193">
        <f t="shared" si="2233"/>
        <v>0</v>
      </c>
      <c r="D3111" s="193"/>
      <c r="E3111" s="1600"/>
    </row>
    <row r="3112" spans="2:5" ht="13.75" hidden="1" customHeight="1" x14ac:dyDescent="0.2">
      <c r="B3112" s="1665">
        <f t="shared" si="2232"/>
        <v>0</v>
      </c>
      <c r="C3112" s="193">
        <f t="shared" si="2233"/>
        <v>0</v>
      </c>
      <c r="D3112" s="193"/>
      <c r="E3112" s="1600"/>
    </row>
    <row r="3113" spans="2:5" ht="13.75" hidden="1" customHeight="1" x14ac:dyDescent="0.2">
      <c r="B3113" s="1665">
        <f t="shared" si="2232"/>
        <v>0</v>
      </c>
      <c r="C3113" s="193">
        <f t="shared" si="2233"/>
        <v>0</v>
      </c>
      <c r="D3113" s="193"/>
      <c r="E3113" s="1600"/>
    </row>
    <row r="3114" spans="2:5" ht="13.75" hidden="1" customHeight="1" x14ac:dyDescent="0.2">
      <c r="B3114" s="1665">
        <f t="shared" si="2232"/>
        <v>0</v>
      </c>
      <c r="C3114" s="193">
        <f t="shared" si="2233"/>
        <v>0</v>
      </c>
      <c r="D3114" s="193"/>
      <c r="E3114" s="1600"/>
    </row>
    <row r="3115" spans="2:5" ht="13.75" hidden="1" customHeight="1" x14ac:dyDescent="0.2">
      <c r="B3115" s="1665">
        <f t="shared" si="2232"/>
        <v>0</v>
      </c>
      <c r="C3115" s="193">
        <f t="shared" si="2233"/>
        <v>0</v>
      </c>
      <c r="D3115" s="193"/>
      <c r="E3115" s="1600"/>
    </row>
    <row r="3116" spans="2:5" ht="13.75" hidden="1" customHeight="1" x14ac:dyDescent="0.2">
      <c r="B3116" s="1665">
        <f t="shared" si="2232"/>
        <v>0</v>
      </c>
      <c r="C3116" s="193">
        <f t="shared" si="2233"/>
        <v>0</v>
      </c>
      <c r="D3116" s="193"/>
      <c r="E3116" s="1600"/>
    </row>
    <row r="3117" spans="2:5" ht="13.75" hidden="1" customHeight="1" x14ac:dyDescent="0.2">
      <c r="B3117" s="1665">
        <f t="shared" si="2232"/>
        <v>0</v>
      </c>
      <c r="C3117" s="193">
        <f t="shared" si="2233"/>
        <v>0</v>
      </c>
      <c r="D3117" s="193"/>
      <c r="E3117" s="1600"/>
    </row>
    <row r="3118" spans="2:5" ht="13.75" hidden="1" customHeight="1" x14ac:dyDescent="0.2">
      <c r="B3118" s="1665" t="str">
        <f>+Y396</f>
        <v xml:space="preserve">Fertilizantes </v>
      </c>
      <c r="C3118" s="193">
        <f t="shared" si="2233"/>
        <v>0</v>
      </c>
      <c r="D3118" s="193"/>
      <c r="E3118" s="1600"/>
    </row>
    <row r="3119" spans="2:5" ht="13.75" hidden="1" customHeight="1" x14ac:dyDescent="0.2">
      <c r="B3119" s="1665">
        <f>+Y397</f>
        <v>0</v>
      </c>
      <c r="C3119" s="193">
        <f>AR397</f>
        <v>0</v>
      </c>
      <c r="D3119" s="193"/>
      <c r="E3119" s="1600"/>
    </row>
    <row r="3120" spans="2:5" ht="13.75" hidden="1" customHeight="1" x14ac:dyDescent="0.2">
      <c r="B3120" s="1665">
        <f>+Y398</f>
        <v>0</v>
      </c>
      <c r="C3120" s="193">
        <f>AR398</f>
        <v>0</v>
      </c>
      <c r="D3120" s="193"/>
      <c r="E3120" s="1600"/>
    </row>
    <row r="3121" spans="2:5" ht="13.75" hidden="1" customHeight="1" x14ac:dyDescent="0.2">
      <c r="B3121" s="1665">
        <f>+Y399</f>
        <v>0</v>
      </c>
      <c r="C3121" s="193">
        <f>AR399</f>
        <v>0</v>
      </c>
      <c r="D3121" s="193"/>
      <c r="E3121" s="1600"/>
    </row>
    <row r="3122" spans="2:5" ht="13.75" hidden="1" customHeight="1" x14ac:dyDescent="0.2">
      <c r="B3122" s="1665" t="str">
        <f t="shared" ref="B3122:B3128" si="2234">+Y401</f>
        <v xml:space="preserve">Agroquímicos </v>
      </c>
      <c r="C3122" s="193">
        <f>AR400</f>
        <v>0</v>
      </c>
      <c r="D3122" s="193"/>
      <c r="E3122" s="1600"/>
    </row>
    <row r="3123" spans="2:5" ht="13.75" hidden="1" customHeight="1" x14ac:dyDescent="0.2">
      <c r="B3123" s="1665">
        <f t="shared" si="2234"/>
        <v>0</v>
      </c>
      <c r="C3123" s="193">
        <f t="shared" ref="C3123:C3128" si="2235">AR402</f>
        <v>0</v>
      </c>
      <c r="D3123" s="193"/>
      <c r="E3123" s="1600"/>
    </row>
    <row r="3124" spans="2:5" ht="13.75" hidden="1" customHeight="1" x14ac:dyDescent="0.2">
      <c r="B3124" s="1665">
        <f t="shared" si="2234"/>
        <v>0</v>
      </c>
      <c r="C3124" s="193">
        <f t="shared" si="2235"/>
        <v>0</v>
      </c>
      <c r="D3124" s="193"/>
      <c r="E3124" s="1600"/>
    </row>
    <row r="3125" spans="2:5" ht="13.75" hidden="1" customHeight="1" x14ac:dyDescent="0.2">
      <c r="B3125" s="1665">
        <f t="shared" si="2234"/>
        <v>0</v>
      </c>
      <c r="C3125" s="193">
        <f t="shared" si="2235"/>
        <v>0</v>
      </c>
      <c r="D3125" s="193"/>
      <c r="E3125" s="1600"/>
    </row>
    <row r="3126" spans="2:5" ht="13.75" hidden="1" customHeight="1" x14ac:dyDescent="0.2">
      <c r="B3126" s="1665" t="str">
        <f t="shared" si="2234"/>
        <v>Sub total agroquímicos</v>
      </c>
      <c r="C3126" s="193">
        <f t="shared" si="2235"/>
        <v>0</v>
      </c>
      <c r="D3126" s="193"/>
      <c r="E3126" s="1600"/>
    </row>
    <row r="3127" spans="2:5" ht="13.75" hidden="1" customHeight="1" x14ac:dyDescent="0.2">
      <c r="B3127" s="1665" t="str">
        <f t="shared" si="2234"/>
        <v xml:space="preserve">COSTO TOTAL DE IMPLANTACIÓN </v>
      </c>
      <c r="C3127" s="193">
        <f t="shared" si="2235"/>
        <v>0</v>
      </c>
      <c r="D3127" s="193"/>
      <c r="E3127" s="1600"/>
    </row>
    <row r="3128" spans="2:5" ht="13.75" hidden="1" customHeight="1" x14ac:dyDescent="0.2">
      <c r="B3128" s="1665">
        <f t="shared" si="2234"/>
        <v>0</v>
      </c>
      <c r="C3128" s="193">
        <f t="shared" si="2235"/>
        <v>0</v>
      </c>
      <c r="D3128" s="193"/>
      <c r="E3128" s="1600"/>
    </row>
    <row r="3129" spans="2:5" ht="13.75" hidden="1" customHeight="1" x14ac:dyDescent="0.2">
      <c r="B3129" s="1665" t="str">
        <f>+Y409</f>
        <v>Costo de implantación de</v>
      </c>
      <c r="C3129" s="193">
        <f>AR409</f>
        <v>0</v>
      </c>
      <c r="D3129" s="193"/>
      <c r="E3129" s="1600"/>
    </row>
    <row r="3130" spans="2:5" ht="13.75" hidden="1" customHeight="1" x14ac:dyDescent="0.2">
      <c r="B3130" s="1665">
        <f>+Z409</f>
        <v>0</v>
      </c>
      <c r="C3130" s="193" t="str">
        <f>AR410</f>
        <v>Has/año</v>
      </c>
      <c r="D3130" s="193"/>
      <c r="E3130" s="1600"/>
    </row>
    <row r="3131" spans="2:5" ht="13.75" hidden="1" customHeight="1" x14ac:dyDescent="0.2">
      <c r="B3131" s="1665" t="str">
        <f t="shared" ref="B3131:B3136" si="2236">+Y413</f>
        <v>Labores con maquinaria propia</v>
      </c>
      <c r="C3131" s="193" t="str">
        <f t="shared" ref="C3131:C3137" si="2237">AR413</f>
        <v>por año</v>
      </c>
      <c r="D3131" s="193"/>
      <c r="E3131" s="1600"/>
    </row>
    <row r="3132" spans="2:5" ht="13.75" hidden="1" customHeight="1" x14ac:dyDescent="0.2">
      <c r="B3132" s="1665">
        <f t="shared" si="2236"/>
        <v>0</v>
      </c>
      <c r="C3132" s="193">
        <f t="shared" si="2237"/>
        <v>0</v>
      </c>
      <c r="D3132" s="193"/>
      <c r="E3132" s="1600"/>
    </row>
    <row r="3133" spans="2:5" ht="13.75" hidden="1" customHeight="1" x14ac:dyDescent="0.2">
      <c r="B3133" s="1665">
        <f t="shared" si="2236"/>
        <v>0</v>
      </c>
      <c r="C3133" s="193">
        <f t="shared" si="2237"/>
        <v>0</v>
      </c>
      <c r="D3133" s="193"/>
      <c r="E3133" s="1600"/>
    </row>
    <row r="3134" spans="2:5" ht="13.75" hidden="1" customHeight="1" x14ac:dyDescent="0.2">
      <c r="B3134" s="1665">
        <f t="shared" si="2236"/>
        <v>0</v>
      </c>
      <c r="C3134" s="193">
        <f t="shared" si="2237"/>
        <v>0</v>
      </c>
      <c r="D3134" s="193"/>
      <c r="E3134" s="1600"/>
    </row>
    <row r="3135" spans="2:5" ht="13.75" hidden="1" customHeight="1" x14ac:dyDescent="0.2">
      <c r="B3135" s="1665">
        <f t="shared" si="2236"/>
        <v>0</v>
      </c>
      <c r="C3135" s="193">
        <f t="shared" si="2237"/>
        <v>0</v>
      </c>
      <c r="D3135" s="193"/>
      <c r="E3135" s="1600"/>
    </row>
    <row r="3136" spans="2:5" ht="13.75" hidden="1" customHeight="1" x14ac:dyDescent="0.2">
      <c r="B3136" s="1665">
        <f t="shared" si="2236"/>
        <v>0</v>
      </c>
      <c r="C3136" s="193">
        <f t="shared" si="2237"/>
        <v>0</v>
      </c>
      <c r="D3136" s="193"/>
      <c r="E3136" s="1600"/>
    </row>
    <row r="3137" spans="2:5" ht="13.75" hidden="1" customHeight="1" x14ac:dyDescent="0.2">
      <c r="B3137" s="1665" t="str">
        <f t="shared" ref="B3137:B3142" si="2238">+Y420</f>
        <v>Labores con maquinaria contratada</v>
      </c>
      <c r="C3137" s="193">
        <f t="shared" si="2237"/>
        <v>0</v>
      </c>
      <c r="D3137" s="193"/>
      <c r="E3137" s="1600"/>
    </row>
    <row r="3138" spans="2:5" ht="13.75" hidden="1" customHeight="1" x14ac:dyDescent="0.2">
      <c r="B3138" s="1665">
        <f t="shared" si="2238"/>
        <v>0</v>
      </c>
      <c r="C3138" s="193">
        <f t="shared" ref="C3138:C3143" si="2239">AR421</f>
        <v>0</v>
      </c>
      <c r="D3138" s="193"/>
      <c r="E3138" s="1600"/>
    </row>
    <row r="3139" spans="2:5" ht="13.75" hidden="1" customHeight="1" x14ac:dyDescent="0.2">
      <c r="B3139" s="1665">
        <f t="shared" si="2238"/>
        <v>0</v>
      </c>
      <c r="C3139" s="193">
        <f t="shared" si="2239"/>
        <v>0</v>
      </c>
      <c r="D3139" s="193"/>
      <c r="E3139" s="1600"/>
    </row>
    <row r="3140" spans="2:5" ht="13.75" hidden="1" customHeight="1" x14ac:dyDescent="0.2">
      <c r="B3140" s="1665">
        <f t="shared" si="2238"/>
        <v>0</v>
      </c>
      <c r="C3140" s="193">
        <f t="shared" si="2239"/>
        <v>0</v>
      </c>
      <c r="D3140" s="193"/>
      <c r="E3140" s="1600"/>
    </row>
    <row r="3141" spans="2:5" ht="13.75" hidden="1" customHeight="1" x14ac:dyDescent="0.2">
      <c r="B3141" s="1665">
        <f t="shared" si="2238"/>
        <v>0</v>
      </c>
      <c r="C3141" s="193">
        <f t="shared" si="2239"/>
        <v>0</v>
      </c>
      <c r="D3141" s="193"/>
      <c r="E3141" s="1600"/>
    </row>
    <row r="3142" spans="2:5" ht="13.75" hidden="1" customHeight="1" x14ac:dyDescent="0.2">
      <c r="B3142" s="1665">
        <f t="shared" si="2238"/>
        <v>0</v>
      </c>
      <c r="C3142" s="193">
        <f t="shared" si="2239"/>
        <v>0</v>
      </c>
      <c r="D3142" s="193"/>
      <c r="E3142" s="1600"/>
    </row>
    <row r="3143" spans="2:5" ht="13.75" hidden="1" customHeight="1" x14ac:dyDescent="0.2">
      <c r="B3143" s="1665" t="str">
        <f t="shared" ref="B3143:B3151" si="2240">+Y427</f>
        <v>Semillas</v>
      </c>
      <c r="C3143" s="193">
        <f t="shared" si="2239"/>
        <v>0</v>
      </c>
      <c r="D3143" s="193"/>
      <c r="E3143" s="1600"/>
    </row>
    <row r="3144" spans="2:5" ht="13.75" hidden="1" customHeight="1" x14ac:dyDescent="0.2">
      <c r="B3144" s="1665">
        <f t="shared" si="2240"/>
        <v>0</v>
      </c>
      <c r="C3144" s="193">
        <f t="shared" ref="C3144:C3152" si="2241">AR428</f>
        <v>0</v>
      </c>
      <c r="D3144" s="193"/>
      <c r="E3144" s="1600"/>
    </row>
    <row r="3145" spans="2:5" ht="13.75" hidden="1" customHeight="1" x14ac:dyDescent="0.2">
      <c r="B3145" s="1665">
        <f t="shared" si="2240"/>
        <v>0</v>
      </c>
      <c r="C3145" s="193">
        <f t="shared" si="2241"/>
        <v>0</v>
      </c>
      <c r="D3145" s="193"/>
      <c r="E3145" s="1600"/>
    </row>
    <row r="3146" spans="2:5" ht="13.75" hidden="1" customHeight="1" x14ac:dyDescent="0.2">
      <c r="B3146" s="1665">
        <f t="shared" si="2240"/>
        <v>0</v>
      </c>
      <c r="C3146" s="193">
        <f t="shared" si="2241"/>
        <v>0</v>
      </c>
      <c r="D3146" s="193"/>
      <c r="E3146" s="1600"/>
    </row>
    <row r="3147" spans="2:5" ht="13.75" hidden="1" customHeight="1" x14ac:dyDescent="0.2">
      <c r="B3147" s="1665">
        <f t="shared" si="2240"/>
        <v>0</v>
      </c>
      <c r="C3147" s="193">
        <f t="shared" si="2241"/>
        <v>0</v>
      </c>
      <c r="D3147" s="193"/>
      <c r="E3147" s="1600"/>
    </row>
    <row r="3148" spans="2:5" ht="13.75" hidden="1" customHeight="1" x14ac:dyDescent="0.2">
      <c r="B3148" s="1665">
        <f t="shared" si="2240"/>
        <v>0</v>
      </c>
      <c r="C3148" s="193">
        <f t="shared" si="2241"/>
        <v>0</v>
      </c>
      <c r="D3148" s="193"/>
      <c r="E3148" s="1600"/>
    </row>
    <row r="3149" spans="2:5" ht="13.75" hidden="1" customHeight="1" x14ac:dyDescent="0.2">
      <c r="B3149" s="1665">
        <f t="shared" si="2240"/>
        <v>0</v>
      </c>
      <c r="C3149" s="193">
        <f t="shared" si="2241"/>
        <v>0</v>
      </c>
      <c r="D3149" s="193"/>
      <c r="E3149" s="1600"/>
    </row>
    <row r="3150" spans="2:5" ht="13.75" hidden="1" customHeight="1" x14ac:dyDescent="0.2">
      <c r="B3150" s="1665">
        <f t="shared" si="2240"/>
        <v>0</v>
      </c>
      <c r="C3150" s="193">
        <f t="shared" si="2241"/>
        <v>0</v>
      </c>
      <c r="D3150" s="193"/>
      <c r="E3150" s="1600"/>
    </row>
    <row r="3151" spans="2:5" ht="13.75" hidden="1" customHeight="1" x14ac:dyDescent="0.2">
      <c r="B3151" s="1665">
        <f t="shared" si="2240"/>
        <v>0</v>
      </c>
      <c r="C3151" s="193">
        <f t="shared" si="2241"/>
        <v>0</v>
      </c>
      <c r="D3151" s="193"/>
      <c r="E3151" s="1600"/>
    </row>
    <row r="3152" spans="2:5" ht="13.75" hidden="1" customHeight="1" x14ac:dyDescent="0.2">
      <c r="B3152" s="1665" t="str">
        <f>+Y437</f>
        <v xml:space="preserve">Fertilizantes </v>
      </c>
      <c r="C3152" s="193">
        <f t="shared" si="2241"/>
        <v>0</v>
      </c>
      <c r="D3152" s="193"/>
      <c r="E3152" s="1600"/>
    </row>
    <row r="3153" spans="2:5" ht="13.75" hidden="1" customHeight="1" x14ac:dyDescent="0.2">
      <c r="B3153" s="1665">
        <f>+Y438</f>
        <v>0</v>
      </c>
      <c r="C3153" s="193">
        <f>AR438</f>
        <v>0</v>
      </c>
      <c r="D3153" s="193"/>
      <c r="E3153" s="1600"/>
    </row>
    <row r="3154" spans="2:5" ht="13.75" hidden="1" customHeight="1" x14ac:dyDescent="0.2">
      <c r="B3154" s="1665">
        <f>+Y439</f>
        <v>0</v>
      </c>
      <c r="C3154" s="193">
        <f>AR439</f>
        <v>0</v>
      </c>
      <c r="D3154" s="193"/>
      <c r="E3154" s="1600"/>
    </row>
    <row r="3155" spans="2:5" ht="13.75" hidden="1" customHeight="1" x14ac:dyDescent="0.2">
      <c r="B3155" s="1665">
        <f>+Y440</f>
        <v>0</v>
      </c>
      <c r="C3155" s="193">
        <f>AR440</f>
        <v>0</v>
      </c>
      <c r="D3155" s="193"/>
      <c r="E3155" s="1600"/>
    </row>
    <row r="3156" spans="2:5" ht="13.75" hidden="1" customHeight="1" x14ac:dyDescent="0.2">
      <c r="B3156" s="1665" t="str">
        <f t="shared" ref="B3156:B3162" si="2242">+Y442</f>
        <v xml:space="preserve">Agroquímicos </v>
      </c>
      <c r="C3156" s="193">
        <f>AR441</f>
        <v>0</v>
      </c>
      <c r="D3156" s="193"/>
      <c r="E3156" s="1600"/>
    </row>
    <row r="3157" spans="2:5" ht="13.75" hidden="1" customHeight="1" x14ac:dyDescent="0.2">
      <c r="B3157" s="1665">
        <f t="shared" si="2242"/>
        <v>0</v>
      </c>
      <c r="C3157" s="193">
        <f t="shared" ref="C3157:C3162" si="2243">AR443</f>
        <v>0</v>
      </c>
      <c r="D3157" s="193"/>
      <c r="E3157" s="1600"/>
    </row>
    <row r="3158" spans="2:5" ht="13.75" hidden="1" customHeight="1" x14ac:dyDescent="0.2">
      <c r="B3158" s="1665">
        <f t="shared" si="2242"/>
        <v>0</v>
      </c>
      <c r="C3158" s="193">
        <f t="shared" si="2243"/>
        <v>0</v>
      </c>
      <c r="D3158" s="193"/>
      <c r="E3158" s="1600"/>
    </row>
    <row r="3159" spans="2:5" ht="13.75" hidden="1" customHeight="1" x14ac:dyDescent="0.2">
      <c r="B3159" s="1665">
        <f t="shared" si="2242"/>
        <v>0</v>
      </c>
      <c r="C3159" s="193">
        <f t="shared" si="2243"/>
        <v>0</v>
      </c>
      <c r="D3159" s="193"/>
      <c r="E3159" s="1600"/>
    </row>
    <row r="3160" spans="2:5" ht="13.75" hidden="1" customHeight="1" x14ac:dyDescent="0.2">
      <c r="B3160" s="1665" t="str">
        <f t="shared" si="2242"/>
        <v>Sub total agroquímicos</v>
      </c>
      <c r="C3160" s="193">
        <f t="shared" si="2243"/>
        <v>0</v>
      </c>
      <c r="D3160" s="193"/>
      <c r="E3160" s="1600"/>
    </row>
    <row r="3161" spans="2:5" ht="13.75" hidden="1" customHeight="1" x14ac:dyDescent="0.2">
      <c r="B3161" s="1665" t="str">
        <f t="shared" si="2242"/>
        <v xml:space="preserve">COSTO TOTAL DE IMPLANTACIÓN </v>
      </c>
      <c r="C3161" s="193">
        <f t="shared" si="2243"/>
        <v>0</v>
      </c>
      <c r="D3161" s="193"/>
      <c r="E3161" s="1600"/>
    </row>
    <row r="3162" spans="2:5" ht="13.75" hidden="1" customHeight="1" x14ac:dyDescent="0.2">
      <c r="B3162" s="1665">
        <f t="shared" si="2242"/>
        <v>0</v>
      </c>
      <c r="C3162" s="193">
        <f t="shared" si="2243"/>
        <v>0</v>
      </c>
      <c r="D3162" s="193"/>
      <c r="E3162" s="1600"/>
    </row>
    <row r="3163" spans="2:5" ht="13.75" hidden="1" customHeight="1" x14ac:dyDescent="0.2">
      <c r="B3163" s="1665" t="str">
        <f>+Y450</f>
        <v>Costo de implantación de</v>
      </c>
      <c r="C3163" s="193">
        <f>AR450</f>
        <v>0</v>
      </c>
      <c r="D3163" s="193"/>
      <c r="E3163" s="1600"/>
    </row>
    <row r="3164" spans="2:5" ht="13.75" hidden="1" customHeight="1" x14ac:dyDescent="0.2">
      <c r="B3164" s="1665">
        <f>+Z450</f>
        <v>0</v>
      </c>
      <c r="C3164" s="193" t="str">
        <f>AR451</f>
        <v>Has/año</v>
      </c>
      <c r="D3164" s="193"/>
      <c r="E3164" s="1600"/>
    </row>
    <row r="3165" spans="2:5" ht="13.75" hidden="1" customHeight="1" x14ac:dyDescent="0.2">
      <c r="B3165" s="1665" t="str">
        <f t="shared" ref="B3165:B3170" si="2244">+Y454</f>
        <v>Labores con maquinaria propia</v>
      </c>
      <c r="C3165" s="193" t="str">
        <f t="shared" ref="C3165:C3171" si="2245">AR454</f>
        <v>por año</v>
      </c>
      <c r="D3165" s="193"/>
      <c r="E3165" s="1600"/>
    </row>
    <row r="3166" spans="2:5" ht="13.75" hidden="1" customHeight="1" x14ac:dyDescent="0.2">
      <c r="B3166" s="1665">
        <f t="shared" si="2244"/>
        <v>0</v>
      </c>
      <c r="C3166" s="193">
        <f t="shared" si="2245"/>
        <v>0</v>
      </c>
      <c r="D3166" s="193"/>
      <c r="E3166" s="1600"/>
    </row>
    <row r="3167" spans="2:5" ht="13.75" hidden="1" customHeight="1" x14ac:dyDescent="0.2">
      <c r="B3167" s="1665">
        <f t="shared" si="2244"/>
        <v>0</v>
      </c>
      <c r="C3167" s="193">
        <f t="shared" si="2245"/>
        <v>0</v>
      </c>
      <c r="D3167" s="193"/>
      <c r="E3167" s="1600"/>
    </row>
    <row r="3168" spans="2:5" ht="13.75" hidden="1" customHeight="1" x14ac:dyDescent="0.2">
      <c r="B3168" s="1665">
        <f t="shared" si="2244"/>
        <v>0</v>
      </c>
      <c r="C3168" s="193">
        <f t="shared" si="2245"/>
        <v>0</v>
      </c>
      <c r="D3168" s="193"/>
      <c r="E3168" s="1600"/>
    </row>
    <row r="3169" spans="2:5" ht="13.75" hidden="1" customHeight="1" x14ac:dyDescent="0.2">
      <c r="B3169" s="1665">
        <f t="shared" si="2244"/>
        <v>0</v>
      </c>
      <c r="C3169" s="193">
        <f t="shared" si="2245"/>
        <v>0</v>
      </c>
      <c r="D3169" s="193"/>
      <c r="E3169" s="1600"/>
    </row>
    <row r="3170" spans="2:5" ht="13.75" hidden="1" customHeight="1" x14ac:dyDescent="0.2">
      <c r="B3170" s="1665">
        <f t="shared" si="2244"/>
        <v>0</v>
      </c>
      <c r="C3170" s="193">
        <f t="shared" si="2245"/>
        <v>0</v>
      </c>
      <c r="D3170" s="193"/>
      <c r="E3170" s="1600"/>
    </row>
    <row r="3171" spans="2:5" ht="13.75" hidden="1" customHeight="1" x14ac:dyDescent="0.2">
      <c r="B3171" s="1665" t="str">
        <f t="shared" ref="B3171:B3176" si="2246">+Y461</f>
        <v>Labores con maquinaria contratada</v>
      </c>
      <c r="C3171" s="193">
        <f t="shared" si="2245"/>
        <v>0</v>
      </c>
      <c r="D3171" s="193"/>
      <c r="E3171" s="1600"/>
    </row>
    <row r="3172" spans="2:5" ht="13.75" hidden="1" customHeight="1" x14ac:dyDescent="0.2">
      <c r="B3172" s="1665">
        <f t="shared" si="2246"/>
        <v>0</v>
      </c>
      <c r="C3172" s="193">
        <f t="shared" ref="C3172:C3177" si="2247">AR462</f>
        <v>0</v>
      </c>
      <c r="D3172" s="193"/>
      <c r="E3172" s="1600"/>
    </row>
    <row r="3173" spans="2:5" ht="13.75" hidden="1" customHeight="1" x14ac:dyDescent="0.2">
      <c r="B3173" s="1665">
        <f t="shared" si="2246"/>
        <v>0</v>
      </c>
      <c r="C3173" s="193">
        <f t="shared" si="2247"/>
        <v>0</v>
      </c>
      <c r="D3173" s="193"/>
      <c r="E3173" s="1600"/>
    </row>
    <row r="3174" spans="2:5" ht="13.75" hidden="1" customHeight="1" x14ac:dyDescent="0.2">
      <c r="B3174" s="1665">
        <f t="shared" si="2246"/>
        <v>0</v>
      </c>
      <c r="C3174" s="193">
        <f t="shared" si="2247"/>
        <v>0</v>
      </c>
      <c r="D3174" s="193"/>
      <c r="E3174" s="1600"/>
    </row>
    <row r="3175" spans="2:5" ht="13.75" hidden="1" customHeight="1" x14ac:dyDescent="0.2">
      <c r="B3175" s="1665">
        <f t="shared" si="2246"/>
        <v>0</v>
      </c>
      <c r="C3175" s="193">
        <f t="shared" si="2247"/>
        <v>0</v>
      </c>
      <c r="D3175" s="193"/>
      <c r="E3175" s="1600"/>
    </row>
    <row r="3176" spans="2:5" ht="13.75" hidden="1" customHeight="1" x14ac:dyDescent="0.2">
      <c r="B3176" s="1665">
        <f t="shared" si="2246"/>
        <v>0</v>
      </c>
      <c r="C3176" s="193">
        <f t="shared" si="2247"/>
        <v>0</v>
      </c>
      <c r="D3176" s="193"/>
      <c r="E3176" s="1600"/>
    </row>
    <row r="3177" spans="2:5" ht="13.75" hidden="1" customHeight="1" x14ac:dyDescent="0.2">
      <c r="B3177" s="1665" t="str">
        <f t="shared" ref="B3177:B3185" si="2248">+Y468</f>
        <v>Semillas</v>
      </c>
      <c r="C3177" s="193">
        <f t="shared" si="2247"/>
        <v>0</v>
      </c>
      <c r="D3177" s="193"/>
      <c r="E3177" s="1600"/>
    </row>
    <row r="3178" spans="2:5" ht="13.75" hidden="1" customHeight="1" x14ac:dyDescent="0.2">
      <c r="B3178" s="1665">
        <f t="shared" si="2248"/>
        <v>0</v>
      </c>
      <c r="C3178" s="193">
        <f t="shared" ref="C3178:C3186" si="2249">AR469</f>
        <v>0</v>
      </c>
      <c r="D3178" s="193"/>
      <c r="E3178" s="1600"/>
    </row>
    <row r="3179" spans="2:5" ht="13.75" hidden="1" customHeight="1" x14ac:dyDescent="0.2">
      <c r="B3179" s="1665">
        <f t="shared" si="2248"/>
        <v>0</v>
      </c>
      <c r="C3179" s="193">
        <f t="shared" si="2249"/>
        <v>0</v>
      </c>
      <c r="D3179" s="193"/>
      <c r="E3179" s="1600"/>
    </row>
    <row r="3180" spans="2:5" ht="13.75" hidden="1" customHeight="1" x14ac:dyDescent="0.2">
      <c r="B3180" s="1665">
        <f t="shared" si="2248"/>
        <v>0</v>
      </c>
      <c r="C3180" s="193">
        <f t="shared" si="2249"/>
        <v>0</v>
      </c>
      <c r="D3180" s="193"/>
      <c r="E3180" s="1600"/>
    </row>
    <row r="3181" spans="2:5" ht="13.75" hidden="1" customHeight="1" x14ac:dyDescent="0.2">
      <c r="B3181" s="1665">
        <f t="shared" si="2248"/>
        <v>0</v>
      </c>
      <c r="C3181" s="193">
        <f t="shared" si="2249"/>
        <v>0</v>
      </c>
      <c r="D3181" s="193"/>
      <c r="E3181" s="1600"/>
    </row>
    <row r="3182" spans="2:5" ht="13.75" hidden="1" customHeight="1" x14ac:dyDescent="0.2">
      <c r="B3182" s="1665">
        <f t="shared" si="2248"/>
        <v>0</v>
      </c>
      <c r="C3182" s="193">
        <f t="shared" si="2249"/>
        <v>0</v>
      </c>
      <c r="D3182" s="193"/>
      <c r="E3182" s="1600"/>
    </row>
    <row r="3183" spans="2:5" ht="13.75" hidden="1" customHeight="1" x14ac:dyDescent="0.2">
      <c r="B3183" s="1665">
        <f t="shared" si="2248"/>
        <v>0</v>
      </c>
      <c r="C3183" s="193">
        <f t="shared" si="2249"/>
        <v>0</v>
      </c>
      <c r="D3183" s="193"/>
      <c r="E3183" s="1600"/>
    </row>
    <row r="3184" spans="2:5" ht="13.75" hidden="1" customHeight="1" x14ac:dyDescent="0.2">
      <c r="B3184" s="1665">
        <f t="shared" si="2248"/>
        <v>0</v>
      </c>
      <c r="C3184" s="193">
        <f t="shared" si="2249"/>
        <v>0</v>
      </c>
      <c r="D3184" s="193"/>
      <c r="E3184" s="1600"/>
    </row>
    <row r="3185" spans="2:5" ht="13.75" hidden="1" customHeight="1" x14ac:dyDescent="0.2">
      <c r="B3185" s="1665">
        <f t="shared" si="2248"/>
        <v>0</v>
      </c>
      <c r="C3185" s="193">
        <f t="shared" si="2249"/>
        <v>0</v>
      </c>
      <c r="D3185" s="193"/>
      <c r="E3185" s="1600"/>
    </row>
    <row r="3186" spans="2:5" ht="13.75" hidden="1" customHeight="1" x14ac:dyDescent="0.2">
      <c r="B3186" s="1665" t="str">
        <f>+Y478</f>
        <v xml:space="preserve">Fertilizantes </v>
      </c>
      <c r="C3186" s="193">
        <f t="shared" si="2249"/>
        <v>0</v>
      </c>
      <c r="D3186" s="193"/>
      <c r="E3186" s="1600"/>
    </row>
    <row r="3187" spans="2:5" ht="13.75" hidden="1" customHeight="1" x14ac:dyDescent="0.2">
      <c r="B3187" s="1665">
        <f>+Y479</f>
        <v>0</v>
      </c>
      <c r="C3187" s="193">
        <f>AR479</f>
        <v>0</v>
      </c>
      <c r="D3187" s="193"/>
      <c r="E3187" s="1600"/>
    </row>
    <row r="3188" spans="2:5" ht="13.75" hidden="1" customHeight="1" x14ac:dyDescent="0.2">
      <c r="B3188" s="1665">
        <f>+Y480</f>
        <v>0</v>
      </c>
      <c r="C3188" s="193">
        <f>AR480</f>
        <v>0</v>
      </c>
      <c r="D3188" s="193"/>
      <c r="E3188" s="1600"/>
    </row>
    <row r="3189" spans="2:5" ht="13.75" hidden="1" customHeight="1" x14ac:dyDescent="0.2">
      <c r="B3189" s="1665">
        <f>+Y481</f>
        <v>0</v>
      </c>
      <c r="C3189" s="193">
        <f>AR481</f>
        <v>0</v>
      </c>
      <c r="D3189" s="193"/>
      <c r="E3189" s="1600"/>
    </row>
    <row r="3190" spans="2:5" ht="13.75" hidden="1" customHeight="1" x14ac:dyDescent="0.2">
      <c r="B3190" s="1665" t="str">
        <f t="shared" ref="B3190:B3196" si="2250">+Y483</f>
        <v xml:space="preserve">Agroquímicos </v>
      </c>
      <c r="C3190" s="193">
        <f>AR482</f>
        <v>0</v>
      </c>
      <c r="D3190" s="193"/>
      <c r="E3190" s="1600"/>
    </row>
    <row r="3191" spans="2:5" ht="13.75" hidden="1" customHeight="1" x14ac:dyDescent="0.2">
      <c r="B3191" s="1665">
        <f t="shared" si="2250"/>
        <v>0</v>
      </c>
      <c r="C3191" s="193">
        <f t="shared" ref="C3191:C3196" si="2251">AR484</f>
        <v>0</v>
      </c>
      <c r="D3191" s="193"/>
      <c r="E3191" s="1600"/>
    </row>
    <row r="3192" spans="2:5" ht="13.75" hidden="1" customHeight="1" x14ac:dyDescent="0.2">
      <c r="B3192" s="1665">
        <f t="shared" si="2250"/>
        <v>0</v>
      </c>
      <c r="C3192" s="193">
        <f t="shared" si="2251"/>
        <v>0</v>
      </c>
      <c r="D3192" s="193"/>
      <c r="E3192" s="1600"/>
    </row>
    <row r="3193" spans="2:5" ht="13.75" hidden="1" customHeight="1" x14ac:dyDescent="0.2">
      <c r="B3193" s="1665">
        <f t="shared" si="2250"/>
        <v>0</v>
      </c>
      <c r="C3193" s="193">
        <f t="shared" si="2251"/>
        <v>0</v>
      </c>
      <c r="D3193" s="193"/>
      <c r="E3193" s="1600"/>
    </row>
    <row r="3194" spans="2:5" ht="13.75" hidden="1" customHeight="1" x14ac:dyDescent="0.2">
      <c r="B3194" s="1665" t="str">
        <f t="shared" si="2250"/>
        <v>Sub total agroquímicos</v>
      </c>
      <c r="C3194" s="193">
        <f t="shared" si="2251"/>
        <v>0</v>
      </c>
      <c r="D3194" s="193"/>
      <c r="E3194" s="1600"/>
    </row>
    <row r="3195" spans="2:5" ht="13.75" hidden="1" customHeight="1" x14ac:dyDescent="0.2">
      <c r="B3195" s="1665" t="str">
        <f t="shared" si="2250"/>
        <v xml:space="preserve">COSTO TOTAL DE IMPLANTACIÓN </v>
      </c>
      <c r="C3195" s="193">
        <f t="shared" si="2251"/>
        <v>0</v>
      </c>
      <c r="D3195" s="193"/>
      <c r="E3195" s="1600"/>
    </row>
    <row r="3196" spans="2:5" ht="13.75" hidden="1" customHeight="1" x14ac:dyDescent="0.2">
      <c r="B3196" s="1665">
        <f t="shared" si="2250"/>
        <v>0</v>
      </c>
      <c r="C3196" s="193">
        <f t="shared" si="2251"/>
        <v>0</v>
      </c>
      <c r="D3196" s="193"/>
      <c r="E3196" s="1600"/>
    </row>
    <row r="3197" spans="2:5" ht="13.75" hidden="1" customHeight="1" x14ac:dyDescent="0.2">
      <c r="B3197" s="1665" t="str">
        <f>+Y491</f>
        <v>Costo de implantación de</v>
      </c>
      <c r="C3197" s="193">
        <f>AR491</f>
        <v>0</v>
      </c>
      <c r="D3197" s="193"/>
      <c r="E3197" s="1600"/>
    </row>
    <row r="3198" spans="2:5" ht="13.75" hidden="1" customHeight="1" x14ac:dyDescent="0.2">
      <c r="B3198" s="1665">
        <f>+Y492</f>
        <v>0</v>
      </c>
      <c r="C3198" s="193" t="str">
        <f>AR492</f>
        <v>Has/año</v>
      </c>
      <c r="D3198" s="193"/>
      <c r="E3198" s="1600"/>
    </row>
    <row r="3199" spans="2:5" ht="13.75" hidden="1" customHeight="1" x14ac:dyDescent="0.2">
      <c r="B3199" s="1665" t="str">
        <f t="shared" ref="B3199:B3204" si="2252">+Y495</f>
        <v>Labores con maquinaria propia</v>
      </c>
      <c r="C3199" s="193" t="str">
        <f t="shared" ref="C3199:C3205" si="2253">AR495</f>
        <v>por año</v>
      </c>
      <c r="D3199" s="193"/>
      <c r="E3199" s="1600"/>
    </row>
    <row r="3200" spans="2:5" ht="13.75" hidden="1" customHeight="1" x14ac:dyDescent="0.2">
      <c r="B3200" s="1665">
        <f t="shared" si="2252"/>
        <v>0</v>
      </c>
      <c r="C3200" s="193">
        <f t="shared" si="2253"/>
        <v>0</v>
      </c>
      <c r="D3200" s="193"/>
      <c r="E3200" s="1600"/>
    </row>
    <row r="3201" spans="2:5" ht="13.75" hidden="1" customHeight="1" x14ac:dyDescent="0.2">
      <c r="B3201" s="1665">
        <f t="shared" si="2252"/>
        <v>0</v>
      </c>
      <c r="C3201" s="193">
        <f t="shared" si="2253"/>
        <v>0</v>
      </c>
      <c r="D3201" s="193"/>
      <c r="E3201" s="1600"/>
    </row>
    <row r="3202" spans="2:5" ht="13.75" hidden="1" customHeight="1" x14ac:dyDescent="0.2">
      <c r="B3202" s="1665">
        <f t="shared" si="2252"/>
        <v>0</v>
      </c>
      <c r="C3202" s="193">
        <f t="shared" si="2253"/>
        <v>0</v>
      </c>
      <c r="D3202" s="193"/>
      <c r="E3202" s="1600"/>
    </row>
    <row r="3203" spans="2:5" ht="13.75" hidden="1" customHeight="1" x14ac:dyDescent="0.2">
      <c r="B3203" s="1665">
        <f t="shared" si="2252"/>
        <v>0</v>
      </c>
      <c r="C3203" s="193">
        <f t="shared" si="2253"/>
        <v>0</v>
      </c>
      <c r="D3203" s="193"/>
      <c r="E3203" s="1600"/>
    </row>
    <row r="3204" spans="2:5" ht="13.75" hidden="1" customHeight="1" x14ac:dyDescent="0.2">
      <c r="B3204" s="1665">
        <f t="shared" si="2252"/>
        <v>0</v>
      </c>
      <c r="C3204" s="193">
        <f t="shared" si="2253"/>
        <v>0</v>
      </c>
      <c r="D3204" s="193"/>
      <c r="E3204" s="1600"/>
    </row>
    <row r="3205" spans="2:5" ht="13.75" hidden="1" customHeight="1" x14ac:dyDescent="0.2">
      <c r="B3205" s="1665" t="str">
        <f t="shared" ref="B3205:B3210" si="2254">+Y502</f>
        <v>Labores con maquinaria contratada</v>
      </c>
      <c r="C3205" s="193">
        <f t="shared" si="2253"/>
        <v>0</v>
      </c>
      <c r="D3205" s="193"/>
      <c r="E3205" s="1600"/>
    </row>
    <row r="3206" spans="2:5" ht="13.75" hidden="1" customHeight="1" x14ac:dyDescent="0.2">
      <c r="B3206" s="1665">
        <f t="shared" si="2254"/>
        <v>0</v>
      </c>
      <c r="C3206" s="193">
        <f t="shared" ref="C3206:C3211" si="2255">AR503</f>
        <v>0</v>
      </c>
      <c r="D3206" s="193"/>
      <c r="E3206" s="1600"/>
    </row>
    <row r="3207" spans="2:5" ht="13.75" hidden="1" customHeight="1" x14ac:dyDescent="0.2">
      <c r="B3207" s="1665">
        <f t="shared" si="2254"/>
        <v>0</v>
      </c>
      <c r="C3207" s="193">
        <f t="shared" si="2255"/>
        <v>0</v>
      </c>
      <c r="D3207" s="193"/>
      <c r="E3207" s="1600"/>
    </row>
    <row r="3208" spans="2:5" ht="13.75" hidden="1" customHeight="1" x14ac:dyDescent="0.2">
      <c r="B3208" s="1665">
        <f t="shared" si="2254"/>
        <v>0</v>
      </c>
      <c r="C3208" s="193">
        <f t="shared" si="2255"/>
        <v>0</v>
      </c>
      <c r="D3208" s="193"/>
      <c r="E3208" s="1600"/>
    </row>
    <row r="3209" spans="2:5" ht="13.75" hidden="1" customHeight="1" x14ac:dyDescent="0.2">
      <c r="B3209" s="1665">
        <f t="shared" si="2254"/>
        <v>0</v>
      </c>
      <c r="C3209" s="193">
        <f t="shared" si="2255"/>
        <v>0</v>
      </c>
      <c r="D3209" s="193"/>
      <c r="E3209" s="1600"/>
    </row>
    <row r="3210" spans="2:5" ht="13.75" hidden="1" customHeight="1" x14ac:dyDescent="0.2">
      <c r="B3210" s="1665">
        <f t="shared" si="2254"/>
        <v>0</v>
      </c>
      <c r="C3210" s="193">
        <f t="shared" si="2255"/>
        <v>0</v>
      </c>
      <c r="D3210" s="193"/>
      <c r="E3210" s="1600"/>
    </row>
    <row r="3211" spans="2:5" ht="13.75" hidden="1" customHeight="1" x14ac:dyDescent="0.2">
      <c r="B3211" s="1665" t="str">
        <f t="shared" ref="B3211:B3219" si="2256">+Y509</f>
        <v>Semillas</v>
      </c>
      <c r="C3211" s="193">
        <f t="shared" si="2255"/>
        <v>0</v>
      </c>
      <c r="D3211" s="193"/>
      <c r="E3211" s="1600"/>
    </row>
    <row r="3212" spans="2:5" ht="13.75" hidden="1" customHeight="1" x14ac:dyDescent="0.2">
      <c r="B3212" s="1665">
        <f t="shared" si="2256"/>
        <v>0</v>
      </c>
      <c r="C3212" s="193">
        <f t="shared" ref="C3212:C3220" si="2257">AR510</f>
        <v>0</v>
      </c>
      <c r="D3212" s="193"/>
      <c r="E3212" s="1600"/>
    </row>
    <row r="3213" spans="2:5" ht="13.75" hidden="1" customHeight="1" x14ac:dyDescent="0.2">
      <c r="B3213" s="1665">
        <f t="shared" si="2256"/>
        <v>0</v>
      </c>
      <c r="C3213" s="193">
        <f t="shared" si="2257"/>
        <v>0</v>
      </c>
      <c r="D3213" s="193"/>
      <c r="E3213" s="1600"/>
    </row>
    <row r="3214" spans="2:5" ht="13.75" hidden="1" customHeight="1" x14ac:dyDescent="0.2">
      <c r="B3214" s="1665">
        <f t="shared" si="2256"/>
        <v>0</v>
      </c>
      <c r="C3214" s="193">
        <f t="shared" si="2257"/>
        <v>0</v>
      </c>
      <c r="D3214" s="193"/>
      <c r="E3214" s="1600"/>
    </row>
    <row r="3215" spans="2:5" ht="13.75" hidden="1" customHeight="1" x14ac:dyDescent="0.2">
      <c r="B3215" s="1665">
        <f t="shared" si="2256"/>
        <v>0</v>
      </c>
      <c r="C3215" s="193">
        <f t="shared" si="2257"/>
        <v>0</v>
      </c>
      <c r="D3215" s="193"/>
      <c r="E3215" s="1600"/>
    </row>
    <row r="3216" spans="2:5" ht="13.75" hidden="1" customHeight="1" x14ac:dyDescent="0.2">
      <c r="B3216" s="1665">
        <f t="shared" si="2256"/>
        <v>0</v>
      </c>
      <c r="C3216" s="193">
        <f t="shared" si="2257"/>
        <v>0</v>
      </c>
      <c r="D3216" s="193"/>
      <c r="E3216" s="1600"/>
    </row>
    <row r="3217" spans="2:5" ht="13.75" hidden="1" customHeight="1" x14ac:dyDescent="0.2">
      <c r="B3217" s="1665">
        <f t="shared" si="2256"/>
        <v>0</v>
      </c>
      <c r="C3217" s="193">
        <f t="shared" si="2257"/>
        <v>0</v>
      </c>
      <c r="D3217" s="193"/>
      <c r="E3217" s="1600"/>
    </row>
    <row r="3218" spans="2:5" ht="13.75" hidden="1" customHeight="1" x14ac:dyDescent="0.2">
      <c r="B3218" s="1665">
        <f t="shared" si="2256"/>
        <v>0</v>
      </c>
      <c r="C3218" s="193">
        <f t="shared" si="2257"/>
        <v>0</v>
      </c>
      <c r="D3218" s="193"/>
      <c r="E3218" s="1600"/>
    </row>
    <row r="3219" spans="2:5" ht="13.75" hidden="1" customHeight="1" x14ac:dyDescent="0.2">
      <c r="B3219" s="1665">
        <f t="shared" si="2256"/>
        <v>0</v>
      </c>
      <c r="C3219" s="193">
        <f t="shared" si="2257"/>
        <v>0</v>
      </c>
      <c r="D3219" s="193"/>
      <c r="E3219" s="1600"/>
    </row>
    <row r="3220" spans="2:5" ht="13.75" hidden="1" customHeight="1" x14ac:dyDescent="0.2">
      <c r="B3220" s="1665" t="str">
        <f>+Y519</f>
        <v xml:space="preserve">Fertilizantes </v>
      </c>
      <c r="C3220" s="193">
        <f t="shared" si="2257"/>
        <v>0</v>
      </c>
      <c r="D3220" s="193"/>
      <c r="E3220" s="1600"/>
    </row>
    <row r="3221" spans="2:5" ht="13.75" hidden="1" customHeight="1" x14ac:dyDescent="0.2">
      <c r="B3221" s="1665">
        <f>+Y520</f>
        <v>0</v>
      </c>
      <c r="C3221" s="193">
        <f>AR520</f>
        <v>0</v>
      </c>
      <c r="D3221" s="193"/>
      <c r="E3221" s="1600"/>
    </row>
    <row r="3222" spans="2:5" ht="13.75" hidden="1" customHeight="1" x14ac:dyDescent="0.2">
      <c r="B3222" s="1665">
        <f>+Y521</f>
        <v>0</v>
      </c>
      <c r="C3222" s="193">
        <f>AR521</f>
        <v>0</v>
      </c>
      <c r="D3222" s="193"/>
      <c r="E3222" s="1600"/>
    </row>
    <row r="3223" spans="2:5" ht="13.75" hidden="1" customHeight="1" x14ac:dyDescent="0.2">
      <c r="B3223" s="1665">
        <f>+Y522</f>
        <v>0</v>
      </c>
      <c r="C3223" s="193">
        <f>AR522</f>
        <v>0</v>
      </c>
      <c r="D3223" s="193"/>
      <c r="E3223" s="1600"/>
    </row>
    <row r="3224" spans="2:5" ht="13.75" hidden="1" customHeight="1" x14ac:dyDescent="0.2">
      <c r="B3224" s="1665" t="str">
        <f t="shared" ref="B3224:B3229" si="2258">+Y524</f>
        <v xml:space="preserve">Agroquímicos </v>
      </c>
      <c r="C3224" s="193">
        <f>AR523</f>
        <v>0</v>
      </c>
      <c r="D3224" s="193"/>
      <c r="E3224" s="1600"/>
    </row>
    <row r="3225" spans="2:5" ht="13.75" hidden="1" customHeight="1" x14ac:dyDescent="0.2">
      <c r="B3225" s="1665">
        <f t="shared" si="2258"/>
        <v>0</v>
      </c>
      <c r="C3225" s="193">
        <f>AR525</f>
        <v>0</v>
      </c>
      <c r="D3225" s="193"/>
      <c r="E3225" s="1600"/>
    </row>
    <row r="3226" spans="2:5" ht="13.75" hidden="1" customHeight="1" x14ac:dyDescent="0.2">
      <c r="B3226" s="1665">
        <f t="shared" si="2258"/>
        <v>0</v>
      </c>
      <c r="C3226" s="193">
        <f>AR526</f>
        <v>0</v>
      </c>
      <c r="D3226" s="193"/>
      <c r="E3226" s="1600"/>
    </row>
    <row r="3227" spans="2:5" ht="13.75" hidden="1" customHeight="1" x14ac:dyDescent="0.2">
      <c r="B3227" s="1665">
        <f t="shared" si="2258"/>
        <v>0</v>
      </c>
      <c r="C3227" s="193">
        <f>AR527</f>
        <v>0</v>
      </c>
      <c r="D3227" s="193"/>
      <c r="E3227" s="1600"/>
    </row>
    <row r="3228" spans="2:5" ht="13.75" hidden="1" customHeight="1" x14ac:dyDescent="0.2">
      <c r="B3228" s="1665">
        <f t="shared" si="2258"/>
        <v>0</v>
      </c>
      <c r="C3228" s="193">
        <f>AR528</f>
        <v>0</v>
      </c>
      <c r="D3228" s="193"/>
      <c r="E3228" s="1600"/>
    </row>
    <row r="3229" spans="2:5" ht="13.75" hidden="1" customHeight="1" x14ac:dyDescent="0.2">
      <c r="B3229" s="1665" t="str">
        <f t="shared" si="2258"/>
        <v xml:space="preserve">COSTO TOTAL DE IMPLANTACIÓN </v>
      </c>
      <c r="C3229" s="193">
        <f>AR529</f>
        <v>0</v>
      </c>
      <c r="D3229" s="193"/>
      <c r="E3229" s="1600"/>
    </row>
    <row r="3230" spans="2:5" ht="13.75" hidden="1" customHeight="1" x14ac:dyDescent="0.2">
      <c r="B3230" s="1665">
        <f>B530</f>
        <v>0</v>
      </c>
      <c r="C3230" s="193">
        <f>U530</f>
        <v>0</v>
      </c>
      <c r="D3230" s="193"/>
      <c r="E3230" s="1600"/>
    </row>
    <row r="3231" spans="2:5" ht="13.75" hidden="1" customHeight="1" x14ac:dyDescent="0.2">
      <c r="B3231" s="1665">
        <f t="shared" ref="B3231:B3294" si="2259">B545</f>
        <v>0</v>
      </c>
      <c r="C3231" s="193">
        <f t="shared" ref="C3231:C3294" si="2260">U545</f>
        <v>0</v>
      </c>
      <c r="D3231" s="193"/>
      <c r="E3231" s="1600"/>
    </row>
    <row r="3232" spans="2:5" ht="13.75" hidden="1" customHeight="1" x14ac:dyDescent="0.2">
      <c r="B3232" s="1665" t="str">
        <f t="shared" si="2259"/>
        <v>REFERTILIZACIÓN</v>
      </c>
      <c r="C3232" s="193">
        <f t="shared" si="2260"/>
        <v>0</v>
      </c>
      <c r="D3232" s="193"/>
      <c r="E3232" s="1600"/>
    </row>
    <row r="3233" spans="2:5" ht="13.75" hidden="1" customHeight="1" x14ac:dyDescent="0.2">
      <c r="B3233" s="1665" t="str">
        <f t="shared" si="2259"/>
        <v>Área Lechera</v>
      </c>
      <c r="C3233" s="193" t="str">
        <f t="shared" si="2260"/>
        <v>Has/año</v>
      </c>
      <c r="D3233" s="193"/>
      <c r="E3233" s="1600"/>
    </row>
    <row r="3234" spans="2:5" ht="13.75" hidden="1" customHeight="1" x14ac:dyDescent="0.2">
      <c r="B3234" s="1665" t="str">
        <f t="shared" si="2259"/>
        <v>Pasturas</v>
      </c>
      <c r="C3234" s="193">
        <f t="shared" si="2260"/>
        <v>0</v>
      </c>
      <c r="D3234" s="193"/>
      <c r="E3234" s="1600"/>
    </row>
    <row r="3235" spans="2:5" ht="13.75" hidden="1" customHeight="1" x14ac:dyDescent="0.2">
      <c r="B3235" s="1665">
        <f t="shared" si="2259"/>
        <v>0</v>
      </c>
      <c r="C3235" s="193" t="str">
        <f t="shared" si="2260"/>
        <v>Unidades</v>
      </c>
      <c r="D3235" s="193"/>
      <c r="E3235" s="1600"/>
    </row>
    <row r="3236" spans="2:5" ht="13.75" hidden="1" customHeight="1" x14ac:dyDescent="0.2">
      <c r="B3236" s="1665" t="str">
        <f t="shared" si="2259"/>
        <v>Fertilizante</v>
      </c>
      <c r="C3236" s="193" t="str">
        <f t="shared" si="2260"/>
        <v>por año</v>
      </c>
      <c r="D3236" s="193"/>
      <c r="E3236" s="1600"/>
    </row>
    <row r="3237" spans="2:5" ht="13.75" hidden="1" customHeight="1" x14ac:dyDescent="0.2">
      <c r="B3237" s="1665">
        <f t="shared" si="2259"/>
        <v>0</v>
      </c>
      <c r="C3237" s="193">
        <f>U551</f>
        <v>0</v>
      </c>
      <c r="D3237" s="193"/>
      <c r="E3237" s="1600"/>
    </row>
    <row r="3238" spans="2:5" ht="13.75" hidden="1" customHeight="1" x14ac:dyDescent="0.2">
      <c r="B3238" s="1665">
        <f t="shared" si="2259"/>
        <v>0</v>
      </c>
      <c r="C3238" s="193">
        <f t="shared" si="2260"/>
        <v>0</v>
      </c>
      <c r="D3238" s="193"/>
      <c r="E3238" s="1600"/>
    </row>
    <row r="3239" spans="2:5" ht="13.75" hidden="1" customHeight="1" x14ac:dyDescent="0.2">
      <c r="B3239" s="1665">
        <f t="shared" si="2259"/>
        <v>0</v>
      </c>
      <c r="C3239" s="193">
        <f t="shared" si="2260"/>
        <v>0</v>
      </c>
      <c r="D3239" s="193"/>
      <c r="E3239" s="1600"/>
    </row>
    <row r="3240" spans="2:5" ht="13.75" hidden="1" customHeight="1" x14ac:dyDescent="0.2">
      <c r="B3240" s="1665" t="str">
        <f t="shared" si="2259"/>
        <v>Subtotal fertilizante</v>
      </c>
      <c r="C3240" s="193">
        <f t="shared" si="2260"/>
        <v>0</v>
      </c>
      <c r="D3240" s="193"/>
      <c r="E3240" s="1600"/>
    </row>
    <row r="3241" spans="2:5" ht="13.75" hidden="1" customHeight="1" x14ac:dyDescent="0.2">
      <c r="B3241" s="1665" t="str">
        <f t="shared" si="2259"/>
        <v>Maquinaria</v>
      </c>
      <c r="C3241" s="193">
        <f t="shared" si="2260"/>
        <v>0</v>
      </c>
      <c r="D3241" s="193"/>
      <c r="E3241" s="1600"/>
    </row>
    <row r="3242" spans="2:5" ht="13.75" hidden="1" customHeight="1" x14ac:dyDescent="0.2">
      <c r="B3242" s="1665">
        <f t="shared" si="2259"/>
        <v>0</v>
      </c>
      <c r="C3242" s="193">
        <f t="shared" si="2260"/>
        <v>0</v>
      </c>
      <c r="D3242" s="193"/>
      <c r="E3242" s="1600"/>
    </row>
    <row r="3243" spans="2:5" ht="13.75" hidden="1" customHeight="1" x14ac:dyDescent="0.2">
      <c r="B3243" s="1665" t="str">
        <f t="shared" si="2259"/>
        <v xml:space="preserve">Verdeos de Invierno </v>
      </c>
      <c r="C3243" s="193">
        <f t="shared" si="2260"/>
        <v>0</v>
      </c>
      <c r="D3243" s="193"/>
      <c r="E3243" s="1600"/>
    </row>
    <row r="3244" spans="2:5" ht="13.75" hidden="1" customHeight="1" x14ac:dyDescent="0.2">
      <c r="B3244" s="1665" t="str">
        <f t="shared" si="2259"/>
        <v>Fertilizante</v>
      </c>
      <c r="C3244" s="193">
        <f t="shared" si="2260"/>
        <v>0</v>
      </c>
      <c r="D3244" s="193"/>
      <c r="E3244" s="1600"/>
    </row>
    <row r="3245" spans="2:5" ht="13.75" hidden="1" customHeight="1" x14ac:dyDescent="0.2">
      <c r="B3245" s="1665">
        <f t="shared" si="2259"/>
        <v>0</v>
      </c>
      <c r="C3245" s="193">
        <f t="shared" si="2260"/>
        <v>0</v>
      </c>
      <c r="D3245" s="193"/>
      <c r="E3245" s="1600"/>
    </row>
    <row r="3246" spans="2:5" ht="13.75" hidden="1" customHeight="1" x14ac:dyDescent="0.2">
      <c r="B3246" s="1665">
        <f t="shared" si="2259"/>
        <v>0</v>
      </c>
      <c r="C3246" s="193">
        <f t="shared" si="2260"/>
        <v>0</v>
      </c>
      <c r="D3246" s="193"/>
      <c r="E3246" s="1600"/>
    </row>
    <row r="3247" spans="2:5" ht="13.75" hidden="1" customHeight="1" x14ac:dyDescent="0.2">
      <c r="B3247" s="1665">
        <f t="shared" si="2259"/>
        <v>0</v>
      </c>
      <c r="C3247" s="193">
        <f t="shared" si="2260"/>
        <v>0</v>
      </c>
      <c r="D3247" s="193"/>
      <c r="E3247" s="1600"/>
    </row>
    <row r="3248" spans="2:5" ht="13.75" hidden="1" customHeight="1" x14ac:dyDescent="0.2">
      <c r="B3248" s="1665" t="str">
        <f t="shared" si="2259"/>
        <v>Sub total fertlizantes</v>
      </c>
      <c r="C3248" s="193">
        <f t="shared" si="2260"/>
        <v>0</v>
      </c>
      <c r="D3248" s="193"/>
      <c r="E3248" s="1600"/>
    </row>
    <row r="3249" spans="2:5" ht="13.75" hidden="1" customHeight="1" x14ac:dyDescent="0.2">
      <c r="B3249" s="1665" t="str">
        <f t="shared" si="2259"/>
        <v>Maquinaria</v>
      </c>
      <c r="C3249" s="193">
        <f t="shared" si="2260"/>
        <v>0</v>
      </c>
      <c r="D3249" s="193"/>
      <c r="E3249" s="1600"/>
    </row>
    <row r="3250" spans="2:5" ht="13.75" hidden="1" customHeight="1" x14ac:dyDescent="0.2">
      <c r="B3250" s="1665">
        <f t="shared" si="2259"/>
        <v>0</v>
      </c>
      <c r="C3250" s="193">
        <f t="shared" si="2260"/>
        <v>0</v>
      </c>
      <c r="D3250" s="193"/>
      <c r="E3250" s="1600"/>
    </row>
    <row r="3251" spans="2:5" ht="13.75" hidden="1" customHeight="1" x14ac:dyDescent="0.2">
      <c r="B3251" s="1665" t="str">
        <f t="shared" si="2259"/>
        <v>Verdeos de Verano</v>
      </c>
      <c r="C3251" s="193">
        <f t="shared" si="2260"/>
        <v>0</v>
      </c>
      <c r="D3251" s="193"/>
      <c r="E3251" s="1600"/>
    </row>
    <row r="3252" spans="2:5" ht="13.75" hidden="1" customHeight="1" x14ac:dyDescent="0.2">
      <c r="B3252" s="1665" t="str">
        <f t="shared" si="2259"/>
        <v>Fertilizante</v>
      </c>
      <c r="C3252" s="193">
        <f t="shared" si="2260"/>
        <v>0</v>
      </c>
      <c r="D3252" s="193"/>
      <c r="E3252" s="1600"/>
    </row>
    <row r="3253" spans="2:5" ht="13.75" hidden="1" customHeight="1" x14ac:dyDescent="0.2">
      <c r="B3253" s="1665">
        <f t="shared" si="2259"/>
        <v>0</v>
      </c>
      <c r="C3253" s="193">
        <f t="shared" si="2260"/>
        <v>0</v>
      </c>
      <c r="D3253" s="193"/>
      <c r="E3253" s="1600"/>
    </row>
    <row r="3254" spans="2:5" ht="13.75" hidden="1" customHeight="1" x14ac:dyDescent="0.2">
      <c r="B3254" s="1665">
        <f t="shared" si="2259"/>
        <v>0</v>
      </c>
      <c r="C3254" s="193">
        <f t="shared" si="2260"/>
        <v>0</v>
      </c>
      <c r="D3254" s="193"/>
      <c r="E3254" s="1600"/>
    </row>
    <row r="3255" spans="2:5" ht="13.75" hidden="1" customHeight="1" x14ac:dyDescent="0.2">
      <c r="B3255" s="1665">
        <f t="shared" si="2259"/>
        <v>0</v>
      </c>
      <c r="C3255" s="193">
        <f t="shared" si="2260"/>
        <v>0</v>
      </c>
      <c r="D3255" s="193"/>
      <c r="E3255" s="1600"/>
    </row>
    <row r="3256" spans="2:5" ht="13.75" hidden="1" customHeight="1" x14ac:dyDescent="0.2">
      <c r="B3256" s="1665" t="str">
        <f t="shared" si="2259"/>
        <v>Sub total fertlizantes</v>
      </c>
      <c r="C3256" s="193">
        <f t="shared" si="2260"/>
        <v>0</v>
      </c>
      <c r="D3256" s="193"/>
      <c r="E3256" s="1600"/>
    </row>
    <row r="3257" spans="2:5" ht="13.75" hidden="1" customHeight="1" x14ac:dyDescent="0.2">
      <c r="B3257" s="1665" t="str">
        <f t="shared" si="2259"/>
        <v>Maquinaria</v>
      </c>
      <c r="C3257" s="193">
        <f t="shared" si="2260"/>
        <v>0</v>
      </c>
      <c r="D3257" s="193"/>
      <c r="E3257" s="1600"/>
    </row>
    <row r="3258" spans="2:5" ht="13.75" hidden="1" customHeight="1" x14ac:dyDescent="0.2">
      <c r="B3258" s="1665">
        <f t="shared" si="2259"/>
        <v>0</v>
      </c>
      <c r="C3258" s="193">
        <f t="shared" si="2260"/>
        <v>0</v>
      </c>
      <c r="D3258" s="193"/>
      <c r="E3258" s="1600"/>
    </row>
    <row r="3259" spans="2:5" ht="13.75" hidden="1" customHeight="1" x14ac:dyDescent="0.2">
      <c r="B3259" s="1665" t="str">
        <f t="shared" si="2259"/>
        <v xml:space="preserve">Reservas de Invierno </v>
      </c>
      <c r="C3259" s="193">
        <f t="shared" si="2260"/>
        <v>0</v>
      </c>
      <c r="D3259" s="193"/>
      <c r="E3259" s="1600"/>
    </row>
    <row r="3260" spans="2:5" ht="13.75" hidden="1" customHeight="1" x14ac:dyDescent="0.2">
      <c r="B3260" s="1665" t="str">
        <f t="shared" si="2259"/>
        <v>Fertilizante</v>
      </c>
      <c r="C3260" s="193">
        <f t="shared" si="2260"/>
        <v>0</v>
      </c>
      <c r="D3260" s="193"/>
      <c r="E3260" s="1600"/>
    </row>
    <row r="3261" spans="2:5" ht="13.75" hidden="1" customHeight="1" x14ac:dyDescent="0.2">
      <c r="B3261" s="1665">
        <f t="shared" si="2259"/>
        <v>0</v>
      </c>
      <c r="C3261" s="193">
        <f t="shared" si="2260"/>
        <v>0</v>
      </c>
      <c r="D3261" s="193"/>
      <c r="E3261" s="1600"/>
    </row>
    <row r="3262" spans="2:5" ht="13.75" hidden="1" customHeight="1" x14ac:dyDescent="0.2">
      <c r="B3262" s="1665">
        <f t="shared" si="2259"/>
        <v>0</v>
      </c>
      <c r="C3262" s="193">
        <f t="shared" si="2260"/>
        <v>0</v>
      </c>
      <c r="D3262" s="193"/>
      <c r="E3262" s="1600"/>
    </row>
    <row r="3263" spans="2:5" ht="13.75" hidden="1" customHeight="1" x14ac:dyDescent="0.2">
      <c r="B3263" s="1665">
        <f t="shared" si="2259"/>
        <v>0</v>
      </c>
      <c r="C3263" s="193">
        <f t="shared" si="2260"/>
        <v>0</v>
      </c>
      <c r="D3263" s="193"/>
      <c r="E3263" s="1600"/>
    </row>
    <row r="3264" spans="2:5" ht="13.75" hidden="1" customHeight="1" x14ac:dyDescent="0.2">
      <c r="B3264" s="1665" t="str">
        <f t="shared" si="2259"/>
        <v>Sub total fertlizantes</v>
      </c>
      <c r="C3264" s="193">
        <f t="shared" si="2260"/>
        <v>0</v>
      </c>
      <c r="D3264" s="193"/>
      <c r="E3264" s="1600"/>
    </row>
    <row r="3265" spans="2:5" ht="13.75" hidden="1" customHeight="1" x14ac:dyDescent="0.2">
      <c r="B3265" s="1665" t="str">
        <f t="shared" si="2259"/>
        <v>Maquinaria</v>
      </c>
      <c r="C3265" s="193">
        <f t="shared" si="2260"/>
        <v>0</v>
      </c>
      <c r="D3265" s="193"/>
      <c r="E3265" s="1600"/>
    </row>
    <row r="3266" spans="2:5" ht="13.75" hidden="1" customHeight="1" x14ac:dyDescent="0.2">
      <c r="B3266" s="1665" t="str">
        <f t="shared" si="2259"/>
        <v>Fertilizar - Propia</v>
      </c>
      <c r="C3266" s="193">
        <f t="shared" si="2260"/>
        <v>0</v>
      </c>
      <c r="D3266" s="193"/>
      <c r="E3266" s="1600"/>
    </row>
    <row r="3267" spans="2:5" ht="13.75" hidden="1" customHeight="1" x14ac:dyDescent="0.2">
      <c r="B3267" s="1665" t="str">
        <f t="shared" si="2259"/>
        <v>Reservas de Verano</v>
      </c>
      <c r="C3267" s="193">
        <f t="shared" si="2260"/>
        <v>0</v>
      </c>
      <c r="D3267" s="193"/>
      <c r="E3267" s="1600"/>
    </row>
    <row r="3268" spans="2:5" ht="13.75" hidden="1" customHeight="1" x14ac:dyDescent="0.2">
      <c r="B3268" s="1665" t="str">
        <f t="shared" si="2259"/>
        <v>Fertilizante</v>
      </c>
      <c r="C3268" s="193">
        <f t="shared" si="2260"/>
        <v>0</v>
      </c>
      <c r="D3268" s="193"/>
      <c r="E3268" s="1600"/>
    </row>
    <row r="3269" spans="2:5" ht="13.75" hidden="1" customHeight="1" x14ac:dyDescent="0.2">
      <c r="B3269" s="1665">
        <f t="shared" si="2259"/>
        <v>0</v>
      </c>
      <c r="C3269" s="193">
        <f t="shared" si="2260"/>
        <v>0</v>
      </c>
      <c r="D3269" s="193"/>
      <c r="E3269" s="1600"/>
    </row>
    <row r="3270" spans="2:5" ht="13.75" hidden="1" customHeight="1" x14ac:dyDescent="0.2">
      <c r="B3270" s="1665">
        <f t="shared" si="2259"/>
        <v>0</v>
      </c>
      <c r="C3270" s="193">
        <f t="shared" si="2260"/>
        <v>0</v>
      </c>
      <c r="D3270" s="193"/>
      <c r="E3270" s="1600"/>
    </row>
    <row r="3271" spans="2:5" ht="13.75" hidden="1" customHeight="1" x14ac:dyDescent="0.2">
      <c r="B3271" s="1665">
        <f t="shared" si="2259"/>
        <v>0</v>
      </c>
      <c r="C3271" s="193">
        <f t="shared" si="2260"/>
        <v>0</v>
      </c>
      <c r="D3271" s="193"/>
      <c r="E3271" s="1600"/>
    </row>
    <row r="3272" spans="2:5" ht="13.75" hidden="1" customHeight="1" x14ac:dyDescent="0.2">
      <c r="B3272" s="1665" t="str">
        <f t="shared" si="2259"/>
        <v>Sub total fertlizantes</v>
      </c>
      <c r="C3272" s="193">
        <f t="shared" si="2260"/>
        <v>0</v>
      </c>
      <c r="D3272" s="193"/>
      <c r="E3272" s="1600"/>
    </row>
    <row r="3273" spans="2:5" ht="13.75" hidden="1" customHeight="1" x14ac:dyDescent="0.2">
      <c r="B3273" s="1665" t="str">
        <f t="shared" si="2259"/>
        <v>Maquinaria</v>
      </c>
      <c r="C3273" s="193">
        <f t="shared" si="2260"/>
        <v>0</v>
      </c>
      <c r="D3273" s="193"/>
      <c r="E3273" s="1600"/>
    </row>
    <row r="3274" spans="2:5" ht="13.75" hidden="1" customHeight="1" x14ac:dyDescent="0.2">
      <c r="B3274" s="1665">
        <f t="shared" si="2259"/>
        <v>0</v>
      </c>
      <c r="C3274" s="193">
        <f t="shared" si="2260"/>
        <v>0</v>
      </c>
      <c r="D3274" s="193"/>
      <c r="E3274" s="1600"/>
    </row>
    <row r="3275" spans="2:5" ht="13.75" hidden="1" customHeight="1" x14ac:dyDescent="0.2">
      <c r="B3275" s="1665" t="str">
        <f t="shared" si="2259"/>
        <v>COSTO REFERTILIZACIÓN ÁREA LECHERA, U$S</v>
      </c>
      <c r="C3275" s="193">
        <f t="shared" si="2260"/>
        <v>0</v>
      </c>
      <c r="D3275" s="193"/>
      <c r="E3275" s="1600"/>
    </row>
    <row r="3276" spans="2:5" ht="13.75" hidden="1" customHeight="1" x14ac:dyDescent="0.2">
      <c r="B3276" s="1665">
        <f t="shared" si="2259"/>
        <v>0</v>
      </c>
      <c r="C3276" s="193">
        <f t="shared" si="2260"/>
        <v>0</v>
      </c>
      <c r="D3276" s="193"/>
      <c r="E3276" s="1600"/>
    </row>
    <row r="3277" spans="2:5" ht="13.75" hidden="1" customHeight="1" x14ac:dyDescent="0.2">
      <c r="B3277" s="1665" t="str">
        <f t="shared" si="2259"/>
        <v>Área Ganadera</v>
      </c>
      <c r="C3277" s="193">
        <f t="shared" si="2260"/>
        <v>0</v>
      </c>
      <c r="D3277" s="193"/>
      <c r="E3277" s="1600"/>
    </row>
    <row r="3278" spans="2:5" ht="13.75" hidden="1" customHeight="1" x14ac:dyDescent="0.2">
      <c r="B3278" s="1665" t="str">
        <f t="shared" si="2259"/>
        <v>Pasturas</v>
      </c>
      <c r="C3278" s="193">
        <f t="shared" si="2260"/>
        <v>0</v>
      </c>
      <c r="D3278" s="193"/>
      <c r="E3278" s="1600"/>
    </row>
    <row r="3279" spans="2:5" ht="13.75" hidden="1" customHeight="1" x14ac:dyDescent="0.2">
      <c r="B3279" s="1665" t="str">
        <f t="shared" si="2259"/>
        <v>Fertilizante</v>
      </c>
      <c r="C3279" s="193">
        <f t="shared" si="2260"/>
        <v>0</v>
      </c>
      <c r="D3279" s="193"/>
      <c r="E3279" s="1600"/>
    </row>
    <row r="3280" spans="2:5" ht="13.75" hidden="1" customHeight="1" x14ac:dyDescent="0.2">
      <c r="B3280" s="1665">
        <f t="shared" si="2259"/>
        <v>0</v>
      </c>
      <c r="C3280" s="193">
        <f t="shared" si="2260"/>
        <v>0</v>
      </c>
      <c r="D3280" s="193"/>
      <c r="E3280" s="1600"/>
    </row>
    <row r="3281" spans="2:5" ht="13.75" hidden="1" customHeight="1" x14ac:dyDescent="0.2">
      <c r="B3281" s="1665">
        <f t="shared" si="2259"/>
        <v>0</v>
      </c>
      <c r="C3281" s="193">
        <f t="shared" si="2260"/>
        <v>0</v>
      </c>
      <c r="D3281" s="193"/>
      <c r="E3281" s="1600"/>
    </row>
    <row r="3282" spans="2:5" ht="13.75" hidden="1" customHeight="1" x14ac:dyDescent="0.2">
      <c r="B3282" s="1665">
        <f t="shared" si="2259"/>
        <v>0</v>
      </c>
      <c r="C3282" s="193">
        <f t="shared" si="2260"/>
        <v>0</v>
      </c>
      <c r="D3282" s="193"/>
      <c r="E3282" s="1600"/>
    </row>
    <row r="3283" spans="2:5" ht="13.75" hidden="1" customHeight="1" x14ac:dyDescent="0.2">
      <c r="B3283" s="1665" t="str">
        <f t="shared" si="2259"/>
        <v>Sub total fertlizantes</v>
      </c>
      <c r="C3283" s="193">
        <f t="shared" si="2260"/>
        <v>0</v>
      </c>
      <c r="D3283" s="193"/>
      <c r="E3283" s="1600"/>
    </row>
    <row r="3284" spans="2:5" ht="13.75" hidden="1" customHeight="1" x14ac:dyDescent="0.2">
      <c r="B3284" s="1665" t="str">
        <f t="shared" si="2259"/>
        <v>Maquinaria</v>
      </c>
      <c r="C3284" s="193">
        <f t="shared" si="2260"/>
        <v>0</v>
      </c>
      <c r="D3284" s="193"/>
      <c r="E3284" s="1600"/>
    </row>
    <row r="3285" spans="2:5" ht="13.75" hidden="1" customHeight="1" x14ac:dyDescent="0.2">
      <c r="B3285" s="1665" t="str">
        <f t="shared" si="2259"/>
        <v>Fertilizar - Propia</v>
      </c>
      <c r="C3285" s="193">
        <f t="shared" si="2260"/>
        <v>0</v>
      </c>
      <c r="D3285" s="193"/>
      <c r="E3285" s="1600"/>
    </row>
    <row r="3286" spans="2:5" ht="13.75" hidden="1" customHeight="1" x14ac:dyDescent="0.2">
      <c r="B3286" s="1665" t="str">
        <f t="shared" si="2259"/>
        <v xml:space="preserve">Verdeos de Invierno </v>
      </c>
      <c r="C3286" s="193">
        <f t="shared" si="2260"/>
        <v>0</v>
      </c>
      <c r="D3286" s="193"/>
      <c r="E3286" s="1600"/>
    </row>
    <row r="3287" spans="2:5" ht="13.75" hidden="1" customHeight="1" x14ac:dyDescent="0.2">
      <c r="B3287" s="1665" t="str">
        <f t="shared" si="2259"/>
        <v>Fertilizante</v>
      </c>
      <c r="C3287" s="193">
        <f t="shared" si="2260"/>
        <v>0</v>
      </c>
      <c r="D3287" s="193"/>
      <c r="E3287" s="1600"/>
    </row>
    <row r="3288" spans="2:5" ht="13.75" hidden="1" customHeight="1" x14ac:dyDescent="0.2">
      <c r="B3288" s="1665">
        <f t="shared" si="2259"/>
        <v>0</v>
      </c>
      <c r="C3288" s="193">
        <f t="shared" si="2260"/>
        <v>0</v>
      </c>
      <c r="D3288" s="193"/>
      <c r="E3288" s="1600"/>
    </row>
    <row r="3289" spans="2:5" ht="13.75" hidden="1" customHeight="1" x14ac:dyDescent="0.2">
      <c r="B3289" s="1665">
        <f t="shared" si="2259"/>
        <v>0</v>
      </c>
      <c r="C3289" s="193">
        <f t="shared" si="2260"/>
        <v>0</v>
      </c>
      <c r="D3289" s="193"/>
      <c r="E3289" s="1600"/>
    </row>
    <row r="3290" spans="2:5" ht="13.75" hidden="1" customHeight="1" x14ac:dyDescent="0.2">
      <c r="B3290" s="1665">
        <f t="shared" si="2259"/>
        <v>0</v>
      </c>
      <c r="C3290" s="193">
        <f t="shared" si="2260"/>
        <v>0</v>
      </c>
      <c r="D3290" s="193"/>
      <c r="E3290" s="1600"/>
    </row>
    <row r="3291" spans="2:5" ht="13.75" hidden="1" customHeight="1" x14ac:dyDescent="0.2">
      <c r="B3291" s="1665" t="str">
        <f t="shared" si="2259"/>
        <v>Sub total fertlizantes</v>
      </c>
      <c r="C3291" s="193">
        <f t="shared" si="2260"/>
        <v>0</v>
      </c>
      <c r="D3291" s="193"/>
      <c r="E3291" s="1600"/>
    </row>
    <row r="3292" spans="2:5" ht="13.75" hidden="1" customHeight="1" x14ac:dyDescent="0.2">
      <c r="B3292" s="1665" t="str">
        <f t="shared" si="2259"/>
        <v>Maquinaria</v>
      </c>
      <c r="C3292" s="193">
        <f t="shared" si="2260"/>
        <v>0</v>
      </c>
      <c r="D3292" s="193"/>
      <c r="E3292" s="1600"/>
    </row>
    <row r="3293" spans="2:5" ht="13.75" hidden="1" customHeight="1" x14ac:dyDescent="0.2">
      <c r="B3293" s="1665" t="str">
        <f t="shared" si="2259"/>
        <v>Fertilizar - Propia</v>
      </c>
      <c r="C3293" s="193">
        <f t="shared" si="2260"/>
        <v>0</v>
      </c>
      <c r="D3293" s="193"/>
      <c r="E3293" s="1600"/>
    </row>
    <row r="3294" spans="2:5" ht="13.75" hidden="1" customHeight="1" x14ac:dyDescent="0.2">
      <c r="B3294" s="1665" t="str">
        <f t="shared" si="2259"/>
        <v>Verdeos de Verano</v>
      </c>
      <c r="C3294" s="193">
        <f t="shared" si="2260"/>
        <v>0</v>
      </c>
      <c r="D3294" s="193"/>
      <c r="E3294" s="1600"/>
    </row>
    <row r="3295" spans="2:5" ht="13.75" hidden="1" customHeight="1" x14ac:dyDescent="0.2">
      <c r="B3295" s="1665" t="str">
        <f t="shared" ref="B3295:B3317" si="2261">B609</f>
        <v>Fertilizante</v>
      </c>
      <c r="C3295" s="193">
        <f t="shared" ref="C3295:C3317" si="2262">U609</f>
        <v>0</v>
      </c>
      <c r="D3295" s="193"/>
      <c r="E3295" s="1600"/>
    </row>
    <row r="3296" spans="2:5" ht="13.75" hidden="1" customHeight="1" x14ac:dyDescent="0.2">
      <c r="B3296" s="1665">
        <f t="shared" si="2261"/>
        <v>0</v>
      </c>
      <c r="C3296" s="193">
        <f t="shared" si="2262"/>
        <v>0</v>
      </c>
      <c r="D3296" s="193"/>
      <c r="E3296" s="1600"/>
    </row>
    <row r="3297" spans="2:5" ht="13.75" hidden="1" customHeight="1" x14ac:dyDescent="0.2">
      <c r="B3297" s="1665">
        <f t="shared" si="2261"/>
        <v>0</v>
      </c>
      <c r="C3297" s="193">
        <f t="shared" si="2262"/>
        <v>0</v>
      </c>
      <c r="D3297" s="193"/>
      <c r="E3297" s="1600"/>
    </row>
    <row r="3298" spans="2:5" ht="13.75" hidden="1" customHeight="1" x14ac:dyDescent="0.2">
      <c r="B3298" s="1665">
        <f t="shared" si="2261"/>
        <v>0</v>
      </c>
      <c r="C3298" s="193">
        <f t="shared" si="2262"/>
        <v>0</v>
      </c>
      <c r="D3298" s="193"/>
      <c r="E3298" s="1600"/>
    </row>
    <row r="3299" spans="2:5" ht="13.75" hidden="1" customHeight="1" x14ac:dyDescent="0.2">
      <c r="B3299" s="1665" t="str">
        <f t="shared" si="2261"/>
        <v>Sub total fertlizantes</v>
      </c>
      <c r="C3299" s="193">
        <f t="shared" si="2262"/>
        <v>0</v>
      </c>
      <c r="D3299" s="193"/>
      <c r="E3299" s="1600"/>
    </row>
    <row r="3300" spans="2:5" ht="13.75" hidden="1" customHeight="1" x14ac:dyDescent="0.2">
      <c r="B3300" s="1665" t="str">
        <f t="shared" si="2261"/>
        <v>Maquinaria</v>
      </c>
      <c r="C3300" s="193">
        <f t="shared" si="2262"/>
        <v>0</v>
      </c>
      <c r="D3300" s="193"/>
      <c r="E3300" s="1600"/>
    </row>
    <row r="3301" spans="2:5" ht="13.75" hidden="1" customHeight="1" x14ac:dyDescent="0.2">
      <c r="B3301" s="1665">
        <f t="shared" si="2261"/>
        <v>0</v>
      </c>
      <c r="C3301" s="193">
        <f t="shared" si="2262"/>
        <v>0</v>
      </c>
      <c r="D3301" s="193"/>
      <c r="E3301" s="1600"/>
    </row>
    <row r="3302" spans="2:5" ht="13.75" hidden="1" customHeight="1" x14ac:dyDescent="0.2">
      <c r="B3302" s="1665" t="str">
        <f t="shared" si="2261"/>
        <v xml:space="preserve">Reservas de Invierno </v>
      </c>
      <c r="C3302" s="193">
        <f t="shared" si="2262"/>
        <v>0</v>
      </c>
      <c r="D3302" s="193"/>
      <c r="E3302" s="1600"/>
    </row>
    <row r="3303" spans="2:5" ht="13.75" hidden="1" customHeight="1" x14ac:dyDescent="0.2">
      <c r="B3303" s="1665" t="str">
        <f t="shared" si="2261"/>
        <v>Fertilizante</v>
      </c>
      <c r="C3303" s="193">
        <f t="shared" si="2262"/>
        <v>0</v>
      </c>
      <c r="D3303" s="193"/>
      <c r="E3303" s="1600"/>
    </row>
    <row r="3304" spans="2:5" ht="13.75" hidden="1" customHeight="1" x14ac:dyDescent="0.2">
      <c r="B3304" s="1665">
        <f t="shared" si="2261"/>
        <v>0</v>
      </c>
      <c r="C3304" s="193">
        <f t="shared" si="2262"/>
        <v>0</v>
      </c>
      <c r="D3304" s="193"/>
      <c r="E3304" s="1600"/>
    </row>
    <row r="3305" spans="2:5" ht="13.75" hidden="1" customHeight="1" x14ac:dyDescent="0.2">
      <c r="B3305" s="1665">
        <f t="shared" si="2261"/>
        <v>0</v>
      </c>
      <c r="C3305" s="193">
        <f t="shared" si="2262"/>
        <v>0</v>
      </c>
      <c r="D3305" s="193"/>
      <c r="E3305" s="1600"/>
    </row>
    <row r="3306" spans="2:5" ht="13.75" hidden="1" customHeight="1" x14ac:dyDescent="0.2">
      <c r="B3306" s="1665">
        <f t="shared" si="2261"/>
        <v>0</v>
      </c>
      <c r="C3306" s="193">
        <f t="shared" si="2262"/>
        <v>0</v>
      </c>
      <c r="D3306" s="193"/>
      <c r="E3306" s="1600"/>
    </row>
    <row r="3307" spans="2:5" ht="13.75" hidden="1" customHeight="1" x14ac:dyDescent="0.2">
      <c r="B3307" s="1665" t="str">
        <f t="shared" si="2261"/>
        <v>Sub total fertlizantes</v>
      </c>
      <c r="C3307" s="193">
        <f t="shared" si="2262"/>
        <v>0</v>
      </c>
      <c r="D3307" s="193"/>
      <c r="E3307" s="1600"/>
    </row>
    <row r="3308" spans="2:5" ht="13.75" hidden="1" customHeight="1" x14ac:dyDescent="0.2">
      <c r="B3308" s="1665" t="str">
        <f t="shared" si="2261"/>
        <v>Maquinaria</v>
      </c>
      <c r="C3308" s="193">
        <f t="shared" si="2262"/>
        <v>0</v>
      </c>
      <c r="D3308" s="193"/>
      <c r="E3308" s="1600"/>
    </row>
    <row r="3309" spans="2:5" ht="13.75" hidden="1" customHeight="1" x14ac:dyDescent="0.2">
      <c r="B3309" s="1665" t="str">
        <f t="shared" si="2261"/>
        <v>Fertilizar - Propia</v>
      </c>
      <c r="C3309" s="193">
        <f t="shared" si="2262"/>
        <v>0</v>
      </c>
      <c r="D3309" s="193"/>
      <c r="E3309" s="1600"/>
    </row>
    <row r="3310" spans="2:5" ht="13.75" hidden="1" customHeight="1" x14ac:dyDescent="0.2">
      <c r="B3310" s="1665" t="str">
        <f t="shared" si="2261"/>
        <v>Reservas de Verano</v>
      </c>
      <c r="C3310" s="193">
        <f t="shared" si="2262"/>
        <v>0</v>
      </c>
      <c r="D3310" s="193"/>
      <c r="E3310" s="1600"/>
    </row>
    <row r="3311" spans="2:5" ht="13.75" hidden="1" customHeight="1" x14ac:dyDescent="0.2">
      <c r="B3311" s="1665" t="str">
        <f t="shared" si="2261"/>
        <v>Fertilizante</v>
      </c>
      <c r="C3311" s="193">
        <f t="shared" si="2262"/>
        <v>0</v>
      </c>
      <c r="D3311" s="193"/>
      <c r="E3311" s="1600"/>
    </row>
    <row r="3312" spans="2:5" ht="13.75" hidden="1" customHeight="1" x14ac:dyDescent="0.2">
      <c r="B3312" s="1665">
        <f t="shared" si="2261"/>
        <v>0</v>
      </c>
      <c r="C3312" s="193">
        <f t="shared" si="2262"/>
        <v>0</v>
      </c>
      <c r="D3312" s="193"/>
      <c r="E3312" s="1600"/>
    </row>
    <row r="3313" spans="2:5" ht="13.75" hidden="1" customHeight="1" x14ac:dyDescent="0.2">
      <c r="B3313" s="1665">
        <f t="shared" si="2261"/>
        <v>0</v>
      </c>
      <c r="C3313" s="193">
        <f t="shared" si="2262"/>
        <v>0</v>
      </c>
      <c r="D3313" s="193"/>
      <c r="E3313" s="1600"/>
    </row>
    <row r="3314" spans="2:5" ht="13.75" hidden="1" customHeight="1" x14ac:dyDescent="0.2">
      <c r="B3314" s="1665">
        <f t="shared" si="2261"/>
        <v>0</v>
      </c>
      <c r="C3314" s="193">
        <f t="shared" si="2262"/>
        <v>0</v>
      </c>
      <c r="D3314" s="193"/>
      <c r="E3314" s="1600"/>
    </row>
    <row r="3315" spans="2:5" ht="13.75" hidden="1" customHeight="1" x14ac:dyDescent="0.2">
      <c r="B3315" s="1665" t="str">
        <f t="shared" si="2261"/>
        <v>Sub total fertlizantes</v>
      </c>
      <c r="C3315" s="193">
        <f t="shared" si="2262"/>
        <v>0</v>
      </c>
      <c r="D3315" s="193"/>
      <c r="E3315" s="1600"/>
    </row>
    <row r="3316" spans="2:5" ht="13.75" hidden="1" customHeight="1" x14ac:dyDescent="0.2">
      <c r="B3316" s="1665" t="str">
        <f t="shared" si="2261"/>
        <v>Maquinaria</v>
      </c>
      <c r="C3316" s="193">
        <f t="shared" si="2262"/>
        <v>0</v>
      </c>
      <c r="D3316" s="193"/>
      <c r="E3316" s="1600"/>
    </row>
    <row r="3317" spans="2:5" ht="14.4" hidden="1" customHeight="1" thickBot="1" x14ac:dyDescent="0.25">
      <c r="B3317" s="1666">
        <f t="shared" si="2261"/>
        <v>0</v>
      </c>
      <c r="C3317" s="1199">
        <f t="shared" si="2262"/>
        <v>0</v>
      </c>
      <c r="D3317" s="1199"/>
      <c r="E3317" s="1602"/>
    </row>
    <row r="3318" spans="2:5" ht="14.4" hidden="1" customHeight="1" thickTop="1" x14ac:dyDescent="0.2">
      <c r="B3318" s="373"/>
    </row>
    <row r="3319" spans="2:5" ht="13.75" hidden="1" customHeight="1" x14ac:dyDescent="0.2">
      <c r="B3319" s="373"/>
    </row>
    <row r="3320" spans="2:5" hidden="1" x14ac:dyDescent="0.2">
      <c r="B3320" s="373"/>
    </row>
    <row r="3321" spans="2:5" hidden="1" x14ac:dyDescent="0.2">
      <c r="B3321" s="373"/>
    </row>
    <row r="3322" spans="2:5" hidden="1" x14ac:dyDescent="0.2">
      <c r="B3322" s="373"/>
    </row>
    <row r="3323" spans="2:5" hidden="1" x14ac:dyDescent="0.2">
      <c r="B3323" s="373"/>
    </row>
    <row r="3324" spans="2:5" hidden="1" x14ac:dyDescent="0.2">
      <c r="B3324" s="373"/>
    </row>
    <row r="3325" spans="2:5" hidden="1" x14ac:dyDescent="0.2">
      <c r="B3325" s="373"/>
    </row>
    <row r="3326" spans="2:5" hidden="1" x14ac:dyDescent="0.2">
      <c r="B3326" s="373"/>
    </row>
    <row r="3327" spans="2:5" hidden="1" x14ac:dyDescent="0.2">
      <c r="B3327" s="373"/>
    </row>
    <row r="3328" spans="2:5" hidden="1" x14ac:dyDescent="0.2">
      <c r="B3328" s="373"/>
    </row>
    <row r="3329" spans="2:45" hidden="1" x14ac:dyDescent="0.2">
      <c r="B3329" s="373"/>
    </row>
    <row r="3330" spans="2:45" hidden="1" x14ac:dyDescent="0.2">
      <c r="B3330" s="373"/>
    </row>
    <row r="3331" spans="2:45" hidden="1" x14ac:dyDescent="0.2">
      <c r="B3331" s="373"/>
    </row>
    <row r="3332" spans="2:45" hidden="1" x14ac:dyDescent="0.2">
      <c r="B3332" s="373"/>
    </row>
    <row r="3333" spans="2:45" hidden="1" x14ac:dyDescent="0.2">
      <c r="B3333" s="373"/>
    </row>
    <row r="3334" spans="2:45" hidden="1" x14ac:dyDescent="0.2">
      <c r="B3334" s="373"/>
    </row>
    <row r="3335" spans="2:45" hidden="1" x14ac:dyDescent="0.2">
      <c r="Y3335" s="732"/>
      <c r="Z3335" s="422"/>
      <c r="AA3335" s="422"/>
      <c r="AB3335" s="422"/>
      <c r="AC3335" s="422"/>
      <c r="AD3335" s="422"/>
      <c r="AE3335" s="422"/>
      <c r="AF3335" s="422"/>
      <c r="AG3335" s="422"/>
      <c r="AH3335" s="422"/>
      <c r="AI3335" s="422"/>
      <c r="AJ3335" s="422"/>
      <c r="AK3335" s="422"/>
      <c r="AL3335" s="422"/>
      <c r="AM3335" s="422"/>
      <c r="AN3335" s="422"/>
      <c r="AO3335" s="422"/>
      <c r="AP3335" s="422"/>
      <c r="AQ3335" s="422"/>
      <c r="AR3335" s="422"/>
      <c r="AS3335" s="254"/>
    </row>
    <row r="3336" spans="2:45" hidden="1" x14ac:dyDescent="0.2">
      <c r="Y3336" s="2140"/>
      <c r="Z3336" s="193"/>
      <c r="AA3336" s="193"/>
      <c r="AB3336" s="193"/>
      <c r="AC3336" s="193"/>
      <c r="AD3336" s="970"/>
      <c r="AE3336" s="254"/>
      <c r="AF3336" s="422"/>
      <c r="AG3336" s="422"/>
      <c r="AH3336" s="422"/>
      <c r="AI3336" s="422"/>
      <c r="AJ3336" s="422"/>
      <c r="AK3336" s="422"/>
      <c r="AL3336" s="422"/>
      <c r="AM3336" s="422"/>
      <c r="AN3336" s="422"/>
      <c r="AO3336" s="422"/>
      <c r="AP3336" s="422"/>
      <c r="AQ3336" s="422"/>
      <c r="AR3336" s="1509"/>
      <c r="AS3336" s="254"/>
    </row>
    <row r="3337" spans="2:45" hidden="1" x14ac:dyDescent="0.2">
      <c r="Y3337" s="2140"/>
      <c r="Z3337" s="439"/>
      <c r="AA3337" s="439"/>
      <c r="AB3337" s="439"/>
      <c r="AC3337" s="439"/>
      <c r="AD3337" s="439"/>
      <c r="AE3337" s="439"/>
      <c r="AF3337" s="767"/>
      <c r="AG3337" s="767"/>
      <c r="AH3337" s="767"/>
      <c r="AI3337" s="767"/>
      <c r="AJ3337" s="767"/>
      <c r="AK3337" s="767"/>
      <c r="AL3337" s="767"/>
      <c r="AM3337" s="767"/>
      <c r="AN3337" s="767"/>
      <c r="AO3337" s="767"/>
      <c r="AP3337" s="767"/>
      <c r="AQ3337" s="767"/>
      <c r="AR3337" s="767"/>
      <c r="AS3337" s="254"/>
    </row>
    <row r="3338" spans="2:45" hidden="1" x14ac:dyDescent="0.2">
      <c r="Y3338" s="732"/>
      <c r="Z3338" s="439"/>
      <c r="AA3338" s="439"/>
      <c r="AB3338" s="439"/>
      <c r="AC3338" s="439"/>
      <c r="AD3338" s="439"/>
      <c r="AE3338" s="372"/>
      <c r="AF3338" s="592"/>
      <c r="AG3338" s="591"/>
      <c r="AH3338" s="591"/>
      <c r="AI3338" s="591"/>
      <c r="AJ3338" s="591"/>
      <c r="AK3338" s="592"/>
      <c r="AL3338" s="592"/>
      <c r="AM3338" s="592"/>
      <c r="AN3338" s="592"/>
      <c r="AO3338" s="592"/>
      <c r="AP3338" s="592"/>
      <c r="AQ3338" s="592"/>
      <c r="AR3338" s="439"/>
      <c r="AS3338" s="254"/>
    </row>
    <row r="3339" spans="2:45" hidden="1" x14ac:dyDescent="0.2">
      <c r="Y3339" s="732"/>
      <c r="Z3339" s="439"/>
      <c r="AA3339" s="439"/>
      <c r="AB3339" s="439"/>
      <c r="AC3339" s="439"/>
      <c r="AD3339" s="439"/>
      <c r="AE3339" s="372"/>
      <c r="AF3339" s="591"/>
      <c r="AG3339" s="591"/>
      <c r="AH3339" s="591"/>
      <c r="AI3339" s="591"/>
      <c r="AJ3339" s="592"/>
      <c r="AK3339" s="592"/>
      <c r="AL3339" s="592"/>
      <c r="AM3339" s="592"/>
      <c r="AN3339" s="592"/>
      <c r="AO3339" s="592"/>
      <c r="AP3339" s="592"/>
      <c r="AQ3339" s="592"/>
      <c r="AR3339" s="1509"/>
      <c r="AS3339" s="254"/>
    </row>
    <row r="3340" spans="2:45" hidden="1" x14ac:dyDescent="0.3">
      <c r="Y3340" s="1562"/>
      <c r="Z3340" s="425"/>
      <c r="AA3340" s="425"/>
      <c r="AB3340" s="425"/>
      <c r="AC3340" s="425"/>
      <c r="AD3340" s="425"/>
      <c r="AE3340" s="425"/>
      <c r="AF3340" s="425"/>
      <c r="AG3340" s="425"/>
      <c r="AH3340" s="425"/>
      <c r="AI3340" s="425"/>
      <c r="AJ3340" s="425"/>
      <c r="AK3340" s="425"/>
      <c r="AL3340" s="425"/>
      <c r="AM3340" s="425"/>
      <c r="AN3340" s="425"/>
      <c r="AO3340" s="425"/>
      <c r="AP3340" s="425"/>
      <c r="AQ3340" s="425"/>
      <c r="AR3340" s="436"/>
      <c r="AS3340" s="254"/>
    </row>
    <row r="3341" spans="2:45" hidden="1" x14ac:dyDescent="0.3">
      <c r="Y3341" s="1562"/>
      <c r="Z3341" s="425"/>
      <c r="AA3341" s="425"/>
      <c r="AB3341" s="425"/>
      <c r="AC3341" s="425"/>
      <c r="AD3341" s="425"/>
      <c r="AE3341" s="425"/>
      <c r="AF3341" s="425"/>
      <c r="AG3341" s="425"/>
      <c r="AH3341" s="425"/>
      <c r="AI3341" s="425"/>
      <c r="AJ3341" s="425"/>
      <c r="AK3341" s="425"/>
      <c r="AL3341" s="425"/>
      <c r="AM3341" s="425"/>
      <c r="AN3341" s="425"/>
      <c r="AO3341" s="425"/>
      <c r="AP3341" s="425"/>
      <c r="AQ3341" s="425"/>
      <c r="AR3341" s="436"/>
      <c r="AS3341" s="254"/>
    </row>
    <row r="3342" spans="2:45" hidden="1" x14ac:dyDescent="0.3">
      <c r="Y3342" s="879"/>
      <c r="Z3342" s="425"/>
      <c r="AA3342" s="425"/>
      <c r="AB3342" s="425"/>
      <c r="AC3342" s="425"/>
      <c r="AD3342" s="425"/>
      <c r="AE3342" s="438"/>
      <c r="AF3342" s="439"/>
      <c r="AG3342" s="439"/>
      <c r="AH3342" s="439"/>
      <c r="AI3342" s="439"/>
      <c r="AJ3342" s="439"/>
      <c r="AK3342" s="439"/>
      <c r="AL3342" s="439"/>
      <c r="AM3342" s="439"/>
      <c r="AN3342" s="439"/>
      <c r="AO3342" s="439"/>
      <c r="AP3342" s="439"/>
      <c r="AQ3342" s="439"/>
      <c r="AR3342" s="439"/>
      <c r="AS3342" s="254"/>
    </row>
    <row r="3343" spans="2:45" hidden="1" x14ac:dyDescent="0.2">
      <c r="Y3343" s="732"/>
      <c r="Z3343" s="438"/>
      <c r="AA3343" s="438"/>
      <c r="AB3343" s="439"/>
      <c r="AC3343" s="439"/>
      <c r="AD3343" s="439"/>
      <c r="AE3343" s="438"/>
      <c r="AF3343" s="438"/>
      <c r="AG3343" s="438"/>
      <c r="AH3343" s="438"/>
      <c r="AI3343" s="438"/>
      <c r="AJ3343" s="438"/>
      <c r="AK3343" s="438"/>
      <c r="AL3343" s="438"/>
      <c r="AM3343" s="438"/>
      <c r="AN3343" s="438"/>
      <c r="AO3343" s="438"/>
      <c r="AP3343" s="438"/>
      <c r="AQ3343" s="438"/>
      <c r="AR3343" s="438"/>
      <c r="AS3343" s="254"/>
    </row>
    <row r="3344" spans="2:45" hidden="1" x14ac:dyDescent="0.3">
      <c r="Y3344" s="1562"/>
      <c r="Z3344" s="425"/>
      <c r="AA3344" s="425"/>
      <c r="AB3344" s="425"/>
      <c r="AC3344" s="878"/>
      <c r="AD3344" s="425"/>
      <c r="AE3344" s="425"/>
      <c r="AF3344" s="425"/>
      <c r="AG3344" s="425"/>
      <c r="AH3344" s="425"/>
      <c r="AI3344" s="425"/>
      <c r="AJ3344" s="425"/>
      <c r="AK3344" s="425"/>
      <c r="AL3344" s="425"/>
      <c r="AM3344" s="425"/>
      <c r="AN3344" s="425"/>
      <c r="AO3344" s="425"/>
      <c r="AP3344" s="425"/>
      <c r="AQ3344" s="425"/>
      <c r="AR3344" s="436"/>
      <c r="AS3344" s="254"/>
    </row>
    <row r="3345" spans="25:45" hidden="1" x14ac:dyDescent="0.3">
      <c r="Y3345" s="1562"/>
      <c r="Z3345" s="425"/>
      <c r="AA3345" s="425"/>
      <c r="AB3345" s="425"/>
      <c r="AC3345" s="878"/>
      <c r="AD3345" s="425"/>
      <c r="AE3345" s="425"/>
      <c r="AF3345" s="425"/>
      <c r="AG3345" s="425"/>
      <c r="AH3345" s="425"/>
      <c r="AI3345" s="425"/>
      <c r="AJ3345" s="425"/>
      <c r="AK3345" s="425"/>
      <c r="AL3345" s="425"/>
      <c r="AM3345" s="425"/>
      <c r="AN3345" s="425"/>
      <c r="AO3345" s="425"/>
      <c r="AP3345" s="425"/>
      <c r="AQ3345" s="425"/>
      <c r="AR3345" s="436"/>
      <c r="AS3345" s="254"/>
    </row>
    <row r="3346" spans="25:45" hidden="1" x14ac:dyDescent="0.3">
      <c r="Y3346" s="879"/>
      <c r="Z3346" s="425"/>
      <c r="AA3346" s="425"/>
      <c r="AB3346" s="425"/>
      <c r="AC3346" s="425"/>
      <c r="AD3346" s="425"/>
      <c r="AE3346" s="438"/>
      <c r="AF3346" s="439"/>
      <c r="AG3346" s="439"/>
      <c r="AH3346" s="439"/>
      <c r="AI3346" s="439"/>
      <c r="AJ3346" s="439"/>
      <c r="AK3346" s="439"/>
      <c r="AL3346" s="439"/>
      <c r="AM3346" s="439"/>
      <c r="AN3346" s="439"/>
      <c r="AO3346" s="439"/>
      <c r="AP3346" s="439"/>
      <c r="AQ3346" s="439"/>
      <c r="AR3346" s="439"/>
      <c r="AS3346" s="254"/>
    </row>
    <row r="3347" spans="25:45" hidden="1" x14ac:dyDescent="0.2">
      <c r="Y3347" s="732"/>
      <c r="Z3347" s="438"/>
      <c r="AA3347" s="438"/>
      <c r="AB3347" s="439"/>
      <c r="AC3347" s="2141"/>
      <c r="AD3347" s="439"/>
      <c r="AE3347" s="438"/>
      <c r="AF3347" s="438"/>
      <c r="AG3347" s="438"/>
      <c r="AH3347" s="438"/>
      <c r="AI3347" s="438"/>
      <c r="AJ3347" s="438"/>
      <c r="AK3347" s="438"/>
      <c r="AL3347" s="438"/>
      <c r="AM3347" s="438"/>
      <c r="AN3347" s="438"/>
      <c r="AO3347" s="438"/>
      <c r="AP3347" s="438"/>
      <c r="AQ3347" s="438"/>
      <c r="AR3347" s="438"/>
      <c r="AS3347" s="254"/>
    </row>
    <row r="3348" spans="25:45" x14ac:dyDescent="0.3">
      <c r="Y3348" s="1562"/>
      <c r="Z3348" s="425"/>
      <c r="AA3348" s="425"/>
      <c r="AB3348" s="425"/>
      <c r="AC3348" s="2142"/>
      <c r="AD3348" s="425"/>
      <c r="AE3348" s="425"/>
      <c r="AF3348" s="425"/>
      <c r="AG3348" s="425"/>
      <c r="AH3348" s="425"/>
      <c r="AI3348" s="425"/>
      <c r="AJ3348" s="425"/>
      <c r="AK3348" s="425"/>
      <c r="AL3348" s="425"/>
      <c r="AM3348" s="425"/>
      <c r="AN3348" s="425"/>
      <c r="AO3348" s="425"/>
      <c r="AP3348" s="425"/>
      <c r="AQ3348" s="425"/>
      <c r="AR3348" s="436"/>
      <c r="AS3348" s="254"/>
    </row>
    <row r="3349" spans="25:45" x14ac:dyDescent="0.3">
      <c r="Y3349" s="1562"/>
      <c r="Z3349" s="425"/>
      <c r="AA3349" s="425"/>
      <c r="AB3349" s="425"/>
      <c r="AC3349" s="2142"/>
      <c r="AD3349" s="425"/>
      <c r="AE3349" s="425"/>
      <c r="AF3349" s="425"/>
      <c r="AG3349" s="425"/>
      <c r="AH3349" s="425"/>
      <c r="AI3349" s="425"/>
      <c r="AJ3349" s="425"/>
      <c r="AK3349" s="425"/>
      <c r="AL3349" s="425"/>
      <c r="AM3349" s="425"/>
      <c r="AN3349" s="425"/>
      <c r="AO3349" s="425"/>
      <c r="AP3349" s="425"/>
      <c r="AQ3349" s="425"/>
      <c r="AR3349" s="436"/>
      <c r="AS3349" s="254"/>
    </row>
    <row r="3350" spans="25:45" x14ac:dyDescent="0.3">
      <c r="Y3350" s="879"/>
      <c r="Z3350" s="425"/>
      <c r="AA3350" s="425"/>
      <c r="AB3350" s="425"/>
      <c r="AC3350" s="425"/>
      <c r="AD3350" s="425"/>
      <c r="AE3350" s="438"/>
      <c r="AF3350" s="439"/>
      <c r="AG3350" s="439"/>
      <c r="AH3350" s="439"/>
      <c r="AI3350" s="439"/>
      <c r="AJ3350" s="439"/>
      <c r="AK3350" s="439"/>
      <c r="AL3350" s="439"/>
      <c r="AM3350" s="439"/>
      <c r="AN3350" s="439"/>
      <c r="AO3350" s="439"/>
      <c r="AP3350" s="439"/>
      <c r="AQ3350" s="439"/>
      <c r="AR3350" s="439"/>
      <c r="AS3350" s="254"/>
    </row>
    <row r="3351" spans="25:45" x14ac:dyDescent="0.2">
      <c r="Y3351" s="732"/>
      <c r="Z3351" s="438"/>
      <c r="AA3351" s="438"/>
      <c r="AB3351" s="439"/>
      <c r="AC3351" s="2141"/>
      <c r="AD3351" s="439"/>
      <c r="AE3351" s="438"/>
      <c r="AF3351" s="438"/>
      <c r="AG3351" s="438"/>
      <c r="AH3351" s="438"/>
      <c r="AI3351" s="438"/>
      <c r="AJ3351" s="438"/>
      <c r="AK3351" s="438"/>
      <c r="AL3351" s="438"/>
      <c r="AM3351" s="438"/>
      <c r="AN3351" s="438"/>
      <c r="AO3351" s="438"/>
      <c r="AP3351" s="438"/>
      <c r="AQ3351" s="438"/>
      <c r="AR3351" s="438"/>
      <c r="AS3351" s="254"/>
    </row>
    <row r="3352" spans="25:45" x14ac:dyDescent="0.3">
      <c r="Y3352" s="1562"/>
      <c r="Z3352" s="425"/>
      <c r="AA3352" s="425"/>
      <c r="AB3352" s="425"/>
      <c r="AC3352" s="2143"/>
      <c r="AD3352" s="425"/>
      <c r="AE3352" s="425"/>
      <c r="AF3352" s="425"/>
      <c r="AG3352" s="425"/>
      <c r="AH3352" s="425"/>
      <c r="AI3352" s="425"/>
      <c r="AJ3352" s="425"/>
      <c r="AK3352" s="425"/>
      <c r="AL3352" s="425"/>
      <c r="AM3352" s="425"/>
      <c r="AN3352" s="425"/>
      <c r="AO3352" s="425"/>
      <c r="AP3352" s="425"/>
      <c r="AQ3352" s="425"/>
      <c r="AR3352" s="436"/>
      <c r="AS3352" s="254"/>
    </row>
    <row r="3353" spans="25:45" x14ac:dyDescent="0.3">
      <c r="Y3353" s="1562"/>
      <c r="Z3353" s="425"/>
      <c r="AA3353" s="425"/>
      <c r="AB3353" s="425"/>
      <c r="AC3353" s="2143"/>
      <c r="AD3353" s="425"/>
      <c r="AE3353" s="425"/>
      <c r="AF3353" s="425"/>
      <c r="AG3353" s="425"/>
      <c r="AH3353" s="425"/>
      <c r="AI3353" s="425"/>
      <c r="AJ3353" s="425"/>
      <c r="AK3353" s="425"/>
      <c r="AL3353" s="425"/>
      <c r="AM3353" s="425"/>
      <c r="AN3353" s="425"/>
      <c r="AO3353" s="425"/>
      <c r="AP3353" s="425"/>
      <c r="AQ3353" s="425"/>
      <c r="AR3353" s="436"/>
      <c r="AS3353" s="254"/>
    </row>
    <row r="3354" spans="25:45" x14ac:dyDescent="0.3">
      <c r="Y3354" s="1562"/>
      <c r="Z3354" s="425"/>
      <c r="AA3354" s="425"/>
      <c r="AB3354" s="425"/>
      <c r="AC3354" s="2143"/>
      <c r="AD3354" s="425"/>
      <c r="AE3354" s="425"/>
      <c r="AF3354" s="425"/>
      <c r="AG3354" s="439"/>
      <c r="AH3354" s="439"/>
      <c r="AI3354" s="439"/>
      <c r="AJ3354" s="439"/>
      <c r="AK3354" s="439"/>
      <c r="AL3354" s="439"/>
      <c r="AM3354" s="439"/>
      <c r="AN3354" s="439"/>
      <c r="AO3354" s="439"/>
      <c r="AP3354" s="425"/>
      <c r="AQ3354" s="425"/>
      <c r="AR3354" s="436"/>
      <c r="AS3354" s="254"/>
    </row>
    <row r="3355" spans="25:45" x14ac:dyDescent="0.3">
      <c r="Y3355" s="879"/>
      <c r="Z3355" s="425"/>
      <c r="AA3355" s="425"/>
      <c r="AB3355" s="425"/>
      <c r="AC3355" s="425"/>
      <c r="AD3355" s="425"/>
      <c r="AE3355" s="438"/>
      <c r="AF3355" s="439"/>
      <c r="AG3355" s="439"/>
      <c r="AH3355" s="439"/>
      <c r="AI3355" s="439"/>
      <c r="AJ3355" s="439"/>
      <c r="AK3355" s="439"/>
      <c r="AL3355" s="439"/>
      <c r="AM3355" s="439"/>
      <c r="AN3355" s="439"/>
      <c r="AO3355" s="439"/>
      <c r="AP3355" s="439"/>
      <c r="AQ3355" s="439"/>
      <c r="AR3355" s="439"/>
      <c r="AS3355" s="254"/>
    </row>
    <row r="3356" spans="25:45" x14ac:dyDescent="0.2">
      <c r="Y3356" s="2144"/>
      <c r="Z3356" s="2140"/>
      <c r="AA3356" s="2140"/>
      <c r="AB3356" s="767"/>
      <c r="AC3356" s="2145"/>
      <c r="AD3356" s="2146"/>
      <c r="AE3356" s="767"/>
      <c r="AF3356" s="767"/>
      <c r="AG3356" s="767"/>
      <c r="AH3356" s="767"/>
      <c r="AI3356" s="767"/>
      <c r="AJ3356" s="767"/>
      <c r="AK3356" s="767"/>
      <c r="AL3356" s="767"/>
      <c r="AM3356" s="767"/>
      <c r="AN3356" s="767"/>
      <c r="AO3356" s="767"/>
      <c r="AP3356" s="767"/>
      <c r="AQ3356" s="767"/>
      <c r="AR3356" s="767"/>
      <c r="AS3356" s="254"/>
    </row>
    <row r="3357" spans="25:45" x14ac:dyDescent="0.2">
      <c r="Y3357" s="254"/>
      <c r="Z3357" s="193"/>
      <c r="AA3357" s="193"/>
      <c r="AB3357" s="193"/>
      <c r="AC3357" s="193"/>
      <c r="AD3357" s="193"/>
      <c r="AE3357" s="193"/>
      <c r="AF3357" s="193"/>
      <c r="AG3357" s="193"/>
      <c r="AH3357" s="193"/>
      <c r="AI3357" s="193"/>
      <c r="AJ3357" s="193"/>
      <c r="AK3357" s="193"/>
      <c r="AL3357" s="193"/>
      <c r="AM3357" s="193"/>
      <c r="AN3357" s="193"/>
      <c r="AO3357" s="193"/>
      <c r="AP3357" s="193"/>
      <c r="AQ3357" s="193"/>
      <c r="AR3357" s="193"/>
      <c r="AS3357" s="254"/>
    </row>
    <row r="3358" spans="25:45" x14ac:dyDescent="0.2">
      <c r="Y3358" s="254"/>
      <c r="Z3358" s="193"/>
      <c r="AA3358" s="193"/>
      <c r="AB3358" s="193"/>
      <c r="AC3358" s="193"/>
      <c r="AD3358" s="193"/>
      <c r="AE3358" s="193"/>
      <c r="AF3358" s="193"/>
      <c r="AG3358" s="193"/>
      <c r="AH3358" s="193"/>
      <c r="AI3358" s="193"/>
      <c r="AJ3358" s="193"/>
      <c r="AK3358" s="193"/>
      <c r="AL3358" s="193"/>
      <c r="AM3358" s="193"/>
      <c r="AN3358" s="193"/>
      <c r="AO3358" s="193"/>
      <c r="AP3358" s="193"/>
      <c r="AQ3358" s="193"/>
      <c r="AR3358" s="193"/>
      <c r="AS3358" s="254"/>
    </row>
  </sheetData>
  <sheetProtection algorithmName="SHA-512" hashValue="nsZeIi0m8QvTigEGeS0vmbYXErgKaiCtc7mfjPtkzvw7mMJbZE9h9v2sYpF3PKLqcnIk9sYfzVcW5EITwHqphw==" saltValue="Yo9WjuG3pFAxlOM1x0d2/g==" spinCount="100000" sheet="1" objects="1" scenarios="1"/>
  <mergeCells count="43">
    <mergeCell ref="K647:N647"/>
    <mergeCell ref="K649:N649"/>
    <mergeCell ref="K651:N651"/>
    <mergeCell ref="K653:N653"/>
    <mergeCell ref="Q637:T637"/>
    <mergeCell ref="Q639:T639"/>
    <mergeCell ref="Q641:T641"/>
    <mergeCell ref="Q643:T643"/>
    <mergeCell ref="Q645:T645"/>
    <mergeCell ref="Q647:T647"/>
    <mergeCell ref="Q649:T649"/>
    <mergeCell ref="Q651:T651"/>
    <mergeCell ref="Q653:T653"/>
    <mergeCell ref="E541:H541"/>
    <mergeCell ref="E543:H543"/>
    <mergeCell ref="E637:H637"/>
    <mergeCell ref="R1:U1"/>
    <mergeCell ref="AO1:AR1"/>
    <mergeCell ref="E535:H535"/>
    <mergeCell ref="E537:H537"/>
    <mergeCell ref="E539:H539"/>
    <mergeCell ref="D3:F3"/>
    <mergeCell ref="D4:F4"/>
    <mergeCell ref="J3:L3"/>
    <mergeCell ref="J4:L4"/>
    <mergeCell ref="O3:Q3"/>
    <mergeCell ref="O4:Q4"/>
    <mergeCell ref="E659:H659"/>
    <mergeCell ref="K637:N637"/>
    <mergeCell ref="E649:H649"/>
    <mergeCell ref="E651:H651"/>
    <mergeCell ref="E653:H653"/>
    <mergeCell ref="E655:H655"/>
    <mergeCell ref="E657:H657"/>
    <mergeCell ref="E639:H639"/>
    <mergeCell ref="E641:H641"/>
    <mergeCell ref="E643:H643"/>
    <mergeCell ref="E645:H645"/>
    <mergeCell ref="E647:H647"/>
    <mergeCell ref="K639:N639"/>
    <mergeCell ref="K641:N641"/>
    <mergeCell ref="K643:N643"/>
    <mergeCell ref="K645:N645"/>
  </mergeCells>
  <conditionalFormatting sqref="E40 AT7:XFD16 A7:B10 V9:AS10 V7:Y8 AS7:AS8 C41:G41 A890:A900 V924:XFD924 V947:XFD947 V970:XFD970 V993:XFD993 V1016:XFD1016 V1039:XFD1039 V1062:XFD1062 V1127:XFD1131 V1154:XFD1155 N5:XFD5 A39:B39 A13:A16 V39:AS39 AU39:XFD529 AT39:AT108 B13:F13 D14:F16 C22 D18 F18 A12:B12 V11:X16 AS11:AS16 Y3:XFD3 V4:XFD4 V3 O3 A5:K5 A3 C3:D3 A4:D4 V18:X18 AS18:XFD18 F20 D20 C24 C26 B14:B16 A18:B18 A853:XFD877 A668:U670 X635:XFD636 V662:V670 W667:W674 B675:U675 H673:U675 B674:G675 B680:U680 H678:U680 B679:G680 H683:U683 B684:U685 H688:U688 B689:U690 H700:U700 B701:U702 H705:U705 B706:U707 A673:A693 V675:XFD693 H693:U693 A694:XFD696 B712:U712 H710:U712 B711:G712 B717:U717 H715:U717 B716:G717 V698:XFD720 A699:A720 H720:U720 A721:XFD722 E535 E537 A544:XFD545 A548:A588 A42 C636 I636 J655 L655:XFD655 X661:XFD672 W661:W665 J3:J4 R3:S3 N883:T883 I883:L883 W1068:XFD1069 V1070:XFD1085 V1093:XFD1108 A878 C878:XFD878 V879:XFD901">
    <cfRule type="cellIs" dxfId="8678" priority="29483" operator="equal">
      <formula>0</formula>
    </cfRule>
  </conditionalFormatting>
  <conditionalFormatting sqref="I776:T776 F668:U670 C668:D670 F673:U675 C673:D675 F678:U680 C678:D680 F683:U685 C683:D685 F688:U690 C688:D690 F700:U702 C700:D702 F705:U707 C705:D707 F693:U696 D693 C694:D696 F710:U712 C710:D712 F715:U717 C715:D717 F720:U722 C720:D722">
    <cfRule type="cellIs" dxfId="8677" priority="28663" operator="equal">
      <formula>0</formula>
    </cfRule>
  </conditionalFormatting>
  <conditionalFormatting sqref="U776">
    <cfRule type="cellIs" dxfId="8676" priority="28612" operator="equal">
      <formula>0</formula>
    </cfRule>
  </conditionalFormatting>
  <conditionalFormatting sqref="I672:T672">
    <cfRule type="cellIs" dxfId="8675" priority="28679" operator="equal">
      <formula>0</formula>
    </cfRule>
  </conditionalFormatting>
  <conditionalFormatting sqref="Z837">
    <cfRule type="cellIs" dxfId="8674" priority="28631" operator="equal">
      <formula>0</formula>
    </cfRule>
  </conditionalFormatting>
  <conditionalFormatting sqref="Z838">
    <cfRule type="cellIs" dxfId="8673" priority="28629" operator="equal">
      <formula>0</formula>
    </cfRule>
  </conditionalFormatting>
  <conditionalFormatting sqref="U831">
    <cfRule type="cellIs" dxfId="8672" priority="27377" operator="equal">
      <formula>0</formula>
    </cfRule>
  </conditionalFormatting>
  <conditionalFormatting sqref="U831">
    <cfRule type="cellIs" dxfId="8671" priority="27375" operator="equal">
      <formula>0</formula>
    </cfRule>
  </conditionalFormatting>
  <conditionalFormatting sqref="AT274:AT283 AT245:AT272">
    <cfRule type="cellIs" dxfId="8670" priority="26456" operator="equal">
      <formula>0</formula>
    </cfRule>
  </conditionalFormatting>
  <conditionalFormatting sqref="AT151:AT160 AT122:AT149">
    <cfRule type="cellIs" dxfId="8669" priority="26459" operator="equal">
      <formula>0</formula>
    </cfRule>
  </conditionalFormatting>
  <conditionalFormatting sqref="V589 X589:XFD589 A589">
    <cfRule type="cellIs" dxfId="8668" priority="26449" operator="equal">
      <formula>0</formula>
    </cfRule>
  </conditionalFormatting>
  <conditionalFormatting sqref="U632">
    <cfRule type="cellIs" dxfId="8667" priority="26390" operator="equal">
      <formula>0</formula>
    </cfRule>
  </conditionalFormatting>
  <conditionalFormatting sqref="I632:U632">
    <cfRule type="cellIs" dxfId="8666" priority="26389" operator="equal">
      <formula>0</formula>
    </cfRule>
  </conditionalFormatting>
  <conditionalFormatting sqref="U632">
    <cfRule type="cellIs" dxfId="8665" priority="26388" operator="equal">
      <formula>0</formula>
    </cfRule>
  </conditionalFormatting>
  <conditionalFormatting sqref="H43:H44">
    <cfRule type="cellIs" dxfId="8664" priority="26038" operator="equal">
      <formula>0</formula>
    </cfRule>
  </conditionalFormatting>
  <conditionalFormatting sqref="F53:G56">
    <cfRule type="cellIs" dxfId="8663" priority="26032" operator="equal">
      <formula>0</formula>
    </cfRule>
  </conditionalFormatting>
  <conditionalFormatting sqref="C46:C51 C54:C56">
    <cfRule type="cellIs" dxfId="8662" priority="26028" operator="equal">
      <formula>0</formula>
    </cfRule>
  </conditionalFormatting>
  <conditionalFormatting sqref="H52:H56">
    <cfRule type="cellIs" dxfId="8661" priority="26026" operator="equal">
      <formula>0</formula>
    </cfRule>
  </conditionalFormatting>
  <conditionalFormatting sqref="H42">
    <cfRule type="cellIs" dxfId="8660" priority="26003" operator="equal">
      <formula>0</formula>
    </cfRule>
  </conditionalFormatting>
  <conditionalFormatting sqref="D58">
    <cfRule type="cellIs" dxfId="8659" priority="26000" operator="equal">
      <formula>0</formula>
    </cfRule>
  </conditionalFormatting>
  <conditionalFormatting sqref="C58">
    <cfRule type="cellIs" dxfId="8658" priority="25999" operator="equal">
      <formula>0</formula>
    </cfRule>
  </conditionalFormatting>
  <conditionalFormatting sqref="B58:T58">
    <cfRule type="cellIs" dxfId="8657" priority="25998" operator="equal">
      <formula>0</formula>
    </cfRule>
  </conditionalFormatting>
  <conditionalFormatting sqref="H58 U58">
    <cfRule type="cellIs" dxfId="8656" priority="25997" operator="equal">
      <formula>0</formula>
    </cfRule>
  </conditionalFormatting>
  <conditionalFormatting sqref="H58 U58">
    <cfRule type="cellIs" dxfId="8655" priority="25996" operator="equal">
      <formula>0</formula>
    </cfRule>
  </conditionalFormatting>
  <conditionalFormatting sqref="D68">
    <cfRule type="cellIs" dxfId="8654" priority="25993" operator="equal">
      <formula>0</formula>
    </cfRule>
  </conditionalFormatting>
  <conditionalFormatting sqref="C68">
    <cfRule type="cellIs" dxfId="8653" priority="25992" operator="equal">
      <formula>0</formula>
    </cfRule>
  </conditionalFormatting>
  <conditionalFormatting sqref="B68:G68">
    <cfRule type="cellIs" dxfId="8652" priority="25991" operator="equal">
      <formula>0</formula>
    </cfRule>
  </conditionalFormatting>
  <conditionalFormatting sqref="H68:U68">
    <cfRule type="cellIs" dxfId="8651" priority="25990" operator="equal">
      <formula>0</formula>
    </cfRule>
  </conditionalFormatting>
  <conditionalFormatting sqref="H68:U68">
    <cfRule type="cellIs" dxfId="8650" priority="25989" operator="equal">
      <formula>0</formula>
    </cfRule>
  </conditionalFormatting>
  <conditionalFormatting sqref="D73">
    <cfRule type="cellIs" dxfId="8649" priority="25986" operator="equal">
      <formula>0</formula>
    </cfRule>
  </conditionalFormatting>
  <conditionalFormatting sqref="C73">
    <cfRule type="cellIs" dxfId="8648" priority="25985" operator="equal">
      <formula>0</formula>
    </cfRule>
  </conditionalFormatting>
  <conditionalFormatting sqref="B73:G73">
    <cfRule type="cellIs" dxfId="8647" priority="25984" operator="equal">
      <formula>0</formula>
    </cfRule>
  </conditionalFormatting>
  <conditionalFormatting sqref="H73:U73">
    <cfRule type="cellIs" dxfId="8646" priority="25983" operator="equal">
      <formula>0</formula>
    </cfRule>
  </conditionalFormatting>
  <conditionalFormatting sqref="H73:U73">
    <cfRule type="cellIs" dxfId="8645" priority="25982" operator="equal">
      <formula>0</formula>
    </cfRule>
  </conditionalFormatting>
  <conditionalFormatting sqref="G633">
    <cfRule type="cellIs" dxfId="8644" priority="28694" operator="lessThan">
      <formula>0</formula>
    </cfRule>
  </conditionalFormatting>
  <conditionalFormatting sqref="H633">
    <cfRule type="expression" dxfId="8643" priority="28692">
      <formula>H633&lt;&gt;U633</formula>
    </cfRule>
    <cfRule type="cellIs" dxfId="8642" priority="28693" operator="lessThan">
      <formula>0</formula>
    </cfRule>
  </conditionalFormatting>
  <conditionalFormatting sqref="U590:U591">
    <cfRule type="cellIs" dxfId="8641" priority="28684" operator="equal">
      <formula>0</formula>
    </cfRule>
  </conditionalFormatting>
  <conditionalFormatting sqref="I592:T592">
    <cfRule type="cellIs" dxfId="8640" priority="28683" operator="equal">
      <formula>0</formula>
    </cfRule>
  </conditionalFormatting>
  <conditionalFormatting sqref="I665:T665">
    <cfRule type="cellIs" dxfId="8639" priority="28682" operator="equal">
      <formula>0</formula>
    </cfRule>
  </conditionalFormatting>
  <conditionalFormatting sqref="Z839">
    <cfRule type="cellIs" dxfId="8638" priority="28630" operator="equal">
      <formula>0</formula>
    </cfRule>
  </conditionalFormatting>
  <conditionalFormatting sqref="U672">
    <cfRule type="cellIs" dxfId="8637" priority="28628" operator="equal">
      <formula>0</formula>
    </cfRule>
  </conditionalFormatting>
  <conditionalFormatting sqref="V122:V160 V163:V201 V204:V242 V245:V283 V286:V324 V327:V365 A530:XFD530 V368:V406 V409:V447 V450:V488 V491:V529 A633:V633 A671:V671 B775:XFD775 A832:XFD833 A840:XFD840 A837:A839 V837:XFD839 A841:A847 A849:XFD849 A850:T850 V850:XFD850 V109 X109 V673:V674 I592:T592 X590:XFD599 A590:V590 X674:XFD674 Y673:XFD673 A593:A632 W590:W633 Z600:XFD633 X600:Y632 V161:X162 V110:X121 V42:X80 A54:A80 A50:A52 A663:T663 V243:X244 V202:X203 V489:X490 V448:X449 V407:X408 V366:X367 V325:X326 AS40:AS529 V284:X285 A672:B672 I672:V672 A666:B667 I665:T667 B776 I776:XFD776 A777:A801 V777:XFD801 A835:B836 I835:XFD836 V841:XFD847 A411:A449 V725:XFD772 A726:A772 V804:XFD831 A805:A831 B665 B591:V591 A901:T901 A924:T924 A947:T947 A970:T970 A993:T993 A1016:T1016 A1039:T1039 A1062:T1062 A1085:T1085 A1108:T1108 A1093:A1107 A1131:T1131 A1154:T1155 A538:XFD538 V531:XFD531 A532:A535 D532:XFD534 A536:D536 D535 F536:XFD536 J535:XFD535 A540:XFD540 A542:XFD542 A635:W635 A83:A121 A124:A162 A165:A203 A206:A244 A247:A285 A288:A326 A329:A367 A370:A408 A452:A490 A493:A529 V40:W41 V83:X108 X124:X160 X165:X201 X206:X242 X247:X283 X288:X324 X329:X365 X370:X406 X411:X447 X452:X488 X493:X529 V81:W82 B662:T662 B834:XFD834 A661:V661 A636:B636 D636:H636 J636:N636 V636:W636 P636 V546:XFD588 V592:V632 A848:F848 H848:XFD848">
    <cfRule type="cellIs" dxfId="8636" priority="28590" operator="equal">
      <formula>0</formula>
    </cfRule>
  </conditionalFormatting>
  <conditionalFormatting sqref="B831:H831">
    <cfRule type="cellIs" dxfId="8635" priority="27378" operator="equal">
      <formula>0</formula>
    </cfRule>
  </conditionalFormatting>
  <conditionalFormatting sqref="I831:U831">
    <cfRule type="cellIs" dxfId="8634" priority="27376" operator="equal">
      <formula>0</formula>
    </cfRule>
  </conditionalFormatting>
  <conditionalFormatting sqref="W151:W160 W122:W149">
    <cfRule type="cellIs" dxfId="8633" priority="27319" operator="equal">
      <formula>0</formula>
    </cfRule>
  </conditionalFormatting>
  <conditionalFormatting sqref="W192:W201 W163:W190">
    <cfRule type="cellIs" dxfId="8632" priority="27318" operator="equal">
      <formula>0</formula>
    </cfRule>
  </conditionalFormatting>
  <conditionalFormatting sqref="W233:W242 W204:W231">
    <cfRule type="cellIs" dxfId="8631" priority="27317" operator="equal">
      <formula>0</formula>
    </cfRule>
  </conditionalFormatting>
  <conditionalFormatting sqref="W274:W283 W245:W272">
    <cfRule type="cellIs" dxfId="8630" priority="27316" operator="equal">
      <formula>0</formula>
    </cfRule>
  </conditionalFormatting>
  <conditionalFormatting sqref="W315:W324 W286:W313">
    <cfRule type="cellIs" dxfId="8629" priority="27315" operator="equal">
      <formula>0</formula>
    </cfRule>
  </conditionalFormatting>
  <conditionalFormatting sqref="W356:W365 W327:W354">
    <cfRule type="cellIs" dxfId="8628" priority="27314" operator="equal">
      <formula>0</formula>
    </cfRule>
  </conditionalFormatting>
  <conditionalFormatting sqref="W397:W406 W368:W395">
    <cfRule type="cellIs" dxfId="8627" priority="27313" operator="equal">
      <formula>0</formula>
    </cfRule>
  </conditionalFormatting>
  <conditionalFormatting sqref="W438:W447 W409:W436">
    <cfRule type="cellIs" dxfId="8626" priority="27312" operator="equal">
      <formula>0</formula>
    </cfRule>
  </conditionalFormatting>
  <conditionalFormatting sqref="W479:W488 W450:W477">
    <cfRule type="cellIs" dxfId="8625" priority="27311" operator="equal">
      <formula>0</formula>
    </cfRule>
  </conditionalFormatting>
  <conditionalFormatting sqref="W520:W529 W491:W518">
    <cfRule type="cellIs" dxfId="8624" priority="27310" operator="equal">
      <formula>0</formula>
    </cfRule>
  </conditionalFormatting>
  <conditionalFormatting sqref="AT161:AT162 AT202:AT203 AT243:AT244 AT284:AT285 AT325:AT326 AT366:AT367 AT407:AT408 AT448:AT449 AT489:AT490 AT110:AT121">
    <cfRule type="cellIs" dxfId="8623" priority="26460" operator="equal">
      <formula>0</formula>
    </cfRule>
  </conditionalFormatting>
  <conditionalFormatting sqref="AT192:AT201 AT163:AT190">
    <cfRule type="cellIs" dxfId="8622" priority="26458" operator="equal">
      <formula>0</formula>
    </cfRule>
  </conditionalFormatting>
  <conditionalFormatting sqref="AT233:AT242 AT204:AT231">
    <cfRule type="cellIs" dxfId="8621" priority="26457" operator="equal">
      <formula>0</formula>
    </cfRule>
  </conditionalFormatting>
  <conditionalFormatting sqref="AT315:AT324 AT286:AT313">
    <cfRule type="cellIs" dxfId="8620" priority="26455" operator="equal">
      <formula>0</formula>
    </cfRule>
  </conditionalFormatting>
  <conditionalFormatting sqref="AT356:AT365 AT327:AT354">
    <cfRule type="cellIs" dxfId="8619" priority="26454" operator="equal">
      <formula>0</formula>
    </cfRule>
  </conditionalFormatting>
  <conditionalFormatting sqref="AT397:AT406 AT368:AT395">
    <cfRule type="cellIs" dxfId="8618" priority="26453" operator="equal">
      <formula>0</formula>
    </cfRule>
  </conditionalFormatting>
  <conditionalFormatting sqref="AT438:AT447 AT409:AT436">
    <cfRule type="cellIs" dxfId="8617" priority="26452" operator="equal">
      <formula>0</formula>
    </cfRule>
  </conditionalFormatting>
  <conditionalFormatting sqref="AT479:AT488 AT450:AT477">
    <cfRule type="cellIs" dxfId="8616" priority="26451" operator="equal">
      <formula>0</formula>
    </cfRule>
  </conditionalFormatting>
  <conditionalFormatting sqref="AT520:AT529 AT491:AT518">
    <cfRule type="cellIs" dxfId="8615" priority="26450" operator="equal">
      <formula>0</formula>
    </cfRule>
  </conditionalFormatting>
  <conditionalFormatting sqref="W589">
    <cfRule type="cellIs" dxfId="8614" priority="26445" operator="equal">
      <formula>0</formula>
    </cfRule>
  </conditionalFormatting>
  <conditionalFormatting sqref="B632:H632">
    <cfRule type="cellIs" dxfId="8613" priority="26391" operator="equal">
      <formula>0</formula>
    </cfRule>
  </conditionalFormatting>
  <conditionalFormatting sqref="B592">
    <cfRule type="cellIs" dxfId="8612" priority="26334" operator="equal">
      <formula>0</formula>
    </cfRule>
  </conditionalFormatting>
  <conditionalFormatting sqref="X633:Y633">
    <cfRule type="cellIs" dxfId="8611" priority="26333" operator="equal">
      <formula>0</formula>
    </cfRule>
  </conditionalFormatting>
  <conditionalFormatting sqref="X671">
    <cfRule type="expression" dxfId="8610" priority="26332">
      <formula>$U$672=0</formula>
    </cfRule>
  </conditionalFormatting>
  <conditionalFormatting sqref="X676">
    <cfRule type="expression" dxfId="8609" priority="26331">
      <formula>$U$672=0</formula>
    </cfRule>
  </conditionalFormatting>
  <conditionalFormatting sqref="A580">
    <cfRule type="cellIs" dxfId="8608" priority="26311" operator="equal">
      <formula>0</formula>
    </cfRule>
  </conditionalFormatting>
  <conditionalFormatting sqref="I42:T42">
    <cfRule type="cellIs" dxfId="8607" priority="26039" operator="equal">
      <formula>0</formula>
    </cfRule>
  </conditionalFormatting>
  <conditionalFormatting sqref="U78">
    <cfRule type="cellIs" dxfId="8606" priority="26035" operator="equal">
      <formula>0</formula>
    </cfRule>
  </conditionalFormatting>
  <conditionalFormatting sqref="G45:G50 B50:G50">
    <cfRule type="cellIs" dxfId="8605" priority="26034" operator="lessThan">
      <formula>0</formula>
    </cfRule>
  </conditionalFormatting>
  <conditionalFormatting sqref="C45:D45 D46:D51 D53:D56">
    <cfRule type="cellIs" dxfId="8604" priority="26033" operator="equal">
      <formula>0</formula>
    </cfRule>
  </conditionalFormatting>
  <conditionalFormatting sqref="H45:H49">
    <cfRule type="cellIs" dxfId="8603" priority="26027" operator="equal">
      <formula>0</formula>
    </cfRule>
  </conditionalFormatting>
  <conditionalFormatting sqref="I45:T49">
    <cfRule type="cellIs" dxfId="8602" priority="26022" operator="equal">
      <formula>0</formula>
    </cfRule>
  </conditionalFormatting>
  <conditionalFormatting sqref="U45:U49">
    <cfRule type="cellIs" dxfId="8601" priority="26017" operator="equal">
      <formula>0</formula>
    </cfRule>
  </conditionalFormatting>
  <conditionalFormatting sqref="B51:G51 H52 C40:D40 B78:U80 F42:G42 B42 I41:T42 C54:H56 B50:H50 C45:U49 D53:H53 B120:U121 C43:T44 F40:U40 A79:C80">
    <cfRule type="cellIs" dxfId="8600" priority="26016" operator="equal">
      <formula>0</formula>
    </cfRule>
  </conditionalFormatting>
  <conditionalFormatting sqref="H51:U51">
    <cfRule type="cellIs" dxfId="8599" priority="26015" operator="equal">
      <formula>0</formula>
    </cfRule>
  </conditionalFormatting>
  <conditionalFormatting sqref="H51:U51">
    <cfRule type="cellIs" dxfId="8598" priority="26014" operator="equal">
      <formula>0</formula>
    </cfRule>
  </conditionalFormatting>
  <conditionalFormatting sqref="U78">
    <cfRule type="cellIs" dxfId="8597" priority="26005" operator="equal">
      <formula>0</formula>
    </cfRule>
  </conditionalFormatting>
  <conditionalFormatting sqref="C42:E42">
    <cfRule type="cellIs" dxfId="8596" priority="26004" operator="equal">
      <formula>0</formula>
    </cfRule>
  </conditionalFormatting>
  <conditionalFormatting sqref="B41">
    <cfRule type="cellIs" dxfId="8595" priority="25806" operator="equal">
      <formula>0</formula>
    </cfRule>
  </conditionalFormatting>
  <conditionalFormatting sqref="C57">
    <cfRule type="cellIs" dxfId="8594" priority="25801" operator="equal">
      <formula>0</formula>
    </cfRule>
  </conditionalFormatting>
  <conditionalFormatting sqref="B57:G57">
    <cfRule type="cellIs" dxfId="8593" priority="25803" operator="lessThan">
      <formula>0</formula>
    </cfRule>
  </conditionalFormatting>
  <conditionalFormatting sqref="D57">
    <cfRule type="cellIs" dxfId="8592" priority="25802" operator="equal">
      <formula>0</formula>
    </cfRule>
  </conditionalFormatting>
  <conditionalFormatting sqref="B57:H57">
    <cfRule type="cellIs" dxfId="8591" priority="25800" operator="equal">
      <formula>0</formula>
    </cfRule>
  </conditionalFormatting>
  <conditionalFormatting sqref="B67">
    <cfRule type="cellIs" dxfId="8590" priority="25799" operator="lessThan">
      <formula>0</formula>
    </cfRule>
  </conditionalFormatting>
  <conditionalFormatting sqref="B67">
    <cfRule type="cellIs" dxfId="8589" priority="25796" operator="equal">
      <formula>0</formula>
    </cfRule>
  </conditionalFormatting>
  <conditionalFormatting sqref="C72">
    <cfRule type="cellIs" dxfId="8588" priority="25793" operator="equal">
      <formula>0</formula>
    </cfRule>
  </conditionalFormatting>
  <conditionalFormatting sqref="B72:G72">
    <cfRule type="cellIs" dxfId="8587" priority="25795" operator="lessThan">
      <formula>0</formula>
    </cfRule>
  </conditionalFormatting>
  <conditionalFormatting sqref="D72">
    <cfRule type="cellIs" dxfId="8586" priority="25794" operator="equal">
      <formula>0</formula>
    </cfRule>
  </conditionalFormatting>
  <conditionalFormatting sqref="B72:H72">
    <cfRule type="cellIs" dxfId="8585" priority="25792" operator="equal">
      <formula>0</formula>
    </cfRule>
  </conditionalFormatting>
  <conditionalFormatting sqref="B77">
    <cfRule type="cellIs" dxfId="8584" priority="25791" operator="lessThan">
      <formula>0</formula>
    </cfRule>
  </conditionalFormatting>
  <conditionalFormatting sqref="B77">
    <cfRule type="cellIs" dxfId="8583" priority="25788" operator="equal">
      <formula>0</formula>
    </cfRule>
  </conditionalFormatting>
  <conditionalFormatting sqref="A53">
    <cfRule type="cellIs" dxfId="8582" priority="25575" operator="equal">
      <formula>0</formula>
    </cfRule>
  </conditionalFormatting>
  <conditionalFormatting sqref="C53">
    <cfRule type="cellIs" dxfId="8581" priority="25556" operator="equal">
      <formula>0</formula>
    </cfRule>
  </conditionalFormatting>
  <conditionalFormatting sqref="I58:T58">
    <cfRule type="cellIs" dxfId="8580" priority="25550" operator="equal">
      <formula>0</formula>
    </cfRule>
  </conditionalFormatting>
  <conditionalFormatting sqref="C53">
    <cfRule type="cellIs" dxfId="8579" priority="25557" operator="equal">
      <formula>0</formula>
    </cfRule>
  </conditionalFormatting>
  <conditionalFormatting sqref="I58:T58">
    <cfRule type="cellIs" dxfId="8578" priority="25551" operator="equal">
      <formula>0</formula>
    </cfRule>
  </conditionalFormatting>
  <conditionalFormatting sqref="U72">
    <cfRule type="cellIs" dxfId="8577" priority="25500" operator="equal">
      <formula>0</formula>
    </cfRule>
  </conditionalFormatting>
  <conditionalFormatting sqref="U72">
    <cfRule type="cellIs" dxfId="8576" priority="25499" operator="equal">
      <formula>0</formula>
    </cfRule>
  </conditionalFormatting>
  <conditionalFormatting sqref="U50">
    <cfRule type="cellIs" dxfId="8575" priority="25496" operator="equal">
      <formula>0</formula>
    </cfRule>
  </conditionalFormatting>
  <conditionalFormatting sqref="U50">
    <cfRule type="cellIs" dxfId="8574" priority="25495" operator="equal">
      <formula>0</formula>
    </cfRule>
  </conditionalFormatting>
  <conditionalFormatting sqref="U43:U44">
    <cfRule type="cellIs" dxfId="8573" priority="25042" operator="equal">
      <formula>0</formula>
    </cfRule>
  </conditionalFormatting>
  <conditionalFormatting sqref="U40">
    <cfRule type="cellIs" dxfId="8572" priority="24910" operator="equal">
      <formula>0</formula>
    </cfRule>
  </conditionalFormatting>
  <conditionalFormatting sqref="U42">
    <cfRule type="cellIs" dxfId="8571" priority="24909" operator="equal">
      <formula>0</formula>
    </cfRule>
  </conditionalFormatting>
  <conditionalFormatting sqref="U40:U42">
    <cfRule type="cellIs" dxfId="8570" priority="24908" operator="equal">
      <formula>0</formula>
    </cfRule>
  </conditionalFormatting>
  <conditionalFormatting sqref="U662">
    <cfRule type="cellIs" dxfId="8569" priority="24854" operator="equal">
      <formula>0</formula>
    </cfRule>
  </conditionalFormatting>
  <conditionalFormatting sqref="U665">
    <cfRule type="cellIs" dxfId="8568" priority="24853" operator="equal">
      <formula>0</formula>
    </cfRule>
  </conditionalFormatting>
  <conditionalFormatting sqref="U662:U663 U665">
    <cfRule type="cellIs" dxfId="8567" priority="24852" operator="equal">
      <formula>0</formula>
    </cfRule>
  </conditionalFormatting>
  <conditionalFormatting sqref="U666:U667">
    <cfRule type="cellIs" dxfId="8566" priority="24851" operator="equal">
      <formula>0</formula>
    </cfRule>
  </conditionalFormatting>
  <conditionalFormatting sqref="B202:U203">
    <cfRule type="cellIs" dxfId="8565" priority="24432" operator="equal">
      <formula>0</formula>
    </cfRule>
  </conditionalFormatting>
  <conditionalFormatting sqref="B366:H367 J366:U367">
    <cfRule type="cellIs" dxfId="8564" priority="24042" operator="equal">
      <formula>0</formula>
    </cfRule>
  </conditionalFormatting>
  <conditionalFormatting sqref="I72:T72">
    <cfRule type="cellIs" dxfId="8563" priority="21574" operator="equal">
      <formula>0</formula>
    </cfRule>
  </conditionalFormatting>
  <conditionalFormatting sqref="I366:I367">
    <cfRule type="cellIs" dxfId="8562" priority="21435" operator="equal">
      <formula>0</formula>
    </cfRule>
  </conditionalFormatting>
  <conditionalFormatting sqref="Y284:AE285 AG284:AR285">
    <cfRule type="cellIs" dxfId="8561" priority="21183" operator="equal">
      <formula>0</formula>
    </cfRule>
  </conditionalFormatting>
  <conditionalFormatting sqref="Y79:AR80 Y120:AR121">
    <cfRule type="cellIs" dxfId="8560" priority="21166" operator="equal">
      <formula>0</formula>
    </cfRule>
  </conditionalFormatting>
  <conditionalFormatting sqref="Y161:AR162">
    <cfRule type="cellIs" dxfId="8559" priority="21127" operator="equal">
      <formula>0</formula>
    </cfRule>
  </conditionalFormatting>
  <conditionalFormatting sqref="Y202:AR203 Y243:AR244">
    <cfRule type="cellIs" dxfId="8558" priority="20778" operator="equal">
      <formula>0</formula>
    </cfRule>
  </conditionalFormatting>
  <conditionalFormatting sqref="Y325:AE326 Y366:AE367 AG366:AR367 AG325:AR326">
    <cfRule type="cellIs" dxfId="8557" priority="20401" operator="equal">
      <formula>0</formula>
    </cfRule>
  </conditionalFormatting>
  <conditionalFormatting sqref="Y407:AE408 AG407:AR408">
    <cfRule type="cellIs" dxfId="8556" priority="20362" operator="equal">
      <formula>0</formula>
    </cfRule>
  </conditionalFormatting>
  <conditionalFormatting sqref="Y448:AR449 Y489:AE490 AG489:AR490">
    <cfRule type="cellIs" dxfId="8555" priority="20013" operator="equal">
      <formula>0</formula>
    </cfRule>
  </conditionalFormatting>
  <conditionalFormatting sqref="AF366:AF367">
    <cfRule type="cellIs" dxfId="8554" priority="19508" operator="equal">
      <formula>0</formula>
    </cfRule>
  </conditionalFormatting>
  <conditionalFormatting sqref="AF284:AF285 AF325:AF326">
    <cfRule type="cellIs" dxfId="8553" priority="19513" operator="equal">
      <formula>0</formula>
    </cfRule>
  </conditionalFormatting>
  <conditionalFormatting sqref="AF407:AF408">
    <cfRule type="cellIs" dxfId="8552" priority="19489" operator="equal">
      <formula>0</formula>
    </cfRule>
  </conditionalFormatting>
  <conditionalFormatting sqref="AF489:AF490">
    <cfRule type="cellIs" dxfId="8551" priority="19361" operator="equal">
      <formula>0</formula>
    </cfRule>
  </conditionalFormatting>
  <conditionalFormatting sqref="F592:G592">
    <cfRule type="cellIs" dxfId="8550" priority="19065" operator="equal">
      <formula>0</formula>
    </cfRule>
  </conditionalFormatting>
  <conditionalFormatting sqref="C592:E592">
    <cfRule type="cellIs" dxfId="8549" priority="19064" operator="equal">
      <formula>0</formula>
    </cfRule>
  </conditionalFormatting>
  <conditionalFormatting sqref="D598">
    <cfRule type="cellIs" dxfId="8548" priority="19063" operator="equal">
      <formula>0</formula>
    </cfRule>
  </conditionalFormatting>
  <conditionalFormatting sqref="C593">
    <cfRule type="cellIs" dxfId="8547" priority="19058" operator="equal">
      <formula>0</formula>
    </cfRule>
  </conditionalFormatting>
  <conditionalFormatting sqref="D598:G598 I598:U598">
    <cfRule type="cellIs" dxfId="8546" priority="19061" operator="equal">
      <formula>0</formula>
    </cfRule>
  </conditionalFormatting>
  <conditionalFormatting sqref="B598">
    <cfRule type="cellIs" dxfId="8545" priority="19060" operator="equal">
      <formula>0</formula>
    </cfRule>
  </conditionalFormatting>
  <conditionalFormatting sqref="D593">
    <cfRule type="cellIs" dxfId="8544" priority="19059" operator="equal">
      <formula>0</formula>
    </cfRule>
  </conditionalFormatting>
  <conditionalFormatting sqref="B593:U593">
    <cfRule type="cellIs" dxfId="8543" priority="19057" operator="equal">
      <formula>0</formula>
    </cfRule>
  </conditionalFormatting>
  <conditionalFormatting sqref="C597">
    <cfRule type="cellIs" dxfId="8542" priority="19054" operator="equal">
      <formula>0</formula>
    </cfRule>
  </conditionalFormatting>
  <conditionalFormatting sqref="C597:G597">
    <cfRule type="cellIs" dxfId="8541" priority="19056" operator="lessThan">
      <formula>0</formula>
    </cfRule>
  </conditionalFormatting>
  <conditionalFormatting sqref="D597">
    <cfRule type="cellIs" dxfId="8540" priority="19055" operator="equal">
      <formula>0</formula>
    </cfRule>
  </conditionalFormatting>
  <conditionalFormatting sqref="C597:G597">
    <cfRule type="cellIs" dxfId="8539" priority="19053" operator="equal">
      <formula>0</formula>
    </cfRule>
  </conditionalFormatting>
  <conditionalFormatting sqref="C599">
    <cfRule type="cellIs" dxfId="8538" priority="19020" operator="equal">
      <formula>0</formula>
    </cfRule>
  </conditionalFormatting>
  <conditionalFormatting sqref="U594:U596">
    <cfRule type="cellIs" dxfId="8537" priority="19052" operator="equal">
      <formula>0</formula>
    </cfRule>
  </conditionalFormatting>
  <conditionalFormatting sqref="I594:T596">
    <cfRule type="cellIs" dxfId="8536" priority="19050" operator="equal">
      <formula>0</formula>
    </cfRule>
  </conditionalFormatting>
  <conditionalFormatting sqref="I594:U596">
    <cfRule type="cellIs" dxfId="8535" priority="19049" operator="equal">
      <formula>0</formula>
    </cfRule>
  </conditionalFormatting>
  <conditionalFormatting sqref="U594:U596">
    <cfRule type="cellIs" dxfId="8534" priority="19048" operator="equal">
      <formula>0</formula>
    </cfRule>
  </conditionalFormatting>
  <conditionalFormatting sqref="I594:T596">
    <cfRule type="cellIs" dxfId="8533" priority="19047" operator="equal">
      <formula>0</formula>
    </cfRule>
  </conditionalFormatting>
  <conditionalFormatting sqref="I594:T596">
    <cfRule type="cellIs" dxfId="8532" priority="19046" operator="equal">
      <formula>0</formula>
    </cfRule>
  </conditionalFormatting>
  <conditionalFormatting sqref="I594:T596">
    <cfRule type="cellIs" dxfId="8531" priority="19045" operator="equal">
      <formula>0</formula>
    </cfRule>
  </conditionalFormatting>
  <conditionalFormatting sqref="U594:U596">
    <cfRule type="cellIs" dxfId="8530" priority="19044" operator="equal">
      <formula>0</formula>
    </cfRule>
  </conditionalFormatting>
  <conditionalFormatting sqref="U594:U596">
    <cfRule type="cellIs" dxfId="8529" priority="19043" operator="equal">
      <formula>0</formula>
    </cfRule>
  </conditionalFormatting>
  <conditionalFormatting sqref="B596">
    <cfRule type="cellIs" dxfId="8528" priority="19042" operator="equal">
      <formula>0</formula>
    </cfRule>
  </conditionalFormatting>
  <conditionalFormatting sqref="F594:G595">
    <cfRule type="cellIs" dxfId="8527" priority="19040" operator="equal">
      <formula>0</formula>
    </cfRule>
  </conditionalFormatting>
  <conditionalFormatting sqref="C594:C595">
    <cfRule type="cellIs" dxfId="8526" priority="19039" operator="equal">
      <formula>0</formula>
    </cfRule>
  </conditionalFormatting>
  <conditionalFormatting sqref="D594:D595">
    <cfRule type="cellIs" dxfId="8525" priority="19041" operator="equal">
      <formula>0</formula>
    </cfRule>
  </conditionalFormatting>
  <conditionalFormatting sqref="B594:G595">
    <cfRule type="cellIs" dxfId="8524" priority="19038" operator="equal">
      <formula>0</formula>
    </cfRule>
  </conditionalFormatting>
  <conditionalFormatting sqref="F596:G596">
    <cfRule type="cellIs" dxfId="8523" priority="19036" operator="equal">
      <formula>0</formula>
    </cfRule>
  </conditionalFormatting>
  <conditionalFormatting sqref="C596">
    <cfRule type="cellIs" dxfId="8522" priority="19035" operator="equal">
      <formula>0</formula>
    </cfRule>
  </conditionalFormatting>
  <conditionalFormatting sqref="D596">
    <cfRule type="cellIs" dxfId="8521" priority="19037" operator="equal">
      <formula>0</formula>
    </cfRule>
  </conditionalFormatting>
  <conditionalFormatting sqref="C596:G596">
    <cfRule type="cellIs" dxfId="8520" priority="19034" operator="equal">
      <formula>0</formula>
    </cfRule>
  </conditionalFormatting>
  <conditionalFormatting sqref="I602:T604">
    <cfRule type="cellIs" dxfId="8519" priority="18998" operator="equal">
      <formula>0</formula>
    </cfRule>
  </conditionalFormatting>
  <conditionalFormatting sqref="F618:G619">
    <cfRule type="cellIs" dxfId="8518" priority="18884" operator="equal">
      <formula>0</formula>
    </cfRule>
  </conditionalFormatting>
  <conditionalFormatting sqref="C618:C619">
    <cfRule type="cellIs" dxfId="8517" priority="18883" operator="equal">
      <formula>0</formula>
    </cfRule>
  </conditionalFormatting>
  <conditionalFormatting sqref="B618:G619">
    <cfRule type="cellIs" dxfId="8516" priority="18882" operator="equal">
      <formula>0</formula>
    </cfRule>
  </conditionalFormatting>
  <conditionalFormatting sqref="B599">
    <cfRule type="cellIs" dxfId="8515" priority="19023" operator="equal">
      <formula>0</formula>
    </cfRule>
  </conditionalFormatting>
  <conditionalFormatting sqref="F599:G599">
    <cfRule type="cellIs" dxfId="8514" priority="19021" operator="equal">
      <formula>0</formula>
    </cfRule>
  </conditionalFormatting>
  <conditionalFormatting sqref="D599">
    <cfRule type="cellIs" dxfId="8513" priority="19022" operator="equal">
      <formula>0</formula>
    </cfRule>
  </conditionalFormatting>
  <conditionalFormatting sqref="C599:G599">
    <cfRule type="cellIs" dxfId="8512" priority="19019" operator="equal">
      <formula>0</formula>
    </cfRule>
  </conditionalFormatting>
  <conditionalFormatting sqref="I600:T600">
    <cfRule type="cellIs" dxfId="8511" priority="19018" operator="equal">
      <formula>0</formula>
    </cfRule>
  </conditionalFormatting>
  <conditionalFormatting sqref="I600:T600">
    <cfRule type="cellIs" dxfId="8510" priority="19017" operator="equal">
      <formula>0</formula>
    </cfRule>
  </conditionalFormatting>
  <conditionalFormatting sqref="B600">
    <cfRule type="cellIs" dxfId="8509" priority="19016" operator="equal">
      <formula>0</formula>
    </cfRule>
  </conditionalFormatting>
  <conditionalFormatting sqref="U600">
    <cfRule type="cellIs" dxfId="8508" priority="19015" operator="equal">
      <formula>0</formula>
    </cfRule>
  </conditionalFormatting>
  <conditionalFormatting sqref="U600">
    <cfRule type="cellIs" dxfId="8507" priority="19014" operator="equal">
      <formula>0</formula>
    </cfRule>
  </conditionalFormatting>
  <conditionalFormatting sqref="F600:G600">
    <cfRule type="cellIs" dxfId="8506" priority="19013" operator="equal">
      <formula>0</formula>
    </cfRule>
  </conditionalFormatting>
  <conditionalFormatting sqref="C600:E600">
    <cfRule type="cellIs" dxfId="8505" priority="19012" operator="equal">
      <formula>0</formula>
    </cfRule>
  </conditionalFormatting>
  <conditionalFormatting sqref="D606">
    <cfRule type="cellIs" dxfId="8504" priority="19011" operator="equal">
      <formula>0</formula>
    </cfRule>
  </conditionalFormatting>
  <conditionalFormatting sqref="U739:U740">
    <cfRule type="cellIs" dxfId="8503" priority="18441" operator="equal">
      <formula>0</formula>
    </cfRule>
  </conditionalFormatting>
  <conditionalFormatting sqref="D606:G606 I606:U606">
    <cfRule type="cellIs" dxfId="8502" priority="19009" operator="equal">
      <formula>0</formula>
    </cfRule>
  </conditionalFormatting>
  <conditionalFormatting sqref="B606">
    <cfRule type="cellIs" dxfId="8501" priority="19008" operator="equal">
      <formula>0</formula>
    </cfRule>
  </conditionalFormatting>
  <conditionalFormatting sqref="D601">
    <cfRule type="cellIs" dxfId="8500" priority="19007" operator="equal">
      <formula>0</formula>
    </cfRule>
  </conditionalFormatting>
  <conditionalFormatting sqref="B601:U601">
    <cfRule type="cellIs" dxfId="8499" priority="19005" operator="equal">
      <formula>0</formula>
    </cfRule>
  </conditionalFormatting>
  <conditionalFormatting sqref="C601">
    <cfRule type="cellIs" dxfId="8498" priority="19006" operator="equal">
      <formula>0</formula>
    </cfRule>
  </conditionalFormatting>
  <conditionalFormatting sqref="C605">
    <cfRule type="cellIs" dxfId="8497" priority="19002" operator="equal">
      <formula>0</formula>
    </cfRule>
  </conditionalFormatting>
  <conditionalFormatting sqref="C605:G605">
    <cfRule type="cellIs" dxfId="8496" priority="19004" operator="lessThan">
      <formula>0</formula>
    </cfRule>
  </conditionalFormatting>
  <conditionalFormatting sqref="D605">
    <cfRule type="cellIs" dxfId="8495" priority="19003" operator="equal">
      <formula>0</formula>
    </cfRule>
  </conditionalFormatting>
  <conditionalFormatting sqref="C605:G605">
    <cfRule type="cellIs" dxfId="8494" priority="19001" operator="equal">
      <formula>0</formula>
    </cfRule>
  </conditionalFormatting>
  <conditionalFormatting sqref="U602:U604">
    <cfRule type="cellIs" dxfId="8493" priority="19000" operator="equal">
      <formula>0</formula>
    </cfRule>
  </conditionalFormatting>
  <conditionalFormatting sqref="I602:U604">
    <cfRule type="cellIs" dxfId="8492" priority="18997" operator="equal">
      <formula>0</formula>
    </cfRule>
  </conditionalFormatting>
  <conditionalFormatting sqref="U602:U604">
    <cfRule type="cellIs" dxfId="8491" priority="18996" operator="equal">
      <formula>0</formula>
    </cfRule>
  </conditionalFormatting>
  <conditionalFormatting sqref="I602:T604">
    <cfRule type="cellIs" dxfId="8490" priority="18995" operator="equal">
      <formula>0</formula>
    </cfRule>
  </conditionalFormatting>
  <conditionalFormatting sqref="I602:T604">
    <cfRule type="cellIs" dxfId="8489" priority="18994" operator="equal">
      <formula>0</formula>
    </cfRule>
  </conditionalFormatting>
  <conditionalFormatting sqref="I602:T604">
    <cfRule type="cellIs" dxfId="8488" priority="18993" operator="equal">
      <formula>0</formula>
    </cfRule>
  </conditionalFormatting>
  <conditionalFormatting sqref="U602:U604">
    <cfRule type="cellIs" dxfId="8487" priority="18992" operator="equal">
      <formula>0</formula>
    </cfRule>
  </conditionalFormatting>
  <conditionalFormatting sqref="U602:U603">
    <cfRule type="cellIs" dxfId="8486" priority="18991" operator="equal">
      <formula>0</formula>
    </cfRule>
  </conditionalFormatting>
  <conditionalFormatting sqref="B604">
    <cfRule type="cellIs" dxfId="8485" priority="18990" operator="equal">
      <formula>0</formula>
    </cfRule>
  </conditionalFormatting>
  <conditionalFormatting sqref="F602:G603">
    <cfRule type="cellIs" dxfId="8484" priority="18988" operator="equal">
      <formula>0</formula>
    </cfRule>
  </conditionalFormatting>
  <conditionalFormatting sqref="C602:C603">
    <cfRule type="cellIs" dxfId="8483" priority="18987" operator="equal">
      <formula>0</formula>
    </cfRule>
  </conditionalFormatting>
  <conditionalFormatting sqref="D602:D603">
    <cfRule type="cellIs" dxfId="8482" priority="18989" operator="equal">
      <formula>0</formula>
    </cfRule>
  </conditionalFormatting>
  <conditionalFormatting sqref="B602:G603">
    <cfRule type="cellIs" dxfId="8481" priority="18986" operator="equal">
      <formula>0</formula>
    </cfRule>
  </conditionalFormatting>
  <conditionalFormatting sqref="F604:G604">
    <cfRule type="cellIs" dxfId="8480" priority="18984" operator="equal">
      <formula>0</formula>
    </cfRule>
  </conditionalFormatting>
  <conditionalFormatting sqref="C604">
    <cfRule type="cellIs" dxfId="8479" priority="18983" operator="equal">
      <formula>0</formula>
    </cfRule>
  </conditionalFormatting>
  <conditionalFormatting sqref="D604">
    <cfRule type="cellIs" dxfId="8478" priority="18985" operator="equal">
      <formula>0</formula>
    </cfRule>
  </conditionalFormatting>
  <conditionalFormatting sqref="C604:G604">
    <cfRule type="cellIs" dxfId="8477" priority="18982" operator="equal">
      <formula>0</formula>
    </cfRule>
  </conditionalFormatting>
  <conditionalFormatting sqref="U626:U627">
    <cfRule type="cellIs" dxfId="8476" priority="18835" operator="equal">
      <formula>0</formula>
    </cfRule>
  </conditionalFormatting>
  <conditionalFormatting sqref="B628">
    <cfRule type="cellIs" dxfId="8475" priority="18834" operator="equal">
      <formula>0</formula>
    </cfRule>
  </conditionalFormatting>
  <conditionalFormatting sqref="I626:T628">
    <cfRule type="cellIs" dxfId="8474" priority="18839" operator="equal">
      <formula>0</formula>
    </cfRule>
  </conditionalFormatting>
  <conditionalFormatting sqref="U626:U628">
    <cfRule type="cellIs" dxfId="8473" priority="18836" operator="equal">
      <formula>0</formula>
    </cfRule>
  </conditionalFormatting>
  <conditionalFormatting sqref="D626:D627">
    <cfRule type="cellIs" dxfId="8472" priority="18833" operator="equal">
      <formula>0</formula>
    </cfRule>
  </conditionalFormatting>
  <conditionalFormatting sqref="B607">
    <cfRule type="cellIs" dxfId="8471" priority="18971" operator="equal">
      <formula>0</formula>
    </cfRule>
  </conditionalFormatting>
  <conditionalFormatting sqref="F607:G607">
    <cfRule type="cellIs" dxfId="8470" priority="18969" operator="equal">
      <formula>0</formula>
    </cfRule>
  </conditionalFormatting>
  <conditionalFormatting sqref="C607">
    <cfRule type="cellIs" dxfId="8469" priority="18968" operator="equal">
      <formula>0</formula>
    </cfRule>
  </conditionalFormatting>
  <conditionalFormatting sqref="D607">
    <cfRule type="cellIs" dxfId="8468" priority="18970" operator="equal">
      <formula>0</formula>
    </cfRule>
  </conditionalFormatting>
  <conditionalFormatting sqref="C607:G607">
    <cfRule type="cellIs" dxfId="8467" priority="18967" operator="equal">
      <formula>0</formula>
    </cfRule>
  </conditionalFormatting>
  <conditionalFormatting sqref="I608:T608">
    <cfRule type="cellIs" dxfId="8466" priority="18966" operator="equal">
      <formula>0</formula>
    </cfRule>
  </conditionalFormatting>
  <conditionalFormatting sqref="I608:T608">
    <cfRule type="cellIs" dxfId="8465" priority="18965" operator="equal">
      <formula>0</formula>
    </cfRule>
  </conditionalFormatting>
  <conditionalFormatting sqref="B608">
    <cfRule type="cellIs" dxfId="8464" priority="18964" operator="equal">
      <formula>0</formula>
    </cfRule>
  </conditionalFormatting>
  <conditionalFormatting sqref="U608">
    <cfRule type="cellIs" dxfId="8463" priority="18963" operator="equal">
      <formula>0</formula>
    </cfRule>
  </conditionalFormatting>
  <conditionalFormatting sqref="U608">
    <cfRule type="cellIs" dxfId="8462" priority="18962" operator="equal">
      <formula>0</formula>
    </cfRule>
  </conditionalFormatting>
  <conditionalFormatting sqref="F608:G608">
    <cfRule type="cellIs" dxfId="8461" priority="18961" operator="equal">
      <formula>0</formula>
    </cfRule>
  </conditionalFormatting>
  <conditionalFormatting sqref="C608:E608">
    <cfRule type="cellIs" dxfId="8460" priority="18960" operator="equal">
      <formula>0</formula>
    </cfRule>
  </conditionalFormatting>
  <conditionalFormatting sqref="D614">
    <cfRule type="cellIs" dxfId="8459" priority="18959" operator="equal">
      <formula>0</formula>
    </cfRule>
  </conditionalFormatting>
  <conditionalFormatting sqref="D609">
    <cfRule type="cellIs" dxfId="8458" priority="18955" operator="equal">
      <formula>0</formula>
    </cfRule>
  </conditionalFormatting>
  <conditionalFormatting sqref="D614:G614 I614:U614">
    <cfRule type="cellIs" dxfId="8457" priority="18957" operator="equal">
      <formula>0</formula>
    </cfRule>
  </conditionalFormatting>
  <conditionalFormatting sqref="B614">
    <cfRule type="cellIs" dxfId="8456" priority="18956" operator="equal">
      <formula>0</formula>
    </cfRule>
  </conditionalFormatting>
  <conditionalFormatting sqref="B609:U609">
    <cfRule type="cellIs" dxfId="8455" priority="18953" operator="equal">
      <formula>0</formula>
    </cfRule>
  </conditionalFormatting>
  <conditionalFormatting sqref="C609">
    <cfRule type="cellIs" dxfId="8454" priority="18954" operator="equal">
      <formula>0</formula>
    </cfRule>
  </conditionalFormatting>
  <conditionalFormatting sqref="C613">
    <cfRule type="cellIs" dxfId="8453" priority="18950" operator="equal">
      <formula>0</formula>
    </cfRule>
  </conditionalFormatting>
  <conditionalFormatting sqref="C613:G613">
    <cfRule type="cellIs" dxfId="8452" priority="18952" operator="lessThan">
      <formula>0</formula>
    </cfRule>
  </conditionalFormatting>
  <conditionalFormatting sqref="D613">
    <cfRule type="cellIs" dxfId="8451" priority="18951" operator="equal">
      <formula>0</formula>
    </cfRule>
  </conditionalFormatting>
  <conditionalFormatting sqref="C613:G613">
    <cfRule type="cellIs" dxfId="8450" priority="18949" operator="equal">
      <formula>0</formula>
    </cfRule>
  </conditionalFormatting>
  <conditionalFormatting sqref="U610:U612">
    <cfRule type="cellIs" dxfId="8449" priority="18948" operator="equal">
      <formula>0</formula>
    </cfRule>
  </conditionalFormatting>
  <conditionalFormatting sqref="I610:T612">
    <cfRule type="cellIs" dxfId="8448" priority="18946" operator="equal">
      <formula>0</formula>
    </cfRule>
  </conditionalFormatting>
  <conditionalFormatting sqref="I610:U612">
    <cfRule type="cellIs" dxfId="8447" priority="18945" operator="equal">
      <formula>0</formula>
    </cfRule>
  </conditionalFormatting>
  <conditionalFormatting sqref="U610:U612">
    <cfRule type="cellIs" dxfId="8446" priority="18944" operator="equal">
      <formula>0</formula>
    </cfRule>
  </conditionalFormatting>
  <conditionalFormatting sqref="I610:T612">
    <cfRule type="cellIs" dxfId="8445" priority="18943" operator="equal">
      <formula>0</formula>
    </cfRule>
  </conditionalFormatting>
  <conditionalFormatting sqref="I610:T612">
    <cfRule type="cellIs" dxfId="8444" priority="18942" operator="equal">
      <formula>0</formula>
    </cfRule>
  </conditionalFormatting>
  <conditionalFormatting sqref="I610:T612">
    <cfRule type="cellIs" dxfId="8443" priority="18941" operator="equal">
      <formula>0</formula>
    </cfRule>
  </conditionalFormatting>
  <conditionalFormatting sqref="U610:U612">
    <cfRule type="cellIs" dxfId="8442" priority="18940" operator="equal">
      <formula>0</formula>
    </cfRule>
  </conditionalFormatting>
  <conditionalFormatting sqref="U610:U611">
    <cfRule type="cellIs" dxfId="8441" priority="18939" operator="equal">
      <formula>0</formula>
    </cfRule>
  </conditionalFormatting>
  <conditionalFormatting sqref="B612">
    <cfRule type="cellIs" dxfId="8440" priority="18938" operator="equal">
      <formula>0</formula>
    </cfRule>
  </conditionalFormatting>
  <conditionalFormatting sqref="F610:G611">
    <cfRule type="cellIs" dxfId="8439" priority="18936" operator="equal">
      <formula>0</formula>
    </cfRule>
  </conditionalFormatting>
  <conditionalFormatting sqref="C610:C611">
    <cfRule type="cellIs" dxfId="8438" priority="18935" operator="equal">
      <formula>0</formula>
    </cfRule>
  </conditionalFormatting>
  <conditionalFormatting sqref="D610:D611">
    <cfRule type="cellIs" dxfId="8437" priority="18937" operator="equal">
      <formula>0</formula>
    </cfRule>
  </conditionalFormatting>
  <conditionalFormatting sqref="B610:G611">
    <cfRule type="cellIs" dxfId="8436" priority="18934" operator="equal">
      <formula>0</formula>
    </cfRule>
  </conditionalFormatting>
  <conditionalFormatting sqref="F612:G612">
    <cfRule type="cellIs" dxfId="8435" priority="18932" operator="equal">
      <formula>0</formula>
    </cfRule>
  </conditionalFormatting>
  <conditionalFormatting sqref="C612">
    <cfRule type="cellIs" dxfId="8434" priority="18931" operator="equal">
      <formula>0</formula>
    </cfRule>
  </conditionalFormatting>
  <conditionalFormatting sqref="D612">
    <cfRule type="cellIs" dxfId="8433" priority="18933" operator="equal">
      <formula>0</formula>
    </cfRule>
  </conditionalFormatting>
  <conditionalFormatting sqref="C612:G612">
    <cfRule type="cellIs" dxfId="8432" priority="18930" operator="equal">
      <formula>0</formula>
    </cfRule>
  </conditionalFormatting>
  <conditionalFormatting sqref="B622">
    <cfRule type="cellIs" dxfId="8431" priority="18904" operator="equal">
      <formula>0</formula>
    </cfRule>
  </conditionalFormatting>
  <conditionalFormatting sqref="B615">
    <cfRule type="cellIs" dxfId="8430" priority="18919" operator="equal">
      <formula>0</formula>
    </cfRule>
  </conditionalFormatting>
  <conditionalFormatting sqref="F615:G615">
    <cfRule type="cellIs" dxfId="8429" priority="18917" operator="equal">
      <formula>0</formula>
    </cfRule>
  </conditionalFormatting>
  <conditionalFormatting sqref="C615">
    <cfRule type="cellIs" dxfId="8428" priority="18916" operator="equal">
      <formula>0</formula>
    </cfRule>
  </conditionalFormatting>
  <conditionalFormatting sqref="D615">
    <cfRule type="cellIs" dxfId="8427" priority="18918" operator="equal">
      <formula>0</formula>
    </cfRule>
  </conditionalFormatting>
  <conditionalFormatting sqref="C615:G615">
    <cfRule type="cellIs" dxfId="8426" priority="18915" operator="equal">
      <formula>0</formula>
    </cfRule>
  </conditionalFormatting>
  <conditionalFormatting sqref="J616:T616">
    <cfRule type="cellIs" dxfId="8425" priority="18914" operator="equal">
      <formula>0</formula>
    </cfRule>
  </conditionalFormatting>
  <conditionalFormatting sqref="J616:T616">
    <cfRule type="cellIs" dxfId="8424" priority="18913" operator="equal">
      <formula>0</formula>
    </cfRule>
  </conditionalFormatting>
  <conditionalFormatting sqref="B616">
    <cfRule type="cellIs" dxfId="8423" priority="18912" operator="equal">
      <formula>0</formula>
    </cfRule>
  </conditionalFormatting>
  <conditionalFormatting sqref="U616">
    <cfRule type="cellIs" dxfId="8422" priority="18911" operator="equal">
      <formula>0</formula>
    </cfRule>
  </conditionalFormatting>
  <conditionalFormatting sqref="U616">
    <cfRule type="cellIs" dxfId="8421" priority="18910" operator="equal">
      <formula>0</formula>
    </cfRule>
  </conditionalFormatting>
  <conditionalFormatting sqref="D622">
    <cfRule type="cellIs" dxfId="8420" priority="18907" operator="equal">
      <formula>0</formula>
    </cfRule>
  </conditionalFormatting>
  <conditionalFormatting sqref="D622:G622 I622:U622">
    <cfRule type="cellIs" dxfId="8419" priority="18905" operator="equal">
      <formula>0</formula>
    </cfRule>
  </conditionalFormatting>
  <conditionalFormatting sqref="D617">
    <cfRule type="cellIs" dxfId="8418" priority="18903" operator="equal">
      <formula>0</formula>
    </cfRule>
  </conditionalFormatting>
  <conditionalFormatting sqref="B617:U617">
    <cfRule type="cellIs" dxfId="8417" priority="18901" operator="equal">
      <formula>0</formula>
    </cfRule>
  </conditionalFormatting>
  <conditionalFormatting sqref="C617">
    <cfRule type="cellIs" dxfId="8416" priority="18902" operator="equal">
      <formula>0</formula>
    </cfRule>
  </conditionalFormatting>
  <conditionalFormatting sqref="C621">
    <cfRule type="cellIs" dxfId="8415" priority="18898" operator="equal">
      <formula>0</formula>
    </cfRule>
  </conditionalFormatting>
  <conditionalFormatting sqref="C621:G621">
    <cfRule type="cellIs" dxfId="8414" priority="18900" operator="lessThan">
      <formula>0</formula>
    </cfRule>
  </conditionalFormatting>
  <conditionalFormatting sqref="D621">
    <cfRule type="cellIs" dxfId="8413" priority="18899" operator="equal">
      <formula>0</formula>
    </cfRule>
  </conditionalFormatting>
  <conditionalFormatting sqref="C621:G621">
    <cfRule type="cellIs" dxfId="8412" priority="18897" operator="equal">
      <formula>0</formula>
    </cfRule>
  </conditionalFormatting>
  <conditionalFormatting sqref="U618:U620">
    <cfRule type="cellIs" dxfId="8411" priority="18896" operator="equal">
      <formula>0</formula>
    </cfRule>
  </conditionalFormatting>
  <conditionalFormatting sqref="I618:T620">
    <cfRule type="cellIs" dxfId="8410" priority="18894" operator="equal">
      <formula>0</formula>
    </cfRule>
  </conditionalFormatting>
  <conditionalFormatting sqref="I618:U620">
    <cfRule type="cellIs" dxfId="8409" priority="18893" operator="equal">
      <formula>0</formula>
    </cfRule>
  </conditionalFormatting>
  <conditionalFormatting sqref="U618:U620">
    <cfRule type="cellIs" dxfId="8408" priority="18892" operator="equal">
      <formula>0</formula>
    </cfRule>
  </conditionalFormatting>
  <conditionalFormatting sqref="I618:T620">
    <cfRule type="cellIs" dxfId="8407" priority="18891" operator="equal">
      <formula>0</formula>
    </cfRule>
  </conditionalFormatting>
  <conditionalFormatting sqref="I618:T620">
    <cfRule type="cellIs" dxfId="8406" priority="18890" operator="equal">
      <formula>0</formula>
    </cfRule>
  </conditionalFormatting>
  <conditionalFormatting sqref="I618:T620">
    <cfRule type="cellIs" dxfId="8405" priority="18889" operator="equal">
      <formula>0</formula>
    </cfRule>
  </conditionalFormatting>
  <conditionalFormatting sqref="U618:U620">
    <cfRule type="cellIs" dxfId="8404" priority="18888" operator="equal">
      <formula>0</formula>
    </cfRule>
  </conditionalFormatting>
  <conditionalFormatting sqref="U618:U619">
    <cfRule type="cellIs" dxfId="8403" priority="18887" operator="equal">
      <formula>0</formula>
    </cfRule>
  </conditionalFormatting>
  <conditionalFormatting sqref="B620">
    <cfRule type="cellIs" dxfId="8402" priority="18886" operator="equal">
      <formula>0</formula>
    </cfRule>
  </conditionalFormatting>
  <conditionalFormatting sqref="D618:D619">
    <cfRule type="cellIs" dxfId="8401" priority="18885" operator="equal">
      <formula>0</formula>
    </cfRule>
  </conditionalFormatting>
  <conditionalFormatting sqref="F620:G620">
    <cfRule type="cellIs" dxfId="8400" priority="18880" operator="equal">
      <formula>0</formula>
    </cfRule>
  </conditionalFormatting>
  <conditionalFormatting sqref="C620">
    <cfRule type="cellIs" dxfId="8399" priority="18879" operator="equal">
      <formula>0</formula>
    </cfRule>
  </conditionalFormatting>
  <conditionalFormatting sqref="D620">
    <cfRule type="cellIs" dxfId="8398" priority="18881" operator="equal">
      <formula>0</formula>
    </cfRule>
  </conditionalFormatting>
  <conditionalFormatting sqref="C620:G620">
    <cfRule type="cellIs" dxfId="8397" priority="18878" operator="equal">
      <formula>0</formula>
    </cfRule>
  </conditionalFormatting>
  <conditionalFormatting sqref="U621">
    <cfRule type="cellIs" dxfId="8396" priority="18877" operator="equal">
      <formula>0</formula>
    </cfRule>
  </conditionalFormatting>
  <conditionalFormatting sqref="I621:U621">
    <cfRule type="cellIs" dxfId="8395" priority="18876" operator="equal">
      <formula>0</formula>
    </cfRule>
  </conditionalFormatting>
  <conditionalFormatting sqref="U624">
    <cfRule type="cellIs" dxfId="8394" priority="18858" operator="equal">
      <formula>0</formula>
    </cfRule>
  </conditionalFormatting>
  <conditionalFormatting sqref="B623">
    <cfRule type="cellIs" dxfId="8393" priority="18867" operator="equal">
      <formula>0</formula>
    </cfRule>
  </conditionalFormatting>
  <conditionalFormatting sqref="F623:G623">
    <cfRule type="cellIs" dxfId="8392" priority="18865" operator="equal">
      <formula>0</formula>
    </cfRule>
  </conditionalFormatting>
  <conditionalFormatting sqref="C623">
    <cfRule type="cellIs" dxfId="8391" priority="18864" operator="equal">
      <formula>0</formula>
    </cfRule>
  </conditionalFormatting>
  <conditionalFormatting sqref="D623">
    <cfRule type="cellIs" dxfId="8390" priority="18866" operator="equal">
      <formula>0</formula>
    </cfRule>
  </conditionalFormatting>
  <conditionalFormatting sqref="C623:G623">
    <cfRule type="cellIs" dxfId="8389" priority="18863" operator="equal">
      <formula>0</formula>
    </cfRule>
  </conditionalFormatting>
  <conditionalFormatting sqref="J624:T624">
    <cfRule type="cellIs" dxfId="8388" priority="18862" operator="equal">
      <formula>0</formula>
    </cfRule>
  </conditionalFormatting>
  <conditionalFormatting sqref="J624:T624">
    <cfRule type="cellIs" dxfId="8387" priority="18861" operator="equal">
      <formula>0</formula>
    </cfRule>
  </conditionalFormatting>
  <conditionalFormatting sqref="B624">
    <cfRule type="cellIs" dxfId="8386" priority="18860" operator="equal">
      <formula>0</formula>
    </cfRule>
  </conditionalFormatting>
  <conditionalFormatting sqref="U624">
    <cfRule type="cellIs" dxfId="8385" priority="18859" operator="equal">
      <formula>0</formula>
    </cfRule>
  </conditionalFormatting>
  <conditionalFormatting sqref="D630">
    <cfRule type="cellIs" dxfId="8384" priority="18855" operator="equal">
      <formula>0</formula>
    </cfRule>
  </conditionalFormatting>
  <conditionalFormatting sqref="D630:G630 I630:U630">
    <cfRule type="cellIs" dxfId="8383" priority="18853" operator="equal">
      <formula>0</formula>
    </cfRule>
  </conditionalFormatting>
  <conditionalFormatting sqref="D625">
    <cfRule type="cellIs" dxfId="8382" priority="18851" operator="equal">
      <formula>0</formula>
    </cfRule>
  </conditionalFormatting>
  <conditionalFormatting sqref="B625:U625">
    <cfRule type="cellIs" dxfId="8381" priority="18849" operator="equal">
      <formula>0</formula>
    </cfRule>
  </conditionalFormatting>
  <conditionalFormatting sqref="C625">
    <cfRule type="cellIs" dxfId="8380" priority="18850" operator="equal">
      <formula>0</formula>
    </cfRule>
  </conditionalFormatting>
  <conditionalFormatting sqref="C629">
    <cfRule type="cellIs" dxfId="8379" priority="18846" operator="equal">
      <formula>0</formula>
    </cfRule>
  </conditionalFormatting>
  <conditionalFormatting sqref="C629:G629">
    <cfRule type="cellIs" dxfId="8378" priority="18848" operator="lessThan">
      <formula>0</formula>
    </cfRule>
  </conditionalFormatting>
  <conditionalFormatting sqref="D629">
    <cfRule type="cellIs" dxfId="8377" priority="18847" operator="equal">
      <formula>0</formula>
    </cfRule>
  </conditionalFormatting>
  <conditionalFormatting sqref="C629:G629">
    <cfRule type="cellIs" dxfId="8376" priority="18845" operator="equal">
      <formula>0</formula>
    </cfRule>
  </conditionalFormatting>
  <conditionalFormatting sqref="U626:U628">
    <cfRule type="cellIs" dxfId="8375" priority="18844" operator="equal">
      <formula>0</formula>
    </cfRule>
  </conditionalFormatting>
  <conditionalFormatting sqref="I626:T628">
    <cfRule type="cellIs" dxfId="8374" priority="18842" operator="equal">
      <formula>0</formula>
    </cfRule>
  </conditionalFormatting>
  <conditionalFormatting sqref="I626:U628">
    <cfRule type="cellIs" dxfId="8373" priority="18841" operator="equal">
      <formula>0</formula>
    </cfRule>
  </conditionalFormatting>
  <conditionalFormatting sqref="U626:U628">
    <cfRule type="cellIs" dxfId="8372" priority="18840" operator="equal">
      <formula>0</formula>
    </cfRule>
  </conditionalFormatting>
  <conditionalFormatting sqref="I626:T628">
    <cfRule type="cellIs" dxfId="8371" priority="18838" operator="equal">
      <formula>0</formula>
    </cfRule>
  </conditionalFormatting>
  <conditionalFormatting sqref="I626:T628">
    <cfRule type="cellIs" dxfId="8370" priority="18837" operator="equal">
      <formula>0</formula>
    </cfRule>
  </conditionalFormatting>
  <conditionalFormatting sqref="F626:G627">
    <cfRule type="cellIs" dxfId="8369" priority="18832" operator="equal">
      <formula>0</formula>
    </cfRule>
  </conditionalFormatting>
  <conditionalFormatting sqref="C626:C627">
    <cfRule type="cellIs" dxfId="8368" priority="18831" operator="equal">
      <formula>0</formula>
    </cfRule>
  </conditionalFormatting>
  <conditionalFormatting sqref="B626:G627">
    <cfRule type="cellIs" dxfId="8367" priority="18830" operator="equal">
      <formula>0</formula>
    </cfRule>
  </conditionalFormatting>
  <conditionalFormatting sqref="F628:G628">
    <cfRule type="cellIs" dxfId="8366" priority="18828" operator="equal">
      <formula>0</formula>
    </cfRule>
  </conditionalFormatting>
  <conditionalFormatting sqref="C628">
    <cfRule type="cellIs" dxfId="8365" priority="18827" operator="equal">
      <formula>0</formula>
    </cfRule>
  </conditionalFormatting>
  <conditionalFormatting sqref="D628">
    <cfRule type="cellIs" dxfId="8364" priority="18829" operator="equal">
      <formula>0</formula>
    </cfRule>
  </conditionalFormatting>
  <conditionalFormatting sqref="C628:G628">
    <cfRule type="cellIs" dxfId="8363" priority="18826" operator="equal">
      <formula>0</formula>
    </cfRule>
  </conditionalFormatting>
  <conditionalFormatting sqref="C682:E682">
    <cfRule type="cellIs" dxfId="8362" priority="18690" operator="equal">
      <formula>0</formula>
    </cfRule>
  </conditionalFormatting>
  <conditionalFormatting sqref="D631">
    <cfRule type="cellIs" dxfId="8361" priority="18814" operator="equal">
      <formula>0</formula>
    </cfRule>
  </conditionalFormatting>
  <conditionalFormatting sqref="U687">
    <cfRule type="cellIs" dxfId="8360" priority="18688" operator="equal">
      <formula>0</formula>
    </cfRule>
  </conditionalFormatting>
  <conditionalFormatting sqref="U689:U690">
    <cfRule type="cellIs" dxfId="8359" priority="18686" operator="equal">
      <formula>0</formula>
    </cfRule>
  </conditionalFormatting>
  <conditionalFormatting sqref="D689:D690">
    <cfRule type="cellIs" dxfId="8358" priority="18685" operator="equal">
      <formula>0</formula>
    </cfRule>
  </conditionalFormatting>
  <conditionalFormatting sqref="B631">
    <cfRule type="cellIs" dxfId="8357" priority="18815" operator="equal">
      <formula>0</formula>
    </cfRule>
  </conditionalFormatting>
  <conditionalFormatting sqref="F631:G631">
    <cfRule type="cellIs" dxfId="8356" priority="18813" operator="equal">
      <formula>0</formula>
    </cfRule>
  </conditionalFormatting>
  <conditionalFormatting sqref="C631">
    <cfRule type="cellIs" dxfId="8355" priority="18812" operator="equal">
      <formula>0</formula>
    </cfRule>
  </conditionalFormatting>
  <conditionalFormatting sqref="C631:G631">
    <cfRule type="cellIs" dxfId="8354" priority="18811" operator="equal">
      <formula>0</formula>
    </cfRule>
  </conditionalFormatting>
  <conditionalFormatting sqref="C666:G667">
    <cfRule type="cellIs" dxfId="8353" priority="18810" operator="equal">
      <formula>0</formula>
    </cfRule>
  </conditionalFormatting>
  <conditionalFormatting sqref="C673:G673">
    <cfRule type="cellIs" dxfId="8352" priority="18795" operator="equal">
      <formula>0</formula>
    </cfRule>
  </conditionalFormatting>
  <conditionalFormatting sqref="F672:G672">
    <cfRule type="cellIs" dxfId="8351" priority="18794" operator="equal">
      <formula>0</formula>
    </cfRule>
  </conditionalFormatting>
  <conditionalFormatting sqref="C672:E672">
    <cfRule type="cellIs" dxfId="8350" priority="18793" operator="equal">
      <formula>0</formula>
    </cfRule>
  </conditionalFormatting>
  <conditionalFormatting sqref="F616:G616">
    <cfRule type="cellIs" dxfId="8349" priority="18792" operator="equal">
      <formula>0</formula>
    </cfRule>
  </conditionalFormatting>
  <conditionalFormatting sqref="C616:E616">
    <cfRule type="cellIs" dxfId="8348" priority="18791" operator="equal">
      <formula>0</formula>
    </cfRule>
  </conditionalFormatting>
  <conditionalFormatting sqref="F624:G624">
    <cfRule type="cellIs" dxfId="8347" priority="18790" operator="equal">
      <formula>0</formula>
    </cfRule>
  </conditionalFormatting>
  <conditionalFormatting sqref="C624:E624">
    <cfRule type="cellIs" dxfId="8346" priority="18789" operator="equal">
      <formula>0</formula>
    </cfRule>
  </conditionalFormatting>
  <conditionalFormatting sqref="F665:G665">
    <cfRule type="cellIs" dxfId="8345" priority="18786" operator="equal">
      <formula>0</formula>
    </cfRule>
  </conditionalFormatting>
  <conditionalFormatting sqref="C665:E665">
    <cfRule type="cellIs" dxfId="8344" priority="18785" operator="equal">
      <formula>0</formula>
    </cfRule>
  </conditionalFormatting>
  <conditionalFormatting sqref="I677:T677">
    <cfRule type="cellIs" dxfId="8343" priority="18741" operator="equal">
      <formula>0</formula>
    </cfRule>
  </conditionalFormatting>
  <conditionalFormatting sqref="U677">
    <cfRule type="cellIs" dxfId="8342" priority="18740" operator="equal">
      <formula>0</formula>
    </cfRule>
  </conditionalFormatting>
  <conditionalFormatting sqref="B676:U676 B677 I677:U677">
    <cfRule type="cellIs" dxfId="8341" priority="18739" operator="equal">
      <formula>0</formula>
    </cfRule>
  </conditionalFormatting>
  <conditionalFormatting sqref="C678:G678">
    <cfRule type="cellIs" dxfId="8340" priority="18718" operator="equal">
      <formula>0</formula>
    </cfRule>
  </conditionalFormatting>
  <conditionalFormatting sqref="F677:G677">
    <cfRule type="cellIs" dxfId="8339" priority="18717" operator="equal">
      <formula>0</formula>
    </cfRule>
  </conditionalFormatting>
  <conditionalFormatting sqref="C677:E677">
    <cfRule type="cellIs" dxfId="8338" priority="18716" operator="equal">
      <formula>0</formula>
    </cfRule>
  </conditionalFormatting>
  <conditionalFormatting sqref="I682:T682">
    <cfRule type="cellIs" dxfId="8337" priority="18715" operator="equal">
      <formula>0</formula>
    </cfRule>
  </conditionalFormatting>
  <conditionalFormatting sqref="U684:U685">
    <cfRule type="cellIs" dxfId="8336" priority="18712" operator="equal">
      <formula>0</formula>
    </cfRule>
  </conditionalFormatting>
  <conditionalFormatting sqref="C684:C685">
    <cfRule type="cellIs" dxfId="8335" priority="18709" operator="equal">
      <formula>0</formula>
    </cfRule>
  </conditionalFormatting>
  <conditionalFormatting sqref="H684:H685">
    <cfRule type="cellIs" dxfId="8334" priority="18708" operator="equal">
      <formula>0</formula>
    </cfRule>
  </conditionalFormatting>
  <conditionalFormatting sqref="I684:T685">
    <cfRule type="cellIs" dxfId="8333" priority="18707" operator="equal">
      <formula>0</formula>
    </cfRule>
  </conditionalFormatting>
  <conditionalFormatting sqref="F684:G685">
    <cfRule type="cellIs" dxfId="8332" priority="18710" operator="equal">
      <formula>0</formula>
    </cfRule>
  </conditionalFormatting>
  <conditionalFormatting sqref="U682">
    <cfRule type="cellIs" dxfId="8331" priority="18714" operator="equal">
      <formula>0</formula>
    </cfRule>
  </conditionalFormatting>
  <conditionalFormatting sqref="B681:U681 B682 I682:U682">
    <cfRule type="cellIs" dxfId="8330" priority="18713" operator="equal">
      <formula>0</formula>
    </cfRule>
  </conditionalFormatting>
  <conditionalFormatting sqref="D684:D685">
    <cfRule type="cellIs" dxfId="8329" priority="18711" operator="equal">
      <formula>0</formula>
    </cfRule>
  </conditionalFormatting>
  <conditionalFormatting sqref="B684:U685">
    <cfRule type="cellIs" dxfId="8328" priority="18706" operator="equal">
      <formula>0</formula>
    </cfRule>
  </conditionalFormatting>
  <conditionalFormatting sqref="C683:G683">
    <cfRule type="cellIs" dxfId="8327" priority="18692" operator="equal">
      <formula>0</formula>
    </cfRule>
  </conditionalFormatting>
  <conditionalFormatting sqref="F682:G682">
    <cfRule type="cellIs" dxfId="8326" priority="18691" operator="equal">
      <formula>0</formula>
    </cfRule>
  </conditionalFormatting>
  <conditionalFormatting sqref="I687:T687">
    <cfRule type="cellIs" dxfId="8325" priority="18689" operator="equal">
      <formula>0</formula>
    </cfRule>
  </conditionalFormatting>
  <conditionalFormatting sqref="C689:C690">
    <cfRule type="cellIs" dxfId="8324" priority="18683" operator="equal">
      <formula>0</formula>
    </cfRule>
  </conditionalFormatting>
  <conditionalFormatting sqref="H689:H690">
    <cfRule type="cellIs" dxfId="8323" priority="18682" operator="equal">
      <formula>0</formula>
    </cfRule>
  </conditionalFormatting>
  <conditionalFormatting sqref="I689:T690">
    <cfRule type="cellIs" dxfId="8322" priority="18681" operator="equal">
      <formula>0</formula>
    </cfRule>
  </conditionalFormatting>
  <conditionalFormatting sqref="F689:G690">
    <cfRule type="cellIs" dxfId="8321" priority="18684" operator="equal">
      <formula>0</formula>
    </cfRule>
  </conditionalFormatting>
  <conditionalFormatting sqref="B686:U686 B687 I687:U687">
    <cfRule type="cellIs" dxfId="8320" priority="18687" operator="equal">
      <formula>0</formula>
    </cfRule>
  </conditionalFormatting>
  <conditionalFormatting sqref="B689:U690">
    <cfRule type="cellIs" dxfId="8319" priority="18680" operator="equal">
      <formula>0</formula>
    </cfRule>
  </conditionalFormatting>
  <conditionalFormatting sqref="C688:G688">
    <cfRule type="cellIs" dxfId="8318" priority="18666" operator="equal">
      <formula>0</formula>
    </cfRule>
  </conditionalFormatting>
  <conditionalFormatting sqref="F687:G687">
    <cfRule type="cellIs" dxfId="8317" priority="18665" operator="equal">
      <formula>0</formula>
    </cfRule>
  </conditionalFormatting>
  <conditionalFormatting sqref="C687:E687">
    <cfRule type="cellIs" dxfId="8316" priority="18664" operator="equal">
      <formula>0</formula>
    </cfRule>
  </conditionalFormatting>
  <conditionalFormatting sqref="I692:T692">
    <cfRule type="cellIs" dxfId="8315" priority="18663" operator="equal">
      <formula>0</formula>
    </cfRule>
  </conditionalFormatting>
  <conditionalFormatting sqref="U694:U696">
    <cfRule type="cellIs" dxfId="8314" priority="18660" operator="equal">
      <formula>0</formula>
    </cfRule>
  </conditionalFormatting>
  <conditionalFormatting sqref="H694:H696">
    <cfRule type="cellIs" dxfId="8313" priority="18656" operator="equal">
      <formula>0</formula>
    </cfRule>
  </conditionalFormatting>
  <conditionalFormatting sqref="I694:T696">
    <cfRule type="cellIs" dxfId="8312" priority="18655" operator="equal">
      <formula>0</formula>
    </cfRule>
  </conditionalFormatting>
  <conditionalFormatting sqref="F694:G696">
    <cfRule type="cellIs" dxfId="8311" priority="18658" operator="equal">
      <formula>0</formula>
    </cfRule>
  </conditionalFormatting>
  <conditionalFormatting sqref="U692">
    <cfRule type="cellIs" dxfId="8310" priority="18662" operator="equal">
      <formula>0</formula>
    </cfRule>
  </conditionalFormatting>
  <conditionalFormatting sqref="B691:U691 B692 I692:U692">
    <cfRule type="cellIs" dxfId="8309" priority="18661" operator="equal">
      <formula>0</formula>
    </cfRule>
  </conditionalFormatting>
  <conditionalFormatting sqref="D694:D696">
    <cfRule type="cellIs" dxfId="8308" priority="18659" operator="equal">
      <formula>0</formula>
    </cfRule>
  </conditionalFormatting>
  <conditionalFormatting sqref="B694:B696 D694:U696">
    <cfRule type="cellIs" dxfId="8307" priority="18654" operator="equal">
      <formula>0</formula>
    </cfRule>
  </conditionalFormatting>
  <conditionalFormatting sqref="C693">
    <cfRule type="cellIs" dxfId="8306" priority="18641" operator="equal">
      <formula>0</formula>
    </cfRule>
  </conditionalFormatting>
  <conditionalFormatting sqref="C693:G693">
    <cfRule type="cellIs" dxfId="8305" priority="18640" operator="equal">
      <formula>0</formula>
    </cfRule>
  </conditionalFormatting>
  <conditionalFormatting sqref="F692:G692">
    <cfRule type="cellIs" dxfId="8304" priority="18639" operator="equal">
      <formula>0</formula>
    </cfRule>
  </conditionalFormatting>
  <conditionalFormatting sqref="C692:E692">
    <cfRule type="cellIs" dxfId="8303" priority="18638" operator="equal">
      <formula>0</formula>
    </cfRule>
  </conditionalFormatting>
  <conditionalFormatting sqref="I699:T699">
    <cfRule type="cellIs" dxfId="8302" priority="18637" operator="equal">
      <formula>0</formula>
    </cfRule>
  </conditionalFormatting>
  <conditionalFormatting sqref="U701:U702">
    <cfRule type="cellIs" dxfId="8301" priority="18634" operator="equal">
      <formula>0</formula>
    </cfRule>
  </conditionalFormatting>
  <conditionalFormatting sqref="C701:C702">
    <cfRule type="cellIs" dxfId="8300" priority="18631" operator="equal">
      <formula>0</formula>
    </cfRule>
  </conditionalFormatting>
  <conditionalFormatting sqref="H701:H702">
    <cfRule type="cellIs" dxfId="8299" priority="18630" operator="equal">
      <formula>0</formula>
    </cfRule>
  </conditionalFormatting>
  <conditionalFormatting sqref="I701:T702">
    <cfRule type="cellIs" dxfId="8298" priority="18629" operator="equal">
      <formula>0</formula>
    </cfRule>
  </conditionalFormatting>
  <conditionalFormatting sqref="F701:G702">
    <cfRule type="cellIs" dxfId="8297" priority="18632" operator="equal">
      <formula>0</formula>
    </cfRule>
  </conditionalFormatting>
  <conditionalFormatting sqref="U699">
    <cfRule type="cellIs" dxfId="8296" priority="18636" operator="equal">
      <formula>0</formula>
    </cfRule>
  </conditionalFormatting>
  <conditionalFormatting sqref="B698:U698 B699 I699:U699">
    <cfRule type="cellIs" dxfId="8295" priority="18635" operator="equal">
      <formula>0</formula>
    </cfRule>
  </conditionalFormatting>
  <conditionalFormatting sqref="D701:D702">
    <cfRule type="cellIs" dxfId="8294" priority="18633" operator="equal">
      <formula>0</formula>
    </cfRule>
  </conditionalFormatting>
  <conditionalFormatting sqref="B701:U702">
    <cfRule type="cellIs" dxfId="8293" priority="18628" operator="equal">
      <formula>0</formula>
    </cfRule>
  </conditionalFormatting>
  <conditionalFormatting sqref="C700:G700">
    <cfRule type="cellIs" dxfId="8292" priority="18614" operator="equal">
      <formula>0</formula>
    </cfRule>
  </conditionalFormatting>
  <conditionalFormatting sqref="F699:G699">
    <cfRule type="cellIs" dxfId="8291" priority="18613" operator="equal">
      <formula>0</formula>
    </cfRule>
  </conditionalFormatting>
  <conditionalFormatting sqref="C699:E699">
    <cfRule type="cellIs" dxfId="8290" priority="18612" operator="equal">
      <formula>0</formula>
    </cfRule>
  </conditionalFormatting>
  <conditionalFormatting sqref="I704:T704">
    <cfRule type="cellIs" dxfId="8289" priority="18611" operator="equal">
      <formula>0</formula>
    </cfRule>
  </conditionalFormatting>
  <conditionalFormatting sqref="U706:U707">
    <cfRule type="cellIs" dxfId="8288" priority="18608" operator="equal">
      <formula>0</formula>
    </cfRule>
  </conditionalFormatting>
  <conditionalFormatting sqref="C706:C707">
    <cfRule type="cellIs" dxfId="8287" priority="18605" operator="equal">
      <formula>0</formula>
    </cfRule>
  </conditionalFormatting>
  <conditionalFormatting sqref="H706:H707">
    <cfRule type="cellIs" dxfId="8286" priority="18604" operator="equal">
      <formula>0</formula>
    </cfRule>
  </conditionalFormatting>
  <conditionalFormatting sqref="I706:T707">
    <cfRule type="cellIs" dxfId="8285" priority="18603" operator="equal">
      <formula>0</formula>
    </cfRule>
  </conditionalFormatting>
  <conditionalFormatting sqref="F706:G707">
    <cfRule type="cellIs" dxfId="8284" priority="18606" operator="equal">
      <formula>0</formula>
    </cfRule>
  </conditionalFormatting>
  <conditionalFormatting sqref="U704">
    <cfRule type="cellIs" dxfId="8283" priority="18610" operator="equal">
      <formula>0</formula>
    </cfRule>
  </conditionalFormatting>
  <conditionalFormatting sqref="B703:U703 B704 I704:U704">
    <cfRule type="cellIs" dxfId="8282" priority="18609" operator="equal">
      <formula>0</formula>
    </cfRule>
  </conditionalFormatting>
  <conditionalFormatting sqref="D706:D707">
    <cfRule type="cellIs" dxfId="8281" priority="18607" operator="equal">
      <formula>0</formula>
    </cfRule>
  </conditionalFormatting>
  <conditionalFormatting sqref="B706:U707">
    <cfRule type="cellIs" dxfId="8280" priority="18602" operator="equal">
      <formula>0</formula>
    </cfRule>
  </conditionalFormatting>
  <conditionalFormatting sqref="C705:G705">
    <cfRule type="cellIs" dxfId="8279" priority="18588" operator="equal">
      <formula>0</formula>
    </cfRule>
  </conditionalFormatting>
  <conditionalFormatting sqref="F704:G704">
    <cfRule type="cellIs" dxfId="8278" priority="18587" operator="equal">
      <formula>0</formula>
    </cfRule>
  </conditionalFormatting>
  <conditionalFormatting sqref="C704:E704">
    <cfRule type="cellIs" dxfId="8277" priority="18586" operator="equal">
      <formula>0</formula>
    </cfRule>
  </conditionalFormatting>
  <conditionalFormatting sqref="I709:T709">
    <cfRule type="cellIs" dxfId="8276" priority="18585" operator="equal">
      <formula>0</formula>
    </cfRule>
  </conditionalFormatting>
  <conditionalFormatting sqref="U709">
    <cfRule type="cellIs" dxfId="8275" priority="18584" operator="equal">
      <formula>0</formula>
    </cfRule>
  </conditionalFormatting>
  <conditionalFormatting sqref="B708:U708 B709 I709:U709">
    <cfRule type="cellIs" dxfId="8274" priority="18583" operator="equal">
      <formula>0</formula>
    </cfRule>
  </conditionalFormatting>
  <conditionalFormatting sqref="C710:G710">
    <cfRule type="cellIs" dxfId="8273" priority="18562" operator="equal">
      <formula>0</formula>
    </cfRule>
  </conditionalFormatting>
  <conditionalFormatting sqref="F709:G709">
    <cfRule type="cellIs" dxfId="8272" priority="18561" operator="equal">
      <formula>0</formula>
    </cfRule>
  </conditionalFormatting>
  <conditionalFormatting sqref="C709:E709">
    <cfRule type="cellIs" dxfId="8271" priority="18560" operator="equal">
      <formula>0</formula>
    </cfRule>
  </conditionalFormatting>
  <conditionalFormatting sqref="I714:T714">
    <cfRule type="cellIs" dxfId="8270" priority="18559" operator="equal">
      <formula>0</formula>
    </cfRule>
  </conditionalFormatting>
  <conditionalFormatting sqref="U714">
    <cfRule type="cellIs" dxfId="8269" priority="18558" operator="equal">
      <formula>0</formula>
    </cfRule>
  </conditionalFormatting>
  <conditionalFormatting sqref="B713:U713 B714 I714:U714">
    <cfRule type="cellIs" dxfId="8268" priority="18557" operator="equal">
      <formula>0</formula>
    </cfRule>
  </conditionalFormatting>
  <conditionalFormatting sqref="C715:G715">
    <cfRule type="cellIs" dxfId="8267" priority="18536" operator="equal">
      <formula>0</formula>
    </cfRule>
  </conditionalFormatting>
  <conditionalFormatting sqref="F714:G714">
    <cfRule type="cellIs" dxfId="8266" priority="18535" operator="equal">
      <formula>0</formula>
    </cfRule>
  </conditionalFormatting>
  <conditionalFormatting sqref="C714:E714">
    <cfRule type="cellIs" dxfId="8265" priority="18534" operator="equal">
      <formula>0</formula>
    </cfRule>
  </conditionalFormatting>
  <conditionalFormatting sqref="I719:T719">
    <cfRule type="cellIs" dxfId="8264" priority="18533" operator="equal">
      <formula>0</formula>
    </cfRule>
  </conditionalFormatting>
  <conditionalFormatting sqref="U721:U722">
    <cfRule type="cellIs" dxfId="8263" priority="18530" operator="equal">
      <formula>0</formula>
    </cfRule>
  </conditionalFormatting>
  <conditionalFormatting sqref="C721:C722">
    <cfRule type="cellIs" dxfId="8262" priority="18527" operator="equal">
      <formula>0</formula>
    </cfRule>
  </conditionalFormatting>
  <conditionalFormatting sqref="H721:H722">
    <cfRule type="cellIs" dxfId="8261" priority="18526" operator="equal">
      <formula>0</formula>
    </cfRule>
  </conditionalFormatting>
  <conditionalFormatting sqref="I721:T722">
    <cfRule type="cellIs" dxfId="8260" priority="18525" operator="equal">
      <formula>0</formula>
    </cfRule>
  </conditionalFormatting>
  <conditionalFormatting sqref="F721:G722">
    <cfRule type="cellIs" dxfId="8259" priority="18528" operator="equal">
      <formula>0</formula>
    </cfRule>
  </conditionalFormatting>
  <conditionalFormatting sqref="U719">
    <cfRule type="cellIs" dxfId="8258" priority="18532" operator="equal">
      <formula>0</formula>
    </cfRule>
  </conditionalFormatting>
  <conditionalFormatting sqref="B718:U718 B719 I719:U719">
    <cfRule type="cellIs" dxfId="8257" priority="18531" operator="equal">
      <formula>0</formula>
    </cfRule>
  </conditionalFormatting>
  <conditionalFormatting sqref="D721:D722">
    <cfRule type="cellIs" dxfId="8256" priority="18529" operator="equal">
      <formula>0</formula>
    </cfRule>
  </conditionalFormatting>
  <conditionalFormatting sqref="B721:U722">
    <cfRule type="cellIs" dxfId="8255" priority="18524" operator="equal">
      <formula>0</formula>
    </cfRule>
  </conditionalFormatting>
  <conditionalFormatting sqref="C720:G720">
    <cfRule type="cellIs" dxfId="8254" priority="18510" operator="equal">
      <formula>0</formula>
    </cfRule>
  </conditionalFormatting>
  <conditionalFormatting sqref="F719:G719">
    <cfRule type="cellIs" dxfId="8253" priority="18509" operator="equal">
      <formula>0</formula>
    </cfRule>
  </conditionalFormatting>
  <conditionalFormatting sqref="C719:E719">
    <cfRule type="cellIs" dxfId="8252" priority="18508" operator="equal">
      <formula>0</formula>
    </cfRule>
  </conditionalFormatting>
  <conditionalFormatting sqref="I726:T726">
    <cfRule type="cellIs" dxfId="8251" priority="18507" operator="equal">
      <formula>0</formula>
    </cfRule>
  </conditionalFormatting>
  <conditionalFormatting sqref="U726">
    <cfRule type="cellIs" dxfId="8250" priority="18506" operator="equal">
      <formula>0</formula>
    </cfRule>
  </conditionalFormatting>
  <conditionalFormatting sqref="B725:U725 B726 I726:U726">
    <cfRule type="cellIs" dxfId="8249" priority="18505" operator="equal">
      <formula>0</formula>
    </cfRule>
  </conditionalFormatting>
  <conditionalFormatting sqref="F726:G726">
    <cfRule type="cellIs" dxfId="8248" priority="18504" operator="equal">
      <formula>0</formula>
    </cfRule>
  </conditionalFormatting>
  <conditionalFormatting sqref="C726:E726">
    <cfRule type="cellIs" dxfId="8247" priority="18503" operator="equal">
      <formula>0</formula>
    </cfRule>
  </conditionalFormatting>
  <conditionalFormatting sqref="H727:H728">
    <cfRule type="cellIs" dxfId="8246" priority="18501" operator="equal">
      <formula>0</formula>
    </cfRule>
  </conditionalFormatting>
  <conditionalFormatting sqref="U727:U728">
    <cfRule type="cellIs" dxfId="8245" priority="18502" operator="equal">
      <formula>0</formula>
    </cfRule>
  </conditionalFormatting>
  <conditionalFormatting sqref="I727:T728">
    <cfRule type="cellIs" dxfId="8244" priority="18500" operator="equal">
      <formula>0</formula>
    </cfRule>
  </conditionalFormatting>
  <conditionalFormatting sqref="H727:U728">
    <cfRule type="cellIs" dxfId="8243" priority="18499" operator="equal">
      <formula>0</formula>
    </cfRule>
  </conditionalFormatting>
  <conditionalFormatting sqref="U727:U728">
    <cfRule type="cellIs" dxfId="8242" priority="18498" operator="equal">
      <formula>0</formula>
    </cfRule>
  </conditionalFormatting>
  <conditionalFormatting sqref="I727:T728">
    <cfRule type="cellIs" dxfId="8241" priority="18497" operator="equal">
      <formula>0</formula>
    </cfRule>
  </conditionalFormatting>
  <conditionalFormatting sqref="I727:T728">
    <cfRule type="cellIs" dxfId="8240" priority="18496" operator="equal">
      <formula>0</formula>
    </cfRule>
  </conditionalFormatting>
  <conditionalFormatting sqref="I727:T728">
    <cfRule type="cellIs" dxfId="8239" priority="18495" operator="equal">
      <formula>0</formula>
    </cfRule>
  </conditionalFormatting>
  <conditionalFormatting sqref="U727:U728">
    <cfRule type="cellIs" dxfId="8238" priority="18494" operator="equal">
      <formula>0</formula>
    </cfRule>
  </conditionalFormatting>
  <conditionalFormatting sqref="U727:U728">
    <cfRule type="cellIs" dxfId="8237" priority="18493" operator="equal">
      <formula>0</formula>
    </cfRule>
  </conditionalFormatting>
  <conditionalFormatting sqref="F727:G728">
    <cfRule type="cellIs" dxfId="8236" priority="18491" operator="equal">
      <formula>0</formula>
    </cfRule>
  </conditionalFormatting>
  <conditionalFormatting sqref="C727:C728">
    <cfRule type="cellIs" dxfId="8235" priority="18490" operator="equal">
      <formula>0</formula>
    </cfRule>
  </conditionalFormatting>
  <conditionalFormatting sqref="D727:D728">
    <cfRule type="cellIs" dxfId="8234" priority="18492" operator="equal">
      <formula>0</formula>
    </cfRule>
  </conditionalFormatting>
  <conditionalFormatting sqref="B728:G728 C727:G727">
    <cfRule type="cellIs" dxfId="8233" priority="18489" operator="equal">
      <formula>0</formula>
    </cfRule>
  </conditionalFormatting>
  <conditionalFormatting sqref="I730:T730">
    <cfRule type="cellIs" dxfId="8232" priority="18488" operator="equal">
      <formula>0</formula>
    </cfRule>
  </conditionalFormatting>
  <conditionalFormatting sqref="U730">
    <cfRule type="cellIs" dxfId="8231" priority="18487" operator="equal">
      <formula>0</formula>
    </cfRule>
  </conditionalFormatting>
  <conditionalFormatting sqref="B729:U729 B730 I730:U730">
    <cfRule type="cellIs" dxfId="8230" priority="18486" operator="equal">
      <formula>0</formula>
    </cfRule>
  </conditionalFormatting>
  <conditionalFormatting sqref="F730:G730">
    <cfRule type="cellIs" dxfId="8229" priority="18485" operator="equal">
      <formula>0</formula>
    </cfRule>
  </conditionalFormatting>
  <conditionalFormatting sqref="C730:E730">
    <cfRule type="cellIs" dxfId="8228" priority="18484" operator="equal">
      <formula>0</formula>
    </cfRule>
  </conditionalFormatting>
  <conditionalFormatting sqref="H731:H732">
    <cfRule type="cellIs" dxfId="8227" priority="18482" operator="equal">
      <formula>0</formula>
    </cfRule>
  </conditionalFormatting>
  <conditionalFormatting sqref="U731:U732">
    <cfRule type="cellIs" dxfId="8226" priority="18483" operator="equal">
      <formula>0</formula>
    </cfRule>
  </conditionalFormatting>
  <conditionalFormatting sqref="I731:T732">
    <cfRule type="cellIs" dxfId="8225" priority="18481" operator="equal">
      <formula>0</formula>
    </cfRule>
  </conditionalFormatting>
  <conditionalFormatting sqref="H731:U732">
    <cfRule type="cellIs" dxfId="8224" priority="18480" operator="equal">
      <formula>0</formula>
    </cfRule>
  </conditionalFormatting>
  <conditionalFormatting sqref="U731:U732">
    <cfRule type="cellIs" dxfId="8223" priority="18479" operator="equal">
      <formula>0</formula>
    </cfRule>
  </conditionalFormatting>
  <conditionalFormatting sqref="I731:T732">
    <cfRule type="cellIs" dxfId="8222" priority="18478" operator="equal">
      <formula>0</formula>
    </cfRule>
  </conditionalFormatting>
  <conditionalFormatting sqref="I731:T732">
    <cfRule type="cellIs" dxfId="8221" priority="18477" operator="equal">
      <formula>0</formula>
    </cfRule>
  </conditionalFormatting>
  <conditionalFormatting sqref="I731:T732">
    <cfRule type="cellIs" dxfId="8220" priority="18476" operator="equal">
      <formula>0</formula>
    </cfRule>
  </conditionalFormatting>
  <conditionalFormatting sqref="U731:U732">
    <cfRule type="cellIs" dxfId="8219" priority="18475" operator="equal">
      <formula>0</formula>
    </cfRule>
  </conditionalFormatting>
  <conditionalFormatting sqref="U731:U732">
    <cfRule type="cellIs" dxfId="8218" priority="18474" operator="equal">
      <formula>0</formula>
    </cfRule>
  </conditionalFormatting>
  <conditionalFormatting sqref="F731:G732">
    <cfRule type="cellIs" dxfId="8217" priority="18472" operator="equal">
      <formula>0</formula>
    </cfRule>
  </conditionalFormatting>
  <conditionalFormatting sqref="D731:D732">
    <cfRule type="cellIs" dxfId="8216" priority="18473" operator="equal">
      <formula>0</formula>
    </cfRule>
  </conditionalFormatting>
  <conditionalFormatting sqref="B732 D731:G732">
    <cfRule type="cellIs" dxfId="8215" priority="18470" operator="equal">
      <formula>0</formula>
    </cfRule>
  </conditionalFormatting>
  <conditionalFormatting sqref="I734:T734">
    <cfRule type="cellIs" dxfId="8214" priority="18469" operator="equal">
      <formula>0</formula>
    </cfRule>
  </conditionalFormatting>
  <conditionalFormatting sqref="U734">
    <cfRule type="cellIs" dxfId="8213" priority="18468" operator="equal">
      <formula>0</formula>
    </cfRule>
  </conditionalFormatting>
  <conditionalFormatting sqref="B733:U733 B734 I734:U734">
    <cfRule type="cellIs" dxfId="8212" priority="18467" operator="equal">
      <formula>0</formula>
    </cfRule>
  </conditionalFormatting>
  <conditionalFormatting sqref="H735:H736">
    <cfRule type="cellIs" dxfId="8211" priority="18463" operator="equal">
      <formula>0</formula>
    </cfRule>
  </conditionalFormatting>
  <conditionalFormatting sqref="U735:U736">
    <cfRule type="cellIs" dxfId="8210" priority="18464" operator="equal">
      <formula>0</formula>
    </cfRule>
  </conditionalFormatting>
  <conditionalFormatting sqref="I735:T736">
    <cfRule type="cellIs" dxfId="8209" priority="18462" operator="equal">
      <formula>0</formula>
    </cfRule>
  </conditionalFormatting>
  <conditionalFormatting sqref="H735:U736">
    <cfRule type="cellIs" dxfId="8208" priority="18461" operator="equal">
      <formula>0</formula>
    </cfRule>
  </conditionalFormatting>
  <conditionalFormatting sqref="U735:U736">
    <cfRule type="cellIs" dxfId="8207" priority="18460" operator="equal">
      <formula>0</formula>
    </cfRule>
  </conditionalFormatting>
  <conditionalFormatting sqref="I735:T736">
    <cfRule type="cellIs" dxfId="8206" priority="18459" operator="equal">
      <formula>0</formula>
    </cfRule>
  </conditionalFormatting>
  <conditionalFormatting sqref="I735:T736">
    <cfRule type="cellIs" dxfId="8205" priority="18458" operator="equal">
      <formula>0</formula>
    </cfRule>
  </conditionalFormatting>
  <conditionalFormatting sqref="I735:T736">
    <cfRule type="cellIs" dxfId="8204" priority="18457" operator="equal">
      <formula>0</formula>
    </cfRule>
  </conditionalFormatting>
  <conditionalFormatting sqref="U735:U736">
    <cfRule type="cellIs" dxfId="8203" priority="18456" operator="equal">
      <formula>0</formula>
    </cfRule>
  </conditionalFormatting>
  <conditionalFormatting sqref="U735:U736">
    <cfRule type="cellIs" dxfId="8202" priority="18455" operator="equal">
      <formula>0</formula>
    </cfRule>
  </conditionalFormatting>
  <conditionalFormatting sqref="F735:G736">
    <cfRule type="cellIs" dxfId="8201" priority="18453" operator="equal">
      <formula>0</formula>
    </cfRule>
  </conditionalFormatting>
  <conditionalFormatting sqref="D735:D736">
    <cfRule type="cellIs" dxfId="8200" priority="18454" operator="equal">
      <formula>0</formula>
    </cfRule>
  </conditionalFormatting>
  <conditionalFormatting sqref="B736 D735:G736">
    <cfRule type="cellIs" dxfId="8199" priority="18451" operator="equal">
      <formula>0</formula>
    </cfRule>
  </conditionalFormatting>
  <conditionalFormatting sqref="I738:T738">
    <cfRule type="cellIs" dxfId="8198" priority="18450" operator="equal">
      <formula>0</formula>
    </cfRule>
  </conditionalFormatting>
  <conditionalFormatting sqref="U738">
    <cfRule type="cellIs" dxfId="8197" priority="18449" operator="equal">
      <formula>0</formula>
    </cfRule>
  </conditionalFormatting>
  <conditionalFormatting sqref="B737:U737 B738 I738:U738">
    <cfRule type="cellIs" dxfId="8196" priority="18448" operator="equal">
      <formula>0</formula>
    </cfRule>
  </conditionalFormatting>
  <conditionalFormatting sqref="H739:H740">
    <cfRule type="cellIs" dxfId="8195" priority="18444" operator="equal">
      <formula>0</formula>
    </cfRule>
  </conditionalFormatting>
  <conditionalFormatting sqref="U739:U740">
    <cfRule type="cellIs" dxfId="8194" priority="18445" operator="equal">
      <formula>0</formula>
    </cfRule>
  </conditionalFormatting>
  <conditionalFormatting sqref="I739:T740">
    <cfRule type="cellIs" dxfId="8193" priority="18443" operator="equal">
      <formula>0</formula>
    </cfRule>
  </conditionalFormatting>
  <conditionalFormatting sqref="H739:U740">
    <cfRule type="cellIs" dxfId="8192" priority="18442" operator="equal">
      <formula>0</formula>
    </cfRule>
  </conditionalFormatting>
  <conditionalFormatting sqref="I739:T740">
    <cfRule type="cellIs" dxfId="8191" priority="18440" operator="equal">
      <formula>0</formula>
    </cfRule>
  </conditionalFormatting>
  <conditionalFormatting sqref="I739:T740">
    <cfRule type="cellIs" dxfId="8190" priority="18439" operator="equal">
      <formula>0</formula>
    </cfRule>
  </conditionalFormatting>
  <conditionalFormatting sqref="I739:T740">
    <cfRule type="cellIs" dxfId="8189" priority="18438" operator="equal">
      <formula>0</formula>
    </cfRule>
  </conditionalFormatting>
  <conditionalFormatting sqref="U739:U740">
    <cfRule type="cellIs" dxfId="8188" priority="18437" operator="equal">
      <formula>0</formula>
    </cfRule>
  </conditionalFormatting>
  <conditionalFormatting sqref="U739:U740">
    <cfRule type="cellIs" dxfId="8187" priority="18436" operator="equal">
      <formula>0</formula>
    </cfRule>
  </conditionalFormatting>
  <conditionalFormatting sqref="F739:G740">
    <cfRule type="cellIs" dxfId="8186" priority="18434" operator="equal">
      <formula>0</formula>
    </cfRule>
  </conditionalFormatting>
  <conditionalFormatting sqref="D739:D740">
    <cfRule type="cellIs" dxfId="8185" priority="18435" operator="equal">
      <formula>0</formula>
    </cfRule>
  </conditionalFormatting>
  <conditionalFormatting sqref="B740 D739:G740">
    <cfRule type="cellIs" dxfId="8184" priority="18432" operator="equal">
      <formula>0</formula>
    </cfRule>
  </conditionalFormatting>
  <conditionalFormatting sqref="F734:G734">
    <cfRule type="cellIs" dxfId="8183" priority="18431" operator="equal">
      <formula>0</formula>
    </cfRule>
  </conditionalFormatting>
  <conditionalFormatting sqref="C734:E734">
    <cfRule type="cellIs" dxfId="8182" priority="18430" operator="equal">
      <formula>0</formula>
    </cfRule>
  </conditionalFormatting>
  <conditionalFormatting sqref="F738:G738">
    <cfRule type="cellIs" dxfId="8181" priority="18429" operator="equal">
      <formula>0</formula>
    </cfRule>
  </conditionalFormatting>
  <conditionalFormatting sqref="C738:E738">
    <cfRule type="cellIs" dxfId="8180" priority="18428" operator="equal">
      <formula>0</formula>
    </cfRule>
  </conditionalFormatting>
  <conditionalFormatting sqref="F776:G776">
    <cfRule type="cellIs" dxfId="8179" priority="18410" operator="equal">
      <formula>0</formula>
    </cfRule>
  </conditionalFormatting>
  <conditionalFormatting sqref="C776:E776">
    <cfRule type="cellIs" dxfId="8178" priority="18409" operator="equal">
      <formula>0</formula>
    </cfRule>
  </conditionalFormatting>
  <conditionalFormatting sqref="I742:T742">
    <cfRule type="cellIs" dxfId="8177" priority="18374" operator="equal">
      <formula>0</formula>
    </cfRule>
  </conditionalFormatting>
  <conditionalFormatting sqref="U742">
    <cfRule type="cellIs" dxfId="8176" priority="18373" operator="equal">
      <formula>0</formula>
    </cfRule>
  </conditionalFormatting>
  <conditionalFormatting sqref="B741:U741 B742 I742:U742">
    <cfRule type="cellIs" dxfId="8175" priority="18372" operator="equal">
      <formula>0</formula>
    </cfRule>
  </conditionalFormatting>
  <conditionalFormatting sqref="F742:G742">
    <cfRule type="cellIs" dxfId="8174" priority="18371" operator="equal">
      <formula>0</formula>
    </cfRule>
  </conditionalFormatting>
  <conditionalFormatting sqref="C742:E742">
    <cfRule type="cellIs" dxfId="8173" priority="18370" operator="equal">
      <formula>0</formula>
    </cfRule>
  </conditionalFormatting>
  <conditionalFormatting sqref="H743:H744">
    <cfRule type="cellIs" dxfId="8172" priority="18368" operator="equal">
      <formula>0</formula>
    </cfRule>
  </conditionalFormatting>
  <conditionalFormatting sqref="U743:U744">
    <cfRule type="cellIs" dxfId="8171" priority="18369" operator="equal">
      <formula>0</formula>
    </cfRule>
  </conditionalFormatting>
  <conditionalFormatting sqref="I743:T744">
    <cfRule type="cellIs" dxfId="8170" priority="18367" operator="equal">
      <formula>0</formula>
    </cfRule>
  </conditionalFormatting>
  <conditionalFormatting sqref="H743:U744">
    <cfRule type="cellIs" dxfId="8169" priority="18366" operator="equal">
      <formula>0</formula>
    </cfRule>
  </conditionalFormatting>
  <conditionalFormatting sqref="U743:U744">
    <cfRule type="cellIs" dxfId="8168" priority="18365" operator="equal">
      <formula>0</formula>
    </cfRule>
  </conditionalFormatting>
  <conditionalFormatting sqref="I743:T744">
    <cfRule type="cellIs" dxfId="8167" priority="18364" operator="equal">
      <formula>0</formula>
    </cfRule>
  </conditionalFormatting>
  <conditionalFormatting sqref="I743:T744">
    <cfRule type="cellIs" dxfId="8166" priority="18363" operator="equal">
      <formula>0</formula>
    </cfRule>
  </conditionalFormatting>
  <conditionalFormatting sqref="I743:T744">
    <cfRule type="cellIs" dxfId="8165" priority="18362" operator="equal">
      <formula>0</formula>
    </cfRule>
  </conditionalFormatting>
  <conditionalFormatting sqref="U743:U744">
    <cfRule type="cellIs" dxfId="8164" priority="18361" operator="equal">
      <formula>0</formula>
    </cfRule>
  </conditionalFormatting>
  <conditionalFormatting sqref="U743:U744">
    <cfRule type="cellIs" dxfId="8163" priority="18360" operator="equal">
      <formula>0</formula>
    </cfRule>
  </conditionalFormatting>
  <conditionalFormatting sqref="F743:G744">
    <cfRule type="cellIs" dxfId="8162" priority="18358" operator="equal">
      <formula>0</formula>
    </cfRule>
  </conditionalFormatting>
  <conditionalFormatting sqref="D743:D744">
    <cfRule type="cellIs" dxfId="8161" priority="18359" operator="equal">
      <formula>0</formula>
    </cfRule>
  </conditionalFormatting>
  <conditionalFormatting sqref="B744 D743:G744">
    <cfRule type="cellIs" dxfId="8160" priority="18356" operator="equal">
      <formula>0</formula>
    </cfRule>
  </conditionalFormatting>
  <conditionalFormatting sqref="I746:T746">
    <cfRule type="cellIs" dxfId="8159" priority="18355" operator="equal">
      <formula>0</formula>
    </cfRule>
  </conditionalFormatting>
  <conditionalFormatting sqref="U746">
    <cfRule type="cellIs" dxfId="8158" priority="18354" operator="equal">
      <formula>0</formula>
    </cfRule>
  </conditionalFormatting>
  <conditionalFormatting sqref="B745:U745 B746 I746:U746">
    <cfRule type="cellIs" dxfId="8157" priority="18353" operator="equal">
      <formula>0</formula>
    </cfRule>
  </conditionalFormatting>
  <conditionalFormatting sqref="F746:G746">
    <cfRule type="cellIs" dxfId="8156" priority="18352" operator="equal">
      <formula>0</formula>
    </cfRule>
  </conditionalFormatting>
  <conditionalFormatting sqref="C746:E746">
    <cfRule type="cellIs" dxfId="8155" priority="18351" operator="equal">
      <formula>0</formula>
    </cfRule>
  </conditionalFormatting>
  <conditionalFormatting sqref="H747:H748">
    <cfRule type="cellIs" dxfId="8154" priority="18349" operator="equal">
      <formula>0</formula>
    </cfRule>
  </conditionalFormatting>
  <conditionalFormatting sqref="U747:U748">
    <cfRule type="cellIs" dxfId="8153" priority="18350" operator="equal">
      <formula>0</formula>
    </cfRule>
  </conditionalFormatting>
  <conditionalFormatting sqref="I747:T748">
    <cfRule type="cellIs" dxfId="8152" priority="18348" operator="equal">
      <formula>0</formula>
    </cfRule>
  </conditionalFormatting>
  <conditionalFormatting sqref="H747:U748">
    <cfRule type="cellIs" dxfId="8151" priority="18347" operator="equal">
      <formula>0</formula>
    </cfRule>
  </conditionalFormatting>
  <conditionalFormatting sqref="U747:U748">
    <cfRule type="cellIs" dxfId="8150" priority="18346" operator="equal">
      <formula>0</formula>
    </cfRule>
  </conditionalFormatting>
  <conditionalFormatting sqref="I747:T748">
    <cfRule type="cellIs" dxfId="8149" priority="18345" operator="equal">
      <formula>0</formula>
    </cfRule>
  </conditionalFormatting>
  <conditionalFormatting sqref="I747:T748">
    <cfRule type="cellIs" dxfId="8148" priority="18344" operator="equal">
      <formula>0</formula>
    </cfRule>
  </conditionalFormatting>
  <conditionalFormatting sqref="I747:T748">
    <cfRule type="cellIs" dxfId="8147" priority="18343" operator="equal">
      <formula>0</formula>
    </cfRule>
  </conditionalFormatting>
  <conditionalFormatting sqref="U747:U748">
    <cfRule type="cellIs" dxfId="8146" priority="18342" operator="equal">
      <formula>0</formula>
    </cfRule>
  </conditionalFormatting>
  <conditionalFormatting sqref="U747:U748">
    <cfRule type="cellIs" dxfId="8145" priority="18341" operator="equal">
      <formula>0</formula>
    </cfRule>
  </conditionalFormatting>
  <conditionalFormatting sqref="F747:G748">
    <cfRule type="cellIs" dxfId="8144" priority="18339" operator="equal">
      <formula>0</formula>
    </cfRule>
  </conditionalFormatting>
  <conditionalFormatting sqref="D747:D748">
    <cfRule type="cellIs" dxfId="8143" priority="18340" operator="equal">
      <formula>0</formula>
    </cfRule>
  </conditionalFormatting>
  <conditionalFormatting sqref="B748 D747:G748">
    <cfRule type="cellIs" dxfId="8142" priority="18337" operator="equal">
      <formula>0</formula>
    </cfRule>
  </conditionalFormatting>
  <conditionalFormatting sqref="I750:T750">
    <cfRule type="cellIs" dxfId="8141" priority="18336" operator="equal">
      <formula>0</formula>
    </cfRule>
  </conditionalFormatting>
  <conditionalFormatting sqref="U750">
    <cfRule type="cellIs" dxfId="8140" priority="18335" operator="equal">
      <formula>0</formula>
    </cfRule>
  </conditionalFormatting>
  <conditionalFormatting sqref="B749:U749 B750 I750:U750">
    <cfRule type="cellIs" dxfId="8139" priority="18334" operator="equal">
      <formula>0</formula>
    </cfRule>
  </conditionalFormatting>
  <conditionalFormatting sqref="H751:H752">
    <cfRule type="cellIs" dxfId="8138" priority="18332" operator="equal">
      <formula>0</formula>
    </cfRule>
  </conditionalFormatting>
  <conditionalFormatting sqref="U751:U752">
    <cfRule type="cellIs" dxfId="8137" priority="18333" operator="equal">
      <formula>0</formula>
    </cfRule>
  </conditionalFormatting>
  <conditionalFormatting sqref="I751:T752">
    <cfRule type="cellIs" dxfId="8136" priority="18331" operator="equal">
      <formula>0</formula>
    </cfRule>
  </conditionalFormatting>
  <conditionalFormatting sqref="H751:U752">
    <cfRule type="cellIs" dxfId="8135" priority="18330" operator="equal">
      <formula>0</formula>
    </cfRule>
  </conditionalFormatting>
  <conditionalFormatting sqref="U751:U752">
    <cfRule type="cellIs" dxfId="8134" priority="18329" operator="equal">
      <formula>0</formula>
    </cfRule>
  </conditionalFormatting>
  <conditionalFormatting sqref="I751:T752">
    <cfRule type="cellIs" dxfId="8133" priority="18328" operator="equal">
      <formula>0</formula>
    </cfRule>
  </conditionalFormatting>
  <conditionalFormatting sqref="I751:T752">
    <cfRule type="cellIs" dxfId="8132" priority="18327" operator="equal">
      <formula>0</formula>
    </cfRule>
  </conditionalFormatting>
  <conditionalFormatting sqref="I751:T752">
    <cfRule type="cellIs" dxfId="8131" priority="18326" operator="equal">
      <formula>0</formula>
    </cfRule>
  </conditionalFormatting>
  <conditionalFormatting sqref="U751:U752">
    <cfRule type="cellIs" dxfId="8130" priority="18325" operator="equal">
      <formula>0</formula>
    </cfRule>
  </conditionalFormatting>
  <conditionalFormatting sqref="U751:U752">
    <cfRule type="cellIs" dxfId="8129" priority="18324" operator="equal">
      <formula>0</formula>
    </cfRule>
  </conditionalFormatting>
  <conditionalFormatting sqref="F751:G752">
    <cfRule type="cellIs" dxfId="8128" priority="18322" operator="equal">
      <formula>0</formula>
    </cfRule>
  </conditionalFormatting>
  <conditionalFormatting sqref="D751:D752">
    <cfRule type="cellIs" dxfId="8127" priority="18323" operator="equal">
      <formula>0</formula>
    </cfRule>
  </conditionalFormatting>
  <conditionalFormatting sqref="B752 D751:G752">
    <cfRule type="cellIs" dxfId="8126" priority="18320" operator="equal">
      <formula>0</formula>
    </cfRule>
  </conditionalFormatting>
  <conditionalFormatting sqref="I754:T754">
    <cfRule type="cellIs" dxfId="8125" priority="18319" operator="equal">
      <formula>0</formula>
    </cfRule>
  </conditionalFormatting>
  <conditionalFormatting sqref="U754">
    <cfRule type="cellIs" dxfId="8124" priority="18318" operator="equal">
      <formula>0</formula>
    </cfRule>
  </conditionalFormatting>
  <conditionalFormatting sqref="B753:U753 B754 I754:U754">
    <cfRule type="cellIs" dxfId="8123" priority="18317" operator="equal">
      <formula>0</formula>
    </cfRule>
  </conditionalFormatting>
  <conditionalFormatting sqref="H755:H756">
    <cfRule type="cellIs" dxfId="8122" priority="18315" operator="equal">
      <formula>0</formula>
    </cfRule>
  </conditionalFormatting>
  <conditionalFormatting sqref="U755:U756">
    <cfRule type="cellIs" dxfId="8121" priority="18316" operator="equal">
      <formula>0</formula>
    </cfRule>
  </conditionalFormatting>
  <conditionalFormatting sqref="I755:T756">
    <cfRule type="cellIs" dxfId="8120" priority="18314" operator="equal">
      <formula>0</formula>
    </cfRule>
  </conditionalFormatting>
  <conditionalFormatting sqref="H755:U756">
    <cfRule type="cellIs" dxfId="8119" priority="18313" operator="equal">
      <formula>0</formula>
    </cfRule>
  </conditionalFormatting>
  <conditionalFormatting sqref="U755:U756">
    <cfRule type="cellIs" dxfId="8118" priority="18312" operator="equal">
      <formula>0</formula>
    </cfRule>
  </conditionalFormatting>
  <conditionalFormatting sqref="I755:T756">
    <cfRule type="cellIs" dxfId="8117" priority="18311" operator="equal">
      <formula>0</formula>
    </cfRule>
  </conditionalFormatting>
  <conditionalFormatting sqref="I755:T756">
    <cfRule type="cellIs" dxfId="8116" priority="18310" operator="equal">
      <formula>0</formula>
    </cfRule>
  </conditionalFormatting>
  <conditionalFormatting sqref="I755:T756">
    <cfRule type="cellIs" dxfId="8115" priority="18309" operator="equal">
      <formula>0</formula>
    </cfRule>
  </conditionalFormatting>
  <conditionalFormatting sqref="U755:U756">
    <cfRule type="cellIs" dxfId="8114" priority="18308" operator="equal">
      <formula>0</formula>
    </cfRule>
  </conditionalFormatting>
  <conditionalFormatting sqref="U755:U756">
    <cfRule type="cellIs" dxfId="8113" priority="18307" operator="equal">
      <formula>0</formula>
    </cfRule>
  </conditionalFormatting>
  <conditionalFormatting sqref="F755:G756">
    <cfRule type="cellIs" dxfId="8112" priority="18305" operator="equal">
      <formula>0</formula>
    </cfRule>
  </conditionalFormatting>
  <conditionalFormatting sqref="D755:D756">
    <cfRule type="cellIs" dxfId="8111" priority="18306" operator="equal">
      <formula>0</formula>
    </cfRule>
  </conditionalFormatting>
  <conditionalFormatting sqref="B756 D755:G756">
    <cfRule type="cellIs" dxfId="8110" priority="18303" operator="equal">
      <formula>0</formula>
    </cfRule>
  </conditionalFormatting>
  <conditionalFormatting sqref="F750:G750">
    <cfRule type="cellIs" dxfId="8109" priority="18302" operator="equal">
      <formula>0</formula>
    </cfRule>
  </conditionalFormatting>
  <conditionalFormatting sqref="C750:E750">
    <cfRule type="cellIs" dxfId="8108" priority="18301" operator="equal">
      <formula>0</formula>
    </cfRule>
  </conditionalFormatting>
  <conditionalFormatting sqref="F754:G754">
    <cfRule type="cellIs" dxfId="8107" priority="18300" operator="equal">
      <formula>0</formula>
    </cfRule>
  </conditionalFormatting>
  <conditionalFormatting sqref="C754:E754">
    <cfRule type="cellIs" dxfId="8106" priority="18299" operator="equal">
      <formula>0</formula>
    </cfRule>
  </conditionalFormatting>
  <conditionalFormatting sqref="I758:T758">
    <cfRule type="cellIs" dxfId="8105" priority="18298" operator="equal">
      <formula>0</formula>
    </cfRule>
  </conditionalFormatting>
  <conditionalFormatting sqref="U758">
    <cfRule type="cellIs" dxfId="8104" priority="18297" operator="equal">
      <formula>0</formula>
    </cfRule>
  </conditionalFormatting>
  <conditionalFormatting sqref="B757:U757 B758 I758:U758">
    <cfRule type="cellIs" dxfId="8103" priority="18296" operator="equal">
      <formula>0</formula>
    </cfRule>
  </conditionalFormatting>
  <conditionalFormatting sqref="F758:G758">
    <cfRule type="cellIs" dxfId="8102" priority="18295" operator="equal">
      <formula>0</formula>
    </cfRule>
  </conditionalFormatting>
  <conditionalFormatting sqref="C758:E758">
    <cfRule type="cellIs" dxfId="8101" priority="18294" operator="equal">
      <formula>0</formula>
    </cfRule>
  </conditionalFormatting>
  <conditionalFormatting sqref="H759:H760">
    <cfRule type="cellIs" dxfId="8100" priority="18292" operator="equal">
      <formula>0</formula>
    </cfRule>
  </conditionalFormatting>
  <conditionalFormatting sqref="U759:U760">
    <cfRule type="cellIs" dxfId="8099" priority="18293" operator="equal">
      <formula>0</formula>
    </cfRule>
  </conditionalFormatting>
  <conditionalFormatting sqref="I759:T760">
    <cfRule type="cellIs" dxfId="8098" priority="18291" operator="equal">
      <formula>0</formula>
    </cfRule>
  </conditionalFormatting>
  <conditionalFormatting sqref="H759:U760">
    <cfRule type="cellIs" dxfId="8097" priority="18290" operator="equal">
      <formula>0</formula>
    </cfRule>
  </conditionalFormatting>
  <conditionalFormatting sqref="U759:U760">
    <cfRule type="cellIs" dxfId="8096" priority="18289" operator="equal">
      <formula>0</formula>
    </cfRule>
  </conditionalFormatting>
  <conditionalFormatting sqref="I759:T760">
    <cfRule type="cellIs" dxfId="8095" priority="18288" operator="equal">
      <formula>0</formula>
    </cfRule>
  </conditionalFormatting>
  <conditionalFormatting sqref="I759:T760">
    <cfRule type="cellIs" dxfId="8094" priority="18287" operator="equal">
      <formula>0</formula>
    </cfRule>
  </conditionalFormatting>
  <conditionalFormatting sqref="I759:T760">
    <cfRule type="cellIs" dxfId="8093" priority="18286" operator="equal">
      <formula>0</formula>
    </cfRule>
  </conditionalFormatting>
  <conditionalFormatting sqref="U759:U760">
    <cfRule type="cellIs" dxfId="8092" priority="18285" operator="equal">
      <formula>0</formula>
    </cfRule>
  </conditionalFormatting>
  <conditionalFormatting sqref="U759:U760">
    <cfRule type="cellIs" dxfId="8091" priority="18284" operator="equal">
      <formula>0</formula>
    </cfRule>
  </conditionalFormatting>
  <conditionalFormatting sqref="F759:G760">
    <cfRule type="cellIs" dxfId="8090" priority="18282" operator="equal">
      <formula>0</formula>
    </cfRule>
  </conditionalFormatting>
  <conditionalFormatting sqref="D759:D760">
    <cfRule type="cellIs" dxfId="8089" priority="18283" operator="equal">
      <formula>0</formula>
    </cfRule>
  </conditionalFormatting>
  <conditionalFormatting sqref="B760 D759:G760">
    <cfRule type="cellIs" dxfId="8088" priority="18280" operator="equal">
      <formula>0</formula>
    </cfRule>
  </conditionalFormatting>
  <conditionalFormatting sqref="H777">
    <cfRule type="cellIs" dxfId="8087" priority="18221" operator="equal">
      <formula>0</formula>
    </cfRule>
  </conditionalFormatting>
  <conditionalFormatting sqref="U777">
    <cfRule type="cellIs" dxfId="8086" priority="18222" operator="equal">
      <formula>0</formula>
    </cfRule>
  </conditionalFormatting>
  <conditionalFormatting sqref="I777:T777">
    <cfRule type="cellIs" dxfId="8085" priority="18220" operator="equal">
      <formula>0</formula>
    </cfRule>
  </conditionalFormatting>
  <conditionalFormatting sqref="H777:U777">
    <cfRule type="cellIs" dxfId="8084" priority="18219" operator="equal">
      <formula>0</formula>
    </cfRule>
  </conditionalFormatting>
  <conditionalFormatting sqref="U777">
    <cfRule type="cellIs" dxfId="8083" priority="18218" operator="equal">
      <formula>0</formula>
    </cfRule>
  </conditionalFormatting>
  <conditionalFormatting sqref="I777:T777">
    <cfRule type="cellIs" dxfId="8082" priority="18217" operator="equal">
      <formula>0</formula>
    </cfRule>
  </conditionalFormatting>
  <conditionalFormatting sqref="I777:T777">
    <cfRule type="cellIs" dxfId="8081" priority="18216" operator="equal">
      <formula>0</formula>
    </cfRule>
  </conditionalFormatting>
  <conditionalFormatting sqref="I777:T777">
    <cfRule type="cellIs" dxfId="8080" priority="18215" operator="equal">
      <formula>0</formula>
    </cfRule>
  </conditionalFormatting>
  <conditionalFormatting sqref="U777">
    <cfRule type="cellIs" dxfId="8079" priority="18214" operator="equal">
      <formula>0</formula>
    </cfRule>
  </conditionalFormatting>
  <conditionalFormatting sqref="U777">
    <cfRule type="cellIs" dxfId="8078" priority="18213" operator="equal">
      <formula>0</formula>
    </cfRule>
  </conditionalFormatting>
  <conditionalFormatting sqref="F777:G777">
    <cfRule type="cellIs" dxfId="8077" priority="18211" operator="equal">
      <formula>0</formula>
    </cfRule>
  </conditionalFormatting>
  <conditionalFormatting sqref="D777">
    <cfRule type="cellIs" dxfId="8076" priority="18212" operator="equal">
      <formula>0</formula>
    </cfRule>
  </conditionalFormatting>
  <conditionalFormatting sqref="D777:G777">
    <cfRule type="cellIs" dxfId="8075" priority="18209" operator="equal">
      <formula>0</formula>
    </cfRule>
  </conditionalFormatting>
  <conditionalFormatting sqref="C835:G836">
    <cfRule type="cellIs" dxfId="8074" priority="17885" operator="equal">
      <formula>0</formula>
    </cfRule>
  </conditionalFormatting>
  <conditionalFormatting sqref="H835:H836">
    <cfRule type="cellIs" dxfId="8073" priority="17884" operator="equal">
      <formula>0</formula>
    </cfRule>
  </conditionalFormatting>
  <conditionalFormatting sqref="H838">
    <cfRule type="cellIs" dxfId="8072" priority="17882" operator="equal">
      <formula>0</formula>
    </cfRule>
  </conditionalFormatting>
  <conditionalFormatting sqref="U838">
    <cfRule type="cellIs" dxfId="8071" priority="17883" operator="equal">
      <formula>0</formula>
    </cfRule>
  </conditionalFormatting>
  <conditionalFormatting sqref="I838:T838">
    <cfRule type="cellIs" dxfId="8070" priority="17881" operator="equal">
      <formula>0</formula>
    </cfRule>
  </conditionalFormatting>
  <conditionalFormatting sqref="H838:U838">
    <cfRule type="cellIs" dxfId="8069" priority="17880" operator="equal">
      <formula>0</formula>
    </cfRule>
  </conditionalFormatting>
  <conditionalFormatting sqref="U838">
    <cfRule type="cellIs" dxfId="8068" priority="17879" operator="equal">
      <formula>0</formula>
    </cfRule>
  </conditionalFormatting>
  <conditionalFormatting sqref="I838:T838">
    <cfRule type="cellIs" dxfId="8067" priority="17878" operator="equal">
      <formula>0</formula>
    </cfRule>
  </conditionalFormatting>
  <conditionalFormatting sqref="I838:T838">
    <cfRule type="cellIs" dxfId="8066" priority="17877" operator="equal">
      <formula>0</formula>
    </cfRule>
  </conditionalFormatting>
  <conditionalFormatting sqref="I838:T838">
    <cfRule type="cellIs" dxfId="8065" priority="17876" operator="equal">
      <formula>0</formula>
    </cfRule>
  </conditionalFormatting>
  <conditionalFormatting sqref="U838">
    <cfRule type="cellIs" dxfId="8064" priority="17875" operator="equal">
      <formula>0</formula>
    </cfRule>
  </conditionalFormatting>
  <conditionalFormatting sqref="U838">
    <cfRule type="cellIs" dxfId="8063" priority="17874" operator="equal">
      <formula>0</formula>
    </cfRule>
  </conditionalFormatting>
  <conditionalFormatting sqref="F838:G838">
    <cfRule type="cellIs" dxfId="8062" priority="17872" operator="equal">
      <formula>0</formula>
    </cfRule>
  </conditionalFormatting>
  <conditionalFormatting sqref="C838">
    <cfRule type="cellIs" dxfId="8061" priority="17871" operator="equal">
      <formula>0</formula>
    </cfRule>
  </conditionalFormatting>
  <conditionalFormatting sqref="D838">
    <cfRule type="cellIs" dxfId="8060" priority="17873" operator="equal">
      <formula>0</formula>
    </cfRule>
  </conditionalFormatting>
  <conditionalFormatting sqref="B838:G838">
    <cfRule type="cellIs" dxfId="8059" priority="17870" operator="equal">
      <formula>0</formula>
    </cfRule>
  </conditionalFormatting>
  <conditionalFormatting sqref="B837">
    <cfRule type="cellIs" dxfId="8058" priority="17869" operator="equal">
      <formula>0</formula>
    </cfRule>
  </conditionalFormatting>
  <conditionalFormatting sqref="B839">
    <cfRule type="cellIs" dxfId="8057" priority="17868" operator="equal">
      <formula>0</formula>
    </cfRule>
  </conditionalFormatting>
  <conditionalFormatting sqref="H837">
    <cfRule type="cellIs" dxfId="8056" priority="17866" operator="equal">
      <formula>0</formula>
    </cfRule>
  </conditionalFormatting>
  <conditionalFormatting sqref="U837">
    <cfRule type="cellIs" dxfId="8055" priority="17867" operator="equal">
      <formula>0</formula>
    </cfRule>
  </conditionalFormatting>
  <conditionalFormatting sqref="I837:T837">
    <cfRule type="cellIs" dxfId="8054" priority="17865" operator="equal">
      <formula>0</formula>
    </cfRule>
  </conditionalFormatting>
  <conditionalFormatting sqref="H837:U837">
    <cfRule type="cellIs" dxfId="8053" priority="17864" operator="equal">
      <formula>0</formula>
    </cfRule>
  </conditionalFormatting>
  <conditionalFormatting sqref="U837">
    <cfRule type="cellIs" dxfId="8052" priority="17863" operator="equal">
      <formula>0</formula>
    </cfRule>
  </conditionalFormatting>
  <conditionalFormatting sqref="I837:T837">
    <cfRule type="cellIs" dxfId="8051" priority="17862" operator="equal">
      <formula>0</formula>
    </cfRule>
  </conditionalFormatting>
  <conditionalFormatting sqref="I837:T837">
    <cfRule type="cellIs" dxfId="8050" priority="17861" operator="equal">
      <formula>0</formula>
    </cfRule>
  </conditionalFormatting>
  <conditionalFormatting sqref="I837:T837">
    <cfRule type="cellIs" dxfId="8049" priority="17860" operator="equal">
      <formula>0</formula>
    </cfRule>
  </conditionalFormatting>
  <conditionalFormatting sqref="U837">
    <cfRule type="cellIs" dxfId="8048" priority="17859" operator="equal">
      <formula>0</formula>
    </cfRule>
  </conditionalFormatting>
  <conditionalFormatting sqref="U837">
    <cfRule type="cellIs" dxfId="8047" priority="17858" operator="equal">
      <formula>0</formula>
    </cfRule>
  </conditionalFormatting>
  <conditionalFormatting sqref="F837:G837">
    <cfRule type="cellIs" dxfId="8046" priority="17856" operator="equal">
      <formula>0</formula>
    </cfRule>
  </conditionalFormatting>
  <conditionalFormatting sqref="C837">
    <cfRule type="cellIs" dxfId="8045" priority="17855" operator="equal">
      <formula>0</formula>
    </cfRule>
  </conditionalFormatting>
  <conditionalFormatting sqref="D837">
    <cfRule type="cellIs" dxfId="8044" priority="17857" operator="equal">
      <formula>0</formula>
    </cfRule>
  </conditionalFormatting>
  <conditionalFormatting sqref="C837:G837">
    <cfRule type="cellIs" dxfId="8043" priority="17854" operator="equal">
      <formula>0</formula>
    </cfRule>
  </conditionalFormatting>
  <conditionalFormatting sqref="H839">
    <cfRule type="cellIs" dxfId="8042" priority="17852" operator="equal">
      <formula>0</formula>
    </cfRule>
  </conditionalFormatting>
  <conditionalFormatting sqref="U839">
    <cfRule type="cellIs" dxfId="8041" priority="17853" operator="equal">
      <formula>0</formula>
    </cfRule>
  </conditionalFormatting>
  <conditionalFormatting sqref="I839:T839">
    <cfRule type="cellIs" dxfId="8040" priority="17851" operator="equal">
      <formula>0</formula>
    </cfRule>
  </conditionalFormatting>
  <conditionalFormatting sqref="H839:U839">
    <cfRule type="cellIs" dxfId="8039" priority="17850" operator="equal">
      <formula>0</formula>
    </cfRule>
  </conditionalFormatting>
  <conditionalFormatting sqref="U839">
    <cfRule type="cellIs" dxfId="8038" priority="17849" operator="equal">
      <formula>0</formula>
    </cfRule>
  </conditionalFormatting>
  <conditionalFormatting sqref="I839:T839">
    <cfRule type="cellIs" dxfId="8037" priority="17848" operator="equal">
      <formula>0</formula>
    </cfRule>
  </conditionalFormatting>
  <conditionalFormatting sqref="I839:T839">
    <cfRule type="cellIs" dxfId="8036" priority="17847" operator="equal">
      <formula>0</formula>
    </cfRule>
  </conditionalFormatting>
  <conditionalFormatting sqref="I839:T839">
    <cfRule type="cellIs" dxfId="8035" priority="17846" operator="equal">
      <formula>0</formula>
    </cfRule>
  </conditionalFormatting>
  <conditionalFormatting sqref="U839">
    <cfRule type="cellIs" dxfId="8034" priority="17845" operator="equal">
      <formula>0</formula>
    </cfRule>
  </conditionalFormatting>
  <conditionalFormatting sqref="U839">
    <cfRule type="cellIs" dxfId="8033" priority="17844" operator="equal">
      <formula>0</formula>
    </cfRule>
  </conditionalFormatting>
  <conditionalFormatting sqref="F839:G839">
    <cfRule type="cellIs" dxfId="8032" priority="17842" operator="equal">
      <formula>0</formula>
    </cfRule>
  </conditionalFormatting>
  <conditionalFormatting sqref="C839">
    <cfRule type="cellIs" dxfId="8031" priority="17841" operator="equal">
      <formula>0</formula>
    </cfRule>
  </conditionalFormatting>
  <conditionalFormatting sqref="D839">
    <cfRule type="cellIs" dxfId="8030" priority="17843" operator="equal">
      <formula>0</formula>
    </cfRule>
  </conditionalFormatting>
  <conditionalFormatting sqref="C839:G839">
    <cfRule type="cellIs" dxfId="8029" priority="17840" operator="equal">
      <formula>0</formula>
    </cfRule>
  </conditionalFormatting>
  <conditionalFormatting sqref="H63:H65">
    <cfRule type="cellIs" dxfId="8028" priority="17720" operator="equal">
      <formula>0</formula>
    </cfRule>
  </conditionalFormatting>
  <conditionalFormatting sqref="C64:C65">
    <cfRule type="cellIs" dxfId="8027" priority="17721" operator="equal">
      <formula>0</formula>
    </cfRule>
  </conditionalFormatting>
  <conditionalFormatting sqref="H66">
    <cfRule type="cellIs" dxfId="8026" priority="17710" operator="equal">
      <formula>0</formula>
    </cfRule>
  </conditionalFormatting>
  <conditionalFormatting sqref="C66:H66">
    <cfRule type="cellIs" dxfId="8025" priority="17709" operator="equal">
      <formula>0</formula>
    </cfRule>
  </conditionalFormatting>
  <conditionalFormatting sqref="I66:T66">
    <cfRule type="cellIs" dxfId="8024" priority="17708" operator="equal">
      <formula>0</formula>
    </cfRule>
  </conditionalFormatting>
  <conditionalFormatting sqref="I63:T65">
    <cfRule type="cellIs" dxfId="8023" priority="17716" operator="equal">
      <formula>0</formula>
    </cfRule>
  </conditionalFormatting>
  <conditionalFormatting sqref="U63:U65">
    <cfRule type="cellIs" dxfId="8022" priority="17715" operator="equal">
      <formula>0</formula>
    </cfRule>
  </conditionalFormatting>
  <conditionalFormatting sqref="I63:U65">
    <cfRule type="cellIs" dxfId="8021" priority="17714" operator="equal">
      <formula>0</formula>
    </cfRule>
  </conditionalFormatting>
  <conditionalFormatting sqref="D66">
    <cfRule type="cellIs" dxfId="8020" priority="17713" operator="equal">
      <formula>0</formula>
    </cfRule>
  </conditionalFormatting>
  <conditionalFormatting sqref="F66:G66">
    <cfRule type="cellIs" dxfId="8019" priority="17712" operator="equal">
      <formula>0</formula>
    </cfRule>
  </conditionalFormatting>
  <conditionalFormatting sqref="U69:U71">
    <cfRule type="cellIs" dxfId="8018" priority="17690" operator="equal">
      <formula>0</formula>
    </cfRule>
  </conditionalFormatting>
  <conditionalFormatting sqref="C66">
    <cfRule type="cellIs" dxfId="8017" priority="17711" operator="equal">
      <formula>0</formula>
    </cfRule>
  </conditionalFormatting>
  <conditionalFormatting sqref="I69:U71">
    <cfRule type="cellIs" dxfId="8016" priority="17689" operator="equal">
      <formula>0</formula>
    </cfRule>
  </conditionalFormatting>
  <conditionalFormatting sqref="I66:U66">
    <cfRule type="cellIs" dxfId="8015" priority="17706" operator="equal">
      <formula>0</formula>
    </cfRule>
  </conditionalFormatting>
  <conditionalFormatting sqref="D67">
    <cfRule type="cellIs" dxfId="8014" priority="17704" operator="equal">
      <formula>0</formula>
    </cfRule>
  </conditionalFormatting>
  <conditionalFormatting sqref="C69 C71">
    <cfRule type="cellIs" dxfId="8013" priority="17696" operator="equal">
      <formula>0</formula>
    </cfRule>
  </conditionalFormatting>
  <conditionalFormatting sqref="C67">
    <cfRule type="cellIs" dxfId="8012" priority="17703" operator="equal">
      <formula>0</formula>
    </cfRule>
  </conditionalFormatting>
  <conditionalFormatting sqref="C67:H67">
    <cfRule type="cellIs" dxfId="8011" priority="17702" operator="equal">
      <formula>0</formula>
    </cfRule>
  </conditionalFormatting>
  <conditionalFormatting sqref="I69:T71">
    <cfRule type="cellIs" dxfId="8010" priority="17691" operator="equal">
      <formula>0</formula>
    </cfRule>
  </conditionalFormatting>
  <conditionalFormatting sqref="F69:G71">
    <cfRule type="cellIs" dxfId="8009" priority="17697" operator="equal">
      <formula>0</formula>
    </cfRule>
  </conditionalFormatting>
  <conditionalFormatting sqref="H74:H76">
    <cfRule type="cellIs" dxfId="8008" priority="17675" operator="equal">
      <formula>0</formula>
    </cfRule>
  </conditionalFormatting>
  <conditionalFormatting sqref="C70">
    <cfRule type="cellIs" dxfId="8007" priority="17693" operator="equal">
      <formula>0</formula>
    </cfRule>
  </conditionalFormatting>
  <conditionalFormatting sqref="H69:H71">
    <cfRule type="cellIs" dxfId="8006" priority="17695" operator="equal">
      <formula>0</formula>
    </cfRule>
  </conditionalFormatting>
  <conditionalFormatting sqref="C70">
    <cfRule type="cellIs" dxfId="8005" priority="17692" operator="equal">
      <formula>0</formula>
    </cfRule>
  </conditionalFormatting>
  <conditionalFormatting sqref="U77">
    <cfRule type="cellIs" dxfId="8004" priority="17681" operator="equal">
      <formula>0</formula>
    </cfRule>
  </conditionalFormatting>
  <conditionalFormatting sqref="U74:U76">
    <cfRule type="cellIs" dxfId="8003" priority="17670" operator="equal">
      <formula>0</formula>
    </cfRule>
  </conditionalFormatting>
  <conditionalFormatting sqref="I77:T77">
    <cfRule type="cellIs" dxfId="8002" priority="17679" operator="equal">
      <formula>0</formula>
    </cfRule>
  </conditionalFormatting>
  <conditionalFormatting sqref="D74:D76">
    <cfRule type="cellIs" dxfId="8001" priority="17678" operator="equal">
      <formula>0</formula>
    </cfRule>
  </conditionalFormatting>
  <conditionalFormatting sqref="F74:G76">
    <cfRule type="cellIs" dxfId="8000" priority="17677" operator="equal">
      <formula>0</formula>
    </cfRule>
  </conditionalFormatting>
  <conditionalFormatting sqref="C74 C76">
    <cfRule type="cellIs" dxfId="7999" priority="17676" operator="equal">
      <formula>0</formula>
    </cfRule>
  </conditionalFormatting>
  <conditionalFormatting sqref="C77">
    <cfRule type="cellIs" dxfId="7998" priority="17683" operator="equal">
      <formula>0</formula>
    </cfRule>
  </conditionalFormatting>
  <conditionalFormatting sqref="C75">
    <cfRule type="cellIs" dxfId="7997" priority="17673" operator="equal">
      <formula>0</formula>
    </cfRule>
  </conditionalFormatting>
  <conditionalFormatting sqref="I74:T76">
    <cfRule type="cellIs" dxfId="7996" priority="17671" operator="equal">
      <formula>0</formula>
    </cfRule>
  </conditionalFormatting>
  <conditionalFormatting sqref="I74:U76">
    <cfRule type="cellIs" dxfId="7995" priority="17669" operator="equal">
      <formula>0</formula>
    </cfRule>
  </conditionalFormatting>
  <conditionalFormatting sqref="B844:U844">
    <cfRule type="cellIs" dxfId="7994" priority="17795" operator="equal">
      <formula>0</formula>
    </cfRule>
  </conditionalFormatting>
  <conditionalFormatting sqref="C63">
    <cfRule type="cellIs" dxfId="7993" priority="17718" operator="equal">
      <formula>0</formula>
    </cfRule>
  </conditionalFormatting>
  <conditionalFormatting sqref="C63">
    <cfRule type="cellIs" dxfId="7992" priority="17717" operator="equal">
      <formula>0</formula>
    </cfRule>
  </conditionalFormatting>
  <conditionalFormatting sqref="U66">
    <cfRule type="cellIs" dxfId="7991" priority="17707" operator="equal">
      <formula>0</formula>
    </cfRule>
  </conditionalFormatting>
  <conditionalFormatting sqref="C69:H69 C71:H71 D70:H70">
    <cfRule type="cellIs" dxfId="7990" priority="17694" operator="equal">
      <formula>0</formula>
    </cfRule>
  </conditionalFormatting>
  <conditionalFormatting sqref="D69:D71">
    <cfRule type="cellIs" dxfId="7989" priority="17698" operator="equal">
      <formula>0</formula>
    </cfRule>
  </conditionalFormatting>
  <conditionalFormatting sqref="U67">
    <cfRule type="cellIs" dxfId="7988" priority="17687" operator="equal">
      <formula>0</formula>
    </cfRule>
  </conditionalFormatting>
  <conditionalFormatting sqref="I67:T67">
    <cfRule type="cellIs" dxfId="7987" priority="17686" operator="equal">
      <formula>0</formula>
    </cfRule>
  </conditionalFormatting>
  <conditionalFormatting sqref="D77">
    <cfRule type="cellIs" dxfId="7986" priority="17684" operator="equal">
      <formula>0</formula>
    </cfRule>
  </conditionalFormatting>
  <conditionalFormatting sqref="C77:H77">
    <cfRule type="cellIs" dxfId="7985" priority="17682" operator="equal">
      <formula>0</formula>
    </cfRule>
  </conditionalFormatting>
  <conditionalFormatting sqref="U67">
    <cfRule type="cellIs" dxfId="7984" priority="17688" operator="equal">
      <formula>0</formula>
    </cfRule>
  </conditionalFormatting>
  <conditionalFormatting sqref="C74:H74 C76:H76 D75:H75">
    <cfRule type="cellIs" dxfId="7983" priority="17674" operator="equal">
      <formula>0</formula>
    </cfRule>
  </conditionalFormatting>
  <conditionalFormatting sqref="B70">
    <cfRule type="cellIs" dxfId="7982" priority="17522" operator="equal">
      <formula>0</formula>
    </cfRule>
  </conditionalFormatting>
  <conditionalFormatting sqref="A47:A49 A45">
    <cfRule type="cellIs" dxfId="7981" priority="17750" operator="equal">
      <formula>0</formula>
    </cfRule>
  </conditionalFormatting>
  <conditionalFormatting sqref="B45 B47:B49">
    <cfRule type="cellIs" dxfId="7980" priority="17749" operator="equal">
      <formula>0</formula>
    </cfRule>
  </conditionalFormatting>
  <conditionalFormatting sqref="A46">
    <cfRule type="cellIs" dxfId="7979" priority="17748" operator="equal">
      <formula>0</formula>
    </cfRule>
  </conditionalFormatting>
  <conditionalFormatting sqref="B46">
    <cfRule type="cellIs" dxfId="7978" priority="17747" operator="equal">
      <formula>0</formula>
    </cfRule>
  </conditionalFormatting>
  <conditionalFormatting sqref="A44">
    <cfRule type="cellIs" dxfId="7977" priority="17746" operator="equal">
      <formula>0</formula>
    </cfRule>
  </conditionalFormatting>
  <conditionalFormatting sqref="B44">
    <cfRule type="cellIs" dxfId="7976" priority="17745" operator="equal">
      <formula>0</formula>
    </cfRule>
  </conditionalFormatting>
  <conditionalFormatting sqref="A43">
    <cfRule type="cellIs" dxfId="7975" priority="17744" operator="equal">
      <formula>0</formula>
    </cfRule>
  </conditionalFormatting>
  <conditionalFormatting sqref="B43">
    <cfRule type="cellIs" dxfId="7974" priority="17743" operator="equal">
      <formula>0</formula>
    </cfRule>
  </conditionalFormatting>
  <conditionalFormatting sqref="B54:B56">
    <cfRule type="cellIs" dxfId="7973" priority="17742" operator="equal">
      <formula>0</formula>
    </cfRule>
  </conditionalFormatting>
  <conditionalFormatting sqref="B53">
    <cfRule type="cellIs" dxfId="7972" priority="17741" operator="equal">
      <formula>0</formula>
    </cfRule>
  </conditionalFormatting>
  <conditionalFormatting sqref="I50:T50">
    <cfRule type="cellIs" dxfId="7971" priority="17740" operator="equal">
      <formula>0</formula>
    </cfRule>
  </conditionalFormatting>
  <conditionalFormatting sqref="I52:T56">
    <cfRule type="cellIs" dxfId="7970" priority="17739" operator="equal">
      <formula>0</formula>
    </cfRule>
  </conditionalFormatting>
  <conditionalFormatting sqref="U52:U56">
    <cfRule type="cellIs" dxfId="7969" priority="17738" operator="equal">
      <formula>0</formula>
    </cfRule>
  </conditionalFormatting>
  <conditionalFormatting sqref="I52:U56">
    <cfRule type="cellIs" dxfId="7968" priority="17737" operator="equal">
      <formula>0</formula>
    </cfRule>
  </conditionalFormatting>
  <conditionalFormatting sqref="U57">
    <cfRule type="cellIs" dxfId="7967" priority="17736" operator="equal">
      <formula>0</formula>
    </cfRule>
  </conditionalFormatting>
  <conditionalFormatting sqref="U57">
    <cfRule type="cellIs" dxfId="7966" priority="17735" operator="equal">
      <formula>0</formula>
    </cfRule>
  </conditionalFormatting>
  <conditionalFormatting sqref="I57:T57">
    <cfRule type="cellIs" dxfId="7965" priority="17734" operator="equal">
      <formula>0</formula>
    </cfRule>
  </conditionalFormatting>
  <conditionalFormatting sqref="F59:G62">
    <cfRule type="cellIs" dxfId="7964" priority="17732" operator="equal">
      <formula>0</formula>
    </cfRule>
  </conditionalFormatting>
  <conditionalFormatting sqref="C59 C61:C62">
    <cfRule type="cellIs" dxfId="7963" priority="17731" operator="equal">
      <formula>0</formula>
    </cfRule>
  </conditionalFormatting>
  <conditionalFormatting sqref="H59:H62">
    <cfRule type="cellIs" dxfId="7962" priority="17730" operator="equal">
      <formula>0</formula>
    </cfRule>
  </conditionalFormatting>
  <conditionalFormatting sqref="D59:D62">
    <cfRule type="cellIs" dxfId="7961" priority="17733" operator="equal">
      <formula>0</formula>
    </cfRule>
  </conditionalFormatting>
  <conditionalFormatting sqref="C59:H59 C61:H62 D60:H60">
    <cfRule type="cellIs" dxfId="7960" priority="17729" operator="equal">
      <formula>0</formula>
    </cfRule>
  </conditionalFormatting>
  <conditionalFormatting sqref="C60">
    <cfRule type="cellIs" dxfId="7959" priority="17727" operator="equal">
      <formula>0</formula>
    </cfRule>
  </conditionalFormatting>
  <conditionalFormatting sqref="C60">
    <cfRule type="cellIs" dxfId="7958" priority="17728" operator="equal">
      <formula>0</formula>
    </cfRule>
  </conditionalFormatting>
  <conditionalFormatting sqref="I59:T62">
    <cfRule type="cellIs" dxfId="7957" priority="17726" operator="equal">
      <formula>0</formula>
    </cfRule>
  </conditionalFormatting>
  <conditionalFormatting sqref="U59:U62">
    <cfRule type="cellIs" dxfId="7956" priority="17725" operator="equal">
      <formula>0</formula>
    </cfRule>
  </conditionalFormatting>
  <conditionalFormatting sqref="I59:U62">
    <cfRule type="cellIs" dxfId="7955" priority="17724" operator="equal">
      <formula>0</formula>
    </cfRule>
  </conditionalFormatting>
  <conditionalFormatting sqref="F63:G65">
    <cfRule type="cellIs" dxfId="7954" priority="17722" operator="equal">
      <formula>0</formula>
    </cfRule>
  </conditionalFormatting>
  <conditionalFormatting sqref="D63:D65">
    <cfRule type="cellIs" dxfId="7953" priority="17723" operator="equal">
      <formula>0</formula>
    </cfRule>
  </conditionalFormatting>
  <conditionalFormatting sqref="C64:H65 D63:H63">
    <cfRule type="cellIs" dxfId="7952" priority="17719" operator="equal">
      <formula>0</formula>
    </cfRule>
  </conditionalFormatting>
  <conditionalFormatting sqref="C67:G67">
    <cfRule type="cellIs" dxfId="7951" priority="17705" operator="lessThan">
      <formula>0</formula>
    </cfRule>
  </conditionalFormatting>
  <conditionalFormatting sqref="C77:G77">
    <cfRule type="cellIs" dxfId="7950" priority="17685" operator="lessThan">
      <formula>0</formula>
    </cfRule>
  </conditionalFormatting>
  <conditionalFormatting sqref="C75">
    <cfRule type="cellIs" dxfId="7949" priority="17672" operator="equal">
      <formula>0</formula>
    </cfRule>
  </conditionalFormatting>
  <conditionalFormatting sqref="U77">
    <cfRule type="cellIs" dxfId="7948" priority="17680" operator="equal">
      <formula>0</formula>
    </cfRule>
  </conditionalFormatting>
  <conditionalFormatting sqref="B69 B71">
    <cfRule type="cellIs" dxfId="7947" priority="17523" operator="equal">
      <formula>0</formula>
    </cfRule>
  </conditionalFormatting>
  <conditionalFormatting sqref="B59 B61:B62">
    <cfRule type="cellIs" dxfId="7946" priority="17527" operator="equal">
      <formula>0</formula>
    </cfRule>
  </conditionalFormatting>
  <conditionalFormatting sqref="B60">
    <cfRule type="cellIs" dxfId="7945" priority="17526" operator="equal">
      <formula>0</formula>
    </cfRule>
  </conditionalFormatting>
  <conditionalFormatting sqref="B63 B65:B66">
    <cfRule type="cellIs" dxfId="7944" priority="17525" operator="equal">
      <formula>0</formula>
    </cfRule>
  </conditionalFormatting>
  <conditionalFormatting sqref="B64">
    <cfRule type="cellIs" dxfId="7943" priority="17524" operator="equal">
      <formula>0</formula>
    </cfRule>
  </conditionalFormatting>
  <conditionalFormatting sqref="B74 B76">
    <cfRule type="cellIs" dxfId="7942" priority="17521" operator="equal">
      <formula>0</formula>
    </cfRule>
  </conditionalFormatting>
  <conditionalFormatting sqref="B75">
    <cfRule type="cellIs" dxfId="7941" priority="17520" operator="equal">
      <formula>0</formula>
    </cfRule>
  </conditionalFormatting>
  <conditionalFormatting sqref="B161:U162">
    <cfRule type="cellIs" dxfId="7940" priority="17365" operator="equal">
      <formula>0</formula>
    </cfRule>
  </conditionalFormatting>
  <conditionalFormatting sqref="B243:U244 B284:U285">
    <cfRule type="cellIs" dxfId="7939" priority="17081" operator="equal">
      <formula>0</formula>
    </cfRule>
  </conditionalFormatting>
  <conditionalFormatting sqref="B325:U326">
    <cfRule type="cellIs" dxfId="7938" priority="16797" operator="equal">
      <formula>0</formula>
    </cfRule>
  </conditionalFormatting>
  <conditionalFormatting sqref="B407:U408 B448:U449">
    <cfRule type="cellIs" dxfId="7937" priority="16513" operator="equal">
      <formula>0</formula>
    </cfRule>
  </conditionalFormatting>
  <conditionalFormatting sqref="B489:U490">
    <cfRule type="cellIs" dxfId="7936" priority="16229" operator="equal">
      <formula>0</formula>
    </cfRule>
  </conditionalFormatting>
  <conditionalFormatting sqref="U556">
    <cfRule type="cellIs" dxfId="7935" priority="12525" operator="equal">
      <formula>0</formula>
    </cfRule>
  </conditionalFormatting>
  <conditionalFormatting sqref="D563">
    <cfRule type="cellIs" dxfId="7934" priority="12513" operator="equal">
      <formula>0</formula>
    </cfRule>
  </conditionalFormatting>
  <conditionalFormatting sqref="B589:H589">
    <cfRule type="cellIs" dxfId="7933" priority="12521" operator="equal">
      <formula>0</formula>
    </cfRule>
  </conditionalFormatting>
  <conditionalFormatting sqref="U589">
    <cfRule type="cellIs" dxfId="7932" priority="12520" operator="equal">
      <formula>0</formula>
    </cfRule>
  </conditionalFormatting>
  <conditionalFormatting sqref="D558">
    <cfRule type="cellIs" dxfId="7931" priority="12516" operator="equal">
      <formula>0</formula>
    </cfRule>
  </conditionalFormatting>
  <conditionalFormatting sqref="B558:U558">
    <cfRule type="cellIs" dxfId="7930" priority="12514" operator="equal">
      <formula>0</formula>
    </cfRule>
  </conditionalFormatting>
  <conditionalFormatting sqref="B563 I563:U563 D563:G563">
    <cfRule type="cellIs" dxfId="7929" priority="12511" operator="equal">
      <formula>0</formula>
    </cfRule>
  </conditionalFormatting>
  <conditionalFormatting sqref="J557:T557">
    <cfRule type="cellIs" dxfId="7928" priority="12504" operator="equal">
      <formula>0</formula>
    </cfRule>
  </conditionalFormatting>
  <conditionalFormatting sqref="U573">
    <cfRule type="cellIs" dxfId="7927" priority="12493" operator="equal">
      <formula>0</formula>
    </cfRule>
  </conditionalFormatting>
  <conditionalFormatting sqref="U573">
    <cfRule type="cellIs" dxfId="7926" priority="12492" operator="equal">
      <formula>0</formula>
    </cfRule>
  </conditionalFormatting>
  <conditionalFormatting sqref="U557">
    <cfRule type="cellIs" dxfId="7925" priority="12496" operator="equal">
      <formula>0</formula>
    </cfRule>
  </conditionalFormatting>
  <conditionalFormatting sqref="U565">
    <cfRule type="cellIs" dxfId="7924" priority="12495" operator="equal">
      <formula>0</formula>
    </cfRule>
  </conditionalFormatting>
  <conditionalFormatting sqref="U565">
    <cfRule type="cellIs" dxfId="7923" priority="12494" operator="equal">
      <formula>0</formula>
    </cfRule>
  </conditionalFormatting>
  <conditionalFormatting sqref="D555">
    <cfRule type="cellIs" dxfId="7922" priority="12528" operator="equal">
      <formula>0</formula>
    </cfRule>
  </conditionalFormatting>
  <conditionalFormatting sqref="B555 B548 B546:T547 B557 D555:U555">
    <cfRule type="cellIs" dxfId="7921" priority="12526" operator="equal">
      <formula>0</formula>
    </cfRule>
  </conditionalFormatting>
  <conditionalFormatting sqref="U556">
    <cfRule type="cellIs" dxfId="7920" priority="12524" operator="equal">
      <formula>0</formula>
    </cfRule>
  </conditionalFormatting>
  <conditionalFormatting sqref="I548:T548">
    <cfRule type="cellIs" dxfId="7919" priority="12523" operator="equal">
      <formula>0</formula>
    </cfRule>
  </conditionalFormatting>
  <conditionalFormatting sqref="I548:T548 C548:G548">
    <cfRule type="cellIs" dxfId="7918" priority="12522" operator="equal">
      <formula>0</formula>
    </cfRule>
  </conditionalFormatting>
  <conditionalFormatting sqref="I589:U589">
    <cfRule type="cellIs" dxfId="7917" priority="12519" operator="equal">
      <formula>0</formula>
    </cfRule>
  </conditionalFormatting>
  <conditionalFormatting sqref="U589">
    <cfRule type="cellIs" dxfId="7916" priority="12518" operator="equal">
      <formula>0</formula>
    </cfRule>
  </conditionalFormatting>
  <conditionalFormatting sqref="F557:G557">
    <cfRule type="cellIs" dxfId="7915" priority="12517" operator="equal">
      <formula>0</formula>
    </cfRule>
  </conditionalFormatting>
  <conditionalFormatting sqref="C558">
    <cfRule type="cellIs" dxfId="7914" priority="12515" operator="equal">
      <formula>0</formula>
    </cfRule>
  </conditionalFormatting>
  <conditionalFormatting sqref="B565">
    <cfRule type="cellIs" dxfId="7913" priority="12510" operator="equal">
      <formula>0</formula>
    </cfRule>
  </conditionalFormatting>
  <conditionalFormatting sqref="J565:T565">
    <cfRule type="cellIs" dxfId="7912" priority="12509" operator="equal">
      <formula>0</formula>
    </cfRule>
  </conditionalFormatting>
  <conditionalFormatting sqref="J565:T565">
    <cfRule type="cellIs" dxfId="7911" priority="12508" operator="equal">
      <formula>0</formula>
    </cfRule>
  </conditionalFormatting>
  <conditionalFormatting sqref="D571">
    <cfRule type="cellIs" dxfId="7910" priority="12507" operator="equal">
      <formula>0</formula>
    </cfRule>
  </conditionalFormatting>
  <conditionalFormatting sqref="B571 I571:U571 D571:G571">
    <cfRule type="cellIs" dxfId="7909" priority="12505" operator="equal">
      <formula>0</formula>
    </cfRule>
  </conditionalFormatting>
  <conditionalFormatting sqref="J557:T557">
    <cfRule type="cellIs" dxfId="7908" priority="12503" operator="equal">
      <formula>0</formula>
    </cfRule>
  </conditionalFormatting>
  <conditionalFormatting sqref="B573">
    <cfRule type="cellIs" dxfId="7907" priority="12502" operator="equal">
      <formula>0</formula>
    </cfRule>
  </conditionalFormatting>
  <conditionalFormatting sqref="D579">
    <cfRule type="cellIs" dxfId="7906" priority="12501" operator="equal">
      <formula>0</formula>
    </cfRule>
  </conditionalFormatting>
  <conditionalFormatting sqref="D579:G579 I579:U579">
    <cfRule type="cellIs" dxfId="7905" priority="12499" operator="equal">
      <formula>0</formula>
    </cfRule>
  </conditionalFormatting>
  <conditionalFormatting sqref="U557">
    <cfRule type="cellIs" dxfId="7904" priority="12497" operator="equal">
      <formula>0</formula>
    </cfRule>
  </conditionalFormatting>
  <conditionalFormatting sqref="B579">
    <cfRule type="cellIs" dxfId="7903" priority="12498" operator="equal">
      <formula>0</formula>
    </cfRule>
  </conditionalFormatting>
  <conditionalFormatting sqref="I573:T573">
    <cfRule type="cellIs" dxfId="7902" priority="12491" operator="equal">
      <formula>0</formula>
    </cfRule>
  </conditionalFormatting>
  <conditionalFormatting sqref="I573:T573">
    <cfRule type="cellIs" dxfId="7901" priority="12490" operator="equal">
      <formula>0</formula>
    </cfRule>
  </conditionalFormatting>
  <conditionalFormatting sqref="U546">
    <cfRule type="cellIs" dxfId="7900" priority="12489" operator="equal">
      <formula>0</formula>
    </cfRule>
  </conditionalFormatting>
  <conditionalFormatting sqref="U548">
    <cfRule type="cellIs" dxfId="7899" priority="12488" operator="equal">
      <formula>0</formula>
    </cfRule>
  </conditionalFormatting>
  <conditionalFormatting sqref="U546:U548">
    <cfRule type="cellIs" dxfId="7898" priority="12487" operator="equal">
      <formula>0</formula>
    </cfRule>
  </conditionalFormatting>
  <conditionalFormatting sqref="B549:G549 C550:G550 I549:T550">
    <cfRule type="cellIs" dxfId="7897" priority="12486" operator="equal">
      <formula>0</formula>
    </cfRule>
  </conditionalFormatting>
  <conditionalFormatting sqref="U549:U550">
    <cfRule type="cellIs" dxfId="7896" priority="12485" operator="equal">
      <formula>0</formula>
    </cfRule>
  </conditionalFormatting>
  <conditionalFormatting sqref="B550">
    <cfRule type="cellIs" dxfId="7895" priority="12484" operator="equal">
      <formula>0</formula>
    </cfRule>
  </conditionalFormatting>
  <conditionalFormatting sqref="H556">
    <cfRule type="cellIs" dxfId="7894" priority="12483" operator="equal">
      <formula>0</formula>
    </cfRule>
  </conditionalFormatting>
  <conditionalFormatting sqref="I556:T556">
    <cfRule type="cellIs" dxfId="7893" priority="12482" operator="equal">
      <formula>0</formula>
    </cfRule>
  </conditionalFormatting>
  <conditionalFormatting sqref="H556:T556">
    <cfRule type="cellIs" dxfId="7892" priority="12481" operator="equal">
      <formula>0</formula>
    </cfRule>
  </conditionalFormatting>
  <conditionalFormatting sqref="I556:T556">
    <cfRule type="cellIs" dxfId="7891" priority="12480" operator="equal">
      <formula>0</formula>
    </cfRule>
  </conditionalFormatting>
  <conditionalFormatting sqref="I556:T556">
    <cfRule type="cellIs" dxfId="7890" priority="12479" operator="equal">
      <formula>0</formula>
    </cfRule>
  </conditionalFormatting>
  <conditionalFormatting sqref="I556:T556">
    <cfRule type="cellIs" dxfId="7889" priority="12478" operator="equal">
      <formula>0</formula>
    </cfRule>
  </conditionalFormatting>
  <conditionalFormatting sqref="B556">
    <cfRule type="cellIs" dxfId="7888" priority="12477" operator="equal">
      <formula>0</formula>
    </cfRule>
  </conditionalFormatting>
  <conditionalFormatting sqref="F556:G556">
    <cfRule type="cellIs" dxfId="7887" priority="12475" operator="equal">
      <formula>0</formula>
    </cfRule>
  </conditionalFormatting>
  <conditionalFormatting sqref="C556">
    <cfRule type="cellIs" dxfId="7886" priority="12474" operator="equal">
      <formula>0</formula>
    </cfRule>
  </conditionalFormatting>
  <conditionalFormatting sqref="D556">
    <cfRule type="cellIs" dxfId="7885" priority="12476" operator="equal">
      <formula>0</formula>
    </cfRule>
  </conditionalFormatting>
  <conditionalFormatting sqref="C556:G556">
    <cfRule type="cellIs" dxfId="7884" priority="12473" operator="equal">
      <formula>0</formula>
    </cfRule>
  </conditionalFormatting>
  <conditionalFormatting sqref="C562">
    <cfRule type="cellIs" dxfId="7883" priority="12470" operator="equal">
      <formula>0</formula>
    </cfRule>
  </conditionalFormatting>
  <conditionalFormatting sqref="C562:G562">
    <cfRule type="cellIs" dxfId="7882" priority="12472" operator="lessThan">
      <formula>0</formula>
    </cfRule>
  </conditionalFormatting>
  <conditionalFormatting sqref="D562">
    <cfRule type="cellIs" dxfId="7881" priority="12471" operator="equal">
      <formula>0</formula>
    </cfRule>
  </conditionalFormatting>
  <conditionalFormatting sqref="C562:G562">
    <cfRule type="cellIs" dxfId="7880" priority="12469" operator="equal">
      <formula>0</formula>
    </cfRule>
  </conditionalFormatting>
  <conditionalFormatting sqref="D569">
    <cfRule type="cellIs" dxfId="7879" priority="12398" operator="equal">
      <formula>0</formula>
    </cfRule>
  </conditionalFormatting>
  <conditionalFormatting sqref="C569">
    <cfRule type="cellIs" dxfId="7878" priority="12396" operator="equal">
      <formula>0</formula>
    </cfRule>
  </conditionalFormatting>
  <conditionalFormatting sqref="D574">
    <cfRule type="cellIs" dxfId="7877" priority="12392" operator="equal">
      <formula>0</formula>
    </cfRule>
  </conditionalFormatting>
  <conditionalFormatting sqref="B561">
    <cfRule type="cellIs" dxfId="7876" priority="12458" operator="equal">
      <formula>0</formula>
    </cfRule>
  </conditionalFormatting>
  <conditionalFormatting sqref="F559:G560">
    <cfRule type="cellIs" dxfId="7875" priority="12456" operator="equal">
      <formula>0</formula>
    </cfRule>
  </conditionalFormatting>
  <conditionalFormatting sqref="C559:C560">
    <cfRule type="cellIs" dxfId="7874" priority="12455" operator="equal">
      <formula>0</formula>
    </cfRule>
  </conditionalFormatting>
  <conditionalFormatting sqref="D559:D560">
    <cfRule type="cellIs" dxfId="7873" priority="12457" operator="equal">
      <formula>0</formula>
    </cfRule>
  </conditionalFormatting>
  <conditionalFormatting sqref="B559:G560">
    <cfRule type="cellIs" dxfId="7872" priority="12454" operator="equal">
      <formula>0</formula>
    </cfRule>
  </conditionalFormatting>
  <conditionalFormatting sqref="F561:G561">
    <cfRule type="cellIs" dxfId="7871" priority="12452" operator="equal">
      <formula>0</formula>
    </cfRule>
  </conditionalFormatting>
  <conditionalFormatting sqref="C561">
    <cfRule type="cellIs" dxfId="7870" priority="12451" operator="equal">
      <formula>0</formula>
    </cfRule>
  </conditionalFormatting>
  <conditionalFormatting sqref="D561">
    <cfRule type="cellIs" dxfId="7869" priority="12453" operator="equal">
      <formula>0</formula>
    </cfRule>
  </conditionalFormatting>
  <conditionalFormatting sqref="C561:G561">
    <cfRule type="cellIs" dxfId="7868" priority="12450" operator="equal">
      <formula>0</formula>
    </cfRule>
  </conditionalFormatting>
  <conditionalFormatting sqref="U564">
    <cfRule type="cellIs" dxfId="7867" priority="12447" operator="equal">
      <formula>0</formula>
    </cfRule>
  </conditionalFormatting>
  <conditionalFormatting sqref="U564">
    <cfRule type="cellIs" dxfId="7866" priority="12446" operator="equal">
      <formula>0</formula>
    </cfRule>
  </conditionalFormatting>
  <conditionalFormatting sqref="I564:T564">
    <cfRule type="cellIs" dxfId="7865" priority="12444" operator="equal">
      <formula>0</formula>
    </cfRule>
  </conditionalFormatting>
  <conditionalFormatting sqref="I564:T564">
    <cfRule type="cellIs" dxfId="7864" priority="12443" operator="equal">
      <formula>0</formula>
    </cfRule>
  </conditionalFormatting>
  <conditionalFormatting sqref="I564:T564">
    <cfRule type="cellIs" dxfId="7863" priority="12442" operator="equal">
      <formula>0</formula>
    </cfRule>
  </conditionalFormatting>
  <conditionalFormatting sqref="I564:T564">
    <cfRule type="cellIs" dxfId="7862" priority="12441" operator="equal">
      <formula>0</formula>
    </cfRule>
  </conditionalFormatting>
  <conditionalFormatting sqref="I564:T564">
    <cfRule type="cellIs" dxfId="7861" priority="12440" operator="equal">
      <formula>0</formula>
    </cfRule>
  </conditionalFormatting>
  <conditionalFormatting sqref="B564">
    <cfRule type="cellIs" dxfId="7860" priority="12439" operator="equal">
      <formula>0</formula>
    </cfRule>
  </conditionalFormatting>
  <conditionalFormatting sqref="F564:G564">
    <cfRule type="cellIs" dxfId="7859" priority="12437" operator="equal">
      <formula>0</formula>
    </cfRule>
  </conditionalFormatting>
  <conditionalFormatting sqref="C564">
    <cfRule type="cellIs" dxfId="7858" priority="12436" operator="equal">
      <formula>0</formula>
    </cfRule>
  </conditionalFormatting>
  <conditionalFormatting sqref="D564">
    <cfRule type="cellIs" dxfId="7857" priority="12438" operator="equal">
      <formula>0</formula>
    </cfRule>
  </conditionalFormatting>
  <conditionalFormatting sqref="C564:G564">
    <cfRule type="cellIs" dxfId="7856" priority="12435" operator="equal">
      <formula>0</formula>
    </cfRule>
  </conditionalFormatting>
  <conditionalFormatting sqref="U572">
    <cfRule type="cellIs" dxfId="7855" priority="12434" operator="equal">
      <formula>0</formula>
    </cfRule>
  </conditionalFormatting>
  <conditionalFormatting sqref="U572">
    <cfRule type="cellIs" dxfId="7854" priority="12433" operator="equal">
      <formula>0</formula>
    </cfRule>
  </conditionalFormatting>
  <conditionalFormatting sqref="I572:T572">
    <cfRule type="cellIs" dxfId="7853" priority="12431" operator="equal">
      <formula>0</formula>
    </cfRule>
  </conditionalFormatting>
  <conditionalFormatting sqref="I572:T572">
    <cfRule type="cellIs" dxfId="7852" priority="12430" operator="equal">
      <formula>0</formula>
    </cfRule>
  </conditionalFormatting>
  <conditionalFormatting sqref="I572:T572">
    <cfRule type="cellIs" dxfId="7851" priority="12429" operator="equal">
      <formula>0</formula>
    </cfRule>
  </conditionalFormatting>
  <conditionalFormatting sqref="I572:T572">
    <cfRule type="cellIs" dxfId="7850" priority="12428" operator="equal">
      <formula>0</formula>
    </cfRule>
  </conditionalFormatting>
  <conditionalFormatting sqref="I572:T572">
    <cfRule type="cellIs" dxfId="7849" priority="12427" operator="equal">
      <formula>0</formula>
    </cfRule>
  </conditionalFormatting>
  <conditionalFormatting sqref="B572">
    <cfRule type="cellIs" dxfId="7848" priority="12426" operator="equal">
      <formula>0</formula>
    </cfRule>
  </conditionalFormatting>
  <conditionalFormatting sqref="F572:G572">
    <cfRule type="cellIs" dxfId="7847" priority="12424" operator="equal">
      <formula>0</formula>
    </cfRule>
  </conditionalFormatting>
  <conditionalFormatting sqref="C572">
    <cfRule type="cellIs" dxfId="7846" priority="12423" operator="equal">
      <formula>0</formula>
    </cfRule>
  </conditionalFormatting>
  <conditionalFormatting sqref="D572">
    <cfRule type="cellIs" dxfId="7845" priority="12425" operator="equal">
      <formula>0</formula>
    </cfRule>
  </conditionalFormatting>
  <conditionalFormatting sqref="C572:G572">
    <cfRule type="cellIs" dxfId="7844" priority="12422" operator="equal">
      <formula>0</formula>
    </cfRule>
  </conditionalFormatting>
  <conditionalFormatting sqref="H549:H550">
    <cfRule type="cellIs" dxfId="7843" priority="12421" operator="equal">
      <formula>0</formula>
    </cfRule>
  </conditionalFormatting>
  <conditionalFormatting sqref="D566">
    <cfRule type="cellIs" dxfId="7842" priority="12420" operator="equal">
      <formula>0</formula>
    </cfRule>
  </conditionalFormatting>
  <conditionalFormatting sqref="B566:U566">
    <cfRule type="cellIs" dxfId="7841" priority="12418" operator="equal">
      <formula>0</formula>
    </cfRule>
  </conditionalFormatting>
  <conditionalFormatting sqref="C566">
    <cfRule type="cellIs" dxfId="7840" priority="12419" operator="equal">
      <formula>0</formula>
    </cfRule>
  </conditionalFormatting>
  <conditionalFormatting sqref="C570">
    <cfRule type="cellIs" dxfId="7839" priority="12415" operator="equal">
      <formula>0</formula>
    </cfRule>
  </conditionalFormatting>
  <conditionalFormatting sqref="C570:G570">
    <cfRule type="cellIs" dxfId="7838" priority="12417" operator="lessThan">
      <formula>0</formula>
    </cfRule>
  </conditionalFormatting>
  <conditionalFormatting sqref="D570">
    <cfRule type="cellIs" dxfId="7837" priority="12416" operator="equal">
      <formula>0</formula>
    </cfRule>
  </conditionalFormatting>
  <conditionalFormatting sqref="C570:G570">
    <cfRule type="cellIs" dxfId="7836" priority="12414" operator="equal">
      <formula>0</formula>
    </cfRule>
  </conditionalFormatting>
  <conditionalFormatting sqref="C586">
    <cfRule type="cellIs" dxfId="7835" priority="12332" operator="equal">
      <formula>0</formula>
    </cfRule>
  </conditionalFormatting>
  <conditionalFormatting sqref="F573:G573">
    <cfRule type="cellIs" dxfId="7834" priority="12361" operator="equal">
      <formula>0</formula>
    </cfRule>
  </conditionalFormatting>
  <conditionalFormatting sqref="B569">
    <cfRule type="cellIs" dxfId="7833" priority="12403" operator="equal">
      <formula>0</formula>
    </cfRule>
  </conditionalFormatting>
  <conditionalFormatting sqref="F567:G568">
    <cfRule type="cellIs" dxfId="7832" priority="12401" operator="equal">
      <formula>0</formula>
    </cfRule>
  </conditionalFormatting>
  <conditionalFormatting sqref="C567:C568">
    <cfRule type="cellIs" dxfId="7831" priority="12400" operator="equal">
      <formula>0</formula>
    </cfRule>
  </conditionalFormatting>
  <conditionalFormatting sqref="D567:D568">
    <cfRule type="cellIs" dxfId="7830" priority="12402" operator="equal">
      <formula>0</formula>
    </cfRule>
  </conditionalFormatting>
  <conditionalFormatting sqref="B567:G568">
    <cfRule type="cellIs" dxfId="7829" priority="12399" operator="equal">
      <formula>0</formula>
    </cfRule>
  </conditionalFormatting>
  <conditionalFormatting sqref="F569:G569">
    <cfRule type="cellIs" dxfId="7828" priority="12397" operator="equal">
      <formula>0</formula>
    </cfRule>
  </conditionalFormatting>
  <conditionalFormatting sqref="C569:G569">
    <cfRule type="cellIs" dxfId="7827" priority="12395" operator="equal">
      <formula>0</formula>
    </cfRule>
  </conditionalFormatting>
  <conditionalFormatting sqref="C585">
    <cfRule type="cellIs" dxfId="7826" priority="12313" operator="equal">
      <formula>0</formula>
    </cfRule>
  </conditionalFormatting>
  <conditionalFormatting sqref="C585:G585">
    <cfRule type="cellIs" dxfId="7825" priority="12312" operator="equal">
      <formula>0</formula>
    </cfRule>
  </conditionalFormatting>
  <conditionalFormatting sqref="B574:U574">
    <cfRule type="cellIs" dxfId="7824" priority="12390" operator="equal">
      <formula>0</formula>
    </cfRule>
  </conditionalFormatting>
  <conditionalFormatting sqref="C574">
    <cfRule type="cellIs" dxfId="7823" priority="12391" operator="equal">
      <formula>0</formula>
    </cfRule>
  </conditionalFormatting>
  <conditionalFormatting sqref="C578">
    <cfRule type="cellIs" dxfId="7822" priority="12387" operator="equal">
      <formula>0</formula>
    </cfRule>
  </conditionalFormatting>
  <conditionalFormatting sqref="C578:G578">
    <cfRule type="cellIs" dxfId="7821" priority="12389" operator="lessThan">
      <formula>0</formula>
    </cfRule>
  </conditionalFormatting>
  <conditionalFormatting sqref="D578">
    <cfRule type="cellIs" dxfId="7820" priority="12388" operator="equal">
      <formula>0</formula>
    </cfRule>
  </conditionalFormatting>
  <conditionalFormatting sqref="C578:G578">
    <cfRule type="cellIs" dxfId="7819" priority="12386" operator="equal">
      <formula>0</formula>
    </cfRule>
  </conditionalFormatting>
  <conditionalFormatting sqref="U581">
    <cfRule type="cellIs" dxfId="7818" priority="12341" operator="equal">
      <formula>0</formula>
    </cfRule>
  </conditionalFormatting>
  <conditionalFormatting sqref="D554">
    <cfRule type="cellIs" dxfId="7817" priority="12291" operator="equal">
      <formula>0</formula>
    </cfRule>
  </conditionalFormatting>
  <conditionalFormatting sqref="U554">
    <cfRule type="cellIs" dxfId="7816" priority="12288" operator="equal">
      <formula>0</formula>
    </cfRule>
  </conditionalFormatting>
  <conditionalFormatting sqref="I554:T554">
    <cfRule type="cellIs" dxfId="7815" priority="12286" operator="equal">
      <formula>0</formula>
    </cfRule>
  </conditionalFormatting>
  <conditionalFormatting sqref="D551:D553">
    <cfRule type="cellIs" dxfId="7814" priority="12285" operator="equal">
      <formula>0</formula>
    </cfRule>
  </conditionalFormatting>
  <conditionalFormatting sqref="F551:G553">
    <cfRule type="cellIs" dxfId="7813" priority="12284" operator="equal">
      <formula>0</formula>
    </cfRule>
  </conditionalFormatting>
  <conditionalFormatting sqref="B577">
    <cfRule type="cellIs" dxfId="7812" priority="12375" operator="equal">
      <formula>0</formula>
    </cfRule>
  </conditionalFormatting>
  <conditionalFormatting sqref="F575:G576">
    <cfRule type="cellIs" dxfId="7811" priority="12373" operator="equal">
      <formula>0</formula>
    </cfRule>
  </conditionalFormatting>
  <conditionalFormatting sqref="C575:C576">
    <cfRule type="cellIs" dxfId="7810" priority="12372" operator="equal">
      <formula>0</formula>
    </cfRule>
  </conditionalFormatting>
  <conditionalFormatting sqref="D575:D576">
    <cfRule type="cellIs" dxfId="7809" priority="12374" operator="equal">
      <formula>0</formula>
    </cfRule>
  </conditionalFormatting>
  <conditionalFormatting sqref="B575:G576">
    <cfRule type="cellIs" dxfId="7808" priority="12371" operator="equal">
      <formula>0</formula>
    </cfRule>
  </conditionalFormatting>
  <conditionalFormatting sqref="F577:G577">
    <cfRule type="cellIs" dxfId="7807" priority="12369" operator="equal">
      <formula>0</formula>
    </cfRule>
  </conditionalFormatting>
  <conditionalFormatting sqref="C577">
    <cfRule type="cellIs" dxfId="7806" priority="12368" operator="equal">
      <formula>0</formula>
    </cfRule>
  </conditionalFormatting>
  <conditionalFormatting sqref="D577">
    <cfRule type="cellIs" dxfId="7805" priority="12370" operator="equal">
      <formula>0</formula>
    </cfRule>
  </conditionalFormatting>
  <conditionalFormatting sqref="C577:G577">
    <cfRule type="cellIs" dxfId="7804" priority="12367" operator="equal">
      <formula>0</formula>
    </cfRule>
  </conditionalFormatting>
  <conditionalFormatting sqref="C557:E557">
    <cfRule type="cellIs" dxfId="7803" priority="12364" operator="equal">
      <formula>0</formula>
    </cfRule>
  </conditionalFormatting>
  <conditionalFormatting sqref="F565:G565">
    <cfRule type="cellIs" dxfId="7802" priority="12363" operator="equal">
      <formula>0</formula>
    </cfRule>
  </conditionalFormatting>
  <conditionalFormatting sqref="C565:E565">
    <cfRule type="cellIs" dxfId="7801" priority="12362" operator="equal">
      <formula>0</formula>
    </cfRule>
  </conditionalFormatting>
  <conditionalFormatting sqref="C573:E573">
    <cfRule type="cellIs" dxfId="7800" priority="12360" operator="equal">
      <formula>0</formula>
    </cfRule>
  </conditionalFormatting>
  <conditionalFormatting sqref="U580">
    <cfRule type="cellIs" dxfId="7799" priority="12359" operator="equal">
      <formula>0</formula>
    </cfRule>
  </conditionalFormatting>
  <conditionalFormatting sqref="U580">
    <cfRule type="cellIs" dxfId="7798" priority="12358" operator="equal">
      <formula>0</formula>
    </cfRule>
  </conditionalFormatting>
  <conditionalFormatting sqref="F585:G585">
    <cfRule type="cellIs" dxfId="7797" priority="12314" operator="equal">
      <formula>0</formula>
    </cfRule>
  </conditionalFormatting>
  <conditionalFormatting sqref="I580:T580">
    <cfRule type="cellIs" dxfId="7796" priority="12356" operator="equal">
      <formula>0</formula>
    </cfRule>
  </conditionalFormatting>
  <conditionalFormatting sqref="I580:T580">
    <cfRule type="cellIs" dxfId="7795" priority="12355" operator="equal">
      <formula>0</formula>
    </cfRule>
  </conditionalFormatting>
  <conditionalFormatting sqref="I580:T580">
    <cfRule type="cellIs" dxfId="7794" priority="12354" operator="equal">
      <formula>0</formula>
    </cfRule>
  </conditionalFormatting>
  <conditionalFormatting sqref="I580:T580">
    <cfRule type="cellIs" dxfId="7793" priority="12353" operator="equal">
      <formula>0</formula>
    </cfRule>
  </conditionalFormatting>
  <conditionalFormatting sqref="I580:T580">
    <cfRule type="cellIs" dxfId="7792" priority="12352" operator="equal">
      <formula>0</formula>
    </cfRule>
  </conditionalFormatting>
  <conditionalFormatting sqref="B580">
    <cfRule type="cellIs" dxfId="7791" priority="12351" operator="equal">
      <formula>0</formula>
    </cfRule>
  </conditionalFormatting>
  <conditionalFormatting sqref="F580:G580">
    <cfRule type="cellIs" dxfId="7790" priority="12349" operator="equal">
      <formula>0</formula>
    </cfRule>
  </conditionalFormatting>
  <conditionalFormatting sqref="C580">
    <cfRule type="cellIs" dxfId="7789" priority="12348" operator="equal">
      <formula>0</formula>
    </cfRule>
  </conditionalFormatting>
  <conditionalFormatting sqref="D580">
    <cfRule type="cellIs" dxfId="7788" priority="12350" operator="equal">
      <formula>0</formula>
    </cfRule>
  </conditionalFormatting>
  <conditionalFormatting sqref="C580:G580">
    <cfRule type="cellIs" dxfId="7787" priority="12347" operator="equal">
      <formula>0</formula>
    </cfRule>
  </conditionalFormatting>
  <conditionalFormatting sqref="U581">
    <cfRule type="cellIs" dxfId="7786" priority="12340" operator="equal">
      <formula>0</formula>
    </cfRule>
  </conditionalFormatting>
  <conditionalFormatting sqref="B581">
    <cfRule type="cellIs" dxfId="7785" priority="12346" operator="equal">
      <formula>0</formula>
    </cfRule>
  </conditionalFormatting>
  <conditionalFormatting sqref="D587">
    <cfRule type="cellIs" dxfId="7784" priority="12345" operator="equal">
      <formula>0</formula>
    </cfRule>
  </conditionalFormatting>
  <conditionalFormatting sqref="J581:T581">
    <cfRule type="cellIs" dxfId="7783" priority="12339" operator="equal">
      <formula>0</formula>
    </cfRule>
  </conditionalFormatting>
  <conditionalFormatting sqref="D587:G587 I587:U587">
    <cfRule type="cellIs" dxfId="7782" priority="12343" operator="equal">
      <formula>0</formula>
    </cfRule>
  </conditionalFormatting>
  <conditionalFormatting sqref="B587">
    <cfRule type="cellIs" dxfId="7781" priority="12342" operator="equal">
      <formula>0</formula>
    </cfRule>
  </conditionalFormatting>
  <conditionalFormatting sqref="J581:T581">
    <cfRule type="cellIs" dxfId="7780" priority="12338" operator="equal">
      <formula>0</formula>
    </cfRule>
  </conditionalFormatting>
  <conditionalFormatting sqref="D582">
    <cfRule type="cellIs" dxfId="7779" priority="12337" operator="equal">
      <formula>0</formula>
    </cfRule>
  </conditionalFormatting>
  <conditionalFormatting sqref="B582:U582">
    <cfRule type="cellIs" dxfId="7778" priority="12335" operator="equal">
      <formula>0</formula>
    </cfRule>
  </conditionalFormatting>
  <conditionalFormatting sqref="C582">
    <cfRule type="cellIs" dxfId="7777" priority="12336" operator="equal">
      <formula>0</formula>
    </cfRule>
  </conditionalFormatting>
  <conditionalFormatting sqref="C586:G586">
    <cfRule type="cellIs" dxfId="7776" priority="12334" operator="lessThan">
      <formula>0</formula>
    </cfRule>
  </conditionalFormatting>
  <conditionalFormatting sqref="D586">
    <cfRule type="cellIs" dxfId="7775" priority="12333" operator="equal">
      <formula>0</formula>
    </cfRule>
  </conditionalFormatting>
  <conditionalFormatting sqref="C586:G586">
    <cfRule type="cellIs" dxfId="7774" priority="12331" operator="equal">
      <formula>0</formula>
    </cfRule>
  </conditionalFormatting>
  <conditionalFormatting sqref="I771:T772">
    <cfRule type="cellIs" dxfId="7773" priority="12225" operator="equal">
      <formula>0</formula>
    </cfRule>
  </conditionalFormatting>
  <conditionalFormatting sqref="U771:U772">
    <cfRule type="cellIs" dxfId="7772" priority="12222" operator="equal">
      <formula>0</formula>
    </cfRule>
  </conditionalFormatting>
  <conditionalFormatting sqref="U771:U772">
    <cfRule type="cellIs" dxfId="7771" priority="12221" operator="equal">
      <formula>0</formula>
    </cfRule>
  </conditionalFormatting>
  <conditionalFormatting sqref="F771:G772">
    <cfRule type="cellIs" dxfId="7770" priority="12219" operator="equal">
      <formula>0</formula>
    </cfRule>
  </conditionalFormatting>
  <conditionalFormatting sqref="B585">
    <cfRule type="cellIs" dxfId="7769" priority="12320" operator="equal">
      <formula>0</formula>
    </cfRule>
  </conditionalFormatting>
  <conditionalFormatting sqref="F583:G584">
    <cfRule type="cellIs" dxfId="7768" priority="12318" operator="equal">
      <formula>0</formula>
    </cfRule>
  </conditionalFormatting>
  <conditionalFormatting sqref="C583:C584">
    <cfRule type="cellIs" dxfId="7767" priority="12317" operator="equal">
      <formula>0</formula>
    </cfRule>
  </conditionalFormatting>
  <conditionalFormatting sqref="D583:D584">
    <cfRule type="cellIs" dxfId="7766" priority="12319" operator="equal">
      <formula>0</formula>
    </cfRule>
  </conditionalFormatting>
  <conditionalFormatting sqref="B583:G584">
    <cfRule type="cellIs" dxfId="7765" priority="12316" operator="equal">
      <formula>0</formula>
    </cfRule>
  </conditionalFormatting>
  <conditionalFormatting sqref="D585">
    <cfRule type="cellIs" dxfId="7764" priority="12315" operator="equal">
      <formula>0</formula>
    </cfRule>
  </conditionalFormatting>
  <conditionalFormatting sqref="U588">
    <cfRule type="cellIs" dxfId="7763" priority="12309" operator="equal">
      <formula>0</formula>
    </cfRule>
  </conditionalFormatting>
  <conditionalFormatting sqref="U588">
    <cfRule type="cellIs" dxfId="7762" priority="12308" operator="equal">
      <formula>0</formula>
    </cfRule>
  </conditionalFormatting>
  <conditionalFormatting sqref="I588:T588">
    <cfRule type="cellIs" dxfId="7761" priority="12306" operator="equal">
      <formula>0</formula>
    </cfRule>
  </conditionalFormatting>
  <conditionalFormatting sqref="I588:T588">
    <cfRule type="cellIs" dxfId="7760" priority="12305" operator="equal">
      <formula>0</formula>
    </cfRule>
  </conditionalFormatting>
  <conditionalFormatting sqref="I588:T588">
    <cfRule type="cellIs" dxfId="7759" priority="12304" operator="equal">
      <formula>0</formula>
    </cfRule>
  </conditionalFormatting>
  <conditionalFormatting sqref="I588:T588">
    <cfRule type="cellIs" dxfId="7758" priority="12303" operator="equal">
      <formula>0</formula>
    </cfRule>
  </conditionalFormatting>
  <conditionalFormatting sqref="I588:T588">
    <cfRule type="cellIs" dxfId="7757" priority="12302" operator="equal">
      <formula>0</formula>
    </cfRule>
  </conditionalFormatting>
  <conditionalFormatting sqref="B588">
    <cfRule type="cellIs" dxfId="7756" priority="12301" operator="equal">
      <formula>0</formula>
    </cfRule>
  </conditionalFormatting>
  <conditionalFormatting sqref="F588:G588">
    <cfRule type="cellIs" dxfId="7755" priority="12299" operator="equal">
      <formula>0</formula>
    </cfRule>
  </conditionalFormatting>
  <conditionalFormatting sqref="C588">
    <cfRule type="cellIs" dxfId="7754" priority="12298" operator="equal">
      <formula>0</formula>
    </cfRule>
  </conditionalFormatting>
  <conditionalFormatting sqref="D588">
    <cfRule type="cellIs" dxfId="7753" priority="12300" operator="equal">
      <formula>0</formula>
    </cfRule>
  </conditionalFormatting>
  <conditionalFormatting sqref="C588:G588">
    <cfRule type="cellIs" dxfId="7752" priority="12297" operator="equal">
      <formula>0</formula>
    </cfRule>
  </conditionalFormatting>
  <conditionalFormatting sqref="F581:G581">
    <cfRule type="cellIs" dxfId="7751" priority="12296" operator="equal">
      <formula>0</formula>
    </cfRule>
  </conditionalFormatting>
  <conditionalFormatting sqref="C581:E581">
    <cfRule type="cellIs" dxfId="7750" priority="12295" operator="equal">
      <formula>0</formula>
    </cfRule>
  </conditionalFormatting>
  <conditionalFormatting sqref="B554">
    <cfRule type="cellIs" dxfId="7749" priority="12294" operator="lessThan">
      <formula>0</formula>
    </cfRule>
  </conditionalFormatting>
  <conditionalFormatting sqref="B554">
    <cfRule type="cellIs" dxfId="7748" priority="12293" operator="equal">
      <formula>0</formula>
    </cfRule>
  </conditionalFormatting>
  <conditionalFormatting sqref="C554">
    <cfRule type="cellIs" dxfId="7747" priority="12290" operator="equal">
      <formula>0</formula>
    </cfRule>
  </conditionalFormatting>
  <conditionalFormatting sqref="C554:G554">
    <cfRule type="cellIs" dxfId="7746" priority="12292" operator="lessThan">
      <formula>0</formula>
    </cfRule>
  </conditionalFormatting>
  <conditionalFormatting sqref="C554:H554">
    <cfRule type="cellIs" dxfId="7745" priority="12289" operator="equal">
      <formula>0</formula>
    </cfRule>
  </conditionalFormatting>
  <conditionalFormatting sqref="U554">
    <cfRule type="cellIs" dxfId="7744" priority="12287" operator="equal">
      <formula>0</formula>
    </cfRule>
  </conditionalFormatting>
  <conditionalFormatting sqref="C551 C553">
    <cfRule type="cellIs" dxfId="7743" priority="12283" operator="equal">
      <formula>0</formula>
    </cfRule>
  </conditionalFormatting>
  <conditionalFormatting sqref="H551:H553">
    <cfRule type="cellIs" dxfId="7742" priority="12282" operator="equal">
      <formula>0</formula>
    </cfRule>
  </conditionalFormatting>
  <conditionalFormatting sqref="C551:H551 C553:H553 D552:H552">
    <cfRule type="cellIs" dxfId="7741" priority="12281" operator="equal">
      <formula>0</formula>
    </cfRule>
  </conditionalFormatting>
  <conditionalFormatting sqref="C552">
    <cfRule type="cellIs" dxfId="7740" priority="12279" operator="equal">
      <formula>0</formula>
    </cfRule>
  </conditionalFormatting>
  <conditionalFormatting sqref="C552">
    <cfRule type="cellIs" dxfId="7739" priority="12280" operator="equal">
      <formula>0</formula>
    </cfRule>
  </conditionalFormatting>
  <conditionalFormatting sqref="I551:T553">
    <cfRule type="cellIs" dxfId="7738" priority="12278" operator="equal">
      <formula>0</formula>
    </cfRule>
  </conditionalFormatting>
  <conditionalFormatting sqref="U551:U553">
    <cfRule type="cellIs" dxfId="7737" priority="12277" operator="equal">
      <formula>0</formula>
    </cfRule>
  </conditionalFormatting>
  <conditionalFormatting sqref="I551:U553">
    <cfRule type="cellIs" dxfId="7736" priority="12276" operator="equal">
      <formula>0</formula>
    </cfRule>
  </conditionalFormatting>
  <conditionalFormatting sqref="B551 B553">
    <cfRule type="cellIs" dxfId="7735" priority="12275" operator="equal">
      <formula>0</formula>
    </cfRule>
  </conditionalFormatting>
  <conditionalFormatting sqref="B552">
    <cfRule type="cellIs" dxfId="7734" priority="12274" operator="equal">
      <formula>0</formula>
    </cfRule>
  </conditionalFormatting>
  <conditionalFormatting sqref="I762:T762">
    <cfRule type="cellIs" dxfId="7733" priority="12273" operator="equal">
      <formula>0</formula>
    </cfRule>
  </conditionalFormatting>
  <conditionalFormatting sqref="U762">
    <cfRule type="cellIs" dxfId="7732" priority="12272" operator="equal">
      <formula>0</formula>
    </cfRule>
  </conditionalFormatting>
  <conditionalFormatting sqref="B761:U761 B762 I762:U762">
    <cfRule type="cellIs" dxfId="7731" priority="12271" operator="equal">
      <formula>0</formula>
    </cfRule>
  </conditionalFormatting>
  <conditionalFormatting sqref="F762:G762">
    <cfRule type="cellIs" dxfId="7730" priority="12270" operator="equal">
      <formula>0</formula>
    </cfRule>
  </conditionalFormatting>
  <conditionalFormatting sqref="C762:E762">
    <cfRule type="cellIs" dxfId="7729" priority="12269" operator="equal">
      <formula>0</formula>
    </cfRule>
  </conditionalFormatting>
  <conditionalFormatting sqref="H763:H764">
    <cfRule type="cellIs" dxfId="7728" priority="12267" operator="equal">
      <formula>0</formula>
    </cfRule>
  </conditionalFormatting>
  <conditionalFormatting sqref="U763:U764">
    <cfRule type="cellIs" dxfId="7727" priority="12268" operator="equal">
      <formula>0</formula>
    </cfRule>
  </conditionalFormatting>
  <conditionalFormatting sqref="I763:T764">
    <cfRule type="cellIs" dxfId="7726" priority="12266" operator="equal">
      <formula>0</formula>
    </cfRule>
  </conditionalFormatting>
  <conditionalFormatting sqref="H763:U764">
    <cfRule type="cellIs" dxfId="7725" priority="12265" operator="equal">
      <formula>0</formula>
    </cfRule>
  </conditionalFormatting>
  <conditionalFormatting sqref="U763:U764">
    <cfRule type="cellIs" dxfId="7724" priority="12264" operator="equal">
      <formula>0</formula>
    </cfRule>
  </conditionalFormatting>
  <conditionalFormatting sqref="I763:T764">
    <cfRule type="cellIs" dxfId="7723" priority="12263" operator="equal">
      <formula>0</formula>
    </cfRule>
  </conditionalFormatting>
  <conditionalFormatting sqref="I763:T764">
    <cfRule type="cellIs" dxfId="7722" priority="12262" operator="equal">
      <formula>0</formula>
    </cfRule>
  </conditionalFormatting>
  <conditionalFormatting sqref="I763:T764">
    <cfRule type="cellIs" dxfId="7721" priority="12261" operator="equal">
      <formula>0</formula>
    </cfRule>
  </conditionalFormatting>
  <conditionalFormatting sqref="U763:U764">
    <cfRule type="cellIs" dxfId="7720" priority="12260" operator="equal">
      <formula>0</formula>
    </cfRule>
  </conditionalFormatting>
  <conditionalFormatting sqref="U763:U764">
    <cfRule type="cellIs" dxfId="7719" priority="12259" operator="equal">
      <formula>0</formula>
    </cfRule>
  </conditionalFormatting>
  <conditionalFormatting sqref="F763:G764">
    <cfRule type="cellIs" dxfId="7718" priority="12257" operator="equal">
      <formula>0</formula>
    </cfRule>
  </conditionalFormatting>
  <conditionalFormatting sqref="D763:D764">
    <cfRule type="cellIs" dxfId="7717" priority="12258" operator="equal">
      <formula>0</formula>
    </cfRule>
  </conditionalFormatting>
  <conditionalFormatting sqref="B764 D763:G764">
    <cfRule type="cellIs" dxfId="7716" priority="12255" operator="equal">
      <formula>0</formula>
    </cfRule>
  </conditionalFormatting>
  <conditionalFormatting sqref="I766:T766">
    <cfRule type="cellIs" dxfId="7715" priority="12254" operator="equal">
      <formula>0</formula>
    </cfRule>
  </conditionalFormatting>
  <conditionalFormatting sqref="U766">
    <cfRule type="cellIs" dxfId="7714" priority="12253" operator="equal">
      <formula>0</formula>
    </cfRule>
  </conditionalFormatting>
  <conditionalFormatting sqref="B765:U765 B766 I766:U766">
    <cfRule type="cellIs" dxfId="7713" priority="12252" operator="equal">
      <formula>0</formula>
    </cfRule>
  </conditionalFormatting>
  <conditionalFormatting sqref="F766:G766">
    <cfRule type="cellIs" dxfId="7712" priority="12251" operator="equal">
      <formula>0</formula>
    </cfRule>
  </conditionalFormatting>
  <conditionalFormatting sqref="D766:E766">
    <cfRule type="cellIs" dxfId="7711" priority="12250" operator="equal">
      <formula>0</formula>
    </cfRule>
  </conditionalFormatting>
  <conditionalFormatting sqref="H767:H768">
    <cfRule type="cellIs" dxfId="7710" priority="12248" operator="equal">
      <formula>0</formula>
    </cfRule>
  </conditionalFormatting>
  <conditionalFormatting sqref="U767:U768">
    <cfRule type="cellIs" dxfId="7709" priority="12249" operator="equal">
      <formula>0</formula>
    </cfRule>
  </conditionalFormatting>
  <conditionalFormatting sqref="I767:T768">
    <cfRule type="cellIs" dxfId="7708" priority="12247" operator="equal">
      <formula>0</formula>
    </cfRule>
  </conditionalFormatting>
  <conditionalFormatting sqref="H767:U768">
    <cfRule type="cellIs" dxfId="7707" priority="12246" operator="equal">
      <formula>0</formula>
    </cfRule>
  </conditionalFormatting>
  <conditionalFormatting sqref="U767:U768">
    <cfRule type="cellIs" dxfId="7706" priority="12245" operator="equal">
      <formula>0</formula>
    </cfRule>
  </conditionalFormatting>
  <conditionalFormatting sqref="I767:T768">
    <cfRule type="cellIs" dxfId="7705" priority="12244" operator="equal">
      <formula>0</formula>
    </cfRule>
  </conditionalFormatting>
  <conditionalFormatting sqref="I767:T768">
    <cfRule type="cellIs" dxfId="7704" priority="12243" operator="equal">
      <formula>0</formula>
    </cfRule>
  </conditionalFormatting>
  <conditionalFormatting sqref="I767:T768">
    <cfRule type="cellIs" dxfId="7703" priority="12242" operator="equal">
      <formula>0</formula>
    </cfRule>
  </conditionalFormatting>
  <conditionalFormatting sqref="U767:U768">
    <cfRule type="cellIs" dxfId="7702" priority="12241" operator="equal">
      <formula>0</formula>
    </cfRule>
  </conditionalFormatting>
  <conditionalFormatting sqref="U767:U768">
    <cfRule type="cellIs" dxfId="7701" priority="12240" operator="equal">
      <formula>0</formula>
    </cfRule>
  </conditionalFormatting>
  <conditionalFormatting sqref="F767:G768">
    <cfRule type="cellIs" dxfId="7700" priority="12238" operator="equal">
      <formula>0</formula>
    </cfRule>
  </conditionalFormatting>
  <conditionalFormatting sqref="D767:D768">
    <cfRule type="cellIs" dxfId="7699" priority="12239" operator="equal">
      <formula>0</formula>
    </cfRule>
  </conditionalFormatting>
  <conditionalFormatting sqref="B768 D767:G768">
    <cfRule type="cellIs" dxfId="7698" priority="12236" operator="equal">
      <formula>0</formula>
    </cfRule>
  </conditionalFormatting>
  <conditionalFormatting sqref="I770:T770">
    <cfRule type="cellIs" dxfId="7697" priority="12235" operator="equal">
      <formula>0</formula>
    </cfRule>
  </conditionalFormatting>
  <conditionalFormatting sqref="U770">
    <cfRule type="cellIs" dxfId="7696" priority="12234" operator="equal">
      <formula>0</formula>
    </cfRule>
  </conditionalFormatting>
  <conditionalFormatting sqref="B769:U769 B770 I770:U770">
    <cfRule type="cellIs" dxfId="7695" priority="12233" operator="equal">
      <formula>0</formula>
    </cfRule>
  </conditionalFormatting>
  <conditionalFormatting sqref="F770:G770">
    <cfRule type="cellIs" dxfId="7694" priority="12232" operator="equal">
      <formula>0</formula>
    </cfRule>
  </conditionalFormatting>
  <conditionalFormatting sqref="C770:E770">
    <cfRule type="cellIs" dxfId="7693" priority="12231" operator="equal">
      <formula>0</formula>
    </cfRule>
  </conditionalFormatting>
  <conditionalFormatting sqref="H771:H772">
    <cfRule type="cellIs" dxfId="7692" priority="12229" operator="equal">
      <formula>0</formula>
    </cfRule>
  </conditionalFormatting>
  <conditionalFormatting sqref="U771:U772">
    <cfRule type="cellIs" dxfId="7691" priority="12230" operator="equal">
      <formula>0</formula>
    </cfRule>
  </conditionalFormatting>
  <conditionalFormatting sqref="I771:T772">
    <cfRule type="cellIs" dxfId="7690" priority="12228" operator="equal">
      <formula>0</formula>
    </cfRule>
  </conditionalFormatting>
  <conditionalFormatting sqref="H771:U772">
    <cfRule type="cellIs" dxfId="7689" priority="12227" operator="equal">
      <formula>0</formula>
    </cfRule>
  </conditionalFormatting>
  <conditionalFormatting sqref="U771:U772">
    <cfRule type="cellIs" dxfId="7688" priority="12226" operator="equal">
      <formula>0</formula>
    </cfRule>
  </conditionalFormatting>
  <conditionalFormatting sqref="I771:T772">
    <cfRule type="cellIs" dxfId="7687" priority="12224" operator="equal">
      <formula>0</formula>
    </cfRule>
  </conditionalFormatting>
  <conditionalFormatting sqref="I771:T772">
    <cfRule type="cellIs" dxfId="7686" priority="12223" operator="equal">
      <formula>0</formula>
    </cfRule>
  </conditionalFormatting>
  <conditionalFormatting sqref="D771:D772">
    <cfRule type="cellIs" dxfId="7685" priority="12220" operator="equal">
      <formula>0</formula>
    </cfRule>
  </conditionalFormatting>
  <conditionalFormatting sqref="B772 D771:G772">
    <cfRule type="cellIs" dxfId="7684" priority="12217" operator="equal">
      <formula>0</formula>
    </cfRule>
  </conditionalFormatting>
  <conditionalFormatting sqref="I779:T779">
    <cfRule type="cellIs" dxfId="7683" priority="12216" operator="equal">
      <formula>0</formula>
    </cfRule>
  </conditionalFormatting>
  <conditionalFormatting sqref="U779">
    <cfRule type="cellIs" dxfId="7682" priority="12215" operator="equal">
      <formula>0</formula>
    </cfRule>
  </conditionalFormatting>
  <conditionalFormatting sqref="B778:U778 B779 I779:U779">
    <cfRule type="cellIs" dxfId="7681" priority="12214" operator="equal">
      <formula>0</formula>
    </cfRule>
  </conditionalFormatting>
  <conditionalFormatting sqref="F779:G779">
    <cfRule type="cellIs" dxfId="7680" priority="12213" operator="equal">
      <formula>0</formula>
    </cfRule>
  </conditionalFormatting>
  <conditionalFormatting sqref="C779:E779">
    <cfRule type="cellIs" dxfId="7679" priority="12212" operator="equal">
      <formula>0</formula>
    </cfRule>
  </conditionalFormatting>
  <conditionalFormatting sqref="I782:T782">
    <cfRule type="cellIs" dxfId="7678" priority="12197" operator="equal">
      <formula>0</formula>
    </cfRule>
  </conditionalFormatting>
  <conditionalFormatting sqref="U782">
    <cfRule type="cellIs" dxfId="7677" priority="12196" operator="equal">
      <formula>0</formula>
    </cfRule>
  </conditionalFormatting>
  <conditionalFormatting sqref="B781:U781 B782 I782:U782">
    <cfRule type="cellIs" dxfId="7676" priority="12195" operator="equal">
      <formula>0</formula>
    </cfRule>
  </conditionalFormatting>
  <conditionalFormatting sqref="F782:G782">
    <cfRule type="cellIs" dxfId="7675" priority="12194" operator="equal">
      <formula>0</formula>
    </cfRule>
  </conditionalFormatting>
  <conditionalFormatting sqref="C782:E782">
    <cfRule type="cellIs" dxfId="7674" priority="12193" operator="equal">
      <formula>0</formula>
    </cfRule>
  </conditionalFormatting>
  <conditionalFormatting sqref="I785:T785">
    <cfRule type="cellIs" dxfId="7673" priority="12178" operator="equal">
      <formula>0</formula>
    </cfRule>
  </conditionalFormatting>
  <conditionalFormatting sqref="U785">
    <cfRule type="cellIs" dxfId="7672" priority="12177" operator="equal">
      <formula>0</formula>
    </cfRule>
  </conditionalFormatting>
  <conditionalFormatting sqref="B784:U784 B785 I785:U785">
    <cfRule type="cellIs" dxfId="7671" priority="12176" operator="equal">
      <formula>0</formula>
    </cfRule>
  </conditionalFormatting>
  <conditionalFormatting sqref="F785:G785">
    <cfRule type="cellIs" dxfId="7670" priority="12175" operator="equal">
      <formula>0</formula>
    </cfRule>
  </conditionalFormatting>
  <conditionalFormatting sqref="C785:E785">
    <cfRule type="cellIs" dxfId="7669" priority="12174" operator="equal">
      <formula>0</formula>
    </cfRule>
  </conditionalFormatting>
  <conditionalFormatting sqref="I800:T800">
    <cfRule type="cellIs" dxfId="7668" priority="12083" operator="equal">
      <formula>0</formula>
    </cfRule>
  </conditionalFormatting>
  <conditionalFormatting sqref="I788:T788">
    <cfRule type="cellIs" dxfId="7667" priority="12159" operator="equal">
      <formula>0</formula>
    </cfRule>
  </conditionalFormatting>
  <conditionalFormatting sqref="B787:U787 B788 I788:T788">
    <cfRule type="cellIs" dxfId="7666" priority="12157" operator="equal">
      <formula>0</formula>
    </cfRule>
  </conditionalFormatting>
  <conditionalFormatting sqref="F788:G788">
    <cfRule type="cellIs" dxfId="7665" priority="12156" operator="equal">
      <formula>0</formula>
    </cfRule>
  </conditionalFormatting>
  <conditionalFormatting sqref="C788:E788">
    <cfRule type="cellIs" dxfId="7664" priority="12155" operator="equal">
      <formula>0</formula>
    </cfRule>
  </conditionalFormatting>
  <conditionalFormatting sqref="I791:T791">
    <cfRule type="cellIs" dxfId="7663" priority="12140" operator="equal">
      <formula>0</formula>
    </cfRule>
  </conditionalFormatting>
  <conditionalFormatting sqref="B790:U790 B791 I791:T791">
    <cfRule type="cellIs" dxfId="7662" priority="12138" operator="equal">
      <formula>0</formula>
    </cfRule>
  </conditionalFormatting>
  <conditionalFormatting sqref="F791:G791">
    <cfRule type="cellIs" dxfId="7661" priority="12137" operator="equal">
      <formula>0</formula>
    </cfRule>
  </conditionalFormatting>
  <conditionalFormatting sqref="C791:E791">
    <cfRule type="cellIs" dxfId="7660" priority="12136" operator="equal">
      <formula>0</formula>
    </cfRule>
  </conditionalFormatting>
  <conditionalFormatting sqref="I794:T794">
    <cfRule type="cellIs" dxfId="7659" priority="12121" operator="equal">
      <formula>0</formula>
    </cfRule>
  </conditionalFormatting>
  <conditionalFormatting sqref="B793:U793 B794 I794:T794">
    <cfRule type="cellIs" dxfId="7658" priority="12119" operator="equal">
      <formula>0</formula>
    </cfRule>
  </conditionalFormatting>
  <conditionalFormatting sqref="F794:G794">
    <cfRule type="cellIs" dxfId="7657" priority="12118" operator="equal">
      <formula>0</formula>
    </cfRule>
  </conditionalFormatting>
  <conditionalFormatting sqref="C794:E794">
    <cfRule type="cellIs" dxfId="7656" priority="12117" operator="equal">
      <formula>0</formula>
    </cfRule>
  </conditionalFormatting>
  <conditionalFormatting sqref="I797:T797">
    <cfRule type="cellIs" dxfId="7655" priority="12102" operator="equal">
      <formula>0</formula>
    </cfRule>
  </conditionalFormatting>
  <conditionalFormatting sqref="B796:U796 B797 I797:T797">
    <cfRule type="cellIs" dxfId="7654" priority="12100" operator="equal">
      <formula>0</formula>
    </cfRule>
  </conditionalFormatting>
  <conditionalFormatting sqref="F797:G797">
    <cfRule type="cellIs" dxfId="7653" priority="12099" operator="equal">
      <formula>0</formula>
    </cfRule>
  </conditionalFormatting>
  <conditionalFormatting sqref="C797:E797">
    <cfRule type="cellIs" dxfId="7652" priority="12098" operator="equal">
      <formula>0</formula>
    </cfRule>
  </conditionalFormatting>
  <conditionalFormatting sqref="B799:U799 B800 I800:T800">
    <cfRule type="cellIs" dxfId="7651" priority="12081" operator="equal">
      <formula>0</formula>
    </cfRule>
  </conditionalFormatting>
  <conditionalFormatting sqref="F800:G800">
    <cfRule type="cellIs" dxfId="7650" priority="12080" operator="equal">
      <formula>0</formula>
    </cfRule>
  </conditionalFormatting>
  <conditionalFormatting sqref="C800:E800">
    <cfRule type="cellIs" dxfId="7649" priority="12079" operator="equal">
      <formula>0</formula>
    </cfRule>
  </conditionalFormatting>
  <conditionalFormatting sqref="I805:T805">
    <cfRule type="cellIs" dxfId="7648" priority="12064" operator="equal">
      <formula>0</formula>
    </cfRule>
  </conditionalFormatting>
  <conditionalFormatting sqref="B804:U804 B805 I805:T805">
    <cfRule type="cellIs" dxfId="7647" priority="12062" operator="equal">
      <formula>0</formula>
    </cfRule>
  </conditionalFormatting>
  <conditionalFormatting sqref="F805:G805">
    <cfRule type="cellIs" dxfId="7646" priority="12061" operator="equal">
      <formula>0</formula>
    </cfRule>
  </conditionalFormatting>
  <conditionalFormatting sqref="C805:E805">
    <cfRule type="cellIs" dxfId="7645" priority="12060" operator="equal">
      <formula>0</formula>
    </cfRule>
  </conditionalFormatting>
  <conditionalFormatting sqref="I808:T808">
    <cfRule type="cellIs" dxfId="7644" priority="12045" operator="equal">
      <formula>0</formula>
    </cfRule>
  </conditionalFormatting>
  <conditionalFormatting sqref="B807:U807 B808 I808:T808">
    <cfRule type="cellIs" dxfId="7643" priority="12043" operator="equal">
      <formula>0</formula>
    </cfRule>
  </conditionalFormatting>
  <conditionalFormatting sqref="F808:G808">
    <cfRule type="cellIs" dxfId="7642" priority="12042" operator="equal">
      <formula>0</formula>
    </cfRule>
  </conditionalFormatting>
  <conditionalFormatting sqref="C808:E808">
    <cfRule type="cellIs" dxfId="7641" priority="12041" operator="equal">
      <formula>0</formula>
    </cfRule>
  </conditionalFormatting>
  <conditionalFormatting sqref="I811:T811">
    <cfRule type="cellIs" dxfId="7640" priority="12026" operator="equal">
      <formula>0</formula>
    </cfRule>
  </conditionalFormatting>
  <conditionalFormatting sqref="B810:U810 B811 I811:T811">
    <cfRule type="cellIs" dxfId="7639" priority="12024" operator="equal">
      <formula>0</formula>
    </cfRule>
  </conditionalFormatting>
  <conditionalFormatting sqref="F811:G811">
    <cfRule type="cellIs" dxfId="7638" priority="12023" operator="equal">
      <formula>0</formula>
    </cfRule>
  </conditionalFormatting>
  <conditionalFormatting sqref="C811:E811">
    <cfRule type="cellIs" dxfId="7637" priority="12022" operator="equal">
      <formula>0</formula>
    </cfRule>
  </conditionalFormatting>
  <conditionalFormatting sqref="I814:T814">
    <cfRule type="cellIs" dxfId="7636" priority="12007" operator="equal">
      <formula>0</formula>
    </cfRule>
  </conditionalFormatting>
  <conditionalFormatting sqref="B813:U813 B814 I814:T814">
    <cfRule type="cellIs" dxfId="7635" priority="12005" operator="equal">
      <formula>0</formula>
    </cfRule>
  </conditionalFormatting>
  <conditionalFormatting sqref="F814:G814">
    <cfRule type="cellIs" dxfId="7634" priority="12004" operator="equal">
      <formula>0</formula>
    </cfRule>
  </conditionalFormatting>
  <conditionalFormatting sqref="C814:E814">
    <cfRule type="cellIs" dxfId="7633" priority="12003" operator="equal">
      <formula>0</formula>
    </cfRule>
  </conditionalFormatting>
  <conditionalFormatting sqref="I817:T817">
    <cfRule type="cellIs" dxfId="7632" priority="11988" operator="equal">
      <formula>0</formula>
    </cfRule>
  </conditionalFormatting>
  <conditionalFormatting sqref="B816:U816 B817 I817:T817">
    <cfRule type="cellIs" dxfId="7631" priority="11986" operator="equal">
      <formula>0</formula>
    </cfRule>
  </conditionalFormatting>
  <conditionalFormatting sqref="F817:G817">
    <cfRule type="cellIs" dxfId="7630" priority="11985" operator="equal">
      <formula>0</formula>
    </cfRule>
  </conditionalFormatting>
  <conditionalFormatting sqref="C817:E817">
    <cfRule type="cellIs" dxfId="7629" priority="11984" operator="equal">
      <formula>0</formula>
    </cfRule>
  </conditionalFormatting>
  <conditionalFormatting sqref="I820:T820">
    <cfRule type="cellIs" dxfId="7628" priority="11969" operator="equal">
      <formula>0</formula>
    </cfRule>
  </conditionalFormatting>
  <conditionalFormatting sqref="B819:U819 B820 I820:T820">
    <cfRule type="cellIs" dxfId="7627" priority="11967" operator="equal">
      <formula>0</formula>
    </cfRule>
  </conditionalFormatting>
  <conditionalFormatting sqref="F820:G820">
    <cfRule type="cellIs" dxfId="7626" priority="11966" operator="equal">
      <formula>0</formula>
    </cfRule>
  </conditionalFormatting>
  <conditionalFormatting sqref="C820:E820">
    <cfRule type="cellIs" dxfId="7625" priority="11965" operator="equal">
      <formula>0</formula>
    </cfRule>
  </conditionalFormatting>
  <conditionalFormatting sqref="I823:T823">
    <cfRule type="cellIs" dxfId="7624" priority="11950" operator="equal">
      <formula>0</formula>
    </cfRule>
  </conditionalFormatting>
  <conditionalFormatting sqref="B822:U822 B823 I823:T823">
    <cfRule type="cellIs" dxfId="7623" priority="11948" operator="equal">
      <formula>0</formula>
    </cfRule>
  </conditionalFormatting>
  <conditionalFormatting sqref="F823:G823">
    <cfRule type="cellIs" dxfId="7622" priority="11947" operator="equal">
      <formula>0</formula>
    </cfRule>
  </conditionalFormatting>
  <conditionalFormatting sqref="C823:E823">
    <cfRule type="cellIs" dxfId="7621" priority="11946" operator="equal">
      <formula>0</formula>
    </cfRule>
  </conditionalFormatting>
  <conditionalFormatting sqref="I826:T826">
    <cfRule type="cellIs" dxfId="7620" priority="11931" operator="equal">
      <formula>0</formula>
    </cfRule>
  </conditionalFormatting>
  <conditionalFormatting sqref="B825:U825 B826 I826:T826">
    <cfRule type="cellIs" dxfId="7619" priority="11929" operator="equal">
      <formula>0</formula>
    </cfRule>
  </conditionalFormatting>
  <conditionalFormatting sqref="F826:G826">
    <cfRule type="cellIs" dxfId="7618" priority="11928" operator="equal">
      <formula>0</formula>
    </cfRule>
  </conditionalFormatting>
  <conditionalFormatting sqref="C826:E826">
    <cfRule type="cellIs" dxfId="7617" priority="11927" operator="equal">
      <formula>0</formula>
    </cfRule>
  </conditionalFormatting>
  <conditionalFormatting sqref="I829:T829">
    <cfRule type="cellIs" dxfId="7616" priority="11912" operator="equal">
      <formula>0</formula>
    </cfRule>
  </conditionalFormatting>
  <conditionalFormatting sqref="B828:U828 B829 I829:T829">
    <cfRule type="cellIs" dxfId="7615" priority="11910" operator="equal">
      <formula>0</formula>
    </cfRule>
  </conditionalFormatting>
  <conditionalFormatting sqref="F829:G829">
    <cfRule type="cellIs" dxfId="7614" priority="11909" operator="equal">
      <formula>0</formula>
    </cfRule>
  </conditionalFormatting>
  <conditionalFormatting sqref="C829:E829">
    <cfRule type="cellIs" dxfId="7613" priority="11908" operator="equal">
      <formula>0</formula>
    </cfRule>
  </conditionalFormatting>
  <conditionalFormatting sqref="C731:C732">
    <cfRule type="cellIs" dxfId="7612" priority="10180" operator="equal">
      <formula>0</formula>
    </cfRule>
  </conditionalFormatting>
  <conditionalFormatting sqref="C731:C732">
    <cfRule type="cellIs" dxfId="7611" priority="10179" operator="equal">
      <formula>0</formula>
    </cfRule>
  </conditionalFormatting>
  <conditionalFormatting sqref="C735:C736">
    <cfRule type="cellIs" dxfId="7610" priority="10178" operator="equal">
      <formula>0</formula>
    </cfRule>
  </conditionalFormatting>
  <conditionalFormatting sqref="C735:C736">
    <cfRule type="cellIs" dxfId="7609" priority="10177" operator="equal">
      <formula>0</formula>
    </cfRule>
  </conditionalFormatting>
  <conditionalFormatting sqref="C739:C740">
    <cfRule type="cellIs" dxfId="7608" priority="10176" operator="equal">
      <formula>0</formula>
    </cfRule>
  </conditionalFormatting>
  <conditionalFormatting sqref="C739:C740">
    <cfRule type="cellIs" dxfId="7607" priority="10175" operator="equal">
      <formula>0</formula>
    </cfRule>
  </conditionalFormatting>
  <conditionalFormatting sqref="C743:C744">
    <cfRule type="cellIs" dxfId="7606" priority="10174" operator="equal">
      <formula>0</formula>
    </cfRule>
  </conditionalFormatting>
  <conditionalFormatting sqref="C743:C744">
    <cfRule type="cellIs" dxfId="7605" priority="10173" operator="equal">
      <formula>0</formula>
    </cfRule>
  </conditionalFormatting>
  <conditionalFormatting sqref="C747:C748">
    <cfRule type="cellIs" dxfId="7604" priority="10172" operator="equal">
      <formula>0</formula>
    </cfRule>
  </conditionalFormatting>
  <conditionalFormatting sqref="C747:C748">
    <cfRule type="cellIs" dxfId="7603" priority="10171" operator="equal">
      <formula>0</formula>
    </cfRule>
  </conditionalFormatting>
  <conditionalFormatting sqref="C751:C752">
    <cfRule type="cellIs" dxfId="7602" priority="10170" operator="equal">
      <formula>0</formula>
    </cfRule>
  </conditionalFormatting>
  <conditionalFormatting sqref="C751:C752">
    <cfRule type="cellIs" dxfId="7601" priority="10169" operator="equal">
      <formula>0</formula>
    </cfRule>
  </conditionalFormatting>
  <conditionalFormatting sqref="C755:C756">
    <cfRule type="cellIs" dxfId="7600" priority="10168" operator="equal">
      <formula>0</formula>
    </cfRule>
  </conditionalFormatting>
  <conditionalFormatting sqref="C755:C756">
    <cfRule type="cellIs" dxfId="7599" priority="10167" operator="equal">
      <formula>0</formula>
    </cfRule>
  </conditionalFormatting>
  <conditionalFormatting sqref="C759:C760">
    <cfRule type="cellIs" dxfId="7598" priority="10164" operator="equal">
      <formula>0</formula>
    </cfRule>
  </conditionalFormatting>
  <conditionalFormatting sqref="C759:C760">
    <cfRule type="cellIs" dxfId="7597" priority="10163" operator="equal">
      <formula>0</formula>
    </cfRule>
  </conditionalFormatting>
  <conditionalFormatting sqref="C763:C764">
    <cfRule type="cellIs" dxfId="7596" priority="10162" operator="equal">
      <formula>0</formula>
    </cfRule>
  </conditionalFormatting>
  <conditionalFormatting sqref="C763:C764">
    <cfRule type="cellIs" dxfId="7595" priority="10161" operator="equal">
      <formula>0</formula>
    </cfRule>
  </conditionalFormatting>
  <conditionalFormatting sqref="C767:C768">
    <cfRule type="cellIs" dxfId="7594" priority="10160" operator="equal">
      <formula>0</formula>
    </cfRule>
  </conditionalFormatting>
  <conditionalFormatting sqref="C767:C768">
    <cfRule type="cellIs" dxfId="7593" priority="10159" operator="equal">
      <formula>0</formula>
    </cfRule>
  </conditionalFormatting>
  <conditionalFormatting sqref="C771:C772">
    <cfRule type="cellIs" dxfId="7592" priority="10158" operator="equal">
      <formula>0</formula>
    </cfRule>
  </conditionalFormatting>
  <conditionalFormatting sqref="C771:C772">
    <cfRule type="cellIs" dxfId="7591" priority="10157" operator="equal">
      <formula>0</formula>
    </cfRule>
  </conditionalFormatting>
  <conditionalFormatting sqref="C777">
    <cfRule type="cellIs" dxfId="7590" priority="10156" operator="equal">
      <formula>0</formula>
    </cfRule>
  </conditionalFormatting>
  <conditionalFormatting sqref="C777">
    <cfRule type="cellIs" dxfId="7589" priority="10155" operator="equal">
      <formula>0</formula>
    </cfRule>
  </conditionalFormatting>
  <conditionalFormatting sqref="U821">
    <cfRule type="cellIs" dxfId="7588" priority="9781" operator="equal">
      <formula>0</formula>
    </cfRule>
  </conditionalFormatting>
  <conditionalFormatting sqref="H824:U824">
    <cfRule type="cellIs" dxfId="7587" priority="9771" operator="equal">
      <formula>0</formula>
    </cfRule>
  </conditionalFormatting>
  <conditionalFormatting sqref="D818">
    <cfRule type="cellIs" dxfId="7586" priority="9794" operator="equal">
      <formula>0</formula>
    </cfRule>
  </conditionalFormatting>
  <conditionalFormatting sqref="I841:T841">
    <cfRule type="cellIs" dxfId="7585" priority="9706" operator="equal">
      <formula>0</formula>
    </cfRule>
  </conditionalFormatting>
  <conditionalFormatting sqref="I818:T818">
    <cfRule type="cellIs" dxfId="7584" priority="9798" operator="equal">
      <formula>0</formula>
    </cfRule>
  </conditionalFormatting>
  <conditionalFormatting sqref="I818:T818">
    <cfRule type="cellIs" dxfId="7583" priority="9797" operator="equal">
      <formula>0</formula>
    </cfRule>
  </conditionalFormatting>
  <conditionalFormatting sqref="U815">
    <cfRule type="cellIs" dxfId="7582" priority="9811" operator="equal">
      <formula>0</formula>
    </cfRule>
  </conditionalFormatting>
  <conditionalFormatting sqref="D830:G830">
    <cfRule type="cellIs" dxfId="7581" priority="9732" operator="equal">
      <formula>0</formula>
    </cfRule>
  </conditionalFormatting>
  <conditionalFormatting sqref="H812">
    <cfRule type="cellIs" dxfId="7580" priority="9833" operator="equal">
      <formula>0</formula>
    </cfRule>
  </conditionalFormatting>
  <conditionalFormatting sqref="C827">
    <cfRule type="cellIs" dxfId="7579" priority="9745" operator="equal">
      <formula>0</formula>
    </cfRule>
  </conditionalFormatting>
  <conditionalFormatting sqref="F818:G818">
    <cfRule type="cellIs" dxfId="7578" priority="9793" operator="equal">
      <formula>0</formula>
    </cfRule>
  </conditionalFormatting>
  <conditionalFormatting sqref="D818:G818">
    <cfRule type="cellIs" dxfId="7577" priority="9792" operator="equal">
      <formula>0</formula>
    </cfRule>
  </conditionalFormatting>
  <conditionalFormatting sqref="I806:T806">
    <cfRule type="cellIs" dxfId="7576" priority="9859" operator="equal">
      <formula>0</formula>
    </cfRule>
  </conditionalFormatting>
  <conditionalFormatting sqref="C815">
    <cfRule type="cellIs" dxfId="7575" priority="9805" operator="equal">
      <formula>0</formula>
    </cfRule>
  </conditionalFormatting>
  <conditionalFormatting sqref="H806">
    <cfRule type="cellIs" dxfId="7574" priority="9863" operator="equal">
      <formula>0</formula>
    </cfRule>
  </conditionalFormatting>
  <conditionalFormatting sqref="D806:G806">
    <cfRule type="cellIs" dxfId="7573" priority="9852" operator="equal">
      <formula>0</formula>
    </cfRule>
  </conditionalFormatting>
  <conditionalFormatting sqref="U798">
    <cfRule type="cellIs" dxfId="7572" priority="9885" operator="equal">
      <formula>0</formula>
    </cfRule>
  </conditionalFormatting>
  <conditionalFormatting sqref="C801">
    <cfRule type="cellIs" dxfId="7571" priority="9865" operator="equal">
      <formula>0</formula>
    </cfRule>
  </conditionalFormatting>
  <conditionalFormatting sqref="F795:G795">
    <cfRule type="cellIs" dxfId="7570" priority="9898" operator="equal">
      <formula>0</formula>
    </cfRule>
  </conditionalFormatting>
  <conditionalFormatting sqref="D795:G795">
    <cfRule type="cellIs" dxfId="7569" priority="9897" operator="equal">
      <formula>0</formula>
    </cfRule>
  </conditionalFormatting>
  <conditionalFormatting sqref="C792">
    <cfRule type="cellIs" dxfId="7568" priority="9911" operator="equal">
      <formula>0</formula>
    </cfRule>
  </conditionalFormatting>
  <conditionalFormatting sqref="C792">
    <cfRule type="cellIs" dxfId="7567" priority="9910" operator="equal">
      <formula>0</formula>
    </cfRule>
  </conditionalFormatting>
  <conditionalFormatting sqref="U792">
    <cfRule type="cellIs" dxfId="7566" priority="9924" operator="equal">
      <formula>0</formula>
    </cfRule>
  </conditionalFormatting>
  <conditionalFormatting sqref="I789:T789">
    <cfRule type="cellIs" dxfId="7565" priority="9937" operator="equal">
      <formula>0</formula>
    </cfRule>
  </conditionalFormatting>
  <conditionalFormatting sqref="H789:U789">
    <cfRule type="cellIs" dxfId="7564" priority="9936" operator="equal">
      <formula>0</formula>
    </cfRule>
  </conditionalFormatting>
  <conditionalFormatting sqref="U786">
    <cfRule type="cellIs" dxfId="7563" priority="9950" operator="equal">
      <formula>0</formula>
    </cfRule>
  </conditionalFormatting>
  <conditionalFormatting sqref="C786">
    <cfRule type="cellIs" dxfId="7562" priority="9940" operator="equal">
      <formula>0</formula>
    </cfRule>
  </conditionalFormatting>
  <conditionalFormatting sqref="I783:T783">
    <cfRule type="cellIs" dxfId="7561" priority="9963" operator="equal">
      <formula>0</formula>
    </cfRule>
  </conditionalFormatting>
  <conditionalFormatting sqref="I783:T783">
    <cfRule type="cellIs" dxfId="7560" priority="9962" operator="equal">
      <formula>0</formula>
    </cfRule>
  </conditionalFormatting>
  <conditionalFormatting sqref="U780">
    <cfRule type="cellIs" dxfId="7559" priority="9976" operator="equal">
      <formula>0</formula>
    </cfRule>
  </conditionalFormatting>
  <conditionalFormatting sqref="H783:U783">
    <cfRule type="cellIs" dxfId="7558" priority="9966" operator="equal">
      <formula>0</formula>
    </cfRule>
  </conditionalFormatting>
  <conditionalFormatting sqref="U780">
    <cfRule type="cellIs" dxfId="7557" priority="9980" operator="equal">
      <formula>0</formula>
    </cfRule>
  </conditionalFormatting>
  <conditionalFormatting sqref="B827">
    <cfRule type="cellIs" dxfId="7556" priority="9988" operator="equal">
      <formula>0</formula>
    </cfRule>
  </conditionalFormatting>
  <conditionalFormatting sqref="U788">
    <cfRule type="cellIs" dxfId="7555" priority="10120" operator="equal">
      <formula>0</formula>
    </cfRule>
  </conditionalFormatting>
  <conditionalFormatting sqref="U788">
    <cfRule type="cellIs" dxfId="7554" priority="10119" operator="equal">
      <formula>0</formula>
    </cfRule>
  </conditionalFormatting>
  <conditionalFormatting sqref="U791">
    <cfRule type="cellIs" dxfId="7553" priority="10118" operator="equal">
      <formula>0</formula>
    </cfRule>
  </conditionalFormatting>
  <conditionalFormatting sqref="U791">
    <cfRule type="cellIs" dxfId="7552" priority="10117" operator="equal">
      <formula>0</formula>
    </cfRule>
  </conditionalFormatting>
  <conditionalFormatting sqref="U794">
    <cfRule type="cellIs" dxfId="7551" priority="10116" operator="equal">
      <formula>0</formula>
    </cfRule>
  </conditionalFormatting>
  <conditionalFormatting sqref="U794">
    <cfRule type="cellIs" dxfId="7550" priority="10115" operator="equal">
      <formula>0</formula>
    </cfRule>
  </conditionalFormatting>
  <conditionalFormatting sqref="U797">
    <cfRule type="cellIs" dxfId="7549" priority="10114" operator="equal">
      <formula>0</formula>
    </cfRule>
  </conditionalFormatting>
  <conditionalFormatting sqref="U797">
    <cfRule type="cellIs" dxfId="7548" priority="10113" operator="equal">
      <formula>0</formula>
    </cfRule>
  </conditionalFormatting>
  <conditionalFormatting sqref="U800">
    <cfRule type="cellIs" dxfId="7547" priority="10112" operator="equal">
      <formula>0</formula>
    </cfRule>
  </conditionalFormatting>
  <conditionalFormatting sqref="U800">
    <cfRule type="cellIs" dxfId="7546" priority="10111" operator="equal">
      <formula>0</formula>
    </cfRule>
  </conditionalFormatting>
  <conditionalFormatting sqref="U805">
    <cfRule type="cellIs" dxfId="7545" priority="10110" operator="equal">
      <formula>0</formula>
    </cfRule>
  </conditionalFormatting>
  <conditionalFormatting sqref="U805">
    <cfRule type="cellIs" dxfId="7544" priority="10109" operator="equal">
      <formula>0</formula>
    </cfRule>
  </conditionalFormatting>
  <conditionalFormatting sqref="U808">
    <cfRule type="cellIs" dxfId="7543" priority="10108" operator="equal">
      <formula>0</formula>
    </cfRule>
  </conditionalFormatting>
  <conditionalFormatting sqref="U808">
    <cfRule type="cellIs" dxfId="7542" priority="10107" operator="equal">
      <formula>0</formula>
    </cfRule>
  </conditionalFormatting>
  <conditionalFormatting sqref="U811">
    <cfRule type="cellIs" dxfId="7541" priority="10106" operator="equal">
      <formula>0</formula>
    </cfRule>
  </conditionalFormatting>
  <conditionalFormatting sqref="U811">
    <cfRule type="cellIs" dxfId="7540" priority="10105" operator="equal">
      <formula>0</formula>
    </cfRule>
  </conditionalFormatting>
  <conditionalFormatting sqref="U814">
    <cfRule type="cellIs" dxfId="7539" priority="10104" operator="equal">
      <formula>0</formula>
    </cfRule>
  </conditionalFormatting>
  <conditionalFormatting sqref="U814">
    <cfRule type="cellIs" dxfId="7538" priority="10103" operator="equal">
      <formula>0</formula>
    </cfRule>
  </conditionalFormatting>
  <conditionalFormatting sqref="U817">
    <cfRule type="cellIs" dxfId="7537" priority="10102" operator="equal">
      <formula>0</formula>
    </cfRule>
  </conditionalFormatting>
  <conditionalFormatting sqref="U817">
    <cfRule type="cellIs" dxfId="7536" priority="10101" operator="equal">
      <formula>0</formula>
    </cfRule>
  </conditionalFormatting>
  <conditionalFormatting sqref="U820">
    <cfRule type="cellIs" dxfId="7535" priority="10100" operator="equal">
      <formula>0</formula>
    </cfRule>
  </conditionalFormatting>
  <conditionalFormatting sqref="U820">
    <cfRule type="cellIs" dxfId="7534" priority="10099" operator="equal">
      <formula>0</formula>
    </cfRule>
  </conditionalFormatting>
  <conditionalFormatting sqref="U823">
    <cfRule type="cellIs" dxfId="7533" priority="10098" operator="equal">
      <formula>0</formula>
    </cfRule>
  </conditionalFormatting>
  <conditionalFormatting sqref="U823">
    <cfRule type="cellIs" dxfId="7532" priority="10097" operator="equal">
      <formula>0</formula>
    </cfRule>
  </conditionalFormatting>
  <conditionalFormatting sqref="U826">
    <cfRule type="cellIs" dxfId="7531" priority="10096" operator="equal">
      <formula>0</formula>
    </cfRule>
  </conditionalFormatting>
  <conditionalFormatting sqref="U826">
    <cfRule type="cellIs" dxfId="7530" priority="10095" operator="equal">
      <formula>0</formula>
    </cfRule>
  </conditionalFormatting>
  <conditionalFormatting sqref="U829">
    <cfRule type="cellIs" dxfId="7529" priority="10094" operator="equal">
      <formula>0</formula>
    </cfRule>
  </conditionalFormatting>
  <conditionalFormatting sqref="U829">
    <cfRule type="cellIs" dxfId="7528" priority="10093" operator="equal">
      <formula>0</formula>
    </cfRule>
  </conditionalFormatting>
  <conditionalFormatting sqref="C766">
    <cfRule type="cellIs" dxfId="7527" priority="10092" operator="equal">
      <formula>0</formula>
    </cfRule>
  </conditionalFormatting>
  <conditionalFormatting sqref="U592">
    <cfRule type="cellIs" dxfId="7526" priority="10090" operator="equal">
      <formula>0</formula>
    </cfRule>
  </conditionalFormatting>
  <conditionalFormatting sqref="U592">
    <cfRule type="cellIs" dxfId="7525" priority="10089" operator="equal">
      <formula>0</formula>
    </cfRule>
  </conditionalFormatting>
  <conditionalFormatting sqref="I616">
    <cfRule type="cellIs" dxfId="7524" priority="10088" operator="equal">
      <formula>0</formula>
    </cfRule>
  </conditionalFormatting>
  <conditionalFormatting sqref="I616:T616">
    <cfRule type="cellIs" dxfId="7523" priority="10087" operator="equal">
      <formula>0</formula>
    </cfRule>
  </conditionalFormatting>
  <conditionalFormatting sqref="I624">
    <cfRule type="cellIs" dxfId="7522" priority="10086" operator="equal">
      <formula>0</formula>
    </cfRule>
  </conditionalFormatting>
  <conditionalFormatting sqref="I624:T624">
    <cfRule type="cellIs" dxfId="7521" priority="10085" operator="equal">
      <formula>0</formula>
    </cfRule>
  </conditionalFormatting>
  <conditionalFormatting sqref="J581:T581">
    <cfRule type="cellIs" dxfId="7520" priority="10077" operator="equal">
      <formula>0</formula>
    </cfRule>
  </conditionalFormatting>
  <conditionalFormatting sqref="C694:C696">
    <cfRule type="cellIs" dxfId="7519" priority="10076" operator="equal">
      <formula>0</formula>
    </cfRule>
  </conditionalFormatting>
  <conditionalFormatting sqref="C694:C696">
    <cfRule type="cellIs" dxfId="7518" priority="10075" operator="equal">
      <formula>0</formula>
    </cfRule>
  </conditionalFormatting>
  <conditionalFormatting sqref="B673">
    <cfRule type="cellIs" dxfId="7517" priority="10070" operator="equal">
      <formula>0</formula>
    </cfRule>
  </conditionalFormatting>
  <conditionalFormatting sqref="H626:H628">
    <cfRule type="cellIs" dxfId="7516" priority="9303" operator="equal">
      <formula>0</formula>
    </cfRule>
  </conditionalFormatting>
  <conditionalFormatting sqref="B678">
    <cfRule type="cellIs" dxfId="7515" priority="10064" operator="equal">
      <formula>0</formula>
    </cfRule>
  </conditionalFormatting>
  <conditionalFormatting sqref="B683">
    <cfRule type="cellIs" dxfId="7514" priority="10062" operator="equal">
      <formula>0</formula>
    </cfRule>
  </conditionalFormatting>
  <conditionalFormatting sqref="B688">
    <cfRule type="cellIs" dxfId="7513" priority="10060" operator="equal">
      <formula>0</formula>
    </cfRule>
  </conditionalFormatting>
  <conditionalFormatting sqref="B693">
    <cfRule type="cellIs" dxfId="7512" priority="10058" operator="equal">
      <formula>0</formula>
    </cfRule>
  </conditionalFormatting>
  <conditionalFormatting sqref="B700">
    <cfRule type="cellIs" dxfId="7511" priority="10056" operator="equal">
      <formula>0</formula>
    </cfRule>
  </conditionalFormatting>
  <conditionalFormatting sqref="B705">
    <cfRule type="cellIs" dxfId="7510" priority="10054" operator="equal">
      <formula>0</formula>
    </cfRule>
  </conditionalFormatting>
  <conditionalFormatting sqref="B710">
    <cfRule type="cellIs" dxfId="7509" priority="10052" operator="equal">
      <formula>0</formula>
    </cfRule>
  </conditionalFormatting>
  <conditionalFormatting sqref="B715">
    <cfRule type="cellIs" dxfId="7508" priority="10050" operator="equal">
      <formula>0</formula>
    </cfRule>
  </conditionalFormatting>
  <conditionalFormatting sqref="B720">
    <cfRule type="cellIs" dxfId="7507" priority="10048" operator="equal">
      <formula>0</formula>
    </cfRule>
  </conditionalFormatting>
  <conditionalFormatting sqref="B727">
    <cfRule type="cellIs" dxfId="7506" priority="10046" operator="equal">
      <formula>0</formula>
    </cfRule>
  </conditionalFormatting>
  <conditionalFormatting sqref="B731">
    <cfRule type="cellIs" dxfId="7505" priority="10044" operator="equal">
      <formula>0</formula>
    </cfRule>
  </conditionalFormatting>
  <conditionalFormatting sqref="B735">
    <cfRule type="cellIs" dxfId="7504" priority="10042" operator="equal">
      <formula>0</formula>
    </cfRule>
  </conditionalFormatting>
  <conditionalFormatting sqref="B739">
    <cfRule type="cellIs" dxfId="7503" priority="10040" operator="equal">
      <formula>0</formula>
    </cfRule>
  </conditionalFormatting>
  <conditionalFormatting sqref="B743">
    <cfRule type="cellIs" dxfId="7502" priority="10038" operator="equal">
      <formula>0</formula>
    </cfRule>
  </conditionalFormatting>
  <conditionalFormatting sqref="B747">
    <cfRule type="cellIs" dxfId="7501" priority="10036" operator="equal">
      <formula>0</formula>
    </cfRule>
  </conditionalFormatting>
  <conditionalFormatting sqref="B751">
    <cfRule type="cellIs" dxfId="7500" priority="10034" operator="equal">
      <formula>0</formula>
    </cfRule>
  </conditionalFormatting>
  <conditionalFormatting sqref="B755">
    <cfRule type="cellIs" dxfId="7499" priority="10032" operator="equal">
      <formula>0</formula>
    </cfRule>
  </conditionalFormatting>
  <conditionalFormatting sqref="B759">
    <cfRule type="cellIs" dxfId="7498" priority="10030" operator="equal">
      <formula>0</formula>
    </cfRule>
  </conditionalFormatting>
  <conditionalFormatting sqref="B763">
    <cfRule type="cellIs" dxfId="7497" priority="10028" operator="equal">
      <formula>0</formula>
    </cfRule>
  </conditionalFormatting>
  <conditionalFormatting sqref="B767">
    <cfRule type="cellIs" dxfId="7496" priority="10026" operator="equal">
      <formula>0</formula>
    </cfRule>
  </conditionalFormatting>
  <conditionalFormatting sqref="B771">
    <cfRule type="cellIs" dxfId="7495" priority="10024" operator="equal">
      <formula>0</formula>
    </cfRule>
  </conditionalFormatting>
  <conditionalFormatting sqref="B777">
    <cfRule type="cellIs" dxfId="7494" priority="10022" operator="equal">
      <formula>0</formula>
    </cfRule>
  </conditionalFormatting>
  <conditionalFormatting sqref="B780">
    <cfRule type="cellIs" dxfId="7493" priority="10020" operator="equal">
      <formula>0</formula>
    </cfRule>
  </conditionalFormatting>
  <conditionalFormatting sqref="B783">
    <cfRule type="cellIs" dxfId="7492" priority="10018" operator="equal">
      <formula>0</formula>
    </cfRule>
  </conditionalFormatting>
  <conditionalFormatting sqref="B786">
    <cfRule type="cellIs" dxfId="7491" priority="10014" operator="equal">
      <formula>0</formula>
    </cfRule>
  </conditionalFormatting>
  <conditionalFormatting sqref="B789">
    <cfRule type="cellIs" dxfId="7490" priority="10012" operator="equal">
      <formula>0</formula>
    </cfRule>
  </conditionalFormatting>
  <conditionalFormatting sqref="B792">
    <cfRule type="cellIs" dxfId="7489" priority="10010" operator="equal">
      <formula>0</formula>
    </cfRule>
  </conditionalFormatting>
  <conditionalFormatting sqref="B795">
    <cfRule type="cellIs" dxfId="7488" priority="10008" operator="equal">
      <formula>0</formula>
    </cfRule>
  </conditionalFormatting>
  <conditionalFormatting sqref="B798">
    <cfRule type="cellIs" dxfId="7487" priority="10006" operator="equal">
      <formula>0</formula>
    </cfRule>
  </conditionalFormatting>
  <conditionalFormatting sqref="B801">
    <cfRule type="cellIs" dxfId="7486" priority="10004" operator="equal">
      <formula>0</formula>
    </cfRule>
  </conditionalFormatting>
  <conditionalFormatting sqref="B806">
    <cfRule type="cellIs" dxfId="7485" priority="10002" operator="equal">
      <formula>0</formula>
    </cfRule>
  </conditionalFormatting>
  <conditionalFormatting sqref="B809">
    <cfRule type="cellIs" dxfId="7484" priority="10000" operator="equal">
      <formula>0</formula>
    </cfRule>
  </conditionalFormatting>
  <conditionalFormatting sqref="B812">
    <cfRule type="cellIs" dxfId="7483" priority="9998" operator="equal">
      <formula>0</formula>
    </cfRule>
  </conditionalFormatting>
  <conditionalFormatting sqref="B815">
    <cfRule type="cellIs" dxfId="7482" priority="9996" operator="equal">
      <formula>0</formula>
    </cfRule>
  </conditionalFormatting>
  <conditionalFormatting sqref="B818">
    <cfRule type="cellIs" dxfId="7481" priority="9994" operator="equal">
      <formula>0</formula>
    </cfRule>
  </conditionalFormatting>
  <conditionalFormatting sqref="B821">
    <cfRule type="cellIs" dxfId="7480" priority="9992" operator="equal">
      <formula>0</formula>
    </cfRule>
  </conditionalFormatting>
  <conditionalFormatting sqref="B824">
    <cfRule type="cellIs" dxfId="7479" priority="9990" operator="equal">
      <formula>0</formula>
    </cfRule>
  </conditionalFormatting>
  <conditionalFormatting sqref="D801:G801">
    <cfRule type="cellIs" dxfId="7478" priority="9867" operator="equal">
      <formula>0</formula>
    </cfRule>
  </conditionalFormatting>
  <conditionalFormatting sqref="B830">
    <cfRule type="cellIs" dxfId="7477" priority="9986" operator="equal">
      <formula>0</formula>
    </cfRule>
  </conditionalFormatting>
  <conditionalFormatting sqref="H780">
    <cfRule type="cellIs" dxfId="7476" priority="9983" operator="equal">
      <formula>0</formula>
    </cfRule>
  </conditionalFormatting>
  <conditionalFormatting sqref="U780">
    <cfRule type="cellIs" dxfId="7475" priority="9984" operator="equal">
      <formula>0</formula>
    </cfRule>
  </conditionalFormatting>
  <conditionalFormatting sqref="I780:T780">
    <cfRule type="cellIs" dxfId="7474" priority="9982" operator="equal">
      <formula>0</formula>
    </cfRule>
  </conditionalFormatting>
  <conditionalFormatting sqref="H780:U780">
    <cfRule type="cellIs" dxfId="7473" priority="9981" operator="equal">
      <formula>0</formula>
    </cfRule>
  </conditionalFormatting>
  <conditionalFormatting sqref="F801:G801">
    <cfRule type="cellIs" dxfId="7472" priority="9868" operator="equal">
      <formula>0</formula>
    </cfRule>
  </conditionalFormatting>
  <conditionalFormatting sqref="I780:T780">
    <cfRule type="cellIs" dxfId="7471" priority="9979" operator="equal">
      <formula>0</formula>
    </cfRule>
  </conditionalFormatting>
  <conditionalFormatting sqref="I780:T780">
    <cfRule type="cellIs" dxfId="7470" priority="9978" operator="equal">
      <formula>0</formula>
    </cfRule>
  </conditionalFormatting>
  <conditionalFormatting sqref="I780:T780">
    <cfRule type="cellIs" dxfId="7469" priority="9977" operator="equal">
      <formula>0</formula>
    </cfRule>
  </conditionalFormatting>
  <conditionalFormatting sqref="I783:T783">
    <cfRule type="cellIs" dxfId="7468" priority="9967" operator="equal">
      <formula>0</formula>
    </cfRule>
  </conditionalFormatting>
  <conditionalFormatting sqref="U780">
    <cfRule type="cellIs" dxfId="7467" priority="9975" operator="equal">
      <formula>0</formula>
    </cfRule>
  </conditionalFormatting>
  <conditionalFormatting sqref="F780:G780">
    <cfRule type="cellIs" dxfId="7466" priority="9973" operator="equal">
      <formula>0</formula>
    </cfRule>
  </conditionalFormatting>
  <conditionalFormatting sqref="D780">
    <cfRule type="cellIs" dxfId="7465" priority="9974" operator="equal">
      <formula>0</formula>
    </cfRule>
  </conditionalFormatting>
  <conditionalFormatting sqref="D780:G780">
    <cfRule type="cellIs" dxfId="7464" priority="9972" operator="equal">
      <formula>0</formula>
    </cfRule>
  </conditionalFormatting>
  <conditionalFormatting sqref="C780">
    <cfRule type="cellIs" dxfId="7463" priority="9971" operator="equal">
      <formula>0</formula>
    </cfRule>
  </conditionalFormatting>
  <conditionalFormatting sqref="C780">
    <cfRule type="cellIs" dxfId="7462" priority="9970" operator="equal">
      <formula>0</formula>
    </cfRule>
  </conditionalFormatting>
  <conditionalFormatting sqref="H783">
    <cfRule type="cellIs" dxfId="7461" priority="9968" operator="equal">
      <formula>0</formula>
    </cfRule>
  </conditionalFormatting>
  <conditionalFormatting sqref="U783">
    <cfRule type="cellIs" dxfId="7460" priority="9969" operator="equal">
      <formula>0</formula>
    </cfRule>
  </conditionalFormatting>
  <conditionalFormatting sqref="H792">
    <cfRule type="cellIs" dxfId="7459" priority="9923" operator="equal">
      <formula>0</formula>
    </cfRule>
  </conditionalFormatting>
  <conditionalFormatting sqref="C812">
    <cfRule type="cellIs" dxfId="7458" priority="9820" operator="equal">
      <formula>0</formula>
    </cfRule>
  </conditionalFormatting>
  <conditionalFormatting sqref="U783">
    <cfRule type="cellIs" dxfId="7457" priority="9965" operator="equal">
      <formula>0</formula>
    </cfRule>
  </conditionalFormatting>
  <conditionalFormatting sqref="I783:T783">
    <cfRule type="cellIs" dxfId="7456" priority="9964" operator="equal">
      <formula>0</formula>
    </cfRule>
  </conditionalFormatting>
  <conditionalFormatting sqref="U786">
    <cfRule type="cellIs" dxfId="7455" priority="9954" operator="equal">
      <formula>0</formula>
    </cfRule>
  </conditionalFormatting>
  <conditionalFormatting sqref="D815:G815">
    <cfRule type="cellIs" dxfId="7454" priority="9807" operator="equal">
      <formula>0</formula>
    </cfRule>
  </conditionalFormatting>
  <conditionalFormatting sqref="U783">
    <cfRule type="cellIs" dxfId="7453" priority="9961" operator="equal">
      <formula>0</formula>
    </cfRule>
  </conditionalFormatting>
  <conditionalFormatting sqref="U783">
    <cfRule type="cellIs" dxfId="7452" priority="9960" operator="equal">
      <formula>0</formula>
    </cfRule>
  </conditionalFormatting>
  <conditionalFormatting sqref="F783:G783">
    <cfRule type="cellIs" dxfId="7451" priority="9958" operator="equal">
      <formula>0</formula>
    </cfRule>
  </conditionalFormatting>
  <conditionalFormatting sqref="D783">
    <cfRule type="cellIs" dxfId="7450" priority="9959" operator="equal">
      <formula>0</formula>
    </cfRule>
  </conditionalFormatting>
  <conditionalFormatting sqref="D783:G783">
    <cfRule type="cellIs" dxfId="7449" priority="9957" operator="equal">
      <formula>0</formula>
    </cfRule>
  </conditionalFormatting>
  <conditionalFormatting sqref="C783">
    <cfRule type="cellIs" dxfId="7448" priority="9956" operator="equal">
      <formula>0</formula>
    </cfRule>
  </conditionalFormatting>
  <conditionalFormatting sqref="C783">
    <cfRule type="cellIs" dxfId="7447" priority="9955" operator="equal">
      <formula>0</formula>
    </cfRule>
  </conditionalFormatting>
  <conditionalFormatting sqref="H786">
    <cfRule type="cellIs" dxfId="7446" priority="9953" operator="equal">
      <formula>0</formula>
    </cfRule>
  </conditionalFormatting>
  <conditionalFormatting sqref="D786">
    <cfRule type="cellIs" dxfId="7445" priority="9944" operator="equal">
      <formula>0</formula>
    </cfRule>
  </conditionalFormatting>
  <conditionalFormatting sqref="I786:T786">
    <cfRule type="cellIs" dxfId="7444" priority="9952" operator="equal">
      <formula>0</formula>
    </cfRule>
  </conditionalFormatting>
  <conditionalFormatting sqref="H786:U786">
    <cfRule type="cellIs" dxfId="7443" priority="9951" operator="equal">
      <formula>0</formula>
    </cfRule>
  </conditionalFormatting>
  <conditionalFormatting sqref="C786">
    <cfRule type="cellIs" dxfId="7442" priority="9941" operator="equal">
      <formula>0</formula>
    </cfRule>
  </conditionalFormatting>
  <conditionalFormatting sqref="I786:T786">
    <cfRule type="cellIs" dxfId="7441" priority="9949" operator="equal">
      <formula>0</formula>
    </cfRule>
  </conditionalFormatting>
  <conditionalFormatting sqref="I786:T786">
    <cfRule type="cellIs" dxfId="7440" priority="9948" operator="equal">
      <formula>0</formula>
    </cfRule>
  </conditionalFormatting>
  <conditionalFormatting sqref="I786:T786">
    <cfRule type="cellIs" dxfId="7439" priority="9947" operator="equal">
      <formula>0</formula>
    </cfRule>
  </conditionalFormatting>
  <conditionalFormatting sqref="U786">
    <cfRule type="cellIs" dxfId="7438" priority="9946" operator="equal">
      <formula>0</formula>
    </cfRule>
  </conditionalFormatting>
  <conditionalFormatting sqref="U786">
    <cfRule type="cellIs" dxfId="7437" priority="9945" operator="equal">
      <formula>0</formula>
    </cfRule>
  </conditionalFormatting>
  <conditionalFormatting sqref="F786:G786">
    <cfRule type="cellIs" dxfId="7436" priority="9943" operator="equal">
      <formula>0</formula>
    </cfRule>
  </conditionalFormatting>
  <conditionalFormatting sqref="F815:G815">
    <cfRule type="cellIs" dxfId="7435" priority="9808" operator="equal">
      <formula>0</formula>
    </cfRule>
  </conditionalFormatting>
  <conditionalFormatting sqref="D786:G786">
    <cfRule type="cellIs" dxfId="7434" priority="9942" operator="equal">
      <formula>0</formula>
    </cfRule>
  </conditionalFormatting>
  <conditionalFormatting sqref="U789">
    <cfRule type="cellIs" dxfId="7433" priority="9931" operator="equal">
      <formula>0</formula>
    </cfRule>
  </conditionalFormatting>
  <conditionalFormatting sqref="H789">
    <cfRule type="cellIs" dxfId="7432" priority="9938" operator="equal">
      <formula>0</formula>
    </cfRule>
  </conditionalFormatting>
  <conditionalFormatting sqref="U789">
    <cfRule type="cellIs" dxfId="7431" priority="9939" operator="equal">
      <formula>0</formula>
    </cfRule>
  </conditionalFormatting>
  <conditionalFormatting sqref="F789:G789">
    <cfRule type="cellIs" dxfId="7430" priority="9928" operator="equal">
      <formula>0</formula>
    </cfRule>
  </conditionalFormatting>
  <conditionalFormatting sqref="D789:G789">
    <cfRule type="cellIs" dxfId="7429" priority="9927" operator="equal">
      <formula>0</formula>
    </cfRule>
  </conditionalFormatting>
  <conditionalFormatting sqref="U789">
    <cfRule type="cellIs" dxfId="7428" priority="9935" operator="equal">
      <formula>0</formula>
    </cfRule>
  </conditionalFormatting>
  <conditionalFormatting sqref="I789:T789">
    <cfRule type="cellIs" dxfId="7427" priority="9934" operator="equal">
      <formula>0</formula>
    </cfRule>
  </conditionalFormatting>
  <conditionalFormatting sqref="I789:T789">
    <cfRule type="cellIs" dxfId="7426" priority="9933" operator="equal">
      <formula>0</formula>
    </cfRule>
  </conditionalFormatting>
  <conditionalFormatting sqref="I789:T789">
    <cfRule type="cellIs" dxfId="7425" priority="9932" operator="equal">
      <formula>0</formula>
    </cfRule>
  </conditionalFormatting>
  <conditionalFormatting sqref="I812:T812">
    <cfRule type="cellIs" dxfId="7424" priority="9829" operator="equal">
      <formula>0</formula>
    </cfRule>
  </conditionalFormatting>
  <conditionalFormatting sqref="U789">
    <cfRule type="cellIs" dxfId="7423" priority="9930" operator="equal">
      <formula>0</formula>
    </cfRule>
  </conditionalFormatting>
  <conditionalFormatting sqref="I792:T792">
    <cfRule type="cellIs" dxfId="7422" priority="9918" operator="equal">
      <formula>0</formula>
    </cfRule>
  </conditionalFormatting>
  <conditionalFormatting sqref="D789">
    <cfRule type="cellIs" dxfId="7421" priority="9929" operator="equal">
      <formula>0</formula>
    </cfRule>
  </conditionalFormatting>
  <conditionalFormatting sqref="I792:T792">
    <cfRule type="cellIs" dxfId="7420" priority="9917" operator="equal">
      <formula>0</formula>
    </cfRule>
  </conditionalFormatting>
  <conditionalFormatting sqref="C789">
    <cfRule type="cellIs" dxfId="7419" priority="9926" operator="equal">
      <formula>0</formula>
    </cfRule>
  </conditionalFormatting>
  <conditionalFormatting sqref="C789">
    <cfRule type="cellIs" dxfId="7418" priority="9925" operator="equal">
      <formula>0</formula>
    </cfRule>
  </conditionalFormatting>
  <conditionalFormatting sqref="I798:T798">
    <cfRule type="cellIs" dxfId="7417" priority="9889" operator="equal">
      <formula>0</formula>
    </cfRule>
  </conditionalFormatting>
  <conditionalFormatting sqref="U792">
    <cfRule type="cellIs" dxfId="7416" priority="9915" operator="equal">
      <formula>0</formula>
    </cfRule>
  </conditionalFormatting>
  <conditionalFormatting sqref="I792:T792">
    <cfRule type="cellIs" dxfId="7415" priority="9922" operator="equal">
      <formula>0</formula>
    </cfRule>
  </conditionalFormatting>
  <conditionalFormatting sqref="H792:U792">
    <cfRule type="cellIs" dxfId="7414" priority="9921" operator="equal">
      <formula>0</formula>
    </cfRule>
  </conditionalFormatting>
  <conditionalFormatting sqref="U792">
    <cfRule type="cellIs" dxfId="7413" priority="9920" operator="equal">
      <formula>0</formula>
    </cfRule>
  </conditionalFormatting>
  <conditionalFormatting sqref="I792:T792">
    <cfRule type="cellIs" dxfId="7412" priority="9919" operator="equal">
      <formula>0</formula>
    </cfRule>
  </conditionalFormatting>
  <conditionalFormatting sqref="D798">
    <cfRule type="cellIs" dxfId="7411" priority="9884" operator="equal">
      <formula>0</formula>
    </cfRule>
  </conditionalFormatting>
  <conditionalFormatting sqref="U792">
    <cfRule type="cellIs" dxfId="7410" priority="9916" operator="equal">
      <formula>0</formula>
    </cfRule>
  </conditionalFormatting>
  <conditionalFormatting sqref="U795">
    <cfRule type="cellIs" dxfId="7409" priority="9905" operator="equal">
      <formula>0</formula>
    </cfRule>
  </conditionalFormatting>
  <conditionalFormatting sqref="F792:G792">
    <cfRule type="cellIs" dxfId="7408" priority="9913" operator="equal">
      <formula>0</formula>
    </cfRule>
  </conditionalFormatting>
  <conditionalFormatting sqref="D792">
    <cfRule type="cellIs" dxfId="7407" priority="9914" operator="equal">
      <formula>0</formula>
    </cfRule>
  </conditionalFormatting>
  <conditionalFormatting sqref="D792:G792">
    <cfRule type="cellIs" dxfId="7406" priority="9912" operator="equal">
      <formula>0</formula>
    </cfRule>
  </conditionalFormatting>
  <conditionalFormatting sqref="I798:T798">
    <cfRule type="cellIs" dxfId="7405" priority="9892" operator="equal">
      <formula>0</formula>
    </cfRule>
  </conditionalFormatting>
  <conditionalFormatting sqref="H798:U798">
    <cfRule type="cellIs" dxfId="7404" priority="9891" operator="equal">
      <formula>0</formula>
    </cfRule>
  </conditionalFormatting>
  <conditionalFormatting sqref="H795">
    <cfRule type="cellIs" dxfId="7403" priority="9908" operator="equal">
      <formula>0</formula>
    </cfRule>
  </conditionalFormatting>
  <conditionalFormatting sqref="U795">
    <cfRule type="cellIs" dxfId="7402" priority="9909" operator="equal">
      <formula>0</formula>
    </cfRule>
  </conditionalFormatting>
  <conditionalFormatting sqref="I795:T795">
    <cfRule type="cellIs" dxfId="7401" priority="9907" operator="equal">
      <formula>0</formula>
    </cfRule>
  </conditionalFormatting>
  <conditionalFormatting sqref="H795:U795">
    <cfRule type="cellIs" dxfId="7400" priority="9906" operator="equal">
      <formula>0</formula>
    </cfRule>
  </conditionalFormatting>
  <conditionalFormatting sqref="U801">
    <cfRule type="cellIs" dxfId="7399" priority="9871" operator="equal">
      <formula>0</formula>
    </cfRule>
  </conditionalFormatting>
  <conditionalFormatting sqref="I795:T795">
    <cfRule type="cellIs" dxfId="7398" priority="9904" operator="equal">
      <formula>0</formula>
    </cfRule>
  </conditionalFormatting>
  <conditionalFormatting sqref="I795:T795">
    <cfRule type="cellIs" dxfId="7397" priority="9903" operator="equal">
      <formula>0</formula>
    </cfRule>
  </conditionalFormatting>
  <conditionalFormatting sqref="I795:T795">
    <cfRule type="cellIs" dxfId="7396" priority="9902" operator="equal">
      <formula>0</formula>
    </cfRule>
  </conditionalFormatting>
  <conditionalFormatting sqref="U795">
    <cfRule type="cellIs" dxfId="7395" priority="9901" operator="equal">
      <formula>0</formula>
    </cfRule>
  </conditionalFormatting>
  <conditionalFormatting sqref="U795">
    <cfRule type="cellIs" dxfId="7394" priority="9900" operator="equal">
      <formula>0</formula>
    </cfRule>
  </conditionalFormatting>
  <conditionalFormatting sqref="U806">
    <cfRule type="cellIs" dxfId="7393" priority="9855" operator="equal">
      <formula>0</formula>
    </cfRule>
  </conditionalFormatting>
  <conditionalFormatting sqref="D795">
    <cfRule type="cellIs" dxfId="7392" priority="9899" operator="equal">
      <formula>0</formula>
    </cfRule>
  </conditionalFormatting>
  <conditionalFormatting sqref="C795">
    <cfRule type="cellIs" dxfId="7391" priority="9896" operator="equal">
      <formula>0</formula>
    </cfRule>
  </conditionalFormatting>
  <conditionalFormatting sqref="C795">
    <cfRule type="cellIs" dxfId="7390" priority="9895" operator="equal">
      <formula>0</formula>
    </cfRule>
  </conditionalFormatting>
  <conditionalFormatting sqref="H798">
    <cfRule type="cellIs" dxfId="7389" priority="9893" operator="equal">
      <formula>0</formula>
    </cfRule>
  </conditionalFormatting>
  <conditionalFormatting sqref="U798">
    <cfRule type="cellIs" dxfId="7388" priority="9894" operator="equal">
      <formula>0</formula>
    </cfRule>
  </conditionalFormatting>
  <conditionalFormatting sqref="I806:T806">
    <cfRule type="cellIs" dxfId="7387" priority="9858" operator="equal">
      <formula>0</formula>
    </cfRule>
  </conditionalFormatting>
  <conditionalFormatting sqref="I806:T806">
    <cfRule type="cellIs" dxfId="7386" priority="9857" operator="equal">
      <formula>0</formula>
    </cfRule>
  </conditionalFormatting>
  <conditionalFormatting sqref="U798">
    <cfRule type="cellIs" dxfId="7385" priority="9890" operator="equal">
      <formula>0</formula>
    </cfRule>
  </conditionalFormatting>
  <conditionalFormatting sqref="U801">
    <cfRule type="cellIs" dxfId="7384" priority="9879" operator="equal">
      <formula>0</formula>
    </cfRule>
  </conditionalFormatting>
  <conditionalFormatting sqref="I798:T798">
    <cfRule type="cellIs" dxfId="7383" priority="9888" operator="equal">
      <formula>0</formula>
    </cfRule>
  </conditionalFormatting>
  <conditionalFormatting sqref="I798:T798">
    <cfRule type="cellIs" dxfId="7382" priority="9887" operator="equal">
      <formula>0</formula>
    </cfRule>
  </conditionalFormatting>
  <conditionalFormatting sqref="U798">
    <cfRule type="cellIs" dxfId="7381" priority="9886" operator="equal">
      <formula>0</formula>
    </cfRule>
  </conditionalFormatting>
  <conditionalFormatting sqref="C801">
    <cfRule type="cellIs" dxfId="7380" priority="9866" operator="equal">
      <formula>0</formula>
    </cfRule>
  </conditionalFormatting>
  <conditionalFormatting sqref="F798:G798">
    <cfRule type="cellIs" dxfId="7379" priority="9883" operator="equal">
      <formula>0</formula>
    </cfRule>
  </conditionalFormatting>
  <conditionalFormatting sqref="U843">
    <cfRule type="cellIs" dxfId="7378" priority="9627" operator="equal">
      <formula>0</formula>
    </cfRule>
  </conditionalFormatting>
  <conditionalFormatting sqref="D798:G798">
    <cfRule type="cellIs" dxfId="7377" priority="9882" operator="equal">
      <formula>0</formula>
    </cfRule>
  </conditionalFormatting>
  <conditionalFormatting sqref="C798">
    <cfRule type="cellIs" dxfId="7376" priority="9881" operator="equal">
      <formula>0</formula>
    </cfRule>
  </conditionalFormatting>
  <conditionalFormatting sqref="C798">
    <cfRule type="cellIs" dxfId="7375" priority="9880" operator="equal">
      <formula>0</formula>
    </cfRule>
  </conditionalFormatting>
  <conditionalFormatting sqref="H801">
    <cfRule type="cellIs" dxfId="7374" priority="9878" operator="equal">
      <formula>0</formula>
    </cfRule>
  </conditionalFormatting>
  <conditionalFormatting sqref="U809">
    <cfRule type="cellIs" dxfId="7373" priority="9845" operator="equal">
      <formula>0</formula>
    </cfRule>
  </conditionalFormatting>
  <conditionalFormatting sqref="I801:T801">
    <cfRule type="cellIs" dxfId="7372" priority="9877" operator="equal">
      <formula>0</formula>
    </cfRule>
  </conditionalFormatting>
  <conditionalFormatting sqref="H801:U801">
    <cfRule type="cellIs" dxfId="7371" priority="9876" operator="equal">
      <formula>0</formula>
    </cfRule>
  </conditionalFormatting>
  <conditionalFormatting sqref="U801">
    <cfRule type="cellIs" dxfId="7370" priority="9875" operator="equal">
      <formula>0</formula>
    </cfRule>
  </conditionalFormatting>
  <conditionalFormatting sqref="I801:T801">
    <cfRule type="cellIs" dxfId="7369" priority="9874" operator="equal">
      <formula>0</formula>
    </cfRule>
  </conditionalFormatting>
  <conditionalFormatting sqref="I801:T801">
    <cfRule type="cellIs" dxfId="7368" priority="9873" operator="equal">
      <formula>0</formula>
    </cfRule>
  </conditionalFormatting>
  <conditionalFormatting sqref="I801:T801">
    <cfRule type="cellIs" dxfId="7367" priority="9872" operator="equal">
      <formula>0</formula>
    </cfRule>
  </conditionalFormatting>
  <conditionalFormatting sqref="H818">
    <cfRule type="cellIs" dxfId="7366" priority="9803" operator="equal">
      <formula>0</formula>
    </cfRule>
  </conditionalFormatting>
  <conditionalFormatting sqref="U801">
    <cfRule type="cellIs" dxfId="7365" priority="9870" operator="equal">
      <formula>0</formula>
    </cfRule>
  </conditionalFormatting>
  <conditionalFormatting sqref="U812">
    <cfRule type="cellIs" dxfId="7364" priority="9834" operator="equal">
      <formula>0</formula>
    </cfRule>
  </conditionalFormatting>
  <conditionalFormatting sqref="D801">
    <cfRule type="cellIs" dxfId="7363" priority="9869" operator="equal">
      <formula>0</formula>
    </cfRule>
  </conditionalFormatting>
  <conditionalFormatting sqref="I846:T846">
    <cfRule type="cellIs" dxfId="7362" priority="9678" operator="equal">
      <formula>0</formula>
    </cfRule>
  </conditionalFormatting>
  <conditionalFormatting sqref="I812:T812">
    <cfRule type="cellIs" dxfId="7361" priority="9832" operator="equal">
      <formula>0</formula>
    </cfRule>
  </conditionalFormatting>
  <conditionalFormatting sqref="H812:U812">
    <cfRule type="cellIs" dxfId="7360" priority="9831" operator="equal">
      <formula>0</formula>
    </cfRule>
  </conditionalFormatting>
  <conditionalFormatting sqref="F806:G806">
    <cfRule type="cellIs" dxfId="7359" priority="9853" operator="equal">
      <formula>0</formula>
    </cfRule>
  </conditionalFormatting>
  <conditionalFormatting sqref="U806">
    <cfRule type="cellIs" dxfId="7358" priority="9864" operator="equal">
      <formula>0</formula>
    </cfRule>
  </conditionalFormatting>
  <conditionalFormatting sqref="I806:T806">
    <cfRule type="cellIs" dxfId="7357" priority="9862" operator="equal">
      <formula>0</formula>
    </cfRule>
  </conditionalFormatting>
  <conditionalFormatting sqref="H806:U806">
    <cfRule type="cellIs" dxfId="7356" priority="9861" operator="equal">
      <formula>0</formula>
    </cfRule>
  </conditionalFormatting>
  <conditionalFormatting sqref="U806">
    <cfRule type="cellIs" dxfId="7355" priority="9860" operator="equal">
      <formula>0</formula>
    </cfRule>
  </conditionalFormatting>
  <conditionalFormatting sqref="U809">
    <cfRule type="cellIs" dxfId="7354" priority="9840" operator="equal">
      <formula>0</formula>
    </cfRule>
  </conditionalFormatting>
  <conditionalFormatting sqref="D812">
    <cfRule type="cellIs" dxfId="7353" priority="9824" operator="equal">
      <formula>0</formula>
    </cfRule>
  </conditionalFormatting>
  <conditionalFormatting sqref="J697:T697">
    <cfRule type="cellIs" dxfId="7352" priority="9600" operator="equal">
      <formula>0</formula>
    </cfRule>
  </conditionalFormatting>
  <conditionalFormatting sqref="U806">
    <cfRule type="cellIs" dxfId="7351" priority="9856" operator="equal">
      <formula>0</formula>
    </cfRule>
  </conditionalFormatting>
  <conditionalFormatting sqref="C812">
    <cfRule type="cellIs" dxfId="7350" priority="9821" operator="equal">
      <formula>0</formula>
    </cfRule>
  </conditionalFormatting>
  <conditionalFormatting sqref="U815">
    <cfRule type="cellIs" dxfId="7349" priority="9819" operator="equal">
      <formula>0</formula>
    </cfRule>
  </conditionalFormatting>
  <conditionalFormatting sqref="D806">
    <cfRule type="cellIs" dxfId="7348" priority="9854" operator="equal">
      <formula>0</formula>
    </cfRule>
  </conditionalFormatting>
  <conditionalFormatting sqref="B842:G842">
    <cfRule type="cellIs" dxfId="7347" priority="9716" operator="equal">
      <formula>0</formula>
    </cfRule>
  </conditionalFormatting>
  <conditionalFormatting sqref="C806">
    <cfRule type="cellIs" dxfId="7346" priority="9851" operator="equal">
      <formula>0</formula>
    </cfRule>
  </conditionalFormatting>
  <conditionalFormatting sqref="C806">
    <cfRule type="cellIs" dxfId="7345" priority="9850" operator="equal">
      <formula>0</formula>
    </cfRule>
  </conditionalFormatting>
  <conditionalFormatting sqref="H809">
    <cfRule type="cellIs" dxfId="7344" priority="9848" operator="equal">
      <formula>0</formula>
    </cfRule>
  </conditionalFormatting>
  <conditionalFormatting sqref="U809">
    <cfRule type="cellIs" dxfId="7343" priority="9849" operator="equal">
      <formula>0</formula>
    </cfRule>
  </conditionalFormatting>
  <conditionalFormatting sqref="I809:T809">
    <cfRule type="cellIs" dxfId="7342" priority="9847" operator="equal">
      <formula>0</formula>
    </cfRule>
  </conditionalFormatting>
  <conditionalFormatting sqref="H809:U809">
    <cfRule type="cellIs" dxfId="7341" priority="9846" operator="equal">
      <formula>0</formula>
    </cfRule>
  </conditionalFormatting>
  <conditionalFormatting sqref="H830">
    <cfRule type="cellIs" dxfId="7340" priority="9743" operator="equal">
      <formula>0</formula>
    </cfRule>
  </conditionalFormatting>
  <conditionalFormatting sqref="I809:T809">
    <cfRule type="cellIs" dxfId="7339" priority="9844" operator="equal">
      <formula>0</formula>
    </cfRule>
  </conditionalFormatting>
  <conditionalFormatting sqref="I809:T809">
    <cfRule type="cellIs" dxfId="7338" priority="9843" operator="equal">
      <formula>0</formula>
    </cfRule>
  </conditionalFormatting>
  <conditionalFormatting sqref="I809:T809">
    <cfRule type="cellIs" dxfId="7337" priority="9842" operator="equal">
      <formula>0</formula>
    </cfRule>
  </conditionalFormatting>
  <conditionalFormatting sqref="U809">
    <cfRule type="cellIs" dxfId="7336" priority="9841" operator="equal">
      <formula>0</formula>
    </cfRule>
  </conditionalFormatting>
  <conditionalFormatting sqref="C815">
    <cfRule type="cellIs" dxfId="7335" priority="9806" operator="equal">
      <formula>0</formula>
    </cfRule>
  </conditionalFormatting>
  <conditionalFormatting sqref="F809:G809">
    <cfRule type="cellIs" dxfId="7334" priority="9838" operator="equal">
      <formula>0</formula>
    </cfRule>
  </conditionalFormatting>
  <conditionalFormatting sqref="D809">
    <cfRule type="cellIs" dxfId="7333" priority="9839" operator="equal">
      <formula>0</formula>
    </cfRule>
  </conditionalFormatting>
  <conditionalFormatting sqref="D809:G809">
    <cfRule type="cellIs" dxfId="7332" priority="9837" operator="equal">
      <formula>0</formula>
    </cfRule>
  </conditionalFormatting>
  <conditionalFormatting sqref="C809">
    <cfRule type="cellIs" dxfId="7331" priority="9836" operator="equal">
      <formula>0</formula>
    </cfRule>
  </conditionalFormatting>
  <conditionalFormatting sqref="C809">
    <cfRule type="cellIs" dxfId="7330" priority="9835" operator="equal">
      <formula>0</formula>
    </cfRule>
  </conditionalFormatting>
  <conditionalFormatting sqref="J697:T697">
    <cfRule type="cellIs" dxfId="7329" priority="9601" operator="equal">
      <formula>0</formula>
    </cfRule>
  </conditionalFormatting>
  <conditionalFormatting sqref="I846:T846">
    <cfRule type="cellIs" dxfId="7328" priority="9679" operator="equal">
      <formula>0</formula>
    </cfRule>
  </conditionalFormatting>
  <conditionalFormatting sqref="D824">
    <cfRule type="cellIs" dxfId="7327" priority="9764" operator="equal">
      <formula>0</formula>
    </cfRule>
  </conditionalFormatting>
  <conditionalFormatting sqref="U812">
    <cfRule type="cellIs" dxfId="7326" priority="9830" operator="equal">
      <formula>0</formula>
    </cfRule>
  </conditionalFormatting>
  <conditionalFormatting sqref="U818">
    <cfRule type="cellIs" dxfId="7325" priority="9795" operator="equal">
      <formula>0</formula>
    </cfRule>
  </conditionalFormatting>
  <conditionalFormatting sqref="I812:T812">
    <cfRule type="cellIs" dxfId="7324" priority="9828" operator="equal">
      <formula>0</formula>
    </cfRule>
  </conditionalFormatting>
  <conditionalFormatting sqref="I812:T812">
    <cfRule type="cellIs" dxfId="7323" priority="9827" operator="equal">
      <formula>0</formula>
    </cfRule>
  </conditionalFormatting>
  <conditionalFormatting sqref="U812">
    <cfRule type="cellIs" dxfId="7322" priority="9826" operator="equal">
      <formula>0</formula>
    </cfRule>
  </conditionalFormatting>
  <conditionalFormatting sqref="U812">
    <cfRule type="cellIs" dxfId="7321" priority="9825" operator="equal">
      <formula>0</formula>
    </cfRule>
  </conditionalFormatting>
  <conditionalFormatting sqref="F812:G812">
    <cfRule type="cellIs" dxfId="7320" priority="9823" operator="equal">
      <formula>0</formula>
    </cfRule>
  </conditionalFormatting>
  <conditionalFormatting sqref="I815:T815">
    <cfRule type="cellIs" dxfId="7319" priority="9814" operator="equal">
      <formula>0</formula>
    </cfRule>
  </conditionalFormatting>
  <conditionalFormatting sqref="D812:G812">
    <cfRule type="cellIs" dxfId="7318" priority="9822" operator="equal">
      <formula>0</formula>
    </cfRule>
  </conditionalFormatting>
  <conditionalFormatting sqref="H815">
    <cfRule type="cellIs" dxfId="7317" priority="9818" operator="equal">
      <formula>0</formula>
    </cfRule>
  </conditionalFormatting>
  <conditionalFormatting sqref="U821">
    <cfRule type="cellIs" dxfId="7316" priority="9785" operator="equal">
      <formula>0</formula>
    </cfRule>
  </conditionalFormatting>
  <conditionalFormatting sqref="I815:T815">
    <cfRule type="cellIs" dxfId="7315" priority="9817" operator="equal">
      <formula>0</formula>
    </cfRule>
  </conditionalFormatting>
  <conditionalFormatting sqref="H815:U815">
    <cfRule type="cellIs" dxfId="7314" priority="9816" operator="equal">
      <formula>0</formula>
    </cfRule>
  </conditionalFormatting>
  <conditionalFormatting sqref="U815">
    <cfRule type="cellIs" dxfId="7313" priority="9815" operator="equal">
      <formula>0</formula>
    </cfRule>
  </conditionalFormatting>
  <conditionalFormatting sqref="U821">
    <cfRule type="cellIs" dxfId="7312" priority="9780" operator="equal">
      <formula>0</formula>
    </cfRule>
  </conditionalFormatting>
  <conditionalFormatting sqref="I815:T815">
    <cfRule type="cellIs" dxfId="7311" priority="9813" operator="equal">
      <formula>0</formula>
    </cfRule>
  </conditionalFormatting>
  <conditionalFormatting sqref="I815:T815">
    <cfRule type="cellIs" dxfId="7310" priority="9812" operator="equal">
      <formula>0</formula>
    </cfRule>
  </conditionalFormatting>
  <conditionalFormatting sqref="F830:G830">
    <cfRule type="cellIs" dxfId="7309" priority="9733" operator="equal">
      <formula>0</formula>
    </cfRule>
  </conditionalFormatting>
  <conditionalFormatting sqref="U815">
    <cfRule type="cellIs" dxfId="7308" priority="9810" operator="equal">
      <formula>0</formula>
    </cfRule>
  </conditionalFormatting>
  <conditionalFormatting sqref="I847:T847">
    <cfRule type="cellIs" dxfId="7307" priority="9653" operator="equal">
      <formula>0</formula>
    </cfRule>
  </conditionalFormatting>
  <conditionalFormatting sqref="D815">
    <cfRule type="cellIs" dxfId="7306" priority="9809" operator="equal">
      <formula>0</formula>
    </cfRule>
  </conditionalFormatting>
  <conditionalFormatting sqref="H847:T847">
    <cfRule type="cellIs" dxfId="7305" priority="9652" operator="equal">
      <formula>0</formula>
    </cfRule>
  </conditionalFormatting>
  <conditionalFormatting sqref="I824:T824">
    <cfRule type="cellIs" dxfId="7304" priority="9772" operator="equal">
      <formula>0</formula>
    </cfRule>
  </conditionalFormatting>
  <conditionalFormatting sqref="I830:T830">
    <cfRule type="cellIs" dxfId="7303" priority="9737" operator="equal">
      <formula>0</formula>
    </cfRule>
  </conditionalFormatting>
  <conditionalFormatting sqref="I824:T824">
    <cfRule type="cellIs" dxfId="7302" priority="9769" operator="equal">
      <formula>0</formula>
    </cfRule>
  </conditionalFormatting>
  <conditionalFormatting sqref="U818">
    <cfRule type="cellIs" dxfId="7301" priority="9804" operator="equal">
      <formula>0</formula>
    </cfRule>
  </conditionalFormatting>
  <conditionalFormatting sqref="I818:T818">
    <cfRule type="cellIs" dxfId="7300" priority="9802" operator="equal">
      <formula>0</formula>
    </cfRule>
  </conditionalFormatting>
  <conditionalFormatting sqref="H818:U818">
    <cfRule type="cellIs" dxfId="7299" priority="9801" operator="equal">
      <formula>0</formula>
    </cfRule>
  </conditionalFormatting>
  <conditionalFormatting sqref="U818">
    <cfRule type="cellIs" dxfId="7298" priority="9800" operator="equal">
      <formula>0</formula>
    </cfRule>
  </conditionalFormatting>
  <conditionalFormatting sqref="I818:T818">
    <cfRule type="cellIs" dxfId="7297" priority="9799" operator="equal">
      <formula>0</formula>
    </cfRule>
  </conditionalFormatting>
  <conditionalFormatting sqref="H821">
    <cfRule type="cellIs" dxfId="7296" priority="9788" operator="equal">
      <formula>0</formula>
    </cfRule>
  </conditionalFormatting>
  <conditionalFormatting sqref="U774">
    <cfRule type="cellIs" dxfId="7295" priority="9496" operator="equal">
      <formula>0</formula>
    </cfRule>
  </conditionalFormatting>
  <conditionalFormatting sqref="U818">
    <cfRule type="cellIs" dxfId="7294" priority="9796" operator="equal">
      <formula>0</formula>
    </cfRule>
  </conditionalFormatting>
  <conditionalFormatting sqref="U827">
    <cfRule type="cellIs" dxfId="7293" priority="9759" operator="equal">
      <formula>0</formula>
    </cfRule>
  </conditionalFormatting>
  <conditionalFormatting sqref="U827">
    <cfRule type="cellIs" dxfId="7292" priority="9751" operator="equal">
      <formula>0</formula>
    </cfRule>
  </conditionalFormatting>
  <conditionalFormatting sqref="C818">
    <cfRule type="cellIs" dxfId="7291" priority="9791" operator="equal">
      <formula>0</formula>
    </cfRule>
  </conditionalFormatting>
  <conditionalFormatting sqref="C818">
    <cfRule type="cellIs" dxfId="7290" priority="9790" operator="equal">
      <formula>0</formula>
    </cfRule>
  </conditionalFormatting>
  <conditionalFormatting sqref="I827:T827">
    <cfRule type="cellIs" dxfId="7289" priority="9754" operator="equal">
      <formula>0</formula>
    </cfRule>
  </conditionalFormatting>
  <conditionalFormatting sqref="U821">
    <cfRule type="cellIs" dxfId="7288" priority="9789" operator="equal">
      <formula>0</formula>
    </cfRule>
  </conditionalFormatting>
  <conditionalFormatting sqref="I821:T821">
    <cfRule type="cellIs" dxfId="7287" priority="9787" operator="equal">
      <formula>0</formula>
    </cfRule>
  </conditionalFormatting>
  <conditionalFormatting sqref="H821:U821">
    <cfRule type="cellIs" dxfId="7286" priority="9786" operator="equal">
      <formula>0</formula>
    </cfRule>
  </conditionalFormatting>
  <conditionalFormatting sqref="I841:T841">
    <cfRule type="cellIs" dxfId="7285" priority="9707" operator="equal">
      <formula>0</formula>
    </cfRule>
  </conditionalFormatting>
  <conditionalFormatting sqref="I821:T821">
    <cfRule type="cellIs" dxfId="7284" priority="9784" operator="equal">
      <formula>0</formula>
    </cfRule>
  </conditionalFormatting>
  <conditionalFormatting sqref="I821:T821">
    <cfRule type="cellIs" dxfId="7283" priority="9783" operator="equal">
      <formula>0</formula>
    </cfRule>
  </conditionalFormatting>
  <conditionalFormatting sqref="I821:T821">
    <cfRule type="cellIs" dxfId="7282" priority="9782" operator="equal">
      <formula>0</formula>
    </cfRule>
  </conditionalFormatting>
  <conditionalFormatting sqref="I830:T830">
    <cfRule type="cellIs" dxfId="7281" priority="9738" operator="equal">
      <formula>0</formula>
    </cfRule>
  </conditionalFormatting>
  <conditionalFormatting sqref="C827">
    <cfRule type="cellIs" dxfId="7280" priority="9746" operator="equal">
      <formula>0</formula>
    </cfRule>
  </conditionalFormatting>
  <conditionalFormatting sqref="F821:G821">
    <cfRule type="cellIs" dxfId="7279" priority="9778" operator="equal">
      <formula>0</formula>
    </cfRule>
  </conditionalFormatting>
  <conditionalFormatting sqref="D821">
    <cfRule type="cellIs" dxfId="7278" priority="9779" operator="equal">
      <formula>0</formula>
    </cfRule>
  </conditionalFormatting>
  <conditionalFormatting sqref="D821:G821">
    <cfRule type="cellIs" dxfId="7277" priority="9777" operator="equal">
      <formula>0</formula>
    </cfRule>
  </conditionalFormatting>
  <conditionalFormatting sqref="C821">
    <cfRule type="cellIs" dxfId="7276" priority="9776" operator="equal">
      <formula>0</formula>
    </cfRule>
  </conditionalFormatting>
  <conditionalFormatting sqref="C821">
    <cfRule type="cellIs" dxfId="7275" priority="9775" operator="equal">
      <formula>0</formula>
    </cfRule>
  </conditionalFormatting>
  <conditionalFormatting sqref="H824">
    <cfRule type="cellIs" dxfId="7274" priority="9773" operator="equal">
      <formula>0</formula>
    </cfRule>
  </conditionalFormatting>
  <conditionalFormatting sqref="U824">
    <cfRule type="cellIs" dxfId="7273" priority="9774" operator="equal">
      <formula>0</formula>
    </cfRule>
  </conditionalFormatting>
  <conditionalFormatting sqref="H842">
    <cfRule type="cellIs" dxfId="7272" priority="9728" operator="equal">
      <formula>0</formula>
    </cfRule>
  </conditionalFormatting>
  <conditionalFormatting sqref="U846">
    <cfRule type="cellIs" dxfId="7271" priority="9625" operator="equal">
      <formula>0</formula>
    </cfRule>
  </conditionalFormatting>
  <conditionalFormatting sqref="U824">
    <cfRule type="cellIs" dxfId="7270" priority="9770" operator="equal">
      <formula>0</formula>
    </cfRule>
  </conditionalFormatting>
  <conditionalFormatting sqref="U847">
    <cfRule type="cellIs" dxfId="7269" priority="9614" operator="equal">
      <formula>0</formula>
    </cfRule>
  </conditionalFormatting>
  <conditionalFormatting sqref="I824:T824">
    <cfRule type="cellIs" dxfId="7268" priority="9768" operator="equal">
      <formula>0</formula>
    </cfRule>
  </conditionalFormatting>
  <conditionalFormatting sqref="I824:T824">
    <cfRule type="cellIs" dxfId="7267" priority="9767" operator="equal">
      <formula>0</formula>
    </cfRule>
  </conditionalFormatting>
  <conditionalFormatting sqref="U824">
    <cfRule type="cellIs" dxfId="7266" priority="9766" operator="equal">
      <formula>0</formula>
    </cfRule>
  </conditionalFormatting>
  <conditionalFormatting sqref="U824">
    <cfRule type="cellIs" dxfId="7265" priority="9765" operator="equal">
      <formula>0</formula>
    </cfRule>
  </conditionalFormatting>
  <conditionalFormatting sqref="F824:G824">
    <cfRule type="cellIs" dxfId="7264" priority="9763" operator="equal">
      <formula>0</formula>
    </cfRule>
  </conditionalFormatting>
  <conditionalFormatting sqref="D723">
    <cfRule type="cellIs" dxfId="7263" priority="9575" operator="equal">
      <formula>0</formula>
    </cfRule>
  </conditionalFormatting>
  <conditionalFormatting sqref="D824:G824">
    <cfRule type="cellIs" dxfId="7262" priority="9762" operator="equal">
      <formula>0</formula>
    </cfRule>
  </conditionalFormatting>
  <conditionalFormatting sqref="C824">
    <cfRule type="cellIs" dxfId="7261" priority="9761" operator="equal">
      <formula>0</formula>
    </cfRule>
  </conditionalFormatting>
  <conditionalFormatting sqref="C824">
    <cfRule type="cellIs" dxfId="7260" priority="9760" operator="equal">
      <formula>0</formula>
    </cfRule>
  </conditionalFormatting>
  <conditionalFormatting sqref="H827">
    <cfRule type="cellIs" dxfId="7259" priority="9758" operator="equal">
      <formula>0</formula>
    </cfRule>
  </conditionalFormatting>
  <conditionalFormatting sqref="I827:T827">
    <cfRule type="cellIs" dxfId="7258" priority="9757" operator="equal">
      <formula>0</formula>
    </cfRule>
  </conditionalFormatting>
  <conditionalFormatting sqref="H827:U827">
    <cfRule type="cellIs" dxfId="7257" priority="9756" operator="equal">
      <formula>0</formula>
    </cfRule>
  </conditionalFormatting>
  <conditionalFormatting sqref="U827">
    <cfRule type="cellIs" dxfId="7256" priority="9755" operator="equal">
      <formula>0</formula>
    </cfRule>
  </conditionalFormatting>
  <conditionalFormatting sqref="I827:T827">
    <cfRule type="cellIs" dxfId="7255" priority="9753" operator="equal">
      <formula>0</formula>
    </cfRule>
  </conditionalFormatting>
  <conditionalFormatting sqref="I827:T827">
    <cfRule type="cellIs" dxfId="7254" priority="9752" operator="equal">
      <formula>0</formula>
    </cfRule>
  </conditionalFormatting>
  <conditionalFormatting sqref="C842">
    <cfRule type="cellIs" dxfId="7253" priority="9717" operator="equal">
      <formula>0</formula>
    </cfRule>
  </conditionalFormatting>
  <conditionalFormatting sqref="U827">
    <cfRule type="cellIs" dxfId="7252" priority="9750" operator="equal">
      <formula>0</formula>
    </cfRule>
  </conditionalFormatting>
  <conditionalFormatting sqref="F827:G827">
    <cfRule type="cellIs" dxfId="7251" priority="9748" operator="equal">
      <formula>0</formula>
    </cfRule>
  </conditionalFormatting>
  <conditionalFormatting sqref="D827">
    <cfRule type="cellIs" dxfId="7250" priority="9749" operator="equal">
      <formula>0</formula>
    </cfRule>
  </conditionalFormatting>
  <conditionalFormatting sqref="D827:G827">
    <cfRule type="cellIs" dxfId="7249" priority="9747" operator="equal">
      <formula>0</formula>
    </cfRule>
  </conditionalFormatting>
  <conditionalFormatting sqref="H841">
    <cfRule type="cellIs" dxfId="7248" priority="9712" operator="equal">
      <formula>0</formula>
    </cfRule>
  </conditionalFormatting>
  <conditionalFormatting sqref="H723">
    <cfRule type="cellIs" dxfId="7247" priority="9588" operator="equal">
      <formula>0</formula>
    </cfRule>
  </conditionalFormatting>
  <conditionalFormatting sqref="U830">
    <cfRule type="cellIs" dxfId="7246" priority="9744" operator="equal">
      <formula>0</formula>
    </cfRule>
  </conditionalFormatting>
  <conditionalFormatting sqref="I830:T830">
    <cfRule type="cellIs" dxfId="7245" priority="9742" operator="equal">
      <formula>0</formula>
    </cfRule>
  </conditionalFormatting>
  <conditionalFormatting sqref="H830:U830">
    <cfRule type="cellIs" dxfId="7244" priority="9741" operator="equal">
      <formula>0</formula>
    </cfRule>
  </conditionalFormatting>
  <conditionalFormatting sqref="U830">
    <cfRule type="cellIs" dxfId="7243" priority="9740" operator="equal">
      <formula>0</formula>
    </cfRule>
  </conditionalFormatting>
  <conditionalFormatting sqref="I830:T830">
    <cfRule type="cellIs" dxfId="7242" priority="9739" operator="equal">
      <formula>0</formula>
    </cfRule>
  </conditionalFormatting>
  <conditionalFormatting sqref="U830">
    <cfRule type="cellIs" dxfId="7241" priority="9736" operator="equal">
      <formula>0</formula>
    </cfRule>
  </conditionalFormatting>
  <conditionalFormatting sqref="U830">
    <cfRule type="cellIs" dxfId="7240" priority="9735" operator="equal">
      <formula>0</formula>
    </cfRule>
  </conditionalFormatting>
  <conditionalFormatting sqref="D830">
    <cfRule type="cellIs" dxfId="7239" priority="9734" operator="equal">
      <formula>0</formula>
    </cfRule>
  </conditionalFormatting>
  <conditionalFormatting sqref="C830">
    <cfRule type="cellIs" dxfId="7238" priority="9731" operator="equal">
      <formula>0</formula>
    </cfRule>
  </conditionalFormatting>
  <conditionalFormatting sqref="C830">
    <cfRule type="cellIs" dxfId="7237" priority="9730" operator="equal">
      <formula>0</formula>
    </cfRule>
  </conditionalFormatting>
  <conditionalFormatting sqref="I843:T843">
    <cfRule type="cellIs" dxfId="7236" priority="9694" operator="equal">
      <formula>0</formula>
    </cfRule>
  </conditionalFormatting>
  <conditionalFormatting sqref="I846:T846">
    <cfRule type="cellIs" dxfId="7235" priority="9680" operator="equal">
      <formula>0</formula>
    </cfRule>
  </conditionalFormatting>
  <conditionalFormatting sqref="I842:T842">
    <cfRule type="cellIs" dxfId="7234" priority="9727" operator="equal">
      <formula>0</formula>
    </cfRule>
  </conditionalFormatting>
  <conditionalFormatting sqref="H842:T842">
    <cfRule type="cellIs" dxfId="7233" priority="9726" operator="equal">
      <formula>0</formula>
    </cfRule>
  </conditionalFormatting>
  <conditionalFormatting sqref="F723:G723">
    <cfRule type="cellIs" dxfId="7232" priority="9574" operator="equal">
      <formula>0</formula>
    </cfRule>
  </conditionalFormatting>
  <conditionalFormatting sqref="I842:T842">
    <cfRule type="cellIs" dxfId="7231" priority="9724" operator="equal">
      <formula>0</formula>
    </cfRule>
  </conditionalFormatting>
  <conditionalFormatting sqref="I842:T842">
    <cfRule type="cellIs" dxfId="7230" priority="9723" operator="equal">
      <formula>0</formula>
    </cfRule>
  </conditionalFormatting>
  <conditionalFormatting sqref="I842:T842">
    <cfRule type="cellIs" dxfId="7229" priority="9722" operator="equal">
      <formula>0</formula>
    </cfRule>
  </conditionalFormatting>
  <conditionalFormatting sqref="U842">
    <cfRule type="cellIs" dxfId="7228" priority="9638" operator="equal">
      <formula>0</formula>
    </cfRule>
  </conditionalFormatting>
  <conditionalFormatting sqref="U842">
    <cfRule type="cellIs" dxfId="7227" priority="9637" operator="equal">
      <formula>0</formula>
    </cfRule>
  </conditionalFormatting>
  <conditionalFormatting sqref="F842:G842">
    <cfRule type="cellIs" dxfId="7226" priority="9718" operator="equal">
      <formula>0</formula>
    </cfRule>
  </conditionalFormatting>
  <conditionalFormatting sqref="D842">
    <cfRule type="cellIs" dxfId="7225" priority="9719" operator="equal">
      <formula>0</formula>
    </cfRule>
  </conditionalFormatting>
  <conditionalFormatting sqref="C724:E724">
    <cfRule type="cellIs" dxfId="7224" priority="9561" operator="equal">
      <formula>0</formula>
    </cfRule>
  </conditionalFormatting>
  <conditionalFormatting sqref="B841">
    <cfRule type="cellIs" dxfId="7223" priority="9715" operator="equal">
      <formula>0</formula>
    </cfRule>
  </conditionalFormatting>
  <conditionalFormatting sqref="B843">
    <cfRule type="cellIs" dxfId="7222" priority="9714" operator="equal">
      <formula>0</formula>
    </cfRule>
  </conditionalFormatting>
  <conditionalFormatting sqref="U773">
    <cfRule type="cellIs" dxfId="7221" priority="9523" operator="equal">
      <formula>0</formula>
    </cfRule>
  </conditionalFormatting>
  <conditionalFormatting sqref="I846:T846">
    <cfRule type="cellIs" dxfId="7220" priority="9683" operator="equal">
      <formula>0</formula>
    </cfRule>
  </conditionalFormatting>
  <conditionalFormatting sqref="I841:T841">
    <cfRule type="cellIs" dxfId="7219" priority="9711" operator="equal">
      <formula>0</formula>
    </cfRule>
  </conditionalFormatting>
  <conditionalFormatting sqref="H841:T841">
    <cfRule type="cellIs" dxfId="7218" priority="9710" operator="equal">
      <formula>0</formula>
    </cfRule>
  </conditionalFormatting>
  <conditionalFormatting sqref="I841:T841">
    <cfRule type="cellIs" dxfId="7217" priority="9708" operator="equal">
      <formula>0</formula>
    </cfRule>
  </conditionalFormatting>
  <conditionalFormatting sqref="C846">
    <cfRule type="cellIs" dxfId="7216" priority="9673" operator="equal">
      <formula>0</formula>
    </cfRule>
  </conditionalFormatting>
  <conditionalFormatting sqref="B846:G846">
    <cfRule type="cellIs" dxfId="7215" priority="9672" operator="equal">
      <formula>0</formula>
    </cfRule>
  </conditionalFormatting>
  <conditionalFormatting sqref="D846">
    <cfRule type="cellIs" dxfId="7214" priority="9675" operator="equal">
      <formula>0</formula>
    </cfRule>
  </conditionalFormatting>
  <conditionalFormatting sqref="F846:G846">
    <cfRule type="cellIs" dxfId="7213" priority="9674" operator="equal">
      <formula>0</formula>
    </cfRule>
  </conditionalFormatting>
  <conditionalFormatting sqref="F841:G841">
    <cfRule type="cellIs" dxfId="7212" priority="9702" operator="equal">
      <formula>0</formula>
    </cfRule>
  </conditionalFormatting>
  <conditionalFormatting sqref="C841">
    <cfRule type="cellIs" dxfId="7211" priority="9701" operator="equal">
      <formula>0</formula>
    </cfRule>
  </conditionalFormatting>
  <conditionalFormatting sqref="D841">
    <cfRule type="cellIs" dxfId="7210" priority="9703" operator="equal">
      <formula>0</formula>
    </cfRule>
  </conditionalFormatting>
  <conditionalFormatting sqref="C841:G841">
    <cfRule type="cellIs" dxfId="7209" priority="9700" operator="equal">
      <formula>0</formula>
    </cfRule>
  </conditionalFormatting>
  <conditionalFormatting sqref="H843">
    <cfRule type="cellIs" dxfId="7208" priority="9698" operator="equal">
      <formula>0</formula>
    </cfRule>
  </conditionalFormatting>
  <conditionalFormatting sqref="I847:T847">
    <cfRule type="cellIs" dxfId="7207" priority="9650" operator="equal">
      <formula>0</formula>
    </cfRule>
  </conditionalFormatting>
  <conditionalFormatting sqref="I843:T843">
    <cfRule type="cellIs" dxfId="7206" priority="9697" operator="equal">
      <formula>0</formula>
    </cfRule>
  </conditionalFormatting>
  <conditionalFormatting sqref="H843:T843">
    <cfRule type="cellIs" dxfId="7205" priority="9696" operator="equal">
      <formula>0</formula>
    </cfRule>
  </conditionalFormatting>
  <conditionalFormatting sqref="U847">
    <cfRule type="cellIs" dxfId="7204" priority="9612" operator="equal">
      <formula>0</formula>
    </cfRule>
  </conditionalFormatting>
  <conditionalFormatting sqref="U846">
    <cfRule type="cellIs" dxfId="7203" priority="9626" operator="equal">
      <formula>0</formula>
    </cfRule>
  </conditionalFormatting>
  <conditionalFormatting sqref="I843:T843">
    <cfRule type="cellIs" dxfId="7202" priority="9693" operator="equal">
      <formula>0</formula>
    </cfRule>
  </conditionalFormatting>
  <conditionalFormatting sqref="I843:T843">
    <cfRule type="cellIs" dxfId="7201" priority="9692" operator="equal">
      <formula>0</formula>
    </cfRule>
  </conditionalFormatting>
  <conditionalFormatting sqref="U575:U577">
    <cfRule type="cellIs" dxfId="7200" priority="9385" operator="equal">
      <formula>0</formula>
    </cfRule>
  </conditionalFormatting>
  <conditionalFormatting sqref="U842">
    <cfRule type="cellIs" dxfId="7199" priority="9641" operator="equal">
      <formula>0</formula>
    </cfRule>
  </conditionalFormatting>
  <conditionalFormatting sqref="F843:G843">
    <cfRule type="cellIs" dxfId="7198" priority="9688" operator="equal">
      <formula>0</formula>
    </cfRule>
  </conditionalFormatting>
  <conditionalFormatting sqref="C843">
    <cfRule type="cellIs" dxfId="7197" priority="9687" operator="equal">
      <formula>0</formula>
    </cfRule>
  </conditionalFormatting>
  <conditionalFormatting sqref="D843">
    <cfRule type="cellIs" dxfId="7196" priority="9689" operator="equal">
      <formula>0</formula>
    </cfRule>
  </conditionalFormatting>
  <conditionalFormatting sqref="C843:G843">
    <cfRule type="cellIs" dxfId="7195" priority="9686" operator="equal">
      <formula>0</formula>
    </cfRule>
  </conditionalFormatting>
  <conditionalFormatting sqref="H846">
    <cfRule type="cellIs" dxfId="7194" priority="9684" operator="equal">
      <formula>0</formula>
    </cfRule>
  </conditionalFormatting>
  <conditionalFormatting sqref="U845">
    <cfRule type="cellIs" dxfId="7193" priority="9617" operator="equal">
      <formula>0</formula>
    </cfRule>
  </conditionalFormatting>
  <conditionalFormatting sqref="I845:T845">
    <cfRule type="cellIs" dxfId="7192" priority="9664" operator="equal">
      <formula>0</formula>
    </cfRule>
  </conditionalFormatting>
  <conditionalFormatting sqref="H846:T846">
    <cfRule type="cellIs" dxfId="7191" priority="9682" operator="equal">
      <formula>0</formula>
    </cfRule>
  </conditionalFormatting>
  <conditionalFormatting sqref="C845">
    <cfRule type="cellIs" dxfId="7190" priority="9657" operator="equal">
      <formula>0</formula>
    </cfRule>
  </conditionalFormatting>
  <conditionalFormatting sqref="I575:T577">
    <cfRule type="cellIs" dxfId="7189" priority="9389" operator="equal">
      <formula>0</formula>
    </cfRule>
  </conditionalFormatting>
  <conditionalFormatting sqref="U845">
    <cfRule type="cellIs" dxfId="7188" priority="9621" operator="equal">
      <formula>0</formula>
    </cfRule>
  </conditionalFormatting>
  <conditionalFormatting sqref="U842">
    <cfRule type="cellIs" dxfId="7187" priority="9639" operator="equal">
      <formula>0</formula>
    </cfRule>
  </conditionalFormatting>
  <conditionalFormatting sqref="U846">
    <cfRule type="cellIs" dxfId="7186" priority="9622" operator="equal">
      <formula>0</formula>
    </cfRule>
  </conditionalFormatting>
  <conditionalFormatting sqref="B845">
    <cfRule type="cellIs" dxfId="7185" priority="9671" operator="equal">
      <formula>0</formula>
    </cfRule>
  </conditionalFormatting>
  <conditionalFormatting sqref="B847">
    <cfRule type="cellIs" dxfId="7184" priority="9670" operator="equal">
      <formula>0</formula>
    </cfRule>
  </conditionalFormatting>
  <conditionalFormatting sqref="H845">
    <cfRule type="cellIs" dxfId="7183" priority="9668" operator="equal">
      <formula>0</formula>
    </cfRule>
  </conditionalFormatting>
  <conditionalFormatting sqref="H847">
    <cfRule type="cellIs" dxfId="7182" priority="9654" operator="equal">
      <formula>0</formula>
    </cfRule>
  </conditionalFormatting>
  <conditionalFormatting sqref="I845:T845">
    <cfRule type="cellIs" dxfId="7181" priority="9667" operator="equal">
      <formula>0</formula>
    </cfRule>
  </conditionalFormatting>
  <conditionalFormatting sqref="H845:T845">
    <cfRule type="cellIs" dxfId="7180" priority="9666" operator="equal">
      <formula>0</formula>
    </cfRule>
  </conditionalFormatting>
  <conditionalFormatting sqref="U847">
    <cfRule type="cellIs" dxfId="7179" priority="9616" operator="equal">
      <formula>0</formula>
    </cfRule>
  </conditionalFormatting>
  <conditionalFormatting sqref="U570">
    <cfRule type="cellIs" dxfId="7178" priority="9373" operator="equal">
      <formula>0</formula>
    </cfRule>
  </conditionalFormatting>
  <conditionalFormatting sqref="I845:T845">
    <cfRule type="cellIs" dxfId="7177" priority="9663" operator="equal">
      <formula>0</formula>
    </cfRule>
  </conditionalFormatting>
  <conditionalFormatting sqref="I845:T845">
    <cfRule type="cellIs" dxfId="7176" priority="9662" operator="equal">
      <formula>0</formula>
    </cfRule>
  </conditionalFormatting>
  <conditionalFormatting sqref="D847">
    <cfRule type="cellIs" dxfId="7175" priority="9645" operator="equal">
      <formula>0</formula>
    </cfRule>
  </conditionalFormatting>
  <conditionalFormatting sqref="F845:G845">
    <cfRule type="cellIs" dxfId="7174" priority="9658" operator="equal">
      <formula>0</formula>
    </cfRule>
  </conditionalFormatting>
  <conditionalFormatting sqref="U847">
    <cfRule type="cellIs" dxfId="7173" priority="9613" operator="equal">
      <formula>0</formula>
    </cfRule>
  </conditionalFormatting>
  <conditionalFormatting sqref="D845">
    <cfRule type="cellIs" dxfId="7172" priority="9659" operator="equal">
      <formula>0</formula>
    </cfRule>
  </conditionalFormatting>
  <conditionalFormatting sqref="C845:G845">
    <cfRule type="cellIs" dxfId="7171" priority="9656" operator="equal">
      <formula>0</formula>
    </cfRule>
  </conditionalFormatting>
  <conditionalFormatting sqref="U843">
    <cfRule type="cellIs" dxfId="7170" priority="9631" operator="equal">
      <formula>0</formula>
    </cfRule>
  </conditionalFormatting>
  <conditionalFormatting sqref="C847">
    <cfRule type="cellIs" dxfId="7169" priority="9643" operator="equal">
      <formula>0</formula>
    </cfRule>
  </conditionalFormatting>
  <conditionalFormatting sqref="U841">
    <cfRule type="cellIs" dxfId="7168" priority="9636" operator="equal">
      <formula>0</formula>
    </cfRule>
  </conditionalFormatting>
  <conditionalFormatting sqref="I847:T847">
    <cfRule type="cellIs" dxfId="7167" priority="9649" operator="equal">
      <formula>0</formula>
    </cfRule>
  </conditionalFormatting>
  <conditionalFormatting sqref="I847:T847">
    <cfRule type="cellIs" dxfId="7166" priority="9648" operator="equal">
      <formula>0</formula>
    </cfRule>
  </conditionalFormatting>
  <conditionalFormatting sqref="U841">
    <cfRule type="cellIs" dxfId="7165" priority="9632" operator="equal">
      <formula>0</formula>
    </cfRule>
  </conditionalFormatting>
  <conditionalFormatting sqref="I723:T723">
    <cfRule type="cellIs" dxfId="7164" priority="9587" operator="equal">
      <formula>0</formula>
    </cfRule>
  </conditionalFormatting>
  <conditionalFormatting sqref="F847:G847">
    <cfRule type="cellIs" dxfId="7163" priority="9644" operator="equal">
      <formula>0</formula>
    </cfRule>
  </conditionalFormatting>
  <conditionalFormatting sqref="C847:G847">
    <cfRule type="cellIs" dxfId="7162" priority="9642" operator="equal">
      <formula>0</formula>
    </cfRule>
  </conditionalFormatting>
  <conditionalFormatting sqref="H575:H577">
    <cfRule type="cellIs" dxfId="7161" priority="9340" operator="equal">
      <formula>0</formula>
    </cfRule>
  </conditionalFormatting>
  <conditionalFormatting sqref="U842">
    <cfRule type="cellIs" dxfId="7160" priority="9640" operator="equal">
      <formula>0</formula>
    </cfRule>
  </conditionalFormatting>
  <conditionalFormatting sqref="I664">
    <cfRule type="cellIs" dxfId="7159" priority="9604" operator="equal">
      <formula>0</formula>
    </cfRule>
  </conditionalFormatting>
  <conditionalFormatting sqref="U841">
    <cfRule type="cellIs" dxfId="7158" priority="9635" operator="equal">
      <formula>0</formula>
    </cfRule>
  </conditionalFormatting>
  <conditionalFormatting sqref="U841">
    <cfRule type="cellIs" dxfId="7157" priority="9634" operator="equal">
      <formula>0</formula>
    </cfRule>
  </conditionalFormatting>
  <conditionalFormatting sqref="U841">
    <cfRule type="cellIs" dxfId="7156" priority="9633" operator="equal">
      <formula>0</formula>
    </cfRule>
  </conditionalFormatting>
  <conditionalFormatting sqref="U846">
    <cfRule type="cellIs" dxfId="7155" priority="9623" operator="equal">
      <formula>0</formula>
    </cfRule>
  </conditionalFormatting>
  <conditionalFormatting sqref="U843">
    <cfRule type="cellIs" dxfId="7154" priority="9630" operator="equal">
      <formula>0</formula>
    </cfRule>
  </conditionalFormatting>
  <conditionalFormatting sqref="U843">
    <cfRule type="cellIs" dxfId="7153" priority="9629" operator="equal">
      <formula>0</formula>
    </cfRule>
  </conditionalFormatting>
  <conditionalFormatting sqref="U843">
    <cfRule type="cellIs" dxfId="7152" priority="9628" operator="equal">
      <formula>0</formula>
    </cfRule>
  </conditionalFormatting>
  <conditionalFormatting sqref="I723:T723">
    <cfRule type="cellIs" dxfId="7151" priority="9583" operator="equal">
      <formula>0</formula>
    </cfRule>
  </conditionalFormatting>
  <conditionalFormatting sqref="U846">
    <cfRule type="cellIs" dxfId="7150" priority="9624" operator="equal">
      <formula>0</formula>
    </cfRule>
  </conditionalFormatting>
  <conditionalFormatting sqref="I723:T723">
    <cfRule type="cellIs" dxfId="7149" priority="9579" operator="equal">
      <formula>0</formula>
    </cfRule>
  </conditionalFormatting>
  <conditionalFormatting sqref="H564">
    <cfRule type="cellIs" dxfId="7148" priority="9355" operator="equal">
      <formula>0</formula>
    </cfRule>
  </conditionalFormatting>
  <conditionalFormatting sqref="U845">
    <cfRule type="cellIs" dxfId="7147" priority="9620" operator="equal">
      <formula>0</formula>
    </cfRule>
  </conditionalFormatting>
  <conditionalFormatting sqref="U845">
    <cfRule type="cellIs" dxfId="7146" priority="9619" operator="equal">
      <formula>0</formula>
    </cfRule>
  </conditionalFormatting>
  <conditionalFormatting sqref="U845">
    <cfRule type="cellIs" dxfId="7145" priority="9618" operator="equal">
      <formula>0</formula>
    </cfRule>
  </conditionalFormatting>
  <conditionalFormatting sqref="U847">
    <cfRule type="cellIs" dxfId="7144" priority="9615" operator="equal">
      <formula>0</formula>
    </cfRule>
  </conditionalFormatting>
  <conditionalFormatting sqref="U575:U577">
    <cfRule type="cellIs" dxfId="7143" priority="9390" operator="equal">
      <formula>0</formula>
    </cfRule>
  </conditionalFormatting>
  <conditionalFormatting sqref="J664:T664">
    <cfRule type="cellIs" dxfId="7142" priority="9611" operator="equal">
      <formula>0</formula>
    </cfRule>
  </conditionalFormatting>
  <conditionalFormatting sqref="J664:T664">
    <cfRule type="cellIs" dxfId="7141" priority="9610" operator="equal">
      <formula>0</formula>
    </cfRule>
  </conditionalFormatting>
  <conditionalFormatting sqref="B664">
    <cfRule type="cellIs" dxfId="7140" priority="9609" operator="equal">
      <formula>0</formula>
    </cfRule>
  </conditionalFormatting>
  <conditionalFormatting sqref="U664">
    <cfRule type="cellIs" dxfId="7139" priority="9608" operator="equal">
      <formula>0</formula>
    </cfRule>
  </conditionalFormatting>
  <conditionalFormatting sqref="U664">
    <cfRule type="cellIs" dxfId="7138" priority="9607" operator="equal">
      <formula>0</formula>
    </cfRule>
  </conditionalFormatting>
  <conditionalFormatting sqref="F664:G664">
    <cfRule type="cellIs" dxfId="7137" priority="9606" operator="equal">
      <formula>0</formula>
    </cfRule>
  </conditionalFormatting>
  <conditionalFormatting sqref="C664:E664">
    <cfRule type="cellIs" dxfId="7136" priority="9605" operator="equal">
      <formula>0</formula>
    </cfRule>
  </conditionalFormatting>
  <conditionalFormatting sqref="C723">
    <cfRule type="cellIs" dxfId="7135" priority="9570" operator="equal">
      <formula>0</formula>
    </cfRule>
  </conditionalFormatting>
  <conditionalFormatting sqref="I664">
    <cfRule type="cellIs" dxfId="7134" priority="9603" operator="equal">
      <formula>0</formula>
    </cfRule>
  </conditionalFormatting>
  <conditionalFormatting sqref="V697:XFD697">
    <cfRule type="cellIs" dxfId="7133" priority="9602" operator="equal">
      <formula>0</formula>
    </cfRule>
  </conditionalFormatting>
  <conditionalFormatting sqref="J724:T724">
    <cfRule type="cellIs" dxfId="7132" priority="9567" operator="equal">
      <formula>0</formula>
    </cfRule>
  </conditionalFormatting>
  <conditionalFormatting sqref="B697">
    <cfRule type="cellIs" dxfId="7131" priority="9599" operator="equal">
      <formula>0</formula>
    </cfRule>
  </conditionalFormatting>
  <conditionalFormatting sqref="U697">
    <cfRule type="cellIs" dxfId="7130" priority="9598" operator="equal">
      <formula>0</formula>
    </cfRule>
  </conditionalFormatting>
  <conditionalFormatting sqref="U697">
    <cfRule type="cellIs" dxfId="7129" priority="9597" operator="equal">
      <formula>0</formula>
    </cfRule>
  </conditionalFormatting>
  <conditionalFormatting sqref="F697:G697">
    <cfRule type="cellIs" dxfId="7128" priority="9596" operator="equal">
      <formula>0</formula>
    </cfRule>
  </conditionalFormatting>
  <conditionalFormatting sqref="C697:E697">
    <cfRule type="cellIs" dxfId="7127" priority="9595" operator="equal">
      <formula>0</formula>
    </cfRule>
  </conditionalFormatting>
  <conditionalFormatting sqref="I697">
    <cfRule type="cellIs" dxfId="7126" priority="9594" operator="equal">
      <formula>0</formula>
    </cfRule>
  </conditionalFormatting>
  <conditionalFormatting sqref="I697">
    <cfRule type="cellIs" dxfId="7125" priority="9593" operator="equal">
      <formula>0</formula>
    </cfRule>
  </conditionalFormatting>
  <conditionalFormatting sqref="A723 V723:XFD723">
    <cfRule type="cellIs" dxfId="7124" priority="9592" operator="equal">
      <formula>0</formula>
    </cfRule>
  </conditionalFormatting>
  <conditionalFormatting sqref="U723">
    <cfRule type="cellIs" dxfId="7123" priority="9591" operator="equal">
      <formula>0</formula>
    </cfRule>
  </conditionalFormatting>
  <conditionalFormatting sqref="U723">
    <cfRule type="cellIs" dxfId="7122" priority="9585" operator="equal">
      <formula>0</formula>
    </cfRule>
  </conditionalFormatting>
  <conditionalFormatting sqref="I583:T585">
    <cfRule type="cellIs" dxfId="7121" priority="9399" operator="equal">
      <formula>0</formula>
    </cfRule>
  </conditionalFormatting>
  <conditionalFormatting sqref="I773:T773">
    <cfRule type="cellIs" dxfId="7120" priority="9519" operator="equal">
      <formula>0</formula>
    </cfRule>
  </conditionalFormatting>
  <conditionalFormatting sqref="F723:G723">
    <cfRule type="cellIs" dxfId="7119" priority="9589" operator="equal">
      <formula>0</formula>
    </cfRule>
  </conditionalFormatting>
  <conditionalFormatting sqref="D723">
    <cfRule type="cellIs" dxfId="7118" priority="9590" operator="equal">
      <formula>0</formula>
    </cfRule>
  </conditionalFormatting>
  <conditionalFormatting sqref="B723 D723:U723">
    <cfRule type="cellIs" dxfId="7117" priority="9586" operator="equal">
      <formula>0</formula>
    </cfRule>
  </conditionalFormatting>
  <conditionalFormatting sqref="H723">
    <cfRule type="cellIs" dxfId="7116" priority="9584" operator="equal">
      <formula>0</formula>
    </cfRule>
  </conditionalFormatting>
  <conditionalFormatting sqref="I773:T773">
    <cfRule type="cellIs" dxfId="7115" priority="9515" operator="equal">
      <formula>0</formula>
    </cfRule>
  </conditionalFormatting>
  <conditionalFormatting sqref="H723:U723">
    <cfRule type="cellIs" dxfId="7114" priority="9582" operator="equal">
      <formula>0</formula>
    </cfRule>
  </conditionalFormatting>
  <conditionalFormatting sqref="U723">
    <cfRule type="cellIs" dxfId="7113" priority="9581" operator="equal">
      <formula>0</formula>
    </cfRule>
  </conditionalFormatting>
  <conditionalFormatting sqref="I723:T723">
    <cfRule type="cellIs" dxfId="7112" priority="9580" operator="equal">
      <formula>0</formula>
    </cfRule>
  </conditionalFormatting>
  <conditionalFormatting sqref="I773:T773">
    <cfRule type="cellIs" dxfId="7111" priority="9511" operator="equal">
      <formula>0</formula>
    </cfRule>
  </conditionalFormatting>
  <conditionalFormatting sqref="I723:T723">
    <cfRule type="cellIs" dxfId="7110" priority="9578" operator="equal">
      <formula>0</formula>
    </cfRule>
  </conditionalFormatting>
  <conditionalFormatting sqref="U723">
    <cfRule type="cellIs" dxfId="7109" priority="9577" operator="equal">
      <formula>0</formula>
    </cfRule>
  </conditionalFormatting>
  <conditionalFormatting sqref="U723">
    <cfRule type="cellIs" dxfId="7108" priority="9576" operator="equal">
      <formula>0</formula>
    </cfRule>
  </conditionalFormatting>
  <conditionalFormatting sqref="F773:G773">
    <cfRule type="cellIs" dxfId="7107" priority="9506" operator="equal">
      <formula>0</formula>
    </cfRule>
  </conditionalFormatting>
  <conditionalFormatting sqref="U575:U577">
    <cfRule type="cellIs" dxfId="7106" priority="9386" operator="equal">
      <formula>0</formula>
    </cfRule>
  </conditionalFormatting>
  <conditionalFormatting sqref="B723 D723:G723">
    <cfRule type="cellIs" dxfId="7105" priority="9573" operator="equal">
      <formula>0</formula>
    </cfRule>
  </conditionalFormatting>
  <conditionalFormatting sqref="C723">
    <cfRule type="cellIs" dxfId="7104" priority="9569" operator="equal">
      <formula>0</formula>
    </cfRule>
  </conditionalFormatting>
  <conditionalFormatting sqref="I567:T569">
    <cfRule type="cellIs" dxfId="7103" priority="9381" operator="equal">
      <formula>0</formula>
    </cfRule>
  </conditionalFormatting>
  <conditionalFormatting sqref="C723">
    <cfRule type="cellIs" dxfId="7102" priority="9572" operator="equal">
      <formula>0</formula>
    </cfRule>
  </conditionalFormatting>
  <conditionalFormatting sqref="C723">
    <cfRule type="cellIs" dxfId="7101" priority="9571" operator="equal">
      <formula>0</formula>
    </cfRule>
  </conditionalFormatting>
  <conditionalFormatting sqref="V724:XFD724">
    <cfRule type="cellIs" dxfId="7100" priority="9568" operator="equal">
      <formula>0</formula>
    </cfRule>
  </conditionalFormatting>
  <conditionalFormatting sqref="I567:T569">
    <cfRule type="cellIs" dxfId="7099" priority="9378" operator="equal">
      <formula>0</formula>
    </cfRule>
  </conditionalFormatting>
  <conditionalFormatting sqref="J724:T724">
    <cfRule type="cellIs" dxfId="7098" priority="9566" operator="equal">
      <formula>0</formula>
    </cfRule>
  </conditionalFormatting>
  <conditionalFormatting sqref="B724">
    <cfRule type="cellIs" dxfId="7097" priority="9565" operator="equal">
      <formula>0</formula>
    </cfRule>
  </conditionalFormatting>
  <conditionalFormatting sqref="U724">
    <cfRule type="cellIs" dxfId="7096" priority="9564" operator="equal">
      <formula>0</formula>
    </cfRule>
  </conditionalFormatting>
  <conditionalFormatting sqref="U724">
    <cfRule type="cellIs" dxfId="7095" priority="9563" operator="equal">
      <formula>0</formula>
    </cfRule>
  </conditionalFormatting>
  <conditionalFormatting sqref="F724:G724">
    <cfRule type="cellIs" dxfId="7094" priority="9562" operator="equal">
      <formula>0</formula>
    </cfRule>
  </conditionalFormatting>
  <conditionalFormatting sqref="I724">
    <cfRule type="cellIs" dxfId="7093" priority="9560" operator="equal">
      <formula>0</formula>
    </cfRule>
  </conditionalFormatting>
  <conditionalFormatting sqref="I724">
    <cfRule type="cellIs" dxfId="7092" priority="9559" operator="equal">
      <formula>0</formula>
    </cfRule>
  </conditionalFormatting>
  <conditionalFormatting sqref="U559:U561">
    <cfRule type="cellIs" dxfId="7091" priority="9364" operator="equal">
      <formula>0</formula>
    </cfRule>
  </conditionalFormatting>
  <conditionalFormatting sqref="U578">
    <cfRule type="cellIs" dxfId="7090" priority="9360" operator="equal">
      <formula>0</formula>
    </cfRule>
  </conditionalFormatting>
  <conditionalFormatting sqref="U583:U585">
    <cfRule type="cellIs" dxfId="7089" priority="9396" operator="equal">
      <formula>0</formula>
    </cfRule>
  </conditionalFormatting>
  <conditionalFormatting sqref="H773">
    <cfRule type="cellIs" dxfId="7088" priority="9520" operator="equal">
      <formula>0</formula>
    </cfRule>
  </conditionalFormatting>
  <conditionalFormatting sqref="I583:T585">
    <cfRule type="cellIs" dxfId="7087" priority="9400" operator="equal">
      <formula>0</formula>
    </cfRule>
  </conditionalFormatting>
  <conditionalFormatting sqref="U583:U585">
    <cfRule type="cellIs" dxfId="7086" priority="9401" operator="equal">
      <formula>0</formula>
    </cfRule>
  </conditionalFormatting>
  <conditionalFormatting sqref="I575:T577">
    <cfRule type="cellIs" dxfId="7085" priority="9392" operator="equal">
      <formula>0</formula>
    </cfRule>
  </conditionalFormatting>
  <conditionalFormatting sqref="I575:T577">
    <cfRule type="cellIs" dxfId="7084" priority="9388" operator="equal">
      <formula>0</formula>
    </cfRule>
  </conditionalFormatting>
  <conditionalFormatting sqref="D773">
    <cfRule type="cellIs" dxfId="7083" priority="9507" operator="equal">
      <formula>0</formula>
    </cfRule>
  </conditionalFormatting>
  <conditionalFormatting sqref="I567:U569">
    <cfRule type="cellIs" dxfId="7082" priority="9380" operator="equal">
      <formula>0</formula>
    </cfRule>
  </conditionalFormatting>
  <conditionalFormatting sqref="J774:T774">
    <cfRule type="cellIs" dxfId="7081" priority="9499" operator="equal">
      <formula>0</formula>
    </cfRule>
  </conditionalFormatting>
  <conditionalFormatting sqref="I567:T569">
    <cfRule type="cellIs" dxfId="7080" priority="9376" operator="equal">
      <formula>0</formula>
    </cfRule>
  </conditionalFormatting>
  <conditionalFormatting sqref="I570:U570">
    <cfRule type="cellIs" dxfId="7079" priority="9372" operator="equal">
      <formula>0</formula>
    </cfRule>
  </conditionalFormatting>
  <conditionalFormatting sqref="U559:U561">
    <cfRule type="cellIs" dxfId="7078" priority="9371" operator="equal">
      <formula>0</formula>
    </cfRule>
  </conditionalFormatting>
  <conditionalFormatting sqref="I802:T802">
    <cfRule type="cellIs" dxfId="7077" priority="9485" operator="equal">
      <formula>0</formula>
    </cfRule>
  </conditionalFormatting>
  <conditionalFormatting sqref="I802:T802">
    <cfRule type="cellIs" dxfId="7076" priority="9481" operator="equal">
      <formula>0</formula>
    </cfRule>
  </conditionalFormatting>
  <conditionalFormatting sqref="I802:T802">
    <cfRule type="cellIs" dxfId="7075" priority="9477" operator="equal">
      <formula>0</formula>
    </cfRule>
  </conditionalFormatting>
  <conditionalFormatting sqref="A773 V773:XFD773">
    <cfRule type="cellIs" dxfId="7074" priority="9524" operator="equal">
      <formula>0</formula>
    </cfRule>
  </conditionalFormatting>
  <conditionalFormatting sqref="U773">
    <cfRule type="cellIs" dxfId="7073" priority="9517" operator="equal">
      <formula>0</formula>
    </cfRule>
  </conditionalFormatting>
  <conditionalFormatting sqref="F773:G773">
    <cfRule type="cellIs" dxfId="7072" priority="9521" operator="equal">
      <formula>0</formula>
    </cfRule>
  </conditionalFormatting>
  <conditionalFormatting sqref="D773">
    <cfRule type="cellIs" dxfId="7071" priority="9522" operator="equal">
      <formula>0</formula>
    </cfRule>
  </conditionalFormatting>
  <conditionalFormatting sqref="B773 D773:U773">
    <cfRule type="cellIs" dxfId="7070" priority="9518" operator="equal">
      <formula>0</formula>
    </cfRule>
  </conditionalFormatting>
  <conditionalFormatting sqref="H773">
    <cfRule type="cellIs" dxfId="7069" priority="9516" operator="equal">
      <formula>0</formula>
    </cfRule>
  </conditionalFormatting>
  <conditionalFormatting sqref="H773:U773">
    <cfRule type="cellIs" dxfId="7068" priority="9514" operator="equal">
      <formula>0</formula>
    </cfRule>
  </conditionalFormatting>
  <conditionalFormatting sqref="U773">
    <cfRule type="cellIs" dxfId="7067" priority="9513" operator="equal">
      <formula>0</formula>
    </cfRule>
  </conditionalFormatting>
  <conditionalFormatting sqref="I773:T773">
    <cfRule type="cellIs" dxfId="7066" priority="9512" operator="equal">
      <formula>0</formula>
    </cfRule>
  </conditionalFormatting>
  <conditionalFormatting sqref="I773:T773">
    <cfRule type="cellIs" dxfId="7065" priority="9510" operator="equal">
      <formula>0</formula>
    </cfRule>
  </conditionalFormatting>
  <conditionalFormatting sqref="U773">
    <cfRule type="cellIs" dxfId="7064" priority="9509" operator="equal">
      <formula>0</formula>
    </cfRule>
  </conditionalFormatting>
  <conditionalFormatting sqref="U773">
    <cfRule type="cellIs" dxfId="7063" priority="9508" operator="equal">
      <formula>0</formula>
    </cfRule>
  </conditionalFormatting>
  <conditionalFormatting sqref="H559:H561">
    <cfRule type="cellIs" dxfId="7062" priority="9352" operator="equal">
      <formula>0</formula>
    </cfRule>
  </conditionalFormatting>
  <conditionalFormatting sqref="B773 D773:G773">
    <cfRule type="cellIs" dxfId="7061" priority="9505" operator="equal">
      <formula>0</formula>
    </cfRule>
  </conditionalFormatting>
  <conditionalFormatting sqref="C773">
    <cfRule type="cellIs" dxfId="7060" priority="9501" operator="equal">
      <formula>0</formula>
    </cfRule>
  </conditionalFormatting>
  <conditionalFormatting sqref="C773">
    <cfRule type="cellIs" dxfId="7059" priority="9502" operator="equal">
      <formula>0</formula>
    </cfRule>
  </conditionalFormatting>
  <conditionalFormatting sqref="C773">
    <cfRule type="cellIs" dxfId="7058" priority="9504" operator="equal">
      <formula>0</formula>
    </cfRule>
  </conditionalFormatting>
  <conditionalFormatting sqref="C773">
    <cfRule type="cellIs" dxfId="7057" priority="9503" operator="equal">
      <formula>0</formula>
    </cfRule>
  </conditionalFormatting>
  <conditionalFormatting sqref="V774:XFD774">
    <cfRule type="cellIs" dxfId="7056" priority="9500" operator="equal">
      <formula>0</formula>
    </cfRule>
  </conditionalFormatting>
  <conditionalFormatting sqref="J774:T774">
    <cfRule type="cellIs" dxfId="7055" priority="9498" operator="equal">
      <formula>0</formula>
    </cfRule>
  </conditionalFormatting>
  <conditionalFormatting sqref="B774">
    <cfRule type="cellIs" dxfId="7054" priority="9497" operator="equal">
      <formula>0</formula>
    </cfRule>
  </conditionalFormatting>
  <conditionalFormatting sqref="U774">
    <cfRule type="cellIs" dxfId="7053" priority="9495" operator="equal">
      <formula>0</formula>
    </cfRule>
  </conditionalFormatting>
  <conditionalFormatting sqref="F774:G774">
    <cfRule type="cellIs" dxfId="7052" priority="9494" operator="equal">
      <formula>0</formula>
    </cfRule>
  </conditionalFormatting>
  <conditionalFormatting sqref="C774:E774">
    <cfRule type="cellIs" dxfId="7051" priority="9493" operator="equal">
      <formula>0</formula>
    </cfRule>
  </conditionalFormatting>
  <conditionalFormatting sqref="I774">
    <cfRule type="cellIs" dxfId="7050" priority="9492" operator="equal">
      <formula>0</formula>
    </cfRule>
  </conditionalFormatting>
  <conditionalFormatting sqref="I774">
    <cfRule type="cellIs" dxfId="7049" priority="9491" operator="equal">
      <formula>0</formula>
    </cfRule>
  </conditionalFormatting>
  <conditionalFormatting sqref="H602:H604">
    <cfRule type="cellIs" dxfId="7048" priority="9322" operator="equal">
      <formula>0</formula>
    </cfRule>
  </conditionalFormatting>
  <conditionalFormatting sqref="A802 V802:XFD802">
    <cfRule type="cellIs" dxfId="7047" priority="9490" operator="equal">
      <formula>0</formula>
    </cfRule>
  </conditionalFormatting>
  <conditionalFormatting sqref="U802">
    <cfRule type="cellIs" dxfId="7046" priority="9489" operator="equal">
      <formula>0</formula>
    </cfRule>
  </conditionalFormatting>
  <conditionalFormatting sqref="U802">
    <cfRule type="cellIs" dxfId="7045" priority="9483" operator="equal">
      <formula>0</formula>
    </cfRule>
  </conditionalFormatting>
  <conditionalFormatting sqref="H802">
    <cfRule type="cellIs" dxfId="7044" priority="9486" operator="equal">
      <formula>0</formula>
    </cfRule>
  </conditionalFormatting>
  <conditionalFormatting sqref="F802:G802">
    <cfRule type="cellIs" dxfId="7043" priority="9487" operator="equal">
      <formula>0</formula>
    </cfRule>
  </conditionalFormatting>
  <conditionalFormatting sqref="D802">
    <cfRule type="cellIs" dxfId="7042" priority="9488" operator="equal">
      <formula>0</formula>
    </cfRule>
  </conditionalFormatting>
  <conditionalFormatting sqref="B802 D802:U802">
    <cfRule type="cellIs" dxfId="7041" priority="9484" operator="equal">
      <formula>0</formula>
    </cfRule>
  </conditionalFormatting>
  <conditionalFormatting sqref="H802">
    <cfRule type="cellIs" dxfId="7040" priority="9482" operator="equal">
      <formula>0</formula>
    </cfRule>
  </conditionalFormatting>
  <conditionalFormatting sqref="H802:U802">
    <cfRule type="cellIs" dxfId="7039" priority="9480" operator="equal">
      <formula>0</formula>
    </cfRule>
  </conditionalFormatting>
  <conditionalFormatting sqref="U802">
    <cfRule type="cellIs" dxfId="7038" priority="9479" operator="equal">
      <formula>0</formula>
    </cfRule>
  </conditionalFormatting>
  <conditionalFormatting sqref="I802:T802">
    <cfRule type="cellIs" dxfId="7037" priority="9478" operator="equal">
      <formula>0</formula>
    </cfRule>
  </conditionalFormatting>
  <conditionalFormatting sqref="I802:T802">
    <cfRule type="cellIs" dxfId="7036" priority="9476" operator="equal">
      <formula>0</formula>
    </cfRule>
  </conditionalFormatting>
  <conditionalFormatting sqref="U802">
    <cfRule type="cellIs" dxfId="7035" priority="9475" operator="equal">
      <formula>0</formula>
    </cfRule>
  </conditionalFormatting>
  <conditionalFormatting sqref="U802">
    <cfRule type="cellIs" dxfId="7034" priority="9474" operator="equal">
      <formula>0</formula>
    </cfRule>
  </conditionalFormatting>
  <conditionalFormatting sqref="F802:G802">
    <cfRule type="cellIs" dxfId="7033" priority="9472" operator="equal">
      <formula>0</formula>
    </cfRule>
  </conditionalFormatting>
  <conditionalFormatting sqref="D802">
    <cfRule type="cellIs" dxfId="7032" priority="9473" operator="equal">
      <formula>0</formula>
    </cfRule>
  </conditionalFormatting>
  <conditionalFormatting sqref="B802 D802:G802">
    <cfRule type="cellIs" dxfId="7031" priority="9471" operator="equal">
      <formula>0</formula>
    </cfRule>
  </conditionalFormatting>
  <conditionalFormatting sqref="C802">
    <cfRule type="cellIs" dxfId="7030" priority="9467" operator="equal">
      <formula>0</formula>
    </cfRule>
  </conditionalFormatting>
  <conditionalFormatting sqref="C802">
    <cfRule type="cellIs" dxfId="7029" priority="9468" operator="equal">
      <formula>0</formula>
    </cfRule>
  </conditionalFormatting>
  <conditionalFormatting sqref="C802">
    <cfRule type="cellIs" dxfId="7028" priority="9470" operator="equal">
      <formula>0</formula>
    </cfRule>
  </conditionalFormatting>
  <conditionalFormatting sqref="C802">
    <cfRule type="cellIs" dxfId="7027" priority="9469" operator="equal">
      <formula>0</formula>
    </cfRule>
  </conditionalFormatting>
  <conditionalFormatting sqref="V803:XFD803">
    <cfRule type="cellIs" dxfId="7026" priority="9466" operator="equal">
      <formula>0</formula>
    </cfRule>
  </conditionalFormatting>
  <conditionalFormatting sqref="J803:T803">
    <cfRule type="cellIs" dxfId="7025" priority="9465" operator="equal">
      <formula>0</formula>
    </cfRule>
  </conditionalFormatting>
  <conditionalFormatting sqref="J803:T803">
    <cfRule type="cellIs" dxfId="7024" priority="9464" operator="equal">
      <formula>0</formula>
    </cfRule>
  </conditionalFormatting>
  <conditionalFormatting sqref="B803">
    <cfRule type="cellIs" dxfId="7023" priority="9463" operator="equal">
      <formula>0</formula>
    </cfRule>
  </conditionalFormatting>
  <conditionalFormatting sqref="U803">
    <cfRule type="cellIs" dxfId="7022" priority="9462" operator="equal">
      <formula>0</formula>
    </cfRule>
  </conditionalFormatting>
  <conditionalFormatting sqref="U803">
    <cfRule type="cellIs" dxfId="7021" priority="9461" operator="equal">
      <formula>0</formula>
    </cfRule>
  </conditionalFormatting>
  <conditionalFormatting sqref="F803:G803">
    <cfRule type="cellIs" dxfId="7020" priority="9460" operator="equal">
      <formula>0</formula>
    </cfRule>
  </conditionalFormatting>
  <conditionalFormatting sqref="C803:E803">
    <cfRule type="cellIs" dxfId="7019" priority="9459" operator="equal">
      <formula>0</formula>
    </cfRule>
  </conditionalFormatting>
  <conditionalFormatting sqref="I803">
    <cfRule type="cellIs" dxfId="7018" priority="9458" operator="equal">
      <formula>0</formula>
    </cfRule>
  </conditionalFormatting>
  <conditionalFormatting sqref="I803">
    <cfRule type="cellIs" dxfId="7017" priority="9457" operator="equal">
      <formula>0</formula>
    </cfRule>
  </conditionalFormatting>
  <conditionalFormatting sqref="U623">
    <cfRule type="cellIs" dxfId="7016" priority="9430" operator="equal">
      <formula>0</formula>
    </cfRule>
  </conditionalFormatting>
  <conditionalFormatting sqref="U615">
    <cfRule type="cellIs" dxfId="7015" priority="9428" operator="equal">
      <formula>0</formula>
    </cfRule>
  </conditionalFormatting>
  <conditionalFormatting sqref="A776">
    <cfRule type="cellIs" dxfId="7014" priority="9453" operator="equal">
      <formula>0</formula>
    </cfRule>
  </conditionalFormatting>
  <conditionalFormatting sqref="U607">
    <cfRule type="cellIs" dxfId="7013" priority="9426" operator="equal">
      <formula>0</formula>
    </cfRule>
  </conditionalFormatting>
  <conditionalFormatting sqref="B562">
    <cfRule type="cellIs" dxfId="7012" priority="9424" operator="equal">
      <formula>0</formula>
    </cfRule>
  </conditionalFormatting>
  <conditionalFormatting sqref="U613">
    <cfRule type="cellIs" dxfId="7011" priority="9449" operator="equal">
      <formula>0</formula>
    </cfRule>
  </conditionalFormatting>
  <conditionalFormatting sqref="I613:U613">
    <cfRule type="cellIs" dxfId="7010" priority="9448" operator="equal">
      <formula>0</formula>
    </cfRule>
  </conditionalFormatting>
  <conditionalFormatting sqref="U605">
    <cfRule type="cellIs" dxfId="7009" priority="9447" operator="equal">
      <formula>0</formula>
    </cfRule>
  </conditionalFormatting>
  <conditionalFormatting sqref="I605:U605">
    <cfRule type="cellIs" dxfId="7008" priority="9446" operator="equal">
      <formula>0</formula>
    </cfRule>
  </conditionalFormatting>
  <conditionalFormatting sqref="U597">
    <cfRule type="cellIs" dxfId="7007" priority="9445" operator="equal">
      <formula>0</formula>
    </cfRule>
  </conditionalFormatting>
  <conditionalFormatting sqref="I597:U597">
    <cfRule type="cellIs" dxfId="7006" priority="9444" operator="equal">
      <formula>0</formula>
    </cfRule>
  </conditionalFormatting>
  <conditionalFormatting sqref="U599">
    <cfRule type="cellIs" dxfId="7005" priority="9443" operator="equal">
      <formula>0</formula>
    </cfRule>
  </conditionalFormatting>
  <conditionalFormatting sqref="I599:U599">
    <cfRule type="cellIs" dxfId="7004" priority="9442" operator="equal">
      <formula>0</formula>
    </cfRule>
  </conditionalFormatting>
  <conditionalFormatting sqref="I607:T607">
    <cfRule type="cellIs" dxfId="7003" priority="9440" operator="equal">
      <formula>0</formula>
    </cfRule>
  </conditionalFormatting>
  <conditionalFormatting sqref="I615:T615">
    <cfRule type="cellIs" dxfId="7002" priority="9438" operator="equal">
      <formula>0</formula>
    </cfRule>
  </conditionalFormatting>
  <conditionalFormatting sqref="H631">
    <cfRule type="cellIs" dxfId="7001" priority="9307" operator="equal">
      <formula>0</formula>
    </cfRule>
  </conditionalFormatting>
  <conditionalFormatting sqref="I623:T623">
    <cfRule type="cellIs" dxfId="7000" priority="9436" operator="equal">
      <formula>0</formula>
    </cfRule>
  </conditionalFormatting>
  <conditionalFormatting sqref="U629">
    <cfRule type="cellIs" dxfId="6999" priority="9435" operator="equal">
      <formula>0</formula>
    </cfRule>
  </conditionalFormatting>
  <conditionalFormatting sqref="I629:U629">
    <cfRule type="cellIs" dxfId="6998" priority="9434" operator="equal">
      <formula>0</formula>
    </cfRule>
  </conditionalFormatting>
  <conditionalFormatting sqref="U631">
    <cfRule type="cellIs" dxfId="6997" priority="9433" operator="equal">
      <formula>0</formula>
    </cfRule>
  </conditionalFormatting>
  <conditionalFormatting sqref="I631:U631">
    <cfRule type="cellIs" dxfId="6996" priority="9432" operator="equal">
      <formula>0</formula>
    </cfRule>
  </conditionalFormatting>
  <conditionalFormatting sqref="U623">
    <cfRule type="cellIs" dxfId="6995" priority="9431" operator="equal">
      <formula>0</formula>
    </cfRule>
  </conditionalFormatting>
  <conditionalFormatting sqref="U615">
    <cfRule type="cellIs" dxfId="6994" priority="9429" operator="equal">
      <formula>0</formula>
    </cfRule>
  </conditionalFormatting>
  <conditionalFormatting sqref="U607">
    <cfRule type="cellIs" dxfId="6993" priority="9427" operator="equal">
      <formula>0</formula>
    </cfRule>
  </conditionalFormatting>
  <conditionalFormatting sqref="H666:H667">
    <cfRule type="cellIs" dxfId="6992" priority="9302" operator="equal">
      <formula>0</formula>
    </cfRule>
  </conditionalFormatting>
  <conditionalFormatting sqref="B562">
    <cfRule type="cellIs" dxfId="6991" priority="9425" operator="lessThan">
      <formula>0</formula>
    </cfRule>
  </conditionalFormatting>
  <conditionalFormatting sqref="B570">
    <cfRule type="cellIs" dxfId="6990" priority="9423" operator="lessThan">
      <formula>0</formula>
    </cfRule>
  </conditionalFormatting>
  <conditionalFormatting sqref="B570">
    <cfRule type="cellIs" dxfId="6989" priority="9422" operator="equal">
      <formula>0</formula>
    </cfRule>
  </conditionalFormatting>
  <conditionalFormatting sqref="B578">
    <cfRule type="cellIs" dxfId="6988" priority="9421" operator="lessThan">
      <formula>0</formula>
    </cfRule>
  </conditionalFormatting>
  <conditionalFormatting sqref="B578">
    <cfRule type="cellIs" dxfId="6987" priority="9420" operator="equal">
      <formula>0</formula>
    </cfRule>
  </conditionalFormatting>
  <conditionalFormatting sqref="B586">
    <cfRule type="cellIs" dxfId="6986" priority="9419" operator="lessThan">
      <formula>0</formula>
    </cfRule>
  </conditionalFormatting>
  <conditionalFormatting sqref="B586">
    <cfRule type="cellIs" dxfId="6985" priority="9418" operator="equal">
      <formula>0</formula>
    </cfRule>
  </conditionalFormatting>
  <conditionalFormatting sqref="B597">
    <cfRule type="cellIs" dxfId="6984" priority="9417" operator="lessThan">
      <formula>0</formula>
    </cfRule>
  </conditionalFormatting>
  <conditionalFormatting sqref="B597">
    <cfRule type="cellIs" dxfId="6983" priority="9416" operator="equal">
      <formula>0</formula>
    </cfRule>
  </conditionalFormatting>
  <conditionalFormatting sqref="B605">
    <cfRule type="cellIs" dxfId="6982" priority="9415" operator="lessThan">
      <formula>0</formula>
    </cfRule>
  </conditionalFormatting>
  <conditionalFormatting sqref="B605">
    <cfRule type="cellIs" dxfId="6981" priority="9414" operator="equal">
      <formula>0</formula>
    </cfRule>
  </conditionalFormatting>
  <conditionalFormatting sqref="B613">
    <cfRule type="cellIs" dxfId="6980" priority="9413" operator="lessThan">
      <formula>0</formula>
    </cfRule>
  </conditionalFormatting>
  <conditionalFormatting sqref="B613">
    <cfRule type="cellIs" dxfId="6979" priority="9412" operator="equal">
      <formula>0</formula>
    </cfRule>
  </conditionalFormatting>
  <conditionalFormatting sqref="B621">
    <cfRule type="cellIs" dxfId="6978" priority="9411" operator="lessThan">
      <formula>0</formula>
    </cfRule>
  </conditionalFormatting>
  <conditionalFormatting sqref="B621">
    <cfRule type="cellIs" dxfId="6977" priority="9410" operator="equal">
      <formula>0</formula>
    </cfRule>
  </conditionalFormatting>
  <conditionalFormatting sqref="B630">
    <cfRule type="cellIs" dxfId="6976" priority="9407" operator="equal">
      <formula>0</formula>
    </cfRule>
  </conditionalFormatting>
  <conditionalFormatting sqref="B629">
    <cfRule type="cellIs" dxfId="6975" priority="9406" operator="lessThan">
      <formula>0</formula>
    </cfRule>
  </conditionalFormatting>
  <conditionalFormatting sqref="B629">
    <cfRule type="cellIs" dxfId="6974" priority="9405" operator="equal">
      <formula>0</formula>
    </cfRule>
  </conditionalFormatting>
  <conditionalFormatting sqref="U583:U585">
    <cfRule type="cellIs" dxfId="6973" priority="9404" operator="equal">
      <formula>0</formula>
    </cfRule>
  </conditionalFormatting>
  <conditionalFormatting sqref="I583:T585">
    <cfRule type="cellIs" dxfId="6972" priority="9403" operator="equal">
      <formula>0</formula>
    </cfRule>
  </conditionalFormatting>
  <conditionalFormatting sqref="I583:U585">
    <cfRule type="cellIs" dxfId="6971" priority="9402" operator="equal">
      <formula>0</formula>
    </cfRule>
  </conditionalFormatting>
  <conditionalFormatting sqref="I583:T585">
    <cfRule type="cellIs" dxfId="6970" priority="9398" operator="equal">
      <formula>0</formula>
    </cfRule>
  </conditionalFormatting>
  <conditionalFormatting sqref="U583:U585">
    <cfRule type="cellIs" dxfId="6969" priority="9397" operator="equal">
      <formula>0</formula>
    </cfRule>
  </conditionalFormatting>
  <conditionalFormatting sqref="U575:U577">
    <cfRule type="cellIs" dxfId="6968" priority="9393" operator="equal">
      <formula>0</formula>
    </cfRule>
  </conditionalFormatting>
  <conditionalFormatting sqref="I575:U577">
    <cfRule type="cellIs" dxfId="6967" priority="9391" operator="equal">
      <formula>0</formula>
    </cfRule>
  </conditionalFormatting>
  <conditionalFormatting sqref="I575:T577">
    <cfRule type="cellIs" dxfId="6966" priority="9387" operator="equal">
      <formula>0</formula>
    </cfRule>
  </conditionalFormatting>
  <conditionalFormatting sqref="H607">
    <cfRule type="cellIs" dxfId="6965" priority="9325" operator="equal">
      <formula>0</formula>
    </cfRule>
  </conditionalFormatting>
  <conditionalFormatting sqref="H607">
    <cfRule type="cellIs" dxfId="6964" priority="9324" operator="equal">
      <formula>0</formula>
    </cfRule>
  </conditionalFormatting>
  <conditionalFormatting sqref="U567:U569">
    <cfRule type="cellIs" dxfId="6963" priority="9382" operator="equal">
      <formula>0</formula>
    </cfRule>
  </conditionalFormatting>
  <conditionalFormatting sqref="U567:U569">
    <cfRule type="cellIs" dxfId="6962" priority="9379" operator="equal">
      <formula>0</formula>
    </cfRule>
  </conditionalFormatting>
  <conditionalFormatting sqref="I567:T569">
    <cfRule type="cellIs" dxfId="6961" priority="9377" operator="equal">
      <formula>0</formula>
    </cfRule>
  </conditionalFormatting>
  <conditionalFormatting sqref="U567:U569">
    <cfRule type="cellIs" dxfId="6960" priority="9375" operator="equal">
      <formula>0</formula>
    </cfRule>
  </conditionalFormatting>
  <conditionalFormatting sqref="U567:U569">
    <cfRule type="cellIs" dxfId="6959" priority="9374" operator="equal">
      <formula>0</formula>
    </cfRule>
  </conditionalFormatting>
  <conditionalFormatting sqref="I559:T561">
    <cfRule type="cellIs" dxfId="6958" priority="9370" operator="equal">
      <formula>0</formula>
    </cfRule>
  </conditionalFormatting>
  <conditionalFormatting sqref="I559:U561">
    <cfRule type="cellIs" dxfId="6957" priority="9369" operator="equal">
      <formula>0</formula>
    </cfRule>
  </conditionalFormatting>
  <conditionalFormatting sqref="U559:U561">
    <cfRule type="cellIs" dxfId="6956" priority="9368" operator="equal">
      <formula>0</formula>
    </cfRule>
  </conditionalFormatting>
  <conditionalFormatting sqref="I559:T561">
    <cfRule type="cellIs" dxfId="6955" priority="9367" operator="equal">
      <formula>0</formula>
    </cfRule>
  </conditionalFormatting>
  <conditionalFormatting sqref="I559:T561">
    <cfRule type="cellIs" dxfId="6954" priority="9366" operator="equal">
      <formula>0</formula>
    </cfRule>
  </conditionalFormatting>
  <conditionalFormatting sqref="I559:T561">
    <cfRule type="cellIs" dxfId="6953" priority="9365" operator="equal">
      <formula>0</formula>
    </cfRule>
  </conditionalFormatting>
  <conditionalFormatting sqref="U559:U561">
    <cfRule type="cellIs" dxfId="6952" priority="9363" operator="equal">
      <formula>0</formula>
    </cfRule>
  </conditionalFormatting>
  <conditionalFormatting sqref="U562">
    <cfRule type="cellIs" dxfId="6951" priority="9362" operator="equal">
      <formula>0</formula>
    </cfRule>
  </conditionalFormatting>
  <conditionalFormatting sqref="I562:U562">
    <cfRule type="cellIs" dxfId="6950" priority="9361" operator="equal">
      <formula>0</formula>
    </cfRule>
  </conditionalFormatting>
  <conditionalFormatting sqref="I578:U578">
    <cfRule type="cellIs" dxfId="6949" priority="9359" operator="equal">
      <formula>0</formula>
    </cfRule>
  </conditionalFormatting>
  <conditionalFormatting sqref="U586">
    <cfRule type="cellIs" dxfId="6948" priority="9358" operator="equal">
      <formula>0</formula>
    </cfRule>
  </conditionalFormatting>
  <conditionalFormatting sqref="I586:U586">
    <cfRule type="cellIs" dxfId="6947" priority="9357" operator="equal">
      <formula>0</formula>
    </cfRule>
  </conditionalFormatting>
  <conditionalFormatting sqref="H563">
    <cfRule type="cellIs" dxfId="6946" priority="9356" operator="equal">
      <formula>0</formula>
    </cfRule>
  </conditionalFormatting>
  <conditionalFormatting sqref="H564">
    <cfRule type="cellIs" dxfId="6945" priority="9354" operator="equal">
      <formula>0</formula>
    </cfRule>
  </conditionalFormatting>
  <conditionalFormatting sqref="H562">
    <cfRule type="cellIs" dxfId="6944" priority="9353" operator="equal">
      <formula>0</formula>
    </cfRule>
  </conditionalFormatting>
  <conditionalFormatting sqref="H559:H561">
    <cfRule type="cellIs" dxfId="6943" priority="9351" operator="equal">
      <formula>0</formula>
    </cfRule>
  </conditionalFormatting>
  <conditionalFormatting sqref="H571">
    <cfRule type="cellIs" dxfId="6942" priority="9350" operator="equal">
      <formula>0</formula>
    </cfRule>
  </conditionalFormatting>
  <conditionalFormatting sqref="H572">
    <cfRule type="cellIs" dxfId="6941" priority="9349" operator="equal">
      <formula>0</formula>
    </cfRule>
  </conditionalFormatting>
  <conditionalFormatting sqref="H572">
    <cfRule type="cellIs" dxfId="6940" priority="9348" operator="equal">
      <formula>0</formula>
    </cfRule>
  </conditionalFormatting>
  <conditionalFormatting sqref="H570">
    <cfRule type="cellIs" dxfId="6939" priority="9347" operator="equal">
      <formula>0</formula>
    </cfRule>
  </conditionalFormatting>
  <conditionalFormatting sqref="H567:H569">
    <cfRule type="cellIs" dxfId="6938" priority="9346" operator="equal">
      <formula>0</formula>
    </cfRule>
  </conditionalFormatting>
  <conditionalFormatting sqref="H567:H569">
    <cfRule type="cellIs" dxfId="6937" priority="9345" operator="equal">
      <formula>0</formula>
    </cfRule>
  </conditionalFormatting>
  <conditionalFormatting sqref="H579">
    <cfRule type="cellIs" dxfId="6936" priority="9344" operator="equal">
      <formula>0</formula>
    </cfRule>
  </conditionalFormatting>
  <conditionalFormatting sqref="H580">
    <cfRule type="cellIs" dxfId="6935" priority="9343" operator="equal">
      <formula>0</formula>
    </cfRule>
  </conditionalFormatting>
  <conditionalFormatting sqref="H580">
    <cfRule type="cellIs" dxfId="6934" priority="9342" operator="equal">
      <formula>0</formula>
    </cfRule>
  </conditionalFormatting>
  <conditionalFormatting sqref="H578">
    <cfRule type="cellIs" dxfId="6933" priority="9341" operator="equal">
      <formula>0</formula>
    </cfRule>
  </conditionalFormatting>
  <conditionalFormatting sqref="H575:H577">
    <cfRule type="cellIs" dxfId="6932" priority="9339" operator="equal">
      <formula>0</formula>
    </cfRule>
  </conditionalFormatting>
  <conditionalFormatting sqref="H587">
    <cfRule type="cellIs" dxfId="6931" priority="9338" operator="equal">
      <formula>0</formula>
    </cfRule>
  </conditionalFormatting>
  <conditionalFormatting sqref="H588">
    <cfRule type="cellIs" dxfId="6930" priority="9337" operator="equal">
      <formula>0</formula>
    </cfRule>
  </conditionalFormatting>
  <conditionalFormatting sqref="H588">
    <cfRule type="cellIs" dxfId="6929" priority="9336" operator="equal">
      <formula>0</formula>
    </cfRule>
  </conditionalFormatting>
  <conditionalFormatting sqref="H586">
    <cfRule type="cellIs" dxfId="6928" priority="9335" operator="equal">
      <formula>0</formula>
    </cfRule>
  </conditionalFormatting>
  <conditionalFormatting sqref="H583:H585">
    <cfRule type="cellIs" dxfId="6927" priority="9334" operator="equal">
      <formula>0</formula>
    </cfRule>
  </conditionalFormatting>
  <conditionalFormatting sqref="H583:H585">
    <cfRule type="cellIs" dxfId="6926" priority="9333" operator="equal">
      <formula>0</formula>
    </cfRule>
  </conditionalFormatting>
  <conditionalFormatting sqref="H598">
    <cfRule type="cellIs" dxfId="6925" priority="9332" operator="equal">
      <formula>0</formula>
    </cfRule>
  </conditionalFormatting>
  <conditionalFormatting sqref="H599">
    <cfRule type="cellIs" dxfId="6924" priority="9331" operator="equal">
      <formula>0</formula>
    </cfRule>
  </conditionalFormatting>
  <conditionalFormatting sqref="H599">
    <cfRule type="cellIs" dxfId="6923" priority="9330" operator="equal">
      <formula>0</formula>
    </cfRule>
  </conditionalFormatting>
  <conditionalFormatting sqref="H597">
    <cfRule type="cellIs" dxfId="6922" priority="9329" operator="equal">
      <formula>0</formula>
    </cfRule>
  </conditionalFormatting>
  <conditionalFormatting sqref="H594:H596">
    <cfRule type="cellIs" dxfId="6921" priority="9328" operator="equal">
      <formula>0</formula>
    </cfRule>
  </conditionalFormatting>
  <conditionalFormatting sqref="H594:H596">
    <cfRule type="cellIs" dxfId="6920" priority="9327" operator="equal">
      <formula>0</formula>
    </cfRule>
  </conditionalFormatting>
  <conditionalFormatting sqref="H606">
    <cfRule type="cellIs" dxfId="6919" priority="9326" operator="equal">
      <formula>0</formula>
    </cfRule>
  </conditionalFormatting>
  <conditionalFormatting sqref="H605">
    <cfRule type="cellIs" dxfId="6918" priority="9323" operator="equal">
      <formula>0</formula>
    </cfRule>
  </conditionalFormatting>
  <conditionalFormatting sqref="H602:H604">
    <cfRule type="cellIs" dxfId="6917" priority="9321" operator="equal">
      <formula>0</formula>
    </cfRule>
  </conditionalFormatting>
  <conditionalFormatting sqref="H614">
    <cfRule type="cellIs" dxfId="6916" priority="9320" operator="equal">
      <formula>0</formula>
    </cfRule>
  </conditionalFormatting>
  <conditionalFormatting sqref="H615">
    <cfRule type="cellIs" dxfId="6915" priority="9319" operator="equal">
      <formula>0</formula>
    </cfRule>
  </conditionalFormatting>
  <conditionalFormatting sqref="H615">
    <cfRule type="cellIs" dxfId="6914" priority="9318" operator="equal">
      <formula>0</formula>
    </cfRule>
  </conditionalFormatting>
  <conditionalFormatting sqref="H613">
    <cfRule type="cellIs" dxfId="6913" priority="9317" operator="equal">
      <formula>0</formula>
    </cfRule>
  </conditionalFormatting>
  <conditionalFormatting sqref="H610:H612">
    <cfRule type="cellIs" dxfId="6912" priority="9316" operator="equal">
      <formula>0</formula>
    </cfRule>
  </conditionalFormatting>
  <conditionalFormatting sqref="H610:H612">
    <cfRule type="cellIs" dxfId="6911" priority="9315" operator="equal">
      <formula>0</formula>
    </cfRule>
  </conditionalFormatting>
  <conditionalFormatting sqref="H622">
    <cfRule type="cellIs" dxfId="6910" priority="9314" operator="equal">
      <formula>0</formula>
    </cfRule>
  </conditionalFormatting>
  <conditionalFormatting sqref="H623">
    <cfRule type="cellIs" dxfId="6909" priority="9313" operator="equal">
      <formula>0</formula>
    </cfRule>
  </conditionalFormatting>
  <conditionalFormatting sqref="H623">
    <cfRule type="cellIs" dxfId="6908" priority="9312" operator="equal">
      <formula>0</formula>
    </cfRule>
  </conditionalFormatting>
  <conditionalFormatting sqref="H621">
    <cfRule type="cellIs" dxfId="6907" priority="9311" operator="equal">
      <formula>0</formula>
    </cfRule>
  </conditionalFormatting>
  <conditionalFormatting sqref="H618:H620">
    <cfRule type="cellIs" dxfId="6906" priority="9310" operator="equal">
      <formula>0</formula>
    </cfRule>
  </conditionalFormatting>
  <conditionalFormatting sqref="H618:H620">
    <cfRule type="cellIs" dxfId="6905" priority="9309" operator="equal">
      <formula>0</formula>
    </cfRule>
  </conditionalFormatting>
  <conditionalFormatting sqref="H630">
    <cfRule type="cellIs" dxfId="6904" priority="9308" operator="equal">
      <formula>0</formula>
    </cfRule>
  </conditionalFormatting>
  <conditionalFormatting sqref="H631">
    <cfRule type="cellIs" dxfId="6903" priority="9306" operator="equal">
      <formula>0</formula>
    </cfRule>
  </conditionalFormatting>
  <conditionalFormatting sqref="H629">
    <cfRule type="cellIs" dxfId="6902" priority="9305" operator="equal">
      <formula>0</formula>
    </cfRule>
  </conditionalFormatting>
  <conditionalFormatting sqref="H626:H628">
    <cfRule type="cellIs" dxfId="6901" priority="9304" operator="equal">
      <formula>0</formula>
    </cfRule>
  </conditionalFormatting>
  <conditionalFormatting sqref="H6">
    <cfRule type="cellIs" dxfId="6900" priority="9301" operator="equal">
      <formula>0</formula>
    </cfRule>
  </conditionalFormatting>
  <conditionalFormatting sqref="I6:T6">
    <cfRule type="cellIs" dxfId="6899" priority="9300" operator="equal">
      <formula>0</formula>
    </cfRule>
  </conditionalFormatting>
  <conditionalFormatting sqref="U6">
    <cfRule type="cellIs" dxfId="6898" priority="9299" operator="equal">
      <formula>0</formula>
    </cfRule>
  </conditionalFormatting>
  <conditionalFormatting sqref="H7:H10 H39 H12:H16 H18">
    <cfRule type="cellIs" dxfId="6897" priority="9298" operator="equal">
      <formula>0</formula>
    </cfRule>
  </conditionalFormatting>
  <conditionalFormatting sqref="C7:T10 C39:T39 G13:T16 C12:T12 G18:T18">
    <cfRule type="cellIs" dxfId="6896" priority="9297" operator="equal">
      <formula>0</formula>
    </cfRule>
  </conditionalFormatting>
  <conditionalFormatting sqref="U7:U10 U39 U12:U16 U18">
    <cfRule type="cellIs" dxfId="6895" priority="9296" operator="equal">
      <formula>0</formula>
    </cfRule>
  </conditionalFormatting>
  <conditionalFormatting sqref="AD6">
    <cfRule type="cellIs" dxfId="6894" priority="9294" operator="equal">
      <formula>0</formula>
    </cfRule>
  </conditionalFormatting>
  <conditionalFormatting sqref="AF6:AQ6">
    <cfRule type="cellIs" dxfId="6893" priority="9293" operator="equal">
      <formula>0</formula>
    </cfRule>
  </conditionalFormatting>
  <conditionalFormatting sqref="AR6">
    <cfRule type="cellIs" dxfId="6892" priority="9292" operator="equal">
      <formula>0</formula>
    </cfRule>
  </conditionalFormatting>
  <conditionalFormatting sqref="AE7:AE8">
    <cfRule type="cellIs" dxfId="6891" priority="9291" operator="equal">
      <formula>0</formula>
    </cfRule>
  </conditionalFormatting>
  <conditionalFormatting sqref="Z7:AQ8">
    <cfRule type="cellIs" dxfId="6890" priority="9290" operator="equal">
      <formula>0</formula>
    </cfRule>
  </conditionalFormatting>
  <conditionalFormatting sqref="AR7:AR8">
    <cfRule type="cellIs" dxfId="6889" priority="9289" operator="equal">
      <formula>0</formula>
    </cfRule>
  </conditionalFormatting>
  <conditionalFormatting sqref="C82:H82 E81">
    <cfRule type="cellIs" dxfId="6888" priority="9288" operator="equal">
      <formula>0</formula>
    </cfRule>
  </conditionalFormatting>
  <conditionalFormatting sqref="H84:H85">
    <cfRule type="cellIs" dxfId="6887" priority="9286" operator="equal">
      <formula>0</formula>
    </cfRule>
  </conditionalFormatting>
  <conditionalFormatting sqref="F93:G97">
    <cfRule type="cellIs" dxfId="6886" priority="9282" operator="equal">
      <formula>0</formula>
    </cfRule>
  </conditionalFormatting>
  <conditionalFormatting sqref="C87:C93 C95:C97">
    <cfRule type="cellIs" dxfId="6885" priority="9281" operator="equal">
      <formula>0</formula>
    </cfRule>
  </conditionalFormatting>
  <conditionalFormatting sqref="H93:H97">
    <cfRule type="cellIs" dxfId="6884" priority="9279" operator="equal">
      <formula>0</formula>
    </cfRule>
  </conditionalFormatting>
  <conditionalFormatting sqref="H83">
    <cfRule type="cellIs" dxfId="6883" priority="9271" operator="equal">
      <formula>0</formula>
    </cfRule>
  </conditionalFormatting>
  <conditionalFormatting sqref="D99">
    <cfRule type="cellIs" dxfId="6882" priority="9270" operator="equal">
      <formula>0</formula>
    </cfRule>
  </conditionalFormatting>
  <conditionalFormatting sqref="C99">
    <cfRule type="cellIs" dxfId="6881" priority="9269" operator="equal">
      <formula>0</formula>
    </cfRule>
  </conditionalFormatting>
  <conditionalFormatting sqref="B99:T99">
    <cfRule type="cellIs" dxfId="6880" priority="9268" operator="equal">
      <formula>0</formula>
    </cfRule>
  </conditionalFormatting>
  <conditionalFormatting sqref="H99 U99">
    <cfRule type="cellIs" dxfId="6879" priority="9267" operator="equal">
      <formula>0</formula>
    </cfRule>
  </conditionalFormatting>
  <conditionalFormatting sqref="H99 U99">
    <cfRule type="cellIs" dxfId="6878" priority="9266" operator="equal">
      <formula>0</formula>
    </cfRule>
  </conditionalFormatting>
  <conditionalFormatting sqref="D109">
    <cfRule type="cellIs" dxfId="6877" priority="9265" operator="equal">
      <formula>0</formula>
    </cfRule>
  </conditionalFormatting>
  <conditionalFormatting sqref="C109">
    <cfRule type="cellIs" dxfId="6876" priority="9264" operator="equal">
      <formula>0</formula>
    </cfRule>
  </conditionalFormatting>
  <conditionalFormatting sqref="B109:G109">
    <cfRule type="cellIs" dxfId="6875" priority="9263" operator="equal">
      <formula>0</formula>
    </cfRule>
  </conditionalFormatting>
  <conditionalFormatting sqref="H109:U109">
    <cfRule type="cellIs" dxfId="6874" priority="9262" operator="equal">
      <formula>0</formula>
    </cfRule>
  </conditionalFormatting>
  <conditionalFormatting sqref="H109:U109">
    <cfRule type="cellIs" dxfId="6873" priority="9261" operator="equal">
      <formula>0</formula>
    </cfRule>
  </conditionalFormatting>
  <conditionalFormatting sqref="D114">
    <cfRule type="cellIs" dxfId="6872" priority="9260" operator="equal">
      <formula>0</formula>
    </cfRule>
  </conditionalFormatting>
  <conditionalFormatting sqref="C114">
    <cfRule type="cellIs" dxfId="6871" priority="9259" operator="equal">
      <formula>0</formula>
    </cfRule>
  </conditionalFormatting>
  <conditionalFormatting sqref="B114:G114">
    <cfRule type="cellIs" dxfId="6870" priority="9258" operator="equal">
      <formula>0</formula>
    </cfRule>
  </conditionalFormatting>
  <conditionalFormatting sqref="H114:U114">
    <cfRule type="cellIs" dxfId="6869" priority="9257" operator="equal">
      <formula>0</formula>
    </cfRule>
  </conditionalFormatting>
  <conditionalFormatting sqref="H114:U114">
    <cfRule type="cellIs" dxfId="6868" priority="9256" operator="equal">
      <formula>0</formula>
    </cfRule>
  </conditionalFormatting>
  <conditionalFormatting sqref="I83:T83">
    <cfRule type="cellIs" dxfId="6867" priority="9287" operator="equal">
      <formula>0</formula>
    </cfRule>
  </conditionalFormatting>
  <conditionalFormatting sqref="U119">
    <cfRule type="cellIs" dxfId="6866" priority="9285" operator="equal">
      <formula>0</formula>
    </cfRule>
  </conditionalFormatting>
  <conditionalFormatting sqref="G86:G91 B91:F91">
    <cfRule type="cellIs" dxfId="6865" priority="9284" operator="lessThan">
      <formula>0</formula>
    </cfRule>
  </conditionalFormatting>
  <conditionalFormatting sqref="C86:D86 D87:D97">
    <cfRule type="cellIs" dxfId="6864" priority="9283" operator="equal">
      <formula>0</formula>
    </cfRule>
  </conditionalFormatting>
  <conditionalFormatting sqref="H86:H90">
    <cfRule type="cellIs" dxfId="6863" priority="9280" operator="equal">
      <formula>0</formula>
    </cfRule>
  </conditionalFormatting>
  <conditionalFormatting sqref="I86:T90">
    <cfRule type="cellIs" dxfId="6862" priority="9278" operator="equal">
      <formula>0</formula>
    </cfRule>
  </conditionalFormatting>
  <conditionalFormatting sqref="U86:U90">
    <cfRule type="cellIs" dxfId="6861" priority="9277" operator="equal">
      <formula>0</formula>
    </cfRule>
  </conditionalFormatting>
  <conditionalFormatting sqref="B92:G92 C93:H93 C81:D81 B119:U119 F83:G83 B83 I82:T83 C95:H97 B91:H91 C89:U90 D94:H94 C84:T85 F81:U81 C86:D88 F86:U88">
    <cfRule type="cellIs" dxfId="6860" priority="9276" operator="equal">
      <formula>0</formula>
    </cfRule>
  </conditionalFormatting>
  <conditionalFormatting sqref="H92:U92">
    <cfRule type="cellIs" dxfId="6859" priority="9275" operator="equal">
      <formula>0</formula>
    </cfRule>
  </conditionalFormatting>
  <conditionalFormatting sqref="H92:U92">
    <cfRule type="cellIs" dxfId="6858" priority="9274" operator="equal">
      <formula>0</formula>
    </cfRule>
  </conditionalFormatting>
  <conditionalFormatting sqref="U119">
    <cfRule type="cellIs" dxfId="6857" priority="9273" operator="equal">
      <formula>0</formula>
    </cfRule>
  </conditionalFormatting>
  <conditionalFormatting sqref="C83:E83">
    <cfRule type="cellIs" dxfId="6856" priority="9272" operator="equal">
      <formula>0</formula>
    </cfRule>
  </conditionalFormatting>
  <conditionalFormatting sqref="B82">
    <cfRule type="cellIs" dxfId="6855" priority="9255" operator="equal">
      <formula>0</formula>
    </cfRule>
  </conditionalFormatting>
  <conditionalFormatting sqref="C98">
    <cfRule type="cellIs" dxfId="6854" priority="9252" operator="equal">
      <formula>0</formula>
    </cfRule>
  </conditionalFormatting>
  <conditionalFormatting sqref="B98:G98">
    <cfRule type="cellIs" dxfId="6853" priority="9254" operator="lessThan">
      <formula>0</formula>
    </cfRule>
  </conditionalFormatting>
  <conditionalFormatting sqref="D98">
    <cfRule type="cellIs" dxfId="6852" priority="9253" operator="equal">
      <formula>0</formula>
    </cfRule>
  </conditionalFormatting>
  <conditionalFormatting sqref="B98:H98">
    <cfRule type="cellIs" dxfId="6851" priority="9251" operator="equal">
      <formula>0</formula>
    </cfRule>
  </conditionalFormatting>
  <conditionalFormatting sqref="B108">
    <cfRule type="cellIs" dxfId="6850" priority="9250" operator="lessThan">
      <formula>0</formula>
    </cfRule>
  </conditionalFormatting>
  <conditionalFormatting sqref="B108">
    <cfRule type="cellIs" dxfId="6849" priority="9249" operator="equal">
      <formula>0</formula>
    </cfRule>
  </conditionalFormatting>
  <conditionalFormatting sqref="C113">
    <cfRule type="cellIs" dxfId="6848" priority="9246" operator="equal">
      <formula>0</formula>
    </cfRule>
  </conditionalFormatting>
  <conditionalFormatting sqref="B113:G113">
    <cfRule type="cellIs" dxfId="6847" priority="9248" operator="lessThan">
      <formula>0</formula>
    </cfRule>
  </conditionalFormatting>
  <conditionalFormatting sqref="D113">
    <cfRule type="cellIs" dxfId="6846" priority="9247" operator="equal">
      <formula>0</formula>
    </cfRule>
  </conditionalFormatting>
  <conditionalFormatting sqref="B113:H113">
    <cfRule type="cellIs" dxfId="6845" priority="9245" operator="equal">
      <formula>0</formula>
    </cfRule>
  </conditionalFormatting>
  <conditionalFormatting sqref="B118">
    <cfRule type="cellIs" dxfId="6844" priority="9244" operator="lessThan">
      <formula>0</formula>
    </cfRule>
  </conditionalFormatting>
  <conditionalFormatting sqref="B118">
    <cfRule type="cellIs" dxfId="6843" priority="9243" operator="equal">
      <formula>0</formula>
    </cfRule>
  </conditionalFormatting>
  <conditionalFormatting sqref="C94">
    <cfRule type="cellIs" dxfId="6842" priority="9241" operator="equal">
      <formula>0</formula>
    </cfRule>
  </conditionalFormatting>
  <conditionalFormatting sqref="I99:T99">
    <cfRule type="cellIs" dxfId="6841" priority="9239" operator="equal">
      <formula>0</formula>
    </cfRule>
  </conditionalFormatting>
  <conditionalFormatting sqref="C94">
    <cfRule type="cellIs" dxfId="6840" priority="9242" operator="equal">
      <formula>0</formula>
    </cfRule>
  </conditionalFormatting>
  <conditionalFormatting sqref="I99:T99">
    <cfRule type="cellIs" dxfId="6839" priority="9240" operator="equal">
      <formula>0</formula>
    </cfRule>
  </conditionalFormatting>
  <conditionalFormatting sqref="U113">
    <cfRule type="cellIs" dxfId="6838" priority="9238" operator="equal">
      <formula>0</formula>
    </cfRule>
  </conditionalFormatting>
  <conditionalFormatting sqref="U113">
    <cfRule type="cellIs" dxfId="6837" priority="9237" operator="equal">
      <formula>0</formula>
    </cfRule>
  </conditionalFormatting>
  <conditionalFormatting sqref="U91">
    <cfRule type="cellIs" dxfId="6836" priority="9236" operator="equal">
      <formula>0</formula>
    </cfRule>
  </conditionalFormatting>
  <conditionalFormatting sqref="U91">
    <cfRule type="cellIs" dxfId="6835" priority="9235" operator="equal">
      <formula>0</formula>
    </cfRule>
  </conditionalFormatting>
  <conditionalFormatting sqref="U84:U85">
    <cfRule type="cellIs" dxfId="6834" priority="9234" operator="equal">
      <formula>0</formula>
    </cfRule>
  </conditionalFormatting>
  <conditionalFormatting sqref="U81">
    <cfRule type="cellIs" dxfId="6833" priority="9233" operator="equal">
      <formula>0</formula>
    </cfRule>
  </conditionalFormatting>
  <conditionalFormatting sqref="U83">
    <cfRule type="cellIs" dxfId="6832" priority="9232" operator="equal">
      <formula>0</formula>
    </cfRule>
  </conditionalFormatting>
  <conditionalFormatting sqref="U81:U83">
    <cfRule type="cellIs" dxfId="6831" priority="9231" operator="equal">
      <formula>0</formula>
    </cfRule>
  </conditionalFormatting>
  <conditionalFormatting sqref="I113:T113">
    <cfRule type="cellIs" dxfId="6830" priority="9230" operator="equal">
      <formula>0</formula>
    </cfRule>
  </conditionalFormatting>
  <conditionalFormatting sqref="H104:H106">
    <cfRule type="cellIs" dxfId="6829" priority="9203" operator="equal">
      <formula>0</formula>
    </cfRule>
  </conditionalFormatting>
  <conditionalFormatting sqref="C105:C106">
    <cfRule type="cellIs" dxfId="6828" priority="9204" operator="equal">
      <formula>0</formula>
    </cfRule>
  </conditionalFormatting>
  <conditionalFormatting sqref="H107">
    <cfRule type="cellIs" dxfId="6827" priority="9193" operator="equal">
      <formula>0</formula>
    </cfRule>
  </conditionalFormatting>
  <conditionalFormatting sqref="C107:H107">
    <cfRule type="cellIs" dxfId="6826" priority="9192" operator="equal">
      <formula>0</formula>
    </cfRule>
  </conditionalFormatting>
  <conditionalFormatting sqref="I107:T107">
    <cfRule type="cellIs" dxfId="6825" priority="9191" operator="equal">
      <formula>0</formula>
    </cfRule>
  </conditionalFormatting>
  <conditionalFormatting sqref="I104:T106">
    <cfRule type="cellIs" dxfId="6824" priority="9199" operator="equal">
      <formula>0</formula>
    </cfRule>
  </conditionalFormatting>
  <conditionalFormatting sqref="U104:U106">
    <cfRule type="cellIs" dxfId="6823" priority="9198" operator="equal">
      <formula>0</formula>
    </cfRule>
  </conditionalFormatting>
  <conditionalFormatting sqref="I104:U106">
    <cfRule type="cellIs" dxfId="6822" priority="9197" operator="equal">
      <formula>0</formula>
    </cfRule>
  </conditionalFormatting>
  <conditionalFormatting sqref="D107">
    <cfRule type="cellIs" dxfId="6821" priority="9196" operator="equal">
      <formula>0</formula>
    </cfRule>
  </conditionalFormatting>
  <conditionalFormatting sqref="F107:G107">
    <cfRule type="cellIs" dxfId="6820" priority="9195" operator="equal">
      <formula>0</formula>
    </cfRule>
  </conditionalFormatting>
  <conditionalFormatting sqref="U110:U112">
    <cfRule type="cellIs" dxfId="6819" priority="9176" operator="equal">
      <formula>0</formula>
    </cfRule>
  </conditionalFormatting>
  <conditionalFormatting sqref="C107">
    <cfRule type="cellIs" dxfId="6818" priority="9194" operator="equal">
      <formula>0</formula>
    </cfRule>
  </conditionalFormatting>
  <conditionalFormatting sqref="I110:U112">
    <cfRule type="cellIs" dxfId="6817" priority="9175" operator="equal">
      <formula>0</formula>
    </cfRule>
  </conditionalFormatting>
  <conditionalFormatting sqref="I107:U107">
    <cfRule type="cellIs" dxfId="6816" priority="9189" operator="equal">
      <formula>0</formula>
    </cfRule>
  </conditionalFormatting>
  <conditionalFormatting sqref="D108">
    <cfRule type="cellIs" dxfId="6815" priority="9187" operator="equal">
      <formula>0</formula>
    </cfRule>
  </conditionalFormatting>
  <conditionalFormatting sqref="C110 C112">
    <cfRule type="cellIs" dxfId="6814" priority="9182" operator="equal">
      <formula>0</formula>
    </cfRule>
  </conditionalFormatting>
  <conditionalFormatting sqref="C108">
    <cfRule type="cellIs" dxfId="6813" priority="9186" operator="equal">
      <formula>0</formula>
    </cfRule>
  </conditionalFormatting>
  <conditionalFormatting sqref="C108:H108">
    <cfRule type="cellIs" dxfId="6812" priority="9185" operator="equal">
      <formula>0</formula>
    </cfRule>
  </conditionalFormatting>
  <conditionalFormatting sqref="I110:T112">
    <cfRule type="cellIs" dxfId="6811" priority="9177" operator="equal">
      <formula>0</formula>
    </cfRule>
  </conditionalFormatting>
  <conditionalFormatting sqref="F110:G112">
    <cfRule type="cellIs" dxfId="6810" priority="9183" operator="equal">
      <formula>0</formula>
    </cfRule>
  </conditionalFormatting>
  <conditionalFormatting sqref="H115:H117">
    <cfRule type="cellIs" dxfId="6809" priority="9161" operator="equal">
      <formula>0</formula>
    </cfRule>
  </conditionalFormatting>
  <conditionalFormatting sqref="C111">
    <cfRule type="cellIs" dxfId="6808" priority="9179" operator="equal">
      <formula>0</formula>
    </cfRule>
  </conditionalFormatting>
  <conditionalFormatting sqref="H110:H112">
    <cfRule type="cellIs" dxfId="6807" priority="9181" operator="equal">
      <formula>0</formula>
    </cfRule>
  </conditionalFormatting>
  <conditionalFormatting sqref="C111">
    <cfRule type="cellIs" dxfId="6806" priority="9178" operator="equal">
      <formula>0</formula>
    </cfRule>
  </conditionalFormatting>
  <conditionalFormatting sqref="U118">
    <cfRule type="cellIs" dxfId="6805" priority="9167" operator="equal">
      <formula>0</formula>
    </cfRule>
  </conditionalFormatting>
  <conditionalFormatting sqref="U115:U117">
    <cfRule type="cellIs" dxfId="6804" priority="9156" operator="equal">
      <formula>0</formula>
    </cfRule>
  </conditionalFormatting>
  <conditionalFormatting sqref="I118:T118">
    <cfRule type="cellIs" dxfId="6803" priority="9165" operator="equal">
      <formula>0</formula>
    </cfRule>
  </conditionalFormatting>
  <conditionalFormatting sqref="D115:D117">
    <cfRule type="cellIs" dxfId="6802" priority="9164" operator="equal">
      <formula>0</formula>
    </cfRule>
  </conditionalFormatting>
  <conditionalFormatting sqref="F115:G117">
    <cfRule type="cellIs" dxfId="6801" priority="9163" operator="equal">
      <formula>0</formula>
    </cfRule>
  </conditionalFormatting>
  <conditionalFormatting sqref="C115 C117">
    <cfRule type="cellIs" dxfId="6800" priority="9162" operator="equal">
      <formula>0</formula>
    </cfRule>
  </conditionalFormatting>
  <conditionalFormatting sqref="C118">
    <cfRule type="cellIs" dxfId="6799" priority="9169" operator="equal">
      <formula>0</formula>
    </cfRule>
  </conditionalFormatting>
  <conditionalFormatting sqref="C116">
    <cfRule type="cellIs" dxfId="6798" priority="9159" operator="equal">
      <formula>0</formula>
    </cfRule>
  </conditionalFormatting>
  <conditionalFormatting sqref="I115:T117">
    <cfRule type="cellIs" dxfId="6797" priority="9157" operator="equal">
      <formula>0</formula>
    </cfRule>
  </conditionalFormatting>
  <conditionalFormatting sqref="I115:U117">
    <cfRule type="cellIs" dxfId="6796" priority="9155" operator="equal">
      <formula>0</formula>
    </cfRule>
  </conditionalFormatting>
  <conditionalFormatting sqref="C104">
    <cfRule type="cellIs" dxfId="6795" priority="9201" operator="equal">
      <formula>0</formula>
    </cfRule>
  </conditionalFormatting>
  <conditionalFormatting sqref="C104">
    <cfRule type="cellIs" dxfId="6794" priority="9200" operator="equal">
      <formula>0</formula>
    </cfRule>
  </conditionalFormatting>
  <conditionalFormatting sqref="U107">
    <cfRule type="cellIs" dxfId="6793" priority="9190" operator="equal">
      <formula>0</formula>
    </cfRule>
  </conditionalFormatting>
  <conditionalFormatting sqref="C110:H110 C112:H112 D111:H111">
    <cfRule type="cellIs" dxfId="6792" priority="9180" operator="equal">
      <formula>0</formula>
    </cfRule>
  </conditionalFormatting>
  <conditionalFormatting sqref="D110:D112">
    <cfRule type="cellIs" dxfId="6791" priority="9184" operator="equal">
      <formula>0</formula>
    </cfRule>
  </conditionalFormatting>
  <conditionalFormatting sqref="U108">
    <cfRule type="cellIs" dxfId="6790" priority="9173" operator="equal">
      <formula>0</formula>
    </cfRule>
  </conditionalFormatting>
  <conditionalFormatting sqref="I108:T108">
    <cfRule type="cellIs" dxfId="6789" priority="9172" operator="equal">
      <formula>0</formula>
    </cfRule>
  </conditionalFormatting>
  <conditionalFormatting sqref="D118">
    <cfRule type="cellIs" dxfId="6788" priority="9170" operator="equal">
      <formula>0</formula>
    </cfRule>
  </conditionalFormatting>
  <conditionalFormatting sqref="C118:H118">
    <cfRule type="cellIs" dxfId="6787" priority="9168" operator="equal">
      <formula>0</formula>
    </cfRule>
  </conditionalFormatting>
  <conditionalFormatting sqref="U108">
    <cfRule type="cellIs" dxfId="6786" priority="9174" operator="equal">
      <formula>0</formula>
    </cfRule>
  </conditionalFormatting>
  <conditionalFormatting sqref="C115:H115 C117:H117 D116:H116">
    <cfRule type="cellIs" dxfId="6785" priority="9160" operator="equal">
      <formula>0</formula>
    </cfRule>
  </conditionalFormatting>
  <conditionalFormatting sqref="B111">
    <cfRule type="cellIs" dxfId="6784" priority="9149" operator="equal">
      <formula>0</formula>
    </cfRule>
  </conditionalFormatting>
  <conditionalFormatting sqref="B89:B90">
    <cfRule type="cellIs" dxfId="6783" priority="9229" operator="equal">
      <formula>0</formula>
    </cfRule>
  </conditionalFormatting>
  <conditionalFormatting sqref="B85">
    <cfRule type="cellIs" dxfId="6782" priority="9227" operator="equal">
      <formula>0</formula>
    </cfRule>
  </conditionalFormatting>
  <conditionalFormatting sqref="B84">
    <cfRule type="cellIs" dxfId="6781" priority="9226" operator="equal">
      <formula>0</formula>
    </cfRule>
  </conditionalFormatting>
  <conditionalFormatting sqref="B95:B97">
    <cfRule type="cellIs" dxfId="6780" priority="9225" operator="equal">
      <formula>0</formula>
    </cfRule>
  </conditionalFormatting>
  <conditionalFormatting sqref="B94">
    <cfRule type="cellIs" dxfId="6779" priority="9224" operator="equal">
      <formula>0</formula>
    </cfRule>
  </conditionalFormatting>
  <conditionalFormatting sqref="I91:T91">
    <cfRule type="cellIs" dxfId="6778" priority="9223" operator="equal">
      <formula>0</formula>
    </cfRule>
  </conditionalFormatting>
  <conditionalFormatting sqref="I93:T97">
    <cfRule type="cellIs" dxfId="6777" priority="9222" operator="equal">
      <formula>0</formula>
    </cfRule>
  </conditionalFormatting>
  <conditionalFormatting sqref="U93:U97">
    <cfRule type="cellIs" dxfId="6776" priority="9221" operator="equal">
      <formula>0</formula>
    </cfRule>
  </conditionalFormatting>
  <conditionalFormatting sqref="I93:U97">
    <cfRule type="cellIs" dxfId="6775" priority="9220" operator="equal">
      <formula>0</formula>
    </cfRule>
  </conditionalFormatting>
  <conditionalFormatting sqref="U98">
    <cfRule type="cellIs" dxfId="6774" priority="9219" operator="equal">
      <formula>0</formula>
    </cfRule>
  </conditionalFormatting>
  <conditionalFormatting sqref="U98">
    <cfRule type="cellIs" dxfId="6773" priority="9218" operator="equal">
      <formula>0</formula>
    </cfRule>
  </conditionalFormatting>
  <conditionalFormatting sqref="I98:T98">
    <cfRule type="cellIs" dxfId="6772" priority="9217" operator="equal">
      <formula>0</formula>
    </cfRule>
  </conditionalFormatting>
  <conditionalFormatting sqref="F100:G103">
    <cfRule type="cellIs" dxfId="6771" priority="9215" operator="equal">
      <formula>0</formula>
    </cfRule>
  </conditionalFormatting>
  <conditionalFormatting sqref="C100 C102:C103">
    <cfRule type="cellIs" dxfId="6770" priority="9214" operator="equal">
      <formula>0</formula>
    </cfRule>
  </conditionalFormatting>
  <conditionalFormatting sqref="H100:H103">
    <cfRule type="cellIs" dxfId="6769" priority="9213" operator="equal">
      <formula>0</formula>
    </cfRule>
  </conditionalFormatting>
  <conditionalFormatting sqref="D100:D103">
    <cfRule type="cellIs" dxfId="6768" priority="9216" operator="equal">
      <formula>0</formula>
    </cfRule>
  </conditionalFormatting>
  <conditionalFormatting sqref="C100:H100 C102:H103 D101:H101">
    <cfRule type="cellIs" dxfId="6767" priority="9212" operator="equal">
      <formula>0</formula>
    </cfRule>
  </conditionalFormatting>
  <conditionalFormatting sqref="C101">
    <cfRule type="cellIs" dxfId="6766" priority="9210" operator="equal">
      <formula>0</formula>
    </cfRule>
  </conditionalFormatting>
  <conditionalFormatting sqref="C101">
    <cfRule type="cellIs" dxfId="6765" priority="9211" operator="equal">
      <formula>0</formula>
    </cfRule>
  </conditionalFormatting>
  <conditionalFormatting sqref="I100:T103">
    <cfRule type="cellIs" dxfId="6764" priority="9209" operator="equal">
      <formula>0</formula>
    </cfRule>
  </conditionalFormatting>
  <conditionalFormatting sqref="U100:U103">
    <cfRule type="cellIs" dxfId="6763" priority="9208" operator="equal">
      <formula>0</formula>
    </cfRule>
  </conditionalFormatting>
  <conditionalFormatting sqref="I100:U103">
    <cfRule type="cellIs" dxfId="6762" priority="9207" operator="equal">
      <formula>0</formula>
    </cfRule>
  </conditionalFormatting>
  <conditionalFormatting sqref="F104:G106">
    <cfRule type="cellIs" dxfId="6761" priority="9205" operator="equal">
      <formula>0</formula>
    </cfRule>
  </conditionalFormatting>
  <conditionalFormatting sqref="D104:D106">
    <cfRule type="cellIs" dxfId="6760" priority="9206" operator="equal">
      <formula>0</formula>
    </cfRule>
  </conditionalFormatting>
  <conditionalFormatting sqref="C105:H106 D104:H104">
    <cfRule type="cellIs" dxfId="6759" priority="9202" operator="equal">
      <formula>0</formula>
    </cfRule>
  </conditionalFormatting>
  <conditionalFormatting sqref="C108:G108">
    <cfRule type="cellIs" dxfId="6758" priority="9188" operator="lessThan">
      <formula>0</formula>
    </cfRule>
  </conditionalFormatting>
  <conditionalFormatting sqref="C118:G118">
    <cfRule type="cellIs" dxfId="6757" priority="9171" operator="lessThan">
      <formula>0</formula>
    </cfRule>
  </conditionalFormatting>
  <conditionalFormatting sqref="C116">
    <cfRule type="cellIs" dxfId="6756" priority="9158" operator="equal">
      <formula>0</formula>
    </cfRule>
  </conditionalFormatting>
  <conditionalFormatting sqref="U118">
    <cfRule type="cellIs" dxfId="6755" priority="9166" operator="equal">
      <formula>0</formula>
    </cfRule>
  </conditionalFormatting>
  <conditionalFormatting sqref="B110 B112">
    <cfRule type="cellIs" dxfId="6754" priority="9150" operator="equal">
      <formula>0</formula>
    </cfRule>
  </conditionalFormatting>
  <conditionalFormatting sqref="B100 B103">
    <cfRule type="cellIs" dxfId="6753" priority="9154" operator="equal">
      <formula>0</formula>
    </cfRule>
  </conditionalFormatting>
  <conditionalFormatting sqref="B104 B106:B107">
    <cfRule type="cellIs" dxfId="6752" priority="9152" operator="equal">
      <formula>0</formula>
    </cfRule>
  </conditionalFormatting>
  <conditionalFormatting sqref="B105">
    <cfRule type="cellIs" dxfId="6751" priority="9151" operator="equal">
      <formula>0</formula>
    </cfRule>
  </conditionalFormatting>
  <conditionalFormatting sqref="B115 B117">
    <cfRule type="cellIs" dxfId="6750" priority="9148" operator="equal">
      <formula>0</formula>
    </cfRule>
  </conditionalFormatting>
  <conditionalFormatting sqref="B116">
    <cfRule type="cellIs" dxfId="6749" priority="9147" operator="equal">
      <formula>0</formula>
    </cfRule>
  </conditionalFormatting>
  <conditionalFormatting sqref="C123:H123 E122">
    <cfRule type="cellIs" dxfId="6748" priority="9146" operator="equal">
      <formula>0</formula>
    </cfRule>
  </conditionalFormatting>
  <conditionalFormatting sqref="H125:H126">
    <cfRule type="cellIs" dxfId="6747" priority="9144" operator="equal">
      <formula>0</formula>
    </cfRule>
  </conditionalFormatting>
  <conditionalFormatting sqref="F134:G138">
    <cfRule type="cellIs" dxfId="6746" priority="9140" operator="equal">
      <formula>0</formula>
    </cfRule>
  </conditionalFormatting>
  <conditionalFormatting sqref="C128:C134 C136:C138">
    <cfRule type="cellIs" dxfId="6745" priority="9139" operator="equal">
      <formula>0</formula>
    </cfRule>
  </conditionalFormatting>
  <conditionalFormatting sqref="H134:H138">
    <cfRule type="cellIs" dxfId="6744" priority="9137" operator="equal">
      <formula>0</formula>
    </cfRule>
  </conditionalFormatting>
  <conditionalFormatting sqref="H124">
    <cfRule type="cellIs" dxfId="6743" priority="9129" operator="equal">
      <formula>0</formula>
    </cfRule>
  </conditionalFormatting>
  <conditionalFormatting sqref="D140">
    <cfRule type="cellIs" dxfId="6742" priority="9128" operator="equal">
      <formula>0</formula>
    </cfRule>
  </conditionalFormatting>
  <conditionalFormatting sqref="C140">
    <cfRule type="cellIs" dxfId="6741" priority="9127" operator="equal">
      <formula>0</formula>
    </cfRule>
  </conditionalFormatting>
  <conditionalFormatting sqref="B140:T140">
    <cfRule type="cellIs" dxfId="6740" priority="9126" operator="equal">
      <formula>0</formula>
    </cfRule>
  </conditionalFormatting>
  <conditionalFormatting sqref="H140 U140">
    <cfRule type="cellIs" dxfId="6739" priority="9125" operator="equal">
      <formula>0</formula>
    </cfRule>
  </conditionalFormatting>
  <conditionalFormatting sqref="H140 U140">
    <cfRule type="cellIs" dxfId="6738" priority="9124" operator="equal">
      <formula>0</formula>
    </cfRule>
  </conditionalFormatting>
  <conditionalFormatting sqref="D150">
    <cfRule type="cellIs" dxfId="6737" priority="9123" operator="equal">
      <formula>0</formula>
    </cfRule>
  </conditionalFormatting>
  <conditionalFormatting sqref="C150">
    <cfRule type="cellIs" dxfId="6736" priority="9122" operator="equal">
      <formula>0</formula>
    </cfRule>
  </conditionalFormatting>
  <conditionalFormatting sqref="B150:G150">
    <cfRule type="cellIs" dxfId="6735" priority="9121" operator="equal">
      <formula>0</formula>
    </cfRule>
  </conditionalFormatting>
  <conditionalFormatting sqref="H150:U150">
    <cfRule type="cellIs" dxfId="6734" priority="9120" operator="equal">
      <formula>0</formula>
    </cfRule>
  </conditionalFormatting>
  <conditionalFormatting sqref="H150:U150">
    <cfRule type="cellIs" dxfId="6733" priority="9119" operator="equal">
      <formula>0</formula>
    </cfRule>
  </conditionalFormatting>
  <conditionalFormatting sqref="D155">
    <cfRule type="cellIs" dxfId="6732" priority="9118" operator="equal">
      <formula>0</formula>
    </cfRule>
  </conditionalFormatting>
  <conditionalFormatting sqref="C155">
    <cfRule type="cellIs" dxfId="6731" priority="9117" operator="equal">
      <formula>0</formula>
    </cfRule>
  </conditionalFormatting>
  <conditionalFormatting sqref="B155:G155">
    <cfRule type="cellIs" dxfId="6730" priority="9116" operator="equal">
      <formula>0</formula>
    </cfRule>
  </conditionalFormatting>
  <conditionalFormatting sqref="H155:U155">
    <cfRule type="cellIs" dxfId="6729" priority="9115" operator="equal">
      <formula>0</formula>
    </cfRule>
  </conditionalFormatting>
  <conditionalFormatting sqref="H155:U155">
    <cfRule type="cellIs" dxfId="6728" priority="9114" operator="equal">
      <formula>0</formula>
    </cfRule>
  </conditionalFormatting>
  <conditionalFormatting sqref="I124:T124">
    <cfRule type="cellIs" dxfId="6727" priority="9145" operator="equal">
      <formula>0</formula>
    </cfRule>
  </conditionalFormatting>
  <conditionalFormatting sqref="U160">
    <cfRule type="cellIs" dxfId="6726" priority="9143" operator="equal">
      <formula>0</formula>
    </cfRule>
  </conditionalFormatting>
  <conditionalFormatting sqref="G127:G132 B132:F132">
    <cfRule type="cellIs" dxfId="6725" priority="9142" operator="lessThan">
      <formula>0</formula>
    </cfRule>
  </conditionalFormatting>
  <conditionalFormatting sqref="C127:D127 D128:D138">
    <cfRule type="cellIs" dxfId="6724" priority="9141" operator="equal">
      <formula>0</formula>
    </cfRule>
  </conditionalFormatting>
  <conditionalFormatting sqref="H127:H131">
    <cfRule type="cellIs" dxfId="6723" priority="9138" operator="equal">
      <formula>0</formula>
    </cfRule>
  </conditionalFormatting>
  <conditionalFormatting sqref="I127:T131">
    <cfRule type="cellIs" dxfId="6722" priority="9136" operator="equal">
      <formula>0</formula>
    </cfRule>
  </conditionalFormatting>
  <conditionalFormatting sqref="U127:U131">
    <cfRule type="cellIs" dxfId="6721" priority="9135" operator="equal">
      <formula>0</formula>
    </cfRule>
  </conditionalFormatting>
  <conditionalFormatting sqref="B133:G133 C134:H134 C122:D122 B160:U160 F124:G124 B124 I123:T124 C136:H138 B132:H132 C130:U131 D135:H135 C125:T126 F122:U122 C127:D129 F127:U129">
    <cfRule type="cellIs" dxfId="6720" priority="9134" operator="equal">
      <formula>0</formula>
    </cfRule>
  </conditionalFormatting>
  <conditionalFormatting sqref="H133:U133">
    <cfRule type="cellIs" dxfId="6719" priority="9133" operator="equal">
      <formula>0</formula>
    </cfRule>
  </conditionalFormatting>
  <conditionalFormatting sqref="H133:U133">
    <cfRule type="cellIs" dxfId="6718" priority="9132" operator="equal">
      <formula>0</formula>
    </cfRule>
  </conditionalFormatting>
  <conditionalFormatting sqref="U160">
    <cfRule type="cellIs" dxfId="6717" priority="9131" operator="equal">
      <formula>0</formula>
    </cfRule>
  </conditionalFormatting>
  <conditionalFormatting sqref="C124:E124">
    <cfRule type="cellIs" dxfId="6716" priority="9130" operator="equal">
      <formula>0</formula>
    </cfRule>
  </conditionalFormatting>
  <conditionalFormatting sqref="B123">
    <cfRule type="cellIs" dxfId="6715" priority="9113" operator="equal">
      <formula>0</formula>
    </cfRule>
  </conditionalFormatting>
  <conditionalFormatting sqref="C139">
    <cfRule type="cellIs" dxfId="6714" priority="9110" operator="equal">
      <formula>0</formula>
    </cfRule>
  </conditionalFormatting>
  <conditionalFormatting sqref="B139:G139">
    <cfRule type="cellIs" dxfId="6713" priority="9112" operator="lessThan">
      <formula>0</formula>
    </cfRule>
  </conditionalFormatting>
  <conditionalFormatting sqref="D139">
    <cfRule type="cellIs" dxfId="6712" priority="9111" operator="equal">
      <formula>0</formula>
    </cfRule>
  </conditionalFormatting>
  <conditionalFormatting sqref="B139:H139">
    <cfRule type="cellIs" dxfId="6711" priority="9109" operator="equal">
      <formula>0</formula>
    </cfRule>
  </conditionalFormatting>
  <conditionalFormatting sqref="B149">
    <cfRule type="cellIs" dxfId="6710" priority="9108" operator="lessThan">
      <formula>0</formula>
    </cfRule>
  </conditionalFormatting>
  <conditionalFormatting sqref="B149">
    <cfRule type="cellIs" dxfId="6709" priority="9107" operator="equal">
      <formula>0</formula>
    </cfRule>
  </conditionalFormatting>
  <conditionalFormatting sqref="C154">
    <cfRule type="cellIs" dxfId="6708" priority="9104" operator="equal">
      <formula>0</formula>
    </cfRule>
  </conditionalFormatting>
  <conditionalFormatting sqref="B154:G154">
    <cfRule type="cellIs" dxfId="6707" priority="9106" operator="lessThan">
      <formula>0</formula>
    </cfRule>
  </conditionalFormatting>
  <conditionalFormatting sqref="D154">
    <cfRule type="cellIs" dxfId="6706" priority="9105" operator="equal">
      <formula>0</formula>
    </cfRule>
  </conditionalFormatting>
  <conditionalFormatting sqref="B154:H154">
    <cfRule type="cellIs" dxfId="6705" priority="9103" operator="equal">
      <formula>0</formula>
    </cfRule>
  </conditionalFormatting>
  <conditionalFormatting sqref="B159">
    <cfRule type="cellIs" dxfId="6704" priority="9102" operator="lessThan">
      <formula>0</formula>
    </cfRule>
  </conditionalFormatting>
  <conditionalFormatting sqref="B159">
    <cfRule type="cellIs" dxfId="6703" priority="9101" operator="equal">
      <formula>0</formula>
    </cfRule>
  </conditionalFormatting>
  <conditionalFormatting sqref="C135">
    <cfRule type="cellIs" dxfId="6702" priority="9099" operator="equal">
      <formula>0</formula>
    </cfRule>
  </conditionalFormatting>
  <conditionalFormatting sqref="I140:T140">
    <cfRule type="cellIs" dxfId="6701" priority="9097" operator="equal">
      <formula>0</formula>
    </cfRule>
  </conditionalFormatting>
  <conditionalFormatting sqref="C135">
    <cfRule type="cellIs" dxfId="6700" priority="9100" operator="equal">
      <formula>0</formula>
    </cfRule>
  </conditionalFormatting>
  <conditionalFormatting sqref="I140:T140">
    <cfRule type="cellIs" dxfId="6699" priority="9098" operator="equal">
      <formula>0</formula>
    </cfRule>
  </conditionalFormatting>
  <conditionalFormatting sqref="U154">
    <cfRule type="cellIs" dxfId="6698" priority="9096" operator="equal">
      <formula>0</formula>
    </cfRule>
  </conditionalFormatting>
  <conditionalFormatting sqref="U154">
    <cfRule type="cellIs" dxfId="6697" priority="9095" operator="equal">
      <formula>0</formula>
    </cfRule>
  </conditionalFormatting>
  <conditionalFormatting sqref="U132">
    <cfRule type="cellIs" dxfId="6696" priority="9094" operator="equal">
      <formula>0</formula>
    </cfRule>
  </conditionalFormatting>
  <conditionalFormatting sqref="U132">
    <cfRule type="cellIs" dxfId="6695" priority="9093" operator="equal">
      <formula>0</formula>
    </cfRule>
  </conditionalFormatting>
  <conditionalFormatting sqref="U125:U126">
    <cfRule type="cellIs" dxfId="6694" priority="9092" operator="equal">
      <formula>0</formula>
    </cfRule>
  </conditionalFormatting>
  <conditionalFormatting sqref="U122">
    <cfRule type="cellIs" dxfId="6693" priority="9091" operator="equal">
      <formula>0</formula>
    </cfRule>
  </conditionalFormatting>
  <conditionalFormatting sqref="U124">
    <cfRule type="cellIs" dxfId="6692" priority="9090" operator="equal">
      <formula>0</formula>
    </cfRule>
  </conditionalFormatting>
  <conditionalFormatting sqref="U122:U124">
    <cfRule type="cellIs" dxfId="6691" priority="9089" operator="equal">
      <formula>0</formula>
    </cfRule>
  </conditionalFormatting>
  <conditionalFormatting sqref="I154:T154">
    <cfRule type="cellIs" dxfId="6690" priority="9088" operator="equal">
      <formula>0</formula>
    </cfRule>
  </conditionalFormatting>
  <conditionalFormatting sqref="H145:H147">
    <cfRule type="cellIs" dxfId="6689" priority="9061" operator="equal">
      <formula>0</formula>
    </cfRule>
  </conditionalFormatting>
  <conditionalFormatting sqref="C146:C147">
    <cfRule type="cellIs" dxfId="6688" priority="9062" operator="equal">
      <formula>0</formula>
    </cfRule>
  </conditionalFormatting>
  <conditionalFormatting sqref="H148">
    <cfRule type="cellIs" dxfId="6687" priority="9051" operator="equal">
      <formula>0</formula>
    </cfRule>
  </conditionalFormatting>
  <conditionalFormatting sqref="C148:H148">
    <cfRule type="cellIs" dxfId="6686" priority="9050" operator="equal">
      <formula>0</formula>
    </cfRule>
  </conditionalFormatting>
  <conditionalFormatting sqref="I148:T148">
    <cfRule type="cellIs" dxfId="6685" priority="9049" operator="equal">
      <formula>0</formula>
    </cfRule>
  </conditionalFormatting>
  <conditionalFormatting sqref="I145:T147">
    <cfRule type="cellIs" dxfId="6684" priority="9057" operator="equal">
      <formula>0</formula>
    </cfRule>
  </conditionalFormatting>
  <conditionalFormatting sqref="U145:U147">
    <cfRule type="cellIs" dxfId="6683" priority="9056" operator="equal">
      <formula>0</formula>
    </cfRule>
  </conditionalFormatting>
  <conditionalFormatting sqref="I145:U147">
    <cfRule type="cellIs" dxfId="6682" priority="9055" operator="equal">
      <formula>0</formula>
    </cfRule>
  </conditionalFormatting>
  <conditionalFormatting sqref="D148">
    <cfRule type="cellIs" dxfId="6681" priority="9054" operator="equal">
      <formula>0</formula>
    </cfRule>
  </conditionalFormatting>
  <conditionalFormatting sqref="F148:G148">
    <cfRule type="cellIs" dxfId="6680" priority="9053" operator="equal">
      <formula>0</formula>
    </cfRule>
  </conditionalFormatting>
  <conditionalFormatting sqref="U151:U153">
    <cfRule type="cellIs" dxfId="6679" priority="9034" operator="equal">
      <formula>0</formula>
    </cfRule>
  </conditionalFormatting>
  <conditionalFormatting sqref="C148">
    <cfRule type="cellIs" dxfId="6678" priority="9052" operator="equal">
      <formula>0</formula>
    </cfRule>
  </conditionalFormatting>
  <conditionalFormatting sqref="I151:U153">
    <cfRule type="cellIs" dxfId="6677" priority="9033" operator="equal">
      <formula>0</formula>
    </cfRule>
  </conditionalFormatting>
  <conditionalFormatting sqref="I148:U148">
    <cfRule type="cellIs" dxfId="6676" priority="9047" operator="equal">
      <formula>0</formula>
    </cfRule>
  </conditionalFormatting>
  <conditionalFormatting sqref="D149">
    <cfRule type="cellIs" dxfId="6675" priority="9045" operator="equal">
      <formula>0</formula>
    </cfRule>
  </conditionalFormatting>
  <conditionalFormatting sqref="C151 C153">
    <cfRule type="cellIs" dxfId="6674" priority="9040" operator="equal">
      <formula>0</formula>
    </cfRule>
  </conditionalFormatting>
  <conditionalFormatting sqref="C149">
    <cfRule type="cellIs" dxfId="6673" priority="9044" operator="equal">
      <formula>0</formula>
    </cfRule>
  </conditionalFormatting>
  <conditionalFormatting sqref="C149:H149">
    <cfRule type="cellIs" dxfId="6672" priority="9043" operator="equal">
      <formula>0</formula>
    </cfRule>
  </conditionalFormatting>
  <conditionalFormatting sqref="I151:T153">
    <cfRule type="cellIs" dxfId="6671" priority="9035" operator="equal">
      <formula>0</formula>
    </cfRule>
  </conditionalFormatting>
  <conditionalFormatting sqref="F151:G153">
    <cfRule type="cellIs" dxfId="6670" priority="9041" operator="equal">
      <formula>0</formula>
    </cfRule>
  </conditionalFormatting>
  <conditionalFormatting sqref="H156:H158">
    <cfRule type="cellIs" dxfId="6669" priority="9019" operator="equal">
      <formula>0</formula>
    </cfRule>
  </conditionalFormatting>
  <conditionalFormatting sqref="C152">
    <cfRule type="cellIs" dxfId="6668" priority="9037" operator="equal">
      <formula>0</formula>
    </cfRule>
  </conditionalFormatting>
  <conditionalFormatting sqref="H151:H153">
    <cfRule type="cellIs" dxfId="6667" priority="9039" operator="equal">
      <formula>0</formula>
    </cfRule>
  </conditionalFormatting>
  <conditionalFormatting sqref="C152">
    <cfRule type="cellIs" dxfId="6666" priority="9036" operator="equal">
      <formula>0</formula>
    </cfRule>
  </conditionalFormatting>
  <conditionalFormatting sqref="U159">
    <cfRule type="cellIs" dxfId="6665" priority="9025" operator="equal">
      <formula>0</formula>
    </cfRule>
  </conditionalFormatting>
  <conditionalFormatting sqref="U156:U158">
    <cfRule type="cellIs" dxfId="6664" priority="9014" operator="equal">
      <formula>0</formula>
    </cfRule>
  </conditionalFormatting>
  <conditionalFormatting sqref="I159:T159">
    <cfRule type="cellIs" dxfId="6663" priority="9023" operator="equal">
      <formula>0</formula>
    </cfRule>
  </conditionalFormatting>
  <conditionalFormatting sqref="D156:D158">
    <cfRule type="cellIs" dxfId="6662" priority="9022" operator="equal">
      <formula>0</formula>
    </cfRule>
  </conditionalFormatting>
  <conditionalFormatting sqref="F156:G158">
    <cfRule type="cellIs" dxfId="6661" priority="9021" operator="equal">
      <formula>0</formula>
    </cfRule>
  </conditionalFormatting>
  <conditionalFormatting sqref="C156 C158">
    <cfRule type="cellIs" dxfId="6660" priority="9020" operator="equal">
      <formula>0</formula>
    </cfRule>
  </conditionalFormatting>
  <conditionalFormatting sqref="C159">
    <cfRule type="cellIs" dxfId="6659" priority="9027" operator="equal">
      <formula>0</formula>
    </cfRule>
  </conditionalFormatting>
  <conditionalFormatting sqref="C157">
    <cfRule type="cellIs" dxfId="6658" priority="9017" operator="equal">
      <formula>0</formula>
    </cfRule>
  </conditionalFormatting>
  <conditionalFormatting sqref="I156:T158">
    <cfRule type="cellIs" dxfId="6657" priority="9015" operator="equal">
      <formula>0</formula>
    </cfRule>
  </conditionalFormatting>
  <conditionalFormatting sqref="I156:U158">
    <cfRule type="cellIs" dxfId="6656" priority="9013" operator="equal">
      <formula>0</formula>
    </cfRule>
  </conditionalFormatting>
  <conditionalFormatting sqref="C145">
    <cfRule type="cellIs" dxfId="6655" priority="9059" operator="equal">
      <formula>0</formula>
    </cfRule>
  </conditionalFormatting>
  <conditionalFormatting sqref="C145">
    <cfRule type="cellIs" dxfId="6654" priority="9058" operator="equal">
      <formula>0</formula>
    </cfRule>
  </conditionalFormatting>
  <conditionalFormatting sqref="U148">
    <cfRule type="cellIs" dxfId="6653" priority="9048" operator="equal">
      <formula>0</formula>
    </cfRule>
  </conditionalFormatting>
  <conditionalFormatting sqref="C151:H151 C153:H153 D152:H152">
    <cfRule type="cellIs" dxfId="6652" priority="9038" operator="equal">
      <formula>0</formula>
    </cfRule>
  </conditionalFormatting>
  <conditionalFormatting sqref="D151:D153">
    <cfRule type="cellIs" dxfId="6651" priority="9042" operator="equal">
      <formula>0</formula>
    </cfRule>
  </conditionalFormatting>
  <conditionalFormatting sqref="U149">
    <cfRule type="cellIs" dxfId="6650" priority="9031" operator="equal">
      <formula>0</formula>
    </cfRule>
  </conditionalFormatting>
  <conditionalFormatting sqref="I149:T149">
    <cfRule type="cellIs" dxfId="6649" priority="9030" operator="equal">
      <formula>0</formula>
    </cfRule>
  </conditionalFormatting>
  <conditionalFormatting sqref="D159">
    <cfRule type="cellIs" dxfId="6648" priority="9028" operator="equal">
      <formula>0</formula>
    </cfRule>
  </conditionalFormatting>
  <conditionalFormatting sqref="C159:H159">
    <cfRule type="cellIs" dxfId="6647" priority="9026" operator="equal">
      <formula>0</formula>
    </cfRule>
  </conditionalFormatting>
  <conditionalFormatting sqref="U149">
    <cfRule type="cellIs" dxfId="6646" priority="9032" operator="equal">
      <formula>0</formula>
    </cfRule>
  </conditionalFormatting>
  <conditionalFormatting sqref="C156:H156 C158:H158 D157:H157">
    <cfRule type="cellIs" dxfId="6645" priority="9018" operator="equal">
      <formula>0</formula>
    </cfRule>
  </conditionalFormatting>
  <conditionalFormatting sqref="B152">
    <cfRule type="cellIs" dxfId="6644" priority="9007" operator="equal">
      <formula>0</formula>
    </cfRule>
  </conditionalFormatting>
  <conditionalFormatting sqref="B130:B131">
    <cfRule type="cellIs" dxfId="6643" priority="9087" operator="equal">
      <formula>0</formula>
    </cfRule>
  </conditionalFormatting>
  <conditionalFormatting sqref="B126">
    <cfRule type="cellIs" dxfId="6642" priority="9085" operator="equal">
      <formula>0</formula>
    </cfRule>
  </conditionalFormatting>
  <conditionalFormatting sqref="B125">
    <cfRule type="cellIs" dxfId="6641" priority="9084" operator="equal">
      <formula>0</formula>
    </cfRule>
  </conditionalFormatting>
  <conditionalFormatting sqref="B136:B138">
    <cfRule type="cellIs" dxfId="6640" priority="9083" operator="equal">
      <formula>0</formula>
    </cfRule>
  </conditionalFormatting>
  <conditionalFormatting sqref="B135">
    <cfRule type="cellIs" dxfId="6639" priority="9082" operator="equal">
      <formula>0</formula>
    </cfRule>
  </conditionalFormatting>
  <conditionalFormatting sqref="I132:T132">
    <cfRule type="cellIs" dxfId="6638" priority="9081" operator="equal">
      <formula>0</formula>
    </cfRule>
  </conditionalFormatting>
  <conditionalFormatting sqref="I134:T138">
    <cfRule type="cellIs" dxfId="6637" priority="9080" operator="equal">
      <formula>0</formula>
    </cfRule>
  </conditionalFormatting>
  <conditionalFormatting sqref="U134:U138">
    <cfRule type="cellIs" dxfId="6636" priority="9079" operator="equal">
      <formula>0</formula>
    </cfRule>
  </conditionalFormatting>
  <conditionalFormatting sqref="I134:U138">
    <cfRule type="cellIs" dxfId="6635" priority="9078" operator="equal">
      <formula>0</formula>
    </cfRule>
  </conditionalFormatting>
  <conditionalFormatting sqref="U139">
    <cfRule type="cellIs" dxfId="6634" priority="9077" operator="equal">
      <formula>0</formula>
    </cfRule>
  </conditionalFormatting>
  <conditionalFormatting sqref="U139">
    <cfRule type="cellIs" dxfId="6633" priority="9076" operator="equal">
      <formula>0</formula>
    </cfRule>
  </conditionalFormatting>
  <conditionalFormatting sqref="I139:T139">
    <cfRule type="cellIs" dxfId="6632" priority="9075" operator="equal">
      <formula>0</formula>
    </cfRule>
  </conditionalFormatting>
  <conditionalFormatting sqref="F141:G144">
    <cfRule type="cellIs" dxfId="6631" priority="9073" operator="equal">
      <formula>0</formula>
    </cfRule>
  </conditionalFormatting>
  <conditionalFormatting sqref="C141 C143:C144">
    <cfRule type="cellIs" dxfId="6630" priority="9072" operator="equal">
      <formula>0</formula>
    </cfRule>
  </conditionalFormatting>
  <conditionalFormatting sqref="H141:H144">
    <cfRule type="cellIs" dxfId="6629" priority="9071" operator="equal">
      <formula>0</formula>
    </cfRule>
  </conditionalFormatting>
  <conditionalFormatting sqref="D141:D144">
    <cfRule type="cellIs" dxfId="6628" priority="9074" operator="equal">
      <formula>0</formula>
    </cfRule>
  </conditionalFormatting>
  <conditionalFormatting sqref="C141:H141 C143:H144 D142:H142">
    <cfRule type="cellIs" dxfId="6627" priority="9070" operator="equal">
      <formula>0</formula>
    </cfRule>
  </conditionalFormatting>
  <conditionalFormatting sqref="C142">
    <cfRule type="cellIs" dxfId="6626" priority="9068" operator="equal">
      <formula>0</formula>
    </cfRule>
  </conditionalFormatting>
  <conditionalFormatting sqref="C142">
    <cfRule type="cellIs" dxfId="6625" priority="9069" operator="equal">
      <formula>0</formula>
    </cfRule>
  </conditionalFormatting>
  <conditionalFormatting sqref="I141:T144">
    <cfRule type="cellIs" dxfId="6624" priority="9067" operator="equal">
      <formula>0</formula>
    </cfRule>
  </conditionalFormatting>
  <conditionalFormatting sqref="U141:U144">
    <cfRule type="cellIs" dxfId="6623" priority="9066" operator="equal">
      <formula>0</formula>
    </cfRule>
  </conditionalFormatting>
  <conditionalFormatting sqref="I141:U144">
    <cfRule type="cellIs" dxfId="6622" priority="9065" operator="equal">
      <formula>0</formula>
    </cfRule>
  </conditionalFormatting>
  <conditionalFormatting sqref="F145:G147">
    <cfRule type="cellIs" dxfId="6621" priority="9063" operator="equal">
      <formula>0</formula>
    </cfRule>
  </conditionalFormatting>
  <conditionalFormatting sqref="D145:D147">
    <cfRule type="cellIs" dxfId="6620" priority="9064" operator="equal">
      <formula>0</formula>
    </cfRule>
  </conditionalFormatting>
  <conditionalFormatting sqref="C146:H147 D145:H145">
    <cfRule type="cellIs" dxfId="6619" priority="9060" operator="equal">
      <formula>0</formula>
    </cfRule>
  </conditionalFormatting>
  <conditionalFormatting sqref="C149:G149">
    <cfRule type="cellIs" dxfId="6618" priority="9046" operator="lessThan">
      <formula>0</formula>
    </cfRule>
  </conditionalFormatting>
  <conditionalFormatting sqref="C159:G159">
    <cfRule type="cellIs" dxfId="6617" priority="9029" operator="lessThan">
      <formula>0</formula>
    </cfRule>
  </conditionalFormatting>
  <conditionalFormatting sqref="C157">
    <cfRule type="cellIs" dxfId="6616" priority="9016" operator="equal">
      <formula>0</formula>
    </cfRule>
  </conditionalFormatting>
  <conditionalFormatting sqref="U159">
    <cfRule type="cellIs" dxfId="6615" priority="9024" operator="equal">
      <formula>0</formula>
    </cfRule>
  </conditionalFormatting>
  <conditionalFormatting sqref="B151 B153">
    <cfRule type="cellIs" dxfId="6614" priority="9008" operator="equal">
      <formula>0</formula>
    </cfRule>
  </conditionalFormatting>
  <conditionalFormatting sqref="B141 B143:B144">
    <cfRule type="cellIs" dxfId="6613" priority="9012" operator="equal">
      <formula>0</formula>
    </cfRule>
  </conditionalFormatting>
  <conditionalFormatting sqref="B142">
    <cfRule type="cellIs" dxfId="6612" priority="9011" operator="equal">
      <formula>0</formula>
    </cfRule>
  </conditionalFormatting>
  <conditionalFormatting sqref="B145 B147:B148">
    <cfRule type="cellIs" dxfId="6611" priority="9010" operator="equal">
      <formula>0</formula>
    </cfRule>
  </conditionalFormatting>
  <conditionalFormatting sqref="B146">
    <cfRule type="cellIs" dxfId="6610" priority="9009" operator="equal">
      <formula>0</formula>
    </cfRule>
  </conditionalFormatting>
  <conditionalFormatting sqref="B156 B158">
    <cfRule type="cellIs" dxfId="6609" priority="9006" operator="equal">
      <formula>0</formula>
    </cfRule>
  </conditionalFormatting>
  <conditionalFormatting sqref="B157">
    <cfRule type="cellIs" dxfId="6608" priority="9005" operator="equal">
      <formula>0</formula>
    </cfRule>
  </conditionalFormatting>
  <conditionalFormatting sqref="C164:H164 E163">
    <cfRule type="cellIs" dxfId="6607" priority="9004" operator="equal">
      <formula>0</formula>
    </cfRule>
  </conditionalFormatting>
  <conditionalFormatting sqref="H166:H167">
    <cfRule type="cellIs" dxfId="6606" priority="9002" operator="equal">
      <formula>0</formula>
    </cfRule>
  </conditionalFormatting>
  <conditionalFormatting sqref="F175:G179">
    <cfRule type="cellIs" dxfId="6605" priority="8998" operator="equal">
      <formula>0</formula>
    </cfRule>
  </conditionalFormatting>
  <conditionalFormatting sqref="C169:C175 C177:C179">
    <cfRule type="cellIs" dxfId="6604" priority="8997" operator="equal">
      <formula>0</formula>
    </cfRule>
  </conditionalFormatting>
  <conditionalFormatting sqref="H175:H179">
    <cfRule type="cellIs" dxfId="6603" priority="8995" operator="equal">
      <formula>0</formula>
    </cfRule>
  </conditionalFormatting>
  <conditionalFormatting sqref="H165">
    <cfRule type="cellIs" dxfId="6602" priority="8987" operator="equal">
      <formula>0</formula>
    </cfRule>
  </conditionalFormatting>
  <conditionalFormatting sqref="D181">
    <cfRule type="cellIs" dxfId="6601" priority="8986" operator="equal">
      <formula>0</formula>
    </cfRule>
  </conditionalFormatting>
  <conditionalFormatting sqref="C181">
    <cfRule type="cellIs" dxfId="6600" priority="8985" operator="equal">
      <formula>0</formula>
    </cfRule>
  </conditionalFormatting>
  <conditionalFormatting sqref="B181:T181">
    <cfRule type="cellIs" dxfId="6599" priority="8984" operator="equal">
      <formula>0</formula>
    </cfRule>
  </conditionalFormatting>
  <conditionalFormatting sqref="H181 U181">
    <cfRule type="cellIs" dxfId="6598" priority="8983" operator="equal">
      <formula>0</formula>
    </cfRule>
  </conditionalFormatting>
  <conditionalFormatting sqref="H181 U181">
    <cfRule type="cellIs" dxfId="6597" priority="8982" operator="equal">
      <formula>0</formula>
    </cfRule>
  </conditionalFormatting>
  <conditionalFormatting sqref="D191">
    <cfRule type="cellIs" dxfId="6596" priority="8981" operator="equal">
      <formula>0</formula>
    </cfRule>
  </conditionalFormatting>
  <conditionalFormatting sqref="C191">
    <cfRule type="cellIs" dxfId="6595" priority="8980" operator="equal">
      <formula>0</formula>
    </cfRule>
  </conditionalFormatting>
  <conditionalFormatting sqref="B191:G191">
    <cfRule type="cellIs" dxfId="6594" priority="8979" operator="equal">
      <formula>0</formula>
    </cfRule>
  </conditionalFormatting>
  <conditionalFormatting sqref="H191:U191">
    <cfRule type="cellIs" dxfId="6593" priority="8978" operator="equal">
      <formula>0</formula>
    </cfRule>
  </conditionalFormatting>
  <conditionalFormatting sqref="H191:U191">
    <cfRule type="cellIs" dxfId="6592" priority="8977" operator="equal">
      <formula>0</formula>
    </cfRule>
  </conditionalFormatting>
  <conditionalFormatting sqref="D196">
    <cfRule type="cellIs" dxfId="6591" priority="8976" operator="equal">
      <formula>0</formula>
    </cfRule>
  </conditionalFormatting>
  <conditionalFormatting sqref="C196">
    <cfRule type="cellIs" dxfId="6590" priority="8975" operator="equal">
      <formula>0</formula>
    </cfRule>
  </conditionalFormatting>
  <conditionalFormatting sqref="B196:G196">
    <cfRule type="cellIs" dxfId="6589" priority="8974" operator="equal">
      <formula>0</formula>
    </cfRule>
  </conditionalFormatting>
  <conditionalFormatting sqref="H196:U196">
    <cfRule type="cellIs" dxfId="6588" priority="8973" operator="equal">
      <formula>0</formula>
    </cfRule>
  </conditionalFormatting>
  <conditionalFormatting sqref="H196:U196">
    <cfRule type="cellIs" dxfId="6587" priority="8972" operator="equal">
      <formula>0</formula>
    </cfRule>
  </conditionalFormatting>
  <conditionalFormatting sqref="I165:T165">
    <cfRule type="cellIs" dxfId="6586" priority="9003" operator="equal">
      <formula>0</formula>
    </cfRule>
  </conditionalFormatting>
  <conditionalFormatting sqref="U201">
    <cfRule type="cellIs" dxfId="6585" priority="9001" operator="equal">
      <formula>0</formula>
    </cfRule>
  </conditionalFormatting>
  <conditionalFormatting sqref="G168:G173 B173:F173">
    <cfRule type="cellIs" dxfId="6584" priority="9000" operator="lessThan">
      <formula>0</formula>
    </cfRule>
  </conditionalFormatting>
  <conditionalFormatting sqref="C168:D168 D169:D179">
    <cfRule type="cellIs" dxfId="6583" priority="8999" operator="equal">
      <formula>0</formula>
    </cfRule>
  </conditionalFormatting>
  <conditionalFormatting sqref="H168:H172">
    <cfRule type="cellIs" dxfId="6582" priority="8996" operator="equal">
      <formula>0</formula>
    </cfRule>
  </conditionalFormatting>
  <conditionalFormatting sqref="I168:T172">
    <cfRule type="cellIs" dxfId="6581" priority="8994" operator="equal">
      <formula>0</formula>
    </cfRule>
  </conditionalFormatting>
  <conditionalFormatting sqref="U168:U172">
    <cfRule type="cellIs" dxfId="6580" priority="8993" operator="equal">
      <formula>0</formula>
    </cfRule>
  </conditionalFormatting>
  <conditionalFormatting sqref="B174:G174 C175:H175 C163:D163 B201:U201 F165:G165 B165 I164:T165 C177:H179 B173:H173 C171:U172 D176:H176 C166:T167 F163:U163 C168:D170 F168:U170">
    <cfRule type="cellIs" dxfId="6579" priority="8992" operator="equal">
      <formula>0</formula>
    </cfRule>
  </conditionalFormatting>
  <conditionalFormatting sqref="H174:U174">
    <cfRule type="cellIs" dxfId="6578" priority="8991" operator="equal">
      <formula>0</formula>
    </cfRule>
  </conditionalFormatting>
  <conditionalFormatting sqref="H174:U174">
    <cfRule type="cellIs" dxfId="6577" priority="8990" operator="equal">
      <formula>0</formula>
    </cfRule>
  </conditionalFormatting>
  <conditionalFormatting sqref="U201">
    <cfRule type="cellIs" dxfId="6576" priority="8989" operator="equal">
      <formula>0</formula>
    </cfRule>
  </conditionalFormatting>
  <conditionalFormatting sqref="C165:E165">
    <cfRule type="cellIs" dxfId="6575" priority="8988" operator="equal">
      <formula>0</formula>
    </cfRule>
  </conditionalFormatting>
  <conditionalFormatting sqref="B164">
    <cfRule type="cellIs" dxfId="6574" priority="8971" operator="equal">
      <formula>0</formula>
    </cfRule>
  </conditionalFormatting>
  <conditionalFormatting sqref="C180">
    <cfRule type="cellIs" dxfId="6573" priority="8968" operator="equal">
      <formula>0</formula>
    </cfRule>
  </conditionalFormatting>
  <conditionalFormatting sqref="B180:G180">
    <cfRule type="cellIs" dxfId="6572" priority="8970" operator="lessThan">
      <formula>0</formula>
    </cfRule>
  </conditionalFormatting>
  <conditionalFormatting sqref="D180">
    <cfRule type="cellIs" dxfId="6571" priority="8969" operator="equal">
      <formula>0</formula>
    </cfRule>
  </conditionalFormatting>
  <conditionalFormatting sqref="B180:H180">
    <cfRule type="cellIs" dxfId="6570" priority="8967" operator="equal">
      <formula>0</formula>
    </cfRule>
  </conditionalFormatting>
  <conditionalFormatting sqref="B190">
    <cfRule type="cellIs" dxfId="6569" priority="8966" operator="lessThan">
      <formula>0</formula>
    </cfRule>
  </conditionalFormatting>
  <conditionalFormatting sqref="B190">
    <cfRule type="cellIs" dxfId="6568" priority="8965" operator="equal">
      <formula>0</formula>
    </cfRule>
  </conditionalFormatting>
  <conditionalFormatting sqref="C195">
    <cfRule type="cellIs" dxfId="6567" priority="8962" operator="equal">
      <formula>0</formula>
    </cfRule>
  </conditionalFormatting>
  <conditionalFormatting sqref="B195:G195">
    <cfRule type="cellIs" dxfId="6566" priority="8964" operator="lessThan">
      <formula>0</formula>
    </cfRule>
  </conditionalFormatting>
  <conditionalFormatting sqref="D195">
    <cfRule type="cellIs" dxfId="6565" priority="8963" operator="equal">
      <formula>0</formula>
    </cfRule>
  </conditionalFormatting>
  <conditionalFormatting sqref="B195:H195">
    <cfRule type="cellIs" dxfId="6564" priority="8961" operator="equal">
      <formula>0</formula>
    </cfRule>
  </conditionalFormatting>
  <conditionalFormatting sqref="B200">
    <cfRule type="cellIs" dxfId="6563" priority="8960" operator="lessThan">
      <formula>0</formula>
    </cfRule>
  </conditionalFormatting>
  <conditionalFormatting sqref="B200">
    <cfRule type="cellIs" dxfId="6562" priority="8959" operator="equal">
      <formula>0</formula>
    </cfRule>
  </conditionalFormatting>
  <conditionalFormatting sqref="C176">
    <cfRule type="cellIs" dxfId="6561" priority="8957" operator="equal">
      <formula>0</formula>
    </cfRule>
  </conditionalFormatting>
  <conditionalFormatting sqref="I181:T181">
    <cfRule type="cellIs" dxfId="6560" priority="8955" operator="equal">
      <formula>0</formula>
    </cfRule>
  </conditionalFormatting>
  <conditionalFormatting sqref="C176">
    <cfRule type="cellIs" dxfId="6559" priority="8958" operator="equal">
      <formula>0</formula>
    </cfRule>
  </conditionalFormatting>
  <conditionalFormatting sqref="I181:T181">
    <cfRule type="cellIs" dxfId="6558" priority="8956" operator="equal">
      <formula>0</formula>
    </cfRule>
  </conditionalFormatting>
  <conditionalFormatting sqref="U195">
    <cfRule type="cellIs" dxfId="6557" priority="8954" operator="equal">
      <formula>0</formula>
    </cfRule>
  </conditionalFormatting>
  <conditionalFormatting sqref="U195">
    <cfRule type="cellIs" dxfId="6556" priority="8953" operator="equal">
      <formula>0</formula>
    </cfRule>
  </conditionalFormatting>
  <conditionalFormatting sqref="U173">
    <cfRule type="cellIs" dxfId="6555" priority="8952" operator="equal">
      <formula>0</formula>
    </cfRule>
  </conditionalFormatting>
  <conditionalFormatting sqref="U173">
    <cfRule type="cellIs" dxfId="6554" priority="8951" operator="equal">
      <formula>0</formula>
    </cfRule>
  </conditionalFormatting>
  <conditionalFormatting sqref="U166:U167">
    <cfRule type="cellIs" dxfId="6553" priority="8950" operator="equal">
      <formula>0</formula>
    </cfRule>
  </conditionalFormatting>
  <conditionalFormatting sqref="U163">
    <cfRule type="cellIs" dxfId="6552" priority="8949" operator="equal">
      <formula>0</formula>
    </cfRule>
  </conditionalFormatting>
  <conditionalFormatting sqref="U165">
    <cfRule type="cellIs" dxfId="6551" priority="8948" operator="equal">
      <formula>0</formula>
    </cfRule>
  </conditionalFormatting>
  <conditionalFormatting sqref="U163:U165">
    <cfRule type="cellIs" dxfId="6550" priority="8947" operator="equal">
      <formula>0</formula>
    </cfRule>
  </conditionalFormatting>
  <conditionalFormatting sqref="I195:T195">
    <cfRule type="cellIs" dxfId="6549" priority="8946" operator="equal">
      <formula>0</formula>
    </cfRule>
  </conditionalFormatting>
  <conditionalFormatting sqref="H186:H188">
    <cfRule type="cellIs" dxfId="6548" priority="8919" operator="equal">
      <formula>0</formula>
    </cfRule>
  </conditionalFormatting>
  <conditionalFormatting sqref="C187:C188">
    <cfRule type="cellIs" dxfId="6547" priority="8920" operator="equal">
      <formula>0</formula>
    </cfRule>
  </conditionalFormatting>
  <conditionalFormatting sqref="H189">
    <cfRule type="cellIs" dxfId="6546" priority="8909" operator="equal">
      <formula>0</formula>
    </cfRule>
  </conditionalFormatting>
  <conditionalFormatting sqref="C189:H189">
    <cfRule type="cellIs" dxfId="6545" priority="8908" operator="equal">
      <formula>0</formula>
    </cfRule>
  </conditionalFormatting>
  <conditionalFormatting sqref="I189:T189">
    <cfRule type="cellIs" dxfId="6544" priority="8907" operator="equal">
      <formula>0</formula>
    </cfRule>
  </conditionalFormatting>
  <conditionalFormatting sqref="I186:T188">
    <cfRule type="cellIs" dxfId="6543" priority="8915" operator="equal">
      <formula>0</formula>
    </cfRule>
  </conditionalFormatting>
  <conditionalFormatting sqref="U186:U188">
    <cfRule type="cellIs" dxfId="6542" priority="8914" operator="equal">
      <formula>0</formula>
    </cfRule>
  </conditionalFormatting>
  <conditionalFormatting sqref="I186:U188">
    <cfRule type="cellIs" dxfId="6541" priority="8913" operator="equal">
      <formula>0</formula>
    </cfRule>
  </conditionalFormatting>
  <conditionalFormatting sqref="D189">
    <cfRule type="cellIs" dxfId="6540" priority="8912" operator="equal">
      <formula>0</formula>
    </cfRule>
  </conditionalFormatting>
  <conditionalFormatting sqref="F189:G189">
    <cfRule type="cellIs" dxfId="6539" priority="8911" operator="equal">
      <formula>0</formula>
    </cfRule>
  </conditionalFormatting>
  <conditionalFormatting sqref="U192:U194">
    <cfRule type="cellIs" dxfId="6538" priority="8892" operator="equal">
      <formula>0</formula>
    </cfRule>
  </conditionalFormatting>
  <conditionalFormatting sqref="C189">
    <cfRule type="cellIs" dxfId="6537" priority="8910" operator="equal">
      <formula>0</formula>
    </cfRule>
  </conditionalFormatting>
  <conditionalFormatting sqref="I192:U194">
    <cfRule type="cellIs" dxfId="6536" priority="8891" operator="equal">
      <formula>0</formula>
    </cfRule>
  </conditionalFormatting>
  <conditionalFormatting sqref="I189:U189">
    <cfRule type="cellIs" dxfId="6535" priority="8905" operator="equal">
      <formula>0</formula>
    </cfRule>
  </conditionalFormatting>
  <conditionalFormatting sqref="D190">
    <cfRule type="cellIs" dxfId="6534" priority="8903" operator="equal">
      <formula>0</formula>
    </cfRule>
  </conditionalFormatting>
  <conditionalFormatting sqref="C192 C194">
    <cfRule type="cellIs" dxfId="6533" priority="8898" operator="equal">
      <formula>0</formula>
    </cfRule>
  </conditionalFormatting>
  <conditionalFormatting sqref="C190">
    <cfRule type="cellIs" dxfId="6532" priority="8902" operator="equal">
      <formula>0</formula>
    </cfRule>
  </conditionalFormatting>
  <conditionalFormatting sqref="C190:H190">
    <cfRule type="cellIs" dxfId="6531" priority="8901" operator="equal">
      <formula>0</formula>
    </cfRule>
  </conditionalFormatting>
  <conditionalFormatting sqref="I192:T194">
    <cfRule type="cellIs" dxfId="6530" priority="8893" operator="equal">
      <formula>0</formula>
    </cfRule>
  </conditionalFormatting>
  <conditionalFormatting sqref="F192:G194">
    <cfRule type="cellIs" dxfId="6529" priority="8899" operator="equal">
      <formula>0</formula>
    </cfRule>
  </conditionalFormatting>
  <conditionalFormatting sqref="H197:H199">
    <cfRule type="cellIs" dxfId="6528" priority="8877" operator="equal">
      <formula>0</formula>
    </cfRule>
  </conditionalFormatting>
  <conditionalFormatting sqref="C193">
    <cfRule type="cellIs" dxfId="6527" priority="8895" operator="equal">
      <formula>0</formula>
    </cfRule>
  </conditionalFormatting>
  <conditionalFormatting sqref="H192:H194">
    <cfRule type="cellIs" dxfId="6526" priority="8897" operator="equal">
      <formula>0</formula>
    </cfRule>
  </conditionalFormatting>
  <conditionalFormatting sqref="C193">
    <cfRule type="cellIs" dxfId="6525" priority="8894" operator="equal">
      <formula>0</formula>
    </cfRule>
  </conditionalFormatting>
  <conditionalFormatting sqref="U200">
    <cfRule type="cellIs" dxfId="6524" priority="8883" operator="equal">
      <formula>0</formula>
    </cfRule>
  </conditionalFormatting>
  <conditionalFormatting sqref="U197:U199">
    <cfRule type="cellIs" dxfId="6523" priority="8872" operator="equal">
      <formula>0</formula>
    </cfRule>
  </conditionalFormatting>
  <conditionalFormatting sqref="I200:T200">
    <cfRule type="cellIs" dxfId="6522" priority="8881" operator="equal">
      <formula>0</formula>
    </cfRule>
  </conditionalFormatting>
  <conditionalFormatting sqref="D197:D199">
    <cfRule type="cellIs" dxfId="6521" priority="8880" operator="equal">
      <formula>0</formula>
    </cfRule>
  </conditionalFormatting>
  <conditionalFormatting sqref="F197:G199">
    <cfRule type="cellIs" dxfId="6520" priority="8879" operator="equal">
      <formula>0</formula>
    </cfRule>
  </conditionalFormatting>
  <conditionalFormatting sqref="C197 C199">
    <cfRule type="cellIs" dxfId="6519" priority="8878" operator="equal">
      <formula>0</formula>
    </cfRule>
  </conditionalFormatting>
  <conditionalFormatting sqref="C200">
    <cfRule type="cellIs" dxfId="6518" priority="8885" operator="equal">
      <formula>0</formula>
    </cfRule>
  </conditionalFormatting>
  <conditionalFormatting sqref="C198">
    <cfRule type="cellIs" dxfId="6517" priority="8875" operator="equal">
      <formula>0</formula>
    </cfRule>
  </conditionalFormatting>
  <conditionalFormatting sqref="I197:T199">
    <cfRule type="cellIs" dxfId="6516" priority="8873" operator="equal">
      <formula>0</formula>
    </cfRule>
  </conditionalFormatting>
  <conditionalFormatting sqref="I197:U199">
    <cfRule type="cellIs" dxfId="6515" priority="8871" operator="equal">
      <formula>0</formula>
    </cfRule>
  </conditionalFormatting>
  <conditionalFormatting sqref="C186">
    <cfRule type="cellIs" dxfId="6514" priority="8917" operator="equal">
      <formula>0</formula>
    </cfRule>
  </conditionalFormatting>
  <conditionalFormatting sqref="C186">
    <cfRule type="cellIs" dxfId="6513" priority="8916" operator="equal">
      <formula>0</formula>
    </cfRule>
  </conditionalFormatting>
  <conditionalFormatting sqref="U189">
    <cfRule type="cellIs" dxfId="6512" priority="8906" operator="equal">
      <formula>0</formula>
    </cfRule>
  </conditionalFormatting>
  <conditionalFormatting sqref="C192:H192 C194:H194 D193:H193">
    <cfRule type="cellIs" dxfId="6511" priority="8896" operator="equal">
      <formula>0</formula>
    </cfRule>
  </conditionalFormatting>
  <conditionalFormatting sqref="D192:D194">
    <cfRule type="cellIs" dxfId="6510" priority="8900" operator="equal">
      <formula>0</formula>
    </cfRule>
  </conditionalFormatting>
  <conditionalFormatting sqref="U190">
    <cfRule type="cellIs" dxfId="6509" priority="8889" operator="equal">
      <formula>0</formula>
    </cfRule>
  </conditionalFormatting>
  <conditionalFormatting sqref="I190:T190">
    <cfRule type="cellIs" dxfId="6508" priority="8888" operator="equal">
      <formula>0</formula>
    </cfRule>
  </conditionalFormatting>
  <conditionalFormatting sqref="D200">
    <cfRule type="cellIs" dxfId="6507" priority="8886" operator="equal">
      <formula>0</formula>
    </cfRule>
  </conditionalFormatting>
  <conditionalFormatting sqref="C200:H200">
    <cfRule type="cellIs" dxfId="6506" priority="8884" operator="equal">
      <formula>0</formula>
    </cfRule>
  </conditionalFormatting>
  <conditionalFormatting sqref="U190">
    <cfRule type="cellIs" dxfId="6505" priority="8890" operator="equal">
      <formula>0</formula>
    </cfRule>
  </conditionalFormatting>
  <conditionalFormatting sqref="C197:H197 C199:H199 D198:H198">
    <cfRule type="cellIs" dxfId="6504" priority="8876" operator="equal">
      <formula>0</formula>
    </cfRule>
  </conditionalFormatting>
  <conditionalFormatting sqref="B193">
    <cfRule type="cellIs" dxfId="6503" priority="8865" operator="equal">
      <formula>0</formula>
    </cfRule>
  </conditionalFormatting>
  <conditionalFormatting sqref="B171:B172">
    <cfRule type="cellIs" dxfId="6502" priority="8945" operator="equal">
      <formula>0</formula>
    </cfRule>
  </conditionalFormatting>
  <conditionalFormatting sqref="B167">
    <cfRule type="cellIs" dxfId="6501" priority="8943" operator="equal">
      <formula>0</formula>
    </cfRule>
  </conditionalFormatting>
  <conditionalFormatting sqref="B166">
    <cfRule type="cellIs" dxfId="6500" priority="8942" operator="equal">
      <formula>0</formula>
    </cfRule>
  </conditionalFormatting>
  <conditionalFormatting sqref="B175 B177:B179">
    <cfRule type="cellIs" dxfId="6499" priority="8941" operator="equal">
      <formula>0</formula>
    </cfRule>
  </conditionalFormatting>
  <conditionalFormatting sqref="B176">
    <cfRule type="cellIs" dxfId="6498" priority="8940" operator="equal">
      <formula>0</formula>
    </cfRule>
  </conditionalFormatting>
  <conditionalFormatting sqref="I173:T173">
    <cfRule type="cellIs" dxfId="6497" priority="8939" operator="equal">
      <formula>0</formula>
    </cfRule>
  </conditionalFormatting>
  <conditionalFormatting sqref="I175:T179">
    <cfRule type="cellIs" dxfId="6496" priority="8938" operator="equal">
      <formula>0</formula>
    </cfRule>
  </conditionalFormatting>
  <conditionalFormatting sqref="U175:U179">
    <cfRule type="cellIs" dxfId="6495" priority="8937" operator="equal">
      <formula>0</formula>
    </cfRule>
  </conditionalFormatting>
  <conditionalFormatting sqref="I175:U179">
    <cfRule type="cellIs" dxfId="6494" priority="8936" operator="equal">
      <formula>0</formula>
    </cfRule>
  </conditionalFormatting>
  <conditionalFormatting sqref="U180">
    <cfRule type="cellIs" dxfId="6493" priority="8935" operator="equal">
      <formula>0</formula>
    </cfRule>
  </conditionalFormatting>
  <conditionalFormatting sqref="U180">
    <cfRule type="cellIs" dxfId="6492" priority="8934" operator="equal">
      <formula>0</formula>
    </cfRule>
  </conditionalFormatting>
  <conditionalFormatting sqref="I180:T180">
    <cfRule type="cellIs" dxfId="6491" priority="8933" operator="equal">
      <formula>0</formula>
    </cfRule>
  </conditionalFormatting>
  <conditionalFormatting sqref="F182:G185">
    <cfRule type="cellIs" dxfId="6490" priority="8931" operator="equal">
      <formula>0</formula>
    </cfRule>
  </conditionalFormatting>
  <conditionalFormatting sqref="C182 C184:C185">
    <cfRule type="cellIs" dxfId="6489" priority="8930" operator="equal">
      <formula>0</formula>
    </cfRule>
  </conditionalFormatting>
  <conditionalFormatting sqref="H182:H185">
    <cfRule type="cellIs" dxfId="6488" priority="8929" operator="equal">
      <formula>0</formula>
    </cfRule>
  </conditionalFormatting>
  <conditionalFormatting sqref="D182:D185">
    <cfRule type="cellIs" dxfId="6487" priority="8932" operator="equal">
      <formula>0</formula>
    </cfRule>
  </conditionalFormatting>
  <conditionalFormatting sqref="C182:H182 C184:H185 D183:H183">
    <cfRule type="cellIs" dxfId="6486" priority="8928" operator="equal">
      <formula>0</formula>
    </cfRule>
  </conditionalFormatting>
  <conditionalFormatting sqref="C183">
    <cfRule type="cellIs" dxfId="6485" priority="8926" operator="equal">
      <formula>0</formula>
    </cfRule>
  </conditionalFormatting>
  <conditionalFormatting sqref="C183">
    <cfRule type="cellIs" dxfId="6484" priority="8927" operator="equal">
      <formula>0</formula>
    </cfRule>
  </conditionalFormatting>
  <conditionalFormatting sqref="I182:T185">
    <cfRule type="cellIs" dxfId="6483" priority="8925" operator="equal">
      <formula>0</formula>
    </cfRule>
  </conditionalFormatting>
  <conditionalFormatting sqref="U182:U185">
    <cfRule type="cellIs" dxfId="6482" priority="8924" operator="equal">
      <formula>0</formula>
    </cfRule>
  </conditionalFormatting>
  <conditionalFormatting sqref="I182:U185">
    <cfRule type="cellIs" dxfId="6481" priority="8923" operator="equal">
      <formula>0</formula>
    </cfRule>
  </conditionalFormatting>
  <conditionalFormatting sqref="F186:G188">
    <cfRule type="cellIs" dxfId="6480" priority="8921" operator="equal">
      <formula>0</formula>
    </cfRule>
  </conditionalFormatting>
  <conditionalFormatting sqref="D186:D188">
    <cfRule type="cellIs" dxfId="6479" priority="8922" operator="equal">
      <formula>0</formula>
    </cfRule>
  </conditionalFormatting>
  <conditionalFormatting sqref="C187:H188 D186:H186">
    <cfRule type="cellIs" dxfId="6478" priority="8918" operator="equal">
      <formula>0</formula>
    </cfRule>
  </conditionalFormatting>
  <conditionalFormatting sqref="C190:G190">
    <cfRule type="cellIs" dxfId="6477" priority="8904" operator="lessThan">
      <formula>0</formula>
    </cfRule>
  </conditionalFormatting>
  <conditionalFormatting sqref="C200:G200">
    <cfRule type="cellIs" dxfId="6476" priority="8887" operator="lessThan">
      <formula>0</formula>
    </cfRule>
  </conditionalFormatting>
  <conditionalFormatting sqref="C198">
    <cfRule type="cellIs" dxfId="6475" priority="8874" operator="equal">
      <formula>0</formula>
    </cfRule>
  </conditionalFormatting>
  <conditionalFormatting sqref="U200">
    <cfRule type="cellIs" dxfId="6474" priority="8882" operator="equal">
      <formula>0</formula>
    </cfRule>
  </conditionalFormatting>
  <conditionalFormatting sqref="B192 B194">
    <cfRule type="cellIs" dxfId="6473" priority="8866" operator="equal">
      <formula>0</formula>
    </cfRule>
  </conditionalFormatting>
  <conditionalFormatting sqref="B182 B184:B185">
    <cfRule type="cellIs" dxfId="6472" priority="8870" operator="equal">
      <formula>0</formula>
    </cfRule>
  </conditionalFormatting>
  <conditionalFormatting sqref="B183">
    <cfRule type="cellIs" dxfId="6471" priority="8869" operator="equal">
      <formula>0</formula>
    </cfRule>
  </conditionalFormatting>
  <conditionalFormatting sqref="B186 B188:B189">
    <cfRule type="cellIs" dxfId="6470" priority="8868" operator="equal">
      <formula>0</formula>
    </cfRule>
  </conditionalFormatting>
  <conditionalFormatting sqref="B187">
    <cfRule type="cellIs" dxfId="6469" priority="8867" operator="equal">
      <formula>0</formula>
    </cfRule>
  </conditionalFormatting>
  <conditionalFormatting sqref="B197 B199">
    <cfRule type="cellIs" dxfId="6468" priority="8864" operator="equal">
      <formula>0</formula>
    </cfRule>
  </conditionalFormatting>
  <conditionalFormatting sqref="B198">
    <cfRule type="cellIs" dxfId="6467" priority="8863" operator="equal">
      <formula>0</formula>
    </cfRule>
  </conditionalFormatting>
  <conditionalFormatting sqref="C205:H205 E204">
    <cfRule type="cellIs" dxfId="6466" priority="8862" operator="equal">
      <formula>0</formula>
    </cfRule>
  </conditionalFormatting>
  <conditionalFormatting sqref="H207:H208">
    <cfRule type="cellIs" dxfId="6465" priority="8860" operator="equal">
      <formula>0</formula>
    </cfRule>
  </conditionalFormatting>
  <conditionalFormatting sqref="F216:G220">
    <cfRule type="cellIs" dxfId="6464" priority="8856" operator="equal">
      <formula>0</formula>
    </cfRule>
  </conditionalFormatting>
  <conditionalFormatting sqref="C210:C216 C218:C220">
    <cfRule type="cellIs" dxfId="6463" priority="8855" operator="equal">
      <formula>0</formula>
    </cfRule>
  </conditionalFormatting>
  <conditionalFormatting sqref="H216:H220">
    <cfRule type="cellIs" dxfId="6462" priority="8853" operator="equal">
      <formula>0</formula>
    </cfRule>
  </conditionalFormatting>
  <conditionalFormatting sqref="H206">
    <cfRule type="cellIs" dxfId="6461" priority="8845" operator="equal">
      <formula>0</formula>
    </cfRule>
  </conditionalFormatting>
  <conditionalFormatting sqref="D222">
    <cfRule type="cellIs" dxfId="6460" priority="8844" operator="equal">
      <formula>0</formula>
    </cfRule>
  </conditionalFormatting>
  <conditionalFormatting sqref="C222">
    <cfRule type="cellIs" dxfId="6459" priority="8843" operator="equal">
      <formula>0</formula>
    </cfRule>
  </conditionalFormatting>
  <conditionalFormatting sqref="B222:T222">
    <cfRule type="cellIs" dxfId="6458" priority="8842" operator="equal">
      <formula>0</formula>
    </cfRule>
  </conditionalFormatting>
  <conditionalFormatting sqref="H222 U222">
    <cfRule type="cellIs" dxfId="6457" priority="8841" operator="equal">
      <formula>0</formula>
    </cfRule>
  </conditionalFormatting>
  <conditionalFormatting sqref="H222 U222">
    <cfRule type="cellIs" dxfId="6456" priority="8840" operator="equal">
      <formula>0</formula>
    </cfRule>
  </conditionalFormatting>
  <conditionalFormatting sqref="D232">
    <cfRule type="cellIs" dxfId="6455" priority="8839" operator="equal">
      <formula>0</formula>
    </cfRule>
  </conditionalFormatting>
  <conditionalFormatting sqref="C232">
    <cfRule type="cellIs" dxfId="6454" priority="8838" operator="equal">
      <formula>0</formula>
    </cfRule>
  </conditionalFormatting>
  <conditionalFormatting sqref="B232:G232">
    <cfRule type="cellIs" dxfId="6453" priority="8837" operator="equal">
      <formula>0</formula>
    </cfRule>
  </conditionalFormatting>
  <conditionalFormatting sqref="H232:U232">
    <cfRule type="cellIs" dxfId="6452" priority="8836" operator="equal">
      <formula>0</formula>
    </cfRule>
  </conditionalFormatting>
  <conditionalFormatting sqref="H232:U232">
    <cfRule type="cellIs" dxfId="6451" priority="8835" operator="equal">
      <formula>0</formula>
    </cfRule>
  </conditionalFormatting>
  <conditionalFormatting sqref="D237">
    <cfRule type="cellIs" dxfId="6450" priority="8834" operator="equal">
      <formula>0</formula>
    </cfRule>
  </conditionalFormatting>
  <conditionalFormatting sqref="C237">
    <cfRule type="cellIs" dxfId="6449" priority="8833" operator="equal">
      <formula>0</formula>
    </cfRule>
  </conditionalFormatting>
  <conditionalFormatting sqref="B237:G237">
    <cfRule type="cellIs" dxfId="6448" priority="8832" operator="equal">
      <formula>0</formula>
    </cfRule>
  </conditionalFormatting>
  <conditionalFormatting sqref="H237:U237">
    <cfRule type="cellIs" dxfId="6447" priority="8831" operator="equal">
      <formula>0</formula>
    </cfRule>
  </conditionalFormatting>
  <conditionalFormatting sqref="H237:U237">
    <cfRule type="cellIs" dxfId="6446" priority="8830" operator="equal">
      <formula>0</formula>
    </cfRule>
  </conditionalFormatting>
  <conditionalFormatting sqref="I206:T206">
    <cfRule type="cellIs" dxfId="6445" priority="8861" operator="equal">
      <formula>0</formula>
    </cfRule>
  </conditionalFormatting>
  <conditionalFormatting sqref="U242">
    <cfRule type="cellIs" dxfId="6444" priority="8859" operator="equal">
      <formula>0</formula>
    </cfRule>
  </conditionalFormatting>
  <conditionalFormatting sqref="G209:G214 B214:F214">
    <cfRule type="cellIs" dxfId="6443" priority="8858" operator="lessThan">
      <formula>0</formula>
    </cfRule>
  </conditionalFormatting>
  <conditionalFormatting sqref="C209:D209 D210:D220">
    <cfRule type="cellIs" dxfId="6442" priority="8857" operator="equal">
      <formula>0</formula>
    </cfRule>
  </conditionalFormatting>
  <conditionalFormatting sqref="H209:H213">
    <cfRule type="cellIs" dxfId="6441" priority="8854" operator="equal">
      <formula>0</formula>
    </cfRule>
  </conditionalFormatting>
  <conditionalFormatting sqref="I209:T213">
    <cfRule type="cellIs" dxfId="6440" priority="8852" operator="equal">
      <formula>0</formula>
    </cfRule>
  </conditionalFormatting>
  <conditionalFormatting sqref="U209:U213">
    <cfRule type="cellIs" dxfId="6439" priority="8851" operator="equal">
      <formula>0</formula>
    </cfRule>
  </conditionalFormatting>
  <conditionalFormatting sqref="B215:G215 C216:H216 C204:D204 B242:U242 F206:G206 B206 I205:T206 C218:H220 B214:H214 C209:U213 D217:H217 C207:T208 F204:U204">
    <cfRule type="cellIs" dxfId="6438" priority="8850" operator="equal">
      <formula>0</formula>
    </cfRule>
  </conditionalFormatting>
  <conditionalFormatting sqref="H215:U215">
    <cfRule type="cellIs" dxfId="6437" priority="8849" operator="equal">
      <formula>0</formula>
    </cfRule>
  </conditionalFormatting>
  <conditionalFormatting sqref="H215:U215">
    <cfRule type="cellIs" dxfId="6436" priority="8848" operator="equal">
      <formula>0</formula>
    </cfRule>
  </conditionalFormatting>
  <conditionalFormatting sqref="U242">
    <cfRule type="cellIs" dxfId="6435" priority="8847" operator="equal">
      <formula>0</formula>
    </cfRule>
  </conditionalFormatting>
  <conditionalFormatting sqref="C206:E206">
    <cfRule type="cellIs" dxfId="6434" priority="8846" operator="equal">
      <formula>0</formula>
    </cfRule>
  </conditionalFormatting>
  <conditionalFormatting sqref="B205">
    <cfRule type="cellIs" dxfId="6433" priority="8829" operator="equal">
      <formula>0</formula>
    </cfRule>
  </conditionalFormatting>
  <conditionalFormatting sqref="C221">
    <cfRule type="cellIs" dxfId="6432" priority="8826" operator="equal">
      <formula>0</formula>
    </cfRule>
  </conditionalFormatting>
  <conditionalFormatting sqref="B221:G221">
    <cfRule type="cellIs" dxfId="6431" priority="8828" operator="lessThan">
      <formula>0</formula>
    </cfRule>
  </conditionalFormatting>
  <conditionalFormatting sqref="D221">
    <cfRule type="cellIs" dxfId="6430" priority="8827" operator="equal">
      <formula>0</formula>
    </cfRule>
  </conditionalFormatting>
  <conditionalFormatting sqref="B221:H221">
    <cfRule type="cellIs" dxfId="6429" priority="8825" operator="equal">
      <formula>0</formula>
    </cfRule>
  </conditionalFormatting>
  <conditionalFormatting sqref="B231">
    <cfRule type="cellIs" dxfId="6428" priority="8824" operator="lessThan">
      <formula>0</formula>
    </cfRule>
  </conditionalFormatting>
  <conditionalFormatting sqref="B231">
    <cfRule type="cellIs" dxfId="6427" priority="8823" operator="equal">
      <formula>0</formula>
    </cfRule>
  </conditionalFormatting>
  <conditionalFormatting sqref="C236">
    <cfRule type="cellIs" dxfId="6426" priority="8820" operator="equal">
      <formula>0</formula>
    </cfRule>
  </conditionalFormatting>
  <conditionalFormatting sqref="B236:G236">
    <cfRule type="cellIs" dxfId="6425" priority="8822" operator="lessThan">
      <formula>0</formula>
    </cfRule>
  </conditionalFormatting>
  <conditionalFormatting sqref="D236">
    <cfRule type="cellIs" dxfId="6424" priority="8821" operator="equal">
      <formula>0</formula>
    </cfRule>
  </conditionalFormatting>
  <conditionalFormatting sqref="B236:H236">
    <cfRule type="cellIs" dxfId="6423" priority="8819" operator="equal">
      <formula>0</formula>
    </cfRule>
  </conditionalFormatting>
  <conditionalFormatting sqref="B241">
    <cfRule type="cellIs" dxfId="6422" priority="8818" operator="lessThan">
      <formula>0</formula>
    </cfRule>
  </conditionalFormatting>
  <conditionalFormatting sqref="B241">
    <cfRule type="cellIs" dxfId="6421" priority="8817" operator="equal">
      <formula>0</formula>
    </cfRule>
  </conditionalFormatting>
  <conditionalFormatting sqref="C217">
    <cfRule type="cellIs" dxfId="6420" priority="8815" operator="equal">
      <formula>0</formula>
    </cfRule>
  </conditionalFormatting>
  <conditionalFormatting sqref="I222:T222">
    <cfRule type="cellIs" dxfId="6419" priority="8813" operator="equal">
      <formula>0</formula>
    </cfRule>
  </conditionalFormatting>
  <conditionalFormatting sqref="C217">
    <cfRule type="cellIs" dxfId="6418" priority="8816" operator="equal">
      <formula>0</formula>
    </cfRule>
  </conditionalFormatting>
  <conditionalFormatting sqref="I222:T222">
    <cfRule type="cellIs" dxfId="6417" priority="8814" operator="equal">
      <formula>0</formula>
    </cfRule>
  </conditionalFormatting>
  <conditionalFormatting sqref="U236">
    <cfRule type="cellIs" dxfId="6416" priority="8812" operator="equal">
      <formula>0</formula>
    </cfRule>
  </conditionalFormatting>
  <conditionalFormatting sqref="U236">
    <cfRule type="cellIs" dxfId="6415" priority="8811" operator="equal">
      <formula>0</formula>
    </cfRule>
  </conditionalFormatting>
  <conditionalFormatting sqref="U214">
    <cfRule type="cellIs" dxfId="6414" priority="8810" operator="equal">
      <formula>0</formula>
    </cfRule>
  </conditionalFormatting>
  <conditionalFormatting sqref="U214">
    <cfRule type="cellIs" dxfId="6413" priority="8809" operator="equal">
      <formula>0</formula>
    </cfRule>
  </conditionalFormatting>
  <conditionalFormatting sqref="U207:U208">
    <cfRule type="cellIs" dxfId="6412" priority="8808" operator="equal">
      <formula>0</formula>
    </cfRule>
  </conditionalFormatting>
  <conditionalFormatting sqref="U204">
    <cfRule type="cellIs" dxfId="6411" priority="8807" operator="equal">
      <formula>0</formula>
    </cfRule>
  </conditionalFormatting>
  <conditionalFormatting sqref="U206">
    <cfRule type="cellIs" dxfId="6410" priority="8806" operator="equal">
      <formula>0</formula>
    </cfRule>
  </conditionalFormatting>
  <conditionalFormatting sqref="U204:U206">
    <cfRule type="cellIs" dxfId="6409" priority="8805" operator="equal">
      <formula>0</formula>
    </cfRule>
  </conditionalFormatting>
  <conditionalFormatting sqref="I236:T236">
    <cfRule type="cellIs" dxfId="6408" priority="8804" operator="equal">
      <formula>0</formula>
    </cfRule>
  </conditionalFormatting>
  <conditionalFormatting sqref="H227:H229">
    <cfRule type="cellIs" dxfId="6407" priority="8777" operator="equal">
      <formula>0</formula>
    </cfRule>
  </conditionalFormatting>
  <conditionalFormatting sqref="C228:C229">
    <cfRule type="cellIs" dxfId="6406" priority="8778" operator="equal">
      <formula>0</formula>
    </cfRule>
  </conditionalFormatting>
  <conditionalFormatting sqref="H230">
    <cfRule type="cellIs" dxfId="6405" priority="8767" operator="equal">
      <formula>0</formula>
    </cfRule>
  </conditionalFormatting>
  <conditionalFormatting sqref="C230:H230">
    <cfRule type="cellIs" dxfId="6404" priority="8766" operator="equal">
      <formula>0</formula>
    </cfRule>
  </conditionalFormatting>
  <conditionalFormatting sqref="I230:T230">
    <cfRule type="cellIs" dxfId="6403" priority="8765" operator="equal">
      <formula>0</formula>
    </cfRule>
  </conditionalFormatting>
  <conditionalFormatting sqref="I227:T229">
    <cfRule type="cellIs" dxfId="6402" priority="8773" operator="equal">
      <formula>0</formula>
    </cfRule>
  </conditionalFormatting>
  <conditionalFormatting sqref="U227:U229">
    <cfRule type="cellIs" dxfId="6401" priority="8772" operator="equal">
      <formula>0</formula>
    </cfRule>
  </conditionalFormatting>
  <conditionalFormatting sqref="I227:U229">
    <cfRule type="cellIs" dxfId="6400" priority="8771" operator="equal">
      <formula>0</formula>
    </cfRule>
  </conditionalFormatting>
  <conditionalFormatting sqref="D230">
    <cfRule type="cellIs" dxfId="6399" priority="8770" operator="equal">
      <formula>0</formula>
    </cfRule>
  </conditionalFormatting>
  <conditionalFormatting sqref="F230:G230">
    <cfRule type="cellIs" dxfId="6398" priority="8769" operator="equal">
      <formula>0</formula>
    </cfRule>
  </conditionalFormatting>
  <conditionalFormatting sqref="U233:U235">
    <cfRule type="cellIs" dxfId="6397" priority="8750" operator="equal">
      <formula>0</formula>
    </cfRule>
  </conditionalFormatting>
  <conditionalFormatting sqref="C230">
    <cfRule type="cellIs" dxfId="6396" priority="8768" operator="equal">
      <formula>0</formula>
    </cfRule>
  </conditionalFormatting>
  <conditionalFormatting sqref="I233:U235">
    <cfRule type="cellIs" dxfId="6395" priority="8749" operator="equal">
      <formula>0</formula>
    </cfRule>
  </conditionalFormatting>
  <conditionalFormatting sqref="I230:U230">
    <cfRule type="cellIs" dxfId="6394" priority="8763" operator="equal">
      <formula>0</formula>
    </cfRule>
  </conditionalFormatting>
  <conditionalFormatting sqref="D231">
    <cfRule type="cellIs" dxfId="6393" priority="8761" operator="equal">
      <formula>0</formula>
    </cfRule>
  </conditionalFormatting>
  <conditionalFormatting sqref="C233 C235">
    <cfRule type="cellIs" dxfId="6392" priority="8756" operator="equal">
      <formula>0</formula>
    </cfRule>
  </conditionalFormatting>
  <conditionalFormatting sqref="C231">
    <cfRule type="cellIs" dxfId="6391" priority="8760" operator="equal">
      <formula>0</formula>
    </cfRule>
  </conditionalFormatting>
  <conditionalFormatting sqref="C231:H231">
    <cfRule type="cellIs" dxfId="6390" priority="8759" operator="equal">
      <formula>0</formula>
    </cfRule>
  </conditionalFormatting>
  <conditionalFormatting sqref="I233:T235">
    <cfRule type="cellIs" dxfId="6389" priority="8751" operator="equal">
      <formula>0</formula>
    </cfRule>
  </conditionalFormatting>
  <conditionalFormatting sqref="F233:G235">
    <cfRule type="cellIs" dxfId="6388" priority="8757" operator="equal">
      <formula>0</formula>
    </cfRule>
  </conditionalFormatting>
  <conditionalFormatting sqref="H238:H240">
    <cfRule type="cellIs" dxfId="6387" priority="8735" operator="equal">
      <formula>0</formula>
    </cfRule>
  </conditionalFormatting>
  <conditionalFormatting sqref="C234">
    <cfRule type="cellIs" dxfId="6386" priority="8753" operator="equal">
      <formula>0</formula>
    </cfRule>
  </conditionalFormatting>
  <conditionalFormatting sqref="H233:H235">
    <cfRule type="cellIs" dxfId="6385" priority="8755" operator="equal">
      <formula>0</formula>
    </cfRule>
  </conditionalFormatting>
  <conditionalFormatting sqref="C234">
    <cfRule type="cellIs" dxfId="6384" priority="8752" operator="equal">
      <formula>0</formula>
    </cfRule>
  </conditionalFormatting>
  <conditionalFormatting sqref="U241">
    <cfRule type="cellIs" dxfId="6383" priority="8741" operator="equal">
      <formula>0</formula>
    </cfRule>
  </conditionalFormatting>
  <conditionalFormatting sqref="U238:U240">
    <cfRule type="cellIs" dxfId="6382" priority="8730" operator="equal">
      <formula>0</formula>
    </cfRule>
  </conditionalFormatting>
  <conditionalFormatting sqref="I241:T241">
    <cfRule type="cellIs" dxfId="6381" priority="8739" operator="equal">
      <formula>0</formula>
    </cfRule>
  </conditionalFormatting>
  <conditionalFormatting sqref="D238:D240">
    <cfRule type="cellIs" dxfId="6380" priority="8738" operator="equal">
      <formula>0</formula>
    </cfRule>
  </conditionalFormatting>
  <conditionalFormatting sqref="F238:G240">
    <cfRule type="cellIs" dxfId="6379" priority="8737" operator="equal">
      <formula>0</formula>
    </cfRule>
  </conditionalFormatting>
  <conditionalFormatting sqref="C238 C240">
    <cfRule type="cellIs" dxfId="6378" priority="8736" operator="equal">
      <formula>0</formula>
    </cfRule>
  </conditionalFormatting>
  <conditionalFormatting sqref="C241">
    <cfRule type="cellIs" dxfId="6377" priority="8743" operator="equal">
      <formula>0</formula>
    </cfRule>
  </conditionalFormatting>
  <conditionalFormatting sqref="C239">
    <cfRule type="cellIs" dxfId="6376" priority="8733" operator="equal">
      <formula>0</formula>
    </cfRule>
  </conditionalFormatting>
  <conditionalFormatting sqref="I238:T240">
    <cfRule type="cellIs" dxfId="6375" priority="8731" operator="equal">
      <formula>0</formula>
    </cfRule>
  </conditionalFormatting>
  <conditionalFormatting sqref="I238:U240">
    <cfRule type="cellIs" dxfId="6374" priority="8729" operator="equal">
      <formula>0</formula>
    </cfRule>
  </conditionalFormatting>
  <conditionalFormatting sqref="C227">
    <cfRule type="cellIs" dxfId="6373" priority="8775" operator="equal">
      <formula>0</formula>
    </cfRule>
  </conditionalFormatting>
  <conditionalFormatting sqref="C227">
    <cfRule type="cellIs" dxfId="6372" priority="8774" operator="equal">
      <formula>0</formula>
    </cfRule>
  </conditionalFormatting>
  <conditionalFormatting sqref="U230">
    <cfRule type="cellIs" dxfId="6371" priority="8764" operator="equal">
      <formula>0</formula>
    </cfRule>
  </conditionalFormatting>
  <conditionalFormatting sqref="C233:H233 C235:H235 D234:H234">
    <cfRule type="cellIs" dxfId="6370" priority="8754" operator="equal">
      <formula>0</formula>
    </cfRule>
  </conditionalFormatting>
  <conditionalFormatting sqref="D233:D235">
    <cfRule type="cellIs" dxfId="6369" priority="8758" operator="equal">
      <formula>0</formula>
    </cfRule>
  </conditionalFormatting>
  <conditionalFormatting sqref="U231">
    <cfRule type="cellIs" dxfId="6368" priority="8747" operator="equal">
      <formula>0</formula>
    </cfRule>
  </conditionalFormatting>
  <conditionalFormatting sqref="I231:T231">
    <cfRule type="cellIs" dxfId="6367" priority="8746" operator="equal">
      <formula>0</formula>
    </cfRule>
  </conditionalFormatting>
  <conditionalFormatting sqref="D241">
    <cfRule type="cellIs" dxfId="6366" priority="8744" operator="equal">
      <formula>0</formula>
    </cfRule>
  </conditionalFormatting>
  <conditionalFormatting sqref="C241:H241">
    <cfRule type="cellIs" dxfId="6365" priority="8742" operator="equal">
      <formula>0</formula>
    </cfRule>
  </conditionalFormatting>
  <conditionalFormatting sqref="U231">
    <cfRule type="cellIs" dxfId="6364" priority="8748" operator="equal">
      <formula>0</formula>
    </cfRule>
  </conditionalFormatting>
  <conditionalFormatting sqref="C238:H238 C240:H240 D239:H239">
    <cfRule type="cellIs" dxfId="6363" priority="8734" operator="equal">
      <formula>0</formula>
    </cfRule>
  </conditionalFormatting>
  <conditionalFormatting sqref="B234">
    <cfRule type="cellIs" dxfId="6362" priority="8723" operator="equal">
      <formula>0</formula>
    </cfRule>
  </conditionalFormatting>
  <conditionalFormatting sqref="B212:B213">
    <cfRule type="cellIs" dxfId="6361" priority="8803" operator="equal">
      <formula>0</formula>
    </cfRule>
  </conditionalFormatting>
  <conditionalFormatting sqref="B208">
    <cfRule type="cellIs" dxfId="6360" priority="8801" operator="equal">
      <formula>0</formula>
    </cfRule>
  </conditionalFormatting>
  <conditionalFormatting sqref="B207">
    <cfRule type="cellIs" dxfId="6359" priority="8800" operator="equal">
      <formula>0</formula>
    </cfRule>
  </conditionalFormatting>
  <conditionalFormatting sqref="B219:B220">
    <cfRule type="cellIs" dxfId="6358" priority="8799" operator="equal">
      <formula>0</formula>
    </cfRule>
  </conditionalFormatting>
  <conditionalFormatting sqref="I214:T214">
    <cfRule type="cellIs" dxfId="6357" priority="8797" operator="equal">
      <formula>0</formula>
    </cfRule>
  </conditionalFormatting>
  <conditionalFormatting sqref="I216:T220">
    <cfRule type="cellIs" dxfId="6356" priority="8796" operator="equal">
      <formula>0</formula>
    </cfRule>
  </conditionalFormatting>
  <conditionalFormatting sqref="U216:U220">
    <cfRule type="cellIs" dxfId="6355" priority="8795" operator="equal">
      <formula>0</formula>
    </cfRule>
  </conditionalFormatting>
  <conditionalFormatting sqref="I216:U220">
    <cfRule type="cellIs" dxfId="6354" priority="8794" operator="equal">
      <formula>0</formula>
    </cfRule>
  </conditionalFormatting>
  <conditionalFormatting sqref="U221">
    <cfRule type="cellIs" dxfId="6353" priority="8793" operator="equal">
      <formula>0</formula>
    </cfRule>
  </conditionalFormatting>
  <conditionalFormatting sqref="U221">
    <cfRule type="cellIs" dxfId="6352" priority="8792" operator="equal">
      <formula>0</formula>
    </cfRule>
  </conditionalFormatting>
  <conditionalFormatting sqref="I221:T221">
    <cfRule type="cellIs" dxfId="6351" priority="8791" operator="equal">
      <formula>0</formula>
    </cfRule>
  </conditionalFormatting>
  <conditionalFormatting sqref="F223:G226">
    <cfRule type="cellIs" dxfId="6350" priority="8789" operator="equal">
      <formula>0</formula>
    </cfRule>
  </conditionalFormatting>
  <conditionalFormatting sqref="C223 C225:C226">
    <cfRule type="cellIs" dxfId="6349" priority="8788" operator="equal">
      <formula>0</formula>
    </cfRule>
  </conditionalFormatting>
  <conditionalFormatting sqref="H223:H226">
    <cfRule type="cellIs" dxfId="6348" priority="8787" operator="equal">
      <formula>0</formula>
    </cfRule>
  </conditionalFormatting>
  <conditionalFormatting sqref="D223:D226">
    <cfRule type="cellIs" dxfId="6347" priority="8790" operator="equal">
      <formula>0</formula>
    </cfRule>
  </conditionalFormatting>
  <conditionalFormatting sqref="C223:H223 C225:H226 D224:H224">
    <cfRule type="cellIs" dxfId="6346" priority="8786" operator="equal">
      <formula>0</formula>
    </cfRule>
  </conditionalFormatting>
  <conditionalFormatting sqref="C224">
    <cfRule type="cellIs" dxfId="6345" priority="8784" operator="equal">
      <formula>0</formula>
    </cfRule>
  </conditionalFormatting>
  <conditionalFormatting sqref="C224">
    <cfRule type="cellIs" dxfId="6344" priority="8785" operator="equal">
      <formula>0</formula>
    </cfRule>
  </conditionalFormatting>
  <conditionalFormatting sqref="I223:T226">
    <cfRule type="cellIs" dxfId="6343" priority="8783" operator="equal">
      <formula>0</formula>
    </cfRule>
  </conditionalFormatting>
  <conditionalFormatting sqref="U223:U226">
    <cfRule type="cellIs" dxfId="6342" priority="8782" operator="equal">
      <formula>0</formula>
    </cfRule>
  </conditionalFormatting>
  <conditionalFormatting sqref="I223:U226">
    <cfRule type="cellIs" dxfId="6341" priority="8781" operator="equal">
      <formula>0</formula>
    </cfRule>
  </conditionalFormatting>
  <conditionalFormatting sqref="F227:G229">
    <cfRule type="cellIs" dxfId="6340" priority="8779" operator="equal">
      <formula>0</formula>
    </cfRule>
  </conditionalFormatting>
  <conditionalFormatting sqref="D227:D229">
    <cfRule type="cellIs" dxfId="6339" priority="8780" operator="equal">
      <formula>0</formula>
    </cfRule>
  </conditionalFormatting>
  <conditionalFormatting sqref="C228:H229 D227:H227">
    <cfRule type="cellIs" dxfId="6338" priority="8776" operator="equal">
      <formula>0</formula>
    </cfRule>
  </conditionalFormatting>
  <conditionalFormatting sqref="C231:G231">
    <cfRule type="cellIs" dxfId="6337" priority="8762" operator="lessThan">
      <formula>0</formula>
    </cfRule>
  </conditionalFormatting>
  <conditionalFormatting sqref="C241:G241">
    <cfRule type="cellIs" dxfId="6336" priority="8745" operator="lessThan">
      <formula>0</formula>
    </cfRule>
  </conditionalFormatting>
  <conditionalFormatting sqref="C239">
    <cfRule type="cellIs" dxfId="6335" priority="8732" operator="equal">
      <formula>0</formula>
    </cfRule>
  </conditionalFormatting>
  <conditionalFormatting sqref="U241">
    <cfRule type="cellIs" dxfId="6334" priority="8740" operator="equal">
      <formula>0</formula>
    </cfRule>
  </conditionalFormatting>
  <conditionalFormatting sqref="B233 B235">
    <cfRule type="cellIs" dxfId="6333" priority="8724" operator="equal">
      <formula>0</formula>
    </cfRule>
  </conditionalFormatting>
  <conditionalFormatting sqref="B223 B225:B226">
    <cfRule type="cellIs" dxfId="6332" priority="8728" operator="equal">
      <formula>0</formula>
    </cfRule>
  </conditionalFormatting>
  <conditionalFormatting sqref="B224">
    <cfRule type="cellIs" dxfId="6331" priority="8727" operator="equal">
      <formula>0</formula>
    </cfRule>
  </conditionalFormatting>
  <conditionalFormatting sqref="B227 B229:B230">
    <cfRule type="cellIs" dxfId="6330" priority="8726" operator="equal">
      <formula>0</formula>
    </cfRule>
  </conditionalFormatting>
  <conditionalFormatting sqref="B228">
    <cfRule type="cellIs" dxfId="6329" priority="8725" operator="equal">
      <formula>0</formula>
    </cfRule>
  </conditionalFormatting>
  <conditionalFormatting sqref="B238 B240">
    <cfRule type="cellIs" dxfId="6328" priority="8722" operator="equal">
      <formula>0</formula>
    </cfRule>
  </conditionalFormatting>
  <conditionalFormatting sqref="B239">
    <cfRule type="cellIs" dxfId="6327" priority="8721" operator="equal">
      <formula>0</formula>
    </cfRule>
  </conditionalFormatting>
  <conditionalFormatting sqref="C246:H246 E245">
    <cfRule type="cellIs" dxfId="6326" priority="8720" operator="equal">
      <formula>0</formula>
    </cfRule>
  </conditionalFormatting>
  <conditionalFormatting sqref="H248:H249">
    <cfRule type="cellIs" dxfId="6325" priority="8718" operator="equal">
      <formula>0</formula>
    </cfRule>
  </conditionalFormatting>
  <conditionalFormatting sqref="F257:G261">
    <cfRule type="cellIs" dxfId="6324" priority="8714" operator="equal">
      <formula>0</formula>
    </cfRule>
  </conditionalFormatting>
  <conditionalFormatting sqref="C251:C257 C259:C261">
    <cfRule type="cellIs" dxfId="6323" priority="8713" operator="equal">
      <formula>0</formula>
    </cfRule>
  </conditionalFormatting>
  <conditionalFormatting sqref="H257:H261">
    <cfRule type="cellIs" dxfId="6322" priority="8711" operator="equal">
      <formula>0</formula>
    </cfRule>
  </conditionalFormatting>
  <conditionalFormatting sqref="H247">
    <cfRule type="cellIs" dxfId="6321" priority="8703" operator="equal">
      <formula>0</formula>
    </cfRule>
  </conditionalFormatting>
  <conditionalFormatting sqref="D263">
    <cfRule type="cellIs" dxfId="6320" priority="8702" operator="equal">
      <formula>0</formula>
    </cfRule>
  </conditionalFormatting>
  <conditionalFormatting sqref="C263">
    <cfRule type="cellIs" dxfId="6319" priority="8701" operator="equal">
      <formula>0</formula>
    </cfRule>
  </conditionalFormatting>
  <conditionalFormatting sqref="B263:T263">
    <cfRule type="cellIs" dxfId="6318" priority="8700" operator="equal">
      <formula>0</formula>
    </cfRule>
  </conditionalFormatting>
  <conditionalFormatting sqref="H263 U263">
    <cfRule type="cellIs" dxfId="6317" priority="8699" operator="equal">
      <formula>0</formula>
    </cfRule>
  </conditionalFormatting>
  <conditionalFormatting sqref="H263 U263">
    <cfRule type="cellIs" dxfId="6316" priority="8698" operator="equal">
      <formula>0</formula>
    </cfRule>
  </conditionalFormatting>
  <conditionalFormatting sqref="D273">
    <cfRule type="cellIs" dxfId="6315" priority="8697" operator="equal">
      <formula>0</formula>
    </cfRule>
  </conditionalFormatting>
  <conditionalFormatting sqref="C273">
    <cfRule type="cellIs" dxfId="6314" priority="8696" operator="equal">
      <formula>0</formula>
    </cfRule>
  </conditionalFormatting>
  <conditionalFormatting sqref="B273:G273">
    <cfRule type="cellIs" dxfId="6313" priority="8695" operator="equal">
      <formula>0</formula>
    </cfRule>
  </conditionalFormatting>
  <conditionalFormatting sqref="H273:U273">
    <cfRule type="cellIs" dxfId="6312" priority="8694" operator="equal">
      <formula>0</formula>
    </cfRule>
  </conditionalFormatting>
  <conditionalFormatting sqref="H273:U273">
    <cfRule type="cellIs" dxfId="6311" priority="8693" operator="equal">
      <formula>0</formula>
    </cfRule>
  </conditionalFormatting>
  <conditionalFormatting sqref="D278">
    <cfRule type="cellIs" dxfId="6310" priority="8692" operator="equal">
      <formula>0</formula>
    </cfRule>
  </conditionalFormatting>
  <conditionalFormatting sqref="C278">
    <cfRule type="cellIs" dxfId="6309" priority="8691" operator="equal">
      <formula>0</formula>
    </cfRule>
  </conditionalFormatting>
  <conditionalFormatting sqref="B278:G278">
    <cfRule type="cellIs" dxfId="6308" priority="8690" operator="equal">
      <formula>0</formula>
    </cfRule>
  </conditionalFormatting>
  <conditionalFormatting sqref="H278:U278">
    <cfRule type="cellIs" dxfId="6307" priority="8689" operator="equal">
      <formula>0</formula>
    </cfRule>
  </conditionalFormatting>
  <conditionalFormatting sqref="H278:U278">
    <cfRule type="cellIs" dxfId="6306" priority="8688" operator="equal">
      <formula>0</formula>
    </cfRule>
  </conditionalFormatting>
  <conditionalFormatting sqref="I247:T247">
    <cfRule type="cellIs" dxfId="6305" priority="8719" operator="equal">
      <formula>0</formula>
    </cfRule>
  </conditionalFormatting>
  <conditionalFormatting sqref="U283">
    <cfRule type="cellIs" dxfId="6304" priority="8717" operator="equal">
      <formula>0</formula>
    </cfRule>
  </conditionalFormatting>
  <conditionalFormatting sqref="G250:G255 B255:F255">
    <cfRule type="cellIs" dxfId="6303" priority="8716" operator="lessThan">
      <formula>0</formula>
    </cfRule>
  </conditionalFormatting>
  <conditionalFormatting sqref="C250:D250 D251:D261">
    <cfRule type="cellIs" dxfId="6302" priority="8715" operator="equal">
      <formula>0</formula>
    </cfRule>
  </conditionalFormatting>
  <conditionalFormatting sqref="H250:H254">
    <cfRule type="cellIs" dxfId="6301" priority="8712" operator="equal">
      <formula>0</formula>
    </cfRule>
  </conditionalFormatting>
  <conditionalFormatting sqref="I250:T254">
    <cfRule type="cellIs" dxfId="6300" priority="8710" operator="equal">
      <formula>0</formula>
    </cfRule>
  </conditionalFormatting>
  <conditionalFormatting sqref="U250:U254">
    <cfRule type="cellIs" dxfId="6299" priority="8709" operator="equal">
      <formula>0</formula>
    </cfRule>
  </conditionalFormatting>
  <conditionalFormatting sqref="B256:G256 C257:H257 C245:D245 B283:U283 F247:G247 B247 I246:T247 C259:H261 B255:H255 C250:U254 D258:H258 C248:T249 F245:U245">
    <cfRule type="cellIs" dxfId="6298" priority="8708" operator="equal">
      <formula>0</formula>
    </cfRule>
  </conditionalFormatting>
  <conditionalFormatting sqref="H256:U256">
    <cfRule type="cellIs" dxfId="6297" priority="8707" operator="equal">
      <formula>0</formula>
    </cfRule>
  </conditionalFormatting>
  <conditionalFormatting sqref="H256:U256">
    <cfRule type="cellIs" dxfId="6296" priority="8706" operator="equal">
      <formula>0</formula>
    </cfRule>
  </conditionalFormatting>
  <conditionalFormatting sqref="U283">
    <cfRule type="cellIs" dxfId="6295" priority="8705" operator="equal">
      <formula>0</formula>
    </cfRule>
  </conditionalFormatting>
  <conditionalFormatting sqref="C247:E247">
    <cfRule type="cellIs" dxfId="6294" priority="8704" operator="equal">
      <formula>0</formula>
    </cfRule>
  </conditionalFormatting>
  <conditionalFormatting sqref="B246">
    <cfRule type="cellIs" dxfId="6293" priority="8687" operator="equal">
      <formula>0</formula>
    </cfRule>
  </conditionalFormatting>
  <conditionalFormatting sqref="C262">
    <cfRule type="cellIs" dxfId="6292" priority="8684" operator="equal">
      <formula>0</formula>
    </cfRule>
  </conditionalFormatting>
  <conditionalFormatting sqref="B262:G262">
    <cfRule type="cellIs" dxfId="6291" priority="8686" operator="lessThan">
      <formula>0</formula>
    </cfRule>
  </conditionalFormatting>
  <conditionalFormatting sqref="D262">
    <cfRule type="cellIs" dxfId="6290" priority="8685" operator="equal">
      <formula>0</formula>
    </cfRule>
  </conditionalFormatting>
  <conditionalFormatting sqref="B262:H262">
    <cfRule type="cellIs" dxfId="6289" priority="8683" operator="equal">
      <formula>0</formula>
    </cfRule>
  </conditionalFormatting>
  <conditionalFormatting sqref="B272">
    <cfRule type="cellIs" dxfId="6288" priority="8682" operator="lessThan">
      <formula>0</formula>
    </cfRule>
  </conditionalFormatting>
  <conditionalFormatting sqref="B272">
    <cfRule type="cellIs" dxfId="6287" priority="8681" operator="equal">
      <formula>0</formula>
    </cfRule>
  </conditionalFormatting>
  <conditionalFormatting sqref="C277">
    <cfRule type="cellIs" dxfId="6286" priority="8678" operator="equal">
      <formula>0</formula>
    </cfRule>
  </conditionalFormatting>
  <conditionalFormatting sqref="B277:G277">
    <cfRule type="cellIs" dxfId="6285" priority="8680" operator="lessThan">
      <formula>0</formula>
    </cfRule>
  </conditionalFormatting>
  <conditionalFormatting sqref="D277">
    <cfRule type="cellIs" dxfId="6284" priority="8679" operator="equal">
      <formula>0</formula>
    </cfRule>
  </conditionalFormatting>
  <conditionalFormatting sqref="B277:H277">
    <cfRule type="cellIs" dxfId="6283" priority="8677" operator="equal">
      <formula>0</formula>
    </cfRule>
  </conditionalFormatting>
  <conditionalFormatting sqref="B282">
    <cfRule type="cellIs" dxfId="6282" priority="8676" operator="lessThan">
      <formula>0</formula>
    </cfRule>
  </conditionalFormatting>
  <conditionalFormatting sqref="B282">
    <cfRule type="cellIs" dxfId="6281" priority="8675" operator="equal">
      <formula>0</formula>
    </cfRule>
  </conditionalFormatting>
  <conditionalFormatting sqref="C258">
    <cfRule type="cellIs" dxfId="6280" priority="8673" operator="equal">
      <formula>0</formula>
    </cfRule>
  </conditionalFormatting>
  <conditionalFormatting sqref="I263:T263">
    <cfRule type="cellIs" dxfId="6279" priority="8671" operator="equal">
      <formula>0</formula>
    </cfRule>
  </conditionalFormatting>
  <conditionalFormatting sqref="C258">
    <cfRule type="cellIs" dxfId="6278" priority="8674" operator="equal">
      <formula>0</formula>
    </cfRule>
  </conditionalFormatting>
  <conditionalFormatting sqref="I263:T263">
    <cfRule type="cellIs" dxfId="6277" priority="8672" operator="equal">
      <formula>0</formula>
    </cfRule>
  </conditionalFormatting>
  <conditionalFormatting sqref="U277">
    <cfRule type="cellIs" dxfId="6276" priority="8670" operator="equal">
      <formula>0</formula>
    </cfRule>
  </conditionalFormatting>
  <conditionalFormatting sqref="U277">
    <cfRule type="cellIs" dxfId="6275" priority="8669" operator="equal">
      <formula>0</formula>
    </cfRule>
  </conditionalFormatting>
  <conditionalFormatting sqref="U255">
    <cfRule type="cellIs" dxfId="6274" priority="8668" operator="equal">
      <formula>0</formula>
    </cfRule>
  </conditionalFormatting>
  <conditionalFormatting sqref="U255">
    <cfRule type="cellIs" dxfId="6273" priority="8667" operator="equal">
      <formula>0</formula>
    </cfRule>
  </conditionalFormatting>
  <conditionalFormatting sqref="U248:U249">
    <cfRule type="cellIs" dxfId="6272" priority="8666" operator="equal">
      <formula>0</formula>
    </cfRule>
  </conditionalFormatting>
  <conditionalFormatting sqref="U245">
    <cfRule type="cellIs" dxfId="6271" priority="8665" operator="equal">
      <formula>0</formula>
    </cfRule>
  </conditionalFormatting>
  <conditionalFormatting sqref="U247">
    <cfRule type="cellIs" dxfId="6270" priority="8664" operator="equal">
      <formula>0</formula>
    </cfRule>
  </conditionalFormatting>
  <conditionalFormatting sqref="U245:U247">
    <cfRule type="cellIs" dxfId="6269" priority="8663" operator="equal">
      <formula>0</formula>
    </cfRule>
  </conditionalFormatting>
  <conditionalFormatting sqref="I277:T277">
    <cfRule type="cellIs" dxfId="6268" priority="8662" operator="equal">
      <formula>0</formula>
    </cfRule>
  </conditionalFormatting>
  <conditionalFormatting sqref="H268:H270">
    <cfRule type="cellIs" dxfId="6267" priority="8635" operator="equal">
      <formula>0</formula>
    </cfRule>
  </conditionalFormatting>
  <conditionalFormatting sqref="C269:C270">
    <cfRule type="cellIs" dxfId="6266" priority="8636" operator="equal">
      <formula>0</formula>
    </cfRule>
  </conditionalFormatting>
  <conditionalFormatting sqref="H271">
    <cfRule type="cellIs" dxfId="6265" priority="8625" operator="equal">
      <formula>0</formula>
    </cfRule>
  </conditionalFormatting>
  <conditionalFormatting sqref="C271:H271">
    <cfRule type="cellIs" dxfId="6264" priority="8624" operator="equal">
      <formula>0</formula>
    </cfRule>
  </conditionalFormatting>
  <conditionalFormatting sqref="I271:T271">
    <cfRule type="cellIs" dxfId="6263" priority="8623" operator="equal">
      <formula>0</formula>
    </cfRule>
  </conditionalFormatting>
  <conditionalFormatting sqref="I268:T270">
    <cfRule type="cellIs" dxfId="6262" priority="8631" operator="equal">
      <formula>0</formula>
    </cfRule>
  </conditionalFormatting>
  <conditionalFormatting sqref="U268:U270">
    <cfRule type="cellIs" dxfId="6261" priority="8630" operator="equal">
      <formula>0</formula>
    </cfRule>
  </conditionalFormatting>
  <conditionalFormatting sqref="I268:U270">
    <cfRule type="cellIs" dxfId="6260" priority="8629" operator="equal">
      <formula>0</formula>
    </cfRule>
  </conditionalFormatting>
  <conditionalFormatting sqref="D271">
    <cfRule type="cellIs" dxfId="6259" priority="8628" operator="equal">
      <formula>0</formula>
    </cfRule>
  </conditionalFormatting>
  <conditionalFormatting sqref="F271:G271">
    <cfRule type="cellIs" dxfId="6258" priority="8627" operator="equal">
      <formula>0</formula>
    </cfRule>
  </conditionalFormatting>
  <conditionalFormatting sqref="U274:U276">
    <cfRule type="cellIs" dxfId="6257" priority="8608" operator="equal">
      <formula>0</formula>
    </cfRule>
  </conditionalFormatting>
  <conditionalFormatting sqref="C271">
    <cfRule type="cellIs" dxfId="6256" priority="8626" operator="equal">
      <formula>0</formula>
    </cfRule>
  </conditionalFormatting>
  <conditionalFormatting sqref="I274:U276">
    <cfRule type="cellIs" dxfId="6255" priority="8607" operator="equal">
      <formula>0</formula>
    </cfRule>
  </conditionalFormatting>
  <conditionalFormatting sqref="I271:U271">
    <cfRule type="cellIs" dxfId="6254" priority="8621" operator="equal">
      <formula>0</formula>
    </cfRule>
  </conditionalFormatting>
  <conditionalFormatting sqref="D272">
    <cfRule type="cellIs" dxfId="6253" priority="8619" operator="equal">
      <formula>0</formula>
    </cfRule>
  </conditionalFormatting>
  <conditionalFormatting sqref="C274 C276">
    <cfRule type="cellIs" dxfId="6252" priority="8614" operator="equal">
      <formula>0</formula>
    </cfRule>
  </conditionalFormatting>
  <conditionalFormatting sqref="C272">
    <cfRule type="cellIs" dxfId="6251" priority="8618" operator="equal">
      <formula>0</formula>
    </cfRule>
  </conditionalFormatting>
  <conditionalFormatting sqref="C272:H272">
    <cfRule type="cellIs" dxfId="6250" priority="8617" operator="equal">
      <formula>0</formula>
    </cfRule>
  </conditionalFormatting>
  <conditionalFormatting sqref="I274:T276">
    <cfRule type="cellIs" dxfId="6249" priority="8609" operator="equal">
      <formula>0</formula>
    </cfRule>
  </conditionalFormatting>
  <conditionalFormatting sqref="F274:G276">
    <cfRule type="cellIs" dxfId="6248" priority="8615" operator="equal">
      <formula>0</formula>
    </cfRule>
  </conditionalFormatting>
  <conditionalFormatting sqref="H279:H281">
    <cfRule type="cellIs" dxfId="6247" priority="8593" operator="equal">
      <formula>0</formula>
    </cfRule>
  </conditionalFormatting>
  <conditionalFormatting sqref="C275">
    <cfRule type="cellIs" dxfId="6246" priority="8611" operator="equal">
      <formula>0</formula>
    </cfRule>
  </conditionalFormatting>
  <conditionalFormatting sqref="H274:H276">
    <cfRule type="cellIs" dxfId="6245" priority="8613" operator="equal">
      <formula>0</formula>
    </cfRule>
  </conditionalFormatting>
  <conditionalFormatting sqref="C275">
    <cfRule type="cellIs" dxfId="6244" priority="8610" operator="equal">
      <formula>0</formula>
    </cfRule>
  </conditionalFormatting>
  <conditionalFormatting sqref="U282">
    <cfRule type="cellIs" dxfId="6243" priority="8599" operator="equal">
      <formula>0</formula>
    </cfRule>
  </conditionalFormatting>
  <conditionalFormatting sqref="U279:U281">
    <cfRule type="cellIs" dxfId="6242" priority="8588" operator="equal">
      <formula>0</formula>
    </cfRule>
  </conditionalFormatting>
  <conditionalFormatting sqref="I282:T282">
    <cfRule type="cellIs" dxfId="6241" priority="8597" operator="equal">
      <formula>0</formula>
    </cfRule>
  </conditionalFormatting>
  <conditionalFormatting sqref="D279:D281">
    <cfRule type="cellIs" dxfId="6240" priority="8596" operator="equal">
      <formula>0</formula>
    </cfRule>
  </conditionalFormatting>
  <conditionalFormatting sqref="F279:G281">
    <cfRule type="cellIs" dxfId="6239" priority="8595" operator="equal">
      <formula>0</formula>
    </cfRule>
  </conditionalFormatting>
  <conditionalFormatting sqref="C279 C281">
    <cfRule type="cellIs" dxfId="6238" priority="8594" operator="equal">
      <formula>0</formula>
    </cfRule>
  </conditionalFormatting>
  <conditionalFormatting sqref="C282">
    <cfRule type="cellIs" dxfId="6237" priority="8601" operator="equal">
      <formula>0</formula>
    </cfRule>
  </conditionalFormatting>
  <conditionalFormatting sqref="C280">
    <cfRule type="cellIs" dxfId="6236" priority="8591" operator="equal">
      <formula>0</formula>
    </cfRule>
  </conditionalFormatting>
  <conditionalFormatting sqref="I279:T281">
    <cfRule type="cellIs" dxfId="6235" priority="8589" operator="equal">
      <formula>0</formula>
    </cfRule>
  </conditionalFormatting>
  <conditionalFormatting sqref="I279:U281">
    <cfRule type="cellIs" dxfId="6234" priority="8587" operator="equal">
      <formula>0</formula>
    </cfRule>
  </conditionalFormatting>
  <conditionalFormatting sqref="C268">
    <cfRule type="cellIs" dxfId="6233" priority="8633" operator="equal">
      <formula>0</formula>
    </cfRule>
  </conditionalFormatting>
  <conditionalFormatting sqref="C268">
    <cfRule type="cellIs" dxfId="6232" priority="8632" operator="equal">
      <formula>0</formula>
    </cfRule>
  </conditionalFormatting>
  <conditionalFormatting sqref="U271">
    <cfRule type="cellIs" dxfId="6231" priority="8622" operator="equal">
      <formula>0</formula>
    </cfRule>
  </conditionalFormatting>
  <conditionalFormatting sqref="C274:H274 C276:H276 D275:H275">
    <cfRule type="cellIs" dxfId="6230" priority="8612" operator="equal">
      <formula>0</formula>
    </cfRule>
  </conditionalFormatting>
  <conditionalFormatting sqref="D274:D276">
    <cfRule type="cellIs" dxfId="6229" priority="8616" operator="equal">
      <formula>0</formula>
    </cfRule>
  </conditionalFormatting>
  <conditionalFormatting sqref="U272">
    <cfRule type="cellIs" dxfId="6228" priority="8605" operator="equal">
      <formula>0</formula>
    </cfRule>
  </conditionalFormatting>
  <conditionalFormatting sqref="I272:T272">
    <cfRule type="cellIs" dxfId="6227" priority="8604" operator="equal">
      <formula>0</formula>
    </cfRule>
  </conditionalFormatting>
  <conditionalFormatting sqref="D282">
    <cfRule type="cellIs" dxfId="6226" priority="8602" operator="equal">
      <formula>0</formula>
    </cfRule>
  </conditionalFormatting>
  <conditionalFormatting sqref="C282:H282">
    <cfRule type="cellIs" dxfId="6225" priority="8600" operator="equal">
      <formula>0</formula>
    </cfRule>
  </conditionalFormatting>
  <conditionalFormatting sqref="U272">
    <cfRule type="cellIs" dxfId="6224" priority="8606" operator="equal">
      <formula>0</formula>
    </cfRule>
  </conditionalFormatting>
  <conditionalFormatting sqref="C279:H279 C281:H281 D280:H280">
    <cfRule type="cellIs" dxfId="6223" priority="8592" operator="equal">
      <formula>0</formula>
    </cfRule>
  </conditionalFormatting>
  <conditionalFormatting sqref="B275">
    <cfRule type="cellIs" dxfId="6222" priority="8581" operator="equal">
      <formula>0</formula>
    </cfRule>
  </conditionalFormatting>
  <conditionalFormatting sqref="B250 B252:B254">
    <cfRule type="cellIs" dxfId="6221" priority="8661" operator="equal">
      <formula>0</formula>
    </cfRule>
  </conditionalFormatting>
  <conditionalFormatting sqref="B251">
    <cfRule type="cellIs" dxfId="6220" priority="8660" operator="equal">
      <formula>0</formula>
    </cfRule>
  </conditionalFormatting>
  <conditionalFormatting sqref="B249">
    <cfRule type="cellIs" dxfId="6219" priority="8659" operator="equal">
      <formula>0</formula>
    </cfRule>
  </conditionalFormatting>
  <conditionalFormatting sqref="B248">
    <cfRule type="cellIs" dxfId="6218" priority="8658" operator="equal">
      <formula>0</formula>
    </cfRule>
  </conditionalFormatting>
  <conditionalFormatting sqref="B257 B259:B261">
    <cfRule type="cellIs" dxfId="6217" priority="8657" operator="equal">
      <formula>0</formula>
    </cfRule>
  </conditionalFormatting>
  <conditionalFormatting sqref="B258">
    <cfRule type="cellIs" dxfId="6216" priority="8656" operator="equal">
      <formula>0</formula>
    </cfRule>
  </conditionalFormatting>
  <conditionalFormatting sqref="I255:T255">
    <cfRule type="cellIs" dxfId="6215" priority="8655" operator="equal">
      <formula>0</formula>
    </cfRule>
  </conditionalFormatting>
  <conditionalFormatting sqref="I257:T261">
    <cfRule type="cellIs" dxfId="6214" priority="8654" operator="equal">
      <formula>0</formula>
    </cfRule>
  </conditionalFormatting>
  <conditionalFormatting sqref="U257:U261">
    <cfRule type="cellIs" dxfId="6213" priority="8653" operator="equal">
      <formula>0</formula>
    </cfRule>
  </conditionalFormatting>
  <conditionalFormatting sqref="I257:U261">
    <cfRule type="cellIs" dxfId="6212" priority="8652" operator="equal">
      <formula>0</formula>
    </cfRule>
  </conditionalFormatting>
  <conditionalFormatting sqref="U262">
    <cfRule type="cellIs" dxfId="6211" priority="8651" operator="equal">
      <formula>0</formula>
    </cfRule>
  </conditionalFormatting>
  <conditionalFormatting sqref="U262">
    <cfRule type="cellIs" dxfId="6210" priority="8650" operator="equal">
      <formula>0</formula>
    </cfRule>
  </conditionalFormatting>
  <conditionalFormatting sqref="I262:T262">
    <cfRule type="cellIs" dxfId="6209" priority="8649" operator="equal">
      <formula>0</formula>
    </cfRule>
  </conditionalFormatting>
  <conditionalFormatting sqref="F264:G267">
    <cfRule type="cellIs" dxfId="6208" priority="8647" operator="equal">
      <formula>0</formula>
    </cfRule>
  </conditionalFormatting>
  <conditionalFormatting sqref="C264 C266:C267">
    <cfRule type="cellIs" dxfId="6207" priority="8646" operator="equal">
      <formula>0</formula>
    </cfRule>
  </conditionalFormatting>
  <conditionalFormatting sqref="H264:H267">
    <cfRule type="cellIs" dxfId="6206" priority="8645" operator="equal">
      <formula>0</formula>
    </cfRule>
  </conditionalFormatting>
  <conditionalFormatting sqref="D264:D267">
    <cfRule type="cellIs" dxfId="6205" priority="8648" operator="equal">
      <formula>0</formula>
    </cfRule>
  </conditionalFormatting>
  <conditionalFormatting sqref="C264:H264 C266:H267 D265:H265">
    <cfRule type="cellIs" dxfId="6204" priority="8644" operator="equal">
      <formula>0</formula>
    </cfRule>
  </conditionalFormatting>
  <conditionalFormatting sqref="C265">
    <cfRule type="cellIs" dxfId="6203" priority="8642" operator="equal">
      <formula>0</formula>
    </cfRule>
  </conditionalFormatting>
  <conditionalFormatting sqref="C265">
    <cfRule type="cellIs" dxfId="6202" priority="8643" operator="equal">
      <formula>0</formula>
    </cfRule>
  </conditionalFormatting>
  <conditionalFormatting sqref="I264:T267">
    <cfRule type="cellIs" dxfId="6201" priority="8641" operator="equal">
      <formula>0</formula>
    </cfRule>
  </conditionalFormatting>
  <conditionalFormatting sqref="U264:U267">
    <cfRule type="cellIs" dxfId="6200" priority="8640" operator="equal">
      <formula>0</formula>
    </cfRule>
  </conditionalFormatting>
  <conditionalFormatting sqref="I264:U267">
    <cfRule type="cellIs" dxfId="6199" priority="8639" operator="equal">
      <formula>0</formula>
    </cfRule>
  </conditionalFormatting>
  <conditionalFormatting sqref="F268:G270">
    <cfRule type="cellIs" dxfId="6198" priority="8637" operator="equal">
      <formula>0</formula>
    </cfRule>
  </conditionalFormatting>
  <conditionalFormatting sqref="D268:D270">
    <cfRule type="cellIs" dxfId="6197" priority="8638" operator="equal">
      <formula>0</formula>
    </cfRule>
  </conditionalFormatting>
  <conditionalFormatting sqref="C269:H270 D268:H268">
    <cfRule type="cellIs" dxfId="6196" priority="8634" operator="equal">
      <formula>0</formula>
    </cfRule>
  </conditionalFormatting>
  <conditionalFormatting sqref="C272:G272">
    <cfRule type="cellIs" dxfId="6195" priority="8620" operator="lessThan">
      <formula>0</formula>
    </cfRule>
  </conditionalFormatting>
  <conditionalFormatting sqref="C282:G282">
    <cfRule type="cellIs" dxfId="6194" priority="8603" operator="lessThan">
      <formula>0</formula>
    </cfRule>
  </conditionalFormatting>
  <conditionalFormatting sqref="C280">
    <cfRule type="cellIs" dxfId="6193" priority="8590" operator="equal">
      <formula>0</formula>
    </cfRule>
  </conditionalFormatting>
  <conditionalFormatting sqref="U282">
    <cfRule type="cellIs" dxfId="6192" priority="8598" operator="equal">
      <formula>0</formula>
    </cfRule>
  </conditionalFormatting>
  <conditionalFormatting sqref="B274 B276">
    <cfRule type="cellIs" dxfId="6191" priority="8582" operator="equal">
      <formula>0</formula>
    </cfRule>
  </conditionalFormatting>
  <conditionalFormatting sqref="B264 B266:B267">
    <cfRule type="cellIs" dxfId="6190" priority="8586" operator="equal">
      <formula>0</formula>
    </cfRule>
  </conditionalFormatting>
  <conditionalFormatting sqref="B265">
    <cfRule type="cellIs" dxfId="6189" priority="8585" operator="equal">
      <formula>0</formula>
    </cfRule>
  </conditionalFormatting>
  <conditionalFormatting sqref="B268 B270:B271">
    <cfRule type="cellIs" dxfId="6188" priority="8584" operator="equal">
      <formula>0</formula>
    </cfRule>
  </conditionalFormatting>
  <conditionalFormatting sqref="B269">
    <cfRule type="cellIs" dxfId="6187" priority="8583" operator="equal">
      <formula>0</formula>
    </cfRule>
  </conditionalFormatting>
  <conditionalFormatting sqref="B279 B281">
    <cfRule type="cellIs" dxfId="6186" priority="8580" operator="equal">
      <formula>0</formula>
    </cfRule>
  </conditionalFormatting>
  <conditionalFormatting sqref="B280">
    <cfRule type="cellIs" dxfId="6185" priority="8579" operator="equal">
      <formula>0</formula>
    </cfRule>
  </conditionalFormatting>
  <conditionalFormatting sqref="C287:H287 E286">
    <cfRule type="cellIs" dxfId="6184" priority="8578" operator="equal">
      <formula>0</formula>
    </cfRule>
  </conditionalFormatting>
  <conditionalFormatting sqref="H289:H290">
    <cfRule type="cellIs" dxfId="6183" priority="8576" operator="equal">
      <formula>0</formula>
    </cfRule>
  </conditionalFormatting>
  <conditionalFormatting sqref="F298:G302">
    <cfRule type="cellIs" dxfId="6182" priority="8572" operator="equal">
      <formula>0</formula>
    </cfRule>
  </conditionalFormatting>
  <conditionalFormatting sqref="C292:C298 C300:C302">
    <cfRule type="cellIs" dxfId="6181" priority="8571" operator="equal">
      <formula>0</formula>
    </cfRule>
  </conditionalFormatting>
  <conditionalFormatting sqref="H298:H302">
    <cfRule type="cellIs" dxfId="6180" priority="8569" operator="equal">
      <formula>0</formula>
    </cfRule>
  </conditionalFormatting>
  <conditionalFormatting sqref="H288">
    <cfRule type="cellIs" dxfId="6179" priority="8561" operator="equal">
      <formula>0</formula>
    </cfRule>
  </conditionalFormatting>
  <conditionalFormatting sqref="D304">
    <cfRule type="cellIs" dxfId="6178" priority="8560" operator="equal">
      <formula>0</formula>
    </cfRule>
  </conditionalFormatting>
  <conditionalFormatting sqref="C304">
    <cfRule type="cellIs" dxfId="6177" priority="8559" operator="equal">
      <formula>0</formula>
    </cfRule>
  </conditionalFormatting>
  <conditionalFormatting sqref="B304:T304">
    <cfRule type="cellIs" dxfId="6176" priority="8558" operator="equal">
      <formula>0</formula>
    </cfRule>
  </conditionalFormatting>
  <conditionalFormatting sqref="H304 U304">
    <cfRule type="cellIs" dxfId="6175" priority="8557" operator="equal">
      <formula>0</formula>
    </cfRule>
  </conditionalFormatting>
  <conditionalFormatting sqref="H304 U304">
    <cfRule type="cellIs" dxfId="6174" priority="8556" operator="equal">
      <formula>0</formula>
    </cfRule>
  </conditionalFormatting>
  <conditionalFormatting sqref="D314">
    <cfRule type="cellIs" dxfId="6173" priority="8555" operator="equal">
      <formula>0</formula>
    </cfRule>
  </conditionalFormatting>
  <conditionalFormatting sqref="C314">
    <cfRule type="cellIs" dxfId="6172" priority="8554" operator="equal">
      <formula>0</formula>
    </cfRule>
  </conditionalFormatting>
  <conditionalFormatting sqref="B314:G314">
    <cfRule type="cellIs" dxfId="6171" priority="8553" operator="equal">
      <formula>0</formula>
    </cfRule>
  </conditionalFormatting>
  <conditionalFormatting sqref="H314:U314">
    <cfRule type="cellIs" dxfId="6170" priority="8552" operator="equal">
      <formula>0</formula>
    </cfRule>
  </conditionalFormatting>
  <conditionalFormatting sqref="H314:U314">
    <cfRule type="cellIs" dxfId="6169" priority="8551" operator="equal">
      <formula>0</formula>
    </cfRule>
  </conditionalFormatting>
  <conditionalFormatting sqref="D319">
    <cfRule type="cellIs" dxfId="6168" priority="8550" operator="equal">
      <formula>0</formula>
    </cfRule>
  </conditionalFormatting>
  <conditionalFormatting sqref="C319">
    <cfRule type="cellIs" dxfId="6167" priority="8549" operator="equal">
      <formula>0</formula>
    </cfRule>
  </conditionalFormatting>
  <conditionalFormatting sqref="B319:G319">
    <cfRule type="cellIs" dxfId="6166" priority="8548" operator="equal">
      <formula>0</formula>
    </cfRule>
  </conditionalFormatting>
  <conditionalFormatting sqref="H319:U319">
    <cfRule type="cellIs" dxfId="6165" priority="8547" operator="equal">
      <formula>0</formula>
    </cfRule>
  </conditionalFormatting>
  <conditionalFormatting sqref="H319:U319">
    <cfRule type="cellIs" dxfId="6164" priority="8546" operator="equal">
      <formula>0</formula>
    </cfRule>
  </conditionalFormatting>
  <conditionalFormatting sqref="I288:T288">
    <cfRule type="cellIs" dxfId="6163" priority="8577" operator="equal">
      <formula>0</formula>
    </cfRule>
  </conditionalFormatting>
  <conditionalFormatting sqref="U324">
    <cfRule type="cellIs" dxfId="6162" priority="8575" operator="equal">
      <formula>0</formula>
    </cfRule>
  </conditionalFormatting>
  <conditionalFormatting sqref="G291:G296 B296:F296">
    <cfRule type="cellIs" dxfId="6161" priority="8574" operator="lessThan">
      <formula>0</formula>
    </cfRule>
  </conditionalFormatting>
  <conditionalFormatting sqref="C291:D291 D292:D302">
    <cfRule type="cellIs" dxfId="6160" priority="8573" operator="equal">
      <formula>0</formula>
    </cfRule>
  </conditionalFormatting>
  <conditionalFormatting sqref="H291:H295">
    <cfRule type="cellIs" dxfId="6159" priority="8570" operator="equal">
      <formula>0</formula>
    </cfRule>
  </conditionalFormatting>
  <conditionalFormatting sqref="I291:T295">
    <cfRule type="cellIs" dxfId="6158" priority="8568" operator="equal">
      <formula>0</formula>
    </cfRule>
  </conditionalFormatting>
  <conditionalFormatting sqref="U291:U295">
    <cfRule type="cellIs" dxfId="6157" priority="8567" operator="equal">
      <formula>0</formula>
    </cfRule>
  </conditionalFormatting>
  <conditionalFormatting sqref="B297:G297 C298:H298 C286:D286 B324:U324 F288:G288 B288 I287:T288 C300:H302 B296:H296 C291:U295 D299:H299 C289:T290 F286:U286">
    <cfRule type="cellIs" dxfId="6156" priority="8566" operator="equal">
      <formula>0</formula>
    </cfRule>
  </conditionalFormatting>
  <conditionalFormatting sqref="H297:U297">
    <cfRule type="cellIs" dxfId="6155" priority="8565" operator="equal">
      <formula>0</formula>
    </cfRule>
  </conditionalFormatting>
  <conditionalFormatting sqref="H297:U297">
    <cfRule type="cellIs" dxfId="6154" priority="8564" operator="equal">
      <formula>0</formula>
    </cfRule>
  </conditionalFormatting>
  <conditionalFormatting sqref="U324">
    <cfRule type="cellIs" dxfId="6153" priority="8563" operator="equal">
      <formula>0</formula>
    </cfRule>
  </conditionalFormatting>
  <conditionalFormatting sqref="C288:E288">
    <cfRule type="cellIs" dxfId="6152" priority="8562" operator="equal">
      <formula>0</formula>
    </cfRule>
  </conditionalFormatting>
  <conditionalFormatting sqref="B287">
    <cfRule type="cellIs" dxfId="6151" priority="8545" operator="equal">
      <formula>0</formula>
    </cfRule>
  </conditionalFormatting>
  <conditionalFormatting sqref="C303">
    <cfRule type="cellIs" dxfId="6150" priority="8542" operator="equal">
      <formula>0</formula>
    </cfRule>
  </conditionalFormatting>
  <conditionalFormatting sqref="B303:G303">
    <cfRule type="cellIs" dxfId="6149" priority="8544" operator="lessThan">
      <formula>0</formula>
    </cfRule>
  </conditionalFormatting>
  <conditionalFormatting sqref="D303">
    <cfRule type="cellIs" dxfId="6148" priority="8543" operator="equal">
      <formula>0</formula>
    </cfRule>
  </conditionalFormatting>
  <conditionalFormatting sqref="B303:H303">
    <cfRule type="cellIs" dxfId="6147" priority="8541" operator="equal">
      <formula>0</formula>
    </cfRule>
  </conditionalFormatting>
  <conditionalFormatting sqref="B313">
    <cfRule type="cellIs" dxfId="6146" priority="8540" operator="lessThan">
      <formula>0</formula>
    </cfRule>
  </conditionalFormatting>
  <conditionalFormatting sqref="B313">
    <cfRule type="cellIs" dxfId="6145" priority="8539" operator="equal">
      <formula>0</formula>
    </cfRule>
  </conditionalFormatting>
  <conditionalFormatting sqref="C318">
    <cfRule type="cellIs" dxfId="6144" priority="8536" operator="equal">
      <formula>0</formula>
    </cfRule>
  </conditionalFormatting>
  <conditionalFormatting sqref="B318:G318">
    <cfRule type="cellIs" dxfId="6143" priority="8538" operator="lessThan">
      <formula>0</formula>
    </cfRule>
  </conditionalFormatting>
  <conditionalFormatting sqref="D318">
    <cfRule type="cellIs" dxfId="6142" priority="8537" operator="equal">
      <formula>0</formula>
    </cfRule>
  </conditionalFormatting>
  <conditionalFormatting sqref="B318:H318">
    <cfRule type="cellIs" dxfId="6141" priority="8535" operator="equal">
      <formula>0</formula>
    </cfRule>
  </conditionalFormatting>
  <conditionalFormatting sqref="B323">
    <cfRule type="cellIs" dxfId="6140" priority="8534" operator="lessThan">
      <formula>0</formula>
    </cfRule>
  </conditionalFormatting>
  <conditionalFormatting sqref="B323">
    <cfRule type="cellIs" dxfId="6139" priority="8533" operator="equal">
      <formula>0</formula>
    </cfRule>
  </conditionalFormatting>
  <conditionalFormatting sqref="C299">
    <cfRule type="cellIs" dxfId="6138" priority="8531" operator="equal">
      <formula>0</formula>
    </cfRule>
  </conditionalFormatting>
  <conditionalFormatting sqref="I304:T304">
    <cfRule type="cellIs" dxfId="6137" priority="8529" operator="equal">
      <formula>0</formula>
    </cfRule>
  </conditionalFormatting>
  <conditionalFormatting sqref="C299">
    <cfRule type="cellIs" dxfId="6136" priority="8532" operator="equal">
      <formula>0</formula>
    </cfRule>
  </conditionalFormatting>
  <conditionalFormatting sqref="I304:T304">
    <cfRule type="cellIs" dxfId="6135" priority="8530" operator="equal">
      <formula>0</formula>
    </cfRule>
  </conditionalFormatting>
  <conditionalFormatting sqref="U318">
    <cfRule type="cellIs" dxfId="6134" priority="8528" operator="equal">
      <formula>0</formula>
    </cfRule>
  </conditionalFormatting>
  <conditionalFormatting sqref="U318">
    <cfRule type="cellIs" dxfId="6133" priority="8527" operator="equal">
      <formula>0</formula>
    </cfRule>
  </conditionalFormatting>
  <conditionalFormatting sqref="U296">
    <cfRule type="cellIs" dxfId="6132" priority="8526" operator="equal">
      <formula>0</formula>
    </cfRule>
  </conditionalFormatting>
  <conditionalFormatting sqref="U296">
    <cfRule type="cellIs" dxfId="6131" priority="8525" operator="equal">
      <formula>0</formula>
    </cfRule>
  </conditionalFormatting>
  <conditionalFormatting sqref="U289:U290">
    <cfRule type="cellIs" dxfId="6130" priority="8524" operator="equal">
      <formula>0</formula>
    </cfRule>
  </conditionalFormatting>
  <conditionalFormatting sqref="U286">
    <cfRule type="cellIs" dxfId="6129" priority="8523" operator="equal">
      <formula>0</formula>
    </cfRule>
  </conditionalFormatting>
  <conditionalFormatting sqref="U288">
    <cfRule type="cellIs" dxfId="6128" priority="8522" operator="equal">
      <formula>0</formula>
    </cfRule>
  </conditionalFormatting>
  <conditionalFormatting sqref="U286:U288">
    <cfRule type="cellIs" dxfId="6127" priority="8521" operator="equal">
      <formula>0</formula>
    </cfRule>
  </conditionalFormatting>
  <conditionalFormatting sqref="I318:T318">
    <cfRule type="cellIs" dxfId="6126" priority="8520" operator="equal">
      <formula>0</formula>
    </cfRule>
  </conditionalFormatting>
  <conditionalFormatting sqref="H309:H311">
    <cfRule type="cellIs" dxfId="6125" priority="8493" operator="equal">
      <formula>0</formula>
    </cfRule>
  </conditionalFormatting>
  <conditionalFormatting sqref="C310:C311">
    <cfRule type="cellIs" dxfId="6124" priority="8494" operator="equal">
      <formula>0</formula>
    </cfRule>
  </conditionalFormatting>
  <conditionalFormatting sqref="H312">
    <cfRule type="cellIs" dxfId="6123" priority="8483" operator="equal">
      <formula>0</formula>
    </cfRule>
  </conditionalFormatting>
  <conditionalFormatting sqref="C312:H312">
    <cfRule type="cellIs" dxfId="6122" priority="8482" operator="equal">
      <formula>0</formula>
    </cfRule>
  </conditionalFormatting>
  <conditionalFormatting sqref="I312:T312">
    <cfRule type="cellIs" dxfId="6121" priority="8481" operator="equal">
      <formula>0</formula>
    </cfRule>
  </conditionalFormatting>
  <conditionalFormatting sqref="I309:T311">
    <cfRule type="cellIs" dxfId="6120" priority="8489" operator="equal">
      <formula>0</formula>
    </cfRule>
  </conditionalFormatting>
  <conditionalFormatting sqref="U309:U311">
    <cfRule type="cellIs" dxfId="6119" priority="8488" operator="equal">
      <formula>0</formula>
    </cfRule>
  </conditionalFormatting>
  <conditionalFormatting sqref="I309:U311">
    <cfRule type="cellIs" dxfId="6118" priority="8487" operator="equal">
      <formula>0</formula>
    </cfRule>
  </conditionalFormatting>
  <conditionalFormatting sqref="D312">
    <cfRule type="cellIs" dxfId="6117" priority="8486" operator="equal">
      <formula>0</formula>
    </cfRule>
  </conditionalFormatting>
  <conditionalFormatting sqref="F312:G312">
    <cfRule type="cellIs" dxfId="6116" priority="8485" operator="equal">
      <formula>0</formula>
    </cfRule>
  </conditionalFormatting>
  <conditionalFormatting sqref="U315:U317">
    <cfRule type="cellIs" dxfId="6115" priority="8466" operator="equal">
      <formula>0</formula>
    </cfRule>
  </conditionalFormatting>
  <conditionalFormatting sqref="C312">
    <cfRule type="cellIs" dxfId="6114" priority="8484" operator="equal">
      <formula>0</formula>
    </cfRule>
  </conditionalFormatting>
  <conditionalFormatting sqref="I315:U317">
    <cfRule type="cellIs" dxfId="6113" priority="8465" operator="equal">
      <formula>0</formula>
    </cfRule>
  </conditionalFormatting>
  <conditionalFormatting sqref="I312:U312">
    <cfRule type="cellIs" dxfId="6112" priority="8479" operator="equal">
      <formula>0</formula>
    </cfRule>
  </conditionalFormatting>
  <conditionalFormatting sqref="D313">
    <cfRule type="cellIs" dxfId="6111" priority="8477" operator="equal">
      <formula>0</formula>
    </cfRule>
  </conditionalFormatting>
  <conditionalFormatting sqref="C315 C317">
    <cfRule type="cellIs" dxfId="6110" priority="8472" operator="equal">
      <formula>0</formula>
    </cfRule>
  </conditionalFormatting>
  <conditionalFormatting sqref="C313">
    <cfRule type="cellIs" dxfId="6109" priority="8476" operator="equal">
      <formula>0</formula>
    </cfRule>
  </conditionalFormatting>
  <conditionalFormatting sqref="C313:H313">
    <cfRule type="cellIs" dxfId="6108" priority="8475" operator="equal">
      <formula>0</formula>
    </cfRule>
  </conditionalFormatting>
  <conditionalFormatting sqref="I315:T317">
    <cfRule type="cellIs" dxfId="6107" priority="8467" operator="equal">
      <formula>0</formula>
    </cfRule>
  </conditionalFormatting>
  <conditionalFormatting sqref="F315:G317">
    <cfRule type="cellIs" dxfId="6106" priority="8473" operator="equal">
      <formula>0</formula>
    </cfRule>
  </conditionalFormatting>
  <conditionalFormatting sqref="H320:H322">
    <cfRule type="cellIs" dxfId="6105" priority="8451" operator="equal">
      <formula>0</formula>
    </cfRule>
  </conditionalFormatting>
  <conditionalFormatting sqref="C316">
    <cfRule type="cellIs" dxfId="6104" priority="8469" operator="equal">
      <formula>0</formula>
    </cfRule>
  </conditionalFormatting>
  <conditionalFormatting sqref="H315:H317">
    <cfRule type="cellIs" dxfId="6103" priority="8471" operator="equal">
      <formula>0</formula>
    </cfRule>
  </conditionalFormatting>
  <conditionalFormatting sqref="C316">
    <cfRule type="cellIs" dxfId="6102" priority="8468" operator="equal">
      <formula>0</formula>
    </cfRule>
  </conditionalFormatting>
  <conditionalFormatting sqref="U323">
    <cfRule type="cellIs" dxfId="6101" priority="8457" operator="equal">
      <formula>0</formula>
    </cfRule>
  </conditionalFormatting>
  <conditionalFormatting sqref="U320:U322">
    <cfRule type="cellIs" dxfId="6100" priority="8446" operator="equal">
      <formula>0</formula>
    </cfRule>
  </conditionalFormatting>
  <conditionalFormatting sqref="I323:T323">
    <cfRule type="cellIs" dxfId="6099" priority="8455" operator="equal">
      <formula>0</formula>
    </cfRule>
  </conditionalFormatting>
  <conditionalFormatting sqref="D320:D322">
    <cfRule type="cellIs" dxfId="6098" priority="8454" operator="equal">
      <formula>0</formula>
    </cfRule>
  </conditionalFormatting>
  <conditionalFormatting sqref="F320:G322">
    <cfRule type="cellIs" dxfId="6097" priority="8453" operator="equal">
      <formula>0</formula>
    </cfRule>
  </conditionalFormatting>
  <conditionalFormatting sqref="C320 C322">
    <cfRule type="cellIs" dxfId="6096" priority="8452" operator="equal">
      <formula>0</formula>
    </cfRule>
  </conditionalFormatting>
  <conditionalFormatting sqref="C323">
    <cfRule type="cellIs" dxfId="6095" priority="8459" operator="equal">
      <formula>0</formula>
    </cfRule>
  </conditionalFormatting>
  <conditionalFormatting sqref="C321">
    <cfRule type="cellIs" dxfId="6094" priority="8449" operator="equal">
      <formula>0</formula>
    </cfRule>
  </conditionalFormatting>
  <conditionalFormatting sqref="I320:T322">
    <cfRule type="cellIs" dxfId="6093" priority="8447" operator="equal">
      <formula>0</formula>
    </cfRule>
  </conditionalFormatting>
  <conditionalFormatting sqref="I320:U322">
    <cfRule type="cellIs" dxfId="6092" priority="8445" operator="equal">
      <formula>0</formula>
    </cfRule>
  </conditionalFormatting>
  <conditionalFormatting sqref="C309">
    <cfRule type="cellIs" dxfId="6091" priority="8491" operator="equal">
      <formula>0</formula>
    </cfRule>
  </conditionalFormatting>
  <conditionalFormatting sqref="C309">
    <cfRule type="cellIs" dxfId="6090" priority="8490" operator="equal">
      <formula>0</formula>
    </cfRule>
  </conditionalFormatting>
  <conditionalFormatting sqref="U312">
    <cfRule type="cellIs" dxfId="6089" priority="8480" operator="equal">
      <formula>0</formula>
    </cfRule>
  </conditionalFormatting>
  <conditionalFormatting sqref="C315:H315 C317:H317 D316:H316">
    <cfRule type="cellIs" dxfId="6088" priority="8470" operator="equal">
      <formula>0</formula>
    </cfRule>
  </conditionalFormatting>
  <conditionalFormatting sqref="D315:D317">
    <cfRule type="cellIs" dxfId="6087" priority="8474" operator="equal">
      <formula>0</formula>
    </cfRule>
  </conditionalFormatting>
  <conditionalFormatting sqref="U313">
    <cfRule type="cellIs" dxfId="6086" priority="8463" operator="equal">
      <formula>0</formula>
    </cfRule>
  </conditionalFormatting>
  <conditionalFormatting sqref="I313:T313">
    <cfRule type="cellIs" dxfId="6085" priority="8462" operator="equal">
      <formula>0</formula>
    </cfRule>
  </conditionalFormatting>
  <conditionalFormatting sqref="D323">
    <cfRule type="cellIs" dxfId="6084" priority="8460" operator="equal">
      <formula>0</formula>
    </cfRule>
  </conditionalFormatting>
  <conditionalFormatting sqref="C323:H323">
    <cfRule type="cellIs" dxfId="6083" priority="8458" operator="equal">
      <formula>0</formula>
    </cfRule>
  </conditionalFormatting>
  <conditionalFormatting sqref="U313">
    <cfRule type="cellIs" dxfId="6082" priority="8464" operator="equal">
      <formula>0</formula>
    </cfRule>
  </conditionalFormatting>
  <conditionalFormatting sqref="C320:H320 C322:H322 D321:H321">
    <cfRule type="cellIs" dxfId="6081" priority="8450" operator="equal">
      <formula>0</formula>
    </cfRule>
  </conditionalFormatting>
  <conditionalFormatting sqref="B316">
    <cfRule type="cellIs" dxfId="6080" priority="8439" operator="equal">
      <formula>0</formula>
    </cfRule>
  </conditionalFormatting>
  <conditionalFormatting sqref="B291 B293:B295">
    <cfRule type="cellIs" dxfId="6079" priority="8519" operator="equal">
      <formula>0</formula>
    </cfRule>
  </conditionalFormatting>
  <conditionalFormatting sqref="B292">
    <cfRule type="cellIs" dxfId="6078" priority="8518" operator="equal">
      <formula>0</formula>
    </cfRule>
  </conditionalFormatting>
  <conditionalFormatting sqref="B290">
    <cfRule type="cellIs" dxfId="6077" priority="8517" operator="equal">
      <formula>0</formula>
    </cfRule>
  </conditionalFormatting>
  <conditionalFormatting sqref="B289">
    <cfRule type="cellIs" dxfId="6076" priority="8516" operator="equal">
      <formula>0</formula>
    </cfRule>
  </conditionalFormatting>
  <conditionalFormatting sqref="B298 B300:B302">
    <cfRule type="cellIs" dxfId="6075" priority="8515" operator="equal">
      <formula>0</formula>
    </cfRule>
  </conditionalFormatting>
  <conditionalFormatting sqref="B299">
    <cfRule type="cellIs" dxfId="6074" priority="8514" operator="equal">
      <formula>0</formula>
    </cfRule>
  </conditionalFormatting>
  <conditionalFormatting sqref="I296:T296">
    <cfRule type="cellIs" dxfId="6073" priority="8513" operator="equal">
      <formula>0</formula>
    </cfRule>
  </conditionalFormatting>
  <conditionalFormatting sqref="I298:T302">
    <cfRule type="cellIs" dxfId="6072" priority="8512" operator="equal">
      <formula>0</formula>
    </cfRule>
  </conditionalFormatting>
  <conditionalFormatting sqref="U298:U302">
    <cfRule type="cellIs" dxfId="6071" priority="8511" operator="equal">
      <formula>0</formula>
    </cfRule>
  </conditionalFormatting>
  <conditionalFormatting sqref="I298:U302">
    <cfRule type="cellIs" dxfId="6070" priority="8510" operator="equal">
      <formula>0</formula>
    </cfRule>
  </conditionalFormatting>
  <conditionalFormatting sqref="U303">
    <cfRule type="cellIs" dxfId="6069" priority="8509" operator="equal">
      <formula>0</formula>
    </cfRule>
  </conditionalFormatting>
  <conditionalFormatting sqref="U303">
    <cfRule type="cellIs" dxfId="6068" priority="8508" operator="equal">
      <formula>0</formula>
    </cfRule>
  </conditionalFormatting>
  <conditionalFormatting sqref="I303:T303">
    <cfRule type="cellIs" dxfId="6067" priority="8507" operator="equal">
      <formula>0</formula>
    </cfRule>
  </conditionalFormatting>
  <conditionalFormatting sqref="F305:G308">
    <cfRule type="cellIs" dxfId="6066" priority="8505" operator="equal">
      <formula>0</formula>
    </cfRule>
  </conditionalFormatting>
  <conditionalFormatting sqref="C305 C307:C308">
    <cfRule type="cellIs" dxfId="6065" priority="8504" operator="equal">
      <formula>0</formula>
    </cfRule>
  </conditionalFormatting>
  <conditionalFormatting sqref="H305:H308">
    <cfRule type="cellIs" dxfId="6064" priority="8503" operator="equal">
      <formula>0</formula>
    </cfRule>
  </conditionalFormatting>
  <conditionalFormatting sqref="D305:D308">
    <cfRule type="cellIs" dxfId="6063" priority="8506" operator="equal">
      <formula>0</formula>
    </cfRule>
  </conditionalFormatting>
  <conditionalFormatting sqref="C305:H305 C307:H308 D306:H306">
    <cfRule type="cellIs" dxfId="6062" priority="8502" operator="equal">
      <formula>0</formula>
    </cfRule>
  </conditionalFormatting>
  <conditionalFormatting sqref="C306">
    <cfRule type="cellIs" dxfId="6061" priority="8500" operator="equal">
      <formula>0</formula>
    </cfRule>
  </conditionalFormatting>
  <conditionalFormatting sqref="C306">
    <cfRule type="cellIs" dxfId="6060" priority="8501" operator="equal">
      <formula>0</formula>
    </cfRule>
  </conditionalFormatting>
  <conditionalFormatting sqref="I305:T308">
    <cfRule type="cellIs" dxfId="6059" priority="8499" operator="equal">
      <formula>0</formula>
    </cfRule>
  </conditionalFormatting>
  <conditionalFormatting sqref="U305:U308">
    <cfRule type="cellIs" dxfId="6058" priority="8498" operator="equal">
      <formula>0</formula>
    </cfRule>
  </conditionalFormatting>
  <conditionalFormatting sqref="I305:U308">
    <cfRule type="cellIs" dxfId="6057" priority="8497" operator="equal">
      <formula>0</formula>
    </cfRule>
  </conditionalFormatting>
  <conditionalFormatting sqref="F309:G311">
    <cfRule type="cellIs" dxfId="6056" priority="8495" operator="equal">
      <formula>0</formula>
    </cfRule>
  </conditionalFormatting>
  <conditionalFormatting sqref="D309:D311">
    <cfRule type="cellIs" dxfId="6055" priority="8496" operator="equal">
      <formula>0</formula>
    </cfRule>
  </conditionalFormatting>
  <conditionalFormatting sqref="C310:H311 D309:H309">
    <cfRule type="cellIs" dxfId="6054" priority="8492" operator="equal">
      <formula>0</formula>
    </cfRule>
  </conditionalFormatting>
  <conditionalFormatting sqref="C313:G313">
    <cfRule type="cellIs" dxfId="6053" priority="8478" operator="lessThan">
      <formula>0</formula>
    </cfRule>
  </conditionalFormatting>
  <conditionalFormatting sqref="C323:G323">
    <cfRule type="cellIs" dxfId="6052" priority="8461" operator="lessThan">
      <formula>0</formula>
    </cfRule>
  </conditionalFormatting>
  <conditionalFormatting sqref="C321">
    <cfRule type="cellIs" dxfId="6051" priority="8448" operator="equal">
      <formula>0</formula>
    </cfRule>
  </conditionalFormatting>
  <conditionalFormatting sqref="U323">
    <cfRule type="cellIs" dxfId="6050" priority="8456" operator="equal">
      <formula>0</formula>
    </cfRule>
  </conditionalFormatting>
  <conditionalFormatting sqref="B315 B317">
    <cfRule type="cellIs" dxfId="6049" priority="8440" operator="equal">
      <formula>0</formula>
    </cfRule>
  </conditionalFormatting>
  <conditionalFormatting sqref="B305 B307:B308">
    <cfRule type="cellIs" dxfId="6048" priority="8444" operator="equal">
      <formula>0</formula>
    </cfRule>
  </conditionalFormatting>
  <conditionalFormatting sqref="B306">
    <cfRule type="cellIs" dxfId="6047" priority="8443" operator="equal">
      <formula>0</formula>
    </cfRule>
  </conditionalFormatting>
  <conditionalFormatting sqref="B309 B311:B312">
    <cfRule type="cellIs" dxfId="6046" priority="8442" operator="equal">
      <formula>0</formula>
    </cfRule>
  </conditionalFormatting>
  <conditionalFormatting sqref="B310">
    <cfRule type="cellIs" dxfId="6045" priority="8441" operator="equal">
      <formula>0</formula>
    </cfRule>
  </conditionalFormatting>
  <conditionalFormatting sqref="B320 B322">
    <cfRule type="cellIs" dxfId="6044" priority="8438" operator="equal">
      <formula>0</formula>
    </cfRule>
  </conditionalFormatting>
  <conditionalFormatting sqref="B321">
    <cfRule type="cellIs" dxfId="6043" priority="8437" operator="equal">
      <formula>0</formula>
    </cfRule>
  </conditionalFormatting>
  <conditionalFormatting sqref="C328:H328 E327">
    <cfRule type="cellIs" dxfId="6042" priority="8436" operator="equal">
      <formula>0</formula>
    </cfRule>
  </conditionalFormatting>
  <conditionalFormatting sqref="H330:H331">
    <cfRule type="cellIs" dxfId="6041" priority="8434" operator="equal">
      <formula>0</formula>
    </cfRule>
  </conditionalFormatting>
  <conditionalFormatting sqref="F339:G343">
    <cfRule type="cellIs" dxfId="6040" priority="8430" operator="equal">
      <formula>0</formula>
    </cfRule>
  </conditionalFormatting>
  <conditionalFormatting sqref="C333:C339 C341:C343">
    <cfRule type="cellIs" dxfId="6039" priority="8429" operator="equal">
      <formula>0</formula>
    </cfRule>
  </conditionalFormatting>
  <conditionalFormatting sqref="H339:H343">
    <cfRule type="cellIs" dxfId="6038" priority="8427" operator="equal">
      <formula>0</formula>
    </cfRule>
  </conditionalFormatting>
  <conditionalFormatting sqref="H329">
    <cfRule type="cellIs" dxfId="6037" priority="8419" operator="equal">
      <formula>0</formula>
    </cfRule>
  </conditionalFormatting>
  <conditionalFormatting sqref="D345">
    <cfRule type="cellIs" dxfId="6036" priority="8418" operator="equal">
      <formula>0</formula>
    </cfRule>
  </conditionalFormatting>
  <conditionalFormatting sqref="C345">
    <cfRule type="cellIs" dxfId="6035" priority="8417" operator="equal">
      <formula>0</formula>
    </cfRule>
  </conditionalFormatting>
  <conditionalFormatting sqref="B345:T345">
    <cfRule type="cellIs" dxfId="6034" priority="8416" operator="equal">
      <formula>0</formula>
    </cfRule>
  </conditionalFormatting>
  <conditionalFormatting sqref="H345 U345">
    <cfRule type="cellIs" dxfId="6033" priority="8415" operator="equal">
      <formula>0</formula>
    </cfRule>
  </conditionalFormatting>
  <conditionalFormatting sqref="H345 U345">
    <cfRule type="cellIs" dxfId="6032" priority="8414" operator="equal">
      <formula>0</formula>
    </cfRule>
  </conditionalFormatting>
  <conditionalFormatting sqref="D355">
    <cfRule type="cellIs" dxfId="6031" priority="8413" operator="equal">
      <formula>0</formula>
    </cfRule>
  </conditionalFormatting>
  <conditionalFormatting sqref="C355">
    <cfRule type="cellIs" dxfId="6030" priority="8412" operator="equal">
      <formula>0</formula>
    </cfRule>
  </conditionalFormatting>
  <conditionalFormatting sqref="B355:G355">
    <cfRule type="cellIs" dxfId="6029" priority="8411" operator="equal">
      <formula>0</formula>
    </cfRule>
  </conditionalFormatting>
  <conditionalFormatting sqref="H355:U355">
    <cfRule type="cellIs" dxfId="6028" priority="8410" operator="equal">
      <formula>0</formula>
    </cfRule>
  </conditionalFormatting>
  <conditionalFormatting sqref="H355:U355">
    <cfRule type="cellIs" dxfId="6027" priority="8409" operator="equal">
      <formula>0</formula>
    </cfRule>
  </conditionalFormatting>
  <conditionalFormatting sqref="D360">
    <cfRule type="cellIs" dxfId="6026" priority="8408" operator="equal">
      <formula>0</formula>
    </cfRule>
  </conditionalFormatting>
  <conditionalFormatting sqref="C360">
    <cfRule type="cellIs" dxfId="6025" priority="8407" operator="equal">
      <formula>0</formula>
    </cfRule>
  </conditionalFormatting>
  <conditionalFormatting sqref="B360:G360">
    <cfRule type="cellIs" dxfId="6024" priority="8406" operator="equal">
      <formula>0</formula>
    </cfRule>
  </conditionalFormatting>
  <conditionalFormatting sqref="H360:U360">
    <cfRule type="cellIs" dxfId="6023" priority="8405" operator="equal">
      <formula>0</formula>
    </cfRule>
  </conditionalFormatting>
  <conditionalFormatting sqref="H360:U360">
    <cfRule type="cellIs" dxfId="6022" priority="8404" operator="equal">
      <formula>0</formula>
    </cfRule>
  </conditionalFormatting>
  <conditionalFormatting sqref="I329:T329">
    <cfRule type="cellIs" dxfId="6021" priority="8435" operator="equal">
      <formula>0</formula>
    </cfRule>
  </conditionalFormatting>
  <conditionalFormatting sqref="U365">
    <cfRule type="cellIs" dxfId="6020" priority="8433" operator="equal">
      <formula>0</formula>
    </cfRule>
  </conditionalFormatting>
  <conditionalFormatting sqref="G332:G337 B337:F337">
    <cfRule type="cellIs" dxfId="6019" priority="8432" operator="lessThan">
      <formula>0</formula>
    </cfRule>
  </conditionalFormatting>
  <conditionalFormatting sqref="C332:D332 D333:D343">
    <cfRule type="cellIs" dxfId="6018" priority="8431" operator="equal">
      <formula>0</formula>
    </cfRule>
  </conditionalFormatting>
  <conditionalFormatting sqref="H332:H336">
    <cfRule type="cellIs" dxfId="6017" priority="8428" operator="equal">
      <formula>0</formula>
    </cfRule>
  </conditionalFormatting>
  <conditionalFormatting sqref="I332:T336">
    <cfRule type="cellIs" dxfId="6016" priority="8426" operator="equal">
      <formula>0</formula>
    </cfRule>
  </conditionalFormatting>
  <conditionalFormatting sqref="U332:U336">
    <cfRule type="cellIs" dxfId="6015" priority="8425" operator="equal">
      <formula>0</formula>
    </cfRule>
  </conditionalFormatting>
  <conditionalFormatting sqref="B338:G338 C339:H339 C327:D327 B365:U365 F329:G329 B329 I328:T329 C341:H343 B337:H337 C332:U336 D340:H340 C330:T331 F327:U327">
    <cfRule type="cellIs" dxfId="6014" priority="8424" operator="equal">
      <formula>0</formula>
    </cfRule>
  </conditionalFormatting>
  <conditionalFormatting sqref="H338:U338">
    <cfRule type="cellIs" dxfId="6013" priority="8423" operator="equal">
      <formula>0</formula>
    </cfRule>
  </conditionalFormatting>
  <conditionalFormatting sqref="H338:U338">
    <cfRule type="cellIs" dxfId="6012" priority="8422" operator="equal">
      <formula>0</formula>
    </cfRule>
  </conditionalFormatting>
  <conditionalFormatting sqref="U365">
    <cfRule type="cellIs" dxfId="6011" priority="8421" operator="equal">
      <formula>0</formula>
    </cfRule>
  </conditionalFormatting>
  <conditionalFormatting sqref="C329:E329">
    <cfRule type="cellIs" dxfId="6010" priority="8420" operator="equal">
      <formula>0</formula>
    </cfRule>
  </conditionalFormatting>
  <conditionalFormatting sqref="B328">
    <cfRule type="cellIs" dxfId="6009" priority="8403" operator="equal">
      <formula>0</formula>
    </cfRule>
  </conditionalFormatting>
  <conditionalFormatting sqref="C344">
    <cfRule type="cellIs" dxfId="6008" priority="8400" operator="equal">
      <formula>0</formula>
    </cfRule>
  </conditionalFormatting>
  <conditionalFormatting sqref="B344:G344">
    <cfRule type="cellIs" dxfId="6007" priority="8402" operator="lessThan">
      <formula>0</formula>
    </cfRule>
  </conditionalFormatting>
  <conditionalFormatting sqref="D344">
    <cfRule type="cellIs" dxfId="6006" priority="8401" operator="equal">
      <formula>0</formula>
    </cfRule>
  </conditionalFormatting>
  <conditionalFormatting sqref="B344:H344">
    <cfRule type="cellIs" dxfId="6005" priority="8399" operator="equal">
      <formula>0</formula>
    </cfRule>
  </conditionalFormatting>
  <conditionalFormatting sqref="B354">
    <cfRule type="cellIs" dxfId="6004" priority="8398" operator="lessThan">
      <formula>0</formula>
    </cfRule>
  </conditionalFormatting>
  <conditionalFormatting sqref="B354">
    <cfRule type="cellIs" dxfId="6003" priority="8397" operator="equal">
      <formula>0</formula>
    </cfRule>
  </conditionalFormatting>
  <conditionalFormatting sqref="C359">
    <cfRule type="cellIs" dxfId="6002" priority="8394" operator="equal">
      <formula>0</formula>
    </cfRule>
  </conditionalFormatting>
  <conditionalFormatting sqref="B359:G359">
    <cfRule type="cellIs" dxfId="6001" priority="8396" operator="lessThan">
      <formula>0</formula>
    </cfRule>
  </conditionalFormatting>
  <conditionalFormatting sqref="D359">
    <cfRule type="cellIs" dxfId="6000" priority="8395" operator="equal">
      <formula>0</formula>
    </cfRule>
  </conditionalFormatting>
  <conditionalFormatting sqref="B359:H359">
    <cfRule type="cellIs" dxfId="5999" priority="8393" operator="equal">
      <formula>0</formula>
    </cfRule>
  </conditionalFormatting>
  <conditionalFormatting sqref="B364">
    <cfRule type="cellIs" dxfId="5998" priority="8392" operator="lessThan">
      <formula>0</formula>
    </cfRule>
  </conditionalFormatting>
  <conditionalFormatting sqref="B364">
    <cfRule type="cellIs" dxfId="5997" priority="8391" operator="equal">
      <formula>0</formula>
    </cfRule>
  </conditionalFormatting>
  <conditionalFormatting sqref="C340">
    <cfRule type="cellIs" dxfId="5996" priority="8389" operator="equal">
      <formula>0</formula>
    </cfRule>
  </conditionalFormatting>
  <conditionalFormatting sqref="I345:T345">
    <cfRule type="cellIs" dxfId="5995" priority="8387" operator="equal">
      <formula>0</formula>
    </cfRule>
  </conditionalFormatting>
  <conditionalFormatting sqref="C340">
    <cfRule type="cellIs" dxfId="5994" priority="8390" operator="equal">
      <formula>0</formula>
    </cfRule>
  </conditionalFormatting>
  <conditionalFormatting sqref="I345:T345">
    <cfRule type="cellIs" dxfId="5993" priority="8388" operator="equal">
      <formula>0</formula>
    </cfRule>
  </conditionalFormatting>
  <conditionalFormatting sqref="U359">
    <cfRule type="cellIs" dxfId="5992" priority="8386" operator="equal">
      <formula>0</formula>
    </cfRule>
  </conditionalFormatting>
  <conditionalFormatting sqref="U359">
    <cfRule type="cellIs" dxfId="5991" priority="8385" operator="equal">
      <formula>0</formula>
    </cfRule>
  </conditionalFormatting>
  <conditionalFormatting sqref="U337">
    <cfRule type="cellIs" dxfId="5990" priority="8384" operator="equal">
      <formula>0</formula>
    </cfRule>
  </conditionalFormatting>
  <conditionalFormatting sqref="U337">
    <cfRule type="cellIs" dxfId="5989" priority="8383" operator="equal">
      <formula>0</formula>
    </cfRule>
  </conditionalFormatting>
  <conditionalFormatting sqref="U330:U331">
    <cfRule type="cellIs" dxfId="5988" priority="8382" operator="equal">
      <formula>0</formula>
    </cfRule>
  </conditionalFormatting>
  <conditionalFormatting sqref="U327">
    <cfRule type="cellIs" dxfId="5987" priority="8381" operator="equal">
      <formula>0</formula>
    </cfRule>
  </conditionalFormatting>
  <conditionalFormatting sqref="U329">
    <cfRule type="cellIs" dxfId="5986" priority="8380" operator="equal">
      <formula>0</formula>
    </cfRule>
  </conditionalFormatting>
  <conditionalFormatting sqref="U327:U329">
    <cfRule type="cellIs" dxfId="5985" priority="8379" operator="equal">
      <formula>0</formula>
    </cfRule>
  </conditionalFormatting>
  <conditionalFormatting sqref="I359:T359">
    <cfRule type="cellIs" dxfId="5984" priority="8378" operator="equal">
      <formula>0</formula>
    </cfRule>
  </conditionalFormatting>
  <conditionalFormatting sqref="H350:H352">
    <cfRule type="cellIs" dxfId="5983" priority="8351" operator="equal">
      <formula>0</formula>
    </cfRule>
  </conditionalFormatting>
  <conditionalFormatting sqref="C351:C352">
    <cfRule type="cellIs" dxfId="5982" priority="8352" operator="equal">
      <formula>0</formula>
    </cfRule>
  </conditionalFormatting>
  <conditionalFormatting sqref="H353">
    <cfRule type="cellIs" dxfId="5981" priority="8341" operator="equal">
      <formula>0</formula>
    </cfRule>
  </conditionalFormatting>
  <conditionalFormatting sqref="C353:H353">
    <cfRule type="cellIs" dxfId="5980" priority="8340" operator="equal">
      <formula>0</formula>
    </cfRule>
  </conditionalFormatting>
  <conditionalFormatting sqref="I353:T353">
    <cfRule type="cellIs" dxfId="5979" priority="8339" operator="equal">
      <formula>0</formula>
    </cfRule>
  </conditionalFormatting>
  <conditionalFormatting sqref="I350:T352">
    <cfRule type="cellIs" dxfId="5978" priority="8347" operator="equal">
      <formula>0</formula>
    </cfRule>
  </conditionalFormatting>
  <conditionalFormatting sqref="U350:U352">
    <cfRule type="cellIs" dxfId="5977" priority="8346" operator="equal">
      <formula>0</formula>
    </cfRule>
  </conditionalFormatting>
  <conditionalFormatting sqref="I350:U352">
    <cfRule type="cellIs" dxfId="5976" priority="8345" operator="equal">
      <formula>0</formula>
    </cfRule>
  </conditionalFormatting>
  <conditionalFormatting sqref="D353">
    <cfRule type="cellIs" dxfId="5975" priority="8344" operator="equal">
      <formula>0</formula>
    </cfRule>
  </conditionalFormatting>
  <conditionalFormatting sqref="F353:G353">
    <cfRule type="cellIs" dxfId="5974" priority="8343" operator="equal">
      <formula>0</formula>
    </cfRule>
  </conditionalFormatting>
  <conditionalFormatting sqref="U356:U358">
    <cfRule type="cellIs" dxfId="5973" priority="8324" operator="equal">
      <formula>0</formula>
    </cfRule>
  </conditionalFormatting>
  <conditionalFormatting sqref="C353">
    <cfRule type="cellIs" dxfId="5972" priority="8342" operator="equal">
      <formula>0</formula>
    </cfRule>
  </conditionalFormatting>
  <conditionalFormatting sqref="I356:U358">
    <cfRule type="cellIs" dxfId="5971" priority="8323" operator="equal">
      <formula>0</formula>
    </cfRule>
  </conditionalFormatting>
  <conditionalFormatting sqref="I353:U353">
    <cfRule type="cellIs" dxfId="5970" priority="8337" operator="equal">
      <formula>0</formula>
    </cfRule>
  </conditionalFormatting>
  <conditionalFormatting sqref="D354">
    <cfRule type="cellIs" dxfId="5969" priority="8335" operator="equal">
      <formula>0</formula>
    </cfRule>
  </conditionalFormatting>
  <conditionalFormatting sqref="C356 C358">
    <cfRule type="cellIs" dxfId="5968" priority="8330" operator="equal">
      <formula>0</formula>
    </cfRule>
  </conditionalFormatting>
  <conditionalFormatting sqref="C354">
    <cfRule type="cellIs" dxfId="5967" priority="8334" operator="equal">
      <formula>0</formula>
    </cfRule>
  </conditionalFormatting>
  <conditionalFormatting sqref="C354:H354">
    <cfRule type="cellIs" dxfId="5966" priority="8333" operator="equal">
      <formula>0</formula>
    </cfRule>
  </conditionalFormatting>
  <conditionalFormatting sqref="I356:T358">
    <cfRule type="cellIs" dxfId="5965" priority="8325" operator="equal">
      <formula>0</formula>
    </cfRule>
  </conditionalFormatting>
  <conditionalFormatting sqref="F356:G358">
    <cfRule type="cellIs" dxfId="5964" priority="8331" operator="equal">
      <formula>0</formula>
    </cfRule>
  </conditionalFormatting>
  <conditionalFormatting sqref="H361:H363">
    <cfRule type="cellIs" dxfId="5963" priority="8309" operator="equal">
      <formula>0</formula>
    </cfRule>
  </conditionalFormatting>
  <conditionalFormatting sqref="C357">
    <cfRule type="cellIs" dxfId="5962" priority="8327" operator="equal">
      <formula>0</formula>
    </cfRule>
  </conditionalFormatting>
  <conditionalFormatting sqref="H356:H358">
    <cfRule type="cellIs" dxfId="5961" priority="8329" operator="equal">
      <formula>0</formula>
    </cfRule>
  </conditionalFormatting>
  <conditionalFormatting sqref="C357">
    <cfRule type="cellIs" dxfId="5960" priority="8326" operator="equal">
      <formula>0</formula>
    </cfRule>
  </conditionalFormatting>
  <conditionalFormatting sqref="U364">
    <cfRule type="cellIs" dxfId="5959" priority="8315" operator="equal">
      <formula>0</formula>
    </cfRule>
  </conditionalFormatting>
  <conditionalFormatting sqref="U361:U363">
    <cfRule type="cellIs" dxfId="5958" priority="8304" operator="equal">
      <formula>0</formula>
    </cfRule>
  </conditionalFormatting>
  <conditionalFormatting sqref="I364:T364">
    <cfRule type="cellIs" dxfId="5957" priority="8313" operator="equal">
      <formula>0</formula>
    </cfRule>
  </conditionalFormatting>
  <conditionalFormatting sqref="D361:D363">
    <cfRule type="cellIs" dxfId="5956" priority="8312" operator="equal">
      <formula>0</formula>
    </cfRule>
  </conditionalFormatting>
  <conditionalFormatting sqref="F361:G363">
    <cfRule type="cellIs" dxfId="5955" priority="8311" operator="equal">
      <formula>0</formula>
    </cfRule>
  </conditionalFormatting>
  <conditionalFormatting sqref="C361 C363">
    <cfRule type="cellIs" dxfId="5954" priority="8310" operator="equal">
      <formula>0</formula>
    </cfRule>
  </conditionalFormatting>
  <conditionalFormatting sqref="C364">
    <cfRule type="cellIs" dxfId="5953" priority="8317" operator="equal">
      <formula>0</formula>
    </cfRule>
  </conditionalFormatting>
  <conditionalFormatting sqref="C362">
    <cfRule type="cellIs" dxfId="5952" priority="8307" operator="equal">
      <formula>0</formula>
    </cfRule>
  </conditionalFormatting>
  <conditionalFormatting sqref="I361:T363">
    <cfRule type="cellIs" dxfId="5951" priority="8305" operator="equal">
      <formula>0</formula>
    </cfRule>
  </conditionalFormatting>
  <conditionalFormatting sqref="I361:U363">
    <cfRule type="cellIs" dxfId="5950" priority="8303" operator="equal">
      <formula>0</formula>
    </cfRule>
  </conditionalFormatting>
  <conditionalFormatting sqref="C350">
    <cfRule type="cellIs" dxfId="5949" priority="8349" operator="equal">
      <formula>0</formula>
    </cfRule>
  </conditionalFormatting>
  <conditionalFormatting sqref="C350">
    <cfRule type="cellIs" dxfId="5948" priority="8348" operator="equal">
      <formula>0</formula>
    </cfRule>
  </conditionalFormatting>
  <conditionalFormatting sqref="U353">
    <cfRule type="cellIs" dxfId="5947" priority="8338" operator="equal">
      <formula>0</formula>
    </cfRule>
  </conditionalFormatting>
  <conditionalFormatting sqref="C356:H356 C358:H358 D357:H357">
    <cfRule type="cellIs" dxfId="5946" priority="8328" operator="equal">
      <formula>0</formula>
    </cfRule>
  </conditionalFormatting>
  <conditionalFormatting sqref="D356:D358">
    <cfRule type="cellIs" dxfId="5945" priority="8332" operator="equal">
      <formula>0</formula>
    </cfRule>
  </conditionalFormatting>
  <conditionalFormatting sqref="U354">
    <cfRule type="cellIs" dxfId="5944" priority="8321" operator="equal">
      <formula>0</formula>
    </cfRule>
  </conditionalFormatting>
  <conditionalFormatting sqref="I354:T354">
    <cfRule type="cellIs" dxfId="5943" priority="8320" operator="equal">
      <formula>0</formula>
    </cfRule>
  </conditionalFormatting>
  <conditionalFormatting sqref="D364">
    <cfRule type="cellIs" dxfId="5942" priority="8318" operator="equal">
      <formula>0</formula>
    </cfRule>
  </conditionalFormatting>
  <conditionalFormatting sqref="C364:H364">
    <cfRule type="cellIs" dxfId="5941" priority="8316" operator="equal">
      <formula>0</formula>
    </cfRule>
  </conditionalFormatting>
  <conditionalFormatting sqref="U354">
    <cfRule type="cellIs" dxfId="5940" priority="8322" operator="equal">
      <formula>0</formula>
    </cfRule>
  </conditionalFormatting>
  <conditionalFormatting sqref="C361:H361 C363:H363 D362:H362">
    <cfRule type="cellIs" dxfId="5939" priority="8308" operator="equal">
      <formula>0</formula>
    </cfRule>
  </conditionalFormatting>
  <conditionalFormatting sqref="B357">
    <cfRule type="cellIs" dxfId="5938" priority="8297" operator="equal">
      <formula>0</formula>
    </cfRule>
  </conditionalFormatting>
  <conditionalFormatting sqref="B332 B334:B336">
    <cfRule type="cellIs" dxfId="5937" priority="8377" operator="equal">
      <formula>0</formula>
    </cfRule>
  </conditionalFormatting>
  <conditionalFormatting sqref="B333">
    <cfRule type="cellIs" dxfId="5936" priority="8376" operator="equal">
      <formula>0</formula>
    </cfRule>
  </conditionalFormatting>
  <conditionalFormatting sqref="B331">
    <cfRule type="cellIs" dxfId="5935" priority="8375" operator="equal">
      <formula>0</formula>
    </cfRule>
  </conditionalFormatting>
  <conditionalFormatting sqref="B330">
    <cfRule type="cellIs" dxfId="5934" priority="8374" operator="equal">
      <formula>0</formula>
    </cfRule>
  </conditionalFormatting>
  <conditionalFormatting sqref="B339 B341:B343">
    <cfRule type="cellIs" dxfId="5933" priority="8373" operator="equal">
      <formula>0</formula>
    </cfRule>
  </conditionalFormatting>
  <conditionalFormatting sqref="B340">
    <cfRule type="cellIs" dxfId="5932" priority="8372" operator="equal">
      <formula>0</formula>
    </cfRule>
  </conditionalFormatting>
  <conditionalFormatting sqref="I337:T337">
    <cfRule type="cellIs" dxfId="5931" priority="8371" operator="equal">
      <formula>0</formula>
    </cfRule>
  </conditionalFormatting>
  <conditionalFormatting sqref="I339:T343">
    <cfRule type="cellIs" dxfId="5930" priority="8370" operator="equal">
      <formula>0</formula>
    </cfRule>
  </conditionalFormatting>
  <conditionalFormatting sqref="U339:U343">
    <cfRule type="cellIs" dxfId="5929" priority="8369" operator="equal">
      <formula>0</formula>
    </cfRule>
  </conditionalFormatting>
  <conditionalFormatting sqref="I339:U343">
    <cfRule type="cellIs" dxfId="5928" priority="8368" operator="equal">
      <formula>0</formula>
    </cfRule>
  </conditionalFormatting>
  <conditionalFormatting sqref="U344">
    <cfRule type="cellIs" dxfId="5927" priority="8367" operator="equal">
      <formula>0</formula>
    </cfRule>
  </conditionalFormatting>
  <conditionalFormatting sqref="U344">
    <cfRule type="cellIs" dxfId="5926" priority="8366" operator="equal">
      <formula>0</formula>
    </cfRule>
  </conditionalFormatting>
  <conditionalFormatting sqref="I344:T344">
    <cfRule type="cellIs" dxfId="5925" priority="8365" operator="equal">
      <formula>0</formula>
    </cfRule>
  </conditionalFormatting>
  <conditionalFormatting sqref="F346:G349">
    <cfRule type="cellIs" dxfId="5924" priority="8363" operator="equal">
      <formula>0</formula>
    </cfRule>
  </conditionalFormatting>
  <conditionalFormatting sqref="C346 C348:C349">
    <cfRule type="cellIs" dxfId="5923" priority="8362" operator="equal">
      <formula>0</formula>
    </cfRule>
  </conditionalFormatting>
  <conditionalFormatting sqref="H346:H349">
    <cfRule type="cellIs" dxfId="5922" priority="8361" operator="equal">
      <formula>0</formula>
    </cfRule>
  </conditionalFormatting>
  <conditionalFormatting sqref="D346:D349">
    <cfRule type="cellIs" dxfId="5921" priority="8364" operator="equal">
      <formula>0</formula>
    </cfRule>
  </conditionalFormatting>
  <conditionalFormatting sqref="C346:H346 C348:H349 D347:H347">
    <cfRule type="cellIs" dxfId="5920" priority="8360" operator="equal">
      <formula>0</formula>
    </cfRule>
  </conditionalFormatting>
  <conditionalFormatting sqref="C347">
    <cfRule type="cellIs" dxfId="5919" priority="8358" operator="equal">
      <formula>0</formula>
    </cfRule>
  </conditionalFormatting>
  <conditionalFormatting sqref="C347">
    <cfRule type="cellIs" dxfId="5918" priority="8359" operator="equal">
      <formula>0</formula>
    </cfRule>
  </conditionalFormatting>
  <conditionalFormatting sqref="I346:T349">
    <cfRule type="cellIs" dxfId="5917" priority="8357" operator="equal">
      <formula>0</formula>
    </cfRule>
  </conditionalFormatting>
  <conditionalFormatting sqref="U346:U349">
    <cfRule type="cellIs" dxfId="5916" priority="8356" operator="equal">
      <formula>0</formula>
    </cfRule>
  </conditionalFormatting>
  <conditionalFormatting sqref="I346:U349">
    <cfRule type="cellIs" dxfId="5915" priority="8355" operator="equal">
      <formula>0</formula>
    </cfRule>
  </conditionalFormatting>
  <conditionalFormatting sqref="F350:G352">
    <cfRule type="cellIs" dxfId="5914" priority="8353" operator="equal">
      <formula>0</formula>
    </cfRule>
  </conditionalFormatting>
  <conditionalFormatting sqref="D350:D352">
    <cfRule type="cellIs" dxfId="5913" priority="8354" operator="equal">
      <formula>0</formula>
    </cfRule>
  </conditionalFormatting>
  <conditionalFormatting sqref="C351:H352 D350:H350">
    <cfRule type="cellIs" dxfId="5912" priority="8350" operator="equal">
      <formula>0</formula>
    </cfRule>
  </conditionalFormatting>
  <conditionalFormatting sqref="C354:G354">
    <cfRule type="cellIs" dxfId="5911" priority="8336" operator="lessThan">
      <formula>0</formula>
    </cfRule>
  </conditionalFormatting>
  <conditionalFormatting sqref="C364:G364">
    <cfRule type="cellIs" dxfId="5910" priority="8319" operator="lessThan">
      <formula>0</formula>
    </cfRule>
  </conditionalFormatting>
  <conditionalFormatting sqref="C362">
    <cfRule type="cellIs" dxfId="5909" priority="8306" operator="equal">
      <formula>0</formula>
    </cfRule>
  </conditionalFormatting>
  <conditionalFormatting sqref="U364">
    <cfRule type="cellIs" dxfId="5908" priority="8314" operator="equal">
      <formula>0</formula>
    </cfRule>
  </conditionalFormatting>
  <conditionalFormatting sqref="B356 B358">
    <cfRule type="cellIs" dxfId="5907" priority="8298" operator="equal">
      <formula>0</formula>
    </cfRule>
  </conditionalFormatting>
  <conditionalFormatting sqref="B346 B348:B349">
    <cfRule type="cellIs" dxfId="5906" priority="8302" operator="equal">
      <formula>0</formula>
    </cfRule>
  </conditionalFormatting>
  <conditionalFormatting sqref="B347">
    <cfRule type="cellIs" dxfId="5905" priority="8301" operator="equal">
      <formula>0</formula>
    </cfRule>
  </conditionalFormatting>
  <conditionalFormatting sqref="B350 B352:B353">
    <cfRule type="cellIs" dxfId="5904" priority="8300" operator="equal">
      <formula>0</formula>
    </cfRule>
  </conditionalFormatting>
  <conditionalFormatting sqref="B351">
    <cfRule type="cellIs" dxfId="5903" priority="8299" operator="equal">
      <formula>0</formula>
    </cfRule>
  </conditionalFormatting>
  <conditionalFormatting sqref="B361 B363">
    <cfRule type="cellIs" dxfId="5902" priority="8296" operator="equal">
      <formula>0</formula>
    </cfRule>
  </conditionalFormatting>
  <conditionalFormatting sqref="B362">
    <cfRule type="cellIs" dxfId="5901" priority="8295" operator="equal">
      <formula>0</formula>
    </cfRule>
  </conditionalFormatting>
  <conditionalFormatting sqref="C369:H369 E368">
    <cfRule type="cellIs" dxfId="5900" priority="8294" operator="equal">
      <formula>0</formula>
    </cfRule>
  </conditionalFormatting>
  <conditionalFormatting sqref="H371:H372">
    <cfRule type="cellIs" dxfId="5899" priority="8292" operator="equal">
      <formula>0</formula>
    </cfRule>
  </conditionalFormatting>
  <conditionalFormatting sqref="F380:G384">
    <cfRule type="cellIs" dxfId="5898" priority="8288" operator="equal">
      <formula>0</formula>
    </cfRule>
  </conditionalFormatting>
  <conditionalFormatting sqref="C374:C380 C382:C384">
    <cfRule type="cellIs" dxfId="5897" priority="8287" operator="equal">
      <formula>0</formula>
    </cfRule>
  </conditionalFormatting>
  <conditionalFormatting sqref="H380:H384">
    <cfRule type="cellIs" dxfId="5896" priority="8285" operator="equal">
      <formula>0</formula>
    </cfRule>
  </conditionalFormatting>
  <conditionalFormatting sqref="H370">
    <cfRule type="cellIs" dxfId="5895" priority="8277" operator="equal">
      <formula>0</formula>
    </cfRule>
  </conditionalFormatting>
  <conditionalFormatting sqref="D386">
    <cfRule type="cellIs" dxfId="5894" priority="8276" operator="equal">
      <formula>0</formula>
    </cfRule>
  </conditionalFormatting>
  <conditionalFormatting sqref="C386">
    <cfRule type="cellIs" dxfId="5893" priority="8275" operator="equal">
      <formula>0</formula>
    </cfRule>
  </conditionalFormatting>
  <conditionalFormatting sqref="B386:T386">
    <cfRule type="cellIs" dxfId="5892" priority="8274" operator="equal">
      <formula>0</formula>
    </cfRule>
  </conditionalFormatting>
  <conditionalFormatting sqref="H386 U386">
    <cfRule type="cellIs" dxfId="5891" priority="8273" operator="equal">
      <formula>0</formula>
    </cfRule>
  </conditionalFormatting>
  <conditionalFormatting sqref="H386 U386">
    <cfRule type="cellIs" dxfId="5890" priority="8272" operator="equal">
      <formula>0</formula>
    </cfRule>
  </conditionalFormatting>
  <conditionalFormatting sqref="D396">
    <cfRule type="cellIs" dxfId="5889" priority="8271" operator="equal">
      <formula>0</formula>
    </cfRule>
  </conditionalFormatting>
  <conditionalFormatting sqref="C396">
    <cfRule type="cellIs" dxfId="5888" priority="8270" operator="equal">
      <formula>0</formula>
    </cfRule>
  </conditionalFormatting>
  <conditionalFormatting sqref="B396:G396">
    <cfRule type="cellIs" dxfId="5887" priority="8269" operator="equal">
      <formula>0</formula>
    </cfRule>
  </conditionalFormatting>
  <conditionalFormatting sqref="H396:U396">
    <cfRule type="cellIs" dxfId="5886" priority="8268" operator="equal">
      <formula>0</formula>
    </cfRule>
  </conditionalFormatting>
  <conditionalFormatting sqref="H396:U396">
    <cfRule type="cellIs" dxfId="5885" priority="8267" operator="equal">
      <formula>0</formula>
    </cfRule>
  </conditionalFormatting>
  <conditionalFormatting sqref="D401">
    <cfRule type="cellIs" dxfId="5884" priority="8266" operator="equal">
      <formula>0</formula>
    </cfRule>
  </conditionalFormatting>
  <conditionalFormatting sqref="C401">
    <cfRule type="cellIs" dxfId="5883" priority="8265" operator="equal">
      <formula>0</formula>
    </cfRule>
  </conditionalFormatting>
  <conditionalFormatting sqref="B401:G401">
    <cfRule type="cellIs" dxfId="5882" priority="8264" operator="equal">
      <formula>0</formula>
    </cfRule>
  </conditionalFormatting>
  <conditionalFormatting sqref="H401:U401">
    <cfRule type="cellIs" dxfId="5881" priority="8263" operator="equal">
      <formula>0</formula>
    </cfRule>
  </conditionalFormatting>
  <conditionalFormatting sqref="H401:U401">
    <cfRule type="cellIs" dxfId="5880" priority="8262" operator="equal">
      <formula>0</formula>
    </cfRule>
  </conditionalFormatting>
  <conditionalFormatting sqref="I370:T370">
    <cfRule type="cellIs" dxfId="5879" priority="8293" operator="equal">
      <formula>0</formula>
    </cfRule>
  </conditionalFormatting>
  <conditionalFormatting sqref="U406">
    <cfRule type="cellIs" dxfId="5878" priority="8291" operator="equal">
      <formula>0</formula>
    </cfRule>
  </conditionalFormatting>
  <conditionalFormatting sqref="G373:G378 B378:F378">
    <cfRule type="cellIs" dxfId="5877" priority="8290" operator="lessThan">
      <formula>0</formula>
    </cfRule>
  </conditionalFormatting>
  <conditionalFormatting sqref="C373:D373 D374:D384">
    <cfRule type="cellIs" dxfId="5876" priority="8289" operator="equal">
      <formula>0</formula>
    </cfRule>
  </conditionalFormatting>
  <conditionalFormatting sqref="H373:H377">
    <cfRule type="cellIs" dxfId="5875" priority="8286" operator="equal">
      <formula>0</formula>
    </cfRule>
  </conditionalFormatting>
  <conditionalFormatting sqref="I373:T377">
    <cfRule type="cellIs" dxfId="5874" priority="8284" operator="equal">
      <formula>0</formula>
    </cfRule>
  </conditionalFormatting>
  <conditionalFormatting sqref="U373:U377">
    <cfRule type="cellIs" dxfId="5873" priority="8283" operator="equal">
      <formula>0</formula>
    </cfRule>
  </conditionalFormatting>
  <conditionalFormatting sqref="B379:G379 C380:H380 C368:D368 B406:U406 F370:G370 B370 I369:T370 C382:H384 B378:H378 C373:U377 D381:H381 C371:T372 F368:U368">
    <cfRule type="cellIs" dxfId="5872" priority="8282" operator="equal">
      <formula>0</formula>
    </cfRule>
  </conditionalFormatting>
  <conditionalFormatting sqref="H379:U379">
    <cfRule type="cellIs" dxfId="5871" priority="8281" operator="equal">
      <formula>0</formula>
    </cfRule>
  </conditionalFormatting>
  <conditionalFormatting sqref="H379:U379">
    <cfRule type="cellIs" dxfId="5870" priority="8280" operator="equal">
      <formula>0</formula>
    </cfRule>
  </conditionalFormatting>
  <conditionalFormatting sqref="U406">
    <cfRule type="cellIs" dxfId="5869" priority="8279" operator="equal">
      <formula>0</formula>
    </cfRule>
  </conditionalFormatting>
  <conditionalFormatting sqref="C370:E370">
    <cfRule type="cellIs" dxfId="5868" priority="8278" operator="equal">
      <formula>0</formula>
    </cfRule>
  </conditionalFormatting>
  <conditionalFormatting sqref="B369">
    <cfRule type="cellIs" dxfId="5867" priority="8261" operator="equal">
      <formula>0</formula>
    </cfRule>
  </conditionalFormatting>
  <conditionalFormatting sqref="C385">
    <cfRule type="cellIs" dxfId="5866" priority="8258" operator="equal">
      <formula>0</formula>
    </cfRule>
  </conditionalFormatting>
  <conditionalFormatting sqref="B385:G385">
    <cfRule type="cellIs" dxfId="5865" priority="8260" operator="lessThan">
      <formula>0</formula>
    </cfRule>
  </conditionalFormatting>
  <conditionalFormatting sqref="D385">
    <cfRule type="cellIs" dxfId="5864" priority="8259" operator="equal">
      <formula>0</formula>
    </cfRule>
  </conditionalFormatting>
  <conditionalFormatting sqref="B385:H385">
    <cfRule type="cellIs" dxfId="5863" priority="8257" operator="equal">
      <formula>0</formula>
    </cfRule>
  </conditionalFormatting>
  <conditionalFormatting sqref="B395">
    <cfRule type="cellIs" dxfId="5862" priority="8256" operator="lessThan">
      <formula>0</formula>
    </cfRule>
  </conditionalFormatting>
  <conditionalFormatting sqref="B395">
    <cfRule type="cellIs" dxfId="5861" priority="8255" operator="equal">
      <formula>0</formula>
    </cfRule>
  </conditionalFormatting>
  <conditionalFormatting sqref="C400">
    <cfRule type="cellIs" dxfId="5860" priority="8252" operator="equal">
      <formula>0</formula>
    </cfRule>
  </conditionalFormatting>
  <conditionalFormatting sqref="B400:G400">
    <cfRule type="cellIs" dxfId="5859" priority="8254" operator="lessThan">
      <formula>0</formula>
    </cfRule>
  </conditionalFormatting>
  <conditionalFormatting sqref="D400">
    <cfRule type="cellIs" dxfId="5858" priority="8253" operator="equal">
      <formula>0</formula>
    </cfRule>
  </conditionalFormatting>
  <conditionalFormatting sqref="B400:H400">
    <cfRule type="cellIs" dxfId="5857" priority="8251" operator="equal">
      <formula>0</formula>
    </cfRule>
  </conditionalFormatting>
  <conditionalFormatting sqref="B405">
    <cfRule type="cellIs" dxfId="5856" priority="8250" operator="lessThan">
      <formula>0</formula>
    </cfRule>
  </conditionalFormatting>
  <conditionalFormatting sqref="B405">
    <cfRule type="cellIs" dxfId="5855" priority="8249" operator="equal">
      <formula>0</formula>
    </cfRule>
  </conditionalFormatting>
  <conditionalFormatting sqref="C381">
    <cfRule type="cellIs" dxfId="5854" priority="8247" operator="equal">
      <formula>0</formula>
    </cfRule>
  </conditionalFormatting>
  <conditionalFormatting sqref="I386:T386">
    <cfRule type="cellIs" dxfId="5853" priority="8245" operator="equal">
      <formula>0</formula>
    </cfRule>
  </conditionalFormatting>
  <conditionalFormatting sqref="C381">
    <cfRule type="cellIs" dxfId="5852" priority="8248" operator="equal">
      <formula>0</formula>
    </cfRule>
  </conditionalFormatting>
  <conditionalFormatting sqref="I386:T386">
    <cfRule type="cellIs" dxfId="5851" priority="8246" operator="equal">
      <formula>0</formula>
    </cfRule>
  </conditionalFormatting>
  <conditionalFormatting sqref="U400">
    <cfRule type="cellIs" dxfId="5850" priority="8244" operator="equal">
      <formula>0</formula>
    </cfRule>
  </conditionalFormatting>
  <conditionalFormatting sqref="U400">
    <cfRule type="cellIs" dxfId="5849" priority="8243" operator="equal">
      <formula>0</formula>
    </cfRule>
  </conditionalFormatting>
  <conditionalFormatting sqref="U378">
    <cfRule type="cellIs" dxfId="5848" priority="8242" operator="equal">
      <formula>0</formula>
    </cfRule>
  </conditionalFormatting>
  <conditionalFormatting sqref="U378">
    <cfRule type="cellIs" dxfId="5847" priority="8241" operator="equal">
      <formula>0</formula>
    </cfRule>
  </conditionalFormatting>
  <conditionalFormatting sqref="U371:U372">
    <cfRule type="cellIs" dxfId="5846" priority="8240" operator="equal">
      <formula>0</formula>
    </cfRule>
  </conditionalFormatting>
  <conditionalFormatting sqref="U368">
    <cfRule type="cellIs" dxfId="5845" priority="8239" operator="equal">
      <formula>0</formula>
    </cfRule>
  </conditionalFormatting>
  <conditionalFormatting sqref="U370">
    <cfRule type="cellIs" dxfId="5844" priority="8238" operator="equal">
      <formula>0</formula>
    </cfRule>
  </conditionalFormatting>
  <conditionalFormatting sqref="U368:U370">
    <cfRule type="cellIs" dxfId="5843" priority="8237" operator="equal">
      <formula>0</formula>
    </cfRule>
  </conditionalFormatting>
  <conditionalFormatting sqref="I400:T400">
    <cfRule type="cellIs" dxfId="5842" priority="8236" operator="equal">
      <formula>0</formula>
    </cfRule>
  </conditionalFormatting>
  <conditionalFormatting sqref="H391:H393">
    <cfRule type="cellIs" dxfId="5841" priority="8209" operator="equal">
      <formula>0</formula>
    </cfRule>
  </conditionalFormatting>
  <conditionalFormatting sqref="C392:C393">
    <cfRule type="cellIs" dxfId="5840" priority="8210" operator="equal">
      <formula>0</formula>
    </cfRule>
  </conditionalFormatting>
  <conditionalFormatting sqref="H394">
    <cfRule type="cellIs" dxfId="5839" priority="8199" operator="equal">
      <formula>0</formula>
    </cfRule>
  </conditionalFormatting>
  <conditionalFormatting sqref="C394:H394">
    <cfRule type="cellIs" dxfId="5838" priority="8198" operator="equal">
      <formula>0</formula>
    </cfRule>
  </conditionalFormatting>
  <conditionalFormatting sqref="I394:T394">
    <cfRule type="cellIs" dxfId="5837" priority="8197" operator="equal">
      <formula>0</formula>
    </cfRule>
  </conditionalFormatting>
  <conditionalFormatting sqref="I391:T393">
    <cfRule type="cellIs" dxfId="5836" priority="8205" operator="equal">
      <formula>0</formula>
    </cfRule>
  </conditionalFormatting>
  <conditionalFormatting sqref="U391:U393">
    <cfRule type="cellIs" dxfId="5835" priority="8204" operator="equal">
      <formula>0</formula>
    </cfRule>
  </conditionalFormatting>
  <conditionalFormatting sqref="I391:U393">
    <cfRule type="cellIs" dxfId="5834" priority="8203" operator="equal">
      <formula>0</formula>
    </cfRule>
  </conditionalFormatting>
  <conditionalFormatting sqref="D394">
    <cfRule type="cellIs" dxfId="5833" priority="8202" operator="equal">
      <formula>0</formula>
    </cfRule>
  </conditionalFormatting>
  <conditionalFormatting sqref="F394:G394">
    <cfRule type="cellIs" dxfId="5832" priority="8201" operator="equal">
      <formula>0</formula>
    </cfRule>
  </conditionalFormatting>
  <conditionalFormatting sqref="U397:U399">
    <cfRule type="cellIs" dxfId="5831" priority="8182" operator="equal">
      <formula>0</formula>
    </cfRule>
  </conditionalFormatting>
  <conditionalFormatting sqref="C394">
    <cfRule type="cellIs" dxfId="5830" priority="8200" operator="equal">
      <formula>0</formula>
    </cfRule>
  </conditionalFormatting>
  <conditionalFormatting sqref="I397:U399">
    <cfRule type="cellIs" dxfId="5829" priority="8181" operator="equal">
      <formula>0</formula>
    </cfRule>
  </conditionalFormatting>
  <conditionalFormatting sqref="I394:U394">
    <cfRule type="cellIs" dxfId="5828" priority="8195" operator="equal">
      <formula>0</formula>
    </cfRule>
  </conditionalFormatting>
  <conditionalFormatting sqref="D395">
    <cfRule type="cellIs" dxfId="5827" priority="8193" operator="equal">
      <formula>0</formula>
    </cfRule>
  </conditionalFormatting>
  <conditionalFormatting sqref="C397 C399">
    <cfRule type="cellIs" dxfId="5826" priority="8188" operator="equal">
      <formula>0</formula>
    </cfRule>
  </conditionalFormatting>
  <conditionalFormatting sqref="C395">
    <cfRule type="cellIs" dxfId="5825" priority="8192" operator="equal">
      <formula>0</formula>
    </cfRule>
  </conditionalFormatting>
  <conditionalFormatting sqref="C395:H395">
    <cfRule type="cellIs" dxfId="5824" priority="8191" operator="equal">
      <formula>0</formula>
    </cfRule>
  </conditionalFormatting>
  <conditionalFormatting sqref="I397:T399">
    <cfRule type="cellIs" dxfId="5823" priority="8183" operator="equal">
      <formula>0</formula>
    </cfRule>
  </conditionalFormatting>
  <conditionalFormatting sqref="F397:G399">
    <cfRule type="cellIs" dxfId="5822" priority="8189" operator="equal">
      <formula>0</formula>
    </cfRule>
  </conditionalFormatting>
  <conditionalFormatting sqref="H402:H404">
    <cfRule type="cellIs" dxfId="5821" priority="8167" operator="equal">
      <formula>0</formula>
    </cfRule>
  </conditionalFormatting>
  <conditionalFormatting sqref="C398">
    <cfRule type="cellIs" dxfId="5820" priority="8185" operator="equal">
      <formula>0</formula>
    </cfRule>
  </conditionalFormatting>
  <conditionalFormatting sqref="H397:H399">
    <cfRule type="cellIs" dxfId="5819" priority="8187" operator="equal">
      <formula>0</formula>
    </cfRule>
  </conditionalFormatting>
  <conditionalFormatting sqref="C398">
    <cfRule type="cellIs" dxfId="5818" priority="8184" operator="equal">
      <formula>0</formula>
    </cfRule>
  </conditionalFormatting>
  <conditionalFormatting sqref="U405">
    <cfRule type="cellIs" dxfId="5817" priority="8173" operator="equal">
      <formula>0</formula>
    </cfRule>
  </conditionalFormatting>
  <conditionalFormatting sqref="U402:U404">
    <cfRule type="cellIs" dxfId="5816" priority="8162" operator="equal">
      <formula>0</formula>
    </cfRule>
  </conditionalFormatting>
  <conditionalFormatting sqref="I405:T405">
    <cfRule type="cellIs" dxfId="5815" priority="8171" operator="equal">
      <formula>0</formula>
    </cfRule>
  </conditionalFormatting>
  <conditionalFormatting sqref="D402:D404">
    <cfRule type="cellIs" dxfId="5814" priority="8170" operator="equal">
      <formula>0</formula>
    </cfRule>
  </conditionalFormatting>
  <conditionalFormatting sqref="F402:G404">
    <cfRule type="cellIs" dxfId="5813" priority="8169" operator="equal">
      <formula>0</formula>
    </cfRule>
  </conditionalFormatting>
  <conditionalFormatting sqref="C402 C404">
    <cfRule type="cellIs" dxfId="5812" priority="8168" operator="equal">
      <formula>0</formula>
    </cfRule>
  </conditionalFormatting>
  <conditionalFormatting sqref="C405">
    <cfRule type="cellIs" dxfId="5811" priority="8175" operator="equal">
      <formula>0</formula>
    </cfRule>
  </conditionalFormatting>
  <conditionalFormatting sqref="C403">
    <cfRule type="cellIs" dxfId="5810" priority="8165" operator="equal">
      <formula>0</formula>
    </cfRule>
  </conditionalFormatting>
  <conditionalFormatting sqref="I402:T404">
    <cfRule type="cellIs" dxfId="5809" priority="8163" operator="equal">
      <formula>0</formula>
    </cfRule>
  </conditionalFormatting>
  <conditionalFormatting sqref="I402:U404">
    <cfRule type="cellIs" dxfId="5808" priority="8161" operator="equal">
      <formula>0</formula>
    </cfRule>
  </conditionalFormatting>
  <conditionalFormatting sqref="C391">
    <cfRule type="cellIs" dxfId="5807" priority="8207" operator="equal">
      <formula>0</formula>
    </cfRule>
  </conditionalFormatting>
  <conditionalFormatting sqref="C391">
    <cfRule type="cellIs" dxfId="5806" priority="8206" operator="equal">
      <formula>0</formula>
    </cfRule>
  </conditionalFormatting>
  <conditionalFormatting sqref="U394">
    <cfRule type="cellIs" dxfId="5805" priority="8196" operator="equal">
      <formula>0</formula>
    </cfRule>
  </conditionalFormatting>
  <conditionalFormatting sqref="C397:H397 C399:H399 D398:H398">
    <cfRule type="cellIs" dxfId="5804" priority="8186" operator="equal">
      <formula>0</formula>
    </cfRule>
  </conditionalFormatting>
  <conditionalFormatting sqref="D397:D399">
    <cfRule type="cellIs" dxfId="5803" priority="8190" operator="equal">
      <formula>0</formula>
    </cfRule>
  </conditionalFormatting>
  <conditionalFormatting sqref="U395">
    <cfRule type="cellIs" dxfId="5802" priority="8179" operator="equal">
      <formula>0</formula>
    </cfRule>
  </conditionalFormatting>
  <conditionalFormatting sqref="I395:T395">
    <cfRule type="cellIs" dxfId="5801" priority="8178" operator="equal">
      <formula>0</formula>
    </cfRule>
  </conditionalFormatting>
  <conditionalFormatting sqref="D405">
    <cfRule type="cellIs" dxfId="5800" priority="8176" operator="equal">
      <formula>0</formula>
    </cfRule>
  </conditionalFormatting>
  <conditionalFormatting sqref="C405:H405">
    <cfRule type="cellIs" dxfId="5799" priority="8174" operator="equal">
      <formula>0</formula>
    </cfRule>
  </conditionalFormatting>
  <conditionalFormatting sqref="U395">
    <cfRule type="cellIs" dxfId="5798" priority="8180" operator="equal">
      <formula>0</formula>
    </cfRule>
  </conditionalFormatting>
  <conditionalFormatting sqref="C402:H402 C404:H404 D403:H403">
    <cfRule type="cellIs" dxfId="5797" priority="8166" operator="equal">
      <formula>0</formula>
    </cfRule>
  </conditionalFormatting>
  <conditionalFormatting sqref="B398">
    <cfRule type="cellIs" dxfId="5796" priority="8155" operator="equal">
      <formula>0</formula>
    </cfRule>
  </conditionalFormatting>
  <conditionalFormatting sqref="B373 B375:B377">
    <cfRule type="cellIs" dxfId="5795" priority="8235" operator="equal">
      <formula>0</formula>
    </cfRule>
  </conditionalFormatting>
  <conditionalFormatting sqref="B374">
    <cfRule type="cellIs" dxfId="5794" priority="8234" operator="equal">
      <formula>0</formula>
    </cfRule>
  </conditionalFormatting>
  <conditionalFormatting sqref="B372">
    <cfRule type="cellIs" dxfId="5793" priority="8233" operator="equal">
      <formula>0</formula>
    </cfRule>
  </conditionalFormatting>
  <conditionalFormatting sqref="B371">
    <cfRule type="cellIs" dxfId="5792" priority="8232" operator="equal">
      <formula>0</formula>
    </cfRule>
  </conditionalFormatting>
  <conditionalFormatting sqref="B380 B382:B384">
    <cfRule type="cellIs" dxfId="5791" priority="8231" operator="equal">
      <formula>0</formula>
    </cfRule>
  </conditionalFormatting>
  <conditionalFormatting sqref="B381">
    <cfRule type="cellIs" dxfId="5790" priority="8230" operator="equal">
      <formula>0</formula>
    </cfRule>
  </conditionalFormatting>
  <conditionalFormatting sqref="I378:T378">
    <cfRule type="cellIs" dxfId="5789" priority="8229" operator="equal">
      <formula>0</formula>
    </cfRule>
  </conditionalFormatting>
  <conditionalFormatting sqref="I380:T384">
    <cfRule type="cellIs" dxfId="5788" priority="8228" operator="equal">
      <formula>0</formula>
    </cfRule>
  </conditionalFormatting>
  <conditionalFormatting sqref="U380:U384">
    <cfRule type="cellIs" dxfId="5787" priority="8227" operator="equal">
      <formula>0</formula>
    </cfRule>
  </conditionalFormatting>
  <conditionalFormatting sqref="I380:U384">
    <cfRule type="cellIs" dxfId="5786" priority="8226" operator="equal">
      <formula>0</formula>
    </cfRule>
  </conditionalFormatting>
  <conditionalFormatting sqref="U385">
    <cfRule type="cellIs" dxfId="5785" priority="8225" operator="equal">
      <formula>0</formula>
    </cfRule>
  </conditionalFormatting>
  <conditionalFormatting sqref="U385">
    <cfRule type="cellIs" dxfId="5784" priority="8224" operator="equal">
      <formula>0</formula>
    </cfRule>
  </conditionalFormatting>
  <conditionalFormatting sqref="I385:T385">
    <cfRule type="cellIs" dxfId="5783" priority="8223" operator="equal">
      <formula>0</formula>
    </cfRule>
  </conditionalFormatting>
  <conditionalFormatting sqref="F387:G390">
    <cfRule type="cellIs" dxfId="5782" priority="8221" operator="equal">
      <formula>0</formula>
    </cfRule>
  </conditionalFormatting>
  <conditionalFormatting sqref="C387 C389:C390">
    <cfRule type="cellIs" dxfId="5781" priority="8220" operator="equal">
      <formula>0</formula>
    </cfRule>
  </conditionalFormatting>
  <conditionalFormatting sqref="H387:H390">
    <cfRule type="cellIs" dxfId="5780" priority="8219" operator="equal">
      <formula>0</formula>
    </cfRule>
  </conditionalFormatting>
  <conditionalFormatting sqref="D387:D390">
    <cfRule type="cellIs" dxfId="5779" priority="8222" operator="equal">
      <formula>0</formula>
    </cfRule>
  </conditionalFormatting>
  <conditionalFormatting sqref="C387:H387 C389:H390 D388:H388">
    <cfRule type="cellIs" dxfId="5778" priority="8218" operator="equal">
      <formula>0</formula>
    </cfRule>
  </conditionalFormatting>
  <conditionalFormatting sqref="C388">
    <cfRule type="cellIs" dxfId="5777" priority="8216" operator="equal">
      <formula>0</formula>
    </cfRule>
  </conditionalFormatting>
  <conditionalFormatting sqref="C388">
    <cfRule type="cellIs" dxfId="5776" priority="8217" operator="equal">
      <formula>0</formula>
    </cfRule>
  </conditionalFormatting>
  <conditionalFormatting sqref="I387:T390">
    <cfRule type="cellIs" dxfId="5775" priority="8215" operator="equal">
      <formula>0</formula>
    </cfRule>
  </conditionalFormatting>
  <conditionalFormatting sqref="U387:U390">
    <cfRule type="cellIs" dxfId="5774" priority="8214" operator="equal">
      <formula>0</formula>
    </cfRule>
  </conditionalFormatting>
  <conditionalFormatting sqref="I387:U390">
    <cfRule type="cellIs" dxfId="5773" priority="8213" operator="equal">
      <formula>0</formula>
    </cfRule>
  </conditionalFormatting>
  <conditionalFormatting sqref="F391:G393">
    <cfRule type="cellIs" dxfId="5772" priority="8211" operator="equal">
      <formula>0</formula>
    </cfRule>
  </conditionalFormatting>
  <conditionalFormatting sqref="D391:D393">
    <cfRule type="cellIs" dxfId="5771" priority="8212" operator="equal">
      <formula>0</formula>
    </cfRule>
  </conditionalFormatting>
  <conditionalFormatting sqref="C392:H393 D391:H391">
    <cfRule type="cellIs" dxfId="5770" priority="8208" operator="equal">
      <formula>0</formula>
    </cfRule>
  </conditionalFormatting>
  <conditionalFormatting sqref="C395:G395">
    <cfRule type="cellIs" dxfId="5769" priority="8194" operator="lessThan">
      <formula>0</formula>
    </cfRule>
  </conditionalFormatting>
  <conditionalFormatting sqref="C405:G405">
    <cfRule type="cellIs" dxfId="5768" priority="8177" operator="lessThan">
      <formula>0</formula>
    </cfRule>
  </conditionalFormatting>
  <conditionalFormatting sqref="C403">
    <cfRule type="cellIs" dxfId="5767" priority="8164" operator="equal">
      <formula>0</formula>
    </cfRule>
  </conditionalFormatting>
  <conditionalFormatting sqref="U405">
    <cfRule type="cellIs" dxfId="5766" priority="8172" operator="equal">
      <formula>0</formula>
    </cfRule>
  </conditionalFormatting>
  <conditionalFormatting sqref="B397 B399">
    <cfRule type="cellIs" dxfId="5765" priority="8156" operator="equal">
      <formula>0</formula>
    </cfRule>
  </conditionalFormatting>
  <conditionalFormatting sqref="B387 B389:B390">
    <cfRule type="cellIs" dxfId="5764" priority="8160" operator="equal">
      <formula>0</formula>
    </cfRule>
  </conditionalFormatting>
  <conditionalFormatting sqref="B388">
    <cfRule type="cellIs" dxfId="5763" priority="8159" operator="equal">
      <formula>0</formula>
    </cfRule>
  </conditionalFormatting>
  <conditionalFormatting sqref="B391 B393:B394">
    <cfRule type="cellIs" dxfId="5762" priority="8158" operator="equal">
      <formula>0</formula>
    </cfRule>
  </conditionalFormatting>
  <conditionalFormatting sqref="B392">
    <cfRule type="cellIs" dxfId="5761" priority="8157" operator="equal">
      <formula>0</formula>
    </cfRule>
  </conditionalFormatting>
  <conditionalFormatting sqref="B402 B404">
    <cfRule type="cellIs" dxfId="5760" priority="8154" operator="equal">
      <formula>0</formula>
    </cfRule>
  </conditionalFormatting>
  <conditionalFormatting sqref="B403">
    <cfRule type="cellIs" dxfId="5759" priority="8153" operator="equal">
      <formula>0</formula>
    </cfRule>
  </conditionalFormatting>
  <conditionalFormatting sqref="C410:H410 E409">
    <cfRule type="cellIs" dxfId="5758" priority="7442" operator="equal">
      <formula>0</formula>
    </cfRule>
  </conditionalFormatting>
  <conditionalFormatting sqref="H412:H413">
    <cfRule type="cellIs" dxfId="5757" priority="7440" operator="equal">
      <formula>0</formula>
    </cfRule>
  </conditionalFormatting>
  <conditionalFormatting sqref="F421:G425">
    <cfRule type="cellIs" dxfId="5756" priority="7436" operator="equal">
      <formula>0</formula>
    </cfRule>
  </conditionalFormatting>
  <conditionalFormatting sqref="C415:C421 C423:C425">
    <cfRule type="cellIs" dxfId="5755" priority="7435" operator="equal">
      <formula>0</formula>
    </cfRule>
  </conditionalFormatting>
  <conditionalFormatting sqref="H421:H425">
    <cfRule type="cellIs" dxfId="5754" priority="7433" operator="equal">
      <formula>0</formula>
    </cfRule>
  </conditionalFormatting>
  <conditionalFormatting sqref="H411">
    <cfRule type="cellIs" dxfId="5753" priority="7425" operator="equal">
      <formula>0</formula>
    </cfRule>
  </conditionalFormatting>
  <conditionalFormatting sqref="D427">
    <cfRule type="cellIs" dxfId="5752" priority="7424" operator="equal">
      <formula>0</formula>
    </cfRule>
  </conditionalFormatting>
  <conditionalFormatting sqref="C427">
    <cfRule type="cellIs" dxfId="5751" priority="7423" operator="equal">
      <formula>0</formula>
    </cfRule>
  </conditionalFormatting>
  <conditionalFormatting sqref="B427:T427">
    <cfRule type="cellIs" dxfId="5750" priority="7422" operator="equal">
      <formula>0</formula>
    </cfRule>
  </conditionalFormatting>
  <conditionalFormatting sqref="H427 U427">
    <cfRule type="cellIs" dxfId="5749" priority="7421" operator="equal">
      <formula>0</formula>
    </cfRule>
  </conditionalFormatting>
  <conditionalFormatting sqref="H427 U427">
    <cfRule type="cellIs" dxfId="5748" priority="7420" operator="equal">
      <formula>0</formula>
    </cfRule>
  </conditionalFormatting>
  <conditionalFormatting sqref="D437">
    <cfRule type="cellIs" dxfId="5747" priority="7419" operator="equal">
      <formula>0</formula>
    </cfRule>
  </conditionalFormatting>
  <conditionalFormatting sqref="C437">
    <cfRule type="cellIs" dxfId="5746" priority="7418" operator="equal">
      <formula>0</formula>
    </cfRule>
  </conditionalFormatting>
  <conditionalFormatting sqref="B437:G437">
    <cfRule type="cellIs" dxfId="5745" priority="7417" operator="equal">
      <formula>0</formula>
    </cfRule>
  </conditionalFormatting>
  <conditionalFormatting sqref="H437:U437">
    <cfRule type="cellIs" dxfId="5744" priority="7416" operator="equal">
      <formula>0</formula>
    </cfRule>
  </conditionalFormatting>
  <conditionalFormatting sqref="H437:U437">
    <cfRule type="cellIs" dxfId="5743" priority="7415" operator="equal">
      <formula>0</formula>
    </cfRule>
  </conditionalFormatting>
  <conditionalFormatting sqref="D442">
    <cfRule type="cellIs" dxfId="5742" priority="7414" operator="equal">
      <formula>0</formula>
    </cfRule>
  </conditionalFormatting>
  <conditionalFormatting sqref="C442">
    <cfRule type="cellIs" dxfId="5741" priority="7413" operator="equal">
      <formula>0</formula>
    </cfRule>
  </conditionalFormatting>
  <conditionalFormatting sqref="B442:G442">
    <cfRule type="cellIs" dxfId="5740" priority="7412" operator="equal">
      <formula>0</formula>
    </cfRule>
  </conditionalFormatting>
  <conditionalFormatting sqref="H442:U442">
    <cfRule type="cellIs" dxfId="5739" priority="7411" operator="equal">
      <formula>0</formula>
    </cfRule>
  </conditionalFormatting>
  <conditionalFormatting sqref="H442:U442">
    <cfRule type="cellIs" dxfId="5738" priority="7410" operator="equal">
      <formula>0</formula>
    </cfRule>
  </conditionalFormatting>
  <conditionalFormatting sqref="I411:T411">
    <cfRule type="cellIs" dxfId="5737" priority="7441" operator="equal">
      <formula>0</formula>
    </cfRule>
  </conditionalFormatting>
  <conditionalFormatting sqref="U447">
    <cfRule type="cellIs" dxfId="5736" priority="7439" operator="equal">
      <formula>0</formula>
    </cfRule>
  </conditionalFormatting>
  <conditionalFormatting sqref="G414:G419 B419:F419">
    <cfRule type="cellIs" dxfId="5735" priority="7438" operator="lessThan">
      <formula>0</formula>
    </cfRule>
  </conditionalFormatting>
  <conditionalFormatting sqref="C414:D414 D415:D425">
    <cfRule type="cellIs" dxfId="5734" priority="7437" operator="equal">
      <formula>0</formula>
    </cfRule>
  </conditionalFormatting>
  <conditionalFormatting sqref="H414:H418">
    <cfRule type="cellIs" dxfId="5733" priority="7434" operator="equal">
      <formula>0</formula>
    </cfRule>
  </conditionalFormatting>
  <conditionalFormatting sqref="I414:T418">
    <cfRule type="cellIs" dxfId="5732" priority="7432" operator="equal">
      <formula>0</formula>
    </cfRule>
  </conditionalFormatting>
  <conditionalFormatting sqref="U414:U418">
    <cfRule type="cellIs" dxfId="5731" priority="7431" operator="equal">
      <formula>0</formula>
    </cfRule>
  </conditionalFormatting>
  <conditionalFormatting sqref="B420:G420 C421:H421 C409:D409 B447:U447 F411:G411 B411 I410:T411 C423:H425 B419:H419 C414:U418 D422:H422 C412:T413 F409:U409">
    <cfRule type="cellIs" dxfId="5730" priority="7430" operator="equal">
      <formula>0</formula>
    </cfRule>
  </conditionalFormatting>
  <conditionalFormatting sqref="H420:U420">
    <cfRule type="cellIs" dxfId="5729" priority="7429" operator="equal">
      <formula>0</formula>
    </cfRule>
  </conditionalFormatting>
  <conditionalFormatting sqref="H420:U420">
    <cfRule type="cellIs" dxfId="5728" priority="7428" operator="equal">
      <formula>0</formula>
    </cfRule>
  </conditionalFormatting>
  <conditionalFormatting sqref="U447">
    <cfRule type="cellIs" dxfId="5727" priority="7427" operator="equal">
      <formula>0</formula>
    </cfRule>
  </conditionalFormatting>
  <conditionalFormatting sqref="C411:E411">
    <cfRule type="cellIs" dxfId="5726" priority="7426" operator="equal">
      <formula>0</formula>
    </cfRule>
  </conditionalFormatting>
  <conditionalFormatting sqref="B410">
    <cfRule type="cellIs" dxfId="5725" priority="7409" operator="equal">
      <formula>0</formula>
    </cfRule>
  </conditionalFormatting>
  <conditionalFormatting sqref="C426">
    <cfRule type="cellIs" dxfId="5724" priority="7406" operator="equal">
      <formula>0</formula>
    </cfRule>
  </conditionalFormatting>
  <conditionalFormatting sqref="B426:G426">
    <cfRule type="cellIs" dxfId="5723" priority="7408" operator="lessThan">
      <formula>0</formula>
    </cfRule>
  </conditionalFormatting>
  <conditionalFormatting sqref="D426">
    <cfRule type="cellIs" dxfId="5722" priority="7407" operator="equal">
      <formula>0</formula>
    </cfRule>
  </conditionalFormatting>
  <conditionalFormatting sqref="B426:H426">
    <cfRule type="cellIs" dxfId="5721" priority="7405" operator="equal">
      <formula>0</formula>
    </cfRule>
  </conditionalFormatting>
  <conditionalFormatting sqref="B436">
    <cfRule type="cellIs" dxfId="5720" priority="7404" operator="lessThan">
      <formula>0</formula>
    </cfRule>
  </conditionalFormatting>
  <conditionalFormatting sqref="B436">
    <cfRule type="cellIs" dxfId="5719" priority="7403" operator="equal">
      <formula>0</formula>
    </cfRule>
  </conditionalFormatting>
  <conditionalFormatting sqref="C441">
    <cfRule type="cellIs" dxfId="5718" priority="7400" operator="equal">
      <formula>0</formula>
    </cfRule>
  </conditionalFormatting>
  <conditionalFormatting sqref="B441:G441">
    <cfRule type="cellIs" dxfId="5717" priority="7402" operator="lessThan">
      <formula>0</formula>
    </cfRule>
  </conditionalFormatting>
  <conditionalFormatting sqref="D441">
    <cfRule type="cellIs" dxfId="5716" priority="7401" operator="equal">
      <formula>0</formula>
    </cfRule>
  </conditionalFormatting>
  <conditionalFormatting sqref="B441:H441">
    <cfRule type="cellIs" dxfId="5715" priority="7399" operator="equal">
      <formula>0</formula>
    </cfRule>
  </conditionalFormatting>
  <conditionalFormatting sqref="B446">
    <cfRule type="cellIs" dxfId="5714" priority="7398" operator="lessThan">
      <formula>0</formula>
    </cfRule>
  </conditionalFormatting>
  <conditionalFormatting sqref="B446">
    <cfRule type="cellIs" dxfId="5713" priority="7397" operator="equal">
      <formula>0</formula>
    </cfRule>
  </conditionalFormatting>
  <conditionalFormatting sqref="C422">
    <cfRule type="cellIs" dxfId="5712" priority="7395" operator="equal">
      <formula>0</formula>
    </cfRule>
  </conditionalFormatting>
  <conditionalFormatting sqref="I427:T427">
    <cfRule type="cellIs" dxfId="5711" priority="7393" operator="equal">
      <formula>0</formula>
    </cfRule>
  </conditionalFormatting>
  <conditionalFormatting sqref="C422">
    <cfRule type="cellIs" dxfId="5710" priority="7396" operator="equal">
      <formula>0</formula>
    </cfRule>
  </conditionalFormatting>
  <conditionalFormatting sqref="I427:T427">
    <cfRule type="cellIs" dxfId="5709" priority="7394" operator="equal">
      <formula>0</formula>
    </cfRule>
  </conditionalFormatting>
  <conditionalFormatting sqref="U441">
    <cfRule type="cellIs" dxfId="5708" priority="7392" operator="equal">
      <formula>0</formula>
    </cfRule>
  </conditionalFormatting>
  <conditionalFormatting sqref="U441">
    <cfRule type="cellIs" dxfId="5707" priority="7391" operator="equal">
      <formula>0</formula>
    </cfRule>
  </conditionalFormatting>
  <conditionalFormatting sqref="U419">
    <cfRule type="cellIs" dxfId="5706" priority="7390" operator="equal">
      <formula>0</formula>
    </cfRule>
  </conditionalFormatting>
  <conditionalFormatting sqref="U419">
    <cfRule type="cellIs" dxfId="5705" priority="7389" operator="equal">
      <formula>0</formula>
    </cfRule>
  </conditionalFormatting>
  <conditionalFormatting sqref="U412:U413">
    <cfRule type="cellIs" dxfId="5704" priority="7388" operator="equal">
      <formula>0</formula>
    </cfRule>
  </conditionalFormatting>
  <conditionalFormatting sqref="U409">
    <cfRule type="cellIs" dxfId="5703" priority="7387" operator="equal">
      <formula>0</formula>
    </cfRule>
  </conditionalFormatting>
  <conditionalFormatting sqref="U411">
    <cfRule type="cellIs" dxfId="5702" priority="7386" operator="equal">
      <formula>0</formula>
    </cfRule>
  </conditionalFormatting>
  <conditionalFormatting sqref="U409:U411">
    <cfRule type="cellIs" dxfId="5701" priority="7385" operator="equal">
      <formula>0</formula>
    </cfRule>
  </conditionalFormatting>
  <conditionalFormatting sqref="I441:T441">
    <cfRule type="cellIs" dxfId="5700" priority="7384" operator="equal">
      <formula>0</formula>
    </cfRule>
  </conditionalFormatting>
  <conditionalFormatting sqref="H432:H434">
    <cfRule type="cellIs" dxfId="5699" priority="7357" operator="equal">
      <formula>0</formula>
    </cfRule>
  </conditionalFormatting>
  <conditionalFormatting sqref="C433:C434">
    <cfRule type="cellIs" dxfId="5698" priority="7358" operator="equal">
      <formula>0</formula>
    </cfRule>
  </conditionalFormatting>
  <conditionalFormatting sqref="H435">
    <cfRule type="cellIs" dxfId="5697" priority="7347" operator="equal">
      <formula>0</formula>
    </cfRule>
  </conditionalFormatting>
  <conditionalFormatting sqref="C435:H435">
    <cfRule type="cellIs" dxfId="5696" priority="7346" operator="equal">
      <formula>0</formula>
    </cfRule>
  </conditionalFormatting>
  <conditionalFormatting sqref="I435:T435">
    <cfRule type="cellIs" dxfId="5695" priority="7345" operator="equal">
      <formula>0</formula>
    </cfRule>
  </conditionalFormatting>
  <conditionalFormatting sqref="I432:T434">
    <cfRule type="cellIs" dxfId="5694" priority="7353" operator="equal">
      <formula>0</formula>
    </cfRule>
  </conditionalFormatting>
  <conditionalFormatting sqref="U432:U434">
    <cfRule type="cellIs" dxfId="5693" priority="7352" operator="equal">
      <formula>0</formula>
    </cfRule>
  </conditionalFormatting>
  <conditionalFormatting sqref="I432:U434">
    <cfRule type="cellIs" dxfId="5692" priority="7351" operator="equal">
      <formula>0</formula>
    </cfRule>
  </conditionalFormatting>
  <conditionalFormatting sqref="D435">
    <cfRule type="cellIs" dxfId="5691" priority="7350" operator="equal">
      <formula>0</formula>
    </cfRule>
  </conditionalFormatting>
  <conditionalFormatting sqref="F435:G435">
    <cfRule type="cellIs" dxfId="5690" priority="7349" operator="equal">
      <formula>0</formula>
    </cfRule>
  </conditionalFormatting>
  <conditionalFormatting sqref="U438:U440">
    <cfRule type="cellIs" dxfId="5689" priority="7330" operator="equal">
      <formula>0</formula>
    </cfRule>
  </conditionalFormatting>
  <conditionalFormatting sqref="C435">
    <cfRule type="cellIs" dxfId="5688" priority="7348" operator="equal">
      <formula>0</formula>
    </cfRule>
  </conditionalFormatting>
  <conditionalFormatting sqref="I438:U440">
    <cfRule type="cellIs" dxfId="5687" priority="7329" operator="equal">
      <formula>0</formula>
    </cfRule>
  </conditionalFormatting>
  <conditionalFormatting sqref="I435:U435">
    <cfRule type="cellIs" dxfId="5686" priority="7343" operator="equal">
      <formula>0</formula>
    </cfRule>
  </conditionalFormatting>
  <conditionalFormatting sqref="D436">
    <cfRule type="cellIs" dxfId="5685" priority="7341" operator="equal">
      <formula>0</formula>
    </cfRule>
  </conditionalFormatting>
  <conditionalFormatting sqref="C438 C440">
    <cfRule type="cellIs" dxfId="5684" priority="7336" operator="equal">
      <formula>0</formula>
    </cfRule>
  </conditionalFormatting>
  <conditionalFormatting sqref="C436">
    <cfRule type="cellIs" dxfId="5683" priority="7340" operator="equal">
      <formula>0</formula>
    </cfRule>
  </conditionalFormatting>
  <conditionalFormatting sqref="C436:H436">
    <cfRule type="cellIs" dxfId="5682" priority="7339" operator="equal">
      <formula>0</formula>
    </cfRule>
  </conditionalFormatting>
  <conditionalFormatting sqref="I438:T440">
    <cfRule type="cellIs" dxfId="5681" priority="7331" operator="equal">
      <formula>0</formula>
    </cfRule>
  </conditionalFormatting>
  <conditionalFormatting sqref="F438:G440">
    <cfRule type="cellIs" dxfId="5680" priority="7337" operator="equal">
      <formula>0</formula>
    </cfRule>
  </conditionalFormatting>
  <conditionalFormatting sqref="H443:H445">
    <cfRule type="cellIs" dxfId="5679" priority="7315" operator="equal">
      <formula>0</formula>
    </cfRule>
  </conditionalFormatting>
  <conditionalFormatting sqref="C439">
    <cfRule type="cellIs" dxfId="5678" priority="7333" operator="equal">
      <formula>0</formula>
    </cfRule>
  </conditionalFormatting>
  <conditionalFormatting sqref="H438:H440">
    <cfRule type="cellIs" dxfId="5677" priority="7335" operator="equal">
      <formula>0</formula>
    </cfRule>
  </conditionalFormatting>
  <conditionalFormatting sqref="C439">
    <cfRule type="cellIs" dxfId="5676" priority="7332" operator="equal">
      <formula>0</formula>
    </cfRule>
  </conditionalFormatting>
  <conditionalFormatting sqref="U446">
    <cfRule type="cellIs" dxfId="5675" priority="7321" operator="equal">
      <formula>0</formula>
    </cfRule>
  </conditionalFormatting>
  <conditionalFormatting sqref="U443:U445">
    <cfRule type="cellIs" dxfId="5674" priority="7310" operator="equal">
      <formula>0</formula>
    </cfRule>
  </conditionalFormatting>
  <conditionalFormatting sqref="I446:T446">
    <cfRule type="cellIs" dxfId="5673" priority="7319" operator="equal">
      <formula>0</formula>
    </cfRule>
  </conditionalFormatting>
  <conditionalFormatting sqref="D443:D445">
    <cfRule type="cellIs" dxfId="5672" priority="7318" operator="equal">
      <formula>0</formula>
    </cfRule>
  </conditionalFormatting>
  <conditionalFormatting sqref="F443:G445">
    <cfRule type="cellIs" dxfId="5671" priority="7317" operator="equal">
      <formula>0</formula>
    </cfRule>
  </conditionalFormatting>
  <conditionalFormatting sqref="C443 C445">
    <cfRule type="cellIs" dxfId="5670" priority="7316" operator="equal">
      <formula>0</formula>
    </cfRule>
  </conditionalFormatting>
  <conditionalFormatting sqref="C446">
    <cfRule type="cellIs" dxfId="5669" priority="7323" operator="equal">
      <formula>0</formula>
    </cfRule>
  </conditionalFormatting>
  <conditionalFormatting sqref="C444">
    <cfRule type="cellIs" dxfId="5668" priority="7313" operator="equal">
      <formula>0</formula>
    </cfRule>
  </conditionalFormatting>
  <conditionalFormatting sqref="I443:T445">
    <cfRule type="cellIs" dxfId="5667" priority="7311" operator="equal">
      <formula>0</formula>
    </cfRule>
  </conditionalFormatting>
  <conditionalFormatting sqref="I443:U445">
    <cfRule type="cellIs" dxfId="5666" priority="7309" operator="equal">
      <formula>0</formula>
    </cfRule>
  </conditionalFormatting>
  <conditionalFormatting sqref="C432">
    <cfRule type="cellIs" dxfId="5665" priority="7355" operator="equal">
      <formula>0</formula>
    </cfRule>
  </conditionalFormatting>
  <conditionalFormatting sqref="C432">
    <cfRule type="cellIs" dxfId="5664" priority="7354" operator="equal">
      <formula>0</formula>
    </cfRule>
  </conditionalFormatting>
  <conditionalFormatting sqref="U435">
    <cfRule type="cellIs" dxfId="5663" priority="7344" operator="equal">
      <formula>0</formula>
    </cfRule>
  </conditionalFormatting>
  <conditionalFormatting sqref="C438:H438 C440:H440 D439:H439">
    <cfRule type="cellIs" dxfId="5662" priority="7334" operator="equal">
      <formula>0</formula>
    </cfRule>
  </conditionalFormatting>
  <conditionalFormatting sqref="D438:D440">
    <cfRule type="cellIs" dxfId="5661" priority="7338" operator="equal">
      <formula>0</formula>
    </cfRule>
  </conditionalFormatting>
  <conditionalFormatting sqref="U436">
    <cfRule type="cellIs" dxfId="5660" priority="7327" operator="equal">
      <formula>0</formula>
    </cfRule>
  </conditionalFormatting>
  <conditionalFormatting sqref="I436:T436">
    <cfRule type="cellIs" dxfId="5659" priority="7326" operator="equal">
      <formula>0</formula>
    </cfRule>
  </conditionalFormatting>
  <conditionalFormatting sqref="D446">
    <cfRule type="cellIs" dxfId="5658" priority="7324" operator="equal">
      <formula>0</formula>
    </cfRule>
  </conditionalFormatting>
  <conditionalFormatting sqref="C446:H446">
    <cfRule type="cellIs" dxfId="5657" priority="7322" operator="equal">
      <formula>0</formula>
    </cfRule>
  </conditionalFormatting>
  <conditionalFormatting sqref="U436">
    <cfRule type="cellIs" dxfId="5656" priority="7328" operator="equal">
      <formula>0</formula>
    </cfRule>
  </conditionalFormatting>
  <conditionalFormatting sqref="C443:H443 C445:H445 D444:H444">
    <cfRule type="cellIs" dxfId="5655" priority="7314" operator="equal">
      <formula>0</formula>
    </cfRule>
  </conditionalFormatting>
  <conditionalFormatting sqref="B439">
    <cfRule type="cellIs" dxfId="5654" priority="7303" operator="equal">
      <formula>0</formula>
    </cfRule>
  </conditionalFormatting>
  <conditionalFormatting sqref="B414 B416:B418">
    <cfRule type="cellIs" dxfId="5653" priority="7383" operator="equal">
      <formula>0</formula>
    </cfRule>
  </conditionalFormatting>
  <conditionalFormatting sqref="B415">
    <cfRule type="cellIs" dxfId="5652" priority="7382" operator="equal">
      <formula>0</formula>
    </cfRule>
  </conditionalFormatting>
  <conditionalFormatting sqref="B413">
    <cfRule type="cellIs" dxfId="5651" priority="7381" operator="equal">
      <formula>0</formula>
    </cfRule>
  </conditionalFormatting>
  <conditionalFormatting sqref="B412">
    <cfRule type="cellIs" dxfId="5650" priority="7380" operator="equal">
      <formula>0</formula>
    </cfRule>
  </conditionalFormatting>
  <conditionalFormatting sqref="B421 B423:B425">
    <cfRule type="cellIs" dxfId="5649" priority="7379" operator="equal">
      <formula>0</formula>
    </cfRule>
  </conditionalFormatting>
  <conditionalFormatting sqref="B422">
    <cfRule type="cellIs" dxfId="5648" priority="7378" operator="equal">
      <formula>0</formula>
    </cfRule>
  </conditionalFormatting>
  <conditionalFormatting sqref="I421:T425">
    <cfRule type="cellIs" dxfId="5647" priority="7376" operator="equal">
      <formula>0</formula>
    </cfRule>
  </conditionalFormatting>
  <conditionalFormatting sqref="U421:U425">
    <cfRule type="cellIs" dxfId="5646" priority="7375" operator="equal">
      <formula>0</formula>
    </cfRule>
  </conditionalFormatting>
  <conditionalFormatting sqref="I421:U425">
    <cfRule type="cellIs" dxfId="5645" priority="7374" operator="equal">
      <formula>0</formula>
    </cfRule>
  </conditionalFormatting>
  <conditionalFormatting sqref="U426">
    <cfRule type="cellIs" dxfId="5644" priority="7373" operator="equal">
      <formula>0</formula>
    </cfRule>
  </conditionalFormatting>
  <conditionalFormatting sqref="U426">
    <cfRule type="cellIs" dxfId="5643" priority="7372" operator="equal">
      <formula>0</formula>
    </cfRule>
  </conditionalFormatting>
  <conditionalFormatting sqref="I426:T426">
    <cfRule type="cellIs" dxfId="5642" priority="7371" operator="equal">
      <formula>0</formula>
    </cfRule>
  </conditionalFormatting>
  <conditionalFormatting sqref="F428:G431">
    <cfRule type="cellIs" dxfId="5641" priority="7369" operator="equal">
      <formula>0</formula>
    </cfRule>
  </conditionalFormatting>
  <conditionalFormatting sqref="C428 C430:C431">
    <cfRule type="cellIs" dxfId="5640" priority="7368" operator="equal">
      <formula>0</formula>
    </cfRule>
  </conditionalFormatting>
  <conditionalFormatting sqref="H428:H431">
    <cfRule type="cellIs" dxfId="5639" priority="7367" operator="equal">
      <formula>0</formula>
    </cfRule>
  </conditionalFormatting>
  <conditionalFormatting sqref="D428:D431">
    <cfRule type="cellIs" dxfId="5638" priority="7370" operator="equal">
      <formula>0</formula>
    </cfRule>
  </conditionalFormatting>
  <conditionalFormatting sqref="C428:H428 C430:H431 D429:H429">
    <cfRule type="cellIs" dxfId="5637" priority="7366" operator="equal">
      <formula>0</formula>
    </cfRule>
  </conditionalFormatting>
  <conditionalFormatting sqref="C429">
    <cfRule type="cellIs" dxfId="5636" priority="7364" operator="equal">
      <formula>0</formula>
    </cfRule>
  </conditionalFormatting>
  <conditionalFormatting sqref="C429">
    <cfRule type="cellIs" dxfId="5635" priority="7365" operator="equal">
      <formula>0</formula>
    </cfRule>
  </conditionalFormatting>
  <conditionalFormatting sqref="I428:T431">
    <cfRule type="cellIs" dxfId="5634" priority="7363" operator="equal">
      <formula>0</formula>
    </cfRule>
  </conditionalFormatting>
  <conditionalFormatting sqref="U428:U431">
    <cfRule type="cellIs" dxfId="5633" priority="7362" operator="equal">
      <formula>0</formula>
    </cfRule>
  </conditionalFormatting>
  <conditionalFormatting sqref="I428:U431">
    <cfRule type="cellIs" dxfId="5632" priority="7361" operator="equal">
      <formula>0</formula>
    </cfRule>
  </conditionalFormatting>
  <conditionalFormatting sqref="F432:G434">
    <cfRule type="cellIs" dxfId="5631" priority="7359" operator="equal">
      <formula>0</formula>
    </cfRule>
  </conditionalFormatting>
  <conditionalFormatting sqref="D432:D434">
    <cfRule type="cellIs" dxfId="5630" priority="7360" operator="equal">
      <formula>0</formula>
    </cfRule>
  </conditionalFormatting>
  <conditionalFormatting sqref="C433:H434 D432:H432">
    <cfRule type="cellIs" dxfId="5629" priority="7356" operator="equal">
      <formula>0</formula>
    </cfRule>
  </conditionalFormatting>
  <conditionalFormatting sqref="C436:G436">
    <cfRule type="cellIs" dxfId="5628" priority="7342" operator="lessThan">
      <formula>0</formula>
    </cfRule>
  </conditionalFormatting>
  <conditionalFormatting sqref="C446:G446">
    <cfRule type="cellIs" dxfId="5627" priority="7325" operator="lessThan">
      <formula>0</formula>
    </cfRule>
  </conditionalFormatting>
  <conditionalFormatting sqref="C444">
    <cfRule type="cellIs" dxfId="5626" priority="7312" operator="equal">
      <formula>0</formula>
    </cfRule>
  </conditionalFormatting>
  <conditionalFormatting sqref="U446">
    <cfRule type="cellIs" dxfId="5625" priority="7320" operator="equal">
      <formula>0</formula>
    </cfRule>
  </conditionalFormatting>
  <conditionalFormatting sqref="B438 B440">
    <cfRule type="cellIs" dxfId="5624" priority="7304" operator="equal">
      <formula>0</formula>
    </cfRule>
  </conditionalFormatting>
  <conditionalFormatting sqref="B428 B430:B431">
    <cfRule type="cellIs" dxfId="5623" priority="7308" operator="equal">
      <formula>0</formula>
    </cfRule>
  </conditionalFormatting>
  <conditionalFormatting sqref="B429">
    <cfRule type="cellIs" dxfId="5622" priority="7307" operator="equal">
      <formula>0</formula>
    </cfRule>
  </conditionalFormatting>
  <conditionalFormatting sqref="B432 B434:B435">
    <cfRule type="cellIs" dxfId="5621" priority="7306" operator="equal">
      <formula>0</formula>
    </cfRule>
  </conditionalFormatting>
  <conditionalFormatting sqref="B433">
    <cfRule type="cellIs" dxfId="5620" priority="7305" operator="equal">
      <formula>0</formula>
    </cfRule>
  </conditionalFormatting>
  <conditionalFormatting sqref="B443 B445">
    <cfRule type="cellIs" dxfId="5619" priority="7302" operator="equal">
      <formula>0</formula>
    </cfRule>
  </conditionalFormatting>
  <conditionalFormatting sqref="B444">
    <cfRule type="cellIs" dxfId="5618" priority="7301" operator="equal">
      <formula>0</formula>
    </cfRule>
  </conditionalFormatting>
  <conditionalFormatting sqref="C451:H451 E450">
    <cfRule type="cellIs" dxfId="5617" priority="7300" operator="equal">
      <formula>0</formula>
    </cfRule>
  </conditionalFormatting>
  <conditionalFormatting sqref="H453:H454">
    <cfRule type="cellIs" dxfId="5616" priority="7298" operator="equal">
      <formula>0</formula>
    </cfRule>
  </conditionalFormatting>
  <conditionalFormatting sqref="F462:G466">
    <cfRule type="cellIs" dxfId="5615" priority="7294" operator="equal">
      <formula>0</formula>
    </cfRule>
  </conditionalFormatting>
  <conditionalFormatting sqref="C456:C462 C464:C466">
    <cfRule type="cellIs" dxfId="5614" priority="7293" operator="equal">
      <formula>0</formula>
    </cfRule>
  </conditionalFormatting>
  <conditionalFormatting sqref="H462:H466">
    <cfRule type="cellIs" dxfId="5613" priority="7291" operator="equal">
      <formula>0</formula>
    </cfRule>
  </conditionalFormatting>
  <conditionalFormatting sqref="H452">
    <cfRule type="cellIs" dxfId="5612" priority="7283" operator="equal">
      <formula>0</formula>
    </cfRule>
  </conditionalFormatting>
  <conditionalFormatting sqref="D468">
    <cfRule type="cellIs" dxfId="5611" priority="7282" operator="equal">
      <formula>0</formula>
    </cfRule>
  </conditionalFormatting>
  <conditionalFormatting sqref="C468">
    <cfRule type="cellIs" dxfId="5610" priority="7281" operator="equal">
      <formula>0</formula>
    </cfRule>
  </conditionalFormatting>
  <conditionalFormatting sqref="B468:T468">
    <cfRule type="cellIs" dxfId="5609" priority="7280" operator="equal">
      <formula>0</formula>
    </cfRule>
  </conditionalFormatting>
  <conditionalFormatting sqref="H468 U468">
    <cfRule type="cellIs" dxfId="5608" priority="7279" operator="equal">
      <formula>0</formula>
    </cfRule>
  </conditionalFormatting>
  <conditionalFormatting sqref="H468 U468">
    <cfRule type="cellIs" dxfId="5607" priority="7278" operator="equal">
      <formula>0</formula>
    </cfRule>
  </conditionalFormatting>
  <conditionalFormatting sqref="D478">
    <cfRule type="cellIs" dxfId="5606" priority="7277" operator="equal">
      <formula>0</formula>
    </cfRule>
  </conditionalFormatting>
  <conditionalFormatting sqref="C478">
    <cfRule type="cellIs" dxfId="5605" priority="7276" operator="equal">
      <formula>0</formula>
    </cfRule>
  </conditionalFormatting>
  <conditionalFormatting sqref="B478:G478">
    <cfRule type="cellIs" dxfId="5604" priority="7275" operator="equal">
      <formula>0</formula>
    </cfRule>
  </conditionalFormatting>
  <conditionalFormatting sqref="H478:U478">
    <cfRule type="cellIs" dxfId="5603" priority="7274" operator="equal">
      <formula>0</formula>
    </cfRule>
  </conditionalFormatting>
  <conditionalFormatting sqref="H478:U478">
    <cfRule type="cellIs" dxfId="5602" priority="7273" operator="equal">
      <formula>0</formula>
    </cfRule>
  </conditionalFormatting>
  <conditionalFormatting sqref="D483">
    <cfRule type="cellIs" dxfId="5601" priority="7272" operator="equal">
      <formula>0</formula>
    </cfRule>
  </conditionalFormatting>
  <conditionalFormatting sqref="C483">
    <cfRule type="cellIs" dxfId="5600" priority="7271" operator="equal">
      <formula>0</formula>
    </cfRule>
  </conditionalFormatting>
  <conditionalFormatting sqref="B483:G483">
    <cfRule type="cellIs" dxfId="5599" priority="7270" operator="equal">
      <formula>0</formula>
    </cfRule>
  </conditionalFormatting>
  <conditionalFormatting sqref="H483:U483">
    <cfRule type="cellIs" dxfId="5598" priority="7269" operator="equal">
      <formula>0</formula>
    </cfRule>
  </conditionalFormatting>
  <conditionalFormatting sqref="H483:U483">
    <cfRule type="cellIs" dxfId="5597" priority="7268" operator="equal">
      <formula>0</formula>
    </cfRule>
  </conditionalFormatting>
  <conditionalFormatting sqref="I452:T452">
    <cfRule type="cellIs" dxfId="5596" priority="7299" operator="equal">
      <formula>0</formula>
    </cfRule>
  </conditionalFormatting>
  <conditionalFormatting sqref="U488">
    <cfRule type="cellIs" dxfId="5595" priority="7297" operator="equal">
      <formula>0</formula>
    </cfRule>
  </conditionalFormatting>
  <conditionalFormatting sqref="G455:G460 B460:F460">
    <cfRule type="cellIs" dxfId="5594" priority="7296" operator="lessThan">
      <formula>0</formula>
    </cfRule>
  </conditionalFormatting>
  <conditionalFormatting sqref="C455:D455 D456:D466">
    <cfRule type="cellIs" dxfId="5593" priority="7295" operator="equal">
      <formula>0</formula>
    </cfRule>
  </conditionalFormatting>
  <conditionalFormatting sqref="H455:H459">
    <cfRule type="cellIs" dxfId="5592" priority="7292" operator="equal">
      <formula>0</formula>
    </cfRule>
  </conditionalFormatting>
  <conditionalFormatting sqref="I455:T459">
    <cfRule type="cellIs" dxfId="5591" priority="7290" operator="equal">
      <formula>0</formula>
    </cfRule>
  </conditionalFormatting>
  <conditionalFormatting sqref="U455:U459">
    <cfRule type="cellIs" dxfId="5590" priority="7289" operator="equal">
      <formula>0</formula>
    </cfRule>
  </conditionalFormatting>
  <conditionalFormatting sqref="B461:G461 C462:H462 C450:D450 B488:U488 F452:G452 B452 I451:T452 C464:H466 B460:H460 C455:U459 D463:H463 C453:T454 F450:U450">
    <cfRule type="cellIs" dxfId="5589" priority="7288" operator="equal">
      <formula>0</formula>
    </cfRule>
  </conditionalFormatting>
  <conditionalFormatting sqref="H461:U461">
    <cfRule type="cellIs" dxfId="5588" priority="7287" operator="equal">
      <formula>0</formula>
    </cfRule>
  </conditionalFormatting>
  <conditionalFormatting sqref="H461:U461">
    <cfRule type="cellIs" dxfId="5587" priority="7286" operator="equal">
      <formula>0</formula>
    </cfRule>
  </conditionalFormatting>
  <conditionalFormatting sqref="U488">
    <cfRule type="cellIs" dxfId="5586" priority="7285" operator="equal">
      <formula>0</formula>
    </cfRule>
  </conditionalFormatting>
  <conditionalFormatting sqref="C452:E452">
    <cfRule type="cellIs" dxfId="5585" priority="7284" operator="equal">
      <formula>0</formula>
    </cfRule>
  </conditionalFormatting>
  <conditionalFormatting sqref="B451">
    <cfRule type="cellIs" dxfId="5584" priority="7267" operator="equal">
      <formula>0</formula>
    </cfRule>
  </conditionalFormatting>
  <conditionalFormatting sqref="C467">
    <cfRule type="cellIs" dxfId="5583" priority="7264" operator="equal">
      <formula>0</formula>
    </cfRule>
  </conditionalFormatting>
  <conditionalFormatting sqref="B467:G467">
    <cfRule type="cellIs" dxfId="5582" priority="7266" operator="lessThan">
      <formula>0</formula>
    </cfRule>
  </conditionalFormatting>
  <conditionalFormatting sqref="D467">
    <cfRule type="cellIs" dxfId="5581" priority="7265" operator="equal">
      <formula>0</formula>
    </cfRule>
  </conditionalFormatting>
  <conditionalFormatting sqref="B467:H467">
    <cfRule type="cellIs" dxfId="5580" priority="7263" operator="equal">
      <formula>0</formula>
    </cfRule>
  </conditionalFormatting>
  <conditionalFormatting sqref="B477">
    <cfRule type="cellIs" dxfId="5579" priority="7262" operator="lessThan">
      <formula>0</formula>
    </cfRule>
  </conditionalFormatting>
  <conditionalFormatting sqref="B477">
    <cfRule type="cellIs" dxfId="5578" priority="7261" operator="equal">
      <formula>0</formula>
    </cfRule>
  </conditionalFormatting>
  <conditionalFormatting sqref="C482">
    <cfRule type="cellIs" dxfId="5577" priority="7258" operator="equal">
      <formula>0</formula>
    </cfRule>
  </conditionalFormatting>
  <conditionalFormatting sqref="B482:G482">
    <cfRule type="cellIs" dxfId="5576" priority="7260" operator="lessThan">
      <formula>0</formula>
    </cfRule>
  </conditionalFormatting>
  <conditionalFormatting sqref="D482">
    <cfRule type="cellIs" dxfId="5575" priority="7259" operator="equal">
      <formula>0</formula>
    </cfRule>
  </conditionalFormatting>
  <conditionalFormatting sqref="B482:H482">
    <cfRule type="cellIs" dxfId="5574" priority="7257" operator="equal">
      <formula>0</formula>
    </cfRule>
  </conditionalFormatting>
  <conditionalFormatting sqref="B487">
    <cfRule type="cellIs" dxfId="5573" priority="7256" operator="lessThan">
      <formula>0</formula>
    </cfRule>
  </conditionalFormatting>
  <conditionalFormatting sqref="B487">
    <cfRule type="cellIs" dxfId="5572" priority="7255" operator="equal">
      <formula>0</formula>
    </cfRule>
  </conditionalFormatting>
  <conditionalFormatting sqref="C463">
    <cfRule type="cellIs" dxfId="5571" priority="7253" operator="equal">
      <formula>0</formula>
    </cfRule>
  </conditionalFormatting>
  <conditionalFormatting sqref="I468:T468">
    <cfRule type="cellIs" dxfId="5570" priority="7251" operator="equal">
      <formula>0</formula>
    </cfRule>
  </conditionalFormatting>
  <conditionalFormatting sqref="C463">
    <cfRule type="cellIs" dxfId="5569" priority="7254" operator="equal">
      <formula>0</formula>
    </cfRule>
  </conditionalFormatting>
  <conditionalFormatting sqref="I468:T468">
    <cfRule type="cellIs" dxfId="5568" priority="7252" operator="equal">
      <formula>0</formula>
    </cfRule>
  </conditionalFormatting>
  <conditionalFormatting sqref="U482">
    <cfRule type="cellIs" dxfId="5567" priority="7250" operator="equal">
      <formula>0</formula>
    </cfRule>
  </conditionalFormatting>
  <conditionalFormatting sqref="U482">
    <cfRule type="cellIs" dxfId="5566" priority="7249" operator="equal">
      <formula>0</formula>
    </cfRule>
  </conditionalFormatting>
  <conditionalFormatting sqref="U460">
    <cfRule type="cellIs" dxfId="5565" priority="7248" operator="equal">
      <formula>0</formula>
    </cfRule>
  </conditionalFormatting>
  <conditionalFormatting sqref="U460">
    <cfRule type="cellIs" dxfId="5564" priority="7247" operator="equal">
      <formula>0</formula>
    </cfRule>
  </conditionalFormatting>
  <conditionalFormatting sqref="U453:U454">
    <cfRule type="cellIs" dxfId="5563" priority="7246" operator="equal">
      <formula>0</formula>
    </cfRule>
  </conditionalFormatting>
  <conditionalFormatting sqref="U450">
    <cfRule type="cellIs" dxfId="5562" priority="7245" operator="equal">
      <formula>0</formula>
    </cfRule>
  </conditionalFormatting>
  <conditionalFormatting sqref="U452">
    <cfRule type="cellIs" dxfId="5561" priority="7244" operator="equal">
      <formula>0</formula>
    </cfRule>
  </conditionalFormatting>
  <conditionalFormatting sqref="U450:U452">
    <cfRule type="cellIs" dxfId="5560" priority="7243" operator="equal">
      <formula>0</formula>
    </cfRule>
  </conditionalFormatting>
  <conditionalFormatting sqref="I482:T482">
    <cfRule type="cellIs" dxfId="5559" priority="7242" operator="equal">
      <formula>0</formula>
    </cfRule>
  </conditionalFormatting>
  <conditionalFormatting sqref="H473:H475">
    <cfRule type="cellIs" dxfId="5558" priority="7215" operator="equal">
      <formula>0</formula>
    </cfRule>
  </conditionalFormatting>
  <conditionalFormatting sqref="C474:C475">
    <cfRule type="cellIs" dxfId="5557" priority="7216" operator="equal">
      <formula>0</formula>
    </cfRule>
  </conditionalFormatting>
  <conditionalFormatting sqref="H476">
    <cfRule type="cellIs" dxfId="5556" priority="7205" operator="equal">
      <formula>0</formula>
    </cfRule>
  </conditionalFormatting>
  <conditionalFormatting sqref="C476:H476">
    <cfRule type="cellIs" dxfId="5555" priority="7204" operator="equal">
      <formula>0</formula>
    </cfRule>
  </conditionalFormatting>
  <conditionalFormatting sqref="I476:T476">
    <cfRule type="cellIs" dxfId="5554" priority="7203" operator="equal">
      <formula>0</formula>
    </cfRule>
  </conditionalFormatting>
  <conditionalFormatting sqref="I473:T475">
    <cfRule type="cellIs" dxfId="5553" priority="7211" operator="equal">
      <formula>0</formula>
    </cfRule>
  </conditionalFormatting>
  <conditionalFormatting sqref="U473:U475">
    <cfRule type="cellIs" dxfId="5552" priority="7210" operator="equal">
      <formula>0</formula>
    </cfRule>
  </conditionalFormatting>
  <conditionalFormatting sqref="I473:U475">
    <cfRule type="cellIs" dxfId="5551" priority="7209" operator="equal">
      <formula>0</formula>
    </cfRule>
  </conditionalFormatting>
  <conditionalFormatting sqref="D476">
    <cfRule type="cellIs" dxfId="5550" priority="7208" operator="equal">
      <formula>0</formula>
    </cfRule>
  </conditionalFormatting>
  <conditionalFormatting sqref="F476:G476">
    <cfRule type="cellIs" dxfId="5549" priority="7207" operator="equal">
      <formula>0</formula>
    </cfRule>
  </conditionalFormatting>
  <conditionalFormatting sqref="U479:U481">
    <cfRule type="cellIs" dxfId="5548" priority="7188" operator="equal">
      <formula>0</formula>
    </cfRule>
  </conditionalFormatting>
  <conditionalFormatting sqref="C476">
    <cfRule type="cellIs" dxfId="5547" priority="7206" operator="equal">
      <formula>0</formula>
    </cfRule>
  </conditionalFormatting>
  <conditionalFormatting sqref="I479:U481">
    <cfRule type="cellIs" dxfId="5546" priority="7187" operator="equal">
      <formula>0</formula>
    </cfRule>
  </conditionalFormatting>
  <conditionalFormatting sqref="I476:U476">
    <cfRule type="cellIs" dxfId="5545" priority="7201" operator="equal">
      <formula>0</formula>
    </cfRule>
  </conditionalFormatting>
  <conditionalFormatting sqref="D477">
    <cfRule type="cellIs" dxfId="5544" priority="7199" operator="equal">
      <formula>0</formula>
    </cfRule>
  </conditionalFormatting>
  <conditionalFormatting sqref="C479 C481">
    <cfRule type="cellIs" dxfId="5543" priority="7194" operator="equal">
      <formula>0</formula>
    </cfRule>
  </conditionalFormatting>
  <conditionalFormatting sqref="C477">
    <cfRule type="cellIs" dxfId="5542" priority="7198" operator="equal">
      <formula>0</formula>
    </cfRule>
  </conditionalFormatting>
  <conditionalFormatting sqref="C477:H477">
    <cfRule type="cellIs" dxfId="5541" priority="7197" operator="equal">
      <formula>0</formula>
    </cfRule>
  </conditionalFormatting>
  <conditionalFormatting sqref="I479:T481">
    <cfRule type="cellIs" dxfId="5540" priority="7189" operator="equal">
      <formula>0</formula>
    </cfRule>
  </conditionalFormatting>
  <conditionalFormatting sqref="F479:G481">
    <cfRule type="cellIs" dxfId="5539" priority="7195" operator="equal">
      <formula>0</formula>
    </cfRule>
  </conditionalFormatting>
  <conditionalFormatting sqref="H484:H486">
    <cfRule type="cellIs" dxfId="5538" priority="7173" operator="equal">
      <formula>0</formula>
    </cfRule>
  </conditionalFormatting>
  <conditionalFormatting sqref="C480">
    <cfRule type="cellIs" dxfId="5537" priority="7191" operator="equal">
      <formula>0</formula>
    </cfRule>
  </conditionalFormatting>
  <conditionalFormatting sqref="H479:H481">
    <cfRule type="cellIs" dxfId="5536" priority="7193" operator="equal">
      <formula>0</formula>
    </cfRule>
  </conditionalFormatting>
  <conditionalFormatting sqref="C480">
    <cfRule type="cellIs" dxfId="5535" priority="7190" operator="equal">
      <formula>0</formula>
    </cfRule>
  </conditionalFormatting>
  <conditionalFormatting sqref="U487">
    <cfRule type="cellIs" dxfId="5534" priority="7179" operator="equal">
      <formula>0</formula>
    </cfRule>
  </conditionalFormatting>
  <conditionalFormatting sqref="U484:U486">
    <cfRule type="cellIs" dxfId="5533" priority="7168" operator="equal">
      <formula>0</formula>
    </cfRule>
  </conditionalFormatting>
  <conditionalFormatting sqref="I487:T487">
    <cfRule type="cellIs" dxfId="5532" priority="7177" operator="equal">
      <formula>0</formula>
    </cfRule>
  </conditionalFormatting>
  <conditionalFormatting sqref="D484:D486">
    <cfRule type="cellIs" dxfId="5531" priority="7176" operator="equal">
      <formula>0</formula>
    </cfRule>
  </conditionalFormatting>
  <conditionalFormatting sqref="F484:G486">
    <cfRule type="cellIs" dxfId="5530" priority="7175" operator="equal">
      <formula>0</formula>
    </cfRule>
  </conditionalFormatting>
  <conditionalFormatting sqref="C484 C486">
    <cfRule type="cellIs" dxfId="5529" priority="7174" operator="equal">
      <formula>0</formula>
    </cfRule>
  </conditionalFormatting>
  <conditionalFormatting sqref="C487">
    <cfRule type="cellIs" dxfId="5528" priority="7181" operator="equal">
      <formula>0</formula>
    </cfRule>
  </conditionalFormatting>
  <conditionalFormatting sqref="C485">
    <cfRule type="cellIs" dxfId="5527" priority="7171" operator="equal">
      <formula>0</formula>
    </cfRule>
  </conditionalFormatting>
  <conditionalFormatting sqref="I484:T486">
    <cfRule type="cellIs" dxfId="5526" priority="7169" operator="equal">
      <formula>0</formula>
    </cfRule>
  </conditionalFormatting>
  <conditionalFormatting sqref="I484:U486">
    <cfRule type="cellIs" dxfId="5525" priority="7167" operator="equal">
      <formula>0</formula>
    </cfRule>
  </conditionalFormatting>
  <conditionalFormatting sqref="C473">
    <cfRule type="cellIs" dxfId="5524" priority="7213" operator="equal">
      <formula>0</formula>
    </cfRule>
  </conditionalFormatting>
  <conditionalFormatting sqref="C473">
    <cfRule type="cellIs" dxfId="5523" priority="7212" operator="equal">
      <formula>0</formula>
    </cfRule>
  </conditionalFormatting>
  <conditionalFormatting sqref="U476">
    <cfRule type="cellIs" dxfId="5522" priority="7202" operator="equal">
      <formula>0</formula>
    </cfRule>
  </conditionalFormatting>
  <conditionalFormatting sqref="C479:H479 C481:H481 D480:H480">
    <cfRule type="cellIs" dxfId="5521" priority="7192" operator="equal">
      <formula>0</formula>
    </cfRule>
  </conditionalFormatting>
  <conditionalFormatting sqref="D479:D481">
    <cfRule type="cellIs" dxfId="5520" priority="7196" operator="equal">
      <formula>0</formula>
    </cfRule>
  </conditionalFormatting>
  <conditionalFormatting sqref="U477">
    <cfRule type="cellIs" dxfId="5519" priority="7185" operator="equal">
      <formula>0</formula>
    </cfRule>
  </conditionalFormatting>
  <conditionalFormatting sqref="I477:T477">
    <cfRule type="cellIs" dxfId="5518" priority="7184" operator="equal">
      <formula>0</formula>
    </cfRule>
  </conditionalFormatting>
  <conditionalFormatting sqref="D487">
    <cfRule type="cellIs" dxfId="5517" priority="7182" operator="equal">
      <formula>0</formula>
    </cfRule>
  </conditionalFormatting>
  <conditionalFormatting sqref="C487:H487">
    <cfRule type="cellIs" dxfId="5516" priority="7180" operator="equal">
      <formula>0</formula>
    </cfRule>
  </conditionalFormatting>
  <conditionalFormatting sqref="U477">
    <cfRule type="cellIs" dxfId="5515" priority="7186" operator="equal">
      <formula>0</formula>
    </cfRule>
  </conditionalFormatting>
  <conditionalFormatting sqref="C484:H484 C486:H486 D485:H485">
    <cfRule type="cellIs" dxfId="5514" priority="7172" operator="equal">
      <formula>0</formula>
    </cfRule>
  </conditionalFormatting>
  <conditionalFormatting sqref="B480">
    <cfRule type="cellIs" dxfId="5513" priority="7161" operator="equal">
      <formula>0</formula>
    </cfRule>
  </conditionalFormatting>
  <conditionalFormatting sqref="B455 B457:B459">
    <cfRule type="cellIs" dxfId="5512" priority="7241" operator="equal">
      <formula>0</formula>
    </cfRule>
  </conditionalFormatting>
  <conditionalFormatting sqref="B456">
    <cfRule type="cellIs" dxfId="5511" priority="7240" operator="equal">
      <formula>0</formula>
    </cfRule>
  </conditionalFormatting>
  <conditionalFormatting sqref="B454">
    <cfRule type="cellIs" dxfId="5510" priority="7239" operator="equal">
      <formula>0</formula>
    </cfRule>
  </conditionalFormatting>
  <conditionalFormatting sqref="B453">
    <cfRule type="cellIs" dxfId="5509" priority="7238" operator="equal">
      <formula>0</formula>
    </cfRule>
  </conditionalFormatting>
  <conditionalFormatting sqref="B462 B464:B466">
    <cfRule type="cellIs" dxfId="5508" priority="7237" operator="equal">
      <formula>0</formula>
    </cfRule>
  </conditionalFormatting>
  <conditionalFormatting sqref="B463">
    <cfRule type="cellIs" dxfId="5507" priority="7236" operator="equal">
      <formula>0</formula>
    </cfRule>
  </conditionalFormatting>
  <conditionalFormatting sqref="I460:T460">
    <cfRule type="cellIs" dxfId="5506" priority="7235" operator="equal">
      <formula>0</formula>
    </cfRule>
  </conditionalFormatting>
  <conditionalFormatting sqref="I462:T466">
    <cfRule type="cellIs" dxfId="5505" priority="7234" operator="equal">
      <formula>0</formula>
    </cfRule>
  </conditionalFormatting>
  <conditionalFormatting sqref="U462:U466">
    <cfRule type="cellIs" dxfId="5504" priority="7233" operator="equal">
      <formula>0</formula>
    </cfRule>
  </conditionalFormatting>
  <conditionalFormatting sqref="I462:U466">
    <cfRule type="cellIs" dxfId="5503" priority="7232" operator="equal">
      <formula>0</formula>
    </cfRule>
  </conditionalFormatting>
  <conditionalFormatting sqref="U467">
    <cfRule type="cellIs" dxfId="5502" priority="7231" operator="equal">
      <formula>0</formula>
    </cfRule>
  </conditionalFormatting>
  <conditionalFormatting sqref="U467">
    <cfRule type="cellIs" dxfId="5501" priority="7230" operator="equal">
      <formula>0</formula>
    </cfRule>
  </conditionalFormatting>
  <conditionalFormatting sqref="I467:T467">
    <cfRule type="cellIs" dxfId="5500" priority="7229" operator="equal">
      <formula>0</formula>
    </cfRule>
  </conditionalFormatting>
  <conditionalFormatting sqref="F469:G472">
    <cfRule type="cellIs" dxfId="5499" priority="7227" operator="equal">
      <formula>0</formula>
    </cfRule>
  </conditionalFormatting>
  <conditionalFormatting sqref="C469 C471:C472">
    <cfRule type="cellIs" dxfId="5498" priority="7226" operator="equal">
      <formula>0</formula>
    </cfRule>
  </conditionalFormatting>
  <conditionalFormatting sqref="H469:H472">
    <cfRule type="cellIs" dxfId="5497" priority="7225" operator="equal">
      <formula>0</formula>
    </cfRule>
  </conditionalFormatting>
  <conditionalFormatting sqref="D469:D472">
    <cfRule type="cellIs" dxfId="5496" priority="7228" operator="equal">
      <formula>0</formula>
    </cfRule>
  </conditionalFormatting>
  <conditionalFormatting sqref="C469:H469 C471:H472 D470:H470">
    <cfRule type="cellIs" dxfId="5495" priority="7224" operator="equal">
      <formula>0</formula>
    </cfRule>
  </conditionalFormatting>
  <conditionalFormatting sqref="C470">
    <cfRule type="cellIs" dxfId="5494" priority="7222" operator="equal">
      <formula>0</formula>
    </cfRule>
  </conditionalFormatting>
  <conditionalFormatting sqref="C470">
    <cfRule type="cellIs" dxfId="5493" priority="7223" operator="equal">
      <formula>0</formula>
    </cfRule>
  </conditionalFormatting>
  <conditionalFormatting sqref="I469:T472">
    <cfRule type="cellIs" dxfId="5492" priority="7221" operator="equal">
      <formula>0</formula>
    </cfRule>
  </conditionalFormatting>
  <conditionalFormatting sqref="U469:U472">
    <cfRule type="cellIs" dxfId="5491" priority="7220" operator="equal">
      <formula>0</formula>
    </cfRule>
  </conditionalFormatting>
  <conditionalFormatting sqref="I469:U472">
    <cfRule type="cellIs" dxfId="5490" priority="7219" operator="equal">
      <formula>0</formula>
    </cfRule>
  </conditionalFormatting>
  <conditionalFormatting sqref="F473:G475">
    <cfRule type="cellIs" dxfId="5489" priority="7217" operator="equal">
      <formula>0</formula>
    </cfRule>
  </conditionalFormatting>
  <conditionalFormatting sqref="D473:D475">
    <cfRule type="cellIs" dxfId="5488" priority="7218" operator="equal">
      <formula>0</formula>
    </cfRule>
  </conditionalFormatting>
  <conditionalFormatting sqref="C474:H475 D473:H473">
    <cfRule type="cellIs" dxfId="5487" priority="7214" operator="equal">
      <formula>0</formula>
    </cfRule>
  </conditionalFormatting>
  <conditionalFormatting sqref="C477:G477">
    <cfRule type="cellIs" dxfId="5486" priority="7200" operator="lessThan">
      <formula>0</formula>
    </cfRule>
  </conditionalFormatting>
  <conditionalFormatting sqref="C487:G487">
    <cfRule type="cellIs" dxfId="5485" priority="7183" operator="lessThan">
      <formula>0</formula>
    </cfRule>
  </conditionalFormatting>
  <conditionalFormatting sqref="C485">
    <cfRule type="cellIs" dxfId="5484" priority="7170" operator="equal">
      <formula>0</formula>
    </cfRule>
  </conditionalFormatting>
  <conditionalFormatting sqref="U487">
    <cfRule type="cellIs" dxfId="5483" priority="7178" operator="equal">
      <formula>0</formula>
    </cfRule>
  </conditionalFormatting>
  <conditionalFormatting sqref="B479 B481">
    <cfRule type="cellIs" dxfId="5482" priority="7162" operator="equal">
      <formula>0</formula>
    </cfRule>
  </conditionalFormatting>
  <conditionalFormatting sqref="B469 B471:B472">
    <cfRule type="cellIs" dxfId="5481" priority="7166" operator="equal">
      <formula>0</formula>
    </cfRule>
  </conditionalFormatting>
  <conditionalFormatting sqref="B470">
    <cfRule type="cellIs" dxfId="5480" priority="7165" operator="equal">
      <formula>0</formula>
    </cfRule>
  </conditionalFormatting>
  <conditionalFormatting sqref="B473 B475:B476">
    <cfRule type="cellIs" dxfId="5479" priority="7164" operator="equal">
      <formula>0</formula>
    </cfRule>
  </conditionalFormatting>
  <conditionalFormatting sqref="B474">
    <cfRule type="cellIs" dxfId="5478" priority="7163" operator="equal">
      <formula>0</formula>
    </cfRule>
  </conditionalFormatting>
  <conditionalFormatting sqref="B484 B486">
    <cfRule type="cellIs" dxfId="5477" priority="7160" operator="equal">
      <formula>0</formula>
    </cfRule>
  </conditionalFormatting>
  <conditionalFormatting sqref="B485">
    <cfRule type="cellIs" dxfId="5476" priority="7159" operator="equal">
      <formula>0</formula>
    </cfRule>
  </conditionalFormatting>
  <conditionalFormatting sqref="C492:H492 E491">
    <cfRule type="cellIs" dxfId="5475" priority="7158" operator="equal">
      <formula>0</formula>
    </cfRule>
  </conditionalFormatting>
  <conditionalFormatting sqref="H494:H495">
    <cfRule type="cellIs" dxfId="5474" priority="7156" operator="equal">
      <formula>0</formula>
    </cfRule>
  </conditionalFormatting>
  <conditionalFormatting sqref="F503:G507">
    <cfRule type="cellIs" dxfId="5473" priority="7152" operator="equal">
      <formula>0</formula>
    </cfRule>
  </conditionalFormatting>
  <conditionalFormatting sqref="C497:C503 C505:C507">
    <cfRule type="cellIs" dxfId="5472" priority="7151" operator="equal">
      <formula>0</formula>
    </cfRule>
  </conditionalFormatting>
  <conditionalFormatting sqref="H503:H507">
    <cfRule type="cellIs" dxfId="5471" priority="7149" operator="equal">
      <formula>0</formula>
    </cfRule>
  </conditionalFormatting>
  <conditionalFormatting sqref="H493">
    <cfRule type="cellIs" dxfId="5470" priority="7141" operator="equal">
      <formula>0</formula>
    </cfRule>
  </conditionalFormatting>
  <conditionalFormatting sqref="D509">
    <cfRule type="cellIs" dxfId="5469" priority="7140" operator="equal">
      <formula>0</formula>
    </cfRule>
  </conditionalFormatting>
  <conditionalFormatting sqref="C509">
    <cfRule type="cellIs" dxfId="5468" priority="7139" operator="equal">
      <formula>0</formula>
    </cfRule>
  </conditionalFormatting>
  <conditionalFormatting sqref="B509:T509">
    <cfRule type="cellIs" dxfId="5467" priority="7138" operator="equal">
      <formula>0</formula>
    </cfRule>
  </conditionalFormatting>
  <conditionalFormatting sqref="H509 U509">
    <cfRule type="cellIs" dxfId="5466" priority="7137" operator="equal">
      <formula>0</formula>
    </cfRule>
  </conditionalFormatting>
  <conditionalFormatting sqref="H509 U509">
    <cfRule type="cellIs" dxfId="5465" priority="7136" operator="equal">
      <formula>0</formula>
    </cfRule>
  </conditionalFormatting>
  <conditionalFormatting sqref="D519">
    <cfRule type="cellIs" dxfId="5464" priority="7135" operator="equal">
      <formula>0</formula>
    </cfRule>
  </conditionalFormatting>
  <conditionalFormatting sqref="C519">
    <cfRule type="cellIs" dxfId="5463" priority="7134" operator="equal">
      <formula>0</formula>
    </cfRule>
  </conditionalFormatting>
  <conditionalFormatting sqref="B519:G519">
    <cfRule type="cellIs" dxfId="5462" priority="7133" operator="equal">
      <formula>0</formula>
    </cfRule>
  </conditionalFormatting>
  <conditionalFormatting sqref="H519:U519">
    <cfRule type="cellIs" dxfId="5461" priority="7132" operator="equal">
      <formula>0</formula>
    </cfRule>
  </conditionalFormatting>
  <conditionalFormatting sqref="H519:U519">
    <cfRule type="cellIs" dxfId="5460" priority="7131" operator="equal">
      <formula>0</formula>
    </cfRule>
  </conditionalFormatting>
  <conditionalFormatting sqref="D524">
    <cfRule type="cellIs" dxfId="5459" priority="7130" operator="equal">
      <formula>0</formula>
    </cfRule>
  </conditionalFormatting>
  <conditionalFormatting sqref="C524">
    <cfRule type="cellIs" dxfId="5458" priority="7129" operator="equal">
      <formula>0</formula>
    </cfRule>
  </conditionalFormatting>
  <conditionalFormatting sqref="B524:G524">
    <cfRule type="cellIs" dxfId="5457" priority="7128" operator="equal">
      <formula>0</formula>
    </cfRule>
  </conditionalFormatting>
  <conditionalFormatting sqref="H524:U524">
    <cfRule type="cellIs" dxfId="5456" priority="7127" operator="equal">
      <formula>0</formula>
    </cfRule>
  </conditionalFormatting>
  <conditionalFormatting sqref="H524:U524">
    <cfRule type="cellIs" dxfId="5455" priority="7126" operator="equal">
      <formula>0</formula>
    </cfRule>
  </conditionalFormatting>
  <conditionalFormatting sqref="I493:T493">
    <cfRule type="cellIs" dxfId="5454" priority="7157" operator="equal">
      <formula>0</formula>
    </cfRule>
  </conditionalFormatting>
  <conditionalFormatting sqref="U529">
    <cfRule type="cellIs" dxfId="5453" priority="7155" operator="equal">
      <formula>0</formula>
    </cfRule>
  </conditionalFormatting>
  <conditionalFormatting sqref="G496:G501 B501:F501">
    <cfRule type="cellIs" dxfId="5452" priority="7154" operator="lessThan">
      <formula>0</formula>
    </cfRule>
  </conditionalFormatting>
  <conditionalFormatting sqref="C496:D496 D497:D507">
    <cfRule type="cellIs" dxfId="5451" priority="7153" operator="equal">
      <formula>0</formula>
    </cfRule>
  </conditionalFormatting>
  <conditionalFormatting sqref="H496:H500">
    <cfRule type="cellIs" dxfId="5450" priority="7150" operator="equal">
      <formula>0</formula>
    </cfRule>
  </conditionalFormatting>
  <conditionalFormatting sqref="I496:T500">
    <cfRule type="cellIs" dxfId="5449" priority="7148" operator="equal">
      <formula>0</formula>
    </cfRule>
  </conditionalFormatting>
  <conditionalFormatting sqref="U496:U500">
    <cfRule type="cellIs" dxfId="5448" priority="7147" operator="equal">
      <formula>0</formula>
    </cfRule>
  </conditionalFormatting>
  <conditionalFormatting sqref="B502:G502 C503:H503 C491:D491 B529:U529 F493:G493 B493 I492:T493 C505:H507 B501:H501 C496:U500 D504:H504 C494:T495 F491:U491">
    <cfRule type="cellIs" dxfId="5447" priority="7146" operator="equal">
      <formula>0</formula>
    </cfRule>
  </conditionalFormatting>
  <conditionalFormatting sqref="H502:U502">
    <cfRule type="cellIs" dxfId="5446" priority="7145" operator="equal">
      <formula>0</formula>
    </cfRule>
  </conditionalFormatting>
  <conditionalFormatting sqref="H502:U502">
    <cfRule type="cellIs" dxfId="5445" priority="7144" operator="equal">
      <formula>0</formula>
    </cfRule>
  </conditionalFormatting>
  <conditionalFormatting sqref="U529">
    <cfRule type="cellIs" dxfId="5444" priority="7143" operator="equal">
      <formula>0</formula>
    </cfRule>
  </conditionalFormatting>
  <conditionalFormatting sqref="C493:E493">
    <cfRule type="cellIs" dxfId="5443" priority="7142" operator="equal">
      <formula>0</formula>
    </cfRule>
  </conditionalFormatting>
  <conditionalFormatting sqref="B492">
    <cfRule type="cellIs" dxfId="5442" priority="7125" operator="equal">
      <formula>0</formula>
    </cfRule>
  </conditionalFormatting>
  <conditionalFormatting sqref="C508">
    <cfRule type="cellIs" dxfId="5441" priority="7122" operator="equal">
      <formula>0</formula>
    </cfRule>
  </conditionalFormatting>
  <conditionalFormatting sqref="B508:G508">
    <cfRule type="cellIs" dxfId="5440" priority="7124" operator="lessThan">
      <formula>0</formula>
    </cfRule>
  </conditionalFormatting>
  <conditionalFormatting sqref="D508">
    <cfRule type="cellIs" dxfId="5439" priority="7123" operator="equal">
      <formula>0</formula>
    </cfRule>
  </conditionalFormatting>
  <conditionalFormatting sqref="B508:H508">
    <cfRule type="cellIs" dxfId="5438" priority="7121" operator="equal">
      <formula>0</formula>
    </cfRule>
  </conditionalFormatting>
  <conditionalFormatting sqref="B518">
    <cfRule type="cellIs" dxfId="5437" priority="7120" operator="lessThan">
      <formula>0</formula>
    </cfRule>
  </conditionalFormatting>
  <conditionalFormatting sqref="B518">
    <cfRule type="cellIs" dxfId="5436" priority="7119" operator="equal">
      <formula>0</formula>
    </cfRule>
  </conditionalFormatting>
  <conditionalFormatting sqref="C523">
    <cfRule type="cellIs" dxfId="5435" priority="7116" operator="equal">
      <formula>0</formula>
    </cfRule>
  </conditionalFormatting>
  <conditionalFormatting sqref="B523:G523">
    <cfRule type="cellIs" dxfId="5434" priority="7118" operator="lessThan">
      <formula>0</formula>
    </cfRule>
  </conditionalFormatting>
  <conditionalFormatting sqref="D523">
    <cfRule type="cellIs" dxfId="5433" priority="7117" operator="equal">
      <formula>0</formula>
    </cfRule>
  </conditionalFormatting>
  <conditionalFormatting sqref="B523:H523">
    <cfRule type="cellIs" dxfId="5432" priority="7115" operator="equal">
      <formula>0</formula>
    </cfRule>
  </conditionalFormatting>
  <conditionalFormatting sqref="B528">
    <cfRule type="cellIs" dxfId="5431" priority="7114" operator="lessThan">
      <formula>0</formula>
    </cfRule>
  </conditionalFormatting>
  <conditionalFormatting sqref="B528">
    <cfRule type="cellIs" dxfId="5430" priority="7113" operator="equal">
      <formula>0</formula>
    </cfRule>
  </conditionalFormatting>
  <conditionalFormatting sqref="C504">
    <cfRule type="cellIs" dxfId="5429" priority="7111" operator="equal">
      <formula>0</formula>
    </cfRule>
  </conditionalFormatting>
  <conditionalFormatting sqref="I509:T509">
    <cfRule type="cellIs" dxfId="5428" priority="7109" operator="equal">
      <formula>0</formula>
    </cfRule>
  </conditionalFormatting>
  <conditionalFormatting sqref="C504">
    <cfRule type="cellIs" dxfId="5427" priority="7112" operator="equal">
      <formula>0</formula>
    </cfRule>
  </conditionalFormatting>
  <conditionalFormatting sqref="I509:T509">
    <cfRule type="cellIs" dxfId="5426" priority="7110" operator="equal">
      <formula>0</formula>
    </cfRule>
  </conditionalFormatting>
  <conditionalFormatting sqref="U523">
    <cfRule type="cellIs" dxfId="5425" priority="7108" operator="equal">
      <formula>0</formula>
    </cfRule>
  </conditionalFormatting>
  <conditionalFormatting sqref="U523">
    <cfRule type="cellIs" dxfId="5424" priority="7107" operator="equal">
      <formula>0</formula>
    </cfRule>
  </conditionalFormatting>
  <conditionalFormatting sqref="U501">
    <cfRule type="cellIs" dxfId="5423" priority="7106" operator="equal">
      <formula>0</formula>
    </cfRule>
  </conditionalFormatting>
  <conditionalFormatting sqref="U501">
    <cfRule type="cellIs" dxfId="5422" priority="7105" operator="equal">
      <formula>0</formula>
    </cfRule>
  </conditionalFormatting>
  <conditionalFormatting sqref="U494:U495">
    <cfRule type="cellIs" dxfId="5421" priority="7104" operator="equal">
      <formula>0</formula>
    </cfRule>
  </conditionalFormatting>
  <conditionalFormatting sqref="U491">
    <cfRule type="cellIs" dxfId="5420" priority="7103" operator="equal">
      <formula>0</formula>
    </cfRule>
  </conditionalFormatting>
  <conditionalFormatting sqref="U493">
    <cfRule type="cellIs" dxfId="5419" priority="7102" operator="equal">
      <formula>0</formula>
    </cfRule>
  </conditionalFormatting>
  <conditionalFormatting sqref="U491:U493">
    <cfRule type="cellIs" dxfId="5418" priority="7101" operator="equal">
      <formula>0</formula>
    </cfRule>
  </conditionalFormatting>
  <conditionalFormatting sqref="I523:T523">
    <cfRule type="cellIs" dxfId="5417" priority="7100" operator="equal">
      <formula>0</formula>
    </cfRule>
  </conditionalFormatting>
  <conditionalFormatting sqref="H514:H516">
    <cfRule type="cellIs" dxfId="5416" priority="7073" operator="equal">
      <formula>0</formula>
    </cfRule>
  </conditionalFormatting>
  <conditionalFormatting sqref="C515:C516">
    <cfRule type="cellIs" dxfId="5415" priority="7074" operator="equal">
      <formula>0</formula>
    </cfRule>
  </conditionalFormatting>
  <conditionalFormatting sqref="H517">
    <cfRule type="cellIs" dxfId="5414" priority="7063" operator="equal">
      <formula>0</formula>
    </cfRule>
  </conditionalFormatting>
  <conditionalFormatting sqref="C517:H517">
    <cfRule type="cellIs" dxfId="5413" priority="7062" operator="equal">
      <formula>0</formula>
    </cfRule>
  </conditionalFormatting>
  <conditionalFormatting sqref="I517:T517">
    <cfRule type="cellIs" dxfId="5412" priority="7061" operator="equal">
      <formula>0</formula>
    </cfRule>
  </conditionalFormatting>
  <conditionalFormatting sqref="I514:T516">
    <cfRule type="cellIs" dxfId="5411" priority="7069" operator="equal">
      <formula>0</formula>
    </cfRule>
  </conditionalFormatting>
  <conditionalFormatting sqref="U514:U516">
    <cfRule type="cellIs" dxfId="5410" priority="7068" operator="equal">
      <formula>0</formula>
    </cfRule>
  </conditionalFormatting>
  <conditionalFormatting sqref="I514:U516">
    <cfRule type="cellIs" dxfId="5409" priority="7067" operator="equal">
      <formula>0</formula>
    </cfRule>
  </conditionalFormatting>
  <conditionalFormatting sqref="D517">
    <cfRule type="cellIs" dxfId="5408" priority="7066" operator="equal">
      <formula>0</formula>
    </cfRule>
  </conditionalFormatting>
  <conditionalFormatting sqref="F517:G517">
    <cfRule type="cellIs" dxfId="5407" priority="7065" operator="equal">
      <formula>0</formula>
    </cfRule>
  </conditionalFormatting>
  <conditionalFormatting sqref="U520:U522">
    <cfRule type="cellIs" dxfId="5406" priority="7046" operator="equal">
      <formula>0</formula>
    </cfRule>
  </conditionalFormatting>
  <conditionalFormatting sqref="C517">
    <cfRule type="cellIs" dxfId="5405" priority="7064" operator="equal">
      <formula>0</formula>
    </cfRule>
  </conditionalFormatting>
  <conditionalFormatting sqref="I520:U522">
    <cfRule type="cellIs" dxfId="5404" priority="7045" operator="equal">
      <formula>0</formula>
    </cfRule>
  </conditionalFormatting>
  <conditionalFormatting sqref="I517:U517">
    <cfRule type="cellIs" dxfId="5403" priority="7059" operator="equal">
      <formula>0</formula>
    </cfRule>
  </conditionalFormatting>
  <conditionalFormatting sqref="D518">
    <cfRule type="cellIs" dxfId="5402" priority="7057" operator="equal">
      <formula>0</formula>
    </cfRule>
  </conditionalFormatting>
  <conditionalFormatting sqref="C520 C522">
    <cfRule type="cellIs" dxfId="5401" priority="7052" operator="equal">
      <formula>0</formula>
    </cfRule>
  </conditionalFormatting>
  <conditionalFormatting sqref="C518">
    <cfRule type="cellIs" dxfId="5400" priority="7056" operator="equal">
      <formula>0</formula>
    </cfRule>
  </conditionalFormatting>
  <conditionalFormatting sqref="C518:H518">
    <cfRule type="cellIs" dxfId="5399" priority="7055" operator="equal">
      <formula>0</formula>
    </cfRule>
  </conditionalFormatting>
  <conditionalFormatting sqref="I520:T522">
    <cfRule type="cellIs" dxfId="5398" priority="7047" operator="equal">
      <formula>0</formula>
    </cfRule>
  </conditionalFormatting>
  <conditionalFormatting sqref="F520:G522">
    <cfRule type="cellIs" dxfId="5397" priority="7053" operator="equal">
      <formula>0</formula>
    </cfRule>
  </conditionalFormatting>
  <conditionalFormatting sqref="H525:H527">
    <cfRule type="cellIs" dxfId="5396" priority="7031" operator="equal">
      <formula>0</formula>
    </cfRule>
  </conditionalFormatting>
  <conditionalFormatting sqref="C521">
    <cfRule type="cellIs" dxfId="5395" priority="7049" operator="equal">
      <formula>0</formula>
    </cfRule>
  </conditionalFormatting>
  <conditionalFormatting sqref="H520:H522">
    <cfRule type="cellIs" dxfId="5394" priority="7051" operator="equal">
      <formula>0</formula>
    </cfRule>
  </conditionalFormatting>
  <conditionalFormatting sqref="C521">
    <cfRule type="cellIs" dxfId="5393" priority="7048" operator="equal">
      <formula>0</formula>
    </cfRule>
  </conditionalFormatting>
  <conditionalFormatting sqref="U528">
    <cfRule type="cellIs" dxfId="5392" priority="7037" operator="equal">
      <formula>0</formula>
    </cfRule>
  </conditionalFormatting>
  <conditionalFormatting sqref="U525:U527">
    <cfRule type="cellIs" dxfId="5391" priority="7026" operator="equal">
      <formula>0</formula>
    </cfRule>
  </conditionalFormatting>
  <conditionalFormatting sqref="I528:T528">
    <cfRule type="cellIs" dxfId="5390" priority="7035" operator="equal">
      <formula>0</formula>
    </cfRule>
  </conditionalFormatting>
  <conditionalFormatting sqref="D525:D527">
    <cfRule type="cellIs" dxfId="5389" priority="7034" operator="equal">
      <formula>0</formula>
    </cfRule>
  </conditionalFormatting>
  <conditionalFormatting sqref="F525:G527">
    <cfRule type="cellIs" dxfId="5388" priority="7033" operator="equal">
      <formula>0</formula>
    </cfRule>
  </conditionalFormatting>
  <conditionalFormatting sqref="C525 C527">
    <cfRule type="cellIs" dxfId="5387" priority="7032" operator="equal">
      <formula>0</formula>
    </cfRule>
  </conditionalFormatting>
  <conditionalFormatting sqref="C528">
    <cfRule type="cellIs" dxfId="5386" priority="7039" operator="equal">
      <formula>0</formula>
    </cfRule>
  </conditionalFormatting>
  <conditionalFormatting sqref="C526">
    <cfRule type="cellIs" dxfId="5385" priority="7029" operator="equal">
      <formula>0</formula>
    </cfRule>
  </conditionalFormatting>
  <conditionalFormatting sqref="I525:T527">
    <cfRule type="cellIs" dxfId="5384" priority="7027" operator="equal">
      <formula>0</formula>
    </cfRule>
  </conditionalFormatting>
  <conditionalFormatting sqref="I525:U527">
    <cfRule type="cellIs" dxfId="5383" priority="7025" operator="equal">
      <formula>0</formula>
    </cfRule>
  </conditionalFormatting>
  <conditionalFormatting sqref="C514">
    <cfRule type="cellIs" dxfId="5382" priority="7071" operator="equal">
      <formula>0</formula>
    </cfRule>
  </conditionalFormatting>
  <conditionalFormatting sqref="C514">
    <cfRule type="cellIs" dxfId="5381" priority="7070" operator="equal">
      <formula>0</formula>
    </cfRule>
  </conditionalFormatting>
  <conditionalFormatting sqref="U517">
    <cfRule type="cellIs" dxfId="5380" priority="7060" operator="equal">
      <formula>0</formula>
    </cfRule>
  </conditionalFormatting>
  <conditionalFormatting sqref="C520:H520 C522:H522 D521:H521">
    <cfRule type="cellIs" dxfId="5379" priority="7050" operator="equal">
      <formula>0</formula>
    </cfRule>
  </conditionalFormatting>
  <conditionalFormatting sqref="D520:D522">
    <cfRule type="cellIs" dxfId="5378" priority="7054" operator="equal">
      <formula>0</formula>
    </cfRule>
  </conditionalFormatting>
  <conditionalFormatting sqref="U518">
    <cfRule type="cellIs" dxfId="5377" priority="7043" operator="equal">
      <formula>0</formula>
    </cfRule>
  </conditionalFormatting>
  <conditionalFormatting sqref="I518:T518">
    <cfRule type="cellIs" dxfId="5376" priority="7042" operator="equal">
      <formula>0</formula>
    </cfRule>
  </conditionalFormatting>
  <conditionalFormatting sqref="D528">
    <cfRule type="cellIs" dxfId="5375" priority="7040" operator="equal">
      <formula>0</formula>
    </cfRule>
  </conditionalFormatting>
  <conditionalFormatting sqref="C528:H528">
    <cfRule type="cellIs" dxfId="5374" priority="7038" operator="equal">
      <formula>0</formula>
    </cfRule>
  </conditionalFormatting>
  <conditionalFormatting sqref="U518">
    <cfRule type="cellIs" dxfId="5373" priority="7044" operator="equal">
      <formula>0</formula>
    </cfRule>
  </conditionalFormatting>
  <conditionalFormatting sqref="C525:H525 C527:H527 D526:H526">
    <cfRule type="cellIs" dxfId="5372" priority="7030" operator="equal">
      <formula>0</formula>
    </cfRule>
  </conditionalFormatting>
  <conditionalFormatting sqref="B521">
    <cfRule type="cellIs" dxfId="5371" priority="7019" operator="equal">
      <formula>0</formula>
    </cfRule>
  </conditionalFormatting>
  <conditionalFormatting sqref="B496 B498:B500">
    <cfRule type="cellIs" dxfId="5370" priority="7099" operator="equal">
      <formula>0</formula>
    </cfRule>
  </conditionalFormatting>
  <conditionalFormatting sqref="B497">
    <cfRule type="cellIs" dxfId="5369" priority="7098" operator="equal">
      <formula>0</formula>
    </cfRule>
  </conditionalFormatting>
  <conditionalFormatting sqref="B495">
    <cfRule type="cellIs" dxfId="5368" priority="7097" operator="equal">
      <formula>0</formula>
    </cfRule>
  </conditionalFormatting>
  <conditionalFormatting sqref="B494">
    <cfRule type="cellIs" dxfId="5367" priority="7096" operator="equal">
      <formula>0</formula>
    </cfRule>
  </conditionalFormatting>
  <conditionalFormatting sqref="B503 B505:B507">
    <cfRule type="cellIs" dxfId="5366" priority="7095" operator="equal">
      <formula>0</formula>
    </cfRule>
  </conditionalFormatting>
  <conditionalFormatting sqref="B504">
    <cfRule type="cellIs" dxfId="5365" priority="7094" operator="equal">
      <formula>0</formula>
    </cfRule>
  </conditionalFormatting>
  <conditionalFormatting sqref="I501:T501">
    <cfRule type="cellIs" dxfId="5364" priority="7093" operator="equal">
      <formula>0</formula>
    </cfRule>
  </conditionalFormatting>
  <conditionalFormatting sqref="I503:T507">
    <cfRule type="cellIs" dxfId="5363" priority="7092" operator="equal">
      <formula>0</formula>
    </cfRule>
  </conditionalFormatting>
  <conditionalFormatting sqref="U503:U507">
    <cfRule type="cellIs" dxfId="5362" priority="7091" operator="equal">
      <formula>0</formula>
    </cfRule>
  </conditionalFormatting>
  <conditionalFormatting sqref="I503:U507">
    <cfRule type="cellIs" dxfId="5361" priority="7090" operator="equal">
      <formula>0</formula>
    </cfRule>
  </conditionalFormatting>
  <conditionalFormatting sqref="U508">
    <cfRule type="cellIs" dxfId="5360" priority="7089" operator="equal">
      <formula>0</formula>
    </cfRule>
  </conditionalFormatting>
  <conditionalFormatting sqref="U508">
    <cfRule type="cellIs" dxfId="5359" priority="7088" operator="equal">
      <formula>0</formula>
    </cfRule>
  </conditionalFormatting>
  <conditionalFormatting sqref="I508:T508">
    <cfRule type="cellIs" dxfId="5358" priority="7087" operator="equal">
      <formula>0</formula>
    </cfRule>
  </conditionalFormatting>
  <conditionalFormatting sqref="F510:G513">
    <cfRule type="cellIs" dxfId="5357" priority="7085" operator="equal">
      <formula>0</formula>
    </cfRule>
  </conditionalFormatting>
  <conditionalFormatting sqref="C510 C512:C513">
    <cfRule type="cellIs" dxfId="5356" priority="7084" operator="equal">
      <formula>0</formula>
    </cfRule>
  </conditionalFormatting>
  <conditionalFormatting sqref="H510:H513">
    <cfRule type="cellIs" dxfId="5355" priority="7083" operator="equal">
      <formula>0</formula>
    </cfRule>
  </conditionalFormatting>
  <conditionalFormatting sqref="D510:D513">
    <cfRule type="cellIs" dxfId="5354" priority="7086" operator="equal">
      <formula>0</formula>
    </cfRule>
  </conditionalFormatting>
  <conditionalFormatting sqref="C510:H510 C512:H513 D511:H511">
    <cfRule type="cellIs" dxfId="5353" priority="7082" operator="equal">
      <formula>0</formula>
    </cfRule>
  </conditionalFormatting>
  <conditionalFormatting sqref="C511">
    <cfRule type="cellIs" dxfId="5352" priority="7080" operator="equal">
      <formula>0</formula>
    </cfRule>
  </conditionalFormatting>
  <conditionalFormatting sqref="C511">
    <cfRule type="cellIs" dxfId="5351" priority="7081" operator="equal">
      <formula>0</formula>
    </cfRule>
  </conditionalFormatting>
  <conditionalFormatting sqref="I510:T513">
    <cfRule type="cellIs" dxfId="5350" priority="7079" operator="equal">
      <formula>0</formula>
    </cfRule>
  </conditionalFormatting>
  <conditionalFormatting sqref="U510:U513">
    <cfRule type="cellIs" dxfId="5349" priority="7078" operator="equal">
      <formula>0</formula>
    </cfRule>
  </conditionalFormatting>
  <conditionalFormatting sqref="I510:U513">
    <cfRule type="cellIs" dxfId="5348" priority="7077" operator="equal">
      <formula>0</formula>
    </cfRule>
  </conditionalFormatting>
  <conditionalFormatting sqref="F514:G516">
    <cfRule type="cellIs" dxfId="5347" priority="7075" operator="equal">
      <formula>0</formula>
    </cfRule>
  </conditionalFormatting>
  <conditionalFormatting sqref="D514:D516">
    <cfRule type="cellIs" dxfId="5346" priority="7076" operator="equal">
      <formula>0</formula>
    </cfRule>
  </conditionalFormatting>
  <conditionalFormatting sqref="C515:H516 D514:H514">
    <cfRule type="cellIs" dxfId="5345" priority="7072" operator="equal">
      <formula>0</formula>
    </cfRule>
  </conditionalFormatting>
  <conditionalFormatting sqref="C518:G518">
    <cfRule type="cellIs" dxfId="5344" priority="7058" operator="lessThan">
      <formula>0</formula>
    </cfRule>
  </conditionalFormatting>
  <conditionalFormatting sqref="C528:G528">
    <cfRule type="cellIs" dxfId="5343" priority="7041" operator="lessThan">
      <formula>0</formula>
    </cfRule>
  </conditionalFormatting>
  <conditionalFormatting sqref="C526">
    <cfRule type="cellIs" dxfId="5342" priority="7028" operator="equal">
      <formula>0</formula>
    </cfRule>
  </conditionalFormatting>
  <conditionalFormatting sqref="U528">
    <cfRule type="cellIs" dxfId="5341" priority="7036" operator="equal">
      <formula>0</formula>
    </cfRule>
  </conditionalFormatting>
  <conditionalFormatting sqref="B520 B522">
    <cfRule type="cellIs" dxfId="5340" priority="7020" operator="equal">
      <formula>0</formula>
    </cfRule>
  </conditionalFormatting>
  <conditionalFormatting sqref="B510 B512:B513">
    <cfRule type="cellIs" dxfId="5339" priority="7024" operator="equal">
      <formula>0</formula>
    </cfRule>
  </conditionalFormatting>
  <conditionalFormatting sqref="B511">
    <cfRule type="cellIs" dxfId="5338" priority="7023" operator="equal">
      <formula>0</formula>
    </cfRule>
  </conditionalFormatting>
  <conditionalFormatting sqref="B514 B516:B517">
    <cfRule type="cellIs" dxfId="5337" priority="7022" operator="equal">
      <formula>0</formula>
    </cfRule>
  </conditionalFormatting>
  <conditionalFormatting sqref="B515">
    <cfRule type="cellIs" dxfId="5336" priority="7021" operator="equal">
      <formula>0</formula>
    </cfRule>
  </conditionalFormatting>
  <conditionalFormatting sqref="B525 B527">
    <cfRule type="cellIs" dxfId="5335" priority="7018" operator="equal">
      <formula>0</formula>
    </cfRule>
  </conditionalFormatting>
  <conditionalFormatting sqref="B526">
    <cfRule type="cellIs" dxfId="5334" priority="7017" operator="equal">
      <formula>0</formula>
    </cfRule>
  </conditionalFormatting>
  <conditionalFormatting sqref="Z492:AE492 AB491">
    <cfRule type="cellIs" dxfId="5333" priority="7016" operator="equal">
      <formula>0</formula>
    </cfRule>
  </conditionalFormatting>
  <conditionalFormatting sqref="AE494:AE495">
    <cfRule type="cellIs" dxfId="5332" priority="7014" operator="equal">
      <formula>0</formula>
    </cfRule>
  </conditionalFormatting>
  <conditionalFormatting sqref="AC503:AD507">
    <cfRule type="cellIs" dxfId="5331" priority="7010" operator="equal">
      <formula>0</formula>
    </cfRule>
  </conditionalFormatting>
  <conditionalFormatting sqref="Z497:Z503 Z505:Z507">
    <cfRule type="cellIs" dxfId="5330" priority="7009" operator="equal">
      <formula>0</formula>
    </cfRule>
  </conditionalFormatting>
  <conditionalFormatting sqref="AE503:AE507">
    <cfRule type="cellIs" dxfId="5329" priority="7007" operator="equal">
      <formula>0</formula>
    </cfRule>
  </conditionalFormatting>
  <conditionalFormatting sqref="AE493">
    <cfRule type="cellIs" dxfId="5328" priority="6999" operator="equal">
      <formula>0</formula>
    </cfRule>
  </conditionalFormatting>
  <conditionalFormatting sqref="AA509">
    <cfRule type="cellIs" dxfId="5327" priority="6998" operator="equal">
      <formula>0</formula>
    </cfRule>
  </conditionalFormatting>
  <conditionalFormatting sqref="Z509">
    <cfRule type="cellIs" dxfId="5326" priority="6997" operator="equal">
      <formula>0</formula>
    </cfRule>
  </conditionalFormatting>
  <conditionalFormatting sqref="Y509:AQ509">
    <cfRule type="cellIs" dxfId="5325" priority="6996" operator="equal">
      <formula>0</formula>
    </cfRule>
  </conditionalFormatting>
  <conditionalFormatting sqref="AE509 AR509">
    <cfRule type="cellIs" dxfId="5324" priority="6995" operator="equal">
      <formula>0</formula>
    </cfRule>
  </conditionalFormatting>
  <conditionalFormatting sqref="AE509 AR509">
    <cfRule type="cellIs" dxfId="5323" priority="6994" operator="equal">
      <formula>0</formula>
    </cfRule>
  </conditionalFormatting>
  <conditionalFormatting sqref="AA519">
    <cfRule type="cellIs" dxfId="5322" priority="6993" operator="equal">
      <formula>0</formula>
    </cfRule>
  </conditionalFormatting>
  <conditionalFormatting sqref="Z519">
    <cfRule type="cellIs" dxfId="5321" priority="6992" operator="equal">
      <formula>0</formula>
    </cfRule>
  </conditionalFormatting>
  <conditionalFormatting sqref="Y519:AD519">
    <cfRule type="cellIs" dxfId="5320" priority="6991" operator="equal">
      <formula>0</formula>
    </cfRule>
  </conditionalFormatting>
  <conditionalFormatting sqref="AE519:AR519">
    <cfRule type="cellIs" dxfId="5319" priority="6990" operator="equal">
      <formula>0</formula>
    </cfRule>
  </conditionalFormatting>
  <conditionalFormatting sqref="AE519:AR519">
    <cfRule type="cellIs" dxfId="5318" priority="6989" operator="equal">
      <formula>0</formula>
    </cfRule>
  </conditionalFormatting>
  <conditionalFormatting sqref="AA524">
    <cfRule type="cellIs" dxfId="5317" priority="6988" operator="equal">
      <formula>0</formula>
    </cfRule>
  </conditionalFormatting>
  <conditionalFormatting sqref="Z524">
    <cfRule type="cellIs" dxfId="5316" priority="6987" operator="equal">
      <formula>0</formula>
    </cfRule>
  </conditionalFormatting>
  <conditionalFormatting sqref="Y524:AD524">
    <cfRule type="cellIs" dxfId="5315" priority="6986" operator="equal">
      <formula>0</formula>
    </cfRule>
  </conditionalFormatting>
  <conditionalFormatting sqref="AE524:AR524">
    <cfRule type="cellIs" dxfId="5314" priority="6985" operator="equal">
      <formula>0</formula>
    </cfRule>
  </conditionalFormatting>
  <conditionalFormatting sqref="AE524:AR524">
    <cfRule type="cellIs" dxfId="5313" priority="6984" operator="equal">
      <formula>0</formula>
    </cfRule>
  </conditionalFormatting>
  <conditionalFormatting sqref="AF493:AQ493">
    <cfRule type="cellIs" dxfId="5312" priority="7015" operator="equal">
      <formula>0</formula>
    </cfRule>
  </conditionalFormatting>
  <conditionalFormatting sqref="AR529">
    <cfRule type="cellIs" dxfId="5311" priority="7013" operator="equal">
      <formula>0</formula>
    </cfRule>
  </conditionalFormatting>
  <conditionalFormatting sqref="AD496:AD501 Y501:AC501">
    <cfRule type="cellIs" dxfId="5310" priority="7012" operator="lessThan">
      <formula>0</formula>
    </cfRule>
  </conditionalFormatting>
  <conditionalFormatting sqref="Z496:AA496 AA497:AA507">
    <cfRule type="cellIs" dxfId="5309" priority="7011" operator="equal">
      <formula>0</formula>
    </cfRule>
  </conditionalFormatting>
  <conditionalFormatting sqref="AE496:AE500">
    <cfRule type="cellIs" dxfId="5308" priority="7008" operator="equal">
      <formula>0</formula>
    </cfRule>
  </conditionalFormatting>
  <conditionalFormatting sqref="AF496:AQ500">
    <cfRule type="cellIs" dxfId="5307" priority="7006" operator="equal">
      <formula>0</formula>
    </cfRule>
  </conditionalFormatting>
  <conditionalFormatting sqref="AR496:AR500">
    <cfRule type="cellIs" dxfId="5306" priority="7005" operator="equal">
      <formula>0</formula>
    </cfRule>
  </conditionalFormatting>
  <conditionalFormatting sqref="Y502:AD502 Z503:AE503 Y491:AA491 Y529:AR529 AC493:AD493 Y493 AF492:AQ493 Z505:AE507 Y501:AE501 Z496:AR500 AA504:AE504 Z494:AQ495 AC491:AR491">
    <cfRule type="cellIs" dxfId="5305" priority="7004" operator="equal">
      <formula>0</formula>
    </cfRule>
  </conditionalFormatting>
  <conditionalFormatting sqref="AE502:AR502">
    <cfRule type="cellIs" dxfId="5304" priority="7003" operator="equal">
      <formula>0</formula>
    </cfRule>
  </conditionalFormatting>
  <conditionalFormatting sqref="AE502:AR502">
    <cfRule type="cellIs" dxfId="5303" priority="7002" operator="equal">
      <formula>0</formula>
    </cfRule>
  </conditionalFormatting>
  <conditionalFormatting sqref="AR529">
    <cfRule type="cellIs" dxfId="5302" priority="7001" operator="equal">
      <formula>0</formula>
    </cfRule>
  </conditionalFormatting>
  <conditionalFormatting sqref="Z493:AB493">
    <cfRule type="cellIs" dxfId="5301" priority="7000" operator="equal">
      <formula>0</formula>
    </cfRule>
  </conditionalFormatting>
  <conditionalFormatting sqref="Y492">
    <cfRule type="cellIs" dxfId="5300" priority="6983" operator="equal">
      <formula>0</formula>
    </cfRule>
  </conditionalFormatting>
  <conditionalFormatting sqref="Z508">
    <cfRule type="cellIs" dxfId="5299" priority="6980" operator="equal">
      <formula>0</formula>
    </cfRule>
  </conditionalFormatting>
  <conditionalFormatting sqref="Y508:AD508">
    <cfRule type="cellIs" dxfId="5298" priority="6982" operator="lessThan">
      <formula>0</formula>
    </cfRule>
  </conditionalFormatting>
  <conditionalFormatting sqref="AA508">
    <cfRule type="cellIs" dxfId="5297" priority="6981" operator="equal">
      <formula>0</formula>
    </cfRule>
  </conditionalFormatting>
  <conditionalFormatting sqref="Y508:AE508">
    <cfRule type="cellIs" dxfId="5296" priority="6979" operator="equal">
      <formula>0</formula>
    </cfRule>
  </conditionalFormatting>
  <conditionalFormatting sqref="Y518">
    <cfRule type="cellIs" dxfId="5295" priority="6978" operator="lessThan">
      <formula>0</formula>
    </cfRule>
  </conditionalFormatting>
  <conditionalFormatting sqref="Y518">
    <cfRule type="cellIs" dxfId="5294" priority="6977" operator="equal">
      <formula>0</formula>
    </cfRule>
  </conditionalFormatting>
  <conditionalFormatting sqref="Z523">
    <cfRule type="cellIs" dxfId="5293" priority="6974" operator="equal">
      <formula>0</formula>
    </cfRule>
  </conditionalFormatting>
  <conditionalFormatting sqref="Y523:AD523">
    <cfRule type="cellIs" dxfId="5292" priority="6976" operator="lessThan">
      <formula>0</formula>
    </cfRule>
  </conditionalFormatting>
  <conditionalFormatting sqref="AA523">
    <cfRule type="cellIs" dxfId="5291" priority="6975" operator="equal">
      <formula>0</formula>
    </cfRule>
  </conditionalFormatting>
  <conditionalFormatting sqref="Y523:AE523">
    <cfRule type="cellIs" dxfId="5290" priority="6973" operator="equal">
      <formula>0</formula>
    </cfRule>
  </conditionalFormatting>
  <conditionalFormatting sqref="Y528">
    <cfRule type="cellIs" dxfId="5289" priority="6972" operator="lessThan">
      <formula>0</formula>
    </cfRule>
  </conditionalFormatting>
  <conditionalFormatting sqref="Y528">
    <cfRule type="cellIs" dxfId="5288" priority="6971" operator="equal">
      <formula>0</formula>
    </cfRule>
  </conditionalFormatting>
  <conditionalFormatting sqref="Z504">
    <cfRule type="cellIs" dxfId="5287" priority="6969" operator="equal">
      <formula>0</formula>
    </cfRule>
  </conditionalFormatting>
  <conditionalFormatting sqref="AF509:AQ509">
    <cfRule type="cellIs" dxfId="5286" priority="6967" operator="equal">
      <formula>0</formula>
    </cfRule>
  </conditionalFormatting>
  <conditionalFormatting sqref="Z504">
    <cfRule type="cellIs" dxfId="5285" priority="6970" operator="equal">
      <formula>0</formula>
    </cfRule>
  </conditionalFormatting>
  <conditionalFormatting sqref="AF509:AQ509">
    <cfRule type="cellIs" dxfId="5284" priority="6968" operator="equal">
      <formula>0</formula>
    </cfRule>
  </conditionalFormatting>
  <conditionalFormatting sqref="AR523">
    <cfRule type="cellIs" dxfId="5283" priority="6966" operator="equal">
      <formula>0</formula>
    </cfRule>
  </conditionalFormatting>
  <conditionalFormatting sqref="AR523">
    <cfRule type="cellIs" dxfId="5282" priority="6965" operator="equal">
      <formula>0</formula>
    </cfRule>
  </conditionalFormatting>
  <conditionalFormatting sqref="AR501">
    <cfRule type="cellIs" dxfId="5281" priority="6964" operator="equal">
      <formula>0</formula>
    </cfRule>
  </conditionalFormatting>
  <conditionalFormatting sqref="AR501">
    <cfRule type="cellIs" dxfId="5280" priority="6963" operator="equal">
      <formula>0</formula>
    </cfRule>
  </conditionalFormatting>
  <conditionalFormatting sqref="AR494:AR495">
    <cfRule type="cellIs" dxfId="5279" priority="6962" operator="equal">
      <formula>0</formula>
    </cfRule>
  </conditionalFormatting>
  <conditionalFormatting sqref="AR491">
    <cfRule type="cellIs" dxfId="5278" priority="6961" operator="equal">
      <formula>0</formula>
    </cfRule>
  </conditionalFormatting>
  <conditionalFormatting sqref="AR493">
    <cfRule type="cellIs" dxfId="5277" priority="6960" operator="equal">
      <formula>0</formula>
    </cfRule>
  </conditionalFormatting>
  <conditionalFormatting sqref="AR491:AR493">
    <cfRule type="cellIs" dxfId="5276" priority="6959" operator="equal">
      <formula>0</formula>
    </cfRule>
  </conditionalFormatting>
  <conditionalFormatting sqref="AF523:AQ523">
    <cfRule type="cellIs" dxfId="5275" priority="6958" operator="equal">
      <formula>0</formula>
    </cfRule>
  </conditionalFormatting>
  <conditionalFormatting sqref="AE514:AE516">
    <cfRule type="cellIs" dxfId="5274" priority="6931" operator="equal">
      <formula>0</formula>
    </cfRule>
  </conditionalFormatting>
  <conditionalFormatting sqref="Z515:Z516">
    <cfRule type="cellIs" dxfId="5273" priority="6932" operator="equal">
      <formula>0</formula>
    </cfRule>
  </conditionalFormatting>
  <conditionalFormatting sqref="AE517">
    <cfRule type="cellIs" dxfId="5272" priority="6921" operator="equal">
      <formula>0</formula>
    </cfRule>
  </conditionalFormatting>
  <conditionalFormatting sqref="Z517:AE517">
    <cfRule type="cellIs" dxfId="5271" priority="6920" operator="equal">
      <formula>0</formula>
    </cfRule>
  </conditionalFormatting>
  <conditionalFormatting sqref="AF517:AQ517">
    <cfRule type="cellIs" dxfId="5270" priority="6919" operator="equal">
      <formula>0</formula>
    </cfRule>
  </conditionalFormatting>
  <conditionalFormatting sqref="AF514:AQ516">
    <cfRule type="cellIs" dxfId="5269" priority="6927" operator="equal">
      <formula>0</formula>
    </cfRule>
  </conditionalFormatting>
  <conditionalFormatting sqref="AR514:AR516">
    <cfRule type="cellIs" dxfId="5268" priority="6926" operator="equal">
      <formula>0</formula>
    </cfRule>
  </conditionalFormatting>
  <conditionalFormatting sqref="AF514:AR516">
    <cfRule type="cellIs" dxfId="5267" priority="6925" operator="equal">
      <formula>0</formula>
    </cfRule>
  </conditionalFormatting>
  <conditionalFormatting sqref="AA517">
    <cfRule type="cellIs" dxfId="5266" priority="6924" operator="equal">
      <formula>0</formula>
    </cfRule>
  </conditionalFormatting>
  <conditionalFormatting sqref="AC517:AD517">
    <cfRule type="cellIs" dxfId="5265" priority="6923" operator="equal">
      <formula>0</formula>
    </cfRule>
  </conditionalFormatting>
  <conditionalFormatting sqref="AR520:AR522">
    <cfRule type="cellIs" dxfId="5264" priority="6904" operator="equal">
      <formula>0</formula>
    </cfRule>
  </conditionalFormatting>
  <conditionalFormatting sqref="Z517">
    <cfRule type="cellIs" dxfId="5263" priority="6922" operator="equal">
      <formula>0</formula>
    </cfRule>
  </conditionalFormatting>
  <conditionalFormatting sqref="AF520:AR522">
    <cfRule type="cellIs" dxfId="5262" priority="6903" operator="equal">
      <formula>0</formula>
    </cfRule>
  </conditionalFormatting>
  <conditionalFormatting sqref="AF517:AR517">
    <cfRule type="cellIs" dxfId="5261" priority="6917" operator="equal">
      <formula>0</formula>
    </cfRule>
  </conditionalFormatting>
  <conditionalFormatting sqref="AA518">
    <cfRule type="cellIs" dxfId="5260" priority="6915" operator="equal">
      <formula>0</formula>
    </cfRule>
  </conditionalFormatting>
  <conditionalFormatting sqref="Z520 Z522">
    <cfRule type="cellIs" dxfId="5259" priority="6910" operator="equal">
      <formula>0</formula>
    </cfRule>
  </conditionalFormatting>
  <conditionalFormatting sqref="Z518">
    <cfRule type="cellIs" dxfId="5258" priority="6914" operator="equal">
      <formula>0</formula>
    </cfRule>
  </conditionalFormatting>
  <conditionalFormatting sqref="Z518:AE518">
    <cfRule type="cellIs" dxfId="5257" priority="6913" operator="equal">
      <formula>0</formula>
    </cfRule>
  </conditionalFormatting>
  <conditionalFormatting sqref="AF520:AQ522">
    <cfRule type="cellIs" dxfId="5256" priority="6905" operator="equal">
      <formula>0</formula>
    </cfRule>
  </conditionalFormatting>
  <conditionalFormatting sqref="AC520:AD522">
    <cfRule type="cellIs" dxfId="5255" priority="6911" operator="equal">
      <formula>0</formula>
    </cfRule>
  </conditionalFormatting>
  <conditionalFormatting sqref="AE525:AE527">
    <cfRule type="cellIs" dxfId="5254" priority="6889" operator="equal">
      <formula>0</formula>
    </cfRule>
  </conditionalFormatting>
  <conditionalFormatting sqref="Z521">
    <cfRule type="cellIs" dxfId="5253" priority="6907" operator="equal">
      <formula>0</formula>
    </cfRule>
  </conditionalFormatting>
  <conditionalFormatting sqref="AE520:AE522">
    <cfRule type="cellIs" dxfId="5252" priority="6909" operator="equal">
      <formula>0</formula>
    </cfRule>
  </conditionalFormatting>
  <conditionalFormatting sqref="Z521">
    <cfRule type="cellIs" dxfId="5251" priority="6906" operator="equal">
      <formula>0</formula>
    </cfRule>
  </conditionalFormatting>
  <conditionalFormatting sqref="AR528">
    <cfRule type="cellIs" dxfId="5250" priority="6895" operator="equal">
      <formula>0</formula>
    </cfRule>
  </conditionalFormatting>
  <conditionalFormatting sqref="AR525:AR527">
    <cfRule type="cellIs" dxfId="5249" priority="6884" operator="equal">
      <formula>0</formula>
    </cfRule>
  </conditionalFormatting>
  <conditionalFormatting sqref="AF528:AQ528">
    <cfRule type="cellIs" dxfId="5248" priority="6893" operator="equal">
      <formula>0</formula>
    </cfRule>
  </conditionalFormatting>
  <conditionalFormatting sqref="AA525:AA527">
    <cfRule type="cellIs" dxfId="5247" priority="6892" operator="equal">
      <formula>0</formula>
    </cfRule>
  </conditionalFormatting>
  <conditionalFormatting sqref="AC525:AD527">
    <cfRule type="cellIs" dxfId="5246" priority="6891" operator="equal">
      <formula>0</formula>
    </cfRule>
  </conditionalFormatting>
  <conditionalFormatting sqref="Z525 Z527">
    <cfRule type="cellIs" dxfId="5245" priority="6890" operator="equal">
      <formula>0</formula>
    </cfRule>
  </conditionalFormatting>
  <conditionalFormatting sqref="Z528">
    <cfRule type="cellIs" dxfId="5244" priority="6897" operator="equal">
      <formula>0</formula>
    </cfRule>
  </conditionalFormatting>
  <conditionalFormatting sqref="Z526">
    <cfRule type="cellIs" dxfId="5243" priority="6887" operator="equal">
      <formula>0</formula>
    </cfRule>
  </conditionalFormatting>
  <conditionalFormatting sqref="AF525:AQ527">
    <cfRule type="cellIs" dxfId="5242" priority="6885" operator="equal">
      <formula>0</formula>
    </cfRule>
  </conditionalFormatting>
  <conditionalFormatting sqref="AF525:AR527">
    <cfRule type="cellIs" dxfId="5241" priority="6883" operator="equal">
      <formula>0</formula>
    </cfRule>
  </conditionalFormatting>
  <conditionalFormatting sqref="Z514">
    <cfRule type="cellIs" dxfId="5240" priority="6929" operator="equal">
      <formula>0</formula>
    </cfRule>
  </conditionalFormatting>
  <conditionalFormatting sqref="Z514">
    <cfRule type="cellIs" dxfId="5239" priority="6928" operator="equal">
      <formula>0</formula>
    </cfRule>
  </conditionalFormatting>
  <conditionalFormatting sqref="AR517">
    <cfRule type="cellIs" dxfId="5238" priority="6918" operator="equal">
      <formula>0</formula>
    </cfRule>
  </conditionalFormatting>
  <conditionalFormatting sqref="Z520:AE520 Z522:AE522 AA521:AE521">
    <cfRule type="cellIs" dxfId="5237" priority="6908" operator="equal">
      <formula>0</formula>
    </cfRule>
  </conditionalFormatting>
  <conditionalFormatting sqref="AA520:AA522">
    <cfRule type="cellIs" dxfId="5236" priority="6912" operator="equal">
      <formula>0</formula>
    </cfRule>
  </conditionalFormatting>
  <conditionalFormatting sqref="AR518">
    <cfRule type="cellIs" dxfId="5235" priority="6901" operator="equal">
      <formula>0</formula>
    </cfRule>
  </conditionalFormatting>
  <conditionalFormatting sqref="AF518:AQ518">
    <cfRule type="cellIs" dxfId="5234" priority="6900" operator="equal">
      <formula>0</formula>
    </cfRule>
  </conditionalFormatting>
  <conditionalFormatting sqref="AA528">
    <cfRule type="cellIs" dxfId="5233" priority="6898" operator="equal">
      <formula>0</formula>
    </cfRule>
  </conditionalFormatting>
  <conditionalFormatting sqref="Z528:AE528">
    <cfRule type="cellIs" dxfId="5232" priority="6896" operator="equal">
      <formula>0</formula>
    </cfRule>
  </conditionalFormatting>
  <conditionalFormatting sqref="AR518">
    <cfRule type="cellIs" dxfId="5231" priority="6902" operator="equal">
      <formula>0</formula>
    </cfRule>
  </conditionalFormatting>
  <conditionalFormatting sqref="Z525:AE525 Z527:AE527 AA526:AE526">
    <cfRule type="cellIs" dxfId="5230" priority="6888" operator="equal">
      <formula>0</formula>
    </cfRule>
  </conditionalFormatting>
  <conditionalFormatting sqref="Y521">
    <cfRule type="cellIs" dxfId="5229" priority="6877" operator="equal">
      <formula>0</formula>
    </cfRule>
  </conditionalFormatting>
  <conditionalFormatting sqref="Y496 Y498:Y500">
    <cfRule type="cellIs" dxfId="5228" priority="6957" operator="equal">
      <formula>0</formula>
    </cfRule>
  </conditionalFormatting>
  <conditionalFormatting sqref="Y497">
    <cfRule type="cellIs" dxfId="5227" priority="6956" operator="equal">
      <formula>0</formula>
    </cfRule>
  </conditionalFormatting>
  <conditionalFormatting sqref="Y495">
    <cfRule type="cellIs" dxfId="5226" priority="6955" operator="equal">
      <formula>0</formula>
    </cfRule>
  </conditionalFormatting>
  <conditionalFormatting sqref="Y494">
    <cfRule type="cellIs" dxfId="5225" priority="6954" operator="equal">
      <formula>0</formula>
    </cfRule>
  </conditionalFormatting>
  <conditionalFormatting sqref="Y503 Y505:Y507">
    <cfRule type="cellIs" dxfId="5224" priority="6953" operator="equal">
      <formula>0</formula>
    </cfRule>
  </conditionalFormatting>
  <conditionalFormatting sqref="Y504">
    <cfRule type="cellIs" dxfId="5223" priority="6952" operator="equal">
      <formula>0</formula>
    </cfRule>
  </conditionalFormatting>
  <conditionalFormatting sqref="AF501:AQ501">
    <cfRule type="cellIs" dxfId="5222" priority="6951" operator="equal">
      <formula>0</formula>
    </cfRule>
  </conditionalFormatting>
  <conditionalFormatting sqref="AF503:AQ507">
    <cfRule type="cellIs" dxfId="5221" priority="6950" operator="equal">
      <formula>0</formula>
    </cfRule>
  </conditionalFormatting>
  <conditionalFormatting sqref="AR503:AR507">
    <cfRule type="cellIs" dxfId="5220" priority="6949" operator="equal">
      <formula>0</formula>
    </cfRule>
  </conditionalFormatting>
  <conditionalFormatting sqref="AF503:AR507">
    <cfRule type="cellIs" dxfId="5219" priority="6948" operator="equal">
      <formula>0</formula>
    </cfRule>
  </conditionalFormatting>
  <conditionalFormatting sqref="AR508">
    <cfRule type="cellIs" dxfId="5218" priority="6947" operator="equal">
      <formula>0</formula>
    </cfRule>
  </conditionalFormatting>
  <conditionalFormatting sqref="AR508">
    <cfRule type="cellIs" dxfId="5217" priority="6946" operator="equal">
      <formula>0</formula>
    </cfRule>
  </conditionalFormatting>
  <conditionalFormatting sqref="AF508:AQ508">
    <cfRule type="cellIs" dxfId="5216" priority="6945" operator="equal">
      <formula>0</formula>
    </cfRule>
  </conditionalFormatting>
  <conditionalFormatting sqref="AC510:AD513">
    <cfRule type="cellIs" dxfId="5215" priority="6943" operator="equal">
      <formula>0</formula>
    </cfRule>
  </conditionalFormatting>
  <conditionalFormatting sqref="Z510 Z512:Z513">
    <cfRule type="cellIs" dxfId="5214" priority="6942" operator="equal">
      <formula>0</formula>
    </cfRule>
  </conditionalFormatting>
  <conditionalFormatting sqref="AE510:AE513">
    <cfRule type="cellIs" dxfId="5213" priority="6941" operator="equal">
      <formula>0</formula>
    </cfRule>
  </conditionalFormatting>
  <conditionalFormatting sqref="AA510:AA513">
    <cfRule type="cellIs" dxfId="5212" priority="6944" operator="equal">
      <formula>0</formula>
    </cfRule>
  </conditionalFormatting>
  <conditionalFormatting sqref="Z510:AE510 Z512:AE513 AA511:AE511">
    <cfRule type="cellIs" dxfId="5211" priority="6940" operator="equal">
      <formula>0</formula>
    </cfRule>
  </conditionalFormatting>
  <conditionalFormatting sqref="Z511">
    <cfRule type="cellIs" dxfId="5210" priority="6938" operator="equal">
      <formula>0</formula>
    </cfRule>
  </conditionalFormatting>
  <conditionalFormatting sqref="Z511">
    <cfRule type="cellIs" dxfId="5209" priority="6939" operator="equal">
      <formula>0</formula>
    </cfRule>
  </conditionalFormatting>
  <conditionalFormatting sqref="AF510:AQ513">
    <cfRule type="cellIs" dxfId="5208" priority="6937" operator="equal">
      <formula>0</formula>
    </cfRule>
  </conditionalFormatting>
  <conditionalFormatting sqref="AR510:AR513">
    <cfRule type="cellIs" dxfId="5207" priority="6936" operator="equal">
      <formula>0</formula>
    </cfRule>
  </conditionalFormatting>
  <conditionalFormatting sqref="AF510:AR513">
    <cfRule type="cellIs" dxfId="5206" priority="6935" operator="equal">
      <formula>0</formula>
    </cfRule>
  </conditionalFormatting>
  <conditionalFormatting sqref="AC514:AD516">
    <cfRule type="cellIs" dxfId="5205" priority="6933" operator="equal">
      <formula>0</formula>
    </cfRule>
  </conditionalFormatting>
  <conditionalFormatting sqref="AA514:AA516">
    <cfRule type="cellIs" dxfId="5204" priority="6934" operator="equal">
      <formula>0</formula>
    </cfRule>
  </conditionalFormatting>
  <conditionalFormatting sqref="Z515:AE516 AA514:AE514">
    <cfRule type="cellIs" dxfId="5203" priority="6930" operator="equal">
      <formula>0</formula>
    </cfRule>
  </conditionalFormatting>
  <conditionalFormatting sqref="Z518:AD518">
    <cfRule type="cellIs" dxfId="5202" priority="6916" operator="lessThan">
      <formula>0</formula>
    </cfRule>
  </conditionalFormatting>
  <conditionalFormatting sqref="Z528:AD528">
    <cfRule type="cellIs" dxfId="5201" priority="6899" operator="lessThan">
      <formula>0</formula>
    </cfRule>
  </conditionalFormatting>
  <conditionalFormatting sqref="Z526">
    <cfRule type="cellIs" dxfId="5200" priority="6886" operator="equal">
      <formula>0</formula>
    </cfRule>
  </conditionalFormatting>
  <conditionalFormatting sqref="AR528">
    <cfRule type="cellIs" dxfId="5199" priority="6894" operator="equal">
      <formula>0</formula>
    </cfRule>
  </conditionalFormatting>
  <conditionalFormatting sqref="Y520 Y522">
    <cfRule type="cellIs" dxfId="5198" priority="6878" operator="equal">
      <formula>0</formula>
    </cfRule>
  </conditionalFormatting>
  <conditionalFormatting sqref="Y510 Y512:Y513">
    <cfRule type="cellIs" dxfId="5197" priority="6882" operator="equal">
      <formula>0</formula>
    </cfRule>
  </conditionalFormatting>
  <conditionalFormatting sqref="Y511">
    <cfRule type="cellIs" dxfId="5196" priority="6881" operator="equal">
      <formula>0</formula>
    </cfRule>
  </conditionalFormatting>
  <conditionalFormatting sqref="Y514 Y516:Y517">
    <cfRule type="cellIs" dxfId="5195" priority="6880" operator="equal">
      <formula>0</formula>
    </cfRule>
  </conditionalFormatting>
  <conditionalFormatting sqref="Y515">
    <cfRule type="cellIs" dxfId="5194" priority="6879" operator="equal">
      <formula>0</formula>
    </cfRule>
  </conditionalFormatting>
  <conditionalFormatting sqref="Y525 Y527">
    <cfRule type="cellIs" dxfId="5193" priority="6876" operator="equal">
      <formula>0</formula>
    </cfRule>
  </conditionalFormatting>
  <conditionalFormatting sqref="Y526">
    <cfRule type="cellIs" dxfId="5192" priority="6875" operator="equal">
      <formula>0</formula>
    </cfRule>
  </conditionalFormatting>
  <conditionalFormatting sqref="Z451:AE451 AB450">
    <cfRule type="cellIs" dxfId="5191" priority="6874" operator="equal">
      <formula>0</formula>
    </cfRule>
  </conditionalFormatting>
  <conditionalFormatting sqref="AE453:AE454">
    <cfRule type="cellIs" dxfId="5190" priority="6872" operator="equal">
      <formula>0</formula>
    </cfRule>
  </conditionalFormatting>
  <conditionalFormatting sqref="AC462:AD466">
    <cfRule type="cellIs" dxfId="5189" priority="6868" operator="equal">
      <formula>0</formula>
    </cfRule>
  </conditionalFormatting>
  <conditionalFormatting sqref="Z456:Z462 Z464:Z466">
    <cfRule type="cellIs" dxfId="5188" priority="6867" operator="equal">
      <formula>0</formula>
    </cfRule>
  </conditionalFormatting>
  <conditionalFormatting sqref="AE462:AE466">
    <cfRule type="cellIs" dxfId="5187" priority="6865" operator="equal">
      <formula>0</formula>
    </cfRule>
  </conditionalFormatting>
  <conditionalFormatting sqref="AE452">
    <cfRule type="cellIs" dxfId="5186" priority="6857" operator="equal">
      <formula>0</formula>
    </cfRule>
  </conditionalFormatting>
  <conditionalFormatting sqref="AA468">
    <cfRule type="cellIs" dxfId="5185" priority="6856" operator="equal">
      <formula>0</formula>
    </cfRule>
  </conditionalFormatting>
  <conditionalFormatting sqref="Z468">
    <cfRule type="cellIs" dxfId="5184" priority="6855" operator="equal">
      <formula>0</formula>
    </cfRule>
  </conditionalFormatting>
  <conditionalFormatting sqref="Y468:AQ468">
    <cfRule type="cellIs" dxfId="5183" priority="6854" operator="equal">
      <formula>0</formula>
    </cfRule>
  </conditionalFormatting>
  <conditionalFormatting sqref="AE468 AR468">
    <cfRule type="cellIs" dxfId="5182" priority="6853" operator="equal">
      <formula>0</formula>
    </cfRule>
  </conditionalFormatting>
  <conditionalFormatting sqref="AE468 AR468">
    <cfRule type="cellIs" dxfId="5181" priority="6852" operator="equal">
      <formula>0</formula>
    </cfRule>
  </conditionalFormatting>
  <conditionalFormatting sqref="AA478">
    <cfRule type="cellIs" dxfId="5180" priority="6851" operator="equal">
      <formula>0</formula>
    </cfRule>
  </conditionalFormatting>
  <conditionalFormatting sqref="Z478">
    <cfRule type="cellIs" dxfId="5179" priority="6850" operator="equal">
      <formula>0</formula>
    </cfRule>
  </conditionalFormatting>
  <conditionalFormatting sqref="Y478:AD478">
    <cfRule type="cellIs" dxfId="5178" priority="6849" operator="equal">
      <formula>0</formula>
    </cfRule>
  </conditionalFormatting>
  <conditionalFormatting sqref="AE478:AR478">
    <cfRule type="cellIs" dxfId="5177" priority="6848" operator="equal">
      <formula>0</formula>
    </cfRule>
  </conditionalFormatting>
  <conditionalFormatting sqref="AE478:AR478">
    <cfRule type="cellIs" dxfId="5176" priority="6847" operator="equal">
      <formula>0</formula>
    </cfRule>
  </conditionalFormatting>
  <conditionalFormatting sqref="AA483">
    <cfRule type="cellIs" dxfId="5175" priority="6846" operator="equal">
      <formula>0</formula>
    </cfRule>
  </conditionalFormatting>
  <conditionalFormatting sqref="Z483">
    <cfRule type="cellIs" dxfId="5174" priority="6845" operator="equal">
      <formula>0</formula>
    </cfRule>
  </conditionalFormatting>
  <conditionalFormatting sqref="Y483:AD483">
    <cfRule type="cellIs" dxfId="5173" priority="6844" operator="equal">
      <formula>0</formula>
    </cfRule>
  </conditionalFormatting>
  <conditionalFormatting sqref="AE483:AR483">
    <cfRule type="cellIs" dxfId="5172" priority="6843" operator="equal">
      <formula>0</formula>
    </cfRule>
  </conditionalFormatting>
  <conditionalFormatting sqref="AE483:AR483">
    <cfRule type="cellIs" dxfId="5171" priority="6842" operator="equal">
      <formula>0</formula>
    </cfRule>
  </conditionalFormatting>
  <conditionalFormatting sqref="AF452:AQ452">
    <cfRule type="cellIs" dxfId="5170" priority="6873" operator="equal">
      <formula>0</formula>
    </cfRule>
  </conditionalFormatting>
  <conditionalFormatting sqref="AR488">
    <cfRule type="cellIs" dxfId="5169" priority="6871" operator="equal">
      <formula>0</formula>
    </cfRule>
  </conditionalFormatting>
  <conditionalFormatting sqref="AD455:AD460 Y460:AC460">
    <cfRule type="cellIs" dxfId="5168" priority="6870" operator="lessThan">
      <formula>0</formula>
    </cfRule>
  </conditionalFormatting>
  <conditionalFormatting sqref="Z455:AA455 AA456:AA466">
    <cfRule type="cellIs" dxfId="5167" priority="6869" operator="equal">
      <formula>0</formula>
    </cfRule>
  </conditionalFormatting>
  <conditionalFormatting sqref="AE455:AE459">
    <cfRule type="cellIs" dxfId="5166" priority="6866" operator="equal">
      <formula>0</formula>
    </cfRule>
  </conditionalFormatting>
  <conditionalFormatting sqref="AF455:AQ459">
    <cfRule type="cellIs" dxfId="5165" priority="6864" operator="equal">
      <formula>0</formula>
    </cfRule>
  </conditionalFormatting>
  <conditionalFormatting sqref="AR455:AR459">
    <cfRule type="cellIs" dxfId="5164" priority="6863" operator="equal">
      <formula>0</formula>
    </cfRule>
  </conditionalFormatting>
  <conditionalFormatting sqref="Y461:AD461 Z462:AE462 Z450:AA450 Y488:AR488 AC452:AD452 Y452 AF451:AQ452 Z464:AE466 Y460:AE460 Z455:AR459 AA463:AE463 Z453:AQ454 AC450:AR450">
    <cfRule type="cellIs" dxfId="5163" priority="6862" operator="equal">
      <formula>0</formula>
    </cfRule>
  </conditionalFormatting>
  <conditionalFormatting sqref="AE461:AR461">
    <cfRule type="cellIs" dxfId="5162" priority="6861" operator="equal">
      <formula>0</formula>
    </cfRule>
  </conditionalFormatting>
  <conditionalFormatting sqref="AE461:AR461">
    <cfRule type="cellIs" dxfId="5161" priority="6860" operator="equal">
      <formula>0</formula>
    </cfRule>
  </conditionalFormatting>
  <conditionalFormatting sqref="AR488">
    <cfRule type="cellIs" dxfId="5160" priority="6859" operator="equal">
      <formula>0</formula>
    </cfRule>
  </conditionalFormatting>
  <conditionalFormatting sqref="Z452:AB452">
    <cfRule type="cellIs" dxfId="5159" priority="6858" operator="equal">
      <formula>0</formula>
    </cfRule>
  </conditionalFormatting>
  <conditionalFormatting sqref="Y451">
    <cfRule type="cellIs" dxfId="5158" priority="6841" operator="equal">
      <formula>0</formula>
    </cfRule>
  </conditionalFormatting>
  <conditionalFormatting sqref="Z467">
    <cfRule type="cellIs" dxfId="5157" priority="6838" operator="equal">
      <formula>0</formula>
    </cfRule>
  </conditionalFormatting>
  <conditionalFormatting sqref="Y467:AD467">
    <cfRule type="cellIs" dxfId="5156" priority="6840" operator="lessThan">
      <formula>0</formula>
    </cfRule>
  </conditionalFormatting>
  <conditionalFormatting sqref="AA467">
    <cfRule type="cellIs" dxfId="5155" priority="6839" operator="equal">
      <formula>0</formula>
    </cfRule>
  </conditionalFormatting>
  <conditionalFormatting sqref="Y467:AE467">
    <cfRule type="cellIs" dxfId="5154" priority="6837" operator="equal">
      <formula>0</formula>
    </cfRule>
  </conditionalFormatting>
  <conditionalFormatting sqref="Y477">
    <cfRule type="cellIs" dxfId="5153" priority="6836" operator="lessThan">
      <formula>0</formula>
    </cfRule>
  </conditionalFormatting>
  <conditionalFormatting sqref="Y477">
    <cfRule type="cellIs" dxfId="5152" priority="6835" operator="equal">
      <formula>0</formula>
    </cfRule>
  </conditionalFormatting>
  <conditionalFormatting sqref="Z482">
    <cfRule type="cellIs" dxfId="5151" priority="6832" operator="equal">
      <formula>0</formula>
    </cfRule>
  </conditionalFormatting>
  <conditionalFormatting sqref="Y482:AD482">
    <cfRule type="cellIs" dxfId="5150" priority="6834" operator="lessThan">
      <formula>0</formula>
    </cfRule>
  </conditionalFormatting>
  <conditionalFormatting sqref="AA482">
    <cfRule type="cellIs" dxfId="5149" priority="6833" operator="equal">
      <formula>0</formula>
    </cfRule>
  </conditionalFormatting>
  <conditionalFormatting sqref="Y482:AE482">
    <cfRule type="cellIs" dxfId="5148" priority="6831" operator="equal">
      <formula>0</formula>
    </cfRule>
  </conditionalFormatting>
  <conditionalFormatting sqref="Y487">
    <cfRule type="cellIs" dxfId="5147" priority="6830" operator="lessThan">
      <formula>0</formula>
    </cfRule>
  </conditionalFormatting>
  <conditionalFormatting sqref="Y487">
    <cfRule type="cellIs" dxfId="5146" priority="6829" operator="equal">
      <formula>0</formula>
    </cfRule>
  </conditionalFormatting>
  <conditionalFormatting sqref="Z463">
    <cfRule type="cellIs" dxfId="5145" priority="6827" operator="equal">
      <formula>0</formula>
    </cfRule>
  </conditionalFormatting>
  <conditionalFormatting sqref="AF468:AQ468">
    <cfRule type="cellIs" dxfId="5144" priority="6825" operator="equal">
      <formula>0</formula>
    </cfRule>
  </conditionalFormatting>
  <conditionalFormatting sqref="Z463">
    <cfRule type="cellIs" dxfId="5143" priority="6828" operator="equal">
      <formula>0</formula>
    </cfRule>
  </conditionalFormatting>
  <conditionalFormatting sqref="AF468:AQ468">
    <cfRule type="cellIs" dxfId="5142" priority="6826" operator="equal">
      <formula>0</formula>
    </cfRule>
  </conditionalFormatting>
  <conditionalFormatting sqref="AR482">
    <cfRule type="cellIs" dxfId="5141" priority="6824" operator="equal">
      <formula>0</formula>
    </cfRule>
  </conditionalFormatting>
  <conditionalFormatting sqref="AR482">
    <cfRule type="cellIs" dxfId="5140" priority="6823" operator="equal">
      <formula>0</formula>
    </cfRule>
  </conditionalFormatting>
  <conditionalFormatting sqref="AR460">
    <cfRule type="cellIs" dxfId="5139" priority="6822" operator="equal">
      <formula>0</formula>
    </cfRule>
  </conditionalFormatting>
  <conditionalFormatting sqref="AR460">
    <cfRule type="cellIs" dxfId="5138" priority="6821" operator="equal">
      <formula>0</formula>
    </cfRule>
  </conditionalFormatting>
  <conditionalFormatting sqref="AR453:AR454">
    <cfRule type="cellIs" dxfId="5137" priority="6820" operator="equal">
      <formula>0</formula>
    </cfRule>
  </conditionalFormatting>
  <conditionalFormatting sqref="AR450">
    <cfRule type="cellIs" dxfId="5136" priority="6819" operator="equal">
      <formula>0</formula>
    </cfRule>
  </conditionalFormatting>
  <conditionalFormatting sqref="AR452">
    <cfRule type="cellIs" dxfId="5135" priority="6818" operator="equal">
      <formula>0</formula>
    </cfRule>
  </conditionalFormatting>
  <conditionalFormatting sqref="AR450:AR452">
    <cfRule type="cellIs" dxfId="5134" priority="6817" operator="equal">
      <formula>0</formula>
    </cfRule>
  </conditionalFormatting>
  <conditionalFormatting sqref="AF482:AQ482">
    <cfRule type="cellIs" dxfId="5133" priority="6816" operator="equal">
      <formula>0</formula>
    </cfRule>
  </conditionalFormatting>
  <conditionalFormatting sqref="AE473:AE475">
    <cfRule type="cellIs" dxfId="5132" priority="6789" operator="equal">
      <formula>0</formula>
    </cfRule>
  </conditionalFormatting>
  <conditionalFormatting sqref="Z474:Z475">
    <cfRule type="cellIs" dxfId="5131" priority="6790" operator="equal">
      <formula>0</formula>
    </cfRule>
  </conditionalFormatting>
  <conditionalFormatting sqref="AE476">
    <cfRule type="cellIs" dxfId="5130" priority="6779" operator="equal">
      <formula>0</formula>
    </cfRule>
  </conditionalFormatting>
  <conditionalFormatting sqref="Z476:AE476">
    <cfRule type="cellIs" dxfId="5129" priority="6778" operator="equal">
      <formula>0</formula>
    </cfRule>
  </conditionalFormatting>
  <conditionalFormatting sqref="AF476:AQ476">
    <cfRule type="cellIs" dxfId="5128" priority="6777" operator="equal">
      <formula>0</formula>
    </cfRule>
  </conditionalFormatting>
  <conditionalFormatting sqref="AF473:AQ475">
    <cfRule type="cellIs" dxfId="5127" priority="6785" operator="equal">
      <formula>0</formula>
    </cfRule>
  </conditionalFormatting>
  <conditionalFormatting sqref="AR473:AR475">
    <cfRule type="cellIs" dxfId="5126" priority="6784" operator="equal">
      <formula>0</formula>
    </cfRule>
  </conditionalFormatting>
  <conditionalFormatting sqref="AF473:AR475">
    <cfRule type="cellIs" dxfId="5125" priority="6783" operator="equal">
      <formula>0</formula>
    </cfRule>
  </conditionalFormatting>
  <conditionalFormatting sqref="AA476">
    <cfRule type="cellIs" dxfId="5124" priority="6782" operator="equal">
      <formula>0</formula>
    </cfRule>
  </conditionalFormatting>
  <conditionalFormatting sqref="AC476:AD476">
    <cfRule type="cellIs" dxfId="5123" priority="6781" operator="equal">
      <formula>0</formula>
    </cfRule>
  </conditionalFormatting>
  <conditionalFormatting sqref="AR479:AR481">
    <cfRule type="cellIs" dxfId="5122" priority="6762" operator="equal">
      <formula>0</formula>
    </cfRule>
  </conditionalFormatting>
  <conditionalFormatting sqref="Z476">
    <cfRule type="cellIs" dxfId="5121" priority="6780" operator="equal">
      <formula>0</formula>
    </cfRule>
  </conditionalFormatting>
  <conditionalFormatting sqref="AF479:AR481">
    <cfRule type="cellIs" dxfId="5120" priority="6761" operator="equal">
      <formula>0</formula>
    </cfRule>
  </conditionalFormatting>
  <conditionalFormatting sqref="AF476:AR476">
    <cfRule type="cellIs" dxfId="5119" priority="6775" operator="equal">
      <formula>0</formula>
    </cfRule>
  </conditionalFormatting>
  <conditionalFormatting sqref="AA477">
    <cfRule type="cellIs" dxfId="5118" priority="6773" operator="equal">
      <formula>0</formula>
    </cfRule>
  </conditionalFormatting>
  <conditionalFormatting sqref="Z479 Z481">
    <cfRule type="cellIs" dxfId="5117" priority="6768" operator="equal">
      <formula>0</formula>
    </cfRule>
  </conditionalFormatting>
  <conditionalFormatting sqref="Z477">
    <cfRule type="cellIs" dxfId="5116" priority="6772" operator="equal">
      <formula>0</formula>
    </cfRule>
  </conditionalFormatting>
  <conditionalFormatting sqref="Z477:AE477">
    <cfRule type="cellIs" dxfId="5115" priority="6771" operator="equal">
      <formula>0</formula>
    </cfRule>
  </conditionalFormatting>
  <conditionalFormatting sqref="AF479:AQ481">
    <cfRule type="cellIs" dxfId="5114" priority="6763" operator="equal">
      <formula>0</formula>
    </cfRule>
  </conditionalFormatting>
  <conditionalFormatting sqref="AC479:AD481">
    <cfRule type="cellIs" dxfId="5113" priority="6769" operator="equal">
      <formula>0</formula>
    </cfRule>
  </conditionalFormatting>
  <conditionalFormatting sqref="AE484:AE486">
    <cfRule type="cellIs" dxfId="5112" priority="6747" operator="equal">
      <formula>0</formula>
    </cfRule>
  </conditionalFormatting>
  <conditionalFormatting sqref="Z480">
    <cfRule type="cellIs" dxfId="5111" priority="6765" operator="equal">
      <formula>0</formula>
    </cfRule>
  </conditionalFormatting>
  <conditionalFormatting sqref="AE479:AE481">
    <cfRule type="cellIs" dxfId="5110" priority="6767" operator="equal">
      <formula>0</formula>
    </cfRule>
  </conditionalFormatting>
  <conditionalFormatting sqref="Z480">
    <cfRule type="cellIs" dxfId="5109" priority="6764" operator="equal">
      <formula>0</formula>
    </cfRule>
  </conditionalFormatting>
  <conditionalFormatting sqref="AR487">
    <cfRule type="cellIs" dxfId="5108" priority="6753" operator="equal">
      <formula>0</formula>
    </cfRule>
  </conditionalFormatting>
  <conditionalFormatting sqref="AR484:AR486">
    <cfRule type="cellIs" dxfId="5107" priority="6742" operator="equal">
      <formula>0</formula>
    </cfRule>
  </conditionalFormatting>
  <conditionalFormatting sqref="AF487:AQ487">
    <cfRule type="cellIs" dxfId="5106" priority="6751" operator="equal">
      <formula>0</formula>
    </cfRule>
  </conditionalFormatting>
  <conditionalFormatting sqref="AA484:AA486">
    <cfRule type="cellIs" dxfId="5105" priority="6750" operator="equal">
      <formula>0</formula>
    </cfRule>
  </conditionalFormatting>
  <conditionalFormatting sqref="AC484:AD486">
    <cfRule type="cellIs" dxfId="5104" priority="6749" operator="equal">
      <formula>0</formula>
    </cfRule>
  </conditionalFormatting>
  <conditionalFormatting sqref="Z484 Z486">
    <cfRule type="cellIs" dxfId="5103" priority="6748" operator="equal">
      <formula>0</formula>
    </cfRule>
  </conditionalFormatting>
  <conditionalFormatting sqref="Z487">
    <cfRule type="cellIs" dxfId="5102" priority="6755" operator="equal">
      <formula>0</formula>
    </cfRule>
  </conditionalFormatting>
  <conditionalFormatting sqref="Z485">
    <cfRule type="cellIs" dxfId="5101" priority="6745" operator="equal">
      <formula>0</formula>
    </cfRule>
  </conditionalFormatting>
  <conditionalFormatting sqref="AF484:AQ486">
    <cfRule type="cellIs" dxfId="5100" priority="6743" operator="equal">
      <formula>0</formula>
    </cfRule>
  </conditionalFormatting>
  <conditionalFormatting sqref="AF484:AR486">
    <cfRule type="cellIs" dxfId="5099" priority="6741" operator="equal">
      <formula>0</formula>
    </cfRule>
  </conditionalFormatting>
  <conditionalFormatting sqref="Z473">
    <cfRule type="cellIs" dxfId="5098" priority="6787" operator="equal">
      <formula>0</formula>
    </cfRule>
  </conditionalFormatting>
  <conditionalFormatting sqref="Z473">
    <cfRule type="cellIs" dxfId="5097" priority="6786" operator="equal">
      <formula>0</formula>
    </cfRule>
  </conditionalFormatting>
  <conditionalFormatting sqref="AR476">
    <cfRule type="cellIs" dxfId="5096" priority="6776" operator="equal">
      <formula>0</formula>
    </cfRule>
  </conditionalFormatting>
  <conditionalFormatting sqref="Z479:AE479 Z481:AE481 AA480:AE480">
    <cfRule type="cellIs" dxfId="5095" priority="6766" operator="equal">
      <formula>0</formula>
    </cfRule>
  </conditionalFormatting>
  <conditionalFormatting sqref="AA479:AA481">
    <cfRule type="cellIs" dxfId="5094" priority="6770" operator="equal">
      <formula>0</formula>
    </cfRule>
  </conditionalFormatting>
  <conditionalFormatting sqref="AR477">
    <cfRule type="cellIs" dxfId="5093" priority="6759" operator="equal">
      <formula>0</formula>
    </cfRule>
  </conditionalFormatting>
  <conditionalFormatting sqref="AF477:AQ477">
    <cfRule type="cellIs" dxfId="5092" priority="6758" operator="equal">
      <formula>0</formula>
    </cfRule>
  </conditionalFormatting>
  <conditionalFormatting sqref="AA487">
    <cfRule type="cellIs" dxfId="5091" priority="6756" operator="equal">
      <formula>0</formula>
    </cfRule>
  </conditionalFormatting>
  <conditionalFormatting sqref="Z487:AE487">
    <cfRule type="cellIs" dxfId="5090" priority="6754" operator="equal">
      <formula>0</formula>
    </cfRule>
  </conditionalFormatting>
  <conditionalFormatting sqref="AR477">
    <cfRule type="cellIs" dxfId="5089" priority="6760" operator="equal">
      <formula>0</formula>
    </cfRule>
  </conditionalFormatting>
  <conditionalFormatting sqref="Z484:AE484 Z486:AE486 AA485:AE485">
    <cfRule type="cellIs" dxfId="5088" priority="6746" operator="equal">
      <formula>0</formula>
    </cfRule>
  </conditionalFormatting>
  <conditionalFormatting sqref="Y480">
    <cfRule type="cellIs" dxfId="5087" priority="6735" operator="equal">
      <formula>0</formula>
    </cfRule>
  </conditionalFormatting>
  <conditionalFormatting sqref="Y455 Y457:Y459">
    <cfRule type="cellIs" dxfId="5086" priority="6815" operator="equal">
      <formula>0</formula>
    </cfRule>
  </conditionalFormatting>
  <conditionalFormatting sqref="Y456">
    <cfRule type="cellIs" dxfId="5085" priority="6814" operator="equal">
      <formula>0</formula>
    </cfRule>
  </conditionalFormatting>
  <conditionalFormatting sqref="Y454">
    <cfRule type="cellIs" dxfId="5084" priority="6813" operator="equal">
      <formula>0</formula>
    </cfRule>
  </conditionalFormatting>
  <conditionalFormatting sqref="Y453">
    <cfRule type="cellIs" dxfId="5083" priority="6812" operator="equal">
      <formula>0</formula>
    </cfRule>
  </conditionalFormatting>
  <conditionalFormatting sqref="Y462 Y464:Y466">
    <cfRule type="cellIs" dxfId="5082" priority="6811" operator="equal">
      <formula>0</formula>
    </cfRule>
  </conditionalFormatting>
  <conditionalFormatting sqref="Y463">
    <cfRule type="cellIs" dxfId="5081" priority="6810" operator="equal">
      <formula>0</formula>
    </cfRule>
  </conditionalFormatting>
  <conditionalFormatting sqref="AF460:AQ460">
    <cfRule type="cellIs" dxfId="5080" priority="6809" operator="equal">
      <formula>0</formula>
    </cfRule>
  </conditionalFormatting>
  <conditionalFormatting sqref="AF462:AQ466">
    <cfRule type="cellIs" dxfId="5079" priority="6808" operator="equal">
      <formula>0</formula>
    </cfRule>
  </conditionalFormatting>
  <conditionalFormatting sqref="AR462:AR466">
    <cfRule type="cellIs" dxfId="5078" priority="6807" operator="equal">
      <formula>0</formula>
    </cfRule>
  </conditionalFormatting>
  <conditionalFormatting sqref="AF462:AR466">
    <cfRule type="cellIs" dxfId="5077" priority="6806" operator="equal">
      <formula>0</formula>
    </cfRule>
  </conditionalFormatting>
  <conditionalFormatting sqref="AR467">
    <cfRule type="cellIs" dxfId="5076" priority="6805" operator="equal">
      <formula>0</formula>
    </cfRule>
  </conditionalFormatting>
  <conditionalFormatting sqref="AR467">
    <cfRule type="cellIs" dxfId="5075" priority="6804" operator="equal">
      <formula>0</formula>
    </cfRule>
  </conditionalFormatting>
  <conditionalFormatting sqref="AF467:AQ467">
    <cfRule type="cellIs" dxfId="5074" priority="6803" operator="equal">
      <formula>0</formula>
    </cfRule>
  </conditionalFormatting>
  <conditionalFormatting sqref="AC469:AD472">
    <cfRule type="cellIs" dxfId="5073" priority="6801" operator="equal">
      <formula>0</formula>
    </cfRule>
  </conditionalFormatting>
  <conditionalFormatting sqref="Z469 Z471:Z472">
    <cfRule type="cellIs" dxfId="5072" priority="6800" operator="equal">
      <formula>0</formula>
    </cfRule>
  </conditionalFormatting>
  <conditionalFormatting sqref="AE469:AE472">
    <cfRule type="cellIs" dxfId="5071" priority="6799" operator="equal">
      <formula>0</formula>
    </cfRule>
  </conditionalFormatting>
  <conditionalFormatting sqref="AA469:AA472">
    <cfRule type="cellIs" dxfId="5070" priority="6802" operator="equal">
      <formula>0</formula>
    </cfRule>
  </conditionalFormatting>
  <conditionalFormatting sqref="Z469:AE469 Z471:AE472 AA470:AE470">
    <cfRule type="cellIs" dxfId="5069" priority="6798" operator="equal">
      <formula>0</formula>
    </cfRule>
  </conditionalFormatting>
  <conditionalFormatting sqref="Z470">
    <cfRule type="cellIs" dxfId="5068" priority="6796" operator="equal">
      <formula>0</formula>
    </cfRule>
  </conditionalFormatting>
  <conditionalFormatting sqref="Z470">
    <cfRule type="cellIs" dxfId="5067" priority="6797" operator="equal">
      <formula>0</formula>
    </cfRule>
  </conditionalFormatting>
  <conditionalFormatting sqref="AF469:AQ472">
    <cfRule type="cellIs" dxfId="5066" priority="6795" operator="equal">
      <formula>0</formula>
    </cfRule>
  </conditionalFormatting>
  <conditionalFormatting sqref="AR469:AR472">
    <cfRule type="cellIs" dxfId="5065" priority="6794" operator="equal">
      <formula>0</formula>
    </cfRule>
  </conditionalFormatting>
  <conditionalFormatting sqref="AF469:AR472">
    <cfRule type="cellIs" dxfId="5064" priority="6793" operator="equal">
      <formula>0</formula>
    </cfRule>
  </conditionalFormatting>
  <conditionalFormatting sqref="AC473:AD475">
    <cfRule type="cellIs" dxfId="5063" priority="6791" operator="equal">
      <formula>0</formula>
    </cfRule>
  </conditionalFormatting>
  <conditionalFormatting sqref="AA473:AA475">
    <cfRule type="cellIs" dxfId="5062" priority="6792" operator="equal">
      <formula>0</formula>
    </cfRule>
  </conditionalFormatting>
  <conditionalFormatting sqref="Z474:AE475 AA473:AE473">
    <cfRule type="cellIs" dxfId="5061" priority="6788" operator="equal">
      <formula>0</formula>
    </cfRule>
  </conditionalFormatting>
  <conditionalFormatting sqref="Z477:AD477">
    <cfRule type="cellIs" dxfId="5060" priority="6774" operator="lessThan">
      <formula>0</formula>
    </cfRule>
  </conditionalFormatting>
  <conditionalFormatting sqref="Z487:AD487">
    <cfRule type="cellIs" dxfId="5059" priority="6757" operator="lessThan">
      <formula>0</formula>
    </cfRule>
  </conditionalFormatting>
  <conditionalFormatting sqref="Z485">
    <cfRule type="cellIs" dxfId="5058" priority="6744" operator="equal">
      <formula>0</formula>
    </cfRule>
  </conditionalFormatting>
  <conditionalFormatting sqref="AR487">
    <cfRule type="cellIs" dxfId="5057" priority="6752" operator="equal">
      <formula>0</formula>
    </cfRule>
  </conditionalFormatting>
  <conditionalFormatting sqref="Y479 Y481">
    <cfRule type="cellIs" dxfId="5056" priority="6736" operator="equal">
      <formula>0</formula>
    </cfRule>
  </conditionalFormatting>
  <conditionalFormatting sqref="Y469 Y471:Y472">
    <cfRule type="cellIs" dxfId="5055" priority="6740" operator="equal">
      <formula>0</formula>
    </cfRule>
  </conditionalFormatting>
  <conditionalFormatting sqref="Y470">
    <cfRule type="cellIs" dxfId="5054" priority="6739" operator="equal">
      <formula>0</formula>
    </cfRule>
  </conditionalFormatting>
  <conditionalFormatting sqref="Y473 Y475:Y476">
    <cfRule type="cellIs" dxfId="5053" priority="6738" operator="equal">
      <formula>0</formula>
    </cfRule>
  </conditionalFormatting>
  <conditionalFormatting sqref="Y474">
    <cfRule type="cellIs" dxfId="5052" priority="6737" operator="equal">
      <formula>0</formula>
    </cfRule>
  </conditionalFormatting>
  <conditionalFormatting sqref="Y484 Y486">
    <cfRule type="cellIs" dxfId="5051" priority="6734" operator="equal">
      <formula>0</formula>
    </cfRule>
  </conditionalFormatting>
  <conditionalFormatting sqref="Y485">
    <cfRule type="cellIs" dxfId="5050" priority="6733" operator="equal">
      <formula>0</formula>
    </cfRule>
  </conditionalFormatting>
  <conditionalFormatting sqref="Z410:AE410 AB409">
    <cfRule type="cellIs" dxfId="5049" priority="6732" operator="equal">
      <formula>0</formula>
    </cfRule>
  </conditionalFormatting>
  <conditionalFormatting sqref="AE412:AE413">
    <cfRule type="cellIs" dxfId="5048" priority="6730" operator="equal">
      <formula>0</formula>
    </cfRule>
  </conditionalFormatting>
  <conditionalFormatting sqref="AC421:AD425">
    <cfRule type="cellIs" dxfId="5047" priority="6726" operator="equal">
      <formula>0</formula>
    </cfRule>
  </conditionalFormatting>
  <conditionalFormatting sqref="Z415:Z421 Z423:Z425">
    <cfRule type="cellIs" dxfId="5046" priority="6725" operator="equal">
      <formula>0</formula>
    </cfRule>
  </conditionalFormatting>
  <conditionalFormatting sqref="AE421:AE425">
    <cfRule type="cellIs" dxfId="5045" priority="6723" operator="equal">
      <formula>0</formula>
    </cfRule>
  </conditionalFormatting>
  <conditionalFormatting sqref="AE411">
    <cfRule type="cellIs" dxfId="5044" priority="6715" operator="equal">
      <formula>0</formula>
    </cfRule>
  </conditionalFormatting>
  <conditionalFormatting sqref="AA427">
    <cfRule type="cellIs" dxfId="5043" priority="6714" operator="equal">
      <formula>0</formula>
    </cfRule>
  </conditionalFormatting>
  <conditionalFormatting sqref="Z427">
    <cfRule type="cellIs" dxfId="5042" priority="6713" operator="equal">
      <formula>0</formula>
    </cfRule>
  </conditionalFormatting>
  <conditionalFormatting sqref="Y427:AQ427">
    <cfRule type="cellIs" dxfId="5041" priority="6712" operator="equal">
      <formula>0</formula>
    </cfRule>
  </conditionalFormatting>
  <conditionalFormatting sqref="AE427 AR427">
    <cfRule type="cellIs" dxfId="5040" priority="6711" operator="equal">
      <formula>0</formula>
    </cfRule>
  </conditionalFormatting>
  <conditionalFormatting sqref="AE427 AR427">
    <cfRule type="cellIs" dxfId="5039" priority="6710" operator="equal">
      <formula>0</formula>
    </cfRule>
  </conditionalFormatting>
  <conditionalFormatting sqref="AA437">
    <cfRule type="cellIs" dxfId="5038" priority="6709" operator="equal">
      <formula>0</formula>
    </cfRule>
  </conditionalFormatting>
  <conditionalFormatting sqref="Z437">
    <cfRule type="cellIs" dxfId="5037" priority="6708" operator="equal">
      <formula>0</formula>
    </cfRule>
  </conditionalFormatting>
  <conditionalFormatting sqref="Y437:AD437">
    <cfRule type="cellIs" dxfId="5036" priority="6707" operator="equal">
      <formula>0</formula>
    </cfRule>
  </conditionalFormatting>
  <conditionalFormatting sqref="AE437:AR437">
    <cfRule type="cellIs" dxfId="5035" priority="6706" operator="equal">
      <formula>0</formula>
    </cfRule>
  </conditionalFormatting>
  <conditionalFormatting sqref="AE437:AR437">
    <cfRule type="cellIs" dxfId="5034" priority="6705" operator="equal">
      <formula>0</formula>
    </cfRule>
  </conditionalFormatting>
  <conditionalFormatting sqref="AA442">
    <cfRule type="cellIs" dxfId="5033" priority="6704" operator="equal">
      <formula>0</formula>
    </cfRule>
  </conditionalFormatting>
  <conditionalFormatting sqref="Z442">
    <cfRule type="cellIs" dxfId="5032" priority="6703" operator="equal">
      <formula>0</formula>
    </cfRule>
  </conditionalFormatting>
  <conditionalFormatting sqref="Y442:AD442">
    <cfRule type="cellIs" dxfId="5031" priority="6702" operator="equal">
      <formula>0</formula>
    </cfRule>
  </conditionalFormatting>
  <conditionalFormatting sqref="AE442:AR442">
    <cfRule type="cellIs" dxfId="5030" priority="6701" operator="equal">
      <formula>0</formula>
    </cfRule>
  </conditionalFormatting>
  <conditionalFormatting sqref="AE442:AR442">
    <cfRule type="cellIs" dxfId="5029" priority="6700" operator="equal">
      <formula>0</formula>
    </cfRule>
  </conditionalFormatting>
  <conditionalFormatting sqref="AF411:AQ411">
    <cfRule type="cellIs" dxfId="5028" priority="6731" operator="equal">
      <formula>0</formula>
    </cfRule>
  </conditionalFormatting>
  <conditionalFormatting sqref="AR447">
    <cfRule type="cellIs" dxfId="5027" priority="6729" operator="equal">
      <formula>0</formula>
    </cfRule>
  </conditionalFormatting>
  <conditionalFormatting sqref="AD414:AD419 Y419:AC419">
    <cfRule type="cellIs" dxfId="5026" priority="6728" operator="lessThan">
      <formula>0</formula>
    </cfRule>
  </conditionalFormatting>
  <conditionalFormatting sqref="Z414:AA414 AA415:AA425">
    <cfRule type="cellIs" dxfId="5025" priority="6727" operator="equal">
      <formula>0</formula>
    </cfRule>
  </conditionalFormatting>
  <conditionalFormatting sqref="AE414:AE418">
    <cfRule type="cellIs" dxfId="5024" priority="6724" operator="equal">
      <formula>0</formula>
    </cfRule>
  </conditionalFormatting>
  <conditionalFormatting sqref="AF414:AQ418">
    <cfRule type="cellIs" dxfId="5023" priority="6722" operator="equal">
      <formula>0</formula>
    </cfRule>
  </conditionalFormatting>
  <conditionalFormatting sqref="AR414:AR418">
    <cfRule type="cellIs" dxfId="5022" priority="6721" operator="equal">
      <formula>0</formula>
    </cfRule>
  </conditionalFormatting>
  <conditionalFormatting sqref="Y420:AD420 Z421:AE421 Z409:AA409 Y447:AR447 AC411:AD411 Y411 AF410:AQ411 Z423:AE425 Y419:AE419 Z414:AR418 AA422:AE422 Z412:AQ413 AC409:AR409">
    <cfRule type="cellIs" dxfId="5021" priority="6720" operator="equal">
      <formula>0</formula>
    </cfRule>
  </conditionalFormatting>
  <conditionalFormatting sqref="AE420:AR420">
    <cfRule type="cellIs" dxfId="5020" priority="6719" operator="equal">
      <formula>0</formula>
    </cfRule>
  </conditionalFormatting>
  <conditionalFormatting sqref="AE420:AR420">
    <cfRule type="cellIs" dxfId="5019" priority="6718" operator="equal">
      <formula>0</formula>
    </cfRule>
  </conditionalFormatting>
  <conditionalFormatting sqref="AR447">
    <cfRule type="cellIs" dxfId="5018" priority="6717" operator="equal">
      <formula>0</formula>
    </cfRule>
  </conditionalFormatting>
  <conditionalFormatting sqref="Z411:AB411">
    <cfRule type="cellIs" dxfId="5017" priority="6716" operator="equal">
      <formula>0</formula>
    </cfRule>
  </conditionalFormatting>
  <conditionalFormatting sqref="Y410">
    <cfRule type="cellIs" dxfId="5016" priority="6699" operator="equal">
      <formula>0</formula>
    </cfRule>
  </conditionalFormatting>
  <conditionalFormatting sqref="Z426">
    <cfRule type="cellIs" dxfId="5015" priority="6696" operator="equal">
      <formula>0</formula>
    </cfRule>
  </conditionalFormatting>
  <conditionalFormatting sqref="Y426:AD426">
    <cfRule type="cellIs" dxfId="5014" priority="6698" operator="lessThan">
      <formula>0</formula>
    </cfRule>
  </conditionalFormatting>
  <conditionalFormatting sqref="AA426">
    <cfRule type="cellIs" dxfId="5013" priority="6697" operator="equal">
      <formula>0</formula>
    </cfRule>
  </conditionalFormatting>
  <conditionalFormatting sqref="Y426:AE426">
    <cfRule type="cellIs" dxfId="5012" priority="6695" operator="equal">
      <formula>0</formula>
    </cfRule>
  </conditionalFormatting>
  <conditionalFormatting sqref="Y436">
    <cfRule type="cellIs" dxfId="5011" priority="6694" operator="lessThan">
      <formula>0</formula>
    </cfRule>
  </conditionalFormatting>
  <conditionalFormatting sqref="Y436">
    <cfRule type="cellIs" dxfId="5010" priority="6693" operator="equal">
      <formula>0</formula>
    </cfRule>
  </conditionalFormatting>
  <conditionalFormatting sqref="Z441">
    <cfRule type="cellIs" dxfId="5009" priority="6690" operator="equal">
      <formula>0</formula>
    </cfRule>
  </conditionalFormatting>
  <conditionalFormatting sqref="Y441:AD441">
    <cfRule type="cellIs" dxfId="5008" priority="6692" operator="lessThan">
      <formula>0</formula>
    </cfRule>
  </conditionalFormatting>
  <conditionalFormatting sqref="AA441">
    <cfRule type="cellIs" dxfId="5007" priority="6691" operator="equal">
      <formula>0</formula>
    </cfRule>
  </conditionalFormatting>
  <conditionalFormatting sqref="Y441:AE441">
    <cfRule type="cellIs" dxfId="5006" priority="6689" operator="equal">
      <formula>0</formula>
    </cfRule>
  </conditionalFormatting>
  <conditionalFormatting sqref="Y446">
    <cfRule type="cellIs" dxfId="5005" priority="6688" operator="lessThan">
      <formula>0</formula>
    </cfRule>
  </conditionalFormatting>
  <conditionalFormatting sqref="Y446">
    <cfRule type="cellIs" dxfId="5004" priority="6687" operator="equal">
      <formula>0</formula>
    </cfRule>
  </conditionalFormatting>
  <conditionalFormatting sqref="Z422">
    <cfRule type="cellIs" dxfId="5003" priority="6685" operator="equal">
      <formula>0</formula>
    </cfRule>
  </conditionalFormatting>
  <conditionalFormatting sqref="AF427:AQ427">
    <cfRule type="cellIs" dxfId="5002" priority="6683" operator="equal">
      <formula>0</formula>
    </cfRule>
  </conditionalFormatting>
  <conditionalFormatting sqref="Z422">
    <cfRule type="cellIs" dxfId="5001" priority="6686" operator="equal">
      <formula>0</formula>
    </cfRule>
  </conditionalFormatting>
  <conditionalFormatting sqref="AF427:AQ427">
    <cfRule type="cellIs" dxfId="5000" priority="6684" operator="equal">
      <formula>0</formula>
    </cfRule>
  </conditionalFormatting>
  <conditionalFormatting sqref="AR441">
    <cfRule type="cellIs" dxfId="4999" priority="6682" operator="equal">
      <formula>0</formula>
    </cfRule>
  </conditionalFormatting>
  <conditionalFormatting sqref="AR441">
    <cfRule type="cellIs" dxfId="4998" priority="6681" operator="equal">
      <formula>0</formula>
    </cfRule>
  </conditionalFormatting>
  <conditionalFormatting sqref="AR419">
    <cfRule type="cellIs" dxfId="4997" priority="6680" operator="equal">
      <formula>0</formula>
    </cfRule>
  </conditionalFormatting>
  <conditionalFormatting sqref="AR419">
    <cfRule type="cellIs" dxfId="4996" priority="6679" operator="equal">
      <formula>0</formula>
    </cfRule>
  </conditionalFormatting>
  <conditionalFormatting sqref="AR412:AR413">
    <cfRule type="cellIs" dxfId="4995" priority="6678" operator="equal">
      <formula>0</formula>
    </cfRule>
  </conditionalFormatting>
  <conditionalFormatting sqref="AR409">
    <cfRule type="cellIs" dxfId="4994" priority="6677" operator="equal">
      <formula>0</formula>
    </cfRule>
  </conditionalFormatting>
  <conditionalFormatting sqref="AR411">
    <cfRule type="cellIs" dxfId="4993" priority="6676" operator="equal">
      <formula>0</formula>
    </cfRule>
  </conditionalFormatting>
  <conditionalFormatting sqref="AR409:AR411">
    <cfRule type="cellIs" dxfId="4992" priority="6675" operator="equal">
      <formula>0</formula>
    </cfRule>
  </conditionalFormatting>
  <conditionalFormatting sqref="AF441:AQ441">
    <cfRule type="cellIs" dxfId="4991" priority="6674" operator="equal">
      <formula>0</formula>
    </cfRule>
  </conditionalFormatting>
  <conditionalFormatting sqref="AE432:AE434">
    <cfRule type="cellIs" dxfId="4990" priority="6647" operator="equal">
      <formula>0</formula>
    </cfRule>
  </conditionalFormatting>
  <conditionalFormatting sqref="Z433:Z434">
    <cfRule type="cellIs" dxfId="4989" priority="6648" operator="equal">
      <formula>0</formula>
    </cfRule>
  </conditionalFormatting>
  <conditionalFormatting sqref="AE435">
    <cfRule type="cellIs" dxfId="4988" priority="6637" operator="equal">
      <formula>0</formula>
    </cfRule>
  </conditionalFormatting>
  <conditionalFormatting sqref="Z435:AE435">
    <cfRule type="cellIs" dxfId="4987" priority="6636" operator="equal">
      <formula>0</formula>
    </cfRule>
  </conditionalFormatting>
  <conditionalFormatting sqref="AF435:AQ435">
    <cfRule type="cellIs" dxfId="4986" priority="6635" operator="equal">
      <formula>0</formula>
    </cfRule>
  </conditionalFormatting>
  <conditionalFormatting sqref="AF432:AQ434">
    <cfRule type="cellIs" dxfId="4985" priority="6643" operator="equal">
      <formula>0</formula>
    </cfRule>
  </conditionalFormatting>
  <conditionalFormatting sqref="AR432:AR434">
    <cfRule type="cellIs" dxfId="4984" priority="6642" operator="equal">
      <formula>0</formula>
    </cfRule>
  </conditionalFormatting>
  <conditionalFormatting sqref="AF432:AR434">
    <cfRule type="cellIs" dxfId="4983" priority="6641" operator="equal">
      <formula>0</formula>
    </cfRule>
  </conditionalFormatting>
  <conditionalFormatting sqref="AA435">
    <cfRule type="cellIs" dxfId="4982" priority="6640" operator="equal">
      <formula>0</formula>
    </cfRule>
  </conditionalFormatting>
  <conditionalFormatting sqref="AC435:AD435">
    <cfRule type="cellIs" dxfId="4981" priority="6639" operator="equal">
      <formula>0</formula>
    </cfRule>
  </conditionalFormatting>
  <conditionalFormatting sqref="AR438:AR440">
    <cfRule type="cellIs" dxfId="4980" priority="6620" operator="equal">
      <formula>0</formula>
    </cfRule>
  </conditionalFormatting>
  <conditionalFormatting sqref="Z435">
    <cfRule type="cellIs" dxfId="4979" priority="6638" operator="equal">
      <formula>0</formula>
    </cfRule>
  </conditionalFormatting>
  <conditionalFormatting sqref="AF438:AR440">
    <cfRule type="cellIs" dxfId="4978" priority="6619" operator="equal">
      <formula>0</formula>
    </cfRule>
  </conditionalFormatting>
  <conditionalFormatting sqref="AF435:AR435">
    <cfRule type="cellIs" dxfId="4977" priority="6633" operator="equal">
      <formula>0</formula>
    </cfRule>
  </conditionalFormatting>
  <conditionalFormatting sqref="AA436">
    <cfRule type="cellIs" dxfId="4976" priority="6631" operator="equal">
      <formula>0</formula>
    </cfRule>
  </conditionalFormatting>
  <conditionalFormatting sqref="Z438 Z440">
    <cfRule type="cellIs" dxfId="4975" priority="6626" operator="equal">
      <formula>0</formula>
    </cfRule>
  </conditionalFormatting>
  <conditionalFormatting sqref="Z436">
    <cfRule type="cellIs" dxfId="4974" priority="6630" operator="equal">
      <formula>0</formula>
    </cfRule>
  </conditionalFormatting>
  <conditionalFormatting sqref="Z436:AE436">
    <cfRule type="cellIs" dxfId="4973" priority="6629" operator="equal">
      <formula>0</formula>
    </cfRule>
  </conditionalFormatting>
  <conditionalFormatting sqref="AF438:AQ440">
    <cfRule type="cellIs" dxfId="4972" priority="6621" operator="equal">
      <formula>0</formula>
    </cfRule>
  </conditionalFormatting>
  <conditionalFormatting sqref="AC438:AD440">
    <cfRule type="cellIs" dxfId="4971" priority="6627" operator="equal">
      <formula>0</formula>
    </cfRule>
  </conditionalFormatting>
  <conditionalFormatting sqref="AE443:AE445">
    <cfRule type="cellIs" dxfId="4970" priority="6605" operator="equal">
      <formula>0</formula>
    </cfRule>
  </conditionalFormatting>
  <conditionalFormatting sqref="Z439">
    <cfRule type="cellIs" dxfId="4969" priority="6623" operator="equal">
      <formula>0</formula>
    </cfRule>
  </conditionalFormatting>
  <conditionalFormatting sqref="AE438:AE440">
    <cfRule type="cellIs" dxfId="4968" priority="6625" operator="equal">
      <formula>0</formula>
    </cfRule>
  </conditionalFormatting>
  <conditionalFormatting sqref="Z439">
    <cfRule type="cellIs" dxfId="4967" priority="6622" operator="equal">
      <formula>0</formula>
    </cfRule>
  </conditionalFormatting>
  <conditionalFormatting sqref="AR446">
    <cfRule type="cellIs" dxfId="4966" priority="6611" operator="equal">
      <formula>0</formula>
    </cfRule>
  </conditionalFormatting>
  <conditionalFormatting sqref="AR443:AR445">
    <cfRule type="cellIs" dxfId="4965" priority="6600" operator="equal">
      <formula>0</formula>
    </cfRule>
  </conditionalFormatting>
  <conditionalFormatting sqref="AF446:AQ446">
    <cfRule type="cellIs" dxfId="4964" priority="6609" operator="equal">
      <formula>0</formula>
    </cfRule>
  </conditionalFormatting>
  <conditionalFormatting sqref="AA443:AA445">
    <cfRule type="cellIs" dxfId="4963" priority="6608" operator="equal">
      <formula>0</formula>
    </cfRule>
  </conditionalFormatting>
  <conditionalFormatting sqref="AC443:AD445">
    <cfRule type="cellIs" dxfId="4962" priority="6607" operator="equal">
      <formula>0</formula>
    </cfRule>
  </conditionalFormatting>
  <conditionalFormatting sqref="Z443 Z445">
    <cfRule type="cellIs" dxfId="4961" priority="6606" operator="equal">
      <formula>0</formula>
    </cfRule>
  </conditionalFormatting>
  <conditionalFormatting sqref="Z446">
    <cfRule type="cellIs" dxfId="4960" priority="6613" operator="equal">
      <formula>0</formula>
    </cfRule>
  </conditionalFormatting>
  <conditionalFormatting sqref="Z444">
    <cfRule type="cellIs" dxfId="4959" priority="6603" operator="equal">
      <formula>0</formula>
    </cfRule>
  </conditionalFormatting>
  <conditionalFormatting sqref="AF443:AQ445">
    <cfRule type="cellIs" dxfId="4958" priority="6601" operator="equal">
      <formula>0</formula>
    </cfRule>
  </conditionalFormatting>
  <conditionalFormatting sqref="AF443:AR445">
    <cfRule type="cellIs" dxfId="4957" priority="6599" operator="equal">
      <formula>0</formula>
    </cfRule>
  </conditionalFormatting>
  <conditionalFormatting sqref="Z432">
    <cfRule type="cellIs" dxfId="4956" priority="6645" operator="equal">
      <formula>0</formula>
    </cfRule>
  </conditionalFormatting>
  <conditionalFormatting sqref="Z432">
    <cfRule type="cellIs" dxfId="4955" priority="6644" operator="equal">
      <formula>0</formula>
    </cfRule>
  </conditionalFormatting>
  <conditionalFormatting sqref="AR435">
    <cfRule type="cellIs" dxfId="4954" priority="6634" operator="equal">
      <formula>0</formula>
    </cfRule>
  </conditionalFormatting>
  <conditionalFormatting sqref="Z438:AE438 Z440:AE440 AA439:AE439">
    <cfRule type="cellIs" dxfId="4953" priority="6624" operator="equal">
      <formula>0</formula>
    </cfRule>
  </conditionalFormatting>
  <conditionalFormatting sqref="AA438:AA440">
    <cfRule type="cellIs" dxfId="4952" priority="6628" operator="equal">
      <formula>0</formula>
    </cfRule>
  </conditionalFormatting>
  <conditionalFormatting sqref="AR436">
    <cfRule type="cellIs" dxfId="4951" priority="6617" operator="equal">
      <formula>0</formula>
    </cfRule>
  </conditionalFormatting>
  <conditionalFormatting sqref="AF436:AQ436">
    <cfRule type="cellIs" dxfId="4950" priority="6616" operator="equal">
      <formula>0</formula>
    </cfRule>
  </conditionalFormatting>
  <conditionalFormatting sqref="AA446">
    <cfRule type="cellIs" dxfId="4949" priority="6614" operator="equal">
      <formula>0</formula>
    </cfRule>
  </conditionalFormatting>
  <conditionalFormatting sqref="Z446:AE446">
    <cfRule type="cellIs" dxfId="4948" priority="6612" operator="equal">
      <formula>0</formula>
    </cfRule>
  </conditionalFormatting>
  <conditionalFormatting sqref="AR436">
    <cfRule type="cellIs" dxfId="4947" priority="6618" operator="equal">
      <formula>0</formula>
    </cfRule>
  </conditionalFormatting>
  <conditionalFormatting sqref="Z443:AE443 Z445:AE445 AA444:AE444">
    <cfRule type="cellIs" dxfId="4946" priority="6604" operator="equal">
      <formula>0</formula>
    </cfRule>
  </conditionalFormatting>
  <conditionalFormatting sqref="Y439">
    <cfRule type="cellIs" dxfId="4945" priority="6593" operator="equal">
      <formula>0</formula>
    </cfRule>
  </conditionalFormatting>
  <conditionalFormatting sqref="Y414 Y416:Y418">
    <cfRule type="cellIs" dxfId="4944" priority="6673" operator="equal">
      <formula>0</formula>
    </cfRule>
  </conditionalFormatting>
  <conditionalFormatting sqref="Y415">
    <cfRule type="cellIs" dxfId="4943" priority="6672" operator="equal">
      <formula>0</formula>
    </cfRule>
  </conditionalFormatting>
  <conditionalFormatting sqref="Y413">
    <cfRule type="cellIs" dxfId="4942" priority="6671" operator="equal">
      <formula>0</formula>
    </cfRule>
  </conditionalFormatting>
  <conditionalFormatting sqref="Y412">
    <cfRule type="cellIs" dxfId="4941" priority="6670" operator="equal">
      <formula>0</formula>
    </cfRule>
  </conditionalFormatting>
  <conditionalFormatting sqref="Y421 Y423:Y425">
    <cfRule type="cellIs" dxfId="4940" priority="6669" operator="equal">
      <formula>0</formula>
    </cfRule>
  </conditionalFormatting>
  <conditionalFormatting sqref="Y422">
    <cfRule type="cellIs" dxfId="4939" priority="6668" operator="equal">
      <formula>0</formula>
    </cfRule>
  </conditionalFormatting>
  <conditionalFormatting sqref="AF419:AQ419">
    <cfRule type="cellIs" dxfId="4938" priority="6667" operator="equal">
      <formula>0</formula>
    </cfRule>
  </conditionalFormatting>
  <conditionalFormatting sqref="AF421:AQ425">
    <cfRule type="cellIs" dxfId="4937" priority="6666" operator="equal">
      <formula>0</formula>
    </cfRule>
  </conditionalFormatting>
  <conditionalFormatting sqref="AR421:AR425">
    <cfRule type="cellIs" dxfId="4936" priority="6665" operator="equal">
      <formula>0</formula>
    </cfRule>
  </conditionalFormatting>
  <conditionalFormatting sqref="AF421:AR425">
    <cfRule type="cellIs" dxfId="4935" priority="6664" operator="equal">
      <formula>0</formula>
    </cfRule>
  </conditionalFormatting>
  <conditionalFormatting sqref="AR426">
    <cfRule type="cellIs" dxfId="4934" priority="6663" operator="equal">
      <formula>0</formula>
    </cfRule>
  </conditionalFormatting>
  <conditionalFormatting sqref="AR426">
    <cfRule type="cellIs" dxfId="4933" priority="6662" operator="equal">
      <formula>0</formula>
    </cfRule>
  </conditionalFormatting>
  <conditionalFormatting sqref="AF426:AQ426">
    <cfRule type="cellIs" dxfId="4932" priority="6661" operator="equal">
      <formula>0</formula>
    </cfRule>
  </conditionalFormatting>
  <conditionalFormatting sqref="AC428:AD431">
    <cfRule type="cellIs" dxfId="4931" priority="6659" operator="equal">
      <formula>0</formula>
    </cfRule>
  </conditionalFormatting>
  <conditionalFormatting sqref="Z428 Z430:Z431">
    <cfRule type="cellIs" dxfId="4930" priority="6658" operator="equal">
      <formula>0</formula>
    </cfRule>
  </conditionalFormatting>
  <conditionalFormatting sqref="AE428:AE431">
    <cfRule type="cellIs" dxfId="4929" priority="6657" operator="equal">
      <formula>0</formula>
    </cfRule>
  </conditionalFormatting>
  <conditionalFormatting sqref="AA428:AA431">
    <cfRule type="cellIs" dxfId="4928" priority="6660" operator="equal">
      <formula>0</formula>
    </cfRule>
  </conditionalFormatting>
  <conditionalFormatting sqref="Z428:AE428 Z430:AE431 AA429:AE429">
    <cfRule type="cellIs" dxfId="4927" priority="6656" operator="equal">
      <formula>0</formula>
    </cfRule>
  </conditionalFormatting>
  <conditionalFormatting sqref="Z429">
    <cfRule type="cellIs" dxfId="4926" priority="6654" operator="equal">
      <formula>0</formula>
    </cfRule>
  </conditionalFormatting>
  <conditionalFormatting sqref="Z429">
    <cfRule type="cellIs" dxfId="4925" priority="6655" operator="equal">
      <formula>0</formula>
    </cfRule>
  </conditionalFormatting>
  <conditionalFormatting sqref="AF428:AQ431">
    <cfRule type="cellIs" dxfId="4924" priority="6653" operator="equal">
      <formula>0</formula>
    </cfRule>
  </conditionalFormatting>
  <conditionalFormatting sqref="AR428:AR431">
    <cfRule type="cellIs" dxfId="4923" priority="6652" operator="equal">
      <formula>0</formula>
    </cfRule>
  </conditionalFormatting>
  <conditionalFormatting sqref="AF428:AR431">
    <cfRule type="cellIs" dxfId="4922" priority="6651" operator="equal">
      <formula>0</formula>
    </cfRule>
  </conditionalFormatting>
  <conditionalFormatting sqref="AC432:AD434">
    <cfRule type="cellIs" dxfId="4921" priority="6649" operator="equal">
      <formula>0</formula>
    </cfRule>
  </conditionalFormatting>
  <conditionalFormatting sqref="AA432:AA434">
    <cfRule type="cellIs" dxfId="4920" priority="6650" operator="equal">
      <formula>0</formula>
    </cfRule>
  </conditionalFormatting>
  <conditionalFormatting sqref="Z433:AE434 AA432:AE432">
    <cfRule type="cellIs" dxfId="4919" priority="6646" operator="equal">
      <formula>0</formula>
    </cfRule>
  </conditionalFormatting>
  <conditionalFormatting sqref="Z436:AD436">
    <cfRule type="cellIs" dxfId="4918" priority="6632" operator="lessThan">
      <formula>0</formula>
    </cfRule>
  </conditionalFormatting>
  <conditionalFormatting sqref="Z446:AD446">
    <cfRule type="cellIs" dxfId="4917" priority="6615" operator="lessThan">
      <formula>0</formula>
    </cfRule>
  </conditionalFormatting>
  <conditionalFormatting sqref="Z444">
    <cfRule type="cellIs" dxfId="4916" priority="6602" operator="equal">
      <formula>0</formula>
    </cfRule>
  </conditionalFormatting>
  <conditionalFormatting sqref="AR446">
    <cfRule type="cellIs" dxfId="4915" priority="6610" operator="equal">
      <formula>0</formula>
    </cfRule>
  </conditionalFormatting>
  <conditionalFormatting sqref="Y438 Y440">
    <cfRule type="cellIs" dxfId="4914" priority="6594" operator="equal">
      <formula>0</formula>
    </cfRule>
  </conditionalFormatting>
  <conditionalFormatting sqref="Y428 Y430:Y431">
    <cfRule type="cellIs" dxfId="4913" priority="6598" operator="equal">
      <formula>0</formula>
    </cfRule>
  </conditionalFormatting>
  <conditionalFormatting sqref="Y429">
    <cfRule type="cellIs" dxfId="4912" priority="6597" operator="equal">
      <formula>0</formula>
    </cfRule>
  </conditionalFormatting>
  <conditionalFormatting sqref="Y432 Y434:Y435">
    <cfRule type="cellIs" dxfId="4911" priority="6596" operator="equal">
      <formula>0</formula>
    </cfRule>
  </conditionalFormatting>
  <conditionalFormatting sqref="Y433">
    <cfRule type="cellIs" dxfId="4910" priority="6595" operator="equal">
      <formula>0</formula>
    </cfRule>
  </conditionalFormatting>
  <conditionalFormatting sqref="Y443 Y445">
    <cfRule type="cellIs" dxfId="4909" priority="6592" operator="equal">
      <formula>0</formula>
    </cfRule>
  </conditionalFormatting>
  <conditionalFormatting sqref="Y444">
    <cfRule type="cellIs" dxfId="4908" priority="6591" operator="equal">
      <formula>0</formula>
    </cfRule>
  </conditionalFormatting>
  <conditionalFormatting sqref="Z369:AE369 AB368">
    <cfRule type="cellIs" dxfId="4907" priority="6590" operator="equal">
      <formula>0</formula>
    </cfRule>
  </conditionalFormatting>
  <conditionalFormatting sqref="AE371:AE372">
    <cfRule type="cellIs" dxfId="4906" priority="6588" operator="equal">
      <formula>0</formula>
    </cfRule>
  </conditionalFormatting>
  <conditionalFormatting sqref="AC380:AD384">
    <cfRule type="cellIs" dxfId="4905" priority="6584" operator="equal">
      <formula>0</formula>
    </cfRule>
  </conditionalFormatting>
  <conditionalFormatting sqref="Z374:Z380 Z382:Z384">
    <cfRule type="cellIs" dxfId="4904" priority="6583" operator="equal">
      <formula>0</formula>
    </cfRule>
  </conditionalFormatting>
  <conditionalFormatting sqref="AE380:AE384">
    <cfRule type="cellIs" dxfId="4903" priority="6581" operator="equal">
      <formula>0</formula>
    </cfRule>
  </conditionalFormatting>
  <conditionalFormatting sqref="AE370">
    <cfRule type="cellIs" dxfId="4902" priority="6573" operator="equal">
      <formula>0</formula>
    </cfRule>
  </conditionalFormatting>
  <conditionalFormatting sqref="AA386">
    <cfRule type="cellIs" dxfId="4901" priority="6572" operator="equal">
      <formula>0</formula>
    </cfRule>
  </conditionalFormatting>
  <conditionalFormatting sqref="Z386">
    <cfRule type="cellIs" dxfId="4900" priority="6571" operator="equal">
      <formula>0</formula>
    </cfRule>
  </conditionalFormatting>
  <conditionalFormatting sqref="Y386:AQ386">
    <cfRule type="cellIs" dxfId="4899" priority="6570" operator="equal">
      <formula>0</formula>
    </cfRule>
  </conditionalFormatting>
  <conditionalFormatting sqref="AE386 AR386">
    <cfRule type="cellIs" dxfId="4898" priority="6569" operator="equal">
      <formula>0</formula>
    </cfRule>
  </conditionalFormatting>
  <conditionalFormatting sqref="AE386 AR386">
    <cfRule type="cellIs" dxfId="4897" priority="6568" operator="equal">
      <formula>0</formula>
    </cfRule>
  </conditionalFormatting>
  <conditionalFormatting sqref="AA396">
    <cfRule type="cellIs" dxfId="4896" priority="6567" operator="equal">
      <formula>0</formula>
    </cfRule>
  </conditionalFormatting>
  <conditionalFormatting sqref="Z396">
    <cfRule type="cellIs" dxfId="4895" priority="6566" operator="equal">
      <formula>0</formula>
    </cfRule>
  </conditionalFormatting>
  <conditionalFormatting sqref="Y396:AD396">
    <cfRule type="cellIs" dxfId="4894" priority="6565" operator="equal">
      <formula>0</formula>
    </cfRule>
  </conditionalFormatting>
  <conditionalFormatting sqref="AE396:AR396">
    <cfRule type="cellIs" dxfId="4893" priority="6564" operator="equal">
      <formula>0</formula>
    </cfRule>
  </conditionalFormatting>
  <conditionalFormatting sqref="AE396:AR396">
    <cfRule type="cellIs" dxfId="4892" priority="6563" operator="equal">
      <formula>0</formula>
    </cfRule>
  </conditionalFormatting>
  <conditionalFormatting sqref="AA401">
    <cfRule type="cellIs" dxfId="4891" priority="6562" operator="equal">
      <formula>0</formula>
    </cfRule>
  </conditionalFormatting>
  <conditionalFormatting sqref="Z401">
    <cfRule type="cellIs" dxfId="4890" priority="6561" operator="equal">
      <formula>0</formula>
    </cfRule>
  </conditionalFormatting>
  <conditionalFormatting sqref="Y401:AD401">
    <cfRule type="cellIs" dxfId="4889" priority="6560" operator="equal">
      <formula>0</formula>
    </cfRule>
  </conditionalFormatting>
  <conditionalFormatting sqref="AE401:AR401">
    <cfRule type="cellIs" dxfId="4888" priority="6559" operator="equal">
      <formula>0</formula>
    </cfRule>
  </conditionalFormatting>
  <conditionalFormatting sqref="AE401:AR401">
    <cfRule type="cellIs" dxfId="4887" priority="6558" operator="equal">
      <formula>0</formula>
    </cfRule>
  </conditionalFormatting>
  <conditionalFormatting sqref="AF370:AQ370">
    <cfRule type="cellIs" dxfId="4886" priority="6589" operator="equal">
      <formula>0</formula>
    </cfRule>
  </conditionalFormatting>
  <conditionalFormatting sqref="AR406">
    <cfRule type="cellIs" dxfId="4885" priority="6587" operator="equal">
      <formula>0</formula>
    </cfRule>
  </conditionalFormatting>
  <conditionalFormatting sqref="AD373:AD378 Y378:AC378">
    <cfRule type="cellIs" dxfId="4884" priority="6586" operator="lessThan">
      <formula>0</formula>
    </cfRule>
  </conditionalFormatting>
  <conditionalFormatting sqref="Z373:AA373 AA374:AA384">
    <cfRule type="cellIs" dxfId="4883" priority="6585" operator="equal">
      <formula>0</formula>
    </cfRule>
  </conditionalFormatting>
  <conditionalFormatting sqref="AE373:AE377">
    <cfRule type="cellIs" dxfId="4882" priority="6582" operator="equal">
      <formula>0</formula>
    </cfRule>
  </conditionalFormatting>
  <conditionalFormatting sqref="AF373:AQ377">
    <cfRule type="cellIs" dxfId="4881" priority="6580" operator="equal">
      <formula>0</formula>
    </cfRule>
  </conditionalFormatting>
  <conditionalFormatting sqref="AR373:AR377">
    <cfRule type="cellIs" dxfId="4880" priority="6579" operator="equal">
      <formula>0</formula>
    </cfRule>
  </conditionalFormatting>
  <conditionalFormatting sqref="Y379:AD379 Z380:AE380 Z368:AA368 Y406:AR406 AC370:AD370 Y370 AF369:AQ370 Z382:AE384 Y378:AE378 Z373:AR377 AA381:AE381 Z371:AQ372 AC368:AR368">
    <cfRule type="cellIs" dxfId="4879" priority="6578" operator="equal">
      <formula>0</formula>
    </cfRule>
  </conditionalFormatting>
  <conditionalFormatting sqref="AE379:AR379">
    <cfRule type="cellIs" dxfId="4878" priority="6577" operator="equal">
      <formula>0</formula>
    </cfRule>
  </conditionalFormatting>
  <conditionalFormatting sqref="AE379:AR379">
    <cfRule type="cellIs" dxfId="4877" priority="6576" operator="equal">
      <formula>0</formula>
    </cfRule>
  </conditionalFormatting>
  <conditionalFormatting sqref="AR406">
    <cfRule type="cellIs" dxfId="4876" priority="6575" operator="equal">
      <formula>0</formula>
    </cfRule>
  </conditionalFormatting>
  <conditionalFormatting sqref="Z370:AB370">
    <cfRule type="cellIs" dxfId="4875" priority="6574" operator="equal">
      <formula>0</formula>
    </cfRule>
  </conditionalFormatting>
  <conditionalFormatting sqref="Y369">
    <cfRule type="cellIs" dxfId="4874" priority="6557" operator="equal">
      <formula>0</formula>
    </cfRule>
  </conditionalFormatting>
  <conditionalFormatting sqref="Z385">
    <cfRule type="cellIs" dxfId="4873" priority="6554" operator="equal">
      <formula>0</formula>
    </cfRule>
  </conditionalFormatting>
  <conditionalFormatting sqref="Y385:AD385">
    <cfRule type="cellIs" dxfId="4872" priority="6556" operator="lessThan">
      <formula>0</formula>
    </cfRule>
  </conditionalFormatting>
  <conditionalFormatting sqref="AA385">
    <cfRule type="cellIs" dxfId="4871" priority="6555" operator="equal">
      <formula>0</formula>
    </cfRule>
  </conditionalFormatting>
  <conditionalFormatting sqref="Y385:AE385">
    <cfRule type="cellIs" dxfId="4870" priority="6553" operator="equal">
      <formula>0</formula>
    </cfRule>
  </conditionalFormatting>
  <conditionalFormatting sqref="Y395">
    <cfRule type="cellIs" dxfId="4869" priority="6552" operator="lessThan">
      <formula>0</formula>
    </cfRule>
  </conditionalFormatting>
  <conditionalFormatting sqref="Y395">
    <cfRule type="cellIs" dxfId="4868" priority="6551" operator="equal">
      <formula>0</formula>
    </cfRule>
  </conditionalFormatting>
  <conditionalFormatting sqref="Z400">
    <cfRule type="cellIs" dxfId="4867" priority="6548" operator="equal">
      <formula>0</formula>
    </cfRule>
  </conditionalFormatting>
  <conditionalFormatting sqref="Y400:AD400">
    <cfRule type="cellIs" dxfId="4866" priority="6550" operator="lessThan">
      <formula>0</formula>
    </cfRule>
  </conditionalFormatting>
  <conditionalFormatting sqref="AA400">
    <cfRule type="cellIs" dxfId="4865" priority="6549" operator="equal">
      <formula>0</formula>
    </cfRule>
  </conditionalFormatting>
  <conditionalFormatting sqref="Y400:AE400">
    <cfRule type="cellIs" dxfId="4864" priority="6547" operator="equal">
      <formula>0</formula>
    </cfRule>
  </conditionalFormatting>
  <conditionalFormatting sqref="Y405">
    <cfRule type="cellIs" dxfId="4863" priority="6546" operator="lessThan">
      <formula>0</formula>
    </cfRule>
  </conditionalFormatting>
  <conditionalFormatting sqref="Y405">
    <cfRule type="cellIs" dxfId="4862" priority="6545" operator="equal">
      <formula>0</formula>
    </cfRule>
  </conditionalFormatting>
  <conditionalFormatting sqref="Z381">
    <cfRule type="cellIs" dxfId="4861" priority="6543" operator="equal">
      <formula>0</formula>
    </cfRule>
  </conditionalFormatting>
  <conditionalFormatting sqref="AF386:AQ386">
    <cfRule type="cellIs" dxfId="4860" priority="6541" operator="equal">
      <formula>0</formula>
    </cfRule>
  </conditionalFormatting>
  <conditionalFormatting sqref="Z381">
    <cfRule type="cellIs" dxfId="4859" priority="6544" operator="equal">
      <formula>0</formula>
    </cfRule>
  </conditionalFormatting>
  <conditionalFormatting sqref="AF386:AQ386">
    <cfRule type="cellIs" dxfId="4858" priority="6542" operator="equal">
      <formula>0</formula>
    </cfRule>
  </conditionalFormatting>
  <conditionalFormatting sqref="AR400">
    <cfRule type="cellIs" dxfId="4857" priority="6540" operator="equal">
      <formula>0</formula>
    </cfRule>
  </conditionalFormatting>
  <conditionalFormatting sqref="AR400">
    <cfRule type="cellIs" dxfId="4856" priority="6539" operator="equal">
      <formula>0</formula>
    </cfRule>
  </conditionalFormatting>
  <conditionalFormatting sqref="AR378">
    <cfRule type="cellIs" dxfId="4855" priority="6538" operator="equal">
      <formula>0</formula>
    </cfRule>
  </conditionalFormatting>
  <conditionalFormatting sqref="AR378">
    <cfRule type="cellIs" dxfId="4854" priority="6537" operator="equal">
      <formula>0</formula>
    </cfRule>
  </conditionalFormatting>
  <conditionalFormatting sqref="AR371:AR372">
    <cfRule type="cellIs" dxfId="4853" priority="6536" operator="equal">
      <formula>0</formula>
    </cfRule>
  </conditionalFormatting>
  <conditionalFormatting sqref="AR368">
    <cfRule type="cellIs" dxfId="4852" priority="6535" operator="equal">
      <formula>0</formula>
    </cfRule>
  </conditionalFormatting>
  <conditionalFormatting sqref="AR370">
    <cfRule type="cellIs" dxfId="4851" priority="6534" operator="equal">
      <formula>0</formula>
    </cfRule>
  </conditionalFormatting>
  <conditionalFormatting sqref="AR368:AR370">
    <cfRule type="cellIs" dxfId="4850" priority="6533" operator="equal">
      <formula>0</formula>
    </cfRule>
  </conditionalFormatting>
  <conditionalFormatting sqref="AF400:AQ400">
    <cfRule type="cellIs" dxfId="4849" priority="6532" operator="equal">
      <formula>0</formula>
    </cfRule>
  </conditionalFormatting>
  <conditionalFormatting sqref="AE391:AE393">
    <cfRule type="cellIs" dxfId="4848" priority="6505" operator="equal">
      <formula>0</formula>
    </cfRule>
  </conditionalFormatting>
  <conditionalFormatting sqref="Z392:Z393">
    <cfRule type="cellIs" dxfId="4847" priority="6506" operator="equal">
      <formula>0</formula>
    </cfRule>
  </conditionalFormatting>
  <conditionalFormatting sqref="AE394">
    <cfRule type="cellIs" dxfId="4846" priority="6495" operator="equal">
      <formula>0</formula>
    </cfRule>
  </conditionalFormatting>
  <conditionalFormatting sqref="Z394:AE394">
    <cfRule type="cellIs" dxfId="4845" priority="6494" operator="equal">
      <formula>0</formula>
    </cfRule>
  </conditionalFormatting>
  <conditionalFormatting sqref="AF394:AQ394">
    <cfRule type="cellIs" dxfId="4844" priority="6493" operator="equal">
      <formula>0</formula>
    </cfRule>
  </conditionalFormatting>
  <conditionalFormatting sqref="AF391:AQ393">
    <cfRule type="cellIs" dxfId="4843" priority="6501" operator="equal">
      <formula>0</formula>
    </cfRule>
  </conditionalFormatting>
  <conditionalFormatting sqref="AR391:AR393">
    <cfRule type="cellIs" dxfId="4842" priority="6500" operator="equal">
      <formula>0</formula>
    </cfRule>
  </conditionalFormatting>
  <conditionalFormatting sqref="AF391:AR393">
    <cfRule type="cellIs" dxfId="4841" priority="6499" operator="equal">
      <formula>0</formula>
    </cfRule>
  </conditionalFormatting>
  <conditionalFormatting sqref="AA394">
    <cfRule type="cellIs" dxfId="4840" priority="6498" operator="equal">
      <formula>0</formula>
    </cfRule>
  </conditionalFormatting>
  <conditionalFormatting sqref="AC394:AD394">
    <cfRule type="cellIs" dxfId="4839" priority="6497" operator="equal">
      <formula>0</formula>
    </cfRule>
  </conditionalFormatting>
  <conditionalFormatting sqref="AR397:AR399">
    <cfRule type="cellIs" dxfId="4838" priority="6478" operator="equal">
      <formula>0</formula>
    </cfRule>
  </conditionalFormatting>
  <conditionalFormatting sqref="Z394">
    <cfRule type="cellIs" dxfId="4837" priority="6496" operator="equal">
      <formula>0</formula>
    </cfRule>
  </conditionalFormatting>
  <conditionalFormatting sqref="AF397:AR399">
    <cfRule type="cellIs" dxfId="4836" priority="6477" operator="equal">
      <formula>0</formula>
    </cfRule>
  </conditionalFormatting>
  <conditionalFormatting sqref="AF394:AR394">
    <cfRule type="cellIs" dxfId="4835" priority="6491" operator="equal">
      <formula>0</formula>
    </cfRule>
  </conditionalFormatting>
  <conditionalFormatting sqref="AA395">
    <cfRule type="cellIs" dxfId="4834" priority="6489" operator="equal">
      <formula>0</formula>
    </cfRule>
  </conditionalFormatting>
  <conditionalFormatting sqref="Z397 Z399">
    <cfRule type="cellIs" dxfId="4833" priority="6484" operator="equal">
      <formula>0</formula>
    </cfRule>
  </conditionalFormatting>
  <conditionalFormatting sqref="Z395">
    <cfRule type="cellIs" dxfId="4832" priority="6488" operator="equal">
      <formula>0</formula>
    </cfRule>
  </conditionalFormatting>
  <conditionalFormatting sqref="Z395:AE395">
    <cfRule type="cellIs" dxfId="4831" priority="6487" operator="equal">
      <formula>0</formula>
    </cfRule>
  </conditionalFormatting>
  <conditionalFormatting sqref="AF397:AQ399">
    <cfRule type="cellIs" dxfId="4830" priority="6479" operator="equal">
      <formula>0</formula>
    </cfRule>
  </conditionalFormatting>
  <conditionalFormatting sqref="AC397:AD399">
    <cfRule type="cellIs" dxfId="4829" priority="6485" operator="equal">
      <formula>0</formula>
    </cfRule>
  </conditionalFormatting>
  <conditionalFormatting sqref="AE402:AE404">
    <cfRule type="cellIs" dxfId="4828" priority="6463" operator="equal">
      <formula>0</formula>
    </cfRule>
  </conditionalFormatting>
  <conditionalFormatting sqref="Z398">
    <cfRule type="cellIs" dxfId="4827" priority="6481" operator="equal">
      <formula>0</formula>
    </cfRule>
  </conditionalFormatting>
  <conditionalFormatting sqref="AE397:AE399">
    <cfRule type="cellIs" dxfId="4826" priority="6483" operator="equal">
      <formula>0</formula>
    </cfRule>
  </conditionalFormatting>
  <conditionalFormatting sqref="Z398">
    <cfRule type="cellIs" dxfId="4825" priority="6480" operator="equal">
      <formula>0</formula>
    </cfRule>
  </conditionalFormatting>
  <conditionalFormatting sqref="AR405">
    <cfRule type="cellIs" dxfId="4824" priority="6469" operator="equal">
      <formula>0</formula>
    </cfRule>
  </conditionalFormatting>
  <conditionalFormatting sqref="AR402:AR404">
    <cfRule type="cellIs" dxfId="4823" priority="6458" operator="equal">
      <formula>0</formula>
    </cfRule>
  </conditionalFormatting>
  <conditionalFormatting sqref="AF405:AQ405">
    <cfRule type="cellIs" dxfId="4822" priority="6467" operator="equal">
      <formula>0</formula>
    </cfRule>
  </conditionalFormatting>
  <conditionalFormatting sqref="AA402:AA404">
    <cfRule type="cellIs" dxfId="4821" priority="6466" operator="equal">
      <formula>0</formula>
    </cfRule>
  </conditionalFormatting>
  <conditionalFormatting sqref="AC402:AD404">
    <cfRule type="cellIs" dxfId="4820" priority="6465" operator="equal">
      <formula>0</formula>
    </cfRule>
  </conditionalFormatting>
  <conditionalFormatting sqref="Z402 Z404">
    <cfRule type="cellIs" dxfId="4819" priority="6464" operator="equal">
      <formula>0</formula>
    </cfRule>
  </conditionalFormatting>
  <conditionalFormatting sqref="Z405">
    <cfRule type="cellIs" dxfId="4818" priority="6471" operator="equal">
      <formula>0</formula>
    </cfRule>
  </conditionalFormatting>
  <conditionalFormatting sqref="Z403">
    <cfRule type="cellIs" dxfId="4817" priority="6461" operator="equal">
      <formula>0</formula>
    </cfRule>
  </conditionalFormatting>
  <conditionalFormatting sqref="AF402:AQ404">
    <cfRule type="cellIs" dxfId="4816" priority="6459" operator="equal">
      <formula>0</formula>
    </cfRule>
  </conditionalFormatting>
  <conditionalFormatting sqref="AF402:AR404">
    <cfRule type="cellIs" dxfId="4815" priority="6457" operator="equal">
      <formula>0</formula>
    </cfRule>
  </conditionalFormatting>
  <conditionalFormatting sqref="Z391">
    <cfRule type="cellIs" dxfId="4814" priority="6503" operator="equal">
      <formula>0</formula>
    </cfRule>
  </conditionalFormatting>
  <conditionalFormatting sqref="Z391">
    <cfRule type="cellIs" dxfId="4813" priority="6502" operator="equal">
      <formula>0</formula>
    </cfRule>
  </conditionalFormatting>
  <conditionalFormatting sqref="AR394">
    <cfRule type="cellIs" dxfId="4812" priority="6492" operator="equal">
      <formula>0</formula>
    </cfRule>
  </conditionalFormatting>
  <conditionalFormatting sqref="Z397:AE397 Z399:AE399 AA398:AE398">
    <cfRule type="cellIs" dxfId="4811" priority="6482" operator="equal">
      <formula>0</formula>
    </cfRule>
  </conditionalFormatting>
  <conditionalFormatting sqref="AA397:AA399">
    <cfRule type="cellIs" dxfId="4810" priority="6486" operator="equal">
      <formula>0</formula>
    </cfRule>
  </conditionalFormatting>
  <conditionalFormatting sqref="AR395">
    <cfRule type="cellIs" dxfId="4809" priority="6475" operator="equal">
      <formula>0</formula>
    </cfRule>
  </conditionalFormatting>
  <conditionalFormatting sqref="AF395:AQ395">
    <cfRule type="cellIs" dxfId="4808" priority="6474" operator="equal">
      <formula>0</formula>
    </cfRule>
  </conditionalFormatting>
  <conditionalFormatting sqref="AA405">
    <cfRule type="cellIs" dxfId="4807" priority="6472" operator="equal">
      <formula>0</formula>
    </cfRule>
  </conditionalFormatting>
  <conditionalFormatting sqref="Z405:AE405">
    <cfRule type="cellIs" dxfId="4806" priority="6470" operator="equal">
      <formula>0</formula>
    </cfRule>
  </conditionalFormatting>
  <conditionalFormatting sqref="AR395">
    <cfRule type="cellIs" dxfId="4805" priority="6476" operator="equal">
      <formula>0</formula>
    </cfRule>
  </conditionalFormatting>
  <conditionalFormatting sqref="Z402:AE402 Z404:AE404 AA403:AE403">
    <cfRule type="cellIs" dxfId="4804" priority="6462" operator="equal">
      <formula>0</formula>
    </cfRule>
  </conditionalFormatting>
  <conditionalFormatting sqref="Y398">
    <cfRule type="cellIs" dxfId="4803" priority="6451" operator="equal">
      <formula>0</formula>
    </cfRule>
  </conditionalFormatting>
  <conditionalFormatting sqref="Y373 Y375:Y377">
    <cfRule type="cellIs" dxfId="4802" priority="6531" operator="equal">
      <formula>0</formula>
    </cfRule>
  </conditionalFormatting>
  <conditionalFormatting sqref="Y374">
    <cfRule type="cellIs" dxfId="4801" priority="6530" operator="equal">
      <formula>0</formula>
    </cfRule>
  </conditionalFormatting>
  <conditionalFormatting sqref="Y372">
    <cfRule type="cellIs" dxfId="4800" priority="6529" operator="equal">
      <formula>0</formula>
    </cfRule>
  </conditionalFormatting>
  <conditionalFormatting sqref="Y371">
    <cfRule type="cellIs" dxfId="4799" priority="6528" operator="equal">
      <formula>0</formula>
    </cfRule>
  </conditionalFormatting>
  <conditionalFormatting sqref="Y380 Y382:Y384">
    <cfRule type="cellIs" dxfId="4798" priority="6527" operator="equal">
      <formula>0</formula>
    </cfRule>
  </conditionalFormatting>
  <conditionalFormatting sqref="Y381">
    <cfRule type="cellIs" dxfId="4797" priority="6526" operator="equal">
      <formula>0</formula>
    </cfRule>
  </conditionalFormatting>
  <conditionalFormatting sqref="AF378:AQ378">
    <cfRule type="cellIs" dxfId="4796" priority="6525" operator="equal">
      <formula>0</formula>
    </cfRule>
  </conditionalFormatting>
  <conditionalFormatting sqref="AF380:AQ384">
    <cfRule type="cellIs" dxfId="4795" priority="6524" operator="equal">
      <formula>0</formula>
    </cfRule>
  </conditionalFormatting>
  <conditionalFormatting sqref="AR380:AR384">
    <cfRule type="cellIs" dxfId="4794" priority="6523" operator="equal">
      <formula>0</formula>
    </cfRule>
  </conditionalFormatting>
  <conditionalFormatting sqref="AF380:AR384">
    <cfRule type="cellIs" dxfId="4793" priority="6522" operator="equal">
      <formula>0</formula>
    </cfRule>
  </conditionalFormatting>
  <conditionalFormatting sqref="AR385">
    <cfRule type="cellIs" dxfId="4792" priority="6521" operator="equal">
      <formula>0</formula>
    </cfRule>
  </conditionalFormatting>
  <conditionalFormatting sqref="AR385">
    <cfRule type="cellIs" dxfId="4791" priority="6520" operator="equal">
      <formula>0</formula>
    </cfRule>
  </conditionalFormatting>
  <conditionalFormatting sqref="AF385:AQ385">
    <cfRule type="cellIs" dxfId="4790" priority="6519" operator="equal">
      <formula>0</formula>
    </cfRule>
  </conditionalFormatting>
  <conditionalFormatting sqref="AC387:AD390">
    <cfRule type="cellIs" dxfId="4789" priority="6517" operator="equal">
      <formula>0</formula>
    </cfRule>
  </conditionalFormatting>
  <conditionalFormatting sqref="Z387 Z389:Z390">
    <cfRule type="cellIs" dxfId="4788" priority="6516" operator="equal">
      <formula>0</formula>
    </cfRule>
  </conditionalFormatting>
  <conditionalFormatting sqref="AE387:AE390">
    <cfRule type="cellIs" dxfId="4787" priority="6515" operator="equal">
      <formula>0</formula>
    </cfRule>
  </conditionalFormatting>
  <conditionalFormatting sqref="AA387:AA390">
    <cfRule type="cellIs" dxfId="4786" priority="6518" operator="equal">
      <formula>0</formula>
    </cfRule>
  </conditionalFormatting>
  <conditionalFormatting sqref="Z387:AE387 Z389:AE390 AA388:AE388">
    <cfRule type="cellIs" dxfId="4785" priority="6514" operator="equal">
      <formula>0</formula>
    </cfRule>
  </conditionalFormatting>
  <conditionalFormatting sqref="Z388">
    <cfRule type="cellIs" dxfId="4784" priority="6512" operator="equal">
      <formula>0</formula>
    </cfRule>
  </conditionalFormatting>
  <conditionalFormatting sqref="Z388">
    <cfRule type="cellIs" dxfId="4783" priority="6513" operator="equal">
      <formula>0</formula>
    </cfRule>
  </conditionalFormatting>
  <conditionalFormatting sqref="AF387:AQ390">
    <cfRule type="cellIs" dxfId="4782" priority="6511" operator="equal">
      <formula>0</formula>
    </cfRule>
  </conditionalFormatting>
  <conditionalFormatting sqref="AR387:AR390">
    <cfRule type="cellIs" dxfId="4781" priority="6510" operator="equal">
      <formula>0</formula>
    </cfRule>
  </conditionalFormatting>
  <conditionalFormatting sqref="AF387:AR390">
    <cfRule type="cellIs" dxfId="4780" priority="6509" operator="equal">
      <formula>0</formula>
    </cfRule>
  </conditionalFormatting>
  <conditionalFormatting sqref="AC391:AD393">
    <cfRule type="cellIs" dxfId="4779" priority="6507" operator="equal">
      <formula>0</formula>
    </cfRule>
  </conditionalFormatting>
  <conditionalFormatting sqref="AA391:AA393">
    <cfRule type="cellIs" dxfId="4778" priority="6508" operator="equal">
      <formula>0</formula>
    </cfRule>
  </conditionalFormatting>
  <conditionalFormatting sqref="Z392:AE393 AA391:AE391">
    <cfRule type="cellIs" dxfId="4777" priority="6504" operator="equal">
      <formula>0</formula>
    </cfRule>
  </conditionalFormatting>
  <conditionalFormatting sqref="Z395:AD395">
    <cfRule type="cellIs" dxfId="4776" priority="6490" operator="lessThan">
      <formula>0</formula>
    </cfRule>
  </conditionalFormatting>
  <conditionalFormatting sqref="Z405:AD405">
    <cfRule type="cellIs" dxfId="4775" priority="6473" operator="lessThan">
      <formula>0</formula>
    </cfRule>
  </conditionalFormatting>
  <conditionalFormatting sqref="Z403">
    <cfRule type="cellIs" dxfId="4774" priority="6460" operator="equal">
      <formula>0</formula>
    </cfRule>
  </conditionalFormatting>
  <conditionalFormatting sqref="AR405">
    <cfRule type="cellIs" dxfId="4773" priority="6468" operator="equal">
      <formula>0</formula>
    </cfRule>
  </conditionalFormatting>
  <conditionalFormatting sqref="Y397 Y399">
    <cfRule type="cellIs" dxfId="4772" priority="6452" operator="equal">
      <formula>0</formula>
    </cfRule>
  </conditionalFormatting>
  <conditionalFormatting sqref="Y387 Y389:Y390">
    <cfRule type="cellIs" dxfId="4771" priority="6456" operator="equal">
      <formula>0</formula>
    </cfRule>
  </conditionalFormatting>
  <conditionalFormatting sqref="Y388">
    <cfRule type="cellIs" dxfId="4770" priority="6455" operator="equal">
      <formula>0</formula>
    </cfRule>
  </conditionalFormatting>
  <conditionalFormatting sqref="Y391 Y393:Y394">
    <cfRule type="cellIs" dxfId="4769" priority="6454" operator="equal">
      <formula>0</formula>
    </cfRule>
  </conditionalFormatting>
  <conditionalFormatting sqref="Y392">
    <cfRule type="cellIs" dxfId="4768" priority="6453" operator="equal">
      <formula>0</formula>
    </cfRule>
  </conditionalFormatting>
  <conditionalFormatting sqref="Y402 Y404">
    <cfRule type="cellIs" dxfId="4767" priority="6450" operator="equal">
      <formula>0</formula>
    </cfRule>
  </conditionalFormatting>
  <conditionalFormatting sqref="Y403">
    <cfRule type="cellIs" dxfId="4766" priority="6449" operator="equal">
      <formula>0</formula>
    </cfRule>
  </conditionalFormatting>
  <conditionalFormatting sqref="Z328:AE328 AB327">
    <cfRule type="cellIs" dxfId="4765" priority="6448" operator="equal">
      <formula>0</formula>
    </cfRule>
  </conditionalFormatting>
  <conditionalFormatting sqref="AE330:AE331">
    <cfRule type="cellIs" dxfId="4764" priority="6446" operator="equal">
      <formula>0</formula>
    </cfRule>
  </conditionalFormatting>
  <conditionalFormatting sqref="AC339:AD343">
    <cfRule type="cellIs" dxfId="4763" priority="6442" operator="equal">
      <formula>0</formula>
    </cfRule>
  </conditionalFormatting>
  <conditionalFormatting sqref="Z333:Z339 Z341:Z343">
    <cfRule type="cellIs" dxfId="4762" priority="6441" operator="equal">
      <formula>0</formula>
    </cfRule>
  </conditionalFormatting>
  <conditionalFormatting sqref="AE339:AE343">
    <cfRule type="cellIs" dxfId="4761" priority="6439" operator="equal">
      <formula>0</formula>
    </cfRule>
  </conditionalFormatting>
  <conditionalFormatting sqref="AE329">
    <cfRule type="cellIs" dxfId="4760" priority="6431" operator="equal">
      <formula>0</formula>
    </cfRule>
  </conditionalFormatting>
  <conditionalFormatting sqref="AA345">
    <cfRule type="cellIs" dxfId="4759" priority="6430" operator="equal">
      <formula>0</formula>
    </cfRule>
  </conditionalFormatting>
  <conditionalFormatting sqref="Z345">
    <cfRule type="cellIs" dxfId="4758" priority="6429" operator="equal">
      <formula>0</formula>
    </cfRule>
  </conditionalFormatting>
  <conditionalFormatting sqref="Y345:AQ345">
    <cfRule type="cellIs" dxfId="4757" priority="6428" operator="equal">
      <formula>0</formula>
    </cfRule>
  </conditionalFormatting>
  <conditionalFormatting sqref="AE345 AR345">
    <cfRule type="cellIs" dxfId="4756" priority="6427" operator="equal">
      <formula>0</formula>
    </cfRule>
  </conditionalFormatting>
  <conditionalFormatting sqref="AE345 AR345">
    <cfRule type="cellIs" dxfId="4755" priority="6426" operator="equal">
      <formula>0</formula>
    </cfRule>
  </conditionalFormatting>
  <conditionalFormatting sqref="AA355">
    <cfRule type="cellIs" dxfId="4754" priority="6425" operator="equal">
      <formula>0</formula>
    </cfRule>
  </conditionalFormatting>
  <conditionalFormatting sqref="Z355">
    <cfRule type="cellIs" dxfId="4753" priority="6424" operator="equal">
      <formula>0</formula>
    </cfRule>
  </conditionalFormatting>
  <conditionalFormatting sqref="Y355:AD355">
    <cfRule type="cellIs" dxfId="4752" priority="6423" operator="equal">
      <formula>0</formula>
    </cfRule>
  </conditionalFormatting>
  <conditionalFormatting sqref="AE355:AR355">
    <cfRule type="cellIs" dxfId="4751" priority="6422" operator="equal">
      <formula>0</formula>
    </cfRule>
  </conditionalFormatting>
  <conditionalFormatting sqref="AE355:AR355">
    <cfRule type="cellIs" dxfId="4750" priority="6421" operator="equal">
      <formula>0</formula>
    </cfRule>
  </conditionalFormatting>
  <conditionalFormatting sqref="AA360">
    <cfRule type="cellIs" dxfId="4749" priority="6420" operator="equal">
      <formula>0</formula>
    </cfRule>
  </conditionalFormatting>
  <conditionalFormatting sqref="Z360">
    <cfRule type="cellIs" dxfId="4748" priority="6419" operator="equal">
      <formula>0</formula>
    </cfRule>
  </conditionalFormatting>
  <conditionalFormatting sqref="Y360:AD360">
    <cfRule type="cellIs" dxfId="4747" priority="6418" operator="equal">
      <formula>0</formula>
    </cfRule>
  </conditionalFormatting>
  <conditionalFormatting sqref="AE360:AR360">
    <cfRule type="cellIs" dxfId="4746" priority="6417" operator="equal">
      <formula>0</formula>
    </cfRule>
  </conditionalFormatting>
  <conditionalFormatting sqref="AE360:AR360">
    <cfRule type="cellIs" dxfId="4745" priority="6416" operator="equal">
      <formula>0</formula>
    </cfRule>
  </conditionalFormatting>
  <conditionalFormatting sqref="AF329:AQ329">
    <cfRule type="cellIs" dxfId="4744" priority="6447" operator="equal">
      <formula>0</formula>
    </cfRule>
  </conditionalFormatting>
  <conditionalFormatting sqref="AR365">
    <cfRule type="cellIs" dxfId="4743" priority="6445" operator="equal">
      <formula>0</formula>
    </cfRule>
  </conditionalFormatting>
  <conditionalFormatting sqref="AD332:AD337 Y337:AC337">
    <cfRule type="cellIs" dxfId="4742" priority="6444" operator="lessThan">
      <formula>0</formula>
    </cfRule>
  </conditionalFormatting>
  <conditionalFormatting sqref="Z332:AA332 AA333:AA343">
    <cfRule type="cellIs" dxfId="4741" priority="6443" operator="equal">
      <formula>0</formula>
    </cfRule>
  </conditionalFormatting>
  <conditionalFormatting sqref="AE332:AE336">
    <cfRule type="cellIs" dxfId="4740" priority="6440" operator="equal">
      <formula>0</formula>
    </cfRule>
  </conditionalFormatting>
  <conditionalFormatting sqref="AF332:AQ336">
    <cfRule type="cellIs" dxfId="4739" priority="6438" operator="equal">
      <formula>0</formula>
    </cfRule>
  </conditionalFormatting>
  <conditionalFormatting sqref="AR332:AR336">
    <cfRule type="cellIs" dxfId="4738" priority="6437" operator="equal">
      <formula>0</formula>
    </cfRule>
  </conditionalFormatting>
  <conditionalFormatting sqref="Y338:AD338 Z339:AE339 Z327:AA327 Y365:AR365 AC329:AD329 Y329 AF328:AQ329 Z341:AE343 Y337:AE337 Z332:AR336 AA340:AE340 Z330:AQ331 AC327:AR327">
    <cfRule type="cellIs" dxfId="4737" priority="6436" operator="equal">
      <formula>0</formula>
    </cfRule>
  </conditionalFormatting>
  <conditionalFormatting sqref="AE338:AR338">
    <cfRule type="cellIs" dxfId="4736" priority="6435" operator="equal">
      <formula>0</formula>
    </cfRule>
  </conditionalFormatting>
  <conditionalFormatting sqref="AE338:AR338">
    <cfRule type="cellIs" dxfId="4735" priority="6434" operator="equal">
      <formula>0</formula>
    </cfRule>
  </conditionalFormatting>
  <conditionalFormatting sqref="AR365">
    <cfRule type="cellIs" dxfId="4734" priority="6433" operator="equal">
      <formula>0</formula>
    </cfRule>
  </conditionalFormatting>
  <conditionalFormatting sqref="Z329:AB329">
    <cfRule type="cellIs" dxfId="4733" priority="6432" operator="equal">
      <formula>0</formula>
    </cfRule>
  </conditionalFormatting>
  <conditionalFormatting sqref="Y328">
    <cfRule type="cellIs" dxfId="4732" priority="6415" operator="equal">
      <formula>0</formula>
    </cfRule>
  </conditionalFormatting>
  <conditionalFormatting sqref="Z344">
    <cfRule type="cellIs" dxfId="4731" priority="6412" operator="equal">
      <formula>0</formula>
    </cfRule>
  </conditionalFormatting>
  <conditionalFormatting sqref="Y344:AD344">
    <cfRule type="cellIs" dxfId="4730" priority="6414" operator="lessThan">
      <formula>0</formula>
    </cfRule>
  </conditionalFormatting>
  <conditionalFormatting sqref="AA344">
    <cfRule type="cellIs" dxfId="4729" priority="6413" operator="equal">
      <formula>0</formula>
    </cfRule>
  </conditionalFormatting>
  <conditionalFormatting sqref="Y344:AE344">
    <cfRule type="cellIs" dxfId="4728" priority="6411" operator="equal">
      <formula>0</formula>
    </cfRule>
  </conditionalFormatting>
  <conditionalFormatting sqref="Y354">
    <cfRule type="cellIs" dxfId="4727" priority="6410" operator="lessThan">
      <formula>0</formula>
    </cfRule>
  </conditionalFormatting>
  <conditionalFormatting sqref="Y354">
    <cfRule type="cellIs" dxfId="4726" priority="6409" operator="equal">
      <formula>0</formula>
    </cfRule>
  </conditionalFormatting>
  <conditionalFormatting sqref="Z359">
    <cfRule type="cellIs" dxfId="4725" priority="6406" operator="equal">
      <formula>0</formula>
    </cfRule>
  </conditionalFormatting>
  <conditionalFormatting sqref="Y359:AD359">
    <cfRule type="cellIs" dxfId="4724" priority="6408" operator="lessThan">
      <formula>0</formula>
    </cfRule>
  </conditionalFormatting>
  <conditionalFormatting sqref="AA359">
    <cfRule type="cellIs" dxfId="4723" priority="6407" operator="equal">
      <formula>0</formula>
    </cfRule>
  </conditionalFormatting>
  <conditionalFormatting sqref="Y359:AE359">
    <cfRule type="cellIs" dxfId="4722" priority="6405" operator="equal">
      <formula>0</formula>
    </cfRule>
  </conditionalFormatting>
  <conditionalFormatting sqref="Y364">
    <cfRule type="cellIs" dxfId="4721" priority="6404" operator="lessThan">
      <formula>0</formula>
    </cfRule>
  </conditionalFormatting>
  <conditionalFormatting sqref="Y364">
    <cfRule type="cellIs" dxfId="4720" priority="6403" operator="equal">
      <formula>0</formula>
    </cfRule>
  </conditionalFormatting>
  <conditionalFormatting sqref="Z340">
    <cfRule type="cellIs" dxfId="4719" priority="6401" operator="equal">
      <formula>0</formula>
    </cfRule>
  </conditionalFormatting>
  <conditionalFormatting sqref="AF345:AQ345">
    <cfRule type="cellIs" dxfId="4718" priority="6399" operator="equal">
      <formula>0</formula>
    </cfRule>
  </conditionalFormatting>
  <conditionalFormatting sqref="Z340">
    <cfRule type="cellIs" dxfId="4717" priority="6402" operator="equal">
      <formula>0</formula>
    </cfRule>
  </conditionalFormatting>
  <conditionalFormatting sqref="AF345:AQ345">
    <cfRule type="cellIs" dxfId="4716" priority="6400" operator="equal">
      <formula>0</formula>
    </cfRule>
  </conditionalFormatting>
  <conditionalFormatting sqref="AR359">
    <cfRule type="cellIs" dxfId="4715" priority="6398" operator="equal">
      <formula>0</formula>
    </cfRule>
  </conditionalFormatting>
  <conditionalFormatting sqref="AR359">
    <cfRule type="cellIs" dxfId="4714" priority="6397" operator="equal">
      <formula>0</formula>
    </cfRule>
  </conditionalFormatting>
  <conditionalFormatting sqref="AR337">
    <cfRule type="cellIs" dxfId="4713" priority="6396" operator="equal">
      <formula>0</formula>
    </cfRule>
  </conditionalFormatting>
  <conditionalFormatting sqref="AR337">
    <cfRule type="cellIs" dxfId="4712" priority="6395" operator="equal">
      <formula>0</formula>
    </cfRule>
  </conditionalFormatting>
  <conditionalFormatting sqref="AR330:AR331">
    <cfRule type="cellIs" dxfId="4711" priority="6394" operator="equal">
      <formula>0</formula>
    </cfRule>
  </conditionalFormatting>
  <conditionalFormatting sqref="AR327">
    <cfRule type="cellIs" dxfId="4710" priority="6393" operator="equal">
      <formula>0</formula>
    </cfRule>
  </conditionalFormatting>
  <conditionalFormatting sqref="AR329">
    <cfRule type="cellIs" dxfId="4709" priority="6392" operator="equal">
      <formula>0</formula>
    </cfRule>
  </conditionalFormatting>
  <conditionalFormatting sqref="AR327:AR329">
    <cfRule type="cellIs" dxfId="4708" priority="6391" operator="equal">
      <formula>0</formula>
    </cfRule>
  </conditionalFormatting>
  <conditionalFormatting sqref="AF359:AQ359">
    <cfRule type="cellIs" dxfId="4707" priority="6390" operator="equal">
      <formula>0</formula>
    </cfRule>
  </conditionalFormatting>
  <conditionalFormatting sqref="AE350:AE352">
    <cfRule type="cellIs" dxfId="4706" priority="6363" operator="equal">
      <formula>0</formula>
    </cfRule>
  </conditionalFormatting>
  <conditionalFormatting sqref="Z351:Z352">
    <cfRule type="cellIs" dxfId="4705" priority="6364" operator="equal">
      <formula>0</formula>
    </cfRule>
  </conditionalFormatting>
  <conditionalFormatting sqref="AE353">
    <cfRule type="cellIs" dxfId="4704" priority="6353" operator="equal">
      <formula>0</formula>
    </cfRule>
  </conditionalFormatting>
  <conditionalFormatting sqref="Z353:AE353">
    <cfRule type="cellIs" dxfId="4703" priority="6352" operator="equal">
      <formula>0</formula>
    </cfRule>
  </conditionalFormatting>
  <conditionalFormatting sqref="AF353:AQ353">
    <cfRule type="cellIs" dxfId="4702" priority="6351" operator="equal">
      <formula>0</formula>
    </cfRule>
  </conditionalFormatting>
  <conditionalFormatting sqref="AF350:AQ352">
    <cfRule type="cellIs" dxfId="4701" priority="6359" operator="equal">
      <formula>0</formula>
    </cfRule>
  </conditionalFormatting>
  <conditionalFormatting sqref="AR350:AR352">
    <cfRule type="cellIs" dxfId="4700" priority="6358" operator="equal">
      <formula>0</formula>
    </cfRule>
  </conditionalFormatting>
  <conditionalFormatting sqref="AF350:AR352">
    <cfRule type="cellIs" dxfId="4699" priority="6357" operator="equal">
      <formula>0</formula>
    </cfRule>
  </conditionalFormatting>
  <conditionalFormatting sqref="AA353">
    <cfRule type="cellIs" dxfId="4698" priority="6356" operator="equal">
      <formula>0</formula>
    </cfRule>
  </conditionalFormatting>
  <conditionalFormatting sqref="AC353:AD353">
    <cfRule type="cellIs" dxfId="4697" priority="6355" operator="equal">
      <formula>0</formula>
    </cfRule>
  </conditionalFormatting>
  <conditionalFormatting sqref="AR356:AR358">
    <cfRule type="cellIs" dxfId="4696" priority="6336" operator="equal">
      <formula>0</formula>
    </cfRule>
  </conditionalFormatting>
  <conditionalFormatting sqref="Z353">
    <cfRule type="cellIs" dxfId="4695" priority="6354" operator="equal">
      <formula>0</formula>
    </cfRule>
  </conditionalFormatting>
  <conditionalFormatting sqref="AF356:AR358">
    <cfRule type="cellIs" dxfId="4694" priority="6335" operator="equal">
      <formula>0</formula>
    </cfRule>
  </conditionalFormatting>
  <conditionalFormatting sqref="AF353:AR353">
    <cfRule type="cellIs" dxfId="4693" priority="6349" operator="equal">
      <formula>0</formula>
    </cfRule>
  </conditionalFormatting>
  <conditionalFormatting sqref="AA354">
    <cfRule type="cellIs" dxfId="4692" priority="6347" operator="equal">
      <formula>0</formula>
    </cfRule>
  </conditionalFormatting>
  <conditionalFormatting sqref="Z356 Z358">
    <cfRule type="cellIs" dxfId="4691" priority="6342" operator="equal">
      <formula>0</formula>
    </cfRule>
  </conditionalFormatting>
  <conditionalFormatting sqref="Z354">
    <cfRule type="cellIs" dxfId="4690" priority="6346" operator="equal">
      <formula>0</formula>
    </cfRule>
  </conditionalFormatting>
  <conditionalFormatting sqref="Z354:AE354">
    <cfRule type="cellIs" dxfId="4689" priority="6345" operator="equal">
      <formula>0</formula>
    </cfRule>
  </conditionalFormatting>
  <conditionalFormatting sqref="AF356:AQ358">
    <cfRule type="cellIs" dxfId="4688" priority="6337" operator="equal">
      <formula>0</formula>
    </cfRule>
  </conditionalFormatting>
  <conditionalFormatting sqref="AC356:AD358">
    <cfRule type="cellIs" dxfId="4687" priority="6343" operator="equal">
      <formula>0</formula>
    </cfRule>
  </conditionalFormatting>
  <conditionalFormatting sqref="AE361:AE363">
    <cfRule type="cellIs" dxfId="4686" priority="6321" operator="equal">
      <formula>0</formula>
    </cfRule>
  </conditionalFormatting>
  <conditionalFormatting sqref="Z357">
    <cfRule type="cellIs" dxfId="4685" priority="6339" operator="equal">
      <formula>0</formula>
    </cfRule>
  </conditionalFormatting>
  <conditionalFormatting sqref="AE356:AE358">
    <cfRule type="cellIs" dxfId="4684" priority="6341" operator="equal">
      <formula>0</formula>
    </cfRule>
  </conditionalFormatting>
  <conditionalFormatting sqref="Z357">
    <cfRule type="cellIs" dxfId="4683" priority="6338" operator="equal">
      <formula>0</formula>
    </cfRule>
  </conditionalFormatting>
  <conditionalFormatting sqref="AR364">
    <cfRule type="cellIs" dxfId="4682" priority="6327" operator="equal">
      <formula>0</formula>
    </cfRule>
  </conditionalFormatting>
  <conditionalFormatting sqref="AR361:AR363">
    <cfRule type="cellIs" dxfId="4681" priority="6316" operator="equal">
      <formula>0</formula>
    </cfRule>
  </conditionalFormatting>
  <conditionalFormatting sqref="AF364:AQ364">
    <cfRule type="cellIs" dxfId="4680" priority="6325" operator="equal">
      <formula>0</formula>
    </cfRule>
  </conditionalFormatting>
  <conditionalFormatting sqref="AA361:AA363">
    <cfRule type="cellIs" dxfId="4679" priority="6324" operator="equal">
      <formula>0</formula>
    </cfRule>
  </conditionalFormatting>
  <conditionalFormatting sqref="AC361:AD363">
    <cfRule type="cellIs" dxfId="4678" priority="6323" operator="equal">
      <formula>0</formula>
    </cfRule>
  </conditionalFormatting>
  <conditionalFormatting sqref="Z361 Z363">
    <cfRule type="cellIs" dxfId="4677" priority="6322" operator="equal">
      <formula>0</formula>
    </cfRule>
  </conditionalFormatting>
  <conditionalFormatting sqref="Z364">
    <cfRule type="cellIs" dxfId="4676" priority="6329" operator="equal">
      <formula>0</formula>
    </cfRule>
  </conditionalFormatting>
  <conditionalFormatting sqref="Z362">
    <cfRule type="cellIs" dxfId="4675" priority="6319" operator="equal">
      <formula>0</formula>
    </cfRule>
  </conditionalFormatting>
  <conditionalFormatting sqref="AF361:AQ363">
    <cfRule type="cellIs" dxfId="4674" priority="6317" operator="equal">
      <formula>0</formula>
    </cfRule>
  </conditionalFormatting>
  <conditionalFormatting sqref="AF361:AR363">
    <cfRule type="cellIs" dxfId="4673" priority="6315" operator="equal">
      <formula>0</formula>
    </cfRule>
  </conditionalFormatting>
  <conditionalFormatting sqref="Z350">
    <cfRule type="cellIs" dxfId="4672" priority="6361" operator="equal">
      <formula>0</formula>
    </cfRule>
  </conditionalFormatting>
  <conditionalFormatting sqref="Z350">
    <cfRule type="cellIs" dxfId="4671" priority="6360" operator="equal">
      <formula>0</formula>
    </cfRule>
  </conditionalFormatting>
  <conditionalFormatting sqref="AR353">
    <cfRule type="cellIs" dxfId="4670" priority="6350" operator="equal">
      <formula>0</formula>
    </cfRule>
  </conditionalFormatting>
  <conditionalFormatting sqref="Z356:AE356 Z358:AE358 AA357:AE357">
    <cfRule type="cellIs" dxfId="4669" priority="6340" operator="equal">
      <formula>0</formula>
    </cfRule>
  </conditionalFormatting>
  <conditionalFormatting sqref="AA356:AA358">
    <cfRule type="cellIs" dxfId="4668" priority="6344" operator="equal">
      <formula>0</formula>
    </cfRule>
  </conditionalFormatting>
  <conditionalFormatting sqref="AR354">
    <cfRule type="cellIs" dxfId="4667" priority="6333" operator="equal">
      <formula>0</formula>
    </cfRule>
  </conditionalFormatting>
  <conditionalFormatting sqref="AF354:AQ354">
    <cfRule type="cellIs" dxfId="4666" priority="6332" operator="equal">
      <formula>0</formula>
    </cfRule>
  </conditionalFormatting>
  <conditionalFormatting sqref="AA364">
    <cfRule type="cellIs" dxfId="4665" priority="6330" operator="equal">
      <formula>0</formula>
    </cfRule>
  </conditionalFormatting>
  <conditionalFormatting sqref="Z364:AE364">
    <cfRule type="cellIs" dxfId="4664" priority="6328" operator="equal">
      <formula>0</formula>
    </cfRule>
  </conditionalFormatting>
  <conditionalFormatting sqref="AR354">
    <cfRule type="cellIs" dxfId="4663" priority="6334" operator="equal">
      <formula>0</formula>
    </cfRule>
  </conditionalFormatting>
  <conditionalFormatting sqref="Z361:AE361 Z363:AE363 AA362:AE362">
    <cfRule type="cellIs" dxfId="4662" priority="6320" operator="equal">
      <formula>0</formula>
    </cfRule>
  </conditionalFormatting>
  <conditionalFormatting sqref="Y357">
    <cfRule type="cellIs" dxfId="4661" priority="6309" operator="equal">
      <formula>0</formula>
    </cfRule>
  </conditionalFormatting>
  <conditionalFormatting sqref="Y332 Y334:Y336">
    <cfRule type="cellIs" dxfId="4660" priority="6389" operator="equal">
      <formula>0</formula>
    </cfRule>
  </conditionalFormatting>
  <conditionalFormatting sqref="Y333">
    <cfRule type="cellIs" dxfId="4659" priority="6388" operator="equal">
      <formula>0</formula>
    </cfRule>
  </conditionalFormatting>
  <conditionalFormatting sqref="Y331">
    <cfRule type="cellIs" dxfId="4658" priority="6387" operator="equal">
      <formula>0</formula>
    </cfRule>
  </conditionalFormatting>
  <conditionalFormatting sqref="Y330">
    <cfRule type="cellIs" dxfId="4657" priority="6386" operator="equal">
      <formula>0</formula>
    </cfRule>
  </conditionalFormatting>
  <conditionalFormatting sqref="Y339 Y341:Y343">
    <cfRule type="cellIs" dxfId="4656" priority="6385" operator="equal">
      <formula>0</formula>
    </cfRule>
  </conditionalFormatting>
  <conditionalFormatting sqref="Y340">
    <cfRule type="cellIs" dxfId="4655" priority="6384" operator="equal">
      <formula>0</formula>
    </cfRule>
  </conditionalFormatting>
  <conditionalFormatting sqref="AF337:AQ337">
    <cfRule type="cellIs" dxfId="4654" priority="6383" operator="equal">
      <formula>0</formula>
    </cfRule>
  </conditionalFormatting>
  <conditionalFormatting sqref="AF339:AQ343">
    <cfRule type="cellIs" dxfId="4653" priority="6382" operator="equal">
      <formula>0</formula>
    </cfRule>
  </conditionalFormatting>
  <conditionalFormatting sqref="AR339:AR343">
    <cfRule type="cellIs" dxfId="4652" priority="6381" operator="equal">
      <formula>0</formula>
    </cfRule>
  </conditionalFormatting>
  <conditionalFormatting sqref="AF339:AR343">
    <cfRule type="cellIs" dxfId="4651" priority="6380" operator="equal">
      <formula>0</formula>
    </cfRule>
  </conditionalFormatting>
  <conditionalFormatting sqref="AR344">
    <cfRule type="cellIs" dxfId="4650" priority="6379" operator="equal">
      <formula>0</formula>
    </cfRule>
  </conditionalFormatting>
  <conditionalFormatting sqref="AR344">
    <cfRule type="cellIs" dxfId="4649" priority="6378" operator="equal">
      <formula>0</formula>
    </cfRule>
  </conditionalFormatting>
  <conditionalFormatting sqref="AF344:AQ344">
    <cfRule type="cellIs" dxfId="4648" priority="6377" operator="equal">
      <formula>0</formula>
    </cfRule>
  </conditionalFormatting>
  <conditionalFormatting sqref="AC346:AD349">
    <cfRule type="cellIs" dxfId="4647" priority="6375" operator="equal">
      <formula>0</formula>
    </cfRule>
  </conditionalFormatting>
  <conditionalFormatting sqref="Z346 Z348:Z349">
    <cfRule type="cellIs" dxfId="4646" priority="6374" operator="equal">
      <formula>0</formula>
    </cfRule>
  </conditionalFormatting>
  <conditionalFormatting sqref="AE346:AE349">
    <cfRule type="cellIs" dxfId="4645" priority="6373" operator="equal">
      <formula>0</formula>
    </cfRule>
  </conditionalFormatting>
  <conditionalFormatting sqref="AA346:AA349">
    <cfRule type="cellIs" dxfId="4644" priority="6376" operator="equal">
      <formula>0</formula>
    </cfRule>
  </conditionalFormatting>
  <conditionalFormatting sqref="Z346:AE346 Z348:AE349 AA347:AE347">
    <cfRule type="cellIs" dxfId="4643" priority="6372" operator="equal">
      <formula>0</formula>
    </cfRule>
  </conditionalFormatting>
  <conditionalFormatting sqref="Z347">
    <cfRule type="cellIs" dxfId="4642" priority="6370" operator="equal">
      <formula>0</formula>
    </cfRule>
  </conditionalFormatting>
  <conditionalFormatting sqref="Z347">
    <cfRule type="cellIs" dxfId="4641" priority="6371" operator="equal">
      <formula>0</formula>
    </cfRule>
  </conditionalFormatting>
  <conditionalFormatting sqref="AF346:AQ349">
    <cfRule type="cellIs" dxfId="4640" priority="6369" operator="equal">
      <formula>0</formula>
    </cfRule>
  </conditionalFormatting>
  <conditionalFormatting sqref="AR346:AR349">
    <cfRule type="cellIs" dxfId="4639" priority="6368" operator="equal">
      <formula>0</formula>
    </cfRule>
  </conditionalFormatting>
  <conditionalFormatting sqref="AF346:AR349">
    <cfRule type="cellIs" dxfId="4638" priority="6367" operator="equal">
      <formula>0</formula>
    </cfRule>
  </conditionalFormatting>
  <conditionalFormatting sqref="AC350:AD352">
    <cfRule type="cellIs" dxfId="4637" priority="6365" operator="equal">
      <formula>0</formula>
    </cfRule>
  </conditionalFormatting>
  <conditionalFormatting sqref="AA350:AA352">
    <cfRule type="cellIs" dxfId="4636" priority="6366" operator="equal">
      <formula>0</formula>
    </cfRule>
  </conditionalFormatting>
  <conditionalFormatting sqref="Z351:AE352 AA350:AE350">
    <cfRule type="cellIs" dxfId="4635" priority="6362" operator="equal">
      <formula>0</formula>
    </cfRule>
  </conditionalFormatting>
  <conditionalFormatting sqref="Z354:AD354">
    <cfRule type="cellIs" dxfId="4634" priority="6348" operator="lessThan">
      <formula>0</formula>
    </cfRule>
  </conditionalFormatting>
  <conditionalFormatting sqref="Z364:AD364">
    <cfRule type="cellIs" dxfId="4633" priority="6331" operator="lessThan">
      <formula>0</formula>
    </cfRule>
  </conditionalFormatting>
  <conditionalFormatting sqref="Z362">
    <cfRule type="cellIs" dxfId="4632" priority="6318" operator="equal">
      <formula>0</formula>
    </cfRule>
  </conditionalFormatting>
  <conditionalFormatting sqref="AR364">
    <cfRule type="cellIs" dxfId="4631" priority="6326" operator="equal">
      <formula>0</formula>
    </cfRule>
  </conditionalFormatting>
  <conditionalFormatting sqref="Y356 Y358">
    <cfRule type="cellIs" dxfId="4630" priority="6310" operator="equal">
      <formula>0</formula>
    </cfRule>
  </conditionalFormatting>
  <conditionalFormatting sqref="Y346 Y348:Y349">
    <cfRule type="cellIs" dxfId="4629" priority="6314" operator="equal">
      <formula>0</formula>
    </cfRule>
  </conditionalFormatting>
  <conditionalFormatting sqref="Y347">
    <cfRule type="cellIs" dxfId="4628" priority="6313" operator="equal">
      <formula>0</formula>
    </cfRule>
  </conditionalFormatting>
  <conditionalFormatting sqref="Y350 Y352:Y353">
    <cfRule type="cellIs" dxfId="4627" priority="6312" operator="equal">
      <formula>0</formula>
    </cfRule>
  </conditionalFormatting>
  <conditionalFormatting sqref="Y351">
    <cfRule type="cellIs" dxfId="4626" priority="6311" operator="equal">
      <formula>0</formula>
    </cfRule>
  </conditionalFormatting>
  <conditionalFormatting sqref="Y361 Y363">
    <cfRule type="cellIs" dxfId="4625" priority="6308" operator="equal">
      <formula>0</formula>
    </cfRule>
  </conditionalFormatting>
  <conditionalFormatting sqref="Y362">
    <cfRule type="cellIs" dxfId="4624" priority="6307" operator="equal">
      <formula>0</formula>
    </cfRule>
  </conditionalFormatting>
  <conditionalFormatting sqref="Z287:AE287 AB286">
    <cfRule type="cellIs" dxfId="4623" priority="6306" operator="equal">
      <formula>0</formula>
    </cfRule>
  </conditionalFormatting>
  <conditionalFormatting sqref="AE289:AE290">
    <cfRule type="cellIs" dxfId="4622" priority="6304" operator="equal">
      <formula>0</formula>
    </cfRule>
  </conditionalFormatting>
  <conditionalFormatting sqref="AC298:AD302">
    <cfRule type="cellIs" dxfId="4621" priority="6300" operator="equal">
      <formula>0</formula>
    </cfRule>
  </conditionalFormatting>
  <conditionalFormatting sqref="Z292:Z298 Z300:Z302">
    <cfRule type="cellIs" dxfId="4620" priority="6299" operator="equal">
      <formula>0</formula>
    </cfRule>
  </conditionalFormatting>
  <conditionalFormatting sqref="AE298:AE302">
    <cfRule type="cellIs" dxfId="4619" priority="6297" operator="equal">
      <formula>0</formula>
    </cfRule>
  </conditionalFormatting>
  <conditionalFormatting sqref="AE288">
    <cfRule type="cellIs" dxfId="4618" priority="6289" operator="equal">
      <formula>0</formula>
    </cfRule>
  </conditionalFormatting>
  <conditionalFormatting sqref="AA304">
    <cfRule type="cellIs" dxfId="4617" priority="6288" operator="equal">
      <formula>0</formula>
    </cfRule>
  </conditionalFormatting>
  <conditionalFormatting sqref="Z304">
    <cfRule type="cellIs" dxfId="4616" priority="6287" operator="equal">
      <formula>0</formula>
    </cfRule>
  </conditionalFormatting>
  <conditionalFormatting sqref="Y304:AQ304">
    <cfRule type="cellIs" dxfId="4615" priority="6286" operator="equal">
      <formula>0</formula>
    </cfRule>
  </conditionalFormatting>
  <conditionalFormatting sqref="AE304 AR304">
    <cfRule type="cellIs" dxfId="4614" priority="6285" operator="equal">
      <formula>0</formula>
    </cfRule>
  </conditionalFormatting>
  <conditionalFormatting sqref="AE304 AR304">
    <cfRule type="cellIs" dxfId="4613" priority="6284" operator="equal">
      <formula>0</formula>
    </cfRule>
  </conditionalFormatting>
  <conditionalFormatting sqref="AA314">
    <cfRule type="cellIs" dxfId="4612" priority="6283" operator="equal">
      <formula>0</formula>
    </cfRule>
  </conditionalFormatting>
  <conditionalFormatting sqref="Z314">
    <cfRule type="cellIs" dxfId="4611" priority="6282" operator="equal">
      <formula>0</formula>
    </cfRule>
  </conditionalFormatting>
  <conditionalFormatting sqref="Y314:AD314">
    <cfRule type="cellIs" dxfId="4610" priority="6281" operator="equal">
      <formula>0</formula>
    </cfRule>
  </conditionalFormatting>
  <conditionalFormatting sqref="AE314:AR314">
    <cfRule type="cellIs" dxfId="4609" priority="6280" operator="equal">
      <formula>0</formula>
    </cfRule>
  </conditionalFormatting>
  <conditionalFormatting sqref="AE314:AR314">
    <cfRule type="cellIs" dxfId="4608" priority="6279" operator="equal">
      <formula>0</formula>
    </cfRule>
  </conditionalFormatting>
  <conditionalFormatting sqref="AA319">
    <cfRule type="cellIs" dxfId="4607" priority="6278" operator="equal">
      <formula>0</formula>
    </cfRule>
  </conditionalFormatting>
  <conditionalFormatting sqref="Z319">
    <cfRule type="cellIs" dxfId="4606" priority="6277" operator="equal">
      <formula>0</formula>
    </cfRule>
  </conditionalFormatting>
  <conditionalFormatting sqref="Y319:AD319">
    <cfRule type="cellIs" dxfId="4605" priority="6276" operator="equal">
      <formula>0</formula>
    </cfRule>
  </conditionalFormatting>
  <conditionalFormatting sqref="AE319:AR319">
    <cfRule type="cellIs" dxfId="4604" priority="6275" operator="equal">
      <formula>0</formula>
    </cfRule>
  </conditionalFormatting>
  <conditionalFormatting sqref="AE319:AR319">
    <cfRule type="cellIs" dxfId="4603" priority="6274" operator="equal">
      <formula>0</formula>
    </cfRule>
  </conditionalFormatting>
  <conditionalFormatting sqref="AF288:AQ288">
    <cfRule type="cellIs" dxfId="4602" priority="6305" operator="equal">
      <formula>0</formula>
    </cfRule>
  </conditionalFormatting>
  <conditionalFormatting sqref="AR324">
    <cfRule type="cellIs" dxfId="4601" priority="6303" operator="equal">
      <formula>0</formula>
    </cfRule>
  </conditionalFormatting>
  <conditionalFormatting sqref="AD291:AD296 Y296:AC296">
    <cfRule type="cellIs" dxfId="4600" priority="6302" operator="lessThan">
      <formula>0</formula>
    </cfRule>
  </conditionalFormatting>
  <conditionalFormatting sqref="Z291:AA291 AA292:AA302">
    <cfRule type="cellIs" dxfId="4599" priority="6301" operator="equal">
      <formula>0</formula>
    </cfRule>
  </conditionalFormatting>
  <conditionalFormatting sqref="AE291:AE295">
    <cfRule type="cellIs" dxfId="4598" priority="6298" operator="equal">
      <formula>0</formula>
    </cfRule>
  </conditionalFormatting>
  <conditionalFormatting sqref="AF291:AQ295">
    <cfRule type="cellIs" dxfId="4597" priority="6296" operator="equal">
      <formula>0</formula>
    </cfRule>
  </conditionalFormatting>
  <conditionalFormatting sqref="AR291:AR295">
    <cfRule type="cellIs" dxfId="4596" priority="6295" operator="equal">
      <formula>0</formula>
    </cfRule>
  </conditionalFormatting>
  <conditionalFormatting sqref="Y297:AD297 Z298:AE298 Z286:AA286 Y324:AR324 AC288:AD288 Y288 AF287:AQ288 Z300:AE302 Y296:AE296 Z291:AR295 AA299:AE299 Z289:AQ290 AC286:AR286">
    <cfRule type="cellIs" dxfId="4595" priority="6294" operator="equal">
      <formula>0</formula>
    </cfRule>
  </conditionalFormatting>
  <conditionalFormatting sqref="AE297:AR297">
    <cfRule type="cellIs" dxfId="4594" priority="6293" operator="equal">
      <formula>0</formula>
    </cfRule>
  </conditionalFormatting>
  <conditionalFormatting sqref="AE297:AR297">
    <cfRule type="cellIs" dxfId="4593" priority="6292" operator="equal">
      <formula>0</formula>
    </cfRule>
  </conditionalFormatting>
  <conditionalFormatting sqref="AR324">
    <cfRule type="cellIs" dxfId="4592" priority="6291" operator="equal">
      <formula>0</formula>
    </cfRule>
  </conditionalFormatting>
  <conditionalFormatting sqref="Z288:AB288">
    <cfRule type="cellIs" dxfId="4591" priority="6290" operator="equal">
      <formula>0</formula>
    </cfRule>
  </conditionalFormatting>
  <conditionalFormatting sqref="Y287">
    <cfRule type="cellIs" dxfId="4590" priority="6273" operator="equal">
      <formula>0</formula>
    </cfRule>
  </conditionalFormatting>
  <conditionalFormatting sqref="Z303">
    <cfRule type="cellIs" dxfId="4589" priority="6270" operator="equal">
      <formula>0</formula>
    </cfRule>
  </conditionalFormatting>
  <conditionalFormatting sqref="Y303:AD303">
    <cfRule type="cellIs" dxfId="4588" priority="6272" operator="lessThan">
      <formula>0</formula>
    </cfRule>
  </conditionalFormatting>
  <conditionalFormatting sqref="AA303">
    <cfRule type="cellIs" dxfId="4587" priority="6271" operator="equal">
      <formula>0</formula>
    </cfRule>
  </conditionalFormatting>
  <conditionalFormatting sqref="Y303:AE303">
    <cfRule type="cellIs" dxfId="4586" priority="6269" operator="equal">
      <formula>0</formula>
    </cfRule>
  </conditionalFormatting>
  <conditionalFormatting sqref="Y313">
    <cfRule type="cellIs" dxfId="4585" priority="6268" operator="lessThan">
      <formula>0</formula>
    </cfRule>
  </conditionalFormatting>
  <conditionalFormatting sqref="Y313">
    <cfRule type="cellIs" dxfId="4584" priority="6267" operator="equal">
      <formula>0</formula>
    </cfRule>
  </conditionalFormatting>
  <conditionalFormatting sqref="Z318">
    <cfRule type="cellIs" dxfId="4583" priority="6264" operator="equal">
      <formula>0</formula>
    </cfRule>
  </conditionalFormatting>
  <conditionalFormatting sqref="Y318:AD318">
    <cfRule type="cellIs" dxfId="4582" priority="6266" operator="lessThan">
      <formula>0</formula>
    </cfRule>
  </conditionalFormatting>
  <conditionalFormatting sqref="AA318">
    <cfRule type="cellIs" dxfId="4581" priority="6265" operator="equal">
      <formula>0</formula>
    </cfRule>
  </conditionalFormatting>
  <conditionalFormatting sqref="Y318:AE318">
    <cfRule type="cellIs" dxfId="4580" priority="6263" operator="equal">
      <formula>0</formula>
    </cfRule>
  </conditionalFormatting>
  <conditionalFormatting sqref="Y323">
    <cfRule type="cellIs" dxfId="4579" priority="6262" operator="lessThan">
      <formula>0</formula>
    </cfRule>
  </conditionalFormatting>
  <conditionalFormatting sqref="Y323">
    <cfRule type="cellIs" dxfId="4578" priority="6261" operator="equal">
      <formula>0</formula>
    </cfRule>
  </conditionalFormatting>
  <conditionalFormatting sqref="Z299">
    <cfRule type="cellIs" dxfId="4577" priority="6259" operator="equal">
      <formula>0</formula>
    </cfRule>
  </conditionalFormatting>
  <conditionalFormatting sqref="AF304:AQ304">
    <cfRule type="cellIs" dxfId="4576" priority="6257" operator="equal">
      <formula>0</formula>
    </cfRule>
  </conditionalFormatting>
  <conditionalFormatting sqref="Z299">
    <cfRule type="cellIs" dxfId="4575" priority="6260" operator="equal">
      <formula>0</formula>
    </cfRule>
  </conditionalFormatting>
  <conditionalFormatting sqref="AF304:AQ304">
    <cfRule type="cellIs" dxfId="4574" priority="6258" operator="equal">
      <formula>0</formula>
    </cfRule>
  </conditionalFormatting>
  <conditionalFormatting sqref="AR318">
    <cfRule type="cellIs" dxfId="4573" priority="6256" operator="equal">
      <formula>0</formula>
    </cfRule>
  </conditionalFormatting>
  <conditionalFormatting sqref="AR318">
    <cfRule type="cellIs" dxfId="4572" priority="6255" operator="equal">
      <formula>0</formula>
    </cfRule>
  </conditionalFormatting>
  <conditionalFormatting sqref="AR296">
    <cfRule type="cellIs" dxfId="4571" priority="6254" operator="equal">
      <formula>0</formula>
    </cfRule>
  </conditionalFormatting>
  <conditionalFormatting sqref="AR296">
    <cfRule type="cellIs" dxfId="4570" priority="6253" operator="equal">
      <formula>0</formula>
    </cfRule>
  </conditionalFormatting>
  <conditionalFormatting sqref="AR289:AR290">
    <cfRule type="cellIs" dxfId="4569" priority="6252" operator="equal">
      <formula>0</formula>
    </cfRule>
  </conditionalFormatting>
  <conditionalFormatting sqref="AR286">
    <cfRule type="cellIs" dxfId="4568" priority="6251" operator="equal">
      <formula>0</formula>
    </cfRule>
  </conditionalFormatting>
  <conditionalFormatting sqref="AR288">
    <cfRule type="cellIs" dxfId="4567" priority="6250" operator="equal">
      <formula>0</formula>
    </cfRule>
  </conditionalFormatting>
  <conditionalFormatting sqref="AR286:AR288">
    <cfRule type="cellIs" dxfId="4566" priority="6249" operator="equal">
      <formula>0</formula>
    </cfRule>
  </conditionalFormatting>
  <conditionalFormatting sqref="AF318:AQ318">
    <cfRule type="cellIs" dxfId="4565" priority="6248" operator="equal">
      <formula>0</formula>
    </cfRule>
  </conditionalFormatting>
  <conditionalFormatting sqref="AE309:AE311">
    <cfRule type="cellIs" dxfId="4564" priority="6221" operator="equal">
      <formula>0</formula>
    </cfRule>
  </conditionalFormatting>
  <conditionalFormatting sqref="Z310:Z311">
    <cfRule type="cellIs" dxfId="4563" priority="6222" operator="equal">
      <formula>0</formula>
    </cfRule>
  </conditionalFormatting>
  <conditionalFormatting sqref="AE312">
    <cfRule type="cellIs" dxfId="4562" priority="6211" operator="equal">
      <formula>0</formula>
    </cfRule>
  </conditionalFormatting>
  <conditionalFormatting sqref="Z312:AE312">
    <cfRule type="cellIs" dxfId="4561" priority="6210" operator="equal">
      <formula>0</formula>
    </cfRule>
  </conditionalFormatting>
  <conditionalFormatting sqref="AF312:AQ312">
    <cfRule type="cellIs" dxfId="4560" priority="6209" operator="equal">
      <formula>0</formula>
    </cfRule>
  </conditionalFormatting>
  <conditionalFormatting sqref="AF309:AQ311">
    <cfRule type="cellIs" dxfId="4559" priority="6217" operator="equal">
      <formula>0</formula>
    </cfRule>
  </conditionalFormatting>
  <conditionalFormatting sqref="AR309:AR311">
    <cfRule type="cellIs" dxfId="4558" priority="6216" operator="equal">
      <formula>0</formula>
    </cfRule>
  </conditionalFormatting>
  <conditionalFormatting sqref="AF309:AR311">
    <cfRule type="cellIs" dxfId="4557" priority="6215" operator="equal">
      <formula>0</formula>
    </cfRule>
  </conditionalFormatting>
  <conditionalFormatting sqref="AA312">
    <cfRule type="cellIs" dxfId="4556" priority="6214" operator="equal">
      <formula>0</formula>
    </cfRule>
  </conditionalFormatting>
  <conditionalFormatting sqref="AC312:AD312">
    <cfRule type="cellIs" dxfId="4555" priority="6213" operator="equal">
      <formula>0</formula>
    </cfRule>
  </conditionalFormatting>
  <conditionalFormatting sqref="AR315:AR317">
    <cfRule type="cellIs" dxfId="4554" priority="6194" operator="equal">
      <formula>0</formula>
    </cfRule>
  </conditionalFormatting>
  <conditionalFormatting sqref="Z312">
    <cfRule type="cellIs" dxfId="4553" priority="6212" operator="equal">
      <formula>0</formula>
    </cfRule>
  </conditionalFormatting>
  <conditionalFormatting sqref="AF315:AR317">
    <cfRule type="cellIs" dxfId="4552" priority="6193" operator="equal">
      <formula>0</formula>
    </cfRule>
  </conditionalFormatting>
  <conditionalFormatting sqref="AF312:AR312">
    <cfRule type="cellIs" dxfId="4551" priority="6207" operator="equal">
      <formula>0</formula>
    </cfRule>
  </conditionalFormatting>
  <conditionalFormatting sqref="AA313">
    <cfRule type="cellIs" dxfId="4550" priority="6205" operator="equal">
      <formula>0</formula>
    </cfRule>
  </conditionalFormatting>
  <conditionalFormatting sqref="Z315 Z317">
    <cfRule type="cellIs" dxfId="4549" priority="6200" operator="equal">
      <formula>0</formula>
    </cfRule>
  </conditionalFormatting>
  <conditionalFormatting sqref="Z313">
    <cfRule type="cellIs" dxfId="4548" priority="6204" operator="equal">
      <formula>0</formula>
    </cfRule>
  </conditionalFormatting>
  <conditionalFormatting sqref="Z313:AE313">
    <cfRule type="cellIs" dxfId="4547" priority="6203" operator="equal">
      <formula>0</formula>
    </cfRule>
  </conditionalFormatting>
  <conditionalFormatting sqref="AF315:AQ317">
    <cfRule type="cellIs" dxfId="4546" priority="6195" operator="equal">
      <formula>0</formula>
    </cfRule>
  </conditionalFormatting>
  <conditionalFormatting sqref="AC315:AD317">
    <cfRule type="cellIs" dxfId="4545" priority="6201" operator="equal">
      <formula>0</formula>
    </cfRule>
  </conditionalFormatting>
  <conditionalFormatting sqref="AE320:AE322">
    <cfRule type="cellIs" dxfId="4544" priority="6179" operator="equal">
      <formula>0</formula>
    </cfRule>
  </conditionalFormatting>
  <conditionalFormatting sqref="Z316">
    <cfRule type="cellIs" dxfId="4543" priority="6197" operator="equal">
      <formula>0</formula>
    </cfRule>
  </conditionalFormatting>
  <conditionalFormatting sqref="AE315:AE317">
    <cfRule type="cellIs" dxfId="4542" priority="6199" operator="equal">
      <formula>0</formula>
    </cfRule>
  </conditionalFormatting>
  <conditionalFormatting sqref="Z316">
    <cfRule type="cellIs" dxfId="4541" priority="6196" operator="equal">
      <formula>0</formula>
    </cfRule>
  </conditionalFormatting>
  <conditionalFormatting sqref="AR323">
    <cfRule type="cellIs" dxfId="4540" priority="6185" operator="equal">
      <formula>0</formula>
    </cfRule>
  </conditionalFormatting>
  <conditionalFormatting sqref="AR320:AR322">
    <cfRule type="cellIs" dxfId="4539" priority="6174" operator="equal">
      <formula>0</formula>
    </cfRule>
  </conditionalFormatting>
  <conditionalFormatting sqref="AF323:AQ323">
    <cfRule type="cellIs" dxfId="4538" priority="6183" operator="equal">
      <formula>0</formula>
    </cfRule>
  </conditionalFormatting>
  <conditionalFormatting sqref="AA320:AA322">
    <cfRule type="cellIs" dxfId="4537" priority="6182" operator="equal">
      <formula>0</formula>
    </cfRule>
  </conditionalFormatting>
  <conditionalFormatting sqref="AC320:AD322">
    <cfRule type="cellIs" dxfId="4536" priority="6181" operator="equal">
      <formula>0</formula>
    </cfRule>
  </conditionalFormatting>
  <conditionalFormatting sqref="Z320 Z322">
    <cfRule type="cellIs" dxfId="4535" priority="6180" operator="equal">
      <formula>0</formula>
    </cfRule>
  </conditionalFormatting>
  <conditionalFormatting sqref="Z323">
    <cfRule type="cellIs" dxfId="4534" priority="6187" operator="equal">
      <formula>0</formula>
    </cfRule>
  </conditionalFormatting>
  <conditionalFormatting sqref="Z321">
    <cfRule type="cellIs" dxfId="4533" priority="6177" operator="equal">
      <formula>0</formula>
    </cfRule>
  </conditionalFormatting>
  <conditionalFormatting sqref="AF320:AQ322">
    <cfRule type="cellIs" dxfId="4532" priority="6175" operator="equal">
      <formula>0</formula>
    </cfRule>
  </conditionalFormatting>
  <conditionalFormatting sqref="AF320:AR322">
    <cfRule type="cellIs" dxfId="4531" priority="6173" operator="equal">
      <formula>0</formula>
    </cfRule>
  </conditionalFormatting>
  <conditionalFormatting sqref="Z309">
    <cfRule type="cellIs" dxfId="4530" priority="6219" operator="equal">
      <formula>0</formula>
    </cfRule>
  </conditionalFormatting>
  <conditionalFormatting sqref="Z309">
    <cfRule type="cellIs" dxfId="4529" priority="6218" operator="equal">
      <formula>0</formula>
    </cfRule>
  </conditionalFormatting>
  <conditionalFormatting sqref="AR312">
    <cfRule type="cellIs" dxfId="4528" priority="6208" operator="equal">
      <formula>0</formula>
    </cfRule>
  </conditionalFormatting>
  <conditionalFormatting sqref="Z315:AE315 Z317:AE317 AA316:AE316">
    <cfRule type="cellIs" dxfId="4527" priority="6198" operator="equal">
      <formula>0</formula>
    </cfRule>
  </conditionalFormatting>
  <conditionalFormatting sqref="AA315:AA317">
    <cfRule type="cellIs" dxfId="4526" priority="6202" operator="equal">
      <formula>0</formula>
    </cfRule>
  </conditionalFormatting>
  <conditionalFormatting sqref="AR313">
    <cfRule type="cellIs" dxfId="4525" priority="6191" operator="equal">
      <formula>0</formula>
    </cfRule>
  </conditionalFormatting>
  <conditionalFormatting sqref="AF313:AQ313">
    <cfRule type="cellIs" dxfId="4524" priority="6190" operator="equal">
      <formula>0</formula>
    </cfRule>
  </conditionalFormatting>
  <conditionalFormatting sqref="AA323">
    <cfRule type="cellIs" dxfId="4523" priority="6188" operator="equal">
      <formula>0</formula>
    </cfRule>
  </conditionalFormatting>
  <conditionalFormatting sqref="Z323:AE323">
    <cfRule type="cellIs" dxfId="4522" priority="6186" operator="equal">
      <formula>0</formula>
    </cfRule>
  </conditionalFormatting>
  <conditionalFormatting sqref="AR313">
    <cfRule type="cellIs" dxfId="4521" priority="6192" operator="equal">
      <formula>0</formula>
    </cfRule>
  </conditionalFormatting>
  <conditionalFormatting sqref="Z320:AE320 Z322:AE322 AA321:AE321">
    <cfRule type="cellIs" dxfId="4520" priority="6178" operator="equal">
      <formula>0</formula>
    </cfRule>
  </conditionalFormatting>
  <conditionalFormatting sqref="Y316">
    <cfRule type="cellIs" dxfId="4519" priority="6167" operator="equal">
      <formula>0</formula>
    </cfRule>
  </conditionalFormatting>
  <conditionalFormatting sqref="Y291 Y293:Y295">
    <cfRule type="cellIs" dxfId="4518" priority="6247" operator="equal">
      <formula>0</formula>
    </cfRule>
  </conditionalFormatting>
  <conditionalFormatting sqref="Y292">
    <cfRule type="cellIs" dxfId="4517" priority="6246" operator="equal">
      <formula>0</formula>
    </cfRule>
  </conditionalFormatting>
  <conditionalFormatting sqref="Y290">
    <cfRule type="cellIs" dxfId="4516" priority="6245" operator="equal">
      <formula>0</formula>
    </cfRule>
  </conditionalFormatting>
  <conditionalFormatting sqref="Y289">
    <cfRule type="cellIs" dxfId="4515" priority="6244" operator="equal">
      <formula>0</formula>
    </cfRule>
  </conditionalFormatting>
  <conditionalFormatting sqref="Y298 Y300:Y302">
    <cfRule type="cellIs" dxfId="4514" priority="6243" operator="equal">
      <formula>0</formula>
    </cfRule>
  </conditionalFormatting>
  <conditionalFormatting sqref="Y299">
    <cfRule type="cellIs" dxfId="4513" priority="6242" operator="equal">
      <formula>0</formula>
    </cfRule>
  </conditionalFormatting>
  <conditionalFormatting sqref="AF296:AQ296">
    <cfRule type="cellIs" dxfId="4512" priority="6241" operator="equal">
      <formula>0</formula>
    </cfRule>
  </conditionalFormatting>
  <conditionalFormatting sqref="AF298:AQ302">
    <cfRule type="cellIs" dxfId="4511" priority="6240" operator="equal">
      <formula>0</formula>
    </cfRule>
  </conditionalFormatting>
  <conditionalFormatting sqref="AR298:AR302">
    <cfRule type="cellIs" dxfId="4510" priority="6239" operator="equal">
      <formula>0</formula>
    </cfRule>
  </conditionalFormatting>
  <conditionalFormatting sqref="AF298:AR302">
    <cfRule type="cellIs" dxfId="4509" priority="6238" operator="equal">
      <formula>0</formula>
    </cfRule>
  </conditionalFormatting>
  <conditionalFormatting sqref="AR303">
    <cfRule type="cellIs" dxfId="4508" priority="6237" operator="equal">
      <formula>0</formula>
    </cfRule>
  </conditionalFormatting>
  <conditionalFormatting sqref="AR303">
    <cfRule type="cellIs" dxfId="4507" priority="6236" operator="equal">
      <formula>0</formula>
    </cfRule>
  </conditionalFormatting>
  <conditionalFormatting sqref="AF303:AQ303">
    <cfRule type="cellIs" dxfId="4506" priority="6235" operator="equal">
      <formula>0</formula>
    </cfRule>
  </conditionalFormatting>
  <conditionalFormatting sqref="AC305:AD308">
    <cfRule type="cellIs" dxfId="4505" priority="6233" operator="equal">
      <formula>0</formula>
    </cfRule>
  </conditionalFormatting>
  <conditionalFormatting sqref="Z305 Z307:Z308">
    <cfRule type="cellIs" dxfId="4504" priority="6232" operator="equal">
      <formula>0</formula>
    </cfRule>
  </conditionalFormatting>
  <conditionalFormatting sqref="AE305:AE308">
    <cfRule type="cellIs" dxfId="4503" priority="6231" operator="equal">
      <formula>0</formula>
    </cfRule>
  </conditionalFormatting>
  <conditionalFormatting sqref="AA305:AA308">
    <cfRule type="cellIs" dxfId="4502" priority="6234" operator="equal">
      <formula>0</formula>
    </cfRule>
  </conditionalFormatting>
  <conditionalFormatting sqref="Z305:AE305 Z307:AE308 AA306:AE306">
    <cfRule type="cellIs" dxfId="4501" priority="6230" operator="equal">
      <formula>0</formula>
    </cfRule>
  </conditionalFormatting>
  <conditionalFormatting sqref="Z306">
    <cfRule type="cellIs" dxfId="4500" priority="6228" operator="equal">
      <formula>0</formula>
    </cfRule>
  </conditionalFormatting>
  <conditionalFormatting sqref="Z306">
    <cfRule type="cellIs" dxfId="4499" priority="6229" operator="equal">
      <formula>0</formula>
    </cfRule>
  </conditionalFormatting>
  <conditionalFormatting sqref="AF305:AQ308">
    <cfRule type="cellIs" dxfId="4498" priority="6227" operator="equal">
      <formula>0</formula>
    </cfRule>
  </conditionalFormatting>
  <conditionalFormatting sqref="AR305:AR308">
    <cfRule type="cellIs" dxfId="4497" priority="6226" operator="equal">
      <formula>0</formula>
    </cfRule>
  </conditionalFormatting>
  <conditionalFormatting sqref="AF305:AR308">
    <cfRule type="cellIs" dxfId="4496" priority="6225" operator="equal">
      <formula>0</formula>
    </cfRule>
  </conditionalFormatting>
  <conditionalFormatting sqref="AC309:AD311">
    <cfRule type="cellIs" dxfId="4495" priority="6223" operator="equal">
      <formula>0</formula>
    </cfRule>
  </conditionalFormatting>
  <conditionalFormatting sqref="AA309:AA311">
    <cfRule type="cellIs" dxfId="4494" priority="6224" operator="equal">
      <formula>0</formula>
    </cfRule>
  </conditionalFormatting>
  <conditionalFormatting sqref="Z310:AE311 AA309:AE309">
    <cfRule type="cellIs" dxfId="4493" priority="6220" operator="equal">
      <formula>0</formula>
    </cfRule>
  </conditionalFormatting>
  <conditionalFormatting sqref="Z313:AD313">
    <cfRule type="cellIs" dxfId="4492" priority="6206" operator="lessThan">
      <formula>0</formula>
    </cfRule>
  </conditionalFormatting>
  <conditionalFormatting sqref="Z323:AD323">
    <cfRule type="cellIs" dxfId="4491" priority="6189" operator="lessThan">
      <formula>0</formula>
    </cfRule>
  </conditionalFormatting>
  <conditionalFormatting sqref="Z321">
    <cfRule type="cellIs" dxfId="4490" priority="6176" operator="equal">
      <formula>0</formula>
    </cfRule>
  </conditionalFormatting>
  <conditionalFormatting sqref="AR323">
    <cfRule type="cellIs" dxfId="4489" priority="6184" operator="equal">
      <formula>0</formula>
    </cfRule>
  </conditionalFormatting>
  <conditionalFormatting sqref="Y315 Y317">
    <cfRule type="cellIs" dxfId="4488" priority="6168" operator="equal">
      <formula>0</formula>
    </cfRule>
  </conditionalFormatting>
  <conditionalFormatting sqref="Y305 Y307:Y308">
    <cfRule type="cellIs" dxfId="4487" priority="6172" operator="equal">
      <formula>0</formula>
    </cfRule>
  </conditionalFormatting>
  <conditionalFormatting sqref="Y306">
    <cfRule type="cellIs" dxfId="4486" priority="6171" operator="equal">
      <formula>0</formula>
    </cfRule>
  </conditionalFormatting>
  <conditionalFormatting sqref="Y309 Y311:Y312">
    <cfRule type="cellIs" dxfId="4485" priority="6170" operator="equal">
      <formula>0</formula>
    </cfRule>
  </conditionalFormatting>
  <conditionalFormatting sqref="Y310">
    <cfRule type="cellIs" dxfId="4484" priority="6169" operator="equal">
      <formula>0</formula>
    </cfRule>
  </conditionalFormatting>
  <conditionalFormatting sqref="Y320 Y322">
    <cfRule type="cellIs" dxfId="4483" priority="6166" operator="equal">
      <formula>0</formula>
    </cfRule>
  </conditionalFormatting>
  <conditionalFormatting sqref="Y321">
    <cfRule type="cellIs" dxfId="4482" priority="6165" operator="equal">
      <formula>0</formula>
    </cfRule>
  </conditionalFormatting>
  <conditionalFormatting sqref="Z82:AE82 AB81">
    <cfRule type="cellIs" dxfId="4481" priority="6022" operator="equal">
      <formula>0</formula>
    </cfRule>
  </conditionalFormatting>
  <conditionalFormatting sqref="AE84:AE85">
    <cfRule type="cellIs" dxfId="4480" priority="6020" operator="equal">
      <formula>0</formula>
    </cfRule>
  </conditionalFormatting>
  <conditionalFormatting sqref="AC93:AD97">
    <cfRule type="cellIs" dxfId="4479" priority="6016" operator="equal">
      <formula>0</formula>
    </cfRule>
  </conditionalFormatting>
  <conditionalFormatting sqref="Z87:Z93 Z95:Z97">
    <cfRule type="cellIs" dxfId="4478" priority="6015" operator="equal">
      <formula>0</formula>
    </cfRule>
  </conditionalFormatting>
  <conditionalFormatting sqref="AE93:AE97">
    <cfRule type="cellIs" dxfId="4477" priority="6013" operator="equal">
      <formula>0</formula>
    </cfRule>
  </conditionalFormatting>
  <conditionalFormatting sqref="AE83">
    <cfRule type="cellIs" dxfId="4476" priority="6005" operator="equal">
      <formula>0</formula>
    </cfRule>
  </conditionalFormatting>
  <conditionalFormatting sqref="AA99">
    <cfRule type="cellIs" dxfId="4475" priority="6004" operator="equal">
      <formula>0</formula>
    </cfRule>
  </conditionalFormatting>
  <conditionalFormatting sqref="Z99">
    <cfRule type="cellIs" dxfId="4474" priority="6003" operator="equal">
      <formula>0</formula>
    </cfRule>
  </conditionalFormatting>
  <conditionalFormatting sqref="Y99:AQ99">
    <cfRule type="cellIs" dxfId="4473" priority="6002" operator="equal">
      <formula>0</formula>
    </cfRule>
  </conditionalFormatting>
  <conditionalFormatting sqref="AE99 AR99">
    <cfRule type="cellIs" dxfId="4472" priority="6001" operator="equal">
      <formula>0</formula>
    </cfRule>
  </conditionalFormatting>
  <conditionalFormatting sqref="AE99 AR99">
    <cfRule type="cellIs" dxfId="4471" priority="6000" operator="equal">
      <formula>0</formula>
    </cfRule>
  </conditionalFormatting>
  <conditionalFormatting sqref="AA109">
    <cfRule type="cellIs" dxfId="4470" priority="5999" operator="equal">
      <formula>0</formula>
    </cfRule>
  </conditionalFormatting>
  <conditionalFormatting sqref="Z109">
    <cfRule type="cellIs" dxfId="4469" priority="5998" operator="equal">
      <formula>0</formula>
    </cfRule>
  </conditionalFormatting>
  <conditionalFormatting sqref="Y109:AD109">
    <cfRule type="cellIs" dxfId="4468" priority="5997" operator="equal">
      <formula>0</formula>
    </cfRule>
  </conditionalFormatting>
  <conditionalFormatting sqref="AE109:AR109">
    <cfRule type="cellIs" dxfId="4467" priority="5996" operator="equal">
      <formula>0</formula>
    </cfRule>
  </conditionalFormatting>
  <conditionalFormatting sqref="AE109:AR109">
    <cfRule type="cellIs" dxfId="4466" priority="5995" operator="equal">
      <formula>0</formula>
    </cfRule>
  </conditionalFormatting>
  <conditionalFormatting sqref="AA114">
    <cfRule type="cellIs" dxfId="4465" priority="5994" operator="equal">
      <formula>0</formula>
    </cfRule>
  </conditionalFormatting>
  <conditionalFormatting sqref="Z114">
    <cfRule type="cellIs" dxfId="4464" priority="5993" operator="equal">
      <formula>0</formula>
    </cfRule>
  </conditionalFormatting>
  <conditionalFormatting sqref="Y114:AD114">
    <cfRule type="cellIs" dxfId="4463" priority="5992" operator="equal">
      <formula>0</formula>
    </cfRule>
  </conditionalFormatting>
  <conditionalFormatting sqref="AE114:AR114">
    <cfRule type="cellIs" dxfId="4462" priority="5991" operator="equal">
      <formula>0</formula>
    </cfRule>
  </conditionalFormatting>
  <conditionalFormatting sqref="AE114:AR114">
    <cfRule type="cellIs" dxfId="4461" priority="5990" operator="equal">
      <formula>0</formula>
    </cfRule>
  </conditionalFormatting>
  <conditionalFormatting sqref="AF83:AQ83">
    <cfRule type="cellIs" dxfId="4460" priority="6021" operator="equal">
      <formula>0</formula>
    </cfRule>
  </conditionalFormatting>
  <conditionalFormatting sqref="AR119">
    <cfRule type="cellIs" dxfId="4459" priority="6019" operator="equal">
      <formula>0</formula>
    </cfRule>
  </conditionalFormatting>
  <conditionalFormatting sqref="AD86:AD91 Y91:AC91">
    <cfRule type="cellIs" dxfId="4458" priority="6018" operator="lessThan">
      <formula>0</formula>
    </cfRule>
  </conditionalFormatting>
  <conditionalFormatting sqref="Z86:AA86 AA87:AA97">
    <cfRule type="cellIs" dxfId="4457" priority="6017" operator="equal">
      <formula>0</formula>
    </cfRule>
  </conditionalFormatting>
  <conditionalFormatting sqref="AE86:AE90">
    <cfRule type="cellIs" dxfId="4456" priority="6014" operator="equal">
      <formula>0</formula>
    </cfRule>
  </conditionalFormatting>
  <conditionalFormatting sqref="AF86:AQ90">
    <cfRule type="cellIs" dxfId="4455" priority="6012" operator="equal">
      <formula>0</formula>
    </cfRule>
  </conditionalFormatting>
  <conditionalFormatting sqref="AR86:AR90">
    <cfRule type="cellIs" dxfId="4454" priority="6011" operator="equal">
      <formula>0</formula>
    </cfRule>
  </conditionalFormatting>
  <conditionalFormatting sqref="Y92:AD92 Z93:AE93 Z81:AA81 Y119:AR119 AC83:AD83 Y83 AF82:AQ83 Z95:AE97 Y91:AE91 Z86:AR90 AA94:AE94 Z84:AQ85 AC81:AR81">
    <cfRule type="cellIs" dxfId="4453" priority="6010" operator="equal">
      <formula>0</formula>
    </cfRule>
  </conditionalFormatting>
  <conditionalFormatting sqref="AE92:AR92">
    <cfRule type="cellIs" dxfId="4452" priority="6009" operator="equal">
      <formula>0</formula>
    </cfRule>
  </conditionalFormatting>
  <conditionalFormatting sqref="AE92:AR92">
    <cfRule type="cellIs" dxfId="4451" priority="6008" operator="equal">
      <formula>0</formula>
    </cfRule>
  </conditionalFormatting>
  <conditionalFormatting sqref="AR119">
    <cfRule type="cellIs" dxfId="4450" priority="6007" operator="equal">
      <formula>0</formula>
    </cfRule>
  </conditionalFormatting>
  <conditionalFormatting sqref="Z83:AB83">
    <cfRule type="cellIs" dxfId="4449" priority="6006" operator="equal">
      <formula>0</formula>
    </cfRule>
  </conditionalFormatting>
  <conditionalFormatting sqref="Y82">
    <cfRule type="cellIs" dxfId="4448" priority="5989" operator="equal">
      <formula>0</formula>
    </cfRule>
  </conditionalFormatting>
  <conditionalFormatting sqref="Z98">
    <cfRule type="cellIs" dxfId="4447" priority="5986" operator="equal">
      <formula>0</formula>
    </cfRule>
  </conditionalFormatting>
  <conditionalFormatting sqref="Y98:AD98">
    <cfRule type="cellIs" dxfId="4446" priority="5988" operator="lessThan">
      <formula>0</formula>
    </cfRule>
  </conditionalFormatting>
  <conditionalFormatting sqref="AA98">
    <cfRule type="cellIs" dxfId="4445" priority="5987" operator="equal">
      <formula>0</formula>
    </cfRule>
  </conditionalFormatting>
  <conditionalFormatting sqref="Y98:AE98">
    <cfRule type="cellIs" dxfId="4444" priority="5985" operator="equal">
      <formula>0</formula>
    </cfRule>
  </conditionalFormatting>
  <conditionalFormatting sqref="Y108">
    <cfRule type="cellIs" dxfId="4443" priority="5984" operator="lessThan">
      <formula>0</formula>
    </cfRule>
  </conditionalFormatting>
  <conditionalFormatting sqref="Y108">
    <cfRule type="cellIs" dxfId="4442" priority="5983" operator="equal">
      <formula>0</formula>
    </cfRule>
  </conditionalFormatting>
  <conditionalFormatting sqref="Z113">
    <cfRule type="cellIs" dxfId="4441" priority="5980" operator="equal">
      <formula>0</formula>
    </cfRule>
  </conditionalFormatting>
  <conditionalFormatting sqref="Y113:AD113">
    <cfRule type="cellIs" dxfId="4440" priority="5982" operator="lessThan">
      <formula>0</formula>
    </cfRule>
  </conditionalFormatting>
  <conditionalFormatting sqref="AA113">
    <cfRule type="cellIs" dxfId="4439" priority="5981" operator="equal">
      <formula>0</formula>
    </cfRule>
  </conditionalFormatting>
  <conditionalFormatting sqref="Y113:AE113">
    <cfRule type="cellIs" dxfId="4438" priority="5979" operator="equal">
      <formula>0</formula>
    </cfRule>
  </conditionalFormatting>
  <conditionalFormatting sqref="Y118">
    <cfRule type="cellIs" dxfId="4437" priority="5978" operator="lessThan">
      <formula>0</formula>
    </cfRule>
  </conditionalFormatting>
  <conditionalFormatting sqref="Y118">
    <cfRule type="cellIs" dxfId="4436" priority="5977" operator="equal">
      <formula>0</formula>
    </cfRule>
  </conditionalFormatting>
  <conditionalFormatting sqref="Z94">
    <cfRule type="cellIs" dxfId="4435" priority="5975" operator="equal">
      <formula>0</formula>
    </cfRule>
  </conditionalFormatting>
  <conditionalFormatting sqref="AF99:AQ99">
    <cfRule type="cellIs" dxfId="4434" priority="5973" operator="equal">
      <formula>0</formula>
    </cfRule>
  </conditionalFormatting>
  <conditionalFormatting sqref="Z94">
    <cfRule type="cellIs" dxfId="4433" priority="5976" operator="equal">
      <formula>0</formula>
    </cfRule>
  </conditionalFormatting>
  <conditionalFormatting sqref="AF99:AQ99">
    <cfRule type="cellIs" dxfId="4432" priority="5974" operator="equal">
      <formula>0</formula>
    </cfRule>
  </conditionalFormatting>
  <conditionalFormatting sqref="AR113">
    <cfRule type="cellIs" dxfId="4431" priority="5972" operator="equal">
      <formula>0</formula>
    </cfRule>
  </conditionalFormatting>
  <conditionalFormatting sqref="AR113">
    <cfRule type="cellIs" dxfId="4430" priority="5971" operator="equal">
      <formula>0</formula>
    </cfRule>
  </conditionalFormatting>
  <conditionalFormatting sqref="AR91">
    <cfRule type="cellIs" dxfId="4429" priority="5970" operator="equal">
      <formula>0</formula>
    </cfRule>
  </conditionalFormatting>
  <conditionalFormatting sqref="AR91">
    <cfRule type="cellIs" dxfId="4428" priority="5969" operator="equal">
      <formula>0</formula>
    </cfRule>
  </conditionalFormatting>
  <conditionalFormatting sqref="AR84:AR85">
    <cfRule type="cellIs" dxfId="4427" priority="5968" operator="equal">
      <formula>0</formula>
    </cfRule>
  </conditionalFormatting>
  <conditionalFormatting sqref="AR81">
    <cfRule type="cellIs" dxfId="4426" priority="5967" operator="equal">
      <formula>0</formula>
    </cfRule>
  </conditionalFormatting>
  <conditionalFormatting sqref="AR83">
    <cfRule type="cellIs" dxfId="4425" priority="5966" operator="equal">
      <formula>0</formula>
    </cfRule>
  </conditionalFormatting>
  <conditionalFormatting sqref="AR81:AR83">
    <cfRule type="cellIs" dxfId="4424" priority="5965" operator="equal">
      <formula>0</formula>
    </cfRule>
  </conditionalFormatting>
  <conditionalFormatting sqref="AF113:AQ113">
    <cfRule type="cellIs" dxfId="4423" priority="5964" operator="equal">
      <formula>0</formula>
    </cfRule>
  </conditionalFormatting>
  <conditionalFormatting sqref="AE104:AE106">
    <cfRule type="cellIs" dxfId="4422" priority="5937" operator="equal">
      <formula>0</formula>
    </cfRule>
  </conditionalFormatting>
  <conditionalFormatting sqref="Z105:Z106">
    <cfRule type="cellIs" dxfId="4421" priority="5938" operator="equal">
      <formula>0</formula>
    </cfRule>
  </conditionalFormatting>
  <conditionalFormatting sqref="AE107">
    <cfRule type="cellIs" dxfId="4420" priority="5927" operator="equal">
      <formula>0</formula>
    </cfRule>
  </conditionalFormatting>
  <conditionalFormatting sqref="Z107:AE107">
    <cfRule type="cellIs" dxfId="4419" priority="5926" operator="equal">
      <formula>0</formula>
    </cfRule>
  </conditionalFormatting>
  <conditionalFormatting sqref="AF107:AQ107">
    <cfRule type="cellIs" dxfId="4418" priority="5925" operator="equal">
      <formula>0</formula>
    </cfRule>
  </conditionalFormatting>
  <conditionalFormatting sqref="AF104:AQ106">
    <cfRule type="cellIs" dxfId="4417" priority="5933" operator="equal">
      <formula>0</formula>
    </cfRule>
  </conditionalFormatting>
  <conditionalFormatting sqref="AR104:AR106">
    <cfRule type="cellIs" dxfId="4416" priority="5932" operator="equal">
      <formula>0</formula>
    </cfRule>
  </conditionalFormatting>
  <conditionalFormatting sqref="AF104:AR106">
    <cfRule type="cellIs" dxfId="4415" priority="5931" operator="equal">
      <formula>0</formula>
    </cfRule>
  </conditionalFormatting>
  <conditionalFormatting sqref="AA107">
    <cfRule type="cellIs" dxfId="4414" priority="5930" operator="equal">
      <formula>0</formula>
    </cfRule>
  </conditionalFormatting>
  <conditionalFormatting sqref="AC107:AD107">
    <cfRule type="cellIs" dxfId="4413" priority="5929" operator="equal">
      <formula>0</formula>
    </cfRule>
  </conditionalFormatting>
  <conditionalFormatting sqref="AR110:AR112">
    <cfRule type="cellIs" dxfId="4412" priority="5910" operator="equal">
      <formula>0</formula>
    </cfRule>
  </conditionalFormatting>
  <conditionalFormatting sqref="Z107">
    <cfRule type="cellIs" dxfId="4411" priority="5928" operator="equal">
      <formula>0</formula>
    </cfRule>
  </conditionalFormatting>
  <conditionalFormatting sqref="AF110:AR112">
    <cfRule type="cellIs" dxfId="4410" priority="5909" operator="equal">
      <formula>0</formula>
    </cfRule>
  </conditionalFormatting>
  <conditionalFormatting sqref="AF107:AR107">
    <cfRule type="cellIs" dxfId="4409" priority="5923" operator="equal">
      <formula>0</formula>
    </cfRule>
  </conditionalFormatting>
  <conditionalFormatting sqref="AA108">
    <cfRule type="cellIs" dxfId="4408" priority="5921" operator="equal">
      <formula>0</formula>
    </cfRule>
  </conditionalFormatting>
  <conditionalFormatting sqref="Z110 Z112">
    <cfRule type="cellIs" dxfId="4407" priority="5916" operator="equal">
      <formula>0</formula>
    </cfRule>
  </conditionalFormatting>
  <conditionalFormatting sqref="Z108">
    <cfRule type="cellIs" dxfId="4406" priority="5920" operator="equal">
      <formula>0</formula>
    </cfRule>
  </conditionalFormatting>
  <conditionalFormatting sqref="Z108:AE108">
    <cfRule type="cellIs" dxfId="4405" priority="5919" operator="equal">
      <formula>0</formula>
    </cfRule>
  </conditionalFormatting>
  <conditionalFormatting sqref="AF110:AQ112">
    <cfRule type="cellIs" dxfId="4404" priority="5911" operator="equal">
      <formula>0</formula>
    </cfRule>
  </conditionalFormatting>
  <conditionalFormatting sqref="AC110:AD112">
    <cfRule type="cellIs" dxfId="4403" priority="5917" operator="equal">
      <formula>0</formula>
    </cfRule>
  </conditionalFormatting>
  <conditionalFormatting sqref="AE115:AE117">
    <cfRule type="cellIs" dxfId="4402" priority="5895" operator="equal">
      <formula>0</formula>
    </cfRule>
  </conditionalFormatting>
  <conditionalFormatting sqref="Z111">
    <cfRule type="cellIs" dxfId="4401" priority="5913" operator="equal">
      <formula>0</formula>
    </cfRule>
  </conditionalFormatting>
  <conditionalFormatting sqref="AE110:AE112">
    <cfRule type="cellIs" dxfId="4400" priority="5915" operator="equal">
      <formula>0</formula>
    </cfRule>
  </conditionalFormatting>
  <conditionalFormatting sqref="Z111">
    <cfRule type="cellIs" dxfId="4399" priority="5912" operator="equal">
      <formula>0</formula>
    </cfRule>
  </conditionalFormatting>
  <conditionalFormatting sqref="AR118">
    <cfRule type="cellIs" dxfId="4398" priority="5901" operator="equal">
      <formula>0</formula>
    </cfRule>
  </conditionalFormatting>
  <conditionalFormatting sqref="AR115:AR117">
    <cfRule type="cellIs" dxfId="4397" priority="5890" operator="equal">
      <formula>0</formula>
    </cfRule>
  </conditionalFormatting>
  <conditionalFormatting sqref="AF118:AQ118">
    <cfRule type="cellIs" dxfId="4396" priority="5899" operator="equal">
      <formula>0</formula>
    </cfRule>
  </conditionalFormatting>
  <conditionalFormatting sqref="AA115:AA117">
    <cfRule type="cellIs" dxfId="4395" priority="5898" operator="equal">
      <formula>0</formula>
    </cfRule>
  </conditionalFormatting>
  <conditionalFormatting sqref="AC115:AD117">
    <cfRule type="cellIs" dxfId="4394" priority="5897" operator="equal">
      <formula>0</formula>
    </cfRule>
  </conditionalFormatting>
  <conditionalFormatting sqref="Z115 Z117">
    <cfRule type="cellIs" dxfId="4393" priority="5896" operator="equal">
      <formula>0</formula>
    </cfRule>
  </conditionalFormatting>
  <conditionalFormatting sqref="Z118">
    <cfRule type="cellIs" dxfId="4392" priority="5903" operator="equal">
      <formula>0</formula>
    </cfRule>
  </conditionalFormatting>
  <conditionalFormatting sqref="Z116">
    <cfRule type="cellIs" dxfId="4391" priority="5893" operator="equal">
      <formula>0</formula>
    </cfRule>
  </conditionalFormatting>
  <conditionalFormatting sqref="AF115:AQ117">
    <cfRule type="cellIs" dxfId="4390" priority="5891" operator="equal">
      <formula>0</formula>
    </cfRule>
  </conditionalFormatting>
  <conditionalFormatting sqref="AF115:AR117">
    <cfRule type="cellIs" dxfId="4389" priority="5889" operator="equal">
      <formula>0</formula>
    </cfRule>
  </conditionalFormatting>
  <conditionalFormatting sqref="Z104">
    <cfRule type="cellIs" dxfId="4388" priority="5935" operator="equal">
      <formula>0</formula>
    </cfRule>
  </conditionalFormatting>
  <conditionalFormatting sqref="Z104">
    <cfRule type="cellIs" dxfId="4387" priority="5934" operator="equal">
      <formula>0</formula>
    </cfRule>
  </conditionalFormatting>
  <conditionalFormatting sqref="AR107">
    <cfRule type="cellIs" dxfId="4386" priority="5924" operator="equal">
      <formula>0</formula>
    </cfRule>
  </conditionalFormatting>
  <conditionalFormatting sqref="Z110:AE110 Z112:AE112 AA111:AE111">
    <cfRule type="cellIs" dxfId="4385" priority="5914" operator="equal">
      <formula>0</formula>
    </cfRule>
  </conditionalFormatting>
  <conditionalFormatting sqref="AA110:AA112">
    <cfRule type="cellIs" dxfId="4384" priority="5918" operator="equal">
      <formula>0</formula>
    </cfRule>
  </conditionalFormatting>
  <conditionalFormatting sqref="AR108">
    <cfRule type="cellIs" dxfId="4383" priority="5907" operator="equal">
      <formula>0</formula>
    </cfRule>
  </conditionalFormatting>
  <conditionalFormatting sqref="AF108:AQ108">
    <cfRule type="cellIs" dxfId="4382" priority="5906" operator="equal">
      <formula>0</formula>
    </cfRule>
  </conditionalFormatting>
  <conditionalFormatting sqref="AA118">
    <cfRule type="cellIs" dxfId="4381" priority="5904" operator="equal">
      <formula>0</formula>
    </cfRule>
  </conditionalFormatting>
  <conditionalFormatting sqref="Z118:AE118">
    <cfRule type="cellIs" dxfId="4380" priority="5902" operator="equal">
      <formula>0</formula>
    </cfRule>
  </conditionalFormatting>
  <conditionalFormatting sqref="AR108">
    <cfRule type="cellIs" dxfId="4379" priority="5908" operator="equal">
      <formula>0</formula>
    </cfRule>
  </conditionalFormatting>
  <conditionalFormatting sqref="Z115:AE115 Z117:AE117 AA116:AE116">
    <cfRule type="cellIs" dxfId="4378" priority="5894" operator="equal">
      <formula>0</formula>
    </cfRule>
  </conditionalFormatting>
  <conditionalFormatting sqref="Y111">
    <cfRule type="cellIs" dxfId="4377" priority="5883" operator="equal">
      <formula>0</formula>
    </cfRule>
  </conditionalFormatting>
  <conditionalFormatting sqref="Y86 Y88:Y90">
    <cfRule type="cellIs" dxfId="4376" priority="5963" operator="equal">
      <formula>0</formula>
    </cfRule>
  </conditionalFormatting>
  <conditionalFormatting sqref="Y87">
    <cfRule type="cellIs" dxfId="4375" priority="5962" operator="equal">
      <formula>0</formula>
    </cfRule>
  </conditionalFormatting>
  <conditionalFormatting sqref="Y85">
    <cfRule type="cellIs" dxfId="4374" priority="5961" operator="equal">
      <formula>0</formula>
    </cfRule>
  </conditionalFormatting>
  <conditionalFormatting sqref="Y84">
    <cfRule type="cellIs" dxfId="4373" priority="5960" operator="equal">
      <formula>0</formula>
    </cfRule>
  </conditionalFormatting>
  <conditionalFormatting sqref="Y93 Y95:Y97">
    <cfRule type="cellIs" dxfId="4372" priority="5959" operator="equal">
      <formula>0</formula>
    </cfRule>
  </conditionalFormatting>
  <conditionalFormatting sqref="Y94">
    <cfRule type="cellIs" dxfId="4371" priority="5958" operator="equal">
      <formula>0</formula>
    </cfRule>
  </conditionalFormatting>
  <conditionalFormatting sqref="AF91:AQ91">
    <cfRule type="cellIs" dxfId="4370" priority="5957" operator="equal">
      <formula>0</formula>
    </cfRule>
  </conditionalFormatting>
  <conditionalFormatting sqref="AF93:AQ97">
    <cfRule type="cellIs" dxfId="4369" priority="5956" operator="equal">
      <formula>0</formula>
    </cfRule>
  </conditionalFormatting>
  <conditionalFormatting sqref="AR93:AR97">
    <cfRule type="cellIs" dxfId="4368" priority="5955" operator="equal">
      <formula>0</formula>
    </cfRule>
  </conditionalFormatting>
  <conditionalFormatting sqref="AF93:AR97">
    <cfRule type="cellIs" dxfId="4367" priority="5954" operator="equal">
      <formula>0</formula>
    </cfRule>
  </conditionalFormatting>
  <conditionalFormatting sqref="AR98">
    <cfRule type="cellIs" dxfId="4366" priority="5953" operator="equal">
      <formula>0</formula>
    </cfRule>
  </conditionalFormatting>
  <conditionalFormatting sqref="AR98">
    <cfRule type="cellIs" dxfId="4365" priority="5952" operator="equal">
      <formula>0</formula>
    </cfRule>
  </conditionalFormatting>
  <conditionalFormatting sqref="AF98:AQ98">
    <cfRule type="cellIs" dxfId="4364" priority="5951" operator="equal">
      <formula>0</formula>
    </cfRule>
  </conditionalFormatting>
  <conditionalFormatting sqref="AC100:AD103">
    <cfRule type="cellIs" dxfId="4363" priority="5949" operator="equal">
      <formula>0</formula>
    </cfRule>
  </conditionalFormatting>
  <conditionalFormatting sqref="Z100 Z102:Z103">
    <cfRule type="cellIs" dxfId="4362" priority="5948" operator="equal">
      <formula>0</formula>
    </cfRule>
  </conditionalFormatting>
  <conditionalFormatting sqref="AE100:AE103">
    <cfRule type="cellIs" dxfId="4361" priority="5947" operator="equal">
      <formula>0</formula>
    </cfRule>
  </conditionalFormatting>
  <conditionalFormatting sqref="AA100:AA103">
    <cfRule type="cellIs" dxfId="4360" priority="5950" operator="equal">
      <formula>0</formula>
    </cfRule>
  </conditionalFormatting>
  <conditionalFormatting sqref="Z100:AE100 Z102:AE103 AA101:AE101">
    <cfRule type="cellIs" dxfId="4359" priority="5946" operator="equal">
      <formula>0</formula>
    </cfRule>
  </conditionalFormatting>
  <conditionalFormatting sqref="Z101">
    <cfRule type="cellIs" dxfId="4358" priority="5944" operator="equal">
      <formula>0</formula>
    </cfRule>
  </conditionalFormatting>
  <conditionalFormatting sqref="Z101">
    <cfRule type="cellIs" dxfId="4357" priority="5945" operator="equal">
      <formula>0</formula>
    </cfRule>
  </conditionalFormatting>
  <conditionalFormatting sqref="AF100:AQ103">
    <cfRule type="cellIs" dxfId="4356" priority="5943" operator="equal">
      <formula>0</formula>
    </cfRule>
  </conditionalFormatting>
  <conditionalFormatting sqref="AR100:AR103">
    <cfRule type="cellIs" dxfId="4355" priority="5942" operator="equal">
      <formula>0</formula>
    </cfRule>
  </conditionalFormatting>
  <conditionalFormatting sqref="AF100:AR103">
    <cfRule type="cellIs" dxfId="4354" priority="5941" operator="equal">
      <formula>0</formula>
    </cfRule>
  </conditionalFormatting>
  <conditionalFormatting sqref="AC104:AD106">
    <cfRule type="cellIs" dxfId="4353" priority="5939" operator="equal">
      <formula>0</formula>
    </cfRule>
  </conditionalFormatting>
  <conditionalFormatting sqref="AA104:AA106">
    <cfRule type="cellIs" dxfId="4352" priority="5940" operator="equal">
      <formula>0</formula>
    </cfRule>
  </conditionalFormatting>
  <conditionalFormatting sqref="Z105:AE106 AA104:AE104">
    <cfRule type="cellIs" dxfId="4351" priority="5936" operator="equal">
      <formula>0</formula>
    </cfRule>
  </conditionalFormatting>
  <conditionalFormatting sqref="Z108:AD108">
    <cfRule type="cellIs" dxfId="4350" priority="5922" operator="lessThan">
      <formula>0</formula>
    </cfRule>
  </conditionalFormatting>
  <conditionalFormatting sqref="Z118:AD118">
    <cfRule type="cellIs" dxfId="4349" priority="5905" operator="lessThan">
      <formula>0</formula>
    </cfRule>
  </conditionalFormatting>
  <conditionalFormatting sqref="Z116">
    <cfRule type="cellIs" dxfId="4348" priority="5892" operator="equal">
      <formula>0</formula>
    </cfRule>
  </conditionalFormatting>
  <conditionalFormatting sqref="AR118">
    <cfRule type="cellIs" dxfId="4347" priority="5900" operator="equal">
      <formula>0</formula>
    </cfRule>
  </conditionalFormatting>
  <conditionalFormatting sqref="Y110 Y112">
    <cfRule type="cellIs" dxfId="4346" priority="5884" operator="equal">
      <formula>0</formula>
    </cfRule>
  </conditionalFormatting>
  <conditionalFormatting sqref="Y100 Y102:Y103">
    <cfRule type="cellIs" dxfId="4345" priority="5888" operator="equal">
      <formula>0</formula>
    </cfRule>
  </conditionalFormatting>
  <conditionalFormatting sqref="Y101">
    <cfRule type="cellIs" dxfId="4344" priority="5887" operator="equal">
      <formula>0</formula>
    </cfRule>
  </conditionalFormatting>
  <conditionalFormatting sqref="Y104 Y106:Y107">
    <cfRule type="cellIs" dxfId="4343" priority="5886" operator="equal">
      <formula>0</formula>
    </cfRule>
  </conditionalFormatting>
  <conditionalFormatting sqref="Y105">
    <cfRule type="cellIs" dxfId="4342" priority="5885" operator="equal">
      <formula>0</formula>
    </cfRule>
  </conditionalFormatting>
  <conditionalFormatting sqref="Y115 Y117">
    <cfRule type="cellIs" dxfId="4341" priority="5882" operator="equal">
      <formula>0</formula>
    </cfRule>
  </conditionalFormatting>
  <conditionalFormatting sqref="Y116">
    <cfRule type="cellIs" dxfId="4340" priority="5881" operator="equal">
      <formula>0</formula>
    </cfRule>
  </conditionalFormatting>
  <conditionalFormatting sqref="Z41:AE41 AB40">
    <cfRule type="cellIs" dxfId="4339" priority="5880" operator="equal">
      <formula>0</formula>
    </cfRule>
  </conditionalFormatting>
  <conditionalFormatting sqref="AE43:AE44">
    <cfRule type="cellIs" dxfId="4338" priority="5878" operator="equal">
      <formula>0</formula>
    </cfRule>
  </conditionalFormatting>
  <conditionalFormatting sqref="AC52:AD56">
    <cfRule type="cellIs" dxfId="4337" priority="5874" operator="equal">
      <formula>0</formula>
    </cfRule>
  </conditionalFormatting>
  <conditionalFormatting sqref="Z46:Z52 Z54:Z56">
    <cfRule type="cellIs" dxfId="4336" priority="5873" operator="equal">
      <formula>0</formula>
    </cfRule>
  </conditionalFormatting>
  <conditionalFormatting sqref="AE52:AE56">
    <cfRule type="cellIs" dxfId="4335" priority="5871" operator="equal">
      <formula>0</formula>
    </cfRule>
  </conditionalFormatting>
  <conditionalFormatting sqref="AE42">
    <cfRule type="cellIs" dxfId="4334" priority="5863" operator="equal">
      <formula>0</formula>
    </cfRule>
  </conditionalFormatting>
  <conditionalFormatting sqref="AA58">
    <cfRule type="cellIs" dxfId="4333" priority="5862" operator="equal">
      <formula>0</formula>
    </cfRule>
  </conditionalFormatting>
  <conditionalFormatting sqref="Z58">
    <cfRule type="cellIs" dxfId="4332" priority="5861" operator="equal">
      <formula>0</formula>
    </cfRule>
  </conditionalFormatting>
  <conditionalFormatting sqref="Y58:AQ58">
    <cfRule type="cellIs" dxfId="4331" priority="5860" operator="equal">
      <formula>0</formula>
    </cfRule>
  </conditionalFormatting>
  <conditionalFormatting sqref="AE58 AR58">
    <cfRule type="cellIs" dxfId="4330" priority="5859" operator="equal">
      <formula>0</formula>
    </cfRule>
  </conditionalFormatting>
  <conditionalFormatting sqref="AE58 AR58">
    <cfRule type="cellIs" dxfId="4329" priority="5858" operator="equal">
      <formula>0</formula>
    </cfRule>
  </conditionalFormatting>
  <conditionalFormatting sqref="AA68">
    <cfRule type="cellIs" dxfId="4328" priority="5857" operator="equal">
      <formula>0</formula>
    </cfRule>
  </conditionalFormatting>
  <conditionalFormatting sqref="Z68">
    <cfRule type="cellIs" dxfId="4327" priority="5856" operator="equal">
      <formula>0</formula>
    </cfRule>
  </conditionalFormatting>
  <conditionalFormatting sqref="Y68:AD68">
    <cfRule type="cellIs" dxfId="4326" priority="5855" operator="equal">
      <formula>0</formula>
    </cfRule>
  </conditionalFormatting>
  <conditionalFormatting sqref="AE68:AR68">
    <cfRule type="cellIs" dxfId="4325" priority="5854" operator="equal">
      <formula>0</formula>
    </cfRule>
  </conditionalFormatting>
  <conditionalFormatting sqref="AE68:AR68">
    <cfRule type="cellIs" dxfId="4324" priority="5853" operator="equal">
      <formula>0</formula>
    </cfRule>
  </conditionalFormatting>
  <conditionalFormatting sqref="AA73">
    <cfRule type="cellIs" dxfId="4323" priority="5852" operator="equal">
      <formula>0</formula>
    </cfRule>
  </conditionalFormatting>
  <conditionalFormatting sqref="Z73">
    <cfRule type="cellIs" dxfId="4322" priority="5851" operator="equal">
      <formula>0</formula>
    </cfRule>
  </conditionalFormatting>
  <conditionalFormatting sqref="Y73:AD73">
    <cfRule type="cellIs" dxfId="4321" priority="5850" operator="equal">
      <formula>0</formula>
    </cfRule>
  </conditionalFormatting>
  <conditionalFormatting sqref="AE73:AR73">
    <cfRule type="cellIs" dxfId="4320" priority="5849" operator="equal">
      <formula>0</formula>
    </cfRule>
  </conditionalFormatting>
  <conditionalFormatting sqref="AE73:AR73">
    <cfRule type="cellIs" dxfId="4319" priority="5848" operator="equal">
      <formula>0</formula>
    </cfRule>
  </conditionalFormatting>
  <conditionalFormatting sqref="AF42:AQ42">
    <cfRule type="cellIs" dxfId="4318" priority="5879" operator="equal">
      <formula>0</formula>
    </cfRule>
  </conditionalFormatting>
  <conditionalFormatting sqref="AR78">
    <cfRule type="cellIs" dxfId="4317" priority="5877" operator="equal">
      <formula>0</formula>
    </cfRule>
  </conditionalFormatting>
  <conditionalFormatting sqref="AD45:AD50 Y50:AC50">
    <cfRule type="cellIs" dxfId="4316" priority="5876" operator="lessThan">
      <formula>0</formula>
    </cfRule>
  </conditionalFormatting>
  <conditionalFormatting sqref="Z45:AA45 AA46:AA56">
    <cfRule type="cellIs" dxfId="4315" priority="5875" operator="equal">
      <formula>0</formula>
    </cfRule>
  </conditionalFormatting>
  <conditionalFormatting sqref="AE45:AE49">
    <cfRule type="cellIs" dxfId="4314" priority="5872" operator="equal">
      <formula>0</formula>
    </cfRule>
  </conditionalFormatting>
  <conditionalFormatting sqref="AF45:AQ49">
    <cfRule type="cellIs" dxfId="4313" priority="5870" operator="equal">
      <formula>0</formula>
    </cfRule>
  </conditionalFormatting>
  <conditionalFormatting sqref="AR45:AR49">
    <cfRule type="cellIs" dxfId="4312" priority="5869" operator="equal">
      <formula>0</formula>
    </cfRule>
  </conditionalFormatting>
  <conditionalFormatting sqref="Y51:AD51 Z52:AE52 Z40:AA40 Y78:AR78 AC42:AD42 Y42 AF41:AQ42 Z54:AE56 Y50:AE50 Z45:AR49 AA53:AE53 Z43:AQ44 AC40:AR40">
    <cfRule type="cellIs" dxfId="4311" priority="5868" operator="equal">
      <formula>0</formula>
    </cfRule>
  </conditionalFormatting>
  <conditionalFormatting sqref="AE51:AR51">
    <cfRule type="cellIs" dxfId="4310" priority="5867" operator="equal">
      <formula>0</formula>
    </cfRule>
  </conditionalFormatting>
  <conditionalFormatting sqref="AE51:AR51">
    <cfRule type="cellIs" dxfId="4309" priority="5866" operator="equal">
      <formula>0</formula>
    </cfRule>
  </conditionalFormatting>
  <conditionalFormatting sqref="AR78">
    <cfRule type="cellIs" dxfId="4308" priority="5865" operator="equal">
      <formula>0</formula>
    </cfRule>
  </conditionalFormatting>
  <conditionalFormatting sqref="Z42:AB42">
    <cfRule type="cellIs" dxfId="4307" priority="5864" operator="equal">
      <formula>0</formula>
    </cfRule>
  </conditionalFormatting>
  <conditionalFormatting sqref="Y41">
    <cfRule type="cellIs" dxfId="4306" priority="5847" operator="equal">
      <formula>0</formula>
    </cfRule>
  </conditionalFormatting>
  <conditionalFormatting sqref="Z57">
    <cfRule type="cellIs" dxfId="4305" priority="5844" operator="equal">
      <formula>0</formula>
    </cfRule>
  </conditionalFormatting>
  <conditionalFormatting sqref="Y57:AD57">
    <cfRule type="cellIs" dxfId="4304" priority="5846" operator="lessThan">
      <formula>0</formula>
    </cfRule>
  </conditionalFormatting>
  <conditionalFormatting sqref="AA57">
    <cfRule type="cellIs" dxfId="4303" priority="5845" operator="equal">
      <formula>0</formula>
    </cfRule>
  </conditionalFormatting>
  <conditionalFormatting sqref="Y57:AE57">
    <cfRule type="cellIs" dxfId="4302" priority="5843" operator="equal">
      <formula>0</formula>
    </cfRule>
  </conditionalFormatting>
  <conditionalFormatting sqref="Y67">
    <cfRule type="cellIs" dxfId="4301" priority="5842" operator="lessThan">
      <formula>0</formula>
    </cfRule>
  </conditionalFormatting>
  <conditionalFormatting sqref="Y67">
    <cfRule type="cellIs" dxfId="4300" priority="5841" operator="equal">
      <formula>0</formula>
    </cfRule>
  </conditionalFormatting>
  <conditionalFormatting sqref="Z72">
    <cfRule type="cellIs" dxfId="4299" priority="5838" operator="equal">
      <formula>0</formula>
    </cfRule>
  </conditionalFormatting>
  <conditionalFormatting sqref="Y72:AD72">
    <cfRule type="cellIs" dxfId="4298" priority="5840" operator="lessThan">
      <formula>0</formula>
    </cfRule>
  </conditionalFormatting>
  <conditionalFormatting sqref="AA72">
    <cfRule type="cellIs" dxfId="4297" priority="5839" operator="equal">
      <formula>0</formula>
    </cfRule>
  </conditionalFormatting>
  <conditionalFormatting sqref="Y72:AE72">
    <cfRule type="cellIs" dxfId="4296" priority="5837" operator="equal">
      <formula>0</formula>
    </cfRule>
  </conditionalFormatting>
  <conditionalFormatting sqref="Y77">
    <cfRule type="cellIs" dxfId="4295" priority="5836" operator="lessThan">
      <formula>0</formula>
    </cfRule>
  </conditionalFormatting>
  <conditionalFormatting sqref="Y77">
    <cfRule type="cellIs" dxfId="4294" priority="5835" operator="equal">
      <formula>0</formula>
    </cfRule>
  </conditionalFormatting>
  <conditionalFormatting sqref="Z53">
    <cfRule type="cellIs" dxfId="4293" priority="5833" operator="equal">
      <formula>0</formula>
    </cfRule>
  </conditionalFormatting>
  <conditionalFormatting sqref="AF58:AQ58">
    <cfRule type="cellIs" dxfId="4292" priority="5831" operator="equal">
      <formula>0</formula>
    </cfRule>
  </conditionalFormatting>
  <conditionalFormatting sqref="Z53">
    <cfRule type="cellIs" dxfId="4291" priority="5834" operator="equal">
      <formula>0</formula>
    </cfRule>
  </conditionalFormatting>
  <conditionalFormatting sqref="AF58:AQ58">
    <cfRule type="cellIs" dxfId="4290" priority="5832" operator="equal">
      <formula>0</formula>
    </cfRule>
  </conditionalFormatting>
  <conditionalFormatting sqref="AR72">
    <cfRule type="cellIs" dxfId="4289" priority="5830" operator="equal">
      <formula>0</formula>
    </cfRule>
  </conditionalFormatting>
  <conditionalFormatting sqref="AR72">
    <cfRule type="cellIs" dxfId="4288" priority="5829" operator="equal">
      <formula>0</formula>
    </cfRule>
  </conditionalFormatting>
  <conditionalFormatting sqref="AR50">
    <cfRule type="cellIs" dxfId="4287" priority="5828" operator="equal">
      <formula>0</formula>
    </cfRule>
  </conditionalFormatting>
  <conditionalFormatting sqref="AR50">
    <cfRule type="cellIs" dxfId="4286" priority="5827" operator="equal">
      <formula>0</formula>
    </cfRule>
  </conditionalFormatting>
  <conditionalFormatting sqref="AR43:AR44">
    <cfRule type="cellIs" dxfId="4285" priority="5826" operator="equal">
      <formula>0</formula>
    </cfRule>
  </conditionalFormatting>
  <conditionalFormatting sqref="AR40">
    <cfRule type="cellIs" dxfId="4284" priority="5825" operator="equal">
      <formula>0</formula>
    </cfRule>
  </conditionalFormatting>
  <conditionalFormatting sqref="AR42">
    <cfRule type="cellIs" dxfId="4283" priority="5824" operator="equal">
      <formula>0</formula>
    </cfRule>
  </conditionalFormatting>
  <conditionalFormatting sqref="AR40:AR42">
    <cfRule type="cellIs" dxfId="4282" priority="5823" operator="equal">
      <formula>0</formula>
    </cfRule>
  </conditionalFormatting>
  <conditionalFormatting sqref="AF72:AQ72">
    <cfRule type="cellIs" dxfId="4281" priority="5822" operator="equal">
      <formula>0</formula>
    </cfRule>
  </conditionalFormatting>
  <conditionalFormatting sqref="AE63:AE65">
    <cfRule type="cellIs" dxfId="4280" priority="5795" operator="equal">
      <formula>0</formula>
    </cfRule>
  </conditionalFormatting>
  <conditionalFormatting sqref="Z64:Z65">
    <cfRule type="cellIs" dxfId="4279" priority="5796" operator="equal">
      <formula>0</formula>
    </cfRule>
  </conditionalFormatting>
  <conditionalFormatting sqref="AE66">
    <cfRule type="cellIs" dxfId="4278" priority="5785" operator="equal">
      <formula>0</formula>
    </cfRule>
  </conditionalFormatting>
  <conditionalFormatting sqref="Z66:AE66">
    <cfRule type="cellIs" dxfId="4277" priority="5784" operator="equal">
      <formula>0</formula>
    </cfRule>
  </conditionalFormatting>
  <conditionalFormatting sqref="AF66:AQ66">
    <cfRule type="cellIs" dxfId="4276" priority="5783" operator="equal">
      <formula>0</formula>
    </cfRule>
  </conditionalFormatting>
  <conditionalFormatting sqref="AF63:AQ65">
    <cfRule type="cellIs" dxfId="4275" priority="5791" operator="equal">
      <formula>0</formula>
    </cfRule>
  </conditionalFormatting>
  <conditionalFormatting sqref="AR63:AR65">
    <cfRule type="cellIs" dxfId="4274" priority="5790" operator="equal">
      <formula>0</formula>
    </cfRule>
  </conditionalFormatting>
  <conditionalFormatting sqref="AF63:AR65">
    <cfRule type="cellIs" dxfId="4273" priority="5789" operator="equal">
      <formula>0</formula>
    </cfRule>
  </conditionalFormatting>
  <conditionalFormatting sqref="AA66">
    <cfRule type="cellIs" dxfId="4272" priority="5788" operator="equal">
      <formula>0</formula>
    </cfRule>
  </conditionalFormatting>
  <conditionalFormatting sqref="AC66:AD66">
    <cfRule type="cellIs" dxfId="4271" priority="5787" operator="equal">
      <formula>0</formula>
    </cfRule>
  </conditionalFormatting>
  <conditionalFormatting sqref="AR69:AR71">
    <cfRule type="cellIs" dxfId="4270" priority="5768" operator="equal">
      <formula>0</formula>
    </cfRule>
  </conditionalFormatting>
  <conditionalFormatting sqref="Z66">
    <cfRule type="cellIs" dxfId="4269" priority="5786" operator="equal">
      <formula>0</formula>
    </cfRule>
  </conditionalFormatting>
  <conditionalFormatting sqref="AF69:AR71">
    <cfRule type="cellIs" dxfId="4268" priority="5767" operator="equal">
      <formula>0</formula>
    </cfRule>
  </conditionalFormatting>
  <conditionalFormatting sqref="AF66:AR66">
    <cfRule type="cellIs" dxfId="4267" priority="5781" operator="equal">
      <formula>0</formula>
    </cfRule>
  </conditionalFormatting>
  <conditionalFormatting sqref="AA67">
    <cfRule type="cellIs" dxfId="4266" priority="5779" operator="equal">
      <formula>0</formula>
    </cfRule>
  </conditionalFormatting>
  <conditionalFormatting sqref="Z69 Z71">
    <cfRule type="cellIs" dxfId="4265" priority="5774" operator="equal">
      <formula>0</formula>
    </cfRule>
  </conditionalFormatting>
  <conditionalFormatting sqref="Z67">
    <cfRule type="cellIs" dxfId="4264" priority="5778" operator="equal">
      <formula>0</formula>
    </cfRule>
  </conditionalFormatting>
  <conditionalFormatting sqref="Z67:AE67">
    <cfRule type="cellIs" dxfId="4263" priority="5777" operator="equal">
      <formula>0</formula>
    </cfRule>
  </conditionalFormatting>
  <conditionalFormatting sqref="AF69:AQ71">
    <cfRule type="cellIs" dxfId="4262" priority="5769" operator="equal">
      <formula>0</formula>
    </cfRule>
  </conditionalFormatting>
  <conditionalFormatting sqref="AC69:AD71">
    <cfRule type="cellIs" dxfId="4261" priority="5775" operator="equal">
      <formula>0</formula>
    </cfRule>
  </conditionalFormatting>
  <conditionalFormatting sqref="AE74:AE76">
    <cfRule type="cellIs" dxfId="4260" priority="5753" operator="equal">
      <formula>0</formula>
    </cfRule>
  </conditionalFormatting>
  <conditionalFormatting sqref="Z70">
    <cfRule type="cellIs" dxfId="4259" priority="5771" operator="equal">
      <formula>0</formula>
    </cfRule>
  </conditionalFormatting>
  <conditionalFormatting sqref="AE69:AE71">
    <cfRule type="cellIs" dxfId="4258" priority="5773" operator="equal">
      <formula>0</formula>
    </cfRule>
  </conditionalFormatting>
  <conditionalFormatting sqref="Z70">
    <cfRule type="cellIs" dxfId="4257" priority="5770" operator="equal">
      <formula>0</formula>
    </cfRule>
  </conditionalFormatting>
  <conditionalFormatting sqref="AR77">
    <cfRule type="cellIs" dxfId="4256" priority="5759" operator="equal">
      <formula>0</formula>
    </cfRule>
  </conditionalFormatting>
  <conditionalFormatting sqref="AR74:AR76">
    <cfRule type="cellIs" dxfId="4255" priority="5748" operator="equal">
      <formula>0</formula>
    </cfRule>
  </conditionalFormatting>
  <conditionalFormatting sqref="AF77:AQ77">
    <cfRule type="cellIs" dxfId="4254" priority="5757" operator="equal">
      <formula>0</formula>
    </cfRule>
  </conditionalFormatting>
  <conditionalFormatting sqref="AA74:AA76">
    <cfRule type="cellIs" dxfId="4253" priority="5756" operator="equal">
      <formula>0</formula>
    </cfRule>
  </conditionalFormatting>
  <conditionalFormatting sqref="AC74:AD76">
    <cfRule type="cellIs" dxfId="4252" priority="5755" operator="equal">
      <formula>0</formula>
    </cfRule>
  </conditionalFormatting>
  <conditionalFormatting sqref="Z74 Z76">
    <cfRule type="cellIs" dxfId="4251" priority="5754" operator="equal">
      <formula>0</formula>
    </cfRule>
  </conditionalFormatting>
  <conditionalFormatting sqref="Z77">
    <cfRule type="cellIs" dxfId="4250" priority="5761" operator="equal">
      <formula>0</formula>
    </cfRule>
  </conditionalFormatting>
  <conditionalFormatting sqref="Z75">
    <cfRule type="cellIs" dxfId="4249" priority="5751" operator="equal">
      <formula>0</formula>
    </cfRule>
  </conditionalFormatting>
  <conditionalFormatting sqref="AF74:AQ76">
    <cfRule type="cellIs" dxfId="4248" priority="5749" operator="equal">
      <formula>0</formula>
    </cfRule>
  </conditionalFormatting>
  <conditionalFormatting sqref="AF74:AR76">
    <cfRule type="cellIs" dxfId="4247" priority="5747" operator="equal">
      <formula>0</formula>
    </cfRule>
  </conditionalFormatting>
  <conditionalFormatting sqref="Z63">
    <cfRule type="cellIs" dxfId="4246" priority="5793" operator="equal">
      <formula>0</formula>
    </cfRule>
  </conditionalFormatting>
  <conditionalFormatting sqref="Z63">
    <cfRule type="cellIs" dxfId="4245" priority="5792" operator="equal">
      <formula>0</formula>
    </cfRule>
  </conditionalFormatting>
  <conditionalFormatting sqref="AR66">
    <cfRule type="cellIs" dxfId="4244" priority="5782" operator="equal">
      <formula>0</formula>
    </cfRule>
  </conditionalFormatting>
  <conditionalFormatting sqref="Z69:AE69 Z71:AE71 AA70:AE70">
    <cfRule type="cellIs" dxfId="4243" priority="5772" operator="equal">
      <formula>0</formula>
    </cfRule>
  </conditionalFormatting>
  <conditionalFormatting sqref="AA69:AA71">
    <cfRule type="cellIs" dxfId="4242" priority="5776" operator="equal">
      <formula>0</formula>
    </cfRule>
  </conditionalFormatting>
  <conditionalFormatting sqref="AR67">
    <cfRule type="cellIs" dxfId="4241" priority="5765" operator="equal">
      <formula>0</formula>
    </cfRule>
  </conditionalFormatting>
  <conditionalFormatting sqref="AF67:AQ67">
    <cfRule type="cellIs" dxfId="4240" priority="5764" operator="equal">
      <formula>0</formula>
    </cfRule>
  </conditionalFormatting>
  <conditionalFormatting sqref="AA77">
    <cfRule type="cellIs" dxfId="4239" priority="5762" operator="equal">
      <formula>0</formula>
    </cfRule>
  </conditionalFormatting>
  <conditionalFormatting sqref="Z77:AE77">
    <cfRule type="cellIs" dxfId="4238" priority="5760" operator="equal">
      <formula>0</formula>
    </cfRule>
  </conditionalFormatting>
  <conditionalFormatting sqref="AR67">
    <cfRule type="cellIs" dxfId="4237" priority="5766" operator="equal">
      <formula>0</formula>
    </cfRule>
  </conditionalFormatting>
  <conditionalFormatting sqref="Z74:AE74 Z76:AE76 AA75:AE75">
    <cfRule type="cellIs" dxfId="4236" priority="5752" operator="equal">
      <formula>0</formula>
    </cfRule>
  </conditionalFormatting>
  <conditionalFormatting sqref="Y70">
    <cfRule type="cellIs" dxfId="4235" priority="5741" operator="equal">
      <formula>0</formula>
    </cfRule>
  </conditionalFormatting>
  <conditionalFormatting sqref="Y45 Y47:Y49">
    <cfRule type="cellIs" dxfId="4234" priority="5821" operator="equal">
      <formula>0</formula>
    </cfRule>
  </conditionalFormatting>
  <conditionalFormatting sqref="Y46">
    <cfRule type="cellIs" dxfId="4233" priority="5820" operator="equal">
      <formula>0</formula>
    </cfRule>
  </conditionalFormatting>
  <conditionalFormatting sqref="Y44">
    <cfRule type="cellIs" dxfId="4232" priority="5819" operator="equal">
      <formula>0</formula>
    </cfRule>
  </conditionalFormatting>
  <conditionalFormatting sqref="Y43">
    <cfRule type="cellIs" dxfId="4231" priority="5818" operator="equal">
      <formula>0</formula>
    </cfRule>
  </conditionalFormatting>
  <conditionalFormatting sqref="Y52 Y54:Y56">
    <cfRule type="cellIs" dxfId="4230" priority="5817" operator="equal">
      <formula>0</formula>
    </cfRule>
  </conditionalFormatting>
  <conditionalFormatting sqref="Y53">
    <cfRule type="cellIs" dxfId="4229" priority="5816" operator="equal">
      <formula>0</formula>
    </cfRule>
  </conditionalFormatting>
  <conditionalFormatting sqref="AF50:AQ50">
    <cfRule type="cellIs" dxfId="4228" priority="5815" operator="equal">
      <formula>0</formula>
    </cfRule>
  </conditionalFormatting>
  <conditionalFormatting sqref="AF52:AQ56">
    <cfRule type="cellIs" dxfId="4227" priority="5814" operator="equal">
      <formula>0</formula>
    </cfRule>
  </conditionalFormatting>
  <conditionalFormatting sqref="AR52:AR56">
    <cfRule type="cellIs" dxfId="4226" priority="5813" operator="equal">
      <formula>0</formula>
    </cfRule>
  </conditionalFormatting>
  <conditionalFormatting sqref="AF52:AR56">
    <cfRule type="cellIs" dxfId="4225" priority="5812" operator="equal">
      <formula>0</formula>
    </cfRule>
  </conditionalFormatting>
  <conditionalFormatting sqref="AR57">
    <cfRule type="cellIs" dxfId="4224" priority="5811" operator="equal">
      <formula>0</formula>
    </cfRule>
  </conditionalFormatting>
  <conditionalFormatting sqref="AR57">
    <cfRule type="cellIs" dxfId="4223" priority="5810" operator="equal">
      <formula>0</formula>
    </cfRule>
  </conditionalFormatting>
  <conditionalFormatting sqref="AF57:AQ57">
    <cfRule type="cellIs" dxfId="4222" priority="5809" operator="equal">
      <formula>0</formula>
    </cfRule>
  </conditionalFormatting>
  <conditionalFormatting sqref="AC59:AD62">
    <cfRule type="cellIs" dxfId="4221" priority="5807" operator="equal">
      <formula>0</formula>
    </cfRule>
  </conditionalFormatting>
  <conditionalFormatting sqref="Z59 Z61:Z62">
    <cfRule type="cellIs" dxfId="4220" priority="5806" operator="equal">
      <formula>0</formula>
    </cfRule>
  </conditionalFormatting>
  <conditionalFormatting sqref="AE59:AE62">
    <cfRule type="cellIs" dxfId="4219" priority="5805" operator="equal">
      <formula>0</formula>
    </cfRule>
  </conditionalFormatting>
  <conditionalFormatting sqref="AA59:AA62">
    <cfRule type="cellIs" dxfId="4218" priority="5808" operator="equal">
      <formula>0</formula>
    </cfRule>
  </conditionalFormatting>
  <conditionalFormatting sqref="Z59:AE59 Z61:AE62 AA60:AE60">
    <cfRule type="cellIs" dxfId="4217" priority="5804" operator="equal">
      <formula>0</formula>
    </cfRule>
  </conditionalFormatting>
  <conditionalFormatting sqref="Z60">
    <cfRule type="cellIs" dxfId="4216" priority="5802" operator="equal">
      <formula>0</formula>
    </cfRule>
  </conditionalFormatting>
  <conditionalFormatting sqref="Z60">
    <cfRule type="cellIs" dxfId="4215" priority="5803" operator="equal">
      <formula>0</formula>
    </cfRule>
  </conditionalFormatting>
  <conditionalFormatting sqref="AF59:AQ62">
    <cfRule type="cellIs" dxfId="4214" priority="5801" operator="equal">
      <formula>0</formula>
    </cfRule>
  </conditionalFormatting>
  <conditionalFormatting sqref="AR59:AR62">
    <cfRule type="cellIs" dxfId="4213" priority="5800" operator="equal">
      <formula>0</formula>
    </cfRule>
  </conditionalFormatting>
  <conditionalFormatting sqref="AF59:AR62">
    <cfRule type="cellIs" dxfId="4212" priority="5799" operator="equal">
      <formula>0</formula>
    </cfRule>
  </conditionalFormatting>
  <conditionalFormatting sqref="AC63:AD65">
    <cfRule type="cellIs" dxfId="4211" priority="5797" operator="equal">
      <formula>0</formula>
    </cfRule>
  </conditionalFormatting>
  <conditionalFormatting sqref="AA63:AA65">
    <cfRule type="cellIs" dxfId="4210" priority="5798" operator="equal">
      <formula>0</formula>
    </cfRule>
  </conditionalFormatting>
  <conditionalFormatting sqref="Z64:AE65 AA63:AE63">
    <cfRule type="cellIs" dxfId="4209" priority="5794" operator="equal">
      <formula>0</formula>
    </cfRule>
  </conditionalFormatting>
  <conditionalFormatting sqref="Z67:AD67">
    <cfRule type="cellIs" dxfId="4208" priority="5780" operator="lessThan">
      <formula>0</formula>
    </cfRule>
  </conditionalFormatting>
  <conditionalFormatting sqref="Z77:AD77">
    <cfRule type="cellIs" dxfId="4207" priority="5763" operator="lessThan">
      <formula>0</formula>
    </cfRule>
  </conditionalFormatting>
  <conditionalFormatting sqref="Z75">
    <cfRule type="cellIs" dxfId="4206" priority="5750" operator="equal">
      <formula>0</formula>
    </cfRule>
  </conditionalFormatting>
  <conditionalFormatting sqref="AR77">
    <cfRule type="cellIs" dxfId="4205" priority="5758" operator="equal">
      <formula>0</formula>
    </cfRule>
  </conditionalFormatting>
  <conditionalFormatting sqref="Y69 Y71">
    <cfRule type="cellIs" dxfId="4204" priority="5742" operator="equal">
      <formula>0</formula>
    </cfRule>
  </conditionalFormatting>
  <conditionalFormatting sqref="Y59 Y61:Y62">
    <cfRule type="cellIs" dxfId="4203" priority="5746" operator="equal">
      <formula>0</formula>
    </cfRule>
  </conditionalFormatting>
  <conditionalFormatting sqref="Y60">
    <cfRule type="cellIs" dxfId="4202" priority="5745" operator="equal">
      <formula>0</formula>
    </cfRule>
  </conditionalFormatting>
  <conditionalFormatting sqref="Y63 Y65:Y66">
    <cfRule type="cellIs" dxfId="4201" priority="5744" operator="equal">
      <formula>0</formula>
    </cfRule>
  </conditionalFormatting>
  <conditionalFormatting sqref="Y64">
    <cfRule type="cellIs" dxfId="4200" priority="5743" operator="equal">
      <formula>0</formula>
    </cfRule>
  </conditionalFormatting>
  <conditionalFormatting sqref="Y74 Y76">
    <cfRule type="cellIs" dxfId="4199" priority="5740" operator="equal">
      <formula>0</formula>
    </cfRule>
  </conditionalFormatting>
  <conditionalFormatting sqref="Y75">
    <cfRule type="cellIs" dxfId="4198" priority="5739" operator="equal">
      <formula>0</formula>
    </cfRule>
  </conditionalFormatting>
  <conditionalFormatting sqref="I419:T419">
    <cfRule type="cellIs" dxfId="4197" priority="5738" operator="equal">
      <formula>0</formula>
    </cfRule>
  </conditionalFormatting>
  <conditionalFormatting sqref="A883">
    <cfRule type="cellIs" dxfId="4196" priority="5468" operator="equal">
      <formula>0</formula>
    </cfRule>
  </conditionalFormatting>
  <conditionalFormatting sqref="A882">
    <cfRule type="cellIs" dxfId="4195" priority="5466" operator="equal">
      <formula>0</formula>
    </cfRule>
  </conditionalFormatting>
  <conditionalFormatting sqref="U882:U883">
    <cfRule type="cellIs" dxfId="4194" priority="5476" operator="equal">
      <formula>0</formula>
    </cfRule>
  </conditionalFormatting>
  <conditionalFormatting sqref="U881">
    <cfRule type="cellIs" dxfId="4193" priority="5475" operator="equal">
      <formula>0</formula>
    </cfRule>
  </conditionalFormatting>
  <conditionalFormatting sqref="U880:U881">
    <cfRule type="cellIs" dxfId="4192" priority="5474" operator="equal">
      <formula>0</formula>
    </cfRule>
  </conditionalFormatting>
  <conditionalFormatting sqref="A884">
    <cfRule type="cellIs" dxfId="4191" priority="5472" operator="equal">
      <formula>0</formula>
    </cfRule>
  </conditionalFormatting>
  <conditionalFormatting sqref="D884:D885">
    <cfRule type="cellIs" dxfId="4190" priority="5384" operator="equal">
      <formula>0</formula>
    </cfRule>
  </conditionalFormatting>
  <conditionalFormatting sqref="U884:U885">
    <cfRule type="cellIs" dxfId="4189" priority="5380" operator="equal">
      <formula>0</formula>
    </cfRule>
  </conditionalFormatting>
  <conditionalFormatting sqref="H884:H885">
    <cfRule type="cellIs" dxfId="4188" priority="5382" operator="equal">
      <formula>0</formula>
    </cfRule>
  </conditionalFormatting>
  <conditionalFormatting sqref="D884:H885 J884:U885">
    <cfRule type="cellIs" dxfId="4187" priority="5379" operator="equal">
      <formula>0</formula>
    </cfRule>
  </conditionalFormatting>
  <conditionalFormatting sqref="I884:I885">
    <cfRule type="cellIs" dxfId="4186" priority="5368" operator="equal">
      <formula>0</formula>
    </cfRule>
  </conditionalFormatting>
  <conditionalFormatting sqref="F888:G889">
    <cfRule type="cellIs" dxfId="4185" priority="5365" operator="equal">
      <formula>0</formula>
    </cfRule>
  </conditionalFormatting>
  <conditionalFormatting sqref="C888:C889">
    <cfRule type="cellIs" dxfId="4184" priority="5364" operator="equal">
      <formula>0</formula>
    </cfRule>
  </conditionalFormatting>
  <conditionalFormatting sqref="H888:H889">
    <cfRule type="cellIs" dxfId="4183" priority="5363" operator="equal">
      <formula>0</formula>
    </cfRule>
  </conditionalFormatting>
  <conditionalFormatting sqref="C884:C885">
    <cfRule type="cellIs" dxfId="4182" priority="5374" operator="equal">
      <formula>0</formula>
    </cfRule>
  </conditionalFormatting>
  <conditionalFormatting sqref="C885">
    <cfRule type="cellIs" dxfId="4181" priority="5375" operator="equal">
      <formula>0</formula>
    </cfRule>
  </conditionalFormatting>
  <conditionalFormatting sqref="I884:I885">
    <cfRule type="cellIs" dxfId="4180" priority="5367" operator="equal">
      <formula>0</formula>
    </cfRule>
  </conditionalFormatting>
  <conditionalFormatting sqref="I888:I889 U888:U889">
    <cfRule type="cellIs" dxfId="4179" priority="5351" operator="equal">
      <formula>0</formula>
    </cfRule>
  </conditionalFormatting>
  <conditionalFormatting sqref="B888">
    <cfRule type="cellIs" dxfId="4178" priority="5355" operator="equal">
      <formula>0</formula>
    </cfRule>
  </conditionalFormatting>
  <conditionalFormatting sqref="B889">
    <cfRule type="cellIs" dxfId="4177" priority="5354" operator="equal">
      <formula>0</formula>
    </cfRule>
  </conditionalFormatting>
  <conditionalFormatting sqref="U890">
    <cfRule type="cellIs" dxfId="4176" priority="5349" operator="equal">
      <formula>0</formula>
    </cfRule>
  </conditionalFormatting>
  <conditionalFormatting sqref="C880:G880">
    <cfRule type="cellIs" dxfId="4175" priority="5532" operator="equal">
      <formula>0</formula>
    </cfRule>
  </conditionalFormatting>
  <conditionalFormatting sqref="H882:H883">
    <cfRule type="cellIs" dxfId="4174" priority="5529" operator="equal">
      <formula>0</formula>
    </cfRule>
  </conditionalFormatting>
  <conditionalFormatting sqref="C886:C887">
    <cfRule type="cellIs" dxfId="4173" priority="5524" operator="equal">
      <formula>0</formula>
    </cfRule>
  </conditionalFormatting>
  <conditionalFormatting sqref="D895">
    <cfRule type="cellIs" dxfId="4172" priority="5503" operator="equal">
      <formula>0</formula>
    </cfRule>
  </conditionalFormatting>
  <conditionalFormatting sqref="H881">
    <cfRule type="cellIs" dxfId="4171" priority="5514" operator="equal">
      <formula>0</formula>
    </cfRule>
  </conditionalFormatting>
  <conditionalFormatting sqref="D891">
    <cfRule type="cellIs" dxfId="4170" priority="5508" operator="equal">
      <formula>0</formula>
    </cfRule>
  </conditionalFormatting>
  <conditionalFormatting sqref="C891">
    <cfRule type="cellIs" dxfId="4169" priority="5507" operator="equal">
      <formula>0</formula>
    </cfRule>
  </conditionalFormatting>
  <conditionalFormatting sqref="B891:G891">
    <cfRule type="cellIs" dxfId="4168" priority="5506" operator="equal">
      <formula>0</formula>
    </cfRule>
  </conditionalFormatting>
  <conditionalFormatting sqref="H891:U891">
    <cfRule type="cellIs" dxfId="4167" priority="5505" operator="equal">
      <formula>0</formula>
    </cfRule>
  </conditionalFormatting>
  <conditionalFormatting sqref="H891:U891">
    <cfRule type="cellIs" dxfId="4166" priority="5504" operator="equal">
      <formula>0</formula>
    </cfRule>
  </conditionalFormatting>
  <conditionalFormatting sqref="C895">
    <cfRule type="cellIs" dxfId="4165" priority="5502" operator="equal">
      <formula>0</formula>
    </cfRule>
  </conditionalFormatting>
  <conditionalFormatting sqref="B895:G895">
    <cfRule type="cellIs" dxfId="4164" priority="5501" operator="equal">
      <formula>0</formula>
    </cfRule>
  </conditionalFormatting>
  <conditionalFormatting sqref="H895:U895">
    <cfRule type="cellIs" dxfId="4163" priority="5500" operator="equal">
      <formula>0</formula>
    </cfRule>
  </conditionalFormatting>
  <conditionalFormatting sqref="H895:U895">
    <cfRule type="cellIs" dxfId="4162" priority="5499" operator="equal">
      <formula>0</formula>
    </cfRule>
  </conditionalFormatting>
  <conditionalFormatting sqref="A881 A886:A888">
    <cfRule type="cellIs" dxfId="4161" priority="5531" operator="equal">
      <formula>0</formula>
    </cfRule>
  </conditionalFormatting>
  <conditionalFormatting sqref="I881:T881">
    <cfRule type="cellIs" dxfId="4160" priority="5530" operator="equal">
      <formula>0</formula>
    </cfRule>
  </conditionalFormatting>
  <conditionalFormatting sqref="B886:G886">
    <cfRule type="cellIs" dxfId="4159" priority="5527" operator="lessThan">
      <formula>0</formula>
    </cfRule>
  </conditionalFormatting>
  <conditionalFormatting sqref="D886:D887">
    <cfRule type="cellIs" dxfId="4158" priority="5526" operator="equal">
      <formula>0</formula>
    </cfRule>
  </conditionalFormatting>
  <conditionalFormatting sqref="B887:G887 B900:H900 F881:G881 B886:H886 C882:T882 I880:T881 C883:H883">
    <cfRule type="cellIs" dxfId="4157" priority="5519" operator="equal">
      <formula>0</formula>
    </cfRule>
  </conditionalFormatting>
  <conditionalFormatting sqref="H887:U887">
    <cfRule type="cellIs" dxfId="4156" priority="5518" operator="equal">
      <formula>0</formula>
    </cfRule>
  </conditionalFormatting>
  <conditionalFormatting sqref="H887:U887">
    <cfRule type="cellIs" dxfId="4155" priority="5517" operator="equal">
      <formula>0</formula>
    </cfRule>
  </conditionalFormatting>
  <conditionalFormatting sqref="C881:E881">
    <cfRule type="cellIs" dxfId="4154" priority="5515" operator="equal">
      <formula>0</formula>
    </cfRule>
  </conditionalFormatting>
  <conditionalFormatting sqref="A889">
    <cfRule type="cellIs" dxfId="4153" priority="5485" operator="equal">
      <formula>0</formula>
    </cfRule>
  </conditionalFormatting>
  <conditionalFormatting sqref="A885">
    <cfRule type="cellIs" dxfId="4152" priority="5470" operator="equal">
      <formula>0</formula>
    </cfRule>
  </conditionalFormatting>
  <conditionalFormatting sqref="B883">
    <cfRule type="cellIs" dxfId="4151" priority="5467" operator="equal">
      <formula>0</formula>
    </cfRule>
  </conditionalFormatting>
  <conditionalFormatting sqref="B882">
    <cfRule type="cellIs" dxfId="4150" priority="5465" operator="equal">
      <formula>0</formula>
    </cfRule>
  </conditionalFormatting>
  <conditionalFormatting sqref="B885">
    <cfRule type="cellIs" dxfId="4149" priority="5377" operator="equal">
      <formula>0</formula>
    </cfRule>
  </conditionalFormatting>
  <conditionalFormatting sqref="G884:G885">
    <cfRule type="cellIs" dxfId="4148" priority="5385" operator="lessThan">
      <formula>0</formula>
    </cfRule>
  </conditionalFormatting>
  <conditionalFormatting sqref="J884:T885">
    <cfRule type="cellIs" dxfId="4147" priority="5381" operator="equal">
      <formula>0</formula>
    </cfRule>
  </conditionalFormatting>
  <conditionalFormatting sqref="B884">
    <cfRule type="cellIs" dxfId="4146" priority="5378" operator="equal">
      <formula>0</formula>
    </cfRule>
  </conditionalFormatting>
  <conditionalFormatting sqref="C884:C885">
    <cfRule type="cellIs" dxfId="4145" priority="5376" operator="equal">
      <formula>0</formula>
    </cfRule>
  </conditionalFormatting>
  <conditionalFormatting sqref="U886">
    <cfRule type="cellIs" dxfId="4144" priority="5373" operator="equal">
      <formula>0</formula>
    </cfRule>
  </conditionalFormatting>
  <conditionalFormatting sqref="U886">
    <cfRule type="cellIs" dxfId="4143" priority="5372" operator="equal">
      <formula>0</formula>
    </cfRule>
  </conditionalFormatting>
  <conditionalFormatting sqref="I886:T886">
    <cfRule type="cellIs" dxfId="4142" priority="5371" operator="equal">
      <formula>0</formula>
    </cfRule>
  </conditionalFormatting>
  <conditionalFormatting sqref="D888:D889">
    <cfRule type="cellIs" dxfId="4141" priority="5366" operator="equal">
      <formula>0</formula>
    </cfRule>
  </conditionalFormatting>
  <conditionalFormatting sqref="C888:H889">
    <cfRule type="cellIs" dxfId="4140" priority="5362" operator="equal">
      <formula>0</formula>
    </cfRule>
  </conditionalFormatting>
  <conditionalFormatting sqref="I888:I889">
    <cfRule type="cellIs" dxfId="4139" priority="5353" operator="equal">
      <formula>0</formula>
    </cfRule>
  </conditionalFormatting>
  <conditionalFormatting sqref="U888:U889">
    <cfRule type="cellIs" dxfId="4138" priority="5352" operator="equal">
      <formula>0</formula>
    </cfRule>
  </conditionalFormatting>
  <conditionalFormatting sqref="U890">
    <cfRule type="cellIs" dxfId="4137" priority="5350" operator="equal">
      <formula>0</formula>
    </cfRule>
  </conditionalFormatting>
  <conditionalFormatting sqref="U892:U893">
    <cfRule type="cellIs" dxfId="4136" priority="5339" operator="equal">
      <formula>0</formula>
    </cfRule>
  </conditionalFormatting>
  <conditionalFormatting sqref="I892:I893 U892:U893">
    <cfRule type="cellIs" dxfId="4135" priority="5338" operator="equal">
      <formula>0</formula>
    </cfRule>
  </conditionalFormatting>
  <conditionalFormatting sqref="C892:C893">
    <cfRule type="cellIs" dxfId="4134" priority="5345" operator="equal">
      <formula>0</formula>
    </cfRule>
  </conditionalFormatting>
  <conditionalFormatting sqref="I892:I893">
    <cfRule type="cellIs" dxfId="4133" priority="5340" operator="equal">
      <formula>0</formula>
    </cfRule>
  </conditionalFormatting>
  <conditionalFormatting sqref="F892:G893">
    <cfRule type="cellIs" dxfId="4132" priority="5346" operator="equal">
      <formula>0</formula>
    </cfRule>
  </conditionalFormatting>
  <conditionalFormatting sqref="C892:G893">
    <cfRule type="cellIs" dxfId="4131" priority="5343" operator="equal">
      <formula>0</formula>
    </cfRule>
  </conditionalFormatting>
  <conditionalFormatting sqref="D892:D893">
    <cfRule type="cellIs" dxfId="4130" priority="5347" operator="equal">
      <formula>0</formula>
    </cfRule>
  </conditionalFormatting>
  <conditionalFormatting sqref="B893">
    <cfRule type="cellIs" dxfId="4129" priority="5336" operator="equal">
      <formula>0</formula>
    </cfRule>
  </conditionalFormatting>
  <conditionalFormatting sqref="B892">
    <cfRule type="cellIs" dxfId="4128" priority="5337" operator="equal">
      <formula>0</formula>
    </cfRule>
  </conditionalFormatting>
  <conditionalFormatting sqref="H896:H898">
    <cfRule type="cellIs" dxfId="4127" priority="5323" operator="equal">
      <formula>0</formula>
    </cfRule>
  </conditionalFormatting>
  <conditionalFormatting sqref="U899">
    <cfRule type="cellIs" dxfId="4126" priority="5329" operator="equal">
      <formula>0</formula>
    </cfRule>
  </conditionalFormatting>
  <conditionalFormatting sqref="U896:U897">
    <cfRule type="cellIs" dxfId="4125" priority="5318" operator="equal">
      <formula>0</formula>
    </cfRule>
  </conditionalFormatting>
  <conditionalFormatting sqref="J899:T899">
    <cfRule type="cellIs" dxfId="4124" priority="5327" operator="equal">
      <formula>0</formula>
    </cfRule>
  </conditionalFormatting>
  <conditionalFormatting sqref="D896:D898">
    <cfRule type="cellIs" dxfId="4123" priority="5326" operator="equal">
      <formula>0</formula>
    </cfRule>
  </conditionalFormatting>
  <conditionalFormatting sqref="F896:G898">
    <cfRule type="cellIs" dxfId="4122" priority="5325" operator="equal">
      <formula>0</formula>
    </cfRule>
  </conditionalFormatting>
  <conditionalFormatting sqref="C896 C898">
    <cfRule type="cellIs" dxfId="4121" priority="5324" operator="equal">
      <formula>0</formula>
    </cfRule>
  </conditionalFormatting>
  <conditionalFormatting sqref="C897">
    <cfRule type="cellIs" dxfId="4120" priority="5321" operator="equal">
      <formula>0</formula>
    </cfRule>
  </conditionalFormatting>
  <conditionalFormatting sqref="I896:I898">
    <cfRule type="cellIs" dxfId="4119" priority="5319" operator="equal">
      <formula>0</formula>
    </cfRule>
  </conditionalFormatting>
  <conditionalFormatting sqref="I896:I898 U896:U897">
    <cfRule type="cellIs" dxfId="4118" priority="5317" operator="equal">
      <formula>0</formula>
    </cfRule>
  </conditionalFormatting>
  <conditionalFormatting sqref="C896:H896 C898:H898 D897:H897">
    <cfRule type="cellIs" dxfId="4117" priority="5322" operator="equal">
      <formula>0</formula>
    </cfRule>
  </conditionalFormatting>
  <conditionalFormatting sqref="C897">
    <cfRule type="cellIs" dxfId="4116" priority="5320" operator="equal">
      <formula>0</formula>
    </cfRule>
  </conditionalFormatting>
  <conditionalFormatting sqref="U899">
    <cfRule type="cellIs" dxfId="4115" priority="5328" operator="equal">
      <formula>0</formula>
    </cfRule>
  </conditionalFormatting>
  <conditionalFormatting sqref="B896 B898">
    <cfRule type="cellIs" dxfId="4114" priority="5316" operator="equal">
      <formula>0</formula>
    </cfRule>
  </conditionalFormatting>
  <conditionalFormatting sqref="B897">
    <cfRule type="cellIs" dxfId="4113" priority="5315" operator="equal">
      <formula>0</formula>
    </cfRule>
  </conditionalFormatting>
  <conditionalFormatting sqref="U894">
    <cfRule type="cellIs" dxfId="4112" priority="5313" operator="equal">
      <formula>0</formula>
    </cfRule>
  </conditionalFormatting>
  <conditionalFormatting sqref="U894">
    <cfRule type="cellIs" dxfId="4111" priority="5314" operator="equal">
      <formula>0</formula>
    </cfRule>
  </conditionalFormatting>
  <conditionalFormatting sqref="U900">
    <cfRule type="cellIs" dxfId="4110" priority="5311" operator="equal">
      <formula>0</formula>
    </cfRule>
  </conditionalFormatting>
  <conditionalFormatting sqref="I900:U900">
    <cfRule type="cellIs" dxfId="4109" priority="5310" operator="equal">
      <formula>0</formula>
    </cfRule>
  </conditionalFormatting>
  <conditionalFormatting sqref="U900">
    <cfRule type="cellIs" dxfId="4108" priority="5309" operator="equal">
      <formula>0</formula>
    </cfRule>
  </conditionalFormatting>
  <conditionalFormatting sqref="A913:A923 W903:XFD923">
    <cfRule type="cellIs" dxfId="4107" priority="5307" operator="equal">
      <formula>0</formula>
    </cfRule>
  </conditionalFormatting>
  <conditionalFormatting sqref="W902:XFD902">
    <cfRule type="cellIs" dxfId="4106" priority="5306" operator="equal">
      <formula>0</formula>
    </cfRule>
  </conditionalFormatting>
  <conditionalFormatting sqref="A906">
    <cfRule type="cellIs" dxfId="4105" priority="5272" operator="equal">
      <formula>0</formula>
    </cfRule>
  </conditionalFormatting>
  <conditionalFormatting sqref="A905">
    <cfRule type="cellIs" dxfId="4104" priority="5270" operator="equal">
      <formula>0</formula>
    </cfRule>
  </conditionalFormatting>
  <conditionalFormatting sqref="A907">
    <cfRule type="cellIs" dxfId="4103" priority="5274" operator="equal">
      <formula>0</formula>
    </cfRule>
  </conditionalFormatting>
  <conditionalFormatting sqref="V946">
    <cfRule type="cellIs" dxfId="4102" priority="4900" operator="equal">
      <formula>0</formula>
    </cfRule>
  </conditionalFormatting>
  <conditionalFormatting sqref="A904 A909:A911">
    <cfRule type="cellIs" dxfId="4101" priority="5304" operator="equal">
      <formula>0</formula>
    </cfRule>
  </conditionalFormatting>
  <conditionalFormatting sqref="V940">
    <cfRule type="cellIs" dxfId="4100" priority="4904" operator="equal">
      <formula>0</formula>
    </cfRule>
  </conditionalFormatting>
  <conditionalFormatting sqref="V921">
    <cfRule type="cellIs" dxfId="4099" priority="5058" operator="equal">
      <formula>0</formula>
    </cfRule>
  </conditionalFormatting>
  <conditionalFormatting sqref="A912">
    <cfRule type="cellIs" dxfId="4098" priority="5278" operator="equal">
      <formula>0</formula>
    </cfRule>
  </conditionalFormatting>
  <conditionalFormatting sqref="A908">
    <cfRule type="cellIs" dxfId="4097" priority="5273" operator="equal">
      <formula>0</formula>
    </cfRule>
  </conditionalFormatting>
  <conditionalFormatting sqref="J888:T889">
    <cfRule type="cellIs" dxfId="4096" priority="5196" operator="equal">
      <formula>0</formula>
    </cfRule>
  </conditionalFormatting>
  <conditionalFormatting sqref="J888:T889">
    <cfRule type="cellIs" dxfId="4095" priority="5197" operator="equal">
      <formula>0</formula>
    </cfRule>
  </conditionalFormatting>
  <conditionalFormatting sqref="J890:T890">
    <cfRule type="cellIs" dxfId="4094" priority="5195" operator="equal">
      <formula>0</formula>
    </cfRule>
  </conditionalFormatting>
  <conditionalFormatting sqref="J892:T893">
    <cfRule type="cellIs" dxfId="4093" priority="5193" operator="equal">
      <formula>0</formula>
    </cfRule>
  </conditionalFormatting>
  <conditionalFormatting sqref="J892:T893">
    <cfRule type="cellIs" dxfId="4092" priority="5194" operator="equal">
      <formula>0</formula>
    </cfRule>
  </conditionalFormatting>
  <conditionalFormatting sqref="J894:T894">
    <cfRule type="cellIs" dxfId="4091" priority="5192" operator="equal">
      <formula>0</formula>
    </cfRule>
  </conditionalFormatting>
  <conditionalFormatting sqref="J896:T897">
    <cfRule type="cellIs" dxfId="4090" priority="5190" operator="equal">
      <formula>0</formula>
    </cfRule>
  </conditionalFormatting>
  <conditionalFormatting sqref="J896:T897">
    <cfRule type="cellIs" dxfId="4089" priority="5191" operator="equal">
      <formula>0</formula>
    </cfRule>
  </conditionalFormatting>
  <conditionalFormatting sqref="J898:R898">
    <cfRule type="cellIs" dxfId="4088" priority="5189" operator="equal">
      <formula>0</formula>
    </cfRule>
  </conditionalFormatting>
  <conditionalFormatting sqref="H892:H893">
    <cfRule type="cellIs" dxfId="4087" priority="5188" operator="equal">
      <formula>0</formula>
    </cfRule>
  </conditionalFormatting>
  <conditionalFormatting sqref="H892:H893">
    <cfRule type="cellIs" dxfId="4086" priority="5187" operator="equal">
      <formula>0</formula>
    </cfRule>
  </conditionalFormatting>
  <conditionalFormatting sqref="U898">
    <cfRule type="cellIs" dxfId="4085" priority="5183" operator="equal">
      <formula>0</formula>
    </cfRule>
  </conditionalFormatting>
  <conditionalFormatting sqref="U898">
    <cfRule type="cellIs" dxfId="4084" priority="5182" operator="equal">
      <formula>0</formula>
    </cfRule>
  </conditionalFormatting>
  <conditionalFormatting sqref="S898:T898">
    <cfRule type="cellIs" dxfId="4083" priority="5180" operator="equal">
      <formula>0</formula>
    </cfRule>
  </conditionalFormatting>
  <conditionalFormatting sqref="S898:T898">
    <cfRule type="cellIs" dxfId="4082" priority="5181" operator="equal">
      <formula>0</formula>
    </cfRule>
  </conditionalFormatting>
  <conditionalFormatting sqref="V942:V943">
    <cfRule type="cellIs" dxfId="4081" priority="4905" operator="equal">
      <formula>0</formula>
    </cfRule>
  </conditionalFormatting>
  <conditionalFormatting sqref="V902">
    <cfRule type="cellIs" dxfId="4080" priority="5178" operator="equal">
      <formula>0</formula>
    </cfRule>
  </conditionalFormatting>
  <conditionalFormatting sqref="V905:V906">
    <cfRule type="cellIs" dxfId="4079" priority="5149" operator="equal">
      <formula>0</formula>
    </cfRule>
  </conditionalFormatting>
  <conditionalFormatting sqref="V904">
    <cfRule type="cellIs" dxfId="4078" priority="5148" operator="equal">
      <formula>0</formula>
    </cfRule>
  </conditionalFormatting>
  <conditionalFormatting sqref="V903:V904">
    <cfRule type="cellIs" dxfId="4077" priority="5147" operator="equal">
      <formula>0</formula>
    </cfRule>
  </conditionalFormatting>
  <conditionalFormatting sqref="V950">
    <cfRule type="cellIs" dxfId="4076" priority="4605" operator="equal">
      <formula>0</formula>
    </cfRule>
  </conditionalFormatting>
  <conditionalFormatting sqref="V913">
    <cfRule type="cellIs" dxfId="4075" priority="5109" operator="equal">
      <formula>0</formula>
    </cfRule>
  </conditionalFormatting>
  <conditionalFormatting sqref="V940">
    <cfRule type="cellIs" dxfId="4074" priority="4903" operator="equal">
      <formula>0</formula>
    </cfRule>
  </conditionalFormatting>
  <conditionalFormatting sqref="V969">
    <cfRule type="cellIs" dxfId="4073" priority="4585" operator="equal">
      <formula>0</formula>
    </cfRule>
  </conditionalFormatting>
  <conditionalFormatting sqref="V914">
    <cfRule type="cellIs" dxfId="4072" priority="5162" operator="equal">
      <formula>0</formula>
    </cfRule>
  </conditionalFormatting>
  <conditionalFormatting sqref="V914">
    <cfRule type="cellIs" dxfId="4071" priority="5161" operator="equal">
      <formula>0</formula>
    </cfRule>
  </conditionalFormatting>
  <conditionalFormatting sqref="V918">
    <cfRule type="cellIs" dxfId="4070" priority="5157" operator="equal">
      <formula>0</formula>
    </cfRule>
  </conditionalFormatting>
  <conditionalFormatting sqref="V918">
    <cfRule type="cellIs" dxfId="4069" priority="5156" operator="equal">
      <formula>0</formula>
    </cfRule>
  </conditionalFormatting>
  <conditionalFormatting sqref="V910">
    <cfRule type="cellIs" dxfId="4068" priority="5169" operator="equal">
      <formula>0</formula>
    </cfRule>
  </conditionalFormatting>
  <conditionalFormatting sqref="V910">
    <cfRule type="cellIs" dxfId="4067" priority="5168" operator="equal">
      <formula>0</formula>
    </cfRule>
  </conditionalFormatting>
  <conditionalFormatting sqref="V909">
    <cfRule type="cellIs" dxfId="4066" priority="5129" operator="equal">
      <formula>0</formula>
    </cfRule>
  </conditionalFormatting>
  <conditionalFormatting sqref="V909">
    <cfRule type="cellIs" dxfId="4065" priority="5128" operator="equal">
      <formula>0</formula>
    </cfRule>
  </conditionalFormatting>
  <conditionalFormatting sqref="V913">
    <cfRule type="cellIs" dxfId="4064" priority="5110" operator="equal">
      <formula>0</formula>
    </cfRule>
  </conditionalFormatting>
  <conditionalFormatting sqref="V915:V916">
    <cfRule type="cellIs" dxfId="4063" priority="5102" operator="equal">
      <formula>0</formula>
    </cfRule>
  </conditionalFormatting>
  <conditionalFormatting sqref="V915:V916">
    <cfRule type="cellIs" dxfId="4062" priority="5101" operator="equal">
      <formula>0</formula>
    </cfRule>
  </conditionalFormatting>
  <conditionalFormatting sqref="V922">
    <cfRule type="cellIs" dxfId="4061" priority="5092" operator="equal">
      <formula>0</formula>
    </cfRule>
  </conditionalFormatting>
  <conditionalFormatting sqref="V919:V920">
    <cfRule type="cellIs" dxfId="4060" priority="5081" operator="equal">
      <formula>0</formula>
    </cfRule>
  </conditionalFormatting>
  <conditionalFormatting sqref="V919:V920">
    <cfRule type="cellIs" dxfId="4059" priority="5080" operator="equal">
      <formula>0</formula>
    </cfRule>
  </conditionalFormatting>
  <conditionalFormatting sqref="V922">
    <cfRule type="cellIs" dxfId="4058" priority="5091" operator="equal">
      <formula>0</formula>
    </cfRule>
  </conditionalFormatting>
  <conditionalFormatting sqref="V917">
    <cfRule type="cellIs" dxfId="4057" priority="5076" operator="equal">
      <formula>0</formula>
    </cfRule>
  </conditionalFormatting>
  <conditionalFormatting sqref="V917">
    <cfRule type="cellIs" dxfId="4056" priority="5077" operator="equal">
      <formula>0</formula>
    </cfRule>
  </conditionalFormatting>
  <conditionalFormatting sqref="V923">
    <cfRule type="cellIs" dxfId="4055" priority="5074" operator="equal">
      <formula>0</formula>
    </cfRule>
  </conditionalFormatting>
  <conditionalFormatting sqref="V923">
    <cfRule type="cellIs" dxfId="4054" priority="5073" operator="equal">
      <formula>0</formula>
    </cfRule>
  </conditionalFormatting>
  <conditionalFormatting sqref="V923">
    <cfRule type="cellIs" dxfId="4053" priority="5072" operator="equal">
      <formula>0</formula>
    </cfRule>
  </conditionalFormatting>
  <conditionalFormatting sqref="V921">
    <cfRule type="cellIs" dxfId="4052" priority="5057" operator="equal">
      <formula>0</formula>
    </cfRule>
  </conditionalFormatting>
  <conditionalFormatting sqref="V1014">
    <cfRule type="cellIs" dxfId="4051" priority="4279" operator="equal">
      <formula>0</formula>
    </cfRule>
  </conditionalFormatting>
  <conditionalFormatting sqref="A936:A946 W926:XFD946">
    <cfRule type="cellIs" dxfId="4050" priority="4937" operator="equal">
      <formula>0</formula>
    </cfRule>
  </conditionalFormatting>
  <conditionalFormatting sqref="W925:XFD925">
    <cfRule type="cellIs" dxfId="4049" priority="4936" operator="equal">
      <formula>0</formula>
    </cfRule>
  </conditionalFormatting>
  <conditionalFormatting sqref="A929">
    <cfRule type="cellIs" dxfId="4048" priority="4931" operator="equal">
      <formula>0</formula>
    </cfRule>
  </conditionalFormatting>
  <conditionalFormatting sqref="A928">
    <cfRule type="cellIs" dxfId="4047" priority="4930" operator="equal">
      <formula>0</formula>
    </cfRule>
  </conditionalFormatting>
  <conditionalFormatting sqref="A930">
    <cfRule type="cellIs" dxfId="4046" priority="4933" operator="equal">
      <formula>0</formula>
    </cfRule>
  </conditionalFormatting>
  <conditionalFormatting sqref="A927 A932:A934">
    <cfRule type="cellIs" dxfId="4045" priority="4935" operator="equal">
      <formula>0</formula>
    </cfRule>
  </conditionalFormatting>
  <conditionalFormatting sqref="V944">
    <cfRule type="cellIs" dxfId="4044" priority="4899" operator="equal">
      <formula>0</formula>
    </cfRule>
  </conditionalFormatting>
  <conditionalFormatting sqref="A935">
    <cfRule type="cellIs" dxfId="4043" priority="4934" operator="equal">
      <formula>0</formula>
    </cfRule>
  </conditionalFormatting>
  <conditionalFormatting sqref="A931">
    <cfRule type="cellIs" dxfId="4042" priority="4932" operator="equal">
      <formula>0</formula>
    </cfRule>
  </conditionalFormatting>
  <conditionalFormatting sqref="V925">
    <cfRule type="cellIs" dxfId="4041" priority="4928" operator="equal">
      <formula>0</formula>
    </cfRule>
  </conditionalFormatting>
  <conditionalFormatting sqref="V928:V929">
    <cfRule type="cellIs" dxfId="4040" priority="4921" operator="equal">
      <formula>0</formula>
    </cfRule>
  </conditionalFormatting>
  <conditionalFormatting sqref="V927">
    <cfRule type="cellIs" dxfId="4039" priority="4920" operator="equal">
      <formula>0</formula>
    </cfRule>
  </conditionalFormatting>
  <conditionalFormatting sqref="V926:V927">
    <cfRule type="cellIs" dxfId="4038" priority="4919" operator="equal">
      <formula>0</formula>
    </cfRule>
  </conditionalFormatting>
  <conditionalFormatting sqref="V944">
    <cfRule type="cellIs" dxfId="4037" priority="4898" operator="equal">
      <formula>0</formula>
    </cfRule>
  </conditionalFormatting>
  <conditionalFormatting sqref="V936">
    <cfRule type="cellIs" dxfId="4036" priority="4911" operator="equal">
      <formula>0</formula>
    </cfRule>
  </conditionalFormatting>
  <conditionalFormatting sqref="V937">
    <cfRule type="cellIs" dxfId="4035" priority="4925" operator="equal">
      <formula>0</formula>
    </cfRule>
  </conditionalFormatting>
  <conditionalFormatting sqref="V937">
    <cfRule type="cellIs" dxfId="4034" priority="4924" operator="equal">
      <formula>0</formula>
    </cfRule>
  </conditionalFormatting>
  <conditionalFormatting sqref="V941">
    <cfRule type="cellIs" dxfId="4033" priority="4923" operator="equal">
      <formula>0</formula>
    </cfRule>
  </conditionalFormatting>
  <conditionalFormatting sqref="V941">
    <cfRule type="cellIs" dxfId="4032" priority="4922" operator="equal">
      <formula>0</formula>
    </cfRule>
  </conditionalFormatting>
  <conditionalFormatting sqref="V933">
    <cfRule type="cellIs" dxfId="4031" priority="4927" operator="equal">
      <formula>0</formula>
    </cfRule>
  </conditionalFormatting>
  <conditionalFormatting sqref="V933">
    <cfRule type="cellIs" dxfId="4030" priority="4926" operator="equal">
      <formula>0</formula>
    </cfRule>
  </conditionalFormatting>
  <conditionalFormatting sqref="V932">
    <cfRule type="cellIs" dxfId="4029" priority="4916" operator="equal">
      <formula>0</formula>
    </cfRule>
  </conditionalFormatting>
  <conditionalFormatting sqref="V932">
    <cfRule type="cellIs" dxfId="4028" priority="4915" operator="equal">
      <formula>0</formula>
    </cfRule>
  </conditionalFormatting>
  <conditionalFormatting sqref="V942:V943">
    <cfRule type="cellIs" dxfId="4027" priority="4906" operator="equal">
      <formula>0</formula>
    </cfRule>
  </conditionalFormatting>
  <conditionalFormatting sqref="V936">
    <cfRule type="cellIs" dxfId="4026" priority="4912" operator="equal">
      <formula>0</formula>
    </cfRule>
  </conditionalFormatting>
  <conditionalFormatting sqref="V938:V939">
    <cfRule type="cellIs" dxfId="4025" priority="4910" operator="equal">
      <formula>0</formula>
    </cfRule>
  </conditionalFormatting>
  <conditionalFormatting sqref="V938:V939">
    <cfRule type="cellIs" dxfId="4024" priority="4909" operator="equal">
      <formula>0</formula>
    </cfRule>
  </conditionalFormatting>
  <conditionalFormatting sqref="V945">
    <cfRule type="cellIs" dxfId="4023" priority="4908" operator="equal">
      <formula>0</formula>
    </cfRule>
  </conditionalFormatting>
  <conditionalFormatting sqref="V965:V966">
    <cfRule type="cellIs" dxfId="4022" priority="4590" operator="equal">
      <formula>0</formula>
    </cfRule>
  </conditionalFormatting>
  <conditionalFormatting sqref="V945">
    <cfRule type="cellIs" dxfId="4021" priority="4907" operator="equal">
      <formula>0</formula>
    </cfRule>
  </conditionalFormatting>
  <conditionalFormatting sqref="V963">
    <cfRule type="cellIs" dxfId="4020" priority="4588" operator="equal">
      <formula>0</formula>
    </cfRule>
  </conditionalFormatting>
  <conditionalFormatting sqref="V963">
    <cfRule type="cellIs" dxfId="4019" priority="4589" operator="equal">
      <formula>0</formula>
    </cfRule>
  </conditionalFormatting>
  <conditionalFormatting sqref="V946">
    <cfRule type="cellIs" dxfId="4018" priority="4902" operator="equal">
      <formula>0</formula>
    </cfRule>
  </conditionalFormatting>
  <conditionalFormatting sqref="V946">
    <cfRule type="cellIs" dxfId="4017" priority="4901" operator="equal">
      <formula>0</formula>
    </cfRule>
  </conditionalFormatting>
  <conditionalFormatting sqref="V992">
    <cfRule type="cellIs" dxfId="4016" priority="4428" operator="equal">
      <formula>0</formula>
    </cfRule>
  </conditionalFormatting>
  <conditionalFormatting sqref="V948">
    <cfRule type="cellIs" dxfId="4015" priority="4613" operator="equal">
      <formula>0</formula>
    </cfRule>
  </conditionalFormatting>
  <conditionalFormatting sqref="V967">
    <cfRule type="cellIs" dxfId="4014" priority="4583" operator="equal">
      <formula>0</formula>
    </cfRule>
  </conditionalFormatting>
  <conditionalFormatting sqref="A959:A969 W949:XFD969">
    <cfRule type="cellIs" dxfId="4013" priority="4622" operator="equal">
      <formula>0</formula>
    </cfRule>
  </conditionalFormatting>
  <conditionalFormatting sqref="A954">
    <cfRule type="cellIs" dxfId="4012" priority="4617" operator="equal">
      <formula>0</formula>
    </cfRule>
  </conditionalFormatting>
  <conditionalFormatting sqref="A952">
    <cfRule type="cellIs" dxfId="4011" priority="4616" operator="equal">
      <formula>0</formula>
    </cfRule>
  </conditionalFormatting>
  <conditionalFormatting sqref="A958">
    <cfRule type="cellIs" dxfId="4010" priority="4619" operator="equal">
      <formula>0</formula>
    </cfRule>
  </conditionalFormatting>
  <conditionalFormatting sqref="W948:XFD948">
    <cfRule type="cellIs" dxfId="4009" priority="4621" operator="equal">
      <formula>0</formula>
    </cfRule>
  </conditionalFormatting>
  <conditionalFormatting sqref="V1015">
    <cfRule type="cellIs" dxfId="4008" priority="4271" operator="equal">
      <formula>0</formula>
    </cfRule>
  </conditionalFormatting>
  <conditionalFormatting sqref="A950 A955:A957">
    <cfRule type="cellIs" dxfId="4007" priority="4620" operator="equal">
      <formula>0</formula>
    </cfRule>
  </conditionalFormatting>
  <conditionalFormatting sqref="A953">
    <cfRule type="cellIs" dxfId="4006" priority="4618" operator="equal">
      <formula>0</formula>
    </cfRule>
  </conditionalFormatting>
  <conditionalFormatting sqref="A951">
    <cfRule type="cellIs" dxfId="4005" priority="4615" operator="equal">
      <formula>0</formula>
    </cfRule>
  </conditionalFormatting>
  <conditionalFormatting sqref="V964">
    <cfRule type="cellIs" dxfId="4004" priority="4607" operator="equal">
      <formula>0</formula>
    </cfRule>
  </conditionalFormatting>
  <conditionalFormatting sqref="V986">
    <cfRule type="cellIs" dxfId="4003" priority="4432" operator="equal">
      <formula>0</formula>
    </cfRule>
  </conditionalFormatting>
  <conditionalFormatting sqref="V988:V989">
    <cfRule type="cellIs" dxfId="4002" priority="4433" operator="equal">
      <formula>0</formula>
    </cfRule>
  </conditionalFormatting>
  <conditionalFormatting sqref="V986">
    <cfRule type="cellIs" dxfId="4001" priority="4431" operator="equal">
      <formula>0</formula>
    </cfRule>
  </conditionalFormatting>
  <conditionalFormatting sqref="V1017">
    <cfRule type="cellIs" dxfId="4000" priority="4142" operator="equal">
      <formula>0</formula>
    </cfRule>
  </conditionalFormatting>
  <conditionalFormatting sqref="A982:A992 W972:XFD992">
    <cfRule type="cellIs" dxfId="3999" priority="4465" operator="equal">
      <formula>0</formula>
    </cfRule>
  </conditionalFormatting>
  <conditionalFormatting sqref="W971:XFD971">
    <cfRule type="cellIs" dxfId="3998" priority="4464" operator="equal">
      <formula>0</formula>
    </cfRule>
  </conditionalFormatting>
  <conditionalFormatting sqref="A975">
    <cfRule type="cellIs" dxfId="3997" priority="4459" operator="equal">
      <formula>0</formula>
    </cfRule>
  </conditionalFormatting>
  <conditionalFormatting sqref="A974">
    <cfRule type="cellIs" dxfId="3996" priority="4458" operator="equal">
      <formula>0</formula>
    </cfRule>
  </conditionalFormatting>
  <conditionalFormatting sqref="A976">
    <cfRule type="cellIs" dxfId="3995" priority="4461" operator="equal">
      <formula>0</formula>
    </cfRule>
  </conditionalFormatting>
  <conditionalFormatting sqref="A973 A978:A980">
    <cfRule type="cellIs" dxfId="3994" priority="4463" operator="equal">
      <formula>0</formula>
    </cfRule>
  </conditionalFormatting>
  <conditionalFormatting sqref="V967">
    <cfRule type="cellIs" dxfId="3993" priority="4584" operator="equal">
      <formula>0</formula>
    </cfRule>
  </conditionalFormatting>
  <conditionalFormatting sqref="A981">
    <cfRule type="cellIs" dxfId="3992" priority="4462" operator="equal">
      <formula>0</formula>
    </cfRule>
  </conditionalFormatting>
  <conditionalFormatting sqref="A977">
    <cfRule type="cellIs" dxfId="3991" priority="4460" operator="equal">
      <formula>0</formula>
    </cfRule>
  </conditionalFormatting>
  <conditionalFormatting sqref="V951:V952">
    <cfRule type="cellIs" dxfId="3990" priority="4606" operator="equal">
      <formula>0</formula>
    </cfRule>
  </conditionalFormatting>
  <conditionalFormatting sqref="V949:V950">
    <cfRule type="cellIs" dxfId="3989" priority="4604" operator="equal">
      <formula>0</formula>
    </cfRule>
  </conditionalFormatting>
  <conditionalFormatting sqref="V959">
    <cfRule type="cellIs" dxfId="3988" priority="4596" operator="equal">
      <formula>0</formula>
    </cfRule>
  </conditionalFormatting>
  <conditionalFormatting sqref="V960">
    <cfRule type="cellIs" dxfId="3987" priority="4610" operator="equal">
      <formula>0</formula>
    </cfRule>
  </conditionalFormatting>
  <conditionalFormatting sqref="V960">
    <cfRule type="cellIs" dxfId="3986" priority="4609" operator="equal">
      <formula>0</formula>
    </cfRule>
  </conditionalFormatting>
  <conditionalFormatting sqref="V964">
    <cfRule type="cellIs" dxfId="3985" priority="4608" operator="equal">
      <formula>0</formula>
    </cfRule>
  </conditionalFormatting>
  <conditionalFormatting sqref="V987">
    <cfRule type="cellIs" dxfId="3984" priority="4450" operator="equal">
      <formula>0</formula>
    </cfRule>
  </conditionalFormatting>
  <conditionalFormatting sqref="V956">
    <cfRule type="cellIs" dxfId="3983" priority="4612" operator="equal">
      <formula>0</formula>
    </cfRule>
  </conditionalFormatting>
  <conditionalFormatting sqref="V956">
    <cfRule type="cellIs" dxfId="3982" priority="4611" operator="equal">
      <formula>0</formula>
    </cfRule>
  </conditionalFormatting>
  <conditionalFormatting sqref="V955">
    <cfRule type="cellIs" dxfId="3981" priority="4601" operator="equal">
      <formula>0</formula>
    </cfRule>
  </conditionalFormatting>
  <conditionalFormatting sqref="V955">
    <cfRule type="cellIs" dxfId="3980" priority="4600" operator="equal">
      <formula>0</formula>
    </cfRule>
  </conditionalFormatting>
  <conditionalFormatting sqref="V959">
    <cfRule type="cellIs" dxfId="3979" priority="4597" operator="equal">
      <formula>0</formula>
    </cfRule>
  </conditionalFormatting>
  <conditionalFormatting sqref="V961:V962">
    <cfRule type="cellIs" dxfId="3978" priority="4595" operator="equal">
      <formula>0</formula>
    </cfRule>
  </conditionalFormatting>
  <conditionalFormatting sqref="V961:V962">
    <cfRule type="cellIs" dxfId="3977" priority="4594" operator="equal">
      <formula>0</formula>
    </cfRule>
  </conditionalFormatting>
  <conditionalFormatting sqref="V968">
    <cfRule type="cellIs" dxfId="3976" priority="4593" operator="equal">
      <formula>0</formula>
    </cfRule>
  </conditionalFormatting>
  <conditionalFormatting sqref="V965:V966">
    <cfRule type="cellIs" dxfId="3975" priority="4591" operator="equal">
      <formula>0</formula>
    </cfRule>
  </conditionalFormatting>
  <conditionalFormatting sqref="V968">
    <cfRule type="cellIs" dxfId="3974" priority="4592" operator="equal">
      <formula>0</formula>
    </cfRule>
  </conditionalFormatting>
  <conditionalFormatting sqref="V969">
    <cfRule type="cellIs" dxfId="3973" priority="4587" operator="equal">
      <formula>0</formula>
    </cfRule>
  </conditionalFormatting>
  <conditionalFormatting sqref="V969">
    <cfRule type="cellIs" dxfId="3972" priority="4586" operator="equal">
      <formula>0</formula>
    </cfRule>
  </conditionalFormatting>
  <conditionalFormatting sqref="V990">
    <cfRule type="cellIs" dxfId="3971" priority="4426" operator="equal">
      <formula>0</formula>
    </cfRule>
  </conditionalFormatting>
  <conditionalFormatting sqref="V1011:V1012">
    <cfRule type="cellIs" dxfId="3970" priority="4276" operator="equal">
      <formula>0</formula>
    </cfRule>
  </conditionalFormatting>
  <conditionalFormatting sqref="V1009">
    <cfRule type="cellIs" dxfId="3969" priority="4274" operator="equal">
      <formula>0</formula>
    </cfRule>
  </conditionalFormatting>
  <conditionalFormatting sqref="V1009">
    <cfRule type="cellIs" dxfId="3968" priority="4275" operator="equal">
      <formula>0</formula>
    </cfRule>
  </conditionalFormatting>
  <conditionalFormatting sqref="V1013">
    <cfRule type="cellIs" dxfId="3967" priority="4269" operator="equal">
      <formula>0</formula>
    </cfRule>
  </conditionalFormatting>
  <conditionalFormatting sqref="A1005:A1015 W995:XFD1015">
    <cfRule type="cellIs" dxfId="3966" priority="4308" operator="equal">
      <formula>0</formula>
    </cfRule>
  </conditionalFormatting>
  <conditionalFormatting sqref="A1000">
    <cfRule type="cellIs" dxfId="3965" priority="4303" operator="equal">
      <formula>0</formula>
    </cfRule>
  </conditionalFormatting>
  <conditionalFormatting sqref="A998">
    <cfRule type="cellIs" dxfId="3964" priority="4302" operator="equal">
      <formula>0</formula>
    </cfRule>
  </conditionalFormatting>
  <conditionalFormatting sqref="A1004">
    <cfRule type="cellIs" dxfId="3963" priority="4305" operator="equal">
      <formula>0</formula>
    </cfRule>
  </conditionalFormatting>
  <conditionalFormatting sqref="W994:XFD994">
    <cfRule type="cellIs" dxfId="3962" priority="4307" operator="equal">
      <formula>0</formula>
    </cfRule>
  </conditionalFormatting>
  <conditionalFormatting sqref="A996 A1001:A1003">
    <cfRule type="cellIs" dxfId="3961" priority="4306" operator="equal">
      <formula>0</formula>
    </cfRule>
  </conditionalFormatting>
  <conditionalFormatting sqref="A999">
    <cfRule type="cellIs" dxfId="3960" priority="4304" operator="equal">
      <formula>0</formula>
    </cfRule>
  </conditionalFormatting>
  <conditionalFormatting sqref="A997">
    <cfRule type="cellIs" dxfId="3959" priority="4301" operator="equal">
      <formula>0</formula>
    </cfRule>
  </conditionalFormatting>
  <conditionalFormatting sqref="V1010">
    <cfRule type="cellIs" dxfId="3958" priority="4293" operator="equal">
      <formula>0</formula>
    </cfRule>
  </conditionalFormatting>
  <conditionalFormatting sqref="V990">
    <cfRule type="cellIs" dxfId="3957" priority="4427" operator="equal">
      <formula>0</formula>
    </cfRule>
  </conditionalFormatting>
  <conditionalFormatting sqref="V971">
    <cfRule type="cellIs" dxfId="3956" priority="4456" operator="equal">
      <formula>0</formula>
    </cfRule>
  </conditionalFormatting>
  <conditionalFormatting sqref="V974:V975">
    <cfRule type="cellIs" dxfId="3955" priority="4449" operator="equal">
      <formula>0</formula>
    </cfRule>
  </conditionalFormatting>
  <conditionalFormatting sqref="V973">
    <cfRule type="cellIs" dxfId="3954" priority="4448" operator="equal">
      <formula>0</formula>
    </cfRule>
  </conditionalFormatting>
  <conditionalFormatting sqref="V972:V973">
    <cfRule type="cellIs" dxfId="3953" priority="4447" operator="equal">
      <formula>0</formula>
    </cfRule>
  </conditionalFormatting>
  <conditionalFormatting sqref="V991">
    <cfRule type="cellIs" dxfId="3952" priority="4435" operator="equal">
      <formula>0</formula>
    </cfRule>
  </conditionalFormatting>
  <conditionalFormatting sqref="V982">
    <cfRule type="cellIs" dxfId="3951" priority="4439" operator="equal">
      <formula>0</formula>
    </cfRule>
  </conditionalFormatting>
  <conditionalFormatting sqref="V983">
    <cfRule type="cellIs" dxfId="3950" priority="4453" operator="equal">
      <formula>0</formula>
    </cfRule>
  </conditionalFormatting>
  <conditionalFormatting sqref="V983">
    <cfRule type="cellIs" dxfId="3949" priority="4452" operator="equal">
      <formula>0</formula>
    </cfRule>
  </conditionalFormatting>
  <conditionalFormatting sqref="V987">
    <cfRule type="cellIs" dxfId="3948" priority="4451" operator="equal">
      <formula>0</formula>
    </cfRule>
  </conditionalFormatting>
  <conditionalFormatting sqref="V979">
    <cfRule type="cellIs" dxfId="3947" priority="4455" operator="equal">
      <formula>0</formula>
    </cfRule>
  </conditionalFormatting>
  <conditionalFormatting sqref="V979">
    <cfRule type="cellIs" dxfId="3946" priority="4454" operator="equal">
      <formula>0</formula>
    </cfRule>
  </conditionalFormatting>
  <conditionalFormatting sqref="V978">
    <cfRule type="cellIs" dxfId="3945" priority="4444" operator="equal">
      <formula>0</formula>
    </cfRule>
  </conditionalFormatting>
  <conditionalFormatting sqref="V978">
    <cfRule type="cellIs" dxfId="3944" priority="4443" operator="equal">
      <formula>0</formula>
    </cfRule>
  </conditionalFormatting>
  <conditionalFormatting sqref="V991">
    <cfRule type="cellIs" dxfId="3943" priority="4436" operator="equal">
      <formula>0</formula>
    </cfRule>
  </conditionalFormatting>
  <conditionalFormatting sqref="V982">
    <cfRule type="cellIs" dxfId="3942" priority="4440" operator="equal">
      <formula>0</formula>
    </cfRule>
  </conditionalFormatting>
  <conditionalFormatting sqref="V984:V985">
    <cfRule type="cellIs" dxfId="3941" priority="4438" operator="equal">
      <formula>0</formula>
    </cfRule>
  </conditionalFormatting>
  <conditionalFormatting sqref="V984:V985">
    <cfRule type="cellIs" dxfId="3940" priority="4437" operator="equal">
      <formula>0</formula>
    </cfRule>
  </conditionalFormatting>
  <conditionalFormatting sqref="V988:V989">
    <cfRule type="cellIs" dxfId="3939" priority="4434" operator="equal">
      <formula>0</formula>
    </cfRule>
  </conditionalFormatting>
  <conditionalFormatting sqref="V992">
    <cfRule type="cellIs" dxfId="3938" priority="4430" operator="equal">
      <formula>0</formula>
    </cfRule>
  </conditionalFormatting>
  <conditionalFormatting sqref="V992">
    <cfRule type="cellIs" dxfId="3937" priority="4429" operator="equal">
      <formula>0</formula>
    </cfRule>
  </conditionalFormatting>
  <conditionalFormatting sqref="V1013">
    <cfRule type="cellIs" dxfId="3936" priority="4270" operator="equal">
      <formula>0</formula>
    </cfRule>
  </conditionalFormatting>
  <conditionalFormatting sqref="V994">
    <cfRule type="cellIs" dxfId="3935" priority="4299" operator="equal">
      <formula>0</formula>
    </cfRule>
  </conditionalFormatting>
  <conditionalFormatting sqref="V997:V998">
    <cfRule type="cellIs" dxfId="3934" priority="4292" operator="equal">
      <formula>0</formula>
    </cfRule>
  </conditionalFormatting>
  <conditionalFormatting sqref="V996">
    <cfRule type="cellIs" dxfId="3933" priority="4291" operator="equal">
      <formula>0</formula>
    </cfRule>
  </conditionalFormatting>
  <conditionalFormatting sqref="V995:V996">
    <cfRule type="cellIs" dxfId="3932" priority="4290" operator="equal">
      <formula>0</formula>
    </cfRule>
  </conditionalFormatting>
  <conditionalFormatting sqref="V1015">
    <cfRule type="cellIs" dxfId="3931" priority="4273" operator="equal">
      <formula>0</formula>
    </cfRule>
  </conditionalFormatting>
  <conditionalFormatting sqref="V1015">
    <cfRule type="cellIs" dxfId="3930" priority="4272" operator="equal">
      <formula>0</formula>
    </cfRule>
  </conditionalFormatting>
  <conditionalFormatting sqref="V1005">
    <cfRule type="cellIs" dxfId="3929" priority="4282" operator="equal">
      <formula>0</formula>
    </cfRule>
  </conditionalFormatting>
  <conditionalFormatting sqref="V1006">
    <cfRule type="cellIs" dxfId="3928" priority="4296" operator="equal">
      <formula>0</formula>
    </cfRule>
  </conditionalFormatting>
  <conditionalFormatting sqref="V1006">
    <cfRule type="cellIs" dxfId="3927" priority="4295" operator="equal">
      <formula>0</formula>
    </cfRule>
  </conditionalFormatting>
  <conditionalFormatting sqref="V1010">
    <cfRule type="cellIs" dxfId="3926" priority="4294" operator="equal">
      <formula>0</formula>
    </cfRule>
  </conditionalFormatting>
  <conditionalFormatting sqref="V1002">
    <cfRule type="cellIs" dxfId="3925" priority="4298" operator="equal">
      <formula>0</formula>
    </cfRule>
  </conditionalFormatting>
  <conditionalFormatting sqref="V1002">
    <cfRule type="cellIs" dxfId="3924" priority="4297" operator="equal">
      <formula>0</formula>
    </cfRule>
  </conditionalFormatting>
  <conditionalFormatting sqref="V1001">
    <cfRule type="cellIs" dxfId="3923" priority="4287" operator="equal">
      <formula>0</formula>
    </cfRule>
  </conditionalFormatting>
  <conditionalFormatting sqref="V1001">
    <cfRule type="cellIs" dxfId="3922" priority="4286" operator="equal">
      <formula>0</formula>
    </cfRule>
  </conditionalFormatting>
  <conditionalFormatting sqref="V1005">
    <cfRule type="cellIs" dxfId="3921" priority="4283" operator="equal">
      <formula>0</formula>
    </cfRule>
  </conditionalFormatting>
  <conditionalFormatting sqref="V1007:V1008">
    <cfRule type="cellIs" dxfId="3920" priority="4281" operator="equal">
      <formula>0</formula>
    </cfRule>
  </conditionalFormatting>
  <conditionalFormatting sqref="V1007:V1008">
    <cfRule type="cellIs" dxfId="3919" priority="4280" operator="equal">
      <formula>0</formula>
    </cfRule>
  </conditionalFormatting>
  <conditionalFormatting sqref="V1011:V1012">
    <cfRule type="cellIs" dxfId="3918" priority="4277" operator="equal">
      <formula>0</formula>
    </cfRule>
  </conditionalFormatting>
  <conditionalFormatting sqref="V1014">
    <cfRule type="cellIs" dxfId="3917" priority="4278" operator="equal">
      <formula>0</formula>
    </cfRule>
  </conditionalFormatting>
  <conditionalFormatting sqref="V1055">
    <cfRule type="cellIs" dxfId="3916" priority="3915" operator="equal">
      <formula>0</formula>
    </cfRule>
  </conditionalFormatting>
  <conditionalFormatting sqref="V1038">
    <cfRule type="cellIs" dxfId="3915" priority="4114" operator="equal">
      <formula>0</formula>
    </cfRule>
  </conditionalFormatting>
  <conditionalFormatting sqref="V1034:V1035">
    <cfRule type="cellIs" dxfId="3914" priority="4119" operator="equal">
      <formula>0</formula>
    </cfRule>
  </conditionalFormatting>
  <conditionalFormatting sqref="V1032">
    <cfRule type="cellIs" dxfId="3913" priority="4117" operator="equal">
      <formula>0</formula>
    </cfRule>
  </conditionalFormatting>
  <conditionalFormatting sqref="V1032">
    <cfRule type="cellIs" dxfId="3912" priority="4118" operator="equal">
      <formula>0</formula>
    </cfRule>
  </conditionalFormatting>
  <conditionalFormatting sqref="V1036">
    <cfRule type="cellIs" dxfId="3911" priority="4112" operator="equal">
      <formula>0</formula>
    </cfRule>
  </conditionalFormatting>
  <conditionalFormatting sqref="A1028:A1038 W1018:XFD1038">
    <cfRule type="cellIs" dxfId="3910" priority="4151" operator="equal">
      <formula>0</formula>
    </cfRule>
  </conditionalFormatting>
  <conditionalFormatting sqref="A1023">
    <cfRule type="cellIs" dxfId="3909" priority="4146" operator="equal">
      <formula>0</formula>
    </cfRule>
  </conditionalFormatting>
  <conditionalFormatting sqref="A1021">
    <cfRule type="cellIs" dxfId="3908" priority="4145" operator="equal">
      <formula>0</formula>
    </cfRule>
  </conditionalFormatting>
  <conditionalFormatting sqref="A1027">
    <cfRule type="cellIs" dxfId="3907" priority="4148" operator="equal">
      <formula>0</formula>
    </cfRule>
  </conditionalFormatting>
  <conditionalFormatting sqref="W1017:XFD1017">
    <cfRule type="cellIs" dxfId="3906" priority="4150" operator="equal">
      <formula>0</formula>
    </cfRule>
  </conditionalFormatting>
  <conditionalFormatting sqref="A1019 A1024:A1026">
    <cfRule type="cellIs" dxfId="3905" priority="4149" operator="equal">
      <formula>0</formula>
    </cfRule>
  </conditionalFormatting>
  <conditionalFormatting sqref="A1022">
    <cfRule type="cellIs" dxfId="3904" priority="4147" operator="equal">
      <formula>0</formula>
    </cfRule>
  </conditionalFormatting>
  <conditionalFormatting sqref="A1020">
    <cfRule type="cellIs" dxfId="3903" priority="4144" operator="equal">
      <formula>0</formula>
    </cfRule>
  </conditionalFormatting>
  <conditionalFormatting sqref="V1033">
    <cfRule type="cellIs" dxfId="3902" priority="4136" operator="equal">
      <formula>0</formula>
    </cfRule>
  </conditionalFormatting>
  <conditionalFormatting sqref="V1036">
    <cfRule type="cellIs" dxfId="3901" priority="4113" operator="equal">
      <formula>0</formula>
    </cfRule>
  </conditionalFormatting>
  <conditionalFormatting sqref="V1020:V1021">
    <cfRule type="cellIs" dxfId="3900" priority="4135" operator="equal">
      <formula>0</formula>
    </cfRule>
  </conditionalFormatting>
  <conditionalFormatting sqref="V1019">
    <cfRule type="cellIs" dxfId="3899" priority="4134" operator="equal">
      <formula>0</formula>
    </cfRule>
  </conditionalFormatting>
  <conditionalFormatting sqref="V1018:V1019">
    <cfRule type="cellIs" dxfId="3898" priority="4133" operator="equal">
      <formula>0</formula>
    </cfRule>
  </conditionalFormatting>
  <conditionalFormatting sqref="V1030:V1031">
    <cfRule type="cellIs" dxfId="3897" priority="4123" operator="equal">
      <formula>0</formula>
    </cfRule>
  </conditionalFormatting>
  <conditionalFormatting sqref="V1028">
    <cfRule type="cellIs" dxfId="3896" priority="4125" operator="equal">
      <formula>0</formula>
    </cfRule>
  </conditionalFormatting>
  <conditionalFormatting sqref="V1029">
    <cfRule type="cellIs" dxfId="3895" priority="4139" operator="equal">
      <formula>0</formula>
    </cfRule>
  </conditionalFormatting>
  <conditionalFormatting sqref="V1029">
    <cfRule type="cellIs" dxfId="3894" priority="4138" operator="equal">
      <formula>0</formula>
    </cfRule>
  </conditionalFormatting>
  <conditionalFormatting sqref="V1033">
    <cfRule type="cellIs" dxfId="3893" priority="4137" operator="equal">
      <formula>0</formula>
    </cfRule>
  </conditionalFormatting>
  <conditionalFormatting sqref="V1025">
    <cfRule type="cellIs" dxfId="3892" priority="4141" operator="equal">
      <formula>0</formula>
    </cfRule>
  </conditionalFormatting>
  <conditionalFormatting sqref="V1025">
    <cfRule type="cellIs" dxfId="3891" priority="4140" operator="equal">
      <formula>0</formula>
    </cfRule>
  </conditionalFormatting>
  <conditionalFormatting sqref="V1024">
    <cfRule type="cellIs" dxfId="3890" priority="4130" operator="equal">
      <formula>0</formula>
    </cfRule>
  </conditionalFormatting>
  <conditionalFormatting sqref="V1024">
    <cfRule type="cellIs" dxfId="3889" priority="4129" operator="equal">
      <formula>0</formula>
    </cfRule>
  </conditionalFormatting>
  <conditionalFormatting sqref="V1030:V1031">
    <cfRule type="cellIs" dxfId="3888" priority="4124" operator="equal">
      <formula>0</formula>
    </cfRule>
  </conditionalFormatting>
  <conditionalFormatting sqref="V1028">
    <cfRule type="cellIs" dxfId="3887" priority="4126" operator="equal">
      <formula>0</formula>
    </cfRule>
  </conditionalFormatting>
  <conditionalFormatting sqref="V1037">
    <cfRule type="cellIs" dxfId="3886" priority="4122" operator="equal">
      <formula>0</formula>
    </cfRule>
  </conditionalFormatting>
  <conditionalFormatting sqref="V1034:V1035">
    <cfRule type="cellIs" dxfId="3885" priority="4120" operator="equal">
      <formula>0</formula>
    </cfRule>
  </conditionalFormatting>
  <conditionalFormatting sqref="V1037">
    <cfRule type="cellIs" dxfId="3884" priority="4121" operator="equal">
      <formula>0</formula>
    </cfRule>
  </conditionalFormatting>
  <conditionalFormatting sqref="V1038">
    <cfRule type="cellIs" dxfId="3883" priority="4116" operator="equal">
      <formula>0</formula>
    </cfRule>
  </conditionalFormatting>
  <conditionalFormatting sqref="V1038">
    <cfRule type="cellIs" dxfId="3882" priority="4115" operator="equal">
      <formula>0</formula>
    </cfRule>
  </conditionalFormatting>
  <conditionalFormatting sqref="W1041:XFD1044">
    <cfRule type="cellIs" dxfId="3881" priority="3994" operator="equal">
      <formula>0</formula>
    </cfRule>
  </conditionalFormatting>
  <conditionalFormatting sqref="A1044">
    <cfRule type="cellIs" dxfId="3880" priority="3991" operator="equal">
      <formula>0</formula>
    </cfRule>
  </conditionalFormatting>
  <conditionalFormatting sqref="W1040:XFD1040">
    <cfRule type="cellIs" dxfId="3879" priority="3993" operator="equal">
      <formula>0</formula>
    </cfRule>
  </conditionalFormatting>
  <conditionalFormatting sqref="A1042">
    <cfRule type="cellIs" dxfId="3878" priority="3992" operator="equal">
      <formula>0</formula>
    </cfRule>
  </conditionalFormatting>
  <conditionalFormatting sqref="A1043">
    <cfRule type="cellIs" dxfId="3877" priority="3990" operator="equal">
      <formula>0</formula>
    </cfRule>
  </conditionalFormatting>
  <conditionalFormatting sqref="V1040">
    <cfRule type="cellIs" dxfId="3876" priority="3988" operator="equal">
      <formula>0</formula>
    </cfRule>
  </conditionalFormatting>
  <conditionalFormatting sqref="V1043:V1044">
    <cfRule type="cellIs" dxfId="3875" priority="3987" operator="equal">
      <formula>0</formula>
    </cfRule>
  </conditionalFormatting>
  <conditionalFormatting sqref="V1042">
    <cfRule type="cellIs" dxfId="3874" priority="3986" operator="equal">
      <formula>0</formula>
    </cfRule>
  </conditionalFormatting>
  <conditionalFormatting sqref="V1041:V1042">
    <cfRule type="cellIs" dxfId="3873" priority="3985" operator="equal">
      <formula>0</formula>
    </cfRule>
  </conditionalFormatting>
  <conditionalFormatting sqref="W1045:XFD1050">
    <cfRule type="cellIs" dxfId="3872" priority="3971" operator="equal">
      <formula>0</formula>
    </cfRule>
  </conditionalFormatting>
  <conditionalFormatting sqref="A1046">
    <cfRule type="cellIs" dxfId="3871" priority="3967" operator="equal">
      <formula>0</formula>
    </cfRule>
  </conditionalFormatting>
  <conditionalFormatting sqref="A1050">
    <cfRule type="cellIs" dxfId="3870" priority="3969" operator="equal">
      <formula>0</formula>
    </cfRule>
  </conditionalFormatting>
  <conditionalFormatting sqref="A1047:A1049">
    <cfRule type="cellIs" dxfId="3869" priority="3970" operator="equal">
      <formula>0</formula>
    </cfRule>
  </conditionalFormatting>
  <conditionalFormatting sqref="A1045">
    <cfRule type="cellIs" dxfId="3868" priority="3968" operator="equal">
      <formula>0</formula>
    </cfRule>
  </conditionalFormatting>
  <conditionalFormatting sqref="V1048">
    <cfRule type="cellIs" dxfId="3867" priority="3966" operator="equal">
      <formula>0</formula>
    </cfRule>
  </conditionalFormatting>
  <conditionalFormatting sqref="V1048">
    <cfRule type="cellIs" dxfId="3866" priority="3965" operator="equal">
      <formula>0</formula>
    </cfRule>
  </conditionalFormatting>
  <conditionalFormatting sqref="V1047">
    <cfRule type="cellIs" dxfId="3865" priority="3962" operator="equal">
      <formula>0</formula>
    </cfRule>
  </conditionalFormatting>
  <conditionalFormatting sqref="V1047">
    <cfRule type="cellIs" dxfId="3864" priority="3961" operator="equal">
      <formula>0</formula>
    </cfRule>
  </conditionalFormatting>
  <conditionalFormatting sqref="V1055">
    <cfRule type="cellIs" dxfId="3863" priority="3914" operator="equal">
      <formula>0</formula>
    </cfRule>
  </conditionalFormatting>
  <conditionalFormatting sqref="A1051:A1056 W1051:XFD1056">
    <cfRule type="cellIs" dxfId="3862" priority="3924" operator="equal">
      <formula>0</formula>
    </cfRule>
  </conditionalFormatting>
  <conditionalFormatting sqref="V1056">
    <cfRule type="cellIs" dxfId="3861" priority="3920" operator="equal">
      <formula>0</formula>
    </cfRule>
  </conditionalFormatting>
  <conditionalFormatting sqref="V1051">
    <cfRule type="cellIs" dxfId="3860" priority="3918" operator="equal">
      <formula>0</formula>
    </cfRule>
  </conditionalFormatting>
  <conditionalFormatting sqref="V1052">
    <cfRule type="cellIs" dxfId="3859" priority="3923" operator="equal">
      <formula>0</formula>
    </cfRule>
  </conditionalFormatting>
  <conditionalFormatting sqref="V1052">
    <cfRule type="cellIs" dxfId="3858" priority="3922" operator="equal">
      <formula>0</formula>
    </cfRule>
  </conditionalFormatting>
  <conditionalFormatting sqref="V1056">
    <cfRule type="cellIs" dxfId="3857" priority="3921" operator="equal">
      <formula>0</formula>
    </cfRule>
  </conditionalFormatting>
  <conditionalFormatting sqref="V1051">
    <cfRule type="cellIs" dxfId="3856" priority="3919" operator="equal">
      <formula>0</formula>
    </cfRule>
  </conditionalFormatting>
  <conditionalFormatting sqref="V1053:V1054">
    <cfRule type="cellIs" dxfId="3855" priority="3917" operator="equal">
      <formula>0</formula>
    </cfRule>
  </conditionalFormatting>
  <conditionalFormatting sqref="V1053:V1054">
    <cfRule type="cellIs" dxfId="3854" priority="3916" operator="equal">
      <formula>0</formula>
    </cfRule>
  </conditionalFormatting>
  <conditionalFormatting sqref="V1061">
    <cfRule type="cellIs" dxfId="3853" priority="3866" operator="equal">
      <formula>0</formula>
    </cfRule>
  </conditionalFormatting>
  <conditionalFormatting sqref="V1057:V1058">
    <cfRule type="cellIs" dxfId="3852" priority="3869" operator="equal">
      <formula>0</formula>
    </cfRule>
  </conditionalFormatting>
  <conditionalFormatting sqref="V1059">
    <cfRule type="cellIs" dxfId="3851" priority="3864" operator="equal">
      <formula>0</formula>
    </cfRule>
  </conditionalFormatting>
  <conditionalFormatting sqref="A1057:A1061 W1057:XFD1061">
    <cfRule type="cellIs" dxfId="3850" priority="3873" operator="equal">
      <formula>0</formula>
    </cfRule>
  </conditionalFormatting>
  <conditionalFormatting sqref="V1059">
    <cfRule type="cellIs" dxfId="3849" priority="3865" operator="equal">
      <formula>0</formula>
    </cfRule>
  </conditionalFormatting>
  <conditionalFormatting sqref="V1060">
    <cfRule type="cellIs" dxfId="3848" priority="3872" operator="equal">
      <formula>0</formula>
    </cfRule>
  </conditionalFormatting>
  <conditionalFormatting sqref="V1057:V1058">
    <cfRule type="cellIs" dxfId="3847" priority="3870" operator="equal">
      <formula>0</formula>
    </cfRule>
  </conditionalFormatting>
  <conditionalFormatting sqref="V1060">
    <cfRule type="cellIs" dxfId="3846" priority="3871" operator="equal">
      <formula>0</formula>
    </cfRule>
  </conditionalFormatting>
  <conditionalFormatting sqref="V1061">
    <cfRule type="cellIs" dxfId="3845" priority="3868" operator="equal">
      <formula>0</formula>
    </cfRule>
  </conditionalFormatting>
  <conditionalFormatting sqref="V1061">
    <cfRule type="cellIs" dxfId="3844" priority="3867" operator="equal">
      <formula>0</formula>
    </cfRule>
  </conditionalFormatting>
  <conditionalFormatting sqref="W1064:XFD1067">
    <cfRule type="cellIs" dxfId="3843" priority="3831" operator="equal">
      <formula>0</formula>
    </cfRule>
  </conditionalFormatting>
  <conditionalFormatting sqref="A1067">
    <cfRule type="cellIs" dxfId="3842" priority="3828" operator="equal">
      <formula>0</formula>
    </cfRule>
  </conditionalFormatting>
  <conditionalFormatting sqref="W1063:XFD1063">
    <cfRule type="cellIs" dxfId="3841" priority="3830" operator="equal">
      <formula>0</formula>
    </cfRule>
  </conditionalFormatting>
  <conditionalFormatting sqref="A1065">
    <cfRule type="cellIs" dxfId="3840" priority="3829" operator="equal">
      <formula>0</formula>
    </cfRule>
  </conditionalFormatting>
  <conditionalFormatting sqref="A1066">
    <cfRule type="cellIs" dxfId="3839" priority="3827" operator="equal">
      <formula>0</formula>
    </cfRule>
  </conditionalFormatting>
  <conditionalFormatting sqref="V1063">
    <cfRule type="cellIs" dxfId="3838" priority="3825" operator="equal">
      <formula>0</formula>
    </cfRule>
  </conditionalFormatting>
  <conditionalFormatting sqref="V1066:V1067">
    <cfRule type="cellIs" dxfId="3837" priority="3824" operator="equal">
      <formula>0</formula>
    </cfRule>
  </conditionalFormatting>
  <conditionalFormatting sqref="V1065">
    <cfRule type="cellIs" dxfId="3836" priority="3823" operator="equal">
      <formula>0</formula>
    </cfRule>
  </conditionalFormatting>
  <conditionalFormatting sqref="V1064:V1065">
    <cfRule type="cellIs" dxfId="3835" priority="3822" operator="equal">
      <formula>0</formula>
    </cfRule>
  </conditionalFormatting>
  <conditionalFormatting sqref="A1069">
    <cfRule type="cellIs" dxfId="3834" priority="3805" operator="equal">
      <formula>0</formula>
    </cfRule>
  </conditionalFormatting>
  <conditionalFormatting sqref="A1073">
    <cfRule type="cellIs" dxfId="3833" priority="3807" operator="equal">
      <formula>0</formula>
    </cfRule>
  </conditionalFormatting>
  <conditionalFormatting sqref="A1070:A1072">
    <cfRule type="cellIs" dxfId="3832" priority="3808" operator="equal">
      <formula>0</formula>
    </cfRule>
  </conditionalFormatting>
  <conditionalFormatting sqref="A1068">
    <cfRule type="cellIs" dxfId="3831" priority="3806" operator="equal">
      <formula>0</formula>
    </cfRule>
  </conditionalFormatting>
  <conditionalFormatting sqref="A1089">
    <cfRule type="cellIs" dxfId="3830" priority="3690" operator="equal">
      <formula>0</formula>
    </cfRule>
  </conditionalFormatting>
  <conditionalFormatting sqref="A1074">
    <cfRule type="cellIs" dxfId="3829" priority="3770" operator="equal">
      <formula>0</formula>
    </cfRule>
  </conditionalFormatting>
  <conditionalFormatting sqref="A1075:A1079">
    <cfRule type="cellIs" dxfId="3828" priority="3761" operator="equal">
      <formula>0</formula>
    </cfRule>
  </conditionalFormatting>
  <conditionalFormatting sqref="A1080:A1084">
    <cfRule type="cellIs" dxfId="3827" priority="3728" operator="equal">
      <formula>0</formula>
    </cfRule>
  </conditionalFormatting>
  <conditionalFormatting sqref="W1091:XFD1092">
    <cfRule type="cellIs" dxfId="3826" priority="3695" operator="equal">
      <formula>0</formula>
    </cfRule>
  </conditionalFormatting>
  <conditionalFormatting sqref="W1087:XFD1090">
    <cfRule type="cellIs" dxfId="3825" priority="3694" operator="equal">
      <formula>0</formula>
    </cfRule>
  </conditionalFormatting>
  <conditionalFormatting sqref="A1090">
    <cfRule type="cellIs" dxfId="3824" priority="3691" operator="equal">
      <formula>0</formula>
    </cfRule>
  </conditionalFormatting>
  <conditionalFormatting sqref="W1086:XFD1086">
    <cfRule type="cellIs" dxfId="3823" priority="3693" operator="equal">
      <formula>0</formula>
    </cfRule>
  </conditionalFormatting>
  <conditionalFormatting sqref="A1088">
    <cfRule type="cellIs" dxfId="3822" priority="3692" operator="equal">
      <formula>0</formula>
    </cfRule>
  </conditionalFormatting>
  <conditionalFormatting sqref="A1145:A1146">
    <cfRule type="cellIs" dxfId="3821" priority="3312" operator="equal">
      <formula>0</formula>
    </cfRule>
  </conditionalFormatting>
  <conditionalFormatting sqref="V1086">
    <cfRule type="cellIs" dxfId="3820" priority="3688" operator="equal">
      <formula>0</formula>
    </cfRule>
  </conditionalFormatting>
  <conditionalFormatting sqref="V1089:V1090">
    <cfRule type="cellIs" dxfId="3819" priority="3687" operator="equal">
      <formula>0</formula>
    </cfRule>
  </conditionalFormatting>
  <conditionalFormatting sqref="V1088">
    <cfRule type="cellIs" dxfId="3818" priority="3686" operator="equal">
      <formula>0</formula>
    </cfRule>
  </conditionalFormatting>
  <conditionalFormatting sqref="V1087:V1088">
    <cfRule type="cellIs" dxfId="3817" priority="3685" operator="equal">
      <formula>0</formula>
    </cfRule>
  </conditionalFormatting>
  <conditionalFormatting sqref="V1145:XFD1146">
    <cfRule type="cellIs" dxfId="3816" priority="3313" operator="equal">
      <formula>0</formula>
    </cfRule>
  </conditionalFormatting>
  <conditionalFormatting sqref="A1092">
    <cfRule type="cellIs" dxfId="3815" priority="3670" operator="equal">
      <formula>0</formula>
    </cfRule>
  </conditionalFormatting>
  <conditionalFormatting sqref="A1091">
    <cfRule type="cellIs" dxfId="3814" priority="3671" operator="equal">
      <formula>0</formula>
    </cfRule>
  </conditionalFormatting>
  <conditionalFormatting sqref="A1147:A1149">
    <cfRule type="cellIs" dxfId="3813" priority="3285" operator="equal">
      <formula>0</formula>
    </cfRule>
  </conditionalFormatting>
  <conditionalFormatting sqref="V1150:XFD1153">
    <cfRule type="cellIs" dxfId="3812" priority="3287" operator="equal">
      <formula>0</formula>
    </cfRule>
  </conditionalFormatting>
  <conditionalFormatting sqref="H20 H22">
    <cfRule type="cellIs" dxfId="3811" priority="3223" operator="equal">
      <formula>0</formula>
    </cfRule>
  </conditionalFormatting>
  <conditionalFormatting sqref="C30:D30 D24 F24 F26 D26 F30 F32 C32:D32 C34:D34 F34">
    <cfRule type="cellIs" dxfId="3810" priority="3213" operator="equal">
      <formula>0</formula>
    </cfRule>
  </conditionalFormatting>
  <conditionalFormatting sqref="Y20 Y22">
    <cfRule type="cellIs" dxfId="3809" priority="3202" operator="equal">
      <formula>0</formula>
    </cfRule>
  </conditionalFormatting>
  <conditionalFormatting sqref="U24 U26 U30 U32 U34">
    <cfRule type="cellIs" dxfId="3808" priority="3214" operator="equal">
      <formula>0</formula>
    </cfRule>
  </conditionalFormatting>
  <conditionalFormatting sqref="U11">
    <cfRule type="cellIs" dxfId="3807" priority="3207" operator="equal">
      <formula>0</formula>
    </cfRule>
  </conditionalFormatting>
  <conditionalFormatting sqref="C14:C16 C18 C20">
    <cfRule type="cellIs" dxfId="3806" priority="3212" operator="equal">
      <formula>0</formula>
    </cfRule>
  </conditionalFormatting>
  <conditionalFormatting sqref="Y13:AC13 Y14:Y16 AA14:AC16 Z22 AA18 AC18 Y12 Y18 AC20 AA20 Z24 Z26">
    <cfRule type="cellIs" dxfId="3805" priority="3206" operator="equal">
      <formula>0</formula>
    </cfRule>
  </conditionalFormatting>
  <conditionalFormatting sqref="H24 H26 H30 H32 H34">
    <cfRule type="cellIs" dxfId="3804" priority="3216" operator="equal">
      <formula>0</formula>
    </cfRule>
  </conditionalFormatting>
  <conditionalFormatting sqref="V20:X20 A20 AS20:XFD20 AS22:XFD22 A22 V22:X22">
    <cfRule type="cellIs" dxfId="3803" priority="3224" operator="equal">
      <formula>0</formula>
    </cfRule>
  </conditionalFormatting>
  <conditionalFormatting sqref="E11">
    <cfRule type="cellIs" dxfId="3802" priority="3210" operator="equal">
      <formula>0</formula>
    </cfRule>
  </conditionalFormatting>
  <conditionalFormatting sqref="AE12:AE16 AE18">
    <cfRule type="cellIs" dxfId="3801" priority="3205" operator="equal">
      <formula>0</formula>
    </cfRule>
  </conditionalFormatting>
  <conditionalFormatting sqref="AD13:AQ16 Z12:AQ12 AD18:AQ18">
    <cfRule type="cellIs" dxfId="3800" priority="3204" operator="equal">
      <formula>0</formula>
    </cfRule>
  </conditionalFormatting>
  <conditionalFormatting sqref="W1114:XFD1115">
    <cfRule type="cellIs" dxfId="3799" priority="3552" operator="equal">
      <formula>0</formula>
    </cfRule>
  </conditionalFormatting>
  <conditionalFormatting sqref="W1110:XFD1113">
    <cfRule type="cellIs" dxfId="3798" priority="3551" operator="equal">
      <formula>0</formula>
    </cfRule>
  </conditionalFormatting>
  <conditionalFormatting sqref="A1113">
    <cfRule type="cellIs" dxfId="3797" priority="3548" operator="equal">
      <formula>0</formula>
    </cfRule>
  </conditionalFormatting>
  <conditionalFormatting sqref="W1109:XFD1109">
    <cfRule type="cellIs" dxfId="3796" priority="3550" operator="equal">
      <formula>0</formula>
    </cfRule>
  </conditionalFormatting>
  <conditionalFormatting sqref="A1111">
    <cfRule type="cellIs" dxfId="3795" priority="3549" operator="equal">
      <formula>0</formula>
    </cfRule>
  </conditionalFormatting>
  <conditionalFormatting sqref="A1112">
    <cfRule type="cellIs" dxfId="3794" priority="3547" operator="equal">
      <formula>0</formula>
    </cfRule>
  </conditionalFormatting>
  <conditionalFormatting sqref="V1147:XFD1149">
    <cfRule type="cellIs" dxfId="3793" priority="3286" operator="equal">
      <formula>0</formula>
    </cfRule>
  </conditionalFormatting>
  <conditionalFormatting sqref="V1109">
    <cfRule type="cellIs" dxfId="3792" priority="3545" operator="equal">
      <formula>0</formula>
    </cfRule>
  </conditionalFormatting>
  <conditionalFormatting sqref="V1112:V1113">
    <cfRule type="cellIs" dxfId="3791" priority="3544" operator="equal">
      <formula>0</formula>
    </cfRule>
  </conditionalFormatting>
  <conditionalFormatting sqref="V1111">
    <cfRule type="cellIs" dxfId="3790" priority="3543" operator="equal">
      <formula>0</formula>
    </cfRule>
  </conditionalFormatting>
  <conditionalFormatting sqref="V1110:V1111">
    <cfRule type="cellIs" dxfId="3789" priority="3542" operator="equal">
      <formula>0</formula>
    </cfRule>
  </conditionalFormatting>
  <conditionalFormatting sqref="A1115">
    <cfRule type="cellIs" dxfId="3788" priority="3527" operator="equal">
      <formula>0</formula>
    </cfRule>
  </conditionalFormatting>
  <conditionalFormatting sqref="A1114">
    <cfRule type="cellIs" dxfId="3787" priority="3528" operator="equal">
      <formula>0</formula>
    </cfRule>
  </conditionalFormatting>
  <conditionalFormatting sqref="V1116:XFD1117 V1120:XFD1121 W1118:XFD1119">
    <cfRule type="cellIs" dxfId="3786" priority="3513" operator="equal">
      <formula>0</formula>
    </cfRule>
  </conditionalFormatting>
  <conditionalFormatting sqref="A1116:A1121">
    <cfRule type="cellIs" dxfId="3785" priority="3512" operator="equal">
      <formula>0</formula>
    </cfRule>
  </conditionalFormatting>
  <conditionalFormatting sqref="A1150:A1153">
    <cfRule type="cellIs" dxfId="3784" priority="3259" operator="equal">
      <formula>0</formula>
    </cfRule>
  </conditionalFormatting>
  <conditionalFormatting sqref="V1122:XFD1126">
    <cfRule type="cellIs" dxfId="3783" priority="3477" operator="equal">
      <formula>0</formula>
    </cfRule>
  </conditionalFormatting>
  <conditionalFormatting sqref="A1122:A1126">
    <cfRule type="cellIs" dxfId="3782" priority="3476" operator="equal">
      <formula>0</formula>
    </cfRule>
  </conditionalFormatting>
  <conditionalFormatting sqref="E18 E20 E22 E24 E26 E30 E32 E34">
    <cfRule type="cellIs" dxfId="3781" priority="3211" operator="equal">
      <formula>0</formula>
    </cfRule>
  </conditionalFormatting>
  <conditionalFormatting sqref="U20 U22">
    <cfRule type="cellIs" dxfId="3780" priority="3221" operator="equal">
      <formula>0</formula>
    </cfRule>
  </conditionalFormatting>
  <conditionalFormatting sqref="U11">
    <cfRule type="cellIs" dxfId="3779" priority="3208" operator="equal">
      <formula>0</formula>
    </cfRule>
  </conditionalFormatting>
  <conditionalFormatting sqref="V24:X24 A24 AS24:XFD24 AS26:XFD26 A26 V26:X26 V30:X30 A30 AS30:XFD30 AS32:XFD32 A32 V32:X32 V34:X34 A34 AS34:XFD34">
    <cfRule type="cellIs" dxfId="3778" priority="3217" operator="equal">
      <formula>0</formula>
    </cfRule>
  </conditionalFormatting>
  <conditionalFormatting sqref="AD24:AQ24 AD26:AQ26 AD30:AQ30 AD32:AQ32 AD34:AQ34">
    <cfRule type="cellIs" dxfId="3777" priority="3195" operator="equal">
      <formula>0</formula>
    </cfRule>
  </conditionalFormatting>
  <conditionalFormatting sqref="Z30:AA30 AA24 AC24 AC26 AA26 AC30 AC32 Z32:AA32 Z34:AA34 AC34">
    <cfRule type="cellIs" dxfId="3776" priority="3193" operator="equal">
      <formula>0</formula>
    </cfRule>
  </conditionalFormatting>
  <conditionalFormatting sqref="AR20 AR22">
    <cfRule type="cellIs" dxfId="3775" priority="3199" operator="equal">
      <formula>0</formula>
    </cfRule>
  </conditionalFormatting>
  <conditionalFormatting sqref="A1127:A1130">
    <cfRule type="cellIs" dxfId="3774" priority="3426" operator="equal">
      <formula>0</formula>
    </cfRule>
  </conditionalFormatting>
  <conditionalFormatting sqref="Y19 AA19:AC19">
    <cfRule type="cellIs" dxfId="3773" priority="3171" operator="equal">
      <formula>0</formula>
    </cfRule>
  </conditionalFormatting>
  <conditionalFormatting sqref="AE17">
    <cfRule type="cellIs" dxfId="3772" priority="3180" operator="equal">
      <formula>0</formula>
    </cfRule>
  </conditionalFormatting>
  <conditionalFormatting sqref="C19">
    <cfRule type="cellIs" dxfId="3771" priority="3172" operator="equal">
      <formula>0</formula>
    </cfRule>
  </conditionalFormatting>
  <conditionalFormatting sqref="U17">
    <cfRule type="cellIs" dxfId="3770" priority="3183" operator="equal">
      <formula>0</formula>
    </cfRule>
  </conditionalFormatting>
  <conditionalFormatting sqref="AB18 AB20 AB22 AB24 AB26 AB30 AB32 AB34">
    <cfRule type="cellIs" dxfId="3769" priority="3191" operator="equal">
      <formula>0</formula>
    </cfRule>
  </conditionalFormatting>
  <conditionalFormatting sqref="G21:T21">
    <cfRule type="cellIs" dxfId="3768" priority="3164" operator="equal">
      <formula>0</formula>
    </cfRule>
  </conditionalFormatting>
  <conditionalFormatting sqref="Y11:AA11 AC11:AR11">
    <cfRule type="cellIs" dxfId="3767" priority="3189" operator="equal">
      <formula>0</formula>
    </cfRule>
  </conditionalFormatting>
  <conditionalFormatting sqref="C17">
    <cfRule type="cellIs" dxfId="3766" priority="3182" operator="equal">
      <formula>0</formula>
    </cfRule>
  </conditionalFormatting>
  <conditionalFormatting sqref="Z17">
    <cfRule type="cellIs" dxfId="3765" priority="3177" operator="equal">
      <formula>0</formula>
    </cfRule>
  </conditionalFormatting>
  <conditionalFormatting sqref="AR19">
    <cfRule type="cellIs" dxfId="3764" priority="3168" operator="equal">
      <formula>0</formula>
    </cfRule>
  </conditionalFormatting>
  <conditionalFormatting sqref="C21">
    <cfRule type="cellIs" dxfId="3763" priority="3162" operator="equal">
      <formula>0</formula>
    </cfRule>
  </conditionalFormatting>
  <conditionalFormatting sqref="W1137:XFD1138">
    <cfRule type="cellIs" dxfId="3762" priority="3393" operator="equal">
      <formula>0</formula>
    </cfRule>
  </conditionalFormatting>
  <conditionalFormatting sqref="W1133:XFD1136">
    <cfRule type="cellIs" dxfId="3761" priority="3392" operator="equal">
      <formula>0</formula>
    </cfRule>
  </conditionalFormatting>
  <conditionalFormatting sqref="A1136">
    <cfRule type="cellIs" dxfId="3760" priority="3389" operator="equal">
      <formula>0</formula>
    </cfRule>
  </conditionalFormatting>
  <conditionalFormatting sqref="W1132:XFD1132">
    <cfRule type="cellIs" dxfId="3759" priority="3391" operator="equal">
      <formula>0</formula>
    </cfRule>
  </conditionalFormatting>
  <conditionalFormatting sqref="A1134">
    <cfRule type="cellIs" dxfId="3758" priority="3390" operator="equal">
      <formula>0</formula>
    </cfRule>
  </conditionalFormatting>
  <conditionalFormatting sqref="A1135">
    <cfRule type="cellIs" dxfId="3757" priority="3388" operator="equal">
      <formula>0</formula>
    </cfRule>
  </conditionalFormatting>
  <conditionalFormatting sqref="V1132">
    <cfRule type="cellIs" dxfId="3756" priority="3386" operator="equal">
      <formula>0</formula>
    </cfRule>
  </conditionalFormatting>
  <conditionalFormatting sqref="V1135:V1136">
    <cfRule type="cellIs" dxfId="3755" priority="3385" operator="equal">
      <formula>0</formula>
    </cfRule>
  </conditionalFormatting>
  <conditionalFormatting sqref="V1134">
    <cfRule type="cellIs" dxfId="3754" priority="3384" operator="equal">
      <formula>0</formula>
    </cfRule>
  </conditionalFormatting>
  <conditionalFormatting sqref="V1133:V1134">
    <cfRule type="cellIs" dxfId="3753" priority="3383" operator="equal">
      <formula>0</formula>
    </cfRule>
  </conditionalFormatting>
  <conditionalFormatting sqref="A1138">
    <cfRule type="cellIs" dxfId="3752" priority="3368" operator="equal">
      <formula>0</formula>
    </cfRule>
  </conditionalFormatting>
  <conditionalFormatting sqref="A1137">
    <cfRule type="cellIs" dxfId="3751" priority="3369" operator="equal">
      <formula>0</formula>
    </cfRule>
  </conditionalFormatting>
  <conditionalFormatting sqref="V1139:XFD1139">
    <cfRule type="cellIs" dxfId="3750" priority="3354" operator="equal">
      <formula>0</formula>
    </cfRule>
  </conditionalFormatting>
  <conditionalFormatting sqref="A1139">
    <cfRule type="cellIs" dxfId="3749" priority="3353" operator="equal">
      <formula>0</formula>
    </cfRule>
  </conditionalFormatting>
  <conditionalFormatting sqref="V1140:XFD1140 V1143:XFD1144 W1141:XFD1142">
    <cfRule type="cellIs" dxfId="3748" priority="3345" operator="equal">
      <formula>0</formula>
    </cfRule>
  </conditionalFormatting>
  <conditionalFormatting sqref="A1140:A1144">
    <cfRule type="cellIs" dxfId="3747" priority="3344" operator="equal">
      <formula>0</formula>
    </cfRule>
  </conditionalFormatting>
  <conditionalFormatting sqref="G20:T20 G22:T22">
    <cfRule type="cellIs" dxfId="3746" priority="3222" operator="equal">
      <formula>0</formula>
    </cfRule>
  </conditionalFormatting>
  <conditionalFormatting sqref="G24:T24 G26:T26 G30:T30 G32:T32 G34:T34">
    <cfRule type="cellIs" dxfId="3745" priority="3215" operator="equal">
      <formula>0</formula>
    </cfRule>
  </conditionalFormatting>
  <conditionalFormatting sqref="AR12:AR16 AR18">
    <cfRule type="cellIs" dxfId="3744" priority="3203" operator="equal">
      <formula>0</formula>
    </cfRule>
  </conditionalFormatting>
  <conditionalFormatting sqref="AE20 AE22">
    <cfRule type="cellIs" dxfId="3743" priority="3201" operator="equal">
      <formula>0</formula>
    </cfRule>
  </conditionalFormatting>
  <conditionalFormatting sqref="Y24 Y26 Y30 Y32 Y34">
    <cfRule type="cellIs" dxfId="3742" priority="3197" operator="equal">
      <formula>0</formula>
    </cfRule>
  </conditionalFormatting>
  <conditionalFormatting sqref="AR11">
    <cfRule type="cellIs" dxfId="3741" priority="3187" operator="equal">
      <formula>0</formula>
    </cfRule>
  </conditionalFormatting>
  <conditionalFormatting sqref="AR11">
    <cfRule type="cellIs" dxfId="3740" priority="3188" operator="equal">
      <formula>0</formula>
    </cfRule>
  </conditionalFormatting>
  <conditionalFormatting sqref="A19:B19 D19:F19 V19:X19 AS19:XFD19">
    <cfRule type="cellIs" dxfId="3739" priority="3176" operator="equal">
      <formula>0</formula>
    </cfRule>
  </conditionalFormatting>
  <conditionalFormatting sqref="U19">
    <cfRule type="cellIs" dxfId="3738" priority="3173" operator="equal">
      <formula>0</formula>
    </cfRule>
  </conditionalFormatting>
  <conditionalFormatting sqref="AD17:AQ17">
    <cfRule type="cellIs" dxfId="3737" priority="3179" operator="equal">
      <formula>0</formula>
    </cfRule>
  </conditionalFormatting>
  <conditionalFormatting sqref="U21">
    <cfRule type="cellIs" dxfId="3736" priority="3163" operator="equal">
      <formula>0</formula>
    </cfRule>
  </conditionalFormatting>
  <conditionalFormatting sqref="Z21">
    <cfRule type="cellIs" dxfId="3735" priority="3157" operator="equal">
      <formula>0</formula>
    </cfRule>
  </conditionalFormatting>
  <conditionalFormatting sqref="AD21:AQ21">
    <cfRule type="cellIs" dxfId="3734" priority="3159" operator="equal">
      <formula>0</formula>
    </cfRule>
  </conditionalFormatting>
  <conditionalFormatting sqref="G23:T23">
    <cfRule type="cellIs" dxfId="3733" priority="3154" operator="equal">
      <formula>0</formula>
    </cfRule>
  </conditionalFormatting>
  <conditionalFormatting sqref="A23:B23 D23:F23 V23:X23 AS23:XFD23">
    <cfRule type="cellIs" dxfId="3732" priority="3156" operator="equal">
      <formula>0</formula>
    </cfRule>
  </conditionalFormatting>
  <conditionalFormatting sqref="A25:B25 D25:F25 V25:X25 AS25:XFD25">
    <cfRule type="cellIs" dxfId="3731" priority="3146" operator="equal">
      <formula>0</formula>
    </cfRule>
  </conditionalFormatting>
  <conditionalFormatting sqref="U25">
    <cfRule type="cellIs" dxfId="3730" priority="3143" operator="equal">
      <formula>0</formula>
    </cfRule>
  </conditionalFormatting>
  <conditionalFormatting sqref="AE23">
    <cfRule type="cellIs" dxfId="3729" priority="3150" operator="equal">
      <formula>0</formula>
    </cfRule>
  </conditionalFormatting>
  <conditionalFormatting sqref="AD23:AQ23">
    <cfRule type="cellIs" dxfId="3728" priority="3149" operator="equal">
      <formula>0</formula>
    </cfRule>
  </conditionalFormatting>
  <conditionalFormatting sqref="U28">
    <cfRule type="cellIs" dxfId="3727" priority="3121" operator="equal">
      <formula>0</formula>
    </cfRule>
  </conditionalFormatting>
  <conditionalFormatting sqref="G28:T28">
    <cfRule type="cellIs" dxfId="3726" priority="3122" operator="equal">
      <formula>0</formula>
    </cfRule>
  </conditionalFormatting>
  <conditionalFormatting sqref="AD28:AQ28">
    <cfRule type="cellIs" dxfId="3725" priority="3115" operator="equal">
      <formula>0</formula>
    </cfRule>
  </conditionalFormatting>
  <conditionalFormatting sqref="Y25 AA25:AC25">
    <cfRule type="cellIs" dxfId="3724" priority="3141" operator="equal">
      <formula>0</formula>
    </cfRule>
  </conditionalFormatting>
  <conditionalFormatting sqref="F28 D28">
    <cfRule type="cellIs" dxfId="3723" priority="3120" operator="equal">
      <formula>0</formula>
    </cfRule>
  </conditionalFormatting>
  <conditionalFormatting sqref="AE28">
    <cfRule type="cellIs" dxfId="3722" priority="3116" operator="equal">
      <formula>0</formula>
    </cfRule>
  </conditionalFormatting>
  <conditionalFormatting sqref="AR28">
    <cfRule type="cellIs" dxfId="3721" priority="3114" operator="equal">
      <formula>0</formula>
    </cfRule>
  </conditionalFormatting>
  <conditionalFormatting sqref="AD25:AQ25">
    <cfRule type="cellIs" dxfId="3720" priority="3139" operator="equal">
      <formula>0</formula>
    </cfRule>
  </conditionalFormatting>
  <conditionalFormatting sqref="H28">
    <cfRule type="cellIs" dxfId="3719" priority="3123" operator="equal">
      <formula>0</formula>
    </cfRule>
  </conditionalFormatting>
  <conditionalFormatting sqref="Z28">
    <cfRule type="cellIs" dxfId="3718" priority="3118" operator="equal">
      <formula>0</formula>
    </cfRule>
  </conditionalFormatting>
  <conditionalFormatting sqref="AB28">
    <cfRule type="cellIs" dxfId="3717" priority="3112" operator="equal">
      <formula>0</formula>
    </cfRule>
  </conditionalFormatting>
  <conditionalFormatting sqref="D22 F22">
    <cfRule type="cellIs" dxfId="3716" priority="3220" operator="equal">
      <formula>0</formula>
    </cfRule>
  </conditionalFormatting>
  <conditionalFormatting sqref="B11:D11 F11:U11">
    <cfRule type="cellIs" dxfId="3715" priority="3209" operator="equal">
      <formula>0</formula>
    </cfRule>
  </conditionalFormatting>
  <conditionalFormatting sqref="AD20:AQ20 AD22:AQ22">
    <cfRule type="cellIs" dxfId="3714" priority="3200" operator="equal">
      <formula>0</formula>
    </cfRule>
  </conditionalFormatting>
  <conditionalFormatting sqref="AA22 AC22">
    <cfRule type="cellIs" dxfId="3713" priority="3198" operator="equal">
      <formula>0</formula>
    </cfRule>
  </conditionalFormatting>
  <conditionalFormatting sqref="AE24 AE26 AE30 AE32 AE34">
    <cfRule type="cellIs" dxfId="3712" priority="3196" operator="equal">
      <formula>0</formula>
    </cfRule>
  </conditionalFormatting>
  <conditionalFormatting sqref="AR24 AR26 AR30 AR32 AR34">
    <cfRule type="cellIs" dxfId="3711" priority="3194" operator="equal">
      <formula>0</formula>
    </cfRule>
  </conditionalFormatting>
  <conditionalFormatting sqref="Z14:Z16 Z18 Z20">
    <cfRule type="cellIs" dxfId="3710" priority="3192" operator="equal">
      <formula>0</formula>
    </cfRule>
  </conditionalFormatting>
  <conditionalFormatting sqref="AB11">
    <cfRule type="cellIs" dxfId="3709" priority="3190" operator="equal">
      <formula>0</formula>
    </cfRule>
  </conditionalFormatting>
  <conditionalFormatting sqref="A17:B17 D17:F17 V17:X17 AS17:XFD17">
    <cfRule type="cellIs" dxfId="3708" priority="3186" operator="equal">
      <formula>0</formula>
    </cfRule>
  </conditionalFormatting>
  <conditionalFormatting sqref="H17">
    <cfRule type="cellIs" dxfId="3707" priority="3185" operator="equal">
      <formula>0</formula>
    </cfRule>
  </conditionalFormatting>
  <conditionalFormatting sqref="G17:T17">
    <cfRule type="cellIs" dxfId="3706" priority="3184" operator="equal">
      <formula>0</formula>
    </cfRule>
  </conditionalFormatting>
  <conditionalFormatting sqref="Y17 AA17:AC17">
    <cfRule type="cellIs" dxfId="3705" priority="3181" operator="equal">
      <formula>0</formula>
    </cfRule>
  </conditionalFormatting>
  <conditionalFormatting sqref="AR17">
    <cfRule type="cellIs" dxfId="3704" priority="3178" operator="equal">
      <formula>0</formula>
    </cfRule>
  </conditionalFormatting>
  <conditionalFormatting sqref="H19">
    <cfRule type="cellIs" dxfId="3703" priority="3175" operator="equal">
      <formula>0</formula>
    </cfRule>
  </conditionalFormatting>
  <conditionalFormatting sqref="G19:T19">
    <cfRule type="cellIs" dxfId="3702" priority="3174" operator="equal">
      <formula>0</formula>
    </cfRule>
  </conditionalFormatting>
  <conditionalFormatting sqref="AE19">
    <cfRule type="cellIs" dxfId="3701" priority="3170" operator="equal">
      <formula>0</formula>
    </cfRule>
  </conditionalFormatting>
  <conditionalFormatting sqref="AD19:AQ19">
    <cfRule type="cellIs" dxfId="3700" priority="3169" operator="equal">
      <formula>0</formula>
    </cfRule>
  </conditionalFormatting>
  <conditionalFormatting sqref="Z19">
    <cfRule type="cellIs" dxfId="3699" priority="3167" operator="equal">
      <formula>0</formula>
    </cfRule>
  </conditionalFormatting>
  <conditionalFormatting sqref="A21:B21 D21:F21 V21:X21 AS21:XFD21">
    <cfRule type="cellIs" dxfId="3698" priority="3166" operator="equal">
      <formula>0</formula>
    </cfRule>
  </conditionalFormatting>
  <conditionalFormatting sqref="H21">
    <cfRule type="cellIs" dxfId="3697" priority="3165" operator="equal">
      <formula>0</formula>
    </cfRule>
  </conditionalFormatting>
  <conditionalFormatting sqref="Y21 AA21:AC21">
    <cfRule type="cellIs" dxfId="3696" priority="3161" operator="equal">
      <formula>0</formula>
    </cfRule>
  </conditionalFormatting>
  <conditionalFormatting sqref="AE21">
    <cfRule type="cellIs" dxfId="3695" priority="3160" operator="equal">
      <formula>0</formula>
    </cfRule>
  </conditionalFormatting>
  <conditionalFormatting sqref="AR21">
    <cfRule type="cellIs" dxfId="3694" priority="3158" operator="equal">
      <formula>0</formula>
    </cfRule>
  </conditionalFormatting>
  <conditionalFormatting sqref="H23">
    <cfRule type="cellIs" dxfId="3693" priority="3155" operator="equal">
      <formula>0</formula>
    </cfRule>
  </conditionalFormatting>
  <conditionalFormatting sqref="U23">
    <cfRule type="cellIs" dxfId="3692" priority="3153" operator="equal">
      <formula>0</formula>
    </cfRule>
  </conditionalFormatting>
  <conditionalFormatting sqref="C23">
    <cfRule type="cellIs" dxfId="3691" priority="3152" operator="equal">
      <formula>0</formula>
    </cfRule>
  </conditionalFormatting>
  <conditionalFormatting sqref="Y23 AA23:AC23">
    <cfRule type="cellIs" dxfId="3690" priority="3151" operator="equal">
      <formula>0</formula>
    </cfRule>
  </conditionalFormatting>
  <conditionalFormatting sqref="AR23">
    <cfRule type="cellIs" dxfId="3689" priority="3148" operator="equal">
      <formula>0</formula>
    </cfRule>
  </conditionalFormatting>
  <conditionalFormatting sqref="Z23">
    <cfRule type="cellIs" dxfId="3688" priority="3147" operator="equal">
      <formula>0</formula>
    </cfRule>
  </conditionalFormatting>
  <conditionalFormatting sqref="H25">
    <cfRule type="cellIs" dxfId="3687" priority="3145" operator="equal">
      <formula>0</formula>
    </cfRule>
  </conditionalFormatting>
  <conditionalFormatting sqref="G25:T25">
    <cfRule type="cellIs" dxfId="3686" priority="3144" operator="equal">
      <formula>0</formula>
    </cfRule>
  </conditionalFormatting>
  <conditionalFormatting sqref="C25">
    <cfRule type="cellIs" dxfId="3685" priority="3142" operator="equal">
      <formula>0</formula>
    </cfRule>
  </conditionalFormatting>
  <conditionalFormatting sqref="AE25">
    <cfRule type="cellIs" dxfId="3684" priority="3140" operator="equal">
      <formula>0</formula>
    </cfRule>
  </conditionalFormatting>
  <conditionalFormatting sqref="AR25">
    <cfRule type="cellIs" dxfId="3683" priority="3138" operator="equal">
      <formula>0</formula>
    </cfRule>
  </conditionalFormatting>
  <conditionalFormatting sqref="Z25">
    <cfRule type="cellIs" dxfId="3682" priority="3137" operator="equal">
      <formula>0</formula>
    </cfRule>
  </conditionalFormatting>
  <conditionalFormatting sqref="Z35 Z37">
    <cfRule type="cellIs" dxfId="3681" priority="3062" operator="equal">
      <formula>0</formula>
    </cfRule>
  </conditionalFormatting>
  <conditionalFormatting sqref="B22">
    <cfRule type="cellIs" dxfId="3680" priority="3060" operator="equal">
      <formula>0</formula>
    </cfRule>
  </conditionalFormatting>
  <conditionalFormatting sqref="B24">
    <cfRule type="cellIs" dxfId="3679" priority="3059" operator="equal">
      <formula>0</formula>
    </cfRule>
  </conditionalFormatting>
  <conditionalFormatting sqref="B26">
    <cfRule type="cellIs" dxfId="3678" priority="3058" operator="equal">
      <formula>0</formula>
    </cfRule>
  </conditionalFormatting>
  <conditionalFormatting sqref="B28">
    <cfRule type="cellIs" dxfId="3677" priority="3057" operator="equal">
      <formula>0</formula>
    </cfRule>
  </conditionalFormatting>
  <conditionalFormatting sqref="B32">
    <cfRule type="cellIs" dxfId="3676" priority="3055" operator="equal">
      <formula>0</formula>
    </cfRule>
  </conditionalFormatting>
  <conditionalFormatting sqref="B34">
    <cfRule type="cellIs" dxfId="3675" priority="3054" operator="equal">
      <formula>0</formula>
    </cfRule>
  </conditionalFormatting>
  <conditionalFormatting sqref="C28">
    <cfRule type="cellIs" dxfId="3674" priority="3126" operator="equal">
      <formula>0</formula>
    </cfRule>
  </conditionalFormatting>
  <conditionalFormatting sqref="AS28:XFD28 A28 V28:X28">
    <cfRule type="cellIs" dxfId="3673" priority="3124" operator="equal">
      <formula>0</formula>
    </cfRule>
  </conditionalFormatting>
  <conditionalFormatting sqref="E28">
    <cfRule type="cellIs" dxfId="3672" priority="3119" operator="equal">
      <formula>0</formula>
    </cfRule>
  </conditionalFormatting>
  <conditionalFormatting sqref="AC28 AA28">
    <cfRule type="cellIs" dxfId="3671" priority="3113" operator="equal">
      <formula>0</formula>
    </cfRule>
  </conditionalFormatting>
  <conditionalFormatting sqref="Y28">
    <cfRule type="cellIs" dxfId="3670" priority="3117" operator="equal">
      <formula>0</formula>
    </cfRule>
  </conditionalFormatting>
  <conditionalFormatting sqref="A27:B27 D27:F27 V27:X27 AS27:XFD27">
    <cfRule type="cellIs" dxfId="3669" priority="3111" operator="equal">
      <formula>0</formula>
    </cfRule>
  </conditionalFormatting>
  <conditionalFormatting sqref="H27">
    <cfRule type="cellIs" dxfId="3668" priority="3110" operator="equal">
      <formula>0</formula>
    </cfRule>
  </conditionalFormatting>
  <conditionalFormatting sqref="G27:T27">
    <cfRule type="cellIs" dxfId="3667" priority="3109" operator="equal">
      <formula>0</formula>
    </cfRule>
  </conditionalFormatting>
  <conditionalFormatting sqref="U27">
    <cfRule type="cellIs" dxfId="3666" priority="3108" operator="equal">
      <formula>0</formula>
    </cfRule>
  </conditionalFormatting>
  <conditionalFormatting sqref="C27">
    <cfRule type="cellIs" dxfId="3665" priority="3107" operator="equal">
      <formula>0</formula>
    </cfRule>
  </conditionalFormatting>
  <conditionalFormatting sqref="Y27 AA27:AC27">
    <cfRule type="cellIs" dxfId="3664" priority="3106" operator="equal">
      <formula>0</formula>
    </cfRule>
  </conditionalFormatting>
  <conditionalFormatting sqref="AE27">
    <cfRule type="cellIs" dxfId="3663" priority="3105" operator="equal">
      <formula>0</formula>
    </cfRule>
  </conditionalFormatting>
  <conditionalFormatting sqref="AD27:AQ27">
    <cfRule type="cellIs" dxfId="3662" priority="3104" operator="equal">
      <formula>0</formula>
    </cfRule>
  </conditionalFormatting>
  <conditionalFormatting sqref="AR27">
    <cfRule type="cellIs" dxfId="3661" priority="3103" operator="equal">
      <formula>0</formula>
    </cfRule>
  </conditionalFormatting>
  <conditionalFormatting sqref="Z27">
    <cfRule type="cellIs" dxfId="3660" priority="3102" operator="equal">
      <formula>0</formula>
    </cfRule>
  </conditionalFormatting>
  <conditionalFormatting sqref="A29:B29 D29:F29 V29:X29 AS29:XFD29">
    <cfRule type="cellIs" dxfId="3659" priority="3101" operator="equal">
      <formula>0</formula>
    </cfRule>
  </conditionalFormatting>
  <conditionalFormatting sqref="H29">
    <cfRule type="cellIs" dxfId="3658" priority="3100" operator="equal">
      <formula>0</formula>
    </cfRule>
  </conditionalFormatting>
  <conditionalFormatting sqref="G29:T29">
    <cfRule type="cellIs" dxfId="3657" priority="3099" operator="equal">
      <formula>0</formula>
    </cfRule>
  </conditionalFormatting>
  <conditionalFormatting sqref="U29">
    <cfRule type="cellIs" dxfId="3656" priority="3098" operator="equal">
      <formula>0</formula>
    </cfRule>
  </conditionalFormatting>
  <conditionalFormatting sqref="C29">
    <cfRule type="cellIs" dxfId="3655" priority="3097" operator="equal">
      <formula>0</formula>
    </cfRule>
  </conditionalFormatting>
  <conditionalFormatting sqref="Y29 AA29:AC29">
    <cfRule type="cellIs" dxfId="3654" priority="3096" operator="equal">
      <formula>0</formula>
    </cfRule>
  </conditionalFormatting>
  <conditionalFormatting sqref="AE29">
    <cfRule type="cellIs" dxfId="3653" priority="3095" operator="equal">
      <formula>0</formula>
    </cfRule>
  </conditionalFormatting>
  <conditionalFormatting sqref="AD29:AQ29">
    <cfRule type="cellIs" dxfId="3652" priority="3094" operator="equal">
      <formula>0</formula>
    </cfRule>
  </conditionalFormatting>
  <conditionalFormatting sqref="AR29">
    <cfRule type="cellIs" dxfId="3651" priority="3093" operator="equal">
      <formula>0</formula>
    </cfRule>
  </conditionalFormatting>
  <conditionalFormatting sqref="Z29">
    <cfRule type="cellIs" dxfId="3650" priority="3092" operator="equal">
      <formula>0</formula>
    </cfRule>
  </conditionalFormatting>
  <conditionalFormatting sqref="A31:B31 D31:F31 V31:X31 AS31:XFD31">
    <cfRule type="cellIs" dxfId="3649" priority="3091" operator="equal">
      <formula>0</formula>
    </cfRule>
  </conditionalFormatting>
  <conditionalFormatting sqref="H31">
    <cfRule type="cellIs" dxfId="3648" priority="3090" operator="equal">
      <formula>0</formula>
    </cfRule>
  </conditionalFormatting>
  <conditionalFormatting sqref="G31:T31">
    <cfRule type="cellIs" dxfId="3647" priority="3089" operator="equal">
      <formula>0</formula>
    </cfRule>
  </conditionalFormatting>
  <conditionalFormatting sqref="U31">
    <cfRule type="cellIs" dxfId="3646" priority="3088" operator="equal">
      <formula>0</formula>
    </cfRule>
  </conditionalFormatting>
  <conditionalFormatting sqref="C31">
    <cfRule type="cellIs" dxfId="3645" priority="3087" operator="equal">
      <formula>0</formula>
    </cfRule>
  </conditionalFormatting>
  <conditionalFormatting sqref="Y31 AA31:AC31">
    <cfRule type="cellIs" dxfId="3644" priority="3086" operator="equal">
      <formula>0</formula>
    </cfRule>
  </conditionalFormatting>
  <conditionalFormatting sqref="AE31">
    <cfRule type="cellIs" dxfId="3643" priority="3085" operator="equal">
      <formula>0</formula>
    </cfRule>
  </conditionalFormatting>
  <conditionalFormatting sqref="AD31:AQ31">
    <cfRule type="cellIs" dxfId="3642" priority="3084" operator="equal">
      <formula>0</formula>
    </cfRule>
  </conditionalFormatting>
  <conditionalFormatting sqref="AR31">
    <cfRule type="cellIs" dxfId="3641" priority="3083" operator="equal">
      <formula>0</formula>
    </cfRule>
  </conditionalFormatting>
  <conditionalFormatting sqref="Z31">
    <cfRule type="cellIs" dxfId="3640" priority="3082" operator="equal">
      <formula>0</formula>
    </cfRule>
  </conditionalFormatting>
  <conditionalFormatting sqref="A33:B33 D33:F33 V33:X33 AS33:XFD33">
    <cfRule type="cellIs" dxfId="3639" priority="3081" operator="equal">
      <formula>0</formula>
    </cfRule>
  </conditionalFormatting>
  <conditionalFormatting sqref="H33">
    <cfRule type="cellIs" dxfId="3638" priority="3080" operator="equal">
      <formula>0</formula>
    </cfRule>
  </conditionalFormatting>
  <conditionalFormatting sqref="G33:T33">
    <cfRule type="cellIs" dxfId="3637" priority="3079" operator="equal">
      <formula>0</formula>
    </cfRule>
  </conditionalFormatting>
  <conditionalFormatting sqref="U33">
    <cfRule type="cellIs" dxfId="3636" priority="3078" operator="equal">
      <formula>0</formula>
    </cfRule>
  </conditionalFormatting>
  <conditionalFormatting sqref="C33">
    <cfRule type="cellIs" dxfId="3635" priority="3077" operator="equal">
      <formula>0</formula>
    </cfRule>
  </conditionalFormatting>
  <conditionalFormatting sqref="Y33 AA33:AC33">
    <cfRule type="cellIs" dxfId="3634" priority="3076" operator="equal">
      <formula>0</formula>
    </cfRule>
  </conditionalFormatting>
  <conditionalFormatting sqref="AE33">
    <cfRule type="cellIs" dxfId="3633" priority="3075" operator="equal">
      <formula>0</formula>
    </cfRule>
  </conditionalFormatting>
  <conditionalFormatting sqref="AD33:AQ33">
    <cfRule type="cellIs" dxfId="3632" priority="3074" operator="equal">
      <formula>0</formula>
    </cfRule>
  </conditionalFormatting>
  <conditionalFormatting sqref="AR33">
    <cfRule type="cellIs" dxfId="3631" priority="3073" operator="equal">
      <formula>0</formula>
    </cfRule>
  </conditionalFormatting>
  <conditionalFormatting sqref="Z33">
    <cfRule type="cellIs" dxfId="3630" priority="3072" operator="equal">
      <formula>0</formula>
    </cfRule>
  </conditionalFormatting>
  <conditionalFormatting sqref="A35:B35 D35:F35 V35:X35 AS35:XFD35 AS37:XFD37 V37:X37 D37:F37 A37:B37">
    <cfRule type="cellIs" dxfId="3629" priority="3071" operator="equal">
      <formula>0</formula>
    </cfRule>
  </conditionalFormatting>
  <conditionalFormatting sqref="H35 H37">
    <cfRule type="cellIs" dxfId="3628" priority="3070" operator="equal">
      <formula>0</formula>
    </cfRule>
  </conditionalFormatting>
  <conditionalFormatting sqref="G35:T35 G37:T37">
    <cfRule type="cellIs" dxfId="3627" priority="3069" operator="equal">
      <formula>0</formula>
    </cfRule>
  </conditionalFormatting>
  <conditionalFormatting sqref="U35 U37">
    <cfRule type="cellIs" dxfId="3626" priority="3068" operator="equal">
      <formula>0</formula>
    </cfRule>
  </conditionalFormatting>
  <conditionalFormatting sqref="C35 C37">
    <cfRule type="cellIs" dxfId="3625" priority="3067" operator="equal">
      <formula>0</formula>
    </cfRule>
  </conditionalFormatting>
  <conditionalFormatting sqref="Y35 AA35:AC35 AA37:AC37 Y37">
    <cfRule type="cellIs" dxfId="3624" priority="3066" operator="equal">
      <formula>0</formula>
    </cfRule>
  </conditionalFormatting>
  <conditionalFormatting sqref="AE35 AE37">
    <cfRule type="cellIs" dxfId="3623" priority="3065" operator="equal">
      <formula>0</formula>
    </cfRule>
  </conditionalFormatting>
  <conditionalFormatting sqref="AD35:AQ35 AD37:AQ37">
    <cfRule type="cellIs" dxfId="3622" priority="3064" operator="equal">
      <formula>0</formula>
    </cfRule>
  </conditionalFormatting>
  <conditionalFormatting sqref="AR35 AR37">
    <cfRule type="cellIs" dxfId="3621" priority="3063" operator="equal">
      <formula>0</formula>
    </cfRule>
  </conditionalFormatting>
  <conditionalFormatting sqref="B20">
    <cfRule type="cellIs" dxfId="3620" priority="3061" operator="equal">
      <formula>0</formula>
    </cfRule>
  </conditionalFormatting>
  <conditionalFormatting sqref="B30">
    <cfRule type="cellIs" dxfId="3619" priority="3056" operator="equal">
      <formula>0</formula>
    </cfRule>
  </conditionalFormatting>
  <conditionalFormatting sqref="V1141:V1142">
    <cfRule type="cellIs" dxfId="3618" priority="2591" operator="equal">
      <formula>0</formula>
    </cfRule>
  </conditionalFormatting>
  <conditionalFormatting sqref="C579">
    <cfRule type="cellIs" dxfId="3617" priority="2588" operator="equal">
      <formula>0</formula>
    </cfRule>
  </conditionalFormatting>
  <conditionalFormatting sqref="V980:V981">
    <cfRule type="cellIs" dxfId="3616" priority="2596" operator="equal">
      <formula>0</formula>
    </cfRule>
  </conditionalFormatting>
  <conditionalFormatting sqref="V1026:V1027">
    <cfRule type="cellIs" dxfId="3615" priority="2594" operator="equal">
      <formula>0</formula>
    </cfRule>
  </conditionalFormatting>
  <conditionalFormatting sqref="V934:V935">
    <cfRule type="cellIs" dxfId="3614" priority="2598" operator="equal">
      <formula>0</formula>
    </cfRule>
  </conditionalFormatting>
  <conditionalFormatting sqref="C598">
    <cfRule type="cellIs" dxfId="3613" priority="2586" operator="equal">
      <formula>0</formula>
    </cfRule>
  </conditionalFormatting>
  <conditionalFormatting sqref="C630">
    <cfRule type="cellIs" dxfId="3612" priority="2583" operator="equal">
      <formula>0</formula>
    </cfRule>
  </conditionalFormatting>
  <conditionalFormatting sqref="C890">
    <cfRule type="cellIs" dxfId="3611" priority="2580" operator="equal">
      <formula>0</formula>
    </cfRule>
  </conditionalFormatting>
  <conditionalFormatting sqref="B890:H890">
    <cfRule type="cellIs" dxfId="3610" priority="2579" operator="equal">
      <formula>0</formula>
    </cfRule>
  </conditionalFormatting>
  <conditionalFormatting sqref="K637">
    <cfRule type="cellIs" dxfId="3609" priority="2684" operator="equal">
      <formula>0</formula>
    </cfRule>
  </conditionalFormatting>
  <conditionalFormatting sqref="O639">
    <cfRule type="cellIs" dxfId="3608" priority="2681" operator="equal">
      <formula>0</formula>
    </cfRule>
  </conditionalFormatting>
  <conditionalFormatting sqref="B639 B641 B643 B645 B647 B649 B651 B653 B655 B657 B659">
    <cfRule type="cellIs" dxfId="3607" priority="2689" operator="equal">
      <formula>0</formula>
    </cfRule>
  </conditionalFormatting>
  <conditionalFormatting sqref="I639 I641 I643 I645 I647 I649 I651 I653 I655 I657 I659">
    <cfRule type="cellIs" dxfId="3606" priority="2687" operator="equal">
      <formula>0</formula>
    </cfRule>
  </conditionalFormatting>
  <conditionalFormatting sqref="E639 E641 E643 E645 E647 E649 E651 E653 E655 E657 E659">
    <cfRule type="cellIs" dxfId="3605" priority="2691" operator="equal">
      <formula>0</formula>
    </cfRule>
  </conditionalFormatting>
  <conditionalFormatting sqref="O641">
    <cfRule type="cellIs" dxfId="3604" priority="2679" operator="equal">
      <formula>0</formula>
    </cfRule>
  </conditionalFormatting>
  <conditionalFormatting sqref="K645">
    <cfRule type="cellIs" dxfId="3603" priority="2676" operator="equal">
      <formula>0</formula>
    </cfRule>
  </conditionalFormatting>
  <conditionalFormatting sqref="K647">
    <cfRule type="cellIs" dxfId="3602" priority="2674" operator="equal">
      <formula>0</formula>
    </cfRule>
  </conditionalFormatting>
  <conditionalFormatting sqref="K649">
    <cfRule type="cellIs" dxfId="3601" priority="2672" operator="equal">
      <formula>0</formula>
    </cfRule>
  </conditionalFormatting>
  <conditionalFormatting sqref="K651">
    <cfRule type="cellIs" dxfId="3600" priority="2670" operator="equal">
      <formula>0</formula>
    </cfRule>
  </conditionalFormatting>
  <conditionalFormatting sqref="C541">
    <cfRule type="cellIs" dxfId="3599" priority="2760" operator="equal">
      <formula>0</formula>
    </cfRule>
  </conditionalFormatting>
  <conditionalFormatting sqref="B534:C534 B535">
    <cfRule type="cellIs" dxfId="3598" priority="2784" operator="equal">
      <formula>0</formula>
    </cfRule>
  </conditionalFormatting>
  <conditionalFormatting sqref="C535">
    <cfRule type="cellIs" dxfId="3597" priority="2783" operator="equal">
      <formula>0</formula>
    </cfRule>
  </conditionalFormatting>
  <conditionalFormatting sqref="B531:T531">
    <cfRule type="cellIs" dxfId="3596" priority="2782" operator="equal">
      <formula>0</formula>
    </cfRule>
  </conditionalFormatting>
  <conditionalFormatting sqref="U531">
    <cfRule type="cellIs" dxfId="3595" priority="2781" operator="equal">
      <formula>0</formula>
    </cfRule>
  </conditionalFormatting>
  <conditionalFormatting sqref="U531">
    <cfRule type="cellIs" dxfId="3594" priority="2780" operator="equal">
      <formula>0</formula>
    </cfRule>
  </conditionalFormatting>
  <conditionalFormatting sqref="E536">
    <cfRule type="cellIs" dxfId="3593" priority="2776" operator="equal">
      <formula>0</formula>
    </cfRule>
  </conditionalFormatting>
  <conditionalFormatting sqref="I535">
    <cfRule type="cellIs" dxfId="3592" priority="2775" operator="equal">
      <formula>0</formula>
    </cfRule>
  </conditionalFormatting>
  <conditionalFormatting sqref="A537 D537 J537:XFD537">
    <cfRule type="cellIs" dxfId="3591" priority="2774" operator="equal">
      <formula>0</formula>
    </cfRule>
  </conditionalFormatting>
  <conditionalFormatting sqref="B537">
    <cfRule type="cellIs" dxfId="3590" priority="2773" operator="equal">
      <formula>0</formula>
    </cfRule>
  </conditionalFormatting>
  <conditionalFormatting sqref="C537">
    <cfRule type="cellIs" dxfId="3589" priority="2772" operator="equal">
      <formula>0</formula>
    </cfRule>
  </conditionalFormatting>
  <conditionalFormatting sqref="I537">
    <cfRule type="cellIs" dxfId="3588" priority="2769" operator="equal">
      <formula>0</formula>
    </cfRule>
  </conditionalFormatting>
  <conditionalFormatting sqref="E539">
    <cfRule type="cellIs" dxfId="3587" priority="2768" operator="equal">
      <formula>0</formula>
    </cfRule>
  </conditionalFormatting>
  <conditionalFormatting sqref="A539 D539 J539:XFD539">
    <cfRule type="cellIs" dxfId="3586" priority="2767" operator="equal">
      <formula>0</formula>
    </cfRule>
  </conditionalFormatting>
  <conditionalFormatting sqref="B539">
    <cfRule type="cellIs" dxfId="3585" priority="2766" operator="equal">
      <formula>0</formula>
    </cfRule>
  </conditionalFormatting>
  <conditionalFormatting sqref="C539">
    <cfRule type="cellIs" dxfId="3584" priority="2765" operator="equal">
      <formula>0</formula>
    </cfRule>
  </conditionalFormatting>
  <conditionalFormatting sqref="I539">
    <cfRule type="cellIs" dxfId="3583" priority="2764" operator="equal">
      <formula>0</formula>
    </cfRule>
  </conditionalFormatting>
  <conditionalFormatting sqref="E541">
    <cfRule type="cellIs" dxfId="3582" priority="2763" operator="equal">
      <formula>0</formula>
    </cfRule>
  </conditionalFormatting>
  <conditionalFormatting sqref="A541 D541 J541:XFD541">
    <cfRule type="cellIs" dxfId="3581" priority="2762" operator="equal">
      <formula>0</formula>
    </cfRule>
  </conditionalFormatting>
  <conditionalFormatting sqref="B541">
    <cfRule type="cellIs" dxfId="3580" priority="2761" operator="equal">
      <formula>0</formula>
    </cfRule>
  </conditionalFormatting>
  <conditionalFormatting sqref="I541">
    <cfRule type="cellIs" dxfId="3579" priority="2759" operator="equal">
      <formula>0</formula>
    </cfRule>
  </conditionalFormatting>
  <conditionalFormatting sqref="E543">
    <cfRule type="cellIs" dxfId="3578" priority="2758" operator="equal">
      <formula>0</formula>
    </cfRule>
  </conditionalFormatting>
  <conditionalFormatting sqref="A543 D543 J543:XFD543">
    <cfRule type="cellIs" dxfId="3577" priority="2757" operator="equal">
      <formula>0</formula>
    </cfRule>
  </conditionalFormatting>
  <conditionalFormatting sqref="B543">
    <cfRule type="cellIs" dxfId="3576" priority="2756" operator="equal">
      <formula>0</formula>
    </cfRule>
  </conditionalFormatting>
  <conditionalFormatting sqref="C543">
    <cfRule type="cellIs" dxfId="3575" priority="2755" operator="equal">
      <formula>0</formula>
    </cfRule>
  </conditionalFormatting>
  <conditionalFormatting sqref="I543">
    <cfRule type="cellIs" dxfId="3574" priority="2754" operator="equal">
      <formula>0</formula>
    </cfRule>
  </conditionalFormatting>
  <conditionalFormatting sqref="V634:XFD634">
    <cfRule type="cellIs" dxfId="3573" priority="2751" operator="equal">
      <formula>0</formula>
    </cfRule>
  </conditionalFormatting>
  <conditionalFormatting sqref="B634:T634">
    <cfRule type="cellIs" dxfId="3572" priority="2750" operator="equal">
      <formula>0</formula>
    </cfRule>
  </conditionalFormatting>
  <conditionalFormatting sqref="U634">
    <cfRule type="cellIs" dxfId="3571" priority="2749" operator="equal">
      <formula>0</formula>
    </cfRule>
  </conditionalFormatting>
  <conditionalFormatting sqref="U634">
    <cfRule type="cellIs" dxfId="3570" priority="2748" operator="equal">
      <formula>0</formula>
    </cfRule>
  </conditionalFormatting>
  <conditionalFormatting sqref="E637">
    <cfRule type="cellIs" dxfId="3569" priority="2747" operator="equal">
      <formula>0</formula>
    </cfRule>
  </conditionalFormatting>
  <conditionalFormatting sqref="A637 D637 J637 P637 V637:XFD637">
    <cfRule type="cellIs" dxfId="3568" priority="2746" operator="equal">
      <formula>0</formula>
    </cfRule>
  </conditionalFormatting>
  <conditionalFormatting sqref="B637">
    <cfRule type="cellIs" dxfId="3567" priority="2745" operator="equal">
      <formula>0</formula>
    </cfRule>
  </conditionalFormatting>
  <conditionalFormatting sqref="C637">
    <cfRule type="cellIs" dxfId="3566" priority="2744" operator="equal">
      <formula>0</formula>
    </cfRule>
  </conditionalFormatting>
  <conditionalFormatting sqref="I637">
    <cfRule type="cellIs" dxfId="3565" priority="2743" operator="equal">
      <formula>0</formula>
    </cfRule>
  </conditionalFormatting>
  <conditionalFormatting sqref="A638:D638 F638:T638 V638:XFD638">
    <cfRule type="cellIs" dxfId="3564" priority="2742" operator="equal">
      <formula>0</formula>
    </cfRule>
  </conditionalFormatting>
  <conditionalFormatting sqref="E638">
    <cfRule type="cellIs" dxfId="3563" priority="2741" operator="equal">
      <formula>0</formula>
    </cfRule>
  </conditionalFormatting>
  <conditionalFormatting sqref="V36:X36 A36 AS36:XFD36">
    <cfRule type="cellIs" dxfId="3562" priority="2740" operator="equal">
      <formula>0</formula>
    </cfRule>
  </conditionalFormatting>
  <conditionalFormatting sqref="C36:D36 F36">
    <cfRule type="cellIs" dxfId="3561" priority="2736" operator="equal">
      <formula>0</formula>
    </cfRule>
  </conditionalFormatting>
  <conditionalFormatting sqref="G36:T36">
    <cfRule type="cellIs" dxfId="3560" priority="2738" operator="equal">
      <formula>0</formula>
    </cfRule>
  </conditionalFormatting>
  <conditionalFormatting sqref="H36">
    <cfRule type="cellIs" dxfId="3559" priority="2739" operator="equal">
      <formula>0</formula>
    </cfRule>
  </conditionalFormatting>
  <conditionalFormatting sqref="U36">
    <cfRule type="cellIs" dxfId="3558" priority="2737" operator="equal">
      <formula>0</formula>
    </cfRule>
  </conditionalFormatting>
  <conditionalFormatting sqref="E36">
    <cfRule type="cellIs" dxfId="3557" priority="2735" operator="equal">
      <formula>0</formula>
    </cfRule>
  </conditionalFormatting>
  <conditionalFormatting sqref="Z36:AA36 AC36">
    <cfRule type="cellIs" dxfId="3556" priority="2730" operator="equal">
      <formula>0</formula>
    </cfRule>
  </conditionalFormatting>
  <conditionalFormatting sqref="Y36">
    <cfRule type="cellIs" dxfId="3555" priority="2734" operator="equal">
      <formula>0</formula>
    </cfRule>
  </conditionalFormatting>
  <conditionalFormatting sqref="AE36">
    <cfRule type="cellIs" dxfId="3554" priority="2733" operator="equal">
      <formula>0</formula>
    </cfRule>
  </conditionalFormatting>
  <conditionalFormatting sqref="AD36:AQ36">
    <cfRule type="cellIs" dxfId="3553" priority="2732" operator="equal">
      <formula>0</formula>
    </cfRule>
  </conditionalFormatting>
  <conditionalFormatting sqref="AR36">
    <cfRule type="cellIs" dxfId="3552" priority="2731" operator="equal">
      <formula>0</formula>
    </cfRule>
  </conditionalFormatting>
  <conditionalFormatting sqref="AB36">
    <cfRule type="cellIs" dxfId="3551" priority="2729" operator="equal">
      <formula>0</formula>
    </cfRule>
  </conditionalFormatting>
  <conditionalFormatting sqref="B36">
    <cfRule type="cellIs" dxfId="3550" priority="2728" operator="equal">
      <formula>0</formula>
    </cfRule>
  </conditionalFormatting>
  <conditionalFormatting sqref="V38:X38 A38 AS38:XFD38">
    <cfRule type="cellIs" dxfId="3549" priority="2704" operator="equal">
      <formula>0</formula>
    </cfRule>
  </conditionalFormatting>
  <conditionalFormatting sqref="C38:D38 F38">
    <cfRule type="cellIs" dxfId="3548" priority="2700" operator="equal">
      <formula>0</formula>
    </cfRule>
  </conditionalFormatting>
  <conditionalFormatting sqref="G38:T38">
    <cfRule type="cellIs" dxfId="3547" priority="2702" operator="equal">
      <formula>0</formula>
    </cfRule>
  </conditionalFormatting>
  <conditionalFormatting sqref="H38">
    <cfRule type="cellIs" dxfId="3546" priority="2703" operator="equal">
      <formula>0</formula>
    </cfRule>
  </conditionalFormatting>
  <conditionalFormatting sqref="U38">
    <cfRule type="cellIs" dxfId="3545" priority="2701" operator="equal">
      <formula>0</formula>
    </cfRule>
  </conditionalFormatting>
  <conditionalFormatting sqref="E38">
    <cfRule type="cellIs" dxfId="3544" priority="2699" operator="equal">
      <formula>0</formula>
    </cfRule>
  </conditionalFormatting>
  <conditionalFormatting sqref="Z38:AA38 AC38">
    <cfRule type="cellIs" dxfId="3543" priority="2694" operator="equal">
      <formula>0</formula>
    </cfRule>
  </conditionalFormatting>
  <conditionalFormatting sqref="Y38">
    <cfRule type="cellIs" dxfId="3542" priority="2698" operator="equal">
      <formula>0</formula>
    </cfRule>
  </conditionalFormatting>
  <conditionalFormatting sqref="AE38">
    <cfRule type="cellIs" dxfId="3541" priority="2697" operator="equal">
      <formula>0</formula>
    </cfRule>
  </conditionalFormatting>
  <conditionalFormatting sqref="AD38:AQ38">
    <cfRule type="cellIs" dxfId="3540" priority="2696" operator="equal">
      <formula>0</formula>
    </cfRule>
  </conditionalFormatting>
  <conditionalFormatting sqref="AR38">
    <cfRule type="cellIs" dxfId="3539" priority="2695" operator="equal">
      <formula>0</formula>
    </cfRule>
  </conditionalFormatting>
  <conditionalFormatting sqref="AB38">
    <cfRule type="cellIs" dxfId="3538" priority="2693" operator="equal">
      <formula>0</formula>
    </cfRule>
  </conditionalFormatting>
  <conditionalFormatting sqref="B38">
    <cfRule type="cellIs" dxfId="3537" priority="2692" operator="equal">
      <formula>0</formula>
    </cfRule>
  </conditionalFormatting>
  <conditionalFormatting sqref="A639 A641 A643 A645 A647 A649 A651 A653 A655 A657 A659 D639 D641 D643 D645 D647 D649 D651 D653 D655 D657 D659 J639 J641 J643 J645 J647 J649 J651 J653 J657:XFD657 J659:XFD659 P639 P641 P643 P645 P647 P649 P651 P653 V639:XFD639 V641:XFD641 V643:XFD643 V645:XFD645 V647:XFD647 V649:XFD649 V651:XFD651 V653:XFD653">
    <cfRule type="cellIs" dxfId="3536" priority="2690" operator="equal">
      <formula>0</formula>
    </cfRule>
  </conditionalFormatting>
  <conditionalFormatting sqref="C639 C641 C643 C645 C647 C649 C651 C653 C655 C657 C659">
    <cfRule type="cellIs" dxfId="3535" priority="2688" operator="equal">
      <formula>0</formula>
    </cfRule>
  </conditionalFormatting>
  <conditionalFormatting sqref="A640:D640 A642:D642 A644:D644 A646:D646 A648:D648 A650:D650 A652:D652 A654:D654 A656:D656 A658:D658 A660:D660 F640:T640 F642:T642 F644:T644 F646:T646 F648:T648 F650:T650 F652:T652 F654:XFD654 F656:XFD656 F658:XFD658 F660:XFD660 V652:XFD652 V650:XFD650 V648:XFD648 V646:XFD646 V644:XFD644 V642:XFD642 V640:XFD640">
    <cfRule type="cellIs" dxfId="3534" priority="2686" operator="equal">
      <formula>0</formula>
    </cfRule>
  </conditionalFormatting>
  <conditionalFormatting sqref="E640 E642 E644 E646 E648 E650 E652 E654 E656 E658 E660">
    <cfRule type="cellIs" dxfId="3533" priority="2685" operator="equal">
      <formula>0</formula>
    </cfRule>
  </conditionalFormatting>
  <conditionalFormatting sqref="O637">
    <cfRule type="cellIs" dxfId="3532" priority="2683" operator="equal">
      <formula>0</formula>
    </cfRule>
  </conditionalFormatting>
  <conditionalFormatting sqref="K639">
    <cfRule type="cellIs" dxfId="3531" priority="2682" operator="equal">
      <formula>0</formula>
    </cfRule>
  </conditionalFormatting>
  <conditionalFormatting sqref="K641">
    <cfRule type="cellIs" dxfId="3530" priority="2680" operator="equal">
      <formula>0</formula>
    </cfRule>
  </conditionalFormatting>
  <conditionalFormatting sqref="K643">
    <cfRule type="cellIs" dxfId="3529" priority="2678" operator="equal">
      <formula>0</formula>
    </cfRule>
  </conditionalFormatting>
  <conditionalFormatting sqref="O643">
    <cfRule type="cellIs" dxfId="3528" priority="2677" operator="equal">
      <formula>0</formula>
    </cfRule>
  </conditionalFormatting>
  <conditionalFormatting sqref="O645">
    <cfRule type="cellIs" dxfId="3527" priority="2675" operator="equal">
      <formula>0</formula>
    </cfRule>
  </conditionalFormatting>
  <conditionalFormatting sqref="O647">
    <cfRule type="cellIs" dxfId="3526" priority="2673" operator="equal">
      <formula>0</formula>
    </cfRule>
  </conditionalFormatting>
  <conditionalFormatting sqref="O649">
    <cfRule type="cellIs" dxfId="3525" priority="2671" operator="equal">
      <formula>0</formula>
    </cfRule>
  </conditionalFormatting>
  <conditionalFormatting sqref="O651">
    <cfRule type="cellIs" dxfId="3524" priority="2669" operator="equal">
      <formula>0</formula>
    </cfRule>
  </conditionalFormatting>
  <conditionalFormatting sqref="K653">
    <cfRule type="cellIs" dxfId="3523" priority="2668" operator="equal">
      <formula>0</formula>
    </cfRule>
  </conditionalFormatting>
  <conditionalFormatting sqref="O653">
    <cfRule type="cellIs" dxfId="3522" priority="2667" operator="equal">
      <formula>0</formula>
    </cfRule>
  </conditionalFormatting>
  <conditionalFormatting sqref="Q637">
    <cfRule type="cellIs" dxfId="3521" priority="2666" operator="equal">
      <formula>0</formula>
    </cfRule>
  </conditionalFormatting>
  <conditionalFormatting sqref="Q639">
    <cfRule type="cellIs" dxfId="3520" priority="2664" operator="equal">
      <formula>0</formula>
    </cfRule>
  </conditionalFormatting>
  <conditionalFormatting sqref="Q641">
    <cfRule type="cellIs" dxfId="3519" priority="2662" operator="equal">
      <formula>0</formula>
    </cfRule>
  </conditionalFormatting>
  <conditionalFormatting sqref="Q643">
    <cfRule type="cellIs" dxfId="3518" priority="2660" operator="equal">
      <formula>0</formula>
    </cfRule>
  </conditionalFormatting>
  <conditionalFormatting sqref="Q645">
    <cfRule type="cellIs" dxfId="3517" priority="2658" operator="equal">
      <formula>0</formula>
    </cfRule>
  </conditionalFormatting>
  <conditionalFormatting sqref="Q647">
    <cfRule type="cellIs" dxfId="3516" priority="2656" operator="equal">
      <formula>0</formula>
    </cfRule>
  </conditionalFormatting>
  <conditionalFormatting sqref="Q649">
    <cfRule type="cellIs" dxfId="3515" priority="2654" operator="equal">
      <formula>0</formula>
    </cfRule>
  </conditionalFormatting>
  <conditionalFormatting sqref="Q651">
    <cfRule type="cellIs" dxfId="3514" priority="2652" operator="equal">
      <formula>0</formula>
    </cfRule>
  </conditionalFormatting>
  <conditionalFormatting sqref="Q653">
    <cfRule type="cellIs" dxfId="3513" priority="2650" operator="equal">
      <formula>0</formula>
    </cfRule>
  </conditionalFormatting>
  <conditionalFormatting sqref="O636">
    <cfRule type="cellIs" dxfId="3512" priority="2648" operator="equal">
      <formula>0</formula>
    </cfRule>
  </conditionalFormatting>
  <conditionalFormatting sqref="M883">
    <cfRule type="cellIs" dxfId="3511" priority="2646" operator="equal">
      <formula>0</formula>
    </cfRule>
  </conditionalFormatting>
  <conditionalFormatting sqref="V907:V908">
    <cfRule type="cellIs" dxfId="3510" priority="2610" operator="equal">
      <formula>0</formula>
    </cfRule>
  </conditionalFormatting>
  <conditionalFormatting sqref="V930:V931">
    <cfRule type="cellIs" dxfId="3509" priority="2609" operator="equal">
      <formula>0</formula>
    </cfRule>
  </conditionalFormatting>
  <conditionalFormatting sqref="V953:V954">
    <cfRule type="cellIs" dxfId="3508" priority="2608" operator="equal">
      <formula>0</formula>
    </cfRule>
  </conditionalFormatting>
  <conditionalFormatting sqref="V976:V977">
    <cfRule type="cellIs" dxfId="3507" priority="2607" operator="equal">
      <formula>0</formula>
    </cfRule>
  </conditionalFormatting>
  <conditionalFormatting sqref="V999:V1000">
    <cfRule type="cellIs" dxfId="3506" priority="2606" operator="equal">
      <formula>0</formula>
    </cfRule>
  </conditionalFormatting>
  <conditionalFormatting sqref="V1022:V1023">
    <cfRule type="cellIs" dxfId="3505" priority="2605" operator="equal">
      <formula>0</formula>
    </cfRule>
  </conditionalFormatting>
  <conditionalFormatting sqref="V1045:V1046">
    <cfRule type="cellIs" dxfId="3504" priority="2604" operator="equal">
      <formula>0</formula>
    </cfRule>
  </conditionalFormatting>
  <conditionalFormatting sqref="V1068:V1069">
    <cfRule type="cellIs" dxfId="3503" priority="2603" operator="equal">
      <formula>0</formula>
    </cfRule>
  </conditionalFormatting>
  <conditionalFormatting sqref="V1091:V1092">
    <cfRule type="cellIs" dxfId="3502" priority="2602" operator="equal">
      <formula>0</formula>
    </cfRule>
  </conditionalFormatting>
  <conditionalFormatting sqref="V1114:V1115">
    <cfRule type="cellIs" dxfId="3501" priority="2601" operator="equal">
      <formula>0</formula>
    </cfRule>
  </conditionalFormatting>
  <conditionalFormatting sqref="V1137:V1138">
    <cfRule type="cellIs" dxfId="3500" priority="2600" operator="equal">
      <formula>0</formula>
    </cfRule>
  </conditionalFormatting>
  <conditionalFormatting sqref="V911:V912">
    <cfRule type="cellIs" dxfId="3499" priority="2599" operator="equal">
      <formula>0</formula>
    </cfRule>
  </conditionalFormatting>
  <conditionalFormatting sqref="V957:V958">
    <cfRule type="cellIs" dxfId="3498" priority="2597" operator="equal">
      <formula>0</formula>
    </cfRule>
  </conditionalFormatting>
  <conditionalFormatting sqref="V1003:V1004">
    <cfRule type="cellIs" dxfId="3497" priority="2595" operator="equal">
      <formula>0</formula>
    </cfRule>
  </conditionalFormatting>
  <conditionalFormatting sqref="V1049:V1050">
    <cfRule type="cellIs" dxfId="3496" priority="2593" operator="equal">
      <formula>0</formula>
    </cfRule>
  </conditionalFormatting>
  <conditionalFormatting sqref="V1118:V1119">
    <cfRule type="cellIs" dxfId="3495" priority="2592" operator="equal">
      <formula>0</formula>
    </cfRule>
  </conditionalFormatting>
  <conditionalFormatting sqref="C555">
    <cfRule type="cellIs" dxfId="3494" priority="2590" operator="equal">
      <formula>0</formula>
    </cfRule>
  </conditionalFormatting>
  <conditionalFormatting sqref="C563">
    <cfRule type="cellIs" dxfId="3493" priority="2589" operator="equal">
      <formula>0</formula>
    </cfRule>
  </conditionalFormatting>
  <conditionalFormatting sqref="C587">
    <cfRule type="cellIs" dxfId="3492" priority="2587" operator="equal">
      <formula>0</formula>
    </cfRule>
  </conditionalFormatting>
  <conditionalFormatting sqref="C614">
    <cfRule type="cellIs" dxfId="3491" priority="2585" operator="equal">
      <formula>0</formula>
    </cfRule>
  </conditionalFormatting>
  <conditionalFormatting sqref="C622">
    <cfRule type="cellIs" dxfId="3490" priority="2584" operator="equal">
      <formula>0</formula>
    </cfRule>
  </conditionalFormatting>
  <conditionalFormatting sqref="B890:G890">
    <cfRule type="cellIs" dxfId="3489" priority="2582" operator="lessThan">
      <formula>0</formula>
    </cfRule>
  </conditionalFormatting>
  <conditionalFormatting sqref="D890">
    <cfRule type="cellIs" dxfId="3488" priority="2581" operator="equal">
      <formula>0</formula>
    </cfRule>
  </conditionalFormatting>
  <conditionalFormatting sqref="I890">
    <cfRule type="cellIs" dxfId="3487" priority="2578" operator="equal">
      <formula>0</formula>
    </cfRule>
  </conditionalFormatting>
  <conditionalFormatting sqref="C894">
    <cfRule type="cellIs" dxfId="3486" priority="2575" operator="equal">
      <formula>0</formula>
    </cfRule>
  </conditionalFormatting>
  <conditionalFormatting sqref="B894:G894">
    <cfRule type="cellIs" dxfId="3485" priority="2577" operator="lessThan">
      <formula>0</formula>
    </cfRule>
  </conditionalFormatting>
  <conditionalFormatting sqref="D894">
    <cfRule type="cellIs" dxfId="3484" priority="2576" operator="equal">
      <formula>0</formula>
    </cfRule>
  </conditionalFormatting>
  <conditionalFormatting sqref="B894:H894">
    <cfRule type="cellIs" dxfId="3483" priority="2574" operator="equal">
      <formula>0</formula>
    </cfRule>
  </conditionalFormatting>
  <conditionalFormatting sqref="I894">
    <cfRule type="cellIs" dxfId="3482" priority="2573" operator="equal">
      <formula>0</formula>
    </cfRule>
  </conditionalFormatting>
  <conditionalFormatting sqref="C899">
    <cfRule type="cellIs" dxfId="3481" priority="2570" operator="equal">
      <formula>0</formula>
    </cfRule>
  </conditionalFormatting>
  <conditionalFormatting sqref="B899:G899">
    <cfRule type="cellIs" dxfId="3480" priority="2572" operator="lessThan">
      <formula>0</formula>
    </cfRule>
  </conditionalFormatting>
  <conditionalFormatting sqref="D899">
    <cfRule type="cellIs" dxfId="3479" priority="2571" operator="equal">
      <formula>0</formula>
    </cfRule>
  </conditionalFormatting>
  <conditionalFormatting sqref="B899:H899">
    <cfRule type="cellIs" dxfId="3478" priority="2569" operator="equal">
      <formula>0</formula>
    </cfRule>
  </conditionalFormatting>
  <conditionalFormatting sqref="I899">
    <cfRule type="cellIs" dxfId="3477" priority="2568" operator="equal">
      <formula>0</formula>
    </cfRule>
  </conditionalFormatting>
  <conditionalFormatting sqref="B946:H946">
    <cfRule type="cellIs" dxfId="3476" priority="2444" operator="equal">
      <formula>0</formula>
    </cfRule>
  </conditionalFormatting>
  <conditionalFormatting sqref="U946">
    <cfRule type="cellIs" dxfId="3475" priority="2369" operator="equal">
      <formula>0</formula>
    </cfRule>
  </conditionalFormatting>
  <conditionalFormatting sqref="I946:U946">
    <cfRule type="cellIs" dxfId="3474" priority="2368" operator="equal">
      <formula>0</formula>
    </cfRule>
  </conditionalFormatting>
  <conditionalFormatting sqref="U946">
    <cfRule type="cellIs" dxfId="3473" priority="2367" operator="equal">
      <formula>0</formula>
    </cfRule>
  </conditionalFormatting>
  <conditionalFormatting sqref="B880">
    <cfRule type="cellIs" dxfId="3472" priority="2103" operator="equal">
      <formula>0</formula>
    </cfRule>
  </conditionalFormatting>
  <conditionalFormatting sqref="B940:H940">
    <cfRule type="cellIs" dxfId="3471" priority="1859" operator="equal">
      <formula>0</formula>
    </cfRule>
  </conditionalFormatting>
  <conditionalFormatting sqref="B881">
    <cfRule type="cellIs" dxfId="3470" priority="1975" operator="equal">
      <formula>0</formula>
    </cfRule>
  </conditionalFormatting>
  <conditionalFormatting sqref="N906:T906 I906:L906">
    <cfRule type="cellIs" dxfId="3469" priority="2091" operator="equal">
      <formula>0</formula>
    </cfRule>
  </conditionalFormatting>
  <conditionalFormatting sqref="U905:U906">
    <cfRule type="cellIs" dxfId="3468" priority="2069" operator="equal">
      <formula>0</formula>
    </cfRule>
  </conditionalFormatting>
  <conditionalFormatting sqref="U904">
    <cfRule type="cellIs" dxfId="3467" priority="2068" operator="equal">
      <formula>0</formula>
    </cfRule>
  </conditionalFormatting>
  <conditionalFormatting sqref="U903:U904">
    <cfRule type="cellIs" dxfId="3466" priority="2067" operator="equal">
      <formula>0</formula>
    </cfRule>
  </conditionalFormatting>
  <conditionalFormatting sqref="D907:D908">
    <cfRule type="cellIs" dxfId="3465" priority="2063" operator="equal">
      <formula>0</formula>
    </cfRule>
  </conditionalFormatting>
  <conditionalFormatting sqref="U907:U908">
    <cfRule type="cellIs" dxfId="3464" priority="2060" operator="equal">
      <formula>0</formula>
    </cfRule>
  </conditionalFormatting>
  <conditionalFormatting sqref="H907:H908">
    <cfRule type="cellIs" dxfId="3463" priority="2062" operator="equal">
      <formula>0</formula>
    </cfRule>
  </conditionalFormatting>
  <conditionalFormatting sqref="D907:H908 J907:U908">
    <cfRule type="cellIs" dxfId="3462" priority="2059" operator="equal">
      <formula>0</formula>
    </cfRule>
  </conditionalFormatting>
  <conditionalFormatting sqref="I907:I908">
    <cfRule type="cellIs" dxfId="3461" priority="2050" operator="equal">
      <formula>0</formula>
    </cfRule>
  </conditionalFormatting>
  <conditionalFormatting sqref="F911:G912">
    <cfRule type="cellIs" dxfId="3460" priority="2047" operator="equal">
      <formula>0</formula>
    </cfRule>
  </conditionalFormatting>
  <conditionalFormatting sqref="C911:C912">
    <cfRule type="cellIs" dxfId="3459" priority="2046" operator="equal">
      <formula>0</formula>
    </cfRule>
  </conditionalFormatting>
  <conditionalFormatting sqref="H911:H912">
    <cfRule type="cellIs" dxfId="3458" priority="2045" operator="equal">
      <formula>0</formula>
    </cfRule>
  </conditionalFormatting>
  <conditionalFormatting sqref="C907:C908">
    <cfRule type="cellIs" dxfId="3457" priority="2054" operator="equal">
      <formula>0</formula>
    </cfRule>
  </conditionalFormatting>
  <conditionalFormatting sqref="C908">
    <cfRule type="cellIs" dxfId="3456" priority="2055" operator="equal">
      <formula>0</formula>
    </cfRule>
  </conditionalFormatting>
  <conditionalFormatting sqref="I907:I908">
    <cfRule type="cellIs" dxfId="3455" priority="2049" operator="equal">
      <formula>0</formula>
    </cfRule>
  </conditionalFormatting>
  <conditionalFormatting sqref="I911:I912 U911:U912">
    <cfRule type="cellIs" dxfId="3454" priority="2039" operator="equal">
      <formula>0</formula>
    </cfRule>
  </conditionalFormatting>
  <conditionalFormatting sqref="B911">
    <cfRule type="cellIs" dxfId="3453" priority="2043" operator="equal">
      <formula>0</formula>
    </cfRule>
  </conditionalFormatting>
  <conditionalFormatting sqref="B912">
    <cfRule type="cellIs" dxfId="3452" priority="2042" operator="equal">
      <formula>0</formula>
    </cfRule>
  </conditionalFormatting>
  <conditionalFormatting sqref="U913">
    <cfRule type="cellIs" dxfId="3451" priority="2037" operator="equal">
      <formula>0</formula>
    </cfRule>
  </conditionalFormatting>
  <conditionalFormatting sqref="C903:G903">
    <cfRule type="cellIs" dxfId="3450" priority="2090" operator="equal">
      <formula>0</formula>
    </cfRule>
  </conditionalFormatting>
  <conditionalFormatting sqref="H905:H906">
    <cfRule type="cellIs" dxfId="3449" priority="2088" operator="equal">
      <formula>0</formula>
    </cfRule>
  </conditionalFormatting>
  <conditionalFormatting sqref="C909:C910">
    <cfRule type="cellIs" dxfId="3448" priority="2085" operator="equal">
      <formula>0</formula>
    </cfRule>
  </conditionalFormatting>
  <conditionalFormatting sqref="D918">
    <cfRule type="cellIs" dxfId="3447" priority="2074" operator="equal">
      <formula>0</formula>
    </cfRule>
  </conditionalFormatting>
  <conditionalFormatting sqref="H904">
    <cfRule type="cellIs" dxfId="3446" priority="2080" operator="equal">
      <formula>0</formula>
    </cfRule>
  </conditionalFormatting>
  <conditionalFormatting sqref="D914">
    <cfRule type="cellIs" dxfId="3445" priority="2079" operator="equal">
      <formula>0</formula>
    </cfRule>
  </conditionalFormatting>
  <conditionalFormatting sqref="C914">
    <cfRule type="cellIs" dxfId="3444" priority="2078" operator="equal">
      <formula>0</formula>
    </cfRule>
  </conditionalFormatting>
  <conditionalFormatting sqref="B914:G914">
    <cfRule type="cellIs" dxfId="3443" priority="2077" operator="equal">
      <formula>0</formula>
    </cfRule>
  </conditionalFormatting>
  <conditionalFormatting sqref="H914:U914">
    <cfRule type="cellIs" dxfId="3442" priority="2076" operator="equal">
      <formula>0</formula>
    </cfRule>
  </conditionalFormatting>
  <conditionalFormatting sqref="H914:U914">
    <cfRule type="cellIs" dxfId="3441" priority="2075" operator="equal">
      <formula>0</formula>
    </cfRule>
  </conditionalFormatting>
  <conditionalFormatting sqref="C918">
    <cfRule type="cellIs" dxfId="3440" priority="2073" operator="equal">
      <formula>0</formula>
    </cfRule>
  </conditionalFormatting>
  <conditionalFormatting sqref="B918:G918">
    <cfRule type="cellIs" dxfId="3439" priority="2072" operator="equal">
      <formula>0</formula>
    </cfRule>
  </conditionalFormatting>
  <conditionalFormatting sqref="H918:U918">
    <cfRule type="cellIs" dxfId="3438" priority="2071" operator="equal">
      <formula>0</formula>
    </cfRule>
  </conditionalFormatting>
  <conditionalFormatting sqref="H918:U918">
    <cfRule type="cellIs" dxfId="3437" priority="2070" operator="equal">
      <formula>0</formula>
    </cfRule>
  </conditionalFormatting>
  <conditionalFormatting sqref="I904:T904">
    <cfRule type="cellIs" dxfId="3436" priority="2089" operator="equal">
      <formula>0</formula>
    </cfRule>
  </conditionalFormatting>
  <conditionalFormatting sqref="B909:G909">
    <cfRule type="cellIs" dxfId="3435" priority="2087" operator="lessThan">
      <formula>0</formula>
    </cfRule>
  </conditionalFormatting>
  <conditionalFormatting sqref="D909:D910">
    <cfRule type="cellIs" dxfId="3434" priority="2086" operator="equal">
      <formula>0</formula>
    </cfRule>
  </conditionalFormatting>
  <conditionalFormatting sqref="B910:G910 B923:H923 F904:G904 B904 B909:H909 C905:T905 I903:T904 C906:H906">
    <cfRule type="cellIs" dxfId="3433" priority="2084" operator="equal">
      <formula>0</formula>
    </cfRule>
  </conditionalFormatting>
  <conditionalFormatting sqref="H910:U910">
    <cfRule type="cellIs" dxfId="3432" priority="2083" operator="equal">
      <formula>0</formula>
    </cfRule>
  </conditionalFormatting>
  <conditionalFormatting sqref="H910:U910">
    <cfRule type="cellIs" dxfId="3431" priority="2082" operator="equal">
      <formula>0</formula>
    </cfRule>
  </conditionalFormatting>
  <conditionalFormatting sqref="C904:E904">
    <cfRule type="cellIs" dxfId="3430" priority="2081" operator="equal">
      <formula>0</formula>
    </cfRule>
  </conditionalFormatting>
  <conditionalFormatting sqref="B906">
    <cfRule type="cellIs" dxfId="3429" priority="2066" operator="equal">
      <formula>0</formula>
    </cfRule>
  </conditionalFormatting>
  <conditionalFormatting sqref="B905">
    <cfRule type="cellIs" dxfId="3428" priority="2065" operator="equal">
      <formula>0</formula>
    </cfRule>
  </conditionalFormatting>
  <conditionalFormatting sqref="B908">
    <cfRule type="cellIs" dxfId="3427" priority="2057" operator="equal">
      <formula>0</formula>
    </cfRule>
  </conditionalFormatting>
  <conditionalFormatting sqref="G907:G908">
    <cfRule type="cellIs" dxfId="3426" priority="2064" operator="lessThan">
      <formula>0</formula>
    </cfRule>
  </conditionalFormatting>
  <conditionalFormatting sqref="J907:T908">
    <cfRule type="cellIs" dxfId="3425" priority="2061" operator="equal">
      <formula>0</formula>
    </cfRule>
  </conditionalFormatting>
  <conditionalFormatting sqref="B907">
    <cfRule type="cellIs" dxfId="3424" priority="2058" operator="equal">
      <formula>0</formula>
    </cfRule>
  </conditionalFormatting>
  <conditionalFormatting sqref="C907:C908">
    <cfRule type="cellIs" dxfId="3423" priority="2056" operator="equal">
      <formula>0</formula>
    </cfRule>
  </conditionalFormatting>
  <conditionalFormatting sqref="U909">
    <cfRule type="cellIs" dxfId="3422" priority="2053" operator="equal">
      <formula>0</formula>
    </cfRule>
  </conditionalFormatting>
  <conditionalFormatting sqref="U909">
    <cfRule type="cellIs" dxfId="3421" priority="2052" operator="equal">
      <formula>0</formula>
    </cfRule>
  </conditionalFormatting>
  <conditionalFormatting sqref="I909:T909">
    <cfRule type="cellIs" dxfId="3420" priority="2051" operator="equal">
      <formula>0</formula>
    </cfRule>
  </conditionalFormatting>
  <conditionalFormatting sqref="D911:D912">
    <cfRule type="cellIs" dxfId="3419" priority="2048" operator="equal">
      <formula>0</formula>
    </cfRule>
  </conditionalFormatting>
  <conditionalFormatting sqref="C911:H912">
    <cfRule type="cellIs" dxfId="3418" priority="2044" operator="equal">
      <formula>0</formula>
    </cfRule>
  </conditionalFormatting>
  <conditionalFormatting sqref="I911:I912">
    <cfRule type="cellIs" dxfId="3417" priority="2041" operator="equal">
      <formula>0</formula>
    </cfRule>
  </conditionalFormatting>
  <conditionalFormatting sqref="U911:U912">
    <cfRule type="cellIs" dxfId="3416" priority="2040" operator="equal">
      <formula>0</formula>
    </cfRule>
  </conditionalFormatting>
  <conditionalFormatting sqref="U913">
    <cfRule type="cellIs" dxfId="3415" priority="2038" operator="equal">
      <formula>0</formula>
    </cfRule>
  </conditionalFormatting>
  <conditionalFormatting sqref="U915:U916">
    <cfRule type="cellIs" dxfId="3414" priority="2031" operator="equal">
      <formula>0</formula>
    </cfRule>
  </conditionalFormatting>
  <conditionalFormatting sqref="I915:I916 U915:U916">
    <cfRule type="cellIs" dxfId="3413" priority="2030" operator="equal">
      <formula>0</formula>
    </cfRule>
  </conditionalFormatting>
  <conditionalFormatting sqref="C915:C916">
    <cfRule type="cellIs" dxfId="3412" priority="2034" operator="equal">
      <formula>0</formula>
    </cfRule>
  </conditionalFormatting>
  <conditionalFormatting sqref="I915:I916">
    <cfRule type="cellIs" dxfId="3411" priority="2032" operator="equal">
      <formula>0</formula>
    </cfRule>
  </conditionalFormatting>
  <conditionalFormatting sqref="F915:G916">
    <cfRule type="cellIs" dxfId="3410" priority="2035" operator="equal">
      <formula>0</formula>
    </cfRule>
  </conditionalFormatting>
  <conditionalFormatting sqref="C915:G916">
    <cfRule type="cellIs" dxfId="3409" priority="2033" operator="equal">
      <formula>0</formula>
    </cfRule>
  </conditionalFormatting>
  <conditionalFormatting sqref="D915:D916">
    <cfRule type="cellIs" dxfId="3408" priority="2036" operator="equal">
      <formula>0</formula>
    </cfRule>
  </conditionalFormatting>
  <conditionalFormatting sqref="B916">
    <cfRule type="cellIs" dxfId="3407" priority="2028" operator="equal">
      <formula>0</formula>
    </cfRule>
  </conditionalFormatting>
  <conditionalFormatting sqref="B915">
    <cfRule type="cellIs" dxfId="3406" priority="2029" operator="equal">
      <formula>0</formula>
    </cfRule>
  </conditionalFormatting>
  <conditionalFormatting sqref="H919:H921">
    <cfRule type="cellIs" dxfId="3405" priority="2021" operator="equal">
      <formula>0</formula>
    </cfRule>
  </conditionalFormatting>
  <conditionalFormatting sqref="U922">
    <cfRule type="cellIs" dxfId="3404" priority="2027" operator="equal">
      <formula>0</formula>
    </cfRule>
  </conditionalFormatting>
  <conditionalFormatting sqref="U919:U920">
    <cfRule type="cellIs" dxfId="3403" priority="2016" operator="equal">
      <formula>0</formula>
    </cfRule>
  </conditionalFormatting>
  <conditionalFormatting sqref="J922:T922">
    <cfRule type="cellIs" dxfId="3402" priority="2025" operator="equal">
      <formula>0</formula>
    </cfRule>
  </conditionalFormatting>
  <conditionalFormatting sqref="D919:D921">
    <cfRule type="cellIs" dxfId="3401" priority="2024" operator="equal">
      <formula>0</formula>
    </cfRule>
  </conditionalFormatting>
  <conditionalFormatting sqref="F919:G921">
    <cfRule type="cellIs" dxfId="3400" priority="2023" operator="equal">
      <formula>0</formula>
    </cfRule>
  </conditionalFormatting>
  <conditionalFormatting sqref="C919 C921">
    <cfRule type="cellIs" dxfId="3399" priority="2022" operator="equal">
      <formula>0</formula>
    </cfRule>
  </conditionalFormatting>
  <conditionalFormatting sqref="C920">
    <cfRule type="cellIs" dxfId="3398" priority="2019" operator="equal">
      <formula>0</formula>
    </cfRule>
  </conditionalFormatting>
  <conditionalFormatting sqref="I919:I921">
    <cfRule type="cellIs" dxfId="3397" priority="2017" operator="equal">
      <formula>0</formula>
    </cfRule>
  </conditionalFormatting>
  <conditionalFormatting sqref="I919:I921 U919:U920">
    <cfRule type="cellIs" dxfId="3396" priority="2015" operator="equal">
      <formula>0</formula>
    </cfRule>
  </conditionalFormatting>
  <conditionalFormatting sqref="C919:H919 C921:H921 D920:H920">
    <cfRule type="cellIs" dxfId="3395" priority="2020" operator="equal">
      <formula>0</formula>
    </cfRule>
  </conditionalFormatting>
  <conditionalFormatting sqref="C920">
    <cfRule type="cellIs" dxfId="3394" priority="2018" operator="equal">
      <formula>0</formula>
    </cfRule>
  </conditionalFormatting>
  <conditionalFormatting sqref="U922">
    <cfRule type="cellIs" dxfId="3393" priority="2026" operator="equal">
      <formula>0</formula>
    </cfRule>
  </conditionalFormatting>
  <conditionalFormatting sqref="B919 B921">
    <cfRule type="cellIs" dxfId="3392" priority="2014" operator="equal">
      <formula>0</formula>
    </cfRule>
  </conditionalFormatting>
  <conditionalFormatting sqref="B920">
    <cfRule type="cellIs" dxfId="3391" priority="2013" operator="equal">
      <formula>0</formula>
    </cfRule>
  </conditionalFormatting>
  <conditionalFormatting sqref="U917">
    <cfRule type="cellIs" dxfId="3390" priority="2011" operator="equal">
      <formula>0</formula>
    </cfRule>
  </conditionalFormatting>
  <conditionalFormatting sqref="U917">
    <cfRule type="cellIs" dxfId="3389" priority="2012" operator="equal">
      <formula>0</formula>
    </cfRule>
  </conditionalFormatting>
  <conditionalFormatting sqref="U923">
    <cfRule type="cellIs" dxfId="3388" priority="2010" operator="equal">
      <formula>0</formula>
    </cfRule>
  </conditionalFormatting>
  <conditionalFormatting sqref="I923:U923">
    <cfRule type="cellIs" dxfId="3387" priority="2009" operator="equal">
      <formula>0</formula>
    </cfRule>
  </conditionalFormatting>
  <conditionalFormatting sqref="U923">
    <cfRule type="cellIs" dxfId="3386" priority="2008" operator="equal">
      <formula>0</formula>
    </cfRule>
  </conditionalFormatting>
  <conditionalFormatting sqref="J911:T912">
    <cfRule type="cellIs" dxfId="3385" priority="2006" operator="equal">
      <formula>0</formula>
    </cfRule>
  </conditionalFormatting>
  <conditionalFormatting sqref="J911:T912">
    <cfRule type="cellIs" dxfId="3384" priority="2007" operator="equal">
      <formula>0</formula>
    </cfRule>
  </conditionalFormatting>
  <conditionalFormatting sqref="J913:T913">
    <cfRule type="cellIs" dxfId="3383" priority="2005" operator="equal">
      <formula>0</formula>
    </cfRule>
  </conditionalFormatting>
  <conditionalFormatting sqref="J915:T916">
    <cfRule type="cellIs" dxfId="3382" priority="2003" operator="equal">
      <formula>0</formula>
    </cfRule>
  </conditionalFormatting>
  <conditionalFormatting sqref="J915:T916">
    <cfRule type="cellIs" dxfId="3381" priority="2004" operator="equal">
      <formula>0</formula>
    </cfRule>
  </conditionalFormatting>
  <conditionalFormatting sqref="J917:T917">
    <cfRule type="cellIs" dxfId="3380" priority="2002" operator="equal">
      <formula>0</formula>
    </cfRule>
  </conditionalFormatting>
  <conditionalFormatting sqref="J919:T920">
    <cfRule type="cellIs" dxfId="3379" priority="2000" operator="equal">
      <formula>0</formula>
    </cfRule>
  </conditionalFormatting>
  <conditionalFormatting sqref="J919:T920">
    <cfRule type="cellIs" dxfId="3378" priority="2001" operator="equal">
      <formula>0</formula>
    </cfRule>
  </conditionalFormatting>
  <conditionalFormatting sqref="J921:R921">
    <cfRule type="cellIs" dxfId="3377" priority="1999" operator="equal">
      <formula>0</formula>
    </cfRule>
  </conditionalFormatting>
  <conditionalFormatting sqref="H915:H916">
    <cfRule type="cellIs" dxfId="3376" priority="1998" operator="equal">
      <formula>0</formula>
    </cfRule>
  </conditionalFormatting>
  <conditionalFormatting sqref="H915:H916">
    <cfRule type="cellIs" dxfId="3375" priority="1997" operator="equal">
      <formula>0</formula>
    </cfRule>
  </conditionalFormatting>
  <conditionalFormatting sqref="U921">
    <cfRule type="cellIs" dxfId="3374" priority="1996" operator="equal">
      <formula>0</formula>
    </cfRule>
  </conditionalFormatting>
  <conditionalFormatting sqref="U921">
    <cfRule type="cellIs" dxfId="3373" priority="1995" operator="equal">
      <formula>0</formula>
    </cfRule>
  </conditionalFormatting>
  <conditionalFormatting sqref="S921:T921">
    <cfRule type="cellIs" dxfId="3372" priority="1993" operator="equal">
      <formula>0</formula>
    </cfRule>
  </conditionalFormatting>
  <conditionalFormatting sqref="S921:T921">
    <cfRule type="cellIs" dxfId="3371" priority="1994" operator="equal">
      <formula>0</formula>
    </cfRule>
  </conditionalFormatting>
  <conditionalFormatting sqref="M906">
    <cfRule type="cellIs" dxfId="3370" priority="1992" operator="equal">
      <formula>0</formula>
    </cfRule>
  </conditionalFormatting>
  <conditionalFormatting sqref="C913">
    <cfRule type="cellIs" dxfId="3369" priority="1989" operator="equal">
      <formula>0</formula>
    </cfRule>
  </conditionalFormatting>
  <conditionalFormatting sqref="B913:G913">
    <cfRule type="cellIs" dxfId="3368" priority="1991" operator="lessThan">
      <formula>0</formula>
    </cfRule>
  </conditionalFormatting>
  <conditionalFormatting sqref="D913">
    <cfRule type="cellIs" dxfId="3367" priority="1990" operator="equal">
      <formula>0</formula>
    </cfRule>
  </conditionalFormatting>
  <conditionalFormatting sqref="B913:H913">
    <cfRule type="cellIs" dxfId="3366" priority="1988" operator="equal">
      <formula>0</formula>
    </cfRule>
  </conditionalFormatting>
  <conditionalFormatting sqref="I913">
    <cfRule type="cellIs" dxfId="3365" priority="1987" operator="equal">
      <formula>0</formula>
    </cfRule>
  </conditionalFormatting>
  <conditionalFormatting sqref="C917">
    <cfRule type="cellIs" dxfId="3364" priority="1984" operator="equal">
      <formula>0</formula>
    </cfRule>
  </conditionalFormatting>
  <conditionalFormatting sqref="B917:G917">
    <cfRule type="cellIs" dxfId="3363" priority="1986" operator="lessThan">
      <formula>0</formula>
    </cfRule>
  </conditionalFormatting>
  <conditionalFormatting sqref="D917">
    <cfRule type="cellIs" dxfId="3362" priority="1985" operator="equal">
      <formula>0</formula>
    </cfRule>
  </conditionalFormatting>
  <conditionalFormatting sqref="B917:H917">
    <cfRule type="cellIs" dxfId="3361" priority="1983" operator="equal">
      <formula>0</formula>
    </cfRule>
  </conditionalFormatting>
  <conditionalFormatting sqref="I917">
    <cfRule type="cellIs" dxfId="3360" priority="1982" operator="equal">
      <formula>0</formula>
    </cfRule>
  </conditionalFormatting>
  <conditionalFormatting sqref="C922">
    <cfRule type="cellIs" dxfId="3359" priority="1979" operator="equal">
      <formula>0</formula>
    </cfRule>
  </conditionalFormatting>
  <conditionalFormatting sqref="B922:G922">
    <cfRule type="cellIs" dxfId="3358" priority="1981" operator="lessThan">
      <formula>0</formula>
    </cfRule>
  </conditionalFormatting>
  <conditionalFormatting sqref="D922">
    <cfRule type="cellIs" dxfId="3357" priority="1980" operator="equal">
      <formula>0</formula>
    </cfRule>
  </conditionalFormatting>
  <conditionalFormatting sqref="B922:H922">
    <cfRule type="cellIs" dxfId="3356" priority="1978" operator="equal">
      <formula>0</formula>
    </cfRule>
  </conditionalFormatting>
  <conditionalFormatting sqref="I922">
    <cfRule type="cellIs" dxfId="3355" priority="1977" operator="equal">
      <formula>0</formula>
    </cfRule>
  </conditionalFormatting>
  <conditionalFormatting sqref="B903">
    <cfRule type="cellIs" dxfId="3354" priority="1976" operator="equal">
      <formula>0</formula>
    </cfRule>
  </conditionalFormatting>
  <conditionalFormatting sqref="I992:U992">
    <cfRule type="cellIs" dxfId="3353" priority="1732" operator="equal">
      <formula>0</formula>
    </cfRule>
  </conditionalFormatting>
  <conditionalFormatting sqref="N929:T929 I929:L929">
    <cfRule type="cellIs" dxfId="3352" priority="1964" operator="equal">
      <formula>0</formula>
    </cfRule>
  </conditionalFormatting>
  <conditionalFormatting sqref="U928:U929">
    <cfRule type="cellIs" dxfId="3351" priority="1942" operator="equal">
      <formula>0</formula>
    </cfRule>
  </conditionalFormatting>
  <conditionalFormatting sqref="U927">
    <cfRule type="cellIs" dxfId="3350" priority="1941" operator="equal">
      <formula>0</formula>
    </cfRule>
  </conditionalFormatting>
  <conditionalFormatting sqref="U926:U927">
    <cfRule type="cellIs" dxfId="3349" priority="1940" operator="equal">
      <formula>0</formula>
    </cfRule>
  </conditionalFormatting>
  <conditionalFormatting sqref="D930:D931">
    <cfRule type="cellIs" dxfId="3348" priority="1936" operator="equal">
      <formula>0</formula>
    </cfRule>
  </conditionalFormatting>
  <conditionalFormatting sqref="U930:U931">
    <cfRule type="cellIs" dxfId="3347" priority="1933" operator="equal">
      <formula>0</formula>
    </cfRule>
  </conditionalFormatting>
  <conditionalFormatting sqref="H930:H931">
    <cfRule type="cellIs" dxfId="3346" priority="1935" operator="equal">
      <formula>0</formula>
    </cfRule>
  </conditionalFormatting>
  <conditionalFormatting sqref="D930:H931 J930:U931">
    <cfRule type="cellIs" dxfId="3345" priority="1932" operator="equal">
      <formula>0</formula>
    </cfRule>
  </conditionalFormatting>
  <conditionalFormatting sqref="I930:I931">
    <cfRule type="cellIs" dxfId="3344" priority="1923" operator="equal">
      <formula>0</formula>
    </cfRule>
  </conditionalFormatting>
  <conditionalFormatting sqref="F934:G935">
    <cfRule type="cellIs" dxfId="3343" priority="1920" operator="equal">
      <formula>0</formula>
    </cfRule>
  </conditionalFormatting>
  <conditionalFormatting sqref="C934:C935">
    <cfRule type="cellIs" dxfId="3342" priority="1919" operator="equal">
      <formula>0</formula>
    </cfRule>
  </conditionalFormatting>
  <conditionalFormatting sqref="H934:H935">
    <cfRule type="cellIs" dxfId="3341" priority="1918" operator="equal">
      <formula>0</formula>
    </cfRule>
  </conditionalFormatting>
  <conditionalFormatting sqref="C930:C931">
    <cfRule type="cellIs" dxfId="3340" priority="1927" operator="equal">
      <formula>0</formula>
    </cfRule>
  </conditionalFormatting>
  <conditionalFormatting sqref="C931">
    <cfRule type="cellIs" dxfId="3339" priority="1928" operator="equal">
      <formula>0</formula>
    </cfRule>
  </conditionalFormatting>
  <conditionalFormatting sqref="I930:I931">
    <cfRule type="cellIs" dxfId="3338" priority="1922" operator="equal">
      <formula>0</formula>
    </cfRule>
  </conditionalFormatting>
  <conditionalFormatting sqref="I934:I935 U934:U935">
    <cfRule type="cellIs" dxfId="3337" priority="1912" operator="equal">
      <formula>0</formula>
    </cfRule>
  </conditionalFormatting>
  <conditionalFormatting sqref="B934">
    <cfRule type="cellIs" dxfId="3336" priority="1916" operator="equal">
      <formula>0</formula>
    </cfRule>
  </conditionalFormatting>
  <conditionalFormatting sqref="B935">
    <cfRule type="cellIs" dxfId="3335" priority="1915" operator="equal">
      <formula>0</formula>
    </cfRule>
  </conditionalFormatting>
  <conditionalFormatting sqref="U936">
    <cfRule type="cellIs" dxfId="3334" priority="1910" operator="equal">
      <formula>0</formula>
    </cfRule>
  </conditionalFormatting>
  <conditionalFormatting sqref="C926:G926">
    <cfRule type="cellIs" dxfId="3333" priority="1963" operator="equal">
      <formula>0</formula>
    </cfRule>
  </conditionalFormatting>
  <conditionalFormatting sqref="H928:H929">
    <cfRule type="cellIs" dxfId="3332" priority="1961" operator="equal">
      <formula>0</formula>
    </cfRule>
  </conditionalFormatting>
  <conditionalFormatting sqref="C932:C933">
    <cfRule type="cellIs" dxfId="3331" priority="1958" operator="equal">
      <formula>0</formula>
    </cfRule>
  </conditionalFormatting>
  <conditionalFormatting sqref="D941">
    <cfRule type="cellIs" dxfId="3330" priority="1947" operator="equal">
      <formula>0</formula>
    </cfRule>
  </conditionalFormatting>
  <conditionalFormatting sqref="H927">
    <cfRule type="cellIs" dxfId="3329" priority="1953" operator="equal">
      <formula>0</formula>
    </cfRule>
  </conditionalFormatting>
  <conditionalFormatting sqref="D937">
    <cfRule type="cellIs" dxfId="3328" priority="1952" operator="equal">
      <formula>0</formula>
    </cfRule>
  </conditionalFormatting>
  <conditionalFormatting sqref="C937">
    <cfRule type="cellIs" dxfId="3327" priority="1951" operator="equal">
      <formula>0</formula>
    </cfRule>
  </conditionalFormatting>
  <conditionalFormatting sqref="B937:G937">
    <cfRule type="cellIs" dxfId="3326" priority="1950" operator="equal">
      <formula>0</formula>
    </cfRule>
  </conditionalFormatting>
  <conditionalFormatting sqref="H937:U937">
    <cfRule type="cellIs" dxfId="3325" priority="1949" operator="equal">
      <formula>0</formula>
    </cfRule>
  </conditionalFormatting>
  <conditionalFormatting sqref="H937:U937">
    <cfRule type="cellIs" dxfId="3324" priority="1948" operator="equal">
      <formula>0</formula>
    </cfRule>
  </conditionalFormatting>
  <conditionalFormatting sqref="C941">
    <cfRule type="cellIs" dxfId="3323" priority="1946" operator="equal">
      <formula>0</formula>
    </cfRule>
  </conditionalFormatting>
  <conditionalFormatting sqref="B941:G941">
    <cfRule type="cellIs" dxfId="3322" priority="1945" operator="equal">
      <formula>0</formula>
    </cfRule>
  </conditionalFormatting>
  <conditionalFormatting sqref="H941:U941">
    <cfRule type="cellIs" dxfId="3321" priority="1944" operator="equal">
      <formula>0</formula>
    </cfRule>
  </conditionalFormatting>
  <conditionalFormatting sqref="H941:U941">
    <cfRule type="cellIs" dxfId="3320" priority="1943" operator="equal">
      <formula>0</formula>
    </cfRule>
  </conditionalFormatting>
  <conditionalFormatting sqref="I927:T927">
    <cfRule type="cellIs" dxfId="3319" priority="1962" operator="equal">
      <formula>0</formula>
    </cfRule>
  </conditionalFormatting>
  <conditionalFormatting sqref="B932:G932">
    <cfRule type="cellIs" dxfId="3318" priority="1960" operator="lessThan">
      <formula>0</formula>
    </cfRule>
  </conditionalFormatting>
  <conditionalFormatting sqref="D932:D933">
    <cfRule type="cellIs" dxfId="3317" priority="1959" operator="equal">
      <formula>0</formula>
    </cfRule>
  </conditionalFormatting>
  <conditionalFormatting sqref="B933:G933 F927:G927 B927 B932:H932 C928:T928 I926:T927 C929:H929">
    <cfRule type="cellIs" dxfId="3316" priority="1957" operator="equal">
      <formula>0</formula>
    </cfRule>
  </conditionalFormatting>
  <conditionalFormatting sqref="H933:U933">
    <cfRule type="cellIs" dxfId="3315" priority="1956" operator="equal">
      <formula>0</formula>
    </cfRule>
  </conditionalFormatting>
  <conditionalFormatting sqref="H933:U933">
    <cfRule type="cellIs" dxfId="3314" priority="1955" operator="equal">
      <formula>0</formula>
    </cfRule>
  </conditionalFormatting>
  <conditionalFormatting sqref="C927:E927">
    <cfRule type="cellIs" dxfId="3313" priority="1954" operator="equal">
      <formula>0</formula>
    </cfRule>
  </conditionalFormatting>
  <conditionalFormatting sqref="B929">
    <cfRule type="cellIs" dxfId="3312" priority="1939" operator="equal">
      <formula>0</formula>
    </cfRule>
  </conditionalFormatting>
  <conditionalFormatting sqref="B928">
    <cfRule type="cellIs" dxfId="3311" priority="1938" operator="equal">
      <formula>0</formula>
    </cfRule>
  </conditionalFormatting>
  <conditionalFormatting sqref="B931">
    <cfRule type="cellIs" dxfId="3310" priority="1930" operator="equal">
      <formula>0</formula>
    </cfRule>
  </conditionalFormatting>
  <conditionalFormatting sqref="G930:G931">
    <cfRule type="cellIs" dxfId="3309" priority="1937" operator="lessThan">
      <formula>0</formula>
    </cfRule>
  </conditionalFormatting>
  <conditionalFormatting sqref="J930:T931">
    <cfRule type="cellIs" dxfId="3308" priority="1934" operator="equal">
      <formula>0</formula>
    </cfRule>
  </conditionalFormatting>
  <conditionalFormatting sqref="B930">
    <cfRule type="cellIs" dxfId="3307" priority="1931" operator="equal">
      <formula>0</formula>
    </cfRule>
  </conditionalFormatting>
  <conditionalFormatting sqref="C930:C931">
    <cfRule type="cellIs" dxfId="3306" priority="1929" operator="equal">
      <formula>0</formula>
    </cfRule>
  </conditionalFormatting>
  <conditionalFormatting sqref="U932">
    <cfRule type="cellIs" dxfId="3305" priority="1926" operator="equal">
      <formula>0</formula>
    </cfRule>
  </conditionalFormatting>
  <conditionalFormatting sqref="U932">
    <cfRule type="cellIs" dxfId="3304" priority="1925" operator="equal">
      <formula>0</formula>
    </cfRule>
  </conditionalFormatting>
  <conditionalFormatting sqref="I932:T932">
    <cfRule type="cellIs" dxfId="3303" priority="1924" operator="equal">
      <formula>0</formula>
    </cfRule>
  </conditionalFormatting>
  <conditionalFormatting sqref="D934:D935">
    <cfRule type="cellIs" dxfId="3302" priority="1921" operator="equal">
      <formula>0</formula>
    </cfRule>
  </conditionalFormatting>
  <conditionalFormatting sqref="C934:H935">
    <cfRule type="cellIs" dxfId="3301" priority="1917" operator="equal">
      <formula>0</formula>
    </cfRule>
  </conditionalFormatting>
  <conditionalFormatting sqref="I934:I935">
    <cfRule type="cellIs" dxfId="3300" priority="1914" operator="equal">
      <formula>0</formula>
    </cfRule>
  </conditionalFormatting>
  <conditionalFormatting sqref="U934:U935">
    <cfRule type="cellIs" dxfId="3299" priority="1913" operator="equal">
      <formula>0</formula>
    </cfRule>
  </conditionalFormatting>
  <conditionalFormatting sqref="U936">
    <cfRule type="cellIs" dxfId="3298" priority="1911" operator="equal">
      <formula>0</formula>
    </cfRule>
  </conditionalFormatting>
  <conditionalFormatting sqref="U938:U939">
    <cfRule type="cellIs" dxfId="3297" priority="1904" operator="equal">
      <formula>0</formula>
    </cfRule>
  </conditionalFormatting>
  <conditionalFormatting sqref="I938:I939 U938:U939">
    <cfRule type="cellIs" dxfId="3296" priority="1903" operator="equal">
      <formula>0</formula>
    </cfRule>
  </conditionalFormatting>
  <conditionalFormatting sqref="C938:C939">
    <cfRule type="cellIs" dxfId="3295" priority="1907" operator="equal">
      <formula>0</formula>
    </cfRule>
  </conditionalFormatting>
  <conditionalFormatting sqref="I938:I939">
    <cfRule type="cellIs" dxfId="3294" priority="1905" operator="equal">
      <formula>0</formula>
    </cfRule>
  </conditionalFormatting>
  <conditionalFormatting sqref="F938:G939">
    <cfRule type="cellIs" dxfId="3293" priority="1908" operator="equal">
      <formula>0</formula>
    </cfRule>
  </conditionalFormatting>
  <conditionalFormatting sqref="C938:G939">
    <cfRule type="cellIs" dxfId="3292" priority="1906" operator="equal">
      <formula>0</formula>
    </cfRule>
  </conditionalFormatting>
  <conditionalFormatting sqref="D938:D939">
    <cfRule type="cellIs" dxfId="3291" priority="1909" operator="equal">
      <formula>0</formula>
    </cfRule>
  </conditionalFormatting>
  <conditionalFormatting sqref="B939">
    <cfRule type="cellIs" dxfId="3290" priority="1901" operator="equal">
      <formula>0</formula>
    </cfRule>
  </conditionalFormatting>
  <conditionalFormatting sqref="B938">
    <cfRule type="cellIs" dxfId="3289" priority="1902" operator="equal">
      <formula>0</formula>
    </cfRule>
  </conditionalFormatting>
  <conditionalFormatting sqref="H942:H944">
    <cfRule type="cellIs" dxfId="3288" priority="1894" operator="equal">
      <formula>0</formula>
    </cfRule>
  </conditionalFormatting>
  <conditionalFormatting sqref="U945">
    <cfRule type="cellIs" dxfId="3287" priority="1900" operator="equal">
      <formula>0</formula>
    </cfRule>
  </conditionalFormatting>
  <conditionalFormatting sqref="U942:U943">
    <cfRule type="cellIs" dxfId="3286" priority="1889" operator="equal">
      <formula>0</formula>
    </cfRule>
  </conditionalFormatting>
  <conditionalFormatting sqref="J945:T945">
    <cfRule type="cellIs" dxfId="3285" priority="1898" operator="equal">
      <formula>0</formula>
    </cfRule>
  </conditionalFormatting>
  <conditionalFormatting sqref="D942:D944">
    <cfRule type="cellIs" dxfId="3284" priority="1897" operator="equal">
      <formula>0</formula>
    </cfRule>
  </conditionalFormatting>
  <conditionalFormatting sqref="F942:G944">
    <cfRule type="cellIs" dxfId="3283" priority="1896" operator="equal">
      <formula>0</formula>
    </cfRule>
  </conditionalFormatting>
  <conditionalFormatting sqref="C942 C944">
    <cfRule type="cellIs" dxfId="3282" priority="1895" operator="equal">
      <formula>0</formula>
    </cfRule>
  </conditionalFormatting>
  <conditionalFormatting sqref="C943">
    <cfRule type="cellIs" dxfId="3281" priority="1892" operator="equal">
      <formula>0</formula>
    </cfRule>
  </conditionalFormatting>
  <conditionalFormatting sqref="I942:I944">
    <cfRule type="cellIs" dxfId="3280" priority="1890" operator="equal">
      <formula>0</formula>
    </cfRule>
  </conditionalFormatting>
  <conditionalFormatting sqref="I942:I944 U942:U943">
    <cfRule type="cellIs" dxfId="3279" priority="1888" operator="equal">
      <formula>0</formula>
    </cfRule>
  </conditionalFormatting>
  <conditionalFormatting sqref="C942:H942 C944:H944 D943:H943">
    <cfRule type="cellIs" dxfId="3278" priority="1893" operator="equal">
      <formula>0</formula>
    </cfRule>
  </conditionalFormatting>
  <conditionalFormatting sqref="C943">
    <cfRule type="cellIs" dxfId="3277" priority="1891" operator="equal">
      <formula>0</formula>
    </cfRule>
  </conditionalFormatting>
  <conditionalFormatting sqref="U945">
    <cfRule type="cellIs" dxfId="3276" priority="1899" operator="equal">
      <formula>0</formula>
    </cfRule>
  </conditionalFormatting>
  <conditionalFormatting sqref="B942 B944">
    <cfRule type="cellIs" dxfId="3275" priority="1887" operator="equal">
      <formula>0</formula>
    </cfRule>
  </conditionalFormatting>
  <conditionalFormatting sqref="B943">
    <cfRule type="cellIs" dxfId="3274" priority="1886" operator="equal">
      <formula>0</formula>
    </cfRule>
  </conditionalFormatting>
  <conditionalFormatting sqref="U940">
    <cfRule type="cellIs" dxfId="3273" priority="1884" operator="equal">
      <formula>0</formula>
    </cfRule>
  </conditionalFormatting>
  <conditionalFormatting sqref="U940">
    <cfRule type="cellIs" dxfId="3272" priority="1885" operator="equal">
      <formula>0</formula>
    </cfRule>
  </conditionalFormatting>
  <conditionalFormatting sqref="J934:T935">
    <cfRule type="cellIs" dxfId="3271" priority="1882" operator="equal">
      <formula>0</formula>
    </cfRule>
  </conditionalFormatting>
  <conditionalFormatting sqref="J934:T935">
    <cfRule type="cellIs" dxfId="3270" priority="1883" operator="equal">
      <formula>0</formula>
    </cfRule>
  </conditionalFormatting>
  <conditionalFormatting sqref="J936:T936">
    <cfRule type="cellIs" dxfId="3269" priority="1881" operator="equal">
      <formula>0</formula>
    </cfRule>
  </conditionalFormatting>
  <conditionalFormatting sqref="J938:T939">
    <cfRule type="cellIs" dxfId="3268" priority="1879" operator="equal">
      <formula>0</formula>
    </cfRule>
  </conditionalFormatting>
  <conditionalFormatting sqref="J938:T939">
    <cfRule type="cellIs" dxfId="3267" priority="1880" operator="equal">
      <formula>0</formula>
    </cfRule>
  </conditionalFormatting>
  <conditionalFormatting sqref="J940:T940">
    <cfRule type="cellIs" dxfId="3266" priority="1878" operator="equal">
      <formula>0</formula>
    </cfRule>
  </conditionalFormatting>
  <conditionalFormatting sqref="J942:T943">
    <cfRule type="cellIs" dxfId="3265" priority="1876" operator="equal">
      <formula>0</formula>
    </cfRule>
  </conditionalFormatting>
  <conditionalFormatting sqref="J942:T943">
    <cfRule type="cellIs" dxfId="3264" priority="1877" operator="equal">
      <formula>0</formula>
    </cfRule>
  </conditionalFormatting>
  <conditionalFormatting sqref="J944:R944">
    <cfRule type="cellIs" dxfId="3263" priority="1875" operator="equal">
      <formula>0</formula>
    </cfRule>
  </conditionalFormatting>
  <conditionalFormatting sqref="H938:H939">
    <cfRule type="cellIs" dxfId="3262" priority="1874" operator="equal">
      <formula>0</formula>
    </cfRule>
  </conditionalFormatting>
  <conditionalFormatting sqref="H938:H939">
    <cfRule type="cellIs" dxfId="3261" priority="1873" operator="equal">
      <formula>0</formula>
    </cfRule>
  </conditionalFormatting>
  <conditionalFormatting sqref="U944">
    <cfRule type="cellIs" dxfId="3260" priority="1872" operator="equal">
      <formula>0</formula>
    </cfRule>
  </conditionalFormatting>
  <conditionalFormatting sqref="U944">
    <cfRule type="cellIs" dxfId="3259" priority="1871" operator="equal">
      <formula>0</formula>
    </cfRule>
  </conditionalFormatting>
  <conditionalFormatting sqref="S944:T944">
    <cfRule type="cellIs" dxfId="3258" priority="1869" operator="equal">
      <formula>0</formula>
    </cfRule>
  </conditionalFormatting>
  <conditionalFormatting sqref="S944:T944">
    <cfRule type="cellIs" dxfId="3257" priority="1870" operator="equal">
      <formula>0</formula>
    </cfRule>
  </conditionalFormatting>
  <conditionalFormatting sqref="M929">
    <cfRule type="cellIs" dxfId="3256" priority="1868" operator="equal">
      <formula>0</formula>
    </cfRule>
  </conditionalFormatting>
  <conditionalFormatting sqref="C936">
    <cfRule type="cellIs" dxfId="3255" priority="1865" operator="equal">
      <formula>0</formula>
    </cfRule>
  </conditionalFormatting>
  <conditionalFormatting sqref="B936:G936">
    <cfRule type="cellIs" dxfId="3254" priority="1867" operator="lessThan">
      <formula>0</formula>
    </cfRule>
  </conditionalFormatting>
  <conditionalFormatting sqref="D936">
    <cfRule type="cellIs" dxfId="3253" priority="1866" operator="equal">
      <formula>0</formula>
    </cfRule>
  </conditionalFormatting>
  <conditionalFormatting sqref="B936:H936">
    <cfRule type="cellIs" dxfId="3252" priority="1864" operator="equal">
      <formula>0</formula>
    </cfRule>
  </conditionalFormatting>
  <conditionalFormatting sqref="I936">
    <cfRule type="cellIs" dxfId="3251" priority="1863" operator="equal">
      <formula>0</formula>
    </cfRule>
  </conditionalFormatting>
  <conditionalFormatting sqref="C940">
    <cfRule type="cellIs" dxfId="3250" priority="1860" operator="equal">
      <formula>0</formula>
    </cfRule>
  </conditionalFormatting>
  <conditionalFormatting sqref="B940:G940">
    <cfRule type="cellIs" dxfId="3249" priority="1862" operator="lessThan">
      <formula>0</formula>
    </cfRule>
  </conditionalFormatting>
  <conditionalFormatting sqref="D940">
    <cfRule type="cellIs" dxfId="3248" priority="1861" operator="equal">
      <formula>0</formula>
    </cfRule>
  </conditionalFormatting>
  <conditionalFormatting sqref="I940">
    <cfRule type="cellIs" dxfId="3247" priority="1858" operator="equal">
      <formula>0</formula>
    </cfRule>
  </conditionalFormatting>
  <conditionalFormatting sqref="C945">
    <cfRule type="cellIs" dxfId="3246" priority="1855" operator="equal">
      <formula>0</formula>
    </cfRule>
  </conditionalFormatting>
  <conditionalFormatting sqref="B945:G945">
    <cfRule type="cellIs" dxfId="3245" priority="1857" operator="lessThan">
      <formula>0</formula>
    </cfRule>
  </conditionalFormatting>
  <conditionalFormatting sqref="D945">
    <cfRule type="cellIs" dxfId="3244" priority="1856" operator="equal">
      <formula>0</formula>
    </cfRule>
  </conditionalFormatting>
  <conditionalFormatting sqref="B945:H945">
    <cfRule type="cellIs" dxfId="3243" priority="1854" operator="equal">
      <formula>0</formula>
    </cfRule>
  </conditionalFormatting>
  <conditionalFormatting sqref="I945">
    <cfRule type="cellIs" dxfId="3242" priority="1853" operator="equal">
      <formula>0</formula>
    </cfRule>
  </conditionalFormatting>
  <conditionalFormatting sqref="B926">
    <cfRule type="cellIs" dxfId="3241" priority="1852" operator="equal">
      <formula>0</formula>
    </cfRule>
  </conditionalFormatting>
  <conditionalFormatting sqref="B969:H969">
    <cfRule type="cellIs" dxfId="3240" priority="1851" operator="equal">
      <formula>0</formula>
    </cfRule>
  </conditionalFormatting>
  <conditionalFormatting sqref="U969">
    <cfRule type="cellIs" dxfId="3239" priority="1850" operator="equal">
      <formula>0</formula>
    </cfRule>
  </conditionalFormatting>
  <conditionalFormatting sqref="I969:U969">
    <cfRule type="cellIs" dxfId="3238" priority="1849" operator="equal">
      <formula>0</formula>
    </cfRule>
  </conditionalFormatting>
  <conditionalFormatting sqref="U969">
    <cfRule type="cellIs" dxfId="3237" priority="1848" operator="equal">
      <formula>0</formula>
    </cfRule>
  </conditionalFormatting>
  <conditionalFormatting sqref="N952:T952 I952:L952">
    <cfRule type="cellIs" dxfId="3236" priority="1847" operator="equal">
      <formula>0</formula>
    </cfRule>
  </conditionalFormatting>
  <conditionalFormatting sqref="U951:U952">
    <cfRule type="cellIs" dxfId="3235" priority="1825" operator="equal">
      <formula>0</formula>
    </cfRule>
  </conditionalFormatting>
  <conditionalFormatting sqref="U950">
    <cfRule type="cellIs" dxfId="3234" priority="1824" operator="equal">
      <formula>0</formula>
    </cfRule>
  </conditionalFormatting>
  <conditionalFormatting sqref="U949:U950">
    <cfRule type="cellIs" dxfId="3233" priority="1823" operator="equal">
      <formula>0</formula>
    </cfRule>
  </conditionalFormatting>
  <conditionalFormatting sqref="D953:D954">
    <cfRule type="cellIs" dxfId="3232" priority="1819" operator="equal">
      <formula>0</formula>
    </cfRule>
  </conditionalFormatting>
  <conditionalFormatting sqref="U953:U954">
    <cfRule type="cellIs" dxfId="3231" priority="1816" operator="equal">
      <formula>0</formula>
    </cfRule>
  </conditionalFormatting>
  <conditionalFormatting sqref="H953:H954">
    <cfRule type="cellIs" dxfId="3230" priority="1818" operator="equal">
      <formula>0</formula>
    </cfRule>
  </conditionalFormatting>
  <conditionalFormatting sqref="D953:H954 J953:U954">
    <cfRule type="cellIs" dxfId="3229" priority="1815" operator="equal">
      <formula>0</formula>
    </cfRule>
  </conditionalFormatting>
  <conditionalFormatting sqref="I953:I954">
    <cfRule type="cellIs" dxfId="3228" priority="1806" operator="equal">
      <formula>0</formula>
    </cfRule>
  </conditionalFormatting>
  <conditionalFormatting sqref="F957:G958">
    <cfRule type="cellIs" dxfId="3227" priority="1803" operator="equal">
      <formula>0</formula>
    </cfRule>
  </conditionalFormatting>
  <conditionalFormatting sqref="C957:C958">
    <cfRule type="cellIs" dxfId="3226" priority="1802" operator="equal">
      <formula>0</formula>
    </cfRule>
  </conditionalFormatting>
  <conditionalFormatting sqref="H957:H958">
    <cfRule type="cellIs" dxfId="3225" priority="1801" operator="equal">
      <formula>0</formula>
    </cfRule>
  </conditionalFormatting>
  <conditionalFormatting sqref="C953:C954">
    <cfRule type="cellIs" dxfId="3224" priority="1810" operator="equal">
      <formula>0</formula>
    </cfRule>
  </conditionalFormatting>
  <conditionalFormatting sqref="C954">
    <cfRule type="cellIs" dxfId="3223" priority="1811" operator="equal">
      <formula>0</formula>
    </cfRule>
  </conditionalFormatting>
  <conditionalFormatting sqref="I953:I954">
    <cfRule type="cellIs" dxfId="3222" priority="1805" operator="equal">
      <formula>0</formula>
    </cfRule>
  </conditionalFormatting>
  <conditionalFormatting sqref="I957:I958 U957:U958">
    <cfRule type="cellIs" dxfId="3221" priority="1795" operator="equal">
      <formula>0</formula>
    </cfRule>
  </conditionalFormatting>
  <conditionalFormatting sqref="B957">
    <cfRule type="cellIs" dxfId="3220" priority="1799" operator="equal">
      <formula>0</formula>
    </cfRule>
  </conditionalFormatting>
  <conditionalFormatting sqref="B958">
    <cfRule type="cellIs" dxfId="3219" priority="1798" operator="equal">
      <formula>0</formula>
    </cfRule>
  </conditionalFormatting>
  <conditionalFormatting sqref="U959">
    <cfRule type="cellIs" dxfId="3218" priority="1793" operator="equal">
      <formula>0</formula>
    </cfRule>
  </conditionalFormatting>
  <conditionalFormatting sqref="C949:G949">
    <cfRule type="cellIs" dxfId="3217" priority="1846" operator="equal">
      <formula>0</formula>
    </cfRule>
  </conditionalFormatting>
  <conditionalFormatting sqref="H951:H952">
    <cfRule type="cellIs" dxfId="3216" priority="1844" operator="equal">
      <formula>0</formula>
    </cfRule>
  </conditionalFormatting>
  <conditionalFormatting sqref="C955:C956">
    <cfRule type="cellIs" dxfId="3215" priority="1841" operator="equal">
      <formula>0</formula>
    </cfRule>
  </conditionalFormatting>
  <conditionalFormatting sqref="D964">
    <cfRule type="cellIs" dxfId="3214" priority="1830" operator="equal">
      <formula>0</formula>
    </cfRule>
  </conditionalFormatting>
  <conditionalFormatting sqref="H950">
    <cfRule type="cellIs" dxfId="3213" priority="1836" operator="equal">
      <formula>0</formula>
    </cfRule>
  </conditionalFormatting>
  <conditionalFormatting sqref="D960">
    <cfRule type="cellIs" dxfId="3212" priority="1835" operator="equal">
      <formula>0</formula>
    </cfRule>
  </conditionalFormatting>
  <conditionalFormatting sqref="C960">
    <cfRule type="cellIs" dxfId="3211" priority="1834" operator="equal">
      <formula>0</formula>
    </cfRule>
  </conditionalFormatting>
  <conditionalFormatting sqref="B960:G960">
    <cfRule type="cellIs" dxfId="3210" priority="1833" operator="equal">
      <formula>0</formula>
    </cfRule>
  </conditionalFormatting>
  <conditionalFormatting sqref="H960:U960">
    <cfRule type="cellIs" dxfId="3209" priority="1832" operator="equal">
      <formula>0</formula>
    </cfRule>
  </conditionalFormatting>
  <conditionalFormatting sqref="H960:U960">
    <cfRule type="cellIs" dxfId="3208" priority="1831" operator="equal">
      <formula>0</formula>
    </cfRule>
  </conditionalFormatting>
  <conditionalFormatting sqref="C964">
    <cfRule type="cellIs" dxfId="3207" priority="1829" operator="equal">
      <formula>0</formula>
    </cfRule>
  </conditionalFormatting>
  <conditionalFormatting sqref="B964:G964">
    <cfRule type="cellIs" dxfId="3206" priority="1828" operator="equal">
      <formula>0</formula>
    </cfRule>
  </conditionalFormatting>
  <conditionalFormatting sqref="H964:U964">
    <cfRule type="cellIs" dxfId="3205" priority="1827" operator="equal">
      <formula>0</formula>
    </cfRule>
  </conditionalFormatting>
  <conditionalFormatting sqref="H964:U964">
    <cfRule type="cellIs" dxfId="3204" priority="1826" operator="equal">
      <formula>0</formula>
    </cfRule>
  </conditionalFormatting>
  <conditionalFormatting sqref="I950:T950">
    <cfRule type="cellIs" dxfId="3203" priority="1845" operator="equal">
      <formula>0</formula>
    </cfRule>
  </conditionalFormatting>
  <conditionalFormatting sqref="B955:G955">
    <cfRule type="cellIs" dxfId="3202" priority="1843" operator="lessThan">
      <formula>0</formula>
    </cfRule>
  </conditionalFormatting>
  <conditionalFormatting sqref="D955:D956">
    <cfRule type="cellIs" dxfId="3201" priority="1842" operator="equal">
      <formula>0</formula>
    </cfRule>
  </conditionalFormatting>
  <conditionalFormatting sqref="B956:G956 F950:G950 B950 B955:H955 C951:T951 I949:T950 C952:H952">
    <cfRule type="cellIs" dxfId="3200" priority="1840" operator="equal">
      <formula>0</formula>
    </cfRule>
  </conditionalFormatting>
  <conditionalFormatting sqref="H956:U956">
    <cfRule type="cellIs" dxfId="3199" priority="1839" operator="equal">
      <formula>0</formula>
    </cfRule>
  </conditionalFormatting>
  <conditionalFormatting sqref="H956:U956">
    <cfRule type="cellIs" dxfId="3198" priority="1838" operator="equal">
      <formula>0</formula>
    </cfRule>
  </conditionalFormatting>
  <conditionalFormatting sqref="C950:E950">
    <cfRule type="cellIs" dxfId="3197" priority="1837" operator="equal">
      <formula>0</formula>
    </cfRule>
  </conditionalFormatting>
  <conditionalFormatting sqref="B952">
    <cfRule type="cellIs" dxfId="3196" priority="1822" operator="equal">
      <formula>0</formula>
    </cfRule>
  </conditionalFormatting>
  <conditionalFormatting sqref="B951">
    <cfRule type="cellIs" dxfId="3195" priority="1821" operator="equal">
      <formula>0</formula>
    </cfRule>
  </conditionalFormatting>
  <conditionalFormatting sqref="B954">
    <cfRule type="cellIs" dxfId="3194" priority="1813" operator="equal">
      <formula>0</formula>
    </cfRule>
  </conditionalFormatting>
  <conditionalFormatting sqref="G953:G954">
    <cfRule type="cellIs" dxfId="3193" priority="1820" operator="lessThan">
      <formula>0</formula>
    </cfRule>
  </conditionalFormatting>
  <conditionalFormatting sqref="J953:T954">
    <cfRule type="cellIs" dxfId="3192" priority="1817" operator="equal">
      <formula>0</formula>
    </cfRule>
  </conditionalFormatting>
  <conditionalFormatting sqref="B953">
    <cfRule type="cellIs" dxfId="3191" priority="1814" operator="equal">
      <formula>0</formula>
    </cfRule>
  </conditionalFormatting>
  <conditionalFormatting sqref="C953:C954">
    <cfRule type="cellIs" dxfId="3190" priority="1812" operator="equal">
      <formula>0</formula>
    </cfRule>
  </conditionalFormatting>
  <conditionalFormatting sqref="U955">
    <cfRule type="cellIs" dxfId="3189" priority="1809" operator="equal">
      <formula>0</formula>
    </cfRule>
  </conditionalFormatting>
  <conditionalFormatting sqref="U955">
    <cfRule type="cellIs" dxfId="3188" priority="1808" operator="equal">
      <formula>0</formula>
    </cfRule>
  </conditionalFormatting>
  <conditionalFormatting sqref="I955:T955">
    <cfRule type="cellIs" dxfId="3187" priority="1807" operator="equal">
      <formula>0</formula>
    </cfRule>
  </conditionalFormatting>
  <conditionalFormatting sqref="D957:D958">
    <cfRule type="cellIs" dxfId="3186" priority="1804" operator="equal">
      <formula>0</formula>
    </cfRule>
  </conditionalFormatting>
  <conditionalFormatting sqref="C957:H958">
    <cfRule type="cellIs" dxfId="3185" priority="1800" operator="equal">
      <formula>0</formula>
    </cfRule>
  </conditionalFormatting>
  <conditionalFormatting sqref="I957:I958">
    <cfRule type="cellIs" dxfId="3184" priority="1797" operator="equal">
      <formula>0</formula>
    </cfRule>
  </conditionalFormatting>
  <conditionalFormatting sqref="U957:U958">
    <cfRule type="cellIs" dxfId="3183" priority="1796" operator="equal">
      <formula>0</formula>
    </cfRule>
  </conditionalFormatting>
  <conditionalFormatting sqref="U959">
    <cfRule type="cellIs" dxfId="3182" priority="1794" operator="equal">
      <formula>0</formula>
    </cfRule>
  </conditionalFormatting>
  <conditionalFormatting sqref="U961:U962">
    <cfRule type="cellIs" dxfId="3181" priority="1787" operator="equal">
      <formula>0</formula>
    </cfRule>
  </conditionalFormatting>
  <conditionalFormatting sqref="I961:I962 U961:U962">
    <cfRule type="cellIs" dxfId="3180" priority="1786" operator="equal">
      <formula>0</formula>
    </cfRule>
  </conditionalFormatting>
  <conditionalFormatting sqref="C961:C962">
    <cfRule type="cellIs" dxfId="3179" priority="1790" operator="equal">
      <formula>0</formula>
    </cfRule>
  </conditionalFormatting>
  <conditionalFormatting sqref="I961:I962">
    <cfRule type="cellIs" dxfId="3178" priority="1788" operator="equal">
      <formula>0</formula>
    </cfRule>
  </conditionalFormatting>
  <conditionalFormatting sqref="F961:G962">
    <cfRule type="cellIs" dxfId="3177" priority="1791" operator="equal">
      <formula>0</formula>
    </cfRule>
  </conditionalFormatting>
  <conditionalFormatting sqref="C961:G962">
    <cfRule type="cellIs" dxfId="3176" priority="1789" operator="equal">
      <formula>0</formula>
    </cfRule>
  </conditionalFormatting>
  <conditionalFormatting sqref="D961:D962">
    <cfRule type="cellIs" dxfId="3175" priority="1792" operator="equal">
      <formula>0</formula>
    </cfRule>
  </conditionalFormatting>
  <conditionalFormatting sqref="B962">
    <cfRule type="cellIs" dxfId="3174" priority="1784" operator="equal">
      <formula>0</formula>
    </cfRule>
  </conditionalFormatting>
  <conditionalFormatting sqref="B961">
    <cfRule type="cellIs" dxfId="3173" priority="1785" operator="equal">
      <formula>0</formula>
    </cfRule>
  </conditionalFormatting>
  <conditionalFormatting sqref="H965:H967">
    <cfRule type="cellIs" dxfId="3172" priority="1777" operator="equal">
      <formula>0</formula>
    </cfRule>
  </conditionalFormatting>
  <conditionalFormatting sqref="U968">
    <cfRule type="cellIs" dxfId="3171" priority="1783" operator="equal">
      <formula>0</formula>
    </cfRule>
  </conditionalFormatting>
  <conditionalFormatting sqref="U965:U966">
    <cfRule type="cellIs" dxfId="3170" priority="1772" operator="equal">
      <formula>0</formula>
    </cfRule>
  </conditionalFormatting>
  <conditionalFormatting sqref="J968:T968">
    <cfRule type="cellIs" dxfId="3169" priority="1781" operator="equal">
      <formula>0</formula>
    </cfRule>
  </conditionalFormatting>
  <conditionalFormatting sqref="D965:D967">
    <cfRule type="cellIs" dxfId="3168" priority="1780" operator="equal">
      <formula>0</formula>
    </cfRule>
  </conditionalFormatting>
  <conditionalFormatting sqref="F965:G967">
    <cfRule type="cellIs" dxfId="3167" priority="1779" operator="equal">
      <formula>0</formula>
    </cfRule>
  </conditionalFormatting>
  <conditionalFormatting sqref="C965 C967">
    <cfRule type="cellIs" dxfId="3166" priority="1778" operator="equal">
      <formula>0</formula>
    </cfRule>
  </conditionalFormatting>
  <conditionalFormatting sqref="C966">
    <cfRule type="cellIs" dxfId="3165" priority="1775" operator="equal">
      <formula>0</formula>
    </cfRule>
  </conditionalFormatting>
  <conditionalFormatting sqref="I965:I967">
    <cfRule type="cellIs" dxfId="3164" priority="1773" operator="equal">
      <formula>0</formula>
    </cfRule>
  </conditionalFormatting>
  <conditionalFormatting sqref="I965:I967 U965:U966">
    <cfRule type="cellIs" dxfId="3163" priority="1771" operator="equal">
      <formula>0</formula>
    </cfRule>
  </conditionalFormatting>
  <conditionalFormatting sqref="C965:H965 C967:H967 D966:H966">
    <cfRule type="cellIs" dxfId="3162" priority="1776" operator="equal">
      <formula>0</formula>
    </cfRule>
  </conditionalFormatting>
  <conditionalFormatting sqref="C966">
    <cfRule type="cellIs" dxfId="3161" priority="1774" operator="equal">
      <formula>0</formula>
    </cfRule>
  </conditionalFormatting>
  <conditionalFormatting sqref="U968">
    <cfRule type="cellIs" dxfId="3160" priority="1782" operator="equal">
      <formula>0</formula>
    </cfRule>
  </conditionalFormatting>
  <conditionalFormatting sqref="B965 B967">
    <cfRule type="cellIs" dxfId="3159" priority="1770" operator="equal">
      <formula>0</formula>
    </cfRule>
  </conditionalFormatting>
  <conditionalFormatting sqref="B966">
    <cfRule type="cellIs" dxfId="3158" priority="1769" operator="equal">
      <formula>0</formula>
    </cfRule>
  </conditionalFormatting>
  <conditionalFormatting sqref="U963">
    <cfRule type="cellIs" dxfId="3157" priority="1767" operator="equal">
      <formula>0</formula>
    </cfRule>
  </conditionalFormatting>
  <conditionalFormatting sqref="U963">
    <cfRule type="cellIs" dxfId="3156" priority="1768" operator="equal">
      <formula>0</formula>
    </cfRule>
  </conditionalFormatting>
  <conditionalFormatting sqref="J957:T958">
    <cfRule type="cellIs" dxfId="3155" priority="1765" operator="equal">
      <formula>0</formula>
    </cfRule>
  </conditionalFormatting>
  <conditionalFormatting sqref="J957:T958">
    <cfRule type="cellIs" dxfId="3154" priority="1766" operator="equal">
      <formula>0</formula>
    </cfRule>
  </conditionalFormatting>
  <conditionalFormatting sqref="J959:T959">
    <cfRule type="cellIs" dxfId="3153" priority="1764" operator="equal">
      <formula>0</formula>
    </cfRule>
  </conditionalFormatting>
  <conditionalFormatting sqref="J961:T962">
    <cfRule type="cellIs" dxfId="3152" priority="1762" operator="equal">
      <formula>0</formula>
    </cfRule>
  </conditionalFormatting>
  <conditionalFormatting sqref="J961:T962">
    <cfRule type="cellIs" dxfId="3151" priority="1763" operator="equal">
      <formula>0</formula>
    </cfRule>
  </conditionalFormatting>
  <conditionalFormatting sqref="J963:T963">
    <cfRule type="cellIs" dxfId="3150" priority="1761" operator="equal">
      <formula>0</formula>
    </cfRule>
  </conditionalFormatting>
  <conditionalFormatting sqref="J965:T966">
    <cfRule type="cellIs" dxfId="3149" priority="1759" operator="equal">
      <formula>0</formula>
    </cfRule>
  </conditionalFormatting>
  <conditionalFormatting sqref="J965:T966">
    <cfRule type="cellIs" dxfId="3148" priority="1760" operator="equal">
      <formula>0</formula>
    </cfRule>
  </conditionalFormatting>
  <conditionalFormatting sqref="J967:R967">
    <cfRule type="cellIs" dxfId="3147" priority="1758" operator="equal">
      <formula>0</formula>
    </cfRule>
  </conditionalFormatting>
  <conditionalFormatting sqref="H961:H962">
    <cfRule type="cellIs" dxfId="3146" priority="1757" operator="equal">
      <formula>0</formula>
    </cfRule>
  </conditionalFormatting>
  <conditionalFormatting sqref="H961:H962">
    <cfRule type="cellIs" dxfId="3145" priority="1756" operator="equal">
      <formula>0</formula>
    </cfRule>
  </conditionalFormatting>
  <conditionalFormatting sqref="U967">
    <cfRule type="cellIs" dxfId="3144" priority="1755" operator="equal">
      <formula>0</formula>
    </cfRule>
  </conditionalFormatting>
  <conditionalFormatting sqref="U967">
    <cfRule type="cellIs" dxfId="3143" priority="1754" operator="equal">
      <formula>0</formula>
    </cfRule>
  </conditionalFormatting>
  <conditionalFormatting sqref="S967:T967">
    <cfRule type="cellIs" dxfId="3142" priority="1752" operator="equal">
      <formula>0</formula>
    </cfRule>
  </conditionalFormatting>
  <conditionalFormatting sqref="S967:T967">
    <cfRule type="cellIs" dxfId="3141" priority="1753" operator="equal">
      <formula>0</formula>
    </cfRule>
  </conditionalFormatting>
  <conditionalFormatting sqref="M952">
    <cfRule type="cellIs" dxfId="3140" priority="1751" operator="equal">
      <formula>0</formula>
    </cfRule>
  </conditionalFormatting>
  <conditionalFormatting sqref="C959">
    <cfRule type="cellIs" dxfId="3139" priority="1748" operator="equal">
      <formula>0</formula>
    </cfRule>
  </conditionalFormatting>
  <conditionalFormatting sqref="B959:G959">
    <cfRule type="cellIs" dxfId="3138" priority="1750" operator="lessThan">
      <formula>0</formula>
    </cfRule>
  </conditionalFormatting>
  <conditionalFormatting sqref="D959">
    <cfRule type="cellIs" dxfId="3137" priority="1749" operator="equal">
      <formula>0</formula>
    </cfRule>
  </conditionalFormatting>
  <conditionalFormatting sqref="B959:H959">
    <cfRule type="cellIs" dxfId="3136" priority="1747" operator="equal">
      <formula>0</formula>
    </cfRule>
  </conditionalFormatting>
  <conditionalFormatting sqref="I959">
    <cfRule type="cellIs" dxfId="3135" priority="1746" operator="equal">
      <formula>0</formula>
    </cfRule>
  </conditionalFormatting>
  <conditionalFormatting sqref="C963">
    <cfRule type="cellIs" dxfId="3134" priority="1743" operator="equal">
      <formula>0</formula>
    </cfRule>
  </conditionalFormatting>
  <conditionalFormatting sqref="B963:G963">
    <cfRule type="cellIs" dxfId="3133" priority="1745" operator="lessThan">
      <formula>0</formula>
    </cfRule>
  </conditionalFormatting>
  <conditionalFormatting sqref="D963">
    <cfRule type="cellIs" dxfId="3132" priority="1744" operator="equal">
      <formula>0</formula>
    </cfRule>
  </conditionalFormatting>
  <conditionalFormatting sqref="B963:H963">
    <cfRule type="cellIs" dxfId="3131" priority="1742" operator="equal">
      <formula>0</formula>
    </cfRule>
  </conditionalFormatting>
  <conditionalFormatting sqref="I963">
    <cfRule type="cellIs" dxfId="3130" priority="1741" operator="equal">
      <formula>0</formula>
    </cfRule>
  </conditionalFormatting>
  <conditionalFormatting sqref="C968">
    <cfRule type="cellIs" dxfId="3129" priority="1738" operator="equal">
      <formula>0</formula>
    </cfRule>
  </conditionalFormatting>
  <conditionalFormatting sqref="B968:G968">
    <cfRule type="cellIs" dxfId="3128" priority="1740" operator="lessThan">
      <formula>0</formula>
    </cfRule>
  </conditionalFormatting>
  <conditionalFormatting sqref="D968">
    <cfRule type="cellIs" dxfId="3127" priority="1739" operator="equal">
      <formula>0</formula>
    </cfRule>
  </conditionalFormatting>
  <conditionalFormatting sqref="B968:H968">
    <cfRule type="cellIs" dxfId="3126" priority="1737" operator="equal">
      <formula>0</formula>
    </cfRule>
  </conditionalFormatting>
  <conditionalFormatting sqref="I968">
    <cfRule type="cellIs" dxfId="3125" priority="1736" operator="equal">
      <formula>0</formula>
    </cfRule>
  </conditionalFormatting>
  <conditionalFormatting sqref="B949">
    <cfRule type="cellIs" dxfId="3124" priority="1735" operator="equal">
      <formula>0</formula>
    </cfRule>
  </conditionalFormatting>
  <conditionalFormatting sqref="B992:H992">
    <cfRule type="cellIs" dxfId="3123" priority="1734" operator="equal">
      <formula>0</formula>
    </cfRule>
  </conditionalFormatting>
  <conditionalFormatting sqref="U992">
    <cfRule type="cellIs" dxfId="3122" priority="1733" operator="equal">
      <formula>0</formula>
    </cfRule>
  </conditionalFormatting>
  <conditionalFormatting sqref="U992">
    <cfRule type="cellIs" dxfId="3121" priority="1731" operator="equal">
      <formula>0</formula>
    </cfRule>
  </conditionalFormatting>
  <conditionalFormatting sqref="N975:T975 I975:L975">
    <cfRule type="cellIs" dxfId="3120" priority="1730" operator="equal">
      <formula>0</formula>
    </cfRule>
  </conditionalFormatting>
  <conditionalFormatting sqref="U974:U975">
    <cfRule type="cellIs" dxfId="3119" priority="1708" operator="equal">
      <formula>0</formula>
    </cfRule>
  </conditionalFormatting>
  <conditionalFormatting sqref="U973">
    <cfRule type="cellIs" dxfId="3118" priority="1707" operator="equal">
      <formula>0</formula>
    </cfRule>
  </conditionalFormatting>
  <conditionalFormatting sqref="U972:U973">
    <cfRule type="cellIs" dxfId="3117" priority="1706" operator="equal">
      <formula>0</formula>
    </cfRule>
  </conditionalFormatting>
  <conditionalFormatting sqref="D976:D977">
    <cfRule type="cellIs" dxfId="3116" priority="1702" operator="equal">
      <formula>0</formula>
    </cfRule>
  </conditionalFormatting>
  <conditionalFormatting sqref="U976:U977">
    <cfRule type="cellIs" dxfId="3115" priority="1699" operator="equal">
      <formula>0</formula>
    </cfRule>
  </conditionalFormatting>
  <conditionalFormatting sqref="H976:H977">
    <cfRule type="cellIs" dxfId="3114" priority="1701" operator="equal">
      <formula>0</formula>
    </cfRule>
  </conditionalFormatting>
  <conditionalFormatting sqref="D976:H977 J976:U977">
    <cfRule type="cellIs" dxfId="3113" priority="1698" operator="equal">
      <formula>0</formula>
    </cfRule>
  </conditionalFormatting>
  <conditionalFormatting sqref="I976:I977">
    <cfRule type="cellIs" dxfId="3112" priority="1689" operator="equal">
      <formula>0</formula>
    </cfRule>
  </conditionalFormatting>
  <conditionalFormatting sqref="F980:G981">
    <cfRule type="cellIs" dxfId="3111" priority="1686" operator="equal">
      <formula>0</formula>
    </cfRule>
  </conditionalFormatting>
  <conditionalFormatting sqref="C980:C981">
    <cfRule type="cellIs" dxfId="3110" priority="1685" operator="equal">
      <formula>0</formula>
    </cfRule>
  </conditionalFormatting>
  <conditionalFormatting sqref="H980:H981">
    <cfRule type="cellIs" dxfId="3109" priority="1684" operator="equal">
      <formula>0</formula>
    </cfRule>
  </conditionalFormatting>
  <conditionalFormatting sqref="C976:C977">
    <cfRule type="cellIs" dxfId="3108" priority="1693" operator="equal">
      <formula>0</formula>
    </cfRule>
  </conditionalFormatting>
  <conditionalFormatting sqref="C977">
    <cfRule type="cellIs" dxfId="3107" priority="1694" operator="equal">
      <formula>0</formula>
    </cfRule>
  </conditionalFormatting>
  <conditionalFormatting sqref="I976:I977">
    <cfRule type="cellIs" dxfId="3106" priority="1688" operator="equal">
      <formula>0</formula>
    </cfRule>
  </conditionalFormatting>
  <conditionalFormatting sqref="I980:I981 U980:U981">
    <cfRule type="cellIs" dxfId="3105" priority="1678" operator="equal">
      <formula>0</formula>
    </cfRule>
  </conditionalFormatting>
  <conditionalFormatting sqref="B980">
    <cfRule type="cellIs" dxfId="3104" priority="1682" operator="equal">
      <formula>0</formula>
    </cfRule>
  </conditionalFormatting>
  <conditionalFormatting sqref="B981">
    <cfRule type="cellIs" dxfId="3103" priority="1681" operator="equal">
      <formula>0</formula>
    </cfRule>
  </conditionalFormatting>
  <conditionalFormatting sqref="U982">
    <cfRule type="cellIs" dxfId="3102" priority="1676" operator="equal">
      <formula>0</formula>
    </cfRule>
  </conditionalFormatting>
  <conditionalFormatting sqref="C972:G972">
    <cfRule type="cellIs" dxfId="3101" priority="1729" operator="equal">
      <formula>0</formula>
    </cfRule>
  </conditionalFormatting>
  <conditionalFormatting sqref="H974:H975">
    <cfRule type="cellIs" dxfId="3100" priority="1727" operator="equal">
      <formula>0</formula>
    </cfRule>
  </conditionalFormatting>
  <conditionalFormatting sqref="C978:C979">
    <cfRule type="cellIs" dxfId="3099" priority="1724" operator="equal">
      <formula>0</formula>
    </cfRule>
  </conditionalFormatting>
  <conditionalFormatting sqref="D987">
    <cfRule type="cellIs" dxfId="3098" priority="1713" operator="equal">
      <formula>0</formula>
    </cfRule>
  </conditionalFormatting>
  <conditionalFormatting sqref="H973">
    <cfRule type="cellIs" dxfId="3097" priority="1719" operator="equal">
      <formula>0</formula>
    </cfRule>
  </conditionalFormatting>
  <conditionalFormatting sqref="D983">
    <cfRule type="cellIs" dxfId="3096" priority="1718" operator="equal">
      <formula>0</formula>
    </cfRule>
  </conditionalFormatting>
  <conditionalFormatting sqref="C983">
    <cfRule type="cellIs" dxfId="3095" priority="1717" operator="equal">
      <formula>0</formula>
    </cfRule>
  </conditionalFormatting>
  <conditionalFormatting sqref="B983:G983">
    <cfRule type="cellIs" dxfId="3094" priority="1716" operator="equal">
      <formula>0</formula>
    </cfRule>
  </conditionalFormatting>
  <conditionalFormatting sqref="H983:U983">
    <cfRule type="cellIs" dxfId="3093" priority="1715" operator="equal">
      <formula>0</formula>
    </cfRule>
  </conditionalFormatting>
  <conditionalFormatting sqref="H983:U983">
    <cfRule type="cellIs" dxfId="3092" priority="1714" operator="equal">
      <formula>0</formula>
    </cfRule>
  </conditionalFormatting>
  <conditionalFormatting sqref="C987">
    <cfRule type="cellIs" dxfId="3091" priority="1712" operator="equal">
      <formula>0</formula>
    </cfRule>
  </conditionalFormatting>
  <conditionalFormatting sqref="B987:G987">
    <cfRule type="cellIs" dxfId="3090" priority="1711" operator="equal">
      <formula>0</formula>
    </cfRule>
  </conditionalFormatting>
  <conditionalFormatting sqref="H987:U987">
    <cfRule type="cellIs" dxfId="3089" priority="1710" operator="equal">
      <formula>0</formula>
    </cfRule>
  </conditionalFormatting>
  <conditionalFormatting sqref="H987:U987">
    <cfRule type="cellIs" dxfId="3088" priority="1709" operator="equal">
      <formula>0</formula>
    </cfRule>
  </conditionalFormatting>
  <conditionalFormatting sqref="I973:T973">
    <cfRule type="cellIs" dxfId="3087" priority="1728" operator="equal">
      <formula>0</formula>
    </cfRule>
  </conditionalFormatting>
  <conditionalFormatting sqref="B978:G978">
    <cfRule type="cellIs" dxfId="3086" priority="1726" operator="lessThan">
      <formula>0</formula>
    </cfRule>
  </conditionalFormatting>
  <conditionalFormatting sqref="D978:D979">
    <cfRule type="cellIs" dxfId="3085" priority="1725" operator="equal">
      <formula>0</formula>
    </cfRule>
  </conditionalFormatting>
  <conditionalFormatting sqref="B979:G979 F973:G973 B973 B978:H978 C974:T974 I972:T973 C975:H975">
    <cfRule type="cellIs" dxfId="3084" priority="1723" operator="equal">
      <formula>0</formula>
    </cfRule>
  </conditionalFormatting>
  <conditionalFormatting sqref="H979:U979">
    <cfRule type="cellIs" dxfId="3083" priority="1722" operator="equal">
      <formula>0</formula>
    </cfRule>
  </conditionalFormatting>
  <conditionalFormatting sqref="H979:U979">
    <cfRule type="cellIs" dxfId="3082" priority="1721" operator="equal">
      <formula>0</formula>
    </cfRule>
  </conditionalFormatting>
  <conditionalFormatting sqref="C973:E973">
    <cfRule type="cellIs" dxfId="3081" priority="1720" operator="equal">
      <formula>0</formula>
    </cfRule>
  </conditionalFormatting>
  <conditionalFormatting sqref="B975">
    <cfRule type="cellIs" dxfId="3080" priority="1705" operator="equal">
      <formula>0</formula>
    </cfRule>
  </conditionalFormatting>
  <conditionalFormatting sqref="B974">
    <cfRule type="cellIs" dxfId="3079" priority="1704" operator="equal">
      <formula>0</formula>
    </cfRule>
  </conditionalFormatting>
  <conditionalFormatting sqref="B977">
    <cfRule type="cellIs" dxfId="3078" priority="1696" operator="equal">
      <formula>0</formula>
    </cfRule>
  </conditionalFormatting>
  <conditionalFormatting sqref="G976:G977">
    <cfRule type="cellIs" dxfId="3077" priority="1703" operator="lessThan">
      <formula>0</formula>
    </cfRule>
  </conditionalFormatting>
  <conditionalFormatting sqref="J976:T977">
    <cfRule type="cellIs" dxfId="3076" priority="1700" operator="equal">
      <formula>0</formula>
    </cfRule>
  </conditionalFormatting>
  <conditionalFormatting sqref="B976">
    <cfRule type="cellIs" dxfId="3075" priority="1697" operator="equal">
      <formula>0</formula>
    </cfRule>
  </conditionalFormatting>
  <conditionalFormatting sqref="C976:C977">
    <cfRule type="cellIs" dxfId="3074" priority="1695" operator="equal">
      <formula>0</formula>
    </cfRule>
  </conditionalFormatting>
  <conditionalFormatting sqref="U978">
    <cfRule type="cellIs" dxfId="3073" priority="1692" operator="equal">
      <formula>0</formula>
    </cfRule>
  </conditionalFormatting>
  <conditionalFormatting sqref="U978">
    <cfRule type="cellIs" dxfId="3072" priority="1691" operator="equal">
      <formula>0</formula>
    </cfRule>
  </conditionalFormatting>
  <conditionalFormatting sqref="I978:T978">
    <cfRule type="cellIs" dxfId="3071" priority="1690" operator="equal">
      <formula>0</formula>
    </cfRule>
  </conditionalFormatting>
  <conditionalFormatting sqref="D980:D981">
    <cfRule type="cellIs" dxfId="3070" priority="1687" operator="equal">
      <formula>0</formula>
    </cfRule>
  </conditionalFormatting>
  <conditionalFormatting sqref="C980:H981">
    <cfRule type="cellIs" dxfId="3069" priority="1683" operator="equal">
      <formula>0</formula>
    </cfRule>
  </conditionalFormatting>
  <conditionalFormatting sqref="I980:I981">
    <cfRule type="cellIs" dxfId="3068" priority="1680" operator="equal">
      <formula>0</formula>
    </cfRule>
  </conditionalFormatting>
  <conditionalFormatting sqref="U980:U981">
    <cfRule type="cellIs" dxfId="3067" priority="1679" operator="equal">
      <formula>0</formula>
    </cfRule>
  </conditionalFormatting>
  <conditionalFormatting sqref="U982">
    <cfRule type="cellIs" dxfId="3066" priority="1677" operator="equal">
      <formula>0</formula>
    </cfRule>
  </conditionalFormatting>
  <conditionalFormatting sqref="U984:U985">
    <cfRule type="cellIs" dxfId="3065" priority="1670" operator="equal">
      <formula>0</formula>
    </cfRule>
  </conditionalFormatting>
  <conditionalFormatting sqref="I984:I985 U984:U985">
    <cfRule type="cellIs" dxfId="3064" priority="1669" operator="equal">
      <formula>0</formula>
    </cfRule>
  </conditionalFormatting>
  <conditionalFormatting sqref="C984:C985">
    <cfRule type="cellIs" dxfId="3063" priority="1673" operator="equal">
      <formula>0</formula>
    </cfRule>
  </conditionalFormatting>
  <conditionalFormatting sqref="I984:I985">
    <cfRule type="cellIs" dxfId="3062" priority="1671" operator="equal">
      <formula>0</formula>
    </cfRule>
  </conditionalFormatting>
  <conditionalFormatting sqref="F984:G985">
    <cfRule type="cellIs" dxfId="3061" priority="1674" operator="equal">
      <formula>0</formula>
    </cfRule>
  </conditionalFormatting>
  <conditionalFormatting sqref="C984:G985">
    <cfRule type="cellIs" dxfId="3060" priority="1672" operator="equal">
      <formula>0</formula>
    </cfRule>
  </conditionalFormatting>
  <conditionalFormatting sqref="D984:D985">
    <cfRule type="cellIs" dxfId="3059" priority="1675" operator="equal">
      <formula>0</formula>
    </cfRule>
  </conditionalFormatting>
  <conditionalFormatting sqref="B985">
    <cfRule type="cellIs" dxfId="3058" priority="1667" operator="equal">
      <formula>0</formula>
    </cfRule>
  </conditionalFormatting>
  <conditionalFormatting sqref="B984">
    <cfRule type="cellIs" dxfId="3057" priority="1668" operator="equal">
      <formula>0</formula>
    </cfRule>
  </conditionalFormatting>
  <conditionalFormatting sqref="H988:H990">
    <cfRule type="cellIs" dxfId="3056" priority="1660" operator="equal">
      <formula>0</formula>
    </cfRule>
  </conditionalFormatting>
  <conditionalFormatting sqref="U991">
    <cfRule type="cellIs" dxfId="3055" priority="1666" operator="equal">
      <formula>0</formula>
    </cfRule>
  </conditionalFormatting>
  <conditionalFormatting sqref="U988:U989">
    <cfRule type="cellIs" dxfId="3054" priority="1655" operator="equal">
      <formula>0</formula>
    </cfRule>
  </conditionalFormatting>
  <conditionalFormatting sqref="J991:T991">
    <cfRule type="cellIs" dxfId="3053" priority="1664" operator="equal">
      <formula>0</formula>
    </cfRule>
  </conditionalFormatting>
  <conditionalFormatting sqref="D988:D990">
    <cfRule type="cellIs" dxfId="3052" priority="1663" operator="equal">
      <formula>0</formula>
    </cfRule>
  </conditionalFormatting>
  <conditionalFormatting sqref="F988:G990">
    <cfRule type="cellIs" dxfId="3051" priority="1662" operator="equal">
      <formula>0</formula>
    </cfRule>
  </conditionalFormatting>
  <conditionalFormatting sqref="C988 C990">
    <cfRule type="cellIs" dxfId="3050" priority="1661" operator="equal">
      <formula>0</formula>
    </cfRule>
  </conditionalFormatting>
  <conditionalFormatting sqref="C989">
    <cfRule type="cellIs" dxfId="3049" priority="1658" operator="equal">
      <formula>0</formula>
    </cfRule>
  </conditionalFormatting>
  <conditionalFormatting sqref="I988:I990">
    <cfRule type="cellIs" dxfId="3048" priority="1656" operator="equal">
      <formula>0</formula>
    </cfRule>
  </conditionalFormatting>
  <conditionalFormatting sqref="I988:I990 U988:U989">
    <cfRule type="cellIs" dxfId="3047" priority="1654" operator="equal">
      <formula>0</formula>
    </cfRule>
  </conditionalFormatting>
  <conditionalFormatting sqref="C988:H988 C990:H990 D989:H989">
    <cfRule type="cellIs" dxfId="3046" priority="1659" operator="equal">
      <formula>0</formula>
    </cfRule>
  </conditionalFormatting>
  <conditionalFormatting sqref="C989">
    <cfRule type="cellIs" dxfId="3045" priority="1657" operator="equal">
      <formula>0</formula>
    </cfRule>
  </conditionalFormatting>
  <conditionalFormatting sqref="U991">
    <cfRule type="cellIs" dxfId="3044" priority="1665" operator="equal">
      <formula>0</formula>
    </cfRule>
  </conditionalFormatting>
  <conditionalFormatting sqref="B988 B990">
    <cfRule type="cellIs" dxfId="3043" priority="1653" operator="equal">
      <formula>0</formula>
    </cfRule>
  </conditionalFormatting>
  <conditionalFormatting sqref="B989">
    <cfRule type="cellIs" dxfId="3042" priority="1652" operator="equal">
      <formula>0</formula>
    </cfRule>
  </conditionalFormatting>
  <conditionalFormatting sqref="U986">
    <cfRule type="cellIs" dxfId="3041" priority="1650" operator="equal">
      <formula>0</formula>
    </cfRule>
  </conditionalFormatting>
  <conditionalFormatting sqref="U986">
    <cfRule type="cellIs" dxfId="3040" priority="1651" operator="equal">
      <formula>0</formula>
    </cfRule>
  </conditionalFormatting>
  <conditionalFormatting sqref="J980:T981">
    <cfRule type="cellIs" dxfId="3039" priority="1648" operator="equal">
      <formula>0</formula>
    </cfRule>
  </conditionalFormatting>
  <conditionalFormatting sqref="J980:T981">
    <cfRule type="cellIs" dxfId="3038" priority="1649" operator="equal">
      <formula>0</formula>
    </cfRule>
  </conditionalFormatting>
  <conditionalFormatting sqref="J982:T982">
    <cfRule type="cellIs" dxfId="3037" priority="1647" operator="equal">
      <formula>0</formula>
    </cfRule>
  </conditionalFormatting>
  <conditionalFormatting sqref="J984:T985">
    <cfRule type="cellIs" dxfId="3036" priority="1645" operator="equal">
      <formula>0</formula>
    </cfRule>
  </conditionalFormatting>
  <conditionalFormatting sqref="J984:T985">
    <cfRule type="cellIs" dxfId="3035" priority="1646" operator="equal">
      <formula>0</formula>
    </cfRule>
  </conditionalFormatting>
  <conditionalFormatting sqref="J986:T986">
    <cfRule type="cellIs" dxfId="3034" priority="1644" operator="equal">
      <formula>0</formula>
    </cfRule>
  </conditionalFormatting>
  <conditionalFormatting sqref="J988:T989">
    <cfRule type="cellIs" dxfId="3033" priority="1642" operator="equal">
      <formula>0</formula>
    </cfRule>
  </conditionalFormatting>
  <conditionalFormatting sqref="J988:T989">
    <cfRule type="cellIs" dxfId="3032" priority="1643" operator="equal">
      <formula>0</formula>
    </cfRule>
  </conditionalFormatting>
  <conditionalFormatting sqref="J990:R990">
    <cfRule type="cellIs" dxfId="3031" priority="1641" operator="equal">
      <formula>0</formula>
    </cfRule>
  </conditionalFormatting>
  <conditionalFormatting sqref="H984:H985">
    <cfRule type="cellIs" dxfId="3030" priority="1640" operator="equal">
      <formula>0</formula>
    </cfRule>
  </conditionalFormatting>
  <conditionalFormatting sqref="H984:H985">
    <cfRule type="cellIs" dxfId="3029" priority="1639" operator="equal">
      <formula>0</formula>
    </cfRule>
  </conditionalFormatting>
  <conditionalFormatting sqref="U990">
    <cfRule type="cellIs" dxfId="3028" priority="1638" operator="equal">
      <formula>0</formula>
    </cfRule>
  </conditionalFormatting>
  <conditionalFormatting sqref="U990">
    <cfRule type="cellIs" dxfId="3027" priority="1637" operator="equal">
      <formula>0</formula>
    </cfRule>
  </conditionalFormatting>
  <conditionalFormatting sqref="S990:T990">
    <cfRule type="cellIs" dxfId="3026" priority="1635" operator="equal">
      <formula>0</formula>
    </cfRule>
  </conditionalFormatting>
  <conditionalFormatting sqref="S990:T990">
    <cfRule type="cellIs" dxfId="3025" priority="1636" operator="equal">
      <formula>0</formula>
    </cfRule>
  </conditionalFormatting>
  <conditionalFormatting sqref="M975">
    <cfRule type="cellIs" dxfId="3024" priority="1634" operator="equal">
      <formula>0</formula>
    </cfRule>
  </conditionalFormatting>
  <conditionalFormatting sqref="C982">
    <cfRule type="cellIs" dxfId="3023" priority="1631" operator="equal">
      <formula>0</formula>
    </cfRule>
  </conditionalFormatting>
  <conditionalFormatting sqref="B982:G982">
    <cfRule type="cellIs" dxfId="3022" priority="1633" operator="lessThan">
      <formula>0</formula>
    </cfRule>
  </conditionalFormatting>
  <conditionalFormatting sqref="D982">
    <cfRule type="cellIs" dxfId="3021" priority="1632" operator="equal">
      <formula>0</formula>
    </cfRule>
  </conditionalFormatting>
  <conditionalFormatting sqref="B982:H982">
    <cfRule type="cellIs" dxfId="3020" priority="1630" operator="equal">
      <formula>0</formula>
    </cfRule>
  </conditionalFormatting>
  <conditionalFormatting sqref="I982">
    <cfRule type="cellIs" dxfId="3019" priority="1629" operator="equal">
      <formula>0</formula>
    </cfRule>
  </conditionalFormatting>
  <conditionalFormatting sqref="C986">
    <cfRule type="cellIs" dxfId="3018" priority="1626" operator="equal">
      <formula>0</formula>
    </cfRule>
  </conditionalFormatting>
  <conditionalFormatting sqref="B986:G986">
    <cfRule type="cellIs" dxfId="3017" priority="1628" operator="lessThan">
      <formula>0</formula>
    </cfRule>
  </conditionalFormatting>
  <conditionalFormatting sqref="D986">
    <cfRule type="cellIs" dxfId="3016" priority="1627" operator="equal">
      <formula>0</formula>
    </cfRule>
  </conditionalFormatting>
  <conditionalFormatting sqref="B986:H986">
    <cfRule type="cellIs" dxfId="3015" priority="1625" operator="equal">
      <formula>0</formula>
    </cfRule>
  </conditionalFormatting>
  <conditionalFormatting sqref="I986">
    <cfRule type="cellIs" dxfId="3014" priority="1624" operator="equal">
      <formula>0</formula>
    </cfRule>
  </conditionalFormatting>
  <conditionalFormatting sqref="C991">
    <cfRule type="cellIs" dxfId="3013" priority="1621" operator="equal">
      <formula>0</formula>
    </cfRule>
  </conditionalFormatting>
  <conditionalFormatting sqref="B991:G991">
    <cfRule type="cellIs" dxfId="3012" priority="1623" operator="lessThan">
      <formula>0</formula>
    </cfRule>
  </conditionalFormatting>
  <conditionalFormatting sqref="D991">
    <cfRule type="cellIs" dxfId="3011" priority="1622" operator="equal">
      <formula>0</formula>
    </cfRule>
  </conditionalFormatting>
  <conditionalFormatting sqref="B991:H991">
    <cfRule type="cellIs" dxfId="3010" priority="1620" operator="equal">
      <formula>0</formula>
    </cfRule>
  </conditionalFormatting>
  <conditionalFormatting sqref="I991">
    <cfRule type="cellIs" dxfId="3009" priority="1619" operator="equal">
      <formula>0</formula>
    </cfRule>
  </conditionalFormatting>
  <conditionalFormatting sqref="B972">
    <cfRule type="cellIs" dxfId="3008" priority="1618" operator="equal">
      <formula>0</formula>
    </cfRule>
  </conditionalFormatting>
  <conditionalFormatting sqref="B1015:H1015">
    <cfRule type="cellIs" dxfId="3007" priority="1617" operator="equal">
      <formula>0</formula>
    </cfRule>
  </conditionalFormatting>
  <conditionalFormatting sqref="U1015">
    <cfRule type="cellIs" dxfId="3006" priority="1616" operator="equal">
      <formula>0</formula>
    </cfRule>
  </conditionalFormatting>
  <conditionalFormatting sqref="I1015:U1015">
    <cfRule type="cellIs" dxfId="3005" priority="1615" operator="equal">
      <formula>0</formula>
    </cfRule>
  </conditionalFormatting>
  <conditionalFormatting sqref="U1015">
    <cfRule type="cellIs" dxfId="3004" priority="1614" operator="equal">
      <formula>0</formula>
    </cfRule>
  </conditionalFormatting>
  <conditionalFormatting sqref="N998:T998 I998:L998">
    <cfRule type="cellIs" dxfId="3003" priority="1613" operator="equal">
      <formula>0</formula>
    </cfRule>
  </conditionalFormatting>
  <conditionalFormatting sqref="U997:U998">
    <cfRule type="cellIs" dxfId="3002" priority="1591" operator="equal">
      <formula>0</formula>
    </cfRule>
  </conditionalFormatting>
  <conditionalFormatting sqref="U996">
    <cfRule type="cellIs" dxfId="3001" priority="1590" operator="equal">
      <formula>0</formula>
    </cfRule>
  </conditionalFormatting>
  <conditionalFormatting sqref="U995:U996">
    <cfRule type="cellIs" dxfId="3000" priority="1589" operator="equal">
      <formula>0</formula>
    </cfRule>
  </conditionalFormatting>
  <conditionalFormatting sqref="D999:D1000">
    <cfRule type="cellIs" dxfId="2999" priority="1585" operator="equal">
      <formula>0</formula>
    </cfRule>
  </conditionalFormatting>
  <conditionalFormatting sqref="U999:U1000">
    <cfRule type="cellIs" dxfId="2998" priority="1582" operator="equal">
      <formula>0</formula>
    </cfRule>
  </conditionalFormatting>
  <conditionalFormatting sqref="H999:H1000">
    <cfRule type="cellIs" dxfId="2997" priority="1584" operator="equal">
      <formula>0</formula>
    </cfRule>
  </conditionalFormatting>
  <conditionalFormatting sqref="D999:H1000 J999:U1000">
    <cfRule type="cellIs" dxfId="2996" priority="1581" operator="equal">
      <formula>0</formula>
    </cfRule>
  </conditionalFormatting>
  <conditionalFormatting sqref="I999:I1000">
    <cfRule type="cellIs" dxfId="2995" priority="1572" operator="equal">
      <formula>0</formula>
    </cfRule>
  </conditionalFormatting>
  <conditionalFormatting sqref="F1003:G1004">
    <cfRule type="cellIs" dxfId="2994" priority="1569" operator="equal">
      <formula>0</formula>
    </cfRule>
  </conditionalFormatting>
  <conditionalFormatting sqref="C1003:C1004">
    <cfRule type="cellIs" dxfId="2993" priority="1568" operator="equal">
      <formula>0</formula>
    </cfRule>
  </conditionalFormatting>
  <conditionalFormatting sqref="H1003:H1004">
    <cfRule type="cellIs" dxfId="2992" priority="1567" operator="equal">
      <formula>0</formula>
    </cfRule>
  </conditionalFormatting>
  <conditionalFormatting sqref="C999:C1000">
    <cfRule type="cellIs" dxfId="2991" priority="1576" operator="equal">
      <formula>0</formula>
    </cfRule>
  </conditionalFormatting>
  <conditionalFormatting sqref="C1000">
    <cfRule type="cellIs" dxfId="2990" priority="1577" operator="equal">
      <formula>0</formula>
    </cfRule>
  </conditionalFormatting>
  <conditionalFormatting sqref="I999:I1000">
    <cfRule type="cellIs" dxfId="2989" priority="1571" operator="equal">
      <formula>0</formula>
    </cfRule>
  </conditionalFormatting>
  <conditionalFormatting sqref="I1003:I1004 U1003:U1004">
    <cfRule type="cellIs" dxfId="2988" priority="1561" operator="equal">
      <formula>0</formula>
    </cfRule>
  </conditionalFormatting>
  <conditionalFormatting sqref="B1003">
    <cfRule type="cellIs" dxfId="2987" priority="1565" operator="equal">
      <formula>0</formula>
    </cfRule>
  </conditionalFormatting>
  <conditionalFormatting sqref="B1004">
    <cfRule type="cellIs" dxfId="2986" priority="1564" operator="equal">
      <formula>0</formula>
    </cfRule>
  </conditionalFormatting>
  <conditionalFormatting sqref="U1005">
    <cfRule type="cellIs" dxfId="2985" priority="1559" operator="equal">
      <formula>0</formula>
    </cfRule>
  </conditionalFormatting>
  <conditionalFormatting sqref="C995:G995">
    <cfRule type="cellIs" dxfId="2984" priority="1612" operator="equal">
      <formula>0</formula>
    </cfRule>
  </conditionalFormatting>
  <conditionalFormatting sqref="H997:H998">
    <cfRule type="cellIs" dxfId="2983" priority="1610" operator="equal">
      <formula>0</formula>
    </cfRule>
  </conditionalFormatting>
  <conditionalFormatting sqref="C1001:C1002">
    <cfRule type="cellIs" dxfId="2982" priority="1607" operator="equal">
      <formula>0</formula>
    </cfRule>
  </conditionalFormatting>
  <conditionalFormatting sqref="D1010">
    <cfRule type="cellIs" dxfId="2981" priority="1596" operator="equal">
      <formula>0</formula>
    </cfRule>
  </conditionalFormatting>
  <conditionalFormatting sqref="H996">
    <cfRule type="cellIs" dxfId="2980" priority="1602" operator="equal">
      <formula>0</formula>
    </cfRule>
  </conditionalFormatting>
  <conditionalFormatting sqref="D1006">
    <cfRule type="cellIs" dxfId="2979" priority="1601" operator="equal">
      <formula>0</formula>
    </cfRule>
  </conditionalFormatting>
  <conditionalFormatting sqref="C1006">
    <cfRule type="cellIs" dxfId="2978" priority="1600" operator="equal">
      <formula>0</formula>
    </cfRule>
  </conditionalFormatting>
  <conditionalFormatting sqref="B1006:G1006">
    <cfRule type="cellIs" dxfId="2977" priority="1599" operator="equal">
      <formula>0</formula>
    </cfRule>
  </conditionalFormatting>
  <conditionalFormatting sqref="H1006:U1006">
    <cfRule type="cellIs" dxfId="2976" priority="1598" operator="equal">
      <formula>0</formula>
    </cfRule>
  </conditionalFormatting>
  <conditionalFormatting sqref="H1006:U1006">
    <cfRule type="cellIs" dxfId="2975" priority="1597" operator="equal">
      <formula>0</formula>
    </cfRule>
  </conditionalFormatting>
  <conditionalFormatting sqref="C1010">
    <cfRule type="cellIs" dxfId="2974" priority="1595" operator="equal">
      <formula>0</formula>
    </cfRule>
  </conditionalFormatting>
  <conditionalFormatting sqref="B1010:G1010">
    <cfRule type="cellIs" dxfId="2973" priority="1594" operator="equal">
      <formula>0</formula>
    </cfRule>
  </conditionalFormatting>
  <conditionalFormatting sqref="H1010:U1010">
    <cfRule type="cellIs" dxfId="2972" priority="1593" operator="equal">
      <formula>0</formula>
    </cfRule>
  </conditionalFormatting>
  <conditionalFormatting sqref="H1010:U1010">
    <cfRule type="cellIs" dxfId="2971" priority="1592" operator="equal">
      <formula>0</formula>
    </cfRule>
  </conditionalFormatting>
  <conditionalFormatting sqref="I996:T996">
    <cfRule type="cellIs" dxfId="2970" priority="1611" operator="equal">
      <formula>0</formula>
    </cfRule>
  </conditionalFormatting>
  <conditionalFormatting sqref="B1001:G1001">
    <cfRule type="cellIs" dxfId="2969" priority="1609" operator="lessThan">
      <formula>0</formula>
    </cfRule>
  </conditionalFormatting>
  <conditionalFormatting sqref="D1001:D1002">
    <cfRule type="cellIs" dxfId="2968" priority="1608" operator="equal">
      <formula>0</formula>
    </cfRule>
  </conditionalFormatting>
  <conditionalFormatting sqref="B1002:G1002 F996:G996 B996 B1001:H1001 C997:T997 I995:T996 C998:H998">
    <cfRule type="cellIs" dxfId="2967" priority="1606" operator="equal">
      <formula>0</formula>
    </cfRule>
  </conditionalFormatting>
  <conditionalFormatting sqref="H1002:U1002">
    <cfRule type="cellIs" dxfId="2966" priority="1605" operator="equal">
      <formula>0</formula>
    </cfRule>
  </conditionalFormatting>
  <conditionalFormatting sqref="H1002:U1002">
    <cfRule type="cellIs" dxfId="2965" priority="1604" operator="equal">
      <formula>0</formula>
    </cfRule>
  </conditionalFormatting>
  <conditionalFormatting sqref="C996:E996">
    <cfRule type="cellIs" dxfId="2964" priority="1603" operator="equal">
      <formula>0</formula>
    </cfRule>
  </conditionalFormatting>
  <conditionalFormatting sqref="B998">
    <cfRule type="cellIs" dxfId="2963" priority="1588" operator="equal">
      <formula>0</formula>
    </cfRule>
  </conditionalFormatting>
  <conditionalFormatting sqref="B997">
    <cfRule type="cellIs" dxfId="2962" priority="1587" operator="equal">
      <formula>0</formula>
    </cfRule>
  </conditionalFormatting>
  <conditionalFormatting sqref="B1000">
    <cfRule type="cellIs" dxfId="2961" priority="1579" operator="equal">
      <formula>0</formula>
    </cfRule>
  </conditionalFormatting>
  <conditionalFormatting sqref="G999:G1000">
    <cfRule type="cellIs" dxfId="2960" priority="1586" operator="lessThan">
      <formula>0</formula>
    </cfRule>
  </conditionalFormatting>
  <conditionalFormatting sqref="J999:T1000">
    <cfRule type="cellIs" dxfId="2959" priority="1583" operator="equal">
      <formula>0</formula>
    </cfRule>
  </conditionalFormatting>
  <conditionalFormatting sqref="B999">
    <cfRule type="cellIs" dxfId="2958" priority="1580" operator="equal">
      <formula>0</formula>
    </cfRule>
  </conditionalFormatting>
  <conditionalFormatting sqref="C999:C1000">
    <cfRule type="cellIs" dxfId="2957" priority="1578" operator="equal">
      <formula>0</formula>
    </cfRule>
  </conditionalFormatting>
  <conditionalFormatting sqref="U1001">
    <cfRule type="cellIs" dxfId="2956" priority="1575" operator="equal">
      <formula>0</formula>
    </cfRule>
  </conditionalFormatting>
  <conditionalFormatting sqref="U1001">
    <cfRule type="cellIs" dxfId="2955" priority="1574" operator="equal">
      <formula>0</formula>
    </cfRule>
  </conditionalFormatting>
  <conditionalFormatting sqref="I1001:T1001">
    <cfRule type="cellIs" dxfId="2954" priority="1573" operator="equal">
      <formula>0</formula>
    </cfRule>
  </conditionalFormatting>
  <conditionalFormatting sqref="D1003:D1004">
    <cfRule type="cellIs" dxfId="2953" priority="1570" operator="equal">
      <formula>0</formula>
    </cfRule>
  </conditionalFormatting>
  <conditionalFormatting sqref="C1003:H1004">
    <cfRule type="cellIs" dxfId="2952" priority="1566" operator="equal">
      <formula>0</formula>
    </cfRule>
  </conditionalFormatting>
  <conditionalFormatting sqref="I1003:I1004">
    <cfRule type="cellIs" dxfId="2951" priority="1563" operator="equal">
      <formula>0</formula>
    </cfRule>
  </conditionalFormatting>
  <conditionalFormatting sqref="U1003:U1004">
    <cfRule type="cellIs" dxfId="2950" priority="1562" operator="equal">
      <formula>0</formula>
    </cfRule>
  </conditionalFormatting>
  <conditionalFormatting sqref="U1005">
    <cfRule type="cellIs" dxfId="2949" priority="1560" operator="equal">
      <formula>0</formula>
    </cfRule>
  </conditionalFormatting>
  <conditionalFormatting sqref="U1007:U1008">
    <cfRule type="cellIs" dxfId="2948" priority="1553" operator="equal">
      <formula>0</formula>
    </cfRule>
  </conditionalFormatting>
  <conditionalFormatting sqref="I1007:I1008 U1007:U1008">
    <cfRule type="cellIs" dxfId="2947" priority="1552" operator="equal">
      <formula>0</formula>
    </cfRule>
  </conditionalFormatting>
  <conditionalFormatting sqref="C1007:C1008">
    <cfRule type="cellIs" dxfId="2946" priority="1556" operator="equal">
      <formula>0</formula>
    </cfRule>
  </conditionalFormatting>
  <conditionalFormatting sqref="I1007:I1008">
    <cfRule type="cellIs" dxfId="2945" priority="1554" operator="equal">
      <formula>0</formula>
    </cfRule>
  </conditionalFormatting>
  <conditionalFormatting sqref="F1007:G1008">
    <cfRule type="cellIs" dxfId="2944" priority="1557" operator="equal">
      <formula>0</formula>
    </cfRule>
  </conditionalFormatting>
  <conditionalFormatting sqref="C1007:G1008">
    <cfRule type="cellIs" dxfId="2943" priority="1555" operator="equal">
      <formula>0</formula>
    </cfRule>
  </conditionalFormatting>
  <conditionalFormatting sqref="D1007:D1008">
    <cfRule type="cellIs" dxfId="2942" priority="1558" operator="equal">
      <formula>0</formula>
    </cfRule>
  </conditionalFormatting>
  <conditionalFormatting sqref="B1008">
    <cfRule type="cellIs" dxfId="2941" priority="1550" operator="equal">
      <formula>0</formula>
    </cfRule>
  </conditionalFormatting>
  <conditionalFormatting sqref="B1007">
    <cfRule type="cellIs" dxfId="2940" priority="1551" operator="equal">
      <formula>0</formula>
    </cfRule>
  </conditionalFormatting>
  <conditionalFormatting sqref="H1011:H1013">
    <cfRule type="cellIs" dxfId="2939" priority="1543" operator="equal">
      <formula>0</formula>
    </cfRule>
  </conditionalFormatting>
  <conditionalFormatting sqref="U1014">
    <cfRule type="cellIs" dxfId="2938" priority="1549" operator="equal">
      <formula>0</formula>
    </cfRule>
  </conditionalFormatting>
  <conditionalFormatting sqref="U1011:U1012">
    <cfRule type="cellIs" dxfId="2937" priority="1538" operator="equal">
      <formula>0</formula>
    </cfRule>
  </conditionalFormatting>
  <conditionalFormatting sqref="J1014:T1014">
    <cfRule type="cellIs" dxfId="2936" priority="1547" operator="equal">
      <formula>0</formula>
    </cfRule>
  </conditionalFormatting>
  <conditionalFormatting sqref="D1011:D1013">
    <cfRule type="cellIs" dxfId="2935" priority="1546" operator="equal">
      <formula>0</formula>
    </cfRule>
  </conditionalFormatting>
  <conditionalFormatting sqref="F1011:G1013">
    <cfRule type="cellIs" dxfId="2934" priority="1545" operator="equal">
      <formula>0</formula>
    </cfRule>
  </conditionalFormatting>
  <conditionalFormatting sqref="C1011 C1013">
    <cfRule type="cellIs" dxfId="2933" priority="1544" operator="equal">
      <formula>0</formula>
    </cfRule>
  </conditionalFormatting>
  <conditionalFormatting sqref="C1012">
    <cfRule type="cellIs" dxfId="2932" priority="1541" operator="equal">
      <formula>0</formula>
    </cfRule>
  </conditionalFormatting>
  <conditionalFormatting sqref="I1011:I1013">
    <cfRule type="cellIs" dxfId="2931" priority="1539" operator="equal">
      <formula>0</formula>
    </cfRule>
  </conditionalFormatting>
  <conditionalFormatting sqref="I1011:I1013 U1011:U1012">
    <cfRule type="cellIs" dxfId="2930" priority="1537" operator="equal">
      <formula>0</formula>
    </cfRule>
  </conditionalFormatting>
  <conditionalFormatting sqref="C1011:H1011 C1013:H1013 D1012:H1012">
    <cfRule type="cellIs" dxfId="2929" priority="1542" operator="equal">
      <formula>0</formula>
    </cfRule>
  </conditionalFormatting>
  <conditionalFormatting sqref="C1012">
    <cfRule type="cellIs" dxfId="2928" priority="1540" operator="equal">
      <formula>0</formula>
    </cfRule>
  </conditionalFormatting>
  <conditionalFormatting sqref="U1014">
    <cfRule type="cellIs" dxfId="2927" priority="1548" operator="equal">
      <formula>0</formula>
    </cfRule>
  </conditionalFormatting>
  <conditionalFormatting sqref="B1011 B1013">
    <cfRule type="cellIs" dxfId="2926" priority="1536" operator="equal">
      <formula>0</formula>
    </cfRule>
  </conditionalFormatting>
  <conditionalFormatting sqref="B1012">
    <cfRule type="cellIs" dxfId="2925" priority="1535" operator="equal">
      <formula>0</formula>
    </cfRule>
  </conditionalFormatting>
  <conditionalFormatting sqref="U1009">
    <cfRule type="cellIs" dxfId="2924" priority="1533" operator="equal">
      <formula>0</formula>
    </cfRule>
  </conditionalFormatting>
  <conditionalFormatting sqref="U1009">
    <cfRule type="cellIs" dxfId="2923" priority="1534" operator="equal">
      <formula>0</formula>
    </cfRule>
  </conditionalFormatting>
  <conditionalFormatting sqref="J1003:T1004">
    <cfRule type="cellIs" dxfId="2922" priority="1531" operator="equal">
      <formula>0</formula>
    </cfRule>
  </conditionalFormatting>
  <conditionalFormatting sqref="J1003:T1004">
    <cfRule type="cellIs" dxfId="2921" priority="1532" operator="equal">
      <formula>0</formula>
    </cfRule>
  </conditionalFormatting>
  <conditionalFormatting sqref="J1005:T1005">
    <cfRule type="cellIs" dxfId="2920" priority="1530" operator="equal">
      <formula>0</formula>
    </cfRule>
  </conditionalFormatting>
  <conditionalFormatting sqref="J1007:T1008">
    <cfRule type="cellIs" dxfId="2919" priority="1528" operator="equal">
      <formula>0</formula>
    </cfRule>
  </conditionalFormatting>
  <conditionalFormatting sqref="J1007:T1008">
    <cfRule type="cellIs" dxfId="2918" priority="1529" operator="equal">
      <formula>0</formula>
    </cfRule>
  </conditionalFormatting>
  <conditionalFormatting sqref="J1009:T1009">
    <cfRule type="cellIs" dxfId="2917" priority="1527" operator="equal">
      <formula>0</formula>
    </cfRule>
  </conditionalFormatting>
  <conditionalFormatting sqref="J1011:T1012">
    <cfRule type="cellIs" dxfId="2916" priority="1525" operator="equal">
      <formula>0</formula>
    </cfRule>
  </conditionalFormatting>
  <conditionalFormatting sqref="J1011:T1012">
    <cfRule type="cellIs" dxfId="2915" priority="1526" operator="equal">
      <formula>0</formula>
    </cfRule>
  </conditionalFormatting>
  <conditionalFormatting sqref="J1013:R1013">
    <cfRule type="cellIs" dxfId="2914" priority="1524" operator="equal">
      <formula>0</formula>
    </cfRule>
  </conditionalFormatting>
  <conditionalFormatting sqref="H1007:H1008">
    <cfRule type="cellIs" dxfId="2913" priority="1523" operator="equal">
      <formula>0</formula>
    </cfRule>
  </conditionalFormatting>
  <conditionalFormatting sqref="H1007:H1008">
    <cfRule type="cellIs" dxfId="2912" priority="1522" operator="equal">
      <formula>0</formula>
    </cfRule>
  </conditionalFormatting>
  <conditionalFormatting sqref="U1013">
    <cfRule type="cellIs" dxfId="2911" priority="1521" operator="equal">
      <formula>0</formula>
    </cfRule>
  </conditionalFormatting>
  <conditionalFormatting sqref="U1013">
    <cfRule type="cellIs" dxfId="2910" priority="1520" operator="equal">
      <formula>0</formula>
    </cfRule>
  </conditionalFormatting>
  <conditionalFormatting sqref="S1013:T1013">
    <cfRule type="cellIs" dxfId="2909" priority="1518" operator="equal">
      <formula>0</formula>
    </cfRule>
  </conditionalFormatting>
  <conditionalFormatting sqref="S1013:T1013">
    <cfRule type="cellIs" dxfId="2908" priority="1519" operator="equal">
      <formula>0</formula>
    </cfRule>
  </conditionalFormatting>
  <conditionalFormatting sqref="M998">
    <cfRule type="cellIs" dxfId="2907" priority="1517" operator="equal">
      <formula>0</formula>
    </cfRule>
  </conditionalFormatting>
  <conditionalFormatting sqref="C1005">
    <cfRule type="cellIs" dxfId="2906" priority="1514" operator="equal">
      <formula>0</formula>
    </cfRule>
  </conditionalFormatting>
  <conditionalFormatting sqref="B1005:G1005">
    <cfRule type="cellIs" dxfId="2905" priority="1516" operator="lessThan">
      <formula>0</formula>
    </cfRule>
  </conditionalFormatting>
  <conditionalFormatting sqref="D1005">
    <cfRule type="cellIs" dxfId="2904" priority="1515" operator="equal">
      <formula>0</formula>
    </cfRule>
  </conditionalFormatting>
  <conditionalFormatting sqref="B1005:H1005">
    <cfRule type="cellIs" dxfId="2903" priority="1513" operator="equal">
      <formula>0</formula>
    </cfRule>
  </conditionalFormatting>
  <conditionalFormatting sqref="I1005">
    <cfRule type="cellIs" dxfId="2902" priority="1512" operator="equal">
      <formula>0</formula>
    </cfRule>
  </conditionalFormatting>
  <conditionalFormatting sqref="C1009">
    <cfRule type="cellIs" dxfId="2901" priority="1509" operator="equal">
      <formula>0</formula>
    </cfRule>
  </conditionalFormatting>
  <conditionalFormatting sqref="B1009:G1009">
    <cfRule type="cellIs" dxfId="2900" priority="1511" operator="lessThan">
      <formula>0</formula>
    </cfRule>
  </conditionalFormatting>
  <conditionalFormatting sqref="D1009">
    <cfRule type="cellIs" dxfId="2899" priority="1510" operator="equal">
      <formula>0</formula>
    </cfRule>
  </conditionalFormatting>
  <conditionalFormatting sqref="B1009:H1009">
    <cfRule type="cellIs" dxfId="2898" priority="1508" operator="equal">
      <formula>0</formula>
    </cfRule>
  </conditionalFormatting>
  <conditionalFormatting sqref="I1009">
    <cfRule type="cellIs" dxfId="2897" priority="1507" operator="equal">
      <formula>0</formula>
    </cfRule>
  </conditionalFormatting>
  <conditionalFormatting sqref="C1014">
    <cfRule type="cellIs" dxfId="2896" priority="1504" operator="equal">
      <formula>0</formula>
    </cfRule>
  </conditionalFormatting>
  <conditionalFormatting sqref="B1014:G1014">
    <cfRule type="cellIs" dxfId="2895" priority="1506" operator="lessThan">
      <formula>0</formula>
    </cfRule>
  </conditionalFormatting>
  <conditionalFormatting sqref="D1014">
    <cfRule type="cellIs" dxfId="2894" priority="1505" operator="equal">
      <formula>0</formula>
    </cfRule>
  </conditionalFormatting>
  <conditionalFormatting sqref="B1014:H1014">
    <cfRule type="cellIs" dxfId="2893" priority="1503" operator="equal">
      <formula>0</formula>
    </cfRule>
  </conditionalFormatting>
  <conditionalFormatting sqref="I1014">
    <cfRule type="cellIs" dxfId="2892" priority="1502" operator="equal">
      <formula>0</formula>
    </cfRule>
  </conditionalFormatting>
  <conditionalFormatting sqref="B995">
    <cfRule type="cellIs" dxfId="2891" priority="1501" operator="equal">
      <formula>0</formula>
    </cfRule>
  </conditionalFormatting>
  <conditionalFormatting sqref="B1038:H1038">
    <cfRule type="cellIs" dxfId="2890" priority="1500" operator="equal">
      <formula>0</formula>
    </cfRule>
  </conditionalFormatting>
  <conditionalFormatting sqref="U1038">
    <cfRule type="cellIs" dxfId="2889" priority="1499" operator="equal">
      <formula>0</formula>
    </cfRule>
  </conditionalFormatting>
  <conditionalFormatting sqref="I1038:U1038">
    <cfRule type="cellIs" dxfId="2888" priority="1498" operator="equal">
      <formula>0</formula>
    </cfRule>
  </conditionalFormatting>
  <conditionalFormatting sqref="U1038">
    <cfRule type="cellIs" dxfId="2887" priority="1497" operator="equal">
      <formula>0</formula>
    </cfRule>
  </conditionalFormatting>
  <conditionalFormatting sqref="N1021:T1021 I1021:L1021">
    <cfRule type="cellIs" dxfId="2886" priority="1496" operator="equal">
      <formula>0</formula>
    </cfRule>
  </conditionalFormatting>
  <conditionalFormatting sqref="U1020:U1021">
    <cfRule type="cellIs" dxfId="2885" priority="1474" operator="equal">
      <formula>0</formula>
    </cfRule>
  </conditionalFormatting>
  <conditionalFormatting sqref="U1019">
    <cfRule type="cellIs" dxfId="2884" priority="1473" operator="equal">
      <formula>0</formula>
    </cfRule>
  </conditionalFormatting>
  <conditionalFormatting sqref="U1018:U1019">
    <cfRule type="cellIs" dxfId="2883" priority="1472" operator="equal">
      <formula>0</formula>
    </cfRule>
  </conditionalFormatting>
  <conditionalFormatting sqref="D1022:D1023">
    <cfRule type="cellIs" dxfId="2882" priority="1468" operator="equal">
      <formula>0</formula>
    </cfRule>
  </conditionalFormatting>
  <conditionalFormatting sqref="U1022:U1023">
    <cfRule type="cellIs" dxfId="2881" priority="1465" operator="equal">
      <formula>0</formula>
    </cfRule>
  </conditionalFormatting>
  <conditionalFormatting sqref="H1022:H1023">
    <cfRule type="cellIs" dxfId="2880" priority="1467" operator="equal">
      <formula>0</formula>
    </cfRule>
  </conditionalFormatting>
  <conditionalFormatting sqref="D1022:H1023 J1022:U1023">
    <cfRule type="cellIs" dxfId="2879" priority="1464" operator="equal">
      <formula>0</formula>
    </cfRule>
  </conditionalFormatting>
  <conditionalFormatting sqref="I1022:I1023">
    <cfRule type="cellIs" dxfId="2878" priority="1455" operator="equal">
      <formula>0</formula>
    </cfRule>
  </conditionalFormatting>
  <conditionalFormatting sqref="F1026:G1027">
    <cfRule type="cellIs" dxfId="2877" priority="1452" operator="equal">
      <formula>0</formula>
    </cfRule>
  </conditionalFormatting>
  <conditionalFormatting sqref="C1026:C1027">
    <cfRule type="cellIs" dxfId="2876" priority="1451" operator="equal">
      <formula>0</formula>
    </cfRule>
  </conditionalFormatting>
  <conditionalFormatting sqref="H1026:H1027">
    <cfRule type="cellIs" dxfId="2875" priority="1450" operator="equal">
      <formula>0</formula>
    </cfRule>
  </conditionalFormatting>
  <conditionalFormatting sqref="C1022:C1023">
    <cfRule type="cellIs" dxfId="2874" priority="1459" operator="equal">
      <formula>0</formula>
    </cfRule>
  </conditionalFormatting>
  <conditionalFormatting sqref="C1023">
    <cfRule type="cellIs" dxfId="2873" priority="1460" operator="equal">
      <formula>0</formula>
    </cfRule>
  </conditionalFormatting>
  <conditionalFormatting sqref="I1022:I1023">
    <cfRule type="cellIs" dxfId="2872" priority="1454" operator="equal">
      <formula>0</formula>
    </cfRule>
  </conditionalFormatting>
  <conditionalFormatting sqref="I1026:I1027 U1026:U1027">
    <cfRule type="cellIs" dxfId="2871" priority="1444" operator="equal">
      <formula>0</formula>
    </cfRule>
  </conditionalFormatting>
  <conditionalFormatting sqref="B1026">
    <cfRule type="cellIs" dxfId="2870" priority="1448" operator="equal">
      <formula>0</formula>
    </cfRule>
  </conditionalFormatting>
  <conditionalFormatting sqref="B1027">
    <cfRule type="cellIs" dxfId="2869" priority="1447" operator="equal">
      <formula>0</formula>
    </cfRule>
  </conditionalFormatting>
  <conditionalFormatting sqref="U1028">
    <cfRule type="cellIs" dxfId="2868" priority="1442" operator="equal">
      <formula>0</formula>
    </cfRule>
  </conditionalFormatting>
  <conditionalFormatting sqref="C1018:G1018">
    <cfRule type="cellIs" dxfId="2867" priority="1495" operator="equal">
      <formula>0</formula>
    </cfRule>
  </conditionalFormatting>
  <conditionalFormatting sqref="H1020:H1021">
    <cfRule type="cellIs" dxfId="2866" priority="1493" operator="equal">
      <formula>0</formula>
    </cfRule>
  </conditionalFormatting>
  <conditionalFormatting sqref="C1024:C1025">
    <cfRule type="cellIs" dxfId="2865" priority="1490" operator="equal">
      <formula>0</formula>
    </cfRule>
  </conditionalFormatting>
  <conditionalFormatting sqref="D1033">
    <cfRule type="cellIs" dxfId="2864" priority="1479" operator="equal">
      <formula>0</formula>
    </cfRule>
  </conditionalFormatting>
  <conditionalFormatting sqref="H1019">
    <cfRule type="cellIs" dxfId="2863" priority="1485" operator="equal">
      <formula>0</formula>
    </cfRule>
  </conditionalFormatting>
  <conditionalFormatting sqref="D1029">
    <cfRule type="cellIs" dxfId="2862" priority="1484" operator="equal">
      <formula>0</formula>
    </cfRule>
  </conditionalFormatting>
  <conditionalFormatting sqref="C1029">
    <cfRule type="cellIs" dxfId="2861" priority="1483" operator="equal">
      <formula>0</formula>
    </cfRule>
  </conditionalFormatting>
  <conditionalFormatting sqref="B1029:G1029">
    <cfRule type="cellIs" dxfId="2860" priority="1482" operator="equal">
      <formula>0</formula>
    </cfRule>
  </conditionalFormatting>
  <conditionalFormatting sqref="H1029:U1029">
    <cfRule type="cellIs" dxfId="2859" priority="1481" operator="equal">
      <formula>0</formula>
    </cfRule>
  </conditionalFormatting>
  <conditionalFormatting sqref="H1029:U1029">
    <cfRule type="cellIs" dxfId="2858" priority="1480" operator="equal">
      <formula>0</formula>
    </cfRule>
  </conditionalFormatting>
  <conditionalFormatting sqref="C1033">
    <cfRule type="cellIs" dxfId="2857" priority="1478" operator="equal">
      <formula>0</formula>
    </cfRule>
  </conditionalFormatting>
  <conditionalFormatting sqref="B1033:G1033">
    <cfRule type="cellIs" dxfId="2856" priority="1477" operator="equal">
      <formula>0</formula>
    </cfRule>
  </conditionalFormatting>
  <conditionalFormatting sqref="H1033:U1033">
    <cfRule type="cellIs" dxfId="2855" priority="1476" operator="equal">
      <formula>0</formula>
    </cfRule>
  </conditionalFormatting>
  <conditionalFormatting sqref="H1033:U1033">
    <cfRule type="cellIs" dxfId="2854" priority="1475" operator="equal">
      <formula>0</formula>
    </cfRule>
  </conditionalFormatting>
  <conditionalFormatting sqref="I1019:T1019">
    <cfRule type="cellIs" dxfId="2853" priority="1494" operator="equal">
      <formula>0</formula>
    </cfRule>
  </conditionalFormatting>
  <conditionalFormatting sqref="B1024:G1024">
    <cfRule type="cellIs" dxfId="2852" priority="1492" operator="lessThan">
      <formula>0</formula>
    </cfRule>
  </conditionalFormatting>
  <conditionalFormatting sqref="D1024:D1025">
    <cfRule type="cellIs" dxfId="2851" priority="1491" operator="equal">
      <formula>0</formula>
    </cfRule>
  </conditionalFormatting>
  <conditionalFormatting sqref="B1025:G1025 F1019:G1019 B1019 B1024:H1024 C1020:T1020 I1018:T1019 C1021:H1021">
    <cfRule type="cellIs" dxfId="2850" priority="1489" operator="equal">
      <formula>0</formula>
    </cfRule>
  </conditionalFormatting>
  <conditionalFormatting sqref="H1025:U1025">
    <cfRule type="cellIs" dxfId="2849" priority="1488" operator="equal">
      <formula>0</formula>
    </cfRule>
  </conditionalFormatting>
  <conditionalFormatting sqref="H1025:U1025">
    <cfRule type="cellIs" dxfId="2848" priority="1487" operator="equal">
      <formula>0</formula>
    </cfRule>
  </conditionalFormatting>
  <conditionalFormatting sqref="C1019:E1019">
    <cfRule type="cellIs" dxfId="2847" priority="1486" operator="equal">
      <formula>0</formula>
    </cfRule>
  </conditionalFormatting>
  <conditionalFormatting sqref="B1021">
    <cfRule type="cellIs" dxfId="2846" priority="1471" operator="equal">
      <formula>0</formula>
    </cfRule>
  </conditionalFormatting>
  <conditionalFormatting sqref="B1020">
    <cfRule type="cellIs" dxfId="2845" priority="1470" operator="equal">
      <formula>0</formula>
    </cfRule>
  </conditionalFormatting>
  <conditionalFormatting sqref="B1023">
    <cfRule type="cellIs" dxfId="2844" priority="1462" operator="equal">
      <formula>0</formula>
    </cfRule>
  </conditionalFormatting>
  <conditionalFormatting sqref="G1022:G1023">
    <cfRule type="cellIs" dxfId="2843" priority="1469" operator="lessThan">
      <formula>0</formula>
    </cfRule>
  </conditionalFormatting>
  <conditionalFormatting sqref="J1022:T1023">
    <cfRule type="cellIs" dxfId="2842" priority="1466" operator="equal">
      <formula>0</formula>
    </cfRule>
  </conditionalFormatting>
  <conditionalFormatting sqref="B1022">
    <cfRule type="cellIs" dxfId="2841" priority="1463" operator="equal">
      <formula>0</formula>
    </cfRule>
  </conditionalFormatting>
  <conditionalFormatting sqref="C1022:C1023">
    <cfRule type="cellIs" dxfId="2840" priority="1461" operator="equal">
      <formula>0</formula>
    </cfRule>
  </conditionalFormatting>
  <conditionalFormatting sqref="U1024">
    <cfRule type="cellIs" dxfId="2839" priority="1458" operator="equal">
      <formula>0</formula>
    </cfRule>
  </conditionalFormatting>
  <conditionalFormatting sqref="U1024">
    <cfRule type="cellIs" dxfId="2838" priority="1457" operator="equal">
      <formula>0</formula>
    </cfRule>
  </conditionalFormatting>
  <conditionalFormatting sqref="I1024:T1024">
    <cfRule type="cellIs" dxfId="2837" priority="1456" operator="equal">
      <formula>0</formula>
    </cfRule>
  </conditionalFormatting>
  <conditionalFormatting sqref="D1026:D1027">
    <cfRule type="cellIs" dxfId="2836" priority="1453" operator="equal">
      <formula>0</formula>
    </cfRule>
  </conditionalFormatting>
  <conditionalFormatting sqref="C1026:H1027">
    <cfRule type="cellIs" dxfId="2835" priority="1449" operator="equal">
      <formula>0</formula>
    </cfRule>
  </conditionalFormatting>
  <conditionalFormatting sqref="I1026:I1027">
    <cfRule type="cellIs" dxfId="2834" priority="1446" operator="equal">
      <formula>0</formula>
    </cfRule>
  </conditionalFormatting>
  <conditionalFormatting sqref="U1026:U1027">
    <cfRule type="cellIs" dxfId="2833" priority="1445" operator="equal">
      <formula>0</formula>
    </cfRule>
  </conditionalFormatting>
  <conditionalFormatting sqref="U1028">
    <cfRule type="cellIs" dxfId="2832" priority="1443" operator="equal">
      <formula>0</formula>
    </cfRule>
  </conditionalFormatting>
  <conditionalFormatting sqref="U1030:U1031">
    <cfRule type="cellIs" dxfId="2831" priority="1436" operator="equal">
      <formula>0</formula>
    </cfRule>
  </conditionalFormatting>
  <conditionalFormatting sqref="I1030:I1031 U1030:U1031">
    <cfRule type="cellIs" dxfId="2830" priority="1435" operator="equal">
      <formula>0</formula>
    </cfRule>
  </conditionalFormatting>
  <conditionalFormatting sqref="C1030:C1031">
    <cfRule type="cellIs" dxfId="2829" priority="1439" operator="equal">
      <formula>0</formula>
    </cfRule>
  </conditionalFormatting>
  <conditionalFormatting sqref="I1030:I1031">
    <cfRule type="cellIs" dxfId="2828" priority="1437" operator="equal">
      <formula>0</formula>
    </cfRule>
  </conditionalFormatting>
  <conditionalFormatting sqref="F1030:G1031">
    <cfRule type="cellIs" dxfId="2827" priority="1440" operator="equal">
      <formula>0</formula>
    </cfRule>
  </conditionalFormatting>
  <conditionalFormatting sqref="C1030:G1031">
    <cfRule type="cellIs" dxfId="2826" priority="1438" operator="equal">
      <formula>0</formula>
    </cfRule>
  </conditionalFormatting>
  <conditionalFormatting sqref="D1030:D1031">
    <cfRule type="cellIs" dxfId="2825" priority="1441" operator="equal">
      <formula>0</formula>
    </cfRule>
  </conditionalFormatting>
  <conditionalFormatting sqref="B1031">
    <cfRule type="cellIs" dxfId="2824" priority="1433" operator="equal">
      <formula>0</formula>
    </cfRule>
  </conditionalFormatting>
  <conditionalFormatting sqref="B1030">
    <cfRule type="cellIs" dxfId="2823" priority="1434" operator="equal">
      <formula>0</formula>
    </cfRule>
  </conditionalFormatting>
  <conditionalFormatting sqref="H1034:H1036">
    <cfRule type="cellIs" dxfId="2822" priority="1426" operator="equal">
      <formula>0</formula>
    </cfRule>
  </conditionalFormatting>
  <conditionalFormatting sqref="U1037">
    <cfRule type="cellIs" dxfId="2821" priority="1432" operator="equal">
      <formula>0</formula>
    </cfRule>
  </conditionalFormatting>
  <conditionalFormatting sqref="U1034:U1035">
    <cfRule type="cellIs" dxfId="2820" priority="1421" operator="equal">
      <formula>0</formula>
    </cfRule>
  </conditionalFormatting>
  <conditionalFormatting sqref="J1037:T1037">
    <cfRule type="cellIs" dxfId="2819" priority="1430" operator="equal">
      <formula>0</formula>
    </cfRule>
  </conditionalFormatting>
  <conditionalFormatting sqref="D1034:D1036">
    <cfRule type="cellIs" dxfId="2818" priority="1429" operator="equal">
      <formula>0</formula>
    </cfRule>
  </conditionalFormatting>
  <conditionalFormatting sqref="F1034:G1036">
    <cfRule type="cellIs" dxfId="2817" priority="1428" operator="equal">
      <formula>0</formula>
    </cfRule>
  </conditionalFormatting>
  <conditionalFormatting sqref="C1034 C1036">
    <cfRule type="cellIs" dxfId="2816" priority="1427" operator="equal">
      <formula>0</formula>
    </cfRule>
  </conditionalFormatting>
  <conditionalFormatting sqref="C1035">
    <cfRule type="cellIs" dxfId="2815" priority="1424" operator="equal">
      <formula>0</formula>
    </cfRule>
  </conditionalFormatting>
  <conditionalFormatting sqref="I1034:I1036">
    <cfRule type="cellIs" dxfId="2814" priority="1422" operator="equal">
      <formula>0</formula>
    </cfRule>
  </conditionalFormatting>
  <conditionalFormatting sqref="I1034:I1036 U1034:U1035">
    <cfRule type="cellIs" dxfId="2813" priority="1420" operator="equal">
      <formula>0</formula>
    </cfRule>
  </conditionalFormatting>
  <conditionalFormatting sqref="C1034:H1034 C1036:H1036 D1035:H1035">
    <cfRule type="cellIs" dxfId="2812" priority="1425" operator="equal">
      <formula>0</formula>
    </cfRule>
  </conditionalFormatting>
  <conditionalFormatting sqref="C1035">
    <cfRule type="cellIs" dxfId="2811" priority="1423" operator="equal">
      <formula>0</formula>
    </cfRule>
  </conditionalFormatting>
  <conditionalFormatting sqref="U1037">
    <cfRule type="cellIs" dxfId="2810" priority="1431" operator="equal">
      <formula>0</formula>
    </cfRule>
  </conditionalFormatting>
  <conditionalFormatting sqref="B1034 B1036">
    <cfRule type="cellIs" dxfId="2809" priority="1419" operator="equal">
      <formula>0</formula>
    </cfRule>
  </conditionalFormatting>
  <conditionalFormatting sqref="B1035">
    <cfRule type="cellIs" dxfId="2808" priority="1418" operator="equal">
      <formula>0</formula>
    </cfRule>
  </conditionalFormatting>
  <conditionalFormatting sqref="U1032">
    <cfRule type="cellIs" dxfId="2807" priority="1416" operator="equal">
      <formula>0</formula>
    </cfRule>
  </conditionalFormatting>
  <conditionalFormatting sqref="U1032">
    <cfRule type="cellIs" dxfId="2806" priority="1417" operator="equal">
      <formula>0</formula>
    </cfRule>
  </conditionalFormatting>
  <conditionalFormatting sqref="J1026:T1027">
    <cfRule type="cellIs" dxfId="2805" priority="1414" operator="equal">
      <formula>0</formula>
    </cfRule>
  </conditionalFormatting>
  <conditionalFormatting sqref="J1026:T1027">
    <cfRule type="cellIs" dxfId="2804" priority="1415" operator="equal">
      <formula>0</formula>
    </cfRule>
  </conditionalFormatting>
  <conditionalFormatting sqref="J1028:T1028">
    <cfRule type="cellIs" dxfId="2803" priority="1413" operator="equal">
      <formula>0</formula>
    </cfRule>
  </conditionalFormatting>
  <conditionalFormatting sqref="J1030:T1031">
    <cfRule type="cellIs" dxfId="2802" priority="1411" operator="equal">
      <formula>0</formula>
    </cfRule>
  </conditionalFormatting>
  <conditionalFormatting sqref="J1030:T1031">
    <cfRule type="cellIs" dxfId="2801" priority="1412" operator="equal">
      <formula>0</formula>
    </cfRule>
  </conditionalFormatting>
  <conditionalFormatting sqref="J1032:T1032">
    <cfRule type="cellIs" dxfId="2800" priority="1410" operator="equal">
      <formula>0</formula>
    </cfRule>
  </conditionalFormatting>
  <conditionalFormatting sqref="J1034:T1035">
    <cfRule type="cellIs" dxfId="2799" priority="1408" operator="equal">
      <formula>0</formula>
    </cfRule>
  </conditionalFormatting>
  <conditionalFormatting sqref="J1034:T1035">
    <cfRule type="cellIs" dxfId="2798" priority="1409" operator="equal">
      <formula>0</formula>
    </cfRule>
  </conditionalFormatting>
  <conditionalFormatting sqref="J1036:R1036">
    <cfRule type="cellIs" dxfId="2797" priority="1407" operator="equal">
      <formula>0</formula>
    </cfRule>
  </conditionalFormatting>
  <conditionalFormatting sqref="H1030:H1031">
    <cfRule type="cellIs" dxfId="2796" priority="1406" operator="equal">
      <formula>0</formula>
    </cfRule>
  </conditionalFormatting>
  <conditionalFormatting sqref="H1030:H1031">
    <cfRule type="cellIs" dxfId="2795" priority="1405" operator="equal">
      <formula>0</formula>
    </cfRule>
  </conditionalFormatting>
  <conditionalFormatting sqref="U1036">
    <cfRule type="cellIs" dxfId="2794" priority="1404" operator="equal">
      <formula>0</formula>
    </cfRule>
  </conditionalFormatting>
  <conditionalFormatting sqref="U1036">
    <cfRule type="cellIs" dxfId="2793" priority="1403" operator="equal">
      <formula>0</formula>
    </cfRule>
  </conditionalFormatting>
  <conditionalFormatting sqref="S1036:T1036">
    <cfRule type="cellIs" dxfId="2792" priority="1401" operator="equal">
      <formula>0</formula>
    </cfRule>
  </conditionalFormatting>
  <conditionalFormatting sqref="S1036:T1036">
    <cfRule type="cellIs" dxfId="2791" priority="1402" operator="equal">
      <formula>0</formula>
    </cfRule>
  </conditionalFormatting>
  <conditionalFormatting sqref="M1021">
    <cfRule type="cellIs" dxfId="2790" priority="1400" operator="equal">
      <formula>0</formula>
    </cfRule>
  </conditionalFormatting>
  <conditionalFormatting sqref="C1028">
    <cfRule type="cellIs" dxfId="2789" priority="1397" operator="equal">
      <formula>0</formula>
    </cfRule>
  </conditionalFormatting>
  <conditionalFormatting sqref="B1028:G1028">
    <cfRule type="cellIs" dxfId="2788" priority="1399" operator="lessThan">
      <formula>0</formula>
    </cfRule>
  </conditionalFormatting>
  <conditionalFormatting sqref="D1028">
    <cfRule type="cellIs" dxfId="2787" priority="1398" operator="equal">
      <formula>0</formula>
    </cfRule>
  </conditionalFormatting>
  <conditionalFormatting sqref="B1028:H1028">
    <cfRule type="cellIs" dxfId="2786" priority="1396" operator="equal">
      <formula>0</formula>
    </cfRule>
  </conditionalFormatting>
  <conditionalFormatting sqref="I1028">
    <cfRule type="cellIs" dxfId="2785" priority="1395" operator="equal">
      <formula>0</formula>
    </cfRule>
  </conditionalFormatting>
  <conditionalFormatting sqref="C1032">
    <cfRule type="cellIs" dxfId="2784" priority="1392" operator="equal">
      <formula>0</formula>
    </cfRule>
  </conditionalFormatting>
  <conditionalFormatting sqref="B1032:G1032">
    <cfRule type="cellIs" dxfId="2783" priority="1394" operator="lessThan">
      <formula>0</formula>
    </cfRule>
  </conditionalFormatting>
  <conditionalFormatting sqref="D1032">
    <cfRule type="cellIs" dxfId="2782" priority="1393" operator="equal">
      <formula>0</formula>
    </cfRule>
  </conditionalFormatting>
  <conditionalFormatting sqref="B1032:H1032">
    <cfRule type="cellIs" dxfId="2781" priority="1391" operator="equal">
      <formula>0</formula>
    </cfRule>
  </conditionalFormatting>
  <conditionalFormatting sqref="I1032">
    <cfRule type="cellIs" dxfId="2780" priority="1390" operator="equal">
      <formula>0</formula>
    </cfRule>
  </conditionalFormatting>
  <conditionalFormatting sqref="C1037">
    <cfRule type="cellIs" dxfId="2779" priority="1387" operator="equal">
      <formula>0</formula>
    </cfRule>
  </conditionalFormatting>
  <conditionalFormatting sqref="B1037:G1037">
    <cfRule type="cellIs" dxfId="2778" priority="1389" operator="lessThan">
      <formula>0</formula>
    </cfRule>
  </conditionalFormatting>
  <conditionalFormatting sqref="D1037">
    <cfRule type="cellIs" dxfId="2777" priority="1388" operator="equal">
      <formula>0</formula>
    </cfRule>
  </conditionalFormatting>
  <conditionalFormatting sqref="B1037:H1037">
    <cfRule type="cellIs" dxfId="2776" priority="1386" operator="equal">
      <formula>0</formula>
    </cfRule>
  </conditionalFormatting>
  <conditionalFormatting sqref="I1037">
    <cfRule type="cellIs" dxfId="2775" priority="1385" operator="equal">
      <formula>0</formula>
    </cfRule>
  </conditionalFormatting>
  <conditionalFormatting sqref="B1018">
    <cfRule type="cellIs" dxfId="2774" priority="1384" operator="equal">
      <formula>0</formula>
    </cfRule>
  </conditionalFormatting>
  <conditionalFormatting sqref="B1061:H1061">
    <cfRule type="cellIs" dxfId="2773" priority="1383" operator="equal">
      <formula>0</formula>
    </cfRule>
  </conditionalFormatting>
  <conditionalFormatting sqref="U1061">
    <cfRule type="cellIs" dxfId="2772" priority="1382" operator="equal">
      <formula>0</formula>
    </cfRule>
  </conditionalFormatting>
  <conditionalFormatting sqref="I1061:U1061">
    <cfRule type="cellIs" dxfId="2771" priority="1381" operator="equal">
      <formula>0</formula>
    </cfRule>
  </conditionalFormatting>
  <conditionalFormatting sqref="U1061">
    <cfRule type="cellIs" dxfId="2770" priority="1380" operator="equal">
      <formula>0</formula>
    </cfRule>
  </conditionalFormatting>
  <conditionalFormatting sqref="N1044:T1044 I1044:L1044">
    <cfRule type="cellIs" dxfId="2769" priority="1379" operator="equal">
      <formula>0</formula>
    </cfRule>
  </conditionalFormatting>
  <conditionalFormatting sqref="U1043:U1044">
    <cfRule type="cellIs" dxfId="2768" priority="1357" operator="equal">
      <formula>0</formula>
    </cfRule>
  </conditionalFormatting>
  <conditionalFormatting sqref="U1042">
    <cfRule type="cellIs" dxfId="2767" priority="1356" operator="equal">
      <formula>0</formula>
    </cfRule>
  </conditionalFormatting>
  <conditionalFormatting sqref="U1041:U1042">
    <cfRule type="cellIs" dxfId="2766" priority="1355" operator="equal">
      <formula>0</formula>
    </cfRule>
  </conditionalFormatting>
  <conditionalFormatting sqref="D1045:D1046">
    <cfRule type="cellIs" dxfId="2765" priority="1351" operator="equal">
      <formula>0</formula>
    </cfRule>
  </conditionalFormatting>
  <conditionalFormatting sqref="U1045:U1046">
    <cfRule type="cellIs" dxfId="2764" priority="1348" operator="equal">
      <formula>0</formula>
    </cfRule>
  </conditionalFormatting>
  <conditionalFormatting sqref="H1045:H1046">
    <cfRule type="cellIs" dxfId="2763" priority="1350" operator="equal">
      <formula>0</formula>
    </cfRule>
  </conditionalFormatting>
  <conditionalFormatting sqref="D1045:H1046 J1045:U1046">
    <cfRule type="cellIs" dxfId="2762" priority="1347" operator="equal">
      <formula>0</formula>
    </cfRule>
  </conditionalFormatting>
  <conditionalFormatting sqref="I1045:I1046">
    <cfRule type="cellIs" dxfId="2761" priority="1338" operator="equal">
      <formula>0</formula>
    </cfRule>
  </conditionalFormatting>
  <conditionalFormatting sqref="F1049:G1050">
    <cfRule type="cellIs" dxfId="2760" priority="1335" operator="equal">
      <formula>0</formula>
    </cfRule>
  </conditionalFormatting>
  <conditionalFormatting sqref="C1049:C1050">
    <cfRule type="cellIs" dxfId="2759" priority="1334" operator="equal">
      <formula>0</formula>
    </cfRule>
  </conditionalFormatting>
  <conditionalFormatting sqref="H1049:H1050">
    <cfRule type="cellIs" dxfId="2758" priority="1333" operator="equal">
      <formula>0</formula>
    </cfRule>
  </conditionalFormatting>
  <conditionalFormatting sqref="C1045:C1046">
    <cfRule type="cellIs" dxfId="2757" priority="1342" operator="equal">
      <formula>0</formula>
    </cfRule>
  </conditionalFormatting>
  <conditionalFormatting sqref="C1046">
    <cfRule type="cellIs" dxfId="2756" priority="1343" operator="equal">
      <formula>0</formula>
    </cfRule>
  </conditionalFormatting>
  <conditionalFormatting sqref="I1045:I1046">
    <cfRule type="cellIs" dxfId="2755" priority="1337" operator="equal">
      <formula>0</formula>
    </cfRule>
  </conditionalFormatting>
  <conditionalFormatting sqref="I1049:I1050 U1049:U1050">
    <cfRule type="cellIs" dxfId="2754" priority="1327" operator="equal">
      <formula>0</formula>
    </cfRule>
  </conditionalFormatting>
  <conditionalFormatting sqref="B1049">
    <cfRule type="cellIs" dxfId="2753" priority="1331" operator="equal">
      <formula>0</formula>
    </cfRule>
  </conditionalFormatting>
  <conditionalFormatting sqref="B1050">
    <cfRule type="cellIs" dxfId="2752" priority="1330" operator="equal">
      <formula>0</formula>
    </cfRule>
  </conditionalFormatting>
  <conditionalFormatting sqref="U1051">
    <cfRule type="cellIs" dxfId="2751" priority="1325" operator="equal">
      <formula>0</formula>
    </cfRule>
  </conditionalFormatting>
  <conditionalFormatting sqref="C1041:G1041">
    <cfRule type="cellIs" dxfId="2750" priority="1378" operator="equal">
      <formula>0</formula>
    </cfRule>
  </conditionalFormatting>
  <conditionalFormatting sqref="H1043:H1044">
    <cfRule type="cellIs" dxfId="2749" priority="1376" operator="equal">
      <formula>0</formula>
    </cfRule>
  </conditionalFormatting>
  <conditionalFormatting sqref="C1047:C1048">
    <cfRule type="cellIs" dxfId="2748" priority="1373" operator="equal">
      <formula>0</formula>
    </cfRule>
  </conditionalFormatting>
  <conditionalFormatting sqref="D1056">
    <cfRule type="cellIs" dxfId="2747" priority="1362" operator="equal">
      <formula>0</formula>
    </cfRule>
  </conditionalFormatting>
  <conditionalFormatting sqref="H1042">
    <cfRule type="cellIs" dxfId="2746" priority="1368" operator="equal">
      <formula>0</formula>
    </cfRule>
  </conditionalFormatting>
  <conditionalFormatting sqref="D1052">
    <cfRule type="cellIs" dxfId="2745" priority="1367" operator="equal">
      <formula>0</formula>
    </cfRule>
  </conditionalFormatting>
  <conditionalFormatting sqref="C1052">
    <cfRule type="cellIs" dxfId="2744" priority="1366" operator="equal">
      <formula>0</formula>
    </cfRule>
  </conditionalFormatting>
  <conditionalFormatting sqref="B1052:G1052">
    <cfRule type="cellIs" dxfId="2743" priority="1365" operator="equal">
      <formula>0</formula>
    </cfRule>
  </conditionalFormatting>
  <conditionalFormatting sqref="H1052:U1052">
    <cfRule type="cellIs" dxfId="2742" priority="1364" operator="equal">
      <formula>0</formula>
    </cfRule>
  </conditionalFormatting>
  <conditionalFormatting sqref="H1052:U1052">
    <cfRule type="cellIs" dxfId="2741" priority="1363" operator="equal">
      <formula>0</formula>
    </cfRule>
  </conditionalFormatting>
  <conditionalFormatting sqref="C1056">
    <cfRule type="cellIs" dxfId="2740" priority="1361" operator="equal">
      <formula>0</formula>
    </cfRule>
  </conditionalFormatting>
  <conditionalFormatting sqref="B1056:G1056">
    <cfRule type="cellIs" dxfId="2739" priority="1360" operator="equal">
      <formula>0</formula>
    </cfRule>
  </conditionalFormatting>
  <conditionalFormatting sqref="H1056:U1056">
    <cfRule type="cellIs" dxfId="2738" priority="1359" operator="equal">
      <formula>0</formula>
    </cfRule>
  </conditionalFormatting>
  <conditionalFormatting sqref="H1056:U1056">
    <cfRule type="cellIs" dxfId="2737" priority="1358" operator="equal">
      <formula>0</formula>
    </cfRule>
  </conditionalFormatting>
  <conditionalFormatting sqref="I1042:T1042">
    <cfRule type="cellIs" dxfId="2736" priority="1377" operator="equal">
      <formula>0</formula>
    </cfRule>
  </conditionalFormatting>
  <conditionalFormatting sqref="B1047:G1047">
    <cfRule type="cellIs" dxfId="2735" priority="1375" operator="lessThan">
      <formula>0</formula>
    </cfRule>
  </conditionalFormatting>
  <conditionalFormatting sqref="D1047:D1048">
    <cfRule type="cellIs" dxfId="2734" priority="1374" operator="equal">
      <formula>0</formula>
    </cfRule>
  </conditionalFormatting>
  <conditionalFormatting sqref="B1048:G1048 F1042:G1042 B1042 B1047:H1047 C1043:T1043 I1041:T1042 C1044:H1044">
    <cfRule type="cellIs" dxfId="2733" priority="1372" operator="equal">
      <formula>0</formula>
    </cfRule>
  </conditionalFormatting>
  <conditionalFormatting sqref="H1048:U1048">
    <cfRule type="cellIs" dxfId="2732" priority="1371" operator="equal">
      <formula>0</formula>
    </cfRule>
  </conditionalFormatting>
  <conditionalFormatting sqref="H1048:U1048">
    <cfRule type="cellIs" dxfId="2731" priority="1370" operator="equal">
      <formula>0</formula>
    </cfRule>
  </conditionalFormatting>
  <conditionalFormatting sqref="C1042:E1042">
    <cfRule type="cellIs" dxfId="2730" priority="1369" operator="equal">
      <formula>0</formula>
    </cfRule>
  </conditionalFormatting>
  <conditionalFormatting sqref="B1044">
    <cfRule type="cellIs" dxfId="2729" priority="1354" operator="equal">
      <formula>0</formula>
    </cfRule>
  </conditionalFormatting>
  <conditionalFormatting sqref="B1043">
    <cfRule type="cellIs" dxfId="2728" priority="1353" operator="equal">
      <formula>0</formula>
    </cfRule>
  </conditionalFormatting>
  <conditionalFormatting sqref="B1046">
    <cfRule type="cellIs" dxfId="2727" priority="1345" operator="equal">
      <formula>0</formula>
    </cfRule>
  </conditionalFormatting>
  <conditionalFormatting sqref="G1045:G1046">
    <cfRule type="cellIs" dxfId="2726" priority="1352" operator="lessThan">
      <formula>0</formula>
    </cfRule>
  </conditionalFormatting>
  <conditionalFormatting sqref="J1045:T1046">
    <cfRule type="cellIs" dxfId="2725" priority="1349" operator="equal">
      <formula>0</formula>
    </cfRule>
  </conditionalFormatting>
  <conditionalFormatting sqref="B1045">
    <cfRule type="cellIs" dxfId="2724" priority="1346" operator="equal">
      <formula>0</formula>
    </cfRule>
  </conditionalFormatting>
  <conditionalFormatting sqref="C1045:C1046">
    <cfRule type="cellIs" dxfId="2723" priority="1344" operator="equal">
      <formula>0</formula>
    </cfRule>
  </conditionalFormatting>
  <conditionalFormatting sqref="U1047">
    <cfRule type="cellIs" dxfId="2722" priority="1341" operator="equal">
      <formula>0</formula>
    </cfRule>
  </conditionalFormatting>
  <conditionalFormatting sqref="U1047">
    <cfRule type="cellIs" dxfId="2721" priority="1340" operator="equal">
      <formula>0</formula>
    </cfRule>
  </conditionalFormatting>
  <conditionalFormatting sqref="I1047:T1047">
    <cfRule type="cellIs" dxfId="2720" priority="1339" operator="equal">
      <formula>0</formula>
    </cfRule>
  </conditionalFormatting>
  <conditionalFormatting sqref="D1049:D1050">
    <cfRule type="cellIs" dxfId="2719" priority="1336" operator="equal">
      <formula>0</formula>
    </cfRule>
  </conditionalFormatting>
  <conditionalFormatting sqref="C1049:H1050">
    <cfRule type="cellIs" dxfId="2718" priority="1332" operator="equal">
      <formula>0</formula>
    </cfRule>
  </conditionalFormatting>
  <conditionalFormatting sqref="I1049:I1050">
    <cfRule type="cellIs" dxfId="2717" priority="1329" operator="equal">
      <formula>0</formula>
    </cfRule>
  </conditionalFormatting>
  <conditionalFormatting sqref="U1049:U1050">
    <cfRule type="cellIs" dxfId="2716" priority="1328" operator="equal">
      <formula>0</formula>
    </cfRule>
  </conditionalFormatting>
  <conditionalFormatting sqref="U1051">
    <cfRule type="cellIs" dxfId="2715" priority="1326" operator="equal">
      <formula>0</formula>
    </cfRule>
  </conditionalFormatting>
  <conditionalFormatting sqref="U1053:U1054">
    <cfRule type="cellIs" dxfId="2714" priority="1319" operator="equal">
      <formula>0</formula>
    </cfRule>
  </conditionalFormatting>
  <conditionalFormatting sqref="I1053:I1054 U1053:U1054">
    <cfRule type="cellIs" dxfId="2713" priority="1318" operator="equal">
      <formula>0</formula>
    </cfRule>
  </conditionalFormatting>
  <conditionalFormatting sqref="C1053:C1054">
    <cfRule type="cellIs" dxfId="2712" priority="1322" operator="equal">
      <formula>0</formula>
    </cfRule>
  </conditionalFormatting>
  <conditionalFormatting sqref="I1053:I1054">
    <cfRule type="cellIs" dxfId="2711" priority="1320" operator="equal">
      <formula>0</formula>
    </cfRule>
  </conditionalFormatting>
  <conditionalFormatting sqref="F1053:G1054">
    <cfRule type="cellIs" dxfId="2710" priority="1323" operator="equal">
      <formula>0</formula>
    </cfRule>
  </conditionalFormatting>
  <conditionalFormatting sqref="C1053:G1054">
    <cfRule type="cellIs" dxfId="2709" priority="1321" operator="equal">
      <formula>0</formula>
    </cfRule>
  </conditionalFormatting>
  <conditionalFormatting sqref="D1053:D1054">
    <cfRule type="cellIs" dxfId="2708" priority="1324" operator="equal">
      <formula>0</formula>
    </cfRule>
  </conditionalFormatting>
  <conditionalFormatting sqref="B1054">
    <cfRule type="cellIs" dxfId="2707" priority="1316" operator="equal">
      <formula>0</formula>
    </cfRule>
  </conditionalFormatting>
  <conditionalFormatting sqref="B1053">
    <cfRule type="cellIs" dxfId="2706" priority="1317" operator="equal">
      <formula>0</formula>
    </cfRule>
  </conditionalFormatting>
  <conditionalFormatting sqref="H1057:H1059">
    <cfRule type="cellIs" dxfId="2705" priority="1309" operator="equal">
      <formula>0</formula>
    </cfRule>
  </conditionalFormatting>
  <conditionalFormatting sqref="U1060">
    <cfRule type="cellIs" dxfId="2704" priority="1315" operator="equal">
      <formula>0</formula>
    </cfRule>
  </conditionalFormatting>
  <conditionalFormatting sqref="U1057:U1058">
    <cfRule type="cellIs" dxfId="2703" priority="1304" operator="equal">
      <formula>0</formula>
    </cfRule>
  </conditionalFormatting>
  <conditionalFormatting sqref="J1060:T1060">
    <cfRule type="cellIs" dxfId="2702" priority="1313" operator="equal">
      <formula>0</formula>
    </cfRule>
  </conditionalFormatting>
  <conditionalFormatting sqref="D1057:D1059">
    <cfRule type="cellIs" dxfId="2701" priority="1312" operator="equal">
      <formula>0</formula>
    </cfRule>
  </conditionalFormatting>
  <conditionalFormatting sqref="F1057:G1059">
    <cfRule type="cellIs" dxfId="2700" priority="1311" operator="equal">
      <formula>0</formula>
    </cfRule>
  </conditionalFormatting>
  <conditionalFormatting sqref="C1057 C1059">
    <cfRule type="cellIs" dxfId="2699" priority="1310" operator="equal">
      <formula>0</formula>
    </cfRule>
  </conditionalFormatting>
  <conditionalFormatting sqref="C1058">
    <cfRule type="cellIs" dxfId="2698" priority="1307" operator="equal">
      <formula>0</formula>
    </cfRule>
  </conditionalFormatting>
  <conditionalFormatting sqref="I1057:I1059">
    <cfRule type="cellIs" dxfId="2697" priority="1305" operator="equal">
      <formula>0</formula>
    </cfRule>
  </conditionalFormatting>
  <conditionalFormatting sqref="I1057:I1059 U1057:U1058">
    <cfRule type="cellIs" dxfId="2696" priority="1303" operator="equal">
      <formula>0</formula>
    </cfRule>
  </conditionalFormatting>
  <conditionalFormatting sqref="C1057:H1057 C1059:H1059 D1058:H1058">
    <cfRule type="cellIs" dxfId="2695" priority="1308" operator="equal">
      <formula>0</formula>
    </cfRule>
  </conditionalFormatting>
  <conditionalFormatting sqref="C1058">
    <cfRule type="cellIs" dxfId="2694" priority="1306" operator="equal">
      <formula>0</formula>
    </cfRule>
  </conditionalFormatting>
  <conditionalFormatting sqref="U1060">
    <cfRule type="cellIs" dxfId="2693" priority="1314" operator="equal">
      <formula>0</formula>
    </cfRule>
  </conditionalFormatting>
  <conditionalFormatting sqref="B1057 B1059">
    <cfRule type="cellIs" dxfId="2692" priority="1302" operator="equal">
      <formula>0</formula>
    </cfRule>
  </conditionalFormatting>
  <conditionalFormatting sqref="B1058">
    <cfRule type="cellIs" dxfId="2691" priority="1301" operator="equal">
      <formula>0</formula>
    </cfRule>
  </conditionalFormatting>
  <conditionalFormatting sqref="U1055">
    <cfRule type="cellIs" dxfId="2690" priority="1299" operator="equal">
      <formula>0</formula>
    </cfRule>
  </conditionalFormatting>
  <conditionalFormatting sqref="U1055">
    <cfRule type="cellIs" dxfId="2689" priority="1300" operator="equal">
      <formula>0</formula>
    </cfRule>
  </conditionalFormatting>
  <conditionalFormatting sqref="J1049:T1050">
    <cfRule type="cellIs" dxfId="2688" priority="1297" operator="equal">
      <formula>0</formula>
    </cfRule>
  </conditionalFormatting>
  <conditionalFormatting sqref="J1049:T1050">
    <cfRule type="cellIs" dxfId="2687" priority="1298" operator="equal">
      <formula>0</formula>
    </cfRule>
  </conditionalFormatting>
  <conditionalFormatting sqref="J1051:T1051">
    <cfRule type="cellIs" dxfId="2686" priority="1296" operator="equal">
      <formula>0</formula>
    </cfRule>
  </conditionalFormatting>
  <conditionalFormatting sqref="J1053:T1054">
    <cfRule type="cellIs" dxfId="2685" priority="1294" operator="equal">
      <formula>0</formula>
    </cfRule>
  </conditionalFormatting>
  <conditionalFormatting sqref="J1053:T1054">
    <cfRule type="cellIs" dxfId="2684" priority="1295" operator="equal">
      <formula>0</formula>
    </cfRule>
  </conditionalFormatting>
  <conditionalFormatting sqref="J1055:T1055">
    <cfRule type="cellIs" dxfId="2683" priority="1293" operator="equal">
      <formula>0</formula>
    </cfRule>
  </conditionalFormatting>
  <conditionalFormatting sqref="J1057:T1058">
    <cfRule type="cellIs" dxfId="2682" priority="1291" operator="equal">
      <formula>0</formula>
    </cfRule>
  </conditionalFormatting>
  <conditionalFormatting sqref="J1057:T1058">
    <cfRule type="cellIs" dxfId="2681" priority="1292" operator="equal">
      <formula>0</formula>
    </cfRule>
  </conditionalFormatting>
  <conditionalFormatting sqref="J1059:R1059">
    <cfRule type="cellIs" dxfId="2680" priority="1290" operator="equal">
      <formula>0</formula>
    </cfRule>
  </conditionalFormatting>
  <conditionalFormatting sqref="H1053:H1054">
    <cfRule type="cellIs" dxfId="2679" priority="1289" operator="equal">
      <formula>0</formula>
    </cfRule>
  </conditionalFormatting>
  <conditionalFormatting sqref="H1053:H1054">
    <cfRule type="cellIs" dxfId="2678" priority="1288" operator="equal">
      <formula>0</formula>
    </cfRule>
  </conditionalFormatting>
  <conditionalFormatting sqref="U1059">
    <cfRule type="cellIs" dxfId="2677" priority="1287" operator="equal">
      <formula>0</formula>
    </cfRule>
  </conditionalFormatting>
  <conditionalFormatting sqref="U1059">
    <cfRule type="cellIs" dxfId="2676" priority="1286" operator="equal">
      <formula>0</formula>
    </cfRule>
  </conditionalFormatting>
  <conditionalFormatting sqref="S1059:T1059">
    <cfRule type="cellIs" dxfId="2675" priority="1284" operator="equal">
      <formula>0</formula>
    </cfRule>
  </conditionalFormatting>
  <conditionalFormatting sqref="S1059:T1059">
    <cfRule type="cellIs" dxfId="2674" priority="1285" operator="equal">
      <formula>0</formula>
    </cfRule>
  </conditionalFormatting>
  <conditionalFormatting sqref="M1044">
    <cfRule type="cellIs" dxfId="2673" priority="1283" operator="equal">
      <formula>0</formula>
    </cfRule>
  </conditionalFormatting>
  <conditionalFormatting sqref="C1051">
    <cfRule type="cellIs" dxfId="2672" priority="1280" operator="equal">
      <formula>0</formula>
    </cfRule>
  </conditionalFormatting>
  <conditionalFormatting sqref="B1051:G1051">
    <cfRule type="cellIs" dxfId="2671" priority="1282" operator="lessThan">
      <formula>0</formula>
    </cfRule>
  </conditionalFormatting>
  <conditionalFormatting sqref="D1051">
    <cfRule type="cellIs" dxfId="2670" priority="1281" operator="equal">
      <formula>0</formula>
    </cfRule>
  </conditionalFormatting>
  <conditionalFormatting sqref="B1051:H1051">
    <cfRule type="cellIs" dxfId="2669" priority="1279" operator="equal">
      <formula>0</formula>
    </cfRule>
  </conditionalFormatting>
  <conditionalFormatting sqref="I1051">
    <cfRule type="cellIs" dxfId="2668" priority="1278" operator="equal">
      <formula>0</formula>
    </cfRule>
  </conditionalFormatting>
  <conditionalFormatting sqref="C1055">
    <cfRule type="cellIs" dxfId="2667" priority="1275" operator="equal">
      <formula>0</formula>
    </cfRule>
  </conditionalFormatting>
  <conditionalFormatting sqref="B1055:G1055">
    <cfRule type="cellIs" dxfId="2666" priority="1277" operator="lessThan">
      <formula>0</formula>
    </cfRule>
  </conditionalFormatting>
  <conditionalFormatting sqref="D1055">
    <cfRule type="cellIs" dxfId="2665" priority="1276" operator="equal">
      <formula>0</formula>
    </cfRule>
  </conditionalFormatting>
  <conditionalFormatting sqref="B1055:H1055">
    <cfRule type="cellIs" dxfId="2664" priority="1274" operator="equal">
      <formula>0</formula>
    </cfRule>
  </conditionalFormatting>
  <conditionalFormatting sqref="I1055">
    <cfRule type="cellIs" dxfId="2663" priority="1273" operator="equal">
      <formula>0</formula>
    </cfRule>
  </conditionalFormatting>
  <conditionalFormatting sqref="C1060">
    <cfRule type="cellIs" dxfId="2662" priority="1270" operator="equal">
      <formula>0</formula>
    </cfRule>
  </conditionalFormatting>
  <conditionalFormatting sqref="B1060:G1060">
    <cfRule type="cellIs" dxfId="2661" priority="1272" operator="lessThan">
      <formula>0</formula>
    </cfRule>
  </conditionalFormatting>
  <conditionalFormatting sqref="D1060">
    <cfRule type="cellIs" dxfId="2660" priority="1271" operator="equal">
      <formula>0</formula>
    </cfRule>
  </conditionalFormatting>
  <conditionalFormatting sqref="B1060:H1060">
    <cfRule type="cellIs" dxfId="2659" priority="1269" operator="equal">
      <formula>0</formula>
    </cfRule>
  </conditionalFormatting>
  <conditionalFormatting sqref="I1060">
    <cfRule type="cellIs" dxfId="2658" priority="1268" operator="equal">
      <formula>0</formula>
    </cfRule>
  </conditionalFormatting>
  <conditionalFormatting sqref="B1041">
    <cfRule type="cellIs" dxfId="2657" priority="1267" operator="equal">
      <formula>0</formula>
    </cfRule>
  </conditionalFormatting>
  <conditionalFormatting sqref="B1084:H1084">
    <cfRule type="cellIs" dxfId="2656" priority="1266" operator="equal">
      <formula>0</formula>
    </cfRule>
  </conditionalFormatting>
  <conditionalFormatting sqref="U1084">
    <cfRule type="cellIs" dxfId="2655" priority="1265" operator="equal">
      <formula>0</formula>
    </cfRule>
  </conditionalFormatting>
  <conditionalFormatting sqref="I1084:U1084">
    <cfRule type="cellIs" dxfId="2654" priority="1264" operator="equal">
      <formula>0</formula>
    </cfRule>
  </conditionalFormatting>
  <conditionalFormatting sqref="U1084">
    <cfRule type="cellIs" dxfId="2653" priority="1263" operator="equal">
      <formula>0</formula>
    </cfRule>
  </conditionalFormatting>
  <conditionalFormatting sqref="N1067:T1067 I1067:L1067">
    <cfRule type="cellIs" dxfId="2652" priority="1262" operator="equal">
      <formula>0</formula>
    </cfRule>
  </conditionalFormatting>
  <conditionalFormatting sqref="U1066:U1067">
    <cfRule type="cellIs" dxfId="2651" priority="1240" operator="equal">
      <formula>0</formula>
    </cfRule>
  </conditionalFormatting>
  <conditionalFormatting sqref="U1065">
    <cfRule type="cellIs" dxfId="2650" priority="1239" operator="equal">
      <formula>0</formula>
    </cfRule>
  </conditionalFormatting>
  <conditionalFormatting sqref="U1064:U1065">
    <cfRule type="cellIs" dxfId="2649" priority="1238" operator="equal">
      <formula>0</formula>
    </cfRule>
  </conditionalFormatting>
  <conditionalFormatting sqref="D1068:D1069">
    <cfRule type="cellIs" dxfId="2648" priority="1234" operator="equal">
      <formula>0</formula>
    </cfRule>
  </conditionalFormatting>
  <conditionalFormatting sqref="U1068:U1069">
    <cfRule type="cellIs" dxfId="2647" priority="1231" operator="equal">
      <formula>0</formula>
    </cfRule>
  </conditionalFormatting>
  <conditionalFormatting sqref="H1068:H1069">
    <cfRule type="cellIs" dxfId="2646" priority="1233" operator="equal">
      <formula>0</formula>
    </cfRule>
  </conditionalFormatting>
  <conditionalFormatting sqref="D1068:H1069 J1068:U1069">
    <cfRule type="cellIs" dxfId="2645" priority="1230" operator="equal">
      <formula>0</formula>
    </cfRule>
  </conditionalFormatting>
  <conditionalFormatting sqref="I1068:I1069">
    <cfRule type="cellIs" dxfId="2644" priority="1221" operator="equal">
      <formula>0</formula>
    </cfRule>
  </conditionalFormatting>
  <conditionalFormatting sqref="F1072:G1073">
    <cfRule type="cellIs" dxfId="2643" priority="1218" operator="equal">
      <formula>0</formula>
    </cfRule>
  </conditionalFormatting>
  <conditionalFormatting sqref="C1072:C1073">
    <cfRule type="cellIs" dxfId="2642" priority="1217" operator="equal">
      <formula>0</formula>
    </cfRule>
  </conditionalFormatting>
  <conditionalFormatting sqref="H1072:H1073">
    <cfRule type="cellIs" dxfId="2641" priority="1216" operator="equal">
      <formula>0</formula>
    </cfRule>
  </conditionalFormatting>
  <conditionalFormatting sqref="C1068:C1069">
    <cfRule type="cellIs" dxfId="2640" priority="1225" operator="equal">
      <formula>0</formula>
    </cfRule>
  </conditionalFormatting>
  <conditionalFormatting sqref="C1069">
    <cfRule type="cellIs" dxfId="2639" priority="1226" operator="equal">
      <formula>0</formula>
    </cfRule>
  </conditionalFormatting>
  <conditionalFormatting sqref="I1068:I1069">
    <cfRule type="cellIs" dxfId="2638" priority="1220" operator="equal">
      <formula>0</formula>
    </cfRule>
  </conditionalFormatting>
  <conditionalFormatting sqref="I1072:I1073 U1072:U1073">
    <cfRule type="cellIs" dxfId="2637" priority="1210" operator="equal">
      <formula>0</formula>
    </cfRule>
  </conditionalFormatting>
  <conditionalFormatting sqref="B1072">
    <cfRule type="cellIs" dxfId="2636" priority="1214" operator="equal">
      <formula>0</formula>
    </cfRule>
  </conditionalFormatting>
  <conditionalFormatting sqref="B1073">
    <cfRule type="cellIs" dxfId="2635" priority="1213" operator="equal">
      <formula>0</formula>
    </cfRule>
  </conditionalFormatting>
  <conditionalFormatting sqref="U1074">
    <cfRule type="cellIs" dxfId="2634" priority="1208" operator="equal">
      <formula>0</formula>
    </cfRule>
  </conditionalFormatting>
  <conditionalFormatting sqref="C1064:G1064">
    <cfRule type="cellIs" dxfId="2633" priority="1261" operator="equal">
      <formula>0</formula>
    </cfRule>
  </conditionalFormatting>
  <conditionalFormatting sqref="H1066:H1067">
    <cfRule type="cellIs" dxfId="2632" priority="1259" operator="equal">
      <formula>0</formula>
    </cfRule>
  </conditionalFormatting>
  <conditionalFormatting sqref="C1070:C1071">
    <cfRule type="cellIs" dxfId="2631" priority="1256" operator="equal">
      <formula>0</formula>
    </cfRule>
  </conditionalFormatting>
  <conditionalFormatting sqref="D1079">
    <cfRule type="cellIs" dxfId="2630" priority="1245" operator="equal">
      <formula>0</formula>
    </cfRule>
  </conditionalFormatting>
  <conditionalFormatting sqref="H1065">
    <cfRule type="cellIs" dxfId="2629" priority="1251" operator="equal">
      <formula>0</formula>
    </cfRule>
  </conditionalFormatting>
  <conditionalFormatting sqref="D1075">
    <cfRule type="cellIs" dxfId="2628" priority="1250" operator="equal">
      <formula>0</formula>
    </cfRule>
  </conditionalFormatting>
  <conditionalFormatting sqref="C1075">
    <cfRule type="cellIs" dxfId="2627" priority="1249" operator="equal">
      <formula>0</formula>
    </cfRule>
  </conditionalFormatting>
  <conditionalFormatting sqref="B1075:G1075">
    <cfRule type="cellIs" dxfId="2626" priority="1248" operator="equal">
      <formula>0</formula>
    </cfRule>
  </conditionalFormatting>
  <conditionalFormatting sqref="H1075:U1075">
    <cfRule type="cellIs" dxfId="2625" priority="1247" operator="equal">
      <formula>0</formula>
    </cfRule>
  </conditionalFormatting>
  <conditionalFormatting sqref="H1075:U1075">
    <cfRule type="cellIs" dxfId="2624" priority="1246" operator="equal">
      <formula>0</formula>
    </cfRule>
  </conditionalFormatting>
  <conditionalFormatting sqref="C1079">
    <cfRule type="cellIs" dxfId="2623" priority="1244" operator="equal">
      <formula>0</formula>
    </cfRule>
  </conditionalFormatting>
  <conditionalFormatting sqref="B1079:G1079">
    <cfRule type="cellIs" dxfId="2622" priority="1243" operator="equal">
      <formula>0</formula>
    </cfRule>
  </conditionalFormatting>
  <conditionalFormatting sqref="H1079:U1079">
    <cfRule type="cellIs" dxfId="2621" priority="1242" operator="equal">
      <formula>0</formula>
    </cfRule>
  </conditionalFormatting>
  <conditionalFormatting sqref="H1079:U1079">
    <cfRule type="cellIs" dxfId="2620" priority="1241" operator="equal">
      <formula>0</formula>
    </cfRule>
  </conditionalFormatting>
  <conditionalFormatting sqref="I1065:T1065">
    <cfRule type="cellIs" dxfId="2619" priority="1260" operator="equal">
      <formula>0</formula>
    </cfRule>
  </conditionalFormatting>
  <conditionalFormatting sqref="B1070:G1070">
    <cfRule type="cellIs" dxfId="2618" priority="1258" operator="lessThan">
      <formula>0</formula>
    </cfRule>
  </conditionalFormatting>
  <conditionalFormatting sqref="D1070:D1071">
    <cfRule type="cellIs" dxfId="2617" priority="1257" operator="equal">
      <formula>0</formula>
    </cfRule>
  </conditionalFormatting>
  <conditionalFormatting sqref="B1071:G1071 F1065:G1065 B1065 B1070:H1070 C1066:T1066 I1064:T1065 C1067:H1067">
    <cfRule type="cellIs" dxfId="2616" priority="1255" operator="equal">
      <formula>0</formula>
    </cfRule>
  </conditionalFormatting>
  <conditionalFormatting sqref="H1071:U1071">
    <cfRule type="cellIs" dxfId="2615" priority="1254" operator="equal">
      <formula>0</formula>
    </cfRule>
  </conditionalFormatting>
  <conditionalFormatting sqref="H1071:U1071">
    <cfRule type="cellIs" dxfId="2614" priority="1253" operator="equal">
      <formula>0</formula>
    </cfRule>
  </conditionalFormatting>
  <conditionalFormatting sqref="C1065:E1065">
    <cfRule type="cellIs" dxfId="2613" priority="1252" operator="equal">
      <formula>0</formula>
    </cfRule>
  </conditionalFormatting>
  <conditionalFormatting sqref="B1067">
    <cfRule type="cellIs" dxfId="2612" priority="1237" operator="equal">
      <formula>0</formula>
    </cfRule>
  </conditionalFormatting>
  <conditionalFormatting sqref="B1066">
    <cfRule type="cellIs" dxfId="2611" priority="1236" operator="equal">
      <formula>0</formula>
    </cfRule>
  </conditionalFormatting>
  <conditionalFormatting sqref="B1069">
    <cfRule type="cellIs" dxfId="2610" priority="1228" operator="equal">
      <formula>0</formula>
    </cfRule>
  </conditionalFormatting>
  <conditionalFormatting sqref="G1068:G1069">
    <cfRule type="cellIs" dxfId="2609" priority="1235" operator="lessThan">
      <formula>0</formula>
    </cfRule>
  </conditionalFormatting>
  <conditionalFormatting sqref="J1068:T1069">
    <cfRule type="cellIs" dxfId="2608" priority="1232" operator="equal">
      <formula>0</formula>
    </cfRule>
  </conditionalFormatting>
  <conditionalFormatting sqref="B1068">
    <cfRule type="cellIs" dxfId="2607" priority="1229" operator="equal">
      <formula>0</formula>
    </cfRule>
  </conditionalFormatting>
  <conditionalFormatting sqref="C1068:C1069">
    <cfRule type="cellIs" dxfId="2606" priority="1227" operator="equal">
      <formula>0</formula>
    </cfRule>
  </conditionalFormatting>
  <conditionalFormatting sqref="U1070">
    <cfRule type="cellIs" dxfId="2605" priority="1224" operator="equal">
      <formula>0</formula>
    </cfRule>
  </conditionalFormatting>
  <conditionalFormatting sqref="U1070">
    <cfRule type="cellIs" dxfId="2604" priority="1223" operator="equal">
      <formula>0</formula>
    </cfRule>
  </conditionalFormatting>
  <conditionalFormatting sqref="I1070:T1070">
    <cfRule type="cellIs" dxfId="2603" priority="1222" operator="equal">
      <formula>0</formula>
    </cfRule>
  </conditionalFormatting>
  <conditionalFormatting sqref="D1072:D1073">
    <cfRule type="cellIs" dxfId="2602" priority="1219" operator="equal">
      <formula>0</formula>
    </cfRule>
  </conditionalFormatting>
  <conditionalFormatting sqref="C1072:H1073">
    <cfRule type="cellIs" dxfId="2601" priority="1215" operator="equal">
      <formula>0</formula>
    </cfRule>
  </conditionalFormatting>
  <conditionalFormatting sqref="I1072:I1073">
    <cfRule type="cellIs" dxfId="2600" priority="1212" operator="equal">
      <formula>0</formula>
    </cfRule>
  </conditionalFormatting>
  <conditionalFormatting sqref="U1072:U1073">
    <cfRule type="cellIs" dxfId="2599" priority="1211" operator="equal">
      <formula>0</formula>
    </cfRule>
  </conditionalFormatting>
  <conditionalFormatting sqref="U1074">
    <cfRule type="cellIs" dxfId="2598" priority="1209" operator="equal">
      <formula>0</formula>
    </cfRule>
  </conditionalFormatting>
  <conditionalFormatting sqref="U1076:U1077">
    <cfRule type="cellIs" dxfId="2597" priority="1202" operator="equal">
      <formula>0</formula>
    </cfRule>
  </conditionalFormatting>
  <conditionalFormatting sqref="I1076:I1077 U1076:U1077">
    <cfRule type="cellIs" dxfId="2596" priority="1201" operator="equal">
      <formula>0</formula>
    </cfRule>
  </conditionalFormatting>
  <conditionalFormatting sqref="C1076:C1077">
    <cfRule type="cellIs" dxfId="2595" priority="1205" operator="equal">
      <formula>0</formula>
    </cfRule>
  </conditionalFormatting>
  <conditionalFormatting sqref="I1076:I1077">
    <cfRule type="cellIs" dxfId="2594" priority="1203" operator="equal">
      <formula>0</formula>
    </cfRule>
  </conditionalFormatting>
  <conditionalFormatting sqref="F1076:G1077">
    <cfRule type="cellIs" dxfId="2593" priority="1206" operator="equal">
      <formula>0</formula>
    </cfRule>
  </conditionalFormatting>
  <conditionalFormatting sqref="C1076:G1077">
    <cfRule type="cellIs" dxfId="2592" priority="1204" operator="equal">
      <formula>0</formula>
    </cfRule>
  </conditionalFormatting>
  <conditionalFormatting sqref="D1076:D1077">
    <cfRule type="cellIs" dxfId="2591" priority="1207" operator="equal">
      <formula>0</formula>
    </cfRule>
  </conditionalFormatting>
  <conditionalFormatting sqref="B1077">
    <cfRule type="cellIs" dxfId="2590" priority="1199" operator="equal">
      <formula>0</formula>
    </cfRule>
  </conditionalFormatting>
  <conditionalFormatting sqref="B1076">
    <cfRule type="cellIs" dxfId="2589" priority="1200" operator="equal">
      <formula>0</formula>
    </cfRule>
  </conditionalFormatting>
  <conditionalFormatting sqref="H1080:H1082">
    <cfRule type="cellIs" dxfId="2588" priority="1192" operator="equal">
      <formula>0</formula>
    </cfRule>
  </conditionalFormatting>
  <conditionalFormatting sqref="U1083">
    <cfRule type="cellIs" dxfId="2587" priority="1198" operator="equal">
      <formula>0</formula>
    </cfRule>
  </conditionalFormatting>
  <conditionalFormatting sqref="U1080:U1081">
    <cfRule type="cellIs" dxfId="2586" priority="1187" operator="equal">
      <formula>0</formula>
    </cfRule>
  </conditionalFormatting>
  <conditionalFormatting sqref="J1083:T1083">
    <cfRule type="cellIs" dxfId="2585" priority="1196" operator="equal">
      <formula>0</formula>
    </cfRule>
  </conditionalFormatting>
  <conditionalFormatting sqref="D1080:D1082">
    <cfRule type="cellIs" dxfId="2584" priority="1195" operator="equal">
      <formula>0</formula>
    </cfRule>
  </conditionalFormatting>
  <conditionalFormatting sqref="F1080:G1082">
    <cfRule type="cellIs" dxfId="2583" priority="1194" operator="equal">
      <formula>0</formula>
    </cfRule>
  </conditionalFormatting>
  <conditionalFormatting sqref="C1080 C1082">
    <cfRule type="cellIs" dxfId="2582" priority="1193" operator="equal">
      <formula>0</formula>
    </cfRule>
  </conditionalFormatting>
  <conditionalFormatting sqref="C1081">
    <cfRule type="cellIs" dxfId="2581" priority="1190" operator="equal">
      <formula>0</formula>
    </cfRule>
  </conditionalFormatting>
  <conditionalFormatting sqref="I1080:I1082">
    <cfRule type="cellIs" dxfId="2580" priority="1188" operator="equal">
      <formula>0</formula>
    </cfRule>
  </conditionalFormatting>
  <conditionalFormatting sqref="I1080:I1082 U1080:U1081">
    <cfRule type="cellIs" dxfId="2579" priority="1186" operator="equal">
      <formula>0</formula>
    </cfRule>
  </conditionalFormatting>
  <conditionalFormatting sqref="C1080:H1080 C1082:H1082 D1081:H1081">
    <cfRule type="cellIs" dxfId="2578" priority="1191" operator="equal">
      <formula>0</formula>
    </cfRule>
  </conditionalFormatting>
  <conditionalFormatting sqref="C1081">
    <cfRule type="cellIs" dxfId="2577" priority="1189" operator="equal">
      <formula>0</formula>
    </cfRule>
  </conditionalFormatting>
  <conditionalFormatting sqref="U1083">
    <cfRule type="cellIs" dxfId="2576" priority="1197" operator="equal">
      <formula>0</formula>
    </cfRule>
  </conditionalFormatting>
  <conditionalFormatting sqref="B1080 B1082">
    <cfRule type="cellIs" dxfId="2575" priority="1185" operator="equal">
      <formula>0</formula>
    </cfRule>
  </conditionalFormatting>
  <conditionalFormatting sqref="B1081">
    <cfRule type="cellIs" dxfId="2574" priority="1184" operator="equal">
      <formula>0</formula>
    </cfRule>
  </conditionalFormatting>
  <conditionalFormatting sqref="U1078">
    <cfRule type="cellIs" dxfId="2573" priority="1182" operator="equal">
      <formula>0</formula>
    </cfRule>
  </conditionalFormatting>
  <conditionalFormatting sqref="U1078">
    <cfRule type="cellIs" dxfId="2572" priority="1183" operator="equal">
      <formula>0</formula>
    </cfRule>
  </conditionalFormatting>
  <conditionalFormatting sqref="J1072:T1073">
    <cfRule type="cellIs" dxfId="2571" priority="1180" operator="equal">
      <formula>0</formula>
    </cfRule>
  </conditionalFormatting>
  <conditionalFormatting sqref="J1072:T1073">
    <cfRule type="cellIs" dxfId="2570" priority="1181" operator="equal">
      <formula>0</formula>
    </cfRule>
  </conditionalFormatting>
  <conditionalFormatting sqref="J1074:T1074">
    <cfRule type="cellIs" dxfId="2569" priority="1179" operator="equal">
      <formula>0</formula>
    </cfRule>
  </conditionalFormatting>
  <conditionalFormatting sqref="J1076:T1077">
    <cfRule type="cellIs" dxfId="2568" priority="1177" operator="equal">
      <formula>0</formula>
    </cfRule>
  </conditionalFormatting>
  <conditionalFormatting sqref="J1076:T1077">
    <cfRule type="cellIs" dxfId="2567" priority="1178" operator="equal">
      <formula>0</formula>
    </cfRule>
  </conditionalFormatting>
  <conditionalFormatting sqref="J1078:T1078">
    <cfRule type="cellIs" dxfId="2566" priority="1176" operator="equal">
      <formula>0</formula>
    </cfRule>
  </conditionalFormatting>
  <conditionalFormatting sqref="J1080:T1081">
    <cfRule type="cellIs" dxfId="2565" priority="1174" operator="equal">
      <formula>0</formula>
    </cfRule>
  </conditionalFormatting>
  <conditionalFormatting sqref="J1080:T1081">
    <cfRule type="cellIs" dxfId="2564" priority="1175" operator="equal">
      <formula>0</formula>
    </cfRule>
  </conditionalFormatting>
  <conditionalFormatting sqref="J1082:R1082">
    <cfRule type="cellIs" dxfId="2563" priority="1173" operator="equal">
      <formula>0</formula>
    </cfRule>
  </conditionalFormatting>
  <conditionalFormatting sqref="H1076:H1077">
    <cfRule type="cellIs" dxfId="2562" priority="1172" operator="equal">
      <formula>0</formula>
    </cfRule>
  </conditionalFormatting>
  <conditionalFormatting sqref="H1076:H1077">
    <cfRule type="cellIs" dxfId="2561" priority="1171" operator="equal">
      <formula>0</formula>
    </cfRule>
  </conditionalFormatting>
  <conditionalFormatting sqref="U1082">
    <cfRule type="cellIs" dxfId="2560" priority="1170" operator="equal">
      <formula>0</formula>
    </cfRule>
  </conditionalFormatting>
  <conditionalFormatting sqref="U1082">
    <cfRule type="cellIs" dxfId="2559" priority="1169" operator="equal">
      <formula>0</formula>
    </cfRule>
  </conditionalFormatting>
  <conditionalFormatting sqref="S1082:T1082">
    <cfRule type="cellIs" dxfId="2558" priority="1167" operator="equal">
      <formula>0</formula>
    </cfRule>
  </conditionalFormatting>
  <conditionalFormatting sqref="S1082:T1082">
    <cfRule type="cellIs" dxfId="2557" priority="1168" operator="equal">
      <formula>0</formula>
    </cfRule>
  </conditionalFormatting>
  <conditionalFormatting sqref="M1067">
    <cfRule type="cellIs" dxfId="2556" priority="1166" operator="equal">
      <formula>0</formula>
    </cfRule>
  </conditionalFormatting>
  <conditionalFormatting sqref="C1074">
    <cfRule type="cellIs" dxfId="2555" priority="1163" operator="equal">
      <formula>0</formula>
    </cfRule>
  </conditionalFormatting>
  <conditionalFormatting sqref="B1074:G1074">
    <cfRule type="cellIs" dxfId="2554" priority="1165" operator="lessThan">
      <formula>0</formula>
    </cfRule>
  </conditionalFormatting>
  <conditionalFormatting sqref="D1074">
    <cfRule type="cellIs" dxfId="2553" priority="1164" operator="equal">
      <formula>0</formula>
    </cfRule>
  </conditionalFormatting>
  <conditionalFormatting sqref="B1074:H1074">
    <cfRule type="cellIs" dxfId="2552" priority="1162" operator="equal">
      <formula>0</formula>
    </cfRule>
  </conditionalFormatting>
  <conditionalFormatting sqref="I1074">
    <cfRule type="cellIs" dxfId="2551" priority="1161" operator="equal">
      <formula>0</formula>
    </cfRule>
  </conditionalFormatting>
  <conditionalFormatting sqref="C1078">
    <cfRule type="cellIs" dxfId="2550" priority="1158" operator="equal">
      <formula>0</formula>
    </cfRule>
  </conditionalFormatting>
  <conditionalFormatting sqref="B1078:G1078">
    <cfRule type="cellIs" dxfId="2549" priority="1160" operator="lessThan">
      <formula>0</formula>
    </cfRule>
  </conditionalFormatting>
  <conditionalFormatting sqref="D1078">
    <cfRule type="cellIs" dxfId="2548" priority="1159" operator="equal">
      <formula>0</formula>
    </cfRule>
  </conditionalFormatting>
  <conditionalFormatting sqref="B1078:H1078">
    <cfRule type="cellIs" dxfId="2547" priority="1157" operator="equal">
      <formula>0</formula>
    </cfRule>
  </conditionalFormatting>
  <conditionalFormatting sqref="I1078">
    <cfRule type="cellIs" dxfId="2546" priority="1156" operator="equal">
      <formula>0</formula>
    </cfRule>
  </conditionalFormatting>
  <conditionalFormatting sqref="C1083">
    <cfRule type="cellIs" dxfId="2545" priority="1153" operator="equal">
      <formula>0</formula>
    </cfRule>
  </conditionalFormatting>
  <conditionalFormatting sqref="B1083:G1083">
    <cfRule type="cellIs" dxfId="2544" priority="1155" operator="lessThan">
      <formula>0</formula>
    </cfRule>
  </conditionalFormatting>
  <conditionalFormatting sqref="D1083">
    <cfRule type="cellIs" dxfId="2543" priority="1154" operator="equal">
      <formula>0</formula>
    </cfRule>
  </conditionalFormatting>
  <conditionalFormatting sqref="B1083:H1083">
    <cfRule type="cellIs" dxfId="2542" priority="1152" operator="equal">
      <formula>0</formula>
    </cfRule>
  </conditionalFormatting>
  <conditionalFormatting sqref="I1083">
    <cfRule type="cellIs" dxfId="2541" priority="1151" operator="equal">
      <formula>0</formula>
    </cfRule>
  </conditionalFormatting>
  <conditionalFormatting sqref="B1064">
    <cfRule type="cellIs" dxfId="2540" priority="1150" operator="equal">
      <formula>0</formula>
    </cfRule>
  </conditionalFormatting>
  <conditionalFormatting sqref="Y3356:AE3356">
    <cfRule type="cellIs" dxfId="2539" priority="1149" operator="equal">
      <formula>0</formula>
    </cfRule>
  </conditionalFormatting>
  <conditionalFormatting sqref="AR3356">
    <cfRule type="cellIs" dxfId="2538" priority="1148" operator="equal">
      <formula>0</formula>
    </cfRule>
  </conditionalFormatting>
  <conditionalFormatting sqref="AF3356:AR3356">
    <cfRule type="cellIs" dxfId="2537" priority="1147" operator="equal">
      <formula>0</formula>
    </cfRule>
  </conditionalFormatting>
  <conditionalFormatting sqref="AR3356">
    <cfRule type="cellIs" dxfId="2536" priority="1146" operator="equal">
      <formula>0</formula>
    </cfRule>
  </conditionalFormatting>
  <conditionalFormatting sqref="Y3335:AR3335 AK3339:AQ3339 AF3339:AI3339">
    <cfRule type="cellIs" dxfId="2535" priority="1145" operator="equal">
      <formula>0</formula>
    </cfRule>
  </conditionalFormatting>
  <conditionalFormatting sqref="AR3338:AR3339">
    <cfRule type="cellIs" dxfId="2534" priority="1123" operator="equal">
      <formula>0</formula>
    </cfRule>
  </conditionalFormatting>
  <conditionalFormatting sqref="AR3337">
    <cfRule type="cellIs" dxfId="2533" priority="1122" operator="equal">
      <formula>0</formula>
    </cfRule>
  </conditionalFormatting>
  <conditionalFormatting sqref="AR3336:AR3337">
    <cfRule type="cellIs" dxfId="2532" priority="1121" operator="equal">
      <formula>0</formula>
    </cfRule>
  </conditionalFormatting>
  <conditionalFormatting sqref="AA3340:AA3341">
    <cfRule type="cellIs" dxfId="2531" priority="1117" operator="equal">
      <formula>0</formula>
    </cfRule>
  </conditionalFormatting>
  <conditionalFormatting sqref="AR3340:AR3341">
    <cfRule type="cellIs" dxfId="2530" priority="1114" operator="equal">
      <formula>0</formula>
    </cfRule>
  </conditionalFormatting>
  <conditionalFormatting sqref="AE3340:AE3341">
    <cfRule type="cellIs" dxfId="2529" priority="1116" operator="equal">
      <formula>0</formula>
    </cfRule>
  </conditionalFormatting>
  <conditionalFormatting sqref="AA3340:AE3341 AG3340:AR3341">
    <cfRule type="cellIs" dxfId="2528" priority="1113" operator="equal">
      <formula>0</formula>
    </cfRule>
  </conditionalFormatting>
  <conditionalFormatting sqref="AF3340:AF3341">
    <cfRule type="cellIs" dxfId="2527" priority="1104" operator="equal">
      <formula>0</formula>
    </cfRule>
  </conditionalFormatting>
  <conditionalFormatting sqref="AC3344:AD3345">
    <cfRule type="cellIs" dxfId="2526" priority="1101" operator="equal">
      <formula>0</formula>
    </cfRule>
  </conditionalFormatting>
  <conditionalFormatting sqref="Z3344:Z3345">
    <cfRule type="cellIs" dxfId="2525" priority="1100" operator="equal">
      <formula>0</formula>
    </cfRule>
  </conditionalFormatting>
  <conditionalFormatting sqref="AE3344:AE3345">
    <cfRule type="cellIs" dxfId="2524" priority="1099" operator="equal">
      <formula>0</formula>
    </cfRule>
  </conditionalFormatting>
  <conditionalFormatting sqref="Z3340:Z3341">
    <cfRule type="cellIs" dxfId="2523" priority="1108" operator="equal">
      <formula>0</formula>
    </cfRule>
  </conditionalFormatting>
  <conditionalFormatting sqref="Z3341">
    <cfRule type="cellIs" dxfId="2522" priority="1109" operator="equal">
      <formula>0</formula>
    </cfRule>
  </conditionalFormatting>
  <conditionalFormatting sqref="AF3340:AF3341">
    <cfRule type="cellIs" dxfId="2521" priority="1103" operator="equal">
      <formula>0</formula>
    </cfRule>
  </conditionalFormatting>
  <conditionalFormatting sqref="AF3344:AF3345 AR3344:AR3345">
    <cfRule type="cellIs" dxfId="2520" priority="1093" operator="equal">
      <formula>0</formula>
    </cfRule>
  </conditionalFormatting>
  <conditionalFormatting sqref="Y3344">
    <cfRule type="cellIs" dxfId="2519" priority="1097" operator="equal">
      <formula>0</formula>
    </cfRule>
  </conditionalFormatting>
  <conditionalFormatting sqref="Y3345">
    <cfRule type="cellIs" dxfId="2518" priority="1096" operator="equal">
      <formula>0</formula>
    </cfRule>
  </conditionalFormatting>
  <conditionalFormatting sqref="AR3346">
    <cfRule type="cellIs" dxfId="2517" priority="1091" operator="equal">
      <formula>0</formula>
    </cfRule>
  </conditionalFormatting>
  <conditionalFormatting sqref="Z3336:AD3336">
    <cfRule type="cellIs" dxfId="2516" priority="1144" operator="equal">
      <formula>0</formula>
    </cfRule>
  </conditionalFormatting>
  <conditionalFormatting sqref="AE3338:AE3339">
    <cfRule type="cellIs" dxfId="2515" priority="1142" operator="equal">
      <formula>0</formula>
    </cfRule>
  </conditionalFormatting>
  <conditionalFormatting sqref="Z3342:Z3343">
    <cfRule type="cellIs" dxfId="2514" priority="1139" operator="equal">
      <formula>0</formula>
    </cfRule>
  </conditionalFormatting>
  <conditionalFormatting sqref="AA3351">
    <cfRule type="cellIs" dxfId="2513" priority="1128" operator="equal">
      <formula>0</formula>
    </cfRule>
  </conditionalFormatting>
  <conditionalFormatting sqref="AE3337">
    <cfRule type="cellIs" dxfId="2512" priority="1134" operator="equal">
      <formula>0</formula>
    </cfRule>
  </conditionalFormatting>
  <conditionalFormatting sqref="AA3347">
    <cfRule type="cellIs" dxfId="2511" priority="1133" operator="equal">
      <formula>0</formula>
    </cfRule>
  </conditionalFormatting>
  <conditionalFormatting sqref="Z3347">
    <cfRule type="cellIs" dxfId="2510" priority="1132" operator="equal">
      <formula>0</formula>
    </cfRule>
  </conditionalFormatting>
  <conditionalFormatting sqref="Y3347:AD3347">
    <cfRule type="cellIs" dxfId="2509" priority="1131" operator="equal">
      <formula>0</formula>
    </cfRule>
  </conditionalFormatting>
  <conditionalFormatting sqref="AE3347:AR3347">
    <cfRule type="cellIs" dxfId="2508" priority="1130" operator="equal">
      <formula>0</formula>
    </cfRule>
  </conditionalFormatting>
  <conditionalFormatting sqref="AE3347:AR3347">
    <cfRule type="cellIs" dxfId="2507" priority="1129" operator="equal">
      <formula>0</formula>
    </cfRule>
  </conditionalFormatting>
  <conditionalFormatting sqref="Z3351">
    <cfRule type="cellIs" dxfId="2506" priority="1127" operator="equal">
      <formula>0</formula>
    </cfRule>
  </conditionalFormatting>
  <conditionalFormatting sqref="Y3351:AD3351">
    <cfRule type="cellIs" dxfId="2505" priority="1126" operator="equal">
      <formula>0</formula>
    </cfRule>
  </conditionalFormatting>
  <conditionalFormatting sqref="AE3351:AR3351">
    <cfRule type="cellIs" dxfId="2504" priority="1125" operator="equal">
      <formula>0</formula>
    </cfRule>
  </conditionalFormatting>
  <conditionalFormatting sqref="AE3351:AR3351">
    <cfRule type="cellIs" dxfId="2503" priority="1124" operator="equal">
      <formula>0</formula>
    </cfRule>
  </conditionalFormatting>
  <conditionalFormatting sqref="AF3337:AQ3337">
    <cfRule type="cellIs" dxfId="2502" priority="1143" operator="equal">
      <formula>0</formula>
    </cfRule>
  </conditionalFormatting>
  <conditionalFormatting sqref="Y3342:AD3342">
    <cfRule type="cellIs" dxfId="2501" priority="1141" operator="lessThan">
      <formula>0</formula>
    </cfRule>
  </conditionalFormatting>
  <conditionalFormatting sqref="AA3342:AA3343">
    <cfRule type="cellIs" dxfId="2500" priority="1140" operator="equal">
      <formula>0</formula>
    </cfRule>
  </conditionalFormatting>
  <conditionalFormatting sqref="Y3343:AD3343 AC3337:AD3337 Y3337 Y3342:AE3342 Z3338:AQ3338 AF3336:AQ3337 Z3339:AE3339">
    <cfRule type="cellIs" dxfId="2499" priority="1138" operator="equal">
      <formula>0</formula>
    </cfRule>
  </conditionalFormatting>
  <conditionalFormatting sqref="AE3343:AR3343">
    <cfRule type="cellIs" dxfId="2498" priority="1137" operator="equal">
      <formula>0</formula>
    </cfRule>
  </conditionalFormatting>
  <conditionalFormatting sqref="AE3343:AR3343">
    <cfRule type="cellIs" dxfId="2497" priority="1136" operator="equal">
      <formula>0</formula>
    </cfRule>
  </conditionalFormatting>
  <conditionalFormatting sqref="Z3337:AB3337">
    <cfRule type="cellIs" dxfId="2496" priority="1135" operator="equal">
      <formula>0</formula>
    </cfRule>
  </conditionalFormatting>
  <conditionalFormatting sqref="Y3339">
    <cfRule type="cellIs" dxfId="2495" priority="1120" operator="equal">
      <formula>0</formula>
    </cfRule>
  </conditionalFormatting>
  <conditionalFormatting sqref="Y3338">
    <cfRule type="cellIs" dxfId="2494" priority="1119" operator="equal">
      <formula>0</formula>
    </cfRule>
  </conditionalFormatting>
  <conditionalFormatting sqref="Y3341">
    <cfRule type="cellIs" dxfId="2493" priority="1111" operator="equal">
      <formula>0</formula>
    </cfRule>
  </conditionalFormatting>
  <conditionalFormatting sqref="AD3340:AD3341">
    <cfRule type="cellIs" dxfId="2492" priority="1118" operator="lessThan">
      <formula>0</formula>
    </cfRule>
  </conditionalFormatting>
  <conditionalFormatting sqref="AG3340:AQ3341">
    <cfRule type="cellIs" dxfId="2491" priority="1115" operator="equal">
      <formula>0</formula>
    </cfRule>
  </conditionalFormatting>
  <conditionalFormatting sqref="Y3340">
    <cfRule type="cellIs" dxfId="2490" priority="1112" operator="equal">
      <formula>0</formula>
    </cfRule>
  </conditionalFormatting>
  <conditionalFormatting sqref="Z3340:Z3341">
    <cfRule type="cellIs" dxfId="2489" priority="1110" operator="equal">
      <formula>0</formula>
    </cfRule>
  </conditionalFormatting>
  <conditionalFormatting sqref="AR3342">
    <cfRule type="cellIs" dxfId="2488" priority="1107" operator="equal">
      <formula>0</formula>
    </cfRule>
  </conditionalFormatting>
  <conditionalFormatting sqref="AR3342">
    <cfRule type="cellIs" dxfId="2487" priority="1106" operator="equal">
      <formula>0</formula>
    </cfRule>
  </conditionalFormatting>
  <conditionalFormatting sqref="AF3342:AQ3342">
    <cfRule type="cellIs" dxfId="2486" priority="1105" operator="equal">
      <formula>0</formula>
    </cfRule>
  </conditionalFormatting>
  <conditionalFormatting sqref="AA3344:AA3345">
    <cfRule type="cellIs" dxfId="2485" priority="1102" operator="equal">
      <formula>0</formula>
    </cfRule>
  </conditionalFormatting>
  <conditionalFormatting sqref="Z3344:AE3345">
    <cfRule type="cellIs" dxfId="2484" priority="1098" operator="equal">
      <formula>0</formula>
    </cfRule>
  </conditionalFormatting>
  <conditionalFormatting sqref="AF3344:AF3345">
    <cfRule type="cellIs" dxfId="2483" priority="1095" operator="equal">
      <formula>0</formula>
    </cfRule>
  </conditionalFormatting>
  <conditionalFormatting sqref="AR3344:AR3345">
    <cfRule type="cellIs" dxfId="2482" priority="1094" operator="equal">
      <formula>0</formula>
    </cfRule>
  </conditionalFormatting>
  <conditionalFormatting sqref="AR3346">
    <cfRule type="cellIs" dxfId="2481" priority="1092" operator="equal">
      <formula>0</formula>
    </cfRule>
  </conditionalFormatting>
  <conditionalFormatting sqref="AR3348:AR3349">
    <cfRule type="cellIs" dxfId="2480" priority="1085" operator="equal">
      <formula>0</formula>
    </cfRule>
  </conditionalFormatting>
  <conditionalFormatting sqref="AF3348:AF3349 AR3348:AR3349">
    <cfRule type="cellIs" dxfId="2479" priority="1084" operator="equal">
      <formula>0</formula>
    </cfRule>
  </conditionalFormatting>
  <conditionalFormatting sqref="Z3348:Z3349">
    <cfRule type="cellIs" dxfId="2478" priority="1088" operator="equal">
      <formula>0</formula>
    </cfRule>
  </conditionalFormatting>
  <conditionalFormatting sqref="AF3348:AF3349">
    <cfRule type="cellIs" dxfId="2477" priority="1086" operator="equal">
      <formula>0</formula>
    </cfRule>
  </conditionalFormatting>
  <conditionalFormatting sqref="AC3348:AD3349">
    <cfRule type="cellIs" dxfId="2476" priority="1089" operator="equal">
      <formula>0</formula>
    </cfRule>
  </conditionalFormatting>
  <conditionalFormatting sqref="Z3348:AD3349">
    <cfRule type="cellIs" dxfId="2475" priority="1087" operator="equal">
      <formula>0</formula>
    </cfRule>
  </conditionalFormatting>
  <conditionalFormatting sqref="AA3348:AA3349">
    <cfRule type="cellIs" dxfId="2474" priority="1090" operator="equal">
      <formula>0</formula>
    </cfRule>
  </conditionalFormatting>
  <conditionalFormatting sqref="Y3349">
    <cfRule type="cellIs" dxfId="2473" priority="1082" operator="equal">
      <formula>0</formula>
    </cfRule>
  </conditionalFormatting>
  <conditionalFormatting sqref="Y3348">
    <cfRule type="cellIs" dxfId="2472" priority="1083" operator="equal">
      <formula>0</formula>
    </cfRule>
  </conditionalFormatting>
  <conditionalFormatting sqref="AE3352:AE3354">
    <cfRule type="cellIs" dxfId="2471" priority="1075" operator="equal">
      <formula>0</formula>
    </cfRule>
  </conditionalFormatting>
  <conditionalFormatting sqref="AR3355">
    <cfRule type="cellIs" dxfId="2470" priority="1081" operator="equal">
      <formula>0</formula>
    </cfRule>
  </conditionalFormatting>
  <conditionalFormatting sqref="AR3352:AR3353">
    <cfRule type="cellIs" dxfId="2469" priority="1070" operator="equal">
      <formula>0</formula>
    </cfRule>
  </conditionalFormatting>
  <conditionalFormatting sqref="AG3355:AQ3355">
    <cfRule type="cellIs" dxfId="2468" priority="1079" operator="equal">
      <formula>0</formula>
    </cfRule>
  </conditionalFormatting>
  <conditionalFormatting sqref="AA3352:AA3354">
    <cfRule type="cellIs" dxfId="2467" priority="1078" operator="equal">
      <formula>0</formula>
    </cfRule>
  </conditionalFormatting>
  <conditionalFormatting sqref="AC3352:AD3354">
    <cfRule type="cellIs" dxfId="2466" priority="1077" operator="equal">
      <formula>0</formula>
    </cfRule>
  </conditionalFormatting>
  <conditionalFormatting sqref="Z3352 Z3354">
    <cfRule type="cellIs" dxfId="2465" priority="1076" operator="equal">
      <formula>0</formula>
    </cfRule>
  </conditionalFormatting>
  <conditionalFormatting sqref="Z3353">
    <cfRule type="cellIs" dxfId="2464" priority="1073" operator="equal">
      <formula>0</formula>
    </cfRule>
  </conditionalFormatting>
  <conditionalFormatting sqref="AF3352:AF3354">
    <cfRule type="cellIs" dxfId="2463" priority="1071" operator="equal">
      <formula>0</formula>
    </cfRule>
  </conditionalFormatting>
  <conditionalFormatting sqref="AF3352:AF3354 AR3352:AR3353">
    <cfRule type="cellIs" dxfId="2462" priority="1069" operator="equal">
      <formula>0</formula>
    </cfRule>
  </conditionalFormatting>
  <conditionalFormatting sqref="Z3352:AE3352 Z3354:AE3354 AA3353:AE3353">
    <cfRule type="cellIs" dxfId="2461" priority="1074" operator="equal">
      <formula>0</formula>
    </cfRule>
  </conditionalFormatting>
  <conditionalFormatting sqref="Z3353">
    <cfRule type="cellIs" dxfId="2460" priority="1072" operator="equal">
      <formula>0</formula>
    </cfRule>
  </conditionalFormatting>
  <conditionalFormatting sqref="AR3355">
    <cfRule type="cellIs" dxfId="2459" priority="1080" operator="equal">
      <formula>0</formula>
    </cfRule>
  </conditionalFormatting>
  <conditionalFormatting sqref="Y3352 Y3354">
    <cfRule type="cellIs" dxfId="2458" priority="1068" operator="equal">
      <formula>0</formula>
    </cfRule>
  </conditionalFormatting>
  <conditionalFormatting sqref="Y3353">
    <cfRule type="cellIs" dxfId="2457" priority="1067" operator="equal">
      <formula>0</formula>
    </cfRule>
  </conditionalFormatting>
  <conditionalFormatting sqref="AR3350">
    <cfRule type="cellIs" dxfId="2456" priority="1065" operator="equal">
      <formula>0</formula>
    </cfRule>
  </conditionalFormatting>
  <conditionalFormatting sqref="AR3350">
    <cfRule type="cellIs" dxfId="2455" priority="1066" operator="equal">
      <formula>0</formula>
    </cfRule>
  </conditionalFormatting>
  <conditionalFormatting sqref="AG3344:AQ3345">
    <cfRule type="cellIs" dxfId="2454" priority="1063" operator="equal">
      <formula>0</formula>
    </cfRule>
  </conditionalFormatting>
  <conditionalFormatting sqref="AG3344:AQ3345">
    <cfRule type="cellIs" dxfId="2453" priority="1064" operator="equal">
      <formula>0</formula>
    </cfRule>
  </conditionalFormatting>
  <conditionalFormatting sqref="AG3346:AQ3346">
    <cfRule type="cellIs" dxfId="2452" priority="1062" operator="equal">
      <formula>0</formula>
    </cfRule>
  </conditionalFormatting>
  <conditionalFormatting sqref="AG3348:AQ3349">
    <cfRule type="cellIs" dxfId="2451" priority="1060" operator="equal">
      <formula>0</formula>
    </cfRule>
  </conditionalFormatting>
  <conditionalFormatting sqref="AG3348:AQ3349">
    <cfRule type="cellIs" dxfId="2450" priority="1061" operator="equal">
      <formula>0</formula>
    </cfRule>
  </conditionalFormatting>
  <conditionalFormatting sqref="AG3350:AQ3350">
    <cfRule type="cellIs" dxfId="2449" priority="1059" operator="equal">
      <formula>0</formula>
    </cfRule>
  </conditionalFormatting>
  <conditionalFormatting sqref="AG3352:AQ3353">
    <cfRule type="cellIs" dxfId="2448" priority="1057" operator="equal">
      <formula>0</formula>
    </cfRule>
  </conditionalFormatting>
  <conditionalFormatting sqref="AG3352:AQ3353">
    <cfRule type="cellIs" dxfId="2447" priority="1058" operator="equal">
      <formula>0</formula>
    </cfRule>
  </conditionalFormatting>
  <conditionalFormatting sqref="AG3354:AO3354">
    <cfRule type="cellIs" dxfId="2446" priority="1056" operator="equal">
      <formula>0</formula>
    </cfRule>
  </conditionalFormatting>
  <conditionalFormatting sqref="AE3348:AE3349">
    <cfRule type="cellIs" dxfId="2445" priority="1055" operator="equal">
      <formula>0</formula>
    </cfRule>
  </conditionalFormatting>
  <conditionalFormatting sqref="AE3348:AE3349">
    <cfRule type="cellIs" dxfId="2444" priority="1054" operator="equal">
      <formula>0</formula>
    </cfRule>
  </conditionalFormatting>
  <conditionalFormatting sqref="AR3354">
    <cfRule type="cellIs" dxfId="2443" priority="1053" operator="equal">
      <formula>0</formula>
    </cfRule>
  </conditionalFormatting>
  <conditionalFormatting sqref="AR3354">
    <cfRule type="cellIs" dxfId="2442" priority="1052" operator="equal">
      <formula>0</formula>
    </cfRule>
  </conditionalFormatting>
  <conditionalFormatting sqref="AP3354:AQ3354">
    <cfRule type="cellIs" dxfId="2441" priority="1050" operator="equal">
      <formula>0</formula>
    </cfRule>
  </conditionalFormatting>
  <conditionalFormatting sqref="AP3354:AQ3354">
    <cfRule type="cellIs" dxfId="2440" priority="1051" operator="equal">
      <formula>0</formula>
    </cfRule>
  </conditionalFormatting>
  <conditionalFormatting sqref="AJ3339">
    <cfRule type="cellIs" dxfId="2439" priority="1049" operator="equal">
      <formula>0</formula>
    </cfRule>
  </conditionalFormatting>
  <conditionalFormatting sqref="Z3346">
    <cfRule type="cellIs" dxfId="2438" priority="1046" operator="equal">
      <formula>0</formula>
    </cfRule>
  </conditionalFormatting>
  <conditionalFormatting sqref="Y3346:AD3346">
    <cfRule type="cellIs" dxfId="2437" priority="1048" operator="lessThan">
      <formula>0</formula>
    </cfRule>
  </conditionalFormatting>
  <conditionalFormatting sqref="AA3346">
    <cfRule type="cellIs" dxfId="2436" priority="1047" operator="equal">
      <formula>0</formula>
    </cfRule>
  </conditionalFormatting>
  <conditionalFormatting sqref="Y3346:AE3346">
    <cfRule type="cellIs" dxfId="2435" priority="1045" operator="equal">
      <formula>0</formula>
    </cfRule>
  </conditionalFormatting>
  <conditionalFormatting sqref="AF3346">
    <cfRule type="cellIs" dxfId="2434" priority="1044" operator="equal">
      <formula>0</formula>
    </cfRule>
  </conditionalFormatting>
  <conditionalFormatting sqref="Z3350">
    <cfRule type="cellIs" dxfId="2433" priority="1041" operator="equal">
      <formula>0</formula>
    </cfRule>
  </conditionalFormatting>
  <conditionalFormatting sqref="Y3350:AD3350">
    <cfRule type="cellIs" dxfId="2432" priority="1043" operator="lessThan">
      <formula>0</formula>
    </cfRule>
  </conditionalFormatting>
  <conditionalFormatting sqref="AA3350">
    <cfRule type="cellIs" dxfId="2431" priority="1042" operator="equal">
      <formula>0</formula>
    </cfRule>
  </conditionalFormatting>
  <conditionalFormatting sqref="Y3350:AE3350">
    <cfRule type="cellIs" dxfId="2430" priority="1040" operator="equal">
      <formula>0</formula>
    </cfRule>
  </conditionalFormatting>
  <conditionalFormatting sqref="AF3350">
    <cfRule type="cellIs" dxfId="2429" priority="1039" operator="equal">
      <formula>0</formula>
    </cfRule>
  </conditionalFormatting>
  <conditionalFormatting sqref="Z3355">
    <cfRule type="cellIs" dxfId="2428" priority="1036" operator="equal">
      <formula>0</formula>
    </cfRule>
  </conditionalFormatting>
  <conditionalFormatting sqref="Y3355:AD3355">
    <cfRule type="cellIs" dxfId="2427" priority="1038" operator="lessThan">
      <formula>0</formula>
    </cfRule>
  </conditionalFormatting>
  <conditionalFormatting sqref="AA3355">
    <cfRule type="cellIs" dxfId="2426" priority="1037" operator="equal">
      <formula>0</formula>
    </cfRule>
  </conditionalFormatting>
  <conditionalFormatting sqref="Y3355:AE3355">
    <cfRule type="cellIs" dxfId="2425" priority="1035" operator="equal">
      <formula>0</formula>
    </cfRule>
  </conditionalFormatting>
  <conditionalFormatting sqref="AF3355">
    <cfRule type="cellIs" dxfId="2424" priority="1034" operator="equal">
      <formula>0</formula>
    </cfRule>
  </conditionalFormatting>
  <conditionalFormatting sqref="Y3336">
    <cfRule type="cellIs" dxfId="2423" priority="1033" operator="equal">
      <formula>0</formula>
    </cfRule>
  </conditionalFormatting>
  <conditionalFormatting sqref="B1107:H1107">
    <cfRule type="cellIs" dxfId="2422" priority="1032" operator="equal">
      <formula>0</formula>
    </cfRule>
  </conditionalFormatting>
  <conditionalFormatting sqref="U1107">
    <cfRule type="cellIs" dxfId="2421" priority="1031" operator="equal">
      <formula>0</formula>
    </cfRule>
  </conditionalFormatting>
  <conditionalFormatting sqref="I1107:U1107">
    <cfRule type="cellIs" dxfId="2420" priority="1030" operator="equal">
      <formula>0</formula>
    </cfRule>
  </conditionalFormatting>
  <conditionalFormatting sqref="U1107">
    <cfRule type="cellIs" dxfId="2419" priority="1029" operator="equal">
      <formula>0</formula>
    </cfRule>
  </conditionalFormatting>
  <conditionalFormatting sqref="N1090:T1090 I1090:L1090">
    <cfRule type="cellIs" dxfId="2418" priority="1028" operator="equal">
      <formula>0</formula>
    </cfRule>
  </conditionalFormatting>
  <conditionalFormatting sqref="U1089:U1090">
    <cfRule type="cellIs" dxfId="2417" priority="1006" operator="equal">
      <formula>0</formula>
    </cfRule>
  </conditionalFormatting>
  <conditionalFormatting sqref="U1088">
    <cfRule type="cellIs" dxfId="2416" priority="1005" operator="equal">
      <formula>0</formula>
    </cfRule>
  </conditionalFormatting>
  <conditionalFormatting sqref="U1087:U1088">
    <cfRule type="cellIs" dxfId="2415" priority="1004" operator="equal">
      <formula>0</formula>
    </cfRule>
  </conditionalFormatting>
  <conditionalFormatting sqref="D1091:D1092">
    <cfRule type="cellIs" dxfId="2414" priority="1000" operator="equal">
      <formula>0</formula>
    </cfRule>
  </conditionalFormatting>
  <conditionalFormatting sqref="U1091:U1092">
    <cfRule type="cellIs" dxfId="2413" priority="997" operator="equal">
      <formula>0</formula>
    </cfRule>
  </conditionalFormatting>
  <conditionalFormatting sqref="H1091:H1092">
    <cfRule type="cellIs" dxfId="2412" priority="999" operator="equal">
      <formula>0</formula>
    </cfRule>
  </conditionalFormatting>
  <conditionalFormatting sqref="D1091:H1092 J1091:U1092">
    <cfRule type="cellIs" dxfId="2411" priority="996" operator="equal">
      <formula>0</formula>
    </cfRule>
  </conditionalFormatting>
  <conditionalFormatting sqref="I1091:I1092">
    <cfRule type="cellIs" dxfId="2410" priority="987" operator="equal">
      <formula>0</formula>
    </cfRule>
  </conditionalFormatting>
  <conditionalFormatting sqref="F1095:G1096">
    <cfRule type="cellIs" dxfId="2409" priority="984" operator="equal">
      <formula>0</formula>
    </cfRule>
  </conditionalFormatting>
  <conditionalFormatting sqref="C1095:C1096">
    <cfRule type="cellIs" dxfId="2408" priority="983" operator="equal">
      <formula>0</formula>
    </cfRule>
  </conditionalFormatting>
  <conditionalFormatting sqref="H1095:H1096">
    <cfRule type="cellIs" dxfId="2407" priority="982" operator="equal">
      <formula>0</formula>
    </cfRule>
  </conditionalFormatting>
  <conditionalFormatting sqref="C1091:C1092">
    <cfRule type="cellIs" dxfId="2406" priority="991" operator="equal">
      <formula>0</formula>
    </cfRule>
  </conditionalFormatting>
  <conditionalFormatting sqref="C1092">
    <cfRule type="cellIs" dxfId="2405" priority="992" operator="equal">
      <formula>0</formula>
    </cfRule>
  </conditionalFormatting>
  <conditionalFormatting sqref="I1091:I1092">
    <cfRule type="cellIs" dxfId="2404" priority="986" operator="equal">
      <formula>0</formula>
    </cfRule>
  </conditionalFormatting>
  <conditionalFormatting sqref="I1095:I1096 U1095:U1096">
    <cfRule type="cellIs" dxfId="2403" priority="976" operator="equal">
      <formula>0</formula>
    </cfRule>
  </conditionalFormatting>
  <conditionalFormatting sqref="B1095">
    <cfRule type="cellIs" dxfId="2402" priority="980" operator="equal">
      <formula>0</formula>
    </cfRule>
  </conditionalFormatting>
  <conditionalFormatting sqref="B1096">
    <cfRule type="cellIs" dxfId="2401" priority="979" operator="equal">
      <formula>0</formula>
    </cfRule>
  </conditionalFormatting>
  <conditionalFormatting sqref="U1097">
    <cfRule type="cellIs" dxfId="2400" priority="974" operator="equal">
      <formula>0</formula>
    </cfRule>
  </conditionalFormatting>
  <conditionalFormatting sqref="C1087:G1087">
    <cfRule type="cellIs" dxfId="2399" priority="1027" operator="equal">
      <formula>0</formula>
    </cfRule>
  </conditionalFormatting>
  <conditionalFormatting sqref="H1089:H1090">
    <cfRule type="cellIs" dxfId="2398" priority="1025" operator="equal">
      <formula>0</formula>
    </cfRule>
  </conditionalFormatting>
  <conditionalFormatting sqref="C1093:C1094">
    <cfRule type="cellIs" dxfId="2397" priority="1022" operator="equal">
      <formula>0</formula>
    </cfRule>
  </conditionalFormatting>
  <conditionalFormatting sqref="D1102">
    <cfRule type="cellIs" dxfId="2396" priority="1011" operator="equal">
      <formula>0</formula>
    </cfRule>
  </conditionalFormatting>
  <conditionalFormatting sqref="H1088">
    <cfRule type="cellIs" dxfId="2395" priority="1017" operator="equal">
      <formula>0</formula>
    </cfRule>
  </conditionalFormatting>
  <conditionalFormatting sqref="D1098">
    <cfRule type="cellIs" dxfId="2394" priority="1016" operator="equal">
      <formula>0</formula>
    </cfRule>
  </conditionalFormatting>
  <conditionalFormatting sqref="C1098">
    <cfRule type="cellIs" dxfId="2393" priority="1015" operator="equal">
      <formula>0</formula>
    </cfRule>
  </conditionalFormatting>
  <conditionalFormatting sqref="B1098:G1098">
    <cfRule type="cellIs" dxfId="2392" priority="1014" operator="equal">
      <formula>0</formula>
    </cfRule>
  </conditionalFormatting>
  <conditionalFormatting sqref="H1098:U1098">
    <cfRule type="cellIs" dxfId="2391" priority="1013" operator="equal">
      <formula>0</formula>
    </cfRule>
  </conditionalFormatting>
  <conditionalFormatting sqref="H1098:U1098">
    <cfRule type="cellIs" dxfId="2390" priority="1012" operator="equal">
      <formula>0</formula>
    </cfRule>
  </conditionalFormatting>
  <conditionalFormatting sqref="C1102">
    <cfRule type="cellIs" dxfId="2389" priority="1010" operator="equal">
      <formula>0</formula>
    </cfRule>
  </conditionalFormatting>
  <conditionalFormatting sqref="B1102:G1102">
    <cfRule type="cellIs" dxfId="2388" priority="1009" operator="equal">
      <formula>0</formula>
    </cfRule>
  </conditionalFormatting>
  <conditionalFormatting sqref="H1102:U1102">
    <cfRule type="cellIs" dxfId="2387" priority="1008" operator="equal">
      <formula>0</formula>
    </cfRule>
  </conditionalFormatting>
  <conditionalFormatting sqref="H1102:U1102">
    <cfRule type="cellIs" dxfId="2386" priority="1007" operator="equal">
      <formula>0</formula>
    </cfRule>
  </conditionalFormatting>
  <conditionalFormatting sqref="I1088:T1088">
    <cfRule type="cellIs" dxfId="2385" priority="1026" operator="equal">
      <formula>0</formula>
    </cfRule>
  </conditionalFormatting>
  <conditionalFormatting sqref="B1093:G1093">
    <cfRule type="cellIs" dxfId="2384" priority="1024" operator="lessThan">
      <formula>0</formula>
    </cfRule>
  </conditionalFormatting>
  <conditionalFormatting sqref="D1093:D1094">
    <cfRule type="cellIs" dxfId="2383" priority="1023" operator="equal">
      <formula>0</formula>
    </cfRule>
  </conditionalFormatting>
  <conditionalFormatting sqref="B1094:G1094 F1088:G1088 B1088 B1093:H1093 C1089:T1089 I1087:T1088 C1090:H1090">
    <cfRule type="cellIs" dxfId="2382" priority="1021" operator="equal">
      <formula>0</formula>
    </cfRule>
  </conditionalFormatting>
  <conditionalFormatting sqref="H1094:U1094">
    <cfRule type="cellIs" dxfId="2381" priority="1020" operator="equal">
      <formula>0</formula>
    </cfRule>
  </conditionalFormatting>
  <conditionalFormatting sqref="H1094:U1094">
    <cfRule type="cellIs" dxfId="2380" priority="1019" operator="equal">
      <formula>0</formula>
    </cfRule>
  </conditionalFormatting>
  <conditionalFormatting sqref="C1088:E1088">
    <cfRule type="cellIs" dxfId="2379" priority="1018" operator="equal">
      <formula>0</formula>
    </cfRule>
  </conditionalFormatting>
  <conditionalFormatting sqref="B1090">
    <cfRule type="cellIs" dxfId="2378" priority="1003" operator="equal">
      <formula>0</formula>
    </cfRule>
  </conditionalFormatting>
  <conditionalFormatting sqref="B1089">
    <cfRule type="cellIs" dxfId="2377" priority="1002" operator="equal">
      <formula>0</formula>
    </cfRule>
  </conditionalFormatting>
  <conditionalFormatting sqref="B1092">
    <cfRule type="cellIs" dxfId="2376" priority="994" operator="equal">
      <formula>0</formula>
    </cfRule>
  </conditionalFormatting>
  <conditionalFormatting sqref="G1091:G1092">
    <cfRule type="cellIs" dxfId="2375" priority="1001" operator="lessThan">
      <formula>0</formula>
    </cfRule>
  </conditionalFormatting>
  <conditionalFormatting sqref="J1091:T1092">
    <cfRule type="cellIs" dxfId="2374" priority="998" operator="equal">
      <formula>0</formula>
    </cfRule>
  </conditionalFormatting>
  <conditionalFormatting sqref="B1091">
    <cfRule type="cellIs" dxfId="2373" priority="995" operator="equal">
      <formula>0</formula>
    </cfRule>
  </conditionalFormatting>
  <conditionalFormatting sqref="C1091:C1092">
    <cfRule type="cellIs" dxfId="2372" priority="993" operator="equal">
      <formula>0</formula>
    </cfRule>
  </conditionalFormatting>
  <conditionalFormatting sqref="U1093">
    <cfRule type="cellIs" dxfId="2371" priority="990" operator="equal">
      <formula>0</formula>
    </cfRule>
  </conditionalFormatting>
  <conditionalFormatting sqref="U1093">
    <cfRule type="cellIs" dxfId="2370" priority="989" operator="equal">
      <formula>0</formula>
    </cfRule>
  </conditionalFormatting>
  <conditionalFormatting sqref="I1093:T1093">
    <cfRule type="cellIs" dxfId="2369" priority="988" operator="equal">
      <formula>0</formula>
    </cfRule>
  </conditionalFormatting>
  <conditionalFormatting sqref="D1095:D1096">
    <cfRule type="cellIs" dxfId="2368" priority="985" operator="equal">
      <formula>0</formula>
    </cfRule>
  </conditionalFormatting>
  <conditionalFormatting sqref="C1095:H1096">
    <cfRule type="cellIs" dxfId="2367" priority="981" operator="equal">
      <formula>0</formula>
    </cfRule>
  </conditionalFormatting>
  <conditionalFormatting sqref="I1095:I1096">
    <cfRule type="cellIs" dxfId="2366" priority="978" operator="equal">
      <formula>0</formula>
    </cfRule>
  </conditionalFormatting>
  <conditionalFormatting sqref="U1095:U1096">
    <cfRule type="cellIs" dxfId="2365" priority="977" operator="equal">
      <formula>0</formula>
    </cfRule>
  </conditionalFormatting>
  <conditionalFormatting sqref="U1097">
    <cfRule type="cellIs" dxfId="2364" priority="975" operator="equal">
      <formula>0</formula>
    </cfRule>
  </conditionalFormatting>
  <conditionalFormatting sqref="U1099:U1100">
    <cfRule type="cellIs" dxfId="2363" priority="968" operator="equal">
      <formula>0</formula>
    </cfRule>
  </conditionalFormatting>
  <conditionalFormatting sqref="I1099:I1100 U1099:U1100">
    <cfRule type="cellIs" dxfId="2362" priority="967" operator="equal">
      <formula>0</formula>
    </cfRule>
  </conditionalFormatting>
  <conditionalFormatting sqref="C1099:C1100">
    <cfRule type="cellIs" dxfId="2361" priority="971" operator="equal">
      <formula>0</formula>
    </cfRule>
  </conditionalFormatting>
  <conditionalFormatting sqref="I1099:I1100">
    <cfRule type="cellIs" dxfId="2360" priority="969" operator="equal">
      <formula>0</formula>
    </cfRule>
  </conditionalFormatting>
  <conditionalFormatting sqref="F1099:G1100">
    <cfRule type="cellIs" dxfId="2359" priority="972" operator="equal">
      <formula>0</formula>
    </cfRule>
  </conditionalFormatting>
  <conditionalFormatting sqref="C1099:G1100">
    <cfRule type="cellIs" dxfId="2358" priority="970" operator="equal">
      <formula>0</formula>
    </cfRule>
  </conditionalFormatting>
  <conditionalFormatting sqref="D1099:D1100">
    <cfRule type="cellIs" dxfId="2357" priority="973" operator="equal">
      <formula>0</formula>
    </cfRule>
  </conditionalFormatting>
  <conditionalFormatting sqref="B1100">
    <cfRule type="cellIs" dxfId="2356" priority="965" operator="equal">
      <formula>0</formula>
    </cfRule>
  </conditionalFormatting>
  <conditionalFormatting sqref="B1099">
    <cfRule type="cellIs" dxfId="2355" priority="966" operator="equal">
      <formula>0</formula>
    </cfRule>
  </conditionalFormatting>
  <conditionalFormatting sqref="H1103:H1105">
    <cfRule type="cellIs" dxfId="2354" priority="958" operator="equal">
      <formula>0</formula>
    </cfRule>
  </conditionalFormatting>
  <conditionalFormatting sqref="U1106">
    <cfRule type="cellIs" dxfId="2353" priority="964" operator="equal">
      <formula>0</formula>
    </cfRule>
  </conditionalFormatting>
  <conditionalFormatting sqref="U1103:U1104">
    <cfRule type="cellIs" dxfId="2352" priority="953" operator="equal">
      <formula>0</formula>
    </cfRule>
  </conditionalFormatting>
  <conditionalFormatting sqref="J1106:T1106">
    <cfRule type="cellIs" dxfId="2351" priority="962" operator="equal">
      <formula>0</formula>
    </cfRule>
  </conditionalFormatting>
  <conditionalFormatting sqref="D1103:D1105">
    <cfRule type="cellIs" dxfId="2350" priority="961" operator="equal">
      <formula>0</formula>
    </cfRule>
  </conditionalFormatting>
  <conditionalFormatting sqref="F1103:G1105">
    <cfRule type="cellIs" dxfId="2349" priority="960" operator="equal">
      <formula>0</formula>
    </cfRule>
  </conditionalFormatting>
  <conditionalFormatting sqref="C1103 C1105">
    <cfRule type="cellIs" dxfId="2348" priority="959" operator="equal">
      <formula>0</formula>
    </cfRule>
  </conditionalFormatting>
  <conditionalFormatting sqref="C1104">
    <cfRule type="cellIs" dxfId="2347" priority="956" operator="equal">
      <formula>0</formula>
    </cfRule>
  </conditionalFormatting>
  <conditionalFormatting sqref="I1103:I1105">
    <cfRule type="cellIs" dxfId="2346" priority="954" operator="equal">
      <formula>0</formula>
    </cfRule>
  </conditionalFormatting>
  <conditionalFormatting sqref="I1103:I1105 U1103:U1104">
    <cfRule type="cellIs" dxfId="2345" priority="952" operator="equal">
      <formula>0</formula>
    </cfRule>
  </conditionalFormatting>
  <conditionalFormatting sqref="C1103:H1103 C1105:H1105 D1104:H1104">
    <cfRule type="cellIs" dxfId="2344" priority="957" operator="equal">
      <formula>0</formula>
    </cfRule>
  </conditionalFormatting>
  <conditionalFormatting sqref="C1104">
    <cfRule type="cellIs" dxfId="2343" priority="955" operator="equal">
      <formula>0</formula>
    </cfRule>
  </conditionalFormatting>
  <conditionalFormatting sqref="U1106">
    <cfRule type="cellIs" dxfId="2342" priority="963" operator="equal">
      <formula>0</formula>
    </cfRule>
  </conditionalFormatting>
  <conditionalFormatting sqref="B1103 B1105">
    <cfRule type="cellIs" dxfId="2341" priority="951" operator="equal">
      <formula>0</formula>
    </cfRule>
  </conditionalFormatting>
  <conditionalFormatting sqref="B1104">
    <cfRule type="cellIs" dxfId="2340" priority="950" operator="equal">
      <formula>0</formula>
    </cfRule>
  </conditionalFormatting>
  <conditionalFormatting sqref="U1101">
    <cfRule type="cellIs" dxfId="2339" priority="948" operator="equal">
      <formula>0</formula>
    </cfRule>
  </conditionalFormatting>
  <conditionalFormatting sqref="U1101">
    <cfRule type="cellIs" dxfId="2338" priority="949" operator="equal">
      <formula>0</formula>
    </cfRule>
  </conditionalFormatting>
  <conditionalFormatting sqref="J1095:T1096">
    <cfRule type="cellIs" dxfId="2337" priority="946" operator="equal">
      <formula>0</formula>
    </cfRule>
  </conditionalFormatting>
  <conditionalFormatting sqref="J1095:T1096">
    <cfRule type="cellIs" dxfId="2336" priority="947" operator="equal">
      <formula>0</formula>
    </cfRule>
  </conditionalFormatting>
  <conditionalFormatting sqref="J1097:T1097">
    <cfRule type="cellIs" dxfId="2335" priority="945" operator="equal">
      <formula>0</formula>
    </cfRule>
  </conditionalFormatting>
  <conditionalFormatting sqref="J1099:T1100">
    <cfRule type="cellIs" dxfId="2334" priority="943" operator="equal">
      <formula>0</formula>
    </cfRule>
  </conditionalFormatting>
  <conditionalFormatting sqref="J1099:T1100">
    <cfRule type="cellIs" dxfId="2333" priority="944" operator="equal">
      <formula>0</formula>
    </cfRule>
  </conditionalFormatting>
  <conditionalFormatting sqref="J1101:T1101">
    <cfRule type="cellIs" dxfId="2332" priority="942" operator="equal">
      <formula>0</formula>
    </cfRule>
  </conditionalFormatting>
  <conditionalFormatting sqref="J1103:T1104">
    <cfRule type="cellIs" dxfId="2331" priority="940" operator="equal">
      <formula>0</formula>
    </cfRule>
  </conditionalFormatting>
  <conditionalFormatting sqref="J1103:T1104">
    <cfRule type="cellIs" dxfId="2330" priority="941" operator="equal">
      <formula>0</formula>
    </cfRule>
  </conditionalFormatting>
  <conditionalFormatting sqref="J1105:R1105">
    <cfRule type="cellIs" dxfId="2329" priority="939" operator="equal">
      <formula>0</formula>
    </cfRule>
  </conditionalFormatting>
  <conditionalFormatting sqref="H1099:H1100">
    <cfRule type="cellIs" dxfId="2328" priority="938" operator="equal">
      <formula>0</formula>
    </cfRule>
  </conditionalFormatting>
  <conditionalFormatting sqref="H1099:H1100">
    <cfRule type="cellIs" dxfId="2327" priority="937" operator="equal">
      <formula>0</formula>
    </cfRule>
  </conditionalFormatting>
  <conditionalFormatting sqref="U1105">
    <cfRule type="cellIs" dxfId="2326" priority="936" operator="equal">
      <formula>0</formula>
    </cfRule>
  </conditionalFormatting>
  <conditionalFormatting sqref="U1105">
    <cfRule type="cellIs" dxfId="2325" priority="935" operator="equal">
      <formula>0</formula>
    </cfRule>
  </conditionalFormatting>
  <conditionalFormatting sqref="S1105:T1105">
    <cfRule type="cellIs" dxfId="2324" priority="933" operator="equal">
      <formula>0</formula>
    </cfRule>
  </conditionalFormatting>
  <conditionalFormatting sqref="S1105:T1105">
    <cfRule type="cellIs" dxfId="2323" priority="934" operator="equal">
      <formula>0</formula>
    </cfRule>
  </conditionalFormatting>
  <conditionalFormatting sqref="M1090">
    <cfRule type="cellIs" dxfId="2322" priority="932" operator="equal">
      <formula>0</formula>
    </cfRule>
  </conditionalFormatting>
  <conditionalFormatting sqref="C1097">
    <cfRule type="cellIs" dxfId="2321" priority="929" operator="equal">
      <formula>0</formula>
    </cfRule>
  </conditionalFormatting>
  <conditionalFormatting sqref="B1097:G1097">
    <cfRule type="cellIs" dxfId="2320" priority="931" operator="lessThan">
      <formula>0</formula>
    </cfRule>
  </conditionalFormatting>
  <conditionalFormatting sqref="D1097">
    <cfRule type="cellIs" dxfId="2319" priority="930" operator="equal">
      <formula>0</formula>
    </cfRule>
  </conditionalFormatting>
  <conditionalFormatting sqref="B1097:H1097">
    <cfRule type="cellIs" dxfId="2318" priority="928" operator="equal">
      <formula>0</formula>
    </cfRule>
  </conditionalFormatting>
  <conditionalFormatting sqref="I1097">
    <cfRule type="cellIs" dxfId="2317" priority="927" operator="equal">
      <formula>0</formula>
    </cfRule>
  </conditionalFormatting>
  <conditionalFormatting sqref="C1101">
    <cfRule type="cellIs" dxfId="2316" priority="924" operator="equal">
      <formula>0</formula>
    </cfRule>
  </conditionalFormatting>
  <conditionalFormatting sqref="B1101:G1101">
    <cfRule type="cellIs" dxfId="2315" priority="926" operator="lessThan">
      <formula>0</formula>
    </cfRule>
  </conditionalFormatting>
  <conditionalFormatting sqref="D1101">
    <cfRule type="cellIs" dxfId="2314" priority="925" operator="equal">
      <formula>0</formula>
    </cfRule>
  </conditionalFormatting>
  <conditionalFormatting sqref="B1101:H1101">
    <cfRule type="cellIs" dxfId="2313" priority="923" operator="equal">
      <formula>0</formula>
    </cfRule>
  </conditionalFormatting>
  <conditionalFormatting sqref="I1101">
    <cfRule type="cellIs" dxfId="2312" priority="922" operator="equal">
      <formula>0</formula>
    </cfRule>
  </conditionalFormatting>
  <conditionalFormatting sqref="C1106">
    <cfRule type="cellIs" dxfId="2311" priority="919" operator="equal">
      <formula>0</formula>
    </cfRule>
  </conditionalFormatting>
  <conditionalFormatting sqref="B1106:G1106">
    <cfRule type="cellIs" dxfId="2310" priority="921" operator="lessThan">
      <formula>0</formula>
    </cfRule>
  </conditionalFormatting>
  <conditionalFormatting sqref="D1106">
    <cfRule type="cellIs" dxfId="2309" priority="920" operator="equal">
      <formula>0</formula>
    </cfRule>
  </conditionalFormatting>
  <conditionalFormatting sqref="B1106:H1106">
    <cfRule type="cellIs" dxfId="2308" priority="918" operator="equal">
      <formula>0</formula>
    </cfRule>
  </conditionalFormatting>
  <conditionalFormatting sqref="I1106">
    <cfRule type="cellIs" dxfId="2307" priority="917" operator="equal">
      <formula>0</formula>
    </cfRule>
  </conditionalFormatting>
  <conditionalFormatting sqref="B1087">
    <cfRule type="cellIs" dxfId="2306" priority="916" operator="equal">
      <formula>0</formula>
    </cfRule>
  </conditionalFormatting>
  <conditionalFormatting sqref="B1130:H1130">
    <cfRule type="cellIs" dxfId="2305" priority="915" operator="equal">
      <formula>0</formula>
    </cfRule>
  </conditionalFormatting>
  <conditionalFormatting sqref="U1130">
    <cfRule type="cellIs" dxfId="2304" priority="914" operator="equal">
      <formula>0</formula>
    </cfRule>
  </conditionalFormatting>
  <conditionalFormatting sqref="I1130:U1130">
    <cfRule type="cellIs" dxfId="2303" priority="913" operator="equal">
      <formula>0</formula>
    </cfRule>
  </conditionalFormatting>
  <conditionalFormatting sqref="U1130">
    <cfRule type="cellIs" dxfId="2302" priority="912" operator="equal">
      <formula>0</formula>
    </cfRule>
  </conditionalFormatting>
  <conditionalFormatting sqref="N1113:T1113 I1113:L1113">
    <cfRule type="cellIs" dxfId="2301" priority="911" operator="equal">
      <formula>0</formula>
    </cfRule>
  </conditionalFormatting>
  <conditionalFormatting sqref="U1112:U1113">
    <cfRule type="cellIs" dxfId="2300" priority="889" operator="equal">
      <formula>0</formula>
    </cfRule>
  </conditionalFormatting>
  <conditionalFormatting sqref="U1111">
    <cfRule type="cellIs" dxfId="2299" priority="888" operator="equal">
      <formula>0</formula>
    </cfRule>
  </conditionalFormatting>
  <conditionalFormatting sqref="U1110:U1111">
    <cfRule type="cellIs" dxfId="2298" priority="887" operator="equal">
      <formula>0</formula>
    </cfRule>
  </conditionalFormatting>
  <conditionalFormatting sqref="D1114:D1115">
    <cfRule type="cellIs" dxfId="2297" priority="883" operator="equal">
      <formula>0</formula>
    </cfRule>
  </conditionalFormatting>
  <conditionalFormatting sqref="U1114:U1115">
    <cfRule type="cellIs" dxfId="2296" priority="880" operator="equal">
      <formula>0</formula>
    </cfRule>
  </conditionalFormatting>
  <conditionalFormatting sqref="H1114:H1115">
    <cfRule type="cellIs" dxfId="2295" priority="882" operator="equal">
      <formula>0</formula>
    </cfRule>
  </conditionalFormatting>
  <conditionalFormatting sqref="D1114:H1115 J1114:U1115">
    <cfRule type="cellIs" dxfId="2294" priority="879" operator="equal">
      <formula>0</formula>
    </cfRule>
  </conditionalFormatting>
  <conditionalFormatting sqref="I1114:I1115">
    <cfRule type="cellIs" dxfId="2293" priority="870" operator="equal">
      <formula>0</formula>
    </cfRule>
  </conditionalFormatting>
  <conditionalFormatting sqref="F1118:G1119">
    <cfRule type="cellIs" dxfId="2292" priority="867" operator="equal">
      <formula>0</formula>
    </cfRule>
  </conditionalFormatting>
  <conditionalFormatting sqref="C1118:C1119">
    <cfRule type="cellIs" dxfId="2291" priority="866" operator="equal">
      <formula>0</formula>
    </cfRule>
  </conditionalFormatting>
  <conditionalFormatting sqref="H1118:H1119">
    <cfRule type="cellIs" dxfId="2290" priority="865" operator="equal">
      <formula>0</formula>
    </cfRule>
  </conditionalFormatting>
  <conditionalFormatting sqref="C1114:C1115">
    <cfRule type="cellIs" dxfId="2289" priority="874" operator="equal">
      <formula>0</formula>
    </cfRule>
  </conditionalFormatting>
  <conditionalFormatting sqref="C1115">
    <cfRule type="cellIs" dxfId="2288" priority="875" operator="equal">
      <formula>0</formula>
    </cfRule>
  </conditionalFormatting>
  <conditionalFormatting sqref="I1114:I1115">
    <cfRule type="cellIs" dxfId="2287" priority="869" operator="equal">
      <formula>0</formula>
    </cfRule>
  </conditionalFormatting>
  <conditionalFormatting sqref="I1118:I1119 U1118:U1119">
    <cfRule type="cellIs" dxfId="2286" priority="859" operator="equal">
      <formula>0</formula>
    </cfRule>
  </conditionalFormatting>
  <conditionalFormatting sqref="B1118">
    <cfRule type="cellIs" dxfId="2285" priority="863" operator="equal">
      <formula>0</formula>
    </cfRule>
  </conditionalFormatting>
  <conditionalFormatting sqref="B1119">
    <cfRule type="cellIs" dxfId="2284" priority="862" operator="equal">
      <formula>0</formula>
    </cfRule>
  </conditionalFormatting>
  <conditionalFormatting sqref="U1120">
    <cfRule type="cellIs" dxfId="2283" priority="857" operator="equal">
      <formula>0</formula>
    </cfRule>
  </conditionalFormatting>
  <conditionalFormatting sqref="C1110:G1110">
    <cfRule type="cellIs" dxfId="2282" priority="910" operator="equal">
      <formula>0</formula>
    </cfRule>
  </conditionalFormatting>
  <conditionalFormatting sqref="H1112:H1113">
    <cfRule type="cellIs" dxfId="2281" priority="908" operator="equal">
      <formula>0</formula>
    </cfRule>
  </conditionalFormatting>
  <conditionalFormatting sqref="C1116:C1117">
    <cfRule type="cellIs" dxfId="2280" priority="905" operator="equal">
      <formula>0</formula>
    </cfRule>
  </conditionalFormatting>
  <conditionalFormatting sqref="D1125">
    <cfRule type="cellIs" dxfId="2279" priority="894" operator="equal">
      <formula>0</formula>
    </cfRule>
  </conditionalFormatting>
  <conditionalFormatting sqref="H1111">
    <cfRule type="cellIs" dxfId="2278" priority="900" operator="equal">
      <formula>0</formula>
    </cfRule>
  </conditionalFormatting>
  <conditionalFormatting sqref="D1121">
    <cfRule type="cellIs" dxfId="2277" priority="899" operator="equal">
      <formula>0</formula>
    </cfRule>
  </conditionalFormatting>
  <conditionalFormatting sqref="C1121">
    <cfRule type="cellIs" dxfId="2276" priority="898" operator="equal">
      <formula>0</formula>
    </cfRule>
  </conditionalFormatting>
  <conditionalFormatting sqref="B1121:G1121">
    <cfRule type="cellIs" dxfId="2275" priority="897" operator="equal">
      <formula>0</formula>
    </cfRule>
  </conditionalFormatting>
  <conditionalFormatting sqref="H1121:U1121">
    <cfRule type="cellIs" dxfId="2274" priority="896" operator="equal">
      <formula>0</formula>
    </cfRule>
  </conditionalFormatting>
  <conditionalFormatting sqref="H1121:U1121">
    <cfRule type="cellIs" dxfId="2273" priority="895" operator="equal">
      <formula>0</formula>
    </cfRule>
  </conditionalFormatting>
  <conditionalFormatting sqref="C1125">
    <cfRule type="cellIs" dxfId="2272" priority="893" operator="equal">
      <formula>0</formula>
    </cfRule>
  </conditionalFormatting>
  <conditionalFormatting sqref="B1125:G1125">
    <cfRule type="cellIs" dxfId="2271" priority="892" operator="equal">
      <formula>0</formula>
    </cfRule>
  </conditionalFormatting>
  <conditionalFormatting sqref="H1125:U1125">
    <cfRule type="cellIs" dxfId="2270" priority="891" operator="equal">
      <formula>0</formula>
    </cfRule>
  </conditionalFormatting>
  <conditionalFormatting sqref="H1125:U1125">
    <cfRule type="cellIs" dxfId="2269" priority="890" operator="equal">
      <formula>0</formula>
    </cfRule>
  </conditionalFormatting>
  <conditionalFormatting sqref="I1111:T1111">
    <cfRule type="cellIs" dxfId="2268" priority="909" operator="equal">
      <formula>0</formula>
    </cfRule>
  </conditionalFormatting>
  <conditionalFormatting sqref="B1116:G1116">
    <cfRule type="cellIs" dxfId="2267" priority="907" operator="lessThan">
      <formula>0</formula>
    </cfRule>
  </conditionalFormatting>
  <conditionalFormatting sqref="D1116:D1117">
    <cfRule type="cellIs" dxfId="2266" priority="906" operator="equal">
      <formula>0</formula>
    </cfRule>
  </conditionalFormatting>
  <conditionalFormatting sqref="B1117:G1117 F1111:G1111 B1111 B1116:H1116 C1112:T1112 I1110:T1111 C1113:H1113">
    <cfRule type="cellIs" dxfId="2265" priority="904" operator="equal">
      <formula>0</formula>
    </cfRule>
  </conditionalFormatting>
  <conditionalFormatting sqref="H1117:U1117">
    <cfRule type="cellIs" dxfId="2264" priority="903" operator="equal">
      <formula>0</formula>
    </cfRule>
  </conditionalFormatting>
  <conditionalFormatting sqref="H1117:U1117">
    <cfRule type="cellIs" dxfId="2263" priority="902" operator="equal">
      <formula>0</formula>
    </cfRule>
  </conditionalFormatting>
  <conditionalFormatting sqref="C1111:E1111">
    <cfRule type="cellIs" dxfId="2262" priority="901" operator="equal">
      <formula>0</formula>
    </cfRule>
  </conditionalFormatting>
  <conditionalFormatting sqref="B1113">
    <cfRule type="cellIs" dxfId="2261" priority="886" operator="equal">
      <formula>0</formula>
    </cfRule>
  </conditionalFormatting>
  <conditionalFormatting sqref="B1112">
    <cfRule type="cellIs" dxfId="2260" priority="885" operator="equal">
      <formula>0</formula>
    </cfRule>
  </conditionalFormatting>
  <conditionalFormatting sqref="B1115">
    <cfRule type="cellIs" dxfId="2259" priority="877" operator="equal">
      <formula>0</formula>
    </cfRule>
  </conditionalFormatting>
  <conditionalFormatting sqref="G1114:G1115">
    <cfRule type="cellIs" dxfId="2258" priority="884" operator="lessThan">
      <formula>0</formula>
    </cfRule>
  </conditionalFormatting>
  <conditionalFormatting sqref="J1114:T1115">
    <cfRule type="cellIs" dxfId="2257" priority="881" operator="equal">
      <formula>0</formula>
    </cfRule>
  </conditionalFormatting>
  <conditionalFormatting sqref="B1114">
    <cfRule type="cellIs" dxfId="2256" priority="878" operator="equal">
      <formula>0</formula>
    </cfRule>
  </conditionalFormatting>
  <conditionalFormatting sqref="C1114:C1115">
    <cfRule type="cellIs" dxfId="2255" priority="876" operator="equal">
      <formula>0</formula>
    </cfRule>
  </conditionalFormatting>
  <conditionalFormatting sqref="U1116">
    <cfRule type="cellIs" dxfId="2254" priority="873" operator="equal">
      <formula>0</formula>
    </cfRule>
  </conditionalFormatting>
  <conditionalFormatting sqref="U1116">
    <cfRule type="cellIs" dxfId="2253" priority="872" operator="equal">
      <formula>0</formula>
    </cfRule>
  </conditionalFormatting>
  <conditionalFormatting sqref="I1116:T1116">
    <cfRule type="cellIs" dxfId="2252" priority="871" operator="equal">
      <formula>0</formula>
    </cfRule>
  </conditionalFormatting>
  <conditionalFormatting sqref="D1118:D1119">
    <cfRule type="cellIs" dxfId="2251" priority="868" operator="equal">
      <formula>0</formula>
    </cfRule>
  </conditionalFormatting>
  <conditionalFormatting sqref="C1118:H1119">
    <cfRule type="cellIs" dxfId="2250" priority="864" operator="equal">
      <formula>0</formula>
    </cfRule>
  </conditionalFormatting>
  <conditionalFormatting sqref="I1118:I1119">
    <cfRule type="cellIs" dxfId="2249" priority="861" operator="equal">
      <formula>0</formula>
    </cfRule>
  </conditionalFormatting>
  <conditionalFormatting sqref="U1118:U1119">
    <cfRule type="cellIs" dxfId="2248" priority="860" operator="equal">
      <formula>0</formula>
    </cfRule>
  </conditionalFormatting>
  <conditionalFormatting sqref="U1120">
    <cfRule type="cellIs" dxfId="2247" priority="858" operator="equal">
      <formula>0</formula>
    </cfRule>
  </conditionalFormatting>
  <conditionalFormatting sqref="U1122:U1123">
    <cfRule type="cellIs" dxfId="2246" priority="851" operator="equal">
      <formula>0</formula>
    </cfRule>
  </conditionalFormatting>
  <conditionalFormatting sqref="I1122:I1123 U1122:U1123">
    <cfRule type="cellIs" dxfId="2245" priority="850" operator="equal">
      <formula>0</formula>
    </cfRule>
  </conditionalFormatting>
  <conditionalFormatting sqref="C1122:C1123">
    <cfRule type="cellIs" dxfId="2244" priority="854" operator="equal">
      <formula>0</formula>
    </cfRule>
  </conditionalFormatting>
  <conditionalFormatting sqref="I1122:I1123">
    <cfRule type="cellIs" dxfId="2243" priority="852" operator="equal">
      <formula>0</formula>
    </cfRule>
  </conditionalFormatting>
  <conditionalFormatting sqref="F1122:G1123">
    <cfRule type="cellIs" dxfId="2242" priority="855" operator="equal">
      <formula>0</formula>
    </cfRule>
  </conditionalFormatting>
  <conditionalFormatting sqref="C1122:G1123">
    <cfRule type="cellIs" dxfId="2241" priority="853" operator="equal">
      <formula>0</formula>
    </cfRule>
  </conditionalFormatting>
  <conditionalFormatting sqref="D1122:D1123">
    <cfRule type="cellIs" dxfId="2240" priority="856" operator="equal">
      <formula>0</formula>
    </cfRule>
  </conditionalFormatting>
  <conditionalFormatting sqref="B1123">
    <cfRule type="cellIs" dxfId="2239" priority="848" operator="equal">
      <formula>0</formula>
    </cfRule>
  </conditionalFormatting>
  <conditionalFormatting sqref="B1122">
    <cfRule type="cellIs" dxfId="2238" priority="849" operator="equal">
      <formula>0</formula>
    </cfRule>
  </conditionalFormatting>
  <conditionalFormatting sqref="H1126:H1128">
    <cfRule type="cellIs" dxfId="2237" priority="841" operator="equal">
      <formula>0</formula>
    </cfRule>
  </conditionalFormatting>
  <conditionalFormatting sqref="U1129">
    <cfRule type="cellIs" dxfId="2236" priority="847" operator="equal">
      <formula>0</formula>
    </cfRule>
  </conditionalFormatting>
  <conditionalFormatting sqref="U1126:U1127">
    <cfRule type="cellIs" dxfId="2235" priority="836" operator="equal">
      <formula>0</formula>
    </cfRule>
  </conditionalFormatting>
  <conditionalFormatting sqref="J1129:T1129">
    <cfRule type="cellIs" dxfId="2234" priority="845" operator="equal">
      <formula>0</formula>
    </cfRule>
  </conditionalFormatting>
  <conditionalFormatting sqref="D1126:D1128">
    <cfRule type="cellIs" dxfId="2233" priority="844" operator="equal">
      <formula>0</formula>
    </cfRule>
  </conditionalFormatting>
  <conditionalFormatting sqref="F1126:G1128">
    <cfRule type="cellIs" dxfId="2232" priority="843" operator="equal">
      <formula>0</formula>
    </cfRule>
  </conditionalFormatting>
  <conditionalFormatting sqref="C1126 C1128">
    <cfRule type="cellIs" dxfId="2231" priority="842" operator="equal">
      <formula>0</formula>
    </cfRule>
  </conditionalFormatting>
  <conditionalFormatting sqref="C1127">
    <cfRule type="cellIs" dxfId="2230" priority="839" operator="equal">
      <formula>0</formula>
    </cfRule>
  </conditionalFormatting>
  <conditionalFormatting sqref="I1126:I1128">
    <cfRule type="cellIs" dxfId="2229" priority="837" operator="equal">
      <formula>0</formula>
    </cfRule>
  </conditionalFormatting>
  <conditionalFormatting sqref="I1126:I1128 U1126:U1127">
    <cfRule type="cellIs" dxfId="2228" priority="835" operator="equal">
      <formula>0</formula>
    </cfRule>
  </conditionalFormatting>
  <conditionalFormatting sqref="C1126:H1126 C1128:H1128 D1127:H1127">
    <cfRule type="cellIs" dxfId="2227" priority="840" operator="equal">
      <formula>0</formula>
    </cfRule>
  </conditionalFormatting>
  <conditionalFormatting sqref="C1127">
    <cfRule type="cellIs" dxfId="2226" priority="838" operator="equal">
      <formula>0</formula>
    </cfRule>
  </conditionalFormatting>
  <conditionalFormatting sqref="U1129">
    <cfRule type="cellIs" dxfId="2225" priority="846" operator="equal">
      <formula>0</formula>
    </cfRule>
  </conditionalFormatting>
  <conditionalFormatting sqref="B1126 B1128">
    <cfRule type="cellIs" dxfId="2224" priority="834" operator="equal">
      <formula>0</formula>
    </cfRule>
  </conditionalFormatting>
  <conditionalFormatting sqref="B1127">
    <cfRule type="cellIs" dxfId="2223" priority="833" operator="equal">
      <formula>0</formula>
    </cfRule>
  </conditionalFormatting>
  <conditionalFormatting sqref="U1124">
    <cfRule type="cellIs" dxfId="2222" priority="831" operator="equal">
      <formula>0</formula>
    </cfRule>
  </conditionalFormatting>
  <conditionalFormatting sqref="U1124">
    <cfRule type="cellIs" dxfId="2221" priority="832" operator="equal">
      <formula>0</formula>
    </cfRule>
  </conditionalFormatting>
  <conditionalFormatting sqref="J1118:T1119">
    <cfRule type="cellIs" dxfId="2220" priority="829" operator="equal">
      <formula>0</formula>
    </cfRule>
  </conditionalFormatting>
  <conditionalFormatting sqref="J1118:T1119">
    <cfRule type="cellIs" dxfId="2219" priority="830" operator="equal">
      <formula>0</formula>
    </cfRule>
  </conditionalFormatting>
  <conditionalFormatting sqref="J1120:T1120">
    <cfRule type="cellIs" dxfId="2218" priority="828" operator="equal">
      <formula>0</formula>
    </cfRule>
  </conditionalFormatting>
  <conditionalFormatting sqref="J1122:T1123">
    <cfRule type="cellIs" dxfId="2217" priority="826" operator="equal">
      <formula>0</formula>
    </cfRule>
  </conditionalFormatting>
  <conditionalFormatting sqref="J1122:T1123">
    <cfRule type="cellIs" dxfId="2216" priority="827" operator="equal">
      <formula>0</formula>
    </cfRule>
  </conditionalFormatting>
  <conditionalFormatting sqref="J1124:T1124">
    <cfRule type="cellIs" dxfId="2215" priority="825" operator="equal">
      <formula>0</formula>
    </cfRule>
  </conditionalFormatting>
  <conditionalFormatting sqref="J1126:T1127">
    <cfRule type="cellIs" dxfId="2214" priority="823" operator="equal">
      <formula>0</formula>
    </cfRule>
  </conditionalFormatting>
  <conditionalFormatting sqref="J1126:T1127">
    <cfRule type="cellIs" dxfId="2213" priority="824" operator="equal">
      <formula>0</formula>
    </cfRule>
  </conditionalFormatting>
  <conditionalFormatting sqref="J1128:R1128">
    <cfRule type="cellIs" dxfId="2212" priority="822" operator="equal">
      <formula>0</formula>
    </cfRule>
  </conditionalFormatting>
  <conditionalFormatting sqref="H1122:H1123">
    <cfRule type="cellIs" dxfId="2211" priority="821" operator="equal">
      <formula>0</formula>
    </cfRule>
  </conditionalFormatting>
  <conditionalFormatting sqref="H1122:H1123">
    <cfRule type="cellIs" dxfId="2210" priority="820" operator="equal">
      <formula>0</formula>
    </cfRule>
  </conditionalFormatting>
  <conditionalFormatting sqref="U1128">
    <cfRule type="cellIs" dxfId="2209" priority="819" operator="equal">
      <formula>0</formula>
    </cfRule>
  </conditionalFormatting>
  <conditionalFormatting sqref="U1128">
    <cfRule type="cellIs" dxfId="2208" priority="818" operator="equal">
      <formula>0</formula>
    </cfRule>
  </conditionalFormatting>
  <conditionalFormatting sqref="S1128:T1128">
    <cfRule type="cellIs" dxfId="2207" priority="816" operator="equal">
      <formula>0</formula>
    </cfRule>
  </conditionalFormatting>
  <conditionalFormatting sqref="S1128:T1128">
    <cfRule type="cellIs" dxfId="2206" priority="817" operator="equal">
      <formula>0</formula>
    </cfRule>
  </conditionalFormatting>
  <conditionalFormatting sqref="M1113">
    <cfRule type="cellIs" dxfId="2205" priority="815" operator="equal">
      <formula>0</formula>
    </cfRule>
  </conditionalFormatting>
  <conditionalFormatting sqref="C1120">
    <cfRule type="cellIs" dxfId="2204" priority="812" operator="equal">
      <formula>0</formula>
    </cfRule>
  </conditionalFormatting>
  <conditionalFormatting sqref="B1120:G1120">
    <cfRule type="cellIs" dxfId="2203" priority="814" operator="lessThan">
      <formula>0</formula>
    </cfRule>
  </conditionalFormatting>
  <conditionalFormatting sqref="D1120">
    <cfRule type="cellIs" dxfId="2202" priority="813" operator="equal">
      <formula>0</formula>
    </cfRule>
  </conditionalFormatting>
  <conditionalFormatting sqref="B1120:H1120">
    <cfRule type="cellIs" dxfId="2201" priority="811" operator="equal">
      <formula>0</formula>
    </cfRule>
  </conditionalFormatting>
  <conditionalFormatting sqref="I1120">
    <cfRule type="cellIs" dxfId="2200" priority="810" operator="equal">
      <formula>0</formula>
    </cfRule>
  </conditionalFormatting>
  <conditionalFormatting sqref="C1124">
    <cfRule type="cellIs" dxfId="2199" priority="807" operator="equal">
      <formula>0</formula>
    </cfRule>
  </conditionalFormatting>
  <conditionalFormatting sqref="B1124:G1124">
    <cfRule type="cellIs" dxfId="2198" priority="809" operator="lessThan">
      <formula>0</formula>
    </cfRule>
  </conditionalFormatting>
  <conditionalFormatting sqref="D1124">
    <cfRule type="cellIs" dxfId="2197" priority="808" operator="equal">
      <formula>0</formula>
    </cfRule>
  </conditionalFormatting>
  <conditionalFormatting sqref="B1124:H1124">
    <cfRule type="cellIs" dxfId="2196" priority="806" operator="equal">
      <formula>0</formula>
    </cfRule>
  </conditionalFormatting>
  <conditionalFormatting sqref="I1124">
    <cfRule type="cellIs" dxfId="2195" priority="805" operator="equal">
      <formula>0</formula>
    </cfRule>
  </conditionalFormatting>
  <conditionalFormatting sqref="C1129">
    <cfRule type="cellIs" dxfId="2194" priority="802" operator="equal">
      <formula>0</formula>
    </cfRule>
  </conditionalFormatting>
  <conditionalFormatting sqref="B1129:G1129">
    <cfRule type="cellIs" dxfId="2193" priority="804" operator="lessThan">
      <formula>0</formula>
    </cfRule>
  </conditionalFormatting>
  <conditionalFormatting sqref="D1129">
    <cfRule type="cellIs" dxfId="2192" priority="803" operator="equal">
      <formula>0</formula>
    </cfRule>
  </conditionalFormatting>
  <conditionalFormatting sqref="B1129:H1129">
    <cfRule type="cellIs" dxfId="2191" priority="801" operator="equal">
      <formula>0</formula>
    </cfRule>
  </conditionalFormatting>
  <conditionalFormatting sqref="I1129">
    <cfRule type="cellIs" dxfId="2190" priority="800" operator="equal">
      <formula>0</formula>
    </cfRule>
  </conditionalFormatting>
  <conditionalFormatting sqref="B1110">
    <cfRule type="cellIs" dxfId="2189" priority="799" operator="equal">
      <formula>0</formula>
    </cfRule>
  </conditionalFormatting>
  <conditionalFormatting sqref="B1153:H1153">
    <cfRule type="cellIs" dxfId="2188" priority="798" operator="equal">
      <formula>0</formula>
    </cfRule>
  </conditionalFormatting>
  <conditionalFormatting sqref="U1153">
    <cfRule type="cellIs" dxfId="2187" priority="797" operator="equal">
      <formula>0</formula>
    </cfRule>
  </conditionalFormatting>
  <conditionalFormatting sqref="I1153:U1153">
    <cfRule type="cellIs" dxfId="2186" priority="796" operator="equal">
      <formula>0</formula>
    </cfRule>
  </conditionalFormatting>
  <conditionalFormatting sqref="U1153">
    <cfRule type="cellIs" dxfId="2185" priority="795" operator="equal">
      <formula>0</formula>
    </cfRule>
  </conditionalFormatting>
  <conditionalFormatting sqref="N1136:T1136 I1136:L1136">
    <cfRule type="cellIs" dxfId="2184" priority="794" operator="equal">
      <formula>0</formula>
    </cfRule>
  </conditionalFormatting>
  <conditionalFormatting sqref="U1135:U1136">
    <cfRule type="cellIs" dxfId="2183" priority="772" operator="equal">
      <formula>0</formula>
    </cfRule>
  </conditionalFormatting>
  <conditionalFormatting sqref="U1134">
    <cfRule type="cellIs" dxfId="2182" priority="771" operator="equal">
      <formula>0</formula>
    </cfRule>
  </conditionalFormatting>
  <conditionalFormatting sqref="U1133:U1134">
    <cfRule type="cellIs" dxfId="2181" priority="770" operator="equal">
      <formula>0</formula>
    </cfRule>
  </conditionalFormatting>
  <conditionalFormatting sqref="D1137:D1138">
    <cfRule type="cellIs" dxfId="2180" priority="766" operator="equal">
      <formula>0</formula>
    </cfRule>
  </conditionalFormatting>
  <conditionalFormatting sqref="U1137:U1138">
    <cfRule type="cellIs" dxfId="2179" priority="763" operator="equal">
      <formula>0</formula>
    </cfRule>
  </conditionalFormatting>
  <conditionalFormatting sqref="H1137:H1138">
    <cfRule type="cellIs" dxfId="2178" priority="765" operator="equal">
      <formula>0</formula>
    </cfRule>
  </conditionalFormatting>
  <conditionalFormatting sqref="D1137:H1138 J1137:U1138">
    <cfRule type="cellIs" dxfId="2177" priority="762" operator="equal">
      <formula>0</formula>
    </cfRule>
  </conditionalFormatting>
  <conditionalFormatting sqref="I1137:I1138">
    <cfRule type="cellIs" dxfId="2176" priority="753" operator="equal">
      <formula>0</formula>
    </cfRule>
  </conditionalFormatting>
  <conditionalFormatting sqref="F1141:G1142">
    <cfRule type="cellIs" dxfId="2175" priority="750" operator="equal">
      <formula>0</formula>
    </cfRule>
  </conditionalFormatting>
  <conditionalFormatting sqref="C1141:C1142">
    <cfRule type="cellIs" dxfId="2174" priority="749" operator="equal">
      <formula>0</formula>
    </cfRule>
  </conditionalFormatting>
  <conditionalFormatting sqref="H1141:H1142">
    <cfRule type="cellIs" dxfId="2173" priority="748" operator="equal">
      <formula>0</formula>
    </cfRule>
  </conditionalFormatting>
  <conditionalFormatting sqref="C1137:C1138">
    <cfRule type="cellIs" dxfId="2172" priority="757" operator="equal">
      <formula>0</formula>
    </cfRule>
  </conditionalFormatting>
  <conditionalFormatting sqref="C1138">
    <cfRule type="cellIs" dxfId="2171" priority="758" operator="equal">
      <formula>0</formula>
    </cfRule>
  </conditionalFormatting>
  <conditionalFormatting sqref="I1137:I1138">
    <cfRule type="cellIs" dxfId="2170" priority="752" operator="equal">
      <formula>0</formula>
    </cfRule>
  </conditionalFormatting>
  <conditionalFormatting sqref="I1141:I1142 U1141:U1142">
    <cfRule type="cellIs" dxfId="2169" priority="742" operator="equal">
      <formula>0</formula>
    </cfRule>
  </conditionalFormatting>
  <conditionalFormatting sqref="B1141">
    <cfRule type="cellIs" dxfId="2168" priority="746" operator="equal">
      <formula>0</formula>
    </cfRule>
  </conditionalFormatting>
  <conditionalFormatting sqref="B1142">
    <cfRule type="cellIs" dxfId="2167" priority="745" operator="equal">
      <formula>0</formula>
    </cfRule>
  </conditionalFormatting>
  <conditionalFormatting sqref="U1143">
    <cfRule type="cellIs" dxfId="2166" priority="740" operator="equal">
      <formula>0</formula>
    </cfRule>
  </conditionalFormatting>
  <conditionalFormatting sqref="C1133:G1133">
    <cfRule type="cellIs" dxfId="2165" priority="793" operator="equal">
      <formula>0</formula>
    </cfRule>
  </conditionalFormatting>
  <conditionalFormatting sqref="H1135:H1136">
    <cfRule type="cellIs" dxfId="2164" priority="791" operator="equal">
      <formula>0</formula>
    </cfRule>
  </conditionalFormatting>
  <conditionalFormatting sqref="C1139:C1140">
    <cfRule type="cellIs" dxfId="2163" priority="788" operator="equal">
      <formula>0</formula>
    </cfRule>
  </conditionalFormatting>
  <conditionalFormatting sqref="D1148">
    <cfRule type="cellIs" dxfId="2162" priority="777" operator="equal">
      <formula>0</formula>
    </cfRule>
  </conditionalFormatting>
  <conditionalFormatting sqref="H1134">
    <cfRule type="cellIs" dxfId="2161" priority="783" operator="equal">
      <formula>0</formula>
    </cfRule>
  </conditionalFormatting>
  <conditionalFormatting sqref="D1144">
    <cfRule type="cellIs" dxfId="2160" priority="782" operator="equal">
      <formula>0</formula>
    </cfRule>
  </conditionalFormatting>
  <conditionalFormatting sqref="C1144">
    <cfRule type="cellIs" dxfId="2159" priority="781" operator="equal">
      <formula>0</formula>
    </cfRule>
  </conditionalFormatting>
  <conditionalFormatting sqref="B1144:G1144">
    <cfRule type="cellIs" dxfId="2158" priority="780" operator="equal">
      <formula>0</formula>
    </cfRule>
  </conditionalFormatting>
  <conditionalFormatting sqref="H1144:U1144">
    <cfRule type="cellIs" dxfId="2157" priority="779" operator="equal">
      <formula>0</formula>
    </cfRule>
  </conditionalFormatting>
  <conditionalFormatting sqref="H1144:U1144">
    <cfRule type="cellIs" dxfId="2156" priority="778" operator="equal">
      <formula>0</formula>
    </cfRule>
  </conditionalFormatting>
  <conditionalFormatting sqref="C1148">
    <cfRule type="cellIs" dxfId="2155" priority="776" operator="equal">
      <formula>0</formula>
    </cfRule>
  </conditionalFormatting>
  <conditionalFormatting sqref="B1148:G1148">
    <cfRule type="cellIs" dxfId="2154" priority="775" operator="equal">
      <formula>0</formula>
    </cfRule>
  </conditionalFormatting>
  <conditionalFormatting sqref="H1148:U1148">
    <cfRule type="cellIs" dxfId="2153" priority="774" operator="equal">
      <formula>0</formula>
    </cfRule>
  </conditionalFormatting>
  <conditionalFormatting sqref="H1148:U1148">
    <cfRule type="cellIs" dxfId="2152" priority="773" operator="equal">
      <formula>0</formula>
    </cfRule>
  </conditionalFormatting>
  <conditionalFormatting sqref="I1134:T1134">
    <cfRule type="cellIs" dxfId="2151" priority="792" operator="equal">
      <formula>0</formula>
    </cfRule>
  </conditionalFormatting>
  <conditionalFormatting sqref="B1139:G1139">
    <cfRule type="cellIs" dxfId="2150" priority="790" operator="lessThan">
      <formula>0</formula>
    </cfRule>
  </conditionalFormatting>
  <conditionalFormatting sqref="D1139:D1140">
    <cfRule type="cellIs" dxfId="2149" priority="789" operator="equal">
      <formula>0</formula>
    </cfRule>
  </conditionalFormatting>
  <conditionalFormatting sqref="B1140:G1140 F1134:G1134 B1134 B1139:H1139 C1135:T1135 I1133:T1134 C1136:H1136">
    <cfRule type="cellIs" dxfId="2148" priority="787" operator="equal">
      <formula>0</formula>
    </cfRule>
  </conditionalFormatting>
  <conditionalFormatting sqref="H1140:U1140">
    <cfRule type="cellIs" dxfId="2147" priority="786" operator="equal">
      <formula>0</formula>
    </cfRule>
  </conditionalFormatting>
  <conditionalFormatting sqref="H1140:U1140">
    <cfRule type="cellIs" dxfId="2146" priority="785" operator="equal">
      <formula>0</formula>
    </cfRule>
  </conditionalFormatting>
  <conditionalFormatting sqref="C1134:E1134">
    <cfRule type="cellIs" dxfId="2145" priority="784" operator="equal">
      <formula>0</formula>
    </cfRule>
  </conditionalFormatting>
  <conditionalFormatting sqref="B1136">
    <cfRule type="cellIs" dxfId="2144" priority="769" operator="equal">
      <formula>0</formula>
    </cfRule>
  </conditionalFormatting>
  <conditionalFormatting sqref="B1135">
    <cfRule type="cellIs" dxfId="2143" priority="768" operator="equal">
      <formula>0</formula>
    </cfRule>
  </conditionalFormatting>
  <conditionalFormatting sqref="B1138">
    <cfRule type="cellIs" dxfId="2142" priority="760" operator="equal">
      <formula>0</formula>
    </cfRule>
  </conditionalFormatting>
  <conditionalFormatting sqref="G1137:G1138">
    <cfRule type="cellIs" dxfId="2141" priority="767" operator="lessThan">
      <formula>0</formula>
    </cfRule>
  </conditionalFormatting>
  <conditionalFormatting sqref="J1137:T1138">
    <cfRule type="cellIs" dxfId="2140" priority="764" operator="equal">
      <formula>0</formula>
    </cfRule>
  </conditionalFormatting>
  <conditionalFormatting sqref="B1137">
    <cfRule type="cellIs" dxfId="2139" priority="761" operator="equal">
      <formula>0</formula>
    </cfRule>
  </conditionalFormatting>
  <conditionalFormatting sqref="C1137:C1138">
    <cfRule type="cellIs" dxfId="2138" priority="759" operator="equal">
      <formula>0</formula>
    </cfRule>
  </conditionalFormatting>
  <conditionalFormatting sqref="U1139">
    <cfRule type="cellIs" dxfId="2137" priority="756" operator="equal">
      <formula>0</formula>
    </cfRule>
  </conditionalFormatting>
  <conditionalFormatting sqref="U1139">
    <cfRule type="cellIs" dxfId="2136" priority="755" operator="equal">
      <formula>0</formula>
    </cfRule>
  </conditionalFormatting>
  <conditionalFormatting sqref="I1139:T1139">
    <cfRule type="cellIs" dxfId="2135" priority="754" operator="equal">
      <formula>0</formula>
    </cfRule>
  </conditionalFormatting>
  <conditionalFormatting sqref="D1141:D1142">
    <cfRule type="cellIs" dxfId="2134" priority="751" operator="equal">
      <formula>0</formula>
    </cfRule>
  </conditionalFormatting>
  <conditionalFormatting sqref="C1141:H1142">
    <cfRule type="cellIs" dxfId="2133" priority="747" operator="equal">
      <formula>0</formula>
    </cfRule>
  </conditionalFormatting>
  <conditionalFormatting sqref="I1141:I1142">
    <cfRule type="cellIs" dxfId="2132" priority="744" operator="equal">
      <formula>0</formula>
    </cfRule>
  </conditionalFormatting>
  <conditionalFormatting sqref="U1141:U1142">
    <cfRule type="cellIs" dxfId="2131" priority="743" operator="equal">
      <formula>0</formula>
    </cfRule>
  </conditionalFormatting>
  <conditionalFormatting sqref="U1143">
    <cfRule type="cellIs" dxfId="2130" priority="741" operator="equal">
      <formula>0</formula>
    </cfRule>
  </conditionalFormatting>
  <conditionalFormatting sqref="U1145:U1146">
    <cfRule type="cellIs" dxfId="2129" priority="734" operator="equal">
      <formula>0</formula>
    </cfRule>
  </conditionalFormatting>
  <conditionalFormatting sqref="I1145:I1146 U1145:U1146">
    <cfRule type="cellIs" dxfId="2128" priority="733" operator="equal">
      <formula>0</formula>
    </cfRule>
  </conditionalFormatting>
  <conditionalFormatting sqref="C1145:C1146">
    <cfRule type="cellIs" dxfId="2127" priority="737" operator="equal">
      <formula>0</formula>
    </cfRule>
  </conditionalFormatting>
  <conditionalFormatting sqref="I1145:I1146">
    <cfRule type="cellIs" dxfId="2126" priority="735" operator="equal">
      <formula>0</formula>
    </cfRule>
  </conditionalFormatting>
  <conditionalFormatting sqref="F1145:G1146">
    <cfRule type="cellIs" dxfId="2125" priority="738" operator="equal">
      <formula>0</formula>
    </cfRule>
  </conditionalFormatting>
  <conditionalFormatting sqref="C1145:G1146">
    <cfRule type="cellIs" dxfId="2124" priority="736" operator="equal">
      <formula>0</formula>
    </cfRule>
  </conditionalFormatting>
  <conditionalFormatting sqref="D1145:D1146">
    <cfRule type="cellIs" dxfId="2123" priority="739" operator="equal">
      <formula>0</formula>
    </cfRule>
  </conditionalFormatting>
  <conditionalFormatting sqref="B1146">
    <cfRule type="cellIs" dxfId="2122" priority="731" operator="equal">
      <formula>0</formula>
    </cfRule>
  </conditionalFormatting>
  <conditionalFormatting sqref="B1145">
    <cfRule type="cellIs" dxfId="2121" priority="732" operator="equal">
      <formula>0</formula>
    </cfRule>
  </conditionalFormatting>
  <conditionalFormatting sqref="H1149:H1151">
    <cfRule type="cellIs" dxfId="2120" priority="724" operator="equal">
      <formula>0</formula>
    </cfRule>
  </conditionalFormatting>
  <conditionalFormatting sqref="U1152">
    <cfRule type="cellIs" dxfId="2119" priority="730" operator="equal">
      <formula>0</formula>
    </cfRule>
  </conditionalFormatting>
  <conditionalFormatting sqref="U1149:U1150">
    <cfRule type="cellIs" dxfId="2118" priority="719" operator="equal">
      <formula>0</formula>
    </cfRule>
  </conditionalFormatting>
  <conditionalFormatting sqref="J1152:T1152">
    <cfRule type="cellIs" dxfId="2117" priority="728" operator="equal">
      <formula>0</formula>
    </cfRule>
  </conditionalFormatting>
  <conditionalFormatting sqref="D1149:D1151">
    <cfRule type="cellIs" dxfId="2116" priority="727" operator="equal">
      <formula>0</formula>
    </cfRule>
  </conditionalFormatting>
  <conditionalFormatting sqref="F1149:G1151">
    <cfRule type="cellIs" dxfId="2115" priority="726" operator="equal">
      <formula>0</formula>
    </cfRule>
  </conditionalFormatting>
  <conditionalFormatting sqref="C1149 C1151">
    <cfRule type="cellIs" dxfId="2114" priority="725" operator="equal">
      <formula>0</formula>
    </cfRule>
  </conditionalFormatting>
  <conditionalFormatting sqref="C1150">
    <cfRule type="cellIs" dxfId="2113" priority="722" operator="equal">
      <formula>0</formula>
    </cfRule>
  </conditionalFormatting>
  <conditionalFormatting sqref="I1149:I1151">
    <cfRule type="cellIs" dxfId="2112" priority="720" operator="equal">
      <formula>0</formula>
    </cfRule>
  </conditionalFormatting>
  <conditionalFormatting sqref="I1149:I1151 U1149:U1150">
    <cfRule type="cellIs" dxfId="2111" priority="718" operator="equal">
      <formula>0</formula>
    </cfRule>
  </conditionalFormatting>
  <conditionalFormatting sqref="C1149:H1149 C1151:H1151 D1150:H1150">
    <cfRule type="cellIs" dxfId="2110" priority="723" operator="equal">
      <formula>0</formula>
    </cfRule>
  </conditionalFormatting>
  <conditionalFormatting sqref="C1150">
    <cfRule type="cellIs" dxfId="2109" priority="721" operator="equal">
      <formula>0</formula>
    </cfRule>
  </conditionalFormatting>
  <conditionalFormatting sqref="U1152">
    <cfRule type="cellIs" dxfId="2108" priority="729" operator="equal">
      <formula>0</formula>
    </cfRule>
  </conditionalFormatting>
  <conditionalFormatting sqref="B1149 B1151">
    <cfRule type="cellIs" dxfId="2107" priority="717" operator="equal">
      <formula>0</formula>
    </cfRule>
  </conditionalFormatting>
  <conditionalFormatting sqref="B1150">
    <cfRule type="cellIs" dxfId="2106" priority="716" operator="equal">
      <formula>0</formula>
    </cfRule>
  </conditionalFormatting>
  <conditionalFormatting sqref="U1147">
    <cfRule type="cellIs" dxfId="2105" priority="714" operator="equal">
      <formula>0</formula>
    </cfRule>
  </conditionalFormatting>
  <conditionalFormatting sqref="U1147">
    <cfRule type="cellIs" dxfId="2104" priority="715" operator="equal">
      <formula>0</formula>
    </cfRule>
  </conditionalFormatting>
  <conditionalFormatting sqref="J1141:T1142">
    <cfRule type="cellIs" dxfId="2103" priority="712" operator="equal">
      <formula>0</formula>
    </cfRule>
  </conditionalFormatting>
  <conditionalFormatting sqref="J1141:T1142">
    <cfRule type="cellIs" dxfId="2102" priority="713" operator="equal">
      <formula>0</formula>
    </cfRule>
  </conditionalFormatting>
  <conditionalFormatting sqref="J1143:T1143">
    <cfRule type="cellIs" dxfId="2101" priority="711" operator="equal">
      <formula>0</formula>
    </cfRule>
  </conditionalFormatting>
  <conditionalFormatting sqref="J1145:T1146">
    <cfRule type="cellIs" dxfId="2100" priority="709" operator="equal">
      <formula>0</formula>
    </cfRule>
  </conditionalFormatting>
  <conditionalFormatting sqref="J1145:T1146">
    <cfRule type="cellIs" dxfId="2099" priority="710" operator="equal">
      <formula>0</formula>
    </cfRule>
  </conditionalFormatting>
  <conditionalFormatting sqref="J1147:T1147">
    <cfRule type="cellIs" dxfId="2098" priority="708" operator="equal">
      <formula>0</formula>
    </cfRule>
  </conditionalFormatting>
  <conditionalFormatting sqref="J1149:T1150">
    <cfRule type="cellIs" dxfId="2097" priority="706" operator="equal">
      <formula>0</formula>
    </cfRule>
  </conditionalFormatting>
  <conditionalFormatting sqref="J1149:T1150">
    <cfRule type="cellIs" dxfId="2096" priority="707" operator="equal">
      <formula>0</formula>
    </cfRule>
  </conditionalFormatting>
  <conditionalFormatting sqref="J1151:R1151">
    <cfRule type="cellIs" dxfId="2095" priority="705" operator="equal">
      <formula>0</formula>
    </cfRule>
  </conditionalFormatting>
  <conditionalFormatting sqref="H1145:H1146">
    <cfRule type="cellIs" dxfId="2094" priority="704" operator="equal">
      <formula>0</formula>
    </cfRule>
  </conditionalFormatting>
  <conditionalFormatting sqref="H1145:H1146">
    <cfRule type="cellIs" dxfId="2093" priority="703" operator="equal">
      <formula>0</formula>
    </cfRule>
  </conditionalFormatting>
  <conditionalFormatting sqref="U1151">
    <cfRule type="cellIs" dxfId="2092" priority="702" operator="equal">
      <formula>0</formula>
    </cfRule>
  </conditionalFormatting>
  <conditionalFormatting sqref="U1151">
    <cfRule type="cellIs" dxfId="2091" priority="701" operator="equal">
      <formula>0</formula>
    </cfRule>
  </conditionalFormatting>
  <conditionalFormatting sqref="S1151:T1151">
    <cfRule type="cellIs" dxfId="2090" priority="699" operator="equal">
      <formula>0</formula>
    </cfRule>
  </conditionalFormatting>
  <conditionalFormatting sqref="S1151:T1151">
    <cfRule type="cellIs" dxfId="2089" priority="700" operator="equal">
      <formula>0</formula>
    </cfRule>
  </conditionalFormatting>
  <conditionalFormatting sqref="M1136">
    <cfRule type="cellIs" dxfId="2088" priority="698" operator="equal">
      <formula>0</formula>
    </cfRule>
  </conditionalFormatting>
  <conditionalFormatting sqref="C1143">
    <cfRule type="cellIs" dxfId="2087" priority="695" operator="equal">
      <formula>0</formula>
    </cfRule>
  </conditionalFormatting>
  <conditionalFormatting sqref="B1143:G1143">
    <cfRule type="cellIs" dxfId="2086" priority="697" operator="lessThan">
      <formula>0</formula>
    </cfRule>
  </conditionalFormatting>
  <conditionalFormatting sqref="D1143">
    <cfRule type="cellIs" dxfId="2085" priority="696" operator="equal">
      <formula>0</formula>
    </cfRule>
  </conditionalFormatting>
  <conditionalFormatting sqref="B1143:H1143">
    <cfRule type="cellIs" dxfId="2084" priority="694" operator="equal">
      <formula>0</formula>
    </cfRule>
  </conditionalFormatting>
  <conditionalFormatting sqref="I1143">
    <cfRule type="cellIs" dxfId="2083" priority="693" operator="equal">
      <formula>0</formula>
    </cfRule>
  </conditionalFormatting>
  <conditionalFormatting sqref="C1147">
    <cfRule type="cellIs" dxfId="2082" priority="690" operator="equal">
      <formula>0</formula>
    </cfRule>
  </conditionalFormatting>
  <conditionalFormatting sqref="B1147:G1147">
    <cfRule type="cellIs" dxfId="2081" priority="692" operator="lessThan">
      <formula>0</formula>
    </cfRule>
  </conditionalFormatting>
  <conditionalFormatting sqref="D1147">
    <cfRule type="cellIs" dxfId="2080" priority="691" operator="equal">
      <formula>0</formula>
    </cfRule>
  </conditionalFormatting>
  <conditionalFormatting sqref="B1147:H1147">
    <cfRule type="cellIs" dxfId="2079" priority="689" operator="equal">
      <formula>0</formula>
    </cfRule>
  </conditionalFormatting>
  <conditionalFormatting sqref="I1147">
    <cfRule type="cellIs" dxfId="2078" priority="688" operator="equal">
      <formula>0</formula>
    </cfRule>
  </conditionalFormatting>
  <conditionalFormatting sqref="C1152">
    <cfRule type="cellIs" dxfId="2077" priority="685" operator="equal">
      <formula>0</formula>
    </cfRule>
  </conditionalFormatting>
  <conditionalFormatting sqref="B1152:G1152">
    <cfRule type="cellIs" dxfId="2076" priority="687" operator="lessThan">
      <formula>0</formula>
    </cfRule>
  </conditionalFormatting>
  <conditionalFormatting sqref="D1152">
    <cfRule type="cellIs" dxfId="2075" priority="686" operator="equal">
      <formula>0</formula>
    </cfRule>
  </conditionalFormatting>
  <conditionalFormatting sqref="B1152:H1152">
    <cfRule type="cellIs" dxfId="2074" priority="684" operator="equal">
      <formula>0</formula>
    </cfRule>
  </conditionalFormatting>
  <conditionalFormatting sqref="I1152">
    <cfRule type="cellIs" dxfId="2073" priority="683" operator="equal">
      <formula>0</formula>
    </cfRule>
  </conditionalFormatting>
  <conditionalFormatting sqref="B1133">
    <cfRule type="cellIs" dxfId="2072" priority="682" operator="equal">
      <formula>0</formula>
    </cfRule>
  </conditionalFormatting>
  <conditionalFormatting sqref="B878">
    <cfRule type="cellIs" dxfId="2071" priority="681" operator="equal">
      <formula>0</formula>
    </cfRule>
  </conditionalFormatting>
  <conditionalFormatting sqref="B216 B218">
    <cfRule type="cellIs" dxfId="2070" priority="680" operator="equal">
      <formula>0</formula>
    </cfRule>
  </conditionalFormatting>
  <conditionalFormatting sqref="B217">
    <cfRule type="cellIs" dxfId="2069" priority="679" operator="equal">
      <formula>0</formula>
    </cfRule>
  </conditionalFormatting>
  <conditionalFormatting sqref="I581">
    <cfRule type="cellIs" dxfId="2068" priority="678" operator="equal">
      <formula>0</formula>
    </cfRule>
  </conditionalFormatting>
  <conditionalFormatting sqref="I581">
    <cfRule type="cellIs" dxfId="2067" priority="677" operator="equal">
      <formula>0</formula>
    </cfRule>
  </conditionalFormatting>
  <conditionalFormatting sqref="I565">
    <cfRule type="cellIs" dxfId="2066" priority="676" operator="equal">
      <formula>0</formula>
    </cfRule>
  </conditionalFormatting>
  <conditionalFormatting sqref="I565">
    <cfRule type="cellIs" dxfId="2065" priority="675" operator="equal">
      <formula>0</formula>
    </cfRule>
  </conditionalFormatting>
  <conditionalFormatting sqref="I557">
    <cfRule type="cellIs" dxfId="2064" priority="674" operator="equal">
      <formula>0</formula>
    </cfRule>
  </conditionalFormatting>
  <conditionalFormatting sqref="I557">
    <cfRule type="cellIs" dxfId="2063" priority="673" operator="equal">
      <formula>0</formula>
    </cfRule>
  </conditionalFormatting>
  <conditionalFormatting sqref="B127">
    <cfRule type="cellIs" dxfId="2062" priority="671" operator="equal">
      <formula>0</formula>
    </cfRule>
  </conditionalFormatting>
  <conditionalFormatting sqref="C571">
    <cfRule type="cellIs" dxfId="2061" priority="669" operator="equal">
      <formula>0</formula>
    </cfRule>
  </conditionalFormatting>
  <conditionalFormatting sqref="C606">
    <cfRule type="cellIs" dxfId="2060" priority="668" operator="equal">
      <formula>0</formula>
    </cfRule>
  </conditionalFormatting>
  <conditionalFormatting sqref="Z123:AE123 AB122">
    <cfRule type="cellIs" dxfId="2059" priority="667" operator="equal">
      <formula>0</formula>
    </cfRule>
  </conditionalFormatting>
  <conditionalFormatting sqref="AE125:AE126">
    <cfRule type="cellIs" dxfId="2058" priority="665" operator="equal">
      <formula>0</formula>
    </cfRule>
  </conditionalFormatting>
  <conditionalFormatting sqref="AC134:AD138">
    <cfRule type="cellIs" dxfId="2057" priority="661" operator="equal">
      <formula>0</formula>
    </cfRule>
  </conditionalFormatting>
  <conditionalFormatting sqref="Z128:Z134 Z136:Z138">
    <cfRule type="cellIs" dxfId="2056" priority="660" operator="equal">
      <formula>0</formula>
    </cfRule>
  </conditionalFormatting>
  <conditionalFormatting sqref="AE134:AE138">
    <cfRule type="cellIs" dxfId="2055" priority="658" operator="equal">
      <formula>0</formula>
    </cfRule>
  </conditionalFormatting>
  <conditionalFormatting sqref="AE124">
    <cfRule type="cellIs" dxfId="2054" priority="650" operator="equal">
      <formula>0</formula>
    </cfRule>
  </conditionalFormatting>
  <conditionalFormatting sqref="AA140">
    <cfRule type="cellIs" dxfId="2053" priority="649" operator="equal">
      <formula>0</formula>
    </cfRule>
  </conditionalFormatting>
  <conditionalFormatting sqref="Z140">
    <cfRule type="cellIs" dxfId="2052" priority="648" operator="equal">
      <formula>0</formula>
    </cfRule>
  </conditionalFormatting>
  <conditionalFormatting sqref="Y140:AQ140">
    <cfRule type="cellIs" dxfId="2051" priority="647" operator="equal">
      <formula>0</formula>
    </cfRule>
  </conditionalFormatting>
  <conditionalFormatting sqref="AE140 AR140">
    <cfRule type="cellIs" dxfId="2050" priority="646" operator="equal">
      <formula>0</formula>
    </cfRule>
  </conditionalFormatting>
  <conditionalFormatting sqref="AE140 AR140">
    <cfRule type="cellIs" dxfId="2049" priority="645" operator="equal">
      <formula>0</formula>
    </cfRule>
  </conditionalFormatting>
  <conditionalFormatting sqref="AA150">
    <cfRule type="cellIs" dxfId="2048" priority="644" operator="equal">
      <formula>0</formula>
    </cfRule>
  </conditionalFormatting>
  <conditionalFormatting sqref="Z150">
    <cfRule type="cellIs" dxfId="2047" priority="643" operator="equal">
      <formula>0</formula>
    </cfRule>
  </conditionalFormatting>
  <conditionalFormatting sqref="Y150:AD150">
    <cfRule type="cellIs" dxfId="2046" priority="642" operator="equal">
      <formula>0</formula>
    </cfRule>
  </conditionalFormatting>
  <conditionalFormatting sqref="AE150:AR150">
    <cfRule type="cellIs" dxfId="2045" priority="641" operator="equal">
      <formula>0</formula>
    </cfRule>
  </conditionalFormatting>
  <conditionalFormatting sqref="AE150:AR150">
    <cfRule type="cellIs" dxfId="2044" priority="640" operator="equal">
      <formula>0</formula>
    </cfRule>
  </conditionalFormatting>
  <conditionalFormatting sqref="AA155">
    <cfRule type="cellIs" dxfId="2043" priority="639" operator="equal">
      <formula>0</formula>
    </cfRule>
  </conditionalFormatting>
  <conditionalFormatting sqref="Z155">
    <cfRule type="cellIs" dxfId="2042" priority="638" operator="equal">
      <formula>0</formula>
    </cfRule>
  </conditionalFormatting>
  <conditionalFormatting sqref="Y155:AD155">
    <cfRule type="cellIs" dxfId="2041" priority="637" operator="equal">
      <formula>0</formula>
    </cfRule>
  </conditionalFormatting>
  <conditionalFormatting sqref="AE155:AR155">
    <cfRule type="cellIs" dxfId="2040" priority="636" operator="equal">
      <formula>0</formula>
    </cfRule>
  </conditionalFormatting>
  <conditionalFormatting sqref="AE155:AR155">
    <cfRule type="cellIs" dxfId="2039" priority="635" operator="equal">
      <formula>0</formula>
    </cfRule>
  </conditionalFormatting>
  <conditionalFormatting sqref="AF124:AQ124">
    <cfRule type="cellIs" dxfId="2038" priority="666" operator="equal">
      <formula>0</formula>
    </cfRule>
  </conditionalFormatting>
  <conditionalFormatting sqref="AR160">
    <cfRule type="cellIs" dxfId="2037" priority="664" operator="equal">
      <formula>0</formula>
    </cfRule>
  </conditionalFormatting>
  <conditionalFormatting sqref="AD127:AD132 Y132:AC132">
    <cfRule type="cellIs" dxfId="2036" priority="663" operator="lessThan">
      <formula>0</formula>
    </cfRule>
  </conditionalFormatting>
  <conditionalFormatting sqref="Z127:AA127 AA128:AA138">
    <cfRule type="cellIs" dxfId="2035" priority="662" operator="equal">
      <formula>0</formula>
    </cfRule>
  </conditionalFormatting>
  <conditionalFormatting sqref="AE127:AE131">
    <cfRule type="cellIs" dxfId="2034" priority="659" operator="equal">
      <formula>0</formula>
    </cfRule>
  </conditionalFormatting>
  <conditionalFormatting sqref="AF127:AQ131">
    <cfRule type="cellIs" dxfId="2033" priority="657" operator="equal">
      <formula>0</formula>
    </cfRule>
  </conditionalFormatting>
  <conditionalFormatting sqref="AR127:AR131">
    <cfRule type="cellIs" dxfId="2032" priority="656" operator="equal">
      <formula>0</formula>
    </cfRule>
  </conditionalFormatting>
  <conditionalFormatting sqref="Y133:AD133 Z134:AE134 Z122:AA122 Y160:AR160 AC124:AD124 Y124 AF123:AQ124 Z136:AE138 Y132:AE132 Z127:AR131 AA135:AE135 Z125:AQ126 AC122:AR122">
    <cfRule type="cellIs" dxfId="2031" priority="655" operator="equal">
      <formula>0</formula>
    </cfRule>
  </conditionalFormatting>
  <conditionalFormatting sqref="AE133:AR133">
    <cfRule type="cellIs" dxfId="2030" priority="654" operator="equal">
      <formula>0</formula>
    </cfRule>
  </conditionalFormatting>
  <conditionalFormatting sqref="AE133:AR133">
    <cfRule type="cellIs" dxfId="2029" priority="653" operator="equal">
      <formula>0</formula>
    </cfRule>
  </conditionalFormatting>
  <conditionalFormatting sqref="AR160">
    <cfRule type="cellIs" dxfId="2028" priority="652" operator="equal">
      <formula>0</formula>
    </cfRule>
  </conditionalFormatting>
  <conditionalFormatting sqref="Z124:AB124">
    <cfRule type="cellIs" dxfId="2027" priority="651" operator="equal">
      <formula>0</formula>
    </cfRule>
  </conditionalFormatting>
  <conditionalFormatting sqref="Y123">
    <cfRule type="cellIs" dxfId="2026" priority="634" operator="equal">
      <formula>0</formula>
    </cfRule>
  </conditionalFormatting>
  <conditionalFormatting sqref="Z139">
    <cfRule type="cellIs" dxfId="2025" priority="631" operator="equal">
      <formula>0</formula>
    </cfRule>
  </conditionalFormatting>
  <conditionalFormatting sqref="Y139:AD139">
    <cfRule type="cellIs" dxfId="2024" priority="633" operator="lessThan">
      <formula>0</formula>
    </cfRule>
  </conditionalFormatting>
  <conditionalFormatting sqref="AA139">
    <cfRule type="cellIs" dxfId="2023" priority="632" operator="equal">
      <formula>0</formula>
    </cfRule>
  </conditionalFormatting>
  <conditionalFormatting sqref="Y139:AE139">
    <cfRule type="cellIs" dxfId="2022" priority="630" operator="equal">
      <formula>0</formula>
    </cfRule>
  </conditionalFormatting>
  <conditionalFormatting sqref="Y149">
    <cfRule type="cellIs" dxfId="2021" priority="629" operator="lessThan">
      <formula>0</formula>
    </cfRule>
  </conditionalFormatting>
  <conditionalFormatting sqref="Y149">
    <cfRule type="cellIs" dxfId="2020" priority="628" operator="equal">
      <formula>0</formula>
    </cfRule>
  </conditionalFormatting>
  <conditionalFormatting sqref="Z154">
    <cfRule type="cellIs" dxfId="2019" priority="625" operator="equal">
      <formula>0</formula>
    </cfRule>
  </conditionalFormatting>
  <conditionalFormatting sqref="Y154:AD154">
    <cfRule type="cellIs" dxfId="2018" priority="627" operator="lessThan">
      <formula>0</formula>
    </cfRule>
  </conditionalFormatting>
  <conditionalFormatting sqref="AA154">
    <cfRule type="cellIs" dxfId="2017" priority="626" operator="equal">
      <formula>0</formula>
    </cfRule>
  </conditionalFormatting>
  <conditionalFormatting sqref="Y154:AE154">
    <cfRule type="cellIs" dxfId="2016" priority="624" operator="equal">
      <formula>0</formula>
    </cfRule>
  </conditionalFormatting>
  <conditionalFormatting sqref="Y159">
    <cfRule type="cellIs" dxfId="2015" priority="623" operator="lessThan">
      <formula>0</formula>
    </cfRule>
  </conditionalFormatting>
  <conditionalFormatting sqref="Y159">
    <cfRule type="cellIs" dxfId="2014" priority="622" operator="equal">
      <formula>0</formula>
    </cfRule>
  </conditionalFormatting>
  <conditionalFormatting sqref="Z135">
    <cfRule type="cellIs" dxfId="2013" priority="620" operator="equal">
      <formula>0</formula>
    </cfRule>
  </conditionalFormatting>
  <conditionalFormatting sqref="AF140:AQ140">
    <cfRule type="cellIs" dxfId="2012" priority="618" operator="equal">
      <formula>0</formula>
    </cfRule>
  </conditionalFormatting>
  <conditionalFormatting sqref="Z135">
    <cfRule type="cellIs" dxfId="2011" priority="621" operator="equal">
      <formula>0</formula>
    </cfRule>
  </conditionalFormatting>
  <conditionalFormatting sqref="AF140:AQ140">
    <cfRule type="cellIs" dxfId="2010" priority="619" operator="equal">
      <formula>0</formula>
    </cfRule>
  </conditionalFormatting>
  <conditionalFormatting sqref="AR154">
    <cfRule type="cellIs" dxfId="2009" priority="617" operator="equal">
      <formula>0</formula>
    </cfRule>
  </conditionalFormatting>
  <conditionalFormatting sqref="AR154">
    <cfRule type="cellIs" dxfId="2008" priority="616" operator="equal">
      <formula>0</formula>
    </cfRule>
  </conditionalFormatting>
  <conditionalFormatting sqref="AR132">
    <cfRule type="cellIs" dxfId="2007" priority="615" operator="equal">
      <formula>0</formula>
    </cfRule>
  </conditionalFormatting>
  <conditionalFormatting sqref="AR132">
    <cfRule type="cellIs" dxfId="2006" priority="614" operator="equal">
      <formula>0</formula>
    </cfRule>
  </conditionalFormatting>
  <conditionalFormatting sqref="AR125:AR126">
    <cfRule type="cellIs" dxfId="2005" priority="613" operator="equal">
      <formula>0</formula>
    </cfRule>
  </conditionalFormatting>
  <conditionalFormatting sqref="AR122">
    <cfRule type="cellIs" dxfId="2004" priority="612" operator="equal">
      <formula>0</formula>
    </cfRule>
  </conditionalFormatting>
  <conditionalFormatting sqref="AR124">
    <cfRule type="cellIs" dxfId="2003" priority="611" operator="equal">
      <formula>0</formula>
    </cfRule>
  </conditionalFormatting>
  <conditionalFormatting sqref="AR122:AR124">
    <cfRule type="cellIs" dxfId="2002" priority="610" operator="equal">
      <formula>0</formula>
    </cfRule>
  </conditionalFormatting>
  <conditionalFormatting sqref="AF154:AQ154">
    <cfRule type="cellIs" dxfId="2001" priority="609" operator="equal">
      <formula>0</formula>
    </cfRule>
  </conditionalFormatting>
  <conditionalFormatting sqref="AE145:AE147">
    <cfRule type="cellIs" dxfId="2000" priority="582" operator="equal">
      <formula>0</formula>
    </cfRule>
  </conditionalFormatting>
  <conditionalFormatting sqref="Z146:Z147">
    <cfRule type="cellIs" dxfId="1999" priority="583" operator="equal">
      <formula>0</formula>
    </cfRule>
  </conditionalFormatting>
  <conditionalFormatting sqref="AE148">
    <cfRule type="cellIs" dxfId="1998" priority="572" operator="equal">
      <formula>0</formula>
    </cfRule>
  </conditionalFormatting>
  <conditionalFormatting sqref="Z148:AE148">
    <cfRule type="cellIs" dxfId="1997" priority="571" operator="equal">
      <formula>0</formula>
    </cfRule>
  </conditionalFormatting>
  <conditionalFormatting sqref="AF148:AQ148">
    <cfRule type="cellIs" dxfId="1996" priority="570" operator="equal">
      <formula>0</formula>
    </cfRule>
  </conditionalFormatting>
  <conditionalFormatting sqref="AF145:AQ147">
    <cfRule type="cellIs" dxfId="1995" priority="578" operator="equal">
      <formula>0</formula>
    </cfRule>
  </conditionalFormatting>
  <conditionalFormatting sqref="AR145:AR147">
    <cfRule type="cellIs" dxfId="1994" priority="577" operator="equal">
      <formula>0</formula>
    </cfRule>
  </conditionalFormatting>
  <conditionalFormatting sqref="AF145:AR147">
    <cfRule type="cellIs" dxfId="1993" priority="576" operator="equal">
      <formula>0</formula>
    </cfRule>
  </conditionalFormatting>
  <conditionalFormatting sqref="AA148">
    <cfRule type="cellIs" dxfId="1992" priority="575" operator="equal">
      <formula>0</formula>
    </cfRule>
  </conditionalFormatting>
  <conditionalFormatting sqref="AC148:AD148">
    <cfRule type="cellIs" dxfId="1991" priority="574" operator="equal">
      <formula>0</formula>
    </cfRule>
  </conditionalFormatting>
  <conditionalFormatting sqref="AR151:AR153">
    <cfRule type="cellIs" dxfId="1990" priority="555" operator="equal">
      <formula>0</formula>
    </cfRule>
  </conditionalFormatting>
  <conditionalFormatting sqref="Z148">
    <cfRule type="cellIs" dxfId="1989" priority="573" operator="equal">
      <formula>0</formula>
    </cfRule>
  </conditionalFormatting>
  <conditionalFormatting sqref="AF151:AR153">
    <cfRule type="cellIs" dxfId="1988" priority="554" operator="equal">
      <formula>0</formula>
    </cfRule>
  </conditionalFormatting>
  <conditionalFormatting sqref="AF148:AR148">
    <cfRule type="cellIs" dxfId="1987" priority="568" operator="equal">
      <formula>0</formula>
    </cfRule>
  </conditionalFormatting>
  <conditionalFormatting sqref="AA149">
    <cfRule type="cellIs" dxfId="1986" priority="566" operator="equal">
      <formula>0</formula>
    </cfRule>
  </conditionalFormatting>
  <conditionalFormatting sqref="Z151 Z153">
    <cfRule type="cellIs" dxfId="1985" priority="561" operator="equal">
      <formula>0</formula>
    </cfRule>
  </conditionalFormatting>
  <conditionalFormatting sqref="Z149">
    <cfRule type="cellIs" dxfId="1984" priority="565" operator="equal">
      <formula>0</formula>
    </cfRule>
  </conditionalFormatting>
  <conditionalFormatting sqref="Z149:AE149">
    <cfRule type="cellIs" dxfId="1983" priority="564" operator="equal">
      <formula>0</formula>
    </cfRule>
  </conditionalFormatting>
  <conditionalFormatting sqref="AF151:AQ153">
    <cfRule type="cellIs" dxfId="1982" priority="556" operator="equal">
      <formula>0</formula>
    </cfRule>
  </conditionalFormatting>
  <conditionalFormatting sqref="AC151:AD153">
    <cfRule type="cellIs" dxfId="1981" priority="562" operator="equal">
      <formula>0</formula>
    </cfRule>
  </conditionalFormatting>
  <conditionalFormatting sqref="AE156:AE158">
    <cfRule type="cellIs" dxfId="1980" priority="540" operator="equal">
      <formula>0</formula>
    </cfRule>
  </conditionalFormatting>
  <conditionalFormatting sqref="Z152">
    <cfRule type="cellIs" dxfId="1979" priority="558" operator="equal">
      <formula>0</formula>
    </cfRule>
  </conditionalFormatting>
  <conditionalFormatting sqref="AE151:AE153">
    <cfRule type="cellIs" dxfId="1978" priority="560" operator="equal">
      <formula>0</formula>
    </cfRule>
  </conditionalFormatting>
  <conditionalFormatting sqref="Z152">
    <cfRule type="cellIs" dxfId="1977" priority="557" operator="equal">
      <formula>0</formula>
    </cfRule>
  </conditionalFormatting>
  <conditionalFormatting sqref="AR159">
    <cfRule type="cellIs" dxfId="1976" priority="546" operator="equal">
      <formula>0</formula>
    </cfRule>
  </conditionalFormatting>
  <conditionalFormatting sqref="AR156:AR158">
    <cfRule type="cellIs" dxfId="1975" priority="535" operator="equal">
      <formula>0</formula>
    </cfRule>
  </conditionalFormatting>
  <conditionalFormatting sqref="AF159:AQ159">
    <cfRule type="cellIs" dxfId="1974" priority="544" operator="equal">
      <formula>0</formula>
    </cfRule>
  </conditionalFormatting>
  <conditionalFormatting sqref="AA156:AA158">
    <cfRule type="cellIs" dxfId="1973" priority="543" operator="equal">
      <formula>0</formula>
    </cfRule>
  </conditionalFormatting>
  <conditionalFormatting sqref="AC156:AD158">
    <cfRule type="cellIs" dxfId="1972" priority="542" operator="equal">
      <formula>0</formula>
    </cfRule>
  </conditionalFormatting>
  <conditionalFormatting sqref="Z156 Z158">
    <cfRule type="cellIs" dxfId="1971" priority="541" operator="equal">
      <formula>0</formula>
    </cfRule>
  </conditionalFormatting>
  <conditionalFormatting sqref="Z159">
    <cfRule type="cellIs" dxfId="1970" priority="548" operator="equal">
      <formula>0</formula>
    </cfRule>
  </conditionalFormatting>
  <conditionalFormatting sqref="Z157">
    <cfRule type="cellIs" dxfId="1969" priority="538" operator="equal">
      <formula>0</formula>
    </cfRule>
  </conditionalFormatting>
  <conditionalFormatting sqref="AF156:AQ158">
    <cfRule type="cellIs" dxfId="1968" priority="536" operator="equal">
      <formula>0</formula>
    </cfRule>
  </conditionalFormatting>
  <conditionalFormatting sqref="AF156:AR158">
    <cfRule type="cellIs" dxfId="1967" priority="534" operator="equal">
      <formula>0</formula>
    </cfRule>
  </conditionalFormatting>
  <conditionalFormatting sqref="Z145">
    <cfRule type="cellIs" dxfId="1966" priority="580" operator="equal">
      <formula>0</formula>
    </cfRule>
  </conditionalFormatting>
  <conditionalFormatting sqref="Z145">
    <cfRule type="cellIs" dxfId="1965" priority="579" operator="equal">
      <formula>0</formula>
    </cfRule>
  </conditionalFormatting>
  <conditionalFormatting sqref="AR148">
    <cfRule type="cellIs" dxfId="1964" priority="569" operator="equal">
      <formula>0</formula>
    </cfRule>
  </conditionalFormatting>
  <conditionalFormatting sqref="Z151:AE151 Z153:AE153 AA152:AE152">
    <cfRule type="cellIs" dxfId="1963" priority="559" operator="equal">
      <formula>0</formula>
    </cfRule>
  </conditionalFormatting>
  <conditionalFormatting sqref="AA151:AA153">
    <cfRule type="cellIs" dxfId="1962" priority="563" operator="equal">
      <formula>0</formula>
    </cfRule>
  </conditionalFormatting>
  <conditionalFormatting sqref="AR149">
    <cfRule type="cellIs" dxfId="1961" priority="552" operator="equal">
      <formula>0</formula>
    </cfRule>
  </conditionalFormatting>
  <conditionalFormatting sqref="AF149:AQ149">
    <cfRule type="cellIs" dxfId="1960" priority="551" operator="equal">
      <formula>0</formula>
    </cfRule>
  </conditionalFormatting>
  <conditionalFormatting sqref="AA159">
    <cfRule type="cellIs" dxfId="1959" priority="549" operator="equal">
      <formula>0</formula>
    </cfRule>
  </conditionalFormatting>
  <conditionalFormatting sqref="Z159:AE159">
    <cfRule type="cellIs" dxfId="1958" priority="547" operator="equal">
      <formula>0</formula>
    </cfRule>
  </conditionalFormatting>
  <conditionalFormatting sqref="AR149">
    <cfRule type="cellIs" dxfId="1957" priority="553" operator="equal">
      <formula>0</formula>
    </cfRule>
  </conditionalFormatting>
  <conditionalFormatting sqref="Z156:AE156 Z158:AE158 AA157:AE157">
    <cfRule type="cellIs" dxfId="1956" priority="539" operator="equal">
      <formula>0</formula>
    </cfRule>
  </conditionalFormatting>
  <conditionalFormatting sqref="Y152">
    <cfRule type="cellIs" dxfId="1955" priority="528" operator="equal">
      <formula>0</formula>
    </cfRule>
  </conditionalFormatting>
  <conditionalFormatting sqref="Y127 Y129:Y131">
    <cfRule type="cellIs" dxfId="1954" priority="608" operator="equal">
      <formula>0</formula>
    </cfRule>
  </conditionalFormatting>
  <conditionalFormatting sqref="Y128">
    <cfRule type="cellIs" dxfId="1953" priority="607" operator="equal">
      <formula>0</formula>
    </cfRule>
  </conditionalFormatting>
  <conditionalFormatting sqref="Y126">
    <cfRule type="cellIs" dxfId="1952" priority="606" operator="equal">
      <formula>0</formula>
    </cfRule>
  </conditionalFormatting>
  <conditionalFormatting sqref="Y125">
    <cfRule type="cellIs" dxfId="1951" priority="605" operator="equal">
      <formula>0</formula>
    </cfRule>
  </conditionalFormatting>
  <conditionalFormatting sqref="Y134 Y136:Y138">
    <cfRule type="cellIs" dxfId="1950" priority="604" operator="equal">
      <formula>0</formula>
    </cfRule>
  </conditionalFormatting>
  <conditionalFormatting sqref="Y135">
    <cfRule type="cellIs" dxfId="1949" priority="603" operator="equal">
      <formula>0</formula>
    </cfRule>
  </conditionalFormatting>
  <conditionalFormatting sqref="AF132:AQ132">
    <cfRule type="cellIs" dxfId="1948" priority="602" operator="equal">
      <formula>0</formula>
    </cfRule>
  </conditionalFormatting>
  <conditionalFormatting sqref="AF134:AQ138">
    <cfRule type="cellIs" dxfId="1947" priority="601" operator="equal">
      <formula>0</formula>
    </cfRule>
  </conditionalFormatting>
  <conditionalFormatting sqref="AR134:AR138">
    <cfRule type="cellIs" dxfId="1946" priority="600" operator="equal">
      <formula>0</formula>
    </cfRule>
  </conditionalFormatting>
  <conditionalFormatting sqref="AF134:AR138">
    <cfRule type="cellIs" dxfId="1945" priority="599" operator="equal">
      <formula>0</formula>
    </cfRule>
  </conditionalFormatting>
  <conditionalFormatting sqref="AR139">
    <cfRule type="cellIs" dxfId="1944" priority="598" operator="equal">
      <formula>0</formula>
    </cfRule>
  </conditionalFormatting>
  <conditionalFormatting sqref="AR139">
    <cfRule type="cellIs" dxfId="1943" priority="597" operator="equal">
      <formula>0</formula>
    </cfRule>
  </conditionalFormatting>
  <conditionalFormatting sqref="AF139:AQ139">
    <cfRule type="cellIs" dxfId="1942" priority="596" operator="equal">
      <formula>0</formula>
    </cfRule>
  </conditionalFormatting>
  <conditionalFormatting sqref="AC141:AD144">
    <cfRule type="cellIs" dxfId="1941" priority="594" operator="equal">
      <formula>0</formula>
    </cfRule>
  </conditionalFormatting>
  <conditionalFormatting sqref="Z141 Z143:Z144">
    <cfRule type="cellIs" dxfId="1940" priority="593" operator="equal">
      <formula>0</formula>
    </cfRule>
  </conditionalFormatting>
  <conditionalFormatting sqref="AE141:AE144">
    <cfRule type="cellIs" dxfId="1939" priority="592" operator="equal">
      <formula>0</formula>
    </cfRule>
  </conditionalFormatting>
  <conditionalFormatting sqref="AA141:AA144">
    <cfRule type="cellIs" dxfId="1938" priority="595" operator="equal">
      <formula>0</formula>
    </cfRule>
  </conditionalFormatting>
  <conditionalFormatting sqref="Z141:AE141 Z143:AE144 AA142:AE142">
    <cfRule type="cellIs" dxfId="1937" priority="591" operator="equal">
      <formula>0</formula>
    </cfRule>
  </conditionalFormatting>
  <conditionalFormatting sqref="Z142">
    <cfRule type="cellIs" dxfId="1936" priority="589" operator="equal">
      <formula>0</formula>
    </cfRule>
  </conditionalFormatting>
  <conditionalFormatting sqref="Z142">
    <cfRule type="cellIs" dxfId="1935" priority="590" operator="equal">
      <formula>0</formula>
    </cfRule>
  </conditionalFormatting>
  <conditionalFormatting sqref="AF141:AQ144">
    <cfRule type="cellIs" dxfId="1934" priority="588" operator="equal">
      <formula>0</formula>
    </cfRule>
  </conditionalFormatting>
  <conditionalFormatting sqref="AR141:AR144">
    <cfRule type="cellIs" dxfId="1933" priority="587" operator="equal">
      <formula>0</formula>
    </cfRule>
  </conditionalFormatting>
  <conditionalFormatting sqref="AF141:AR144">
    <cfRule type="cellIs" dxfId="1932" priority="586" operator="equal">
      <formula>0</formula>
    </cfRule>
  </conditionalFormatting>
  <conditionalFormatting sqref="AC145:AD147">
    <cfRule type="cellIs" dxfId="1931" priority="584" operator="equal">
      <formula>0</formula>
    </cfRule>
  </conditionalFormatting>
  <conditionalFormatting sqref="AA145:AA147">
    <cfRule type="cellIs" dxfId="1930" priority="585" operator="equal">
      <formula>0</formula>
    </cfRule>
  </conditionalFormatting>
  <conditionalFormatting sqref="Z146:AE147 AA145:AE145">
    <cfRule type="cellIs" dxfId="1929" priority="581" operator="equal">
      <formula>0</formula>
    </cfRule>
  </conditionalFormatting>
  <conditionalFormatting sqref="Z149:AD149">
    <cfRule type="cellIs" dxfId="1928" priority="567" operator="lessThan">
      <formula>0</formula>
    </cfRule>
  </conditionalFormatting>
  <conditionalFormatting sqref="Z159:AD159">
    <cfRule type="cellIs" dxfId="1927" priority="550" operator="lessThan">
      <formula>0</formula>
    </cfRule>
  </conditionalFormatting>
  <conditionalFormatting sqref="Z157">
    <cfRule type="cellIs" dxfId="1926" priority="537" operator="equal">
      <formula>0</formula>
    </cfRule>
  </conditionalFormatting>
  <conditionalFormatting sqref="AR159">
    <cfRule type="cellIs" dxfId="1925" priority="545" operator="equal">
      <formula>0</formula>
    </cfRule>
  </conditionalFormatting>
  <conditionalFormatting sqref="Y151 Y153">
    <cfRule type="cellIs" dxfId="1924" priority="529" operator="equal">
      <formula>0</formula>
    </cfRule>
  </conditionalFormatting>
  <conditionalFormatting sqref="Y141 Y143:Y144">
    <cfRule type="cellIs" dxfId="1923" priority="533" operator="equal">
      <formula>0</formula>
    </cfRule>
  </conditionalFormatting>
  <conditionalFormatting sqref="Y142">
    <cfRule type="cellIs" dxfId="1922" priority="532" operator="equal">
      <formula>0</formula>
    </cfRule>
  </conditionalFormatting>
  <conditionalFormatting sqref="Y145 Y147:Y148">
    <cfRule type="cellIs" dxfId="1921" priority="531" operator="equal">
      <formula>0</formula>
    </cfRule>
  </conditionalFormatting>
  <conditionalFormatting sqref="Y146">
    <cfRule type="cellIs" dxfId="1920" priority="530" operator="equal">
      <formula>0</formula>
    </cfRule>
  </conditionalFormatting>
  <conditionalFormatting sqref="Y156 Y158">
    <cfRule type="cellIs" dxfId="1919" priority="527" operator="equal">
      <formula>0</formula>
    </cfRule>
  </conditionalFormatting>
  <conditionalFormatting sqref="Y157">
    <cfRule type="cellIs" dxfId="1918" priority="526" operator="equal">
      <formula>0</formula>
    </cfRule>
  </conditionalFormatting>
  <conditionalFormatting sqref="Z164:AE164 AB163">
    <cfRule type="cellIs" dxfId="1917" priority="525" operator="equal">
      <formula>0</formula>
    </cfRule>
  </conditionalFormatting>
  <conditionalFormatting sqref="AE166:AE167">
    <cfRule type="cellIs" dxfId="1916" priority="523" operator="equal">
      <formula>0</formula>
    </cfRule>
  </conditionalFormatting>
  <conditionalFormatting sqref="AC175:AD179">
    <cfRule type="cellIs" dxfId="1915" priority="519" operator="equal">
      <formula>0</formula>
    </cfRule>
  </conditionalFormatting>
  <conditionalFormatting sqref="Z169:Z175 Z177:Z179">
    <cfRule type="cellIs" dxfId="1914" priority="518" operator="equal">
      <formula>0</formula>
    </cfRule>
  </conditionalFormatting>
  <conditionalFormatting sqref="AE175:AE179">
    <cfRule type="cellIs" dxfId="1913" priority="516" operator="equal">
      <formula>0</formula>
    </cfRule>
  </conditionalFormatting>
  <conditionalFormatting sqref="AE165">
    <cfRule type="cellIs" dxfId="1912" priority="508" operator="equal">
      <formula>0</formula>
    </cfRule>
  </conditionalFormatting>
  <conditionalFormatting sqref="AA181">
    <cfRule type="cellIs" dxfId="1911" priority="507" operator="equal">
      <formula>0</formula>
    </cfRule>
  </conditionalFormatting>
  <conditionalFormatting sqref="Z181">
    <cfRule type="cellIs" dxfId="1910" priority="506" operator="equal">
      <formula>0</formula>
    </cfRule>
  </conditionalFormatting>
  <conditionalFormatting sqref="Y181:AQ181">
    <cfRule type="cellIs" dxfId="1909" priority="505" operator="equal">
      <formula>0</formula>
    </cfRule>
  </conditionalFormatting>
  <conditionalFormatting sqref="AE181 AR181">
    <cfRule type="cellIs" dxfId="1908" priority="504" operator="equal">
      <formula>0</formula>
    </cfRule>
  </conditionalFormatting>
  <conditionalFormatting sqref="AE181 AR181">
    <cfRule type="cellIs" dxfId="1907" priority="503" operator="equal">
      <formula>0</formula>
    </cfRule>
  </conditionalFormatting>
  <conditionalFormatting sqref="AA191">
    <cfRule type="cellIs" dxfId="1906" priority="502" operator="equal">
      <formula>0</formula>
    </cfRule>
  </conditionalFormatting>
  <conditionalFormatting sqref="Z191">
    <cfRule type="cellIs" dxfId="1905" priority="501" operator="equal">
      <formula>0</formula>
    </cfRule>
  </conditionalFormatting>
  <conditionalFormatting sqref="Y191:AD191">
    <cfRule type="cellIs" dxfId="1904" priority="500" operator="equal">
      <formula>0</formula>
    </cfRule>
  </conditionalFormatting>
  <conditionalFormatting sqref="AE191:AR191">
    <cfRule type="cellIs" dxfId="1903" priority="499" operator="equal">
      <formula>0</formula>
    </cfRule>
  </conditionalFormatting>
  <conditionalFormatting sqref="AE191:AR191">
    <cfRule type="cellIs" dxfId="1902" priority="498" operator="equal">
      <formula>0</formula>
    </cfRule>
  </conditionalFormatting>
  <conditionalFormatting sqref="AA196">
    <cfRule type="cellIs" dxfId="1901" priority="497" operator="equal">
      <formula>0</formula>
    </cfRule>
  </conditionalFormatting>
  <conditionalFormatting sqref="Z196">
    <cfRule type="cellIs" dxfId="1900" priority="496" operator="equal">
      <formula>0</formula>
    </cfRule>
  </conditionalFormatting>
  <conditionalFormatting sqref="Y196:AD196">
    <cfRule type="cellIs" dxfId="1899" priority="495" operator="equal">
      <formula>0</formula>
    </cfRule>
  </conditionalFormatting>
  <conditionalFormatting sqref="AE196:AR196">
    <cfRule type="cellIs" dxfId="1898" priority="494" operator="equal">
      <formula>0</formula>
    </cfRule>
  </conditionalFormatting>
  <conditionalFormatting sqref="AE196:AR196">
    <cfRule type="cellIs" dxfId="1897" priority="493" operator="equal">
      <formula>0</formula>
    </cfRule>
  </conditionalFormatting>
  <conditionalFormatting sqref="AF165:AQ165">
    <cfRule type="cellIs" dxfId="1896" priority="524" operator="equal">
      <formula>0</formula>
    </cfRule>
  </conditionalFormatting>
  <conditionalFormatting sqref="AR201">
    <cfRule type="cellIs" dxfId="1895" priority="522" operator="equal">
      <formula>0</formula>
    </cfRule>
  </conditionalFormatting>
  <conditionalFormatting sqref="AD168:AD173 Y173:AC173">
    <cfRule type="cellIs" dxfId="1894" priority="521" operator="lessThan">
      <formula>0</formula>
    </cfRule>
  </conditionalFormatting>
  <conditionalFormatting sqref="Z168:AA168 AA169:AA179">
    <cfRule type="cellIs" dxfId="1893" priority="520" operator="equal">
      <formula>0</formula>
    </cfRule>
  </conditionalFormatting>
  <conditionalFormatting sqref="AE168:AE172">
    <cfRule type="cellIs" dxfId="1892" priority="517" operator="equal">
      <formula>0</formula>
    </cfRule>
  </conditionalFormatting>
  <conditionalFormatting sqref="AF168:AQ172">
    <cfRule type="cellIs" dxfId="1891" priority="515" operator="equal">
      <formula>0</formula>
    </cfRule>
  </conditionalFormatting>
  <conditionalFormatting sqref="AR168:AR172">
    <cfRule type="cellIs" dxfId="1890" priority="514" operator="equal">
      <formula>0</formula>
    </cfRule>
  </conditionalFormatting>
  <conditionalFormatting sqref="Y174:AD174 Z175:AE175 Z163:AA163 Y201:AR201 AC165:AD165 Y165 AF164:AQ165 Z177:AE179 Y173:AE173 Z168:AR172 AA176:AE176 Z166:AQ167 AC163:AR163">
    <cfRule type="cellIs" dxfId="1889" priority="513" operator="equal">
      <formula>0</formula>
    </cfRule>
  </conditionalFormatting>
  <conditionalFormatting sqref="AE174:AR174">
    <cfRule type="cellIs" dxfId="1888" priority="512" operator="equal">
      <formula>0</formula>
    </cfRule>
  </conditionalFormatting>
  <conditionalFormatting sqref="AE174:AR174">
    <cfRule type="cellIs" dxfId="1887" priority="511" operator="equal">
      <formula>0</formula>
    </cfRule>
  </conditionalFormatting>
  <conditionalFormatting sqref="AR201">
    <cfRule type="cellIs" dxfId="1886" priority="510" operator="equal">
      <formula>0</formula>
    </cfRule>
  </conditionalFormatting>
  <conditionalFormatting sqref="Z165:AB165">
    <cfRule type="cellIs" dxfId="1885" priority="509" operator="equal">
      <formula>0</formula>
    </cfRule>
  </conditionalFormatting>
  <conditionalFormatting sqref="Y164">
    <cfRule type="cellIs" dxfId="1884" priority="492" operator="equal">
      <formula>0</formula>
    </cfRule>
  </conditionalFormatting>
  <conditionalFormatting sqref="Z180">
    <cfRule type="cellIs" dxfId="1883" priority="489" operator="equal">
      <formula>0</formula>
    </cfRule>
  </conditionalFormatting>
  <conditionalFormatting sqref="Y180:AD180">
    <cfRule type="cellIs" dxfId="1882" priority="491" operator="lessThan">
      <formula>0</formula>
    </cfRule>
  </conditionalFormatting>
  <conditionalFormatting sqref="AA180">
    <cfRule type="cellIs" dxfId="1881" priority="490" operator="equal">
      <formula>0</formula>
    </cfRule>
  </conditionalFormatting>
  <conditionalFormatting sqref="Y180:AE180">
    <cfRule type="cellIs" dxfId="1880" priority="488" operator="equal">
      <formula>0</formula>
    </cfRule>
  </conditionalFormatting>
  <conditionalFormatting sqref="Y190">
    <cfRule type="cellIs" dxfId="1879" priority="487" operator="lessThan">
      <formula>0</formula>
    </cfRule>
  </conditionalFormatting>
  <conditionalFormatting sqref="Y190">
    <cfRule type="cellIs" dxfId="1878" priority="486" operator="equal">
      <formula>0</formula>
    </cfRule>
  </conditionalFormatting>
  <conditionalFormatting sqref="Z195">
    <cfRule type="cellIs" dxfId="1877" priority="483" operator="equal">
      <formula>0</formula>
    </cfRule>
  </conditionalFormatting>
  <conditionalFormatting sqref="Y195:AD195">
    <cfRule type="cellIs" dxfId="1876" priority="485" operator="lessThan">
      <formula>0</formula>
    </cfRule>
  </conditionalFormatting>
  <conditionalFormatting sqref="AA195">
    <cfRule type="cellIs" dxfId="1875" priority="484" operator="equal">
      <formula>0</formula>
    </cfRule>
  </conditionalFormatting>
  <conditionalFormatting sqref="Y195:AE195">
    <cfRule type="cellIs" dxfId="1874" priority="482" operator="equal">
      <formula>0</formula>
    </cfRule>
  </conditionalFormatting>
  <conditionalFormatting sqref="Y200">
    <cfRule type="cellIs" dxfId="1873" priority="481" operator="lessThan">
      <formula>0</formula>
    </cfRule>
  </conditionalFormatting>
  <conditionalFormatting sqref="Y200">
    <cfRule type="cellIs" dxfId="1872" priority="480" operator="equal">
      <formula>0</formula>
    </cfRule>
  </conditionalFormatting>
  <conditionalFormatting sqref="Z176">
    <cfRule type="cellIs" dxfId="1871" priority="478" operator="equal">
      <formula>0</formula>
    </cfRule>
  </conditionalFormatting>
  <conditionalFormatting sqref="AF181:AQ181">
    <cfRule type="cellIs" dxfId="1870" priority="476" operator="equal">
      <formula>0</formula>
    </cfRule>
  </conditionalFormatting>
  <conditionalFormatting sqref="Z176">
    <cfRule type="cellIs" dxfId="1869" priority="479" operator="equal">
      <formula>0</formula>
    </cfRule>
  </conditionalFormatting>
  <conditionalFormatting sqref="AF181:AQ181">
    <cfRule type="cellIs" dxfId="1868" priority="477" operator="equal">
      <formula>0</formula>
    </cfRule>
  </conditionalFormatting>
  <conditionalFormatting sqref="AR195">
    <cfRule type="cellIs" dxfId="1867" priority="475" operator="equal">
      <formula>0</formula>
    </cfRule>
  </conditionalFormatting>
  <conditionalFormatting sqref="AR195">
    <cfRule type="cellIs" dxfId="1866" priority="474" operator="equal">
      <formula>0</formula>
    </cfRule>
  </conditionalFormatting>
  <conditionalFormatting sqref="AR173">
    <cfRule type="cellIs" dxfId="1865" priority="473" operator="equal">
      <formula>0</formula>
    </cfRule>
  </conditionalFormatting>
  <conditionalFormatting sqref="AR173">
    <cfRule type="cellIs" dxfId="1864" priority="472" operator="equal">
      <formula>0</formula>
    </cfRule>
  </conditionalFormatting>
  <conditionalFormatting sqref="AR166:AR167">
    <cfRule type="cellIs" dxfId="1863" priority="471" operator="equal">
      <formula>0</formula>
    </cfRule>
  </conditionalFormatting>
  <conditionalFormatting sqref="AR163">
    <cfRule type="cellIs" dxfId="1862" priority="470" operator="equal">
      <formula>0</formula>
    </cfRule>
  </conditionalFormatting>
  <conditionalFormatting sqref="AR165">
    <cfRule type="cellIs" dxfId="1861" priority="469" operator="equal">
      <formula>0</formula>
    </cfRule>
  </conditionalFormatting>
  <conditionalFormatting sqref="AR163:AR165">
    <cfRule type="cellIs" dxfId="1860" priority="468" operator="equal">
      <formula>0</formula>
    </cfRule>
  </conditionalFormatting>
  <conditionalFormatting sqref="AF195:AQ195">
    <cfRule type="cellIs" dxfId="1859" priority="467" operator="equal">
      <formula>0</formula>
    </cfRule>
  </conditionalFormatting>
  <conditionalFormatting sqref="AE186:AE188">
    <cfRule type="cellIs" dxfId="1858" priority="440" operator="equal">
      <formula>0</formula>
    </cfRule>
  </conditionalFormatting>
  <conditionalFormatting sqref="Z187:Z188">
    <cfRule type="cellIs" dxfId="1857" priority="441" operator="equal">
      <formula>0</formula>
    </cfRule>
  </conditionalFormatting>
  <conditionalFormatting sqref="AE189">
    <cfRule type="cellIs" dxfId="1856" priority="430" operator="equal">
      <formula>0</formula>
    </cfRule>
  </conditionalFormatting>
  <conditionalFormatting sqref="Z189:AE189">
    <cfRule type="cellIs" dxfId="1855" priority="429" operator="equal">
      <formula>0</formula>
    </cfRule>
  </conditionalFormatting>
  <conditionalFormatting sqref="AF189:AQ189">
    <cfRule type="cellIs" dxfId="1854" priority="428" operator="equal">
      <formula>0</formula>
    </cfRule>
  </conditionalFormatting>
  <conditionalFormatting sqref="AF186:AQ188">
    <cfRule type="cellIs" dxfId="1853" priority="436" operator="equal">
      <formula>0</formula>
    </cfRule>
  </conditionalFormatting>
  <conditionalFormatting sqref="AR186:AR188">
    <cfRule type="cellIs" dxfId="1852" priority="435" operator="equal">
      <formula>0</formula>
    </cfRule>
  </conditionalFormatting>
  <conditionalFormatting sqref="AF186:AR188">
    <cfRule type="cellIs" dxfId="1851" priority="434" operator="equal">
      <formula>0</formula>
    </cfRule>
  </conditionalFormatting>
  <conditionalFormatting sqref="AA189">
    <cfRule type="cellIs" dxfId="1850" priority="433" operator="equal">
      <formula>0</formula>
    </cfRule>
  </conditionalFormatting>
  <conditionalFormatting sqref="AC189:AD189">
    <cfRule type="cellIs" dxfId="1849" priority="432" operator="equal">
      <formula>0</formula>
    </cfRule>
  </conditionalFormatting>
  <conditionalFormatting sqref="AR192:AR194">
    <cfRule type="cellIs" dxfId="1848" priority="413" operator="equal">
      <formula>0</formula>
    </cfRule>
  </conditionalFormatting>
  <conditionalFormatting sqref="Z189">
    <cfRule type="cellIs" dxfId="1847" priority="431" operator="equal">
      <formula>0</formula>
    </cfRule>
  </conditionalFormatting>
  <conditionalFormatting sqref="AF192:AR194">
    <cfRule type="cellIs" dxfId="1846" priority="412" operator="equal">
      <formula>0</formula>
    </cfRule>
  </conditionalFormatting>
  <conditionalFormatting sqref="AF189:AR189">
    <cfRule type="cellIs" dxfId="1845" priority="426" operator="equal">
      <formula>0</formula>
    </cfRule>
  </conditionalFormatting>
  <conditionalFormatting sqref="AA190">
    <cfRule type="cellIs" dxfId="1844" priority="424" operator="equal">
      <formula>0</formula>
    </cfRule>
  </conditionalFormatting>
  <conditionalFormatting sqref="Z192 Z194">
    <cfRule type="cellIs" dxfId="1843" priority="419" operator="equal">
      <formula>0</formula>
    </cfRule>
  </conditionalFormatting>
  <conditionalFormatting sqref="Z190">
    <cfRule type="cellIs" dxfId="1842" priority="423" operator="equal">
      <formula>0</formula>
    </cfRule>
  </conditionalFormatting>
  <conditionalFormatting sqref="Z190:AE190">
    <cfRule type="cellIs" dxfId="1841" priority="422" operator="equal">
      <formula>0</formula>
    </cfRule>
  </conditionalFormatting>
  <conditionalFormatting sqref="AF192:AQ194">
    <cfRule type="cellIs" dxfId="1840" priority="414" operator="equal">
      <formula>0</formula>
    </cfRule>
  </conditionalFormatting>
  <conditionalFormatting sqref="AC192:AD194">
    <cfRule type="cellIs" dxfId="1839" priority="420" operator="equal">
      <formula>0</formula>
    </cfRule>
  </conditionalFormatting>
  <conditionalFormatting sqref="AE197:AE199">
    <cfRule type="cellIs" dxfId="1838" priority="398" operator="equal">
      <formula>0</formula>
    </cfRule>
  </conditionalFormatting>
  <conditionalFormatting sqref="Z193">
    <cfRule type="cellIs" dxfId="1837" priority="416" operator="equal">
      <formula>0</formula>
    </cfRule>
  </conditionalFormatting>
  <conditionalFormatting sqref="AE192:AE194">
    <cfRule type="cellIs" dxfId="1836" priority="418" operator="equal">
      <formula>0</formula>
    </cfRule>
  </conditionalFormatting>
  <conditionalFormatting sqref="Z193">
    <cfRule type="cellIs" dxfId="1835" priority="415" operator="equal">
      <formula>0</formula>
    </cfRule>
  </conditionalFormatting>
  <conditionalFormatting sqref="AR200">
    <cfRule type="cellIs" dxfId="1834" priority="404" operator="equal">
      <formula>0</formula>
    </cfRule>
  </conditionalFormatting>
  <conditionalFormatting sqref="AR197:AR199">
    <cfRule type="cellIs" dxfId="1833" priority="393" operator="equal">
      <formula>0</formula>
    </cfRule>
  </conditionalFormatting>
  <conditionalFormatting sqref="AF200:AQ200">
    <cfRule type="cellIs" dxfId="1832" priority="402" operator="equal">
      <formula>0</formula>
    </cfRule>
  </conditionalFormatting>
  <conditionalFormatting sqref="AA197:AA199">
    <cfRule type="cellIs" dxfId="1831" priority="401" operator="equal">
      <formula>0</formula>
    </cfRule>
  </conditionalFormatting>
  <conditionalFormatting sqref="AC197:AD199">
    <cfRule type="cellIs" dxfId="1830" priority="400" operator="equal">
      <formula>0</formula>
    </cfRule>
  </conditionalFormatting>
  <conditionalFormatting sqref="Z197 Z199">
    <cfRule type="cellIs" dxfId="1829" priority="399" operator="equal">
      <formula>0</formula>
    </cfRule>
  </conditionalFormatting>
  <conditionalFormatting sqref="Z200">
    <cfRule type="cellIs" dxfId="1828" priority="406" operator="equal">
      <formula>0</formula>
    </cfRule>
  </conditionalFormatting>
  <conditionalFormatting sqref="Z198">
    <cfRule type="cellIs" dxfId="1827" priority="396" operator="equal">
      <formula>0</formula>
    </cfRule>
  </conditionalFormatting>
  <conditionalFormatting sqref="AF197:AQ199">
    <cfRule type="cellIs" dxfId="1826" priority="394" operator="equal">
      <formula>0</formula>
    </cfRule>
  </conditionalFormatting>
  <conditionalFormatting sqref="AF197:AR199">
    <cfRule type="cellIs" dxfId="1825" priority="392" operator="equal">
      <formula>0</formula>
    </cfRule>
  </conditionalFormatting>
  <conditionalFormatting sqref="Z186">
    <cfRule type="cellIs" dxfId="1824" priority="438" operator="equal">
      <formula>0</formula>
    </cfRule>
  </conditionalFormatting>
  <conditionalFormatting sqref="Z186">
    <cfRule type="cellIs" dxfId="1823" priority="437" operator="equal">
      <formula>0</formula>
    </cfRule>
  </conditionalFormatting>
  <conditionalFormatting sqref="AR189">
    <cfRule type="cellIs" dxfId="1822" priority="427" operator="equal">
      <formula>0</formula>
    </cfRule>
  </conditionalFormatting>
  <conditionalFormatting sqref="Z192:AE192 Z194:AE194 AA193:AE193">
    <cfRule type="cellIs" dxfId="1821" priority="417" operator="equal">
      <formula>0</formula>
    </cfRule>
  </conditionalFormatting>
  <conditionalFormatting sqref="AA192:AA194">
    <cfRule type="cellIs" dxfId="1820" priority="421" operator="equal">
      <formula>0</formula>
    </cfRule>
  </conditionalFormatting>
  <conditionalFormatting sqref="AR190">
    <cfRule type="cellIs" dxfId="1819" priority="410" operator="equal">
      <formula>0</formula>
    </cfRule>
  </conditionalFormatting>
  <conditionalFormatting sqref="AF190:AQ190">
    <cfRule type="cellIs" dxfId="1818" priority="409" operator="equal">
      <formula>0</formula>
    </cfRule>
  </conditionalFormatting>
  <conditionalFormatting sqref="AA200">
    <cfRule type="cellIs" dxfId="1817" priority="407" operator="equal">
      <formula>0</formula>
    </cfRule>
  </conditionalFormatting>
  <conditionalFormatting sqref="Z200:AE200">
    <cfRule type="cellIs" dxfId="1816" priority="405" operator="equal">
      <formula>0</formula>
    </cfRule>
  </conditionalFormatting>
  <conditionalFormatting sqref="AR190">
    <cfRule type="cellIs" dxfId="1815" priority="411" operator="equal">
      <formula>0</formula>
    </cfRule>
  </conditionalFormatting>
  <conditionalFormatting sqref="Z197:AE197 Z199:AE199 AA198:AE198">
    <cfRule type="cellIs" dxfId="1814" priority="397" operator="equal">
      <formula>0</formula>
    </cfRule>
  </conditionalFormatting>
  <conditionalFormatting sqref="Y193">
    <cfRule type="cellIs" dxfId="1813" priority="386" operator="equal">
      <formula>0</formula>
    </cfRule>
  </conditionalFormatting>
  <conditionalFormatting sqref="Y168 Y170:Y172">
    <cfRule type="cellIs" dxfId="1812" priority="466" operator="equal">
      <formula>0</formula>
    </cfRule>
  </conditionalFormatting>
  <conditionalFormatting sqref="Y169">
    <cfRule type="cellIs" dxfId="1811" priority="465" operator="equal">
      <formula>0</formula>
    </cfRule>
  </conditionalFormatting>
  <conditionalFormatting sqref="Y167">
    <cfRule type="cellIs" dxfId="1810" priority="464" operator="equal">
      <formula>0</formula>
    </cfRule>
  </conditionalFormatting>
  <conditionalFormatting sqref="Y166">
    <cfRule type="cellIs" dxfId="1809" priority="463" operator="equal">
      <formula>0</formula>
    </cfRule>
  </conditionalFormatting>
  <conditionalFormatting sqref="Y175 Y177:Y179">
    <cfRule type="cellIs" dxfId="1808" priority="462" operator="equal">
      <formula>0</formula>
    </cfRule>
  </conditionalFormatting>
  <conditionalFormatting sqref="Y176">
    <cfRule type="cellIs" dxfId="1807" priority="461" operator="equal">
      <formula>0</formula>
    </cfRule>
  </conditionalFormatting>
  <conditionalFormatting sqref="AF173:AQ173">
    <cfRule type="cellIs" dxfId="1806" priority="460" operator="equal">
      <formula>0</formula>
    </cfRule>
  </conditionalFormatting>
  <conditionalFormatting sqref="AF175:AQ179">
    <cfRule type="cellIs" dxfId="1805" priority="459" operator="equal">
      <formula>0</formula>
    </cfRule>
  </conditionalFormatting>
  <conditionalFormatting sqref="AR175:AR179">
    <cfRule type="cellIs" dxfId="1804" priority="458" operator="equal">
      <formula>0</formula>
    </cfRule>
  </conditionalFormatting>
  <conditionalFormatting sqref="AF175:AR179">
    <cfRule type="cellIs" dxfId="1803" priority="457" operator="equal">
      <formula>0</formula>
    </cfRule>
  </conditionalFormatting>
  <conditionalFormatting sqref="AR180">
    <cfRule type="cellIs" dxfId="1802" priority="456" operator="equal">
      <formula>0</formula>
    </cfRule>
  </conditionalFormatting>
  <conditionalFormatting sqref="AR180">
    <cfRule type="cellIs" dxfId="1801" priority="455" operator="equal">
      <formula>0</formula>
    </cfRule>
  </conditionalFormatting>
  <conditionalFormatting sqref="AF180:AQ180">
    <cfRule type="cellIs" dxfId="1800" priority="454" operator="equal">
      <formula>0</formula>
    </cfRule>
  </conditionalFormatting>
  <conditionalFormatting sqref="AC182:AD185">
    <cfRule type="cellIs" dxfId="1799" priority="452" operator="equal">
      <formula>0</formula>
    </cfRule>
  </conditionalFormatting>
  <conditionalFormatting sqref="Z182 Z184:Z185">
    <cfRule type="cellIs" dxfId="1798" priority="451" operator="equal">
      <formula>0</formula>
    </cfRule>
  </conditionalFormatting>
  <conditionalFormatting sqref="AE182:AE185">
    <cfRule type="cellIs" dxfId="1797" priority="450" operator="equal">
      <formula>0</formula>
    </cfRule>
  </conditionalFormatting>
  <conditionalFormatting sqref="AA182:AA185">
    <cfRule type="cellIs" dxfId="1796" priority="453" operator="equal">
      <formula>0</formula>
    </cfRule>
  </conditionalFormatting>
  <conditionalFormatting sqref="Z182:AE182 Z184:AE185 AA183:AE183">
    <cfRule type="cellIs" dxfId="1795" priority="449" operator="equal">
      <formula>0</formula>
    </cfRule>
  </conditionalFormatting>
  <conditionalFormatting sqref="Z183">
    <cfRule type="cellIs" dxfId="1794" priority="447" operator="equal">
      <formula>0</formula>
    </cfRule>
  </conditionalFormatting>
  <conditionalFormatting sqref="Z183">
    <cfRule type="cellIs" dxfId="1793" priority="448" operator="equal">
      <formula>0</formula>
    </cfRule>
  </conditionalFormatting>
  <conditionalFormatting sqref="AF182:AQ185">
    <cfRule type="cellIs" dxfId="1792" priority="446" operator="equal">
      <formula>0</formula>
    </cfRule>
  </conditionalFormatting>
  <conditionalFormatting sqref="AR182:AR185">
    <cfRule type="cellIs" dxfId="1791" priority="445" operator="equal">
      <formula>0</formula>
    </cfRule>
  </conditionalFormatting>
  <conditionalFormatting sqref="AF182:AR185">
    <cfRule type="cellIs" dxfId="1790" priority="444" operator="equal">
      <formula>0</formula>
    </cfRule>
  </conditionalFormatting>
  <conditionalFormatting sqref="AC186:AD188">
    <cfRule type="cellIs" dxfId="1789" priority="442" operator="equal">
      <formula>0</formula>
    </cfRule>
  </conditionalFormatting>
  <conditionalFormatting sqref="AA186:AA188">
    <cfRule type="cellIs" dxfId="1788" priority="443" operator="equal">
      <formula>0</formula>
    </cfRule>
  </conditionalFormatting>
  <conditionalFormatting sqref="Z187:AE188 AA186:AE186">
    <cfRule type="cellIs" dxfId="1787" priority="439" operator="equal">
      <formula>0</formula>
    </cfRule>
  </conditionalFormatting>
  <conditionalFormatting sqref="Z190:AD190">
    <cfRule type="cellIs" dxfId="1786" priority="425" operator="lessThan">
      <formula>0</formula>
    </cfRule>
  </conditionalFormatting>
  <conditionalFormatting sqref="Z200:AD200">
    <cfRule type="cellIs" dxfId="1785" priority="408" operator="lessThan">
      <formula>0</formula>
    </cfRule>
  </conditionalFormatting>
  <conditionalFormatting sqref="Z198">
    <cfRule type="cellIs" dxfId="1784" priority="395" operator="equal">
      <formula>0</formula>
    </cfRule>
  </conditionalFormatting>
  <conditionalFormatting sqref="AR200">
    <cfRule type="cellIs" dxfId="1783" priority="403" operator="equal">
      <formula>0</formula>
    </cfRule>
  </conditionalFormatting>
  <conditionalFormatting sqref="Y192 Y194">
    <cfRule type="cellIs" dxfId="1782" priority="387" operator="equal">
      <formula>0</formula>
    </cfRule>
  </conditionalFormatting>
  <conditionalFormatting sqref="Y182 Y184:Y185">
    <cfRule type="cellIs" dxfId="1781" priority="391" operator="equal">
      <formula>0</formula>
    </cfRule>
  </conditionalFormatting>
  <conditionalFormatting sqref="Y183">
    <cfRule type="cellIs" dxfId="1780" priority="390" operator="equal">
      <formula>0</formula>
    </cfRule>
  </conditionalFormatting>
  <conditionalFormatting sqref="Y186 Y188:Y189">
    <cfRule type="cellIs" dxfId="1779" priority="389" operator="equal">
      <formula>0</formula>
    </cfRule>
  </conditionalFormatting>
  <conditionalFormatting sqref="Y187">
    <cfRule type="cellIs" dxfId="1778" priority="388" operator="equal">
      <formula>0</formula>
    </cfRule>
  </conditionalFormatting>
  <conditionalFormatting sqref="Y197 Y199">
    <cfRule type="cellIs" dxfId="1777" priority="385" operator="equal">
      <formula>0</formula>
    </cfRule>
  </conditionalFormatting>
  <conditionalFormatting sqref="Y198">
    <cfRule type="cellIs" dxfId="1776" priority="384" operator="equal">
      <formula>0</formula>
    </cfRule>
  </conditionalFormatting>
  <conditionalFormatting sqref="Z205:AE205 AB204">
    <cfRule type="cellIs" dxfId="1775" priority="383" operator="equal">
      <formula>0</formula>
    </cfRule>
  </conditionalFormatting>
  <conditionalFormatting sqref="AE207:AE208">
    <cfRule type="cellIs" dxfId="1774" priority="381" operator="equal">
      <formula>0</formula>
    </cfRule>
  </conditionalFormatting>
  <conditionalFormatting sqref="AC216:AD220">
    <cfRule type="cellIs" dxfId="1773" priority="377" operator="equal">
      <formula>0</formula>
    </cfRule>
  </conditionalFormatting>
  <conditionalFormatting sqref="Z210:Z216 Z218:Z220">
    <cfRule type="cellIs" dxfId="1772" priority="376" operator="equal">
      <formula>0</formula>
    </cfRule>
  </conditionalFormatting>
  <conditionalFormatting sqref="AE216:AE220">
    <cfRule type="cellIs" dxfId="1771" priority="374" operator="equal">
      <formula>0</formula>
    </cfRule>
  </conditionalFormatting>
  <conditionalFormatting sqref="AE206">
    <cfRule type="cellIs" dxfId="1770" priority="366" operator="equal">
      <formula>0</formula>
    </cfRule>
  </conditionalFormatting>
  <conditionalFormatting sqref="AA222">
    <cfRule type="cellIs" dxfId="1769" priority="365" operator="equal">
      <formula>0</formula>
    </cfRule>
  </conditionalFormatting>
  <conditionalFormatting sqref="Z222">
    <cfRule type="cellIs" dxfId="1768" priority="364" operator="equal">
      <formula>0</formula>
    </cfRule>
  </conditionalFormatting>
  <conditionalFormatting sqref="Y222:AQ222">
    <cfRule type="cellIs" dxfId="1767" priority="363" operator="equal">
      <formula>0</formula>
    </cfRule>
  </conditionalFormatting>
  <conditionalFormatting sqref="AE222 AR222">
    <cfRule type="cellIs" dxfId="1766" priority="362" operator="equal">
      <formula>0</formula>
    </cfRule>
  </conditionalFormatting>
  <conditionalFormatting sqref="AE222 AR222">
    <cfRule type="cellIs" dxfId="1765" priority="361" operator="equal">
      <formula>0</formula>
    </cfRule>
  </conditionalFormatting>
  <conditionalFormatting sqref="AA232">
    <cfRule type="cellIs" dxfId="1764" priority="360" operator="equal">
      <formula>0</formula>
    </cfRule>
  </conditionalFormatting>
  <conditionalFormatting sqref="Z232">
    <cfRule type="cellIs" dxfId="1763" priority="359" operator="equal">
      <formula>0</formula>
    </cfRule>
  </conditionalFormatting>
  <conditionalFormatting sqref="Y232:AD232">
    <cfRule type="cellIs" dxfId="1762" priority="358" operator="equal">
      <formula>0</formula>
    </cfRule>
  </conditionalFormatting>
  <conditionalFormatting sqref="AE232:AR232">
    <cfRule type="cellIs" dxfId="1761" priority="357" operator="equal">
      <formula>0</formula>
    </cfRule>
  </conditionalFormatting>
  <conditionalFormatting sqref="AE232:AR232">
    <cfRule type="cellIs" dxfId="1760" priority="356" operator="equal">
      <formula>0</formula>
    </cfRule>
  </conditionalFormatting>
  <conditionalFormatting sqref="AA237">
    <cfRule type="cellIs" dxfId="1759" priority="355" operator="equal">
      <formula>0</formula>
    </cfRule>
  </conditionalFormatting>
  <conditionalFormatting sqref="Z237">
    <cfRule type="cellIs" dxfId="1758" priority="354" operator="equal">
      <formula>0</formula>
    </cfRule>
  </conditionalFormatting>
  <conditionalFormatting sqref="Y237:AD237">
    <cfRule type="cellIs" dxfId="1757" priority="353" operator="equal">
      <formula>0</formula>
    </cfRule>
  </conditionalFormatting>
  <conditionalFormatting sqref="AE237:AR237">
    <cfRule type="cellIs" dxfId="1756" priority="352" operator="equal">
      <formula>0</formula>
    </cfRule>
  </conditionalFormatting>
  <conditionalFormatting sqref="AE237:AR237">
    <cfRule type="cellIs" dxfId="1755" priority="351" operator="equal">
      <formula>0</formula>
    </cfRule>
  </conditionalFormatting>
  <conditionalFormatting sqref="AF206:AQ206">
    <cfRule type="cellIs" dxfId="1754" priority="382" operator="equal">
      <formula>0</formula>
    </cfRule>
  </conditionalFormatting>
  <conditionalFormatting sqref="AR242">
    <cfRule type="cellIs" dxfId="1753" priority="380" operator="equal">
      <formula>0</formula>
    </cfRule>
  </conditionalFormatting>
  <conditionalFormatting sqref="AD209:AD214 Y214:AC214">
    <cfRule type="cellIs" dxfId="1752" priority="379" operator="lessThan">
      <formula>0</formula>
    </cfRule>
  </conditionalFormatting>
  <conditionalFormatting sqref="Z209:AA209 AA210:AA220">
    <cfRule type="cellIs" dxfId="1751" priority="378" operator="equal">
      <formula>0</formula>
    </cfRule>
  </conditionalFormatting>
  <conditionalFormatting sqref="AE209:AE213">
    <cfRule type="cellIs" dxfId="1750" priority="375" operator="equal">
      <formula>0</formula>
    </cfRule>
  </conditionalFormatting>
  <conditionalFormatting sqref="AF209:AQ213">
    <cfRule type="cellIs" dxfId="1749" priority="373" operator="equal">
      <formula>0</formula>
    </cfRule>
  </conditionalFormatting>
  <conditionalFormatting sqref="AR209:AR213">
    <cfRule type="cellIs" dxfId="1748" priority="372" operator="equal">
      <formula>0</formula>
    </cfRule>
  </conditionalFormatting>
  <conditionalFormatting sqref="Y215:AD215 Z216:AE216 Z204:AA204 Y242:AR242 AC206:AD206 Y206 AF205:AQ206 Z218:AE220 Y214:AE214 Z209:AR213 AA217:AE217 Z207:AQ208 AC204:AR204">
    <cfRule type="cellIs" dxfId="1747" priority="371" operator="equal">
      <formula>0</formula>
    </cfRule>
  </conditionalFormatting>
  <conditionalFormatting sqref="AE215:AR215">
    <cfRule type="cellIs" dxfId="1746" priority="370" operator="equal">
      <formula>0</formula>
    </cfRule>
  </conditionalFormatting>
  <conditionalFormatting sqref="AE215:AR215">
    <cfRule type="cellIs" dxfId="1745" priority="369" operator="equal">
      <formula>0</formula>
    </cfRule>
  </conditionalFormatting>
  <conditionalFormatting sqref="AR242">
    <cfRule type="cellIs" dxfId="1744" priority="368" operator="equal">
      <formula>0</formula>
    </cfRule>
  </conditionalFormatting>
  <conditionalFormatting sqref="Z206:AB206">
    <cfRule type="cellIs" dxfId="1743" priority="367" operator="equal">
      <formula>0</formula>
    </cfRule>
  </conditionalFormatting>
  <conditionalFormatting sqref="Y205">
    <cfRule type="cellIs" dxfId="1742" priority="350" operator="equal">
      <formula>0</formula>
    </cfRule>
  </conditionalFormatting>
  <conditionalFormatting sqref="Z221">
    <cfRule type="cellIs" dxfId="1741" priority="347" operator="equal">
      <formula>0</formula>
    </cfRule>
  </conditionalFormatting>
  <conditionalFormatting sqref="Y221:AD221">
    <cfRule type="cellIs" dxfId="1740" priority="349" operator="lessThan">
      <formula>0</formula>
    </cfRule>
  </conditionalFormatting>
  <conditionalFormatting sqref="AA221">
    <cfRule type="cellIs" dxfId="1739" priority="348" operator="equal">
      <formula>0</formula>
    </cfRule>
  </conditionalFormatting>
  <conditionalFormatting sqref="Y221:AE221">
    <cfRule type="cellIs" dxfId="1738" priority="346" operator="equal">
      <formula>0</formula>
    </cfRule>
  </conditionalFormatting>
  <conditionalFormatting sqref="Y231">
    <cfRule type="cellIs" dxfId="1737" priority="345" operator="lessThan">
      <formula>0</formula>
    </cfRule>
  </conditionalFormatting>
  <conditionalFormatting sqref="Y231">
    <cfRule type="cellIs" dxfId="1736" priority="344" operator="equal">
      <formula>0</formula>
    </cfRule>
  </conditionalFormatting>
  <conditionalFormatting sqref="Z236">
    <cfRule type="cellIs" dxfId="1735" priority="341" operator="equal">
      <formula>0</formula>
    </cfRule>
  </conditionalFormatting>
  <conditionalFormatting sqref="Y236:AD236">
    <cfRule type="cellIs" dxfId="1734" priority="343" operator="lessThan">
      <formula>0</formula>
    </cfRule>
  </conditionalFormatting>
  <conditionalFormatting sqref="AA236">
    <cfRule type="cellIs" dxfId="1733" priority="342" operator="equal">
      <formula>0</formula>
    </cfRule>
  </conditionalFormatting>
  <conditionalFormatting sqref="Y236:AE236">
    <cfRule type="cellIs" dxfId="1732" priority="340" operator="equal">
      <formula>0</formula>
    </cfRule>
  </conditionalFormatting>
  <conditionalFormatting sqref="Y241">
    <cfRule type="cellIs" dxfId="1731" priority="339" operator="lessThan">
      <formula>0</formula>
    </cfRule>
  </conditionalFormatting>
  <conditionalFormatting sqref="Y241">
    <cfRule type="cellIs" dxfId="1730" priority="338" operator="equal">
      <formula>0</formula>
    </cfRule>
  </conditionalFormatting>
  <conditionalFormatting sqref="Z217">
    <cfRule type="cellIs" dxfId="1729" priority="336" operator="equal">
      <formula>0</formula>
    </cfRule>
  </conditionalFormatting>
  <conditionalFormatting sqref="AF222:AQ222">
    <cfRule type="cellIs" dxfId="1728" priority="334" operator="equal">
      <formula>0</formula>
    </cfRule>
  </conditionalFormatting>
  <conditionalFormatting sqref="Z217">
    <cfRule type="cellIs" dxfId="1727" priority="337" operator="equal">
      <formula>0</formula>
    </cfRule>
  </conditionalFormatting>
  <conditionalFormatting sqref="AF222:AQ222">
    <cfRule type="cellIs" dxfId="1726" priority="335" operator="equal">
      <formula>0</formula>
    </cfRule>
  </conditionalFormatting>
  <conditionalFormatting sqref="AR236">
    <cfRule type="cellIs" dxfId="1725" priority="333" operator="equal">
      <formula>0</formula>
    </cfRule>
  </conditionalFormatting>
  <conditionalFormatting sqref="AR236">
    <cfRule type="cellIs" dxfId="1724" priority="332" operator="equal">
      <formula>0</formula>
    </cfRule>
  </conditionalFormatting>
  <conditionalFormatting sqref="AR214">
    <cfRule type="cellIs" dxfId="1723" priority="331" operator="equal">
      <formula>0</formula>
    </cfRule>
  </conditionalFormatting>
  <conditionalFormatting sqref="AR214">
    <cfRule type="cellIs" dxfId="1722" priority="330" operator="equal">
      <formula>0</formula>
    </cfRule>
  </conditionalFormatting>
  <conditionalFormatting sqref="AR207:AR208">
    <cfRule type="cellIs" dxfId="1721" priority="329" operator="equal">
      <formula>0</formula>
    </cfRule>
  </conditionalFormatting>
  <conditionalFormatting sqref="AR204">
    <cfRule type="cellIs" dxfId="1720" priority="328" operator="equal">
      <formula>0</formula>
    </cfRule>
  </conditionalFormatting>
  <conditionalFormatting sqref="AR206">
    <cfRule type="cellIs" dxfId="1719" priority="327" operator="equal">
      <formula>0</formula>
    </cfRule>
  </conditionalFormatting>
  <conditionalFormatting sqref="AR204:AR206">
    <cfRule type="cellIs" dxfId="1718" priority="326" operator="equal">
      <formula>0</formula>
    </cfRule>
  </conditionalFormatting>
  <conditionalFormatting sqref="AF236:AQ236">
    <cfRule type="cellIs" dxfId="1717" priority="325" operator="equal">
      <formula>0</formula>
    </cfRule>
  </conditionalFormatting>
  <conditionalFormatting sqref="AE227:AE229">
    <cfRule type="cellIs" dxfId="1716" priority="298" operator="equal">
      <formula>0</formula>
    </cfRule>
  </conditionalFormatting>
  <conditionalFormatting sqref="Z228:Z229">
    <cfRule type="cellIs" dxfId="1715" priority="299" operator="equal">
      <formula>0</formula>
    </cfRule>
  </conditionalFormatting>
  <conditionalFormatting sqref="AE230">
    <cfRule type="cellIs" dxfId="1714" priority="288" operator="equal">
      <formula>0</formula>
    </cfRule>
  </conditionalFormatting>
  <conditionalFormatting sqref="Z230:AE230">
    <cfRule type="cellIs" dxfId="1713" priority="287" operator="equal">
      <formula>0</formula>
    </cfRule>
  </conditionalFormatting>
  <conditionalFormatting sqref="AF230:AQ230">
    <cfRule type="cellIs" dxfId="1712" priority="286" operator="equal">
      <formula>0</formula>
    </cfRule>
  </conditionalFormatting>
  <conditionalFormatting sqref="AF227:AQ229">
    <cfRule type="cellIs" dxfId="1711" priority="294" operator="equal">
      <formula>0</formula>
    </cfRule>
  </conditionalFormatting>
  <conditionalFormatting sqref="AR227:AR229">
    <cfRule type="cellIs" dxfId="1710" priority="293" operator="equal">
      <formula>0</formula>
    </cfRule>
  </conditionalFormatting>
  <conditionalFormatting sqref="AF227:AR229">
    <cfRule type="cellIs" dxfId="1709" priority="292" operator="equal">
      <formula>0</formula>
    </cfRule>
  </conditionalFormatting>
  <conditionalFormatting sqref="AA230">
    <cfRule type="cellIs" dxfId="1708" priority="291" operator="equal">
      <formula>0</formula>
    </cfRule>
  </conditionalFormatting>
  <conditionalFormatting sqref="AC230:AD230">
    <cfRule type="cellIs" dxfId="1707" priority="290" operator="equal">
      <formula>0</formula>
    </cfRule>
  </conditionalFormatting>
  <conditionalFormatting sqref="AR233:AR235">
    <cfRule type="cellIs" dxfId="1706" priority="271" operator="equal">
      <formula>0</formula>
    </cfRule>
  </conditionalFormatting>
  <conditionalFormatting sqref="Z230">
    <cfRule type="cellIs" dxfId="1705" priority="289" operator="equal">
      <formula>0</formula>
    </cfRule>
  </conditionalFormatting>
  <conditionalFormatting sqref="AF233:AR235">
    <cfRule type="cellIs" dxfId="1704" priority="270" operator="equal">
      <formula>0</formula>
    </cfRule>
  </conditionalFormatting>
  <conditionalFormatting sqref="AF230:AR230">
    <cfRule type="cellIs" dxfId="1703" priority="284" operator="equal">
      <formula>0</formula>
    </cfRule>
  </conditionalFormatting>
  <conditionalFormatting sqref="AA231">
    <cfRule type="cellIs" dxfId="1702" priority="282" operator="equal">
      <formula>0</formula>
    </cfRule>
  </conditionalFormatting>
  <conditionalFormatting sqref="Z233 Z235">
    <cfRule type="cellIs" dxfId="1701" priority="277" operator="equal">
      <formula>0</formula>
    </cfRule>
  </conditionalFormatting>
  <conditionalFormatting sqref="Z231">
    <cfRule type="cellIs" dxfId="1700" priority="281" operator="equal">
      <formula>0</formula>
    </cfRule>
  </conditionalFormatting>
  <conditionalFormatting sqref="Z231:AE231">
    <cfRule type="cellIs" dxfId="1699" priority="280" operator="equal">
      <formula>0</formula>
    </cfRule>
  </conditionalFormatting>
  <conditionalFormatting sqref="AF233:AQ235">
    <cfRule type="cellIs" dxfId="1698" priority="272" operator="equal">
      <formula>0</formula>
    </cfRule>
  </conditionalFormatting>
  <conditionalFormatting sqref="AC233:AD235">
    <cfRule type="cellIs" dxfId="1697" priority="278" operator="equal">
      <formula>0</formula>
    </cfRule>
  </conditionalFormatting>
  <conditionalFormatting sqref="AE238:AE240">
    <cfRule type="cellIs" dxfId="1696" priority="256" operator="equal">
      <formula>0</formula>
    </cfRule>
  </conditionalFormatting>
  <conditionalFormatting sqref="Z234">
    <cfRule type="cellIs" dxfId="1695" priority="274" operator="equal">
      <formula>0</formula>
    </cfRule>
  </conditionalFormatting>
  <conditionalFormatting sqref="AE233:AE235">
    <cfRule type="cellIs" dxfId="1694" priority="276" operator="equal">
      <formula>0</formula>
    </cfRule>
  </conditionalFormatting>
  <conditionalFormatting sqref="Z234">
    <cfRule type="cellIs" dxfId="1693" priority="273" operator="equal">
      <formula>0</formula>
    </cfRule>
  </conditionalFormatting>
  <conditionalFormatting sqref="AR241">
    <cfRule type="cellIs" dxfId="1692" priority="262" operator="equal">
      <formula>0</formula>
    </cfRule>
  </conditionalFormatting>
  <conditionalFormatting sqref="AR238:AR240">
    <cfRule type="cellIs" dxfId="1691" priority="251" operator="equal">
      <formula>0</formula>
    </cfRule>
  </conditionalFormatting>
  <conditionalFormatting sqref="AF241:AQ241">
    <cfRule type="cellIs" dxfId="1690" priority="260" operator="equal">
      <formula>0</formula>
    </cfRule>
  </conditionalFormatting>
  <conditionalFormatting sqref="AA238:AA240">
    <cfRule type="cellIs" dxfId="1689" priority="259" operator="equal">
      <formula>0</formula>
    </cfRule>
  </conditionalFormatting>
  <conditionalFormatting sqref="AC238:AD240">
    <cfRule type="cellIs" dxfId="1688" priority="258" operator="equal">
      <formula>0</formula>
    </cfRule>
  </conditionalFormatting>
  <conditionalFormatting sqref="Z238 Z240">
    <cfRule type="cellIs" dxfId="1687" priority="257" operator="equal">
      <formula>0</formula>
    </cfRule>
  </conditionalFormatting>
  <conditionalFormatting sqref="Z241">
    <cfRule type="cellIs" dxfId="1686" priority="264" operator="equal">
      <formula>0</formula>
    </cfRule>
  </conditionalFormatting>
  <conditionalFormatting sqref="Z239">
    <cfRule type="cellIs" dxfId="1685" priority="254" operator="equal">
      <formula>0</formula>
    </cfRule>
  </conditionalFormatting>
  <conditionalFormatting sqref="AF238:AQ240">
    <cfRule type="cellIs" dxfId="1684" priority="252" operator="equal">
      <formula>0</formula>
    </cfRule>
  </conditionalFormatting>
  <conditionalFormatting sqref="AF238:AR240">
    <cfRule type="cellIs" dxfId="1683" priority="250" operator="equal">
      <formula>0</formula>
    </cfRule>
  </conditionalFormatting>
  <conditionalFormatting sqref="Z227">
    <cfRule type="cellIs" dxfId="1682" priority="296" operator="equal">
      <formula>0</formula>
    </cfRule>
  </conditionalFormatting>
  <conditionalFormatting sqref="Z227">
    <cfRule type="cellIs" dxfId="1681" priority="295" operator="equal">
      <formula>0</formula>
    </cfRule>
  </conditionalFormatting>
  <conditionalFormatting sqref="AR230">
    <cfRule type="cellIs" dxfId="1680" priority="285" operator="equal">
      <formula>0</formula>
    </cfRule>
  </conditionalFormatting>
  <conditionalFormatting sqref="Z233:AE233 Z235:AE235 AA234:AE234">
    <cfRule type="cellIs" dxfId="1679" priority="275" operator="equal">
      <formula>0</formula>
    </cfRule>
  </conditionalFormatting>
  <conditionalFormatting sqref="AA233:AA235">
    <cfRule type="cellIs" dxfId="1678" priority="279" operator="equal">
      <formula>0</formula>
    </cfRule>
  </conditionalFormatting>
  <conditionalFormatting sqref="AR231">
    <cfRule type="cellIs" dxfId="1677" priority="268" operator="equal">
      <formula>0</formula>
    </cfRule>
  </conditionalFormatting>
  <conditionalFormatting sqref="AF231:AQ231">
    <cfRule type="cellIs" dxfId="1676" priority="267" operator="equal">
      <formula>0</formula>
    </cfRule>
  </conditionalFormatting>
  <conditionalFormatting sqref="AA241">
    <cfRule type="cellIs" dxfId="1675" priority="265" operator="equal">
      <formula>0</formula>
    </cfRule>
  </conditionalFormatting>
  <conditionalFormatting sqref="Z241:AE241">
    <cfRule type="cellIs" dxfId="1674" priority="263" operator="equal">
      <formula>0</formula>
    </cfRule>
  </conditionalFormatting>
  <conditionalFormatting sqref="AR231">
    <cfRule type="cellIs" dxfId="1673" priority="269" operator="equal">
      <formula>0</formula>
    </cfRule>
  </conditionalFormatting>
  <conditionalFormatting sqref="Z238:AE238 Z240:AE240 AA239:AE239">
    <cfRule type="cellIs" dxfId="1672" priority="255" operator="equal">
      <formula>0</formula>
    </cfRule>
  </conditionalFormatting>
  <conditionalFormatting sqref="Y234">
    <cfRule type="cellIs" dxfId="1671" priority="244" operator="equal">
      <formula>0</formula>
    </cfRule>
  </conditionalFormatting>
  <conditionalFormatting sqref="Y209 Y211:Y213">
    <cfRule type="cellIs" dxfId="1670" priority="324" operator="equal">
      <formula>0</formula>
    </cfRule>
  </conditionalFormatting>
  <conditionalFormatting sqref="Y210">
    <cfRule type="cellIs" dxfId="1669" priority="323" operator="equal">
      <formula>0</formula>
    </cfRule>
  </conditionalFormatting>
  <conditionalFormatting sqref="Y208">
    <cfRule type="cellIs" dxfId="1668" priority="322" operator="equal">
      <formula>0</formula>
    </cfRule>
  </conditionalFormatting>
  <conditionalFormatting sqref="Y207">
    <cfRule type="cellIs" dxfId="1667" priority="321" operator="equal">
      <formula>0</formula>
    </cfRule>
  </conditionalFormatting>
  <conditionalFormatting sqref="Y216 Y218:Y220">
    <cfRule type="cellIs" dxfId="1666" priority="320" operator="equal">
      <formula>0</formula>
    </cfRule>
  </conditionalFormatting>
  <conditionalFormatting sqref="Y217">
    <cfRule type="cellIs" dxfId="1665" priority="319" operator="equal">
      <formula>0</formula>
    </cfRule>
  </conditionalFormatting>
  <conditionalFormatting sqref="AF214:AQ214">
    <cfRule type="cellIs" dxfId="1664" priority="318" operator="equal">
      <formula>0</formula>
    </cfRule>
  </conditionalFormatting>
  <conditionalFormatting sqref="AF216:AQ220">
    <cfRule type="cellIs" dxfId="1663" priority="317" operator="equal">
      <formula>0</formula>
    </cfRule>
  </conditionalFormatting>
  <conditionalFormatting sqref="AR216:AR220">
    <cfRule type="cellIs" dxfId="1662" priority="316" operator="equal">
      <formula>0</formula>
    </cfRule>
  </conditionalFormatting>
  <conditionalFormatting sqref="AF216:AR220">
    <cfRule type="cellIs" dxfId="1661" priority="315" operator="equal">
      <formula>0</formula>
    </cfRule>
  </conditionalFormatting>
  <conditionalFormatting sqref="AR221">
    <cfRule type="cellIs" dxfId="1660" priority="314" operator="equal">
      <formula>0</formula>
    </cfRule>
  </conditionalFormatting>
  <conditionalFormatting sqref="AR221">
    <cfRule type="cellIs" dxfId="1659" priority="313" operator="equal">
      <formula>0</formula>
    </cfRule>
  </conditionalFormatting>
  <conditionalFormatting sqref="AF221:AQ221">
    <cfRule type="cellIs" dxfId="1658" priority="312" operator="equal">
      <formula>0</formula>
    </cfRule>
  </conditionalFormatting>
  <conditionalFormatting sqref="AC223:AD226">
    <cfRule type="cellIs" dxfId="1657" priority="310" operator="equal">
      <formula>0</formula>
    </cfRule>
  </conditionalFormatting>
  <conditionalFormatting sqref="Z223 Z225:Z226">
    <cfRule type="cellIs" dxfId="1656" priority="309" operator="equal">
      <formula>0</formula>
    </cfRule>
  </conditionalFormatting>
  <conditionalFormatting sqref="AE223:AE226">
    <cfRule type="cellIs" dxfId="1655" priority="308" operator="equal">
      <formula>0</formula>
    </cfRule>
  </conditionalFormatting>
  <conditionalFormatting sqref="AA223:AA226">
    <cfRule type="cellIs" dxfId="1654" priority="311" operator="equal">
      <formula>0</formula>
    </cfRule>
  </conditionalFormatting>
  <conditionalFormatting sqref="Z223:AE223 Z225:AE226 AA224:AE224">
    <cfRule type="cellIs" dxfId="1653" priority="307" operator="equal">
      <formula>0</formula>
    </cfRule>
  </conditionalFormatting>
  <conditionalFormatting sqref="Z224">
    <cfRule type="cellIs" dxfId="1652" priority="305" operator="equal">
      <formula>0</formula>
    </cfRule>
  </conditionalFormatting>
  <conditionalFormatting sqref="Z224">
    <cfRule type="cellIs" dxfId="1651" priority="306" operator="equal">
      <formula>0</formula>
    </cfRule>
  </conditionalFormatting>
  <conditionalFormatting sqref="AF223:AQ226">
    <cfRule type="cellIs" dxfId="1650" priority="304" operator="equal">
      <formula>0</formula>
    </cfRule>
  </conditionalFormatting>
  <conditionalFormatting sqref="AR223:AR226">
    <cfRule type="cellIs" dxfId="1649" priority="303" operator="equal">
      <formula>0</formula>
    </cfRule>
  </conditionalFormatting>
  <conditionalFormatting sqref="AF223:AR226">
    <cfRule type="cellIs" dxfId="1648" priority="302" operator="equal">
      <formula>0</formula>
    </cfRule>
  </conditionalFormatting>
  <conditionalFormatting sqref="AC227:AD229">
    <cfRule type="cellIs" dxfId="1647" priority="300" operator="equal">
      <formula>0</formula>
    </cfRule>
  </conditionalFormatting>
  <conditionalFormatting sqref="AA227:AA229">
    <cfRule type="cellIs" dxfId="1646" priority="301" operator="equal">
      <formula>0</formula>
    </cfRule>
  </conditionalFormatting>
  <conditionalFormatting sqref="Z228:AE229 AA227:AE227">
    <cfRule type="cellIs" dxfId="1645" priority="297" operator="equal">
      <formula>0</formula>
    </cfRule>
  </conditionalFormatting>
  <conditionalFormatting sqref="Z231:AD231">
    <cfRule type="cellIs" dxfId="1644" priority="283" operator="lessThan">
      <formula>0</formula>
    </cfRule>
  </conditionalFormatting>
  <conditionalFormatting sqref="Z241:AD241">
    <cfRule type="cellIs" dxfId="1643" priority="266" operator="lessThan">
      <formula>0</formula>
    </cfRule>
  </conditionalFormatting>
  <conditionalFormatting sqref="Z239">
    <cfRule type="cellIs" dxfId="1642" priority="253" operator="equal">
      <formula>0</formula>
    </cfRule>
  </conditionalFormatting>
  <conditionalFormatting sqref="AR241">
    <cfRule type="cellIs" dxfId="1641" priority="261" operator="equal">
      <formula>0</formula>
    </cfRule>
  </conditionalFormatting>
  <conditionalFormatting sqref="Y233 Y235">
    <cfRule type="cellIs" dxfId="1640" priority="245" operator="equal">
      <formula>0</formula>
    </cfRule>
  </conditionalFormatting>
  <conditionalFormatting sqref="Y223 Y225:Y226">
    <cfRule type="cellIs" dxfId="1639" priority="249" operator="equal">
      <formula>0</formula>
    </cfRule>
  </conditionalFormatting>
  <conditionalFormatting sqref="Y224">
    <cfRule type="cellIs" dxfId="1638" priority="248" operator="equal">
      <formula>0</formula>
    </cfRule>
  </conditionalFormatting>
  <conditionalFormatting sqref="Y227 Y229:Y230">
    <cfRule type="cellIs" dxfId="1637" priority="247" operator="equal">
      <formula>0</formula>
    </cfRule>
  </conditionalFormatting>
  <conditionalFormatting sqref="Y228">
    <cfRule type="cellIs" dxfId="1636" priority="246" operator="equal">
      <formula>0</formula>
    </cfRule>
  </conditionalFormatting>
  <conditionalFormatting sqref="Y238 Y240">
    <cfRule type="cellIs" dxfId="1635" priority="243" operator="equal">
      <formula>0</formula>
    </cfRule>
  </conditionalFormatting>
  <conditionalFormatting sqref="Y239">
    <cfRule type="cellIs" dxfId="1634" priority="242" operator="equal">
      <formula>0</formula>
    </cfRule>
  </conditionalFormatting>
  <conditionalFormatting sqref="Z246:AE246 AB245">
    <cfRule type="cellIs" dxfId="1633" priority="241" operator="equal">
      <formula>0</formula>
    </cfRule>
  </conditionalFormatting>
  <conditionalFormatting sqref="AE248:AE249">
    <cfRule type="cellIs" dxfId="1632" priority="239" operator="equal">
      <formula>0</formula>
    </cfRule>
  </conditionalFormatting>
  <conditionalFormatting sqref="AC257:AD261">
    <cfRule type="cellIs" dxfId="1631" priority="235" operator="equal">
      <formula>0</formula>
    </cfRule>
  </conditionalFormatting>
  <conditionalFormatting sqref="Z251:Z257 Z259:Z261">
    <cfRule type="cellIs" dxfId="1630" priority="234" operator="equal">
      <formula>0</formula>
    </cfRule>
  </conditionalFormatting>
  <conditionalFormatting sqref="AE257:AE261">
    <cfRule type="cellIs" dxfId="1629" priority="232" operator="equal">
      <formula>0</formula>
    </cfRule>
  </conditionalFormatting>
  <conditionalFormatting sqref="AE247">
    <cfRule type="cellIs" dxfId="1628" priority="224" operator="equal">
      <formula>0</formula>
    </cfRule>
  </conditionalFormatting>
  <conditionalFormatting sqref="AA263">
    <cfRule type="cellIs" dxfId="1627" priority="223" operator="equal">
      <formula>0</formula>
    </cfRule>
  </conditionalFormatting>
  <conditionalFormatting sqref="Z263">
    <cfRule type="cellIs" dxfId="1626" priority="222" operator="equal">
      <formula>0</formula>
    </cfRule>
  </conditionalFormatting>
  <conditionalFormatting sqref="Y263:AQ263">
    <cfRule type="cellIs" dxfId="1625" priority="221" operator="equal">
      <formula>0</formula>
    </cfRule>
  </conditionalFormatting>
  <conditionalFormatting sqref="AE263 AR263">
    <cfRule type="cellIs" dxfId="1624" priority="220" operator="equal">
      <formula>0</formula>
    </cfRule>
  </conditionalFormatting>
  <conditionalFormatting sqref="AE263 AR263">
    <cfRule type="cellIs" dxfId="1623" priority="219" operator="equal">
      <formula>0</formula>
    </cfRule>
  </conditionalFormatting>
  <conditionalFormatting sqref="AA273">
    <cfRule type="cellIs" dxfId="1622" priority="218" operator="equal">
      <formula>0</formula>
    </cfRule>
  </conditionalFormatting>
  <conditionalFormatting sqref="Z273">
    <cfRule type="cellIs" dxfId="1621" priority="217" operator="equal">
      <formula>0</formula>
    </cfRule>
  </conditionalFormatting>
  <conditionalFormatting sqref="Y273:AD273">
    <cfRule type="cellIs" dxfId="1620" priority="216" operator="equal">
      <formula>0</formula>
    </cfRule>
  </conditionalFormatting>
  <conditionalFormatting sqref="AE273:AR273">
    <cfRule type="cellIs" dxfId="1619" priority="215" operator="equal">
      <formula>0</formula>
    </cfRule>
  </conditionalFormatting>
  <conditionalFormatting sqref="AE273:AR273">
    <cfRule type="cellIs" dxfId="1618" priority="214" operator="equal">
      <formula>0</formula>
    </cfRule>
  </conditionalFormatting>
  <conditionalFormatting sqref="AA278">
    <cfRule type="cellIs" dxfId="1617" priority="213" operator="equal">
      <formula>0</formula>
    </cfRule>
  </conditionalFormatting>
  <conditionalFormatting sqref="Z278">
    <cfRule type="cellIs" dxfId="1616" priority="212" operator="equal">
      <formula>0</formula>
    </cfRule>
  </conditionalFormatting>
  <conditionalFormatting sqref="Y278:AD278">
    <cfRule type="cellIs" dxfId="1615" priority="211" operator="equal">
      <formula>0</formula>
    </cfRule>
  </conditionalFormatting>
  <conditionalFormatting sqref="AE278:AR278">
    <cfRule type="cellIs" dxfId="1614" priority="210" operator="equal">
      <formula>0</formula>
    </cfRule>
  </conditionalFormatting>
  <conditionalFormatting sqref="AE278:AR278">
    <cfRule type="cellIs" dxfId="1613" priority="209" operator="equal">
      <formula>0</formula>
    </cfRule>
  </conditionalFormatting>
  <conditionalFormatting sqref="AF247:AQ247">
    <cfRule type="cellIs" dxfId="1612" priority="240" operator="equal">
      <formula>0</formula>
    </cfRule>
  </conditionalFormatting>
  <conditionalFormatting sqref="AR283">
    <cfRule type="cellIs" dxfId="1611" priority="238" operator="equal">
      <formula>0</formula>
    </cfRule>
  </conditionalFormatting>
  <conditionalFormatting sqref="AD250:AD255 Y255:AC255">
    <cfRule type="cellIs" dxfId="1610" priority="237" operator="lessThan">
      <formula>0</formula>
    </cfRule>
  </conditionalFormatting>
  <conditionalFormatting sqref="Z250:AA250 AA251:AA261">
    <cfRule type="cellIs" dxfId="1609" priority="236" operator="equal">
      <formula>0</formula>
    </cfRule>
  </conditionalFormatting>
  <conditionalFormatting sqref="AE250:AE254">
    <cfRule type="cellIs" dxfId="1608" priority="233" operator="equal">
      <formula>0</formula>
    </cfRule>
  </conditionalFormatting>
  <conditionalFormatting sqref="AF250:AQ254">
    <cfRule type="cellIs" dxfId="1607" priority="231" operator="equal">
      <formula>0</formula>
    </cfRule>
  </conditionalFormatting>
  <conditionalFormatting sqref="AR250:AR254">
    <cfRule type="cellIs" dxfId="1606" priority="230" operator="equal">
      <formula>0</formula>
    </cfRule>
  </conditionalFormatting>
  <conditionalFormatting sqref="Y256:AD256 Z257:AE257 Z245:AA245 Y283:AR283 AC247:AD247 Y247 AF246:AQ247 Z259:AE261 Y255:AE255 Z250:AR254 AA258:AE258 Z248:AQ249 AC245:AR245">
    <cfRule type="cellIs" dxfId="1605" priority="229" operator="equal">
      <formula>0</formula>
    </cfRule>
  </conditionalFormatting>
  <conditionalFormatting sqref="AE256:AR256">
    <cfRule type="cellIs" dxfId="1604" priority="228" operator="equal">
      <formula>0</formula>
    </cfRule>
  </conditionalFormatting>
  <conditionalFormatting sqref="AE256:AR256">
    <cfRule type="cellIs" dxfId="1603" priority="227" operator="equal">
      <formula>0</formula>
    </cfRule>
  </conditionalFormatting>
  <conditionalFormatting sqref="AR283">
    <cfRule type="cellIs" dxfId="1602" priority="226" operator="equal">
      <formula>0</formula>
    </cfRule>
  </conditionalFormatting>
  <conditionalFormatting sqref="Z247:AB247">
    <cfRule type="cellIs" dxfId="1601" priority="225" operator="equal">
      <formula>0</formula>
    </cfRule>
  </conditionalFormatting>
  <conditionalFormatting sqref="Y246">
    <cfRule type="cellIs" dxfId="1600" priority="208" operator="equal">
      <formula>0</formula>
    </cfRule>
  </conditionalFormatting>
  <conditionalFormatting sqref="Z262">
    <cfRule type="cellIs" dxfId="1599" priority="205" operator="equal">
      <formula>0</formula>
    </cfRule>
  </conditionalFormatting>
  <conditionalFormatting sqref="Y262:AD262">
    <cfRule type="cellIs" dxfId="1598" priority="207" operator="lessThan">
      <formula>0</formula>
    </cfRule>
  </conditionalFormatting>
  <conditionalFormatting sqref="AA262">
    <cfRule type="cellIs" dxfId="1597" priority="206" operator="equal">
      <formula>0</formula>
    </cfRule>
  </conditionalFormatting>
  <conditionalFormatting sqref="Y262:AE262">
    <cfRule type="cellIs" dxfId="1596" priority="204" operator="equal">
      <formula>0</formula>
    </cfRule>
  </conditionalFormatting>
  <conditionalFormatting sqref="Y272">
    <cfRule type="cellIs" dxfId="1595" priority="203" operator="lessThan">
      <formula>0</formula>
    </cfRule>
  </conditionalFormatting>
  <conditionalFormatting sqref="Y272">
    <cfRule type="cellIs" dxfId="1594" priority="202" operator="equal">
      <formula>0</formula>
    </cfRule>
  </conditionalFormatting>
  <conditionalFormatting sqref="Z277">
    <cfRule type="cellIs" dxfId="1593" priority="199" operator="equal">
      <formula>0</formula>
    </cfRule>
  </conditionalFormatting>
  <conditionalFormatting sqref="Y277:AD277">
    <cfRule type="cellIs" dxfId="1592" priority="201" operator="lessThan">
      <formula>0</formula>
    </cfRule>
  </conditionalFormatting>
  <conditionalFormatting sqref="AA277">
    <cfRule type="cellIs" dxfId="1591" priority="200" operator="equal">
      <formula>0</formula>
    </cfRule>
  </conditionalFormatting>
  <conditionalFormatting sqref="Y277:AE277">
    <cfRule type="cellIs" dxfId="1590" priority="198" operator="equal">
      <formula>0</formula>
    </cfRule>
  </conditionalFormatting>
  <conditionalFormatting sqref="Y282">
    <cfRule type="cellIs" dxfId="1589" priority="197" operator="lessThan">
      <formula>0</formula>
    </cfRule>
  </conditionalFormatting>
  <conditionalFormatting sqref="Y282">
    <cfRule type="cellIs" dxfId="1588" priority="196" operator="equal">
      <formula>0</formula>
    </cfRule>
  </conditionalFormatting>
  <conditionalFormatting sqref="Z258">
    <cfRule type="cellIs" dxfId="1587" priority="194" operator="equal">
      <formula>0</formula>
    </cfRule>
  </conditionalFormatting>
  <conditionalFormatting sqref="AF263:AQ263">
    <cfRule type="cellIs" dxfId="1586" priority="192" operator="equal">
      <formula>0</formula>
    </cfRule>
  </conditionalFormatting>
  <conditionalFormatting sqref="Z258">
    <cfRule type="cellIs" dxfId="1585" priority="195" operator="equal">
      <formula>0</formula>
    </cfRule>
  </conditionalFormatting>
  <conditionalFormatting sqref="AF263:AQ263">
    <cfRule type="cellIs" dxfId="1584" priority="193" operator="equal">
      <formula>0</formula>
    </cfRule>
  </conditionalFormatting>
  <conditionalFormatting sqref="AR277">
    <cfRule type="cellIs" dxfId="1583" priority="191" operator="equal">
      <formula>0</formula>
    </cfRule>
  </conditionalFormatting>
  <conditionalFormatting sqref="AR277">
    <cfRule type="cellIs" dxfId="1582" priority="190" operator="equal">
      <formula>0</formula>
    </cfRule>
  </conditionalFormatting>
  <conditionalFormatting sqref="AR255">
    <cfRule type="cellIs" dxfId="1581" priority="189" operator="equal">
      <formula>0</formula>
    </cfRule>
  </conditionalFormatting>
  <conditionalFormatting sqref="AR255">
    <cfRule type="cellIs" dxfId="1580" priority="188" operator="equal">
      <formula>0</formula>
    </cfRule>
  </conditionalFormatting>
  <conditionalFormatting sqref="AR248:AR249">
    <cfRule type="cellIs" dxfId="1579" priority="187" operator="equal">
      <formula>0</formula>
    </cfRule>
  </conditionalFormatting>
  <conditionalFormatting sqref="AR245">
    <cfRule type="cellIs" dxfId="1578" priority="186" operator="equal">
      <formula>0</formula>
    </cfRule>
  </conditionalFormatting>
  <conditionalFormatting sqref="AR247">
    <cfRule type="cellIs" dxfId="1577" priority="185" operator="equal">
      <formula>0</formula>
    </cfRule>
  </conditionalFormatting>
  <conditionalFormatting sqref="AR245:AR247">
    <cfRule type="cellIs" dxfId="1576" priority="184" operator="equal">
      <formula>0</formula>
    </cfRule>
  </conditionalFormatting>
  <conditionalFormatting sqref="AF277:AQ277">
    <cfRule type="cellIs" dxfId="1575" priority="183" operator="equal">
      <formula>0</formula>
    </cfRule>
  </conditionalFormatting>
  <conditionalFormatting sqref="AE268:AE270">
    <cfRule type="cellIs" dxfId="1574" priority="156" operator="equal">
      <formula>0</formula>
    </cfRule>
  </conditionalFormatting>
  <conditionalFormatting sqref="Z269:Z270">
    <cfRule type="cellIs" dxfId="1573" priority="157" operator="equal">
      <formula>0</formula>
    </cfRule>
  </conditionalFormatting>
  <conditionalFormatting sqref="AE271">
    <cfRule type="cellIs" dxfId="1572" priority="146" operator="equal">
      <formula>0</formula>
    </cfRule>
  </conditionalFormatting>
  <conditionalFormatting sqref="Z271:AE271">
    <cfRule type="cellIs" dxfId="1571" priority="145" operator="equal">
      <formula>0</formula>
    </cfRule>
  </conditionalFormatting>
  <conditionalFormatting sqref="AF271:AQ271">
    <cfRule type="cellIs" dxfId="1570" priority="144" operator="equal">
      <formula>0</formula>
    </cfRule>
  </conditionalFormatting>
  <conditionalFormatting sqref="AF268:AQ270">
    <cfRule type="cellIs" dxfId="1569" priority="152" operator="equal">
      <formula>0</formula>
    </cfRule>
  </conditionalFormatting>
  <conditionalFormatting sqref="AR268:AR270">
    <cfRule type="cellIs" dxfId="1568" priority="151" operator="equal">
      <formula>0</formula>
    </cfRule>
  </conditionalFormatting>
  <conditionalFormatting sqref="AF268:AR270">
    <cfRule type="cellIs" dxfId="1567" priority="150" operator="equal">
      <formula>0</formula>
    </cfRule>
  </conditionalFormatting>
  <conditionalFormatting sqref="AA271">
    <cfRule type="cellIs" dxfId="1566" priority="149" operator="equal">
      <formula>0</formula>
    </cfRule>
  </conditionalFormatting>
  <conditionalFormatting sqref="AC271:AD271">
    <cfRule type="cellIs" dxfId="1565" priority="148" operator="equal">
      <formula>0</formula>
    </cfRule>
  </conditionalFormatting>
  <conditionalFormatting sqref="AR274:AR276">
    <cfRule type="cellIs" dxfId="1564" priority="129" operator="equal">
      <formula>0</formula>
    </cfRule>
  </conditionalFormatting>
  <conditionalFormatting sqref="Z271">
    <cfRule type="cellIs" dxfId="1563" priority="147" operator="equal">
      <formula>0</formula>
    </cfRule>
  </conditionalFormatting>
  <conditionalFormatting sqref="AF274:AR276">
    <cfRule type="cellIs" dxfId="1562" priority="128" operator="equal">
      <formula>0</formula>
    </cfRule>
  </conditionalFormatting>
  <conditionalFormatting sqref="AF271:AR271">
    <cfRule type="cellIs" dxfId="1561" priority="142" operator="equal">
      <formula>0</formula>
    </cfRule>
  </conditionalFormatting>
  <conditionalFormatting sqref="AA272">
    <cfRule type="cellIs" dxfId="1560" priority="140" operator="equal">
      <formula>0</formula>
    </cfRule>
  </conditionalFormatting>
  <conditionalFormatting sqref="Z274 Z276">
    <cfRule type="cellIs" dxfId="1559" priority="135" operator="equal">
      <formula>0</formula>
    </cfRule>
  </conditionalFormatting>
  <conditionalFormatting sqref="Z272">
    <cfRule type="cellIs" dxfId="1558" priority="139" operator="equal">
      <formula>0</formula>
    </cfRule>
  </conditionalFormatting>
  <conditionalFormatting sqref="Z272:AE272">
    <cfRule type="cellIs" dxfId="1557" priority="138" operator="equal">
      <formula>0</formula>
    </cfRule>
  </conditionalFormatting>
  <conditionalFormatting sqref="AF274:AQ276">
    <cfRule type="cellIs" dxfId="1556" priority="130" operator="equal">
      <formula>0</formula>
    </cfRule>
  </conditionalFormatting>
  <conditionalFormatting sqref="AC274:AD276">
    <cfRule type="cellIs" dxfId="1555" priority="136" operator="equal">
      <formula>0</formula>
    </cfRule>
  </conditionalFormatting>
  <conditionalFormatting sqref="AE279:AE281">
    <cfRule type="cellIs" dxfId="1554" priority="114" operator="equal">
      <formula>0</formula>
    </cfRule>
  </conditionalFormatting>
  <conditionalFormatting sqref="Z275">
    <cfRule type="cellIs" dxfId="1553" priority="132" operator="equal">
      <formula>0</formula>
    </cfRule>
  </conditionalFormatting>
  <conditionalFormatting sqref="AE274:AE276">
    <cfRule type="cellIs" dxfId="1552" priority="134" operator="equal">
      <formula>0</formula>
    </cfRule>
  </conditionalFormatting>
  <conditionalFormatting sqref="Z275">
    <cfRule type="cellIs" dxfId="1551" priority="131" operator="equal">
      <formula>0</formula>
    </cfRule>
  </conditionalFormatting>
  <conditionalFormatting sqref="AR282">
    <cfRule type="cellIs" dxfId="1550" priority="120" operator="equal">
      <formula>0</formula>
    </cfRule>
  </conditionalFormatting>
  <conditionalFormatting sqref="AR279:AR281">
    <cfRule type="cellIs" dxfId="1549" priority="109" operator="equal">
      <formula>0</formula>
    </cfRule>
  </conditionalFormatting>
  <conditionalFormatting sqref="AF282:AQ282">
    <cfRule type="cellIs" dxfId="1548" priority="118" operator="equal">
      <formula>0</formula>
    </cfRule>
  </conditionalFormatting>
  <conditionalFormatting sqref="AA279:AA281">
    <cfRule type="cellIs" dxfId="1547" priority="117" operator="equal">
      <formula>0</formula>
    </cfRule>
  </conditionalFormatting>
  <conditionalFormatting sqref="AC279:AD281">
    <cfRule type="cellIs" dxfId="1546" priority="116" operator="equal">
      <formula>0</formula>
    </cfRule>
  </conditionalFormatting>
  <conditionalFormatting sqref="Z279 Z281">
    <cfRule type="cellIs" dxfId="1545" priority="115" operator="equal">
      <formula>0</formula>
    </cfRule>
  </conditionalFormatting>
  <conditionalFormatting sqref="Z282">
    <cfRule type="cellIs" dxfId="1544" priority="122" operator="equal">
      <formula>0</formula>
    </cfRule>
  </conditionalFormatting>
  <conditionalFormatting sqref="Z280">
    <cfRule type="cellIs" dxfId="1543" priority="112" operator="equal">
      <formula>0</formula>
    </cfRule>
  </conditionalFormatting>
  <conditionalFormatting sqref="AF279:AQ281">
    <cfRule type="cellIs" dxfId="1542" priority="110" operator="equal">
      <formula>0</formula>
    </cfRule>
  </conditionalFormatting>
  <conditionalFormatting sqref="AF279:AR281">
    <cfRule type="cellIs" dxfId="1541" priority="108" operator="equal">
      <formula>0</formula>
    </cfRule>
  </conditionalFormatting>
  <conditionalFormatting sqref="Z268">
    <cfRule type="cellIs" dxfId="1540" priority="154" operator="equal">
      <formula>0</formula>
    </cfRule>
  </conditionalFormatting>
  <conditionalFormatting sqref="Z268">
    <cfRule type="cellIs" dxfId="1539" priority="153" operator="equal">
      <formula>0</formula>
    </cfRule>
  </conditionalFormatting>
  <conditionalFormatting sqref="AR271">
    <cfRule type="cellIs" dxfId="1538" priority="143" operator="equal">
      <formula>0</formula>
    </cfRule>
  </conditionalFormatting>
  <conditionalFormatting sqref="Z274:AE274 Z276:AE276 AA275:AE275">
    <cfRule type="cellIs" dxfId="1537" priority="133" operator="equal">
      <formula>0</formula>
    </cfRule>
  </conditionalFormatting>
  <conditionalFormatting sqref="AA274:AA276">
    <cfRule type="cellIs" dxfId="1536" priority="137" operator="equal">
      <formula>0</formula>
    </cfRule>
  </conditionalFormatting>
  <conditionalFormatting sqref="AR272">
    <cfRule type="cellIs" dxfId="1535" priority="126" operator="equal">
      <formula>0</formula>
    </cfRule>
  </conditionalFormatting>
  <conditionalFormatting sqref="AF272:AQ272">
    <cfRule type="cellIs" dxfId="1534" priority="125" operator="equal">
      <formula>0</formula>
    </cfRule>
  </conditionalFormatting>
  <conditionalFormatting sqref="AA282">
    <cfRule type="cellIs" dxfId="1533" priority="123" operator="equal">
      <formula>0</formula>
    </cfRule>
  </conditionalFormatting>
  <conditionalFormatting sqref="Z282:AE282">
    <cfRule type="cellIs" dxfId="1532" priority="121" operator="equal">
      <formula>0</formula>
    </cfRule>
  </conditionalFormatting>
  <conditionalFormatting sqref="AR272">
    <cfRule type="cellIs" dxfId="1531" priority="127" operator="equal">
      <formula>0</formula>
    </cfRule>
  </conditionalFormatting>
  <conditionalFormatting sqref="Z279:AE279 Z281:AE281 AA280:AE280">
    <cfRule type="cellIs" dxfId="1530" priority="113" operator="equal">
      <formula>0</formula>
    </cfRule>
  </conditionalFormatting>
  <conditionalFormatting sqref="Y275">
    <cfRule type="cellIs" dxfId="1529" priority="102" operator="equal">
      <formula>0</formula>
    </cfRule>
  </conditionalFormatting>
  <conditionalFormatting sqref="Y250 Y252:Y254">
    <cfRule type="cellIs" dxfId="1528" priority="182" operator="equal">
      <formula>0</formula>
    </cfRule>
  </conditionalFormatting>
  <conditionalFormatting sqref="Y251">
    <cfRule type="cellIs" dxfId="1527" priority="181" operator="equal">
      <formula>0</formula>
    </cfRule>
  </conditionalFormatting>
  <conditionalFormatting sqref="Y249">
    <cfRule type="cellIs" dxfId="1526" priority="180" operator="equal">
      <formula>0</formula>
    </cfRule>
  </conditionalFormatting>
  <conditionalFormatting sqref="Y248">
    <cfRule type="cellIs" dxfId="1525" priority="179" operator="equal">
      <formula>0</formula>
    </cfRule>
  </conditionalFormatting>
  <conditionalFormatting sqref="Y257 Y259:Y261">
    <cfRule type="cellIs" dxfId="1524" priority="178" operator="equal">
      <formula>0</formula>
    </cfRule>
  </conditionalFormatting>
  <conditionalFormatting sqref="Y258">
    <cfRule type="cellIs" dxfId="1523" priority="177" operator="equal">
      <formula>0</formula>
    </cfRule>
  </conditionalFormatting>
  <conditionalFormatting sqref="AF255:AQ255">
    <cfRule type="cellIs" dxfId="1522" priority="176" operator="equal">
      <formula>0</formula>
    </cfRule>
  </conditionalFormatting>
  <conditionalFormatting sqref="AF257:AQ261">
    <cfRule type="cellIs" dxfId="1521" priority="175" operator="equal">
      <formula>0</formula>
    </cfRule>
  </conditionalFormatting>
  <conditionalFormatting sqref="AR257:AR261">
    <cfRule type="cellIs" dxfId="1520" priority="174" operator="equal">
      <formula>0</formula>
    </cfRule>
  </conditionalFormatting>
  <conditionalFormatting sqref="AF257:AR261">
    <cfRule type="cellIs" dxfId="1519" priority="173" operator="equal">
      <formula>0</formula>
    </cfRule>
  </conditionalFormatting>
  <conditionalFormatting sqref="AR262">
    <cfRule type="cellIs" dxfId="1518" priority="172" operator="equal">
      <formula>0</formula>
    </cfRule>
  </conditionalFormatting>
  <conditionalFormatting sqref="AR262">
    <cfRule type="cellIs" dxfId="1517" priority="171" operator="equal">
      <formula>0</formula>
    </cfRule>
  </conditionalFormatting>
  <conditionalFormatting sqref="AF262:AQ262">
    <cfRule type="cellIs" dxfId="1516" priority="170" operator="equal">
      <formula>0</formula>
    </cfRule>
  </conditionalFormatting>
  <conditionalFormatting sqref="AC264:AD267">
    <cfRule type="cellIs" dxfId="1515" priority="168" operator="equal">
      <formula>0</formula>
    </cfRule>
  </conditionalFormatting>
  <conditionalFormatting sqref="Z264 Z266:Z267">
    <cfRule type="cellIs" dxfId="1514" priority="167" operator="equal">
      <formula>0</formula>
    </cfRule>
  </conditionalFormatting>
  <conditionalFormatting sqref="AE264:AE267">
    <cfRule type="cellIs" dxfId="1513" priority="166" operator="equal">
      <formula>0</formula>
    </cfRule>
  </conditionalFormatting>
  <conditionalFormatting sqref="AA264:AA267">
    <cfRule type="cellIs" dxfId="1512" priority="169" operator="equal">
      <formula>0</formula>
    </cfRule>
  </conditionalFormatting>
  <conditionalFormatting sqref="Z264:AE264 Z266:AE267 AA265:AE265">
    <cfRule type="cellIs" dxfId="1511" priority="165" operator="equal">
      <formula>0</formula>
    </cfRule>
  </conditionalFormatting>
  <conditionalFormatting sqref="Z265">
    <cfRule type="cellIs" dxfId="1510" priority="163" operator="equal">
      <formula>0</formula>
    </cfRule>
  </conditionalFormatting>
  <conditionalFormatting sqref="Z265">
    <cfRule type="cellIs" dxfId="1509" priority="164" operator="equal">
      <formula>0</formula>
    </cfRule>
  </conditionalFormatting>
  <conditionalFormatting sqref="AF264:AQ267">
    <cfRule type="cellIs" dxfId="1508" priority="162" operator="equal">
      <formula>0</formula>
    </cfRule>
  </conditionalFormatting>
  <conditionalFormatting sqref="AR264:AR267">
    <cfRule type="cellIs" dxfId="1507" priority="161" operator="equal">
      <formula>0</formula>
    </cfRule>
  </conditionalFormatting>
  <conditionalFormatting sqref="AF264:AR267">
    <cfRule type="cellIs" dxfId="1506" priority="160" operator="equal">
      <formula>0</formula>
    </cfRule>
  </conditionalFormatting>
  <conditionalFormatting sqref="AC268:AD270">
    <cfRule type="cellIs" dxfId="1505" priority="158" operator="equal">
      <formula>0</formula>
    </cfRule>
  </conditionalFormatting>
  <conditionalFormatting sqref="AA268:AA270">
    <cfRule type="cellIs" dxfId="1504" priority="159" operator="equal">
      <formula>0</formula>
    </cfRule>
  </conditionalFormatting>
  <conditionalFormatting sqref="Z269:AE270 AA268:AE268">
    <cfRule type="cellIs" dxfId="1503" priority="155" operator="equal">
      <formula>0</formula>
    </cfRule>
  </conditionalFormatting>
  <conditionalFormatting sqref="Z272:AD272">
    <cfRule type="cellIs" dxfId="1502" priority="141" operator="lessThan">
      <formula>0</formula>
    </cfRule>
  </conditionalFormatting>
  <conditionalFormatting sqref="Z282:AD282">
    <cfRule type="cellIs" dxfId="1501" priority="124" operator="lessThan">
      <formula>0</formula>
    </cfRule>
  </conditionalFormatting>
  <conditionalFormatting sqref="Z280">
    <cfRule type="cellIs" dxfId="1500" priority="111" operator="equal">
      <formula>0</formula>
    </cfRule>
  </conditionalFormatting>
  <conditionalFormatting sqref="AR282">
    <cfRule type="cellIs" dxfId="1499" priority="119" operator="equal">
      <formula>0</formula>
    </cfRule>
  </conditionalFormatting>
  <conditionalFormatting sqref="Y274 Y276">
    <cfRule type="cellIs" dxfId="1498" priority="103" operator="equal">
      <formula>0</formula>
    </cfRule>
  </conditionalFormatting>
  <conditionalFormatting sqref="Y264 Y266:Y267">
    <cfRule type="cellIs" dxfId="1497" priority="107" operator="equal">
      <formula>0</formula>
    </cfRule>
  </conditionalFormatting>
  <conditionalFormatting sqref="Y265">
    <cfRule type="cellIs" dxfId="1496" priority="106" operator="equal">
      <formula>0</formula>
    </cfRule>
  </conditionalFormatting>
  <conditionalFormatting sqref="Y268 Y270:Y271">
    <cfRule type="cellIs" dxfId="1495" priority="105" operator="equal">
      <formula>0</formula>
    </cfRule>
  </conditionalFormatting>
  <conditionalFormatting sqref="Y269">
    <cfRule type="cellIs" dxfId="1494" priority="104" operator="equal">
      <formula>0</formula>
    </cfRule>
  </conditionalFormatting>
  <conditionalFormatting sqref="Y279 Y281">
    <cfRule type="cellIs" dxfId="1493" priority="101" operator="equal">
      <formula>0</formula>
    </cfRule>
  </conditionalFormatting>
  <conditionalFormatting sqref="Y280">
    <cfRule type="cellIs" dxfId="1492" priority="100" operator="equal">
      <formula>0</formula>
    </cfRule>
  </conditionalFormatting>
  <conditionalFormatting sqref="A1">
    <cfRule type="cellIs" dxfId="1491" priority="99" operator="equal">
      <formula>0</formula>
    </cfRule>
  </conditionalFormatting>
  <conditionalFormatting sqref="B86 B88">
    <cfRule type="cellIs" dxfId="1490" priority="98" operator="equal">
      <formula>0</formula>
    </cfRule>
  </conditionalFormatting>
  <conditionalFormatting sqref="B87">
    <cfRule type="cellIs" dxfId="1489" priority="97" operator="equal">
      <formula>0</formula>
    </cfRule>
  </conditionalFormatting>
  <conditionalFormatting sqref="B168 B170">
    <cfRule type="cellIs" dxfId="1488" priority="96" operator="equal">
      <formula>0</formula>
    </cfRule>
  </conditionalFormatting>
  <conditionalFormatting sqref="B169">
    <cfRule type="cellIs" dxfId="1487" priority="95" operator="equal">
      <formula>0</formula>
    </cfRule>
  </conditionalFormatting>
  <conditionalFormatting sqref="B209 B211">
    <cfRule type="cellIs" dxfId="1486" priority="94" operator="equal">
      <formula>0</formula>
    </cfRule>
  </conditionalFormatting>
  <conditionalFormatting sqref="B210">
    <cfRule type="cellIs" dxfId="1485" priority="93" operator="equal">
      <formula>0</formula>
    </cfRule>
  </conditionalFormatting>
  <conditionalFormatting sqref="E86:E88">
    <cfRule type="cellIs" dxfId="1484" priority="92" operator="equal">
      <formula>0</formula>
    </cfRule>
  </conditionalFormatting>
  <conditionalFormatting sqref="B102">
    <cfRule type="cellIs" dxfId="1483" priority="91" operator="equal">
      <formula>0</formula>
    </cfRule>
  </conditionalFormatting>
  <conditionalFormatting sqref="B101">
    <cfRule type="cellIs" dxfId="1482" priority="90" operator="equal">
      <formula>0</formula>
    </cfRule>
  </conditionalFormatting>
  <conditionalFormatting sqref="B93">
    <cfRule type="cellIs" dxfId="1481" priority="89" operator="equal">
      <formula>0</formula>
    </cfRule>
  </conditionalFormatting>
  <conditionalFormatting sqref="B134">
    <cfRule type="cellIs" dxfId="1480" priority="88" operator="equal">
      <formula>0</formula>
    </cfRule>
  </conditionalFormatting>
  <conditionalFormatting sqref="B129">
    <cfRule type="cellIs" dxfId="1479" priority="87" operator="equal">
      <formula>0</formula>
    </cfRule>
  </conditionalFormatting>
  <conditionalFormatting sqref="B128">
    <cfRule type="cellIs" dxfId="1478" priority="86" operator="equal">
      <formula>0</formula>
    </cfRule>
  </conditionalFormatting>
  <conditionalFormatting sqref="E127:E129">
    <cfRule type="cellIs" dxfId="1477" priority="85" operator="equal">
      <formula>0</formula>
    </cfRule>
  </conditionalFormatting>
  <conditionalFormatting sqref="E168:E170">
    <cfRule type="cellIs" dxfId="1476" priority="84" operator="equal">
      <formula>0</formula>
    </cfRule>
  </conditionalFormatting>
  <conditionalFormatting sqref="S636:T636">
    <cfRule type="cellIs" dxfId="1475" priority="83" operator="equal">
      <formula>0</formula>
    </cfRule>
  </conditionalFormatting>
  <conditionalFormatting sqref="U636">
    <cfRule type="cellIs" dxfId="1474" priority="82" operator="equal">
      <formula>0</formula>
    </cfRule>
  </conditionalFormatting>
  <conditionalFormatting sqref="G848">
    <cfRule type="cellIs" dxfId="1473" priority="81" operator="equal">
      <formula>0</formula>
    </cfRule>
  </conditionalFormatting>
  <conditionalFormatting sqref="G848">
    <cfRule type="cellIs" dxfId="1472" priority="79" operator="equal">
      <formula>0</formula>
    </cfRule>
  </conditionalFormatting>
  <conditionalFormatting sqref="G848">
    <cfRule type="cellIs" dxfId="1471" priority="80" operator="equal">
      <formula>0</formula>
    </cfRule>
  </conditionalFormatting>
  <conditionalFormatting sqref="Y81">
    <cfRule type="cellIs" dxfId="1470" priority="76" operator="equal">
      <formula>0</formula>
    </cfRule>
  </conditionalFormatting>
  <conditionalFormatting sqref="Y450">
    <cfRule type="cellIs" dxfId="1469" priority="54" operator="equal">
      <formula>0</formula>
    </cfRule>
  </conditionalFormatting>
  <conditionalFormatting sqref="Y368">
    <cfRule type="cellIs" dxfId="1468" priority="50" operator="equal">
      <formula>0</formula>
    </cfRule>
  </conditionalFormatting>
  <conditionalFormatting sqref="Y286">
    <cfRule type="cellIs" dxfId="1467" priority="46" operator="equal">
      <formula>0</formula>
    </cfRule>
  </conditionalFormatting>
  <conditionalFormatting sqref="Y204">
    <cfRule type="cellIs" dxfId="1466" priority="42" operator="equal">
      <formula>0</formula>
    </cfRule>
  </conditionalFormatting>
  <conditionalFormatting sqref="Y122">
    <cfRule type="cellIs" dxfId="1465" priority="38" operator="equal">
      <formula>0</formula>
    </cfRule>
  </conditionalFormatting>
  <conditionalFormatting sqref="Y40">
    <cfRule type="cellIs" dxfId="1464" priority="35" operator="equal">
      <formula>0</formula>
    </cfRule>
  </conditionalFormatting>
  <conditionalFormatting sqref="B491">
    <cfRule type="cellIs" dxfId="1463" priority="56" operator="equal">
      <formula>0</formula>
    </cfRule>
  </conditionalFormatting>
  <conditionalFormatting sqref="B450">
    <cfRule type="cellIs" dxfId="1462" priority="55" operator="equal">
      <formula>0</formula>
    </cfRule>
  </conditionalFormatting>
  <conditionalFormatting sqref="B409">
    <cfRule type="cellIs" dxfId="1461" priority="53" operator="equal">
      <formula>0</formula>
    </cfRule>
  </conditionalFormatting>
  <conditionalFormatting sqref="Y409">
    <cfRule type="cellIs" dxfId="1460" priority="52" operator="equal">
      <formula>0</formula>
    </cfRule>
  </conditionalFormatting>
  <conditionalFormatting sqref="B368">
    <cfRule type="cellIs" dxfId="1459" priority="51" operator="equal">
      <formula>0</formula>
    </cfRule>
  </conditionalFormatting>
  <conditionalFormatting sqref="B327">
    <cfRule type="cellIs" dxfId="1458" priority="49" operator="equal">
      <formula>0</formula>
    </cfRule>
  </conditionalFormatting>
  <conditionalFormatting sqref="Y327">
    <cfRule type="cellIs" dxfId="1457" priority="48" operator="equal">
      <formula>0</formula>
    </cfRule>
  </conditionalFormatting>
  <conditionalFormatting sqref="B286">
    <cfRule type="cellIs" dxfId="1456" priority="47" operator="equal">
      <formula>0</formula>
    </cfRule>
  </conditionalFormatting>
  <conditionalFormatting sqref="B245">
    <cfRule type="cellIs" dxfId="1455" priority="45" operator="equal">
      <formula>0</formula>
    </cfRule>
  </conditionalFormatting>
  <conditionalFormatting sqref="Y245">
    <cfRule type="cellIs" dxfId="1454" priority="44" operator="equal">
      <formula>0</formula>
    </cfRule>
  </conditionalFormatting>
  <conditionalFormatting sqref="B204">
    <cfRule type="cellIs" dxfId="1453" priority="43" operator="equal">
      <formula>0</formula>
    </cfRule>
  </conditionalFormatting>
  <conditionalFormatting sqref="Y163">
    <cfRule type="cellIs" dxfId="1452" priority="41" operator="equal">
      <formula>0</formula>
    </cfRule>
  </conditionalFormatting>
  <conditionalFormatting sqref="B163">
    <cfRule type="cellIs" dxfId="1451" priority="40" operator="equal">
      <formula>0</formula>
    </cfRule>
  </conditionalFormatting>
  <conditionalFormatting sqref="B122">
    <cfRule type="cellIs" dxfId="1450" priority="39" operator="equal">
      <formula>0</formula>
    </cfRule>
  </conditionalFormatting>
  <conditionalFormatting sqref="B81">
    <cfRule type="cellIs" dxfId="1449" priority="37" operator="equal">
      <formula>0</formula>
    </cfRule>
  </conditionalFormatting>
  <conditionalFormatting sqref="B40">
    <cfRule type="cellIs" dxfId="1448" priority="36" operator="equal">
      <formula>0</formula>
    </cfRule>
  </conditionalFormatting>
  <conditionalFormatting sqref="B879:U879">
    <cfRule type="cellIs" dxfId="1447" priority="34" operator="equal">
      <formula>0</formula>
    </cfRule>
  </conditionalFormatting>
  <conditionalFormatting sqref="B902:U902">
    <cfRule type="cellIs" dxfId="1446" priority="33" operator="equal">
      <formula>0</formula>
    </cfRule>
  </conditionalFormatting>
  <conditionalFormatting sqref="B925:U925">
    <cfRule type="cellIs" dxfId="1445" priority="32" operator="equal">
      <formula>0</formula>
    </cfRule>
  </conditionalFormatting>
  <conditionalFormatting sqref="B948:U948">
    <cfRule type="cellIs" dxfId="1444" priority="31" operator="equal">
      <formula>0</formula>
    </cfRule>
  </conditionalFormatting>
  <conditionalFormatting sqref="B971:U971">
    <cfRule type="cellIs" dxfId="1443" priority="30" operator="equal">
      <formula>0</formula>
    </cfRule>
  </conditionalFormatting>
  <conditionalFormatting sqref="B994:U994">
    <cfRule type="cellIs" dxfId="1442" priority="29" operator="equal">
      <formula>0</formula>
    </cfRule>
  </conditionalFormatting>
  <conditionalFormatting sqref="B1017:U1017">
    <cfRule type="cellIs" dxfId="1441" priority="28" operator="equal">
      <formula>0</formula>
    </cfRule>
  </conditionalFormatting>
  <conditionalFormatting sqref="B1040:U1040">
    <cfRule type="cellIs" dxfId="1440" priority="27" operator="equal">
      <formula>0</formula>
    </cfRule>
  </conditionalFormatting>
  <conditionalFormatting sqref="B1063:U1063">
    <cfRule type="cellIs" dxfId="1439" priority="26" operator="equal">
      <formula>0</formula>
    </cfRule>
  </conditionalFormatting>
  <conditionalFormatting sqref="B1086:U1086">
    <cfRule type="cellIs" dxfId="1438" priority="25" operator="equal">
      <formula>0</formula>
    </cfRule>
  </conditionalFormatting>
  <conditionalFormatting sqref="B1109:U1109">
    <cfRule type="cellIs" dxfId="1437" priority="24" operator="equal">
      <formula>0</formula>
    </cfRule>
  </conditionalFormatting>
  <conditionalFormatting sqref="B1132:U1132">
    <cfRule type="cellIs" dxfId="1436" priority="23" operator="equal">
      <formula>0</formula>
    </cfRule>
  </conditionalFormatting>
  <conditionalFormatting sqref="V852:XFD852">
    <cfRule type="cellIs" dxfId="1435" priority="22" operator="equal">
      <formula>0</formula>
    </cfRule>
  </conditionalFormatting>
  <conditionalFormatting sqref="B852:T852">
    <cfRule type="cellIs" dxfId="1434" priority="21" operator="equal">
      <formula>0</formula>
    </cfRule>
  </conditionalFormatting>
  <conditionalFormatting sqref="U852">
    <cfRule type="cellIs" dxfId="1433" priority="20" operator="equal">
      <formula>0</formula>
    </cfRule>
  </conditionalFormatting>
  <conditionalFormatting sqref="U852">
    <cfRule type="cellIs" dxfId="1432" priority="19" operator="equal">
      <formula>0</formula>
    </cfRule>
  </conditionalFormatting>
  <conditionalFormatting sqref="U639">
    <cfRule type="cellIs" dxfId="1431" priority="15" operator="equal">
      <formula>0</formula>
    </cfRule>
  </conditionalFormatting>
  <conditionalFormatting sqref="U641">
    <cfRule type="cellIs" dxfId="1430" priority="14" operator="equal">
      <formula>0</formula>
    </cfRule>
  </conditionalFormatting>
  <conditionalFormatting sqref="U638">
    <cfRule type="cellIs" dxfId="1429" priority="18" operator="equal">
      <formula>0</formula>
    </cfRule>
  </conditionalFormatting>
  <conditionalFormatting sqref="U640 U642 U644 U646 U648 U650 U652">
    <cfRule type="cellIs" dxfId="1428" priority="17" operator="equal">
      <formula>0</formula>
    </cfRule>
  </conditionalFormatting>
  <conditionalFormatting sqref="U637">
    <cfRule type="cellIs" dxfId="1427" priority="16" operator="equal">
      <formula>0</formula>
    </cfRule>
  </conditionalFormatting>
  <conditionalFormatting sqref="U643">
    <cfRule type="cellIs" dxfId="1426" priority="13" operator="equal">
      <formula>0</formula>
    </cfRule>
  </conditionalFormatting>
  <conditionalFormatting sqref="U645">
    <cfRule type="cellIs" dxfId="1425" priority="12" operator="equal">
      <formula>0</formula>
    </cfRule>
  </conditionalFormatting>
  <conditionalFormatting sqref="U647">
    <cfRule type="cellIs" dxfId="1424" priority="11" operator="equal">
      <formula>0</formula>
    </cfRule>
  </conditionalFormatting>
  <conditionalFormatting sqref="U649">
    <cfRule type="cellIs" dxfId="1423" priority="10" operator="equal">
      <formula>0</formula>
    </cfRule>
  </conditionalFormatting>
  <conditionalFormatting sqref="U651">
    <cfRule type="cellIs" dxfId="1422" priority="9" operator="equal">
      <formula>0</formula>
    </cfRule>
  </conditionalFormatting>
  <conditionalFormatting sqref="U653">
    <cfRule type="cellIs" dxfId="1421" priority="8" operator="equal">
      <formula>0</formula>
    </cfRule>
  </conditionalFormatting>
  <conditionalFormatting sqref="R636">
    <cfRule type="cellIs" dxfId="1420" priority="7" operator="equal">
      <formula>0</formula>
    </cfRule>
  </conditionalFormatting>
  <conditionalFormatting sqref="Q636">
    <cfRule type="cellIs" dxfId="1419" priority="6" operator="equal">
      <formula>0</formula>
    </cfRule>
  </conditionalFormatting>
  <conditionalFormatting sqref="F52:G52">
    <cfRule type="cellIs" dxfId="1418" priority="4" operator="equal">
      <formula>0</formula>
    </cfRule>
  </conditionalFormatting>
  <conditionalFormatting sqref="C52">
    <cfRule type="cellIs" dxfId="1417" priority="3" operator="equal">
      <formula>0</formula>
    </cfRule>
  </conditionalFormatting>
  <conditionalFormatting sqref="D52">
    <cfRule type="cellIs" dxfId="1416" priority="5" operator="equal">
      <formula>0</formula>
    </cfRule>
  </conditionalFormatting>
  <conditionalFormatting sqref="C52:G52">
    <cfRule type="cellIs" dxfId="1415" priority="2" operator="equal">
      <formula>0</formula>
    </cfRule>
  </conditionalFormatting>
  <conditionalFormatting sqref="B52">
    <cfRule type="cellIs" dxfId="1414" priority="1" operator="equal">
      <formula>0</formula>
    </cfRule>
  </conditionalFormatting>
  <dataValidations count="8">
    <dataValidation type="list" allowBlank="1" showInputMessage="1" showErrorMessage="1" sqref="B73 B360 B114 B155 B196 B237 B278 B319 B401 B442 B483 B524 Y73 Y360 Y114 Y155 Y196 Y237 Y278 Y319 Y401 Y442 Y483 Y524">
      <formula1>ListaInsumos</formula1>
    </dataValidation>
    <dataValidation type="list" allowBlank="1" showInputMessage="1" showErrorMessage="1" sqref="B52:B56 Y298:Y302 B556 B607 B45:B49 B496:B500 B216:B220 B101:B102 B86:B90 B93:B97 B134:B138 Y503:Y507 B168:B172 B1141:B1142 B250:B254 B257:B261 B332:B336 B339:B343 B373:B377 B380:B384 B414:B418 B421:B425 B455:B459 B462:B466 B298:B302 B291:B295 Y216:Y220 Y45:Y49 Y52:Y56 Y86:Y90 Y93:Y97 B175:B179 Y134:Y138 Y168:Y172 Y175:Y179 Y209:Y213 B631 Y251:Y254 Y257:Y261 Y291:Y295 Y339:Y343 Y373:Y377 Y380:Y384 Y414:Y418 Y421:Y425 Y455:Y459 Y462:Y466 Y496:Y500 Y332:Y336 B503:B507 B564 B599 B588 B572 B580 B615 Y127:Y131 B623 B884:B885 B888:B889 B907:B908 B911:B912 B930:B931 B934:B935 B953:B954 B957:B958 B976:B977 B980:B981 B999:B1000 B1003:B1004 B1022:B1023 B1026:B1027 B1045:B1046 B1049:B1050 B1068:B1069 B1072:B1073 B1091:B1092 B1095:B1096 B1114:B1115 B1118:B1119 B1137:B1138 B209:B213 B127:B131">
      <formula1>ListaLabores</formula1>
    </dataValidation>
    <dataValidation type="list" allowBlank="1" showInputMessage="1" showErrorMessage="1" sqref="B428:B435 Y469:Y476 B305:B312 B59:B66 Y510:Y517 B141:B148 B182:B189 B223:B230 B264:B271 B346:B353 B387:B394 B469:B476 Y428:Y435 B510:B517 Y305:Y312 Y59:Y66 Y100:Y107 Y141:Y148 Y182:Y189 Y223:Y230 Y264:Y271 Y346:Y353 Y387:Y394 B100 B103:B107">
      <formula1>ListaSemillas</formula1>
    </dataValidation>
    <dataValidation type="list" allowBlank="1" showInputMessage="1" showErrorMessage="1" sqref="Y315:Y317 B559:B561 B69:B71 Y520:Y522 B110:B112 B192:B194 B233:B235 B274:B276 B356:B358 B397:B399 B438:B440 B479:B481 B315:B317 B551:B554 B633 B626:B628 Y69:Y71 Y110:Y112 Y151:Y153 Y192:Y194 Y233:Y235 Y274:Y276 Y356:Y358 Y397:Y399 Y479:Y482 Y438:Y440 B520:B522 B594:B596 B567:B569 B602:B604 B610:B612 B575:B577 B583:B585 B618:B620 B151:B153 B892:B893 B915:B916 B938:B939 B961:B962 B984:B985 B1007:B1008 B1030:B1031 B1053:B1054 B1076:B1077 B1099:B1100 B1122:B1123 B1145:B1146">
      <formula1>listafertilizante</formula1>
    </dataValidation>
    <dataValidation type="list" allowBlank="1" showInputMessage="1" showErrorMessage="1" sqref="B74:B76 B361:B363 B115:B117 B156:B158 Y525:Y527 B238:B240 B279:B281 B320:B322 B402:B404 B443:B445 B484:B486 B525:B527 Y74:Y76 Y361:Y363 Y115:Y117 Y156:Y158 Y197:Y199 Y238:Y240 Y279:Y281 Y320:Y322 Y402:Y404 Y443:Y445 Y484:Y486 B197:B199 B896:B898 B919:B921 B942:B944 B965:B967 B988:B990 B1011:B1013 B1034:B1036 B1057:B1059 B1080:B1082 B1103:B1105 B1126:B1128 B1149:B1151">
      <formula1>listaagroquimicos</formula1>
    </dataValidation>
    <dataValidation type="list" allowBlank="1" showInputMessage="1" showErrorMessage="1" sqref="B727:B728 B731:B732 B735:B736 B743:B744 B747:B748 B751:B752 B755:B756 B786 B759:B760 B763:B764 B767:B768 B739:B740 B777 B780 B783 B789 B792 B806 B795 B798 B771:B773 B809 B812 B815 B818 B821 B824 B827 B830 B801:B802 B668:B670 B673:B675 B678:B680 B683:B685 B688:B690 B700:B702 B705:B707 B693:B696 B710:B712 B715:B717 B720:B723">
      <formula1>cosecha</formula1>
    </dataValidation>
    <dataValidation type="list" allowBlank="1" showInputMessage="1" showErrorMessage="1" prompt="Seleccionar entre contratada o propia_x000a_" sqref="B838 B842 B846">
      <formula1>$B$1159:$B$1160</formula1>
    </dataValidation>
    <dataValidation type="list" allowBlank="1" showErrorMessage="1" prompt="_x000a_" sqref="C555 C563 C579 C587 C598 C614 C622 C630 C571 C606">
      <formula1>$B$1159:$B$1160</formula1>
    </dataValidation>
  </dataValidations>
  <hyperlinks>
    <hyperlink ref="R1" location="InsumosCultivos!AQ1" display="Siembras de Primavera - Verano "/>
    <hyperlink ref="AO1" location="InsumosCultivos!A1" display="Siembras de Otoño - Invierno  "/>
    <hyperlink ref="B3" location="InsumosCultivos!B13:C36" display="Implantación siembras del presupuesto"/>
    <hyperlink ref="B14" location="InsumosCultivos!B40:U78" display="InsumosCultivos!B40:U78"/>
    <hyperlink ref="B16" location="InsumosCultivos!B81:U119" display="InsumosCultivos!B81:U119"/>
    <hyperlink ref="B18" location="InsumosCultivos!B122:U160" display="InsumosCultivos!B122:U160"/>
    <hyperlink ref="B20" location="InsumosCultivos!B163:U201" display="InsumosCultivos!B163:U201"/>
    <hyperlink ref="B22" location="InsumosCultivos!B204:U242" display="InsumosCultivos!B204:U242"/>
    <hyperlink ref="B26" location="InsumosCultivos!B286:U324" display="InsumosCultivos!B286:U324"/>
    <hyperlink ref="B28" location="InsumosCultivos!B327:U365" display="InsumosCultivos!B327:U365"/>
    <hyperlink ref="B30" location="InsumosCultivos!B368:U406" display="InsumosCultivos!B368:U406"/>
    <hyperlink ref="B32" location="InsumosCultivos!B409:U447" display="InsumosCultivos!B409:U447"/>
    <hyperlink ref="B34" location="InsumosCultivos!B450:B488" display="InsumosCultivos!B450:B488"/>
    <hyperlink ref="Y14" location="InsumosCultivos!Y40:AR78" display="InsumosCultivos!Y40:AR78"/>
    <hyperlink ref="Y16" location="InsumosCultivos!Y81:AR119" display="InsumosCultivos!Y81:AR119"/>
    <hyperlink ref="Y18" location="InsumosCultivos!Y122:AR160" display="InsumosCultivos!Y122:AR160"/>
    <hyperlink ref="Y20" location="InsumosCultivos!Y163:AR201" display="InsumosCultivos!Y163:AR201"/>
    <hyperlink ref="Y22" location="InsumosCultivos!Y204:AR242" display="InsumosCultivos!Y204:AR242"/>
    <hyperlink ref="Y24" location="InsumosCultivos!Y245:AR283" display="InsumosCultivos!Y245:AR283"/>
    <hyperlink ref="Y26" location="InsumosCultivos!Y286:AR324" display="InsumosCultivos!Y286:AR324"/>
    <hyperlink ref="Y28" location="InsumosCultivos!Y327:AR365" display="InsumosCultivos!Y327:AR365"/>
    <hyperlink ref="Y30" location="InsumosCultivos!Y368:AR406" display="InsumosCultivos!Y368:AR406"/>
    <hyperlink ref="Y32" location="InsumosCultivos!Y409:AR447" display="InsumosCultivos!Y409:AR447"/>
    <hyperlink ref="Y34" location="InsumosCultivos!Y450:AR488" display="InsumosCultivos!Y450:AR488"/>
    <hyperlink ref="Y3" location="InsumosCultivos!Y14:Z37" display="Siembras del presupuesto"/>
    <hyperlink ref="B24" location="InsumosCultivos!B245:U283" display="InsumosCultivos!B245:U283"/>
    <hyperlink ref="B36" location="InsumosCultivos!B491:U529" display="InsumosCultivos!B491:U529"/>
    <hyperlink ref="Y36" location="InsumosCultivos!Y491:AR529" display="InsumosCultivos!Y491:AR529"/>
    <hyperlink ref="B4" location="InsumosCultivos!B531:I543" display="Refertilización "/>
    <hyperlink ref="B535" location="InsumosCultivos!B548:U556" display="Pasturas"/>
    <hyperlink ref="B537" location="InsumosCultivos!B557:U564" display="Verdeos de Invierno "/>
    <hyperlink ref="B539" location="InsumosCultivos!B565:U572" display="Verdeos de Verano"/>
    <hyperlink ref="B541" location="InsumosCultivos!B573:U580" display="Reservas de Invierno "/>
    <hyperlink ref="B543" location="InsumosCultivos!B581:U588" display="Reservas de Verano"/>
    <hyperlink ref="E535:H535" location="InsumosCultivos!B592:U599" display="Pasturas"/>
    <hyperlink ref="E537:H537" location="InsumosCultivos!B600:U607" display="Verdeos de Invierno "/>
    <hyperlink ref="E539:H539" location="InsumosCultivos!B608:U615" display="Verdeos de Verano"/>
    <hyperlink ref="E541:H541" location="InsumosCultivos!B616:U623" display="Reservas de Invierno "/>
    <hyperlink ref="E543:H543" location="InsumosCultivos!B624:U631" display="Reservas de Verano"/>
    <hyperlink ref="B637" location="InsumosCultivos!B665:U670" display="InsumosCultivos!B665:U670"/>
    <hyperlink ref="B639" location="InsumosCultivos!B671:U675" display="InsumosCultivos!B671:U675"/>
    <hyperlink ref="B641" location="InsumosCultivos!B676:U680" display="InsumosCultivos!B676:U680"/>
    <hyperlink ref="B643" location="InsumosCultivos!B681:U685" display="InsumosCultivos!B681:U685"/>
    <hyperlink ref="B645" location="InsumosCultivos!B686:U690" display="InsumosCultivos!B686:U690"/>
    <hyperlink ref="B647" location="InsumosCultivos!B691:U695" display="InsumosCultivos!B691:U695"/>
    <hyperlink ref="B649" location="InsumosCultivos!B698:U702" display="InsumosCultivos!B698:U702"/>
    <hyperlink ref="B651" location="InsumosCultivos!B703:U707" display="InsumosCultivos!B703:U707"/>
    <hyperlink ref="B653" location="InsumosCultivos!B708:U712" display="InsumosCultivos!B708:U712"/>
    <hyperlink ref="B655" location="InsumosCultivos!B713:U717" display="InsumosCultivos!B713:U717"/>
    <hyperlink ref="B657" location="InsumosCultivos!B718:U722" display="InsumosCultivos!B718:U722"/>
    <hyperlink ref="E637:H637" location="InsumosCultivos!B725:U728" display="InsumosCultivos!B725:U728"/>
    <hyperlink ref="E639:H639" location="InsumosCultivos!B729:U732" display="InsumosCultivos!B729:U732"/>
    <hyperlink ref="E641:H641" location="InsumosCultivos!B733:U736" display="InsumosCultivos!B733:U736"/>
    <hyperlink ref="E643:H643" location="InsumosCultivos!B737:U740" display="InsumosCultivos!B737:U740"/>
    <hyperlink ref="E645:H645" location="InsumosCultivos!B741:U744" display="InsumosCultivos!B741:U744"/>
    <hyperlink ref="E647:H647" location="InsumosCultivos!B745:U748" display="InsumosCultivos!B745:U748"/>
    <hyperlink ref="E649:H649" location="InsumosCultivos!B749:U752" display="InsumosCultivos!B749:U752"/>
    <hyperlink ref="E651:H651" location="InsumosCultivos!B753:U756" display="InsumosCultivos!B753:U756"/>
    <hyperlink ref="E653:H653" location="InsumosCultivos!B757:U760" display="InsumosCultivos!B757:U760"/>
    <hyperlink ref="E655:H655" location="InsumosCultivos!B761:U764" display="InsumosCultivos!B761:U764"/>
    <hyperlink ref="E657:H657" location="InsumosCultivos!B765:U769" display="InsumosCultivos!B765:U769"/>
    <hyperlink ref="E659:H659" location="InsumosCultivos!B769:U772" display="InsumosCultivos!B769:U772"/>
    <hyperlink ref="K637:N637" location="InsumosCultivos!B775:U777" display="InsumosCultivos!B775:U777"/>
    <hyperlink ref="K639:N639" location="InsumosCultivos!B778:U780" display="InsumosCultivos!B778:U780"/>
    <hyperlink ref="K641:N641" location="InsumosCultivos!B781:U783" display="InsumosCultivos!B781:U783"/>
    <hyperlink ref="K643:N643" location="InsumosCultivos!B784:U786" display="InsumosCultivos!B784:U786"/>
    <hyperlink ref="K645:N645" location="InsumosCultivos!B787:U789" display="InsumosCultivos!B787:U789"/>
    <hyperlink ref="K647:N647" location="InsumosCultivos!B790:U792" display="InsumosCultivos!B790:U792"/>
    <hyperlink ref="K649:N649" location="InsumosCultivos!B793:U795" display="InsumosCultivos!B793:U795"/>
    <hyperlink ref="K651:N651" location="InsumosCultivos!B796:U798" display="InsumosCultivos!B796:U798"/>
    <hyperlink ref="K653:N653" location="InsumosCultivos!B799:U801" display="InsumosCultivos!B799:U801"/>
    <hyperlink ref="Q637:T637" location="InsumosCultivos!B804:U806" display="InsumosCultivos!B804:U806"/>
    <hyperlink ref="Q639:T639" location="InsumosCultivos!B807:U809" display="InsumosCultivos!B807:U809"/>
    <hyperlink ref="Q641:T641" location="InsumosCultivos!B810:U812" display="InsumosCultivos!B810:U812"/>
    <hyperlink ref="Q643:T643" location="InsumosCultivos!B813:U815" display="InsumosCultivos!B813:U815"/>
    <hyperlink ref="Q645:T645" location="InsumosCultivos!B816:U818" display="InsumosCultivos!B816:U818"/>
    <hyperlink ref="Q647:T647" location="InsumosCultivos!B819:B821" display="InsumosCultivos!B819:B821"/>
    <hyperlink ref="Q649:T649" location="InsumosCultivos!B822:U824" display="InsumosCultivos!B822:U824"/>
    <hyperlink ref="Q651:T651" location="InsumosCultivos!B824:U827" display="InsumosCultivos!B824:U827"/>
    <hyperlink ref="Q653:T653" location="InsumosCultivos!B828:U830" display="InsumosCultivos!B828:U830"/>
    <hyperlink ref="D3:F3" location="InsumosCultivos!B636:C647" display="Cosechas Cultivos Reserva Verano "/>
    <hyperlink ref="D4:F4" location="InsumosCultivos!B649:C657" display="Cosechas Cultivos Reserva Invierno  "/>
    <hyperlink ref="J3:L3" location="InsumosCultivos!E636:I659" display="Cosechas Cultivos Agrícolas"/>
    <hyperlink ref="J4:L4" location="InsumosCultivos!K636:U653" display="Cosecha Semilleros "/>
    <hyperlink ref="O3:Q3" location="InsumosCultivos!B834:U848" display="Reservas forrajeras de excedentes"/>
    <hyperlink ref="O4:Q4" location="InsumosCultivos!B854:C877" display="Cultivos en proceso al inicio"/>
    <hyperlink ref="B855" location="InsumosCultivos!B879:U900" display="InsumosCultivos!B879:U900"/>
    <hyperlink ref="B857" location="InsumosCultivos!B902:U923" display="InsumosCultivos!B902:U923"/>
    <hyperlink ref="B859" location="InsumosCultivos!B925:U946" display="InsumosCultivos!B925:U946"/>
    <hyperlink ref="B861" location="InsumosCultivos!B948:U969" display="InsumosCultivos!B948:U969"/>
    <hyperlink ref="B863" location="InsumosCultivos!B971:B992" display="InsumosCultivos!B971:B992"/>
    <hyperlink ref="B865" location="InsumosCultivos!B994:U1015" display="InsumosCultivos!B994:U1015"/>
    <hyperlink ref="B867" location="InsumosCultivos!B1017:U1038" display="InsumosCultivos!B1017:U1038"/>
    <hyperlink ref="B869" location="InsumosCultivos!B1040:U1061" display="InsumosCultivos!B1040:U1061"/>
    <hyperlink ref="B871" location="InsumosCultivos!B1063:U1084" display="InsumosCultivos!B1063:U1084"/>
    <hyperlink ref="B873" location="InsumosCultivos!B1086:U1107" display="InsumosCultivos!B1086:U1107"/>
    <hyperlink ref="B875" location="InsumosCultivos!B1109:U1130" display="InsumosCultivos!B1109:U1130"/>
    <hyperlink ref="B877" location="InsumosCultivos!B1132:U1153" display="InsumosCultivos!B1132:U1153"/>
    <hyperlink ref="A1" location="ManualGlobal!B27:D43" display="◄"/>
    <hyperlink ref="Q636:U653" location="InsumosCultivos!K828:U830" display="Semilleros "/>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EF1472"/>
  <sheetViews>
    <sheetView showGridLines="0" zoomScale="87" zoomScaleNormal="110" workbookViewId="0">
      <pane ySplit="4" topLeftCell="A774" activePane="bottomLeft" state="frozen"/>
      <selection pane="bottomLeft" activeCell="S807" sqref="S807"/>
    </sheetView>
  </sheetViews>
  <sheetFormatPr baseColWidth="10" defaultColWidth="11.375" defaultRowHeight="14.4" x14ac:dyDescent="0.2"/>
  <cols>
    <col min="1" max="1" width="4.625" style="5" customWidth="1"/>
    <col min="2" max="2" width="9.875" style="6" customWidth="1"/>
    <col min="3" max="3" width="14.875" style="6" customWidth="1"/>
    <col min="4" max="4" width="14.375" style="6" customWidth="1"/>
    <col min="5" max="5" width="16.125" style="6" customWidth="1"/>
    <col min="6" max="11" width="10.875" style="6" customWidth="1"/>
    <col min="12" max="15" width="12.375" style="6" customWidth="1"/>
    <col min="16" max="17" width="12.375" style="107" customWidth="1"/>
    <col min="18" max="18" width="11.875" style="6" customWidth="1"/>
    <col min="19" max="19" width="13.125" style="106" customWidth="1"/>
    <col min="20" max="20" width="11.375" style="6" customWidth="1"/>
    <col min="21" max="21" width="10.375" style="6" customWidth="1"/>
    <col min="22" max="23" width="9.375" style="6" customWidth="1"/>
    <col min="24" max="24" width="9" style="6" hidden="1" customWidth="1"/>
    <col min="25" max="26" width="20.375" style="6" hidden="1" customWidth="1"/>
    <col min="27" max="32" width="20.375" style="6" customWidth="1"/>
    <col min="33" max="33" width="7.25" style="6" customWidth="1"/>
    <col min="34" max="35" width="20.375" style="6" customWidth="1"/>
    <col min="36" max="40" width="11.375" style="6" customWidth="1"/>
    <col min="41" max="41" width="12.375" style="6" customWidth="1"/>
    <col min="42" max="42" width="11.375" style="6" customWidth="1"/>
    <col min="43" max="43" width="12.375" style="6" customWidth="1"/>
    <col min="44" max="57" width="11.375" style="6" customWidth="1"/>
    <col min="58" max="121" width="11.375" style="6"/>
    <col min="122" max="122" width="14.125" style="6" customWidth="1"/>
    <col min="123" max="134" width="11.375" style="6"/>
    <col min="135" max="135" width="14" style="6" customWidth="1"/>
    <col min="136" max="16384" width="11.375" style="6"/>
  </cols>
  <sheetData>
    <row r="1" spans="1:44" ht="17.7" x14ac:dyDescent="0.3">
      <c r="A1" s="2443" t="s">
        <v>633</v>
      </c>
      <c r="B1" s="273" t="s">
        <v>654</v>
      </c>
      <c r="AM1" s="100"/>
      <c r="AN1" s="100"/>
      <c r="AO1" s="100"/>
    </row>
    <row r="2" spans="1:44" x14ac:dyDescent="0.3">
      <c r="A2" s="6"/>
      <c r="B2" s="739" t="s">
        <v>286</v>
      </c>
      <c r="E2" s="2443" t="s">
        <v>1702</v>
      </c>
      <c r="F2" s="2443"/>
      <c r="G2" s="739"/>
      <c r="H2" s="5516" t="s">
        <v>652</v>
      </c>
      <c r="I2" s="5516"/>
      <c r="L2" s="5516" t="s">
        <v>682</v>
      </c>
      <c r="M2" s="5516"/>
      <c r="P2" s="2447" t="s">
        <v>1277</v>
      </c>
      <c r="Q2" s="2447"/>
      <c r="R2" s="2447"/>
      <c r="AA2" s="1352"/>
      <c r="AB2" s="1352"/>
      <c r="AC2" s="1352"/>
      <c r="AD2" s="1352"/>
      <c r="AE2" s="1352"/>
      <c r="AF2" s="1352"/>
      <c r="AG2" s="1352"/>
      <c r="AH2" s="1352"/>
      <c r="AI2" s="1352"/>
      <c r="AJ2" s="1352"/>
      <c r="AK2" s="1352"/>
      <c r="AL2" s="1352"/>
      <c r="AM2" s="1352"/>
      <c r="AN2" s="1352"/>
      <c r="AO2" s="1352"/>
      <c r="AP2" s="1352"/>
      <c r="AQ2" s="1352"/>
      <c r="AR2" s="1352"/>
    </row>
    <row r="3" spans="1:44" x14ac:dyDescent="0.3">
      <c r="A3" s="6"/>
      <c r="B3" s="5523" t="s">
        <v>1202</v>
      </c>
      <c r="C3" s="5523"/>
      <c r="E3" s="5523" t="s">
        <v>1278</v>
      </c>
      <c r="F3" s="5523"/>
      <c r="G3" s="739"/>
      <c r="H3" s="5516" t="s">
        <v>653</v>
      </c>
      <c r="I3" s="5516"/>
      <c r="L3" s="2443" t="s">
        <v>684</v>
      </c>
      <c r="M3" s="739"/>
      <c r="N3" s="2385"/>
      <c r="P3" s="5516" t="s">
        <v>790</v>
      </c>
      <c r="Q3" s="5516"/>
    </row>
    <row r="4" spans="1:44" ht="15.05" thickBot="1" x14ac:dyDescent="0.25">
      <c r="A4" s="6"/>
      <c r="F4" s="672" t="str">
        <f>+F8</f>
        <v>Dic</v>
      </c>
      <c r="G4" s="672" t="str">
        <f t="shared" ref="G4:R4" si="0">+G8</f>
        <v>Ene</v>
      </c>
      <c r="H4" s="672" t="str">
        <f t="shared" si="0"/>
        <v>Feb</v>
      </c>
      <c r="I4" s="672" t="str">
        <f t="shared" si="0"/>
        <v>Mar</v>
      </c>
      <c r="J4" s="672" t="str">
        <f t="shared" si="0"/>
        <v>Abr</v>
      </c>
      <c r="K4" s="672" t="str">
        <f t="shared" si="0"/>
        <v>May</v>
      </c>
      <c r="L4" s="672" t="str">
        <f t="shared" si="0"/>
        <v>Jun</v>
      </c>
      <c r="M4" s="672" t="str">
        <f t="shared" si="0"/>
        <v>Jul</v>
      </c>
      <c r="N4" s="672" t="str">
        <f t="shared" si="0"/>
        <v>Ago</v>
      </c>
      <c r="O4" s="672" t="str">
        <f t="shared" si="0"/>
        <v>Set</v>
      </c>
      <c r="P4" s="672" t="str">
        <f t="shared" si="0"/>
        <v>Oct</v>
      </c>
      <c r="Q4" s="672" t="str">
        <f t="shared" si="0"/>
        <v>Nov</v>
      </c>
      <c r="R4" s="672" t="str">
        <f t="shared" si="0"/>
        <v>Dic</v>
      </c>
    </row>
    <row r="5" spans="1:44" ht="15.05" thickBot="1" x14ac:dyDescent="0.25">
      <c r="A5" s="1344">
        <f>+Forrajes!A6+1</f>
        <v>29</v>
      </c>
      <c r="B5" s="7" t="s">
        <v>880</v>
      </c>
      <c r="C5" s="8"/>
      <c r="D5" s="8"/>
      <c r="E5" s="8"/>
      <c r="F5" s="8"/>
      <c r="G5" s="8"/>
      <c r="H5" s="8"/>
      <c r="I5" s="8"/>
      <c r="J5" s="8"/>
      <c r="K5" s="8"/>
      <c r="L5" s="8"/>
      <c r="M5" s="8"/>
      <c r="N5" s="8"/>
      <c r="O5" s="8"/>
      <c r="P5" s="8"/>
      <c r="Q5" s="8"/>
      <c r="R5" s="9"/>
      <c r="S5" s="1473"/>
      <c r="T5" s="107"/>
      <c r="AM5" s="5"/>
    </row>
    <row r="6" spans="1:44" x14ac:dyDescent="0.2">
      <c r="A6" s="100"/>
      <c r="B6" s="659"/>
      <c r="C6" s="11"/>
      <c r="D6" s="12" t="s">
        <v>879</v>
      </c>
      <c r="E6" s="12" t="s">
        <v>976</v>
      </c>
      <c r="F6" s="672" t="s">
        <v>972</v>
      </c>
      <c r="G6" s="13" t="s">
        <v>1100</v>
      </c>
      <c r="H6" s="14"/>
      <c r="I6" s="14"/>
      <c r="J6" s="14"/>
      <c r="K6" s="14"/>
      <c r="L6" s="14"/>
      <c r="M6" s="14"/>
      <c r="N6" s="14"/>
      <c r="O6" s="14"/>
      <c r="P6" s="14"/>
      <c r="Q6" s="14"/>
      <c r="R6" s="15"/>
      <c r="S6" s="1474"/>
      <c r="T6" s="1436"/>
      <c r="U6" s="1436"/>
      <c r="V6" s="1436"/>
      <c r="W6" s="1436"/>
    </row>
    <row r="7" spans="1:44" ht="29.45" customHeight="1" x14ac:dyDescent="0.2">
      <c r="A7" s="100"/>
      <c r="B7" s="697" t="s">
        <v>1204</v>
      </c>
      <c r="C7" s="11" t="s">
        <v>1563</v>
      </c>
      <c r="D7" s="12" t="s">
        <v>13</v>
      </c>
      <c r="E7" s="11" t="s">
        <v>968</v>
      </c>
      <c r="F7" s="673" t="s">
        <v>969</v>
      </c>
      <c r="G7" s="674"/>
      <c r="H7" s="675"/>
      <c r="I7" s="675"/>
      <c r="J7" s="675"/>
      <c r="K7" s="675"/>
      <c r="L7" s="675" t="s">
        <v>970</v>
      </c>
      <c r="M7" s="675"/>
      <c r="N7" s="675"/>
      <c r="O7" s="675"/>
      <c r="P7" s="675"/>
      <c r="Q7" s="675"/>
      <c r="R7" s="676"/>
      <c r="S7" s="1474"/>
      <c r="T7" s="1436"/>
      <c r="U7" s="1437"/>
      <c r="V7" s="1437"/>
      <c r="W7" s="1437"/>
    </row>
    <row r="8" spans="1:44" x14ac:dyDescent="0.2">
      <c r="A8" s="100"/>
      <c r="B8" s="677" t="s">
        <v>967</v>
      </c>
      <c r="C8" s="11" t="s">
        <v>247</v>
      </c>
      <c r="D8" s="12" t="s">
        <v>294</v>
      </c>
      <c r="E8" s="12" t="s">
        <v>977</v>
      </c>
      <c r="F8" s="672" t="str">
        <f>R8</f>
        <v>Dic</v>
      </c>
      <c r="G8" s="678" t="str">
        <f>General!C5</f>
        <v>Ene</v>
      </c>
      <c r="H8" s="678" t="str">
        <f>IF(AND(G8="Ene"),"Feb",IF(AND(G8="Feb"),"Mar",IF(AND(G8="Mar"),"Abr",IF(AND(G8="Abr"),"May",IF(AND(G8="May"),"Jun",IF(AND(G8="Jun"),"Jul",IF(AND(G8="Jul"),"Ago",IF(AND(G8="Ago"),"Set",IF(AND(G8="Set"),"Oct",IF(AND(G8="Oct"),"Nov",IF(AND(G8="Nov"),"Dic",IF(AND(G8="Dic"),"Ene"))))))))))))</f>
        <v>Feb</v>
      </c>
      <c r="I8" s="678" t="str">
        <f t="shared" ref="I8:R8" si="1">IF(AND(H8="Ene"),"Feb",IF(AND(H8="Feb"),"Mar",IF(AND(H8="Mar"),"Abr",IF(AND(H8="Abr"),"May",IF(AND(H8="May"),"Jun",IF(AND(H8="Jun"),"Jul",IF(AND(H8="Jul"),"Ago",IF(AND(H8="Ago"),"Set",IF(AND(H8="Set"),"Oct",IF(AND(H8="Oct"),"Nov",IF(AND(H8="Nov"),"Dic",IF(AND(H8="Dic"),"Ene"))))))))))))</f>
        <v>Mar</v>
      </c>
      <c r="J8" s="678" t="str">
        <f>IF(AND(I8="Ene"),"Feb",IF(AND(I8="Feb"),"Mar",IF(AND(I8="Mar"),"Abr",IF(AND(I8="Abr"),"May",IF(AND(I8="May"),"Jun",IF(AND(I8="Jun"),"Jul",IF(AND(I8="Jul"),"Ago",IF(AND(I8="Ago"),"Set",IF(AND(I8="Set"),"Oct",IF(AND(I8="Oct"),"Nov",IF(AND(I8="Nov"),"Dic",IF(AND(I8="Dic"),"Ene"))))))))))))</f>
        <v>Abr</v>
      </c>
      <c r="K8" s="678" t="str">
        <f>IF(AND(J8="Ene"),"Feb",IF(AND(J8="Feb"),"Mar",IF(AND(J8="Mar"),"Abr",IF(AND(J8="Abr"),"May",IF(AND(J8="May"),"Jun",IF(AND(J8="Jun"),"Jul",IF(AND(J8="Jul"),"Ago",IF(AND(J8="Ago"),"Set",IF(AND(J8="Set"),"Oct",IF(AND(J8="Oct"),"Nov",IF(AND(J8="Nov"),"Dic",IF(AND(J8="Dic"),"Ene"))))))))))))</f>
        <v>May</v>
      </c>
      <c r="L8" s="678" t="str">
        <f t="shared" si="1"/>
        <v>Jun</v>
      </c>
      <c r="M8" s="678" t="str">
        <f t="shared" si="1"/>
        <v>Jul</v>
      </c>
      <c r="N8" s="678" t="str">
        <f t="shared" si="1"/>
        <v>Ago</v>
      </c>
      <c r="O8" s="678" t="str">
        <f t="shared" si="1"/>
        <v>Set</v>
      </c>
      <c r="P8" s="678" t="str">
        <f t="shared" si="1"/>
        <v>Oct</v>
      </c>
      <c r="Q8" s="678" t="str">
        <f t="shared" si="1"/>
        <v>Nov</v>
      </c>
      <c r="R8" s="679" t="str">
        <f t="shared" si="1"/>
        <v>Dic</v>
      </c>
      <c r="S8" s="1474"/>
      <c r="T8" s="1436"/>
      <c r="U8" s="1437"/>
      <c r="V8" s="1437"/>
      <c r="W8" s="1437"/>
    </row>
    <row r="9" spans="1:44" ht="15.05" customHeight="1" x14ac:dyDescent="0.2">
      <c r="A9" s="100"/>
      <c r="B9" s="5084"/>
      <c r="C9" s="5085"/>
      <c r="D9" s="5086"/>
      <c r="E9" s="5087">
        <v>1</v>
      </c>
      <c r="F9" s="5088"/>
      <c r="G9" s="5089">
        <f>F9</f>
        <v>0</v>
      </c>
      <c r="H9" s="5089">
        <f t="shared" ref="H9:R9" si="2">G9</f>
        <v>0</v>
      </c>
      <c r="I9" s="5089">
        <f t="shared" si="2"/>
        <v>0</v>
      </c>
      <c r="J9" s="5089">
        <f t="shared" si="2"/>
        <v>0</v>
      </c>
      <c r="K9" s="5089">
        <f t="shared" si="2"/>
        <v>0</v>
      </c>
      <c r="L9" s="5089">
        <f t="shared" si="2"/>
        <v>0</v>
      </c>
      <c r="M9" s="5089">
        <f t="shared" si="2"/>
        <v>0</v>
      </c>
      <c r="N9" s="5089">
        <f t="shared" si="2"/>
        <v>0</v>
      </c>
      <c r="O9" s="5089">
        <f t="shared" si="2"/>
        <v>0</v>
      </c>
      <c r="P9" s="5089">
        <f t="shared" si="2"/>
        <v>0</v>
      </c>
      <c r="Q9" s="5089">
        <f t="shared" si="2"/>
        <v>0</v>
      </c>
      <c r="R9" s="5089">
        <f t="shared" si="2"/>
        <v>0</v>
      </c>
      <c r="S9" s="1475"/>
      <c r="T9" s="1476"/>
    </row>
    <row r="10" spans="1:44" ht="15.05" customHeight="1" x14ac:dyDescent="0.2">
      <c r="A10" s="100"/>
      <c r="B10" s="5084"/>
      <c r="C10" s="5085"/>
      <c r="D10" s="5086"/>
      <c r="E10" s="5090">
        <v>1</v>
      </c>
      <c r="F10" s="5088"/>
      <c r="G10" s="5089">
        <f t="shared" ref="G10:R10" si="3">F10</f>
        <v>0</v>
      </c>
      <c r="H10" s="5089">
        <f t="shared" si="3"/>
        <v>0</v>
      </c>
      <c r="I10" s="5089">
        <f t="shared" si="3"/>
        <v>0</v>
      </c>
      <c r="J10" s="5089">
        <f t="shared" si="3"/>
        <v>0</v>
      </c>
      <c r="K10" s="5089">
        <f t="shared" si="3"/>
        <v>0</v>
      </c>
      <c r="L10" s="5089">
        <f t="shared" si="3"/>
        <v>0</v>
      </c>
      <c r="M10" s="5089">
        <f t="shared" si="3"/>
        <v>0</v>
      </c>
      <c r="N10" s="5089">
        <f t="shared" si="3"/>
        <v>0</v>
      </c>
      <c r="O10" s="5089">
        <f t="shared" si="3"/>
        <v>0</v>
      </c>
      <c r="P10" s="5089">
        <f t="shared" si="3"/>
        <v>0</v>
      </c>
      <c r="Q10" s="5089">
        <f t="shared" si="3"/>
        <v>0</v>
      </c>
      <c r="R10" s="5089">
        <f t="shared" si="3"/>
        <v>0</v>
      </c>
      <c r="S10" s="1475"/>
      <c r="T10" s="1476"/>
      <c r="U10" s="413"/>
      <c r="V10" s="413"/>
      <c r="W10" s="413"/>
    </row>
    <row r="11" spans="1:44" ht="15.05" customHeight="1" x14ac:dyDescent="0.2">
      <c r="A11" s="100"/>
      <c r="B11" s="5084"/>
      <c r="C11" s="5085"/>
      <c r="D11" s="5086"/>
      <c r="E11" s="5090">
        <v>1</v>
      </c>
      <c r="F11" s="5088"/>
      <c r="G11" s="5089">
        <f t="shared" ref="G11:R11" si="4">F11</f>
        <v>0</v>
      </c>
      <c r="H11" s="5089">
        <f t="shared" si="4"/>
        <v>0</v>
      </c>
      <c r="I11" s="5089">
        <f t="shared" si="4"/>
        <v>0</v>
      </c>
      <c r="J11" s="5089">
        <f t="shared" si="4"/>
        <v>0</v>
      </c>
      <c r="K11" s="5089">
        <f t="shared" si="4"/>
        <v>0</v>
      </c>
      <c r="L11" s="5089">
        <f t="shared" si="4"/>
        <v>0</v>
      </c>
      <c r="M11" s="5089">
        <f t="shared" si="4"/>
        <v>0</v>
      </c>
      <c r="N11" s="5089">
        <f t="shared" si="4"/>
        <v>0</v>
      </c>
      <c r="O11" s="5089">
        <f t="shared" si="4"/>
        <v>0</v>
      </c>
      <c r="P11" s="5089">
        <f t="shared" si="4"/>
        <v>0</v>
      </c>
      <c r="Q11" s="5089">
        <f t="shared" si="4"/>
        <v>0</v>
      </c>
      <c r="R11" s="5089">
        <f t="shared" si="4"/>
        <v>0</v>
      </c>
      <c r="S11" s="1475"/>
      <c r="T11" s="1476"/>
      <c r="U11" s="413"/>
      <c r="V11" s="413"/>
      <c r="W11" s="413"/>
    </row>
    <row r="12" spans="1:44" ht="15.05" customHeight="1" x14ac:dyDescent="0.2">
      <c r="A12" s="100"/>
      <c r="B12" s="5084"/>
      <c r="C12" s="5085"/>
      <c r="D12" s="5086"/>
      <c r="E12" s="5090">
        <v>1</v>
      </c>
      <c r="F12" s="5088"/>
      <c r="G12" s="5089">
        <f t="shared" ref="G12:R12" si="5">F12</f>
        <v>0</v>
      </c>
      <c r="H12" s="5089">
        <f t="shared" si="5"/>
        <v>0</v>
      </c>
      <c r="I12" s="5089">
        <f t="shared" si="5"/>
        <v>0</v>
      </c>
      <c r="J12" s="5089">
        <f t="shared" si="5"/>
        <v>0</v>
      </c>
      <c r="K12" s="5089">
        <f t="shared" si="5"/>
        <v>0</v>
      </c>
      <c r="L12" s="5089">
        <f t="shared" si="5"/>
        <v>0</v>
      </c>
      <c r="M12" s="5089">
        <f t="shared" si="5"/>
        <v>0</v>
      </c>
      <c r="N12" s="5089">
        <f t="shared" si="5"/>
        <v>0</v>
      </c>
      <c r="O12" s="5089">
        <f t="shared" si="5"/>
        <v>0</v>
      </c>
      <c r="P12" s="5089">
        <f t="shared" si="5"/>
        <v>0</v>
      </c>
      <c r="Q12" s="5089">
        <f t="shared" si="5"/>
        <v>0</v>
      </c>
      <c r="R12" s="5089">
        <f t="shared" si="5"/>
        <v>0</v>
      </c>
      <c r="S12" s="1475"/>
      <c r="T12" s="1476"/>
      <c r="U12" s="413"/>
      <c r="V12" s="413"/>
      <c r="W12" s="413"/>
    </row>
    <row r="13" spans="1:44" ht="15.05" customHeight="1" x14ac:dyDescent="0.2">
      <c r="A13" s="100"/>
      <c r="B13" s="5084"/>
      <c r="C13" s="5085"/>
      <c r="D13" s="5086"/>
      <c r="E13" s="5090">
        <v>1</v>
      </c>
      <c r="F13" s="5088"/>
      <c r="G13" s="5089">
        <f t="shared" ref="G13:R13" si="6">F13</f>
        <v>0</v>
      </c>
      <c r="H13" s="5089">
        <f t="shared" si="6"/>
        <v>0</v>
      </c>
      <c r="I13" s="5089">
        <f t="shared" si="6"/>
        <v>0</v>
      </c>
      <c r="J13" s="5089">
        <f t="shared" si="6"/>
        <v>0</v>
      </c>
      <c r="K13" s="5089">
        <f t="shared" si="6"/>
        <v>0</v>
      </c>
      <c r="L13" s="5089">
        <f t="shared" si="6"/>
        <v>0</v>
      </c>
      <c r="M13" s="5089">
        <f t="shared" si="6"/>
        <v>0</v>
      </c>
      <c r="N13" s="5089">
        <f t="shared" si="6"/>
        <v>0</v>
      </c>
      <c r="O13" s="5089">
        <f t="shared" si="6"/>
        <v>0</v>
      </c>
      <c r="P13" s="5089">
        <f t="shared" si="6"/>
        <v>0</v>
      </c>
      <c r="Q13" s="5089">
        <f t="shared" si="6"/>
        <v>0</v>
      </c>
      <c r="R13" s="5089">
        <f t="shared" si="6"/>
        <v>0</v>
      </c>
      <c r="S13" s="1475"/>
      <c r="T13" s="1476"/>
      <c r="U13" s="413"/>
      <c r="V13" s="413"/>
      <c r="W13" s="413"/>
    </row>
    <row r="14" spans="1:44" ht="15.05" customHeight="1" x14ac:dyDescent="0.2">
      <c r="A14" s="100"/>
      <c r="B14" s="5084"/>
      <c r="C14" s="5085"/>
      <c r="D14" s="5086"/>
      <c r="E14" s="5090">
        <v>1</v>
      </c>
      <c r="F14" s="5088"/>
      <c r="G14" s="5089">
        <f t="shared" ref="G14:R14" si="7">F14</f>
        <v>0</v>
      </c>
      <c r="H14" s="5089">
        <f t="shared" si="7"/>
        <v>0</v>
      </c>
      <c r="I14" s="5089">
        <f t="shared" si="7"/>
        <v>0</v>
      </c>
      <c r="J14" s="5089">
        <f t="shared" si="7"/>
        <v>0</v>
      </c>
      <c r="K14" s="5089">
        <f t="shared" si="7"/>
        <v>0</v>
      </c>
      <c r="L14" s="5089">
        <f t="shared" si="7"/>
        <v>0</v>
      </c>
      <c r="M14" s="5089">
        <f t="shared" si="7"/>
        <v>0</v>
      </c>
      <c r="N14" s="5089">
        <f t="shared" si="7"/>
        <v>0</v>
      </c>
      <c r="O14" s="5089">
        <f t="shared" si="7"/>
        <v>0</v>
      </c>
      <c r="P14" s="5089">
        <f t="shared" si="7"/>
        <v>0</v>
      </c>
      <c r="Q14" s="5089">
        <f t="shared" si="7"/>
        <v>0</v>
      </c>
      <c r="R14" s="5089">
        <f t="shared" si="7"/>
        <v>0</v>
      </c>
      <c r="S14" s="1475"/>
      <c r="T14" s="1476"/>
      <c r="U14" s="413"/>
      <c r="V14" s="413"/>
      <c r="W14" s="413"/>
    </row>
    <row r="15" spans="1:44" ht="15.05" customHeight="1" x14ac:dyDescent="0.2">
      <c r="A15" s="100"/>
      <c r="B15" s="5084"/>
      <c r="C15" s="5085"/>
      <c r="D15" s="5086"/>
      <c r="E15" s="5090">
        <v>1</v>
      </c>
      <c r="F15" s="5088"/>
      <c r="G15" s="5089">
        <f t="shared" ref="G15:R15" si="8">F15</f>
        <v>0</v>
      </c>
      <c r="H15" s="5089">
        <f t="shared" si="8"/>
        <v>0</v>
      </c>
      <c r="I15" s="5089">
        <f t="shared" si="8"/>
        <v>0</v>
      </c>
      <c r="J15" s="5089">
        <f t="shared" si="8"/>
        <v>0</v>
      </c>
      <c r="K15" s="5089">
        <f t="shared" si="8"/>
        <v>0</v>
      </c>
      <c r="L15" s="5089">
        <f t="shared" si="8"/>
        <v>0</v>
      </c>
      <c r="M15" s="5089">
        <f t="shared" si="8"/>
        <v>0</v>
      </c>
      <c r="N15" s="5089">
        <f t="shared" si="8"/>
        <v>0</v>
      </c>
      <c r="O15" s="5089">
        <f t="shared" si="8"/>
        <v>0</v>
      </c>
      <c r="P15" s="5089">
        <f t="shared" si="8"/>
        <v>0</v>
      </c>
      <c r="Q15" s="5089">
        <f t="shared" si="8"/>
        <v>0</v>
      </c>
      <c r="R15" s="5089">
        <f t="shared" si="8"/>
        <v>0</v>
      </c>
      <c r="S15" s="1475"/>
      <c r="T15" s="1476"/>
      <c r="U15" s="413"/>
      <c r="V15" s="413"/>
      <c r="W15" s="413"/>
    </row>
    <row r="16" spans="1:44" ht="15.05" customHeight="1" x14ac:dyDescent="0.2">
      <c r="A16" s="100"/>
      <c r="B16" s="5084"/>
      <c r="C16" s="5085"/>
      <c r="D16" s="5086"/>
      <c r="E16" s="5090">
        <v>1</v>
      </c>
      <c r="F16" s="5088"/>
      <c r="G16" s="5089">
        <f t="shared" ref="G16:R16" si="9">F16</f>
        <v>0</v>
      </c>
      <c r="H16" s="5089">
        <f t="shared" si="9"/>
        <v>0</v>
      </c>
      <c r="I16" s="5089">
        <f t="shared" si="9"/>
        <v>0</v>
      </c>
      <c r="J16" s="5089">
        <f t="shared" si="9"/>
        <v>0</v>
      </c>
      <c r="K16" s="5089">
        <f t="shared" si="9"/>
        <v>0</v>
      </c>
      <c r="L16" s="5089">
        <f t="shared" si="9"/>
        <v>0</v>
      </c>
      <c r="M16" s="5089">
        <f t="shared" si="9"/>
        <v>0</v>
      </c>
      <c r="N16" s="5089">
        <f t="shared" si="9"/>
        <v>0</v>
      </c>
      <c r="O16" s="5089">
        <f t="shared" si="9"/>
        <v>0</v>
      </c>
      <c r="P16" s="5089">
        <f t="shared" si="9"/>
        <v>0</v>
      </c>
      <c r="Q16" s="5089">
        <f t="shared" si="9"/>
        <v>0</v>
      </c>
      <c r="R16" s="5089">
        <f t="shared" si="9"/>
        <v>0</v>
      </c>
      <c r="S16" s="1475"/>
      <c r="T16" s="1476"/>
      <c r="U16" s="413"/>
      <c r="V16" s="413"/>
      <c r="W16" s="413"/>
    </row>
    <row r="17" spans="1:23" ht="15.05" customHeight="1" x14ac:dyDescent="0.2">
      <c r="A17" s="100"/>
      <c r="B17" s="5084"/>
      <c r="C17" s="5085"/>
      <c r="D17" s="5086"/>
      <c r="E17" s="5090">
        <v>1</v>
      </c>
      <c r="F17" s="5088"/>
      <c r="G17" s="5089">
        <f t="shared" ref="G17:R17" si="10">F17</f>
        <v>0</v>
      </c>
      <c r="H17" s="5089">
        <f t="shared" si="10"/>
        <v>0</v>
      </c>
      <c r="I17" s="5089">
        <f t="shared" si="10"/>
        <v>0</v>
      </c>
      <c r="J17" s="5089">
        <f t="shared" si="10"/>
        <v>0</v>
      </c>
      <c r="K17" s="5089">
        <f t="shared" si="10"/>
        <v>0</v>
      </c>
      <c r="L17" s="5089">
        <f t="shared" si="10"/>
        <v>0</v>
      </c>
      <c r="M17" s="5089">
        <f t="shared" si="10"/>
        <v>0</v>
      </c>
      <c r="N17" s="5089">
        <f t="shared" si="10"/>
        <v>0</v>
      </c>
      <c r="O17" s="5089">
        <f t="shared" si="10"/>
        <v>0</v>
      </c>
      <c r="P17" s="5089">
        <f t="shared" si="10"/>
        <v>0</v>
      </c>
      <c r="Q17" s="5089">
        <f t="shared" si="10"/>
        <v>0</v>
      </c>
      <c r="R17" s="5089">
        <f t="shared" si="10"/>
        <v>0</v>
      </c>
      <c r="S17" s="1475"/>
      <c r="T17" s="1476"/>
      <c r="U17" s="413"/>
      <c r="V17" s="413"/>
      <c r="W17" s="413"/>
    </row>
    <row r="18" spans="1:23" ht="15.05" customHeight="1" x14ac:dyDescent="0.2">
      <c r="A18" s="100"/>
      <c r="B18" s="5084"/>
      <c r="C18" s="5085"/>
      <c r="D18" s="5086"/>
      <c r="E18" s="5090">
        <v>1</v>
      </c>
      <c r="F18" s="5088"/>
      <c r="G18" s="5089">
        <f t="shared" ref="G18:R18" si="11">F18</f>
        <v>0</v>
      </c>
      <c r="H18" s="5089">
        <f t="shared" si="11"/>
        <v>0</v>
      </c>
      <c r="I18" s="5089">
        <f t="shared" si="11"/>
        <v>0</v>
      </c>
      <c r="J18" s="5089">
        <f t="shared" si="11"/>
        <v>0</v>
      </c>
      <c r="K18" s="5089">
        <f t="shared" si="11"/>
        <v>0</v>
      </c>
      <c r="L18" s="5089">
        <f t="shared" si="11"/>
        <v>0</v>
      </c>
      <c r="M18" s="5089">
        <f t="shared" si="11"/>
        <v>0</v>
      </c>
      <c r="N18" s="5089">
        <f t="shared" si="11"/>
        <v>0</v>
      </c>
      <c r="O18" s="5089">
        <f t="shared" si="11"/>
        <v>0</v>
      </c>
      <c r="P18" s="5089">
        <f t="shared" si="11"/>
        <v>0</v>
      </c>
      <c r="Q18" s="5089">
        <f t="shared" si="11"/>
        <v>0</v>
      </c>
      <c r="R18" s="5089">
        <f t="shared" si="11"/>
        <v>0</v>
      </c>
      <c r="S18" s="1475"/>
      <c r="T18" s="1476"/>
      <c r="U18" s="413"/>
      <c r="V18" s="413"/>
      <c r="W18" s="413"/>
    </row>
    <row r="19" spans="1:23" ht="15.05" customHeight="1" x14ac:dyDescent="0.2">
      <c r="A19" s="100"/>
      <c r="B19" s="5084"/>
      <c r="C19" s="5085"/>
      <c r="D19" s="5086"/>
      <c r="E19" s="5090">
        <v>1</v>
      </c>
      <c r="F19" s="5088"/>
      <c r="G19" s="5089">
        <f t="shared" ref="G19:R19" si="12">F19</f>
        <v>0</v>
      </c>
      <c r="H19" s="5089">
        <f t="shared" si="12"/>
        <v>0</v>
      </c>
      <c r="I19" s="5089">
        <f t="shared" si="12"/>
        <v>0</v>
      </c>
      <c r="J19" s="5089">
        <f t="shared" si="12"/>
        <v>0</v>
      </c>
      <c r="K19" s="5089">
        <f t="shared" si="12"/>
        <v>0</v>
      </c>
      <c r="L19" s="5089">
        <f t="shared" si="12"/>
        <v>0</v>
      </c>
      <c r="M19" s="5089">
        <f t="shared" si="12"/>
        <v>0</v>
      </c>
      <c r="N19" s="5089">
        <f t="shared" si="12"/>
        <v>0</v>
      </c>
      <c r="O19" s="5089">
        <f t="shared" si="12"/>
        <v>0</v>
      </c>
      <c r="P19" s="5089">
        <f t="shared" si="12"/>
        <v>0</v>
      </c>
      <c r="Q19" s="5089">
        <f t="shared" si="12"/>
        <v>0</v>
      </c>
      <c r="R19" s="5089">
        <f t="shared" si="12"/>
        <v>0</v>
      </c>
      <c r="S19" s="1475"/>
      <c r="T19" s="1476"/>
      <c r="U19" s="413"/>
      <c r="V19" s="413"/>
      <c r="W19" s="413"/>
    </row>
    <row r="20" spans="1:23" ht="15.05" customHeight="1" x14ac:dyDescent="0.2">
      <c r="A20" s="100"/>
      <c r="B20" s="5084"/>
      <c r="C20" s="5085"/>
      <c r="D20" s="5086"/>
      <c r="E20" s="5090">
        <v>1</v>
      </c>
      <c r="F20" s="5088"/>
      <c r="G20" s="5089">
        <f t="shared" ref="G20:R20" si="13">F20</f>
        <v>0</v>
      </c>
      <c r="H20" s="5089">
        <f t="shared" si="13"/>
        <v>0</v>
      </c>
      <c r="I20" s="5089">
        <f t="shared" si="13"/>
        <v>0</v>
      </c>
      <c r="J20" s="5089">
        <f t="shared" si="13"/>
        <v>0</v>
      </c>
      <c r="K20" s="5089">
        <f t="shared" si="13"/>
        <v>0</v>
      </c>
      <c r="L20" s="5089">
        <f t="shared" si="13"/>
        <v>0</v>
      </c>
      <c r="M20" s="5089">
        <f t="shared" si="13"/>
        <v>0</v>
      </c>
      <c r="N20" s="5089">
        <f t="shared" si="13"/>
        <v>0</v>
      </c>
      <c r="O20" s="5089">
        <f t="shared" si="13"/>
        <v>0</v>
      </c>
      <c r="P20" s="5089">
        <f t="shared" si="13"/>
        <v>0</v>
      </c>
      <c r="Q20" s="5089">
        <f t="shared" si="13"/>
        <v>0</v>
      </c>
      <c r="R20" s="5089">
        <f t="shared" si="13"/>
        <v>0</v>
      </c>
      <c r="S20" s="1475"/>
      <c r="T20" s="1476"/>
      <c r="U20" s="413"/>
      <c r="V20" s="413"/>
      <c r="W20" s="413"/>
    </row>
    <row r="21" spans="1:23" ht="15.05" customHeight="1" x14ac:dyDescent="0.2">
      <c r="A21" s="100"/>
      <c r="B21" s="5084"/>
      <c r="C21" s="5085"/>
      <c r="D21" s="5086"/>
      <c r="E21" s="5090">
        <v>1</v>
      </c>
      <c r="F21" s="5088"/>
      <c r="G21" s="5089">
        <f t="shared" ref="G21:R21" si="14">F21</f>
        <v>0</v>
      </c>
      <c r="H21" s="5089">
        <f t="shared" si="14"/>
        <v>0</v>
      </c>
      <c r="I21" s="5089">
        <f t="shared" si="14"/>
        <v>0</v>
      </c>
      <c r="J21" s="5089">
        <f t="shared" si="14"/>
        <v>0</v>
      </c>
      <c r="K21" s="5089">
        <f t="shared" si="14"/>
        <v>0</v>
      </c>
      <c r="L21" s="5089">
        <f t="shared" si="14"/>
        <v>0</v>
      </c>
      <c r="M21" s="5089">
        <f t="shared" si="14"/>
        <v>0</v>
      </c>
      <c r="N21" s="5089">
        <f t="shared" si="14"/>
        <v>0</v>
      </c>
      <c r="O21" s="5089">
        <f t="shared" si="14"/>
        <v>0</v>
      </c>
      <c r="P21" s="5089">
        <f t="shared" si="14"/>
        <v>0</v>
      </c>
      <c r="Q21" s="5089">
        <f t="shared" si="14"/>
        <v>0</v>
      </c>
      <c r="R21" s="5089">
        <f t="shared" si="14"/>
        <v>0</v>
      </c>
      <c r="S21" s="1475"/>
      <c r="T21" s="1476"/>
      <c r="U21" s="413"/>
      <c r="V21" s="413"/>
      <c r="W21" s="413"/>
    </row>
    <row r="22" spans="1:23" ht="15.05" customHeight="1" x14ac:dyDescent="0.2">
      <c r="A22" s="100"/>
      <c r="B22" s="5084"/>
      <c r="C22" s="5085"/>
      <c r="D22" s="5086"/>
      <c r="E22" s="5090">
        <v>1</v>
      </c>
      <c r="F22" s="5088"/>
      <c r="G22" s="5089">
        <f t="shared" ref="G22:R22" si="15">F22</f>
        <v>0</v>
      </c>
      <c r="H22" s="5089">
        <f t="shared" si="15"/>
        <v>0</v>
      </c>
      <c r="I22" s="5089">
        <f t="shared" si="15"/>
        <v>0</v>
      </c>
      <c r="J22" s="5089">
        <f t="shared" si="15"/>
        <v>0</v>
      </c>
      <c r="K22" s="5089">
        <f t="shared" si="15"/>
        <v>0</v>
      </c>
      <c r="L22" s="5089">
        <f t="shared" si="15"/>
        <v>0</v>
      </c>
      <c r="M22" s="5089">
        <f t="shared" si="15"/>
        <v>0</v>
      </c>
      <c r="N22" s="5089">
        <f t="shared" si="15"/>
        <v>0</v>
      </c>
      <c r="O22" s="5089">
        <f t="shared" si="15"/>
        <v>0</v>
      </c>
      <c r="P22" s="5089">
        <f t="shared" si="15"/>
        <v>0</v>
      </c>
      <c r="Q22" s="5089">
        <f t="shared" si="15"/>
        <v>0</v>
      </c>
      <c r="R22" s="5089">
        <f t="shared" si="15"/>
        <v>0</v>
      </c>
      <c r="S22" s="1475"/>
      <c r="T22" s="1476"/>
      <c r="U22" s="413"/>
      <c r="V22" s="413"/>
      <c r="W22" s="413"/>
    </row>
    <row r="23" spans="1:23" ht="15.05" customHeight="1" x14ac:dyDescent="0.2">
      <c r="A23" s="100"/>
      <c r="B23" s="5084"/>
      <c r="C23" s="5085"/>
      <c r="D23" s="5086"/>
      <c r="E23" s="5090">
        <v>1</v>
      </c>
      <c r="F23" s="5088"/>
      <c r="G23" s="5089">
        <f t="shared" ref="G23:R23" si="16">F23</f>
        <v>0</v>
      </c>
      <c r="H23" s="5089">
        <f t="shared" si="16"/>
        <v>0</v>
      </c>
      <c r="I23" s="5089">
        <f t="shared" si="16"/>
        <v>0</v>
      </c>
      <c r="J23" s="5089">
        <f t="shared" si="16"/>
        <v>0</v>
      </c>
      <c r="K23" s="5089">
        <f t="shared" si="16"/>
        <v>0</v>
      </c>
      <c r="L23" s="5089">
        <f t="shared" si="16"/>
        <v>0</v>
      </c>
      <c r="M23" s="5089">
        <f t="shared" si="16"/>
        <v>0</v>
      </c>
      <c r="N23" s="5089">
        <f t="shared" si="16"/>
        <v>0</v>
      </c>
      <c r="O23" s="5089">
        <f t="shared" si="16"/>
        <v>0</v>
      </c>
      <c r="P23" s="5089">
        <f t="shared" si="16"/>
        <v>0</v>
      </c>
      <c r="Q23" s="5089">
        <f t="shared" si="16"/>
        <v>0</v>
      </c>
      <c r="R23" s="5089">
        <f t="shared" si="16"/>
        <v>0</v>
      </c>
      <c r="S23" s="1475"/>
      <c r="T23" s="1476"/>
      <c r="U23" s="409"/>
      <c r="V23" s="409"/>
      <c r="W23" s="409"/>
    </row>
    <row r="24" spans="1:23" ht="15.05" customHeight="1" x14ac:dyDescent="0.2">
      <c r="A24" s="100"/>
      <c r="B24" s="5084"/>
      <c r="C24" s="5085"/>
      <c r="D24" s="5086"/>
      <c r="E24" s="5090">
        <v>1</v>
      </c>
      <c r="F24" s="5088"/>
      <c r="G24" s="5089">
        <f t="shared" ref="G24:R24" si="17">F24</f>
        <v>0</v>
      </c>
      <c r="H24" s="5089">
        <f t="shared" si="17"/>
        <v>0</v>
      </c>
      <c r="I24" s="5089">
        <f t="shared" si="17"/>
        <v>0</v>
      </c>
      <c r="J24" s="5089">
        <f t="shared" si="17"/>
        <v>0</v>
      </c>
      <c r="K24" s="5089">
        <f t="shared" si="17"/>
        <v>0</v>
      </c>
      <c r="L24" s="5089">
        <f t="shared" si="17"/>
        <v>0</v>
      </c>
      <c r="M24" s="5089">
        <f t="shared" si="17"/>
        <v>0</v>
      </c>
      <c r="N24" s="5089">
        <f t="shared" si="17"/>
        <v>0</v>
      </c>
      <c r="O24" s="5089">
        <f t="shared" si="17"/>
        <v>0</v>
      </c>
      <c r="P24" s="5089">
        <f t="shared" si="17"/>
        <v>0</v>
      </c>
      <c r="Q24" s="5089">
        <f t="shared" si="17"/>
        <v>0</v>
      </c>
      <c r="R24" s="5089">
        <f t="shared" si="17"/>
        <v>0</v>
      </c>
      <c r="S24" s="1475"/>
      <c r="T24" s="1476"/>
      <c r="U24" s="409"/>
      <c r="V24" s="409"/>
      <c r="W24" s="409"/>
    </row>
    <row r="25" spans="1:23" ht="15.05" customHeight="1" x14ac:dyDescent="0.2">
      <c r="A25" s="100"/>
      <c r="B25" s="5084"/>
      <c r="C25" s="5085"/>
      <c r="D25" s="5086"/>
      <c r="E25" s="5090">
        <v>1</v>
      </c>
      <c r="F25" s="5088"/>
      <c r="G25" s="5089">
        <f t="shared" ref="G25:R25" si="18">F25</f>
        <v>0</v>
      </c>
      <c r="H25" s="5089">
        <f t="shared" si="18"/>
        <v>0</v>
      </c>
      <c r="I25" s="5089">
        <f t="shared" si="18"/>
        <v>0</v>
      </c>
      <c r="J25" s="5089">
        <f t="shared" si="18"/>
        <v>0</v>
      </c>
      <c r="K25" s="5089">
        <f t="shared" si="18"/>
        <v>0</v>
      </c>
      <c r="L25" s="5089">
        <f t="shared" si="18"/>
        <v>0</v>
      </c>
      <c r="M25" s="5089">
        <f t="shared" si="18"/>
        <v>0</v>
      </c>
      <c r="N25" s="5089">
        <f t="shared" si="18"/>
        <v>0</v>
      </c>
      <c r="O25" s="5089">
        <f t="shared" si="18"/>
        <v>0</v>
      </c>
      <c r="P25" s="5089">
        <f t="shared" si="18"/>
        <v>0</v>
      </c>
      <c r="Q25" s="5089">
        <f t="shared" si="18"/>
        <v>0</v>
      </c>
      <c r="R25" s="5089">
        <f t="shared" si="18"/>
        <v>0</v>
      </c>
      <c r="S25" s="1475"/>
      <c r="T25" s="1476"/>
      <c r="U25" s="413"/>
      <c r="V25" s="413"/>
      <c r="W25" s="413"/>
    </row>
    <row r="26" spans="1:23" ht="15.05" customHeight="1" x14ac:dyDescent="0.2">
      <c r="A26" s="100"/>
      <c r="B26" s="5084"/>
      <c r="C26" s="5085"/>
      <c r="D26" s="5086"/>
      <c r="E26" s="5090">
        <v>1</v>
      </c>
      <c r="F26" s="5088"/>
      <c r="G26" s="5089">
        <f t="shared" ref="G26:R26" si="19">F26</f>
        <v>0</v>
      </c>
      <c r="H26" s="5089">
        <f t="shared" si="19"/>
        <v>0</v>
      </c>
      <c r="I26" s="5089">
        <f t="shared" si="19"/>
        <v>0</v>
      </c>
      <c r="J26" s="5089">
        <f t="shared" si="19"/>
        <v>0</v>
      </c>
      <c r="K26" s="5089">
        <f t="shared" si="19"/>
        <v>0</v>
      </c>
      <c r="L26" s="5089">
        <f t="shared" si="19"/>
        <v>0</v>
      </c>
      <c r="M26" s="5089">
        <f t="shared" si="19"/>
        <v>0</v>
      </c>
      <c r="N26" s="5089">
        <f t="shared" si="19"/>
        <v>0</v>
      </c>
      <c r="O26" s="5089">
        <f t="shared" si="19"/>
        <v>0</v>
      </c>
      <c r="P26" s="5089">
        <f t="shared" si="19"/>
        <v>0</v>
      </c>
      <c r="Q26" s="5089">
        <f t="shared" si="19"/>
        <v>0</v>
      </c>
      <c r="R26" s="5089">
        <f t="shared" si="19"/>
        <v>0</v>
      </c>
      <c r="S26" s="1475"/>
      <c r="T26" s="1476"/>
      <c r="U26" s="409"/>
      <c r="V26" s="409"/>
      <c r="W26" s="409"/>
    </row>
    <row r="27" spans="1:23" ht="15.05" customHeight="1" x14ac:dyDescent="0.2">
      <c r="A27" s="100"/>
      <c r="B27" s="5084"/>
      <c r="C27" s="5085"/>
      <c r="D27" s="5086"/>
      <c r="E27" s="5090">
        <v>1</v>
      </c>
      <c r="F27" s="5088"/>
      <c r="G27" s="5089">
        <f t="shared" ref="G27:R27" si="20">F27</f>
        <v>0</v>
      </c>
      <c r="H27" s="5089">
        <f t="shared" si="20"/>
        <v>0</v>
      </c>
      <c r="I27" s="5089">
        <f t="shared" si="20"/>
        <v>0</v>
      </c>
      <c r="J27" s="5089">
        <f t="shared" si="20"/>
        <v>0</v>
      </c>
      <c r="K27" s="5089">
        <f t="shared" si="20"/>
        <v>0</v>
      </c>
      <c r="L27" s="5089">
        <f t="shared" si="20"/>
        <v>0</v>
      </c>
      <c r="M27" s="5089">
        <f t="shared" si="20"/>
        <v>0</v>
      </c>
      <c r="N27" s="5089">
        <f t="shared" si="20"/>
        <v>0</v>
      </c>
      <c r="O27" s="5089">
        <f t="shared" si="20"/>
        <v>0</v>
      </c>
      <c r="P27" s="5089">
        <f t="shared" si="20"/>
        <v>0</v>
      </c>
      <c r="Q27" s="5089">
        <f t="shared" si="20"/>
        <v>0</v>
      </c>
      <c r="R27" s="5089">
        <f t="shared" si="20"/>
        <v>0</v>
      </c>
      <c r="S27" s="1475"/>
      <c r="T27" s="1476"/>
      <c r="U27" s="409"/>
      <c r="V27" s="409"/>
      <c r="W27" s="409"/>
    </row>
    <row r="28" spans="1:23" ht="15.05" customHeight="1" x14ac:dyDescent="0.2">
      <c r="A28" s="100"/>
      <c r="B28" s="5084"/>
      <c r="C28" s="5085"/>
      <c r="D28" s="5086"/>
      <c r="E28" s="5090">
        <v>1</v>
      </c>
      <c r="F28" s="5088"/>
      <c r="G28" s="5089">
        <f t="shared" ref="G28:R28" si="21">F28</f>
        <v>0</v>
      </c>
      <c r="H28" s="5089">
        <f t="shared" si="21"/>
        <v>0</v>
      </c>
      <c r="I28" s="5089">
        <f t="shared" si="21"/>
        <v>0</v>
      </c>
      <c r="J28" s="5089">
        <f t="shared" si="21"/>
        <v>0</v>
      </c>
      <c r="K28" s="5089">
        <f t="shared" si="21"/>
        <v>0</v>
      </c>
      <c r="L28" s="5089">
        <f t="shared" si="21"/>
        <v>0</v>
      </c>
      <c r="M28" s="5089">
        <f t="shared" si="21"/>
        <v>0</v>
      </c>
      <c r="N28" s="5089">
        <f t="shared" si="21"/>
        <v>0</v>
      </c>
      <c r="O28" s="5089">
        <f t="shared" si="21"/>
        <v>0</v>
      </c>
      <c r="P28" s="5089">
        <f t="shared" si="21"/>
        <v>0</v>
      </c>
      <c r="Q28" s="5089">
        <f t="shared" si="21"/>
        <v>0</v>
      </c>
      <c r="R28" s="5089">
        <f t="shared" si="21"/>
        <v>0</v>
      </c>
      <c r="S28" s="1475"/>
      <c r="T28" s="1476"/>
      <c r="U28" s="413"/>
      <c r="V28" s="413"/>
      <c r="W28" s="413"/>
    </row>
    <row r="29" spans="1:23" ht="15.05" customHeight="1" x14ac:dyDescent="0.2">
      <c r="A29" s="100"/>
      <c r="B29" s="5084"/>
      <c r="C29" s="5085"/>
      <c r="D29" s="5086"/>
      <c r="E29" s="5090">
        <v>1</v>
      </c>
      <c r="F29" s="5088"/>
      <c r="G29" s="5089">
        <f t="shared" ref="G29:R29" si="22">F29</f>
        <v>0</v>
      </c>
      <c r="H29" s="5089">
        <f t="shared" si="22"/>
        <v>0</v>
      </c>
      <c r="I29" s="5089">
        <f t="shared" si="22"/>
        <v>0</v>
      </c>
      <c r="J29" s="5089">
        <f t="shared" si="22"/>
        <v>0</v>
      </c>
      <c r="K29" s="5089">
        <f t="shared" si="22"/>
        <v>0</v>
      </c>
      <c r="L29" s="5089">
        <f t="shared" si="22"/>
        <v>0</v>
      </c>
      <c r="M29" s="5089">
        <f t="shared" si="22"/>
        <v>0</v>
      </c>
      <c r="N29" s="5089">
        <f t="shared" si="22"/>
        <v>0</v>
      </c>
      <c r="O29" s="5089">
        <f t="shared" si="22"/>
        <v>0</v>
      </c>
      <c r="P29" s="5089">
        <f t="shared" si="22"/>
        <v>0</v>
      </c>
      <c r="Q29" s="5089">
        <f t="shared" si="22"/>
        <v>0</v>
      </c>
      <c r="R29" s="5089">
        <f t="shared" si="22"/>
        <v>0</v>
      </c>
      <c r="S29" s="1475"/>
      <c r="T29" s="1476"/>
      <c r="U29" s="413"/>
      <c r="V29" s="413"/>
      <c r="W29" s="413"/>
    </row>
    <row r="30" spans="1:23" ht="15.05" customHeight="1" x14ac:dyDescent="0.2">
      <c r="A30" s="100"/>
      <c r="B30" s="5084"/>
      <c r="C30" s="5085"/>
      <c r="D30" s="5086"/>
      <c r="E30" s="5090">
        <v>1</v>
      </c>
      <c r="F30" s="5088"/>
      <c r="G30" s="5089">
        <f t="shared" ref="G30:R30" si="23">F30</f>
        <v>0</v>
      </c>
      <c r="H30" s="5089">
        <f t="shared" si="23"/>
        <v>0</v>
      </c>
      <c r="I30" s="5089">
        <f t="shared" si="23"/>
        <v>0</v>
      </c>
      <c r="J30" s="5089">
        <f t="shared" si="23"/>
        <v>0</v>
      </c>
      <c r="K30" s="5089">
        <f t="shared" si="23"/>
        <v>0</v>
      </c>
      <c r="L30" s="5089">
        <f t="shared" si="23"/>
        <v>0</v>
      </c>
      <c r="M30" s="5089">
        <f t="shared" si="23"/>
        <v>0</v>
      </c>
      <c r="N30" s="5089">
        <f t="shared" si="23"/>
        <v>0</v>
      </c>
      <c r="O30" s="5089">
        <f t="shared" si="23"/>
        <v>0</v>
      </c>
      <c r="P30" s="5089">
        <f t="shared" si="23"/>
        <v>0</v>
      </c>
      <c r="Q30" s="5089">
        <f t="shared" si="23"/>
        <v>0</v>
      </c>
      <c r="R30" s="5089">
        <f t="shared" si="23"/>
        <v>0</v>
      </c>
      <c r="S30" s="1475"/>
      <c r="T30" s="1476"/>
      <c r="U30" s="413"/>
      <c r="V30" s="413"/>
      <c r="W30" s="413"/>
    </row>
    <row r="31" spans="1:23" ht="15.05" customHeight="1" x14ac:dyDescent="0.2">
      <c r="A31" s="100"/>
      <c r="B31" s="5084"/>
      <c r="C31" s="5085"/>
      <c r="D31" s="5086"/>
      <c r="E31" s="5090">
        <v>1</v>
      </c>
      <c r="F31" s="5088"/>
      <c r="G31" s="5089">
        <f t="shared" ref="G31:R31" si="24">F31</f>
        <v>0</v>
      </c>
      <c r="H31" s="5089">
        <f t="shared" si="24"/>
        <v>0</v>
      </c>
      <c r="I31" s="5089">
        <f t="shared" si="24"/>
        <v>0</v>
      </c>
      <c r="J31" s="5089">
        <f t="shared" si="24"/>
        <v>0</v>
      </c>
      <c r="K31" s="5089">
        <f t="shared" si="24"/>
        <v>0</v>
      </c>
      <c r="L31" s="5089">
        <f t="shared" si="24"/>
        <v>0</v>
      </c>
      <c r="M31" s="5089">
        <f t="shared" si="24"/>
        <v>0</v>
      </c>
      <c r="N31" s="5089">
        <f t="shared" si="24"/>
        <v>0</v>
      </c>
      <c r="O31" s="5089">
        <f t="shared" si="24"/>
        <v>0</v>
      </c>
      <c r="P31" s="5089">
        <f t="shared" si="24"/>
        <v>0</v>
      </c>
      <c r="Q31" s="5089">
        <f t="shared" si="24"/>
        <v>0</v>
      </c>
      <c r="R31" s="5089">
        <f t="shared" si="24"/>
        <v>0</v>
      </c>
      <c r="S31" s="1475"/>
      <c r="T31" s="1476"/>
      <c r="U31" s="413"/>
      <c r="V31" s="413"/>
      <c r="W31" s="413"/>
    </row>
    <row r="32" spans="1:23" ht="15.05" customHeight="1" x14ac:dyDescent="0.2">
      <c r="A32" s="100"/>
      <c r="B32" s="5084"/>
      <c r="C32" s="5085"/>
      <c r="D32" s="5086"/>
      <c r="E32" s="5090">
        <v>1</v>
      </c>
      <c r="F32" s="5088"/>
      <c r="G32" s="5089">
        <f t="shared" ref="G32:R32" si="25">F32</f>
        <v>0</v>
      </c>
      <c r="H32" s="5089">
        <f t="shared" si="25"/>
        <v>0</v>
      </c>
      <c r="I32" s="5089">
        <f t="shared" si="25"/>
        <v>0</v>
      </c>
      <c r="J32" s="5089">
        <f t="shared" si="25"/>
        <v>0</v>
      </c>
      <c r="K32" s="5089">
        <f t="shared" si="25"/>
        <v>0</v>
      </c>
      <c r="L32" s="5089">
        <f t="shared" si="25"/>
        <v>0</v>
      </c>
      <c r="M32" s="5089">
        <f t="shared" si="25"/>
        <v>0</v>
      </c>
      <c r="N32" s="5089">
        <f t="shared" si="25"/>
        <v>0</v>
      </c>
      <c r="O32" s="5089">
        <f t="shared" si="25"/>
        <v>0</v>
      </c>
      <c r="P32" s="5089">
        <f t="shared" si="25"/>
        <v>0</v>
      </c>
      <c r="Q32" s="5089">
        <f t="shared" si="25"/>
        <v>0</v>
      </c>
      <c r="R32" s="5089">
        <f t="shared" si="25"/>
        <v>0</v>
      </c>
      <c r="S32" s="1475"/>
      <c r="T32" s="1476"/>
      <c r="U32" s="413"/>
      <c r="V32" s="413"/>
      <c r="W32" s="413"/>
    </row>
    <row r="33" spans="1:23" ht="15.05" customHeight="1" x14ac:dyDescent="0.2">
      <c r="A33" s="100"/>
      <c r="B33" s="5084"/>
      <c r="C33" s="5085"/>
      <c r="D33" s="5086"/>
      <c r="E33" s="5090">
        <v>1</v>
      </c>
      <c r="F33" s="5088"/>
      <c r="G33" s="5089">
        <f t="shared" ref="G33:R33" si="26">F33</f>
        <v>0</v>
      </c>
      <c r="H33" s="5089">
        <f t="shared" si="26"/>
        <v>0</v>
      </c>
      <c r="I33" s="5089">
        <f t="shared" si="26"/>
        <v>0</v>
      </c>
      <c r="J33" s="5089">
        <f t="shared" si="26"/>
        <v>0</v>
      </c>
      <c r="K33" s="5089">
        <f t="shared" si="26"/>
        <v>0</v>
      </c>
      <c r="L33" s="5089">
        <f t="shared" si="26"/>
        <v>0</v>
      </c>
      <c r="M33" s="5089">
        <f t="shared" si="26"/>
        <v>0</v>
      </c>
      <c r="N33" s="5089">
        <f t="shared" si="26"/>
        <v>0</v>
      </c>
      <c r="O33" s="5089">
        <f t="shared" si="26"/>
        <v>0</v>
      </c>
      <c r="P33" s="5089">
        <f t="shared" si="26"/>
        <v>0</v>
      </c>
      <c r="Q33" s="5089">
        <f t="shared" si="26"/>
        <v>0</v>
      </c>
      <c r="R33" s="5089">
        <f t="shared" si="26"/>
        <v>0</v>
      </c>
      <c r="S33" s="1475"/>
      <c r="T33" s="1476"/>
      <c r="U33" s="413"/>
      <c r="V33" s="413"/>
      <c r="W33" s="413"/>
    </row>
    <row r="34" spans="1:23" ht="15.05" customHeight="1" x14ac:dyDescent="0.2">
      <c r="A34" s="100"/>
      <c r="B34" s="5084"/>
      <c r="C34" s="5085"/>
      <c r="D34" s="5086"/>
      <c r="E34" s="5090">
        <v>1</v>
      </c>
      <c r="F34" s="5088"/>
      <c r="G34" s="5089">
        <f t="shared" ref="G34:R34" si="27">F34</f>
        <v>0</v>
      </c>
      <c r="H34" s="5089">
        <f t="shared" si="27"/>
        <v>0</v>
      </c>
      <c r="I34" s="5089">
        <f t="shared" si="27"/>
        <v>0</v>
      </c>
      <c r="J34" s="5089">
        <f t="shared" si="27"/>
        <v>0</v>
      </c>
      <c r="K34" s="5089">
        <f t="shared" si="27"/>
        <v>0</v>
      </c>
      <c r="L34" s="5089">
        <f t="shared" si="27"/>
        <v>0</v>
      </c>
      <c r="M34" s="5089">
        <f t="shared" si="27"/>
        <v>0</v>
      </c>
      <c r="N34" s="5089">
        <f t="shared" si="27"/>
        <v>0</v>
      </c>
      <c r="O34" s="5089">
        <f t="shared" si="27"/>
        <v>0</v>
      </c>
      <c r="P34" s="5089">
        <f t="shared" si="27"/>
        <v>0</v>
      </c>
      <c r="Q34" s="5089">
        <f t="shared" si="27"/>
        <v>0</v>
      </c>
      <c r="R34" s="5089">
        <f t="shared" si="27"/>
        <v>0</v>
      </c>
      <c r="S34" s="1475"/>
      <c r="T34" s="1476"/>
      <c r="U34" s="413"/>
      <c r="V34" s="413"/>
      <c r="W34" s="413"/>
    </row>
    <row r="35" spans="1:23" ht="15.05" customHeight="1" x14ac:dyDescent="0.2">
      <c r="A35" s="100"/>
      <c r="B35" s="5084"/>
      <c r="C35" s="5085"/>
      <c r="D35" s="5086"/>
      <c r="E35" s="5090">
        <v>1</v>
      </c>
      <c r="F35" s="5088"/>
      <c r="G35" s="5089">
        <f t="shared" ref="G35:R35" si="28">F35</f>
        <v>0</v>
      </c>
      <c r="H35" s="5089">
        <f t="shared" si="28"/>
        <v>0</v>
      </c>
      <c r="I35" s="5089">
        <f t="shared" si="28"/>
        <v>0</v>
      </c>
      <c r="J35" s="5089">
        <f t="shared" si="28"/>
        <v>0</v>
      </c>
      <c r="K35" s="5089">
        <f t="shared" si="28"/>
        <v>0</v>
      </c>
      <c r="L35" s="5089">
        <f t="shared" si="28"/>
        <v>0</v>
      </c>
      <c r="M35" s="5089">
        <f t="shared" si="28"/>
        <v>0</v>
      </c>
      <c r="N35" s="5089">
        <f t="shared" si="28"/>
        <v>0</v>
      </c>
      <c r="O35" s="5089">
        <f t="shared" si="28"/>
        <v>0</v>
      </c>
      <c r="P35" s="5089">
        <f t="shared" si="28"/>
        <v>0</v>
      </c>
      <c r="Q35" s="5089">
        <f t="shared" si="28"/>
        <v>0</v>
      </c>
      <c r="R35" s="5089">
        <f t="shared" si="28"/>
        <v>0</v>
      </c>
      <c r="S35" s="1475"/>
      <c r="T35" s="1476"/>
      <c r="U35" s="409"/>
      <c r="V35" s="409"/>
      <c r="W35" s="409"/>
    </row>
    <row r="36" spans="1:23" ht="15.05" customHeight="1" x14ac:dyDescent="0.2">
      <c r="A36" s="100"/>
      <c r="B36" s="5084"/>
      <c r="C36" s="5085"/>
      <c r="D36" s="5086"/>
      <c r="E36" s="5090">
        <v>1</v>
      </c>
      <c r="F36" s="5088"/>
      <c r="G36" s="5089">
        <f t="shared" ref="G36:R36" si="29">F36</f>
        <v>0</v>
      </c>
      <c r="H36" s="5089">
        <f t="shared" si="29"/>
        <v>0</v>
      </c>
      <c r="I36" s="5089">
        <f t="shared" si="29"/>
        <v>0</v>
      </c>
      <c r="J36" s="5089">
        <f t="shared" si="29"/>
        <v>0</v>
      </c>
      <c r="K36" s="5089">
        <f t="shared" si="29"/>
        <v>0</v>
      </c>
      <c r="L36" s="5089">
        <f t="shared" si="29"/>
        <v>0</v>
      </c>
      <c r="M36" s="5089">
        <f t="shared" si="29"/>
        <v>0</v>
      </c>
      <c r="N36" s="5089">
        <f t="shared" si="29"/>
        <v>0</v>
      </c>
      <c r="O36" s="5089">
        <f t="shared" si="29"/>
        <v>0</v>
      </c>
      <c r="P36" s="5089">
        <f t="shared" si="29"/>
        <v>0</v>
      </c>
      <c r="Q36" s="5089">
        <f t="shared" si="29"/>
        <v>0</v>
      </c>
      <c r="R36" s="5089">
        <f t="shared" si="29"/>
        <v>0</v>
      </c>
      <c r="S36" s="1475"/>
      <c r="T36" s="1476"/>
      <c r="U36" s="413"/>
      <c r="V36" s="413"/>
      <c r="W36" s="413"/>
    </row>
    <row r="37" spans="1:23" ht="15.05" customHeight="1" x14ac:dyDescent="0.2">
      <c r="A37" s="100"/>
      <c r="B37" s="5084"/>
      <c r="C37" s="5085"/>
      <c r="D37" s="5086"/>
      <c r="E37" s="5090">
        <v>1</v>
      </c>
      <c r="F37" s="5088"/>
      <c r="G37" s="5089">
        <f t="shared" ref="G37:R37" si="30">F37</f>
        <v>0</v>
      </c>
      <c r="H37" s="5089">
        <f t="shared" si="30"/>
        <v>0</v>
      </c>
      <c r="I37" s="5089">
        <f t="shared" si="30"/>
        <v>0</v>
      </c>
      <c r="J37" s="5089">
        <f t="shared" si="30"/>
        <v>0</v>
      </c>
      <c r="K37" s="5089">
        <f t="shared" si="30"/>
        <v>0</v>
      </c>
      <c r="L37" s="5089">
        <f t="shared" si="30"/>
        <v>0</v>
      </c>
      <c r="M37" s="5089">
        <f t="shared" si="30"/>
        <v>0</v>
      </c>
      <c r="N37" s="5089">
        <f t="shared" si="30"/>
        <v>0</v>
      </c>
      <c r="O37" s="5089">
        <f t="shared" si="30"/>
        <v>0</v>
      </c>
      <c r="P37" s="5089">
        <f t="shared" si="30"/>
        <v>0</v>
      </c>
      <c r="Q37" s="5089">
        <f t="shared" si="30"/>
        <v>0</v>
      </c>
      <c r="R37" s="5089">
        <f t="shared" si="30"/>
        <v>0</v>
      </c>
      <c r="S37" s="1475"/>
      <c r="T37" s="1476"/>
      <c r="U37" s="413"/>
      <c r="V37" s="413"/>
      <c r="W37" s="413"/>
    </row>
    <row r="38" spans="1:23" ht="15.05" customHeight="1" x14ac:dyDescent="0.2">
      <c r="A38" s="100"/>
      <c r="B38" s="5084"/>
      <c r="C38" s="5085"/>
      <c r="D38" s="5086"/>
      <c r="E38" s="5087">
        <v>1</v>
      </c>
      <c r="F38" s="5088"/>
      <c r="G38" s="5089">
        <f t="shared" ref="G38:R38" si="31">F38</f>
        <v>0</v>
      </c>
      <c r="H38" s="5089">
        <f t="shared" si="31"/>
        <v>0</v>
      </c>
      <c r="I38" s="5089">
        <f t="shared" si="31"/>
        <v>0</v>
      </c>
      <c r="J38" s="5089">
        <f t="shared" si="31"/>
        <v>0</v>
      </c>
      <c r="K38" s="5089">
        <f t="shared" si="31"/>
        <v>0</v>
      </c>
      <c r="L38" s="5089">
        <f t="shared" si="31"/>
        <v>0</v>
      </c>
      <c r="M38" s="5089">
        <f t="shared" si="31"/>
        <v>0</v>
      </c>
      <c r="N38" s="5089">
        <f t="shared" si="31"/>
        <v>0</v>
      </c>
      <c r="O38" s="5089">
        <f t="shared" si="31"/>
        <v>0</v>
      </c>
      <c r="P38" s="5089">
        <f t="shared" si="31"/>
        <v>0</v>
      </c>
      <c r="Q38" s="5089">
        <f t="shared" si="31"/>
        <v>0</v>
      </c>
      <c r="R38" s="5089">
        <f t="shared" si="31"/>
        <v>0</v>
      </c>
      <c r="S38" s="1475"/>
      <c r="T38" s="1476"/>
      <c r="U38" s="409"/>
      <c r="V38" s="409"/>
      <c r="W38" s="409"/>
    </row>
    <row r="39" spans="1:23" ht="15.05" customHeight="1" x14ac:dyDescent="0.2">
      <c r="A39" s="100"/>
      <c r="B39" s="5084"/>
      <c r="C39" s="5085"/>
      <c r="D39" s="5086"/>
      <c r="E39" s="5090">
        <v>1</v>
      </c>
      <c r="F39" s="5088"/>
      <c r="G39" s="5089">
        <f t="shared" ref="G39:R39" si="32">F39</f>
        <v>0</v>
      </c>
      <c r="H39" s="5089">
        <f t="shared" si="32"/>
        <v>0</v>
      </c>
      <c r="I39" s="5089">
        <f t="shared" si="32"/>
        <v>0</v>
      </c>
      <c r="J39" s="5089">
        <f t="shared" si="32"/>
        <v>0</v>
      </c>
      <c r="K39" s="5089">
        <f t="shared" si="32"/>
        <v>0</v>
      </c>
      <c r="L39" s="5089">
        <f t="shared" si="32"/>
        <v>0</v>
      </c>
      <c r="M39" s="5089">
        <f t="shared" si="32"/>
        <v>0</v>
      </c>
      <c r="N39" s="5089">
        <f t="shared" si="32"/>
        <v>0</v>
      </c>
      <c r="O39" s="5089">
        <f t="shared" si="32"/>
        <v>0</v>
      </c>
      <c r="P39" s="5089">
        <f t="shared" si="32"/>
        <v>0</v>
      </c>
      <c r="Q39" s="5089">
        <f t="shared" si="32"/>
        <v>0</v>
      </c>
      <c r="R39" s="5089">
        <f t="shared" si="32"/>
        <v>0</v>
      </c>
      <c r="S39" s="1475"/>
      <c r="T39" s="1476"/>
      <c r="U39" s="409"/>
      <c r="V39" s="409"/>
      <c r="W39" s="409"/>
    </row>
    <row r="40" spans="1:23" ht="15.05" customHeight="1" x14ac:dyDescent="0.2">
      <c r="A40" s="100"/>
      <c r="B40" s="5084"/>
      <c r="C40" s="5085"/>
      <c r="D40" s="5086"/>
      <c r="E40" s="5090">
        <v>1</v>
      </c>
      <c r="F40" s="5088"/>
      <c r="G40" s="5089">
        <f t="shared" ref="G40:R40" si="33">F40</f>
        <v>0</v>
      </c>
      <c r="H40" s="5089">
        <f t="shared" si="33"/>
        <v>0</v>
      </c>
      <c r="I40" s="5089">
        <f t="shared" si="33"/>
        <v>0</v>
      </c>
      <c r="J40" s="5089">
        <f t="shared" si="33"/>
        <v>0</v>
      </c>
      <c r="K40" s="5089">
        <f t="shared" si="33"/>
        <v>0</v>
      </c>
      <c r="L40" s="5089">
        <f t="shared" si="33"/>
        <v>0</v>
      </c>
      <c r="M40" s="5089">
        <f t="shared" si="33"/>
        <v>0</v>
      </c>
      <c r="N40" s="5089">
        <f t="shared" si="33"/>
        <v>0</v>
      </c>
      <c r="O40" s="5089">
        <f t="shared" si="33"/>
        <v>0</v>
      </c>
      <c r="P40" s="5089">
        <f t="shared" si="33"/>
        <v>0</v>
      </c>
      <c r="Q40" s="5089">
        <f t="shared" si="33"/>
        <v>0</v>
      </c>
      <c r="R40" s="5089">
        <f t="shared" si="33"/>
        <v>0</v>
      </c>
      <c r="S40" s="1475"/>
      <c r="T40" s="1476"/>
      <c r="U40" s="413"/>
      <c r="V40" s="413"/>
      <c r="W40" s="413"/>
    </row>
    <row r="41" spans="1:23" ht="15.05" customHeight="1" x14ac:dyDescent="0.2">
      <c r="A41" s="100"/>
      <c r="B41" s="5084"/>
      <c r="C41" s="5085"/>
      <c r="D41" s="5086"/>
      <c r="E41" s="5090">
        <v>1</v>
      </c>
      <c r="F41" s="5088"/>
      <c r="G41" s="5089">
        <f t="shared" ref="G41:R41" si="34">F41</f>
        <v>0</v>
      </c>
      <c r="H41" s="5089">
        <f t="shared" si="34"/>
        <v>0</v>
      </c>
      <c r="I41" s="5089">
        <f t="shared" si="34"/>
        <v>0</v>
      </c>
      <c r="J41" s="5089">
        <f t="shared" si="34"/>
        <v>0</v>
      </c>
      <c r="K41" s="5089">
        <f t="shared" si="34"/>
        <v>0</v>
      </c>
      <c r="L41" s="5089">
        <f t="shared" si="34"/>
        <v>0</v>
      </c>
      <c r="M41" s="5089">
        <f t="shared" si="34"/>
        <v>0</v>
      </c>
      <c r="N41" s="5089">
        <f t="shared" si="34"/>
        <v>0</v>
      </c>
      <c r="O41" s="5089">
        <f t="shared" si="34"/>
        <v>0</v>
      </c>
      <c r="P41" s="5089">
        <f t="shared" si="34"/>
        <v>0</v>
      </c>
      <c r="Q41" s="5089">
        <f t="shared" si="34"/>
        <v>0</v>
      </c>
      <c r="R41" s="5089">
        <f t="shared" si="34"/>
        <v>0</v>
      </c>
      <c r="S41" s="1475"/>
      <c r="T41" s="1476"/>
      <c r="U41" s="413"/>
      <c r="V41" s="413"/>
      <c r="W41" s="413"/>
    </row>
    <row r="42" spans="1:23" ht="15.05" customHeight="1" x14ac:dyDescent="0.2">
      <c r="A42" s="100"/>
      <c r="B42" s="5084"/>
      <c r="C42" s="5085"/>
      <c r="D42" s="5086"/>
      <c r="E42" s="5090">
        <v>1</v>
      </c>
      <c r="F42" s="5088"/>
      <c r="G42" s="5089">
        <f t="shared" ref="G42:R42" si="35">F42</f>
        <v>0</v>
      </c>
      <c r="H42" s="5089">
        <f t="shared" si="35"/>
        <v>0</v>
      </c>
      <c r="I42" s="5089">
        <f t="shared" si="35"/>
        <v>0</v>
      </c>
      <c r="J42" s="5089">
        <f t="shared" si="35"/>
        <v>0</v>
      </c>
      <c r="K42" s="5089">
        <f t="shared" si="35"/>
        <v>0</v>
      </c>
      <c r="L42" s="5089">
        <f t="shared" si="35"/>
        <v>0</v>
      </c>
      <c r="M42" s="5089">
        <f t="shared" si="35"/>
        <v>0</v>
      </c>
      <c r="N42" s="5089">
        <f t="shared" si="35"/>
        <v>0</v>
      </c>
      <c r="O42" s="5089">
        <f t="shared" si="35"/>
        <v>0</v>
      </c>
      <c r="P42" s="5089">
        <f t="shared" si="35"/>
        <v>0</v>
      </c>
      <c r="Q42" s="5089">
        <f t="shared" si="35"/>
        <v>0</v>
      </c>
      <c r="R42" s="5089">
        <f t="shared" si="35"/>
        <v>0</v>
      </c>
      <c r="S42" s="1475"/>
      <c r="T42" s="1476"/>
      <c r="U42" s="409"/>
      <c r="V42" s="409"/>
      <c r="W42" s="409"/>
    </row>
    <row r="43" spans="1:23" ht="15.05" customHeight="1" x14ac:dyDescent="0.2">
      <c r="A43" s="100"/>
      <c r="B43" s="5091"/>
      <c r="C43" s="5092"/>
      <c r="D43" s="5086"/>
      <c r="E43" s="5090">
        <v>1</v>
      </c>
      <c r="F43" s="5088"/>
      <c r="G43" s="5089">
        <f t="shared" ref="G43:R43" si="36">F43</f>
        <v>0</v>
      </c>
      <c r="H43" s="5089">
        <f t="shared" si="36"/>
        <v>0</v>
      </c>
      <c r="I43" s="5089">
        <f t="shared" si="36"/>
        <v>0</v>
      </c>
      <c r="J43" s="5089">
        <f t="shared" si="36"/>
        <v>0</v>
      </c>
      <c r="K43" s="5089">
        <f t="shared" si="36"/>
        <v>0</v>
      </c>
      <c r="L43" s="5089">
        <f t="shared" si="36"/>
        <v>0</v>
      </c>
      <c r="M43" s="5089">
        <f t="shared" si="36"/>
        <v>0</v>
      </c>
      <c r="N43" s="5089">
        <f t="shared" si="36"/>
        <v>0</v>
      </c>
      <c r="O43" s="5089">
        <f t="shared" si="36"/>
        <v>0</v>
      </c>
      <c r="P43" s="5089">
        <f t="shared" si="36"/>
        <v>0</v>
      </c>
      <c r="Q43" s="5089">
        <f t="shared" si="36"/>
        <v>0</v>
      </c>
      <c r="R43" s="5089">
        <f t="shared" si="36"/>
        <v>0</v>
      </c>
      <c r="S43" s="1475"/>
      <c r="T43" s="1476"/>
      <c r="U43" s="409"/>
      <c r="V43" s="409"/>
      <c r="W43" s="409"/>
    </row>
    <row r="44" spans="1:23" ht="15.05" customHeight="1" x14ac:dyDescent="0.2">
      <c r="A44" s="100"/>
      <c r="B44" s="5084"/>
      <c r="C44" s="5085"/>
      <c r="D44" s="5086"/>
      <c r="E44" s="5090">
        <v>1</v>
      </c>
      <c r="F44" s="5088"/>
      <c r="G44" s="5089">
        <f t="shared" ref="G44:R44" si="37">F44</f>
        <v>0</v>
      </c>
      <c r="H44" s="5089">
        <f t="shared" si="37"/>
        <v>0</v>
      </c>
      <c r="I44" s="5089">
        <f t="shared" si="37"/>
        <v>0</v>
      </c>
      <c r="J44" s="5089">
        <f t="shared" si="37"/>
        <v>0</v>
      </c>
      <c r="K44" s="5089">
        <f t="shared" si="37"/>
        <v>0</v>
      </c>
      <c r="L44" s="5089">
        <f t="shared" si="37"/>
        <v>0</v>
      </c>
      <c r="M44" s="5089">
        <f t="shared" si="37"/>
        <v>0</v>
      </c>
      <c r="N44" s="5089">
        <f t="shared" si="37"/>
        <v>0</v>
      </c>
      <c r="O44" s="5089">
        <f t="shared" si="37"/>
        <v>0</v>
      </c>
      <c r="P44" s="5089">
        <f t="shared" si="37"/>
        <v>0</v>
      </c>
      <c r="Q44" s="5089">
        <f t="shared" si="37"/>
        <v>0</v>
      </c>
      <c r="R44" s="5089">
        <f t="shared" si="37"/>
        <v>0</v>
      </c>
      <c r="S44" s="1475"/>
      <c r="T44" s="1476"/>
      <c r="U44" s="413"/>
      <c r="V44" s="413"/>
      <c r="W44" s="413"/>
    </row>
    <row r="45" spans="1:23" ht="15.05" customHeight="1" x14ac:dyDescent="0.2">
      <c r="A45" s="100"/>
      <c r="B45" s="5091"/>
      <c r="C45" s="5085"/>
      <c r="D45" s="5086"/>
      <c r="E45" s="5090">
        <v>1</v>
      </c>
      <c r="F45" s="5088"/>
      <c r="G45" s="5089">
        <f t="shared" ref="G45:R45" si="38">F45</f>
        <v>0</v>
      </c>
      <c r="H45" s="5089">
        <f t="shared" si="38"/>
        <v>0</v>
      </c>
      <c r="I45" s="5089">
        <f t="shared" si="38"/>
        <v>0</v>
      </c>
      <c r="J45" s="5089">
        <f t="shared" si="38"/>
        <v>0</v>
      </c>
      <c r="K45" s="5089">
        <f t="shared" si="38"/>
        <v>0</v>
      </c>
      <c r="L45" s="5089">
        <f t="shared" si="38"/>
        <v>0</v>
      </c>
      <c r="M45" s="5089">
        <f t="shared" si="38"/>
        <v>0</v>
      </c>
      <c r="N45" s="5089">
        <f t="shared" si="38"/>
        <v>0</v>
      </c>
      <c r="O45" s="5089">
        <f t="shared" si="38"/>
        <v>0</v>
      </c>
      <c r="P45" s="5089">
        <f t="shared" si="38"/>
        <v>0</v>
      </c>
      <c r="Q45" s="5089">
        <f t="shared" si="38"/>
        <v>0</v>
      </c>
      <c r="R45" s="5089">
        <f t="shared" si="38"/>
        <v>0</v>
      </c>
      <c r="S45" s="1475"/>
      <c r="T45" s="1476"/>
      <c r="U45" s="413"/>
      <c r="V45" s="413"/>
      <c r="W45" s="413"/>
    </row>
    <row r="46" spans="1:23" ht="15.05" customHeight="1" x14ac:dyDescent="0.2">
      <c r="A46" s="100"/>
      <c r="B46" s="5084"/>
      <c r="C46" s="5092"/>
      <c r="D46" s="5086"/>
      <c r="E46" s="5090">
        <v>1</v>
      </c>
      <c r="F46" s="5088"/>
      <c r="G46" s="5089">
        <f t="shared" ref="G46:R46" si="39">F46</f>
        <v>0</v>
      </c>
      <c r="H46" s="5089">
        <f t="shared" si="39"/>
        <v>0</v>
      </c>
      <c r="I46" s="5089">
        <f t="shared" si="39"/>
        <v>0</v>
      </c>
      <c r="J46" s="5089">
        <f t="shared" si="39"/>
        <v>0</v>
      </c>
      <c r="K46" s="5089">
        <f t="shared" si="39"/>
        <v>0</v>
      </c>
      <c r="L46" s="5089">
        <f t="shared" si="39"/>
        <v>0</v>
      </c>
      <c r="M46" s="5089">
        <f t="shared" si="39"/>
        <v>0</v>
      </c>
      <c r="N46" s="5089">
        <f t="shared" si="39"/>
        <v>0</v>
      </c>
      <c r="O46" s="5089">
        <f t="shared" si="39"/>
        <v>0</v>
      </c>
      <c r="P46" s="5089">
        <f t="shared" si="39"/>
        <v>0</v>
      </c>
      <c r="Q46" s="5089">
        <f t="shared" si="39"/>
        <v>0</v>
      </c>
      <c r="R46" s="5089">
        <f t="shared" si="39"/>
        <v>0</v>
      </c>
      <c r="S46" s="1475"/>
      <c r="T46" s="1476"/>
      <c r="U46" s="413"/>
      <c r="V46" s="413"/>
      <c r="W46" s="413"/>
    </row>
    <row r="47" spans="1:23" ht="15.05" customHeight="1" x14ac:dyDescent="0.2">
      <c r="A47" s="100"/>
      <c r="B47" s="5091"/>
      <c r="C47" s="5092"/>
      <c r="D47" s="5086"/>
      <c r="E47" s="5090">
        <v>1</v>
      </c>
      <c r="F47" s="5088"/>
      <c r="G47" s="5089">
        <f t="shared" ref="G47:R47" si="40">F47</f>
        <v>0</v>
      </c>
      <c r="H47" s="5089">
        <f t="shared" si="40"/>
        <v>0</v>
      </c>
      <c r="I47" s="5089">
        <f t="shared" si="40"/>
        <v>0</v>
      </c>
      <c r="J47" s="5089">
        <f t="shared" si="40"/>
        <v>0</v>
      </c>
      <c r="K47" s="5089">
        <f t="shared" si="40"/>
        <v>0</v>
      </c>
      <c r="L47" s="5089">
        <f t="shared" si="40"/>
        <v>0</v>
      </c>
      <c r="M47" s="5089">
        <f t="shared" si="40"/>
        <v>0</v>
      </c>
      <c r="N47" s="5089">
        <f t="shared" si="40"/>
        <v>0</v>
      </c>
      <c r="O47" s="5089">
        <f t="shared" si="40"/>
        <v>0</v>
      </c>
      <c r="P47" s="5089">
        <f t="shared" si="40"/>
        <v>0</v>
      </c>
      <c r="Q47" s="5089">
        <f t="shared" si="40"/>
        <v>0</v>
      </c>
      <c r="R47" s="5089">
        <f t="shared" si="40"/>
        <v>0</v>
      </c>
      <c r="S47" s="1475"/>
      <c r="T47" s="1476"/>
      <c r="U47" s="413"/>
      <c r="V47" s="413"/>
      <c r="W47" s="413"/>
    </row>
    <row r="48" spans="1:23" ht="15.05" customHeight="1" x14ac:dyDescent="0.2">
      <c r="A48" s="100"/>
      <c r="B48" s="5084"/>
      <c r="C48" s="5085"/>
      <c r="D48" s="5086"/>
      <c r="E48" s="5090">
        <v>1</v>
      </c>
      <c r="F48" s="5088"/>
      <c r="G48" s="5089">
        <f t="shared" ref="G48:R48" si="41">F48</f>
        <v>0</v>
      </c>
      <c r="H48" s="5089">
        <f t="shared" si="41"/>
        <v>0</v>
      </c>
      <c r="I48" s="5089">
        <f t="shared" si="41"/>
        <v>0</v>
      </c>
      <c r="J48" s="5089">
        <f t="shared" si="41"/>
        <v>0</v>
      </c>
      <c r="K48" s="5089">
        <f t="shared" si="41"/>
        <v>0</v>
      </c>
      <c r="L48" s="5089">
        <f t="shared" si="41"/>
        <v>0</v>
      </c>
      <c r="M48" s="5089">
        <f t="shared" si="41"/>
        <v>0</v>
      </c>
      <c r="N48" s="5089">
        <f t="shared" si="41"/>
        <v>0</v>
      </c>
      <c r="O48" s="5089">
        <f t="shared" si="41"/>
        <v>0</v>
      </c>
      <c r="P48" s="5089">
        <f t="shared" si="41"/>
        <v>0</v>
      </c>
      <c r="Q48" s="5089">
        <f t="shared" si="41"/>
        <v>0</v>
      </c>
      <c r="R48" s="5089">
        <f t="shared" si="41"/>
        <v>0</v>
      </c>
      <c r="S48" s="1475"/>
      <c r="T48" s="1476"/>
      <c r="U48" s="413"/>
      <c r="V48" s="413"/>
      <c r="W48" s="413"/>
    </row>
    <row r="49" spans="1:23" ht="15.05" customHeight="1" x14ac:dyDescent="0.2">
      <c r="A49" s="100"/>
      <c r="B49" s="5091"/>
      <c r="C49" s="5085"/>
      <c r="D49" s="5086"/>
      <c r="E49" s="5090">
        <v>1</v>
      </c>
      <c r="F49" s="5088"/>
      <c r="G49" s="5089">
        <f t="shared" ref="G49:R49" si="42">F49</f>
        <v>0</v>
      </c>
      <c r="H49" s="5089">
        <f t="shared" si="42"/>
        <v>0</v>
      </c>
      <c r="I49" s="5089">
        <f t="shared" si="42"/>
        <v>0</v>
      </c>
      <c r="J49" s="5089">
        <f t="shared" si="42"/>
        <v>0</v>
      </c>
      <c r="K49" s="5089">
        <f t="shared" si="42"/>
        <v>0</v>
      </c>
      <c r="L49" s="5089">
        <f t="shared" si="42"/>
        <v>0</v>
      </c>
      <c r="M49" s="5089">
        <f t="shared" si="42"/>
        <v>0</v>
      </c>
      <c r="N49" s="5089">
        <f t="shared" si="42"/>
        <v>0</v>
      </c>
      <c r="O49" s="5089">
        <f t="shared" si="42"/>
        <v>0</v>
      </c>
      <c r="P49" s="5089">
        <f t="shared" si="42"/>
        <v>0</v>
      </c>
      <c r="Q49" s="5089">
        <f t="shared" si="42"/>
        <v>0</v>
      </c>
      <c r="R49" s="5089">
        <f t="shared" si="42"/>
        <v>0</v>
      </c>
      <c r="S49" s="1475"/>
      <c r="T49" s="1476"/>
      <c r="U49" s="413"/>
      <c r="V49" s="413"/>
      <c r="W49" s="413"/>
    </row>
    <row r="50" spans="1:23" ht="15.05" customHeight="1" x14ac:dyDescent="0.2">
      <c r="A50" s="100"/>
      <c r="B50" s="5084"/>
      <c r="C50" s="5092"/>
      <c r="D50" s="5086"/>
      <c r="E50" s="5090">
        <v>1</v>
      </c>
      <c r="F50" s="5088"/>
      <c r="G50" s="5089">
        <f t="shared" ref="G50:R50" si="43">F50</f>
        <v>0</v>
      </c>
      <c r="H50" s="5089">
        <f t="shared" si="43"/>
        <v>0</v>
      </c>
      <c r="I50" s="5089">
        <f t="shared" si="43"/>
        <v>0</v>
      </c>
      <c r="J50" s="5089">
        <f t="shared" si="43"/>
        <v>0</v>
      </c>
      <c r="K50" s="5089">
        <f t="shared" si="43"/>
        <v>0</v>
      </c>
      <c r="L50" s="5089">
        <f t="shared" si="43"/>
        <v>0</v>
      </c>
      <c r="M50" s="5089">
        <f t="shared" si="43"/>
        <v>0</v>
      </c>
      <c r="N50" s="5089">
        <f t="shared" si="43"/>
        <v>0</v>
      </c>
      <c r="O50" s="5089">
        <f t="shared" si="43"/>
        <v>0</v>
      </c>
      <c r="P50" s="5089">
        <f t="shared" si="43"/>
        <v>0</v>
      </c>
      <c r="Q50" s="5089">
        <f t="shared" si="43"/>
        <v>0</v>
      </c>
      <c r="R50" s="5089">
        <f t="shared" si="43"/>
        <v>0</v>
      </c>
      <c r="S50" s="1475"/>
      <c r="T50" s="1476"/>
      <c r="U50" s="409"/>
      <c r="V50" s="409"/>
      <c r="W50" s="409"/>
    </row>
    <row r="51" spans="1:23" ht="15.05" customHeight="1" x14ac:dyDescent="0.2">
      <c r="A51" s="100"/>
      <c r="B51" s="5091"/>
      <c r="C51" s="5092"/>
      <c r="D51" s="5086"/>
      <c r="E51" s="5090">
        <v>1</v>
      </c>
      <c r="F51" s="5088"/>
      <c r="G51" s="5089">
        <f t="shared" ref="G51:R51" si="44">F51</f>
        <v>0</v>
      </c>
      <c r="H51" s="5089">
        <f t="shared" si="44"/>
        <v>0</v>
      </c>
      <c r="I51" s="5089">
        <f t="shared" si="44"/>
        <v>0</v>
      </c>
      <c r="J51" s="5089">
        <f t="shared" si="44"/>
        <v>0</v>
      </c>
      <c r="K51" s="5089">
        <f t="shared" si="44"/>
        <v>0</v>
      </c>
      <c r="L51" s="5089">
        <f t="shared" si="44"/>
        <v>0</v>
      </c>
      <c r="M51" s="5089">
        <f t="shared" si="44"/>
        <v>0</v>
      </c>
      <c r="N51" s="5089">
        <f t="shared" si="44"/>
        <v>0</v>
      </c>
      <c r="O51" s="5089">
        <f t="shared" si="44"/>
        <v>0</v>
      </c>
      <c r="P51" s="5089">
        <f t="shared" si="44"/>
        <v>0</v>
      </c>
      <c r="Q51" s="5089">
        <f t="shared" si="44"/>
        <v>0</v>
      </c>
      <c r="R51" s="5089">
        <f t="shared" si="44"/>
        <v>0</v>
      </c>
      <c r="S51" s="1475"/>
      <c r="T51" s="1476"/>
      <c r="U51" s="413"/>
      <c r="V51" s="413"/>
      <c r="W51" s="413"/>
    </row>
    <row r="52" spans="1:23" ht="15.05" customHeight="1" x14ac:dyDescent="0.2">
      <c r="A52" s="100"/>
      <c r="B52" s="5084"/>
      <c r="C52" s="5092"/>
      <c r="D52" s="5086"/>
      <c r="E52" s="5090">
        <v>1</v>
      </c>
      <c r="F52" s="5088"/>
      <c r="G52" s="5089">
        <f t="shared" ref="G52:R52" si="45">F52</f>
        <v>0</v>
      </c>
      <c r="H52" s="5089">
        <f t="shared" si="45"/>
        <v>0</v>
      </c>
      <c r="I52" s="5089">
        <f t="shared" si="45"/>
        <v>0</v>
      </c>
      <c r="J52" s="5089">
        <f t="shared" si="45"/>
        <v>0</v>
      </c>
      <c r="K52" s="5089">
        <f t="shared" si="45"/>
        <v>0</v>
      </c>
      <c r="L52" s="5089">
        <f t="shared" si="45"/>
        <v>0</v>
      </c>
      <c r="M52" s="5089">
        <f t="shared" si="45"/>
        <v>0</v>
      </c>
      <c r="N52" s="5089">
        <f t="shared" si="45"/>
        <v>0</v>
      </c>
      <c r="O52" s="5089">
        <f t="shared" si="45"/>
        <v>0</v>
      </c>
      <c r="P52" s="5089">
        <f t="shared" si="45"/>
        <v>0</v>
      </c>
      <c r="Q52" s="5089">
        <f t="shared" si="45"/>
        <v>0</v>
      </c>
      <c r="R52" s="5089">
        <f t="shared" si="45"/>
        <v>0</v>
      </c>
      <c r="S52" s="1475"/>
      <c r="T52" s="1476"/>
      <c r="U52" s="413"/>
      <c r="V52" s="413"/>
      <c r="W52" s="413"/>
    </row>
    <row r="53" spans="1:23" ht="15.05" customHeight="1" x14ac:dyDescent="0.2">
      <c r="A53" s="100"/>
      <c r="B53" s="5091"/>
      <c r="C53" s="5092"/>
      <c r="D53" s="5086"/>
      <c r="E53" s="5090">
        <v>1</v>
      </c>
      <c r="F53" s="5088"/>
      <c r="G53" s="5089">
        <f t="shared" ref="G53:R53" si="46">F53</f>
        <v>0</v>
      </c>
      <c r="H53" s="5089">
        <f t="shared" si="46"/>
        <v>0</v>
      </c>
      <c r="I53" s="5089">
        <f t="shared" si="46"/>
        <v>0</v>
      </c>
      <c r="J53" s="5089">
        <f t="shared" si="46"/>
        <v>0</v>
      </c>
      <c r="K53" s="5089">
        <f t="shared" si="46"/>
        <v>0</v>
      </c>
      <c r="L53" s="5089">
        <f t="shared" si="46"/>
        <v>0</v>
      </c>
      <c r="M53" s="5089">
        <f t="shared" si="46"/>
        <v>0</v>
      </c>
      <c r="N53" s="5089">
        <f t="shared" si="46"/>
        <v>0</v>
      </c>
      <c r="O53" s="5089">
        <f t="shared" si="46"/>
        <v>0</v>
      </c>
      <c r="P53" s="5089">
        <f t="shared" si="46"/>
        <v>0</v>
      </c>
      <c r="Q53" s="5089">
        <f t="shared" si="46"/>
        <v>0</v>
      </c>
      <c r="R53" s="5089">
        <f t="shared" si="46"/>
        <v>0</v>
      </c>
      <c r="S53" s="1475"/>
      <c r="T53" s="1476"/>
      <c r="U53" s="409"/>
      <c r="V53" s="409"/>
      <c r="W53" s="409"/>
    </row>
    <row r="54" spans="1:23" ht="15.05" customHeight="1" x14ac:dyDescent="0.2">
      <c r="A54" s="100"/>
      <c r="B54" s="5091"/>
      <c r="C54" s="5092"/>
      <c r="D54" s="5086"/>
      <c r="E54" s="5090">
        <v>1</v>
      </c>
      <c r="F54" s="5088"/>
      <c r="G54" s="5089">
        <f t="shared" ref="G54:R54" si="47">F54</f>
        <v>0</v>
      </c>
      <c r="H54" s="5089">
        <f t="shared" si="47"/>
        <v>0</v>
      </c>
      <c r="I54" s="5089">
        <f t="shared" si="47"/>
        <v>0</v>
      </c>
      <c r="J54" s="5089">
        <f t="shared" si="47"/>
        <v>0</v>
      </c>
      <c r="K54" s="5089">
        <f t="shared" si="47"/>
        <v>0</v>
      </c>
      <c r="L54" s="5089">
        <f t="shared" si="47"/>
        <v>0</v>
      </c>
      <c r="M54" s="5089">
        <f t="shared" si="47"/>
        <v>0</v>
      </c>
      <c r="N54" s="5089">
        <f t="shared" si="47"/>
        <v>0</v>
      </c>
      <c r="O54" s="5089">
        <f t="shared" si="47"/>
        <v>0</v>
      </c>
      <c r="P54" s="5089">
        <f t="shared" si="47"/>
        <v>0</v>
      </c>
      <c r="Q54" s="5089">
        <f t="shared" si="47"/>
        <v>0</v>
      </c>
      <c r="R54" s="5089">
        <f t="shared" si="47"/>
        <v>0</v>
      </c>
      <c r="S54" s="1475"/>
      <c r="T54" s="1476"/>
      <c r="U54" s="409"/>
      <c r="V54" s="409"/>
      <c r="W54" s="409"/>
    </row>
    <row r="55" spans="1:23" ht="15.05" customHeight="1" x14ac:dyDescent="0.2">
      <c r="A55" s="100"/>
      <c r="B55" s="5084"/>
      <c r="C55" s="5092"/>
      <c r="D55" s="5086"/>
      <c r="E55" s="5090">
        <v>1</v>
      </c>
      <c r="F55" s="5088"/>
      <c r="G55" s="5089">
        <f t="shared" ref="G55:R55" si="48">F55</f>
        <v>0</v>
      </c>
      <c r="H55" s="5089">
        <f t="shared" si="48"/>
        <v>0</v>
      </c>
      <c r="I55" s="5089">
        <f t="shared" si="48"/>
        <v>0</v>
      </c>
      <c r="J55" s="5089">
        <f t="shared" si="48"/>
        <v>0</v>
      </c>
      <c r="K55" s="5089">
        <f t="shared" si="48"/>
        <v>0</v>
      </c>
      <c r="L55" s="5089">
        <f t="shared" si="48"/>
        <v>0</v>
      </c>
      <c r="M55" s="5089">
        <f t="shared" si="48"/>
        <v>0</v>
      </c>
      <c r="N55" s="5089">
        <f t="shared" si="48"/>
        <v>0</v>
      </c>
      <c r="O55" s="5089">
        <f t="shared" si="48"/>
        <v>0</v>
      </c>
      <c r="P55" s="5089">
        <f t="shared" si="48"/>
        <v>0</v>
      </c>
      <c r="Q55" s="5089">
        <f t="shared" si="48"/>
        <v>0</v>
      </c>
      <c r="R55" s="5089">
        <f t="shared" si="48"/>
        <v>0</v>
      </c>
      <c r="S55" s="1475"/>
      <c r="T55" s="1476"/>
      <c r="U55" s="413"/>
      <c r="V55" s="413"/>
      <c r="W55" s="413"/>
    </row>
    <row r="56" spans="1:23" ht="15.05" customHeight="1" x14ac:dyDescent="0.2">
      <c r="A56" s="100"/>
      <c r="B56" s="5084"/>
      <c r="C56" s="5092"/>
      <c r="D56" s="5086"/>
      <c r="E56" s="5090">
        <v>1</v>
      </c>
      <c r="F56" s="5088"/>
      <c r="G56" s="5089">
        <f t="shared" ref="G56:R56" si="49">F56</f>
        <v>0</v>
      </c>
      <c r="H56" s="5089">
        <f t="shared" si="49"/>
        <v>0</v>
      </c>
      <c r="I56" s="5089">
        <f t="shared" si="49"/>
        <v>0</v>
      </c>
      <c r="J56" s="5089">
        <f t="shared" si="49"/>
        <v>0</v>
      </c>
      <c r="K56" s="5089">
        <f t="shared" si="49"/>
        <v>0</v>
      </c>
      <c r="L56" s="5089">
        <f t="shared" si="49"/>
        <v>0</v>
      </c>
      <c r="M56" s="5089">
        <f t="shared" si="49"/>
        <v>0</v>
      </c>
      <c r="N56" s="5089">
        <f t="shared" si="49"/>
        <v>0</v>
      </c>
      <c r="O56" s="5089">
        <f t="shared" si="49"/>
        <v>0</v>
      </c>
      <c r="P56" s="5089">
        <f t="shared" si="49"/>
        <v>0</v>
      </c>
      <c r="Q56" s="5089">
        <f t="shared" si="49"/>
        <v>0</v>
      </c>
      <c r="R56" s="5089">
        <f t="shared" si="49"/>
        <v>0</v>
      </c>
      <c r="S56" s="1475"/>
      <c r="T56" s="1476"/>
      <c r="U56" s="413"/>
      <c r="V56" s="413"/>
      <c r="W56" s="413"/>
    </row>
    <row r="57" spans="1:23" ht="15.05" customHeight="1" x14ac:dyDescent="0.2">
      <c r="A57" s="100"/>
      <c r="B57" s="5091"/>
      <c r="C57" s="5092"/>
      <c r="D57" s="5086"/>
      <c r="E57" s="5090">
        <v>1</v>
      </c>
      <c r="F57" s="5088"/>
      <c r="G57" s="5089">
        <f t="shared" ref="G57:R57" si="50">F57</f>
        <v>0</v>
      </c>
      <c r="H57" s="5089">
        <f t="shared" si="50"/>
        <v>0</v>
      </c>
      <c r="I57" s="5089">
        <f t="shared" si="50"/>
        <v>0</v>
      </c>
      <c r="J57" s="5089">
        <f t="shared" si="50"/>
        <v>0</v>
      </c>
      <c r="K57" s="5089">
        <f t="shared" si="50"/>
        <v>0</v>
      </c>
      <c r="L57" s="5089">
        <f t="shared" si="50"/>
        <v>0</v>
      </c>
      <c r="M57" s="5089">
        <f t="shared" si="50"/>
        <v>0</v>
      </c>
      <c r="N57" s="5089">
        <f t="shared" si="50"/>
        <v>0</v>
      </c>
      <c r="O57" s="5089">
        <f t="shared" si="50"/>
        <v>0</v>
      </c>
      <c r="P57" s="5089">
        <f t="shared" si="50"/>
        <v>0</v>
      </c>
      <c r="Q57" s="5089">
        <f t="shared" si="50"/>
        <v>0</v>
      </c>
      <c r="R57" s="5089">
        <f t="shared" si="50"/>
        <v>0</v>
      </c>
      <c r="S57" s="1475"/>
      <c r="T57" s="1476"/>
      <c r="U57" s="410"/>
      <c r="V57" s="410"/>
      <c r="W57" s="410"/>
    </row>
    <row r="58" spans="1:23" ht="15.05" customHeight="1" x14ac:dyDescent="0.2">
      <c r="A58" s="100"/>
      <c r="B58" s="5084"/>
      <c r="C58" s="5092"/>
      <c r="D58" s="5086"/>
      <c r="E58" s="5090">
        <v>1</v>
      </c>
      <c r="F58" s="5088"/>
      <c r="G58" s="5089">
        <f t="shared" ref="G58:R58" si="51">F58</f>
        <v>0</v>
      </c>
      <c r="H58" s="5089">
        <f t="shared" si="51"/>
        <v>0</v>
      </c>
      <c r="I58" s="5089">
        <f t="shared" si="51"/>
        <v>0</v>
      </c>
      <c r="J58" s="5089">
        <f t="shared" si="51"/>
        <v>0</v>
      </c>
      <c r="K58" s="5089">
        <f t="shared" si="51"/>
        <v>0</v>
      </c>
      <c r="L58" s="5089">
        <f t="shared" si="51"/>
        <v>0</v>
      </c>
      <c r="M58" s="5089">
        <f t="shared" si="51"/>
        <v>0</v>
      </c>
      <c r="N58" s="5089">
        <f t="shared" si="51"/>
        <v>0</v>
      </c>
      <c r="O58" s="5089">
        <f t="shared" si="51"/>
        <v>0</v>
      </c>
      <c r="P58" s="5089">
        <f t="shared" si="51"/>
        <v>0</v>
      </c>
      <c r="Q58" s="5089">
        <f t="shared" si="51"/>
        <v>0</v>
      </c>
      <c r="R58" s="5089">
        <f t="shared" si="51"/>
        <v>0</v>
      </c>
      <c r="S58" s="1475"/>
      <c r="T58" s="1476"/>
      <c r="U58" s="410"/>
      <c r="V58" s="410"/>
      <c r="W58" s="410"/>
    </row>
    <row r="59" spans="1:23" ht="15.05" customHeight="1" x14ac:dyDescent="0.2">
      <c r="A59" s="100"/>
      <c r="B59" s="5091"/>
      <c r="C59" s="5092"/>
      <c r="D59" s="5086"/>
      <c r="E59" s="5090">
        <v>1</v>
      </c>
      <c r="F59" s="5088"/>
      <c r="G59" s="5089">
        <f t="shared" ref="G59:R59" si="52">F59</f>
        <v>0</v>
      </c>
      <c r="H59" s="5089">
        <f t="shared" si="52"/>
        <v>0</v>
      </c>
      <c r="I59" s="5089">
        <f t="shared" si="52"/>
        <v>0</v>
      </c>
      <c r="J59" s="5089">
        <f t="shared" si="52"/>
        <v>0</v>
      </c>
      <c r="K59" s="5089">
        <f t="shared" si="52"/>
        <v>0</v>
      </c>
      <c r="L59" s="5089">
        <f t="shared" si="52"/>
        <v>0</v>
      </c>
      <c r="M59" s="5089">
        <f t="shared" si="52"/>
        <v>0</v>
      </c>
      <c r="N59" s="5089">
        <f t="shared" si="52"/>
        <v>0</v>
      </c>
      <c r="O59" s="5089">
        <f t="shared" si="52"/>
        <v>0</v>
      </c>
      <c r="P59" s="5089">
        <f t="shared" si="52"/>
        <v>0</v>
      </c>
      <c r="Q59" s="5089">
        <f t="shared" si="52"/>
        <v>0</v>
      </c>
      <c r="R59" s="5089">
        <f t="shared" si="52"/>
        <v>0</v>
      </c>
      <c r="S59" s="1475"/>
      <c r="T59" s="1476"/>
      <c r="U59" s="410"/>
      <c r="V59" s="410"/>
      <c r="W59" s="410"/>
    </row>
    <row r="60" spans="1:23" ht="15.05" customHeight="1" x14ac:dyDescent="0.2">
      <c r="A60" s="100"/>
      <c r="B60" s="5084"/>
      <c r="C60" s="5092"/>
      <c r="D60" s="5086"/>
      <c r="E60" s="5090">
        <v>1</v>
      </c>
      <c r="F60" s="5088"/>
      <c r="G60" s="5089">
        <f t="shared" ref="G60:R60" si="53">F60</f>
        <v>0</v>
      </c>
      <c r="H60" s="5089">
        <f t="shared" si="53"/>
        <v>0</v>
      </c>
      <c r="I60" s="5089">
        <f t="shared" si="53"/>
        <v>0</v>
      </c>
      <c r="J60" s="5089">
        <f t="shared" si="53"/>
        <v>0</v>
      </c>
      <c r="K60" s="5089">
        <f t="shared" si="53"/>
        <v>0</v>
      </c>
      <c r="L60" s="5089">
        <f t="shared" si="53"/>
        <v>0</v>
      </c>
      <c r="M60" s="5089">
        <f t="shared" si="53"/>
        <v>0</v>
      </c>
      <c r="N60" s="5089">
        <f t="shared" si="53"/>
        <v>0</v>
      </c>
      <c r="O60" s="5089">
        <f t="shared" si="53"/>
        <v>0</v>
      </c>
      <c r="P60" s="5089">
        <f t="shared" si="53"/>
        <v>0</v>
      </c>
      <c r="Q60" s="5089">
        <f t="shared" si="53"/>
        <v>0</v>
      </c>
      <c r="R60" s="5089">
        <f t="shared" si="53"/>
        <v>0</v>
      </c>
      <c r="S60" s="1475"/>
      <c r="T60" s="1476"/>
      <c r="U60" s="413"/>
      <c r="V60" s="413"/>
      <c r="W60" s="413"/>
    </row>
    <row r="61" spans="1:23" ht="15.05" customHeight="1" x14ac:dyDescent="0.2">
      <c r="A61" s="100"/>
      <c r="B61" s="5091"/>
      <c r="C61" s="5092"/>
      <c r="D61" s="5086"/>
      <c r="E61" s="5090">
        <v>1</v>
      </c>
      <c r="F61" s="5088"/>
      <c r="G61" s="5089">
        <f t="shared" ref="G61:R61" si="54">F61</f>
        <v>0</v>
      </c>
      <c r="H61" s="5089">
        <f t="shared" si="54"/>
        <v>0</v>
      </c>
      <c r="I61" s="5089">
        <f t="shared" si="54"/>
        <v>0</v>
      </c>
      <c r="J61" s="5089">
        <f t="shared" si="54"/>
        <v>0</v>
      </c>
      <c r="K61" s="5089">
        <f t="shared" si="54"/>
        <v>0</v>
      </c>
      <c r="L61" s="5089">
        <f t="shared" si="54"/>
        <v>0</v>
      </c>
      <c r="M61" s="5089">
        <f t="shared" si="54"/>
        <v>0</v>
      </c>
      <c r="N61" s="5089">
        <f t="shared" si="54"/>
        <v>0</v>
      </c>
      <c r="O61" s="5089">
        <f t="shared" si="54"/>
        <v>0</v>
      </c>
      <c r="P61" s="5089">
        <f t="shared" si="54"/>
        <v>0</v>
      </c>
      <c r="Q61" s="5089">
        <f t="shared" si="54"/>
        <v>0</v>
      </c>
      <c r="R61" s="5089">
        <f t="shared" si="54"/>
        <v>0</v>
      </c>
      <c r="S61" s="1475"/>
      <c r="T61" s="1476"/>
      <c r="U61" s="413"/>
      <c r="V61" s="413"/>
      <c r="W61" s="413"/>
    </row>
    <row r="62" spans="1:23" ht="15.05" customHeight="1" x14ac:dyDescent="0.2">
      <c r="A62" s="100"/>
      <c r="B62" s="5091"/>
      <c r="C62" s="5092"/>
      <c r="D62" s="5086"/>
      <c r="E62" s="5090">
        <v>1</v>
      </c>
      <c r="F62" s="5088"/>
      <c r="G62" s="5089">
        <f t="shared" ref="G62:R62" si="55">F62</f>
        <v>0</v>
      </c>
      <c r="H62" s="5089">
        <f t="shared" si="55"/>
        <v>0</v>
      </c>
      <c r="I62" s="5089">
        <f t="shared" si="55"/>
        <v>0</v>
      </c>
      <c r="J62" s="5089">
        <f t="shared" si="55"/>
        <v>0</v>
      </c>
      <c r="K62" s="5089">
        <f t="shared" si="55"/>
        <v>0</v>
      </c>
      <c r="L62" s="5089">
        <f t="shared" si="55"/>
        <v>0</v>
      </c>
      <c r="M62" s="5089">
        <f t="shared" si="55"/>
        <v>0</v>
      </c>
      <c r="N62" s="5089">
        <f t="shared" si="55"/>
        <v>0</v>
      </c>
      <c r="O62" s="5089">
        <f t="shared" si="55"/>
        <v>0</v>
      </c>
      <c r="P62" s="5089">
        <f t="shared" si="55"/>
        <v>0</v>
      </c>
      <c r="Q62" s="5089">
        <f t="shared" si="55"/>
        <v>0</v>
      </c>
      <c r="R62" s="5089">
        <f t="shared" si="55"/>
        <v>0</v>
      </c>
      <c r="S62" s="1475"/>
      <c r="T62" s="1476"/>
      <c r="U62" s="413"/>
      <c r="V62" s="413"/>
      <c r="W62" s="413"/>
    </row>
    <row r="63" spans="1:23" ht="15.05" customHeight="1" x14ac:dyDescent="0.2">
      <c r="A63" s="100"/>
      <c r="B63" s="5084"/>
      <c r="C63" s="5085"/>
      <c r="D63" s="5086"/>
      <c r="E63" s="5090">
        <v>1</v>
      </c>
      <c r="F63" s="5088"/>
      <c r="G63" s="5089">
        <f t="shared" ref="G63:R63" si="56">F63</f>
        <v>0</v>
      </c>
      <c r="H63" s="5089">
        <f t="shared" si="56"/>
        <v>0</v>
      </c>
      <c r="I63" s="5089">
        <f t="shared" si="56"/>
        <v>0</v>
      </c>
      <c r="J63" s="5089">
        <f t="shared" si="56"/>
        <v>0</v>
      </c>
      <c r="K63" s="5089">
        <f t="shared" si="56"/>
        <v>0</v>
      </c>
      <c r="L63" s="5089">
        <f t="shared" si="56"/>
        <v>0</v>
      </c>
      <c r="M63" s="5089">
        <f t="shared" si="56"/>
        <v>0</v>
      </c>
      <c r="N63" s="5089">
        <f t="shared" si="56"/>
        <v>0</v>
      </c>
      <c r="O63" s="5089">
        <f t="shared" si="56"/>
        <v>0</v>
      </c>
      <c r="P63" s="5089">
        <f t="shared" si="56"/>
        <v>0</v>
      </c>
      <c r="Q63" s="5089">
        <f t="shared" si="56"/>
        <v>0</v>
      </c>
      <c r="R63" s="5089">
        <f t="shared" si="56"/>
        <v>0</v>
      </c>
      <c r="S63" s="1475"/>
      <c r="T63" s="1476"/>
      <c r="U63" s="413"/>
      <c r="V63" s="413"/>
      <c r="W63" s="413"/>
    </row>
    <row r="64" spans="1:23" ht="15.05" customHeight="1" x14ac:dyDescent="0.2">
      <c r="A64" s="100"/>
      <c r="B64" s="5084"/>
      <c r="C64" s="5085"/>
      <c r="D64" s="5086"/>
      <c r="E64" s="5090">
        <v>1</v>
      </c>
      <c r="F64" s="5088"/>
      <c r="G64" s="5089">
        <f t="shared" ref="G64:R64" si="57">F64</f>
        <v>0</v>
      </c>
      <c r="H64" s="5089">
        <f t="shared" si="57"/>
        <v>0</v>
      </c>
      <c r="I64" s="5089">
        <f t="shared" si="57"/>
        <v>0</v>
      </c>
      <c r="J64" s="5089">
        <f t="shared" si="57"/>
        <v>0</v>
      </c>
      <c r="K64" s="5089">
        <f t="shared" si="57"/>
        <v>0</v>
      </c>
      <c r="L64" s="5089">
        <f t="shared" si="57"/>
        <v>0</v>
      </c>
      <c r="M64" s="5089">
        <f t="shared" si="57"/>
        <v>0</v>
      </c>
      <c r="N64" s="5089">
        <f t="shared" si="57"/>
        <v>0</v>
      </c>
      <c r="O64" s="5089">
        <f t="shared" si="57"/>
        <v>0</v>
      </c>
      <c r="P64" s="5089">
        <f t="shared" si="57"/>
        <v>0</v>
      </c>
      <c r="Q64" s="5089">
        <f t="shared" si="57"/>
        <v>0</v>
      </c>
      <c r="R64" s="5089">
        <f t="shared" si="57"/>
        <v>0</v>
      </c>
      <c r="S64" s="1475"/>
      <c r="T64" s="1476"/>
    </row>
    <row r="65" spans="1:23" ht="15.05" customHeight="1" x14ac:dyDescent="0.2">
      <c r="A65" s="100"/>
      <c r="B65" s="5084"/>
      <c r="C65" s="5085"/>
      <c r="D65" s="5086"/>
      <c r="E65" s="5090">
        <v>1</v>
      </c>
      <c r="F65" s="5088"/>
      <c r="G65" s="5089">
        <f t="shared" ref="G65:R65" si="58">F65</f>
        <v>0</v>
      </c>
      <c r="H65" s="5089">
        <f t="shared" si="58"/>
        <v>0</v>
      </c>
      <c r="I65" s="5089">
        <f t="shared" si="58"/>
        <v>0</v>
      </c>
      <c r="J65" s="5089">
        <f t="shared" si="58"/>
        <v>0</v>
      </c>
      <c r="K65" s="5089">
        <f t="shared" si="58"/>
        <v>0</v>
      </c>
      <c r="L65" s="5089">
        <f t="shared" si="58"/>
        <v>0</v>
      </c>
      <c r="M65" s="5089">
        <f t="shared" si="58"/>
        <v>0</v>
      </c>
      <c r="N65" s="5089">
        <f t="shared" si="58"/>
        <v>0</v>
      </c>
      <c r="O65" s="5089">
        <f t="shared" si="58"/>
        <v>0</v>
      </c>
      <c r="P65" s="5089">
        <f t="shared" si="58"/>
        <v>0</v>
      </c>
      <c r="Q65" s="5089">
        <f t="shared" si="58"/>
        <v>0</v>
      </c>
      <c r="R65" s="5089">
        <f t="shared" si="58"/>
        <v>0</v>
      </c>
      <c r="S65" s="1475"/>
      <c r="T65" s="1476"/>
    </row>
    <row r="66" spans="1:23" ht="15.05" customHeight="1" x14ac:dyDescent="0.2">
      <c r="A66" s="100"/>
      <c r="B66" s="5084"/>
      <c r="C66" s="5085"/>
      <c r="D66" s="5086"/>
      <c r="E66" s="5090">
        <v>1</v>
      </c>
      <c r="F66" s="5088"/>
      <c r="G66" s="5089">
        <f t="shared" ref="G66:R66" si="59">F66</f>
        <v>0</v>
      </c>
      <c r="H66" s="5089">
        <f t="shared" si="59"/>
        <v>0</v>
      </c>
      <c r="I66" s="5089">
        <f t="shared" si="59"/>
        <v>0</v>
      </c>
      <c r="J66" s="5089">
        <f t="shared" si="59"/>
        <v>0</v>
      </c>
      <c r="K66" s="5089">
        <f t="shared" si="59"/>
        <v>0</v>
      </c>
      <c r="L66" s="5089">
        <f t="shared" si="59"/>
        <v>0</v>
      </c>
      <c r="M66" s="5089">
        <f t="shared" si="59"/>
        <v>0</v>
      </c>
      <c r="N66" s="5089">
        <f t="shared" si="59"/>
        <v>0</v>
      </c>
      <c r="O66" s="5089">
        <f t="shared" si="59"/>
        <v>0</v>
      </c>
      <c r="P66" s="5089">
        <f t="shared" si="59"/>
        <v>0</v>
      </c>
      <c r="Q66" s="5089">
        <f t="shared" si="59"/>
        <v>0</v>
      </c>
      <c r="R66" s="5089">
        <f t="shared" si="59"/>
        <v>0</v>
      </c>
      <c r="S66" s="1475"/>
      <c r="T66" s="1476"/>
    </row>
    <row r="67" spans="1:23" ht="15.05" customHeight="1" x14ac:dyDescent="0.2">
      <c r="A67" s="100"/>
      <c r="B67" s="5084"/>
      <c r="C67" s="5085"/>
      <c r="D67" s="5086"/>
      <c r="E67" s="5090">
        <v>1</v>
      </c>
      <c r="F67" s="5088"/>
      <c r="G67" s="5089">
        <f t="shared" ref="G67:R67" si="60">F67</f>
        <v>0</v>
      </c>
      <c r="H67" s="5089">
        <f t="shared" si="60"/>
        <v>0</v>
      </c>
      <c r="I67" s="5089">
        <f t="shared" si="60"/>
        <v>0</v>
      </c>
      <c r="J67" s="5089">
        <f t="shared" si="60"/>
        <v>0</v>
      </c>
      <c r="K67" s="5089">
        <f t="shared" si="60"/>
        <v>0</v>
      </c>
      <c r="L67" s="5089">
        <f t="shared" si="60"/>
        <v>0</v>
      </c>
      <c r="M67" s="5089">
        <f t="shared" si="60"/>
        <v>0</v>
      </c>
      <c r="N67" s="5089">
        <f t="shared" si="60"/>
        <v>0</v>
      </c>
      <c r="O67" s="5089">
        <f t="shared" si="60"/>
        <v>0</v>
      </c>
      <c r="P67" s="5089">
        <f t="shared" si="60"/>
        <v>0</v>
      </c>
      <c r="Q67" s="5089">
        <f t="shared" si="60"/>
        <v>0</v>
      </c>
      <c r="R67" s="5089">
        <f t="shared" si="60"/>
        <v>0</v>
      </c>
      <c r="S67" s="1475"/>
      <c r="T67" s="1476"/>
    </row>
    <row r="68" spans="1:23" ht="15.05" customHeight="1" x14ac:dyDescent="0.2">
      <c r="A68" s="100"/>
      <c r="B68" s="5091"/>
      <c r="C68" s="5092"/>
      <c r="D68" s="5086"/>
      <c r="E68" s="5090">
        <v>1</v>
      </c>
      <c r="F68" s="5088"/>
      <c r="G68" s="5089">
        <f t="shared" ref="G68:R68" si="61">F68</f>
        <v>0</v>
      </c>
      <c r="H68" s="5089">
        <f t="shared" si="61"/>
        <v>0</v>
      </c>
      <c r="I68" s="5089">
        <f t="shared" si="61"/>
        <v>0</v>
      </c>
      <c r="J68" s="5089">
        <f t="shared" si="61"/>
        <v>0</v>
      </c>
      <c r="K68" s="5089">
        <f t="shared" si="61"/>
        <v>0</v>
      </c>
      <c r="L68" s="5089">
        <f t="shared" si="61"/>
        <v>0</v>
      </c>
      <c r="M68" s="5089">
        <f t="shared" si="61"/>
        <v>0</v>
      </c>
      <c r="N68" s="5089">
        <f t="shared" si="61"/>
        <v>0</v>
      </c>
      <c r="O68" s="5089">
        <f t="shared" si="61"/>
        <v>0</v>
      </c>
      <c r="P68" s="5089">
        <f t="shared" si="61"/>
        <v>0</v>
      </c>
      <c r="Q68" s="5089">
        <f t="shared" si="61"/>
        <v>0</v>
      </c>
      <c r="R68" s="5089">
        <f t="shared" si="61"/>
        <v>0</v>
      </c>
      <c r="S68" s="1475"/>
      <c r="T68" s="1476"/>
    </row>
    <row r="69" spans="1:23" ht="15.05" customHeight="1" x14ac:dyDescent="0.2">
      <c r="A69" s="100"/>
      <c r="B69" s="5084"/>
      <c r="C69" s="5085"/>
      <c r="D69" s="5086"/>
      <c r="E69" s="5090">
        <v>1</v>
      </c>
      <c r="F69" s="5088"/>
      <c r="G69" s="5089">
        <f t="shared" ref="G69:R69" si="62">F69</f>
        <v>0</v>
      </c>
      <c r="H69" s="5089">
        <f t="shared" si="62"/>
        <v>0</v>
      </c>
      <c r="I69" s="5089">
        <f t="shared" si="62"/>
        <v>0</v>
      </c>
      <c r="J69" s="5089">
        <f t="shared" si="62"/>
        <v>0</v>
      </c>
      <c r="K69" s="5089">
        <f t="shared" si="62"/>
        <v>0</v>
      </c>
      <c r="L69" s="5089">
        <f t="shared" si="62"/>
        <v>0</v>
      </c>
      <c r="M69" s="5089">
        <f t="shared" si="62"/>
        <v>0</v>
      </c>
      <c r="N69" s="5089">
        <f t="shared" si="62"/>
        <v>0</v>
      </c>
      <c r="O69" s="5089">
        <f t="shared" si="62"/>
        <v>0</v>
      </c>
      <c r="P69" s="5089">
        <f t="shared" si="62"/>
        <v>0</v>
      </c>
      <c r="Q69" s="5089">
        <f t="shared" si="62"/>
        <v>0</v>
      </c>
      <c r="R69" s="5089">
        <f t="shared" si="62"/>
        <v>0</v>
      </c>
      <c r="S69" s="1475"/>
      <c r="T69" s="1476"/>
    </row>
    <row r="70" spans="1:23" ht="15.05" customHeight="1" x14ac:dyDescent="0.2">
      <c r="A70" s="100"/>
      <c r="B70" s="5091"/>
      <c r="C70" s="5092"/>
      <c r="D70" s="5086"/>
      <c r="E70" s="5090">
        <v>1</v>
      </c>
      <c r="F70" s="5088"/>
      <c r="G70" s="5089">
        <f t="shared" ref="G70:R70" si="63">+F70</f>
        <v>0</v>
      </c>
      <c r="H70" s="5089">
        <f t="shared" si="63"/>
        <v>0</v>
      </c>
      <c r="I70" s="5089">
        <f t="shared" si="63"/>
        <v>0</v>
      </c>
      <c r="J70" s="5089">
        <f t="shared" ref="J70:J99" si="64">+I70</f>
        <v>0</v>
      </c>
      <c r="K70" s="5089">
        <f t="shared" si="63"/>
        <v>0</v>
      </c>
      <c r="L70" s="5089">
        <f t="shared" si="63"/>
        <v>0</v>
      </c>
      <c r="M70" s="5089">
        <f t="shared" si="63"/>
        <v>0</v>
      </c>
      <c r="N70" s="5089">
        <f t="shared" si="63"/>
        <v>0</v>
      </c>
      <c r="O70" s="5089">
        <f t="shared" si="63"/>
        <v>0</v>
      </c>
      <c r="P70" s="5089">
        <f t="shared" si="63"/>
        <v>0</v>
      </c>
      <c r="Q70" s="5089">
        <f t="shared" si="63"/>
        <v>0</v>
      </c>
      <c r="R70" s="5089">
        <f t="shared" si="63"/>
        <v>0</v>
      </c>
      <c r="S70" s="1475"/>
      <c r="T70" s="1476"/>
    </row>
    <row r="71" spans="1:23" ht="15.05" customHeight="1" x14ac:dyDescent="0.2">
      <c r="A71" s="100"/>
      <c r="B71" s="5084"/>
      <c r="C71" s="5092"/>
      <c r="D71" s="5086"/>
      <c r="E71" s="5090">
        <v>1</v>
      </c>
      <c r="F71" s="5088"/>
      <c r="G71" s="5089">
        <f t="shared" ref="G71:R71" si="65">+F71</f>
        <v>0</v>
      </c>
      <c r="H71" s="5089">
        <f t="shared" si="65"/>
        <v>0</v>
      </c>
      <c r="I71" s="5089">
        <f t="shared" si="65"/>
        <v>0</v>
      </c>
      <c r="J71" s="5089">
        <f t="shared" si="64"/>
        <v>0</v>
      </c>
      <c r="K71" s="5089">
        <f t="shared" si="65"/>
        <v>0</v>
      </c>
      <c r="L71" s="5089">
        <f t="shared" si="65"/>
        <v>0</v>
      </c>
      <c r="M71" s="5089">
        <f t="shared" si="65"/>
        <v>0</v>
      </c>
      <c r="N71" s="5089">
        <f t="shared" si="65"/>
        <v>0</v>
      </c>
      <c r="O71" s="5089">
        <f t="shared" si="65"/>
        <v>0</v>
      </c>
      <c r="P71" s="5089">
        <f t="shared" si="65"/>
        <v>0</v>
      </c>
      <c r="Q71" s="5089">
        <f t="shared" si="65"/>
        <v>0</v>
      </c>
      <c r="R71" s="5089">
        <f t="shared" si="65"/>
        <v>0</v>
      </c>
      <c r="S71" s="1475"/>
      <c r="T71" s="1476"/>
    </row>
    <row r="72" spans="1:23" ht="15.05" customHeight="1" x14ac:dyDescent="0.2">
      <c r="A72" s="100"/>
      <c r="B72" s="5091"/>
      <c r="C72" s="5092"/>
      <c r="D72" s="5086"/>
      <c r="E72" s="5090">
        <v>1</v>
      </c>
      <c r="F72" s="5088"/>
      <c r="G72" s="5089">
        <f t="shared" ref="G72:R72" si="66">+F72</f>
        <v>0</v>
      </c>
      <c r="H72" s="5089">
        <f t="shared" si="66"/>
        <v>0</v>
      </c>
      <c r="I72" s="5089">
        <f t="shared" si="66"/>
        <v>0</v>
      </c>
      <c r="J72" s="5089">
        <f t="shared" si="64"/>
        <v>0</v>
      </c>
      <c r="K72" s="5089">
        <f t="shared" si="66"/>
        <v>0</v>
      </c>
      <c r="L72" s="5089">
        <f t="shared" si="66"/>
        <v>0</v>
      </c>
      <c r="M72" s="5089">
        <f t="shared" si="66"/>
        <v>0</v>
      </c>
      <c r="N72" s="5089">
        <f t="shared" si="66"/>
        <v>0</v>
      </c>
      <c r="O72" s="5089">
        <f t="shared" si="66"/>
        <v>0</v>
      </c>
      <c r="P72" s="5089">
        <f t="shared" si="66"/>
        <v>0</v>
      </c>
      <c r="Q72" s="5089">
        <f t="shared" si="66"/>
        <v>0</v>
      </c>
      <c r="R72" s="5089">
        <f t="shared" si="66"/>
        <v>0</v>
      </c>
      <c r="S72" s="1475"/>
      <c r="T72" s="1476"/>
    </row>
    <row r="73" spans="1:23" ht="15.05" customHeight="1" x14ac:dyDescent="0.2">
      <c r="A73" s="100"/>
      <c r="B73" s="5084"/>
      <c r="C73" s="5092"/>
      <c r="D73" s="5086"/>
      <c r="E73" s="5090">
        <v>1</v>
      </c>
      <c r="F73" s="5088"/>
      <c r="G73" s="5089">
        <f t="shared" ref="G73:R73" si="67">+F73</f>
        <v>0</v>
      </c>
      <c r="H73" s="5089">
        <f t="shared" si="67"/>
        <v>0</v>
      </c>
      <c r="I73" s="5089">
        <f t="shared" si="67"/>
        <v>0</v>
      </c>
      <c r="J73" s="5089">
        <f t="shared" si="64"/>
        <v>0</v>
      </c>
      <c r="K73" s="5089">
        <f t="shared" si="67"/>
        <v>0</v>
      </c>
      <c r="L73" s="5089">
        <f t="shared" si="67"/>
        <v>0</v>
      </c>
      <c r="M73" s="5089">
        <f t="shared" si="67"/>
        <v>0</v>
      </c>
      <c r="N73" s="5089">
        <f t="shared" si="67"/>
        <v>0</v>
      </c>
      <c r="O73" s="5089">
        <f t="shared" si="67"/>
        <v>0</v>
      </c>
      <c r="P73" s="5089">
        <f t="shared" si="67"/>
        <v>0</v>
      </c>
      <c r="Q73" s="5089">
        <f t="shared" si="67"/>
        <v>0</v>
      </c>
      <c r="R73" s="5089">
        <f t="shared" si="67"/>
        <v>0</v>
      </c>
      <c r="S73" s="1475"/>
      <c r="T73" s="1476"/>
    </row>
    <row r="74" spans="1:23" ht="15.05" customHeight="1" x14ac:dyDescent="0.2">
      <c r="A74" s="100"/>
      <c r="B74" s="5091"/>
      <c r="C74" s="5092"/>
      <c r="D74" s="5086"/>
      <c r="E74" s="5090">
        <v>1</v>
      </c>
      <c r="F74" s="5088"/>
      <c r="G74" s="5089">
        <f t="shared" ref="G74:R74" si="68">+F74</f>
        <v>0</v>
      </c>
      <c r="H74" s="5089">
        <f t="shared" si="68"/>
        <v>0</v>
      </c>
      <c r="I74" s="5089">
        <f t="shared" si="68"/>
        <v>0</v>
      </c>
      <c r="J74" s="5089">
        <f t="shared" si="64"/>
        <v>0</v>
      </c>
      <c r="K74" s="5089">
        <f t="shared" si="68"/>
        <v>0</v>
      </c>
      <c r="L74" s="5089">
        <f t="shared" si="68"/>
        <v>0</v>
      </c>
      <c r="M74" s="5089">
        <f t="shared" si="68"/>
        <v>0</v>
      </c>
      <c r="N74" s="5089">
        <f t="shared" si="68"/>
        <v>0</v>
      </c>
      <c r="O74" s="5089">
        <f t="shared" si="68"/>
        <v>0</v>
      </c>
      <c r="P74" s="5089">
        <f t="shared" si="68"/>
        <v>0</v>
      </c>
      <c r="Q74" s="5089">
        <f t="shared" si="68"/>
        <v>0</v>
      </c>
      <c r="R74" s="5089">
        <f t="shared" si="68"/>
        <v>0</v>
      </c>
      <c r="S74" s="1475"/>
      <c r="T74" s="1476"/>
    </row>
    <row r="75" spans="1:23" ht="15.05" customHeight="1" x14ac:dyDescent="0.2">
      <c r="A75" s="100"/>
      <c r="B75" s="5084"/>
      <c r="C75" s="5092"/>
      <c r="D75" s="5086"/>
      <c r="E75" s="5090">
        <v>1</v>
      </c>
      <c r="F75" s="5088"/>
      <c r="G75" s="5089">
        <f t="shared" ref="G75:R75" si="69">+F75</f>
        <v>0</v>
      </c>
      <c r="H75" s="5089">
        <f t="shared" si="69"/>
        <v>0</v>
      </c>
      <c r="I75" s="5089">
        <f t="shared" si="69"/>
        <v>0</v>
      </c>
      <c r="J75" s="5089">
        <f t="shared" si="64"/>
        <v>0</v>
      </c>
      <c r="K75" s="5089">
        <f t="shared" si="69"/>
        <v>0</v>
      </c>
      <c r="L75" s="5089">
        <f t="shared" si="69"/>
        <v>0</v>
      </c>
      <c r="M75" s="5089">
        <f t="shared" si="69"/>
        <v>0</v>
      </c>
      <c r="N75" s="5089">
        <f t="shared" si="69"/>
        <v>0</v>
      </c>
      <c r="O75" s="5089">
        <f t="shared" si="69"/>
        <v>0</v>
      </c>
      <c r="P75" s="5089">
        <f t="shared" si="69"/>
        <v>0</v>
      </c>
      <c r="Q75" s="5089">
        <f t="shared" si="69"/>
        <v>0</v>
      </c>
      <c r="R75" s="5089">
        <f t="shared" si="69"/>
        <v>0</v>
      </c>
      <c r="S75" s="1475"/>
      <c r="T75" s="1476"/>
      <c r="U75" s="100"/>
      <c r="V75" s="100"/>
      <c r="W75" s="100"/>
    </row>
    <row r="76" spans="1:23" ht="15.05" customHeight="1" x14ac:dyDescent="0.2">
      <c r="A76" s="100"/>
      <c r="B76" s="5091"/>
      <c r="C76" s="5092"/>
      <c r="D76" s="5086"/>
      <c r="E76" s="5090">
        <v>1</v>
      </c>
      <c r="F76" s="5088"/>
      <c r="G76" s="5089">
        <f t="shared" ref="G76:R76" si="70">+F76</f>
        <v>0</v>
      </c>
      <c r="H76" s="5089">
        <f t="shared" si="70"/>
        <v>0</v>
      </c>
      <c r="I76" s="5089">
        <f t="shared" si="70"/>
        <v>0</v>
      </c>
      <c r="J76" s="5089">
        <f t="shared" si="64"/>
        <v>0</v>
      </c>
      <c r="K76" s="5089">
        <f t="shared" si="70"/>
        <v>0</v>
      </c>
      <c r="L76" s="5089">
        <f t="shared" si="70"/>
        <v>0</v>
      </c>
      <c r="M76" s="5089">
        <f t="shared" si="70"/>
        <v>0</v>
      </c>
      <c r="N76" s="5089">
        <f t="shared" si="70"/>
        <v>0</v>
      </c>
      <c r="O76" s="5089">
        <f t="shared" si="70"/>
        <v>0</v>
      </c>
      <c r="P76" s="5089">
        <f t="shared" si="70"/>
        <v>0</v>
      </c>
      <c r="Q76" s="5089">
        <f t="shared" si="70"/>
        <v>0</v>
      </c>
      <c r="R76" s="5089">
        <f t="shared" si="70"/>
        <v>0</v>
      </c>
      <c r="S76" s="1475"/>
      <c r="T76" s="1476"/>
      <c r="U76" s="100"/>
      <c r="V76" s="100"/>
      <c r="W76" s="100"/>
    </row>
    <row r="77" spans="1:23" ht="15.05" customHeight="1" x14ac:dyDescent="0.2">
      <c r="A77" s="100"/>
      <c r="B77" s="5084"/>
      <c r="C77" s="5092"/>
      <c r="D77" s="5086"/>
      <c r="E77" s="5090">
        <v>1</v>
      </c>
      <c r="F77" s="5088"/>
      <c r="G77" s="5089">
        <f t="shared" ref="G77:R77" si="71">+F77</f>
        <v>0</v>
      </c>
      <c r="H77" s="5089">
        <f t="shared" si="71"/>
        <v>0</v>
      </c>
      <c r="I77" s="5089">
        <f t="shared" si="71"/>
        <v>0</v>
      </c>
      <c r="J77" s="5089">
        <f t="shared" si="64"/>
        <v>0</v>
      </c>
      <c r="K77" s="5089">
        <f t="shared" si="71"/>
        <v>0</v>
      </c>
      <c r="L77" s="5089">
        <f t="shared" si="71"/>
        <v>0</v>
      </c>
      <c r="M77" s="5089">
        <f t="shared" si="71"/>
        <v>0</v>
      </c>
      <c r="N77" s="5089">
        <f t="shared" si="71"/>
        <v>0</v>
      </c>
      <c r="O77" s="5089">
        <f t="shared" si="71"/>
        <v>0</v>
      </c>
      <c r="P77" s="5089">
        <f t="shared" si="71"/>
        <v>0</v>
      </c>
      <c r="Q77" s="5089">
        <f t="shared" si="71"/>
        <v>0</v>
      </c>
      <c r="R77" s="5089">
        <f t="shared" si="71"/>
        <v>0</v>
      </c>
      <c r="S77" s="1475"/>
      <c r="T77" s="1476"/>
      <c r="U77" s="100"/>
      <c r="V77" s="100"/>
      <c r="W77" s="100"/>
    </row>
    <row r="78" spans="1:23" ht="15.05" customHeight="1" x14ac:dyDescent="0.2">
      <c r="A78" s="100"/>
      <c r="B78" s="5091"/>
      <c r="C78" s="5092"/>
      <c r="D78" s="5086"/>
      <c r="E78" s="5090">
        <v>1</v>
      </c>
      <c r="F78" s="5088"/>
      <c r="G78" s="5089">
        <f t="shared" ref="G78:R78" si="72">+F78</f>
        <v>0</v>
      </c>
      <c r="H78" s="5089">
        <f t="shared" si="72"/>
        <v>0</v>
      </c>
      <c r="I78" s="5089">
        <f t="shared" si="72"/>
        <v>0</v>
      </c>
      <c r="J78" s="5089">
        <f t="shared" si="64"/>
        <v>0</v>
      </c>
      <c r="K78" s="5089">
        <f t="shared" si="72"/>
        <v>0</v>
      </c>
      <c r="L78" s="5089">
        <f t="shared" si="72"/>
        <v>0</v>
      </c>
      <c r="M78" s="5089">
        <f t="shared" si="72"/>
        <v>0</v>
      </c>
      <c r="N78" s="5089">
        <f t="shared" si="72"/>
        <v>0</v>
      </c>
      <c r="O78" s="5089">
        <f t="shared" si="72"/>
        <v>0</v>
      </c>
      <c r="P78" s="5089">
        <f t="shared" si="72"/>
        <v>0</v>
      </c>
      <c r="Q78" s="5089">
        <f t="shared" si="72"/>
        <v>0</v>
      </c>
      <c r="R78" s="5089">
        <f t="shared" si="72"/>
        <v>0</v>
      </c>
      <c r="S78" s="1475"/>
      <c r="T78" s="1476"/>
    </row>
    <row r="79" spans="1:23" ht="15.05" customHeight="1" x14ac:dyDescent="0.2">
      <c r="A79" s="100"/>
      <c r="B79" s="5091"/>
      <c r="C79" s="5092"/>
      <c r="D79" s="5086"/>
      <c r="E79" s="5090">
        <v>1</v>
      </c>
      <c r="F79" s="5088"/>
      <c r="G79" s="5089">
        <f t="shared" ref="G79:R79" si="73">+F79</f>
        <v>0</v>
      </c>
      <c r="H79" s="5089">
        <f t="shared" si="73"/>
        <v>0</v>
      </c>
      <c r="I79" s="5089">
        <f t="shared" si="73"/>
        <v>0</v>
      </c>
      <c r="J79" s="5089">
        <f t="shared" si="64"/>
        <v>0</v>
      </c>
      <c r="K79" s="5089">
        <f t="shared" si="73"/>
        <v>0</v>
      </c>
      <c r="L79" s="5089">
        <f t="shared" si="73"/>
        <v>0</v>
      </c>
      <c r="M79" s="5089">
        <f t="shared" si="73"/>
        <v>0</v>
      </c>
      <c r="N79" s="5089">
        <f t="shared" si="73"/>
        <v>0</v>
      </c>
      <c r="O79" s="5089">
        <f t="shared" si="73"/>
        <v>0</v>
      </c>
      <c r="P79" s="5089">
        <f t="shared" si="73"/>
        <v>0</v>
      </c>
      <c r="Q79" s="5089">
        <f t="shared" si="73"/>
        <v>0</v>
      </c>
      <c r="R79" s="5089">
        <f t="shared" si="73"/>
        <v>0</v>
      </c>
      <c r="S79" s="1475"/>
      <c r="T79" s="1476"/>
      <c r="U79" s="1438"/>
      <c r="V79" s="1438"/>
      <c r="W79" s="1438"/>
    </row>
    <row r="80" spans="1:23" ht="15.05" customHeight="1" x14ac:dyDescent="0.2">
      <c r="A80" s="100"/>
      <c r="B80" s="5091"/>
      <c r="C80" s="5092"/>
      <c r="D80" s="5086"/>
      <c r="E80" s="5090">
        <v>1</v>
      </c>
      <c r="F80" s="5088"/>
      <c r="G80" s="5089">
        <f t="shared" ref="G80:R80" si="74">+F80</f>
        <v>0</v>
      </c>
      <c r="H80" s="5089">
        <f t="shared" si="74"/>
        <v>0</v>
      </c>
      <c r="I80" s="5089">
        <f t="shared" si="74"/>
        <v>0</v>
      </c>
      <c r="J80" s="5089">
        <f t="shared" si="64"/>
        <v>0</v>
      </c>
      <c r="K80" s="5089">
        <f t="shared" si="74"/>
        <v>0</v>
      </c>
      <c r="L80" s="5089">
        <f t="shared" si="74"/>
        <v>0</v>
      </c>
      <c r="M80" s="5089">
        <f t="shared" si="74"/>
        <v>0</v>
      </c>
      <c r="N80" s="5089">
        <f t="shared" si="74"/>
        <v>0</v>
      </c>
      <c r="O80" s="5089">
        <f t="shared" si="74"/>
        <v>0</v>
      </c>
      <c r="P80" s="5089">
        <f t="shared" si="74"/>
        <v>0</v>
      </c>
      <c r="Q80" s="5089">
        <f t="shared" si="74"/>
        <v>0</v>
      </c>
      <c r="R80" s="5089">
        <f t="shared" si="74"/>
        <v>0</v>
      </c>
      <c r="S80" s="1475"/>
      <c r="T80" s="1476"/>
    </row>
    <row r="81" spans="1:23" ht="15.05" customHeight="1" x14ac:dyDescent="0.2">
      <c r="A81" s="100"/>
      <c r="B81" s="5091"/>
      <c r="C81" s="5092"/>
      <c r="D81" s="5086"/>
      <c r="E81" s="5090">
        <v>1</v>
      </c>
      <c r="F81" s="5088"/>
      <c r="G81" s="5089">
        <f t="shared" ref="G81:R81" si="75">+F81</f>
        <v>0</v>
      </c>
      <c r="H81" s="5089">
        <f t="shared" si="75"/>
        <v>0</v>
      </c>
      <c r="I81" s="5089">
        <f t="shared" si="75"/>
        <v>0</v>
      </c>
      <c r="J81" s="5089">
        <f t="shared" si="64"/>
        <v>0</v>
      </c>
      <c r="K81" s="5089">
        <f t="shared" si="75"/>
        <v>0</v>
      </c>
      <c r="L81" s="5089">
        <f t="shared" si="75"/>
        <v>0</v>
      </c>
      <c r="M81" s="5089">
        <f t="shared" si="75"/>
        <v>0</v>
      </c>
      <c r="N81" s="5089">
        <f t="shared" si="75"/>
        <v>0</v>
      </c>
      <c r="O81" s="5089">
        <f t="shared" si="75"/>
        <v>0</v>
      </c>
      <c r="P81" s="5089">
        <f t="shared" si="75"/>
        <v>0</v>
      </c>
      <c r="Q81" s="5089">
        <f t="shared" si="75"/>
        <v>0</v>
      </c>
      <c r="R81" s="5089">
        <f t="shared" si="75"/>
        <v>0</v>
      </c>
      <c r="S81" s="1475"/>
      <c r="T81" s="1476"/>
      <c r="U81" s="1427"/>
      <c r="V81" s="1427"/>
      <c r="W81" s="1427"/>
    </row>
    <row r="82" spans="1:23" ht="15.05" customHeight="1" x14ac:dyDescent="0.2">
      <c r="A82" s="100"/>
      <c r="B82" s="5091"/>
      <c r="C82" s="5092"/>
      <c r="D82" s="5086"/>
      <c r="E82" s="5090">
        <v>1</v>
      </c>
      <c r="F82" s="5088"/>
      <c r="G82" s="5089">
        <f t="shared" ref="G82:R82" si="76">+F82</f>
        <v>0</v>
      </c>
      <c r="H82" s="5089">
        <f t="shared" si="76"/>
        <v>0</v>
      </c>
      <c r="I82" s="5089">
        <f t="shared" si="76"/>
        <v>0</v>
      </c>
      <c r="J82" s="5089">
        <f t="shared" si="64"/>
        <v>0</v>
      </c>
      <c r="K82" s="5089">
        <f t="shared" si="76"/>
        <v>0</v>
      </c>
      <c r="L82" s="5089">
        <f t="shared" si="76"/>
        <v>0</v>
      </c>
      <c r="M82" s="5089">
        <f t="shared" si="76"/>
        <v>0</v>
      </c>
      <c r="N82" s="5089">
        <f t="shared" si="76"/>
        <v>0</v>
      </c>
      <c r="O82" s="5089">
        <f t="shared" si="76"/>
        <v>0</v>
      </c>
      <c r="P82" s="5089">
        <f t="shared" si="76"/>
        <v>0</v>
      </c>
      <c r="Q82" s="5089">
        <f t="shared" si="76"/>
        <v>0</v>
      </c>
      <c r="R82" s="5089">
        <f t="shared" si="76"/>
        <v>0</v>
      </c>
      <c r="S82" s="1475"/>
      <c r="T82" s="1476"/>
    </row>
    <row r="83" spans="1:23" ht="15.05" customHeight="1" x14ac:dyDescent="0.2">
      <c r="A83" s="100"/>
      <c r="B83" s="5091"/>
      <c r="C83" s="5092"/>
      <c r="D83" s="5086"/>
      <c r="E83" s="5090">
        <v>1</v>
      </c>
      <c r="F83" s="5088"/>
      <c r="G83" s="5089">
        <f t="shared" ref="G83:R83" si="77">+F83</f>
        <v>0</v>
      </c>
      <c r="H83" s="5089">
        <f t="shared" si="77"/>
        <v>0</v>
      </c>
      <c r="I83" s="5089">
        <f t="shared" si="77"/>
        <v>0</v>
      </c>
      <c r="J83" s="5089">
        <f t="shared" si="64"/>
        <v>0</v>
      </c>
      <c r="K83" s="5089">
        <f t="shared" si="77"/>
        <v>0</v>
      </c>
      <c r="L83" s="5089">
        <f t="shared" si="77"/>
        <v>0</v>
      </c>
      <c r="M83" s="5089">
        <f t="shared" si="77"/>
        <v>0</v>
      </c>
      <c r="N83" s="5089">
        <f t="shared" si="77"/>
        <v>0</v>
      </c>
      <c r="O83" s="5089">
        <f t="shared" si="77"/>
        <v>0</v>
      </c>
      <c r="P83" s="5089">
        <f t="shared" si="77"/>
        <v>0</v>
      </c>
      <c r="Q83" s="5089">
        <f t="shared" si="77"/>
        <v>0</v>
      </c>
      <c r="R83" s="5089">
        <f t="shared" si="77"/>
        <v>0</v>
      </c>
      <c r="S83" s="1475"/>
      <c r="T83" s="1476"/>
    </row>
    <row r="84" spans="1:23" ht="15.05" customHeight="1" x14ac:dyDescent="0.2">
      <c r="A84" s="100"/>
      <c r="B84" s="5091"/>
      <c r="C84" s="5092"/>
      <c r="D84" s="5086"/>
      <c r="E84" s="5090">
        <v>1</v>
      </c>
      <c r="F84" s="5088"/>
      <c r="G84" s="5089">
        <f t="shared" ref="G84:R84" si="78">+F84</f>
        <v>0</v>
      </c>
      <c r="H84" s="5089">
        <f t="shared" si="78"/>
        <v>0</v>
      </c>
      <c r="I84" s="5089">
        <f t="shared" si="78"/>
        <v>0</v>
      </c>
      <c r="J84" s="5089">
        <f t="shared" si="64"/>
        <v>0</v>
      </c>
      <c r="K84" s="5089">
        <f t="shared" si="78"/>
        <v>0</v>
      </c>
      <c r="L84" s="5089">
        <f t="shared" si="78"/>
        <v>0</v>
      </c>
      <c r="M84" s="5089">
        <f t="shared" si="78"/>
        <v>0</v>
      </c>
      <c r="N84" s="5089">
        <f t="shared" si="78"/>
        <v>0</v>
      </c>
      <c r="O84" s="5089">
        <f t="shared" si="78"/>
        <v>0</v>
      </c>
      <c r="P84" s="5089">
        <f t="shared" si="78"/>
        <v>0</v>
      </c>
      <c r="Q84" s="5089">
        <f t="shared" si="78"/>
        <v>0</v>
      </c>
      <c r="R84" s="5089">
        <f t="shared" si="78"/>
        <v>0</v>
      </c>
      <c r="S84" s="1475"/>
      <c r="T84" s="1476"/>
      <c r="U84" s="1438"/>
      <c r="V84" s="1438"/>
      <c r="W84" s="1438"/>
    </row>
    <row r="85" spans="1:23" ht="15.05" customHeight="1" x14ac:dyDescent="0.2">
      <c r="A85" s="100"/>
      <c r="B85" s="5091"/>
      <c r="C85" s="5092"/>
      <c r="D85" s="5086"/>
      <c r="E85" s="5090">
        <v>1</v>
      </c>
      <c r="F85" s="5088"/>
      <c r="G85" s="5089">
        <f t="shared" ref="G85:R85" si="79">+F85</f>
        <v>0</v>
      </c>
      <c r="H85" s="5089">
        <f t="shared" si="79"/>
        <v>0</v>
      </c>
      <c r="I85" s="5089">
        <f t="shared" si="79"/>
        <v>0</v>
      </c>
      <c r="J85" s="5089">
        <f t="shared" si="64"/>
        <v>0</v>
      </c>
      <c r="K85" s="5089">
        <f t="shared" si="79"/>
        <v>0</v>
      </c>
      <c r="L85" s="5089">
        <f t="shared" si="79"/>
        <v>0</v>
      </c>
      <c r="M85" s="5089">
        <f t="shared" si="79"/>
        <v>0</v>
      </c>
      <c r="N85" s="5089">
        <f t="shared" si="79"/>
        <v>0</v>
      </c>
      <c r="O85" s="5089">
        <f t="shared" si="79"/>
        <v>0</v>
      </c>
      <c r="P85" s="5089">
        <f t="shared" si="79"/>
        <v>0</v>
      </c>
      <c r="Q85" s="5089">
        <f t="shared" si="79"/>
        <v>0</v>
      </c>
      <c r="R85" s="5089">
        <f t="shared" si="79"/>
        <v>0</v>
      </c>
      <c r="S85" s="1475"/>
      <c r="T85" s="1476"/>
      <c r="U85" s="1438"/>
      <c r="V85" s="1438"/>
      <c r="W85" s="1438"/>
    </row>
    <row r="86" spans="1:23" ht="15.05" customHeight="1" x14ac:dyDescent="0.2">
      <c r="A86" s="100"/>
      <c r="B86" s="5091"/>
      <c r="C86" s="5092"/>
      <c r="D86" s="5086"/>
      <c r="E86" s="5090">
        <v>1</v>
      </c>
      <c r="F86" s="5088"/>
      <c r="G86" s="5089">
        <f t="shared" ref="G86:G98" si="80">+F86</f>
        <v>0</v>
      </c>
      <c r="H86" s="5089">
        <f t="shared" ref="H86:R88" si="81">+G86</f>
        <v>0</v>
      </c>
      <c r="I86" s="5089">
        <f t="shared" si="81"/>
        <v>0</v>
      </c>
      <c r="J86" s="5089">
        <f t="shared" si="64"/>
        <v>0</v>
      </c>
      <c r="K86" s="5089">
        <f t="shared" si="81"/>
        <v>0</v>
      </c>
      <c r="L86" s="5089">
        <f t="shared" si="81"/>
        <v>0</v>
      </c>
      <c r="M86" s="5089">
        <f t="shared" si="81"/>
        <v>0</v>
      </c>
      <c r="N86" s="5089">
        <f t="shared" si="81"/>
        <v>0</v>
      </c>
      <c r="O86" s="5089">
        <f t="shared" si="81"/>
        <v>0</v>
      </c>
      <c r="P86" s="5089">
        <f t="shared" si="81"/>
        <v>0</v>
      </c>
      <c r="Q86" s="5089">
        <f t="shared" si="81"/>
        <v>0</v>
      </c>
      <c r="R86" s="5089">
        <f t="shared" si="81"/>
        <v>0</v>
      </c>
      <c r="S86" s="1475"/>
      <c r="T86" s="1476"/>
      <c r="U86" s="100"/>
      <c r="V86" s="100"/>
      <c r="W86" s="100"/>
    </row>
    <row r="87" spans="1:23" ht="15.05" customHeight="1" x14ac:dyDescent="0.2">
      <c r="A87" s="100"/>
      <c r="B87" s="5091"/>
      <c r="C87" s="5092"/>
      <c r="D87" s="5086"/>
      <c r="E87" s="5090">
        <v>1</v>
      </c>
      <c r="F87" s="5088"/>
      <c r="G87" s="5089">
        <f t="shared" si="80"/>
        <v>0</v>
      </c>
      <c r="H87" s="5089">
        <f t="shared" si="81"/>
        <v>0</v>
      </c>
      <c r="I87" s="5089">
        <f t="shared" si="81"/>
        <v>0</v>
      </c>
      <c r="J87" s="5089">
        <f t="shared" si="64"/>
        <v>0</v>
      </c>
      <c r="K87" s="5089">
        <f t="shared" si="81"/>
        <v>0</v>
      </c>
      <c r="L87" s="5089">
        <f t="shared" si="81"/>
        <v>0</v>
      </c>
      <c r="M87" s="5089">
        <f t="shared" si="81"/>
        <v>0</v>
      </c>
      <c r="N87" s="5089">
        <f t="shared" si="81"/>
        <v>0</v>
      </c>
      <c r="O87" s="5089">
        <f>+N87</f>
        <v>0</v>
      </c>
      <c r="P87" s="5089">
        <f>+O87</f>
        <v>0</v>
      </c>
      <c r="Q87" s="5089">
        <f>+P87</f>
        <v>0</v>
      </c>
      <c r="R87" s="5089">
        <f>+Q87</f>
        <v>0</v>
      </c>
      <c r="S87" s="1475"/>
      <c r="T87" s="1476"/>
      <c r="U87" s="1427"/>
      <c r="V87" s="1427"/>
      <c r="W87" s="1427"/>
    </row>
    <row r="88" spans="1:23" ht="15.05" customHeight="1" x14ac:dyDescent="0.2">
      <c r="A88" s="100"/>
      <c r="B88" s="5091"/>
      <c r="C88" s="5092"/>
      <c r="D88" s="5086"/>
      <c r="E88" s="5090">
        <v>1</v>
      </c>
      <c r="F88" s="5088"/>
      <c r="G88" s="5089">
        <f t="shared" si="80"/>
        <v>0</v>
      </c>
      <c r="H88" s="5089">
        <f t="shared" si="81"/>
        <v>0</v>
      </c>
      <c r="I88" s="5089">
        <f t="shared" si="81"/>
        <v>0</v>
      </c>
      <c r="J88" s="5089">
        <f t="shared" si="64"/>
        <v>0</v>
      </c>
      <c r="K88" s="5089">
        <f t="shared" si="81"/>
        <v>0</v>
      </c>
      <c r="L88" s="5089">
        <f t="shared" si="81"/>
        <v>0</v>
      </c>
      <c r="M88" s="5089">
        <f t="shared" si="81"/>
        <v>0</v>
      </c>
      <c r="N88" s="5089">
        <f t="shared" si="81"/>
        <v>0</v>
      </c>
      <c r="O88" s="5089">
        <f t="shared" si="81"/>
        <v>0</v>
      </c>
      <c r="P88" s="5089">
        <f t="shared" si="81"/>
        <v>0</v>
      </c>
      <c r="Q88" s="5089">
        <f t="shared" si="81"/>
        <v>0</v>
      </c>
      <c r="R88" s="5089">
        <f t="shared" si="81"/>
        <v>0</v>
      </c>
      <c r="S88" s="1475"/>
      <c r="T88" s="1476"/>
      <c r="U88" s="1427"/>
      <c r="V88" s="1427"/>
      <c r="W88" s="1427"/>
    </row>
    <row r="89" spans="1:23" ht="15.05" customHeight="1" x14ac:dyDescent="0.2">
      <c r="A89" s="100"/>
      <c r="B89" s="5091"/>
      <c r="C89" s="5092"/>
      <c r="D89" s="5086"/>
      <c r="E89" s="5090">
        <v>1</v>
      </c>
      <c r="F89" s="5088"/>
      <c r="G89" s="5089">
        <f t="shared" si="80"/>
        <v>0</v>
      </c>
      <c r="H89" s="5089">
        <f t="shared" ref="H89:R99" si="82">+G89</f>
        <v>0</v>
      </c>
      <c r="I89" s="5089">
        <f t="shared" si="82"/>
        <v>0</v>
      </c>
      <c r="J89" s="5089">
        <f t="shared" si="64"/>
        <v>0</v>
      </c>
      <c r="K89" s="5089">
        <f t="shared" si="82"/>
        <v>0</v>
      </c>
      <c r="L89" s="5089">
        <f t="shared" si="82"/>
        <v>0</v>
      </c>
      <c r="M89" s="5089">
        <f t="shared" si="82"/>
        <v>0</v>
      </c>
      <c r="N89" s="5089">
        <f t="shared" si="82"/>
        <v>0</v>
      </c>
      <c r="O89" s="5089">
        <f t="shared" si="82"/>
        <v>0</v>
      </c>
      <c r="P89" s="5089">
        <f t="shared" si="82"/>
        <v>0</v>
      </c>
      <c r="Q89" s="5089">
        <f t="shared" si="82"/>
        <v>0</v>
      </c>
      <c r="R89" s="5089">
        <f t="shared" si="82"/>
        <v>0</v>
      </c>
      <c r="S89" s="1475"/>
      <c r="T89" s="1476"/>
    </row>
    <row r="90" spans="1:23" ht="15.05" customHeight="1" x14ac:dyDescent="0.2">
      <c r="A90" s="100"/>
      <c r="B90" s="5091"/>
      <c r="C90" s="5092"/>
      <c r="D90" s="5086"/>
      <c r="E90" s="5090">
        <v>1</v>
      </c>
      <c r="F90" s="5088"/>
      <c r="G90" s="5089">
        <f t="shared" si="80"/>
        <v>0</v>
      </c>
      <c r="H90" s="5089">
        <f t="shared" si="82"/>
        <v>0</v>
      </c>
      <c r="I90" s="5089">
        <f t="shared" si="82"/>
        <v>0</v>
      </c>
      <c r="J90" s="5089">
        <f t="shared" si="64"/>
        <v>0</v>
      </c>
      <c r="K90" s="5089">
        <f t="shared" si="82"/>
        <v>0</v>
      </c>
      <c r="L90" s="5089">
        <f t="shared" si="82"/>
        <v>0</v>
      </c>
      <c r="M90" s="5089">
        <f t="shared" si="82"/>
        <v>0</v>
      </c>
      <c r="N90" s="5089">
        <f t="shared" si="82"/>
        <v>0</v>
      </c>
      <c r="O90" s="5089">
        <f t="shared" si="82"/>
        <v>0</v>
      </c>
      <c r="P90" s="5089">
        <f t="shared" si="82"/>
        <v>0</v>
      </c>
      <c r="Q90" s="5089">
        <f t="shared" si="82"/>
        <v>0</v>
      </c>
      <c r="R90" s="5089">
        <f t="shared" si="82"/>
        <v>0</v>
      </c>
      <c r="S90" s="1475"/>
      <c r="T90" s="1476"/>
    </row>
    <row r="91" spans="1:23" ht="15.05" customHeight="1" x14ac:dyDescent="0.2">
      <c r="A91" s="100"/>
      <c r="B91" s="5091"/>
      <c r="C91" s="5092"/>
      <c r="D91" s="5086"/>
      <c r="E91" s="5090">
        <v>1</v>
      </c>
      <c r="F91" s="5088"/>
      <c r="G91" s="5089">
        <f t="shared" si="80"/>
        <v>0</v>
      </c>
      <c r="H91" s="5089">
        <f t="shared" si="82"/>
        <v>0</v>
      </c>
      <c r="I91" s="5089">
        <f t="shared" si="82"/>
        <v>0</v>
      </c>
      <c r="J91" s="5089">
        <f t="shared" si="64"/>
        <v>0</v>
      </c>
      <c r="K91" s="5089">
        <f t="shared" si="82"/>
        <v>0</v>
      </c>
      <c r="L91" s="5089">
        <f t="shared" si="82"/>
        <v>0</v>
      </c>
      <c r="M91" s="5089">
        <f t="shared" si="82"/>
        <v>0</v>
      </c>
      <c r="N91" s="5089">
        <f t="shared" si="82"/>
        <v>0</v>
      </c>
      <c r="O91" s="5089">
        <f t="shared" si="82"/>
        <v>0</v>
      </c>
      <c r="P91" s="5089">
        <f t="shared" si="82"/>
        <v>0</v>
      </c>
      <c r="Q91" s="5089">
        <f t="shared" si="82"/>
        <v>0</v>
      </c>
      <c r="R91" s="5089">
        <f t="shared" si="82"/>
        <v>0</v>
      </c>
      <c r="S91" s="1475"/>
      <c r="T91" s="1476"/>
    </row>
    <row r="92" spans="1:23" ht="15.05" customHeight="1" x14ac:dyDescent="0.2">
      <c r="A92" s="100"/>
      <c r="B92" s="5091"/>
      <c r="C92" s="5092"/>
      <c r="D92" s="5086"/>
      <c r="E92" s="5090">
        <v>1</v>
      </c>
      <c r="F92" s="5088"/>
      <c r="G92" s="5089">
        <f t="shared" si="80"/>
        <v>0</v>
      </c>
      <c r="H92" s="5089">
        <f t="shared" si="82"/>
        <v>0</v>
      </c>
      <c r="I92" s="5089">
        <f t="shared" si="82"/>
        <v>0</v>
      </c>
      <c r="J92" s="5089">
        <f t="shared" si="64"/>
        <v>0</v>
      </c>
      <c r="K92" s="5089">
        <f t="shared" si="82"/>
        <v>0</v>
      </c>
      <c r="L92" s="5089">
        <f t="shared" si="82"/>
        <v>0</v>
      </c>
      <c r="M92" s="5089">
        <f t="shared" si="82"/>
        <v>0</v>
      </c>
      <c r="N92" s="5089">
        <f t="shared" si="82"/>
        <v>0</v>
      </c>
      <c r="O92" s="5089">
        <f t="shared" si="82"/>
        <v>0</v>
      </c>
      <c r="P92" s="5089">
        <f t="shared" si="82"/>
        <v>0</v>
      </c>
      <c r="Q92" s="5089">
        <f t="shared" si="82"/>
        <v>0</v>
      </c>
      <c r="R92" s="5089">
        <f t="shared" si="82"/>
        <v>0</v>
      </c>
      <c r="S92" s="1475"/>
      <c r="T92" s="1476"/>
    </row>
    <row r="93" spans="1:23" ht="15.05" customHeight="1" x14ac:dyDescent="0.2">
      <c r="A93" s="100"/>
      <c r="B93" s="5091"/>
      <c r="C93" s="5092"/>
      <c r="D93" s="5086"/>
      <c r="E93" s="5090">
        <v>1</v>
      </c>
      <c r="F93" s="5088"/>
      <c r="G93" s="5089">
        <f t="shared" si="80"/>
        <v>0</v>
      </c>
      <c r="H93" s="5089">
        <f t="shared" si="82"/>
        <v>0</v>
      </c>
      <c r="I93" s="5089">
        <f t="shared" si="82"/>
        <v>0</v>
      </c>
      <c r="J93" s="5089">
        <f t="shared" si="64"/>
        <v>0</v>
      </c>
      <c r="K93" s="5089">
        <f t="shared" si="82"/>
        <v>0</v>
      </c>
      <c r="L93" s="5089">
        <f t="shared" si="82"/>
        <v>0</v>
      </c>
      <c r="M93" s="5089">
        <f t="shared" si="82"/>
        <v>0</v>
      </c>
      <c r="N93" s="5089">
        <f t="shared" si="82"/>
        <v>0</v>
      </c>
      <c r="O93" s="5089">
        <f t="shared" si="82"/>
        <v>0</v>
      </c>
      <c r="P93" s="5089">
        <f t="shared" si="82"/>
        <v>0</v>
      </c>
      <c r="Q93" s="5089">
        <f t="shared" si="82"/>
        <v>0</v>
      </c>
      <c r="R93" s="5089">
        <f t="shared" si="82"/>
        <v>0</v>
      </c>
      <c r="S93" s="1475"/>
      <c r="T93" s="1476"/>
    </row>
    <row r="94" spans="1:23" ht="15.05" customHeight="1" x14ac:dyDescent="0.2">
      <c r="A94" s="100"/>
      <c r="B94" s="5091"/>
      <c r="C94" s="5092"/>
      <c r="D94" s="5086"/>
      <c r="E94" s="5090">
        <v>1</v>
      </c>
      <c r="F94" s="5088"/>
      <c r="G94" s="5089">
        <f t="shared" si="80"/>
        <v>0</v>
      </c>
      <c r="H94" s="5089">
        <f t="shared" si="82"/>
        <v>0</v>
      </c>
      <c r="I94" s="5089">
        <f t="shared" si="82"/>
        <v>0</v>
      </c>
      <c r="J94" s="5089">
        <f t="shared" si="64"/>
        <v>0</v>
      </c>
      <c r="K94" s="5089">
        <f t="shared" si="82"/>
        <v>0</v>
      </c>
      <c r="L94" s="5089">
        <f t="shared" si="82"/>
        <v>0</v>
      </c>
      <c r="M94" s="5089">
        <f t="shared" si="82"/>
        <v>0</v>
      </c>
      <c r="N94" s="5089">
        <f t="shared" si="82"/>
        <v>0</v>
      </c>
      <c r="O94" s="5089">
        <f t="shared" si="82"/>
        <v>0</v>
      </c>
      <c r="P94" s="5089">
        <f t="shared" si="82"/>
        <v>0</v>
      </c>
      <c r="Q94" s="5089">
        <f t="shared" si="82"/>
        <v>0</v>
      </c>
      <c r="R94" s="5089">
        <f t="shared" si="82"/>
        <v>0</v>
      </c>
      <c r="S94" s="1475"/>
      <c r="T94" s="1476"/>
    </row>
    <row r="95" spans="1:23" ht="15.05" customHeight="1" x14ac:dyDescent="0.2">
      <c r="A95" s="100"/>
      <c r="B95" s="5091"/>
      <c r="C95" s="5092"/>
      <c r="D95" s="5086"/>
      <c r="E95" s="5090">
        <v>1</v>
      </c>
      <c r="F95" s="5088"/>
      <c r="G95" s="5089">
        <f t="shared" si="80"/>
        <v>0</v>
      </c>
      <c r="H95" s="5089">
        <f t="shared" si="82"/>
        <v>0</v>
      </c>
      <c r="I95" s="5089">
        <f t="shared" si="82"/>
        <v>0</v>
      </c>
      <c r="J95" s="5089">
        <f t="shared" si="64"/>
        <v>0</v>
      </c>
      <c r="K95" s="5089">
        <f t="shared" si="82"/>
        <v>0</v>
      </c>
      <c r="L95" s="5089">
        <f t="shared" si="82"/>
        <v>0</v>
      </c>
      <c r="M95" s="5089">
        <f t="shared" si="82"/>
        <v>0</v>
      </c>
      <c r="N95" s="5089">
        <f t="shared" si="82"/>
        <v>0</v>
      </c>
      <c r="O95" s="5089">
        <f t="shared" si="82"/>
        <v>0</v>
      </c>
      <c r="P95" s="5089">
        <f t="shared" si="82"/>
        <v>0</v>
      </c>
      <c r="Q95" s="5089">
        <f t="shared" si="82"/>
        <v>0</v>
      </c>
      <c r="R95" s="5089">
        <f t="shared" si="82"/>
        <v>0</v>
      </c>
      <c r="S95" s="1475"/>
      <c r="T95" s="1476"/>
    </row>
    <row r="96" spans="1:23" ht="15.05" customHeight="1" x14ac:dyDescent="0.2">
      <c r="A96" s="100"/>
      <c r="B96" s="5091"/>
      <c r="C96" s="5092"/>
      <c r="D96" s="5086"/>
      <c r="E96" s="5090">
        <v>1</v>
      </c>
      <c r="F96" s="5088"/>
      <c r="G96" s="5089">
        <f t="shared" si="80"/>
        <v>0</v>
      </c>
      <c r="H96" s="5089">
        <f t="shared" si="82"/>
        <v>0</v>
      </c>
      <c r="I96" s="5089">
        <f t="shared" si="82"/>
        <v>0</v>
      </c>
      <c r="J96" s="5089">
        <f t="shared" si="64"/>
        <v>0</v>
      </c>
      <c r="K96" s="5089">
        <f t="shared" si="82"/>
        <v>0</v>
      </c>
      <c r="L96" s="5089">
        <f t="shared" si="82"/>
        <v>0</v>
      </c>
      <c r="M96" s="5089">
        <f t="shared" si="82"/>
        <v>0</v>
      </c>
      <c r="N96" s="5089">
        <f t="shared" si="82"/>
        <v>0</v>
      </c>
      <c r="O96" s="5089">
        <f t="shared" si="82"/>
        <v>0</v>
      </c>
      <c r="P96" s="5089">
        <f t="shared" si="82"/>
        <v>0</v>
      </c>
      <c r="Q96" s="5089">
        <f t="shared" si="82"/>
        <v>0</v>
      </c>
      <c r="R96" s="5089">
        <f t="shared" si="82"/>
        <v>0</v>
      </c>
      <c r="S96" s="1475"/>
      <c r="T96" s="1476"/>
    </row>
    <row r="97" spans="1:136" ht="15.05" customHeight="1" x14ac:dyDescent="0.2">
      <c r="A97" s="100"/>
      <c r="B97" s="5091"/>
      <c r="C97" s="5092"/>
      <c r="D97" s="5086"/>
      <c r="E97" s="5090">
        <v>1</v>
      </c>
      <c r="F97" s="5088"/>
      <c r="G97" s="5089">
        <f t="shared" si="80"/>
        <v>0</v>
      </c>
      <c r="H97" s="5089">
        <f t="shared" si="82"/>
        <v>0</v>
      </c>
      <c r="I97" s="5089">
        <f t="shared" si="82"/>
        <v>0</v>
      </c>
      <c r="J97" s="5089">
        <f t="shared" si="64"/>
        <v>0</v>
      </c>
      <c r="K97" s="5089">
        <f t="shared" si="82"/>
        <v>0</v>
      </c>
      <c r="L97" s="5089">
        <f t="shared" si="82"/>
        <v>0</v>
      </c>
      <c r="M97" s="5089">
        <f t="shared" si="82"/>
        <v>0</v>
      </c>
      <c r="N97" s="5089">
        <f t="shared" si="82"/>
        <v>0</v>
      </c>
      <c r="O97" s="5089">
        <f t="shared" si="82"/>
        <v>0</v>
      </c>
      <c r="P97" s="5089">
        <f t="shared" si="82"/>
        <v>0</v>
      </c>
      <c r="Q97" s="5089">
        <f t="shared" si="82"/>
        <v>0</v>
      </c>
      <c r="R97" s="5089">
        <f t="shared" si="82"/>
        <v>0</v>
      </c>
      <c r="S97" s="1475"/>
      <c r="T97" s="1476"/>
    </row>
    <row r="98" spans="1:136" ht="15.05" customHeight="1" thickBot="1" x14ac:dyDescent="0.25">
      <c r="A98" s="100"/>
      <c r="B98" s="5093"/>
      <c r="C98" s="5094"/>
      <c r="D98" s="5086"/>
      <c r="E98" s="5095">
        <v>1</v>
      </c>
      <c r="F98" s="5088"/>
      <c r="G98" s="5089">
        <f t="shared" si="80"/>
        <v>0</v>
      </c>
      <c r="H98" s="5089">
        <f t="shared" si="82"/>
        <v>0</v>
      </c>
      <c r="I98" s="5089">
        <f t="shared" si="82"/>
        <v>0</v>
      </c>
      <c r="J98" s="5089">
        <f t="shared" si="64"/>
        <v>0</v>
      </c>
      <c r="K98" s="5089">
        <f t="shared" si="82"/>
        <v>0</v>
      </c>
      <c r="L98" s="5089">
        <f t="shared" si="82"/>
        <v>0</v>
      </c>
      <c r="M98" s="5089">
        <f t="shared" si="82"/>
        <v>0</v>
      </c>
      <c r="N98" s="5089">
        <f t="shared" si="82"/>
        <v>0</v>
      </c>
      <c r="O98" s="5089">
        <f t="shared" si="82"/>
        <v>0</v>
      </c>
      <c r="P98" s="5089">
        <f t="shared" si="82"/>
        <v>0</v>
      </c>
      <c r="Q98" s="5089">
        <f t="shared" si="82"/>
        <v>0</v>
      </c>
      <c r="R98" s="5089">
        <f t="shared" si="82"/>
        <v>0</v>
      </c>
      <c r="S98" s="1475"/>
      <c r="T98" s="1476"/>
    </row>
    <row r="99" spans="1:136" ht="15.05" thickBot="1" x14ac:dyDescent="0.25">
      <c r="A99" s="100"/>
      <c r="B99" s="661" t="s">
        <v>11</v>
      </c>
      <c r="C99" s="680" t="e">
        <f>ROUND(AVERAGE(G133:R133),1)</f>
        <v>#DIV/0!</v>
      </c>
      <c r="D99" s="115"/>
      <c r="E99" s="662"/>
      <c r="F99" s="662" t="s">
        <v>1036</v>
      </c>
      <c r="G99" s="5096">
        <v>1</v>
      </c>
      <c r="H99" s="5096">
        <f>+G99</f>
        <v>1</v>
      </c>
      <c r="I99" s="5096">
        <f t="shared" si="82"/>
        <v>1</v>
      </c>
      <c r="J99" s="5096">
        <f t="shared" si="64"/>
        <v>1</v>
      </c>
      <c r="K99" s="5096">
        <f t="shared" si="82"/>
        <v>1</v>
      </c>
      <c r="L99" s="5096">
        <f t="shared" si="82"/>
        <v>1</v>
      </c>
      <c r="M99" s="5096">
        <f t="shared" si="82"/>
        <v>1</v>
      </c>
      <c r="N99" s="5096">
        <f t="shared" si="82"/>
        <v>1</v>
      </c>
      <c r="O99" s="5096">
        <f t="shared" si="82"/>
        <v>1</v>
      </c>
      <c r="P99" s="5096">
        <f t="shared" si="82"/>
        <v>1</v>
      </c>
      <c r="Q99" s="5096">
        <f t="shared" si="82"/>
        <v>1</v>
      </c>
      <c r="R99" s="5096">
        <f t="shared" si="82"/>
        <v>1</v>
      </c>
      <c r="S99" s="75"/>
      <c r="T99" s="110"/>
      <c r="U99" s="107"/>
    </row>
    <row r="100" spans="1:136" ht="15.05" thickBot="1" x14ac:dyDescent="0.25">
      <c r="A100" s="109"/>
      <c r="B100" s="19" t="s">
        <v>15</v>
      </c>
      <c r="C100" s="681">
        <f>General!C11</f>
        <v>0</v>
      </c>
      <c r="D100" s="1353" t="e">
        <f>IF(C100&lt;&gt;C99,"ERROR: la superficie útil de la celda  D99 debe coincidir con la de celda D100. Caso contrario revisar superficie potreros del cuadro 30","")</f>
        <v>#DIV/0!</v>
      </c>
      <c r="O100" s="1427"/>
      <c r="P100" s="1427"/>
      <c r="Q100" s="1427"/>
      <c r="R100" s="1427"/>
      <c r="AM100" s="5"/>
      <c r="AN100" s="5"/>
      <c r="AO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row>
    <row r="101" spans="1:136" x14ac:dyDescent="0.2">
      <c r="A101" s="100"/>
      <c r="D101" s="1477"/>
      <c r="O101" s="1427"/>
      <c r="P101" s="1427"/>
      <c r="Q101" s="1427"/>
      <c r="R101" s="1427"/>
    </row>
    <row r="102" spans="1:136" ht="15.05" thickBot="1" x14ac:dyDescent="0.35">
      <c r="A102" s="6"/>
      <c r="C102" s="1440"/>
      <c r="P102" s="6"/>
      <c r="Q102" s="6"/>
    </row>
    <row r="103" spans="1:136" ht="15.05" thickBot="1" x14ac:dyDescent="0.25">
      <c r="A103" s="1344">
        <f>A5+1</f>
        <v>30</v>
      </c>
      <c r="B103" s="22"/>
      <c r="C103" s="24"/>
      <c r="D103" s="7" t="s">
        <v>1518</v>
      </c>
      <c r="E103" s="8"/>
      <c r="F103" s="8"/>
      <c r="G103" s="8"/>
      <c r="H103" s="25"/>
      <c r="I103" s="25"/>
      <c r="J103" s="25"/>
      <c r="K103" s="25" t="s">
        <v>1203</v>
      </c>
      <c r="L103" s="25"/>
      <c r="M103" s="25"/>
      <c r="N103" s="25"/>
      <c r="O103" s="25"/>
      <c r="P103" s="25"/>
      <c r="Q103" s="26"/>
      <c r="R103" s="26"/>
      <c r="S103" s="27"/>
      <c r="T103" s="106"/>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row>
    <row r="104" spans="1:136" x14ac:dyDescent="0.2">
      <c r="A104" s="6"/>
      <c r="D104" s="660" t="s">
        <v>912</v>
      </c>
      <c r="E104" s="28"/>
      <c r="F104" s="28"/>
      <c r="G104" s="682" t="str">
        <f t="shared" ref="G104:R104" si="83">+G8</f>
        <v>Ene</v>
      </c>
      <c r="H104" s="682" t="str">
        <f t="shared" si="83"/>
        <v>Feb</v>
      </c>
      <c r="I104" s="682" t="str">
        <f t="shared" si="83"/>
        <v>Mar</v>
      </c>
      <c r="J104" s="682" t="str">
        <f t="shared" si="83"/>
        <v>Abr</v>
      </c>
      <c r="K104" s="682" t="str">
        <f t="shared" si="83"/>
        <v>May</v>
      </c>
      <c r="L104" s="682" t="str">
        <f t="shared" si="83"/>
        <v>Jun</v>
      </c>
      <c r="M104" s="682" t="str">
        <f t="shared" si="83"/>
        <v>Jul</v>
      </c>
      <c r="N104" s="682" t="str">
        <f t="shared" si="83"/>
        <v>Ago</v>
      </c>
      <c r="O104" s="682" t="str">
        <f t="shared" si="83"/>
        <v>Set</v>
      </c>
      <c r="P104" s="682" t="str">
        <f t="shared" si="83"/>
        <v>Oct</v>
      </c>
      <c r="Q104" s="682" t="str">
        <f t="shared" si="83"/>
        <v>Nov</v>
      </c>
      <c r="R104" s="682" t="str">
        <f t="shared" si="83"/>
        <v>Dic</v>
      </c>
      <c r="S104" s="29" t="s">
        <v>979</v>
      </c>
      <c r="T104" s="106"/>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row>
    <row r="105" spans="1:136" x14ac:dyDescent="0.2">
      <c r="A105" s="6"/>
      <c r="D105" s="30" t="s">
        <v>1120</v>
      </c>
      <c r="E105" s="23"/>
      <c r="F105" s="31"/>
      <c r="G105" s="32">
        <f>S736</f>
        <v>0</v>
      </c>
      <c r="H105" s="32">
        <f>T736</f>
        <v>0</v>
      </c>
      <c r="I105" s="32">
        <f>U736</f>
        <v>0</v>
      </c>
      <c r="J105" s="32">
        <f t="shared" ref="J105:R105" si="84">V736</f>
        <v>0</v>
      </c>
      <c r="K105" s="32">
        <f t="shared" si="84"/>
        <v>0</v>
      </c>
      <c r="L105" s="32">
        <f t="shared" si="84"/>
        <v>0</v>
      </c>
      <c r="M105" s="32">
        <f t="shared" si="84"/>
        <v>0</v>
      </c>
      <c r="N105" s="32">
        <f t="shared" si="84"/>
        <v>0</v>
      </c>
      <c r="O105" s="32">
        <f t="shared" si="84"/>
        <v>0</v>
      </c>
      <c r="P105" s="32">
        <f t="shared" si="84"/>
        <v>0</v>
      </c>
      <c r="Q105" s="32">
        <f t="shared" si="84"/>
        <v>0</v>
      </c>
      <c r="R105" s="32">
        <f t="shared" si="84"/>
        <v>0</v>
      </c>
      <c r="S105" s="33">
        <f>SUM(G105:R105)</f>
        <v>0</v>
      </c>
      <c r="T105" s="106"/>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row>
    <row r="106" spans="1:136" x14ac:dyDescent="0.2">
      <c r="A106" s="6"/>
      <c r="D106" s="21" t="s">
        <v>1516</v>
      </c>
      <c r="E106" s="10"/>
      <c r="F106" s="10"/>
      <c r="G106" s="32">
        <f t="shared" ref="G106:R106" si="85">IF(G638=0,0,G105/G128)</f>
        <v>0</v>
      </c>
      <c r="H106" s="32">
        <f t="shared" si="85"/>
        <v>0</v>
      </c>
      <c r="I106" s="32">
        <f t="shared" si="85"/>
        <v>0</v>
      </c>
      <c r="J106" s="32">
        <f t="shared" si="85"/>
        <v>0</v>
      </c>
      <c r="K106" s="32">
        <f t="shared" si="85"/>
        <v>0</v>
      </c>
      <c r="L106" s="32">
        <f t="shared" si="85"/>
        <v>0</v>
      </c>
      <c r="M106" s="32">
        <f t="shared" si="85"/>
        <v>0</v>
      </c>
      <c r="N106" s="32">
        <f t="shared" si="85"/>
        <v>0</v>
      </c>
      <c r="O106" s="32">
        <f t="shared" si="85"/>
        <v>0</v>
      </c>
      <c r="P106" s="32">
        <f t="shared" si="85"/>
        <v>0</v>
      </c>
      <c r="Q106" s="32">
        <f t="shared" si="85"/>
        <v>0</v>
      </c>
      <c r="R106" s="32">
        <f t="shared" si="85"/>
        <v>0</v>
      </c>
      <c r="S106" s="33">
        <f>+SUM(G106:R106)</f>
        <v>0</v>
      </c>
      <c r="T106" s="106"/>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row>
    <row r="107" spans="1:136" x14ac:dyDescent="0.2">
      <c r="A107" s="6"/>
      <c r="D107" s="30" t="s">
        <v>1517</v>
      </c>
      <c r="E107" s="23"/>
      <c r="F107" s="23"/>
      <c r="G107" s="34"/>
      <c r="H107" s="34"/>
      <c r="I107" s="34"/>
      <c r="J107" s="34"/>
      <c r="K107" s="34"/>
      <c r="L107" s="34"/>
      <c r="M107" s="34"/>
      <c r="N107" s="34"/>
      <c r="O107" s="34"/>
      <c r="P107" s="34"/>
      <c r="Q107" s="34"/>
      <c r="R107" s="35"/>
      <c r="S107" s="5097"/>
      <c r="T107" s="106"/>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row>
    <row r="108" spans="1:136" ht="15.05" thickBot="1" x14ac:dyDescent="0.25">
      <c r="A108" s="6"/>
      <c r="D108" s="20" t="s">
        <v>1188</v>
      </c>
      <c r="E108" s="36"/>
      <c r="F108" s="36"/>
      <c r="G108" s="37"/>
      <c r="H108" s="37"/>
      <c r="I108" s="37"/>
      <c r="J108" s="37"/>
      <c r="K108" s="37"/>
      <c r="L108" s="37"/>
      <c r="M108" s="37"/>
      <c r="N108" s="37"/>
      <c r="O108" s="37"/>
      <c r="P108" s="37"/>
      <c r="Q108" s="37"/>
      <c r="R108" s="38"/>
      <c r="S108" s="683">
        <f>IFERROR(S107/S106,0)</f>
        <v>0</v>
      </c>
      <c r="T108" s="106"/>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row>
    <row r="109" spans="1:136" ht="15.05" thickBot="1" x14ac:dyDescent="0.25">
      <c r="A109" s="6"/>
      <c r="P109" s="6"/>
      <c r="R109" s="107"/>
      <c r="S109" s="6"/>
      <c r="T109" s="106"/>
    </row>
    <row r="110" spans="1:136" ht="15.05" thickBot="1" x14ac:dyDescent="0.25">
      <c r="A110" s="1344">
        <f>+A103+1</f>
        <v>31</v>
      </c>
      <c r="B110" s="23"/>
      <c r="C110" s="24"/>
      <c r="D110" s="7" t="s">
        <v>1735</v>
      </c>
      <c r="E110" s="8"/>
      <c r="F110" s="8"/>
      <c r="G110" s="8"/>
      <c r="H110" s="25"/>
      <c r="I110" s="25"/>
      <c r="J110" s="25"/>
      <c r="K110" s="25" t="s">
        <v>1203</v>
      </c>
      <c r="L110" s="25"/>
      <c r="M110" s="25"/>
      <c r="N110" s="25"/>
      <c r="O110" s="25"/>
      <c r="P110" s="25"/>
      <c r="Q110" s="26"/>
      <c r="R110" s="26"/>
      <c r="S110" s="27"/>
      <c r="T110" s="106"/>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row>
    <row r="111" spans="1:136" x14ac:dyDescent="0.2">
      <c r="A111" s="6"/>
      <c r="D111" s="660" t="s">
        <v>912</v>
      </c>
      <c r="E111" s="28"/>
      <c r="F111" s="28"/>
      <c r="G111" s="682" t="str">
        <f t="shared" ref="G111:R111" si="86">+G8</f>
        <v>Ene</v>
      </c>
      <c r="H111" s="682" t="str">
        <f t="shared" si="86"/>
        <v>Feb</v>
      </c>
      <c r="I111" s="682" t="str">
        <f t="shared" si="86"/>
        <v>Mar</v>
      </c>
      <c r="J111" s="682" t="str">
        <f t="shared" si="86"/>
        <v>Abr</v>
      </c>
      <c r="K111" s="682" t="str">
        <f t="shared" si="86"/>
        <v>May</v>
      </c>
      <c r="L111" s="682" t="str">
        <f t="shared" si="86"/>
        <v>Jun</v>
      </c>
      <c r="M111" s="682" t="str">
        <f t="shared" si="86"/>
        <v>Jul</v>
      </c>
      <c r="N111" s="682" t="str">
        <f t="shared" si="86"/>
        <v>Ago</v>
      </c>
      <c r="O111" s="682" t="str">
        <f t="shared" si="86"/>
        <v>Set</v>
      </c>
      <c r="P111" s="682" t="str">
        <f t="shared" si="86"/>
        <v>Oct</v>
      </c>
      <c r="Q111" s="682" t="str">
        <f t="shared" si="86"/>
        <v>Nov</v>
      </c>
      <c r="R111" s="682" t="str">
        <f t="shared" si="86"/>
        <v>Dic</v>
      </c>
      <c r="S111" s="29" t="s">
        <v>979</v>
      </c>
      <c r="T111" s="106"/>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row>
    <row r="112" spans="1:136" x14ac:dyDescent="0.2">
      <c r="A112" s="6"/>
      <c r="D112" s="30" t="s">
        <v>1119</v>
      </c>
      <c r="E112" s="23"/>
      <c r="F112" s="31"/>
      <c r="G112" s="32">
        <f>S807</f>
        <v>0</v>
      </c>
      <c r="H112" s="32">
        <f>T807</f>
        <v>0</v>
      </c>
      <c r="I112" s="32">
        <f>U807</f>
        <v>0</v>
      </c>
      <c r="J112" s="32">
        <f t="shared" ref="J112:R112" si="87">V807</f>
        <v>0</v>
      </c>
      <c r="K112" s="32">
        <f t="shared" si="87"/>
        <v>0</v>
      </c>
      <c r="L112" s="32">
        <f t="shared" si="87"/>
        <v>0</v>
      </c>
      <c r="M112" s="32">
        <f t="shared" si="87"/>
        <v>0</v>
      </c>
      <c r="N112" s="32">
        <f t="shared" si="87"/>
        <v>0</v>
      </c>
      <c r="O112" s="32">
        <f t="shared" si="87"/>
        <v>0</v>
      </c>
      <c r="P112" s="32">
        <f t="shared" si="87"/>
        <v>0</v>
      </c>
      <c r="Q112" s="32">
        <f t="shared" si="87"/>
        <v>0</v>
      </c>
      <c r="R112" s="32">
        <f t="shared" si="87"/>
        <v>0</v>
      </c>
      <c r="S112" s="33">
        <f>SUM(G112:R112)</f>
        <v>0</v>
      </c>
      <c r="T112" s="106"/>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row>
    <row r="113" spans="1:136" ht="15.05" thickBot="1" x14ac:dyDescent="0.25">
      <c r="A113" s="6"/>
      <c r="D113" s="21" t="s">
        <v>1736</v>
      </c>
      <c r="E113" s="10"/>
      <c r="F113" s="10"/>
      <c r="G113" s="39">
        <f t="shared" ref="G113:R113" si="88">IF(F647=0,0,G112/F647)</f>
        <v>0</v>
      </c>
      <c r="H113" s="39">
        <f t="shared" si="88"/>
        <v>0</v>
      </c>
      <c r="I113" s="39">
        <f t="shared" si="88"/>
        <v>0</v>
      </c>
      <c r="J113" s="39">
        <f>IF(I647=0,0,J112/I647)</f>
        <v>0</v>
      </c>
      <c r="K113" s="39">
        <f t="shared" si="88"/>
        <v>0</v>
      </c>
      <c r="L113" s="39">
        <f t="shared" si="88"/>
        <v>0</v>
      </c>
      <c r="M113" s="39">
        <f t="shared" si="88"/>
        <v>0</v>
      </c>
      <c r="N113" s="39">
        <f t="shared" si="88"/>
        <v>0</v>
      </c>
      <c r="O113" s="39">
        <f t="shared" si="88"/>
        <v>0</v>
      </c>
      <c r="P113" s="39">
        <f t="shared" si="88"/>
        <v>0</v>
      </c>
      <c r="Q113" s="39">
        <f t="shared" si="88"/>
        <v>0</v>
      </c>
      <c r="R113" s="39">
        <f t="shared" si="88"/>
        <v>0</v>
      </c>
      <c r="S113" s="733">
        <f>+SUM(G113:R113)</f>
        <v>0</v>
      </c>
      <c r="T113" s="106"/>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row>
    <row r="114" spans="1:136" ht="15.05" thickBot="1" x14ac:dyDescent="0.25">
      <c r="A114" s="6"/>
      <c r="B114" s="110"/>
      <c r="D114" s="7" t="s">
        <v>1453</v>
      </c>
      <c r="E114" s="8"/>
      <c r="F114" s="8"/>
      <c r="G114" s="8"/>
      <c r="H114" s="25"/>
      <c r="I114" s="25"/>
      <c r="J114" s="25"/>
      <c r="K114" s="25" t="s">
        <v>1203</v>
      </c>
      <c r="L114" s="25"/>
      <c r="M114" s="25"/>
      <c r="N114" s="25"/>
      <c r="O114" s="25"/>
      <c r="P114" s="25"/>
      <c r="Q114" s="26"/>
      <c r="R114" s="26"/>
      <c r="S114" s="27"/>
      <c r="T114" s="106"/>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row>
    <row r="115" spans="1:136" x14ac:dyDescent="0.2">
      <c r="A115" s="6"/>
      <c r="B115" s="110"/>
      <c r="D115" s="660" t="s">
        <v>912</v>
      </c>
      <c r="E115" s="28"/>
      <c r="F115" s="28"/>
      <c r="G115" s="682" t="str">
        <f t="shared" ref="G115:R115" si="89">+G120</f>
        <v>Ene</v>
      </c>
      <c r="H115" s="682" t="str">
        <f t="shared" si="89"/>
        <v>Feb</v>
      </c>
      <c r="I115" s="682" t="str">
        <f t="shared" si="89"/>
        <v>Mar</v>
      </c>
      <c r="J115" s="682" t="str">
        <f t="shared" si="89"/>
        <v>Abr</v>
      </c>
      <c r="K115" s="682" t="str">
        <f t="shared" si="89"/>
        <v>May</v>
      </c>
      <c r="L115" s="682" t="str">
        <f t="shared" si="89"/>
        <v>Jun</v>
      </c>
      <c r="M115" s="682" t="str">
        <f t="shared" si="89"/>
        <v>Jul</v>
      </c>
      <c r="N115" s="682" t="str">
        <f t="shared" si="89"/>
        <v>Ago</v>
      </c>
      <c r="O115" s="682" t="str">
        <f t="shared" si="89"/>
        <v>Set</v>
      </c>
      <c r="P115" s="682" t="str">
        <f t="shared" si="89"/>
        <v>Oct</v>
      </c>
      <c r="Q115" s="682" t="str">
        <f t="shared" si="89"/>
        <v>Nov</v>
      </c>
      <c r="R115" s="682" t="str">
        <f t="shared" si="89"/>
        <v>Dic</v>
      </c>
      <c r="S115" s="29" t="s">
        <v>979</v>
      </c>
      <c r="T115" s="106"/>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row>
    <row r="116" spans="1:136" x14ac:dyDescent="0.2">
      <c r="A116" s="6"/>
      <c r="B116" s="110"/>
      <c r="D116" s="30" t="s">
        <v>1119</v>
      </c>
      <c r="E116" s="23"/>
      <c r="F116" s="31"/>
      <c r="G116" s="668">
        <f>+S878</f>
        <v>0</v>
      </c>
      <c r="H116" s="668">
        <f>+T878</f>
        <v>0</v>
      </c>
      <c r="I116" s="668">
        <f>+U878</f>
        <v>0</v>
      </c>
      <c r="J116" s="668">
        <f t="shared" ref="J116:R116" si="90">+V878</f>
        <v>0</v>
      </c>
      <c r="K116" s="668">
        <f t="shared" si="90"/>
        <v>0</v>
      </c>
      <c r="L116" s="668">
        <f t="shared" si="90"/>
        <v>0</v>
      </c>
      <c r="M116" s="668">
        <f t="shared" si="90"/>
        <v>0</v>
      </c>
      <c r="N116" s="668">
        <f t="shared" si="90"/>
        <v>0</v>
      </c>
      <c r="O116" s="668">
        <f>+AA878</f>
        <v>0</v>
      </c>
      <c r="P116" s="668">
        <f t="shared" si="90"/>
        <v>0</v>
      </c>
      <c r="Q116" s="668">
        <f t="shared" si="90"/>
        <v>0</v>
      </c>
      <c r="R116" s="668">
        <f t="shared" si="90"/>
        <v>0</v>
      </c>
      <c r="S116" s="33">
        <f>SUM(G116:R116)</f>
        <v>0</v>
      </c>
      <c r="T116" s="106"/>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row>
    <row r="117" spans="1:136" ht="15.05" thickBot="1" x14ac:dyDescent="0.25">
      <c r="A117" s="6"/>
      <c r="B117" s="110"/>
      <c r="D117" s="20" t="s">
        <v>1737</v>
      </c>
      <c r="E117" s="36"/>
      <c r="F117" s="36"/>
      <c r="G117" s="669">
        <f t="shared" ref="G117:R117" si="91">IF(F648=0,0,G116/F648)</f>
        <v>0</v>
      </c>
      <c r="H117" s="669">
        <f t="shared" si="91"/>
        <v>0</v>
      </c>
      <c r="I117" s="669">
        <f t="shared" si="91"/>
        <v>0</v>
      </c>
      <c r="J117" s="669">
        <f>IF(I648=0,0,J116/I648)</f>
        <v>0</v>
      </c>
      <c r="K117" s="669">
        <f t="shared" si="91"/>
        <v>0</v>
      </c>
      <c r="L117" s="669">
        <f t="shared" si="91"/>
        <v>0</v>
      </c>
      <c r="M117" s="669">
        <f t="shared" si="91"/>
        <v>0</v>
      </c>
      <c r="N117" s="669">
        <f t="shared" si="91"/>
        <v>0</v>
      </c>
      <c r="O117" s="669">
        <f t="shared" si="91"/>
        <v>0</v>
      </c>
      <c r="P117" s="669">
        <f t="shared" si="91"/>
        <v>0</v>
      </c>
      <c r="Q117" s="669">
        <f t="shared" si="91"/>
        <v>0</v>
      </c>
      <c r="R117" s="669">
        <f t="shared" si="91"/>
        <v>0</v>
      </c>
      <c r="S117" s="733">
        <f>+SUM(G117:R117)</f>
        <v>0</v>
      </c>
      <c r="T117" s="106"/>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row>
    <row r="118" spans="1:136" ht="15.05" thickBot="1" x14ac:dyDescent="0.25">
      <c r="A118" s="6"/>
      <c r="D118" s="1478" t="s">
        <v>1738</v>
      </c>
      <c r="P118" s="6"/>
      <c r="R118" s="107"/>
      <c r="S118" s="6"/>
      <c r="T118" s="106"/>
    </row>
    <row r="119" spans="1:136" ht="15.05" thickBot="1" x14ac:dyDescent="0.25">
      <c r="A119" s="1344">
        <f>+A110+1</f>
        <v>32</v>
      </c>
      <c r="B119" s="23"/>
      <c r="C119" s="23"/>
      <c r="D119" s="40" t="s">
        <v>1424</v>
      </c>
      <c r="E119" s="41"/>
      <c r="F119" s="41"/>
      <c r="G119" s="41"/>
      <c r="H119" s="41"/>
      <c r="I119" s="41"/>
      <c r="J119" s="41"/>
      <c r="K119" s="41" t="s">
        <v>2102</v>
      </c>
      <c r="L119" s="41"/>
      <c r="M119" s="41"/>
      <c r="N119" s="41"/>
      <c r="O119" s="41"/>
      <c r="P119" s="41"/>
      <c r="Q119" s="42"/>
      <c r="R119" s="26"/>
      <c r="S119" s="27"/>
      <c r="T119" s="106"/>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row>
    <row r="120" spans="1:136" x14ac:dyDescent="0.2">
      <c r="A120" s="6"/>
      <c r="B120" s="100"/>
      <c r="C120" s="100"/>
      <c r="D120" s="664" t="s">
        <v>912</v>
      </c>
      <c r="E120" s="62"/>
      <c r="F120" s="62"/>
      <c r="G120" s="684" t="str">
        <f t="shared" ref="G120:R120" si="92">+G8</f>
        <v>Ene</v>
      </c>
      <c r="H120" s="684" t="str">
        <f t="shared" si="92"/>
        <v>Feb</v>
      </c>
      <c r="I120" s="684" t="str">
        <f t="shared" si="92"/>
        <v>Mar</v>
      </c>
      <c r="J120" s="684" t="str">
        <f t="shared" si="92"/>
        <v>Abr</v>
      </c>
      <c r="K120" s="684" t="str">
        <f t="shared" si="92"/>
        <v>May</v>
      </c>
      <c r="L120" s="684" t="str">
        <f t="shared" si="92"/>
        <v>Jun</v>
      </c>
      <c r="M120" s="684" t="str">
        <f t="shared" si="92"/>
        <v>Jul</v>
      </c>
      <c r="N120" s="684" t="str">
        <f t="shared" si="92"/>
        <v>Ago</v>
      </c>
      <c r="O120" s="684" t="str">
        <f t="shared" si="92"/>
        <v>Set</v>
      </c>
      <c r="P120" s="684" t="str">
        <f t="shared" si="92"/>
        <v>Oct</v>
      </c>
      <c r="Q120" s="684" t="str">
        <f t="shared" si="92"/>
        <v>Nov</v>
      </c>
      <c r="R120" s="684" t="str">
        <f t="shared" si="92"/>
        <v>Dic</v>
      </c>
      <c r="S120" s="665" t="s">
        <v>979</v>
      </c>
      <c r="T120" s="106"/>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row>
    <row r="121" spans="1:136" x14ac:dyDescent="0.2">
      <c r="A121" s="6"/>
      <c r="D121" s="30" t="s">
        <v>1122</v>
      </c>
      <c r="E121" s="23"/>
      <c r="F121" s="31"/>
      <c r="G121" s="219">
        <f>S737</f>
        <v>0</v>
      </c>
      <c r="H121" s="219">
        <f>T737</f>
        <v>0</v>
      </c>
      <c r="I121" s="219">
        <f>U737</f>
        <v>0</v>
      </c>
      <c r="J121" s="219">
        <f t="shared" ref="J121:R121" si="93">V737</f>
        <v>0</v>
      </c>
      <c r="K121" s="219">
        <f t="shared" si="93"/>
        <v>0</v>
      </c>
      <c r="L121" s="219">
        <f t="shared" si="93"/>
        <v>0</v>
      </c>
      <c r="M121" s="219">
        <f t="shared" si="93"/>
        <v>0</v>
      </c>
      <c r="N121" s="219">
        <f t="shared" si="93"/>
        <v>0</v>
      </c>
      <c r="O121" s="219">
        <f t="shared" si="93"/>
        <v>0</v>
      </c>
      <c r="P121" s="219">
        <f t="shared" si="93"/>
        <v>0</v>
      </c>
      <c r="Q121" s="219">
        <f t="shared" si="93"/>
        <v>0</v>
      </c>
      <c r="R121" s="219">
        <f t="shared" si="93"/>
        <v>0</v>
      </c>
      <c r="S121" s="666">
        <f>SUM(G121:R121)</f>
        <v>0</v>
      </c>
      <c r="T121" s="43">
        <f>IFERROR(S121/(A.Lecheros!R42+A.Lecheros!R86)/365,0)</f>
        <v>0</v>
      </c>
      <c r="U121" s="106" t="s">
        <v>680</v>
      </c>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row>
    <row r="122" spans="1:136" x14ac:dyDescent="0.2">
      <c r="A122" s="6"/>
      <c r="B122" s="110"/>
      <c r="D122" s="21" t="s">
        <v>1578</v>
      </c>
      <c r="E122" s="10"/>
      <c r="F122" s="10"/>
      <c r="G122" s="219">
        <f>S808</f>
        <v>0</v>
      </c>
      <c r="H122" s="219">
        <f>T808</f>
        <v>0</v>
      </c>
      <c r="I122" s="219">
        <f>U808</f>
        <v>0</v>
      </c>
      <c r="J122" s="219">
        <f t="shared" ref="J122:R122" si="94">V808</f>
        <v>0</v>
      </c>
      <c r="K122" s="219">
        <f t="shared" si="94"/>
        <v>0</v>
      </c>
      <c r="L122" s="219">
        <f t="shared" si="94"/>
        <v>0</v>
      </c>
      <c r="M122" s="219">
        <f t="shared" si="94"/>
        <v>0</v>
      </c>
      <c r="N122" s="219">
        <f t="shared" si="94"/>
        <v>0</v>
      </c>
      <c r="O122" s="219">
        <f t="shared" si="94"/>
        <v>0</v>
      </c>
      <c r="P122" s="219">
        <f t="shared" si="94"/>
        <v>0</v>
      </c>
      <c r="Q122" s="219">
        <f t="shared" si="94"/>
        <v>0</v>
      </c>
      <c r="R122" s="219">
        <f t="shared" si="94"/>
        <v>0</v>
      </c>
      <c r="S122" s="666">
        <f>SUM(G122:R122)</f>
        <v>0</v>
      </c>
      <c r="T122" s="43">
        <f>IFERROR(S122/(A.Lecheros!R118+A.Lecheros!R146+A.Lecheros!R174+A.Lecheros!R202+A.Lecheros!R229)/365,0)</f>
        <v>0</v>
      </c>
      <c r="U122" s="6" t="s">
        <v>681</v>
      </c>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row>
    <row r="123" spans="1:136" ht="15.05" thickBot="1" x14ac:dyDescent="0.25">
      <c r="A123" s="6"/>
      <c r="B123" s="110"/>
      <c r="D123" s="667" t="s">
        <v>1454</v>
      </c>
      <c r="E123" s="112"/>
      <c r="F123" s="50"/>
      <c r="G123" s="670">
        <f>+S879</f>
        <v>0</v>
      </c>
      <c r="H123" s="670">
        <f>+T879</f>
        <v>0</v>
      </c>
      <c r="I123" s="670">
        <f>+U879</f>
        <v>0</v>
      </c>
      <c r="J123" s="670">
        <f t="shared" ref="J123:R123" si="95">+V879</f>
        <v>0</v>
      </c>
      <c r="K123" s="670">
        <f t="shared" si="95"/>
        <v>0</v>
      </c>
      <c r="L123" s="670">
        <f t="shared" si="95"/>
        <v>0</v>
      </c>
      <c r="M123" s="670">
        <f t="shared" si="95"/>
        <v>0</v>
      </c>
      <c r="N123" s="670">
        <f t="shared" si="95"/>
        <v>0</v>
      </c>
      <c r="O123" s="670">
        <f t="shared" si="95"/>
        <v>0</v>
      </c>
      <c r="P123" s="670">
        <f t="shared" si="95"/>
        <v>0</v>
      </c>
      <c r="Q123" s="670">
        <f t="shared" si="95"/>
        <v>0</v>
      </c>
      <c r="R123" s="670">
        <f t="shared" si="95"/>
        <v>0</v>
      </c>
      <c r="S123" s="45">
        <f>SUM(G123:R123)</f>
        <v>0</v>
      </c>
      <c r="T123" s="663"/>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row>
    <row r="124" spans="1:136" ht="15.05" thickBot="1" x14ac:dyDescent="0.25">
      <c r="A124" s="6"/>
      <c r="B124" s="110"/>
      <c r="D124" s="100"/>
      <c r="E124" s="100"/>
      <c r="F124" s="100"/>
      <c r="G124" s="671"/>
      <c r="H124" s="671"/>
      <c r="I124" s="671"/>
      <c r="J124" s="671"/>
      <c r="K124" s="671"/>
      <c r="L124" s="671"/>
      <c r="M124" s="671"/>
      <c r="N124" s="671"/>
      <c r="O124" s="671"/>
      <c r="P124" s="671"/>
      <c r="Q124" s="671"/>
      <c r="R124" s="671"/>
      <c r="S124" s="957"/>
      <c r="T124" s="663"/>
    </row>
    <row r="125" spans="1:136" ht="15.05" thickBot="1" x14ac:dyDescent="0.25">
      <c r="A125" s="1344">
        <f>A119+1</f>
        <v>33</v>
      </c>
      <c r="B125" s="46"/>
      <c r="C125" s="23"/>
      <c r="D125" s="47" t="s">
        <v>978</v>
      </c>
      <c r="E125" s="25"/>
      <c r="F125" s="25"/>
      <c r="G125" s="26"/>
      <c r="H125" s="26"/>
      <c r="I125" s="52"/>
      <c r="J125" s="52"/>
      <c r="K125" s="52"/>
      <c r="L125" s="52"/>
      <c r="M125" s="52"/>
      <c r="N125" s="53"/>
      <c r="O125" s="53"/>
      <c r="P125" s="53"/>
      <c r="Q125" s="8"/>
      <c r="R125" s="8"/>
      <c r="S125" s="9"/>
      <c r="T125" s="106"/>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row>
    <row r="126" spans="1:136" x14ac:dyDescent="0.2">
      <c r="A126" s="6"/>
      <c r="B126" s="110"/>
      <c r="C126" s="100"/>
      <c r="D126" s="95" t="s">
        <v>1318</v>
      </c>
      <c r="E126" s="96"/>
      <c r="F126" s="685"/>
      <c r="G126" s="682" t="str">
        <f t="shared" ref="G126:R126" si="96">+G8</f>
        <v>Ene</v>
      </c>
      <c r="H126" s="682" t="str">
        <f t="shared" si="96"/>
        <v>Feb</v>
      </c>
      <c r="I126" s="682" t="str">
        <f t="shared" si="96"/>
        <v>Mar</v>
      </c>
      <c r="J126" s="682" t="str">
        <f t="shared" si="96"/>
        <v>Abr</v>
      </c>
      <c r="K126" s="682" t="str">
        <f t="shared" si="96"/>
        <v>May</v>
      </c>
      <c r="L126" s="682" t="str">
        <f t="shared" si="96"/>
        <v>Jun</v>
      </c>
      <c r="M126" s="682" t="str">
        <f t="shared" si="96"/>
        <v>Jul</v>
      </c>
      <c r="N126" s="682" t="str">
        <f t="shared" si="96"/>
        <v>Ago</v>
      </c>
      <c r="O126" s="682" t="str">
        <f t="shared" si="96"/>
        <v>Set</v>
      </c>
      <c r="P126" s="682" t="str">
        <f t="shared" si="96"/>
        <v>Oct</v>
      </c>
      <c r="Q126" s="682" t="str">
        <f t="shared" si="96"/>
        <v>Nov</v>
      </c>
      <c r="R126" s="682" t="str">
        <f t="shared" si="96"/>
        <v>Dic</v>
      </c>
      <c r="S126" s="686" t="s">
        <v>317</v>
      </c>
      <c r="T126" s="963" t="s">
        <v>531</v>
      </c>
      <c r="U126" s="687" t="s">
        <v>532</v>
      </c>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row>
    <row r="127" spans="1:136" x14ac:dyDescent="0.2">
      <c r="A127" s="6"/>
      <c r="B127" s="110"/>
      <c r="D127" s="1441" t="s">
        <v>787</v>
      </c>
      <c r="E127" s="958"/>
      <c r="F127" s="104"/>
      <c r="G127" s="54" t="e">
        <f>G129+G130</f>
        <v>#DIV/0!</v>
      </c>
      <c r="H127" s="54" t="e">
        <f t="shared" ref="H127:R127" si="97">H129+H130</f>
        <v>#DIV/0!</v>
      </c>
      <c r="I127" s="54" t="e">
        <f t="shared" si="97"/>
        <v>#DIV/0!</v>
      </c>
      <c r="J127" s="54" t="e">
        <f t="shared" si="97"/>
        <v>#DIV/0!</v>
      </c>
      <c r="K127" s="54" t="e">
        <f t="shared" si="97"/>
        <v>#DIV/0!</v>
      </c>
      <c r="L127" s="54" t="e">
        <f t="shared" si="97"/>
        <v>#DIV/0!</v>
      </c>
      <c r="M127" s="54" t="e">
        <f t="shared" si="97"/>
        <v>#DIV/0!</v>
      </c>
      <c r="N127" s="54" t="e">
        <f t="shared" si="97"/>
        <v>#DIV/0!</v>
      </c>
      <c r="O127" s="54" t="e">
        <f>O129+O130</f>
        <v>#DIV/0!</v>
      </c>
      <c r="P127" s="54" t="e">
        <f t="shared" si="97"/>
        <v>#DIV/0!</v>
      </c>
      <c r="Q127" s="54" t="e">
        <f t="shared" si="97"/>
        <v>#DIV/0!</v>
      </c>
      <c r="R127" s="54" t="e">
        <f t="shared" si="97"/>
        <v>#DIV/0!</v>
      </c>
      <c r="S127" s="1479" t="e">
        <f t="shared" ref="S127:S132" si="98">AVERAGE(G127:R127)</f>
        <v>#DIV/0!</v>
      </c>
      <c r="T127" s="965">
        <f>IF(SUM(T128:T130)&gt;0,SUM(T129:T130),0)</f>
        <v>0</v>
      </c>
      <c r="U127" s="964" t="e">
        <f>IF(T127&gt;0,T127,S127)</f>
        <v>#DIV/0!</v>
      </c>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row>
    <row r="128" spans="1:136" x14ac:dyDescent="0.2">
      <c r="A128" s="6"/>
      <c r="B128" s="110"/>
      <c r="D128" s="1441"/>
      <c r="E128" s="958" t="s">
        <v>1703</v>
      </c>
      <c r="F128" s="104"/>
      <c r="G128" s="962">
        <f>F660</f>
        <v>0</v>
      </c>
      <c r="H128" s="962">
        <f t="shared" ref="H128:R128" si="99">+G660</f>
        <v>0</v>
      </c>
      <c r="I128" s="962">
        <f t="shared" si="99"/>
        <v>0</v>
      </c>
      <c r="J128" s="962">
        <f>+I660</f>
        <v>0</v>
      </c>
      <c r="K128" s="962">
        <f t="shared" si="99"/>
        <v>0</v>
      </c>
      <c r="L128" s="962">
        <f t="shared" si="99"/>
        <v>0</v>
      </c>
      <c r="M128" s="962">
        <f t="shared" si="99"/>
        <v>0</v>
      </c>
      <c r="N128" s="962">
        <f t="shared" si="99"/>
        <v>0</v>
      </c>
      <c r="O128" s="962">
        <f t="shared" si="99"/>
        <v>0</v>
      </c>
      <c r="P128" s="962">
        <f t="shared" si="99"/>
        <v>0</v>
      </c>
      <c r="Q128" s="962">
        <f t="shared" si="99"/>
        <v>0</v>
      </c>
      <c r="R128" s="962">
        <f t="shared" si="99"/>
        <v>0</v>
      </c>
      <c r="S128" s="1480">
        <f t="shared" si="98"/>
        <v>0</v>
      </c>
      <c r="T128" s="5098"/>
      <c r="U128" s="967">
        <f>IF(T128&gt;0,T128,S128)</f>
        <v>0</v>
      </c>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row>
    <row r="129" spans="1:136" x14ac:dyDescent="0.2">
      <c r="A129" s="6"/>
      <c r="B129" s="110"/>
      <c r="D129" s="1441"/>
      <c r="E129" s="958" t="s">
        <v>1704</v>
      </c>
      <c r="F129" s="104"/>
      <c r="G129" s="962" t="e">
        <f>+F661</f>
        <v>#DIV/0!</v>
      </c>
      <c r="H129" s="962" t="e">
        <f t="shared" ref="H129:R129" si="100">+G661</f>
        <v>#DIV/0!</v>
      </c>
      <c r="I129" s="962" t="e">
        <f t="shared" si="100"/>
        <v>#DIV/0!</v>
      </c>
      <c r="J129" s="962" t="e">
        <f>+I661</f>
        <v>#DIV/0!</v>
      </c>
      <c r="K129" s="962" t="e">
        <f t="shared" si="100"/>
        <v>#DIV/0!</v>
      </c>
      <c r="L129" s="962" t="e">
        <f t="shared" si="100"/>
        <v>#DIV/0!</v>
      </c>
      <c r="M129" s="962" t="e">
        <f t="shared" si="100"/>
        <v>#DIV/0!</v>
      </c>
      <c r="N129" s="962" t="e">
        <f t="shared" si="100"/>
        <v>#DIV/0!</v>
      </c>
      <c r="O129" s="962" t="e">
        <f t="shared" si="100"/>
        <v>#DIV/0!</v>
      </c>
      <c r="P129" s="962" t="e">
        <f t="shared" si="100"/>
        <v>#DIV/0!</v>
      </c>
      <c r="Q129" s="962" t="e">
        <f t="shared" si="100"/>
        <v>#DIV/0!</v>
      </c>
      <c r="R129" s="962" t="e">
        <f t="shared" si="100"/>
        <v>#DIV/0!</v>
      </c>
      <c r="S129" s="1480" t="e">
        <f t="shared" si="98"/>
        <v>#DIV/0!</v>
      </c>
      <c r="T129" s="5098"/>
      <c r="U129" s="967" t="e">
        <f>IF(T129&gt;0,T129,S129)</f>
        <v>#DIV/0!</v>
      </c>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row>
    <row r="130" spans="1:136" x14ac:dyDescent="0.2">
      <c r="A130" s="6"/>
      <c r="B130" s="110"/>
      <c r="D130" s="1441"/>
      <c r="E130" s="958" t="s">
        <v>1705</v>
      </c>
      <c r="F130" s="104"/>
      <c r="G130" s="962" t="e">
        <f>+F662</f>
        <v>#DIV/0!</v>
      </c>
      <c r="H130" s="962" t="e">
        <f t="shared" ref="H130:R130" si="101">+G662</f>
        <v>#DIV/0!</v>
      </c>
      <c r="I130" s="962" t="e">
        <f t="shared" si="101"/>
        <v>#DIV/0!</v>
      </c>
      <c r="J130" s="962" t="e">
        <f>+I662</f>
        <v>#DIV/0!</v>
      </c>
      <c r="K130" s="962" t="e">
        <f t="shared" si="101"/>
        <v>#DIV/0!</v>
      </c>
      <c r="L130" s="962" t="e">
        <f t="shared" si="101"/>
        <v>#DIV/0!</v>
      </c>
      <c r="M130" s="962" t="e">
        <f t="shared" si="101"/>
        <v>#DIV/0!</v>
      </c>
      <c r="N130" s="962" t="e">
        <f t="shared" si="101"/>
        <v>#DIV/0!</v>
      </c>
      <c r="O130" s="962" t="e">
        <f t="shared" si="101"/>
        <v>#DIV/0!</v>
      </c>
      <c r="P130" s="962" t="e">
        <f t="shared" si="101"/>
        <v>#DIV/0!</v>
      </c>
      <c r="Q130" s="962" t="e">
        <f t="shared" si="101"/>
        <v>#DIV/0!</v>
      </c>
      <c r="R130" s="962" t="e">
        <f t="shared" si="101"/>
        <v>#DIV/0!</v>
      </c>
      <c r="S130" s="1480" t="e">
        <f t="shared" si="98"/>
        <v>#DIV/0!</v>
      </c>
      <c r="T130" s="5098"/>
      <c r="U130" s="967" t="e">
        <f>IF(T130&gt;0,T130,S130)</f>
        <v>#DIV/0!</v>
      </c>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row>
    <row r="131" spans="1:136" x14ac:dyDescent="0.2">
      <c r="A131" s="6"/>
      <c r="B131" s="110"/>
      <c r="D131" s="109" t="s">
        <v>788</v>
      </c>
      <c r="E131" s="100"/>
      <c r="F131" s="100"/>
      <c r="G131" s="49" t="e">
        <f>+F663</f>
        <v>#DIV/0!</v>
      </c>
      <c r="H131" s="49" t="e">
        <f t="shared" ref="H131:R131" si="102">+G663</f>
        <v>#DIV/0!</v>
      </c>
      <c r="I131" s="49" t="e">
        <f t="shared" si="102"/>
        <v>#DIV/0!</v>
      </c>
      <c r="J131" s="49" t="e">
        <f>+I663</f>
        <v>#DIV/0!</v>
      </c>
      <c r="K131" s="49" t="e">
        <f t="shared" si="102"/>
        <v>#DIV/0!</v>
      </c>
      <c r="L131" s="49" t="e">
        <f t="shared" si="102"/>
        <v>#DIV/0!</v>
      </c>
      <c r="M131" s="49" t="e">
        <f t="shared" si="102"/>
        <v>#DIV/0!</v>
      </c>
      <c r="N131" s="49" t="e">
        <f t="shared" si="102"/>
        <v>#DIV/0!</v>
      </c>
      <c r="O131" s="49" t="e">
        <f t="shared" si="102"/>
        <v>#DIV/0!</v>
      </c>
      <c r="P131" s="49" t="e">
        <f t="shared" si="102"/>
        <v>#DIV/0!</v>
      </c>
      <c r="Q131" s="49" t="e">
        <f t="shared" si="102"/>
        <v>#DIV/0!</v>
      </c>
      <c r="R131" s="49" t="e">
        <f t="shared" si="102"/>
        <v>#DIV/0!</v>
      </c>
      <c r="S131" s="1481" t="e">
        <f t="shared" si="98"/>
        <v>#DIV/0!</v>
      </c>
      <c r="T131" s="965">
        <f>IF(SUM(T128:T130)&gt;0,T133-T132-T127,0)</f>
        <v>0</v>
      </c>
      <c r="U131" s="964" t="e">
        <f>IF(T131&gt;0,T131,S131)</f>
        <v>#DIV/0!</v>
      </c>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row>
    <row r="132" spans="1:136" ht="15.05" thickBot="1" x14ac:dyDescent="0.25">
      <c r="A132" s="6"/>
      <c r="B132" s="110"/>
      <c r="D132" s="1482" t="s">
        <v>985</v>
      </c>
      <c r="E132" s="960"/>
      <c r="F132" s="1483"/>
      <c r="G132" s="1484">
        <f t="shared" ref="G132:R132" si="103">F612</f>
        <v>0</v>
      </c>
      <c r="H132" s="1484">
        <f t="shared" si="103"/>
        <v>0</v>
      </c>
      <c r="I132" s="1484">
        <f t="shared" si="103"/>
        <v>0</v>
      </c>
      <c r="J132" s="1484">
        <f>I612</f>
        <v>0</v>
      </c>
      <c r="K132" s="1484">
        <f t="shared" si="103"/>
        <v>0</v>
      </c>
      <c r="L132" s="1484">
        <f t="shared" si="103"/>
        <v>0</v>
      </c>
      <c r="M132" s="1484">
        <f t="shared" si="103"/>
        <v>0</v>
      </c>
      <c r="N132" s="1484">
        <f t="shared" si="103"/>
        <v>0</v>
      </c>
      <c r="O132" s="1484">
        <f t="shared" si="103"/>
        <v>0</v>
      </c>
      <c r="P132" s="1484">
        <f t="shared" si="103"/>
        <v>0</v>
      </c>
      <c r="Q132" s="1484">
        <f t="shared" si="103"/>
        <v>0</v>
      </c>
      <c r="R132" s="1484">
        <f t="shared" si="103"/>
        <v>0</v>
      </c>
      <c r="S132" s="1485">
        <f t="shared" si="98"/>
        <v>0</v>
      </c>
      <c r="T132" s="966">
        <f>IF(SUM(T128:T130)&gt;0,S132,0)</f>
        <v>0</v>
      </c>
      <c r="U132" s="964">
        <f>+S132</f>
        <v>0</v>
      </c>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row>
    <row r="133" spans="1:136" ht="15.05" thickBot="1" x14ac:dyDescent="0.25">
      <c r="A133" s="6"/>
      <c r="B133" s="110"/>
      <c r="D133" s="102" t="s">
        <v>230</v>
      </c>
      <c r="E133" s="103"/>
      <c r="F133" s="1486"/>
      <c r="G133" s="1487" t="e">
        <f>+G132+G131+G127</f>
        <v>#DIV/0!</v>
      </c>
      <c r="H133" s="1487" t="e">
        <f t="shared" ref="H133:S133" si="104">+H132+H131+H127</f>
        <v>#DIV/0!</v>
      </c>
      <c r="I133" s="1487" t="e">
        <f t="shared" si="104"/>
        <v>#DIV/0!</v>
      </c>
      <c r="J133" s="1487" t="e">
        <f t="shared" si="104"/>
        <v>#DIV/0!</v>
      </c>
      <c r="K133" s="1487" t="e">
        <f t="shared" si="104"/>
        <v>#DIV/0!</v>
      </c>
      <c r="L133" s="1487" t="e">
        <f t="shared" si="104"/>
        <v>#DIV/0!</v>
      </c>
      <c r="M133" s="1487" t="e">
        <f t="shared" si="104"/>
        <v>#DIV/0!</v>
      </c>
      <c r="N133" s="1487" t="e">
        <f t="shared" si="104"/>
        <v>#DIV/0!</v>
      </c>
      <c r="O133" s="1487" t="e">
        <f t="shared" si="104"/>
        <v>#DIV/0!</v>
      </c>
      <c r="P133" s="1487" t="e">
        <f t="shared" si="104"/>
        <v>#DIV/0!</v>
      </c>
      <c r="Q133" s="1487" t="e">
        <f t="shared" si="104"/>
        <v>#DIV/0!</v>
      </c>
      <c r="R133" s="1487" t="e">
        <f t="shared" si="104"/>
        <v>#DIV/0!</v>
      </c>
      <c r="S133" s="1488" t="e">
        <f t="shared" si="104"/>
        <v>#DIV/0!</v>
      </c>
      <c r="T133" s="968">
        <f>IF(SUM(T128:T130)&gt;0,S133,0)</f>
        <v>0</v>
      </c>
      <c r="U133" s="51" t="e">
        <f>+S133</f>
        <v>#DIV/0!</v>
      </c>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row>
    <row r="134" spans="1:136" ht="15.05" thickBot="1" x14ac:dyDescent="0.25">
      <c r="A134" s="6"/>
      <c r="B134" s="110"/>
      <c r="E134" s="100"/>
      <c r="F134" s="110"/>
      <c r="G134" s="110"/>
      <c r="H134" s="110"/>
      <c r="I134" s="110"/>
      <c r="J134" s="1469"/>
      <c r="K134" s="110"/>
      <c r="L134" s="110"/>
      <c r="M134" s="110"/>
      <c r="N134" s="110"/>
      <c r="O134" s="110"/>
      <c r="P134" s="71"/>
      <c r="Q134" s="110"/>
    </row>
    <row r="135" spans="1:136" ht="15.05" thickBot="1" x14ac:dyDescent="0.25">
      <c r="A135" s="1344">
        <f>+A125+1</f>
        <v>34</v>
      </c>
      <c r="B135" s="1435"/>
      <c r="C135" s="958"/>
      <c r="D135" s="47" t="s">
        <v>886</v>
      </c>
      <c r="E135" s="25"/>
      <c r="F135" s="26"/>
      <c r="G135" s="26"/>
      <c r="H135" s="55"/>
      <c r="I135" s="110"/>
      <c r="K135" s="767"/>
      <c r="P135" s="6"/>
      <c r="Q135" s="110"/>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row>
    <row r="136" spans="1:136" x14ac:dyDescent="0.2">
      <c r="A136" s="6"/>
      <c r="B136" s="110"/>
      <c r="D136" s="894" t="s">
        <v>888</v>
      </c>
      <c r="E136" s="895" t="s">
        <v>188</v>
      </c>
      <c r="F136" s="895" t="s">
        <v>189</v>
      </c>
      <c r="G136" s="56" t="s">
        <v>230</v>
      </c>
      <c r="H136" s="57"/>
      <c r="K136" s="767"/>
      <c r="P136" s="6"/>
      <c r="Q136" s="6"/>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row>
    <row r="137" spans="1:136" ht="15.05" thickBot="1" x14ac:dyDescent="0.35">
      <c r="A137" s="6"/>
      <c r="B137" s="110"/>
      <c r="C137" s="1440"/>
      <c r="D137" s="58" t="s">
        <v>887</v>
      </c>
      <c r="E137" s="59" t="s">
        <v>344</v>
      </c>
      <c r="F137" s="59" t="s">
        <v>344</v>
      </c>
      <c r="G137" s="60" t="s">
        <v>247</v>
      </c>
      <c r="H137" s="61" t="s">
        <v>175</v>
      </c>
      <c r="K137" s="110"/>
      <c r="L137" s="767"/>
      <c r="O137" s="767"/>
      <c r="P137" s="6"/>
      <c r="Q137" s="6"/>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row>
    <row r="138" spans="1:136" ht="15.05" thickBot="1" x14ac:dyDescent="0.25">
      <c r="A138" s="6"/>
      <c r="B138" s="110"/>
      <c r="C138" s="1350"/>
      <c r="D138" s="5099"/>
      <c r="E138" s="1489">
        <f t="shared" ref="E138:E149" si="105">IF(D138=0,0,VLOOKUP(D138,$CN$1127:$CO$1194,2,FALSE))</f>
        <v>0</v>
      </c>
      <c r="F138" s="1490">
        <f t="shared" ref="F138:F149" si="106">IF(D138=0,0,VLOOKUP(D138,$CO$1275:$CP$1341,2,FALSE))</f>
        <v>0</v>
      </c>
      <c r="G138" s="1491">
        <f>SUM(E138:F138)</f>
        <v>0</v>
      </c>
      <c r="H138" s="1492">
        <f>IF(D138=0,0,VLOOKUP(D138,Forrajes!$B$9:$C$105,2,FALSE))</f>
        <v>0</v>
      </c>
      <c r="K138" s="110"/>
      <c r="L138" s="767"/>
      <c r="O138" s="767"/>
      <c r="P138" s="6"/>
      <c r="Q138" s="6"/>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row>
    <row r="139" spans="1:136" ht="15.05" thickBot="1" x14ac:dyDescent="0.25">
      <c r="A139" s="6"/>
      <c r="B139" s="110"/>
      <c r="C139" s="1350"/>
      <c r="D139" s="5100"/>
      <c r="E139" s="1493">
        <f t="shared" si="105"/>
        <v>0</v>
      </c>
      <c r="F139" s="1494">
        <f t="shared" si="106"/>
        <v>0</v>
      </c>
      <c r="G139" s="1495">
        <f t="shared" ref="G139:G149" si="107">SUM(E139:F139)</f>
        <v>0</v>
      </c>
      <c r="H139" s="1496">
        <f>IF(D139=0,0,VLOOKUP(D139,Forrajes!$B$9:$C$105,2,FALSE))</f>
        <v>0</v>
      </c>
      <c r="K139" s="110"/>
      <c r="L139" s="767"/>
      <c r="O139" s="767"/>
      <c r="P139" s="6"/>
      <c r="Q139" s="6"/>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row>
    <row r="140" spans="1:136" ht="15.05" thickBot="1" x14ac:dyDescent="0.25">
      <c r="A140" s="6"/>
      <c r="B140" s="110"/>
      <c r="C140" s="1350"/>
      <c r="D140" s="5100"/>
      <c r="E140" s="1493">
        <f t="shared" si="105"/>
        <v>0</v>
      </c>
      <c r="F140" s="1494">
        <f t="shared" si="106"/>
        <v>0</v>
      </c>
      <c r="G140" s="1495">
        <f t="shared" si="107"/>
        <v>0</v>
      </c>
      <c r="H140" s="1496">
        <f>IF(D140=0,0,VLOOKUP(D140,Forrajes!$B$9:$C$105,2,FALSE))</f>
        <v>0</v>
      </c>
      <c r="K140" s="110"/>
      <c r="P140" s="767"/>
      <c r="Q140" s="6"/>
      <c r="S140" s="6"/>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row>
    <row r="141" spans="1:136" ht="15.05" thickBot="1" x14ac:dyDescent="0.25">
      <c r="A141" s="6"/>
      <c r="B141" s="110"/>
      <c r="C141" s="1350"/>
      <c r="D141" s="5100"/>
      <c r="E141" s="1493">
        <f t="shared" si="105"/>
        <v>0</v>
      </c>
      <c r="F141" s="1494">
        <f t="shared" si="106"/>
        <v>0</v>
      </c>
      <c r="G141" s="1495">
        <f t="shared" si="107"/>
        <v>0</v>
      </c>
      <c r="H141" s="1496">
        <f>IF(D141=0,0,VLOOKUP(D141,Forrajes!$B$9:$C$105,2,FALSE))</f>
        <v>0</v>
      </c>
      <c r="K141" s="767"/>
      <c r="P141" s="6"/>
      <c r="Q141" s="6"/>
      <c r="S141" s="6"/>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row>
    <row r="142" spans="1:136" ht="15.05" thickBot="1" x14ac:dyDescent="0.25">
      <c r="A142" s="6"/>
      <c r="B142" s="110"/>
      <c r="C142" s="1350"/>
      <c r="D142" s="5100"/>
      <c r="E142" s="1493">
        <f t="shared" si="105"/>
        <v>0</v>
      </c>
      <c r="F142" s="1494">
        <f t="shared" si="106"/>
        <v>0</v>
      </c>
      <c r="G142" s="1495">
        <f t="shared" si="107"/>
        <v>0</v>
      </c>
      <c r="H142" s="1496">
        <f>IF(D142=0,0,VLOOKUP(D142,Forrajes!$B$9:$C$105,2,FALSE))</f>
        <v>0</v>
      </c>
      <c r="P142" s="6"/>
      <c r="Q142" s="6"/>
      <c r="S142" s="6"/>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row>
    <row r="143" spans="1:136" ht="15.05" thickBot="1" x14ac:dyDescent="0.25">
      <c r="A143" s="6"/>
      <c r="B143" s="110"/>
      <c r="C143" s="1350"/>
      <c r="D143" s="5100"/>
      <c r="E143" s="1493">
        <f t="shared" si="105"/>
        <v>0</v>
      </c>
      <c r="F143" s="1494">
        <f t="shared" si="106"/>
        <v>0</v>
      </c>
      <c r="G143" s="1495">
        <f t="shared" si="107"/>
        <v>0</v>
      </c>
      <c r="H143" s="1496">
        <f>IF(D143=0,0,VLOOKUP(D143,Forrajes!$B$9:$C$105,2,FALSE))</f>
        <v>0</v>
      </c>
      <c r="J143" s="767"/>
      <c r="P143" s="6"/>
      <c r="Q143" s="767"/>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row>
    <row r="144" spans="1:136" ht="15.05" thickBot="1" x14ac:dyDescent="0.25">
      <c r="A144" s="6"/>
      <c r="B144" s="110"/>
      <c r="C144" s="1350"/>
      <c r="D144" s="5100"/>
      <c r="E144" s="1493">
        <f t="shared" si="105"/>
        <v>0</v>
      </c>
      <c r="F144" s="1494">
        <f t="shared" si="106"/>
        <v>0</v>
      </c>
      <c r="G144" s="1495">
        <f t="shared" si="107"/>
        <v>0</v>
      </c>
      <c r="H144" s="1496">
        <f>IF(D144=0,0,VLOOKUP(D144,Forrajes!$B$9:$C$105,2,FALSE))</f>
        <v>0</v>
      </c>
      <c r="K144" s="110"/>
      <c r="P144" s="6"/>
      <c r="Q144" s="6"/>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row>
    <row r="145" spans="1:136" ht="15.05" thickBot="1" x14ac:dyDescent="0.25">
      <c r="A145" s="6"/>
      <c r="B145" s="110"/>
      <c r="C145" s="1350"/>
      <c r="D145" s="5100"/>
      <c r="E145" s="1493">
        <f t="shared" si="105"/>
        <v>0</v>
      </c>
      <c r="F145" s="1494">
        <f t="shared" si="106"/>
        <v>0</v>
      </c>
      <c r="G145" s="1495">
        <f t="shared" si="107"/>
        <v>0</v>
      </c>
      <c r="H145" s="1496">
        <f>IF(D145=0,0,VLOOKUP(D145,Forrajes!$B$9:$C$105,2,FALSE))</f>
        <v>0</v>
      </c>
      <c r="K145" s="110"/>
      <c r="P145" s="6"/>
      <c r="Q145" s="6"/>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row>
    <row r="146" spans="1:136" ht="15.05" thickBot="1" x14ac:dyDescent="0.25">
      <c r="A146" s="6"/>
      <c r="B146" s="110"/>
      <c r="C146" s="1350"/>
      <c r="D146" s="5100"/>
      <c r="E146" s="1493">
        <f t="shared" si="105"/>
        <v>0</v>
      </c>
      <c r="F146" s="1494">
        <f t="shared" si="106"/>
        <v>0</v>
      </c>
      <c r="G146" s="1495">
        <f t="shared" si="107"/>
        <v>0</v>
      </c>
      <c r="H146" s="1496">
        <f>IF(D146=0,0,VLOOKUP(D146,Forrajes!$B$9:$C$105,2,FALSE))</f>
        <v>0</v>
      </c>
      <c r="K146" s="767"/>
      <c r="L146" s="107"/>
      <c r="M146" s="767"/>
      <c r="P146" s="6"/>
      <c r="Q146" s="6"/>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row>
    <row r="147" spans="1:136" ht="15.05" thickBot="1" x14ac:dyDescent="0.25">
      <c r="A147" s="6"/>
      <c r="B147" s="110"/>
      <c r="C147" s="1350"/>
      <c r="D147" s="5100"/>
      <c r="E147" s="1493">
        <f t="shared" si="105"/>
        <v>0</v>
      </c>
      <c r="F147" s="1494">
        <f t="shared" si="106"/>
        <v>0</v>
      </c>
      <c r="G147" s="1495">
        <f t="shared" si="107"/>
        <v>0</v>
      </c>
      <c r="H147" s="1496">
        <f>IF(D147=0,0,VLOOKUP(D147,Forrajes!$B$9:$C$105,2,FALSE))</f>
        <v>0</v>
      </c>
      <c r="K147" s="110"/>
      <c r="P147" s="6"/>
      <c r="Q147" s="6"/>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row>
    <row r="148" spans="1:136" ht="15.05" thickBot="1" x14ac:dyDescent="0.25">
      <c r="A148" s="6"/>
      <c r="B148" s="110"/>
      <c r="C148" s="1350"/>
      <c r="D148" s="5100"/>
      <c r="E148" s="1493">
        <f t="shared" si="105"/>
        <v>0</v>
      </c>
      <c r="F148" s="1494">
        <f t="shared" si="106"/>
        <v>0</v>
      </c>
      <c r="G148" s="1495">
        <f t="shared" si="107"/>
        <v>0</v>
      </c>
      <c r="H148" s="1496">
        <f>IF(D148=0,0,VLOOKUP(D148,Forrajes!$B$9:$C$105,2,FALSE))</f>
        <v>0</v>
      </c>
      <c r="J148" s="767"/>
      <c r="K148" s="107"/>
      <c r="L148" s="767"/>
      <c r="P148" s="6"/>
      <c r="Q148" s="6"/>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row>
    <row r="149" spans="1:136" ht="15.05" thickBot="1" x14ac:dyDescent="0.25">
      <c r="A149" s="6"/>
      <c r="B149" s="110"/>
      <c r="C149" s="1350"/>
      <c r="D149" s="5101"/>
      <c r="E149" s="1497">
        <f t="shared" si="105"/>
        <v>0</v>
      </c>
      <c r="F149" s="1498">
        <f t="shared" si="106"/>
        <v>0</v>
      </c>
      <c r="G149" s="1499">
        <f t="shared" si="107"/>
        <v>0</v>
      </c>
      <c r="H149" s="1500">
        <f>IF(D149=0,0,VLOOKUP(D149,Forrajes!$B$9:$C$105,2,FALSE))</f>
        <v>0</v>
      </c>
      <c r="K149" s="110"/>
      <c r="P149" s="6"/>
      <c r="Q149" s="6"/>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row>
    <row r="150" spans="1:136" x14ac:dyDescent="0.2">
      <c r="A150" s="6"/>
      <c r="C150" s="1350"/>
      <c r="K150" s="110"/>
      <c r="P150" s="6"/>
      <c r="Q150" s="6"/>
    </row>
    <row r="151" spans="1:136" ht="15.05" thickBot="1" x14ac:dyDescent="0.25">
      <c r="A151" s="6"/>
      <c r="C151" s="1350"/>
      <c r="K151" s="110"/>
      <c r="P151" s="6"/>
      <c r="Q151" s="6"/>
    </row>
    <row r="152" spans="1:136" ht="15.05" thickBot="1" x14ac:dyDescent="0.25">
      <c r="A152" s="1344">
        <f>+A135+1</f>
        <v>35</v>
      </c>
      <c r="B152" s="1435"/>
      <c r="C152" s="959"/>
      <c r="D152" s="47" t="s">
        <v>1073</v>
      </c>
      <c r="E152" s="25"/>
      <c r="F152" s="26"/>
      <c r="G152" s="26"/>
      <c r="H152" s="55"/>
      <c r="J152" s="1403"/>
      <c r="K152" s="110"/>
      <c r="P152" s="6"/>
      <c r="Q152" s="6"/>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row>
    <row r="153" spans="1:136" x14ac:dyDescent="0.2">
      <c r="A153" s="6"/>
      <c r="B153" s="110"/>
      <c r="C153" s="1350"/>
      <c r="D153" s="894" t="s">
        <v>888</v>
      </c>
      <c r="E153" s="895" t="s">
        <v>188</v>
      </c>
      <c r="F153" s="895" t="s">
        <v>189</v>
      </c>
      <c r="G153" s="56" t="s">
        <v>230</v>
      </c>
      <c r="H153" s="57"/>
      <c r="K153" s="110"/>
      <c r="P153" s="6"/>
      <c r="Q153" s="6"/>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row>
    <row r="154" spans="1:136" ht="15.05" thickBot="1" x14ac:dyDescent="0.35">
      <c r="A154" s="6"/>
      <c r="B154" s="110"/>
      <c r="C154" s="1470"/>
      <c r="D154" s="58" t="s">
        <v>887</v>
      </c>
      <c r="E154" s="59" t="s">
        <v>344</v>
      </c>
      <c r="F154" s="59" t="s">
        <v>344</v>
      </c>
      <c r="G154" s="60" t="s">
        <v>247</v>
      </c>
      <c r="H154" s="61" t="s">
        <v>175</v>
      </c>
      <c r="K154" s="110"/>
      <c r="P154" s="6"/>
      <c r="Q154" s="6"/>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row>
    <row r="155" spans="1:136" ht="15.05" thickBot="1" x14ac:dyDescent="0.25">
      <c r="A155" s="6"/>
      <c r="B155" s="110"/>
      <c r="C155" s="1350"/>
      <c r="D155" s="5099"/>
      <c r="E155" s="1489">
        <f t="shared" ref="E155:E166" si="108">IF(D155=0,0,VLOOKUP(D155,$DB$1054:$DC$1120,2,FALSE))</f>
        <v>0</v>
      </c>
      <c r="F155" s="1490">
        <f t="shared" ref="F155:F166" si="109">IF(D155=0,0,VLOOKUP(D155,$DO$1201:$DP$1267,2,FALSE))</f>
        <v>0</v>
      </c>
      <c r="G155" s="1491">
        <f>SUM(E155:F155)</f>
        <v>0</v>
      </c>
      <c r="H155" s="1492">
        <f>IF(D155=0,0,VLOOKUP(D155,Forrajes!$B$9:$C$105,2,FALSE))</f>
        <v>0</v>
      </c>
      <c r="K155" s="110"/>
      <c r="P155" s="6"/>
      <c r="Q155" s="6"/>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row>
    <row r="156" spans="1:136" ht="15.05" thickBot="1" x14ac:dyDescent="0.25">
      <c r="A156" s="6"/>
      <c r="B156" s="110"/>
      <c r="C156" s="1350"/>
      <c r="D156" s="5100"/>
      <c r="E156" s="1493">
        <f t="shared" si="108"/>
        <v>0</v>
      </c>
      <c r="F156" s="1494">
        <f t="shared" si="109"/>
        <v>0</v>
      </c>
      <c r="G156" s="1495">
        <f t="shared" ref="G156:G166" si="110">SUM(E156:F156)</f>
        <v>0</v>
      </c>
      <c r="H156" s="1496">
        <f>IF(D156=0,0,VLOOKUP(D156,Forrajes!$B$9:$C$105,2,FALSE))</f>
        <v>0</v>
      </c>
      <c r="K156" s="110"/>
      <c r="P156" s="6"/>
      <c r="Q156" s="6"/>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row>
    <row r="157" spans="1:136" ht="15.05" thickBot="1" x14ac:dyDescent="0.25">
      <c r="A157" s="6"/>
      <c r="B157" s="110"/>
      <c r="C157" s="1350"/>
      <c r="D157" s="5100"/>
      <c r="E157" s="1493">
        <f t="shared" si="108"/>
        <v>0</v>
      </c>
      <c r="F157" s="1494">
        <f t="shared" si="109"/>
        <v>0</v>
      </c>
      <c r="G157" s="1495">
        <f t="shared" si="110"/>
        <v>0</v>
      </c>
      <c r="H157" s="1496">
        <f>IF(D157=0,0,VLOOKUP(D157,Forrajes!$B$9:$C$105,2,FALSE))</f>
        <v>0</v>
      </c>
      <c r="K157" s="110"/>
      <c r="P157" s="6"/>
      <c r="Q157" s="6"/>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row>
    <row r="158" spans="1:136" ht="15.05" thickBot="1" x14ac:dyDescent="0.25">
      <c r="A158" s="6"/>
      <c r="B158" s="110"/>
      <c r="C158" s="1350"/>
      <c r="D158" s="5100"/>
      <c r="E158" s="1493">
        <f t="shared" si="108"/>
        <v>0</v>
      </c>
      <c r="F158" s="1494">
        <f t="shared" si="109"/>
        <v>0</v>
      </c>
      <c r="G158" s="1495">
        <f t="shared" si="110"/>
        <v>0</v>
      </c>
      <c r="H158" s="1496">
        <f>IF(D158=0,0,VLOOKUP(D158,Forrajes!$B$9:$C$105,2,FALSE))</f>
        <v>0</v>
      </c>
      <c r="K158" s="110"/>
      <c r="P158" s="6"/>
      <c r="Q158" s="6"/>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row>
    <row r="159" spans="1:136" ht="15.05" thickBot="1" x14ac:dyDescent="0.25">
      <c r="A159" s="6"/>
      <c r="B159" s="110"/>
      <c r="C159" s="1350"/>
      <c r="D159" s="5100"/>
      <c r="E159" s="1493">
        <f t="shared" si="108"/>
        <v>0</v>
      </c>
      <c r="F159" s="1494">
        <f t="shared" si="109"/>
        <v>0</v>
      </c>
      <c r="G159" s="1495">
        <f t="shared" si="110"/>
        <v>0</v>
      </c>
      <c r="H159" s="1496">
        <f>IF(D159=0,0,VLOOKUP(D159,Forrajes!$B$9:$C$105,2,FALSE))</f>
        <v>0</v>
      </c>
      <c r="K159" s="110"/>
      <c r="P159" s="6"/>
      <c r="Q159" s="6"/>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row>
    <row r="160" spans="1:136" ht="15.05" thickBot="1" x14ac:dyDescent="0.25">
      <c r="A160" s="6"/>
      <c r="B160" s="110"/>
      <c r="C160" s="1350"/>
      <c r="D160" s="5100"/>
      <c r="E160" s="1493">
        <f t="shared" si="108"/>
        <v>0</v>
      </c>
      <c r="F160" s="1494">
        <f t="shared" si="109"/>
        <v>0</v>
      </c>
      <c r="G160" s="1495">
        <f t="shared" si="110"/>
        <v>0</v>
      </c>
      <c r="H160" s="1496">
        <f>IF(D160=0,0,VLOOKUP(D160,Forrajes!$B$9:$C$105,2,FALSE))</f>
        <v>0</v>
      </c>
      <c r="K160" s="110"/>
      <c r="P160" s="6"/>
      <c r="Q160" s="6"/>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row>
    <row r="161" spans="1:136" ht="15.05" thickBot="1" x14ac:dyDescent="0.25">
      <c r="A161" s="6"/>
      <c r="B161" s="110"/>
      <c r="C161" s="1350"/>
      <c r="D161" s="5100"/>
      <c r="E161" s="1493">
        <f t="shared" si="108"/>
        <v>0</v>
      </c>
      <c r="F161" s="1494">
        <f t="shared" si="109"/>
        <v>0</v>
      </c>
      <c r="G161" s="1495">
        <f t="shared" si="110"/>
        <v>0</v>
      </c>
      <c r="H161" s="1496">
        <f>IF(D161=0,0,VLOOKUP(D161,Forrajes!$B$9:$C$105,2,FALSE))</f>
        <v>0</v>
      </c>
      <c r="J161" s="1403"/>
      <c r="K161" s="110"/>
      <c r="P161" s="6"/>
      <c r="Q161" s="6"/>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row>
    <row r="162" spans="1:136" ht="15.05" thickBot="1" x14ac:dyDescent="0.25">
      <c r="A162" s="6"/>
      <c r="B162" s="110"/>
      <c r="C162" s="1350"/>
      <c r="D162" s="5100"/>
      <c r="E162" s="1493">
        <f t="shared" si="108"/>
        <v>0</v>
      </c>
      <c r="F162" s="1494">
        <f t="shared" si="109"/>
        <v>0</v>
      </c>
      <c r="G162" s="1495">
        <f t="shared" si="110"/>
        <v>0</v>
      </c>
      <c r="H162" s="1496">
        <f>IF(D162=0,0,VLOOKUP(D162,Forrajes!$B$9:$C$105,2,FALSE))</f>
        <v>0</v>
      </c>
      <c r="K162" s="110"/>
      <c r="P162" s="6"/>
      <c r="Q162" s="6"/>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row>
    <row r="163" spans="1:136" ht="15.05" thickBot="1" x14ac:dyDescent="0.25">
      <c r="A163" s="6"/>
      <c r="B163" s="110"/>
      <c r="C163" s="1350"/>
      <c r="D163" s="5100"/>
      <c r="E163" s="1493">
        <f t="shared" si="108"/>
        <v>0</v>
      </c>
      <c r="F163" s="1494">
        <f t="shared" si="109"/>
        <v>0</v>
      </c>
      <c r="G163" s="1495">
        <f t="shared" si="110"/>
        <v>0</v>
      </c>
      <c r="H163" s="1496">
        <f>IF(D163=0,0,VLOOKUP(D163,Forrajes!$B$9:$C$105,2,FALSE))</f>
        <v>0</v>
      </c>
      <c r="P163" s="6"/>
      <c r="Q163" s="6"/>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row>
    <row r="164" spans="1:136" ht="15.05" thickBot="1" x14ac:dyDescent="0.25">
      <c r="A164" s="6"/>
      <c r="B164" s="110"/>
      <c r="C164" s="1350"/>
      <c r="D164" s="5100"/>
      <c r="E164" s="1493">
        <f t="shared" si="108"/>
        <v>0</v>
      </c>
      <c r="F164" s="1494">
        <f t="shared" si="109"/>
        <v>0</v>
      </c>
      <c r="G164" s="1495">
        <f t="shared" si="110"/>
        <v>0</v>
      </c>
      <c r="H164" s="1496">
        <f>IF(D164=0,0,VLOOKUP(D164,Forrajes!$B$9:$C$105,2,FALSE))</f>
        <v>0</v>
      </c>
      <c r="K164" s="110"/>
      <c r="P164" s="6"/>
      <c r="Q164" s="6"/>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row>
    <row r="165" spans="1:136" ht="15.05" thickBot="1" x14ac:dyDescent="0.25">
      <c r="A165" s="6"/>
      <c r="B165" s="110"/>
      <c r="C165" s="1350"/>
      <c r="D165" s="5100"/>
      <c r="E165" s="1493">
        <f t="shared" si="108"/>
        <v>0</v>
      </c>
      <c r="F165" s="1494">
        <f t="shared" si="109"/>
        <v>0</v>
      </c>
      <c r="G165" s="1495">
        <f t="shared" si="110"/>
        <v>0</v>
      </c>
      <c r="H165" s="1496">
        <f>IF(D165=0,0,VLOOKUP(D165,Forrajes!$B$9:$C$105,2,FALSE))</f>
        <v>0</v>
      </c>
      <c r="K165" s="110"/>
      <c r="P165" s="6"/>
      <c r="Q165" s="6"/>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row>
    <row r="166" spans="1:136" ht="15.05" thickBot="1" x14ac:dyDescent="0.25">
      <c r="A166" s="6"/>
      <c r="B166" s="110"/>
      <c r="C166" s="1350"/>
      <c r="D166" s="5101"/>
      <c r="E166" s="1497">
        <f t="shared" si="108"/>
        <v>0</v>
      </c>
      <c r="F166" s="1498">
        <f t="shared" si="109"/>
        <v>0</v>
      </c>
      <c r="G166" s="1499">
        <f t="shared" si="110"/>
        <v>0</v>
      </c>
      <c r="H166" s="1500">
        <f>IF(D166=0,0,VLOOKUP(D166,Forrajes!$B$9:$C$105,2,FALSE))</f>
        <v>0</v>
      </c>
      <c r="K166" s="110"/>
      <c r="P166" s="6"/>
      <c r="Q166" s="6"/>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row>
    <row r="167" spans="1:136" x14ac:dyDescent="0.2">
      <c r="A167" s="6"/>
      <c r="B167" s="110"/>
      <c r="D167" s="100"/>
      <c r="E167" s="110"/>
      <c r="F167" s="110"/>
      <c r="H167" s="110"/>
      <c r="K167" s="110"/>
      <c r="P167" s="6"/>
      <c r="Q167" s="6"/>
      <c r="R167" s="110"/>
      <c r="S167" s="110"/>
      <c r="T167" s="110"/>
      <c r="U167" s="110"/>
      <c r="V167" s="110"/>
      <c r="W167" s="110"/>
      <c r="X167" s="110"/>
      <c r="Y167" s="110"/>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row>
    <row r="168" spans="1:136" ht="15.05" thickBot="1" x14ac:dyDescent="0.25">
      <c r="A168" s="6"/>
      <c r="F168" s="71"/>
      <c r="G168" s="71"/>
      <c r="H168" s="71"/>
      <c r="I168" s="71"/>
      <c r="J168" s="71"/>
      <c r="K168" s="71"/>
      <c r="L168" s="71"/>
      <c r="M168" s="71"/>
      <c r="N168" s="71"/>
      <c r="O168" s="71"/>
      <c r="P168" s="71"/>
      <c r="Q168" s="71"/>
      <c r="S168" s="6"/>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row>
    <row r="169" spans="1:136" ht="15.05" thickBot="1" x14ac:dyDescent="0.25">
      <c r="A169" s="1344">
        <f>+A152+1</f>
        <v>36</v>
      </c>
      <c r="B169" s="1435"/>
      <c r="C169" s="958"/>
      <c r="D169" s="47" t="s">
        <v>1075</v>
      </c>
      <c r="E169" s="25"/>
      <c r="F169" s="25"/>
      <c r="G169" s="52"/>
      <c r="H169" s="52"/>
      <c r="I169" s="52"/>
      <c r="J169" s="52"/>
      <c r="K169" s="52"/>
      <c r="L169" s="52"/>
      <c r="M169" s="52"/>
      <c r="N169" s="52"/>
      <c r="O169" s="52"/>
      <c r="P169" s="52"/>
      <c r="Q169" s="52"/>
      <c r="R169" s="52"/>
      <c r="S169" s="52"/>
      <c r="T169" s="52"/>
      <c r="U169" s="52"/>
      <c r="V169" s="64"/>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row>
    <row r="170" spans="1:136" x14ac:dyDescent="0.2">
      <c r="A170" s="6"/>
      <c r="B170" s="110"/>
      <c r="C170" s="100"/>
      <c r="D170" s="65"/>
      <c r="E170" s="41"/>
      <c r="F170" s="41"/>
      <c r="G170" s="66"/>
      <c r="H170" s="66"/>
      <c r="I170" s="66"/>
      <c r="J170" s="66"/>
      <c r="K170" s="66"/>
      <c r="L170" s="66"/>
      <c r="M170" s="66"/>
      <c r="N170" s="66"/>
      <c r="O170" s="66"/>
      <c r="P170" s="66"/>
      <c r="Q170" s="66"/>
      <c r="R170" s="66"/>
      <c r="S170" s="2247" t="s">
        <v>956</v>
      </c>
      <c r="T170" s="2249"/>
      <c r="U170" s="896" t="s">
        <v>1074</v>
      </c>
      <c r="V170" s="2242"/>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row>
    <row r="171" spans="1:136" ht="15.05" thickBot="1" x14ac:dyDescent="0.25">
      <c r="A171" s="6"/>
      <c r="D171" s="67" t="s">
        <v>345</v>
      </c>
      <c r="E171" s="68"/>
      <c r="F171" s="68"/>
      <c r="G171" s="688" t="str">
        <f t="shared" ref="G171:R171" si="111">+G8</f>
        <v>Ene</v>
      </c>
      <c r="H171" s="688" t="str">
        <f t="shared" si="111"/>
        <v>Feb</v>
      </c>
      <c r="I171" s="688" t="str">
        <f t="shared" si="111"/>
        <v>Mar</v>
      </c>
      <c r="J171" s="688" t="str">
        <f t="shared" si="111"/>
        <v>Abr</v>
      </c>
      <c r="K171" s="688" t="str">
        <f t="shared" si="111"/>
        <v>May</v>
      </c>
      <c r="L171" s="688" t="str">
        <f t="shared" si="111"/>
        <v>Jun</v>
      </c>
      <c r="M171" s="688" t="str">
        <f t="shared" si="111"/>
        <v>Jul</v>
      </c>
      <c r="N171" s="688" t="str">
        <f t="shared" si="111"/>
        <v>Ago</v>
      </c>
      <c r="O171" s="688" t="str">
        <f t="shared" si="111"/>
        <v>Set</v>
      </c>
      <c r="P171" s="688" t="str">
        <f t="shared" si="111"/>
        <v>Oct</v>
      </c>
      <c r="Q171" s="688" t="str">
        <f t="shared" si="111"/>
        <v>Nov</v>
      </c>
      <c r="R171" s="688" t="str">
        <f t="shared" si="111"/>
        <v>Dic</v>
      </c>
      <c r="S171" s="2248" t="s">
        <v>533</v>
      </c>
      <c r="T171" s="897" t="s">
        <v>957</v>
      </c>
      <c r="U171" s="897" t="s">
        <v>531</v>
      </c>
      <c r="V171" s="2243" t="s">
        <v>484</v>
      </c>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row>
    <row r="172" spans="1:136" x14ac:dyDescent="0.2">
      <c r="A172" s="6"/>
      <c r="D172" s="91" t="str">
        <f t="shared" ref="D172:D185" si="112">D302</f>
        <v>Alfalfa 2</v>
      </c>
      <c r="E172" s="90"/>
      <c r="F172" s="90"/>
      <c r="G172" s="79">
        <f t="shared" ref="G172:R172" si="113">IF($D172=0,0,F683+F754)</f>
        <v>0</v>
      </c>
      <c r="H172" s="79">
        <f t="shared" si="113"/>
        <v>0</v>
      </c>
      <c r="I172" s="79">
        <f t="shared" si="113"/>
        <v>0</v>
      </c>
      <c r="J172" s="79">
        <f t="shared" ref="J172:J185" si="114">IF($D172=0,0,I683+I754)</f>
        <v>0</v>
      </c>
      <c r="K172" s="79">
        <f t="shared" si="113"/>
        <v>0</v>
      </c>
      <c r="L172" s="79">
        <f t="shared" si="113"/>
        <v>0</v>
      </c>
      <c r="M172" s="79">
        <f t="shared" si="113"/>
        <v>0</v>
      </c>
      <c r="N172" s="79">
        <f t="shared" si="113"/>
        <v>0</v>
      </c>
      <c r="O172" s="79">
        <f t="shared" si="113"/>
        <v>0</v>
      </c>
      <c r="P172" s="79">
        <f t="shared" si="113"/>
        <v>0</v>
      </c>
      <c r="Q172" s="79">
        <f t="shared" si="113"/>
        <v>0</v>
      </c>
      <c r="R172" s="288">
        <f t="shared" si="113"/>
        <v>0</v>
      </c>
      <c r="S172" s="5102"/>
      <c r="T172" s="69" t="b">
        <f t="shared" ref="T172:T210" si="115">IF(S172=$G$171,G172,IF(S172=$H$171,H172,IF(S172=$I$171,I172,IF(S172=$J$171,J172,IF(S172=$K$171,K172,IF(S172=$L$171,L172,IF(S172=$M$171,M172,IF(S172=$N$171,N172,IF(S172=$O$171,O172,IF(S172=$P$171,P172,IF(S172=$Q$171,Q172,IF(S172=$R$171,R172))))))))))))</f>
        <v>0</v>
      </c>
      <c r="U172" s="2244"/>
      <c r="V172" s="72" t="b">
        <f>IF(U172&lt;&gt;0,U172,T172)</f>
        <v>0</v>
      </c>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row>
    <row r="173" spans="1:136" x14ac:dyDescent="0.2">
      <c r="A173" s="6"/>
      <c r="D173" s="736" t="str">
        <f t="shared" si="112"/>
        <v>Alfalfa 3</v>
      </c>
      <c r="E173" s="734"/>
      <c r="F173" s="74"/>
      <c r="G173" s="69">
        <f t="shared" ref="G173:R173" si="116">IF($D173=0,0,F684+F755)</f>
        <v>0</v>
      </c>
      <c r="H173" s="69">
        <f t="shared" si="116"/>
        <v>0</v>
      </c>
      <c r="I173" s="69">
        <f t="shared" si="116"/>
        <v>0</v>
      </c>
      <c r="J173" s="69">
        <f t="shared" si="114"/>
        <v>0</v>
      </c>
      <c r="K173" s="69">
        <f t="shared" si="116"/>
        <v>0</v>
      </c>
      <c r="L173" s="69">
        <f t="shared" si="116"/>
        <v>0</v>
      </c>
      <c r="M173" s="69">
        <f t="shared" si="116"/>
        <v>0</v>
      </c>
      <c r="N173" s="69">
        <f t="shared" si="116"/>
        <v>0</v>
      </c>
      <c r="O173" s="69">
        <f t="shared" si="116"/>
        <v>0</v>
      </c>
      <c r="P173" s="69">
        <f t="shared" si="116"/>
        <v>0</v>
      </c>
      <c r="Q173" s="69">
        <f t="shared" si="116"/>
        <v>0</v>
      </c>
      <c r="R173" s="83">
        <f t="shared" si="116"/>
        <v>0</v>
      </c>
      <c r="S173" s="5102"/>
      <c r="T173" s="2250" t="b">
        <f t="shared" si="115"/>
        <v>0</v>
      </c>
      <c r="U173" s="2245"/>
      <c r="V173" s="76" t="b">
        <f t="shared" ref="V173:V184" si="117">IF(U173&lt;&gt;0,U173,T173)</f>
        <v>0</v>
      </c>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row>
    <row r="174" spans="1:136" x14ac:dyDescent="0.2">
      <c r="A174" s="6"/>
      <c r="D174" s="736" t="str">
        <f t="shared" si="112"/>
        <v>Alfalfa 4</v>
      </c>
      <c r="E174" s="734"/>
      <c r="F174" s="74"/>
      <c r="G174" s="69">
        <f t="shared" ref="G174:R174" si="118">IF($D174=0,0,F685+F756)</f>
        <v>0</v>
      </c>
      <c r="H174" s="69">
        <f t="shared" si="118"/>
        <v>0</v>
      </c>
      <c r="I174" s="69">
        <f t="shared" si="118"/>
        <v>0</v>
      </c>
      <c r="J174" s="69">
        <f t="shared" si="114"/>
        <v>0</v>
      </c>
      <c r="K174" s="69">
        <f t="shared" si="118"/>
        <v>0</v>
      </c>
      <c r="L174" s="69">
        <f t="shared" si="118"/>
        <v>0</v>
      </c>
      <c r="M174" s="69">
        <f t="shared" si="118"/>
        <v>0</v>
      </c>
      <c r="N174" s="69">
        <f t="shared" si="118"/>
        <v>0</v>
      </c>
      <c r="O174" s="69">
        <f t="shared" si="118"/>
        <v>0</v>
      </c>
      <c r="P174" s="69">
        <f t="shared" si="118"/>
        <v>0</v>
      </c>
      <c r="Q174" s="69">
        <f t="shared" si="118"/>
        <v>0</v>
      </c>
      <c r="R174" s="83">
        <f t="shared" si="118"/>
        <v>0</v>
      </c>
      <c r="S174" s="5102"/>
      <c r="T174" s="69" t="b">
        <f t="shared" si="115"/>
        <v>0</v>
      </c>
      <c r="U174" s="2245"/>
      <c r="V174" s="76" t="b">
        <f t="shared" si="117"/>
        <v>0</v>
      </c>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row>
    <row r="175" spans="1:136" x14ac:dyDescent="0.2">
      <c r="A175" s="6"/>
      <c r="D175" s="736" t="str">
        <f t="shared" si="112"/>
        <v>PP 2</v>
      </c>
      <c r="E175" s="734"/>
      <c r="F175" s="74"/>
      <c r="G175" s="69">
        <f t="shared" ref="G175:R175" si="119">IF($D175=0,0,F686+F757)</f>
        <v>0</v>
      </c>
      <c r="H175" s="69">
        <f t="shared" si="119"/>
        <v>0</v>
      </c>
      <c r="I175" s="69">
        <f t="shared" si="119"/>
        <v>0</v>
      </c>
      <c r="J175" s="69">
        <f t="shared" si="114"/>
        <v>0</v>
      </c>
      <c r="K175" s="69">
        <f t="shared" si="119"/>
        <v>0</v>
      </c>
      <c r="L175" s="69">
        <f t="shared" si="119"/>
        <v>0</v>
      </c>
      <c r="M175" s="69">
        <f t="shared" si="119"/>
        <v>0</v>
      </c>
      <c r="N175" s="69">
        <f t="shared" si="119"/>
        <v>0</v>
      </c>
      <c r="O175" s="69">
        <f t="shared" si="119"/>
        <v>0</v>
      </c>
      <c r="P175" s="69">
        <f t="shared" si="119"/>
        <v>0</v>
      </c>
      <c r="Q175" s="69">
        <f t="shared" si="119"/>
        <v>0</v>
      </c>
      <c r="R175" s="83">
        <f t="shared" si="119"/>
        <v>0</v>
      </c>
      <c r="S175" s="5102"/>
      <c r="T175" s="2250" t="b">
        <f t="shared" si="115"/>
        <v>0</v>
      </c>
      <c r="U175" s="2245"/>
      <c r="V175" s="76" t="b">
        <f t="shared" si="117"/>
        <v>0</v>
      </c>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row>
    <row r="176" spans="1:136" x14ac:dyDescent="0.2">
      <c r="A176" s="6"/>
      <c r="D176" s="736" t="str">
        <f t="shared" si="112"/>
        <v>PP 3</v>
      </c>
      <c r="E176" s="734"/>
      <c r="F176" s="74"/>
      <c r="G176" s="69">
        <f t="shared" ref="G176:R176" si="120">IF($D176=0,0,F687+F758)</f>
        <v>0</v>
      </c>
      <c r="H176" s="69">
        <f t="shared" si="120"/>
        <v>0</v>
      </c>
      <c r="I176" s="69">
        <f t="shared" si="120"/>
        <v>0</v>
      </c>
      <c r="J176" s="69">
        <f t="shared" si="114"/>
        <v>0</v>
      </c>
      <c r="K176" s="69">
        <f t="shared" si="120"/>
        <v>0</v>
      </c>
      <c r="L176" s="69">
        <f t="shared" si="120"/>
        <v>0</v>
      </c>
      <c r="M176" s="69">
        <f t="shared" si="120"/>
        <v>0</v>
      </c>
      <c r="N176" s="69">
        <f t="shared" si="120"/>
        <v>0</v>
      </c>
      <c r="O176" s="69">
        <f t="shared" si="120"/>
        <v>0</v>
      </c>
      <c r="P176" s="69">
        <f t="shared" si="120"/>
        <v>0</v>
      </c>
      <c r="Q176" s="69">
        <f t="shared" si="120"/>
        <v>0</v>
      </c>
      <c r="R176" s="83">
        <f t="shared" si="120"/>
        <v>0</v>
      </c>
      <c r="S176" s="5102"/>
      <c r="T176" s="2250" t="b">
        <f t="shared" si="115"/>
        <v>0</v>
      </c>
      <c r="U176" s="2245"/>
      <c r="V176" s="76" t="b">
        <f t="shared" si="117"/>
        <v>0</v>
      </c>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row>
    <row r="177" spans="1:136" x14ac:dyDescent="0.2">
      <c r="A177" s="6"/>
      <c r="D177" s="736" t="str">
        <f t="shared" si="112"/>
        <v>PP 4</v>
      </c>
      <c r="E177" s="734"/>
      <c r="F177" s="74"/>
      <c r="G177" s="69">
        <f t="shared" ref="G177:R177" si="121">IF($D177=0,0,F688+F759)</f>
        <v>0</v>
      </c>
      <c r="H177" s="69">
        <f t="shared" si="121"/>
        <v>0</v>
      </c>
      <c r="I177" s="69">
        <f t="shared" si="121"/>
        <v>0</v>
      </c>
      <c r="J177" s="69">
        <f t="shared" si="114"/>
        <v>0</v>
      </c>
      <c r="K177" s="69">
        <f t="shared" si="121"/>
        <v>0</v>
      </c>
      <c r="L177" s="69">
        <f t="shared" si="121"/>
        <v>0</v>
      </c>
      <c r="M177" s="69">
        <f t="shared" si="121"/>
        <v>0</v>
      </c>
      <c r="N177" s="69">
        <f t="shared" si="121"/>
        <v>0</v>
      </c>
      <c r="O177" s="69">
        <f t="shared" si="121"/>
        <v>0</v>
      </c>
      <c r="P177" s="69">
        <f t="shared" si="121"/>
        <v>0</v>
      </c>
      <c r="Q177" s="69">
        <f t="shared" si="121"/>
        <v>0</v>
      </c>
      <c r="R177" s="83">
        <f t="shared" si="121"/>
        <v>0</v>
      </c>
      <c r="S177" s="5102"/>
      <c r="T177" s="2250" t="b">
        <f t="shared" si="115"/>
        <v>0</v>
      </c>
      <c r="U177" s="2245"/>
      <c r="V177" s="76" t="b">
        <f t="shared" si="117"/>
        <v>0</v>
      </c>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row>
    <row r="178" spans="1:136" x14ac:dyDescent="0.2">
      <c r="A178" s="6"/>
      <c r="D178" s="736" t="str">
        <f t="shared" si="112"/>
        <v>Prad 2</v>
      </c>
      <c r="E178" s="734"/>
      <c r="F178" s="74"/>
      <c r="G178" s="69">
        <f t="shared" ref="G178:R178" si="122">IF($D178=0,0,F689+F760)</f>
        <v>0</v>
      </c>
      <c r="H178" s="69">
        <f t="shared" si="122"/>
        <v>0</v>
      </c>
      <c r="I178" s="69">
        <f t="shared" si="122"/>
        <v>0</v>
      </c>
      <c r="J178" s="69">
        <f t="shared" si="114"/>
        <v>0</v>
      </c>
      <c r="K178" s="69">
        <f t="shared" si="122"/>
        <v>0</v>
      </c>
      <c r="L178" s="69">
        <f t="shared" si="122"/>
        <v>0</v>
      </c>
      <c r="M178" s="69">
        <f t="shared" si="122"/>
        <v>0</v>
      </c>
      <c r="N178" s="69">
        <f t="shared" si="122"/>
        <v>0</v>
      </c>
      <c r="O178" s="69">
        <f t="shared" si="122"/>
        <v>0</v>
      </c>
      <c r="P178" s="69">
        <f t="shared" si="122"/>
        <v>0</v>
      </c>
      <c r="Q178" s="69">
        <f t="shared" si="122"/>
        <v>0</v>
      </c>
      <c r="R178" s="83">
        <f t="shared" si="122"/>
        <v>0</v>
      </c>
      <c r="S178" s="5102"/>
      <c r="T178" s="2250" t="b">
        <f t="shared" si="115"/>
        <v>0</v>
      </c>
      <c r="U178" s="2245"/>
      <c r="V178" s="76" t="b">
        <f t="shared" si="117"/>
        <v>0</v>
      </c>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row>
    <row r="179" spans="1:136" x14ac:dyDescent="0.2">
      <c r="A179" s="6"/>
      <c r="D179" s="736" t="str">
        <f t="shared" si="112"/>
        <v>Prad 3</v>
      </c>
      <c r="E179" s="734"/>
      <c r="F179" s="74"/>
      <c r="G179" s="69">
        <f t="shared" ref="G179:R179" si="123">IF($D179=0,0,F690+F761)</f>
        <v>0</v>
      </c>
      <c r="H179" s="69">
        <f t="shared" si="123"/>
        <v>0</v>
      </c>
      <c r="I179" s="69">
        <f t="shared" si="123"/>
        <v>0</v>
      </c>
      <c r="J179" s="69">
        <f t="shared" si="114"/>
        <v>0</v>
      </c>
      <c r="K179" s="69">
        <f t="shared" si="123"/>
        <v>0</v>
      </c>
      <c r="L179" s="69">
        <f t="shared" si="123"/>
        <v>0</v>
      </c>
      <c r="M179" s="69">
        <f t="shared" si="123"/>
        <v>0</v>
      </c>
      <c r="N179" s="69">
        <f t="shared" si="123"/>
        <v>0</v>
      </c>
      <c r="O179" s="69">
        <f t="shared" si="123"/>
        <v>0</v>
      </c>
      <c r="P179" s="69">
        <f t="shared" si="123"/>
        <v>0</v>
      </c>
      <c r="Q179" s="69">
        <f t="shared" si="123"/>
        <v>0</v>
      </c>
      <c r="R179" s="83">
        <f t="shared" si="123"/>
        <v>0</v>
      </c>
      <c r="S179" s="5102"/>
      <c r="T179" s="2250" t="b">
        <f t="shared" si="115"/>
        <v>0</v>
      </c>
      <c r="U179" s="2245"/>
      <c r="V179" s="76" t="b">
        <f t="shared" si="117"/>
        <v>0</v>
      </c>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row>
    <row r="180" spans="1:136" x14ac:dyDescent="0.2">
      <c r="A180" s="6"/>
      <c r="D180" s="736" t="str">
        <f t="shared" si="112"/>
        <v>Prad 4</v>
      </c>
      <c r="E180" s="734"/>
      <c r="F180" s="74"/>
      <c r="G180" s="69">
        <f t="shared" ref="G180:R180" si="124">IF($D180=0,0,F691+F762)</f>
        <v>0</v>
      </c>
      <c r="H180" s="69">
        <f t="shared" si="124"/>
        <v>0</v>
      </c>
      <c r="I180" s="69">
        <f t="shared" si="124"/>
        <v>0</v>
      </c>
      <c r="J180" s="69">
        <f t="shared" si="114"/>
        <v>0</v>
      </c>
      <c r="K180" s="69">
        <f t="shared" si="124"/>
        <v>0</v>
      </c>
      <c r="L180" s="69">
        <f t="shared" si="124"/>
        <v>0</v>
      </c>
      <c r="M180" s="69">
        <f t="shared" si="124"/>
        <v>0</v>
      </c>
      <c r="N180" s="69">
        <f t="shared" si="124"/>
        <v>0</v>
      </c>
      <c r="O180" s="69">
        <f t="shared" si="124"/>
        <v>0</v>
      </c>
      <c r="P180" s="69">
        <f t="shared" si="124"/>
        <v>0</v>
      </c>
      <c r="Q180" s="69">
        <f t="shared" si="124"/>
        <v>0</v>
      </c>
      <c r="R180" s="83">
        <f t="shared" si="124"/>
        <v>0</v>
      </c>
      <c r="S180" s="5102"/>
      <c r="T180" s="2250" t="b">
        <f t="shared" si="115"/>
        <v>0</v>
      </c>
      <c r="U180" s="2245"/>
      <c r="V180" s="76" t="b">
        <f t="shared" si="117"/>
        <v>0</v>
      </c>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row>
    <row r="181" spans="1:136" x14ac:dyDescent="0.2">
      <c r="A181" s="6"/>
      <c r="D181" s="736" t="str">
        <f t="shared" si="112"/>
        <v>Trébol Rojo 2</v>
      </c>
      <c r="E181" s="734"/>
      <c r="F181" s="74"/>
      <c r="G181" s="69">
        <f t="shared" ref="G181:R181" si="125">IF($D181=0,0,F692+F763)</f>
        <v>0</v>
      </c>
      <c r="H181" s="69">
        <f t="shared" si="125"/>
        <v>0</v>
      </c>
      <c r="I181" s="69">
        <f t="shared" si="125"/>
        <v>0</v>
      </c>
      <c r="J181" s="69">
        <f t="shared" si="114"/>
        <v>0</v>
      </c>
      <c r="K181" s="69">
        <f t="shared" si="125"/>
        <v>0</v>
      </c>
      <c r="L181" s="69">
        <f t="shared" si="125"/>
        <v>0</v>
      </c>
      <c r="M181" s="69">
        <f t="shared" si="125"/>
        <v>0</v>
      </c>
      <c r="N181" s="69">
        <f t="shared" si="125"/>
        <v>0</v>
      </c>
      <c r="O181" s="69">
        <f t="shared" si="125"/>
        <v>0</v>
      </c>
      <c r="P181" s="69">
        <f t="shared" si="125"/>
        <v>0</v>
      </c>
      <c r="Q181" s="69">
        <f t="shared" si="125"/>
        <v>0</v>
      </c>
      <c r="R181" s="83">
        <f t="shared" si="125"/>
        <v>0</v>
      </c>
      <c r="S181" s="5102"/>
      <c r="T181" s="2250" t="b">
        <f t="shared" si="115"/>
        <v>0</v>
      </c>
      <c r="U181" s="2245"/>
      <c r="V181" s="76" t="b">
        <f t="shared" si="117"/>
        <v>0</v>
      </c>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row>
    <row r="182" spans="1:136" x14ac:dyDescent="0.2">
      <c r="A182" s="6"/>
      <c r="D182" s="736" t="str">
        <f t="shared" si="112"/>
        <v>Trébol Rojo 3</v>
      </c>
      <c r="E182" s="734"/>
      <c r="F182" s="74"/>
      <c r="G182" s="69">
        <f t="shared" ref="G182:R182" si="126">IF($D182=0,0,F693+F764)</f>
        <v>0</v>
      </c>
      <c r="H182" s="69">
        <f t="shared" si="126"/>
        <v>0</v>
      </c>
      <c r="I182" s="69">
        <f t="shared" si="126"/>
        <v>0</v>
      </c>
      <c r="J182" s="69">
        <f t="shared" si="114"/>
        <v>0</v>
      </c>
      <c r="K182" s="69">
        <f t="shared" si="126"/>
        <v>0</v>
      </c>
      <c r="L182" s="69">
        <f t="shared" si="126"/>
        <v>0</v>
      </c>
      <c r="M182" s="69">
        <f t="shared" si="126"/>
        <v>0</v>
      </c>
      <c r="N182" s="69">
        <f t="shared" si="126"/>
        <v>0</v>
      </c>
      <c r="O182" s="69">
        <f t="shared" si="126"/>
        <v>0</v>
      </c>
      <c r="P182" s="69">
        <f t="shared" si="126"/>
        <v>0</v>
      </c>
      <c r="Q182" s="69">
        <f t="shared" si="126"/>
        <v>0</v>
      </c>
      <c r="R182" s="83">
        <f t="shared" si="126"/>
        <v>0</v>
      </c>
      <c r="S182" s="5102"/>
      <c r="T182" s="2250" t="b">
        <f t="shared" si="115"/>
        <v>0</v>
      </c>
      <c r="U182" s="2245"/>
      <c r="V182" s="76" t="b">
        <f t="shared" si="117"/>
        <v>0</v>
      </c>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row>
    <row r="183" spans="1:136" x14ac:dyDescent="0.2">
      <c r="A183" s="6"/>
      <c r="D183" s="736" t="str">
        <f t="shared" si="112"/>
        <v>Alfalfa 5</v>
      </c>
      <c r="E183" s="734"/>
      <c r="F183" s="74"/>
      <c r="G183" s="69">
        <f t="shared" ref="G183:R183" si="127">IF($D183=0,0,F694+F765)</f>
        <v>0</v>
      </c>
      <c r="H183" s="69">
        <f t="shared" si="127"/>
        <v>0</v>
      </c>
      <c r="I183" s="69">
        <f t="shared" si="127"/>
        <v>0</v>
      </c>
      <c r="J183" s="69">
        <f t="shared" si="114"/>
        <v>0</v>
      </c>
      <c r="K183" s="69">
        <f t="shared" si="127"/>
        <v>0</v>
      </c>
      <c r="L183" s="69">
        <f t="shared" si="127"/>
        <v>0</v>
      </c>
      <c r="M183" s="69">
        <f t="shared" si="127"/>
        <v>0</v>
      </c>
      <c r="N183" s="69">
        <f t="shared" si="127"/>
        <v>0</v>
      </c>
      <c r="O183" s="69">
        <f t="shared" si="127"/>
        <v>0</v>
      </c>
      <c r="P183" s="69">
        <f t="shared" si="127"/>
        <v>0</v>
      </c>
      <c r="Q183" s="69">
        <f t="shared" si="127"/>
        <v>0</v>
      </c>
      <c r="R183" s="83">
        <f t="shared" si="127"/>
        <v>0</v>
      </c>
      <c r="S183" s="5102"/>
      <c r="T183" s="2250" t="b">
        <f t="shared" si="115"/>
        <v>0</v>
      </c>
      <c r="U183" s="2245"/>
      <c r="V183" s="76" t="b">
        <f t="shared" si="117"/>
        <v>0</v>
      </c>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row>
    <row r="184" spans="1:136" x14ac:dyDescent="0.2">
      <c r="A184" s="6"/>
      <c r="D184" s="736" t="str">
        <f t="shared" si="112"/>
        <v>PP 5</v>
      </c>
      <c r="E184" s="734"/>
      <c r="F184" s="74"/>
      <c r="G184" s="69">
        <f t="shared" ref="G184:R184" si="128">IF($D184=0,0,F695+F766)</f>
        <v>0</v>
      </c>
      <c r="H184" s="69">
        <f t="shared" si="128"/>
        <v>0</v>
      </c>
      <c r="I184" s="69">
        <f t="shared" si="128"/>
        <v>0</v>
      </c>
      <c r="J184" s="69">
        <f t="shared" si="114"/>
        <v>0</v>
      </c>
      <c r="K184" s="69">
        <f t="shared" si="128"/>
        <v>0</v>
      </c>
      <c r="L184" s="69">
        <f t="shared" si="128"/>
        <v>0</v>
      </c>
      <c r="M184" s="69">
        <f t="shared" si="128"/>
        <v>0</v>
      </c>
      <c r="N184" s="69">
        <f t="shared" si="128"/>
        <v>0</v>
      </c>
      <c r="O184" s="69">
        <f t="shared" si="128"/>
        <v>0</v>
      </c>
      <c r="P184" s="69">
        <f t="shared" si="128"/>
        <v>0</v>
      </c>
      <c r="Q184" s="69">
        <f t="shared" si="128"/>
        <v>0</v>
      </c>
      <c r="R184" s="83">
        <f t="shared" si="128"/>
        <v>0</v>
      </c>
      <c r="S184" s="5102"/>
      <c r="T184" s="2250" t="b">
        <f t="shared" si="115"/>
        <v>0</v>
      </c>
      <c r="U184" s="2245"/>
      <c r="V184" s="76" t="b">
        <f t="shared" si="117"/>
        <v>0</v>
      </c>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row>
    <row r="185" spans="1:136" ht="15.05" thickBot="1" x14ac:dyDescent="0.25">
      <c r="A185" s="6"/>
      <c r="D185" s="737">
        <f t="shared" si="112"/>
        <v>0</v>
      </c>
      <c r="E185" s="735"/>
      <c r="F185" s="77"/>
      <c r="G185" s="81">
        <f t="shared" ref="G185:R185" si="129">IF($D185=0,0,F696+F767)</f>
        <v>0</v>
      </c>
      <c r="H185" s="81">
        <f t="shared" si="129"/>
        <v>0</v>
      </c>
      <c r="I185" s="81">
        <f t="shared" si="129"/>
        <v>0</v>
      </c>
      <c r="J185" s="81">
        <f t="shared" si="114"/>
        <v>0</v>
      </c>
      <c r="K185" s="81">
        <f t="shared" si="129"/>
        <v>0</v>
      </c>
      <c r="L185" s="81">
        <f t="shared" si="129"/>
        <v>0</v>
      </c>
      <c r="M185" s="81">
        <f t="shared" si="129"/>
        <v>0</v>
      </c>
      <c r="N185" s="81">
        <f t="shared" si="129"/>
        <v>0</v>
      </c>
      <c r="O185" s="81">
        <f t="shared" si="129"/>
        <v>0</v>
      </c>
      <c r="P185" s="81">
        <f t="shared" si="129"/>
        <v>0</v>
      </c>
      <c r="Q185" s="81">
        <f t="shared" si="129"/>
        <v>0</v>
      </c>
      <c r="R185" s="84">
        <f t="shared" si="129"/>
        <v>0</v>
      </c>
      <c r="S185" s="5103"/>
      <c r="T185" s="2251" t="b">
        <f t="shared" si="115"/>
        <v>0</v>
      </c>
      <c r="U185" s="2246"/>
      <c r="V185" s="78" t="b">
        <f t="shared" ref="V185:V199" si="130">IF(U185&lt;&gt;0,U185,T185)</f>
        <v>0</v>
      </c>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row>
    <row r="186" spans="1:136" x14ac:dyDescent="0.2">
      <c r="A186" s="6"/>
      <c r="D186" s="91" t="str">
        <f t="shared" ref="D186:D194" si="131">+D317</f>
        <v>Avena</v>
      </c>
      <c r="E186" s="90"/>
      <c r="F186" s="90"/>
      <c r="G186" s="69">
        <f t="shared" ref="G186:R186" si="132">IF($D186=0,0,F698+F769)</f>
        <v>0</v>
      </c>
      <c r="H186" s="69">
        <f t="shared" si="132"/>
        <v>0</v>
      </c>
      <c r="I186" s="69">
        <f t="shared" si="132"/>
        <v>0</v>
      </c>
      <c r="J186" s="69">
        <f t="shared" ref="J186:J194" si="133">IF($D186=0,0,I698+I769)</f>
        <v>0</v>
      </c>
      <c r="K186" s="69">
        <f t="shared" si="132"/>
        <v>0</v>
      </c>
      <c r="L186" s="69">
        <f t="shared" si="132"/>
        <v>0</v>
      </c>
      <c r="M186" s="69">
        <f t="shared" si="132"/>
        <v>0</v>
      </c>
      <c r="N186" s="69">
        <f t="shared" si="132"/>
        <v>0</v>
      </c>
      <c r="O186" s="69">
        <f t="shared" si="132"/>
        <v>0</v>
      </c>
      <c r="P186" s="69">
        <f t="shared" si="132"/>
        <v>0</v>
      </c>
      <c r="Q186" s="69">
        <f t="shared" si="132"/>
        <v>0</v>
      </c>
      <c r="R186" s="83">
        <f t="shared" si="132"/>
        <v>0</v>
      </c>
      <c r="S186" s="5102"/>
      <c r="T186" s="2250" t="b">
        <f t="shared" si="115"/>
        <v>0</v>
      </c>
      <c r="U186" s="2245"/>
      <c r="V186" s="76" t="b">
        <f t="shared" si="130"/>
        <v>0</v>
      </c>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row>
    <row r="187" spans="1:136" x14ac:dyDescent="0.2">
      <c r="A187" s="6"/>
      <c r="D187" s="736" t="str">
        <f t="shared" si="131"/>
        <v>Raigrás</v>
      </c>
      <c r="E187" s="734"/>
      <c r="F187" s="74"/>
      <c r="G187" s="69">
        <f t="shared" ref="G187:R187" si="134">IF($D187=0,0,F699+F770)</f>
        <v>0</v>
      </c>
      <c r="H187" s="69">
        <f t="shared" si="134"/>
        <v>0</v>
      </c>
      <c r="I187" s="69">
        <f t="shared" si="134"/>
        <v>0</v>
      </c>
      <c r="J187" s="69">
        <f t="shared" si="133"/>
        <v>0</v>
      </c>
      <c r="K187" s="69">
        <f t="shared" si="134"/>
        <v>0</v>
      </c>
      <c r="L187" s="69">
        <f t="shared" si="134"/>
        <v>0</v>
      </c>
      <c r="M187" s="69">
        <f t="shared" si="134"/>
        <v>0</v>
      </c>
      <c r="N187" s="69">
        <f t="shared" si="134"/>
        <v>0</v>
      </c>
      <c r="O187" s="69">
        <f t="shared" si="134"/>
        <v>0</v>
      </c>
      <c r="P187" s="69">
        <f t="shared" si="134"/>
        <v>0</v>
      </c>
      <c r="Q187" s="69">
        <f t="shared" si="134"/>
        <v>0</v>
      </c>
      <c r="R187" s="70">
        <f t="shared" si="134"/>
        <v>0</v>
      </c>
      <c r="S187" s="5102"/>
      <c r="T187" s="2250" t="b">
        <f t="shared" si="115"/>
        <v>0</v>
      </c>
      <c r="U187" s="2245"/>
      <c r="V187" s="76" t="b">
        <f t="shared" si="130"/>
        <v>0</v>
      </c>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row>
    <row r="188" spans="1:136" x14ac:dyDescent="0.2">
      <c r="A188" s="6"/>
      <c r="D188" s="736" t="str">
        <f t="shared" si="131"/>
        <v>Av+Rg</v>
      </c>
      <c r="E188" s="734"/>
      <c r="F188" s="74"/>
      <c r="G188" s="69">
        <f t="shared" ref="G188:R188" si="135">IF($D188=0,0,F700+F771)</f>
        <v>0</v>
      </c>
      <c r="H188" s="69">
        <f t="shared" si="135"/>
        <v>0</v>
      </c>
      <c r="I188" s="69">
        <f t="shared" si="135"/>
        <v>0</v>
      </c>
      <c r="J188" s="69">
        <f t="shared" si="133"/>
        <v>0</v>
      </c>
      <c r="K188" s="69">
        <f t="shared" si="135"/>
        <v>0</v>
      </c>
      <c r="L188" s="69">
        <f t="shared" si="135"/>
        <v>0</v>
      </c>
      <c r="M188" s="69">
        <f t="shared" si="135"/>
        <v>0</v>
      </c>
      <c r="N188" s="69">
        <f t="shared" si="135"/>
        <v>0</v>
      </c>
      <c r="O188" s="69">
        <f t="shared" si="135"/>
        <v>0</v>
      </c>
      <c r="P188" s="69">
        <f t="shared" si="135"/>
        <v>0</v>
      </c>
      <c r="Q188" s="69">
        <f t="shared" si="135"/>
        <v>0</v>
      </c>
      <c r="R188" s="70">
        <f t="shared" si="135"/>
        <v>0</v>
      </c>
      <c r="S188" s="5102"/>
      <c r="T188" s="2250" t="b">
        <f t="shared" si="115"/>
        <v>0</v>
      </c>
      <c r="U188" s="2245"/>
      <c r="V188" s="76" t="b">
        <f t="shared" si="130"/>
        <v>0</v>
      </c>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row>
    <row r="189" spans="1:136" x14ac:dyDescent="0.2">
      <c r="A189" s="6"/>
      <c r="D189" s="736" t="str">
        <f t="shared" si="131"/>
        <v>Rg Ciclo Largo</v>
      </c>
      <c r="E189" s="734"/>
      <c r="F189" s="74"/>
      <c r="G189" s="69">
        <f t="shared" ref="G189:R189" si="136">IF($D189=0,0,F701+F772)</f>
        <v>0</v>
      </c>
      <c r="H189" s="69">
        <f t="shared" si="136"/>
        <v>0</v>
      </c>
      <c r="I189" s="69">
        <f t="shared" si="136"/>
        <v>0</v>
      </c>
      <c r="J189" s="69">
        <f t="shared" si="133"/>
        <v>0</v>
      </c>
      <c r="K189" s="69">
        <f t="shared" si="136"/>
        <v>0</v>
      </c>
      <c r="L189" s="69">
        <f t="shared" si="136"/>
        <v>0</v>
      </c>
      <c r="M189" s="69">
        <f t="shared" si="136"/>
        <v>0</v>
      </c>
      <c r="N189" s="69">
        <f t="shared" si="136"/>
        <v>0</v>
      </c>
      <c r="O189" s="69">
        <f t="shared" si="136"/>
        <v>0</v>
      </c>
      <c r="P189" s="69">
        <f t="shared" si="136"/>
        <v>0</v>
      </c>
      <c r="Q189" s="69">
        <f t="shared" si="136"/>
        <v>0</v>
      </c>
      <c r="R189" s="70">
        <f t="shared" si="136"/>
        <v>0</v>
      </c>
      <c r="S189" s="5102"/>
      <c r="T189" s="2250" t="b">
        <f t="shared" si="115"/>
        <v>0</v>
      </c>
      <c r="U189" s="2245"/>
      <c r="V189" s="76" t="b">
        <f t="shared" si="130"/>
        <v>0</v>
      </c>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row>
    <row r="190" spans="1:136" x14ac:dyDescent="0.2">
      <c r="A190" s="6"/>
      <c r="D190" s="736" t="str">
        <f t="shared" si="131"/>
        <v>Trigo pastoreo</v>
      </c>
      <c r="E190" s="734"/>
      <c r="F190" s="74"/>
      <c r="G190" s="69">
        <f t="shared" ref="G190:R190" si="137">IF($D190=0,0,F702+F773)</f>
        <v>0</v>
      </c>
      <c r="H190" s="69">
        <f t="shared" si="137"/>
        <v>0</v>
      </c>
      <c r="I190" s="69">
        <f t="shared" si="137"/>
        <v>0</v>
      </c>
      <c r="J190" s="69">
        <f t="shared" si="133"/>
        <v>0</v>
      </c>
      <c r="K190" s="69">
        <f t="shared" si="137"/>
        <v>0</v>
      </c>
      <c r="L190" s="69">
        <f t="shared" si="137"/>
        <v>0</v>
      </c>
      <c r="M190" s="69">
        <f t="shared" si="137"/>
        <v>0</v>
      </c>
      <c r="N190" s="69">
        <f t="shared" si="137"/>
        <v>0</v>
      </c>
      <c r="O190" s="69">
        <f t="shared" si="137"/>
        <v>0</v>
      </c>
      <c r="P190" s="69">
        <f t="shared" si="137"/>
        <v>0</v>
      </c>
      <c r="Q190" s="69">
        <f t="shared" si="137"/>
        <v>0</v>
      </c>
      <c r="R190" s="70">
        <f t="shared" si="137"/>
        <v>0</v>
      </c>
      <c r="S190" s="5102"/>
      <c r="T190" s="2250" t="b">
        <f t="shared" si="115"/>
        <v>0</v>
      </c>
      <c r="U190" s="2245"/>
      <c r="V190" s="76" t="b">
        <f t="shared" si="130"/>
        <v>0</v>
      </c>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row>
    <row r="191" spans="1:136" x14ac:dyDescent="0.2">
      <c r="A191" s="6"/>
      <c r="D191" s="736" t="str">
        <f t="shared" si="131"/>
        <v>Cebada pastoreo</v>
      </c>
      <c r="E191" s="734"/>
      <c r="F191" s="74"/>
      <c r="G191" s="69">
        <f t="shared" ref="G191:R191" si="138">IF($D191=0,0,F703+F774)</f>
        <v>0</v>
      </c>
      <c r="H191" s="69">
        <f t="shared" si="138"/>
        <v>0</v>
      </c>
      <c r="I191" s="69">
        <f t="shared" si="138"/>
        <v>0</v>
      </c>
      <c r="J191" s="69">
        <f t="shared" si="133"/>
        <v>0</v>
      </c>
      <c r="K191" s="69">
        <f t="shared" si="138"/>
        <v>0</v>
      </c>
      <c r="L191" s="69">
        <f t="shared" si="138"/>
        <v>0</v>
      </c>
      <c r="M191" s="69">
        <f t="shared" si="138"/>
        <v>0</v>
      </c>
      <c r="N191" s="69">
        <f t="shared" si="138"/>
        <v>0</v>
      </c>
      <c r="O191" s="69">
        <f t="shared" si="138"/>
        <v>0</v>
      </c>
      <c r="P191" s="69">
        <f t="shared" si="138"/>
        <v>0</v>
      </c>
      <c r="Q191" s="69">
        <f t="shared" si="138"/>
        <v>0</v>
      </c>
      <c r="R191" s="70">
        <f t="shared" si="138"/>
        <v>0</v>
      </c>
      <c r="S191" s="5102"/>
      <c r="T191" s="2250" t="b">
        <f t="shared" si="115"/>
        <v>0</v>
      </c>
      <c r="U191" s="2245"/>
      <c r="V191" s="76" t="b">
        <f t="shared" si="130"/>
        <v>0</v>
      </c>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row>
    <row r="192" spans="1:136" x14ac:dyDescent="0.2">
      <c r="A192" s="6"/>
      <c r="D192" s="736" t="str">
        <f t="shared" si="131"/>
        <v>InterS. Rg</v>
      </c>
      <c r="E192" s="734"/>
      <c r="F192" s="74"/>
      <c r="G192" s="69">
        <f t="shared" ref="G192:R192" si="139">IF($D192=0,0,F704+F775)</f>
        <v>0</v>
      </c>
      <c r="H192" s="69">
        <f t="shared" si="139"/>
        <v>0</v>
      </c>
      <c r="I192" s="69">
        <f t="shared" si="139"/>
        <v>0</v>
      </c>
      <c r="J192" s="69">
        <f t="shared" si="133"/>
        <v>0</v>
      </c>
      <c r="K192" s="69">
        <f t="shared" si="139"/>
        <v>0</v>
      </c>
      <c r="L192" s="69">
        <f t="shared" si="139"/>
        <v>0</v>
      </c>
      <c r="M192" s="69">
        <f t="shared" si="139"/>
        <v>0</v>
      </c>
      <c r="N192" s="69">
        <f t="shared" si="139"/>
        <v>0</v>
      </c>
      <c r="O192" s="69">
        <f t="shared" si="139"/>
        <v>0</v>
      </c>
      <c r="P192" s="69">
        <f t="shared" si="139"/>
        <v>0</v>
      </c>
      <c r="Q192" s="69">
        <f t="shared" si="139"/>
        <v>0</v>
      </c>
      <c r="R192" s="70">
        <f t="shared" si="139"/>
        <v>0</v>
      </c>
      <c r="S192" s="5102"/>
      <c r="T192" s="2250" t="b">
        <f t="shared" si="115"/>
        <v>0</v>
      </c>
      <c r="U192" s="2245"/>
      <c r="V192" s="76" t="b">
        <f t="shared" si="130"/>
        <v>0</v>
      </c>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row>
    <row r="193" spans="1:136" x14ac:dyDescent="0.2">
      <c r="A193" s="6"/>
      <c r="D193" s="736">
        <f t="shared" si="131"/>
        <v>0</v>
      </c>
      <c r="E193" s="734"/>
      <c r="F193" s="74"/>
      <c r="G193" s="69">
        <f t="shared" ref="G193:R193" si="140">IF($D193=0,0,F705+F776)</f>
        <v>0</v>
      </c>
      <c r="H193" s="69">
        <f t="shared" si="140"/>
        <v>0</v>
      </c>
      <c r="I193" s="69">
        <f t="shared" si="140"/>
        <v>0</v>
      </c>
      <c r="J193" s="69">
        <f t="shared" si="133"/>
        <v>0</v>
      </c>
      <c r="K193" s="69">
        <f t="shared" si="140"/>
        <v>0</v>
      </c>
      <c r="L193" s="69">
        <f t="shared" si="140"/>
        <v>0</v>
      </c>
      <c r="M193" s="69">
        <f t="shared" si="140"/>
        <v>0</v>
      </c>
      <c r="N193" s="69">
        <f t="shared" si="140"/>
        <v>0</v>
      </c>
      <c r="O193" s="69">
        <f t="shared" si="140"/>
        <v>0</v>
      </c>
      <c r="P193" s="69">
        <f t="shared" si="140"/>
        <v>0</v>
      </c>
      <c r="Q193" s="69">
        <f t="shared" si="140"/>
        <v>0</v>
      </c>
      <c r="R193" s="70">
        <f t="shared" si="140"/>
        <v>0</v>
      </c>
      <c r="S193" s="5102"/>
      <c r="T193" s="2250" t="b">
        <f t="shared" si="115"/>
        <v>0</v>
      </c>
      <c r="U193" s="2245"/>
      <c r="V193" s="76" t="b">
        <f t="shared" si="130"/>
        <v>0</v>
      </c>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row>
    <row r="194" spans="1:136" ht="15.05" thickBot="1" x14ac:dyDescent="0.25">
      <c r="A194" s="6"/>
      <c r="D194" s="737">
        <f t="shared" si="131"/>
        <v>0</v>
      </c>
      <c r="E194" s="735"/>
      <c r="F194" s="77"/>
      <c r="G194" s="81">
        <f t="shared" ref="G194:R194" si="141">IF($D194=0,0,F706+F777)</f>
        <v>0</v>
      </c>
      <c r="H194" s="81">
        <f t="shared" si="141"/>
        <v>0</v>
      </c>
      <c r="I194" s="81">
        <f t="shared" si="141"/>
        <v>0</v>
      </c>
      <c r="J194" s="81">
        <f t="shared" si="133"/>
        <v>0</v>
      </c>
      <c r="K194" s="81">
        <f t="shared" si="141"/>
        <v>0</v>
      </c>
      <c r="L194" s="81">
        <f t="shared" si="141"/>
        <v>0</v>
      </c>
      <c r="M194" s="81">
        <f t="shared" si="141"/>
        <v>0</v>
      </c>
      <c r="N194" s="81">
        <f t="shared" si="141"/>
        <v>0</v>
      </c>
      <c r="O194" s="81">
        <f t="shared" si="141"/>
        <v>0</v>
      </c>
      <c r="P194" s="81">
        <f t="shared" si="141"/>
        <v>0</v>
      </c>
      <c r="Q194" s="81">
        <f t="shared" si="141"/>
        <v>0</v>
      </c>
      <c r="R194" s="82">
        <f t="shared" si="141"/>
        <v>0</v>
      </c>
      <c r="S194" s="5103"/>
      <c r="T194" s="2251" t="b">
        <f t="shared" si="115"/>
        <v>0</v>
      </c>
      <c r="U194" s="2246"/>
      <c r="V194" s="78" t="b">
        <f t="shared" si="130"/>
        <v>0</v>
      </c>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row>
    <row r="195" spans="1:136" x14ac:dyDescent="0.2">
      <c r="A195" s="6"/>
      <c r="D195" s="91" t="str">
        <f>+D327</f>
        <v>Sorgo Forrajero</v>
      </c>
      <c r="E195" s="90"/>
      <c r="F195" s="90"/>
      <c r="G195" s="79">
        <f t="shared" ref="G195:R195" si="142">IF($D195=0,0,F708+F779)</f>
        <v>0</v>
      </c>
      <c r="H195" s="79">
        <f t="shared" si="142"/>
        <v>0</v>
      </c>
      <c r="I195" s="79">
        <f t="shared" si="142"/>
        <v>0</v>
      </c>
      <c r="J195" s="79">
        <f>IF($D195=0,0,I708+I779)</f>
        <v>0</v>
      </c>
      <c r="K195" s="79">
        <f t="shared" si="142"/>
        <v>0</v>
      </c>
      <c r="L195" s="79">
        <f t="shared" si="142"/>
        <v>0</v>
      </c>
      <c r="M195" s="79">
        <f t="shared" si="142"/>
        <v>0</v>
      </c>
      <c r="N195" s="79">
        <f t="shared" si="142"/>
        <v>0</v>
      </c>
      <c r="O195" s="79">
        <f t="shared" si="142"/>
        <v>0</v>
      </c>
      <c r="P195" s="79">
        <f t="shared" si="142"/>
        <v>0</v>
      </c>
      <c r="Q195" s="79">
        <f t="shared" si="142"/>
        <v>0</v>
      </c>
      <c r="R195" s="288">
        <f t="shared" si="142"/>
        <v>0</v>
      </c>
      <c r="S195" s="5102"/>
      <c r="T195" s="2250" t="b">
        <f t="shared" si="115"/>
        <v>0</v>
      </c>
      <c r="U195" s="2245"/>
      <c r="V195" s="76" t="b">
        <f t="shared" si="130"/>
        <v>0</v>
      </c>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row>
    <row r="196" spans="1:136" x14ac:dyDescent="0.2">
      <c r="A196" s="6"/>
      <c r="D196" s="736" t="str">
        <f>+D328</f>
        <v xml:space="preserve">Sudan </v>
      </c>
      <c r="E196" s="734"/>
      <c r="F196" s="74"/>
      <c r="G196" s="69">
        <f t="shared" ref="G196:R196" si="143">IF($D196=0,0,F709+F780)</f>
        <v>0</v>
      </c>
      <c r="H196" s="69">
        <f t="shared" si="143"/>
        <v>0</v>
      </c>
      <c r="I196" s="69">
        <f t="shared" si="143"/>
        <v>0</v>
      </c>
      <c r="J196" s="69">
        <f>IF($D196=0,0,I709+I780)</f>
        <v>0</v>
      </c>
      <c r="K196" s="69">
        <f t="shared" si="143"/>
        <v>0</v>
      </c>
      <c r="L196" s="69">
        <f t="shared" si="143"/>
        <v>0</v>
      </c>
      <c r="M196" s="69">
        <f t="shared" si="143"/>
        <v>0</v>
      </c>
      <c r="N196" s="69">
        <f t="shared" si="143"/>
        <v>0</v>
      </c>
      <c r="O196" s="69">
        <f t="shared" si="143"/>
        <v>0</v>
      </c>
      <c r="P196" s="69">
        <f t="shared" si="143"/>
        <v>0</v>
      </c>
      <c r="Q196" s="69">
        <f t="shared" si="143"/>
        <v>0</v>
      </c>
      <c r="R196" s="70">
        <f t="shared" si="143"/>
        <v>0</v>
      </c>
      <c r="S196" s="5102"/>
      <c r="T196" s="2250" t="b">
        <f t="shared" si="115"/>
        <v>0</v>
      </c>
      <c r="U196" s="2245"/>
      <c r="V196" s="76" t="b">
        <f t="shared" si="130"/>
        <v>0</v>
      </c>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row>
    <row r="197" spans="1:136" x14ac:dyDescent="0.2">
      <c r="A197" s="6"/>
      <c r="D197" s="736">
        <f>+D329</f>
        <v>0</v>
      </c>
      <c r="E197" s="734"/>
      <c r="F197" s="74"/>
      <c r="G197" s="69">
        <f t="shared" ref="G197:R197" si="144">IF($D197=0,0,F710+F781)</f>
        <v>0</v>
      </c>
      <c r="H197" s="69">
        <f t="shared" si="144"/>
        <v>0</v>
      </c>
      <c r="I197" s="69">
        <f t="shared" si="144"/>
        <v>0</v>
      </c>
      <c r="J197" s="69">
        <f>IF($D197=0,0,I710+I781)</f>
        <v>0</v>
      </c>
      <c r="K197" s="69">
        <f t="shared" si="144"/>
        <v>0</v>
      </c>
      <c r="L197" s="69">
        <f t="shared" si="144"/>
        <v>0</v>
      </c>
      <c r="M197" s="69">
        <f t="shared" si="144"/>
        <v>0</v>
      </c>
      <c r="N197" s="69">
        <f t="shared" si="144"/>
        <v>0</v>
      </c>
      <c r="O197" s="69">
        <f t="shared" si="144"/>
        <v>0</v>
      </c>
      <c r="P197" s="69">
        <f t="shared" si="144"/>
        <v>0</v>
      </c>
      <c r="Q197" s="69">
        <f t="shared" si="144"/>
        <v>0</v>
      </c>
      <c r="R197" s="70">
        <f t="shared" si="144"/>
        <v>0</v>
      </c>
      <c r="S197" s="5102"/>
      <c r="T197" s="2250" t="b">
        <f t="shared" si="115"/>
        <v>0</v>
      </c>
      <c r="U197" s="2245"/>
      <c r="V197" s="76" t="b">
        <f t="shared" si="130"/>
        <v>0</v>
      </c>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row>
    <row r="198" spans="1:136" x14ac:dyDescent="0.2">
      <c r="A198" s="6"/>
      <c r="D198" s="736">
        <f>+D330</f>
        <v>0</v>
      </c>
      <c r="E198" s="734"/>
      <c r="F198" s="74"/>
      <c r="G198" s="69">
        <f t="shared" ref="G198:R198" si="145">IF($D198=0,0,F711+F782)</f>
        <v>0</v>
      </c>
      <c r="H198" s="69">
        <f t="shared" si="145"/>
        <v>0</v>
      </c>
      <c r="I198" s="69">
        <f t="shared" si="145"/>
        <v>0</v>
      </c>
      <c r="J198" s="69">
        <f>IF($D198=0,0,I711+I782)</f>
        <v>0</v>
      </c>
      <c r="K198" s="69">
        <f t="shared" si="145"/>
        <v>0</v>
      </c>
      <c r="L198" s="69">
        <f t="shared" si="145"/>
        <v>0</v>
      </c>
      <c r="M198" s="69">
        <f t="shared" si="145"/>
        <v>0</v>
      </c>
      <c r="N198" s="69">
        <f t="shared" si="145"/>
        <v>0</v>
      </c>
      <c r="O198" s="69">
        <f t="shared" si="145"/>
        <v>0</v>
      </c>
      <c r="P198" s="69">
        <f t="shared" si="145"/>
        <v>0</v>
      </c>
      <c r="Q198" s="69">
        <f t="shared" si="145"/>
        <v>0</v>
      </c>
      <c r="R198" s="83">
        <f t="shared" si="145"/>
        <v>0</v>
      </c>
      <c r="S198" s="5102"/>
      <c r="T198" s="2250" t="b">
        <f t="shared" si="115"/>
        <v>0</v>
      </c>
      <c r="U198" s="2245"/>
      <c r="V198" s="76" t="b">
        <f t="shared" si="130"/>
        <v>0</v>
      </c>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row>
    <row r="199" spans="1:136" ht="15.05" thickBot="1" x14ac:dyDescent="0.25">
      <c r="A199" s="6"/>
      <c r="D199" s="737">
        <f>+D331</f>
        <v>0</v>
      </c>
      <c r="E199" s="735"/>
      <c r="F199" s="77"/>
      <c r="G199" s="81">
        <f t="shared" ref="G199:R199" si="146">IF($D199=0,0,F712+F783)</f>
        <v>0</v>
      </c>
      <c r="H199" s="81">
        <f t="shared" si="146"/>
        <v>0</v>
      </c>
      <c r="I199" s="81">
        <f t="shared" si="146"/>
        <v>0</v>
      </c>
      <c r="J199" s="81">
        <f>IF($D199=0,0,I712+I783)</f>
        <v>0</v>
      </c>
      <c r="K199" s="81">
        <f t="shared" si="146"/>
        <v>0</v>
      </c>
      <c r="L199" s="81">
        <f t="shared" si="146"/>
        <v>0</v>
      </c>
      <c r="M199" s="81">
        <f t="shared" si="146"/>
        <v>0</v>
      </c>
      <c r="N199" s="81">
        <f t="shared" si="146"/>
        <v>0</v>
      </c>
      <c r="O199" s="81">
        <f t="shared" si="146"/>
        <v>0</v>
      </c>
      <c r="P199" s="81">
        <f t="shared" si="146"/>
        <v>0</v>
      </c>
      <c r="Q199" s="81">
        <f t="shared" si="146"/>
        <v>0</v>
      </c>
      <c r="R199" s="84">
        <f t="shared" si="146"/>
        <v>0</v>
      </c>
      <c r="S199" s="5103"/>
      <c r="T199" s="2251" t="b">
        <f t="shared" si="115"/>
        <v>0</v>
      </c>
      <c r="U199" s="2246"/>
      <c r="V199" s="78" t="b">
        <f t="shared" si="130"/>
        <v>0</v>
      </c>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row>
    <row r="200" spans="1:136" x14ac:dyDescent="0.2">
      <c r="A200" s="6"/>
      <c r="D200" s="91" t="str">
        <f t="shared" ref="D200:D205" si="147">+D333</f>
        <v>Maíz Silo</v>
      </c>
      <c r="E200" s="90"/>
      <c r="F200" s="90"/>
      <c r="G200" s="79">
        <f t="shared" ref="G200:R200" si="148">IF($D200=0,0,F714+F785)</f>
        <v>0</v>
      </c>
      <c r="H200" s="79">
        <f t="shared" si="148"/>
        <v>0</v>
      </c>
      <c r="I200" s="79">
        <f t="shared" si="148"/>
        <v>0</v>
      </c>
      <c r="J200" s="79">
        <f t="shared" ref="J200:J205" si="149">IF($D200=0,0,I714+I785)</f>
        <v>0</v>
      </c>
      <c r="K200" s="79">
        <f t="shared" si="148"/>
        <v>0</v>
      </c>
      <c r="L200" s="79">
        <f t="shared" si="148"/>
        <v>0</v>
      </c>
      <c r="M200" s="79">
        <f t="shared" si="148"/>
        <v>0</v>
      </c>
      <c r="N200" s="79">
        <f t="shared" si="148"/>
        <v>0</v>
      </c>
      <c r="O200" s="79">
        <f t="shared" si="148"/>
        <v>0</v>
      </c>
      <c r="P200" s="79">
        <f t="shared" si="148"/>
        <v>0</v>
      </c>
      <c r="Q200" s="79">
        <f t="shared" si="148"/>
        <v>0</v>
      </c>
      <c r="R200" s="288">
        <f t="shared" si="148"/>
        <v>0</v>
      </c>
      <c r="S200" s="5104"/>
      <c r="T200" s="2252" t="b">
        <f t="shared" si="115"/>
        <v>0</v>
      </c>
      <c r="U200" s="2244"/>
      <c r="V200" s="72" t="b">
        <f t="shared" ref="V200:V210" si="150">IF(U200&lt;&gt;0,U200,T200)</f>
        <v>0</v>
      </c>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row>
    <row r="201" spans="1:136" x14ac:dyDescent="0.2">
      <c r="A201" s="6"/>
      <c r="D201" s="736" t="str">
        <f t="shared" si="147"/>
        <v>Sorgo silo</v>
      </c>
      <c r="E201" s="734"/>
      <c r="F201" s="74"/>
      <c r="G201" s="69">
        <f t="shared" ref="G201:R201" si="151">IF($D201=0,0,F715+F786)</f>
        <v>0</v>
      </c>
      <c r="H201" s="69">
        <f t="shared" si="151"/>
        <v>0</v>
      </c>
      <c r="I201" s="69">
        <f t="shared" si="151"/>
        <v>0</v>
      </c>
      <c r="J201" s="69">
        <f t="shared" si="149"/>
        <v>0</v>
      </c>
      <c r="K201" s="69">
        <f t="shared" si="151"/>
        <v>0</v>
      </c>
      <c r="L201" s="69">
        <f t="shared" si="151"/>
        <v>0</v>
      </c>
      <c r="M201" s="69">
        <f t="shared" si="151"/>
        <v>0</v>
      </c>
      <c r="N201" s="69">
        <f t="shared" si="151"/>
        <v>0</v>
      </c>
      <c r="O201" s="69">
        <f t="shared" si="151"/>
        <v>0</v>
      </c>
      <c r="P201" s="69">
        <f t="shared" si="151"/>
        <v>0</v>
      </c>
      <c r="Q201" s="69">
        <f t="shared" si="151"/>
        <v>0</v>
      </c>
      <c r="R201" s="70">
        <f t="shared" si="151"/>
        <v>0</v>
      </c>
      <c r="S201" s="5102"/>
      <c r="T201" s="2250" t="b">
        <f t="shared" si="115"/>
        <v>0</v>
      </c>
      <c r="U201" s="2245"/>
      <c r="V201" s="76" t="b">
        <f t="shared" si="150"/>
        <v>0</v>
      </c>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row>
    <row r="202" spans="1:136" x14ac:dyDescent="0.2">
      <c r="A202" s="6"/>
      <c r="D202" s="736" t="str">
        <f t="shared" si="147"/>
        <v>Moha</v>
      </c>
      <c r="E202" s="734"/>
      <c r="F202" s="74"/>
      <c r="G202" s="69">
        <f t="shared" ref="G202:R202" si="152">IF($D202=0,0,F716+F787)</f>
        <v>0</v>
      </c>
      <c r="H202" s="69">
        <f t="shared" si="152"/>
        <v>0</v>
      </c>
      <c r="I202" s="69">
        <f t="shared" si="152"/>
        <v>0</v>
      </c>
      <c r="J202" s="69">
        <f t="shared" si="149"/>
        <v>0</v>
      </c>
      <c r="K202" s="69">
        <f t="shared" si="152"/>
        <v>0</v>
      </c>
      <c r="L202" s="69">
        <f t="shared" si="152"/>
        <v>0</v>
      </c>
      <c r="M202" s="69">
        <f t="shared" si="152"/>
        <v>0</v>
      </c>
      <c r="N202" s="69">
        <f t="shared" si="152"/>
        <v>0</v>
      </c>
      <c r="O202" s="69">
        <f t="shared" si="152"/>
        <v>0</v>
      </c>
      <c r="P202" s="69">
        <f t="shared" si="152"/>
        <v>0</v>
      </c>
      <c r="Q202" s="69">
        <f t="shared" si="152"/>
        <v>0</v>
      </c>
      <c r="R202" s="70">
        <f t="shared" si="152"/>
        <v>0</v>
      </c>
      <c r="S202" s="5102"/>
      <c r="T202" s="2250" t="b">
        <f t="shared" si="115"/>
        <v>0</v>
      </c>
      <c r="U202" s="2245"/>
      <c r="V202" s="76" t="b">
        <f t="shared" si="150"/>
        <v>0</v>
      </c>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row>
    <row r="203" spans="1:136" x14ac:dyDescent="0.2">
      <c r="A203" s="6"/>
      <c r="D203" s="736" t="str">
        <f t="shared" si="147"/>
        <v>Soja reserva</v>
      </c>
      <c r="E203" s="734"/>
      <c r="F203" s="74"/>
      <c r="G203" s="69">
        <f t="shared" ref="G203:R203" si="153">IF($D203=0,0,F717+F788)</f>
        <v>0</v>
      </c>
      <c r="H203" s="69">
        <f t="shared" si="153"/>
        <v>0</v>
      </c>
      <c r="I203" s="69">
        <f t="shared" si="153"/>
        <v>0</v>
      </c>
      <c r="J203" s="69">
        <f t="shared" si="149"/>
        <v>0</v>
      </c>
      <c r="K203" s="69">
        <f t="shared" si="153"/>
        <v>0</v>
      </c>
      <c r="L203" s="69">
        <f t="shared" si="153"/>
        <v>0</v>
      </c>
      <c r="M203" s="69">
        <f t="shared" si="153"/>
        <v>0</v>
      </c>
      <c r="N203" s="69">
        <f t="shared" si="153"/>
        <v>0</v>
      </c>
      <c r="O203" s="69">
        <f t="shared" si="153"/>
        <v>0</v>
      </c>
      <c r="P203" s="69">
        <f t="shared" si="153"/>
        <v>0</v>
      </c>
      <c r="Q203" s="69">
        <f t="shared" si="153"/>
        <v>0</v>
      </c>
      <c r="R203" s="83">
        <f t="shared" si="153"/>
        <v>0</v>
      </c>
      <c r="S203" s="5102"/>
      <c r="T203" s="2250" t="b">
        <f t="shared" si="115"/>
        <v>0</v>
      </c>
      <c r="U203" s="2245"/>
      <c r="V203" s="76" t="b">
        <f t="shared" si="150"/>
        <v>0</v>
      </c>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row>
    <row r="204" spans="1:136" x14ac:dyDescent="0.2">
      <c r="A204" s="6"/>
      <c r="D204" s="736">
        <f t="shared" si="147"/>
        <v>0</v>
      </c>
      <c r="E204" s="734"/>
      <c r="F204" s="74"/>
      <c r="G204" s="69">
        <f t="shared" ref="G204:R204" si="154">IF($D204=0,0,F718+F789)</f>
        <v>0</v>
      </c>
      <c r="H204" s="69">
        <f t="shared" si="154"/>
        <v>0</v>
      </c>
      <c r="I204" s="69">
        <f t="shared" si="154"/>
        <v>0</v>
      </c>
      <c r="J204" s="69">
        <f t="shared" si="149"/>
        <v>0</v>
      </c>
      <c r="K204" s="69">
        <f t="shared" si="154"/>
        <v>0</v>
      </c>
      <c r="L204" s="69">
        <f t="shared" si="154"/>
        <v>0</v>
      </c>
      <c r="M204" s="69">
        <f t="shared" si="154"/>
        <v>0</v>
      </c>
      <c r="N204" s="69">
        <f t="shared" si="154"/>
        <v>0</v>
      </c>
      <c r="O204" s="69">
        <f t="shared" si="154"/>
        <v>0</v>
      </c>
      <c r="P204" s="69">
        <f t="shared" si="154"/>
        <v>0</v>
      </c>
      <c r="Q204" s="69">
        <f t="shared" si="154"/>
        <v>0</v>
      </c>
      <c r="R204" s="83">
        <f t="shared" si="154"/>
        <v>0</v>
      </c>
      <c r="S204" s="5102"/>
      <c r="T204" s="2250" t="b">
        <f t="shared" si="115"/>
        <v>0</v>
      </c>
      <c r="U204" s="2245"/>
      <c r="V204" s="76" t="b">
        <f t="shared" si="150"/>
        <v>0</v>
      </c>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row>
    <row r="205" spans="1:136" ht="15.05" thickBot="1" x14ac:dyDescent="0.25">
      <c r="A205" s="6"/>
      <c r="D205" s="737">
        <f t="shared" si="147"/>
        <v>0</v>
      </c>
      <c r="E205" s="735"/>
      <c r="F205" s="77"/>
      <c r="G205" s="81">
        <f t="shared" ref="G205:R205" si="155">IF($D205=0,0,F719+F790)</f>
        <v>0</v>
      </c>
      <c r="H205" s="81">
        <f t="shared" si="155"/>
        <v>0</v>
      </c>
      <c r="I205" s="81">
        <f t="shared" si="155"/>
        <v>0</v>
      </c>
      <c r="J205" s="81">
        <f t="shared" si="149"/>
        <v>0</v>
      </c>
      <c r="K205" s="81">
        <f t="shared" si="155"/>
        <v>0</v>
      </c>
      <c r="L205" s="81">
        <f t="shared" si="155"/>
        <v>0</v>
      </c>
      <c r="M205" s="81">
        <f t="shared" si="155"/>
        <v>0</v>
      </c>
      <c r="N205" s="81">
        <f t="shared" si="155"/>
        <v>0</v>
      </c>
      <c r="O205" s="81">
        <f t="shared" si="155"/>
        <v>0</v>
      </c>
      <c r="P205" s="81">
        <f t="shared" si="155"/>
        <v>0</v>
      </c>
      <c r="Q205" s="81">
        <f t="shared" si="155"/>
        <v>0</v>
      </c>
      <c r="R205" s="84">
        <f t="shared" si="155"/>
        <v>0</v>
      </c>
      <c r="S205" s="5103"/>
      <c r="T205" s="2251" t="b">
        <f t="shared" si="115"/>
        <v>0</v>
      </c>
      <c r="U205" s="2246"/>
      <c r="V205" s="78" t="b">
        <f t="shared" si="150"/>
        <v>0</v>
      </c>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row>
    <row r="206" spans="1:136" x14ac:dyDescent="0.2">
      <c r="A206" s="6"/>
      <c r="D206" s="91" t="str">
        <f>+D340</f>
        <v>Avena silo</v>
      </c>
      <c r="E206" s="90"/>
      <c r="F206" s="90"/>
      <c r="G206" s="79">
        <f t="shared" ref="G206:R206" si="156">IF($D206=0,0,F721+F792)</f>
        <v>0</v>
      </c>
      <c r="H206" s="79">
        <f t="shared" si="156"/>
        <v>0</v>
      </c>
      <c r="I206" s="79">
        <f t="shared" si="156"/>
        <v>0</v>
      </c>
      <c r="J206" s="79">
        <f>IF($D206=0,0,I721+I792)</f>
        <v>0</v>
      </c>
      <c r="K206" s="79">
        <f t="shared" si="156"/>
        <v>0</v>
      </c>
      <c r="L206" s="79">
        <f t="shared" si="156"/>
        <v>0</v>
      </c>
      <c r="M206" s="79">
        <f t="shared" si="156"/>
        <v>0</v>
      </c>
      <c r="N206" s="79">
        <f t="shared" si="156"/>
        <v>0</v>
      </c>
      <c r="O206" s="79">
        <f t="shared" si="156"/>
        <v>0</v>
      </c>
      <c r="P206" s="79">
        <f t="shared" si="156"/>
        <v>0</v>
      </c>
      <c r="Q206" s="79">
        <f t="shared" si="156"/>
        <v>0</v>
      </c>
      <c r="R206" s="288">
        <f t="shared" si="156"/>
        <v>0</v>
      </c>
      <c r="S206" s="5104"/>
      <c r="T206" s="2252" t="b">
        <f t="shared" si="115"/>
        <v>0</v>
      </c>
      <c r="U206" s="2244"/>
      <c r="V206" s="72" t="b">
        <f t="shared" si="150"/>
        <v>0</v>
      </c>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row>
    <row r="207" spans="1:136" x14ac:dyDescent="0.2">
      <c r="A207" s="6"/>
      <c r="D207" s="736" t="str">
        <f>+D341</f>
        <v>Raigrás Silo</v>
      </c>
      <c r="E207" s="734"/>
      <c r="F207" s="74"/>
      <c r="G207" s="69">
        <f t="shared" ref="G207:R207" si="157">IF($D207=0,0,F722+F793)</f>
        <v>0</v>
      </c>
      <c r="H207" s="69">
        <f t="shared" si="157"/>
        <v>0</v>
      </c>
      <c r="I207" s="69">
        <f t="shared" si="157"/>
        <v>0</v>
      </c>
      <c r="J207" s="69">
        <f>IF($D207=0,0,I722+I793)</f>
        <v>0</v>
      </c>
      <c r="K207" s="69">
        <f t="shared" si="157"/>
        <v>0</v>
      </c>
      <c r="L207" s="69">
        <f t="shared" si="157"/>
        <v>0</v>
      </c>
      <c r="M207" s="69">
        <f t="shared" si="157"/>
        <v>0</v>
      </c>
      <c r="N207" s="69">
        <f t="shared" si="157"/>
        <v>0</v>
      </c>
      <c r="O207" s="69">
        <f t="shared" si="157"/>
        <v>0</v>
      </c>
      <c r="P207" s="69">
        <f t="shared" si="157"/>
        <v>0</v>
      </c>
      <c r="Q207" s="69">
        <f t="shared" si="157"/>
        <v>0</v>
      </c>
      <c r="R207" s="70">
        <f t="shared" si="157"/>
        <v>0</v>
      </c>
      <c r="S207" s="5102"/>
      <c r="T207" s="2250" t="b">
        <f t="shared" si="115"/>
        <v>0</v>
      </c>
      <c r="U207" s="2245"/>
      <c r="V207" s="76" t="b">
        <f t="shared" si="150"/>
        <v>0</v>
      </c>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row>
    <row r="208" spans="1:136" x14ac:dyDescent="0.2">
      <c r="A208" s="6"/>
      <c r="D208" s="736" t="str">
        <f>+D342</f>
        <v>Ra Silo Cierre Ago</v>
      </c>
      <c r="E208" s="734"/>
      <c r="F208" s="74"/>
      <c r="G208" s="69">
        <f t="shared" ref="G208:R208" si="158">IF($D208=0,0,F723+F794)</f>
        <v>0</v>
      </c>
      <c r="H208" s="69">
        <f t="shared" si="158"/>
        <v>0</v>
      </c>
      <c r="I208" s="69">
        <f t="shared" si="158"/>
        <v>0</v>
      </c>
      <c r="J208" s="69">
        <f>IF($D208=0,0,I723+I794)</f>
        <v>0</v>
      </c>
      <c r="K208" s="69">
        <f t="shared" si="158"/>
        <v>0</v>
      </c>
      <c r="L208" s="69">
        <f t="shared" si="158"/>
        <v>0</v>
      </c>
      <c r="M208" s="69">
        <f t="shared" si="158"/>
        <v>0</v>
      </c>
      <c r="N208" s="69">
        <f t="shared" si="158"/>
        <v>0</v>
      </c>
      <c r="O208" s="69">
        <f t="shared" si="158"/>
        <v>0</v>
      </c>
      <c r="P208" s="69">
        <f t="shared" si="158"/>
        <v>0</v>
      </c>
      <c r="Q208" s="69">
        <f t="shared" si="158"/>
        <v>0</v>
      </c>
      <c r="R208" s="70">
        <f t="shared" si="158"/>
        <v>0</v>
      </c>
      <c r="S208" s="5102"/>
      <c r="T208" s="2250" t="b">
        <f t="shared" si="115"/>
        <v>0</v>
      </c>
      <c r="U208" s="2245"/>
      <c r="V208" s="76" t="b">
        <f t="shared" si="150"/>
        <v>0</v>
      </c>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row>
    <row r="209" spans="1:136" x14ac:dyDescent="0.2">
      <c r="A209" s="6"/>
      <c r="D209" s="736">
        <f>+D343</f>
        <v>0</v>
      </c>
      <c r="E209" s="734"/>
      <c r="F209" s="74"/>
      <c r="G209" s="69">
        <f t="shared" ref="G209:R209" si="159">IF($D209=0,0,F724+F795)</f>
        <v>0</v>
      </c>
      <c r="H209" s="69">
        <f t="shared" si="159"/>
        <v>0</v>
      </c>
      <c r="I209" s="69">
        <f t="shared" si="159"/>
        <v>0</v>
      </c>
      <c r="J209" s="69">
        <f>IF($D209=0,0,I724+I795)</f>
        <v>0</v>
      </c>
      <c r="K209" s="69">
        <f t="shared" si="159"/>
        <v>0</v>
      </c>
      <c r="L209" s="69">
        <f t="shared" si="159"/>
        <v>0</v>
      </c>
      <c r="M209" s="69">
        <f t="shared" si="159"/>
        <v>0</v>
      </c>
      <c r="N209" s="69">
        <f t="shared" si="159"/>
        <v>0</v>
      </c>
      <c r="O209" s="69">
        <f t="shared" si="159"/>
        <v>0</v>
      </c>
      <c r="P209" s="69">
        <f t="shared" si="159"/>
        <v>0</v>
      </c>
      <c r="Q209" s="69">
        <f t="shared" si="159"/>
        <v>0</v>
      </c>
      <c r="R209" s="83">
        <f t="shared" si="159"/>
        <v>0</v>
      </c>
      <c r="S209" s="5102"/>
      <c r="T209" s="2250" t="b">
        <f t="shared" si="115"/>
        <v>0</v>
      </c>
      <c r="U209" s="2245"/>
      <c r="V209" s="76" t="b">
        <f t="shared" si="150"/>
        <v>0</v>
      </c>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row>
    <row r="210" spans="1:136" ht="15.05" thickBot="1" x14ac:dyDescent="0.25">
      <c r="A210" s="6"/>
      <c r="D210" s="737">
        <f>+D344</f>
        <v>0</v>
      </c>
      <c r="E210" s="735"/>
      <c r="F210" s="77"/>
      <c r="G210" s="81">
        <f t="shared" ref="G210:R210" si="160">IF($D210=0,0,F725+F796)</f>
        <v>0</v>
      </c>
      <c r="H210" s="81">
        <f t="shared" si="160"/>
        <v>0</v>
      </c>
      <c r="I210" s="81">
        <f t="shared" si="160"/>
        <v>0</v>
      </c>
      <c r="J210" s="81">
        <f>IF($D210=0,0,I725+I796)</f>
        <v>0</v>
      </c>
      <c r="K210" s="81">
        <f t="shared" si="160"/>
        <v>0</v>
      </c>
      <c r="L210" s="81">
        <f t="shared" si="160"/>
        <v>0</v>
      </c>
      <c r="M210" s="81">
        <f t="shared" si="160"/>
        <v>0</v>
      </c>
      <c r="N210" s="81">
        <f t="shared" si="160"/>
        <v>0</v>
      </c>
      <c r="O210" s="81">
        <f t="shared" si="160"/>
        <v>0</v>
      </c>
      <c r="P210" s="81">
        <f t="shared" si="160"/>
        <v>0</v>
      </c>
      <c r="Q210" s="81">
        <f t="shared" si="160"/>
        <v>0</v>
      </c>
      <c r="R210" s="84">
        <f t="shared" si="160"/>
        <v>0</v>
      </c>
      <c r="S210" s="5103"/>
      <c r="T210" s="2251" t="b">
        <f t="shared" si="115"/>
        <v>0</v>
      </c>
      <c r="U210" s="2246"/>
      <c r="V210" s="78" t="b">
        <f t="shared" si="150"/>
        <v>0</v>
      </c>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row>
    <row r="211" spans="1:136" ht="15.05" thickBot="1" x14ac:dyDescent="0.25">
      <c r="A211" s="6"/>
      <c r="D211" s="105"/>
      <c r="G211" s="71"/>
      <c r="H211" s="71"/>
      <c r="I211" s="71"/>
      <c r="J211" s="71"/>
      <c r="K211" s="71"/>
      <c r="L211" s="71"/>
      <c r="M211" s="71"/>
      <c r="N211" s="71"/>
      <c r="O211" s="71"/>
      <c r="P211" s="71"/>
      <c r="Q211" s="71"/>
      <c r="R211" s="71"/>
      <c r="S211" s="71"/>
      <c r="T211" s="71"/>
      <c r="U211" s="71"/>
      <c r="V211" s="71"/>
      <c r="W211" s="71"/>
    </row>
    <row r="212" spans="1:136" ht="15.05" thickBot="1" x14ac:dyDescent="0.25">
      <c r="A212" s="1344">
        <f>+A169+1</f>
        <v>37</v>
      </c>
      <c r="B212" s="1472"/>
      <c r="C212" s="961"/>
      <c r="D212" s="47" t="s">
        <v>1076</v>
      </c>
      <c r="E212" s="48"/>
      <c r="F212" s="48"/>
      <c r="G212" s="85"/>
      <c r="H212" s="85"/>
      <c r="I212" s="85"/>
      <c r="J212" s="85"/>
      <c r="K212" s="85"/>
      <c r="L212" s="85"/>
      <c r="M212" s="85"/>
      <c r="N212" s="85"/>
      <c r="O212" s="85"/>
      <c r="P212" s="85"/>
      <c r="Q212" s="85"/>
      <c r="R212" s="85"/>
      <c r="S212" s="52"/>
      <c r="T212" s="52"/>
      <c r="U212" s="52"/>
      <c r="V212" s="64"/>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row>
    <row r="213" spans="1:136" x14ac:dyDescent="0.2">
      <c r="A213" s="100"/>
      <c r="B213" s="110"/>
      <c r="C213" s="100"/>
      <c r="D213" s="65"/>
      <c r="E213" s="41"/>
      <c r="F213" s="41"/>
      <c r="G213" s="86"/>
      <c r="H213" s="86"/>
      <c r="I213" s="86"/>
      <c r="J213" s="86"/>
      <c r="K213" s="86"/>
      <c r="L213" s="86"/>
      <c r="M213" s="86"/>
      <c r="N213" s="86"/>
      <c r="O213" s="86"/>
      <c r="P213" s="86"/>
      <c r="Q213" s="86"/>
      <c r="R213" s="86"/>
      <c r="S213" s="2247" t="s">
        <v>956</v>
      </c>
      <c r="T213" s="2249"/>
      <c r="U213" s="896" t="s">
        <v>1074</v>
      </c>
      <c r="V213" s="2242"/>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row>
    <row r="214" spans="1:136" ht="15.05" thickBot="1" x14ac:dyDescent="0.25">
      <c r="A214" s="100"/>
      <c r="B214" s="110"/>
      <c r="C214" s="100"/>
      <c r="D214" s="67" t="s">
        <v>345</v>
      </c>
      <c r="E214" s="68"/>
      <c r="F214" s="68"/>
      <c r="G214" s="689" t="str">
        <f t="shared" ref="G214:R214" si="161">+G8</f>
        <v>Ene</v>
      </c>
      <c r="H214" s="689" t="str">
        <f t="shared" si="161"/>
        <v>Feb</v>
      </c>
      <c r="I214" s="689" t="str">
        <f t="shared" si="161"/>
        <v>Mar</v>
      </c>
      <c r="J214" s="689" t="str">
        <f t="shared" si="161"/>
        <v>Abr</v>
      </c>
      <c r="K214" s="689" t="str">
        <f t="shared" si="161"/>
        <v>May</v>
      </c>
      <c r="L214" s="689" t="str">
        <f t="shared" si="161"/>
        <v>Jun</v>
      </c>
      <c r="M214" s="689" t="str">
        <f t="shared" si="161"/>
        <v>Jul</v>
      </c>
      <c r="N214" s="689" t="str">
        <f t="shared" si="161"/>
        <v>Ago</v>
      </c>
      <c r="O214" s="689" t="str">
        <f t="shared" si="161"/>
        <v>Set</v>
      </c>
      <c r="P214" s="689" t="str">
        <f t="shared" si="161"/>
        <v>Oct</v>
      </c>
      <c r="Q214" s="689" t="str">
        <f t="shared" si="161"/>
        <v>Nov</v>
      </c>
      <c r="R214" s="689" t="str">
        <f t="shared" si="161"/>
        <v>Dic</v>
      </c>
      <c r="S214" s="2248" t="s">
        <v>533</v>
      </c>
      <c r="T214" s="897" t="s">
        <v>957</v>
      </c>
      <c r="U214" s="897" t="s">
        <v>531</v>
      </c>
      <c r="V214" s="2243" t="s">
        <v>484</v>
      </c>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row>
    <row r="215" spans="1:136" x14ac:dyDescent="0.2">
      <c r="A215" s="100"/>
      <c r="B215" s="100"/>
      <c r="C215" s="100"/>
      <c r="D215" s="89" t="str">
        <f t="shared" ref="D215:D253" si="162">D172</f>
        <v>Alfalfa 2</v>
      </c>
      <c r="E215" s="90"/>
      <c r="F215" s="90"/>
      <c r="G215" s="69">
        <f t="shared" ref="G215:R215" si="163">F825</f>
        <v>0</v>
      </c>
      <c r="H215" s="69">
        <f t="shared" si="163"/>
        <v>0</v>
      </c>
      <c r="I215" s="69">
        <f t="shared" si="163"/>
        <v>0</v>
      </c>
      <c r="J215" s="69">
        <f t="shared" ref="J215:J228" si="164">I825</f>
        <v>0</v>
      </c>
      <c r="K215" s="69">
        <f t="shared" si="163"/>
        <v>0</v>
      </c>
      <c r="L215" s="69">
        <f t="shared" si="163"/>
        <v>0</v>
      </c>
      <c r="M215" s="69">
        <f t="shared" si="163"/>
        <v>0</v>
      </c>
      <c r="N215" s="69">
        <f t="shared" si="163"/>
        <v>0</v>
      </c>
      <c r="O215" s="69">
        <f t="shared" si="163"/>
        <v>0</v>
      </c>
      <c r="P215" s="69">
        <f t="shared" si="163"/>
        <v>0</v>
      </c>
      <c r="Q215" s="69">
        <f t="shared" si="163"/>
        <v>0</v>
      </c>
      <c r="R215" s="70">
        <f t="shared" si="163"/>
        <v>0</v>
      </c>
      <c r="S215" s="5102"/>
      <c r="T215" s="69" t="b">
        <f t="shared" ref="T215:T253" si="165">IF(S215=$G$171,G215,IF(S215=$H$171,H215,IF(S215=$I$171,I215,IF(S215=$J$171,J215,IF(S215=$K$171,K215,IF(S215=$L$171,L215,IF(S215=$M$171,M215,IF(S215=$N$171,N215,IF(S215=$O$171,O215,IF(S215=$P$171,P215,IF(S215=$Q$171,Q215,IF(S215=$R$171,R215))))))))))))</f>
        <v>0</v>
      </c>
      <c r="U215" s="2244"/>
      <c r="V215" s="72" t="b">
        <f t="shared" ref="V215:V227" si="166">IF(U215&lt;&gt;0,U215,T215)</f>
        <v>0</v>
      </c>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row>
    <row r="216" spans="1:136" x14ac:dyDescent="0.2">
      <c r="A216" s="100"/>
      <c r="B216" s="100"/>
      <c r="C216" s="100"/>
      <c r="D216" s="73" t="str">
        <f t="shared" si="162"/>
        <v>Alfalfa 3</v>
      </c>
      <c r="E216" s="734"/>
      <c r="F216" s="74"/>
      <c r="G216" s="69">
        <f t="shared" ref="G216:R216" si="167">F826</f>
        <v>0</v>
      </c>
      <c r="H216" s="69">
        <f t="shared" si="167"/>
        <v>0</v>
      </c>
      <c r="I216" s="69">
        <f t="shared" si="167"/>
        <v>0</v>
      </c>
      <c r="J216" s="69">
        <f t="shared" si="164"/>
        <v>0</v>
      </c>
      <c r="K216" s="69">
        <f t="shared" si="167"/>
        <v>0</v>
      </c>
      <c r="L216" s="69">
        <f t="shared" si="167"/>
        <v>0</v>
      </c>
      <c r="M216" s="69">
        <f t="shared" si="167"/>
        <v>0</v>
      </c>
      <c r="N216" s="69">
        <f t="shared" si="167"/>
        <v>0</v>
      </c>
      <c r="O216" s="69">
        <f t="shared" si="167"/>
        <v>0</v>
      </c>
      <c r="P216" s="69">
        <f t="shared" si="167"/>
        <v>0</v>
      </c>
      <c r="Q216" s="69">
        <f t="shared" si="167"/>
        <v>0</v>
      </c>
      <c r="R216" s="70">
        <f t="shared" si="167"/>
        <v>0</v>
      </c>
      <c r="S216" s="5102"/>
      <c r="T216" s="2250" t="b">
        <f t="shared" si="165"/>
        <v>0</v>
      </c>
      <c r="U216" s="2245"/>
      <c r="V216" s="76" t="b">
        <f t="shared" si="166"/>
        <v>0</v>
      </c>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row>
    <row r="217" spans="1:136" x14ac:dyDescent="0.2">
      <c r="A217" s="100"/>
      <c r="B217" s="100"/>
      <c r="C217" s="100"/>
      <c r="D217" s="73" t="str">
        <f t="shared" si="162"/>
        <v>Alfalfa 4</v>
      </c>
      <c r="E217" s="734"/>
      <c r="F217" s="74"/>
      <c r="G217" s="69">
        <f t="shared" ref="G217:R217" si="168">F827</f>
        <v>0</v>
      </c>
      <c r="H217" s="69">
        <f t="shared" si="168"/>
        <v>0</v>
      </c>
      <c r="I217" s="69">
        <f t="shared" si="168"/>
        <v>0</v>
      </c>
      <c r="J217" s="69">
        <f t="shared" si="164"/>
        <v>0</v>
      </c>
      <c r="K217" s="69">
        <f t="shared" si="168"/>
        <v>0</v>
      </c>
      <c r="L217" s="69">
        <f t="shared" si="168"/>
        <v>0</v>
      </c>
      <c r="M217" s="69">
        <f t="shared" si="168"/>
        <v>0</v>
      </c>
      <c r="N217" s="69">
        <f t="shared" si="168"/>
        <v>0</v>
      </c>
      <c r="O217" s="69">
        <f t="shared" si="168"/>
        <v>0</v>
      </c>
      <c r="P217" s="69">
        <f t="shared" si="168"/>
        <v>0</v>
      </c>
      <c r="Q217" s="69">
        <f t="shared" si="168"/>
        <v>0</v>
      </c>
      <c r="R217" s="70">
        <f t="shared" si="168"/>
        <v>0</v>
      </c>
      <c r="S217" s="5102"/>
      <c r="T217" s="69" t="b">
        <f t="shared" si="165"/>
        <v>0</v>
      </c>
      <c r="U217" s="2245"/>
      <c r="V217" s="76" t="b">
        <f t="shared" si="166"/>
        <v>0</v>
      </c>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row>
    <row r="218" spans="1:136" x14ac:dyDescent="0.2">
      <c r="A218" s="100"/>
      <c r="B218" s="100"/>
      <c r="C218" s="100"/>
      <c r="D218" s="73" t="str">
        <f t="shared" si="162"/>
        <v>PP 2</v>
      </c>
      <c r="E218" s="734"/>
      <c r="F218" s="74"/>
      <c r="G218" s="69">
        <f t="shared" ref="G218:R218" si="169">F828</f>
        <v>0</v>
      </c>
      <c r="H218" s="69">
        <f t="shared" si="169"/>
        <v>0</v>
      </c>
      <c r="I218" s="69">
        <f t="shared" si="169"/>
        <v>0</v>
      </c>
      <c r="J218" s="69">
        <f t="shared" si="164"/>
        <v>0</v>
      </c>
      <c r="K218" s="69">
        <f t="shared" si="169"/>
        <v>0</v>
      </c>
      <c r="L218" s="69">
        <f t="shared" si="169"/>
        <v>0</v>
      </c>
      <c r="M218" s="69">
        <f t="shared" si="169"/>
        <v>0</v>
      </c>
      <c r="N218" s="69">
        <f t="shared" si="169"/>
        <v>0</v>
      </c>
      <c r="O218" s="69">
        <f t="shared" si="169"/>
        <v>0</v>
      </c>
      <c r="P218" s="69">
        <f t="shared" si="169"/>
        <v>0</v>
      </c>
      <c r="Q218" s="69">
        <f t="shared" si="169"/>
        <v>0</v>
      </c>
      <c r="R218" s="70">
        <f t="shared" si="169"/>
        <v>0</v>
      </c>
      <c r="S218" s="5102"/>
      <c r="T218" s="2250" t="b">
        <f t="shared" si="165"/>
        <v>0</v>
      </c>
      <c r="U218" s="2245"/>
      <c r="V218" s="76" t="b">
        <f t="shared" si="166"/>
        <v>0</v>
      </c>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row>
    <row r="219" spans="1:136" x14ac:dyDescent="0.2">
      <c r="A219" s="100"/>
      <c r="B219" s="100"/>
      <c r="C219" s="100"/>
      <c r="D219" s="73" t="str">
        <f t="shared" si="162"/>
        <v>PP 3</v>
      </c>
      <c r="E219" s="734"/>
      <c r="F219" s="74"/>
      <c r="G219" s="69">
        <f t="shared" ref="G219:R219" si="170">F829</f>
        <v>0</v>
      </c>
      <c r="H219" s="69">
        <f t="shared" si="170"/>
        <v>0</v>
      </c>
      <c r="I219" s="69">
        <f t="shared" si="170"/>
        <v>0</v>
      </c>
      <c r="J219" s="69">
        <f t="shared" si="164"/>
        <v>0</v>
      </c>
      <c r="K219" s="69">
        <f t="shared" si="170"/>
        <v>0</v>
      </c>
      <c r="L219" s="69">
        <f t="shared" si="170"/>
        <v>0</v>
      </c>
      <c r="M219" s="69">
        <f t="shared" si="170"/>
        <v>0</v>
      </c>
      <c r="N219" s="69">
        <f t="shared" si="170"/>
        <v>0</v>
      </c>
      <c r="O219" s="69">
        <f t="shared" si="170"/>
        <v>0</v>
      </c>
      <c r="P219" s="69">
        <f t="shared" si="170"/>
        <v>0</v>
      </c>
      <c r="Q219" s="69">
        <f t="shared" si="170"/>
        <v>0</v>
      </c>
      <c r="R219" s="70">
        <f t="shared" si="170"/>
        <v>0</v>
      </c>
      <c r="S219" s="5102"/>
      <c r="T219" s="2250" t="b">
        <f t="shared" si="165"/>
        <v>0</v>
      </c>
      <c r="U219" s="2245"/>
      <c r="V219" s="76" t="b">
        <f t="shared" si="166"/>
        <v>0</v>
      </c>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row>
    <row r="220" spans="1:136" x14ac:dyDescent="0.2">
      <c r="A220" s="100"/>
      <c r="B220" s="100"/>
      <c r="C220" s="100"/>
      <c r="D220" s="73" t="str">
        <f t="shared" si="162"/>
        <v>PP 4</v>
      </c>
      <c r="E220" s="734"/>
      <c r="F220" s="74"/>
      <c r="G220" s="69">
        <f t="shared" ref="G220:R220" si="171">F830</f>
        <v>0</v>
      </c>
      <c r="H220" s="69">
        <f t="shared" si="171"/>
        <v>0</v>
      </c>
      <c r="I220" s="69">
        <f t="shared" si="171"/>
        <v>0</v>
      </c>
      <c r="J220" s="69">
        <f t="shared" si="164"/>
        <v>0</v>
      </c>
      <c r="K220" s="69">
        <f t="shared" si="171"/>
        <v>0</v>
      </c>
      <c r="L220" s="69">
        <f t="shared" si="171"/>
        <v>0</v>
      </c>
      <c r="M220" s="69">
        <f t="shared" si="171"/>
        <v>0</v>
      </c>
      <c r="N220" s="69">
        <f t="shared" si="171"/>
        <v>0</v>
      </c>
      <c r="O220" s="69">
        <f t="shared" si="171"/>
        <v>0</v>
      </c>
      <c r="P220" s="69">
        <f t="shared" si="171"/>
        <v>0</v>
      </c>
      <c r="Q220" s="69">
        <f t="shared" si="171"/>
        <v>0</v>
      </c>
      <c r="R220" s="70">
        <f t="shared" si="171"/>
        <v>0</v>
      </c>
      <c r="S220" s="5102"/>
      <c r="T220" s="2250" t="b">
        <f t="shared" si="165"/>
        <v>0</v>
      </c>
      <c r="U220" s="2245"/>
      <c r="V220" s="76" t="b">
        <f t="shared" si="166"/>
        <v>0</v>
      </c>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row>
    <row r="221" spans="1:136" x14ac:dyDescent="0.2">
      <c r="A221" s="100"/>
      <c r="B221" s="100"/>
      <c r="C221" s="100"/>
      <c r="D221" s="73" t="str">
        <f t="shared" si="162"/>
        <v>Prad 2</v>
      </c>
      <c r="E221" s="734"/>
      <c r="F221" s="74"/>
      <c r="G221" s="69">
        <f t="shared" ref="G221:R221" si="172">F831</f>
        <v>0</v>
      </c>
      <c r="H221" s="69">
        <f t="shared" si="172"/>
        <v>0</v>
      </c>
      <c r="I221" s="69">
        <f t="shared" si="172"/>
        <v>0</v>
      </c>
      <c r="J221" s="69">
        <f t="shared" si="164"/>
        <v>0</v>
      </c>
      <c r="K221" s="69">
        <f t="shared" si="172"/>
        <v>0</v>
      </c>
      <c r="L221" s="69">
        <f t="shared" si="172"/>
        <v>0</v>
      </c>
      <c r="M221" s="69">
        <f t="shared" si="172"/>
        <v>0</v>
      </c>
      <c r="N221" s="69">
        <f t="shared" si="172"/>
        <v>0</v>
      </c>
      <c r="O221" s="69">
        <f t="shared" si="172"/>
        <v>0</v>
      </c>
      <c r="P221" s="69">
        <f t="shared" si="172"/>
        <v>0</v>
      </c>
      <c r="Q221" s="69">
        <f t="shared" si="172"/>
        <v>0</v>
      </c>
      <c r="R221" s="70">
        <f t="shared" si="172"/>
        <v>0</v>
      </c>
      <c r="S221" s="5102"/>
      <c r="T221" s="2250" t="b">
        <f t="shared" si="165"/>
        <v>0</v>
      </c>
      <c r="U221" s="2245"/>
      <c r="V221" s="76" t="b">
        <f t="shared" si="166"/>
        <v>0</v>
      </c>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row>
    <row r="222" spans="1:136" x14ac:dyDescent="0.2">
      <c r="A222" s="100"/>
      <c r="B222" s="100"/>
      <c r="C222" s="100"/>
      <c r="D222" s="73" t="str">
        <f t="shared" si="162"/>
        <v>Prad 3</v>
      </c>
      <c r="E222" s="734"/>
      <c r="F222" s="74"/>
      <c r="G222" s="69">
        <f t="shared" ref="G222:R222" si="173">F832</f>
        <v>0</v>
      </c>
      <c r="H222" s="69">
        <f t="shared" si="173"/>
        <v>0</v>
      </c>
      <c r="I222" s="69">
        <f t="shared" si="173"/>
        <v>0</v>
      </c>
      <c r="J222" s="69">
        <f t="shared" si="164"/>
        <v>0</v>
      </c>
      <c r="K222" s="69">
        <f t="shared" si="173"/>
        <v>0</v>
      </c>
      <c r="L222" s="69">
        <f t="shared" si="173"/>
        <v>0</v>
      </c>
      <c r="M222" s="69">
        <f t="shared" si="173"/>
        <v>0</v>
      </c>
      <c r="N222" s="69">
        <f t="shared" si="173"/>
        <v>0</v>
      </c>
      <c r="O222" s="69">
        <f t="shared" si="173"/>
        <v>0</v>
      </c>
      <c r="P222" s="69">
        <f t="shared" si="173"/>
        <v>0</v>
      </c>
      <c r="Q222" s="69">
        <f t="shared" si="173"/>
        <v>0</v>
      </c>
      <c r="R222" s="70">
        <f t="shared" si="173"/>
        <v>0</v>
      </c>
      <c r="S222" s="5102"/>
      <c r="T222" s="2250" t="b">
        <f t="shared" si="165"/>
        <v>0</v>
      </c>
      <c r="U222" s="2245"/>
      <c r="V222" s="76" t="b">
        <f t="shared" si="166"/>
        <v>0</v>
      </c>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row>
    <row r="223" spans="1:136" x14ac:dyDescent="0.2">
      <c r="A223" s="100"/>
      <c r="B223" s="100"/>
      <c r="C223" s="100"/>
      <c r="D223" s="73" t="str">
        <f t="shared" si="162"/>
        <v>Prad 4</v>
      </c>
      <c r="E223" s="734"/>
      <c r="F223" s="74"/>
      <c r="G223" s="69">
        <f t="shared" ref="G223:R223" si="174">F833</f>
        <v>0</v>
      </c>
      <c r="H223" s="69">
        <f t="shared" si="174"/>
        <v>0</v>
      </c>
      <c r="I223" s="69">
        <f t="shared" si="174"/>
        <v>0</v>
      </c>
      <c r="J223" s="69">
        <f t="shared" si="164"/>
        <v>0</v>
      </c>
      <c r="K223" s="69">
        <f t="shared" si="174"/>
        <v>0</v>
      </c>
      <c r="L223" s="69">
        <f t="shared" si="174"/>
        <v>0</v>
      </c>
      <c r="M223" s="69">
        <f t="shared" si="174"/>
        <v>0</v>
      </c>
      <c r="N223" s="69">
        <f t="shared" si="174"/>
        <v>0</v>
      </c>
      <c r="O223" s="69">
        <f t="shared" si="174"/>
        <v>0</v>
      </c>
      <c r="P223" s="69">
        <f t="shared" si="174"/>
        <v>0</v>
      </c>
      <c r="Q223" s="69">
        <f t="shared" si="174"/>
        <v>0</v>
      </c>
      <c r="R223" s="70">
        <f t="shared" si="174"/>
        <v>0</v>
      </c>
      <c r="S223" s="5102"/>
      <c r="T223" s="2250" t="b">
        <f t="shared" si="165"/>
        <v>0</v>
      </c>
      <c r="U223" s="2245"/>
      <c r="V223" s="76" t="b">
        <f t="shared" si="166"/>
        <v>0</v>
      </c>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row>
    <row r="224" spans="1:136" x14ac:dyDescent="0.2">
      <c r="A224" s="100"/>
      <c r="B224" s="100"/>
      <c r="C224" s="100"/>
      <c r="D224" s="73" t="str">
        <f t="shared" si="162"/>
        <v>Trébol Rojo 2</v>
      </c>
      <c r="E224" s="734"/>
      <c r="F224" s="74"/>
      <c r="G224" s="69">
        <f t="shared" ref="G224:R224" si="175">F834</f>
        <v>0</v>
      </c>
      <c r="H224" s="69">
        <f t="shared" si="175"/>
        <v>0</v>
      </c>
      <c r="I224" s="69">
        <f t="shared" si="175"/>
        <v>0</v>
      </c>
      <c r="J224" s="69">
        <f t="shared" si="164"/>
        <v>0</v>
      </c>
      <c r="K224" s="69">
        <f t="shared" si="175"/>
        <v>0</v>
      </c>
      <c r="L224" s="69">
        <f t="shared" si="175"/>
        <v>0</v>
      </c>
      <c r="M224" s="69">
        <f t="shared" si="175"/>
        <v>0</v>
      </c>
      <c r="N224" s="69">
        <f t="shared" si="175"/>
        <v>0</v>
      </c>
      <c r="O224" s="69">
        <f t="shared" si="175"/>
        <v>0</v>
      </c>
      <c r="P224" s="69">
        <f t="shared" si="175"/>
        <v>0</v>
      </c>
      <c r="Q224" s="69">
        <f t="shared" si="175"/>
        <v>0</v>
      </c>
      <c r="R224" s="70">
        <f t="shared" si="175"/>
        <v>0</v>
      </c>
      <c r="S224" s="5102"/>
      <c r="T224" s="2250" t="b">
        <f t="shared" si="165"/>
        <v>0</v>
      </c>
      <c r="U224" s="2245"/>
      <c r="V224" s="76" t="b">
        <f t="shared" si="166"/>
        <v>0</v>
      </c>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row>
    <row r="225" spans="1:136" x14ac:dyDescent="0.2">
      <c r="A225" s="100"/>
      <c r="B225" s="100"/>
      <c r="C225" s="100"/>
      <c r="D225" s="73" t="str">
        <f t="shared" si="162"/>
        <v>Trébol Rojo 3</v>
      </c>
      <c r="E225" s="734"/>
      <c r="F225" s="74"/>
      <c r="G225" s="69">
        <f t="shared" ref="G225:R225" si="176">F835</f>
        <v>0</v>
      </c>
      <c r="H225" s="69">
        <f t="shared" si="176"/>
        <v>0</v>
      </c>
      <c r="I225" s="69">
        <f t="shared" si="176"/>
        <v>0</v>
      </c>
      <c r="J225" s="69">
        <f t="shared" si="164"/>
        <v>0</v>
      </c>
      <c r="K225" s="69">
        <f t="shared" si="176"/>
        <v>0</v>
      </c>
      <c r="L225" s="69">
        <f t="shared" si="176"/>
        <v>0</v>
      </c>
      <c r="M225" s="69">
        <f t="shared" si="176"/>
        <v>0</v>
      </c>
      <c r="N225" s="69">
        <f t="shared" si="176"/>
        <v>0</v>
      </c>
      <c r="O225" s="69">
        <f t="shared" si="176"/>
        <v>0</v>
      </c>
      <c r="P225" s="69">
        <f t="shared" si="176"/>
        <v>0</v>
      </c>
      <c r="Q225" s="69">
        <f t="shared" si="176"/>
        <v>0</v>
      </c>
      <c r="R225" s="70">
        <f t="shared" si="176"/>
        <v>0</v>
      </c>
      <c r="S225" s="5102"/>
      <c r="T225" s="2250" t="b">
        <f t="shared" si="165"/>
        <v>0</v>
      </c>
      <c r="U225" s="2245"/>
      <c r="V225" s="76" t="b">
        <f t="shared" si="166"/>
        <v>0</v>
      </c>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row>
    <row r="226" spans="1:136" x14ac:dyDescent="0.2">
      <c r="A226" s="100"/>
      <c r="B226" s="100"/>
      <c r="C226" s="100"/>
      <c r="D226" s="73" t="str">
        <f t="shared" si="162"/>
        <v>Alfalfa 5</v>
      </c>
      <c r="E226" s="734"/>
      <c r="F226" s="74"/>
      <c r="G226" s="69">
        <f t="shared" ref="G226:R226" si="177">F836</f>
        <v>0</v>
      </c>
      <c r="H226" s="69">
        <f t="shared" si="177"/>
        <v>0</v>
      </c>
      <c r="I226" s="69">
        <f t="shared" si="177"/>
        <v>0</v>
      </c>
      <c r="J226" s="69">
        <f t="shared" si="164"/>
        <v>0</v>
      </c>
      <c r="K226" s="69">
        <f t="shared" si="177"/>
        <v>0</v>
      </c>
      <c r="L226" s="69">
        <f t="shared" si="177"/>
        <v>0</v>
      </c>
      <c r="M226" s="69">
        <f t="shared" si="177"/>
        <v>0</v>
      </c>
      <c r="N226" s="69">
        <f t="shared" si="177"/>
        <v>0</v>
      </c>
      <c r="O226" s="69">
        <f t="shared" si="177"/>
        <v>0</v>
      </c>
      <c r="P226" s="69">
        <f t="shared" si="177"/>
        <v>0</v>
      </c>
      <c r="Q226" s="69">
        <f t="shared" si="177"/>
        <v>0</v>
      </c>
      <c r="R226" s="70">
        <f t="shared" si="177"/>
        <v>0</v>
      </c>
      <c r="S226" s="5102"/>
      <c r="T226" s="2250" t="b">
        <f t="shared" si="165"/>
        <v>0</v>
      </c>
      <c r="U226" s="2245"/>
      <c r="V226" s="76" t="b">
        <f t="shared" si="166"/>
        <v>0</v>
      </c>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row>
    <row r="227" spans="1:136" x14ac:dyDescent="0.2">
      <c r="A227" s="100"/>
      <c r="B227" s="100"/>
      <c r="C227" s="100"/>
      <c r="D227" s="73" t="str">
        <f t="shared" si="162"/>
        <v>PP 5</v>
      </c>
      <c r="E227" s="734"/>
      <c r="F227" s="74"/>
      <c r="G227" s="69">
        <f t="shared" ref="G227:R227" si="178">F837</f>
        <v>0</v>
      </c>
      <c r="H227" s="69">
        <f t="shared" si="178"/>
        <v>0</v>
      </c>
      <c r="I227" s="69">
        <f t="shared" si="178"/>
        <v>0</v>
      </c>
      <c r="J227" s="69">
        <f t="shared" si="164"/>
        <v>0</v>
      </c>
      <c r="K227" s="69">
        <f t="shared" si="178"/>
        <v>0</v>
      </c>
      <c r="L227" s="69">
        <f t="shared" si="178"/>
        <v>0</v>
      </c>
      <c r="M227" s="69">
        <f t="shared" si="178"/>
        <v>0</v>
      </c>
      <c r="N227" s="69">
        <f t="shared" si="178"/>
        <v>0</v>
      </c>
      <c r="O227" s="69">
        <f t="shared" si="178"/>
        <v>0</v>
      </c>
      <c r="P227" s="69">
        <f t="shared" si="178"/>
        <v>0</v>
      </c>
      <c r="Q227" s="69">
        <f t="shared" si="178"/>
        <v>0</v>
      </c>
      <c r="R227" s="70">
        <f t="shared" si="178"/>
        <v>0</v>
      </c>
      <c r="S227" s="5102"/>
      <c r="T227" s="2250" t="b">
        <f t="shared" si="165"/>
        <v>0</v>
      </c>
      <c r="U227" s="2245"/>
      <c r="V227" s="76" t="b">
        <f t="shared" si="166"/>
        <v>0</v>
      </c>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row>
    <row r="228" spans="1:136" ht="15.05" thickBot="1" x14ac:dyDescent="0.25">
      <c r="A228" s="100"/>
      <c r="B228" s="100"/>
      <c r="C228" s="100"/>
      <c r="D228" s="737">
        <f t="shared" si="162"/>
        <v>0</v>
      </c>
      <c r="E228" s="735"/>
      <c r="F228" s="77"/>
      <c r="G228" s="87">
        <f t="shared" ref="G228:R228" si="179">F838</f>
        <v>0</v>
      </c>
      <c r="H228" s="87">
        <f t="shared" si="179"/>
        <v>0</v>
      </c>
      <c r="I228" s="87">
        <f t="shared" si="179"/>
        <v>0</v>
      </c>
      <c r="J228" s="87">
        <f t="shared" si="164"/>
        <v>0</v>
      </c>
      <c r="K228" s="87">
        <f t="shared" si="179"/>
        <v>0</v>
      </c>
      <c r="L228" s="87">
        <f t="shared" si="179"/>
        <v>0</v>
      </c>
      <c r="M228" s="87">
        <f t="shared" si="179"/>
        <v>0</v>
      </c>
      <c r="N228" s="87">
        <f t="shared" si="179"/>
        <v>0</v>
      </c>
      <c r="O228" s="87">
        <f t="shared" si="179"/>
        <v>0</v>
      </c>
      <c r="P228" s="87">
        <f t="shared" si="179"/>
        <v>0</v>
      </c>
      <c r="Q228" s="87">
        <f t="shared" si="179"/>
        <v>0</v>
      </c>
      <c r="R228" s="88">
        <f t="shared" si="179"/>
        <v>0</v>
      </c>
      <c r="S228" s="5103"/>
      <c r="T228" s="2251" t="b">
        <f t="shared" si="165"/>
        <v>0</v>
      </c>
      <c r="U228" s="2246"/>
      <c r="V228" s="78" t="b">
        <f t="shared" ref="V228:V242" si="180">IF(U228&lt;&gt;0,U228,T228)</f>
        <v>0</v>
      </c>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row>
    <row r="229" spans="1:136" x14ac:dyDescent="0.2">
      <c r="A229" s="100"/>
      <c r="B229" s="100"/>
      <c r="C229" s="100"/>
      <c r="D229" s="89" t="str">
        <f t="shared" si="162"/>
        <v>Avena</v>
      </c>
      <c r="E229" s="90"/>
      <c r="F229" s="90"/>
      <c r="G229" s="79">
        <f t="shared" ref="G229:R229" si="181">+F840</f>
        <v>0</v>
      </c>
      <c r="H229" s="79">
        <f t="shared" si="181"/>
        <v>0</v>
      </c>
      <c r="I229" s="79">
        <f t="shared" si="181"/>
        <v>0</v>
      </c>
      <c r="J229" s="79">
        <f t="shared" ref="J229:J237" si="182">+I840</f>
        <v>0</v>
      </c>
      <c r="K229" s="79">
        <f t="shared" si="181"/>
        <v>0</v>
      </c>
      <c r="L229" s="79">
        <f t="shared" si="181"/>
        <v>0</v>
      </c>
      <c r="M229" s="79">
        <f t="shared" si="181"/>
        <v>0</v>
      </c>
      <c r="N229" s="79">
        <f t="shared" si="181"/>
        <v>0</v>
      </c>
      <c r="O229" s="79">
        <f t="shared" si="181"/>
        <v>0</v>
      </c>
      <c r="P229" s="79">
        <f t="shared" si="181"/>
        <v>0</v>
      </c>
      <c r="Q229" s="79">
        <f t="shared" si="181"/>
        <v>0</v>
      </c>
      <c r="R229" s="80">
        <f t="shared" si="181"/>
        <v>0</v>
      </c>
      <c r="S229" s="5102"/>
      <c r="T229" s="2250" t="b">
        <f t="shared" si="165"/>
        <v>0</v>
      </c>
      <c r="U229" s="2245"/>
      <c r="V229" s="76" t="b">
        <f t="shared" si="180"/>
        <v>0</v>
      </c>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row>
    <row r="230" spans="1:136" x14ac:dyDescent="0.2">
      <c r="A230" s="100"/>
      <c r="B230" s="100"/>
      <c r="C230" s="100"/>
      <c r="D230" s="73" t="str">
        <f t="shared" si="162"/>
        <v>Raigrás</v>
      </c>
      <c r="E230" s="734"/>
      <c r="F230" s="74"/>
      <c r="G230" s="69">
        <f t="shared" ref="G230:R230" si="183">+F841</f>
        <v>0</v>
      </c>
      <c r="H230" s="69">
        <f t="shared" si="183"/>
        <v>0</v>
      </c>
      <c r="I230" s="69">
        <f t="shared" si="183"/>
        <v>0</v>
      </c>
      <c r="J230" s="69">
        <f t="shared" si="182"/>
        <v>0</v>
      </c>
      <c r="K230" s="69">
        <f t="shared" si="183"/>
        <v>0</v>
      </c>
      <c r="L230" s="69">
        <f t="shared" si="183"/>
        <v>0</v>
      </c>
      <c r="M230" s="69">
        <f t="shared" si="183"/>
        <v>0</v>
      </c>
      <c r="N230" s="69">
        <f t="shared" si="183"/>
        <v>0</v>
      </c>
      <c r="O230" s="69">
        <f t="shared" si="183"/>
        <v>0</v>
      </c>
      <c r="P230" s="69">
        <f t="shared" si="183"/>
        <v>0</v>
      </c>
      <c r="Q230" s="69">
        <f t="shared" si="183"/>
        <v>0</v>
      </c>
      <c r="R230" s="70">
        <f t="shared" si="183"/>
        <v>0</v>
      </c>
      <c r="S230" s="5102"/>
      <c r="T230" s="2250" t="b">
        <f t="shared" si="165"/>
        <v>0</v>
      </c>
      <c r="U230" s="2245"/>
      <c r="V230" s="76" t="b">
        <f t="shared" si="180"/>
        <v>0</v>
      </c>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row>
    <row r="231" spans="1:136" x14ac:dyDescent="0.2">
      <c r="A231" s="100"/>
      <c r="B231" s="100"/>
      <c r="C231" s="100"/>
      <c r="D231" s="73" t="str">
        <f t="shared" si="162"/>
        <v>Av+Rg</v>
      </c>
      <c r="E231" s="734"/>
      <c r="F231" s="74"/>
      <c r="G231" s="69">
        <f t="shared" ref="G231:R231" si="184">+F842</f>
        <v>0</v>
      </c>
      <c r="H231" s="69">
        <f t="shared" si="184"/>
        <v>0</v>
      </c>
      <c r="I231" s="69">
        <f t="shared" si="184"/>
        <v>0</v>
      </c>
      <c r="J231" s="69">
        <f t="shared" si="182"/>
        <v>0</v>
      </c>
      <c r="K231" s="69">
        <f t="shared" si="184"/>
        <v>0</v>
      </c>
      <c r="L231" s="69">
        <f t="shared" si="184"/>
        <v>0</v>
      </c>
      <c r="M231" s="69">
        <f t="shared" si="184"/>
        <v>0</v>
      </c>
      <c r="N231" s="69">
        <f t="shared" si="184"/>
        <v>0</v>
      </c>
      <c r="O231" s="69">
        <f t="shared" si="184"/>
        <v>0</v>
      </c>
      <c r="P231" s="69">
        <f t="shared" si="184"/>
        <v>0</v>
      </c>
      <c r="Q231" s="69">
        <f t="shared" si="184"/>
        <v>0</v>
      </c>
      <c r="R231" s="70">
        <f t="shared" si="184"/>
        <v>0</v>
      </c>
      <c r="S231" s="5102"/>
      <c r="T231" s="2250" t="b">
        <f t="shared" si="165"/>
        <v>0</v>
      </c>
      <c r="U231" s="2245"/>
      <c r="V231" s="76" t="b">
        <f t="shared" si="180"/>
        <v>0</v>
      </c>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row>
    <row r="232" spans="1:136" x14ac:dyDescent="0.2">
      <c r="A232" s="100"/>
      <c r="B232" s="100"/>
      <c r="C232" s="100"/>
      <c r="D232" s="73" t="str">
        <f t="shared" si="162"/>
        <v>Rg Ciclo Largo</v>
      </c>
      <c r="E232" s="734"/>
      <c r="F232" s="74"/>
      <c r="G232" s="69">
        <f t="shared" ref="G232:R232" si="185">+F843</f>
        <v>0</v>
      </c>
      <c r="H232" s="69">
        <f t="shared" si="185"/>
        <v>0</v>
      </c>
      <c r="I232" s="69">
        <f t="shared" si="185"/>
        <v>0</v>
      </c>
      <c r="J232" s="69">
        <f t="shared" si="182"/>
        <v>0</v>
      </c>
      <c r="K232" s="69">
        <f t="shared" si="185"/>
        <v>0</v>
      </c>
      <c r="L232" s="69">
        <f t="shared" si="185"/>
        <v>0</v>
      </c>
      <c r="M232" s="69">
        <f t="shared" si="185"/>
        <v>0</v>
      </c>
      <c r="N232" s="69">
        <f t="shared" si="185"/>
        <v>0</v>
      </c>
      <c r="O232" s="69">
        <f t="shared" si="185"/>
        <v>0</v>
      </c>
      <c r="P232" s="69">
        <f t="shared" si="185"/>
        <v>0</v>
      </c>
      <c r="Q232" s="69">
        <f t="shared" si="185"/>
        <v>0</v>
      </c>
      <c r="R232" s="70">
        <f t="shared" si="185"/>
        <v>0</v>
      </c>
      <c r="S232" s="5102"/>
      <c r="T232" s="2250" t="b">
        <f t="shared" si="165"/>
        <v>0</v>
      </c>
      <c r="U232" s="2245"/>
      <c r="V232" s="76" t="b">
        <f t="shared" si="180"/>
        <v>0</v>
      </c>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row>
    <row r="233" spans="1:136" x14ac:dyDescent="0.2">
      <c r="A233" s="100"/>
      <c r="B233" s="100"/>
      <c r="C233" s="100"/>
      <c r="D233" s="73" t="str">
        <f t="shared" si="162"/>
        <v>Trigo pastoreo</v>
      </c>
      <c r="E233" s="734"/>
      <c r="F233" s="74"/>
      <c r="G233" s="69">
        <f t="shared" ref="G233:R233" si="186">+F844</f>
        <v>0</v>
      </c>
      <c r="H233" s="69">
        <f t="shared" si="186"/>
        <v>0</v>
      </c>
      <c r="I233" s="69">
        <f t="shared" si="186"/>
        <v>0</v>
      </c>
      <c r="J233" s="69">
        <f t="shared" si="182"/>
        <v>0</v>
      </c>
      <c r="K233" s="69">
        <f t="shared" si="186"/>
        <v>0</v>
      </c>
      <c r="L233" s="69">
        <f t="shared" si="186"/>
        <v>0</v>
      </c>
      <c r="M233" s="69">
        <f t="shared" si="186"/>
        <v>0</v>
      </c>
      <c r="N233" s="69">
        <f t="shared" si="186"/>
        <v>0</v>
      </c>
      <c r="O233" s="69">
        <f t="shared" si="186"/>
        <v>0</v>
      </c>
      <c r="P233" s="69">
        <f t="shared" si="186"/>
        <v>0</v>
      </c>
      <c r="Q233" s="69">
        <f t="shared" si="186"/>
        <v>0</v>
      </c>
      <c r="R233" s="70">
        <f t="shared" si="186"/>
        <v>0</v>
      </c>
      <c r="S233" s="5102"/>
      <c r="T233" s="2250" t="b">
        <f t="shared" si="165"/>
        <v>0</v>
      </c>
      <c r="U233" s="2245"/>
      <c r="V233" s="76" t="b">
        <f t="shared" si="180"/>
        <v>0</v>
      </c>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row>
    <row r="234" spans="1:136" x14ac:dyDescent="0.2">
      <c r="A234" s="100"/>
      <c r="B234" s="100"/>
      <c r="C234" s="100"/>
      <c r="D234" s="73" t="str">
        <f t="shared" si="162"/>
        <v>Cebada pastoreo</v>
      </c>
      <c r="E234" s="734"/>
      <c r="F234" s="74"/>
      <c r="G234" s="69">
        <f t="shared" ref="G234:R234" si="187">+F845</f>
        <v>0</v>
      </c>
      <c r="H234" s="69">
        <f t="shared" si="187"/>
        <v>0</v>
      </c>
      <c r="I234" s="69">
        <f t="shared" si="187"/>
        <v>0</v>
      </c>
      <c r="J234" s="69">
        <f t="shared" si="182"/>
        <v>0</v>
      </c>
      <c r="K234" s="69">
        <f t="shared" si="187"/>
        <v>0</v>
      </c>
      <c r="L234" s="69">
        <f t="shared" si="187"/>
        <v>0</v>
      </c>
      <c r="M234" s="69">
        <f t="shared" si="187"/>
        <v>0</v>
      </c>
      <c r="N234" s="69">
        <f t="shared" si="187"/>
        <v>0</v>
      </c>
      <c r="O234" s="69">
        <f t="shared" si="187"/>
        <v>0</v>
      </c>
      <c r="P234" s="69">
        <f t="shared" si="187"/>
        <v>0</v>
      </c>
      <c r="Q234" s="69">
        <f t="shared" si="187"/>
        <v>0</v>
      </c>
      <c r="R234" s="70">
        <f t="shared" si="187"/>
        <v>0</v>
      </c>
      <c r="S234" s="5102"/>
      <c r="T234" s="2250" t="b">
        <f t="shared" si="165"/>
        <v>0</v>
      </c>
      <c r="U234" s="2245"/>
      <c r="V234" s="76" t="b">
        <f t="shared" si="180"/>
        <v>0</v>
      </c>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row>
    <row r="235" spans="1:136" x14ac:dyDescent="0.2">
      <c r="A235" s="100"/>
      <c r="B235" s="100"/>
      <c r="C235" s="100"/>
      <c r="D235" s="736" t="str">
        <f t="shared" si="162"/>
        <v>InterS. Rg</v>
      </c>
      <c r="E235" s="734"/>
      <c r="F235" s="74"/>
      <c r="G235" s="69">
        <f t="shared" ref="G235:R235" si="188">+F846</f>
        <v>0</v>
      </c>
      <c r="H235" s="69">
        <f t="shared" si="188"/>
        <v>0</v>
      </c>
      <c r="I235" s="69">
        <f t="shared" si="188"/>
        <v>0</v>
      </c>
      <c r="J235" s="69">
        <f t="shared" si="182"/>
        <v>0</v>
      </c>
      <c r="K235" s="69">
        <f t="shared" si="188"/>
        <v>0</v>
      </c>
      <c r="L235" s="69">
        <f t="shared" si="188"/>
        <v>0</v>
      </c>
      <c r="M235" s="69">
        <f t="shared" si="188"/>
        <v>0</v>
      </c>
      <c r="N235" s="69">
        <f t="shared" si="188"/>
        <v>0</v>
      </c>
      <c r="O235" s="69">
        <f t="shared" si="188"/>
        <v>0</v>
      </c>
      <c r="P235" s="69">
        <f t="shared" si="188"/>
        <v>0</v>
      </c>
      <c r="Q235" s="69">
        <f t="shared" si="188"/>
        <v>0</v>
      </c>
      <c r="R235" s="70">
        <f t="shared" si="188"/>
        <v>0</v>
      </c>
      <c r="S235" s="5102"/>
      <c r="T235" s="2250" t="b">
        <f t="shared" si="165"/>
        <v>0</v>
      </c>
      <c r="U235" s="2245"/>
      <c r="V235" s="76" t="b">
        <f t="shared" si="180"/>
        <v>0</v>
      </c>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row>
    <row r="236" spans="1:136" x14ac:dyDescent="0.2">
      <c r="A236" s="100"/>
      <c r="B236" s="100"/>
      <c r="C236" s="100"/>
      <c r="D236" s="736">
        <f t="shared" si="162"/>
        <v>0</v>
      </c>
      <c r="E236" s="734"/>
      <c r="F236" s="74"/>
      <c r="G236" s="69">
        <f t="shared" ref="G236:R236" si="189">+F847</f>
        <v>0</v>
      </c>
      <c r="H236" s="69">
        <f t="shared" si="189"/>
        <v>0</v>
      </c>
      <c r="I236" s="69">
        <f t="shared" si="189"/>
        <v>0</v>
      </c>
      <c r="J236" s="69">
        <f t="shared" si="182"/>
        <v>0</v>
      </c>
      <c r="K236" s="69">
        <f t="shared" si="189"/>
        <v>0</v>
      </c>
      <c r="L236" s="69">
        <f t="shared" si="189"/>
        <v>0</v>
      </c>
      <c r="M236" s="69">
        <f t="shared" si="189"/>
        <v>0</v>
      </c>
      <c r="N236" s="69">
        <f t="shared" si="189"/>
        <v>0</v>
      </c>
      <c r="O236" s="69">
        <f t="shared" si="189"/>
        <v>0</v>
      </c>
      <c r="P236" s="69">
        <f t="shared" si="189"/>
        <v>0</v>
      </c>
      <c r="Q236" s="69">
        <f t="shared" si="189"/>
        <v>0</v>
      </c>
      <c r="R236" s="70">
        <f t="shared" si="189"/>
        <v>0</v>
      </c>
      <c r="S236" s="5102"/>
      <c r="T236" s="2250" t="b">
        <f t="shared" si="165"/>
        <v>0</v>
      </c>
      <c r="U236" s="2245"/>
      <c r="V236" s="76" t="b">
        <f t="shared" si="180"/>
        <v>0</v>
      </c>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row>
    <row r="237" spans="1:136" ht="15.05" thickBot="1" x14ac:dyDescent="0.25">
      <c r="A237" s="100"/>
      <c r="B237" s="100"/>
      <c r="C237" s="100"/>
      <c r="D237" s="737">
        <f t="shared" si="162"/>
        <v>0</v>
      </c>
      <c r="E237" s="735"/>
      <c r="F237" s="77"/>
      <c r="G237" s="81">
        <f t="shared" ref="G237:R237" si="190">+F848</f>
        <v>0</v>
      </c>
      <c r="H237" s="81">
        <f t="shared" si="190"/>
        <v>0</v>
      </c>
      <c r="I237" s="81">
        <f t="shared" si="190"/>
        <v>0</v>
      </c>
      <c r="J237" s="81">
        <f t="shared" si="182"/>
        <v>0</v>
      </c>
      <c r="K237" s="81">
        <f t="shared" si="190"/>
        <v>0</v>
      </c>
      <c r="L237" s="81">
        <f t="shared" si="190"/>
        <v>0</v>
      </c>
      <c r="M237" s="81">
        <f t="shared" si="190"/>
        <v>0</v>
      </c>
      <c r="N237" s="81">
        <f t="shared" si="190"/>
        <v>0</v>
      </c>
      <c r="O237" s="81">
        <f t="shared" si="190"/>
        <v>0</v>
      </c>
      <c r="P237" s="81">
        <f t="shared" si="190"/>
        <v>0</v>
      </c>
      <c r="Q237" s="81">
        <f t="shared" si="190"/>
        <v>0</v>
      </c>
      <c r="R237" s="82">
        <f t="shared" si="190"/>
        <v>0</v>
      </c>
      <c r="S237" s="5103"/>
      <c r="T237" s="2251" t="b">
        <f t="shared" si="165"/>
        <v>0</v>
      </c>
      <c r="U237" s="2246"/>
      <c r="V237" s="78" t="b">
        <f t="shared" si="180"/>
        <v>0</v>
      </c>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row>
    <row r="238" spans="1:136" x14ac:dyDescent="0.2">
      <c r="A238" s="100"/>
      <c r="B238" s="100"/>
      <c r="C238" s="100"/>
      <c r="D238" s="89" t="str">
        <f t="shared" si="162"/>
        <v>Sorgo Forrajero</v>
      </c>
      <c r="E238" s="90"/>
      <c r="F238" s="90"/>
      <c r="G238" s="79">
        <f t="shared" ref="G238:R238" si="191">+F850</f>
        <v>0</v>
      </c>
      <c r="H238" s="79">
        <f t="shared" si="191"/>
        <v>0</v>
      </c>
      <c r="I238" s="79">
        <f t="shared" si="191"/>
        <v>0</v>
      </c>
      <c r="J238" s="79">
        <f>+I850</f>
        <v>0</v>
      </c>
      <c r="K238" s="79">
        <f t="shared" si="191"/>
        <v>0</v>
      </c>
      <c r="L238" s="79">
        <f t="shared" si="191"/>
        <v>0</v>
      </c>
      <c r="M238" s="79">
        <f t="shared" si="191"/>
        <v>0</v>
      </c>
      <c r="N238" s="79">
        <f t="shared" si="191"/>
        <v>0</v>
      </c>
      <c r="O238" s="79">
        <f t="shared" si="191"/>
        <v>0</v>
      </c>
      <c r="P238" s="79">
        <f t="shared" si="191"/>
        <v>0</v>
      </c>
      <c r="Q238" s="79">
        <f t="shared" si="191"/>
        <v>0</v>
      </c>
      <c r="R238" s="80">
        <f t="shared" si="191"/>
        <v>0</v>
      </c>
      <c r="S238" s="5102"/>
      <c r="T238" s="2250" t="b">
        <f t="shared" si="165"/>
        <v>0</v>
      </c>
      <c r="U238" s="2245"/>
      <c r="V238" s="76" t="b">
        <f t="shared" si="180"/>
        <v>0</v>
      </c>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row>
    <row r="239" spans="1:136" x14ac:dyDescent="0.2">
      <c r="A239" s="100"/>
      <c r="B239" s="100"/>
      <c r="C239" s="100"/>
      <c r="D239" s="73" t="str">
        <f t="shared" si="162"/>
        <v xml:space="preserve">Sudan </v>
      </c>
      <c r="E239" s="734"/>
      <c r="F239" s="74"/>
      <c r="G239" s="69">
        <f t="shared" ref="G239:R239" si="192">+F851</f>
        <v>0</v>
      </c>
      <c r="H239" s="69">
        <f t="shared" si="192"/>
        <v>0</v>
      </c>
      <c r="I239" s="69">
        <f t="shared" si="192"/>
        <v>0</v>
      </c>
      <c r="J239" s="69">
        <f>+I851</f>
        <v>0</v>
      </c>
      <c r="K239" s="69">
        <f t="shared" si="192"/>
        <v>0</v>
      </c>
      <c r="L239" s="69">
        <f t="shared" si="192"/>
        <v>0</v>
      </c>
      <c r="M239" s="69">
        <f t="shared" si="192"/>
        <v>0</v>
      </c>
      <c r="N239" s="69">
        <f t="shared" si="192"/>
        <v>0</v>
      </c>
      <c r="O239" s="69">
        <f t="shared" si="192"/>
        <v>0</v>
      </c>
      <c r="P239" s="69">
        <f t="shared" si="192"/>
        <v>0</v>
      </c>
      <c r="Q239" s="69">
        <f t="shared" si="192"/>
        <v>0</v>
      </c>
      <c r="R239" s="70">
        <f t="shared" si="192"/>
        <v>0</v>
      </c>
      <c r="S239" s="5102"/>
      <c r="T239" s="2250" t="b">
        <f t="shared" si="165"/>
        <v>0</v>
      </c>
      <c r="U239" s="2245"/>
      <c r="V239" s="76" t="b">
        <f t="shared" si="180"/>
        <v>0</v>
      </c>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row>
    <row r="240" spans="1:136" x14ac:dyDescent="0.2">
      <c r="A240" s="100"/>
      <c r="B240" s="100"/>
      <c r="C240" s="100"/>
      <c r="D240" s="736">
        <f t="shared" si="162"/>
        <v>0</v>
      </c>
      <c r="E240" s="734"/>
      <c r="F240" s="74"/>
      <c r="G240" s="69">
        <f t="shared" ref="G240:R240" si="193">+F852</f>
        <v>0</v>
      </c>
      <c r="H240" s="69">
        <f t="shared" si="193"/>
        <v>0</v>
      </c>
      <c r="I240" s="69">
        <f t="shared" si="193"/>
        <v>0</v>
      </c>
      <c r="J240" s="69">
        <f>+I852</f>
        <v>0</v>
      </c>
      <c r="K240" s="69">
        <f t="shared" si="193"/>
        <v>0</v>
      </c>
      <c r="L240" s="69">
        <f t="shared" si="193"/>
        <v>0</v>
      </c>
      <c r="M240" s="69">
        <f t="shared" si="193"/>
        <v>0</v>
      </c>
      <c r="N240" s="69">
        <f t="shared" si="193"/>
        <v>0</v>
      </c>
      <c r="O240" s="69">
        <f t="shared" si="193"/>
        <v>0</v>
      </c>
      <c r="P240" s="69">
        <f t="shared" si="193"/>
        <v>0</v>
      </c>
      <c r="Q240" s="69">
        <f t="shared" si="193"/>
        <v>0</v>
      </c>
      <c r="R240" s="70">
        <f t="shared" si="193"/>
        <v>0</v>
      </c>
      <c r="S240" s="5102"/>
      <c r="T240" s="2250" t="b">
        <f t="shared" si="165"/>
        <v>0</v>
      </c>
      <c r="U240" s="2245"/>
      <c r="V240" s="76" t="b">
        <f t="shared" si="180"/>
        <v>0</v>
      </c>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row>
    <row r="241" spans="1:136" x14ac:dyDescent="0.2">
      <c r="A241" s="100"/>
      <c r="B241" s="100"/>
      <c r="C241" s="100"/>
      <c r="D241" s="736">
        <f t="shared" si="162"/>
        <v>0</v>
      </c>
      <c r="E241" s="734"/>
      <c r="F241" s="74"/>
      <c r="G241" s="69">
        <f t="shared" ref="G241:R241" si="194">+F853</f>
        <v>0</v>
      </c>
      <c r="H241" s="69">
        <f t="shared" si="194"/>
        <v>0</v>
      </c>
      <c r="I241" s="69">
        <f t="shared" si="194"/>
        <v>0</v>
      </c>
      <c r="J241" s="69">
        <f>+I853</f>
        <v>0</v>
      </c>
      <c r="K241" s="69">
        <f t="shared" si="194"/>
        <v>0</v>
      </c>
      <c r="L241" s="69">
        <f t="shared" si="194"/>
        <v>0</v>
      </c>
      <c r="M241" s="69">
        <f t="shared" si="194"/>
        <v>0</v>
      </c>
      <c r="N241" s="69">
        <f t="shared" si="194"/>
        <v>0</v>
      </c>
      <c r="O241" s="69">
        <f t="shared" si="194"/>
        <v>0</v>
      </c>
      <c r="P241" s="69">
        <f t="shared" si="194"/>
        <v>0</v>
      </c>
      <c r="Q241" s="69">
        <f t="shared" si="194"/>
        <v>0</v>
      </c>
      <c r="R241" s="70">
        <f t="shared" si="194"/>
        <v>0</v>
      </c>
      <c r="S241" s="5102"/>
      <c r="T241" s="2250" t="b">
        <f t="shared" si="165"/>
        <v>0</v>
      </c>
      <c r="U241" s="2245"/>
      <c r="V241" s="76" t="b">
        <f t="shared" si="180"/>
        <v>0</v>
      </c>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row>
    <row r="242" spans="1:136" ht="15.05" thickBot="1" x14ac:dyDescent="0.25">
      <c r="A242" s="100"/>
      <c r="B242" s="100"/>
      <c r="C242" s="100"/>
      <c r="D242" s="737">
        <f t="shared" si="162"/>
        <v>0</v>
      </c>
      <c r="E242" s="735"/>
      <c r="F242" s="77"/>
      <c r="G242" s="81">
        <f t="shared" ref="G242:R242" si="195">+F854</f>
        <v>0</v>
      </c>
      <c r="H242" s="81">
        <f t="shared" si="195"/>
        <v>0</v>
      </c>
      <c r="I242" s="81">
        <f t="shared" si="195"/>
        <v>0</v>
      </c>
      <c r="J242" s="81">
        <f>+I854</f>
        <v>0</v>
      </c>
      <c r="K242" s="81">
        <f t="shared" si="195"/>
        <v>0</v>
      </c>
      <c r="L242" s="81">
        <f t="shared" si="195"/>
        <v>0</v>
      </c>
      <c r="M242" s="81">
        <f t="shared" si="195"/>
        <v>0</v>
      </c>
      <c r="N242" s="81">
        <f t="shared" si="195"/>
        <v>0</v>
      </c>
      <c r="O242" s="81">
        <f t="shared" si="195"/>
        <v>0</v>
      </c>
      <c r="P242" s="81">
        <f t="shared" si="195"/>
        <v>0</v>
      </c>
      <c r="Q242" s="81">
        <f t="shared" si="195"/>
        <v>0</v>
      </c>
      <c r="R242" s="84">
        <f t="shared" si="195"/>
        <v>0</v>
      </c>
      <c r="S242" s="5103"/>
      <c r="T242" s="2251" t="b">
        <f t="shared" si="165"/>
        <v>0</v>
      </c>
      <c r="U242" s="2246"/>
      <c r="V242" s="78" t="b">
        <f t="shared" si="180"/>
        <v>0</v>
      </c>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row>
    <row r="243" spans="1:136" x14ac:dyDescent="0.2">
      <c r="A243" s="100"/>
      <c r="B243" s="100"/>
      <c r="C243" s="100"/>
      <c r="D243" s="91" t="str">
        <f t="shared" si="162"/>
        <v>Maíz Silo</v>
      </c>
      <c r="E243" s="90"/>
      <c r="F243" s="90"/>
      <c r="G243" s="79">
        <f>F856</f>
        <v>0</v>
      </c>
      <c r="H243" s="79">
        <f t="shared" ref="H243:R243" si="196">G856</f>
        <v>0</v>
      </c>
      <c r="I243" s="79">
        <f t="shared" si="196"/>
        <v>0</v>
      </c>
      <c r="J243" s="79">
        <f t="shared" ref="J243:J248" si="197">I856</f>
        <v>0</v>
      </c>
      <c r="K243" s="79">
        <f t="shared" si="196"/>
        <v>0</v>
      </c>
      <c r="L243" s="79">
        <f t="shared" si="196"/>
        <v>0</v>
      </c>
      <c r="M243" s="79">
        <f t="shared" si="196"/>
        <v>0</v>
      </c>
      <c r="N243" s="79">
        <f t="shared" si="196"/>
        <v>0</v>
      </c>
      <c r="O243" s="79">
        <f t="shared" si="196"/>
        <v>0</v>
      </c>
      <c r="P243" s="79">
        <f t="shared" si="196"/>
        <v>0</v>
      </c>
      <c r="Q243" s="79">
        <f t="shared" si="196"/>
        <v>0</v>
      </c>
      <c r="R243" s="80">
        <f t="shared" si="196"/>
        <v>0</v>
      </c>
      <c r="S243" s="5104"/>
      <c r="T243" s="2252" t="b">
        <f t="shared" si="165"/>
        <v>0</v>
      </c>
      <c r="U243" s="2244"/>
      <c r="V243" s="72" t="b">
        <f t="shared" ref="V243:V253" si="198">IF(U243&lt;&gt;0,U243,T243)</f>
        <v>0</v>
      </c>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row>
    <row r="244" spans="1:136" x14ac:dyDescent="0.2">
      <c r="A244" s="100"/>
      <c r="B244" s="100"/>
      <c r="C244" s="100"/>
      <c r="D244" s="736" t="str">
        <f t="shared" si="162"/>
        <v>Sorgo silo</v>
      </c>
      <c r="E244" s="734"/>
      <c r="F244" s="74"/>
      <c r="G244" s="69">
        <f t="shared" ref="G244:R244" si="199">F857</f>
        <v>0</v>
      </c>
      <c r="H244" s="69">
        <f t="shared" si="199"/>
        <v>0</v>
      </c>
      <c r="I244" s="69">
        <f t="shared" si="199"/>
        <v>0</v>
      </c>
      <c r="J244" s="69">
        <f t="shared" si="197"/>
        <v>0</v>
      </c>
      <c r="K244" s="69">
        <f t="shared" si="199"/>
        <v>0</v>
      </c>
      <c r="L244" s="69">
        <f t="shared" si="199"/>
        <v>0</v>
      </c>
      <c r="M244" s="69">
        <f t="shared" si="199"/>
        <v>0</v>
      </c>
      <c r="N244" s="69">
        <f t="shared" si="199"/>
        <v>0</v>
      </c>
      <c r="O244" s="69">
        <f t="shared" si="199"/>
        <v>0</v>
      </c>
      <c r="P244" s="69">
        <f t="shared" si="199"/>
        <v>0</v>
      </c>
      <c r="Q244" s="69">
        <f t="shared" si="199"/>
        <v>0</v>
      </c>
      <c r="R244" s="70">
        <f t="shared" si="199"/>
        <v>0</v>
      </c>
      <c r="S244" s="5102"/>
      <c r="T244" s="2250" t="b">
        <f t="shared" si="165"/>
        <v>0</v>
      </c>
      <c r="U244" s="2245"/>
      <c r="V244" s="76" t="b">
        <f t="shared" si="198"/>
        <v>0</v>
      </c>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row>
    <row r="245" spans="1:136" x14ac:dyDescent="0.2">
      <c r="A245" s="100"/>
      <c r="B245" s="100"/>
      <c r="C245" s="100"/>
      <c r="D245" s="736" t="str">
        <f t="shared" si="162"/>
        <v>Moha</v>
      </c>
      <c r="E245" s="734"/>
      <c r="F245" s="74"/>
      <c r="G245" s="69">
        <f t="shared" ref="G245:R245" si="200">F858</f>
        <v>0</v>
      </c>
      <c r="H245" s="69">
        <f t="shared" si="200"/>
        <v>0</v>
      </c>
      <c r="I245" s="69">
        <f t="shared" si="200"/>
        <v>0</v>
      </c>
      <c r="J245" s="69">
        <f t="shared" si="197"/>
        <v>0</v>
      </c>
      <c r="K245" s="69">
        <f t="shared" si="200"/>
        <v>0</v>
      </c>
      <c r="L245" s="69">
        <f t="shared" si="200"/>
        <v>0</v>
      </c>
      <c r="M245" s="69">
        <f t="shared" si="200"/>
        <v>0</v>
      </c>
      <c r="N245" s="69">
        <f t="shared" si="200"/>
        <v>0</v>
      </c>
      <c r="O245" s="69">
        <f t="shared" si="200"/>
        <v>0</v>
      </c>
      <c r="P245" s="69">
        <f t="shared" si="200"/>
        <v>0</v>
      </c>
      <c r="Q245" s="69">
        <f t="shared" si="200"/>
        <v>0</v>
      </c>
      <c r="R245" s="70">
        <f t="shared" si="200"/>
        <v>0</v>
      </c>
      <c r="S245" s="5102"/>
      <c r="T245" s="2250" t="b">
        <f t="shared" si="165"/>
        <v>0</v>
      </c>
      <c r="U245" s="2245"/>
      <c r="V245" s="76" t="b">
        <f t="shared" si="198"/>
        <v>0</v>
      </c>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row>
    <row r="246" spans="1:136" x14ac:dyDescent="0.2">
      <c r="A246" s="100"/>
      <c r="B246" s="100"/>
      <c r="C246" s="100"/>
      <c r="D246" s="736" t="str">
        <f t="shared" si="162"/>
        <v>Soja reserva</v>
      </c>
      <c r="E246" s="734"/>
      <c r="F246" s="74"/>
      <c r="G246" s="69">
        <f t="shared" ref="G246:R246" si="201">F859</f>
        <v>0</v>
      </c>
      <c r="H246" s="69">
        <f t="shared" si="201"/>
        <v>0</v>
      </c>
      <c r="I246" s="69">
        <f t="shared" si="201"/>
        <v>0</v>
      </c>
      <c r="J246" s="69">
        <f t="shared" si="197"/>
        <v>0</v>
      </c>
      <c r="K246" s="69">
        <f t="shared" si="201"/>
        <v>0</v>
      </c>
      <c r="L246" s="69">
        <f t="shared" si="201"/>
        <v>0</v>
      </c>
      <c r="M246" s="69">
        <f t="shared" si="201"/>
        <v>0</v>
      </c>
      <c r="N246" s="69">
        <f t="shared" si="201"/>
        <v>0</v>
      </c>
      <c r="O246" s="69">
        <f t="shared" si="201"/>
        <v>0</v>
      </c>
      <c r="P246" s="69">
        <f t="shared" si="201"/>
        <v>0</v>
      </c>
      <c r="Q246" s="69">
        <f t="shared" si="201"/>
        <v>0</v>
      </c>
      <c r="R246" s="70">
        <f t="shared" si="201"/>
        <v>0</v>
      </c>
      <c r="S246" s="5102"/>
      <c r="T246" s="2250" t="b">
        <f t="shared" si="165"/>
        <v>0</v>
      </c>
      <c r="U246" s="2245"/>
      <c r="V246" s="76" t="b">
        <f t="shared" si="198"/>
        <v>0</v>
      </c>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row>
    <row r="247" spans="1:136" x14ac:dyDescent="0.2">
      <c r="A247" s="100"/>
      <c r="B247" s="100"/>
      <c r="C247" s="100"/>
      <c r="D247" s="736">
        <f t="shared" si="162"/>
        <v>0</v>
      </c>
      <c r="E247" s="734"/>
      <c r="F247" s="74"/>
      <c r="G247" s="69">
        <f t="shared" ref="G247:R247" si="202">F860</f>
        <v>0</v>
      </c>
      <c r="H247" s="69">
        <f t="shared" si="202"/>
        <v>0</v>
      </c>
      <c r="I247" s="69">
        <f t="shared" si="202"/>
        <v>0</v>
      </c>
      <c r="J247" s="69">
        <f t="shared" si="197"/>
        <v>0</v>
      </c>
      <c r="K247" s="69">
        <f t="shared" si="202"/>
        <v>0</v>
      </c>
      <c r="L247" s="69">
        <f t="shared" si="202"/>
        <v>0</v>
      </c>
      <c r="M247" s="69">
        <f t="shared" si="202"/>
        <v>0</v>
      </c>
      <c r="N247" s="69">
        <f t="shared" si="202"/>
        <v>0</v>
      </c>
      <c r="O247" s="69">
        <f t="shared" si="202"/>
        <v>0</v>
      </c>
      <c r="P247" s="69">
        <f t="shared" si="202"/>
        <v>0</v>
      </c>
      <c r="Q247" s="69">
        <f t="shared" si="202"/>
        <v>0</v>
      </c>
      <c r="R247" s="83">
        <f t="shared" si="202"/>
        <v>0</v>
      </c>
      <c r="S247" s="5102"/>
      <c r="T247" s="2250" t="b">
        <f t="shared" si="165"/>
        <v>0</v>
      </c>
      <c r="U247" s="2245"/>
      <c r="V247" s="76" t="b">
        <f t="shared" si="198"/>
        <v>0</v>
      </c>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row>
    <row r="248" spans="1:136" ht="15.05" thickBot="1" x14ac:dyDescent="0.25">
      <c r="A248" s="100"/>
      <c r="B248" s="100"/>
      <c r="C248" s="100"/>
      <c r="D248" s="737">
        <f t="shared" si="162"/>
        <v>0</v>
      </c>
      <c r="E248" s="735"/>
      <c r="F248" s="77"/>
      <c r="G248" s="81">
        <f t="shared" ref="G248:R248" si="203">F861</f>
        <v>0</v>
      </c>
      <c r="H248" s="81">
        <f t="shared" si="203"/>
        <v>0</v>
      </c>
      <c r="I248" s="81">
        <f t="shared" si="203"/>
        <v>0</v>
      </c>
      <c r="J248" s="81">
        <f t="shared" si="197"/>
        <v>0</v>
      </c>
      <c r="K248" s="81">
        <f t="shared" si="203"/>
        <v>0</v>
      </c>
      <c r="L248" s="81">
        <f t="shared" si="203"/>
        <v>0</v>
      </c>
      <c r="M248" s="81">
        <f t="shared" si="203"/>
        <v>0</v>
      </c>
      <c r="N248" s="81">
        <f t="shared" si="203"/>
        <v>0</v>
      </c>
      <c r="O248" s="81">
        <f t="shared" si="203"/>
        <v>0</v>
      </c>
      <c r="P248" s="81">
        <f t="shared" si="203"/>
        <v>0</v>
      </c>
      <c r="Q248" s="81">
        <f t="shared" si="203"/>
        <v>0</v>
      </c>
      <c r="R248" s="84">
        <f t="shared" si="203"/>
        <v>0</v>
      </c>
      <c r="S248" s="5103"/>
      <c r="T248" s="2251" t="b">
        <f t="shared" si="165"/>
        <v>0</v>
      </c>
      <c r="U248" s="2246"/>
      <c r="V248" s="78" t="b">
        <f t="shared" si="198"/>
        <v>0</v>
      </c>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row>
    <row r="249" spans="1:136" x14ac:dyDescent="0.2">
      <c r="A249" s="100"/>
      <c r="B249" s="100"/>
      <c r="C249" s="100"/>
      <c r="D249" s="91" t="str">
        <f t="shared" si="162"/>
        <v>Avena silo</v>
      </c>
      <c r="E249" s="90"/>
      <c r="F249" s="90"/>
      <c r="G249" s="79">
        <f>F863</f>
        <v>0</v>
      </c>
      <c r="H249" s="79">
        <f t="shared" ref="H249:R249" si="204">G863</f>
        <v>0</v>
      </c>
      <c r="I249" s="79">
        <f t="shared" si="204"/>
        <v>0</v>
      </c>
      <c r="J249" s="79">
        <f>I863</f>
        <v>0</v>
      </c>
      <c r="K249" s="79">
        <f t="shared" si="204"/>
        <v>0</v>
      </c>
      <c r="L249" s="79">
        <f t="shared" si="204"/>
        <v>0</v>
      </c>
      <c r="M249" s="79">
        <f t="shared" si="204"/>
        <v>0</v>
      </c>
      <c r="N249" s="79">
        <f t="shared" si="204"/>
        <v>0</v>
      </c>
      <c r="O249" s="79">
        <f t="shared" si="204"/>
        <v>0</v>
      </c>
      <c r="P249" s="79">
        <f t="shared" si="204"/>
        <v>0</v>
      </c>
      <c r="Q249" s="79">
        <f t="shared" si="204"/>
        <v>0</v>
      </c>
      <c r="R249" s="288">
        <f t="shared" si="204"/>
        <v>0</v>
      </c>
      <c r="S249" s="5104"/>
      <c r="T249" s="2252" t="b">
        <f t="shared" si="165"/>
        <v>0</v>
      </c>
      <c r="U249" s="2244"/>
      <c r="V249" s="72" t="b">
        <f t="shared" si="198"/>
        <v>0</v>
      </c>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row>
    <row r="250" spans="1:136" x14ac:dyDescent="0.2">
      <c r="A250" s="100"/>
      <c r="B250" s="100"/>
      <c r="C250" s="100"/>
      <c r="D250" s="736" t="str">
        <f t="shared" si="162"/>
        <v>Raigrás Silo</v>
      </c>
      <c r="E250" s="734"/>
      <c r="F250" s="74"/>
      <c r="G250" s="69">
        <f t="shared" ref="G250:R250" si="205">F864</f>
        <v>0</v>
      </c>
      <c r="H250" s="69">
        <f t="shared" si="205"/>
        <v>0</v>
      </c>
      <c r="I250" s="69">
        <f t="shared" si="205"/>
        <v>0</v>
      </c>
      <c r="J250" s="69">
        <f>I864</f>
        <v>0</v>
      </c>
      <c r="K250" s="69">
        <f t="shared" si="205"/>
        <v>0</v>
      </c>
      <c r="L250" s="69">
        <f t="shared" si="205"/>
        <v>0</v>
      </c>
      <c r="M250" s="69">
        <f t="shared" si="205"/>
        <v>0</v>
      </c>
      <c r="N250" s="69">
        <f t="shared" si="205"/>
        <v>0</v>
      </c>
      <c r="O250" s="69">
        <f t="shared" si="205"/>
        <v>0</v>
      </c>
      <c r="P250" s="69">
        <f t="shared" si="205"/>
        <v>0</v>
      </c>
      <c r="Q250" s="69">
        <f t="shared" si="205"/>
        <v>0</v>
      </c>
      <c r="R250" s="70">
        <f t="shared" si="205"/>
        <v>0</v>
      </c>
      <c r="S250" s="5102"/>
      <c r="T250" s="2250" t="b">
        <f t="shared" si="165"/>
        <v>0</v>
      </c>
      <c r="U250" s="2245"/>
      <c r="V250" s="76" t="b">
        <f t="shared" si="198"/>
        <v>0</v>
      </c>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row>
    <row r="251" spans="1:136" x14ac:dyDescent="0.2">
      <c r="A251" s="100"/>
      <c r="B251" s="100"/>
      <c r="C251" s="100"/>
      <c r="D251" s="736" t="str">
        <f t="shared" si="162"/>
        <v>Ra Silo Cierre Ago</v>
      </c>
      <c r="E251" s="734"/>
      <c r="F251" s="74"/>
      <c r="G251" s="69">
        <f t="shared" ref="G251:R251" si="206">F865</f>
        <v>0</v>
      </c>
      <c r="H251" s="69">
        <f t="shared" si="206"/>
        <v>0</v>
      </c>
      <c r="I251" s="69">
        <f t="shared" si="206"/>
        <v>0</v>
      </c>
      <c r="J251" s="69">
        <f>I865</f>
        <v>0</v>
      </c>
      <c r="K251" s="69">
        <f t="shared" si="206"/>
        <v>0</v>
      </c>
      <c r="L251" s="69">
        <f t="shared" si="206"/>
        <v>0</v>
      </c>
      <c r="M251" s="69">
        <f t="shared" si="206"/>
        <v>0</v>
      </c>
      <c r="N251" s="69">
        <f t="shared" si="206"/>
        <v>0</v>
      </c>
      <c r="O251" s="69">
        <f t="shared" si="206"/>
        <v>0</v>
      </c>
      <c r="P251" s="69">
        <f t="shared" si="206"/>
        <v>0</v>
      </c>
      <c r="Q251" s="69">
        <f t="shared" si="206"/>
        <v>0</v>
      </c>
      <c r="R251" s="70">
        <f t="shared" si="206"/>
        <v>0</v>
      </c>
      <c r="S251" s="5102"/>
      <c r="T251" s="2250" t="b">
        <f t="shared" si="165"/>
        <v>0</v>
      </c>
      <c r="U251" s="2245"/>
      <c r="V251" s="76" t="b">
        <f t="shared" si="198"/>
        <v>0</v>
      </c>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row>
    <row r="252" spans="1:136" x14ac:dyDescent="0.2">
      <c r="A252" s="100"/>
      <c r="B252" s="100"/>
      <c r="C252" s="100"/>
      <c r="D252" s="736">
        <f t="shared" si="162"/>
        <v>0</v>
      </c>
      <c r="E252" s="734"/>
      <c r="F252" s="74"/>
      <c r="G252" s="69">
        <f t="shared" ref="G252:R252" si="207">F866</f>
        <v>0</v>
      </c>
      <c r="H252" s="69">
        <f t="shared" si="207"/>
        <v>0</v>
      </c>
      <c r="I252" s="69">
        <f t="shared" si="207"/>
        <v>0</v>
      </c>
      <c r="J252" s="69">
        <f>I866</f>
        <v>0</v>
      </c>
      <c r="K252" s="69">
        <f t="shared" si="207"/>
        <v>0</v>
      </c>
      <c r="L252" s="69">
        <f t="shared" si="207"/>
        <v>0</v>
      </c>
      <c r="M252" s="69">
        <f t="shared" si="207"/>
        <v>0</v>
      </c>
      <c r="N252" s="69">
        <f t="shared" si="207"/>
        <v>0</v>
      </c>
      <c r="O252" s="69">
        <f t="shared" si="207"/>
        <v>0</v>
      </c>
      <c r="P252" s="69">
        <f t="shared" si="207"/>
        <v>0</v>
      </c>
      <c r="Q252" s="69">
        <f t="shared" si="207"/>
        <v>0</v>
      </c>
      <c r="R252" s="70">
        <f t="shared" si="207"/>
        <v>0</v>
      </c>
      <c r="S252" s="5102"/>
      <c r="T252" s="2250" t="b">
        <f t="shared" si="165"/>
        <v>0</v>
      </c>
      <c r="U252" s="2245"/>
      <c r="V252" s="76" t="b">
        <f t="shared" si="198"/>
        <v>0</v>
      </c>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row>
    <row r="253" spans="1:136" ht="15.05" thickBot="1" x14ac:dyDescent="0.25">
      <c r="A253" s="100"/>
      <c r="B253" s="100"/>
      <c r="C253" s="100"/>
      <c r="D253" s="737">
        <f t="shared" si="162"/>
        <v>0</v>
      </c>
      <c r="E253" s="735"/>
      <c r="F253" s="77"/>
      <c r="G253" s="81">
        <f t="shared" ref="G253:R253" si="208">F867</f>
        <v>0</v>
      </c>
      <c r="H253" s="81">
        <f t="shared" si="208"/>
        <v>0</v>
      </c>
      <c r="I253" s="81">
        <f t="shared" si="208"/>
        <v>0</v>
      </c>
      <c r="J253" s="81">
        <f>I867</f>
        <v>0</v>
      </c>
      <c r="K253" s="81">
        <f t="shared" si="208"/>
        <v>0</v>
      </c>
      <c r="L253" s="81">
        <f t="shared" si="208"/>
        <v>0</v>
      </c>
      <c r="M253" s="81">
        <f t="shared" si="208"/>
        <v>0</v>
      </c>
      <c r="N253" s="81">
        <f t="shared" si="208"/>
        <v>0</v>
      </c>
      <c r="O253" s="81">
        <f t="shared" si="208"/>
        <v>0</v>
      </c>
      <c r="P253" s="81">
        <f t="shared" si="208"/>
        <v>0</v>
      </c>
      <c r="Q253" s="81">
        <f t="shared" si="208"/>
        <v>0</v>
      </c>
      <c r="R253" s="84">
        <f t="shared" si="208"/>
        <v>0</v>
      </c>
      <c r="S253" s="5103"/>
      <c r="T253" s="2251" t="b">
        <f t="shared" si="165"/>
        <v>0</v>
      </c>
      <c r="U253" s="2246"/>
      <c r="V253" s="78" t="b">
        <f t="shared" si="198"/>
        <v>0</v>
      </c>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row>
    <row r="254" spans="1:136" s="2385" customFormat="1" x14ac:dyDescent="0.3">
      <c r="V254" s="6"/>
      <c r="W254" s="6"/>
      <c r="X254" s="6"/>
      <c r="Y254" s="6"/>
      <c r="Z254" s="6"/>
      <c r="AA254" s="6"/>
      <c r="AB254" s="6"/>
      <c r="AC254" s="6"/>
      <c r="AD254" s="6"/>
      <c r="AL254" s="6"/>
      <c r="AM254" s="6"/>
      <c r="AN254" s="6"/>
      <c r="AO254" s="6"/>
      <c r="AP254" s="6"/>
      <c r="AQ254" s="6"/>
      <c r="AR254" s="6"/>
      <c r="AS254" s="6"/>
      <c r="AT254" s="6"/>
      <c r="AU254" s="6"/>
      <c r="AV254" s="6"/>
      <c r="AW254" s="6"/>
      <c r="AX254" s="6"/>
    </row>
    <row r="255" spans="1:136" s="2385" customFormat="1" ht="15.05" thickBot="1" x14ac:dyDescent="0.35">
      <c r="V255" s="6"/>
      <c r="W255" s="6"/>
      <c r="X255" s="6"/>
      <c r="Y255" s="6"/>
      <c r="Z255" s="6"/>
      <c r="AA255" s="6"/>
      <c r="AB255" s="6"/>
      <c r="AC255" s="6"/>
      <c r="AD255" s="6"/>
      <c r="AL255" s="6"/>
      <c r="AM255" s="6"/>
      <c r="AN255" s="6"/>
      <c r="AO255" s="6"/>
      <c r="AP255" s="6"/>
      <c r="AQ255" s="6"/>
      <c r="AR255" s="6"/>
      <c r="AS255" s="6"/>
      <c r="AT255" s="6"/>
      <c r="AU255" s="6"/>
      <c r="AV255" s="6"/>
      <c r="AW255" s="6"/>
      <c r="AX255" s="6"/>
    </row>
    <row r="256" spans="1:136" ht="15.05" thickBot="1" x14ac:dyDescent="0.25">
      <c r="A256" s="1344">
        <f>+A212+1</f>
        <v>38</v>
      </c>
      <c r="B256" s="1435"/>
      <c r="C256" s="958"/>
      <c r="D256" s="47" t="s">
        <v>1281</v>
      </c>
      <c r="E256" s="25"/>
      <c r="F256" s="25"/>
      <c r="G256" s="52"/>
      <c r="H256" s="52"/>
      <c r="I256" s="52"/>
      <c r="J256" s="52"/>
      <c r="K256" s="52"/>
      <c r="L256" s="52"/>
      <c r="M256" s="52"/>
      <c r="N256" s="52"/>
      <c r="O256" s="52"/>
      <c r="P256" s="52"/>
      <c r="Q256" s="52"/>
      <c r="R256" s="52"/>
      <c r="S256" s="52"/>
      <c r="T256" s="64"/>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row>
    <row r="257" spans="1:136" x14ac:dyDescent="0.2">
      <c r="A257" s="6"/>
      <c r="B257" s="110"/>
      <c r="C257" s="100"/>
      <c r="D257" s="65"/>
      <c r="E257" s="41"/>
      <c r="F257" s="41"/>
      <c r="G257" s="66"/>
      <c r="H257" s="66"/>
      <c r="I257" s="66"/>
      <c r="J257" s="66"/>
      <c r="K257" s="66"/>
      <c r="L257" s="66"/>
      <c r="M257" s="66"/>
      <c r="N257" s="66"/>
      <c r="O257" s="66"/>
      <c r="P257" s="66"/>
      <c r="Q257" s="66"/>
      <c r="R257" s="66"/>
      <c r="S257" s="883" t="s">
        <v>956</v>
      </c>
      <c r="T257" s="884" t="s">
        <v>721</v>
      </c>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row>
    <row r="258" spans="1:136" ht="15.05" thickBot="1" x14ac:dyDescent="0.25">
      <c r="A258" s="6"/>
      <c r="D258" s="67" t="s">
        <v>345</v>
      </c>
      <c r="E258" s="68"/>
      <c r="F258" s="68"/>
      <c r="G258" s="688" t="str">
        <f t="shared" ref="G258:R258" si="209">+G8</f>
        <v>Ene</v>
      </c>
      <c r="H258" s="688" t="str">
        <f t="shared" si="209"/>
        <v>Feb</v>
      </c>
      <c r="I258" s="688" t="str">
        <f t="shared" si="209"/>
        <v>Mar</v>
      </c>
      <c r="J258" s="688" t="str">
        <f t="shared" si="209"/>
        <v>Abr</v>
      </c>
      <c r="K258" s="688" t="str">
        <f t="shared" si="209"/>
        <v>May</v>
      </c>
      <c r="L258" s="688" t="str">
        <f t="shared" si="209"/>
        <v>Jun</v>
      </c>
      <c r="M258" s="688" t="str">
        <f t="shared" si="209"/>
        <v>Jul</v>
      </c>
      <c r="N258" s="688" t="str">
        <f t="shared" si="209"/>
        <v>Ago</v>
      </c>
      <c r="O258" s="688" t="str">
        <f t="shared" si="209"/>
        <v>Set</v>
      </c>
      <c r="P258" s="688" t="str">
        <f t="shared" si="209"/>
        <v>Oct</v>
      </c>
      <c r="Q258" s="688" t="str">
        <f t="shared" si="209"/>
        <v>Nov</v>
      </c>
      <c r="R258" s="688" t="str">
        <f t="shared" si="209"/>
        <v>Dic</v>
      </c>
      <c r="S258" s="885" t="s">
        <v>1316</v>
      </c>
      <c r="T258" s="886" t="s">
        <v>247</v>
      </c>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row>
    <row r="259" spans="1:136" x14ac:dyDescent="0.2">
      <c r="A259" s="6"/>
      <c r="D259" s="89" t="str">
        <f t="shared" ref="D259:D264" si="210">+D333</f>
        <v>Maíz Silo</v>
      </c>
      <c r="E259" s="90"/>
      <c r="F259" s="90"/>
      <c r="G259" s="79">
        <f t="shared" ref="G259:R259" si="211">IF($D259=0,0,F714+F785)</f>
        <v>0</v>
      </c>
      <c r="H259" s="79">
        <f t="shared" si="211"/>
        <v>0</v>
      </c>
      <c r="I259" s="79">
        <f t="shared" si="211"/>
        <v>0</v>
      </c>
      <c r="J259" s="79">
        <f t="shared" ref="J259:J264" si="212">IF($D259=0,0,I714+I785)</f>
        <v>0</v>
      </c>
      <c r="K259" s="79">
        <f t="shared" si="211"/>
        <v>0</v>
      </c>
      <c r="L259" s="79">
        <f t="shared" si="211"/>
        <v>0</v>
      </c>
      <c r="M259" s="79">
        <f t="shared" si="211"/>
        <v>0</v>
      </c>
      <c r="N259" s="79">
        <f t="shared" si="211"/>
        <v>0</v>
      </c>
      <c r="O259" s="79">
        <f t="shared" si="211"/>
        <v>0</v>
      </c>
      <c r="P259" s="79">
        <f t="shared" si="211"/>
        <v>0</v>
      </c>
      <c r="Q259" s="79">
        <f t="shared" si="211"/>
        <v>0</v>
      </c>
      <c r="R259" s="79">
        <f t="shared" si="211"/>
        <v>0</v>
      </c>
      <c r="S259" s="5105"/>
      <c r="T259" s="72" t="b">
        <f t="shared" ref="T259:T269" si="213">IF(S259=$G$171,G259,IF(S259=$H$171,H259,IF(S259=$I$171,I259,IF(S259=$J$171,J259,IF(S259=$K$171,K259,IF(S259=$L$171,L259,IF(S259=$M$171,M259,IF(S259=$N$171,N259,IF(S259=$O$171,O259,IF(S259=$P$171,P259,IF(S259=$Q$171,Q259,IF(S259=$R$171,R259))))))))))))</f>
        <v>0</v>
      </c>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row>
    <row r="260" spans="1:136" x14ac:dyDescent="0.2">
      <c r="A260" s="6"/>
      <c r="D260" s="73" t="str">
        <f t="shared" si="210"/>
        <v>Sorgo silo</v>
      </c>
      <c r="E260" s="734"/>
      <c r="F260" s="74"/>
      <c r="G260" s="69">
        <f t="shared" ref="G260:R260" si="214">IF($D260=0,0,F715+F786)</f>
        <v>0</v>
      </c>
      <c r="H260" s="69">
        <f t="shared" si="214"/>
        <v>0</v>
      </c>
      <c r="I260" s="69">
        <f t="shared" si="214"/>
        <v>0</v>
      </c>
      <c r="J260" s="69">
        <f t="shared" si="212"/>
        <v>0</v>
      </c>
      <c r="K260" s="69">
        <f t="shared" si="214"/>
        <v>0</v>
      </c>
      <c r="L260" s="69">
        <f t="shared" si="214"/>
        <v>0</v>
      </c>
      <c r="M260" s="69">
        <f t="shared" si="214"/>
        <v>0</v>
      </c>
      <c r="N260" s="69">
        <f t="shared" si="214"/>
        <v>0</v>
      </c>
      <c r="O260" s="69">
        <f t="shared" si="214"/>
        <v>0</v>
      </c>
      <c r="P260" s="69">
        <f t="shared" si="214"/>
        <v>0</v>
      </c>
      <c r="Q260" s="69">
        <f t="shared" si="214"/>
        <v>0</v>
      </c>
      <c r="R260" s="69">
        <f t="shared" si="214"/>
        <v>0</v>
      </c>
      <c r="S260" s="5106"/>
      <c r="T260" s="76" t="b">
        <f t="shared" si="213"/>
        <v>0</v>
      </c>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row>
    <row r="261" spans="1:136" x14ac:dyDescent="0.2">
      <c r="A261" s="6"/>
      <c r="D261" s="73" t="str">
        <f t="shared" si="210"/>
        <v>Moha</v>
      </c>
      <c r="E261" s="734"/>
      <c r="F261" s="74"/>
      <c r="G261" s="69">
        <f t="shared" ref="G261:R261" si="215">IF($D261=0,0,F716+F787)</f>
        <v>0</v>
      </c>
      <c r="H261" s="69">
        <f t="shared" si="215"/>
        <v>0</v>
      </c>
      <c r="I261" s="69">
        <f t="shared" si="215"/>
        <v>0</v>
      </c>
      <c r="J261" s="69">
        <f t="shared" si="212"/>
        <v>0</v>
      </c>
      <c r="K261" s="69">
        <f t="shared" si="215"/>
        <v>0</v>
      </c>
      <c r="L261" s="69">
        <f t="shared" si="215"/>
        <v>0</v>
      </c>
      <c r="M261" s="69">
        <f t="shared" si="215"/>
        <v>0</v>
      </c>
      <c r="N261" s="69">
        <f t="shared" si="215"/>
        <v>0</v>
      </c>
      <c r="O261" s="69">
        <f t="shared" si="215"/>
        <v>0</v>
      </c>
      <c r="P261" s="69">
        <f t="shared" si="215"/>
        <v>0</v>
      </c>
      <c r="Q261" s="69">
        <f t="shared" si="215"/>
        <v>0</v>
      </c>
      <c r="R261" s="69">
        <f t="shared" si="215"/>
        <v>0</v>
      </c>
      <c r="S261" s="5106"/>
      <c r="T261" s="76" t="b">
        <f t="shared" si="213"/>
        <v>0</v>
      </c>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row>
    <row r="262" spans="1:136" x14ac:dyDescent="0.2">
      <c r="A262" s="6"/>
      <c r="D262" s="73" t="str">
        <f t="shared" si="210"/>
        <v>Soja reserva</v>
      </c>
      <c r="E262" s="734"/>
      <c r="F262" s="74"/>
      <c r="G262" s="69">
        <f t="shared" ref="G262:R262" si="216">IF($D262=0,0,F717+F788)</f>
        <v>0</v>
      </c>
      <c r="H262" s="69">
        <f t="shared" si="216"/>
        <v>0</v>
      </c>
      <c r="I262" s="69">
        <f t="shared" si="216"/>
        <v>0</v>
      </c>
      <c r="J262" s="69">
        <f t="shared" si="212"/>
        <v>0</v>
      </c>
      <c r="K262" s="69">
        <f t="shared" si="216"/>
        <v>0</v>
      </c>
      <c r="L262" s="69">
        <f t="shared" si="216"/>
        <v>0</v>
      </c>
      <c r="M262" s="69">
        <f t="shared" si="216"/>
        <v>0</v>
      </c>
      <c r="N262" s="69">
        <f t="shared" si="216"/>
        <v>0</v>
      </c>
      <c r="O262" s="69">
        <f t="shared" si="216"/>
        <v>0</v>
      </c>
      <c r="P262" s="69">
        <f t="shared" si="216"/>
        <v>0</v>
      </c>
      <c r="Q262" s="69">
        <f t="shared" si="216"/>
        <v>0</v>
      </c>
      <c r="R262" s="69">
        <f t="shared" si="216"/>
        <v>0</v>
      </c>
      <c r="S262" s="5106"/>
      <c r="T262" s="76" t="b">
        <f t="shared" si="213"/>
        <v>0</v>
      </c>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row>
    <row r="263" spans="1:136" x14ac:dyDescent="0.2">
      <c r="A263" s="6"/>
      <c r="D263" s="736">
        <f t="shared" si="210"/>
        <v>0</v>
      </c>
      <c r="E263" s="734"/>
      <c r="F263" s="74"/>
      <c r="G263" s="69">
        <f t="shared" ref="G263:R263" si="217">IF($D263=0,0,F718+F789)</f>
        <v>0</v>
      </c>
      <c r="H263" s="69">
        <f t="shared" si="217"/>
        <v>0</v>
      </c>
      <c r="I263" s="69">
        <f t="shared" si="217"/>
        <v>0</v>
      </c>
      <c r="J263" s="69">
        <f t="shared" si="212"/>
        <v>0</v>
      </c>
      <c r="K263" s="69">
        <f t="shared" si="217"/>
        <v>0</v>
      </c>
      <c r="L263" s="69">
        <f t="shared" si="217"/>
        <v>0</v>
      </c>
      <c r="M263" s="69">
        <f t="shared" si="217"/>
        <v>0</v>
      </c>
      <c r="N263" s="69">
        <f t="shared" si="217"/>
        <v>0</v>
      </c>
      <c r="O263" s="69">
        <f t="shared" si="217"/>
        <v>0</v>
      </c>
      <c r="P263" s="69">
        <f t="shared" si="217"/>
        <v>0</v>
      </c>
      <c r="Q263" s="69">
        <f t="shared" si="217"/>
        <v>0</v>
      </c>
      <c r="R263" s="69">
        <f t="shared" si="217"/>
        <v>0</v>
      </c>
      <c r="S263" s="5106"/>
      <c r="T263" s="76" t="b">
        <f t="shared" si="213"/>
        <v>0</v>
      </c>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row>
    <row r="264" spans="1:136" x14ac:dyDescent="0.2">
      <c r="A264" s="6"/>
      <c r="D264" s="736">
        <f t="shared" si="210"/>
        <v>0</v>
      </c>
      <c r="E264" s="734"/>
      <c r="F264" s="74"/>
      <c r="G264" s="69">
        <f t="shared" ref="G264:R264" si="218">IF($D264=0,0,F719+F790)</f>
        <v>0</v>
      </c>
      <c r="H264" s="69">
        <f t="shared" si="218"/>
        <v>0</v>
      </c>
      <c r="I264" s="69">
        <f t="shared" si="218"/>
        <v>0</v>
      </c>
      <c r="J264" s="69">
        <f t="shared" si="212"/>
        <v>0</v>
      </c>
      <c r="K264" s="69">
        <f t="shared" si="218"/>
        <v>0</v>
      </c>
      <c r="L264" s="69">
        <f t="shared" si="218"/>
        <v>0</v>
      </c>
      <c r="M264" s="69">
        <f t="shared" si="218"/>
        <v>0</v>
      </c>
      <c r="N264" s="69">
        <f t="shared" si="218"/>
        <v>0</v>
      </c>
      <c r="O264" s="69">
        <f t="shared" si="218"/>
        <v>0</v>
      </c>
      <c r="P264" s="69">
        <f t="shared" si="218"/>
        <v>0</v>
      </c>
      <c r="Q264" s="69">
        <f t="shared" si="218"/>
        <v>0</v>
      </c>
      <c r="R264" s="69">
        <f t="shared" si="218"/>
        <v>0</v>
      </c>
      <c r="S264" s="5106"/>
      <c r="T264" s="76" t="b">
        <f t="shared" si="213"/>
        <v>0</v>
      </c>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row>
    <row r="265" spans="1:136" x14ac:dyDescent="0.2">
      <c r="A265" s="6"/>
      <c r="D265" s="736" t="str">
        <f>+D340</f>
        <v>Avena silo</v>
      </c>
      <c r="E265" s="734"/>
      <c r="F265" s="74"/>
      <c r="G265" s="69">
        <f t="shared" ref="G265:R265" si="219">IF($D265=0,0,F721+F792)</f>
        <v>0</v>
      </c>
      <c r="H265" s="69">
        <f t="shared" si="219"/>
        <v>0</v>
      </c>
      <c r="I265" s="69">
        <f t="shared" si="219"/>
        <v>0</v>
      </c>
      <c r="J265" s="69">
        <f>IF($D265=0,0,I721+I792)</f>
        <v>0</v>
      </c>
      <c r="K265" s="69">
        <f t="shared" si="219"/>
        <v>0</v>
      </c>
      <c r="L265" s="69">
        <f t="shared" si="219"/>
        <v>0</v>
      </c>
      <c r="M265" s="69">
        <f t="shared" si="219"/>
        <v>0</v>
      </c>
      <c r="N265" s="69">
        <f t="shared" si="219"/>
        <v>0</v>
      </c>
      <c r="O265" s="69">
        <f t="shared" si="219"/>
        <v>0</v>
      </c>
      <c r="P265" s="69">
        <f t="shared" si="219"/>
        <v>0</v>
      </c>
      <c r="Q265" s="69">
        <f t="shared" si="219"/>
        <v>0</v>
      </c>
      <c r="R265" s="69">
        <f t="shared" si="219"/>
        <v>0</v>
      </c>
      <c r="S265" s="5106"/>
      <c r="T265" s="76" t="b">
        <f t="shared" si="213"/>
        <v>0</v>
      </c>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row>
    <row r="266" spans="1:136" x14ac:dyDescent="0.2">
      <c r="A266" s="6"/>
      <c r="D266" s="736" t="str">
        <f>+D341</f>
        <v>Raigrás Silo</v>
      </c>
      <c r="E266" s="734"/>
      <c r="F266" s="74"/>
      <c r="G266" s="69">
        <f t="shared" ref="G266:R266" si="220">IF($D266=0,0,F722+F793)</f>
        <v>0</v>
      </c>
      <c r="H266" s="69">
        <f t="shared" si="220"/>
        <v>0</v>
      </c>
      <c r="I266" s="69">
        <f t="shared" si="220"/>
        <v>0</v>
      </c>
      <c r="J266" s="69">
        <f>IF($D266=0,0,I722+I793)</f>
        <v>0</v>
      </c>
      <c r="K266" s="69">
        <f t="shared" si="220"/>
        <v>0</v>
      </c>
      <c r="L266" s="69">
        <f t="shared" si="220"/>
        <v>0</v>
      </c>
      <c r="M266" s="69">
        <f t="shared" si="220"/>
        <v>0</v>
      </c>
      <c r="N266" s="69">
        <f t="shared" si="220"/>
        <v>0</v>
      </c>
      <c r="O266" s="69">
        <f t="shared" si="220"/>
        <v>0</v>
      </c>
      <c r="P266" s="69">
        <f t="shared" si="220"/>
        <v>0</v>
      </c>
      <c r="Q266" s="69">
        <f t="shared" si="220"/>
        <v>0</v>
      </c>
      <c r="R266" s="69">
        <f t="shared" si="220"/>
        <v>0</v>
      </c>
      <c r="S266" s="5106"/>
      <c r="T266" s="76" t="b">
        <f t="shared" si="213"/>
        <v>0</v>
      </c>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row>
    <row r="267" spans="1:136" x14ac:dyDescent="0.2">
      <c r="A267" s="6"/>
      <c r="D267" s="736" t="str">
        <f>+D342</f>
        <v>Ra Silo Cierre Ago</v>
      </c>
      <c r="E267" s="734"/>
      <c r="F267" s="74"/>
      <c r="G267" s="69">
        <f t="shared" ref="G267:R267" si="221">IF($D267=0,0,F723+F794)</f>
        <v>0</v>
      </c>
      <c r="H267" s="69">
        <f t="shared" si="221"/>
        <v>0</v>
      </c>
      <c r="I267" s="69">
        <f t="shared" si="221"/>
        <v>0</v>
      </c>
      <c r="J267" s="69">
        <f>IF($D267=0,0,I723+I794)</f>
        <v>0</v>
      </c>
      <c r="K267" s="69">
        <f t="shared" si="221"/>
        <v>0</v>
      </c>
      <c r="L267" s="69">
        <f t="shared" si="221"/>
        <v>0</v>
      </c>
      <c r="M267" s="69">
        <f t="shared" si="221"/>
        <v>0</v>
      </c>
      <c r="N267" s="69">
        <f t="shared" si="221"/>
        <v>0</v>
      </c>
      <c r="O267" s="69">
        <f t="shared" si="221"/>
        <v>0</v>
      </c>
      <c r="P267" s="69">
        <f t="shared" si="221"/>
        <v>0</v>
      </c>
      <c r="Q267" s="69">
        <f t="shared" si="221"/>
        <v>0</v>
      </c>
      <c r="R267" s="69">
        <f t="shared" si="221"/>
        <v>0</v>
      </c>
      <c r="S267" s="5106"/>
      <c r="T267" s="76" t="b">
        <f t="shared" si="213"/>
        <v>0</v>
      </c>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row>
    <row r="268" spans="1:136" x14ac:dyDescent="0.2">
      <c r="A268" s="6"/>
      <c r="D268" s="736">
        <f>+D343</f>
        <v>0</v>
      </c>
      <c r="E268" s="734"/>
      <c r="F268" s="74"/>
      <c r="G268" s="69">
        <f t="shared" ref="G268:R268" si="222">IF($D268=0,0,F724+F795)</f>
        <v>0</v>
      </c>
      <c r="H268" s="69">
        <f t="shared" si="222"/>
        <v>0</v>
      </c>
      <c r="I268" s="69">
        <f t="shared" si="222"/>
        <v>0</v>
      </c>
      <c r="J268" s="69">
        <f>IF($D268=0,0,I724+I795)</f>
        <v>0</v>
      </c>
      <c r="K268" s="69">
        <f t="shared" si="222"/>
        <v>0</v>
      </c>
      <c r="L268" s="69">
        <f t="shared" si="222"/>
        <v>0</v>
      </c>
      <c r="M268" s="69">
        <f t="shared" si="222"/>
        <v>0</v>
      </c>
      <c r="N268" s="69">
        <f t="shared" si="222"/>
        <v>0</v>
      </c>
      <c r="O268" s="69">
        <f t="shared" si="222"/>
        <v>0</v>
      </c>
      <c r="P268" s="69">
        <f t="shared" si="222"/>
        <v>0</v>
      </c>
      <c r="Q268" s="69">
        <f t="shared" si="222"/>
        <v>0</v>
      </c>
      <c r="R268" s="69">
        <f t="shared" si="222"/>
        <v>0</v>
      </c>
      <c r="S268" s="5106"/>
      <c r="T268" s="76" t="b">
        <f t="shared" si="213"/>
        <v>0</v>
      </c>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row>
    <row r="269" spans="1:136" ht="15.05" thickBot="1" x14ac:dyDescent="0.25">
      <c r="A269" s="6"/>
      <c r="D269" s="92">
        <f>+D344</f>
        <v>0</v>
      </c>
      <c r="E269" s="36"/>
      <c r="F269" s="36"/>
      <c r="G269" s="81">
        <f t="shared" ref="G269:R269" si="223">IF($D269=0,0,F725+F796)</f>
        <v>0</v>
      </c>
      <c r="H269" s="81">
        <f t="shared" si="223"/>
        <v>0</v>
      </c>
      <c r="I269" s="81">
        <f t="shared" si="223"/>
        <v>0</v>
      </c>
      <c r="J269" s="81">
        <f>IF($D269=0,0,I725+I796)</f>
        <v>0</v>
      </c>
      <c r="K269" s="81">
        <f t="shared" si="223"/>
        <v>0</v>
      </c>
      <c r="L269" s="81">
        <f t="shared" si="223"/>
        <v>0</v>
      </c>
      <c r="M269" s="81">
        <f t="shared" si="223"/>
        <v>0</v>
      </c>
      <c r="N269" s="81">
        <f t="shared" si="223"/>
        <v>0</v>
      </c>
      <c r="O269" s="81">
        <f t="shared" si="223"/>
        <v>0</v>
      </c>
      <c r="P269" s="81">
        <f t="shared" si="223"/>
        <v>0</v>
      </c>
      <c r="Q269" s="81">
        <f t="shared" si="223"/>
        <v>0</v>
      </c>
      <c r="R269" s="81">
        <f t="shared" si="223"/>
        <v>0</v>
      </c>
      <c r="S269" s="5107"/>
      <c r="T269" s="78" t="b">
        <f t="shared" si="213"/>
        <v>0</v>
      </c>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row>
    <row r="270" spans="1:136" s="2385" customFormat="1" x14ac:dyDescent="0.3">
      <c r="A270" s="6"/>
      <c r="B270" s="6"/>
      <c r="C270" s="6"/>
      <c r="D270" s="415"/>
      <c r="V270" s="6"/>
      <c r="W270" s="6"/>
      <c r="X270" s="6"/>
      <c r="Y270" s="6"/>
      <c r="Z270" s="6"/>
      <c r="AA270" s="6"/>
      <c r="AB270" s="6"/>
      <c r="AC270" s="6"/>
      <c r="AD270" s="6"/>
      <c r="AL270" s="6"/>
      <c r="AM270" s="6"/>
      <c r="AN270" s="6"/>
      <c r="AO270" s="6"/>
      <c r="AP270" s="6"/>
      <c r="AQ270" s="6"/>
      <c r="AR270" s="6"/>
      <c r="AS270" s="6"/>
      <c r="AT270" s="6"/>
      <c r="AU270" s="6"/>
      <c r="AV270" s="6"/>
      <c r="AW270" s="6"/>
      <c r="AX270" s="6"/>
    </row>
    <row r="271" spans="1:136" s="2385" customFormat="1" ht="15.05" thickBot="1" x14ac:dyDescent="0.35">
      <c r="A271" s="6"/>
      <c r="B271" s="6"/>
      <c r="C271" s="6"/>
      <c r="D271" s="415"/>
      <c r="V271" s="6"/>
      <c r="W271" s="6"/>
      <c r="X271" s="6"/>
      <c r="Y271" s="6"/>
      <c r="Z271" s="6"/>
      <c r="AA271" s="6"/>
      <c r="AB271" s="6"/>
      <c r="AC271" s="6"/>
      <c r="AD271" s="6"/>
      <c r="AL271" s="6"/>
      <c r="AM271" s="6"/>
      <c r="AN271" s="6"/>
      <c r="AO271" s="6"/>
      <c r="AP271" s="6"/>
      <c r="AQ271" s="6"/>
      <c r="AR271" s="6"/>
      <c r="AS271" s="6"/>
      <c r="AT271" s="6"/>
      <c r="AU271" s="6"/>
      <c r="AV271" s="6"/>
      <c r="AW271" s="6"/>
      <c r="AX271" s="6"/>
    </row>
    <row r="272" spans="1:136" ht="15.05" thickBot="1" x14ac:dyDescent="0.25">
      <c r="A272" s="1344">
        <f>+A256+1</f>
        <v>39</v>
      </c>
      <c r="B272" s="1435"/>
      <c r="C272" s="958"/>
      <c r="D272" s="47" t="s">
        <v>1279</v>
      </c>
      <c r="E272" s="93"/>
      <c r="F272" s="93"/>
      <c r="G272" s="94"/>
      <c r="H272" s="94"/>
      <c r="I272" s="94"/>
      <c r="J272" s="94"/>
      <c r="K272" s="94"/>
      <c r="L272" s="94"/>
      <c r="M272" s="94"/>
      <c r="N272" s="94"/>
      <c r="O272" s="94"/>
      <c r="P272" s="94"/>
      <c r="Q272" s="94"/>
      <c r="R272" s="52"/>
      <c r="S272" s="52"/>
      <c r="T272" s="64"/>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row>
    <row r="273" spans="1:136" x14ac:dyDescent="0.2">
      <c r="A273" s="6"/>
      <c r="B273" s="110"/>
      <c r="C273" s="100"/>
      <c r="D273" s="65"/>
      <c r="E273" s="41"/>
      <c r="F273" s="41"/>
      <c r="G273" s="66"/>
      <c r="H273" s="66"/>
      <c r="I273" s="66"/>
      <c r="J273" s="66"/>
      <c r="K273" s="66"/>
      <c r="L273" s="66"/>
      <c r="M273" s="66"/>
      <c r="N273" s="66"/>
      <c r="O273" s="66"/>
      <c r="P273" s="66"/>
      <c r="Q273" s="66"/>
      <c r="R273" s="66"/>
      <c r="S273" s="883" t="s">
        <v>956</v>
      </c>
      <c r="T273" s="884" t="s">
        <v>721</v>
      </c>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row>
    <row r="274" spans="1:136" ht="15.05" thickBot="1" x14ac:dyDescent="0.25">
      <c r="A274" s="6"/>
      <c r="B274" s="110"/>
      <c r="C274" s="100"/>
      <c r="D274" s="67" t="s">
        <v>345</v>
      </c>
      <c r="E274" s="68"/>
      <c r="F274" s="68"/>
      <c r="G274" s="688" t="str">
        <f>+G258</f>
        <v>Ene</v>
      </c>
      <c r="H274" s="688" t="str">
        <f t="shared" ref="H274:R274" si="224">+H258</f>
        <v>Feb</v>
      </c>
      <c r="I274" s="688" t="str">
        <f t="shared" si="224"/>
        <v>Mar</v>
      </c>
      <c r="J274" s="688" t="str">
        <f t="shared" si="224"/>
        <v>Abr</v>
      </c>
      <c r="K274" s="688" t="str">
        <f t="shared" si="224"/>
        <v>May</v>
      </c>
      <c r="L274" s="688" t="str">
        <f t="shared" si="224"/>
        <v>Jun</v>
      </c>
      <c r="M274" s="688" t="str">
        <f t="shared" si="224"/>
        <v>Jul</v>
      </c>
      <c r="N274" s="688" t="str">
        <f t="shared" si="224"/>
        <v>Ago</v>
      </c>
      <c r="O274" s="688" t="str">
        <f t="shared" si="224"/>
        <v>Set</v>
      </c>
      <c r="P274" s="688" t="str">
        <f t="shared" si="224"/>
        <v>Oct</v>
      </c>
      <c r="Q274" s="688" t="str">
        <f t="shared" si="224"/>
        <v>Nov</v>
      </c>
      <c r="R274" s="688" t="str">
        <f t="shared" si="224"/>
        <v>Dic</v>
      </c>
      <c r="S274" s="885" t="s">
        <v>1316</v>
      </c>
      <c r="T274" s="886" t="s">
        <v>247</v>
      </c>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row>
    <row r="275" spans="1:136" x14ac:dyDescent="0.2">
      <c r="A275" s="6"/>
      <c r="D275" s="89" t="str">
        <f t="shared" ref="D275:D285" si="225">+D259</f>
        <v>Maíz Silo</v>
      </c>
      <c r="E275" s="90"/>
      <c r="F275" s="90"/>
      <c r="G275" s="79">
        <f t="shared" ref="G275:R275" si="226">+F856</f>
        <v>0</v>
      </c>
      <c r="H275" s="79">
        <f t="shared" si="226"/>
        <v>0</v>
      </c>
      <c r="I275" s="79">
        <f t="shared" si="226"/>
        <v>0</v>
      </c>
      <c r="J275" s="79">
        <f t="shared" ref="J275:J280" si="227">+I856</f>
        <v>0</v>
      </c>
      <c r="K275" s="79">
        <f t="shared" si="226"/>
        <v>0</v>
      </c>
      <c r="L275" s="79">
        <f t="shared" si="226"/>
        <v>0</v>
      </c>
      <c r="M275" s="79">
        <f t="shared" si="226"/>
        <v>0</v>
      </c>
      <c r="N275" s="79">
        <f t="shared" si="226"/>
        <v>0</v>
      </c>
      <c r="O275" s="79">
        <f t="shared" si="226"/>
        <v>0</v>
      </c>
      <c r="P275" s="79">
        <f t="shared" si="226"/>
        <v>0</v>
      </c>
      <c r="Q275" s="79">
        <f t="shared" si="226"/>
        <v>0</v>
      </c>
      <c r="R275" s="79">
        <f t="shared" si="226"/>
        <v>0</v>
      </c>
      <c r="S275" s="5108"/>
      <c r="T275" s="76" t="b">
        <f t="shared" ref="T275:T285" si="228">IF(S275=$G$171,G275,IF(S275=$H$171,H275,IF(S275=$I$171,I275,IF(S275=$J$171,J275,IF(S275=$K$171,K275,IF(S275=$L$171,L275,IF(S275=$M$171,M275,IF(S275=$N$171,N275,IF(S275=$O$171,O275,IF(S275=$P$171,P275,IF(S275=$Q$171,Q275,IF(S275=$R$171,R275))))))))))))</f>
        <v>0</v>
      </c>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row>
    <row r="276" spans="1:136" x14ac:dyDescent="0.2">
      <c r="A276" s="6"/>
      <c r="D276" s="73" t="str">
        <f t="shared" si="225"/>
        <v>Sorgo silo</v>
      </c>
      <c r="E276" s="734"/>
      <c r="F276" s="74"/>
      <c r="G276" s="69">
        <f t="shared" ref="G276:R276" si="229">+F857</f>
        <v>0</v>
      </c>
      <c r="H276" s="69">
        <f t="shared" si="229"/>
        <v>0</v>
      </c>
      <c r="I276" s="69">
        <f t="shared" si="229"/>
        <v>0</v>
      </c>
      <c r="J276" s="69">
        <f t="shared" si="227"/>
        <v>0</v>
      </c>
      <c r="K276" s="69">
        <f t="shared" si="229"/>
        <v>0</v>
      </c>
      <c r="L276" s="69">
        <f t="shared" si="229"/>
        <v>0</v>
      </c>
      <c r="M276" s="69">
        <f t="shared" si="229"/>
        <v>0</v>
      </c>
      <c r="N276" s="69">
        <f t="shared" si="229"/>
        <v>0</v>
      </c>
      <c r="O276" s="69">
        <f t="shared" si="229"/>
        <v>0</v>
      </c>
      <c r="P276" s="69">
        <f t="shared" si="229"/>
        <v>0</v>
      </c>
      <c r="Q276" s="69">
        <f t="shared" si="229"/>
        <v>0</v>
      </c>
      <c r="R276" s="69">
        <f t="shared" si="229"/>
        <v>0</v>
      </c>
      <c r="S276" s="5109"/>
      <c r="T276" s="76" t="b">
        <f t="shared" si="228"/>
        <v>0</v>
      </c>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row>
    <row r="277" spans="1:136" x14ac:dyDescent="0.2">
      <c r="A277" s="6"/>
      <c r="D277" s="73" t="str">
        <f t="shared" si="225"/>
        <v>Moha</v>
      </c>
      <c r="E277" s="734"/>
      <c r="F277" s="74"/>
      <c r="G277" s="69">
        <f t="shared" ref="G277:R277" si="230">+F858</f>
        <v>0</v>
      </c>
      <c r="H277" s="69">
        <f t="shared" si="230"/>
        <v>0</v>
      </c>
      <c r="I277" s="69">
        <f t="shared" si="230"/>
        <v>0</v>
      </c>
      <c r="J277" s="69">
        <f t="shared" si="227"/>
        <v>0</v>
      </c>
      <c r="K277" s="69">
        <f t="shared" si="230"/>
        <v>0</v>
      </c>
      <c r="L277" s="69">
        <f t="shared" si="230"/>
        <v>0</v>
      </c>
      <c r="M277" s="69">
        <f t="shared" si="230"/>
        <v>0</v>
      </c>
      <c r="N277" s="69">
        <f t="shared" si="230"/>
        <v>0</v>
      </c>
      <c r="O277" s="69">
        <f t="shared" si="230"/>
        <v>0</v>
      </c>
      <c r="P277" s="69">
        <f t="shared" si="230"/>
        <v>0</v>
      </c>
      <c r="Q277" s="69">
        <f t="shared" si="230"/>
        <v>0</v>
      </c>
      <c r="R277" s="69">
        <f t="shared" si="230"/>
        <v>0</v>
      </c>
      <c r="S277" s="5109"/>
      <c r="T277" s="76" t="b">
        <f t="shared" si="228"/>
        <v>0</v>
      </c>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row>
    <row r="278" spans="1:136" x14ac:dyDescent="0.2">
      <c r="A278" s="6"/>
      <c r="D278" s="73" t="str">
        <f t="shared" si="225"/>
        <v>Soja reserva</v>
      </c>
      <c r="E278" s="734"/>
      <c r="F278" s="74"/>
      <c r="G278" s="69">
        <f t="shared" ref="G278:R278" si="231">+F859</f>
        <v>0</v>
      </c>
      <c r="H278" s="69">
        <f t="shared" si="231"/>
        <v>0</v>
      </c>
      <c r="I278" s="69">
        <f t="shared" si="231"/>
        <v>0</v>
      </c>
      <c r="J278" s="69">
        <f t="shared" si="227"/>
        <v>0</v>
      </c>
      <c r="K278" s="69">
        <f t="shared" si="231"/>
        <v>0</v>
      </c>
      <c r="L278" s="69">
        <f t="shared" si="231"/>
        <v>0</v>
      </c>
      <c r="M278" s="69">
        <f t="shared" si="231"/>
        <v>0</v>
      </c>
      <c r="N278" s="69">
        <f t="shared" si="231"/>
        <v>0</v>
      </c>
      <c r="O278" s="69">
        <f t="shared" si="231"/>
        <v>0</v>
      </c>
      <c r="P278" s="69">
        <f t="shared" si="231"/>
        <v>0</v>
      </c>
      <c r="Q278" s="69">
        <f t="shared" si="231"/>
        <v>0</v>
      </c>
      <c r="R278" s="69">
        <f t="shared" si="231"/>
        <v>0</v>
      </c>
      <c r="S278" s="5109"/>
      <c r="T278" s="76" t="b">
        <f t="shared" si="228"/>
        <v>0</v>
      </c>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row>
    <row r="279" spans="1:136" x14ac:dyDescent="0.2">
      <c r="A279" s="6"/>
      <c r="D279" s="736">
        <f t="shared" si="225"/>
        <v>0</v>
      </c>
      <c r="E279" s="734"/>
      <c r="F279" s="74"/>
      <c r="G279" s="69">
        <f t="shared" ref="G279:R279" si="232">+F860</f>
        <v>0</v>
      </c>
      <c r="H279" s="69">
        <f t="shared" si="232"/>
        <v>0</v>
      </c>
      <c r="I279" s="69">
        <f t="shared" si="232"/>
        <v>0</v>
      </c>
      <c r="J279" s="69">
        <f t="shared" si="227"/>
        <v>0</v>
      </c>
      <c r="K279" s="69">
        <f t="shared" si="232"/>
        <v>0</v>
      </c>
      <c r="L279" s="69">
        <f t="shared" si="232"/>
        <v>0</v>
      </c>
      <c r="M279" s="69">
        <f t="shared" si="232"/>
        <v>0</v>
      </c>
      <c r="N279" s="69">
        <f t="shared" si="232"/>
        <v>0</v>
      </c>
      <c r="O279" s="69">
        <f t="shared" si="232"/>
        <v>0</v>
      </c>
      <c r="P279" s="69">
        <f t="shared" si="232"/>
        <v>0</v>
      </c>
      <c r="Q279" s="69">
        <f t="shared" si="232"/>
        <v>0</v>
      </c>
      <c r="R279" s="69">
        <f t="shared" si="232"/>
        <v>0</v>
      </c>
      <c r="S279" s="5109"/>
      <c r="T279" s="76" t="b">
        <f t="shared" si="228"/>
        <v>0</v>
      </c>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row>
    <row r="280" spans="1:136" x14ac:dyDescent="0.2">
      <c r="A280" s="6"/>
      <c r="D280" s="736">
        <f t="shared" si="225"/>
        <v>0</v>
      </c>
      <c r="E280" s="734"/>
      <c r="F280" s="74"/>
      <c r="G280" s="69">
        <f t="shared" ref="G280:R280" si="233">+F861</f>
        <v>0</v>
      </c>
      <c r="H280" s="69">
        <f t="shared" si="233"/>
        <v>0</v>
      </c>
      <c r="I280" s="69">
        <f t="shared" si="233"/>
        <v>0</v>
      </c>
      <c r="J280" s="69">
        <f t="shared" si="227"/>
        <v>0</v>
      </c>
      <c r="K280" s="69">
        <f t="shared" si="233"/>
        <v>0</v>
      </c>
      <c r="L280" s="69">
        <f t="shared" si="233"/>
        <v>0</v>
      </c>
      <c r="M280" s="69">
        <f t="shared" si="233"/>
        <v>0</v>
      </c>
      <c r="N280" s="69">
        <f t="shared" si="233"/>
        <v>0</v>
      </c>
      <c r="O280" s="69">
        <f t="shared" si="233"/>
        <v>0</v>
      </c>
      <c r="P280" s="69">
        <f t="shared" si="233"/>
        <v>0</v>
      </c>
      <c r="Q280" s="69">
        <f t="shared" si="233"/>
        <v>0</v>
      </c>
      <c r="R280" s="69">
        <f t="shared" si="233"/>
        <v>0</v>
      </c>
      <c r="S280" s="5109"/>
      <c r="T280" s="76" t="b">
        <f t="shared" si="228"/>
        <v>0</v>
      </c>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row>
    <row r="281" spans="1:136" x14ac:dyDescent="0.2">
      <c r="A281" s="6"/>
      <c r="D281" s="736" t="str">
        <f t="shared" si="225"/>
        <v>Avena silo</v>
      </c>
      <c r="E281" s="734"/>
      <c r="F281" s="74"/>
      <c r="G281" s="69">
        <f t="shared" ref="G281:R281" si="234">+F863</f>
        <v>0</v>
      </c>
      <c r="H281" s="69">
        <f t="shared" si="234"/>
        <v>0</v>
      </c>
      <c r="I281" s="69">
        <f t="shared" si="234"/>
        <v>0</v>
      </c>
      <c r="J281" s="69">
        <f>+I863</f>
        <v>0</v>
      </c>
      <c r="K281" s="69">
        <f t="shared" si="234"/>
        <v>0</v>
      </c>
      <c r="L281" s="69">
        <f t="shared" si="234"/>
        <v>0</v>
      </c>
      <c r="M281" s="69">
        <f t="shared" si="234"/>
        <v>0</v>
      </c>
      <c r="N281" s="69">
        <f t="shared" si="234"/>
        <v>0</v>
      </c>
      <c r="O281" s="69">
        <f t="shared" si="234"/>
        <v>0</v>
      </c>
      <c r="P281" s="69">
        <f t="shared" si="234"/>
        <v>0</v>
      </c>
      <c r="Q281" s="69">
        <f t="shared" si="234"/>
        <v>0</v>
      </c>
      <c r="R281" s="69">
        <f t="shared" si="234"/>
        <v>0</v>
      </c>
      <c r="S281" s="5109"/>
      <c r="T281" s="76" t="b">
        <f t="shared" si="228"/>
        <v>0</v>
      </c>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row>
    <row r="282" spans="1:136" x14ac:dyDescent="0.2">
      <c r="A282" s="6"/>
      <c r="D282" s="736" t="str">
        <f t="shared" si="225"/>
        <v>Raigrás Silo</v>
      </c>
      <c r="E282" s="734"/>
      <c r="F282" s="74"/>
      <c r="G282" s="69">
        <f t="shared" ref="G282:R282" si="235">+F864</f>
        <v>0</v>
      </c>
      <c r="H282" s="69">
        <f t="shared" si="235"/>
        <v>0</v>
      </c>
      <c r="I282" s="69">
        <f t="shared" si="235"/>
        <v>0</v>
      </c>
      <c r="J282" s="69">
        <f>+I864</f>
        <v>0</v>
      </c>
      <c r="K282" s="69">
        <f t="shared" si="235"/>
        <v>0</v>
      </c>
      <c r="L282" s="69">
        <f t="shared" si="235"/>
        <v>0</v>
      </c>
      <c r="M282" s="69">
        <f t="shared" si="235"/>
        <v>0</v>
      </c>
      <c r="N282" s="69">
        <f t="shared" si="235"/>
        <v>0</v>
      </c>
      <c r="O282" s="69">
        <f t="shared" si="235"/>
        <v>0</v>
      </c>
      <c r="P282" s="69">
        <f t="shared" si="235"/>
        <v>0</v>
      </c>
      <c r="Q282" s="69">
        <f t="shared" si="235"/>
        <v>0</v>
      </c>
      <c r="R282" s="69">
        <f t="shared" si="235"/>
        <v>0</v>
      </c>
      <c r="S282" s="5109"/>
      <c r="T282" s="76" t="b">
        <f t="shared" si="228"/>
        <v>0</v>
      </c>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row>
    <row r="283" spans="1:136" x14ac:dyDescent="0.2">
      <c r="A283" s="6"/>
      <c r="D283" s="736" t="str">
        <f t="shared" si="225"/>
        <v>Ra Silo Cierre Ago</v>
      </c>
      <c r="E283" s="734"/>
      <c r="F283" s="74"/>
      <c r="G283" s="69">
        <f t="shared" ref="G283:R283" si="236">+F865</f>
        <v>0</v>
      </c>
      <c r="H283" s="69">
        <f t="shared" si="236"/>
        <v>0</v>
      </c>
      <c r="I283" s="69">
        <f t="shared" si="236"/>
        <v>0</v>
      </c>
      <c r="J283" s="69">
        <f>+I865</f>
        <v>0</v>
      </c>
      <c r="K283" s="69">
        <f t="shared" si="236"/>
        <v>0</v>
      </c>
      <c r="L283" s="69">
        <f t="shared" si="236"/>
        <v>0</v>
      </c>
      <c r="M283" s="69">
        <f t="shared" si="236"/>
        <v>0</v>
      </c>
      <c r="N283" s="69">
        <f t="shared" si="236"/>
        <v>0</v>
      </c>
      <c r="O283" s="69">
        <f t="shared" si="236"/>
        <v>0</v>
      </c>
      <c r="P283" s="69">
        <f t="shared" si="236"/>
        <v>0</v>
      </c>
      <c r="Q283" s="69">
        <f t="shared" si="236"/>
        <v>0</v>
      </c>
      <c r="R283" s="69">
        <f t="shared" si="236"/>
        <v>0</v>
      </c>
      <c r="S283" s="5109"/>
      <c r="T283" s="76" t="b">
        <f t="shared" si="228"/>
        <v>0</v>
      </c>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row>
    <row r="284" spans="1:136" x14ac:dyDescent="0.2">
      <c r="A284" s="6"/>
      <c r="D284" s="736">
        <f t="shared" si="225"/>
        <v>0</v>
      </c>
      <c r="E284" s="734"/>
      <c r="F284" s="74"/>
      <c r="G284" s="69">
        <f t="shared" ref="G284:R284" si="237">+F866</f>
        <v>0</v>
      </c>
      <c r="H284" s="69">
        <f t="shared" si="237"/>
        <v>0</v>
      </c>
      <c r="I284" s="69">
        <f t="shared" si="237"/>
        <v>0</v>
      </c>
      <c r="J284" s="69">
        <f>+I866</f>
        <v>0</v>
      </c>
      <c r="K284" s="69">
        <f t="shared" si="237"/>
        <v>0</v>
      </c>
      <c r="L284" s="69">
        <f t="shared" si="237"/>
        <v>0</v>
      </c>
      <c r="M284" s="69">
        <f t="shared" si="237"/>
        <v>0</v>
      </c>
      <c r="N284" s="69">
        <f t="shared" si="237"/>
        <v>0</v>
      </c>
      <c r="O284" s="69">
        <f t="shared" si="237"/>
        <v>0</v>
      </c>
      <c r="P284" s="69">
        <f t="shared" si="237"/>
        <v>0</v>
      </c>
      <c r="Q284" s="69">
        <f t="shared" si="237"/>
        <v>0</v>
      </c>
      <c r="R284" s="69">
        <f t="shared" si="237"/>
        <v>0</v>
      </c>
      <c r="S284" s="5109"/>
      <c r="T284" s="76" t="b">
        <f t="shared" si="228"/>
        <v>0</v>
      </c>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row>
    <row r="285" spans="1:136" ht="15.05" thickBot="1" x14ac:dyDescent="0.25">
      <c r="A285" s="6"/>
      <c r="D285" s="92">
        <f t="shared" si="225"/>
        <v>0</v>
      </c>
      <c r="E285" s="36"/>
      <c r="F285" s="36"/>
      <c r="G285" s="81">
        <f t="shared" ref="G285:R285" si="238">+F867</f>
        <v>0</v>
      </c>
      <c r="H285" s="81">
        <f t="shared" si="238"/>
        <v>0</v>
      </c>
      <c r="I285" s="81">
        <f t="shared" si="238"/>
        <v>0</v>
      </c>
      <c r="J285" s="81">
        <f>+I867</f>
        <v>0</v>
      </c>
      <c r="K285" s="81">
        <f t="shared" si="238"/>
        <v>0</v>
      </c>
      <c r="L285" s="81">
        <f t="shared" si="238"/>
        <v>0</v>
      </c>
      <c r="M285" s="81">
        <f t="shared" si="238"/>
        <v>0</v>
      </c>
      <c r="N285" s="81">
        <f t="shared" si="238"/>
        <v>0</v>
      </c>
      <c r="O285" s="81">
        <f t="shared" si="238"/>
        <v>0</v>
      </c>
      <c r="P285" s="81">
        <f t="shared" si="238"/>
        <v>0</v>
      </c>
      <c r="Q285" s="81">
        <f t="shared" si="238"/>
        <v>0</v>
      </c>
      <c r="R285" s="81">
        <f t="shared" si="238"/>
        <v>0</v>
      </c>
      <c r="S285" s="5110"/>
      <c r="T285" s="78" t="b">
        <f t="shared" si="228"/>
        <v>0</v>
      </c>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row>
    <row r="286" spans="1:136" x14ac:dyDescent="0.2">
      <c r="A286" s="6"/>
      <c r="G286" s="71"/>
      <c r="H286" s="71"/>
      <c r="I286" s="71"/>
      <c r="J286" s="71"/>
      <c r="K286" s="71"/>
      <c r="L286" s="71"/>
      <c r="M286" s="71"/>
      <c r="N286" s="71"/>
      <c r="O286" s="71"/>
      <c r="P286" s="71"/>
      <c r="Q286" s="71"/>
      <c r="R286" s="71"/>
      <c r="S286" s="6"/>
    </row>
    <row r="287" spans="1:136" ht="15.05" thickBot="1" x14ac:dyDescent="0.25">
      <c r="A287" s="6"/>
      <c r="G287" s="71"/>
      <c r="H287" s="71"/>
      <c r="I287" s="71"/>
      <c r="J287" s="71"/>
      <c r="K287" s="71"/>
      <c r="L287" s="71"/>
      <c r="M287" s="71"/>
      <c r="N287" s="71"/>
      <c r="O287" s="71"/>
      <c r="P287" s="71"/>
      <c r="Q287" s="71"/>
      <c r="R287" s="71"/>
      <c r="S287" s="6"/>
    </row>
    <row r="288" spans="1:136" ht="15.05" thickBot="1" x14ac:dyDescent="0.25">
      <c r="A288" s="1344">
        <f>+A272+1</f>
        <v>40</v>
      </c>
      <c r="B288" s="1435"/>
      <c r="C288" s="958"/>
      <c r="D288" s="47" t="s">
        <v>1425</v>
      </c>
      <c r="E288" s="48"/>
      <c r="F288" s="48"/>
      <c r="G288" s="85"/>
      <c r="H288" s="85"/>
      <c r="I288" s="85"/>
      <c r="J288" s="85"/>
      <c r="K288" s="85"/>
      <c r="L288" s="85"/>
      <c r="M288" s="85"/>
      <c r="N288" s="85"/>
      <c r="O288" s="85"/>
      <c r="P288" s="85"/>
      <c r="Q288" s="85"/>
      <c r="R288" s="64"/>
      <c r="S288" s="6"/>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row>
    <row r="289" spans="1:136" x14ac:dyDescent="0.3">
      <c r="A289" s="6"/>
      <c r="B289" s="110"/>
      <c r="C289" s="1440"/>
      <c r="D289" s="1503" t="s">
        <v>964</v>
      </c>
      <c r="E289" s="1434"/>
      <c r="F289" s="1434"/>
      <c r="G289" s="690" t="str">
        <f t="shared" ref="G289:R289" si="239">+G8</f>
        <v>Ene</v>
      </c>
      <c r="H289" s="690" t="str">
        <f t="shared" si="239"/>
        <v>Feb</v>
      </c>
      <c r="I289" s="690" t="str">
        <f t="shared" si="239"/>
        <v>Mar</v>
      </c>
      <c r="J289" s="690" t="str">
        <f t="shared" si="239"/>
        <v>Abr</v>
      </c>
      <c r="K289" s="690" t="str">
        <f t="shared" si="239"/>
        <v>May</v>
      </c>
      <c r="L289" s="690" t="str">
        <f t="shared" si="239"/>
        <v>Jun</v>
      </c>
      <c r="M289" s="690" t="str">
        <f t="shared" si="239"/>
        <v>Jul</v>
      </c>
      <c r="N289" s="690" t="str">
        <f t="shared" si="239"/>
        <v>Ago</v>
      </c>
      <c r="O289" s="690" t="str">
        <f t="shared" si="239"/>
        <v>Set</v>
      </c>
      <c r="P289" s="690" t="str">
        <f t="shared" si="239"/>
        <v>Oct</v>
      </c>
      <c r="Q289" s="690" t="str">
        <f t="shared" si="239"/>
        <v>Nov</v>
      </c>
      <c r="R289" s="691" t="str">
        <f t="shared" si="239"/>
        <v>Dic</v>
      </c>
      <c r="S289" s="6"/>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row>
    <row r="290" spans="1:136" x14ac:dyDescent="0.2">
      <c r="A290" s="6"/>
      <c r="B290" s="100"/>
      <c r="C290" s="100"/>
      <c r="D290" s="1442" t="str">
        <f>+Forrajes!B9</f>
        <v>Campo natural</v>
      </c>
      <c r="E290" s="1445"/>
      <c r="F290" s="1445"/>
      <c r="G290" s="692">
        <f t="shared" ref="G290:R290" si="240">SUM(G291:G293)</f>
        <v>0</v>
      </c>
      <c r="H290" s="692">
        <f t="shared" si="240"/>
        <v>0</v>
      </c>
      <c r="I290" s="692">
        <f t="shared" si="240"/>
        <v>0</v>
      </c>
      <c r="J290" s="692">
        <f t="shared" si="240"/>
        <v>0</v>
      </c>
      <c r="K290" s="692">
        <f t="shared" si="240"/>
        <v>0</v>
      </c>
      <c r="L290" s="692">
        <f t="shared" si="240"/>
        <v>0</v>
      </c>
      <c r="M290" s="692">
        <f t="shared" si="240"/>
        <v>0</v>
      </c>
      <c r="N290" s="692">
        <f t="shared" si="240"/>
        <v>0</v>
      </c>
      <c r="O290" s="692">
        <f t="shared" si="240"/>
        <v>0</v>
      </c>
      <c r="P290" s="692">
        <f t="shared" si="240"/>
        <v>0</v>
      </c>
      <c r="Q290" s="692">
        <f t="shared" si="240"/>
        <v>0</v>
      </c>
      <c r="R290" s="693">
        <f t="shared" si="240"/>
        <v>0</v>
      </c>
      <c r="S290" s="6"/>
    </row>
    <row r="291" spans="1:136" x14ac:dyDescent="0.2">
      <c r="A291" s="6"/>
      <c r="B291" s="100"/>
      <c r="C291" s="100"/>
      <c r="D291" s="1450" t="str">
        <f>+Forrajes!B10</f>
        <v>CN</v>
      </c>
      <c r="E291" s="1451"/>
      <c r="F291" s="1452"/>
      <c r="G291" s="97">
        <f>IF($D291&lt;&gt;0,SUMIF(G$9:G$98,$D291,$C$9:$C$98),0)</f>
        <v>0</v>
      </c>
      <c r="H291" s="97">
        <f t="shared" ref="G291:R293" si="241">IF($D291&lt;&gt;0,SUMIF(H$9:H$98,$D291,$C$9:$C$98),0)</f>
        <v>0</v>
      </c>
      <c r="I291" s="97">
        <f t="shared" si="241"/>
        <v>0</v>
      </c>
      <c r="J291" s="97">
        <f t="shared" si="241"/>
        <v>0</v>
      </c>
      <c r="K291" s="97">
        <f t="shared" si="241"/>
        <v>0</v>
      </c>
      <c r="L291" s="97">
        <f t="shared" si="241"/>
        <v>0</v>
      </c>
      <c r="M291" s="97">
        <f t="shared" si="241"/>
        <v>0</v>
      </c>
      <c r="N291" s="97">
        <f t="shared" si="241"/>
        <v>0</v>
      </c>
      <c r="O291" s="97">
        <f t="shared" si="241"/>
        <v>0</v>
      </c>
      <c r="P291" s="97">
        <f t="shared" si="241"/>
        <v>0</v>
      </c>
      <c r="Q291" s="97">
        <f t="shared" si="241"/>
        <v>0</v>
      </c>
      <c r="R291" s="98">
        <f t="shared" si="241"/>
        <v>0</v>
      </c>
      <c r="S291" s="6"/>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row>
    <row r="292" spans="1:136" x14ac:dyDescent="0.2">
      <c r="A292" s="6"/>
      <c r="B292" s="100"/>
      <c r="C292" s="100"/>
      <c r="D292" s="1471" t="str">
        <f>+Forrajes!B11</f>
        <v>CNM</v>
      </c>
      <c r="E292" s="1454"/>
      <c r="F292" s="1455"/>
      <c r="G292" s="97">
        <f t="shared" si="241"/>
        <v>0</v>
      </c>
      <c r="H292" s="97">
        <f t="shared" si="241"/>
        <v>0</v>
      </c>
      <c r="I292" s="97">
        <f t="shared" si="241"/>
        <v>0</v>
      </c>
      <c r="J292" s="97">
        <f t="shared" si="241"/>
        <v>0</v>
      </c>
      <c r="K292" s="97">
        <f t="shared" si="241"/>
        <v>0</v>
      </c>
      <c r="L292" s="97">
        <f t="shared" si="241"/>
        <v>0</v>
      </c>
      <c r="M292" s="97">
        <f t="shared" si="241"/>
        <v>0</v>
      </c>
      <c r="N292" s="97">
        <f t="shared" si="241"/>
        <v>0</v>
      </c>
      <c r="O292" s="97">
        <f t="shared" si="241"/>
        <v>0</v>
      </c>
      <c r="P292" s="97">
        <f t="shared" si="241"/>
        <v>0</v>
      </c>
      <c r="Q292" s="97">
        <f t="shared" si="241"/>
        <v>0</v>
      </c>
      <c r="R292" s="98">
        <f t="shared" si="241"/>
        <v>0</v>
      </c>
      <c r="S292" s="6"/>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row>
    <row r="293" spans="1:136" x14ac:dyDescent="0.2">
      <c r="A293" s="6"/>
      <c r="B293" s="100"/>
      <c r="C293" s="100"/>
      <c r="D293" s="1450" t="str">
        <f>+Forrajes!B12</f>
        <v>CN bajo</v>
      </c>
      <c r="E293" s="1451"/>
      <c r="F293" s="1456"/>
      <c r="G293" s="97">
        <f t="shared" si="241"/>
        <v>0</v>
      </c>
      <c r="H293" s="97">
        <f t="shared" si="241"/>
        <v>0</v>
      </c>
      <c r="I293" s="97">
        <f t="shared" si="241"/>
        <v>0</v>
      </c>
      <c r="J293" s="97">
        <f t="shared" si="241"/>
        <v>0</v>
      </c>
      <c r="K293" s="97">
        <f t="shared" si="241"/>
        <v>0</v>
      </c>
      <c r="L293" s="97">
        <f t="shared" si="241"/>
        <v>0</v>
      </c>
      <c r="M293" s="97">
        <f t="shared" si="241"/>
        <v>0</v>
      </c>
      <c r="N293" s="97">
        <f t="shared" si="241"/>
        <v>0</v>
      </c>
      <c r="O293" s="97">
        <f t="shared" si="241"/>
        <v>0</v>
      </c>
      <c r="P293" s="97">
        <f t="shared" si="241"/>
        <v>0</v>
      </c>
      <c r="Q293" s="97">
        <f t="shared" si="241"/>
        <v>0</v>
      </c>
      <c r="R293" s="98">
        <f t="shared" si="241"/>
        <v>0</v>
      </c>
      <c r="S293" s="6"/>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row>
    <row r="294" spans="1:136" x14ac:dyDescent="0.2">
      <c r="A294" s="6"/>
      <c r="B294" s="100"/>
      <c r="C294" s="100"/>
      <c r="D294" s="1446" t="str">
        <f>+Forrajes!B13</f>
        <v>Praderas Nuevas</v>
      </c>
      <c r="E294" s="959"/>
      <c r="F294" s="959"/>
      <c r="G294" s="694">
        <f t="shared" ref="G294:R294" si="242">SUM(G295:G300)</f>
        <v>0</v>
      </c>
      <c r="H294" s="694">
        <f t="shared" si="242"/>
        <v>0</v>
      </c>
      <c r="I294" s="694">
        <f t="shared" si="242"/>
        <v>0</v>
      </c>
      <c r="J294" s="694">
        <f t="shared" si="242"/>
        <v>0</v>
      </c>
      <c r="K294" s="694">
        <f t="shared" si="242"/>
        <v>0</v>
      </c>
      <c r="L294" s="694">
        <f t="shared" si="242"/>
        <v>0</v>
      </c>
      <c r="M294" s="694">
        <f t="shared" si="242"/>
        <v>0</v>
      </c>
      <c r="N294" s="694">
        <f t="shared" si="242"/>
        <v>0</v>
      </c>
      <c r="O294" s="694">
        <f t="shared" si="242"/>
        <v>0</v>
      </c>
      <c r="P294" s="694">
        <f t="shared" si="242"/>
        <v>0</v>
      </c>
      <c r="Q294" s="694">
        <f t="shared" si="242"/>
        <v>0</v>
      </c>
      <c r="R294" s="695">
        <f t="shared" si="242"/>
        <v>0</v>
      </c>
      <c r="S294" s="6"/>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row>
    <row r="295" spans="1:136" x14ac:dyDescent="0.2">
      <c r="A295" s="6"/>
      <c r="B295" s="100"/>
      <c r="C295" s="100"/>
      <c r="D295" s="1450" t="str">
        <f>+Forrajes!B14</f>
        <v>Alfalfa 1</v>
      </c>
      <c r="E295" s="1451"/>
      <c r="F295" s="1452"/>
      <c r="G295" s="97">
        <f t="shared" ref="G295:R300" si="243">IF($D295&lt;&gt;0,SUMIF(G$9:G$98,$D295,$C$9:$C$98),0)</f>
        <v>0</v>
      </c>
      <c r="H295" s="97">
        <f t="shared" si="243"/>
        <v>0</v>
      </c>
      <c r="I295" s="97">
        <f t="shared" si="243"/>
        <v>0</v>
      </c>
      <c r="J295" s="97">
        <f t="shared" si="243"/>
        <v>0</v>
      </c>
      <c r="K295" s="97">
        <f t="shared" si="243"/>
        <v>0</v>
      </c>
      <c r="L295" s="97">
        <f t="shared" si="243"/>
        <v>0</v>
      </c>
      <c r="M295" s="97">
        <f t="shared" si="243"/>
        <v>0</v>
      </c>
      <c r="N295" s="97">
        <f t="shared" si="243"/>
        <v>0</v>
      </c>
      <c r="O295" s="97">
        <f t="shared" si="243"/>
        <v>0</v>
      </c>
      <c r="P295" s="97">
        <f t="shared" si="243"/>
        <v>0</v>
      </c>
      <c r="Q295" s="97">
        <f t="shared" si="243"/>
        <v>0</v>
      </c>
      <c r="R295" s="98">
        <f t="shared" si="243"/>
        <v>0</v>
      </c>
      <c r="S295" s="6"/>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row>
    <row r="296" spans="1:136" x14ac:dyDescent="0.2">
      <c r="A296" s="6"/>
      <c r="B296" s="100"/>
      <c r="C296" s="100"/>
      <c r="D296" s="1471" t="str">
        <f>+Forrajes!B15</f>
        <v>PP 1</v>
      </c>
      <c r="E296" s="1454"/>
      <c r="F296" s="1455"/>
      <c r="G296" s="97">
        <f t="shared" si="243"/>
        <v>0</v>
      </c>
      <c r="H296" s="97">
        <f t="shared" si="243"/>
        <v>0</v>
      </c>
      <c r="I296" s="97">
        <f t="shared" si="243"/>
        <v>0</v>
      </c>
      <c r="J296" s="97">
        <f t="shared" si="243"/>
        <v>0</v>
      </c>
      <c r="K296" s="97">
        <f t="shared" si="243"/>
        <v>0</v>
      </c>
      <c r="L296" s="97">
        <f t="shared" si="243"/>
        <v>0</v>
      </c>
      <c r="M296" s="97">
        <f t="shared" si="243"/>
        <v>0</v>
      </c>
      <c r="N296" s="97">
        <f t="shared" si="243"/>
        <v>0</v>
      </c>
      <c r="O296" s="97">
        <f t="shared" si="243"/>
        <v>0</v>
      </c>
      <c r="P296" s="97">
        <f t="shared" si="243"/>
        <v>0</v>
      </c>
      <c r="Q296" s="97">
        <f t="shared" si="243"/>
        <v>0</v>
      </c>
      <c r="R296" s="98">
        <f t="shared" si="243"/>
        <v>0</v>
      </c>
      <c r="S296" s="6"/>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row>
    <row r="297" spans="1:136" x14ac:dyDescent="0.2">
      <c r="A297" s="6"/>
      <c r="B297" s="100"/>
      <c r="C297" s="100"/>
      <c r="D297" s="1471" t="str">
        <f>+Forrajes!B16</f>
        <v>Prad 1</v>
      </c>
      <c r="E297" s="1454"/>
      <c r="F297" s="1455"/>
      <c r="G297" s="97">
        <f t="shared" si="243"/>
        <v>0</v>
      </c>
      <c r="H297" s="97">
        <f t="shared" si="243"/>
        <v>0</v>
      </c>
      <c r="I297" s="97">
        <f t="shared" si="243"/>
        <v>0</v>
      </c>
      <c r="J297" s="97">
        <f t="shared" si="243"/>
        <v>0</v>
      </c>
      <c r="K297" s="97">
        <f t="shared" si="243"/>
        <v>0</v>
      </c>
      <c r="L297" s="97">
        <f t="shared" si="243"/>
        <v>0</v>
      </c>
      <c r="M297" s="97">
        <f t="shared" si="243"/>
        <v>0</v>
      </c>
      <c r="N297" s="97">
        <f t="shared" si="243"/>
        <v>0</v>
      </c>
      <c r="O297" s="97">
        <f t="shared" si="243"/>
        <v>0</v>
      </c>
      <c r="P297" s="97">
        <f t="shared" si="243"/>
        <v>0</v>
      </c>
      <c r="Q297" s="97">
        <f t="shared" si="243"/>
        <v>0</v>
      </c>
      <c r="R297" s="98">
        <f t="shared" si="243"/>
        <v>0</v>
      </c>
      <c r="S297" s="6"/>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row>
    <row r="298" spans="1:136" x14ac:dyDescent="0.2">
      <c r="A298" s="6"/>
      <c r="B298" s="100"/>
      <c r="C298" s="100"/>
      <c r="D298" s="1471" t="str">
        <f>+Forrajes!B17</f>
        <v>Trébol Rojo 1</v>
      </c>
      <c r="E298" s="1454"/>
      <c r="F298" s="1455"/>
      <c r="G298" s="97">
        <f t="shared" si="243"/>
        <v>0</v>
      </c>
      <c r="H298" s="97">
        <f t="shared" si="243"/>
        <v>0</v>
      </c>
      <c r="I298" s="97">
        <f t="shared" si="243"/>
        <v>0</v>
      </c>
      <c r="J298" s="97">
        <f t="shared" si="243"/>
        <v>0</v>
      </c>
      <c r="K298" s="97">
        <f t="shared" si="243"/>
        <v>0</v>
      </c>
      <c r="L298" s="97">
        <f t="shared" si="243"/>
        <v>0</v>
      </c>
      <c r="M298" s="97">
        <f t="shared" si="243"/>
        <v>0</v>
      </c>
      <c r="N298" s="97">
        <f t="shared" si="243"/>
        <v>0</v>
      </c>
      <c r="O298" s="97">
        <f t="shared" si="243"/>
        <v>0</v>
      </c>
      <c r="P298" s="97">
        <f t="shared" si="243"/>
        <v>0</v>
      </c>
      <c r="Q298" s="97">
        <f t="shared" si="243"/>
        <v>0</v>
      </c>
      <c r="R298" s="98">
        <f t="shared" si="243"/>
        <v>0</v>
      </c>
      <c r="S298" s="6"/>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row>
    <row r="299" spans="1:136" x14ac:dyDescent="0.2">
      <c r="A299" s="6"/>
      <c r="B299" s="100"/>
      <c r="C299" s="100"/>
      <c r="D299" s="1453">
        <f>+Forrajes!B18</f>
        <v>0</v>
      </c>
      <c r="E299" s="1454"/>
      <c r="F299" s="1455"/>
      <c r="G299" s="97">
        <f t="shared" si="243"/>
        <v>0</v>
      </c>
      <c r="H299" s="97">
        <f t="shared" si="243"/>
        <v>0</v>
      </c>
      <c r="I299" s="97">
        <f t="shared" si="243"/>
        <v>0</v>
      </c>
      <c r="J299" s="97">
        <f t="shared" si="243"/>
        <v>0</v>
      </c>
      <c r="K299" s="97">
        <f t="shared" si="243"/>
        <v>0</v>
      </c>
      <c r="L299" s="97">
        <f t="shared" si="243"/>
        <v>0</v>
      </c>
      <c r="M299" s="97">
        <f t="shared" si="243"/>
        <v>0</v>
      </c>
      <c r="N299" s="97">
        <f t="shared" si="243"/>
        <v>0</v>
      </c>
      <c r="O299" s="97">
        <f t="shared" si="243"/>
        <v>0</v>
      </c>
      <c r="P299" s="97">
        <f t="shared" si="243"/>
        <v>0</v>
      </c>
      <c r="Q299" s="97">
        <f t="shared" si="243"/>
        <v>0</v>
      </c>
      <c r="R299" s="98">
        <f t="shared" si="243"/>
        <v>0</v>
      </c>
      <c r="S299" s="6"/>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row>
    <row r="300" spans="1:136" x14ac:dyDescent="0.2">
      <c r="A300" s="6"/>
      <c r="B300" s="100"/>
      <c r="C300" s="100"/>
      <c r="D300" s="1453">
        <f>+Forrajes!B19</f>
        <v>0</v>
      </c>
      <c r="E300" s="1451"/>
      <c r="F300" s="1456"/>
      <c r="G300" s="97">
        <f t="shared" si="243"/>
        <v>0</v>
      </c>
      <c r="H300" s="97">
        <f t="shared" si="243"/>
        <v>0</v>
      </c>
      <c r="I300" s="97">
        <f t="shared" si="243"/>
        <v>0</v>
      </c>
      <c r="J300" s="97">
        <f t="shared" si="243"/>
        <v>0</v>
      </c>
      <c r="K300" s="97">
        <f t="shared" si="243"/>
        <v>0</v>
      </c>
      <c r="L300" s="97">
        <f t="shared" si="243"/>
        <v>0</v>
      </c>
      <c r="M300" s="97">
        <f t="shared" si="243"/>
        <v>0</v>
      </c>
      <c r="N300" s="97">
        <f t="shared" si="243"/>
        <v>0</v>
      </c>
      <c r="O300" s="97">
        <f t="shared" si="243"/>
        <v>0</v>
      </c>
      <c r="P300" s="97">
        <f t="shared" si="243"/>
        <v>0</v>
      </c>
      <c r="Q300" s="97">
        <f t="shared" si="243"/>
        <v>0</v>
      </c>
      <c r="R300" s="98">
        <f t="shared" si="243"/>
        <v>0</v>
      </c>
      <c r="S300" s="6"/>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row>
    <row r="301" spans="1:136" x14ac:dyDescent="0.2">
      <c r="A301" s="6"/>
      <c r="B301" s="100"/>
      <c r="C301" s="100"/>
      <c r="D301" s="1446" t="str">
        <f>+Forrajes!B20</f>
        <v>Praderas más de un año</v>
      </c>
      <c r="E301" s="959"/>
      <c r="F301" s="959"/>
      <c r="G301" s="694">
        <f t="shared" ref="G301:R301" si="244">SUM(G302:G315)</f>
        <v>0</v>
      </c>
      <c r="H301" s="694">
        <f t="shared" si="244"/>
        <v>0</v>
      </c>
      <c r="I301" s="694">
        <f t="shared" si="244"/>
        <v>0</v>
      </c>
      <c r="J301" s="694">
        <f t="shared" si="244"/>
        <v>0</v>
      </c>
      <c r="K301" s="694">
        <f t="shared" si="244"/>
        <v>0</v>
      </c>
      <c r="L301" s="694">
        <f t="shared" si="244"/>
        <v>0</v>
      </c>
      <c r="M301" s="694">
        <f t="shared" si="244"/>
        <v>0</v>
      </c>
      <c r="N301" s="694">
        <f t="shared" si="244"/>
        <v>0</v>
      </c>
      <c r="O301" s="694">
        <f t="shared" si="244"/>
        <v>0</v>
      </c>
      <c r="P301" s="694">
        <f t="shared" si="244"/>
        <v>0</v>
      </c>
      <c r="Q301" s="694">
        <f t="shared" si="244"/>
        <v>0</v>
      </c>
      <c r="R301" s="695">
        <f t="shared" si="244"/>
        <v>0</v>
      </c>
      <c r="S301" s="6"/>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row>
    <row r="302" spans="1:136" x14ac:dyDescent="0.2">
      <c r="A302" s="6"/>
      <c r="B302" s="100"/>
      <c r="C302" s="100"/>
      <c r="D302" s="1450" t="str">
        <f>+Forrajes!B21</f>
        <v>Alfalfa 2</v>
      </c>
      <c r="E302" s="1451"/>
      <c r="F302" s="1452"/>
      <c r="G302" s="97">
        <f t="shared" ref="G302:R315" si="245">IF($D302&lt;&gt;0,SUMIF(G$9:G$98,$D302,$C$9:$C$98),0)</f>
        <v>0</v>
      </c>
      <c r="H302" s="97">
        <f t="shared" si="245"/>
        <v>0</v>
      </c>
      <c r="I302" s="97">
        <f t="shared" si="245"/>
        <v>0</v>
      </c>
      <c r="J302" s="97">
        <f t="shared" si="245"/>
        <v>0</v>
      </c>
      <c r="K302" s="97">
        <f t="shared" si="245"/>
        <v>0</v>
      </c>
      <c r="L302" s="97">
        <f t="shared" si="245"/>
        <v>0</v>
      </c>
      <c r="M302" s="97">
        <f t="shared" si="245"/>
        <v>0</v>
      </c>
      <c r="N302" s="97">
        <f t="shared" si="245"/>
        <v>0</v>
      </c>
      <c r="O302" s="97">
        <f t="shared" si="245"/>
        <v>0</v>
      </c>
      <c r="P302" s="97">
        <f t="shared" si="245"/>
        <v>0</v>
      </c>
      <c r="Q302" s="97">
        <f t="shared" si="245"/>
        <v>0</v>
      </c>
      <c r="R302" s="98">
        <f t="shared" si="245"/>
        <v>0</v>
      </c>
      <c r="S302" s="6"/>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row>
    <row r="303" spans="1:136" x14ac:dyDescent="0.2">
      <c r="A303" s="6"/>
      <c r="B303" s="100"/>
      <c r="C303" s="100"/>
      <c r="D303" s="1471" t="str">
        <f>+Forrajes!B22</f>
        <v>Alfalfa 3</v>
      </c>
      <c r="E303" s="1454"/>
      <c r="F303" s="1455"/>
      <c r="G303" s="97">
        <f t="shared" si="245"/>
        <v>0</v>
      </c>
      <c r="H303" s="97">
        <f t="shared" si="245"/>
        <v>0</v>
      </c>
      <c r="I303" s="97">
        <f t="shared" si="245"/>
        <v>0</v>
      </c>
      <c r="J303" s="97">
        <f t="shared" si="245"/>
        <v>0</v>
      </c>
      <c r="K303" s="97">
        <f t="shared" si="245"/>
        <v>0</v>
      </c>
      <c r="L303" s="97">
        <f t="shared" si="245"/>
        <v>0</v>
      </c>
      <c r="M303" s="97">
        <f t="shared" si="245"/>
        <v>0</v>
      </c>
      <c r="N303" s="97">
        <f t="shared" si="245"/>
        <v>0</v>
      </c>
      <c r="O303" s="97">
        <f t="shared" si="245"/>
        <v>0</v>
      </c>
      <c r="P303" s="97">
        <f t="shared" si="245"/>
        <v>0</v>
      </c>
      <c r="Q303" s="97">
        <f t="shared" si="245"/>
        <v>0</v>
      </c>
      <c r="R303" s="98">
        <f t="shared" si="245"/>
        <v>0</v>
      </c>
      <c r="S303" s="6"/>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row>
    <row r="304" spans="1:136" x14ac:dyDescent="0.2">
      <c r="A304" s="6"/>
      <c r="B304" s="100"/>
      <c r="C304" s="100"/>
      <c r="D304" s="1471" t="str">
        <f>+Forrajes!B23</f>
        <v>Alfalfa 4</v>
      </c>
      <c r="E304" s="1454"/>
      <c r="F304" s="1455"/>
      <c r="G304" s="97">
        <f t="shared" si="245"/>
        <v>0</v>
      </c>
      <c r="H304" s="97">
        <f t="shared" si="245"/>
        <v>0</v>
      </c>
      <c r="I304" s="97">
        <f t="shared" si="245"/>
        <v>0</v>
      </c>
      <c r="J304" s="97">
        <f t="shared" si="245"/>
        <v>0</v>
      </c>
      <c r="K304" s="97">
        <f t="shared" si="245"/>
        <v>0</v>
      </c>
      <c r="L304" s="97">
        <f t="shared" si="245"/>
        <v>0</v>
      </c>
      <c r="M304" s="97">
        <f t="shared" si="245"/>
        <v>0</v>
      </c>
      <c r="N304" s="97">
        <f t="shared" si="245"/>
        <v>0</v>
      </c>
      <c r="O304" s="97">
        <f t="shared" si="245"/>
        <v>0</v>
      </c>
      <c r="P304" s="97">
        <f t="shared" si="245"/>
        <v>0</v>
      </c>
      <c r="Q304" s="97">
        <f t="shared" si="245"/>
        <v>0</v>
      </c>
      <c r="R304" s="98">
        <f t="shared" si="245"/>
        <v>0</v>
      </c>
      <c r="S304" s="6"/>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row>
    <row r="305" spans="1:136" x14ac:dyDescent="0.2">
      <c r="A305" s="6"/>
      <c r="B305" s="100"/>
      <c r="C305" s="100"/>
      <c r="D305" s="1471" t="str">
        <f>+Forrajes!B24</f>
        <v>PP 2</v>
      </c>
      <c r="E305" s="1454"/>
      <c r="F305" s="1455"/>
      <c r="G305" s="97">
        <f t="shared" si="245"/>
        <v>0</v>
      </c>
      <c r="H305" s="97">
        <f t="shared" si="245"/>
        <v>0</v>
      </c>
      <c r="I305" s="97">
        <f t="shared" si="245"/>
        <v>0</v>
      </c>
      <c r="J305" s="97">
        <f t="shared" si="245"/>
        <v>0</v>
      </c>
      <c r="K305" s="97">
        <f t="shared" si="245"/>
        <v>0</v>
      </c>
      <c r="L305" s="97">
        <f t="shared" si="245"/>
        <v>0</v>
      </c>
      <c r="M305" s="97">
        <f t="shared" si="245"/>
        <v>0</v>
      </c>
      <c r="N305" s="97">
        <f t="shared" si="245"/>
        <v>0</v>
      </c>
      <c r="O305" s="97">
        <f t="shared" si="245"/>
        <v>0</v>
      </c>
      <c r="P305" s="97">
        <f t="shared" si="245"/>
        <v>0</v>
      </c>
      <c r="Q305" s="97">
        <f t="shared" si="245"/>
        <v>0</v>
      </c>
      <c r="R305" s="98">
        <f t="shared" si="245"/>
        <v>0</v>
      </c>
      <c r="S305" s="6"/>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row>
    <row r="306" spans="1:136" x14ac:dyDescent="0.2">
      <c r="A306" s="6"/>
      <c r="B306" s="100"/>
      <c r="C306" s="100"/>
      <c r="D306" s="1453" t="str">
        <f>+Forrajes!B25</f>
        <v>PP 3</v>
      </c>
      <c r="E306" s="1454"/>
      <c r="F306" s="1455"/>
      <c r="G306" s="97">
        <f t="shared" si="245"/>
        <v>0</v>
      </c>
      <c r="H306" s="97">
        <f t="shared" si="245"/>
        <v>0</v>
      </c>
      <c r="I306" s="97">
        <f t="shared" si="245"/>
        <v>0</v>
      </c>
      <c r="J306" s="97">
        <f t="shared" si="245"/>
        <v>0</v>
      </c>
      <c r="K306" s="97">
        <f t="shared" si="245"/>
        <v>0</v>
      </c>
      <c r="L306" s="97">
        <f t="shared" si="245"/>
        <v>0</v>
      </c>
      <c r="M306" s="97">
        <f t="shared" si="245"/>
        <v>0</v>
      </c>
      <c r="N306" s="97">
        <f t="shared" si="245"/>
        <v>0</v>
      </c>
      <c r="O306" s="97">
        <f t="shared" si="245"/>
        <v>0</v>
      </c>
      <c r="P306" s="97">
        <f t="shared" si="245"/>
        <v>0</v>
      </c>
      <c r="Q306" s="97">
        <f t="shared" si="245"/>
        <v>0</v>
      </c>
      <c r="R306" s="98">
        <f t="shared" si="245"/>
        <v>0</v>
      </c>
      <c r="S306" s="6"/>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row>
    <row r="307" spans="1:136" x14ac:dyDescent="0.2">
      <c r="A307" s="6"/>
      <c r="B307" s="100"/>
      <c r="C307" s="100"/>
      <c r="D307" s="1453" t="str">
        <f>+Forrajes!B26</f>
        <v>PP 4</v>
      </c>
      <c r="E307" s="1454"/>
      <c r="F307" s="1455"/>
      <c r="G307" s="97">
        <f t="shared" si="245"/>
        <v>0</v>
      </c>
      <c r="H307" s="97">
        <f t="shared" si="245"/>
        <v>0</v>
      </c>
      <c r="I307" s="97">
        <f t="shared" si="245"/>
        <v>0</v>
      </c>
      <c r="J307" s="97">
        <f t="shared" si="245"/>
        <v>0</v>
      </c>
      <c r="K307" s="97">
        <f t="shared" si="245"/>
        <v>0</v>
      </c>
      <c r="L307" s="97">
        <f t="shared" si="245"/>
        <v>0</v>
      </c>
      <c r="M307" s="97">
        <f t="shared" si="245"/>
        <v>0</v>
      </c>
      <c r="N307" s="97">
        <f t="shared" si="245"/>
        <v>0</v>
      </c>
      <c r="O307" s="97">
        <f t="shared" si="245"/>
        <v>0</v>
      </c>
      <c r="P307" s="97">
        <f t="shared" si="245"/>
        <v>0</v>
      </c>
      <c r="Q307" s="97">
        <f t="shared" si="245"/>
        <v>0</v>
      </c>
      <c r="R307" s="98">
        <f t="shared" si="245"/>
        <v>0</v>
      </c>
      <c r="S307" s="6"/>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row>
    <row r="308" spans="1:136" x14ac:dyDescent="0.2">
      <c r="A308" s="6"/>
      <c r="B308" s="100"/>
      <c r="C308" s="100"/>
      <c r="D308" s="1453" t="str">
        <f>+Forrajes!B27</f>
        <v>Prad 2</v>
      </c>
      <c r="E308" s="1454"/>
      <c r="F308" s="1455"/>
      <c r="G308" s="97">
        <f t="shared" si="245"/>
        <v>0</v>
      </c>
      <c r="H308" s="97">
        <f t="shared" si="245"/>
        <v>0</v>
      </c>
      <c r="I308" s="97">
        <f t="shared" si="245"/>
        <v>0</v>
      </c>
      <c r="J308" s="97">
        <f t="shared" si="245"/>
        <v>0</v>
      </c>
      <c r="K308" s="97">
        <f t="shared" si="245"/>
        <v>0</v>
      </c>
      <c r="L308" s="97">
        <f t="shared" si="245"/>
        <v>0</v>
      </c>
      <c r="M308" s="97">
        <f t="shared" si="245"/>
        <v>0</v>
      </c>
      <c r="N308" s="97">
        <f t="shared" si="245"/>
        <v>0</v>
      </c>
      <c r="O308" s="97">
        <f t="shared" si="245"/>
        <v>0</v>
      </c>
      <c r="P308" s="97">
        <f t="shared" si="245"/>
        <v>0</v>
      </c>
      <c r="Q308" s="97">
        <f t="shared" si="245"/>
        <v>0</v>
      </c>
      <c r="R308" s="98">
        <f t="shared" si="245"/>
        <v>0</v>
      </c>
      <c r="S308" s="6"/>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row>
    <row r="309" spans="1:136" x14ac:dyDescent="0.2">
      <c r="A309" s="6"/>
      <c r="B309" s="100"/>
      <c r="C309" s="100"/>
      <c r="D309" s="1471" t="str">
        <f>+Forrajes!B28</f>
        <v>Prad 3</v>
      </c>
      <c r="E309" s="1454"/>
      <c r="F309" s="1455"/>
      <c r="G309" s="97">
        <f t="shared" si="245"/>
        <v>0</v>
      </c>
      <c r="H309" s="97">
        <f t="shared" si="245"/>
        <v>0</v>
      </c>
      <c r="I309" s="97">
        <f t="shared" si="245"/>
        <v>0</v>
      </c>
      <c r="J309" s="97">
        <f t="shared" si="245"/>
        <v>0</v>
      </c>
      <c r="K309" s="97">
        <f t="shared" si="245"/>
        <v>0</v>
      </c>
      <c r="L309" s="97">
        <f t="shared" si="245"/>
        <v>0</v>
      </c>
      <c r="M309" s="97">
        <f t="shared" si="245"/>
        <v>0</v>
      </c>
      <c r="N309" s="97">
        <f t="shared" si="245"/>
        <v>0</v>
      </c>
      <c r="O309" s="97">
        <f t="shared" si="245"/>
        <v>0</v>
      </c>
      <c r="P309" s="97">
        <f t="shared" si="245"/>
        <v>0</v>
      </c>
      <c r="Q309" s="97">
        <f t="shared" si="245"/>
        <v>0</v>
      </c>
      <c r="R309" s="98">
        <f t="shared" si="245"/>
        <v>0</v>
      </c>
      <c r="S309" s="6"/>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row>
    <row r="310" spans="1:136" x14ac:dyDescent="0.2">
      <c r="A310" s="6"/>
      <c r="D310" s="1471" t="str">
        <f>+Forrajes!B29</f>
        <v>Prad 4</v>
      </c>
      <c r="E310" s="1454"/>
      <c r="F310" s="1455"/>
      <c r="G310" s="97">
        <f t="shared" si="245"/>
        <v>0</v>
      </c>
      <c r="H310" s="97">
        <f t="shared" si="245"/>
        <v>0</v>
      </c>
      <c r="I310" s="97">
        <f t="shared" si="245"/>
        <v>0</v>
      </c>
      <c r="J310" s="97">
        <f t="shared" si="245"/>
        <v>0</v>
      </c>
      <c r="K310" s="97">
        <f t="shared" si="245"/>
        <v>0</v>
      </c>
      <c r="L310" s="97">
        <f t="shared" si="245"/>
        <v>0</v>
      </c>
      <c r="M310" s="97">
        <f t="shared" si="245"/>
        <v>0</v>
      </c>
      <c r="N310" s="97">
        <f t="shared" si="245"/>
        <v>0</v>
      </c>
      <c r="O310" s="97">
        <f t="shared" si="245"/>
        <v>0</v>
      </c>
      <c r="P310" s="97">
        <f t="shared" si="245"/>
        <v>0</v>
      </c>
      <c r="Q310" s="97">
        <f t="shared" si="245"/>
        <v>0</v>
      </c>
      <c r="R310" s="98">
        <f t="shared" si="245"/>
        <v>0</v>
      </c>
      <c r="S310" s="6"/>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row>
    <row r="311" spans="1:136" x14ac:dyDescent="0.2">
      <c r="A311" s="6"/>
      <c r="D311" s="1453" t="str">
        <f>+Forrajes!B30</f>
        <v>Trébol Rojo 2</v>
      </c>
      <c r="E311" s="1454"/>
      <c r="F311" s="1455"/>
      <c r="G311" s="97">
        <f t="shared" si="245"/>
        <v>0</v>
      </c>
      <c r="H311" s="97">
        <f t="shared" si="245"/>
        <v>0</v>
      </c>
      <c r="I311" s="97">
        <f t="shared" si="245"/>
        <v>0</v>
      </c>
      <c r="J311" s="97">
        <f t="shared" si="245"/>
        <v>0</v>
      </c>
      <c r="K311" s="97">
        <f t="shared" si="245"/>
        <v>0</v>
      </c>
      <c r="L311" s="97">
        <f t="shared" si="245"/>
        <v>0</v>
      </c>
      <c r="M311" s="97">
        <f t="shared" si="245"/>
        <v>0</v>
      </c>
      <c r="N311" s="97">
        <f t="shared" si="245"/>
        <v>0</v>
      </c>
      <c r="O311" s="97">
        <f t="shared" si="245"/>
        <v>0</v>
      </c>
      <c r="P311" s="97">
        <f t="shared" si="245"/>
        <v>0</v>
      </c>
      <c r="Q311" s="97">
        <f t="shared" si="245"/>
        <v>0</v>
      </c>
      <c r="R311" s="98">
        <f t="shared" si="245"/>
        <v>0</v>
      </c>
      <c r="S311" s="6"/>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row>
    <row r="312" spans="1:136" x14ac:dyDescent="0.2">
      <c r="A312" s="6"/>
      <c r="D312" s="1471" t="str">
        <f>+Forrajes!B31</f>
        <v>Trébol Rojo 3</v>
      </c>
      <c r="E312" s="1454"/>
      <c r="F312" s="1455"/>
      <c r="G312" s="97">
        <f t="shared" si="245"/>
        <v>0</v>
      </c>
      <c r="H312" s="97">
        <f t="shared" si="245"/>
        <v>0</v>
      </c>
      <c r="I312" s="97">
        <f t="shared" si="245"/>
        <v>0</v>
      </c>
      <c r="J312" s="97">
        <f t="shared" si="245"/>
        <v>0</v>
      </c>
      <c r="K312" s="97">
        <f t="shared" si="245"/>
        <v>0</v>
      </c>
      <c r="L312" s="97">
        <f t="shared" si="245"/>
        <v>0</v>
      </c>
      <c r="M312" s="97">
        <f t="shared" si="245"/>
        <v>0</v>
      </c>
      <c r="N312" s="97">
        <f t="shared" si="245"/>
        <v>0</v>
      </c>
      <c r="O312" s="97">
        <f t="shared" si="245"/>
        <v>0</v>
      </c>
      <c r="P312" s="97">
        <f t="shared" si="245"/>
        <v>0</v>
      </c>
      <c r="Q312" s="97">
        <f t="shared" si="245"/>
        <v>0</v>
      </c>
      <c r="R312" s="98">
        <f t="shared" si="245"/>
        <v>0</v>
      </c>
      <c r="S312" s="6"/>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row>
    <row r="313" spans="1:136" x14ac:dyDescent="0.2">
      <c r="A313" s="6"/>
      <c r="D313" s="1471" t="str">
        <f>+Forrajes!B32</f>
        <v>Alfalfa 5</v>
      </c>
      <c r="E313" s="1454"/>
      <c r="F313" s="1455"/>
      <c r="G313" s="97">
        <f t="shared" si="245"/>
        <v>0</v>
      </c>
      <c r="H313" s="97">
        <f t="shared" si="245"/>
        <v>0</v>
      </c>
      <c r="I313" s="97">
        <f t="shared" si="245"/>
        <v>0</v>
      </c>
      <c r="J313" s="97">
        <f t="shared" si="245"/>
        <v>0</v>
      </c>
      <c r="K313" s="97">
        <f t="shared" si="245"/>
        <v>0</v>
      </c>
      <c r="L313" s="97">
        <f t="shared" si="245"/>
        <v>0</v>
      </c>
      <c r="M313" s="97">
        <f t="shared" si="245"/>
        <v>0</v>
      </c>
      <c r="N313" s="97">
        <f t="shared" si="245"/>
        <v>0</v>
      </c>
      <c r="O313" s="97">
        <f t="shared" si="245"/>
        <v>0</v>
      </c>
      <c r="P313" s="97">
        <f t="shared" si="245"/>
        <v>0</v>
      </c>
      <c r="Q313" s="97">
        <f t="shared" si="245"/>
        <v>0</v>
      </c>
      <c r="R313" s="98">
        <f t="shared" si="245"/>
        <v>0</v>
      </c>
      <c r="S313" s="6"/>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row>
    <row r="314" spans="1:136" x14ac:dyDescent="0.2">
      <c r="A314" s="6"/>
      <c r="D314" s="1453" t="str">
        <f>+Forrajes!B33</f>
        <v>PP 5</v>
      </c>
      <c r="E314" s="1454"/>
      <c r="F314" s="1455"/>
      <c r="G314" s="97">
        <f t="shared" si="245"/>
        <v>0</v>
      </c>
      <c r="H314" s="97">
        <f t="shared" si="245"/>
        <v>0</v>
      </c>
      <c r="I314" s="97">
        <f t="shared" si="245"/>
        <v>0</v>
      </c>
      <c r="J314" s="97">
        <f t="shared" si="245"/>
        <v>0</v>
      </c>
      <c r="K314" s="97">
        <f t="shared" si="245"/>
        <v>0</v>
      </c>
      <c r="L314" s="97">
        <f t="shared" si="245"/>
        <v>0</v>
      </c>
      <c r="M314" s="97">
        <f t="shared" si="245"/>
        <v>0</v>
      </c>
      <c r="N314" s="97">
        <f t="shared" si="245"/>
        <v>0</v>
      </c>
      <c r="O314" s="97">
        <f t="shared" si="245"/>
        <v>0</v>
      </c>
      <c r="P314" s="97">
        <f t="shared" si="245"/>
        <v>0</v>
      </c>
      <c r="Q314" s="97">
        <f t="shared" si="245"/>
        <v>0</v>
      </c>
      <c r="R314" s="98">
        <f t="shared" si="245"/>
        <v>0</v>
      </c>
      <c r="S314" s="6"/>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row>
    <row r="315" spans="1:136" x14ac:dyDescent="0.2">
      <c r="A315" s="6"/>
      <c r="D315" s="1453">
        <f>+Forrajes!B34</f>
        <v>0</v>
      </c>
      <c r="E315" s="1451"/>
      <c r="F315" s="1456"/>
      <c r="G315" s="97">
        <f t="shared" si="245"/>
        <v>0</v>
      </c>
      <c r="H315" s="97">
        <f t="shared" si="245"/>
        <v>0</v>
      </c>
      <c r="I315" s="97">
        <f t="shared" si="245"/>
        <v>0</v>
      </c>
      <c r="J315" s="97">
        <f t="shared" si="245"/>
        <v>0</v>
      </c>
      <c r="K315" s="97">
        <f t="shared" si="245"/>
        <v>0</v>
      </c>
      <c r="L315" s="97">
        <f t="shared" si="245"/>
        <v>0</v>
      </c>
      <c r="M315" s="97">
        <f t="shared" si="245"/>
        <v>0</v>
      </c>
      <c r="N315" s="97">
        <f t="shared" si="245"/>
        <v>0</v>
      </c>
      <c r="O315" s="97">
        <f t="shared" si="245"/>
        <v>0</v>
      </c>
      <c r="P315" s="97">
        <f t="shared" si="245"/>
        <v>0</v>
      </c>
      <c r="Q315" s="97">
        <f t="shared" si="245"/>
        <v>0</v>
      </c>
      <c r="R315" s="98">
        <f t="shared" si="245"/>
        <v>0</v>
      </c>
      <c r="S315" s="6"/>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row>
    <row r="316" spans="1:136" x14ac:dyDescent="0.2">
      <c r="A316" s="6"/>
      <c r="D316" s="1446" t="str">
        <f>+Forrajes!B35</f>
        <v xml:space="preserve">Verdeos de Invierno </v>
      </c>
      <c r="E316" s="959"/>
      <c r="F316" s="959"/>
      <c r="G316" s="694">
        <f>SUM(G317:G325)</f>
        <v>0</v>
      </c>
      <c r="H316" s="694">
        <f t="shared" ref="H316:R316" si="246">SUM(H317:H325)</f>
        <v>0</v>
      </c>
      <c r="I316" s="694">
        <f t="shared" si="246"/>
        <v>0</v>
      </c>
      <c r="J316" s="694">
        <f t="shared" si="246"/>
        <v>0</v>
      </c>
      <c r="K316" s="694">
        <f t="shared" si="246"/>
        <v>0</v>
      </c>
      <c r="L316" s="694">
        <f t="shared" si="246"/>
        <v>0</v>
      </c>
      <c r="M316" s="694">
        <f t="shared" si="246"/>
        <v>0</v>
      </c>
      <c r="N316" s="694">
        <f t="shared" si="246"/>
        <v>0</v>
      </c>
      <c r="O316" s="694">
        <f t="shared" si="246"/>
        <v>0</v>
      </c>
      <c r="P316" s="694">
        <f t="shared" si="246"/>
        <v>0</v>
      </c>
      <c r="Q316" s="694">
        <f t="shared" si="246"/>
        <v>0</v>
      </c>
      <c r="R316" s="695">
        <f t="shared" si="246"/>
        <v>0</v>
      </c>
      <c r="S316" s="6"/>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row>
    <row r="317" spans="1:136" x14ac:dyDescent="0.2">
      <c r="A317" s="6"/>
      <c r="D317" s="1450" t="str">
        <f>+Forrajes!B36</f>
        <v>Avena</v>
      </c>
      <c r="E317" s="1451"/>
      <c r="F317" s="1452"/>
      <c r="G317" s="97">
        <f t="shared" ref="G317:R325" si="247">IF($D317&lt;&gt;0,SUMIF(G$9:G$98,$D317,$C$9:$C$98),0)</f>
        <v>0</v>
      </c>
      <c r="H317" s="97">
        <f t="shared" si="247"/>
        <v>0</v>
      </c>
      <c r="I317" s="97">
        <f t="shared" si="247"/>
        <v>0</v>
      </c>
      <c r="J317" s="97">
        <f t="shared" si="247"/>
        <v>0</v>
      </c>
      <c r="K317" s="97">
        <f t="shared" si="247"/>
        <v>0</v>
      </c>
      <c r="L317" s="97">
        <f t="shared" si="247"/>
        <v>0</v>
      </c>
      <c r="M317" s="97">
        <f t="shared" si="247"/>
        <v>0</v>
      </c>
      <c r="N317" s="97">
        <f t="shared" si="247"/>
        <v>0</v>
      </c>
      <c r="O317" s="97">
        <f t="shared" si="247"/>
        <v>0</v>
      </c>
      <c r="P317" s="97">
        <f t="shared" si="247"/>
        <v>0</v>
      </c>
      <c r="Q317" s="97">
        <f t="shared" si="247"/>
        <v>0</v>
      </c>
      <c r="R317" s="98">
        <f t="shared" si="247"/>
        <v>0</v>
      </c>
      <c r="S317" s="6"/>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row>
    <row r="318" spans="1:136" x14ac:dyDescent="0.2">
      <c r="A318" s="6"/>
      <c r="D318" s="1471" t="str">
        <f>+Forrajes!B37</f>
        <v>Raigrás</v>
      </c>
      <c r="E318" s="1454"/>
      <c r="F318" s="1455"/>
      <c r="G318" s="97">
        <f t="shared" si="247"/>
        <v>0</v>
      </c>
      <c r="H318" s="97">
        <f t="shared" si="247"/>
        <v>0</v>
      </c>
      <c r="I318" s="97">
        <f t="shared" si="247"/>
        <v>0</v>
      </c>
      <c r="J318" s="97">
        <f t="shared" si="247"/>
        <v>0</v>
      </c>
      <c r="K318" s="97">
        <f t="shared" si="247"/>
        <v>0</v>
      </c>
      <c r="L318" s="97">
        <f t="shared" si="247"/>
        <v>0</v>
      </c>
      <c r="M318" s="97">
        <f t="shared" si="247"/>
        <v>0</v>
      </c>
      <c r="N318" s="97">
        <f t="shared" si="247"/>
        <v>0</v>
      </c>
      <c r="O318" s="97">
        <f t="shared" si="247"/>
        <v>0</v>
      </c>
      <c r="P318" s="97">
        <f t="shared" si="247"/>
        <v>0</v>
      </c>
      <c r="Q318" s="97">
        <f t="shared" si="247"/>
        <v>0</v>
      </c>
      <c r="R318" s="98">
        <f t="shared" si="247"/>
        <v>0</v>
      </c>
      <c r="S318" s="6"/>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row>
    <row r="319" spans="1:136" x14ac:dyDescent="0.2">
      <c r="A319" s="6"/>
      <c r="D319" s="1471" t="str">
        <f>+Forrajes!B38</f>
        <v>Av+Rg</v>
      </c>
      <c r="E319" s="1454"/>
      <c r="F319" s="1455"/>
      <c r="G319" s="97">
        <f t="shared" si="247"/>
        <v>0</v>
      </c>
      <c r="H319" s="97">
        <f t="shared" si="247"/>
        <v>0</v>
      </c>
      <c r="I319" s="97">
        <f t="shared" si="247"/>
        <v>0</v>
      </c>
      <c r="J319" s="97">
        <f t="shared" si="247"/>
        <v>0</v>
      </c>
      <c r="K319" s="97">
        <f t="shared" si="247"/>
        <v>0</v>
      </c>
      <c r="L319" s="97">
        <f t="shared" si="247"/>
        <v>0</v>
      </c>
      <c r="M319" s="97">
        <f t="shared" si="247"/>
        <v>0</v>
      </c>
      <c r="N319" s="97">
        <f t="shared" si="247"/>
        <v>0</v>
      </c>
      <c r="O319" s="97">
        <f t="shared" si="247"/>
        <v>0</v>
      </c>
      <c r="P319" s="97">
        <f t="shared" si="247"/>
        <v>0</v>
      </c>
      <c r="Q319" s="97">
        <f t="shared" si="247"/>
        <v>0</v>
      </c>
      <c r="R319" s="98">
        <f t="shared" si="247"/>
        <v>0</v>
      </c>
      <c r="S319" s="6"/>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row>
    <row r="320" spans="1:136" x14ac:dyDescent="0.2">
      <c r="A320" s="6"/>
      <c r="D320" s="1471" t="str">
        <f>+Forrajes!B39</f>
        <v>Rg Ciclo Largo</v>
      </c>
      <c r="E320" s="1454"/>
      <c r="F320" s="1455"/>
      <c r="G320" s="97">
        <f t="shared" si="247"/>
        <v>0</v>
      </c>
      <c r="H320" s="97">
        <f t="shared" si="247"/>
        <v>0</v>
      </c>
      <c r="I320" s="97">
        <f t="shared" si="247"/>
        <v>0</v>
      </c>
      <c r="J320" s="97">
        <f t="shared" si="247"/>
        <v>0</v>
      </c>
      <c r="K320" s="97">
        <f t="shared" si="247"/>
        <v>0</v>
      </c>
      <c r="L320" s="97">
        <f t="shared" si="247"/>
        <v>0</v>
      </c>
      <c r="M320" s="97">
        <f t="shared" si="247"/>
        <v>0</v>
      </c>
      <c r="N320" s="97">
        <f t="shared" si="247"/>
        <v>0</v>
      </c>
      <c r="O320" s="97">
        <f t="shared" si="247"/>
        <v>0</v>
      </c>
      <c r="P320" s="97">
        <f t="shared" si="247"/>
        <v>0</v>
      </c>
      <c r="Q320" s="97">
        <f t="shared" si="247"/>
        <v>0</v>
      </c>
      <c r="R320" s="98">
        <f t="shared" si="247"/>
        <v>0</v>
      </c>
      <c r="S320" s="6"/>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row>
    <row r="321" spans="1:136" x14ac:dyDescent="0.2">
      <c r="A321" s="6"/>
      <c r="D321" s="1453" t="str">
        <f>+Forrajes!B40</f>
        <v>Trigo pastoreo</v>
      </c>
      <c r="E321" s="1454"/>
      <c r="F321" s="1455"/>
      <c r="G321" s="97">
        <f t="shared" si="247"/>
        <v>0</v>
      </c>
      <c r="H321" s="97">
        <f t="shared" si="247"/>
        <v>0</v>
      </c>
      <c r="I321" s="97">
        <f t="shared" si="247"/>
        <v>0</v>
      </c>
      <c r="J321" s="97">
        <f t="shared" si="247"/>
        <v>0</v>
      </c>
      <c r="K321" s="97">
        <f t="shared" si="247"/>
        <v>0</v>
      </c>
      <c r="L321" s="97">
        <f t="shared" si="247"/>
        <v>0</v>
      </c>
      <c r="M321" s="97">
        <f t="shared" si="247"/>
        <v>0</v>
      </c>
      <c r="N321" s="97">
        <f t="shared" si="247"/>
        <v>0</v>
      </c>
      <c r="O321" s="97">
        <f t="shared" si="247"/>
        <v>0</v>
      </c>
      <c r="P321" s="97">
        <f t="shared" si="247"/>
        <v>0</v>
      </c>
      <c r="Q321" s="97">
        <f t="shared" si="247"/>
        <v>0</v>
      </c>
      <c r="R321" s="98">
        <f t="shared" si="247"/>
        <v>0</v>
      </c>
      <c r="S321" s="6"/>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row>
    <row r="322" spans="1:136" x14ac:dyDescent="0.2">
      <c r="A322" s="6"/>
      <c r="D322" s="1453" t="str">
        <f>+Forrajes!B41</f>
        <v>Cebada pastoreo</v>
      </c>
      <c r="E322" s="1454"/>
      <c r="F322" s="1455"/>
      <c r="G322" s="97">
        <f t="shared" si="247"/>
        <v>0</v>
      </c>
      <c r="H322" s="97">
        <f t="shared" si="247"/>
        <v>0</v>
      </c>
      <c r="I322" s="97">
        <f t="shared" si="247"/>
        <v>0</v>
      </c>
      <c r="J322" s="97">
        <f t="shared" si="247"/>
        <v>0</v>
      </c>
      <c r="K322" s="97">
        <f t="shared" si="247"/>
        <v>0</v>
      </c>
      <c r="L322" s="97">
        <f t="shared" si="247"/>
        <v>0</v>
      </c>
      <c r="M322" s="97">
        <f t="shared" si="247"/>
        <v>0</v>
      </c>
      <c r="N322" s="97">
        <f t="shared" si="247"/>
        <v>0</v>
      </c>
      <c r="O322" s="97">
        <f t="shared" si="247"/>
        <v>0</v>
      </c>
      <c r="P322" s="97">
        <f t="shared" si="247"/>
        <v>0</v>
      </c>
      <c r="Q322" s="97">
        <f t="shared" si="247"/>
        <v>0</v>
      </c>
      <c r="R322" s="98">
        <f t="shared" si="247"/>
        <v>0</v>
      </c>
      <c r="S322" s="6"/>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row>
    <row r="323" spans="1:136" x14ac:dyDescent="0.2">
      <c r="A323" s="6"/>
      <c r="D323" s="1453" t="str">
        <f>+Forrajes!B42</f>
        <v>InterS. Rg</v>
      </c>
      <c r="E323" s="1454"/>
      <c r="F323" s="1455"/>
      <c r="G323" s="97">
        <f t="shared" si="247"/>
        <v>0</v>
      </c>
      <c r="H323" s="97">
        <f t="shared" si="247"/>
        <v>0</v>
      </c>
      <c r="I323" s="97">
        <f t="shared" si="247"/>
        <v>0</v>
      </c>
      <c r="J323" s="97">
        <f t="shared" si="247"/>
        <v>0</v>
      </c>
      <c r="K323" s="97">
        <f t="shared" si="247"/>
        <v>0</v>
      </c>
      <c r="L323" s="97">
        <f t="shared" si="247"/>
        <v>0</v>
      </c>
      <c r="M323" s="97">
        <f t="shared" si="247"/>
        <v>0</v>
      </c>
      <c r="N323" s="97">
        <f t="shared" si="247"/>
        <v>0</v>
      </c>
      <c r="O323" s="97">
        <f t="shared" si="247"/>
        <v>0</v>
      </c>
      <c r="P323" s="97">
        <f t="shared" si="247"/>
        <v>0</v>
      </c>
      <c r="Q323" s="97">
        <f t="shared" si="247"/>
        <v>0</v>
      </c>
      <c r="R323" s="98">
        <f t="shared" si="247"/>
        <v>0</v>
      </c>
      <c r="S323" s="6"/>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row>
    <row r="324" spans="1:136" x14ac:dyDescent="0.2">
      <c r="A324" s="6"/>
      <c r="D324" s="1453">
        <f>+Forrajes!B43</f>
        <v>0</v>
      </c>
      <c r="E324" s="1454"/>
      <c r="F324" s="1455"/>
      <c r="G324" s="97">
        <f t="shared" si="247"/>
        <v>0</v>
      </c>
      <c r="H324" s="97">
        <f t="shared" si="247"/>
        <v>0</v>
      </c>
      <c r="I324" s="97">
        <f t="shared" si="247"/>
        <v>0</v>
      </c>
      <c r="J324" s="97">
        <f t="shared" si="247"/>
        <v>0</v>
      </c>
      <c r="K324" s="97">
        <f t="shared" si="247"/>
        <v>0</v>
      </c>
      <c r="L324" s="97">
        <f t="shared" si="247"/>
        <v>0</v>
      </c>
      <c r="M324" s="97">
        <f t="shared" si="247"/>
        <v>0</v>
      </c>
      <c r="N324" s="97">
        <f t="shared" si="247"/>
        <v>0</v>
      </c>
      <c r="O324" s="97">
        <f t="shared" si="247"/>
        <v>0</v>
      </c>
      <c r="P324" s="97">
        <f t="shared" si="247"/>
        <v>0</v>
      </c>
      <c r="Q324" s="97">
        <f t="shared" si="247"/>
        <v>0</v>
      </c>
      <c r="R324" s="98">
        <f t="shared" si="247"/>
        <v>0</v>
      </c>
      <c r="S324" s="6"/>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row>
    <row r="325" spans="1:136" x14ac:dyDescent="0.2">
      <c r="A325" s="6"/>
      <c r="D325" s="1453">
        <f>+Forrajes!B44</f>
        <v>0</v>
      </c>
      <c r="E325" s="1451"/>
      <c r="F325" s="1456"/>
      <c r="G325" s="97">
        <f t="shared" si="247"/>
        <v>0</v>
      </c>
      <c r="H325" s="97">
        <f t="shared" si="247"/>
        <v>0</v>
      </c>
      <c r="I325" s="97">
        <f t="shared" si="247"/>
        <v>0</v>
      </c>
      <c r="J325" s="97">
        <f t="shared" si="247"/>
        <v>0</v>
      </c>
      <c r="K325" s="97">
        <f t="shared" si="247"/>
        <v>0</v>
      </c>
      <c r="L325" s="97">
        <f t="shared" si="247"/>
        <v>0</v>
      </c>
      <c r="M325" s="97">
        <f t="shared" si="247"/>
        <v>0</v>
      </c>
      <c r="N325" s="97">
        <f t="shared" si="247"/>
        <v>0</v>
      </c>
      <c r="O325" s="97">
        <f t="shared" si="247"/>
        <v>0</v>
      </c>
      <c r="P325" s="97">
        <f t="shared" si="247"/>
        <v>0</v>
      </c>
      <c r="Q325" s="97">
        <f t="shared" si="247"/>
        <v>0</v>
      </c>
      <c r="R325" s="98">
        <f t="shared" si="247"/>
        <v>0</v>
      </c>
      <c r="S325" s="6"/>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row>
    <row r="326" spans="1:136" x14ac:dyDescent="0.2">
      <c r="A326" s="6"/>
      <c r="D326" s="1446" t="str">
        <f>+Forrajes!B45</f>
        <v xml:space="preserve">Verdeos de Verano </v>
      </c>
      <c r="E326" s="959"/>
      <c r="F326" s="959"/>
      <c r="G326" s="694">
        <f t="shared" ref="G326:R326" si="248">SUM(G327:G331)</f>
        <v>0</v>
      </c>
      <c r="H326" s="694">
        <f t="shared" si="248"/>
        <v>0</v>
      </c>
      <c r="I326" s="694">
        <f t="shared" si="248"/>
        <v>0</v>
      </c>
      <c r="J326" s="694">
        <f t="shared" si="248"/>
        <v>0</v>
      </c>
      <c r="K326" s="694">
        <f t="shared" si="248"/>
        <v>0</v>
      </c>
      <c r="L326" s="694">
        <f t="shared" si="248"/>
        <v>0</v>
      </c>
      <c r="M326" s="694">
        <f t="shared" si="248"/>
        <v>0</v>
      </c>
      <c r="N326" s="694">
        <f t="shared" si="248"/>
        <v>0</v>
      </c>
      <c r="O326" s="694">
        <f t="shared" si="248"/>
        <v>0</v>
      </c>
      <c r="P326" s="694">
        <f t="shared" si="248"/>
        <v>0</v>
      </c>
      <c r="Q326" s="694">
        <f t="shared" si="248"/>
        <v>0</v>
      </c>
      <c r="R326" s="695">
        <f t="shared" si="248"/>
        <v>0</v>
      </c>
      <c r="S326" s="6"/>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row>
    <row r="327" spans="1:136" x14ac:dyDescent="0.2">
      <c r="A327" s="6"/>
      <c r="D327" s="1450" t="str">
        <f>+Forrajes!B46</f>
        <v>Sorgo Forrajero</v>
      </c>
      <c r="E327" s="1451"/>
      <c r="F327" s="1452"/>
      <c r="G327" s="97">
        <f t="shared" ref="G327:R331" si="249">IF($D327&lt;&gt;0,SUMIF(G$9:G$98,$D327,$C$9:$C$98),0)</f>
        <v>0</v>
      </c>
      <c r="H327" s="97">
        <f t="shared" si="249"/>
        <v>0</v>
      </c>
      <c r="I327" s="97">
        <f t="shared" si="249"/>
        <v>0</v>
      </c>
      <c r="J327" s="97">
        <f t="shared" si="249"/>
        <v>0</v>
      </c>
      <c r="K327" s="97">
        <f t="shared" si="249"/>
        <v>0</v>
      </c>
      <c r="L327" s="97">
        <f t="shared" si="249"/>
        <v>0</v>
      </c>
      <c r="M327" s="97">
        <f t="shared" si="249"/>
        <v>0</v>
      </c>
      <c r="N327" s="97">
        <f t="shared" si="249"/>
        <v>0</v>
      </c>
      <c r="O327" s="97">
        <f t="shared" si="249"/>
        <v>0</v>
      </c>
      <c r="P327" s="97">
        <f t="shared" si="249"/>
        <v>0</v>
      </c>
      <c r="Q327" s="97">
        <f t="shared" si="249"/>
        <v>0</v>
      </c>
      <c r="R327" s="98">
        <f t="shared" si="249"/>
        <v>0</v>
      </c>
      <c r="S327" s="6"/>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row>
    <row r="328" spans="1:136" x14ac:dyDescent="0.2">
      <c r="A328" s="6"/>
      <c r="D328" s="1453" t="str">
        <f>+Forrajes!B47</f>
        <v xml:space="preserve">Sudan </v>
      </c>
      <c r="E328" s="1454"/>
      <c r="F328" s="1455"/>
      <c r="G328" s="97">
        <f t="shared" si="249"/>
        <v>0</v>
      </c>
      <c r="H328" s="97">
        <f t="shared" si="249"/>
        <v>0</v>
      </c>
      <c r="I328" s="97">
        <f t="shared" si="249"/>
        <v>0</v>
      </c>
      <c r="J328" s="97">
        <f t="shared" si="249"/>
        <v>0</v>
      </c>
      <c r="K328" s="97">
        <f t="shared" si="249"/>
        <v>0</v>
      </c>
      <c r="L328" s="97">
        <f t="shared" si="249"/>
        <v>0</v>
      </c>
      <c r="M328" s="97">
        <f t="shared" si="249"/>
        <v>0</v>
      </c>
      <c r="N328" s="97">
        <f t="shared" si="249"/>
        <v>0</v>
      </c>
      <c r="O328" s="97">
        <f t="shared" si="249"/>
        <v>0</v>
      </c>
      <c r="P328" s="97">
        <f t="shared" si="249"/>
        <v>0</v>
      </c>
      <c r="Q328" s="97">
        <f t="shared" si="249"/>
        <v>0</v>
      </c>
      <c r="R328" s="98">
        <f t="shared" si="249"/>
        <v>0</v>
      </c>
      <c r="S328" s="6"/>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row>
    <row r="329" spans="1:136" x14ac:dyDescent="0.2">
      <c r="A329" s="6"/>
      <c r="D329" s="1453">
        <f>+Forrajes!B48</f>
        <v>0</v>
      </c>
      <c r="E329" s="1454"/>
      <c r="F329" s="1455"/>
      <c r="G329" s="97">
        <f t="shared" si="249"/>
        <v>0</v>
      </c>
      <c r="H329" s="97">
        <f t="shared" si="249"/>
        <v>0</v>
      </c>
      <c r="I329" s="97">
        <f t="shared" si="249"/>
        <v>0</v>
      </c>
      <c r="J329" s="97">
        <f t="shared" si="249"/>
        <v>0</v>
      </c>
      <c r="K329" s="97">
        <f t="shared" si="249"/>
        <v>0</v>
      </c>
      <c r="L329" s="97">
        <f t="shared" si="249"/>
        <v>0</v>
      </c>
      <c r="M329" s="97">
        <f t="shared" si="249"/>
        <v>0</v>
      </c>
      <c r="N329" s="97">
        <f t="shared" si="249"/>
        <v>0</v>
      </c>
      <c r="O329" s="97">
        <f t="shared" si="249"/>
        <v>0</v>
      </c>
      <c r="P329" s="97">
        <f t="shared" si="249"/>
        <v>0</v>
      </c>
      <c r="Q329" s="97">
        <f t="shared" si="249"/>
        <v>0</v>
      </c>
      <c r="R329" s="98">
        <f t="shared" si="249"/>
        <v>0</v>
      </c>
      <c r="S329" s="6"/>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row>
    <row r="330" spans="1:136" x14ac:dyDescent="0.2">
      <c r="A330" s="6"/>
      <c r="D330" s="1453">
        <f>+Forrajes!B49</f>
        <v>0</v>
      </c>
      <c r="E330" s="1454"/>
      <c r="F330" s="1455"/>
      <c r="G330" s="97">
        <f t="shared" si="249"/>
        <v>0</v>
      </c>
      <c r="H330" s="97">
        <f t="shared" si="249"/>
        <v>0</v>
      </c>
      <c r="I330" s="97">
        <f t="shared" si="249"/>
        <v>0</v>
      </c>
      <c r="J330" s="97">
        <f t="shared" si="249"/>
        <v>0</v>
      </c>
      <c r="K330" s="97">
        <f t="shared" si="249"/>
        <v>0</v>
      </c>
      <c r="L330" s="97">
        <f t="shared" si="249"/>
        <v>0</v>
      </c>
      <c r="M330" s="97">
        <f t="shared" si="249"/>
        <v>0</v>
      </c>
      <c r="N330" s="97">
        <f t="shared" si="249"/>
        <v>0</v>
      </c>
      <c r="O330" s="97">
        <f t="shared" si="249"/>
        <v>0</v>
      </c>
      <c r="P330" s="97">
        <f t="shared" si="249"/>
        <v>0</v>
      </c>
      <c r="Q330" s="97">
        <f t="shared" si="249"/>
        <v>0</v>
      </c>
      <c r="R330" s="98">
        <f t="shared" si="249"/>
        <v>0</v>
      </c>
      <c r="S330" s="6"/>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row>
    <row r="331" spans="1:136" x14ac:dyDescent="0.2">
      <c r="A331" s="6"/>
      <c r="D331" s="1453">
        <f>+Forrajes!B50</f>
        <v>0</v>
      </c>
      <c r="E331" s="1451"/>
      <c r="F331" s="1456"/>
      <c r="G331" s="97">
        <f t="shared" si="249"/>
        <v>0</v>
      </c>
      <c r="H331" s="97">
        <f t="shared" si="249"/>
        <v>0</v>
      </c>
      <c r="I331" s="97">
        <f t="shared" si="249"/>
        <v>0</v>
      </c>
      <c r="J331" s="97">
        <f t="shared" si="249"/>
        <v>0</v>
      </c>
      <c r="K331" s="97">
        <f t="shared" si="249"/>
        <v>0</v>
      </c>
      <c r="L331" s="97">
        <f t="shared" si="249"/>
        <v>0</v>
      </c>
      <c r="M331" s="97">
        <f t="shared" si="249"/>
        <v>0</v>
      </c>
      <c r="N331" s="97">
        <f t="shared" si="249"/>
        <v>0</v>
      </c>
      <c r="O331" s="97">
        <f t="shared" si="249"/>
        <v>0</v>
      </c>
      <c r="P331" s="97">
        <f t="shared" si="249"/>
        <v>0</v>
      </c>
      <c r="Q331" s="97">
        <f t="shared" si="249"/>
        <v>0</v>
      </c>
      <c r="R331" s="98">
        <f t="shared" si="249"/>
        <v>0</v>
      </c>
      <c r="S331" s="6"/>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row>
    <row r="332" spans="1:136" x14ac:dyDescent="0.2">
      <c r="A332" s="6"/>
      <c r="D332" s="1446" t="str">
        <f>+Forrajes!B51</f>
        <v>Cultivos de Verano para Reserva</v>
      </c>
      <c r="E332" s="959"/>
      <c r="F332" s="959"/>
      <c r="G332" s="694">
        <f t="shared" ref="G332:R332" si="250">SUM(G333:G338)</f>
        <v>0</v>
      </c>
      <c r="H332" s="694">
        <f t="shared" si="250"/>
        <v>0</v>
      </c>
      <c r="I332" s="694">
        <f t="shared" si="250"/>
        <v>0</v>
      </c>
      <c r="J332" s="694">
        <f t="shared" si="250"/>
        <v>0</v>
      </c>
      <c r="K332" s="694">
        <f t="shared" si="250"/>
        <v>0</v>
      </c>
      <c r="L332" s="694">
        <f t="shared" si="250"/>
        <v>0</v>
      </c>
      <c r="M332" s="694">
        <f t="shared" si="250"/>
        <v>0</v>
      </c>
      <c r="N332" s="694">
        <f t="shared" si="250"/>
        <v>0</v>
      </c>
      <c r="O332" s="694">
        <f t="shared" si="250"/>
        <v>0</v>
      </c>
      <c r="P332" s="694">
        <f t="shared" si="250"/>
        <v>0</v>
      </c>
      <c r="Q332" s="694">
        <f t="shared" si="250"/>
        <v>0</v>
      </c>
      <c r="R332" s="695">
        <f t="shared" si="250"/>
        <v>0</v>
      </c>
      <c r="S332" s="6"/>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row>
    <row r="333" spans="1:136" x14ac:dyDescent="0.2">
      <c r="A333" s="6"/>
      <c r="D333" s="1450" t="str">
        <f>+Forrajes!B52</f>
        <v>Maíz Silo</v>
      </c>
      <c r="E333" s="1451"/>
      <c r="F333" s="1452"/>
      <c r="G333" s="97">
        <f t="shared" ref="G333:R338" si="251">IF($D333&lt;&gt;0,SUMIF(G$9:G$98,$D333,$C$9:$C$98),0)</f>
        <v>0</v>
      </c>
      <c r="H333" s="97">
        <f t="shared" si="251"/>
        <v>0</v>
      </c>
      <c r="I333" s="97">
        <f t="shared" si="251"/>
        <v>0</v>
      </c>
      <c r="J333" s="97">
        <f t="shared" si="251"/>
        <v>0</v>
      </c>
      <c r="K333" s="97">
        <f t="shared" si="251"/>
        <v>0</v>
      </c>
      <c r="L333" s="97">
        <f t="shared" si="251"/>
        <v>0</v>
      </c>
      <c r="M333" s="97">
        <f t="shared" si="251"/>
        <v>0</v>
      </c>
      <c r="N333" s="97">
        <f t="shared" si="251"/>
        <v>0</v>
      </c>
      <c r="O333" s="97">
        <f t="shared" si="251"/>
        <v>0</v>
      </c>
      <c r="P333" s="97">
        <f t="shared" si="251"/>
        <v>0</v>
      </c>
      <c r="Q333" s="97">
        <f t="shared" si="251"/>
        <v>0</v>
      </c>
      <c r="R333" s="98">
        <f t="shared" si="251"/>
        <v>0</v>
      </c>
      <c r="S333" s="6"/>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row>
    <row r="334" spans="1:136" x14ac:dyDescent="0.2">
      <c r="A334" s="6"/>
      <c r="D334" s="1453" t="str">
        <f>+Forrajes!B53</f>
        <v>Sorgo silo</v>
      </c>
      <c r="E334" s="1454"/>
      <c r="F334" s="1455"/>
      <c r="G334" s="97">
        <f t="shared" si="251"/>
        <v>0</v>
      </c>
      <c r="H334" s="97">
        <f t="shared" si="251"/>
        <v>0</v>
      </c>
      <c r="I334" s="97">
        <f t="shared" si="251"/>
        <v>0</v>
      </c>
      <c r="J334" s="97">
        <f t="shared" si="251"/>
        <v>0</v>
      </c>
      <c r="K334" s="97">
        <f t="shared" si="251"/>
        <v>0</v>
      </c>
      <c r="L334" s="97">
        <f t="shared" si="251"/>
        <v>0</v>
      </c>
      <c r="M334" s="97">
        <f t="shared" si="251"/>
        <v>0</v>
      </c>
      <c r="N334" s="97">
        <f t="shared" si="251"/>
        <v>0</v>
      </c>
      <c r="O334" s="97">
        <f t="shared" si="251"/>
        <v>0</v>
      </c>
      <c r="P334" s="97">
        <f t="shared" si="251"/>
        <v>0</v>
      </c>
      <c r="Q334" s="97">
        <f t="shared" si="251"/>
        <v>0</v>
      </c>
      <c r="R334" s="98">
        <f t="shared" si="251"/>
        <v>0</v>
      </c>
      <c r="S334" s="6"/>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row>
    <row r="335" spans="1:136" x14ac:dyDescent="0.2">
      <c r="A335" s="6"/>
      <c r="D335" s="1453" t="str">
        <f>+Forrajes!B54</f>
        <v>Moha</v>
      </c>
      <c r="E335" s="1454"/>
      <c r="F335" s="1455"/>
      <c r="G335" s="97">
        <f t="shared" si="251"/>
        <v>0</v>
      </c>
      <c r="H335" s="97">
        <f t="shared" si="251"/>
        <v>0</v>
      </c>
      <c r="I335" s="97">
        <f t="shared" si="251"/>
        <v>0</v>
      </c>
      <c r="J335" s="97">
        <f t="shared" si="251"/>
        <v>0</v>
      </c>
      <c r="K335" s="97">
        <f t="shared" si="251"/>
        <v>0</v>
      </c>
      <c r="L335" s="97">
        <f t="shared" si="251"/>
        <v>0</v>
      </c>
      <c r="M335" s="97">
        <f t="shared" si="251"/>
        <v>0</v>
      </c>
      <c r="N335" s="97">
        <f t="shared" si="251"/>
        <v>0</v>
      </c>
      <c r="O335" s="97">
        <f t="shared" si="251"/>
        <v>0</v>
      </c>
      <c r="P335" s="97">
        <f t="shared" si="251"/>
        <v>0</v>
      </c>
      <c r="Q335" s="97">
        <f t="shared" si="251"/>
        <v>0</v>
      </c>
      <c r="R335" s="98">
        <f t="shared" si="251"/>
        <v>0</v>
      </c>
      <c r="S335" s="6"/>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row>
    <row r="336" spans="1:136" x14ac:dyDescent="0.2">
      <c r="A336" s="6"/>
      <c r="D336" s="1453" t="str">
        <f>+Forrajes!B55</f>
        <v>Soja reserva</v>
      </c>
      <c r="E336" s="1454"/>
      <c r="F336" s="1455"/>
      <c r="G336" s="97">
        <f t="shared" si="251"/>
        <v>0</v>
      </c>
      <c r="H336" s="97">
        <f t="shared" si="251"/>
        <v>0</v>
      </c>
      <c r="I336" s="97">
        <f t="shared" si="251"/>
        <v>0</v>
      </c>
      <c r="J336" s="97">
        <f t="shared" si="251"/>
        <v>0</v>
      </c>
      <c r="K336" s="97">
        <f t="shared" si="251"/>
        <v>0</v>
      </c>
      <c r="L336" s="97">
        <f t="shared" si="251"/>
        <v>0</v>
      </c>
      <c r="M336" s="97">
        <f t="shared" si="251"/>
        <v>0</v>
      </c>
      <c r="N336" s="97">
        <f t="shared" si="251"/>
        <v>0</v>
      </c>
      <c r="O336" s="97">
        <f t="shared" si="251"/>
        <v>0</v>
      </c>
      <c r="P336" s="97">
        <f t="shared" si="251"/>
        <v>0</v>
      </c>
      <c r="Q336" s="97">
        <f t="shared" si="251"/>
        <v>0</v>
      </c>
      <c r="R336" s="98">
        <f t="shared" si="251"/>
        <v>0</v>
      </c>
      <c r="S336" s="6"/>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row>
    <row r="337" spans="1:136" x14ac:dyDescent="0.2">
      <c r="A337" s="6"/>
      <c r="D337" s="1453">
        <f>+Forrajes!B56</f>
        <v>0</v>
      </c>
      <c r="E337" s="1454"/>
      <c r="F337" s="1455"/>
      <c r="G337" s="97">
        <f t="shared" si="251"/>
        <v>0</v>
      </c>
      <c r="H337" s="97">
        <f t="shared" si="251"/>
        <v>0</v>
      </c>
      <c r="I337" s="97">
        <f t="shared" si="251"/>
        <v>0</v>
      </c>
      <c r="J337" s="97">
        <f t="shared" si="251"/>
        <v>0</v>
      </c>
      <c r="K337" s="97">
        <f t="shared" si="251"/>
        <v>0</v>
      </c>
      <c r="L337" s="97">
        <f t="shared" si="251"/>
        <v>0</v>
      </c>
      <c r="M337" s="97">
        <f t="shared" si="251"/>
        <v>0</v>
      </c>
      <c r="N337" s="97">
        <f t="shared" si="251"/>
        <v>0</v>
      </c>
      <c r="O337" s="97">
        <f t="shared" si="251"/>
        <v>0</v>
      </c>
      <c r="P337" s="97">
        <f t="shared" si="251"/>
        <v>0</v>
      </c>
      <c r="Q337" s="97">
        <f t="shared" si="251"/>
        <v>0</v>
      </c>
      <c r="R337" s="98">
        <f t="shared" si="251"/>
        <v>0</v>
      </c>
      <c r="S337" s="6"/>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row>
    <row r="338" spans="1:136" x14ac:dyDescent="0.2">
      <c r="A338" s="6"/>
      <c r="D338" s="1453">
        <f>+Forrajes!B57</f>
        <v>0</v>
      </c>
      <c r="E338" s="1451"/>
      <c r="F338" s="1456"/>
      <c r="G338" s="97">
        <f t="shared" si="251"/>
        <v>0</v>
      </c>
      <c r="H338" s="97">
        <f t="shared" si="251"/>
        <v>0</v>
      </c>
      <c r="I338" s="97">
        <f t="shared" si="251"/>
        <v>0</v>
      </c>
      <c r="J338" s="97">
        <f t="shared" si="251"/>
        <v>0</v>
      </c>
      <c r="K338" s="97">
        <f t="shared" si="251"/>
        <v>0</v>
      </c>
      <c r="L338" s="97">
        <f t="shared" si="251"/>
        <v>0</v>
      </c>
      <c r="M338" s="97">
        <f t="shared" si="251"/>
        <v>0</v>
      </c>
      <c r="N338" s="97">
        <f t="shared" si="251"/>
        <v>0</v>
      </c>
      <c r="O338" s="97">
        <f t="shared" si="251"/>
        <v>0</v>
      </c>
      <c r="P338" s="97">
        <f t="shared" si="251"/>
        <v>0</v>
      </c>
      <c r="Q338" s="97">
        <f t="shared" si="251"/>
        <v>0</v>
      </c>
      <c r="R338" s="98">
        <f t="shared" si="251"/>
        <v>0</v>
      </c>
      <c r="S338" s="6"/>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row>
    <row r="339" spans="1:136" x14ac:dyDescent="0.2">
      <c r="A339" s="6"/>
      <c r="D339" s="1446" t="str">
        <f>+Forrajes!B58</f>
        <v>Cultivos de Invierno para Reserva</v>
      </c>
      <c r="E339" s="959"/>
      <c r="F339" s="959"/>
      <c r="G339" s="694">
        <f t="shared" ref="G339:R339" si="252">+SUM(G340:G344)</f>
        <v>0</v>
      </c>
      <c r="H339" s="694">
        <f t="shared" si="252"/>
        <v>0</v>
      </c>
      <c r="I339" s="694">
        <f t="shared" si="252"/>
        <v>0</v>
      </c>
      <c r="J339" s="694">
        <f t="shared" si="252"/>
        <v>0</v>
      </c>
      <c r="K339" s="694">
        <f t="shared" si="252"/>
        <v>0</v>
      </c>
      <c r="L339" s="694">
        <f t="shared" si="252"/>
        <v>0</v>
      </c>
      <c r="M339" s="694">
        <f t="shared" si="252"/>
        <v>0</v>
      </c>
      <c r="N339" s="694">
        <f t="shared" si="252"/>
        <v>0</v>
      </c>
      <c r="O339" s="694">
        <f t="shared" si="252"/>
        <v>0</v>
      </c>
      <c r="P339" s="694">
        <f t="shared" si="252"/>
        <v>0</v>
      </c>
      <c r="Q339" s="694">
        <f t="shared" si="252"/>
        <v>0</v>
      </c>
      <c r="R339" s="695">
        <f t="shared" si="252"/>
        <v>0</v>
      </c>
      <c r="S339" s="6"/>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row>
    <row r="340" spans="1:136" x14ac:dyDescent="0.2">
      <c r="A340" s="6"/>
      <c r="D340" s="1450" t="str">
        <f>+Forrajes!B59</f>
        <v>Avena silo</v>
      </c>
      <c r="E340" s="1451"/>
      <c r="F340" s="1452"/>
      <c r="G340" s="97">
        <f t="shared" ref="G340:R344" si="253">IF($D340&lt;&gt;0,SUMIF(G$9:G$98,$D340,$C$9:$C$98),0)</f>
        <v>0</v>
      </c>
      <c r="H340" s="97">
        <f t="shared" si="253"/>
        <v>0</v>
      </c>
      <c r="I340" s="97">
        <f t="shared" si="253"/>
        <v>0</v>
      </c>
      <c r="J340" s="97">
        <f t="shared" si="253"/>
        <v>0</v>
      </c>
      <c r="K340" s="97">
        <f t="shared" si="253"/>
        <v>0</v>
      </c>
      <c r="L340" s="97">
        <f t="shared" si="253"/>
        <v>0</v>
      </c>
      <c r="M340" s="97">
        <f t="shared" si="253"/>
        <v>0</v>
      </c>
      <c r="N340" s="97">
        <f t="shared" si="253"/>
        <v>0</v>
      </c>
      <c r="O340" s="97">
        <f t="shared" si="253"/>
        <v>0</v>
      </c>
      <c r="P340" s="97">
        <f t="shared" si="253"/>
        <v>0</v>
      </c>
      <c r="Q340" s="97">
        <f t="shared" si="253"/>
        <v>0</v>
      </c>
      <c r="R340" s="98">
        <f t="shared" si="253"/>
        <v>0</v>
      </c>
      <c r="S340" s="6"/>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row>
    <row r="341" spans="1:136" x14ac:dyDescent="0.2">
      <c r="A341" s="6"/>
      <c r="D341" s="1453" t="str">
        <f>+Forrajes!B60</f>
        <v>Raigrás Silo</v>
      </c>
      <c r="E341" s="1454"/>
      <c r="F341" s="1455"/>
      <c r="G341" s="97">
        <f t="shared" si="253"/>
        <v>0</v>
      </c>
      <c r="H341" s="97">
        <f t="shared" si="253"/>
        <v>0</v>
      </c>
      <c r="I341" s="97">
        <f t="shared" si="253"/>
        <v>0</v>
      </c>
      <c r="J341" s="97">
        <f t="shared" si="253"/>
        <v>0</v>
      </c>
      <c r="K341" s="97">
        <f t="shared" si="253"/>
        <v>0</v>
      </c>
      <c r="L341" s="97">
        <f t="shared" si="253"/>
        <v>0</v>
      </c>
      <c r="M341" s="97">
        <f t="shared" si="253"/>
        <v>0</v>
      </c>
      <c r="N341" s="97">
        <f t="shared" si="253"/>
        <v>0</v>
      </c>
      <c r="O341" s="97">
        <f t="shared" si="253"/>
        <v>0</v>
      </c>
      <c r="P341" s="97">
        <f t="shared" si="253"/>
        <v>0</v>
      </c>
      <c r="Q341" s="97">
        <f t="shared" si="253"/>
        <v>0</v>
      </c>
      <c r="R341" s="98">
        <f t="shared" si="253"/>
        <v>0</v>
      </c>
      <c r="S341" s="6"/>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row>
    <row r="342" spans="1:136" x14ac:dyDescent="0.2">
      <c r="A342" s="6"/>
      <c r="D342" s="1453" t="str">
        <f>+Forrajes!B61</f>
        <v>Ra Silo Cierre Ago</v>
      </c>
      <c r="E342" s="1454"/>
      <c r="F342" s="1455"/>
      <c r="G342" s="97">
        <f t="shared" si="253"/>
        <v>0</v>
      </c>
      <c r="H342" s="97">
        <f t="shared" si="253"/>
        <v>0</v>
      </c>
      <c r="I342" s="97">
        <f t="shared" si="253"/>
        <v>0</v>
      </c>
      <c r="J342" s="97">
        <f t="shared" si="253"/>
        <v>0</v>
      </c>
      <c r="K342" s="97">
        <f t="shared" si="253"/>
        <v>0</v>
      </c>
      <c r="L342" s="97">
        <f t="shared" si="253"/>
        <v>0</v>
      </c>
      <c r="M342" s="97">
        <f t="shared" si="253"/>
        <v>0</v>
      </c>
      <c r="N342" s="97">
        <f t="shared" si="253"/>
        <v>0</v>
      </c>
      <c r="O342" s="97">
        <f t="shared" si="253"/>
        <v>0</v>
      </c>
      <c r="P342" s="97">
        <f t="shared" si="253"/>
        <v>0</v>
      </c>
      <c r="Q342" s="97">
        <f t="shared" si="253"/>
        <v>0</v>
      </c>
      <c r="R342" s="98">
        <f t="shared" si="253"/>
        <v>0</v>
      </c>
      <c r="S342" s="6"/>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row>
    <row r="343" spans="1:136" ht="15.05" thickBot="1" x14ac:dyDescent="0.25">
      <c r="A343" s="6"/>
      <c r="D343" s="1453">
        <f>+Forrajes!B62</f>
        <v>0</v>
      </c>
      <c r="E343" s="1454"/>
      <c r="F343" s="1455"/>
      <c r="G343" s="97">
        <f t="shared" si="253"/>
        <v>0</v>
      </c>
      <c r="H343" s="97">
        <f t="shared" si="253"/>
        <v>0</v>
      </c>
      <c r="I343" s="97">
        <f t="shared" si="253"/>
        <v>0</v>
      </c>
      <c r="J343" s="97">
        <f t="shared" si="253"/>
        <v>0</v>
      </c>
      <c r="K343" s="97">
        <f t="shared" si="253"/>
        <v>0</v>
      </c>
      <c r="L343" s="97">
        <f t="shared" si="253"/>
        <v>0</v>
      </c>
      <c r="M343" s="97">
        <f t="shared" si="253"/>
        <v>0</v>
      </c>
      <c r="N343" s="97">
        <f t="shared" si="253"/>
        <v>0</v>
      </c>
      <c r="O343" s="97">
        <f t="shared" si="253"/>
        <v>0</v>
      </c>
      <c r="P343" s="97">
        <f t="shared" si="253"/>
        <v>0</v>
      </c>
      <c r="Q343" s="97">
        <f t="shared" si="253"/>
        <v>0</v>
      </c>
      <c r="R343" s="98">
        <f t="shared" si="253"/>
        <v>0</v>
      </c>
      <c r="S343" s="6"/>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row>
    <row r="344" spans="1:136" ht="15.05" thickBot="1" x14ac:dyDescent="0.25">
      <c r="A344" s="6"/>
      <c r="D344" s="1453">
        <f>+Forrajes!B63</f>
        <v>0</v>
      </c>
      <c r="E344" s="1451"/>
      <c r="F344" s="1456"/>
      <c r="G344" s="97">
        <f t="shared" si="253"/>
        <v>0</v>
      </c>
      <c r="H344" s="97">
        <f t="shared" si="253"/>
        <v>0</v>
      </c>
      <c r="I344" s="97">
        <f t="shared" si="253"/>
        <v>0</v>
      </c>
      <c r="J344" s="97">
        <f t="shared" si="253"/>
        <v>0</v>
      </c>
      <c r="K344" s="97">
        <f t="shared" si="253"/>
        <v>0</v>
      </c>
      <c r="L344" s="97">
        <f t="shared" si="253"/>
        <v>0</v>
      </c>
      <c r="M344" s="97">
        <f t="shared" si="253"/>
        <v>0</v>
      </c>
      <c r="N344" s="97">
        <f t="shared" si="253"/>
        <v>0</v>
      </c>
      <c r="O344" s="97">
        <f t="shared" si="253"/>
        <v>0</v>
      </c>
      <c r="P344" s="97">
        <f t="shared" si="253"/>
        <v>0</v>
      </c>
      <c r="Q344" s="97">
        <f t="shared" si="253"/>
        <v>0</v>
      </c>
      <c r="R344" s="98">
        <f t="shared" si="253"/>
        <v>0</v>
      </c>
      <c r="S344" s="6"/>
      <c r="U344" s="5518" t="s">
        <v>1317</v>
      </c>
      <c r="V344" s="5519"/>
      <c r="W344" s="5520"/>
      <c r="X344" s="1464"/>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row>
    <row r="345" spans="1:136" ht="15.05" thickBot="1" x14ac:dyDescent="0.25">
      <c r="A345" s="6"/>
      <c r="D345" s="696"/>
      <c r="E345" s="738"/>
      <c r="F345" s="99"/>
      <c r="G345" s="690" t="str">
        <f>+G289</f>
        <v>Ene</v>
      </c>
      <c r="H345" s="690" t="str">
        <f t="shared" ref="H345:R345" si="254">+H289</f>
        <v>Feb</v>
      </c>
      <c r="I345" s="690" t="str">
        <f t="shared" si="254"/>
        <v>Mar</v>
      </c>
      <c r="J345" s="690" t="str">
        <f t="shared" si="254"/>
        <v>Abr</v>
      </c>
      <c r="K345" s="690" t="str">
        <f t="shared" si="254"/>
        <v>May</v>
      </c>
      <c r="L345" s="690" t="str">
        <f t="shared" si="254"/>
        <v>Jun</v>
      </c>
      <c r="M345" s="690" t="str">
        <f t="shared" si="254"/>
        <v>Jul</v>
      </c>
      <c r="N345" s="690" t="str">
        <f t="shared" si="254"/>
        <v>Ago</v>
      </c>
      <c r="O345" s="690" t="str">
        <f t="shared" si="254"/>
        <v>Set</v>
      </c>
      <c r="P345" s="690" t="str">
        <f t="shared" si="254"/>
        <v>Oct</v>
      </c>
      <c r="Q345" s="690" t="str">
        <f t="shared" si="254"/>
        <v>Nov</v>
      </c>
      <c r="R345" s="691" t="str">
        <f t="shared" si="254"/>
        <v>Dic</v>
      </c>
      <c r="S345" s="6"/>
      <c r="U345" s="888"/>
      <c r="V345" s="5521" t="s">
        <v>997</v>
      </c>
      <c r="W345" s="5522"/>
      <c r="X345" s="146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row>
    <row r="346" spans="1:136" ht="15.05" thickBot="1" x14ac:dyDescent="0.25">
      <c r="A346" s="6"/>
      <c r="D346" s="1442" t="str">
        <f>+Forrajes!B64</f>
        <v>Cultivos Agrícolas</v>
      </c>
      <c r="E346" s="1445"/>
      <c r="F346" s="1445"/>
      <c r="G346" s="694">
        <f>+SUM(G347:G358)</f>
        <v>0</v>
      </c>
      <c r="H346" s="694">
        <f t="shared" ref="H346:R346" si="255">+SUM(H347:H358)</f>
        <v>0</v>
      </c>
      <c r="I346" s="694">
        <f t="shared" si="255"/>
        <v>0</v>
      </c>
      <c r="J346" s="694">
        <f t="shared" si="255"/>
        <v>0</v>
      </c>
      <c r="K346" s="694">
        <f t="shared" si="255"/>
        <v>0</v>
      </c>
      <c r="L346" s="694">
        <f t="shared" si="255"/>
        <v>0</v>
      </c>
      <c r="M346" s="694">
        <f t="shared" si="255"/>
        <v>0</v>
      </c>
      <c r="N346" s="694">
        <f t="shared" si="255"/>
        <v>0</v>
      </c>
      <c r="O346" s="694">
        <f t="shared" si="255"/>
        <v>0</v>
      </c>
      <c r="P346" s="694">
        <f t="shared" si="255"/>
        <v>0</v>
      </c>
      <c r="Q346" s="694">
        <f t="shared" si="255"/>
        <v>0</v>
      </c>
      <c r="R346" s="695">
        <f t="shared" si="255"/>
        <v>0</v>
      </c>
      <c r="S346" s="2386" t="s">
        <v>998</v>
      </c>
      <c r="T346" s="887" t="s">
        <v>2338</v>
      </c>
      <c r="U346" s="889" t="s">
        <v>700</v>
      </c>
      <c r="V346" s="890" t="s">
        <v>518</v>
      </c>
      <c r="W346" s="891" t="s">
        <v>531</v>
      </c>
      <c r="X346" s="1466" t="s">
        <v>532</v>
      </c>
      <c r="Y346" s="1403" t="s">
        <v>1280</v>
      </c>
      <c r="Z346" s="1403"/>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row>
    <row r="347" spans="1:136" x14ac:dyDescent="0.2">
      <c r="A347" s="6"/>
      <c r="D347" s="1450" t="str">
        <f>+Forrajes!B65</f>
        <v>Soja</v>
      </c>
      <c r="E347" s="1451"/>
      <c r="F347" s="1452"/>
      <c r="G347" s="97">
        <f t="shared" ref="G347:R358" si="256">IF($D347&lt;&gt;0,SUMIF(G$9:G$98,$D347,$C$9:$C$98),0)</f>
        <v>0</v>
      </c>
      <c r="H347" s="97">
        <f t="shared" si="256"/>
        <v>0</v>
      </c>
      <c r="I347" s="97">
        <f>IF($D347&lt;&gt;0,SUMIF(I$9:I$98,$D347,$C$9:$C$98),0)</f>
        <v>0</v>
      </c>
      <c r="J347" s="97">
        <f t="shared" si="256"/>
        <v>0</v>
      </c>
      <c r="K347" s="97">
        <f t="shared" si="256"/>
        <v>0</v>
      </c>
      <c r="L347" s="97">
        <f t="shared" si="256"/>
        <v>0</v>
      </c>
      <c r="M347" s="97">
        <f t="shared" si="256"/>
        <v>0</v>
      </c>
      <c r="N347" s="97">
        <f t="shared" si="256"/>
        <v>0</v>
      </c>
      <c r="O347" s="97">
        <f t="shared" si="256"/>
        <v>0</v>
      </c>
      <c r="P347" s="97">
        <f t="shared" si="256"/>
        <v>0</v>
      </c>
      <c r="Q347" s="97">
        <f t="shared" si="256"/>
        <v>0</v>
      </c>
      <c r="R347" s="98">
        <f t="shared" si="256"/>
        <v>0</v>
      </c>
      <c r="S347" s="4963"/>
      <c r="T347" s="5111"/>
      <c r="U347" s="1461">
        <f t="shared" ref="U347:U358" si="257">IF($D347&lt;&gt;0,SUMIF(F$9:F$98,$D347,$C$9:$C$98),0)</f>
        <v>0</v>
      </c>
      <c r="V347" s="1348">
        <f t="shared" ref="V347:V358" si="258">+R347</f>
        <v>0</v>
      </c>
      <c r="W347" s="5112"/>
      <c r="X347" s="1467">
        <f>IF(W347&lt;&gt;"",W347,V347)</f>
        <v>0</v>
      </c>
      <c r="Y347" s="1505">
        <f>U347*General!C153</f>
        <v>0</v>
      </c>
      <c r="Z347" s="1403"/>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row>
    <row r="348" spans="1:136" x14ac:dyDescent="0.2">
      <c r="A348" s="6"/>
      <c r="D348" s="1453" t="str">
        <f>+Forrajes!B66</f>
        <v>Soja 2ª</v>
      </c>
      <c r="E348" s="1454"/>
      <c r="F348" s="1455"/>
      <c r="G348" s="97">
        <f t="shared" si="256"/>
        <v>0</v>
      </c>
      <c r="H348" s="97">
        <f t="shared" si="256"/>
        <v>0</v>
      </c>
      <c r="I348" s="97">
        <f t="shared" si="256"/>
        <v>0</v>
      </c>
      <c r="J348" s="97">
        <f t="shared" si="256"/>
        <v>0</v>
      </c>
      <c r="K348" s="97">
        <f t="shared" si="256"/>
        <v>0</v>
      </c>
      <c r="L348" s="97">
        <f t="shared" si="256"/>
        <v>0</v>
      </c>
      <c r="M348" s="97">
        <f t="shared" si="256"/>
        <v>0</v>
      </c>
      <c r="N348" s="97">
        <f t="shared" si="256"/>
        <v>0</v>
      </c>
      <c r="O348" s="97">
        <f t="shared" si="256"/>
        <v>0</v>
      </c>
      <c r="P348" s="97">
        <f t="shared" si="256"/>
        <v>0</v>
      </c>
      <c r="Q348" s="97">
        <f t="shared" si="256"/>
        <v>0</v>
      </c>
      <c r="R348" s="98">
        <f t="shared" si="256"/>
        <v>0</v>
      </c>
      <c r="S348" s="4963"/>
      <c r="T348" s="5113"/>
      <c r="U348" s="1461">
        <f t="shared" si="257"/>
        <v>0</v>
      </c>
      <c r="V348" s="1443">
        <f t="shared" si="258"/>
        <v>0</v>
      </c>
      <c r="W348" s="5114"/>
      <c r="X348" s="1467">
        <f t="shared" ref="X348:X358" si="259">IF(W348&lt;&gt;"",W348,V348)</f>
        <v>0</v>
      </c>
      <c r="Y348" s="1506">
        <f>U348*General!C154</f>
        <v>0</v>
      </c>
      <c r="Z348" s="1403"/>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row>
    <row r="349" spans="1:136" x14ac:dyDescent="0.2">
      <c r="A349" s="6"/>
      <c r="D349" s="1453" t="str">
        <f>+Forrajes!B67</f>
        <v>Maíz Grano</v>
      </c>
      <c r="E349" s="1454"/>
      <c r="F349" s="1455"/>
      <c r="G349" s="97">
        <f t="shared" si="256"/>
        <v>0</v>
      </c>
      <c r="H349" s="97">
        <f t="shared" si="256"/>
        <v>0</v>
      </c>
      <c r="I349" s="97">
        <f t="shared" si="256"/>
        <v>0</v>
      </c>
      <c r="J349" s="97">
        <f t="shared" si="256"/>
        <v>0</v>
      </c>
      <c r="K349" s="97">
        <f t="shared" si="256"/>
        <v>0</v>
      </c>
      <c r="L349" s="97">
        <f t="shared" si="256"/>
        <v>0</v>
      </c>
      <c r="M349" s="97">
        <f t="shared" si="256"/>
        <v>0</v>
      </c>
      <c r="N349" s="97">
        <f t="shared" si="256"/>
        <v>0</v>
      </c>
      <c r="O349" s="97">
        <f t="shared" si="256"/>
        <v>0</v>
      </c>
      <c r="P349" s="97">
        <f t="shared" si="256"/>
        <v>0</v>
      </c>
      <c r="Q349" s="97">
        <f t="shared" si="256"/>
        <v>0</v>
      </c>
      <c r="R349" s="98">
        <f t="shared" si="256"/>
        <v>0</v>
      </c>
      <c r="S349" s="4963"/>
      <c r="T349" s="5113"/>
      <c r="U349" s="1461">
        <f t="shared" si="257"/>
        <v>0</v>
      </c>
      <c r="V349" s="1443">
        <f t="shared" si="258"/>
        <v>0</v>
      </c>
      <c r="W349" s="5114"/>
      <c r="X349" s="1467">
        <f t="shared" si="259"/>
        <v>0</v>
      </c>
      <c r="Y349" s="1506">
        <f>U349*General!C155</f>
        <v>0</v>
      </c>
      <c r="Z349" s="1403"/>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row>
    <row r="350" spans="1:136" x14ac:dyDescent="0.2">
      <c r="A350" s="6"/>
      <c r="D350" s="1453" t="str">
        <f>+Forrajes!B68</f>
        <v>Sorgo grano</v>
      </c>
      <c r="E350" s="1454"/>
      <c r="F350" s="1455"/>
      <c r="G350" s="97">
        <f t="shared" si="256"/>
        <v>0</v>
      </c>
      <c r="H350" s="97">
        <f t="shared" si="256"/>
        <v>0</v>
      </c>
      <c r="I350" s="97">
        <f t="shared" si="256"/>
        <v>0</v>
      </c>
      <c r="J350" s="97">
        <f t="shared" si="256"/>
        <v>0</v>
      </c>
      <c r="K350" s="97">
        <f t="shared" si="256"/>
        <v>0</v>
      </c>
      <c r="L350" s="97">
        <f t="shared" si="256"/>
        <v>0</v>
      </c>
      <c r="M350" s="97">
        <f t="shared" si="256"/>
        <v>0</v>
      </c>
      <c r="N350" s="97">
        <f t="shared" si="256"/>
        <v>0</v>
      </c>
      <c r="O350" s="97">
        <f t="shared" si="256"/>
        <v>0</v>
      </c>
      <c r="P350" s="97">
        <f t="shared" si="256"/>
        <v>0</v>
      </c>
      <c r="Q350" s="97">
        <f t="shared" si="256"/>
        <v>0</v>
      </c>
      <c r="R350" s="98">
        <f t="shared" si="256"/>
        <v>0</v>
      </c>
      <c r="S350" s="4963"/>
      <c r="T350" s="5113"/>
      <c r="U350" s="1461">
        <f t="shared" si="257"/>
        <v>0</v>
      </c>
      <c r="V350" s="1443">
        <f t="shared" si="258"/>
        <v>0</v>
      </c>
      <c r="W350" s="5114"/>
      <c r="X350" s="1467">
        <f t="shared" si="259"/>
        <v>0</v>
      </c>
      <c r="Y350" s="1506">
        <f>U350*General!C156</f>
        <v>0</v>
      </c>
      <c r="Z350" s="1403"/>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row>
    <row r="351" spans="1:136" x14ac:dyDescent="0.2">
      <c r="A351" s="6"/>
      <c r="D351" s="1453" t="str">
        <f>+Forrajes!B69</f>
        <v>Trigo grano</v>
      </c>
      <c r="E351" s="1454"/>
      <c r="F351" s="1455"/>
      <c r="G351" s="97">
        <f t="shared" si="256"/>
        <v>0</v>
      </c>
      <c r="H351" s="97">
        <f t="shared" si="256"/>
        <v>0</v>
      </c>
      <c r="I351" s="97">
        <f t="shared" si="256"/>
        <v>0</v>
      </c>
      <c r="J351" s="97">
        <f t="shared" si="256"/>
        <v>0</v>
      </c>
      <c r="K351" s="97">
        <f t="shared" si="256"/>
        <v>0</v>
      </c>
      <c r="L351" s="97">
        <f t="shared" si="256"/>
        <v>0</v>
      </c>
      <c r="M351" s="97">
        <f t="shared" si="256"/>
        <v>0</v>
      </c>
      <c r="N351" s="97">
        <f t="shared" si="256"/>
        <v>0</v>
      </c>
      <c r="O351" s="97">
        <f t="shared" si="256"/>
        <v>0</v>
      </c>
      <c r="P351" s="97">
        <f t="shared" si="256"/>
        <v>0</v>
      </c>
      <c r="Q351" s="97">
        <f t="shared" si="256"/>
        <v>0</v>
      </c>
      <c r="R351" s="98">
        <f t="shared" si="256"/>
        <v>0</v>
      </c>
      <c r="S351" s="4963"/>
      <c r="T351" s="5113"/>
      <c r="U351" s="1461">
        <f t="shared" si="257"/>
        <v>0</v>
      </c>
      <c r="V351" s="1443">
        <f t="shared" si="258"/>
        <v>0</v>
      </c>
      <c r="W351" s="5114"/>
      <c r="X351" s="1467">
        <f t="shared" si="259"/>
        <v>0</v>
      </c>
      <c r="Y351" s="1506">
        <f>U351*General!C157</f>
        <v>0</v>
      </c>
      <c r="Z351" s="1403"/>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row>
    <row r="352" spans="1:136" x14ac:dyDescent="0.2">
      <c r="A352" s="6"/>
      <c r="D352" s="1453" t="str">
        <f>+Forrajes!B70</f>
        <v>Cebada grano</v>
      </c>
      <c r="E352" s="1454"/>
      <c r="F352" s="1455"/>
      <c r="G352" s="97">
        <f t="shared" si="256"/>
        <v>0</v>
      </c>
      <c r="H352" s="97">
        <f t="shared" si="256"/>
        <v>0</v>
      </c>
      <c r="I352" s="97">
        <f t="shared" si="256"/>
        <v>0</v>
      </c>
      <c r="J352" s="97">
        <f t="shared" si="256"/>
        <v>0</v>
      </c>
      <c r="K352" s="97">
        <f t="shared" si="256"/>
        <v>0</v>
      </c>
      <c r="L352" s="97">
        <f t="shared" si="256"/>
        <v>0</v>
      </c>
      <c r="M352" s="97">
        <f t="shared" si="256"/>
        <v>0</v>
      </c>
      <c r="N352" s="97">
        <f t="shared" si="256"/>
        <v>0</v>
      </c>
      <c r="O352" s="97">
        <f t="shared" si="256"/>
        <v>0</v>
      </c>
      <c r="P352" s="97">
        <f t="shared" si="256"/>
        <v>0</v>
      </c>
      <c r="Q352" s="97">
        <f t="shared" si="256"/>
        <v>0</v>
      </c>
      <c r="R352" s="98">
        <f t="shared" si="256"/>
        <v>0</v>
      </c>
      <c r="S352" s="4963"/>
      <c r="T352" s="5113"/>
      <c r="U352" s="1461">
        <f t="shared" si="257"/>
        <v>0</v>
      </c>
      <c r="V352" s="1443">
        <f t="shared" si="258"/>
        <v>0</v>
      </c>
      <c r="W352" s="5114"/>
      <c r="X352" s="1467">
        <f t="shared" si="259"/>
        <v>0</v>
      </c>
      <c r="Y352" s="1506">
        <f>U352*General!C158</f>
        <v>0</v>
      </c>
      <c r="Z352" s="1403"/>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row>
    <row r="353" spans="1:136" x14ac:dyDescent="0.2">
      <c r="A353" s="6"/>
      <c r="D353" s="1453" t="str">
        <f>+Forrajes!B71</f>
        <v>Avena grano</v>
      </c>
      <c r="E353" s="1454"/>
      <c r="F353" s="1455"/>
      <c r="G353" s="97">
        <f t="shared" si="256"/>
        <v>0</v>
      </c>
      <c r="H353" s="97">
        <f t="shared" si="256"/>
        <v>0</v>
      </c>
      <c r="I353" s="97">
        <f t="shared" si="256"/>
        <v>0</v>
      </c>
      <c r="J353" s="97">
        <f t="shared" si="256"/>
        <v>0</v>
      </c>
      <c r="K353" s="97">
        <f t="shared" si="256"/>
        <v>0</v>
      </c>
      <c r="L353" s="97">
        <f t="shared" si="256"/>
        <v>0</v>
      </c>
      <c r="M353" s="97">
        <f t="shared" si="256"/>
        <v>0</v>
      </c>
      <c r="N353" s="97">
        <f t="shared" si="256"/>
        <v>0</v>
      </c>
      <c r="O353" s="97">
        <f t="shared" si="256"/>
        <v>0</v>
      </c>
      <c r="P353" s="97">
        <f t="shared" si="256"/>
        <v>0</v>
      </c>
      <c r="Q353" s="97">
        <f t="shared" si="256"/>
        <v>0</v>
      </c>
      <c r="R353" s="98">
        <f t="shared" si="256"/>
        <v>0</v>
      </c>
      <c r="S353" s="4963"/>
      <c r="T353" s="5113"/>
      <c r="U353" s="1461">
        <f t="shared" si="257"/>
        <v>0</v>
      </c>
      <c r="V353" s="1443">
        <f t="shared" si="258"/>
        <v>0</v>
      </c>
      <c r="W353" s="5114"/>
      <c r="X353" s="1467">
        <f t="shared" si="259"/>
        <v>0</v>
      </c>
      <c r="Y353" s="1506">
        <f>U353*General!C159</f>
        <v>0</v>
      </c>
      <c r="Z353" s="1403"/>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row>
    <row r="354" spans="1:136" x14ac:dyDescent="0.2">
      <c r="A354" s="6"/>
      <c r="D354" s="1453" t="str">
        <f>+Forrajes!B72</f>
        <v>Colza grano</v>
      </c>
      <c r="E354" s="1454"/>
      <c r="F354" s="1455"/>
      <c r="G354" s="97">
        <f t="shared" si="256"/>
        <v>0</v>
      </c>
      <c r="H354" s="97">
        <f t="shared" si="256"/>
        <v>0</v>
      </c>
      <c r="I354" s="97">
        <f t="shared" si="256"/>
        <v>0</v>
      </c>
      <c r="J354" s="97">
        <f t="shared" si="256"/>
        <v>0</v>
      </c>
      <c r="K354" s="97">
        <f t="shared" si="256"/>
        <v>0</v>
      </c>
      <c r="L354" s="97">
        <f t="shared" si="256"/>
        <v>0</v>
      </c>
      <c r="M354" s="97">
        <f t="shared" si="256"/>
        <v>0</v>
      </c>
      <c r="N354" s="97">
        <f t="shared" si="256"/>
        <v>0</v>
      </c>
      <c r="O354" s="97">
        <f t="shared" si="256"/>
        <v>0</v>
      </c>
      <c r="P354" s="97">
        <f t="shared" si="256"/>
        <v>0</v>
      </c>
      <c r="Q354" s="97">
        <f t="shared" si="256"/>
        <v>0</v>
      </c>
      <c r="R354" s="98">
        <f t="shared" si="256"/>
        <v>0</v>
      </c>
      <c r="S354" s="4963"/>
      <c r="T354" s="5113"/>
      <c r="U354" s="1461">
        <f t="shared" si="257"/>
        <v>0</v>
      </c>
      <c r="V354" s="1443">
        <f t="shared" si="258"/>
        <v>0</v>
      </c>
      <c r="W354" s="5114"/>
      <c r="X354" s="1467">
        <f t="shared" si="259"/>
        <v>0</v>
      </c>
      <c r="Y354" s="1506">
        <f>U354*General!C160</f>
        <v>0</v>
      </c>
      <c r="Z354" s="1403"/>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row>
    <row r="355" spans="1:136" x14ac:dyDescent="0.2">
      <c r="A355" s="6"/>
      <c r="D355" s="1453">
        <f>+Forrajes!B73</f>
        <v>0</v>
      </c>
      <c r="E355" s="1454"/>
      <c r="F355" s="1455"/>
      <c r="G355" s="97">
        <f t="shared" si="256"/>
        <v>0</v>
      </c>
      <c r="H355" s="97">
        <f t="shared" si="256"/>
        <v>0</v>
      </c>
      <c r="I355" s="97">
        <f t="shared" si="256"/>
        <v>0</v>
      </c>
      <c r="J355" s="97">
        <f t="shared" si="256"/>
        <v>0</v>
      </c>
      <c r="K355" s="97">
        <f t="shared" si="256"/>
        <v>0</v>
      </c>
      <c r="L355" s="97">
        <f t="shared" si="256"/>
        <v>0</v>
      </c>
      <c r="M355" s="97">
        <f t="shared" si="256"/>
        <v>0</v>
      </c>
      <c r="N355" s="97">
        <f t="shared" si="256"/>
        <v>0</v>
      </c>
      <c r="O355" s="97">
        <f t="shared" si="256"/>
        <v>0</v>
      </c>
      <c r="P355" s="97">
        <f t="shared" si="256"/>
        <v>0</v>
      </c>
      <c r="Q355" s="97">
        <f t="shared" si="256"/>
        <v>0</v>
      </c>
      <c r="R355" s="98">
        <f t="shared" si="256"/>
        <v>0</v>
      </c>
      <c r="S355" s="4963"/>
      <c r="T355" s="5113"/>
      <c r="U355" s="1461">
        <f t="shared" si="257"/>
        <v>0</v>
      </c>
      <c r="V355" s="1443">
        <f t="shared" si="258"/>
        <v>0</v>
      </c>
      <c r="W355" s="5114"/>
      <c r="X355" s="1467">
        <f t="shared" si="259"/>
        <v>0</v>
      </c>
      <c r="Y355" s="1506">
        <f>U355*General!C161</f>
        <v>0</v>
      </c>
      <c r="Z355" s="1403"/>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row>
    <row r="356" spans="1:136" x14ac:dyDescent="0.2">
      <c r="A356" s="6"/>
      <c r="D356" s="1453">
        <f>+Forrajes!B74</f>
        <v>0</v>
      </c>
      <c r="E356" s="1454"/>
      <c r="F356" s="1455"/>
      <c r="G356" s="97">
        <f t="shared" si="256"/>
        <v>0</v>
      </c>
      <c r="H356" s="97">
        <f t="shared" si="256"/>
        <v>0</v>
      </c>
      <c r="I356" s="97">
        <f t="shared" si="256"/>
        <v>0</v>
      </c>
      <c r="J356" s="97">
        <f t="shared" si="256"/>
        <v>0</v>
      </c>
      <c r="K356" s="97">
        <f t="shared" si="256"/>
        <v>0</v>
      </c>
      <c r="L356" s="97">
        <f t="shared" si="256"/>
        <v>0</v>
      </c>
      <c r="M356" s="97">
        <f t="shared" si="256"/>
        <v>0</v>
      </c>
      <c r="N356" s="97">
        <f t="shared" si="256"/>
        <v>0</v>
      </c>
      <c r="O356" s="97">
        <f t="shared" si="256"/>
        <v>0</v>
      </c>
      <c r="P356" s="97">
        <f t="shared" si="256"/>
        <v>0</v>
      </c>
      <c r="Q356" s="97">
        <f t="shared" si="256"/>
        <v>0</v>
      </c>
      <c r="R356" s="98">
        <f t="shared" si="256"/>
        <v>0</v>
      </c>
      <c r="S356" s="4963"/>
      <c r="T356" s="5113"/>
      <c r="U356" s="1461">
        <f t="shared" si="257"/>
        <v>0</v>
      </c>
      <c r="V356" s="1443">
        <f t="shared" si="258"/>
        <v>0</v>
      </c>
      <c r="W356" s="5114"/>
      <c r="X356" s="1467">
        <f t="shared" si="259"/>
        <v>0</v>
      </c>
      <c r="Y356" s="1506">
        <f>U356*General!C162</f>
        <v>0</v>
      </c>
      <c r="Z356" s="1403"/>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row>
    <row r="357" spans="1:136" x14ac:dyDescent="0.2">
      <c r="A357" s="6"/>
      <c r="D357" s="1453">
        <f>+Forrajes!B75</f>
        <v>0</v>
      </c>
      <c r="E357" s="1454"/>
      <c r="F357" s="1455"/>
      <c r="G357" s="97">
        <f t="shared" si="256"/>
        <v>0</v>
      </c>
      <c r="H357" s="97">
        <f t="shared" si="256"/>
        <v>0</v>
      </c>
      <c r="I357" s="97">
        <f t="shared" si="256"/>
        <v>0</v>
      </c>
      <c r="J357" s="97">
        <f t="shared" si="256"/>
        <v>0</v>
      </c>
      <c r="K357" s="97">
        <f t="shared" si="256"/>
        <v>0</v>
      </c>
      <c r="L357" s="97">
        <f t="shared" si="256"/>
        <v>0</v>
      </c>
      <c r="M357" s="97">
        <f t="shared" si="256"/>
        <v>0</v>
      </c>
      <c r="N357" s="97">
        <f t="shared" si="256"/>
        <v>0</v>
      </c>
      <c r="O357" s="97">
        <f t="shared" si="256"/>
        <v>0</v>
      </c>
      <c r="P357" s="97">
        <f t="shared" si="256"/>
        <v>0</v>
      </c>
      <c r="Q357" s="97">
        <f t="shared" si="256"/>
        <v>0</v>
      </c>
      <c r="R357" s="98">
        <f t="shared" si="256"/>
        <v>0</v>
      </c>
      <c r="S357" s="4963"/>
      <c r="T357" s="5113"/>
      <c r="U357" s="1461">
        <f t="shared" si="257"/>
        <v>0</v>
      </c>
      <c r="V357" s="1443">
        <f t="shared" si="258"/>
        <v>0</v>
      </c>
      <c r="W357" s="5114"/>
      <c r="X357" s="1467">
        <f t="shared" si="259"/>
        <v>0</v>
      </c>
      <c r="Y357" s="1506">
        <f>U357*General!C163</f>
        <v>0</v>
      </c>
      <c r="Z357" s="1403"/>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row>
    <row r="358" spans="1:136" ht="15.05" thickBot="1" x14ac:dyDescent="0.25">
      <c r="A358" s="6"/>
      <c r="D358" s="1453">
        <f>+Forrajes!B76</f>
        <v>0</v>
      </c>
      <c r="E358" s="1451"/>
      <c r="F358" s="1456"/>
      <c r="G358" s="97">
        <f t="shared" si="256"/>
        <v>0</v>
      </c>
      <c r="H358" s="97">
        <f t="shared" si="256"/>
        <v>0</v>
      </c>
      <c r="I358" s="97">
        <f t="shared" si="256"/>
        <v>0</v>
      </c>
      <c r="J358" s="97">
        <f t="shared" si="256"/>
        <v>0</v>
      </c>
      <c r="K358" s="97">
        <f t="shared" si="256"/>
        <v>0</v>
      </c>
      <c r="L358" s="97">
        <f t="shared" si="256"/>
        <v>0</v>
      </c>
      <c r="M358" s="97">
        <f t="shared" si="256"/>
        <v>0</v>
      </c>
      <c r="N358" s="97">
        <f t="shared" si="256"/>
        <v>0</v>
      </c>
      <c r="O358" s="97">
        <f t="shared" si="256"/>
        <v>0</v>
      </c>
      <c r="P358" s="97">
        <f t="shared" si="256"/>
        <v>0</v>
      </c>
      <c r="Q358" s="97">
        <f t="shared" si="256"/>
        <v>0</v>
      </c>
      <c r="R358" s="98">
        <f t="shared" si="256"/>
        <v>0</v>
      </c>
      <c r="S358" s="5115"/>
      <c r="T358" s="5116"/>
      <c r="U358" s="1462">
        <f t="shared" si="257"/>
        <v>0</v>
      </c>
      <c r="V358" s="1463">
        <f t="shared" si="258"/>
        <v>0</v>
      </c>
      <c r="W358" s="5117"/>
      <c r="X358" s="1468">
        <f t="shared" si="259"/>
        <v>0</v>
      </c>
      <c r="Y358" s="1507">
        <f>U358*General!C164</f>
        <v>0</v>
      </c>
      <c r="Z358" s="1403"/>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row>
    <row r="359" spans="1:136" ht="15.05" thickBot="1" x14ac:dyDescent="0.25">
      <c r="A359" s="6"/>
      <c r="D359" s="1446" t="str">
        <f>+Forrajes!B77</f>
        <v xml:space="preserve">Semilleros leguminosas + otros </v>
      </c>
      <c r="E359" s="959"/>
      <c r="F359" s="959"/>
      <c r="G359" s="694">
        <f t="shared" ref="G359:R359" si="260">SUM(G360:G368)</f>
        <v>0</v>
      </c>
      <c r="H359" s="694">
        <f t="shared" si="260"/>
        <v>0</v>
      </c>
      <c r="I359" s="694">
        <f t="shared" si="260"/>
        <v>0</v>
      </c>
      <c r="J359" s="694">
        <f t="shared" si="260"/>
        <v>0</v>
      </c>
      <c r="K359" s="694">
        <f t="shared" si="260"/>
        <v>0</v>
      </c>
      <c r="L359" s="694">
        <f t="shared" si="260"/>
        <v>0</v>
      </c>
      <c r="M359" s="694">
        <f t="shared" si="260"/>
        <v>0</v>
      </c>
      <c r="N359" s="694">
        <f t="shared" si="260"/>
        <v>0</v>
      </c>
      <c r="O359" s="694">
        <f t="shared" si="260"/>
        <v>0</v>
      </c>
      <c r="P359" s="694">
        <f t="shared" si="260"/>
        <v>0</v>
      </c>
      <c r="Q359" s="694">
        <f t="shared" si="260"/>
        <v>0</v>
      </c>
      <c r="R359" s="695">
        <f t="shared" si="260"/>
        <v>0</v>
      </c>
      <c r="S359" s="892" t="s">
        <v>998</v>
      </c>
      <c r="T359" s="893" t="s">
        <v>2338</v>
      </c>
      <c r="Y359" s="1508">
        <f>SUM(Y347:Y358)</f>
        <v>0</v>
      </c>
      <c r="Z359" s="1403"/>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row>
    <row r="360" spans="1:136" x14ac:dyDescent="0.2">
      <c r="A360" s="6"/>
      <c r="D360" s="1450" t="str">
        <f>+Forrajes!B78</f>
        <v xml:space="preserve">Alfalfa semillero </v>
      </c>
      <c r="E360" s="1451"/>
      <c r="F360" s="1452"/>
      <c r="G360" s="97">
        <f t="shared" ref="G360:R368" si="261">IF($D360&lt;&gt;0,SUMIF(G$9:G$98,$D360,$C$9:$C$98),0)</f>
        <v>0</v>
      </c>
      <c r="H360" s="97">
        <f t="shared" si="261"/>
        <v>0</v>
      </c>
      <c r="I360" s="97">
        <f t="shared" si="261"/>
        <v>0</v>
      </c>
      <c r="J360" s="97">
        <f t="shared" si="261"/>
        <v>0</v>
      </c>
      <c r="K360" s="97">
        <f t="shared" si="261"/>
        <v>0</v>
      </c>
      <c r="L360" s="97">
        <f t="shared" si="261"/>
        <v>0</v>
      </c>
      <c r="M360" s="97">
        <f t="shared" si="261"/>
        <v>0</v>
      </c>
      <c r="N360" s="97">
        <f t="shared" si="261"/>
        <v>0</v>
      </c>
      <c r="O360" s="97">
        <f t="shared" si="261"/>
        <v>0</v>
      </c>
      <c r="P360" s="97">
        <f t="shared" si="261"/>
        <v>0</v>
      </c>
      <c r="Q360" s="97">
        <f t="shared" si="261"/>
        <v>0</v>
      </c>
      <c r="R360" s="98">
        <f t="shared" si="261"/>
        <v>0</v>
      </c>
      <c r="S360" s="5102"/>
      <c r="T360" s="5113"/>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row>
    <row r="361" spans="1:136" x14ac:dyDescent="0.2">
      <c r="A361" s="6"/>
      <c r="D361" s="1453" t="str">
        <f>+Forrajes!B79</f>
        <v xml:space="preserve">TR semillero </v>
      </c>
      <c r="E361" s="1454"/>
      <c r="F361" s="1455"/>
      <c r="G361" s="97">
        <f t="shared" si="261"/>
        <v>0</v>
      </c>
      <c r="H361" s="97">
        <f t="shared" si="261"/>
        <v>0</v>
      </c>
      <c r="I361" s="97">
        <f t="shared" si="261"/>
        <v>0</v>
      </c>
      <c r="J361" s="97">
        <f t="shared" si="261"/>
        <v>0</v>
      </c>
      <c r="K361" s="97">
        <f t="shared" si="261"/>
        <v>0</v>
      </c>
      <c r="L361" s="97">
        <f t="shared" si="261"/>
        <v>0</v>
      </c>
      <c r="M361" s="97">
        <f t="shared" si="261"/>
        <v>0</v>
      </c>
      <c r="N361" s="97">
        <f t="shared" si="261"/>
        <v>0</v>
      </c>
      <c r="O361" s="97">
        <f t="shared" si="261"/>
        <v>0</v>
      </c>
      <c r="P361" s="97">
        <f t="shared" si="261"/>
        <v>0</v>
      </c>
      <c r="Q361" s="97">
        <f t="shared" si="261"/>
        <v>0</v>
      </c>
      <c r="R361" s="98">
        <f t="shared" si="261"/>
        <v>0</v>
      </c>
      <c r="S361" s="5102"/>
      <c r="T361" s="5113"/>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row>
    <row r="362" spans="1:136" x14ac:dyDescent="0.2">
      <c r="A362" s="6"/>
      <c r="D362" s="1453" t="str">
        <f>+Forrajes!B80</f>
        <v xml:space="preserve">TB semillero </v>
      </c>
      <c r="E362" s="1454"/>
      <c r="F362" s="1455"/>
      <c r="G362" s="97">
        <f t="shared" si="261"/>
        <v>0</v>
      </c>
      <c r="H362" s="97">
        <f t="shared" si="261"/>
        <v>0</v>
      </c>
      <c r="I362" s="97">
        <f t="shared" si="261"/>
        <v>0</v>
      </c>
      <c r="J362" s="97">
        <f t="shared" si="261"/>
        <v>0</v>
      </c>
      <c r="K362" s="97">
        <f t="shared" si="261"/>
        <v>0</v>
      </c>
      <c r="L362" s="97">
        <f t="shared" si="261"/>
        <v>0</v>
      </c>
      <c r="M362" s="97">
        <f t="shared" si="261"/>
        <v>0</v>
      </c>
      <c r="N362" s="97">
        <f t="shared" si="261"/>
        <v>0</v>
      </c>
      <c r="O362" s="97">
        <f t="shared" si="261"/>
        <v>0</v>
      </c>
      <c r="P362" s="97">
        <f t="shared" si="261"/>
        <v>0</v>
      </c>
      <c r="Q362" s="97">
        <f t="shared" si="261"/>
        <v>0</v>
      </c>
      <c r="R362" s="98">
        <f t="shared" si="261"/>
        <v>0</v>
      </c>
      <c r="S362" s="5102"/>
      <c r="T362" s="5113"/>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row>
    <row r="363" spans="1:136" x14ac:dyDescent="0.2">
      <c r="A363" s="6"/>
      <c r="D363" s="1453" t="str">
        <f>+Forrajes!B81</f>
        <v xml:space="preserve">Achicoria Semillero </v>
      </c>
      <c r="E363" s="1454"/>
      <c r="F363" s="1455"/>
      <c r="G363" s="97">
        <f t="shared" si="261"/>
        <v>0</v>
      </c>
      <c r="H363" s="97">
        <f t="shared" si="261"/>
        <v>0</v>
      </c>
      <c r="I363" s="97">
        <f t="shared" si="261"/>
        <v>0</v>
      </c>
      <c r="J363" s="97">
        <f t="shared" si="261"/>
        <v>0</v>
      </c>
      <c r="K363" s="97">
        <f t="shared" si="261"/>
        <v>0</v>
      </c>
      <c r="L363" s="97">
        <f t="shared" si="261"/>
        <v>0</v>
      </c>
      <c r="M363" s="97">
        <f t="shared" si="261"/>
        <v>0</v>
      </c>
      <c r="N363" s="97">
        <f t="shared" si="261"/>
        <v>0</v>
      </c>
      <c r="O363" s="97">
        <f t="shared" si="261"/>
        <v>0</v>
      </c>
      <c r="P363" s="97">
        <f t="shared" si="261"/>
        <v>0</v>
      </c>
      <c r="Q363" s="97">
        <f t="shared" si="261"/>
        <v>0</v>
      </c>
      <c r="R363" s="98">
        <f t="shared" si="261"/>
        <v>0</v>
      </c>
      <c r="S363" s="5102"/>
      <c r="T363" s="5113"/>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row>
    <row r="364" spans="1:136" x14ac:dyDescent="0.2">
      <c r="A364" s="6"/>
      <c r="D364" s="1453">
        <f>+Forrajes!B82</f>
        <v>0</v>
      </c>
      <c r="E364" s="1454"/>
      <c r="F364" s="1455"/>
      <c r="G364" s="97">
        <f t="shared" si="261"/>
        <v>0</v>
      </c>
      <c r="H364" s="97">
        <f t="shared" si="261"/>
        <v>0</v>
      </c>
      <c r="I364" s="97">
        <f t="shared" si="261"/>
        <v>0</v>
      </c>
      <c r="J364" s="97">
        <f t="shared" si="261"/>
        <v>0</v>
      </c>
      <c r="K364" s="97">
        <f t="shared" si="261"/>
        <v>0</v>
      </c>
      <c r="L364" s="97">
        <f t="shared" si="261"/>
        <v>0</v>
      </c>
      <c r="M364" s="97">
        <f t="shared" si="261"/>
        <v>0</v>
      </c>
      <c r="N364" s="97">
        <f t="shared" si="261"/>
        <v>0</v>
      </c>
      <c r="O364" s="97">
        <f t="shared" si="261"/>
        <v>0</v>
      </c>
      <c r="P364" s="97">
        <f t="shared" si="261"/>
        <v>0</v>
      </c>
      <c r="Q364" s="97">
        <f t="shared" si="261"/>
        <v>0</v>
      </c>
      <c r="R364" s="98">
        <f t="shared" si="261"/>
        <v>0</v>
      </c>
      <c r="S364" s="5102"/>
      <c r="T364" s="5113"/>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row>
    <row r="365" spans="1:136" x14ac:dyDescent="0.2">
      <c r="A365" s="6"/>
      <c r="D365" s="1453">
        <f>+Forrajes!B83</f>
        <v>0</v>
      </c>
      <c r="E365" s="1454"/>
      <c r="F365" s="1455"/>
      <c r="G365" s="97">
        <f t="shared" si="261"/>
        <v>0</v>
      </c>
      <c r="H365" s="97">
        <f t="shared" si="261"/>
        <v>0</v>
      </c>
      <c r="I365" s="97">
        <f t="shared" si="261"/>
        <v>0</v>
      </c>
      <c r="J365" s="97">
        <f t="shared" si="261"/>
        <v>0</v>
      </c>
      <c r="K365" s="97">
        <f t="shared" si="261"/>
        <v>0</v>
      </c>
      <c r="L365" s="97">
        <f t="shared" si="261"/>
        <v>0</v>
      </c>
      <c r="M365" s="97">
        <f t="shared" si="261"/>
        <v>0</v>
      </c>
      <c r="N365" s="97">
        <f t="shared" si="261"/>
        <v>0</v>
      </c>
      <c r="O365" s="97">
        <f t="shared" si="261"/>
        <v>0</v>
      </c>
      <c r="P365" s="97">
        <f t="shared" si="261"/>
        <v>0</v>
      </c>
      <c r="Q365" s="97">
        <f t="shared" si="261"/>
        <v>0</v>
      </c>
      <c r="R365" s="98">
        <f t="shared" si="261"/>
        <v>0</v>
      </c>
      <c r="S365" s="5102"/>
      <c r="T365" s="5113"/>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row>
    <row r="366" spans="1:136" x14ac:dyDescent="0.2">
      <c r="A366" s="6"/>
      <c r="D366" s="1453">
        <f>+Forrajes!B84</f>
        <v>0</v>
      </c>
      <c r="E366" s="1454"/>
      <c r="F366" s="1455"/>
      <c r="G366" s="97">
        <f t="shared" si="261"/>
        <v>0</v>
      </c>
      <c r="H366" s="97">
        <f t="shared" si="261"/>
        <v>0</v>
      </c>
      <c r="I366" s="97">
        <f t="shared" si="261"/>
        <v>0</v>
      </c>
      <c r="J366" s="97">
        <f t="shared" si="261"/>
        <v>0</v>
      </c>
      <c r="K366" s="97">
        <f t="shared" si="261"/>
        <v>0</v>
      </c>
      <c r="L366" s="97">
        <f t="shared" si="261"/>
        <v>0</v>
      </c>
      <c r="M366" s="97">
        <f t="shared" si="261"/>
        <v>0</v>
      </c>
      <c r="N366" s="97">
        <f t="shared" si="261"/>
        <v>0</v>
      </c>
      <c r="O366" s="97">
        <f t="shared" si="261"/>
        <v>0</v>
      </c>
      <c r="P366" s="97">
        <f t="shared" si="261"/>
        <v>0</v>
      </c>
      <c r="Q366" s="97">
        <f t="shared" si="261"/>
        <v>0</v>
      </c>
      <c r="R366" s="98">
        <f t="shared" si="261"/>
        <v>0</v>
      </c>
      <c r="S366" s="5102"/>
      <c r="T366" s="5113"/>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row>
    <row r="367" spans="1:136" x14ac:dyDescent="0.2">
      <c r="A367" s="6"/>
      <c r="D367" s="1453">
        <f>+Forrajes!B85</f>
        <v>0</v>
      </c>
      <c r="E367" s="1454"/>
      <c r="F367" s="1455"/>
      <c r="G367" s="97">
        <f t="shared" si="261"/>
        <v>0</v>
      </c>
      <c r="H367" s="97">
        <f t="shared" si="261"/>
        <v>0</v>
      </c>
      <c r="I367" s="97">
        <f t="shared" si="261"/>
        <v>0</v>
      </c>
      <c r="J367" s="97">
        <f t="shared" si="261"/>
        <v>0</v>
      </c>
      <c r="K367" s="97">
        <f t="shared" si="261"/>
        <v>0</v>
      </c>
      <c r="L367" s="97">
        <f t="shared" si="261"/>
        <v>0</v>
      </c>
      <c r="M367" s="97">
        <f t="shared" si="261"/>
        <v>0</v>
      </c>
      <c r="N367" s="97">
        <f t="shared" si="261"/>
        <v>0</v>
      </c>
      <c r="O367" s="97">
        <f t="shared" si="261"/>
        <v>0</v>
      </c>
      <c r="P367" s="97">
        <f t="shared" si="261"/>
        <v>0</v>
      </c>
      <c r="Q367" s="97">
        <f t="shared" si="261"/>
        <v>0</v>
      </c>
      <c r="R367" s="98">
        <f t="shared" si="261"/>
        <v>0</v>
      </c>
      <c r="S367" s="5102"/>
      <c r="T367" s="5113"/>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row>
    <row r="368" spans="1:136" x14ac:dyDescent="0.2">
      <c r="A368" s="6"/>
      <c r="D368" s="1453">
        <f>+Forrajes!B86</f>
        <v>0</v>
      </c>
      <c r="E368" s="1451"/>
      <c r="F368" s="1456"/>
      <c r="G368" s="97">
        <f t="shared" si="261"/>
        <v>0</v>
      </c>
      <c r="H368" s="97">
        <f t="shared" si="261"/>
        <v>0</v>
      </c>
      <c r="I368" s="97">
        <f t="shared" si="261"/>
        <v>0</v>
      </c>
      <c r="J368" s="97">
        <f t="shared" si="261"/>
        <v>0</v>
      </c>
      <c r="K368" s="97">
        <f t="shared" si="261"/>
        <v>0</v>
      </c>
      <c r="L368" s="97">
        <f t="shared" si="261"/>
        <v>0</v>
      </c>
      <c r="M368" s="97">
        <f t="shared" si="261"/>
        <v>0</v>
      </c>
      <c r="N368" s="97">
        <f t="shared" si="261"/>
        <v>0</v>
      </c>
      <c r="O368" s="97">
        <f t="shared" si="261"/>
        <v>0</v>
      </c>
      <c r="P368" s="97">
        <f t="shared" si="261"/>
        <v>0</v>
      </c>
      <c r="Q368" s="97">
        <f t="shared" si="261"/>
        <v>0</v>
      </c>
      <c r="R368" s="98">
        <f t="shared" si="261"/>
        <v>0</v>
      </c>
      <c r="S368" s="5102"/>
      <c r="T368" s="5113"/>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row>
    <row r="369" spans="1:136" x14ac:dyDescent="0.2">
      <c r="A369" s="6"/>
      <c r="D369" s="1446" t="str">
        <f>+Forrajes!B87</f>
        <v xml:space="preserve">Semilleros gramíneas  </v>
      </c>
      <c r="E369" s="959"/>
      <c r="F369" s="959"/>
      <c r="G369" s="694">
        <f t="shared" ref="G369:R369" si="262">SUM(G370:G378)</f>
        <v>0</v>
      </c>
      <c r="H369" s="694">
        <f t="shared" si="262"/>
        <v>0</v>
      </c>
      <c r="I369" s="694">
        <f t="shared" si="262"/>
        <v>0</v>
      </c>
      <c r="J369" s="694">
        <f t="shared" si="262"/>
        <v>0</v>
      </c>
      <c r="K369" s="694">
        <f t="shared" si="262"/>
        <v>0</v>
      </c>
      <c r="L369" s="694">
        <f t="shared" si="262"/>
        <v>0</v>
      </c>
      <c r="M369" s="694">
        <f t="shared" si="262"/>
        <v>0</v>
      </c>
      <c r="N369" s="694">
        <f t="shared" si="262"/>
        <v>0</v>
      </c>
      <c r="O369" s="694">
        <f t="shared" si="262"/>
        <v>0</v>
      </c>
      <c r="P369" s="694">
        <f t="shared" si="262"/>
        <v>0</v>
      </c>
      <c r="Q369" s="694">
        <f t="shared" si="262"/>
        <v>0</v>
      </c>
      <c r="R369" s="695">
        <f t="shared" si="262"/>
        <v>0</v>
      </c>
      <c r="S369" s="892" t="s">
        <v>998</v>
      </c>
      <c r="T369" s="893" t="s">
        <v>2338</v>
      </c>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row>
    <row r="370" spans="1:136" x14ac:dyDescent="0.2">
      <c r="A370" s="6"/>
      <c r="D370" s="1450" t="str">
        <f>+Forrajes!B88</f>
        <v xml:space="preserve">Dactylis Semillero </v>
      </c>
      <c r="E370" s="1451"/>
      <c r="F370" s="1452"/>
      <c r="G370" s="97">
        <f t="shared" ref="G370:R378" si="263">IF($D370&lt;&gt;0,SUMIF(G$9:G$98,$D370,$C$9:$C$98),0)</f>
        <v>0</v>
      </c>
      <c r="H370" s="97">
        <f t="shared" si="263"/>
        <v>0</v>
      </c>
      <c r="I370" s="97">
        <f t="shared" si="263"/>
        <v>0</v>
      </c>
      <c r="J370" s="97">
        <f t="shared" si="263"/>
        <v>0</v>
      </c>
      <c r="K370" s="97">
        <f t="shared" si="263"/>
        <v>0</v>
      </c>
      <c r="L370" s="97">
        <f t="shared" si="263"/>
        <v>0</v>
      </c>
      <c r="M370" s="97">
        <f t="shared" si="263"/>
        <v>0</v>
      </c>
      <c r="N370" s="97">
        <f t="shared" si="263"/>
        <v>0</v>
      </c>
      <c r="O370" s="97">
        <f t="shared" si="263"/>
        <v>0</v>
      </c>
      <c r="P370" s="97">
        <f t="shared" si="263"/>
        <v>0</v>
      </c>
      <c r="Q370" s="97">
        <f t="shared" si="263"/>
        <v>0</v>
      </c>
      <c r="R370" s="98">
        <f t="shared" si="263"/>
        <v>0</v>
      </c>
      <c r="S370" s="5102"/>
      <c r="T370" s="5113"/>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row>
    <row r="371" spans="1:136" x14ac:dyDescent="0.2">
      <c r="A371" s="6"/>
      <c r="D371" s="1453" t="str">
        <f>+Forrajes!B89</f>
        <v xml:space="preserve">Festuca Semillero </v>
      </c>
      <c r="E371" s="1454"/>
      <c r="F371" s="1455"/>
      <c r="G371" s="97">
        <f t="shared" si="263"/>
        <v>0</v>
      </c>
      <c r="H371" s="97">
        <f t="shared" si="263"/>
        <v>0</v>
      </c>
      <c r="I371" s="97">
        <f t="shared" si="263"/>
        <v>0</v>
      </c>
      <c r="J371" s="97">
        <f t="shared" si="263"/>
        <v>0</v>
      </c>
      <c r="K371" s="97">
        <f t="shared" si="263"/>
        <v>0</v>
      </c>
      <c r="L371" s="97">
        <f t="shared" si="263"/>
        <v>0</v>
      </c>
      <c r="M371" s="97">
        <f t="shared" si="263"/>
        <v>0</v>
      </c>
      <c r="N371" s="97">
        <f t="shared" si="263"/>
        <v>0</v>
      </c>
      <c r="O371" s="97">
        <f t="shared" si="263"/>
        <v>0</v>
      </c>
      <c r="P371" s="97">
        <f t="shared" si="263"/>
        <v>0</v>
      </c>
      <c r="Q371" s="97">
        <f t="shared" si="263"/>
        <v>0</v>
      </c>
      <c r="R371" s="98">
        <f t="shared" si="263"/>
        <v>0</v>
      </c>
      <c r="S371" s="5102"/>
      <c r="T371" s="5113"/>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row>
    <row r="372" spans="1:136" x14ac:dyDescent="0.2">
      <c r="A372" s="6"/>
      <c r="D372" s="1453" t="str">
        <f>+Forrajes!B90</f>
        <v xml:space="preserve">Rg semillero </v>
      </c>
      <c r="E372" s="1454"/>
      <c r="F372" s="1455"/>
      <c r="G372" s="97">
        <f t="shared" si="263"/>
        <v>0</v>
      </c>
      <c r="H372" s="97">
        <f t="shared" si="263"/>
        <v>0</v>
      </c>
      <c r="I372" s="97">
        <f t="shared" si="263"/>
        <v>0</v>
      </c>
      <c r="J372" s="97">
        <f t="shared" si="263"/>
        <v>0</v>
      </c>
      <c r="K372" s="97">
        <f t="shared" si="263"/>
        <v>0</v>
      </c>
      <c r="L372" s="97">
        <f t="shared" si="263"/>
        <v>0</v>
      </c>
      <c r="M372" s="97">
        <f t="shared" si="263"/>
        <v>0</v>
      </c>
      <c r="N372" s="97">
        <f t="shared" si="263"/>
        <v>0</v>
      </c>
      <c r="O372" s="97">
        <f t="shared" si="263"/>
        <v>0</v>
      </c>
      <c r="P372" s="97">
        <f t="shared" si="263"/>
        <v>0</v>
      </c>
      <c r="Q372" s="97">
        <f t="shared" si="263"/>
        <v>0</v>
      </c>
      <c r="R372" s="98">
        <f t="shared" si="263"/>
        <v>0</v>
      </c>
      <c r="S372" s="5102"/>
      <c r="T372" s="5113"/>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row>
    <row r="373" spans="1:136" x14ac:dyDescent="0.2">
      <c r="A373" s="6"/>
      <c r="D373" s="1453">
        <f>+Forrajes!B91</f>
        <v>0</v>
      </c>
      <c r="E373" s="1454"/>
      <c r="F373" s="1455"/>
      <c r="G373" s="97">
        <f t="shared" si="263"/>
        <v>0</v>
      </c>
      <c r="H373" s="97">
        <f t="shared" si="263"/>
        <v>0</v>
      </c>
      <c r="I373" s="97">
        <f t="shared" si="263"/>
        <v>0</v>
      </c>
      <c r="J373" s="97">
        <f t="shared" si="263"/>
        <v>0</v>
      </c>
      <c r="K373" s="97">
        <f t="shared" si="263"/>
        <v>0</v>
      </c>
      <c r="L373" s="97">
        <f t="shared" si="263"/>
        <v>0</v>
      </c>
      <c r="M373" s="97">
        <f t="shared" si="263"/>
        <v>0</v>
      </c>
      <c r="N373" s="97">
        <f t="shared" si="263"/>
        <v>0</v>
      </c>
      <c r="O373" s="97">
        <f t="shared" si="263"/>
        <v>0</v>
      </c>
      <c r="P373" s="97">
        <f t="shared" si="263"/>
        <v>0</v>
      </c>
      <c r="Q373" s="97">
        <f t="shared" si="263"/>
        <v>0</v>
      </c>
      <c r="R373" s="98">
        <f t="shared" si="263"/>
        <v>0</v>
      </c>
      <c r="S373" s="5102"/>
      <c r="T373" s="5113"/>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row>
    <row r="374" spans="1:136" x14ac:dyDescent="0.2">
      <c r="A374" s="6"/>
      <c r="D374" s="1453">
        <f>+Forrajes!B92</f>
        <v>0</v>
      </c>
      <c r="E374" s="1454"/>
      <c r="F374" s="1455"/>
      <c r="G374" s="97">
        <f t="shared" si="263"/>
        <v>0</v>
      </c>
      <c r="H374" s="97">
        <f t="shared" si="263"/>
        <v>0</v>
      </c>
      <c r="I374" s="97">
        <f t="shared" si="263"/>
        <v>0</v>
      </c>
      <c r="J374" s="97">
        <f t="shared" si="263"/>
        <v>0</v>
      </c>
      <c r="K374" s="97">
        <f t="shared" si="263"/>
        <v>0</v>
      </c>
      <c r="L374" s="97">
        <f t="shared" si="263"/>
        <v>0</v>
      </c>
      <c r="M374" s="97">
        <f t="shared" si="263"/>
        <v>0</v>
      </c>
      <c r="N374" s="97">
        <f t="shared" si="263"/>
        <v>0</v>
      </c>
      <c r="O374" s="97">
        <f t="shared" si="263"/>
        <v>0</v>
      </c>
      <c r="P374" s="97">
        <f t="shared" si="263"/>
        <v>0</v>
      </c>
      <c r="Q374" s="97">
        <f t="shared" si="263"/>
        <v>0</v>
      </c>
      <c r="R374" s="98">
        <f t="shared" si="263"/>
        <v>0</v>
      </c>
      <c r="S374" s="5102"/>
      <c r="T374" s="5113"/>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row>
    <row r="375" spans="1:136" x14ac:dyDescent="0.2">
      <c r="A375" s="6"/>
      <c r="D375" s="1453">
        <f>+Forrajes!B93</f>
        <v>0</v>
      </c>
      <c r="E375" s="1454"/>
      <c r="F375" s="1455"/>
      <c r="G375" s="97">
        <f t="shared" si="263"/>
        <v>0</v>
      </c>
      <c r="H375" s="97">
        <f t="shared" si="263"/>
        <v>0</v>
      </c>
      <c r="I375" s="97">
        <f t="shared" si="263"/>
        <v>0</v>
      </c>
      <c r="J375" s="97">
        <f t="shared" si="263"/>
        <v>0</v>
      </c>
      <c r="K375" s="97">
        <f t="shared" si="263"/>
        <v>0</v>
      </c>
      <c r="L375" s="97">
        <f t="shared" si="263"/>
        <v>0</v>
      </c>
      <c r="M375" s="97">
        <f t="shared" si="263"/>
        <v>0</v>
      </c>
      <c r="N375" s="97">
        <f t="shared" si="263"/>
        <v>0</v>
      </c>
      <c r="O375" s="97">
        <f t="shared" si="263"/>
        <v>0</v>
      </c>
      <c r="P375" s="97">
        <f t="shared" si="263"/>
        <v>0</v>
      </c>
      <c r="Q375" s="97">
        <f t="shared" si="263"/>
        <v>0</v>
      </c>
      <c r="R375" s="98">
        <f t="shared" si="263"/>
        <v>0</v>
      </c>
      <c r="S375" s="5102"/>
      <c r="T375" s="5113"/>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row>
    <row r="376" spans="1:136" x14ac:dyDescent="0.2">
      <c r="A376" s="6"/>
      <c r="D376" s="1453">
        <f>+Forrajes!B94</f>
        <v>0</v>
      </c>
      <c r="E376" s="1454"/>
      <c r="F376" s="1455"/>
      <c r="G376" s="97">
        <f t="shared" si="263"/>
        <v>0</v>
      </c>
      <c r="H376" s="97">
        <f t="shared" si="263"/>
        <v>0</v>
      </c>
      <c r="I376" s="97">
        <f t="shared" si="263"/>
        <v>0</v>
      </c>
      <c r="J376" s="97">
        <f t="shared" si="263"/>
        <v>0</v>
      </c>
      <c r="K376" s="97">
        <f t="shared" si="263"/>
        <v>0</v>
      </c>
      <c r="L376" s="97">
        <f t="shared" si="263"/>
        <v>0</v>
      </c>
      <c r="M376" s="97">
        <f t="shared" si="263"/>
        <v>0</v>
      </c>
      <c r="N376" s="97">
        <f t="shared" si="263"/>
        <v>0</v>
      </c>
      <c r="O376" s="97">
        <f t="shared" si="263"/>
        <v>0</v>
      </c>
      <c r="P376" s="97">
        <f t="shared" si="263"/>
        <v>0</v>
      </c>
      <c r="Q376" s="97">
        <f t="shared" si="263"/>
        <v>0</v>
      </c>
      <c r="R376" s="98">
        <f t="shared" si="263"/>
        <v>0</v>
      </c>
      <c r="S376" s="5102"/>
      <c r="T376" s="5113"/>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row>
    <row r="377" spans="1:136" x14ac:dyDescent="0.2">
      <c r="A377" s="6"/>
      <c r="D377" s="1453">
        <f>+Forrajes!B95</f>
        <v>0</v>
      </c>
      <c r="E377" s="1454"/>
      <c r="F377" s="1455"/>
      <c r="G377" s="97">
        <f t="shared" si="263"/>
        <v>0</v>
      </c>
      <c r="H377" s="97">
        <f t="shared" si="263"/>
        <v>0</v>
      </c>
      <c r="I377" s="97">
        <f t="shared" si="263"/>
        <v>0</v>
      </c>
      <c r="J377" s="97">
        <f t="shared" si="263"/>
        <v>0</v>
      </c>
      <c r="K377" s="97">
        <f t="shared" si="263"/>
        <v>0</v>
      </c>
      <c r="L377" s="97">
        <f t="shared" si="263"/>
        <v>0</v>
      </c>
      <c r="M377" s="97">
        <f t="shared" si="263"/>
        <v>0</v>
      </c>
      <c r="N377" s="97">
        <f t="shared" si="263"/>
        <v>0</v>
      </c>
      <c r="O377" s="97">
        <f t="shared" si="263"/>
        <v>0</v>
      </c>
      <c r="P377" s="97">
        <f t="shared" si="263"/>
        <v>0</v>
      </c>
      <c r="Q377" s="97">
        <f t="shared" si="263"/>
        <v>0</v>
      </c>
      <c r="R377" s="98">
        <f t="shared" si="263"/>
        <v>0</v>
      </c>
      <c r="S377" s="5102"/>
      <c r="T377" s="5113"/>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row>
    <row r="378" spans="1:136" ht="15.05" thickBot="1" x14ac:dyDescent="0.25">
      <c r="A378" s="6"/>
      <c r="D378" s="1453">
        <f>+Forrajes!B96</f>
        <v>0</v>
      </c>
      <c r="E378" s="1451"/>
      <c r="F378" s="1456"/>
      <c r="G378" s="97">
        <f t="shared" si="263"/>
        <v>0</v>
      </c>
      <c r="H378" s="97">
        <f t="shared" si="263"/>
        <v>0</v>
      </c>
      <c r="I378" s="97">
        <f t="shared" si="263"/>
        <v>0</v>
      </c>
      <c r="J378" s="97">
        <f t="shared" si="263"/>
        <v>0</v>
      </c>
      <c r="K378" s="97">
        <f t="shared" si="263"/>
        <v>0</v>
      </c>
      <c r="L378" s="97">
        <f t="shared" si="263"/>
        <v>0</v>
      </c>
      <c r="M378" s="97">
        <f t="shared" si="263"/>
        <v>0</v>
      </c>
      <c r="N378" s="97">
        <f t="shared" si="263"/>
        <v>0</v>
      </c>
      <c r="O378" s="97">
        <f t="shared" si="263"/>
        <v>0</v>
      </c>
      <c r="P378" s="97">
        <f t="shared" si="263"/>
        <v>0</v>
      </c>
      <c r="Q378" s="97">
        <f t="shared" si="263"/>
        <v>0</v>
      </c>
      <c r="R378" s="98">
        <f t="shared" si="263"/>
        <v>0</v>
      </c>
      <c r="S378" s="5103"/>
      <c r="T378" s="5118"/>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row>
    <row r="379" spans="1:136" x14ac:dyDescent="0.2">
      <c r="A379" s="6"/>
      <c r="D379" s="1446" t="str">
        <f>+Forrajes!B97</f>
        <v>Barbechos y otros (Sup. Útil)</v>
      </c>
      <c r="E379" s="959"/>
      <c r="F379" s="959"/>
      <c r="G379" s="1447">
        <f>+SUM(G380:G387)</f>
        <v>0</v>
      </c>
      <c r="H379" s="1447">
        <f t="shared" ref="H379:R379" si="264">+SUM(H380:H387)</f>
        <v>0</v>
      </c>
      <c r="I379" s="1447">
        <f t="shared" si="264"/>
        <v>0</v>
      </c>
      <c r="J379" s="1447">
        <f t="shared" si="264"/>
        <v>0</v>
      </c>
      <c r="K379" s="1447">
        <f t="shared" si="264"/>
        <v>0</v>
      </c>
      <c r="L379" s="1447">
        <f t="shared" si="264"/>
        <v>0</v>
      </c>
      <c r="M379" s="1447">
        <f t="shared" si="264"/>
        <v>0</v>
      </c>
      <c r="N379" s="1447">
        <f t="shared" si="264"/>
        <v>0</v>
      </c>
      <c r="O379" s="1447">
        <f t="shared" si="264"/>
        <v>0</v>
      </c>
      <c r="P379" s="1447">
        <f t="shared" si="264"/>
        <v>0</v>
      </c>
      <c r="Q379" s="1447">
        <f t="shared" si="264"/>
        <v>0</v>
      </c>
      <c r="R379" s="1448">
        <f t="shared" si="264"/>
        <v>0</v>
      </c>
      <c r="S379" s="110"/>
      <c r="T379" s="75"/>
      <c r="U379" s="1449"/>
      <c r="V379" s="1449"/>
    </row>
    <row r="380" spans="1:136" x14ac:dyDescent="0.2">
      <c r="A380" s="6"/>
      <c r="D380" s="1450" t="str">
        <f>+Forrajes!B98</f>
        <v>Barb SPL</v>
      </c>
      <c r="E380" s="1451"/>
      <c r="F380" s="1452"/>
      <c r="G380" s="97">
        <f>IF($D380&lt;&gt;0,SUMIF(G$9:G$98,$D380,$C$9:$C$98),0)</f>
        <v>0</v>
      </c>
      <c r="H380" s="97">
        <f t="shared" ref="G380:R387" si="265">IF($D380&lt;&gt;0,SUMIF(H$9:H$98,$D380,$C$9:$C$98),0)</f>
        <v>0</v>
      </c>
      <c r="I380" s="97">
        <f t="shared" si="265"/>
        <v>0</v>
      </c>
      <c r="J380" s="97">
        <f t="shared" si="265"/>
        <v>0</v>
      </c>
      <c r="K380" s="97">
        <f t="shared" si="265"/>
        <v>0</v>
      </c>
      <c r="L380" s="97">
        <f t="shared" si="265"/>
        <v>0</v>
      </c>
      <c r="M380" s="97">
        <f t="shared" si="265"/>
        <v>0</v>
      </c>
      <c r="N380" s="97">
        <f t="shared" si="265"/>
        <v>0</v>
      </c>
      <c r="O380" s="97">
        <f t="shared" si="265"/>
        <v>0</v>
      </c>
      <c r="P380" s="97">
        <f t="shared" si="265"/>
        <v>0</v>
      </c>
      <c r="Q380" s="97">
        <f t="shared" si="265"/>
        <v>0</v>
      </c>
      <c r="R380" s="98">
        <f t="shared" si="265"/>
        <v>0</v>
      </c>
      <c r="S380" s="110"/>
      <c r="T380" s="75"/>
      <c r="U380" s="110"/>
      <c r="V380" s="100"/>
    </row>
    <row r="381" spans="1:136" x14ac:dyDescent="0.2">
      <c r="A381" s="6"/>
      <c r="D381" s="1453" t="str">
        <f>+Forrajes!B99</f>
        <v>Barb Agrícola</v>
      </c>
      <c r="E381" s="1454"/>
      <c r="F381" s="1455"/>
      <c r="G381" s="97">
        <f t="shared" si="265"/>
        <v>0</v>
      </c>
      <c r="H381" s="97">
        <f t="shared" si="265"/>
        <v>0</v>
      </c>
      <c r="I381" s="97">
        <f t="shared" si="265"/>
        <v>0</v>
      </c>
      <c r="J381" s="97">
        <f t="shared" si="265"/>
        <v>0</v>
      </c>
      <c r="K381" s="97">
        <f t="shared" si="265"/>
        <v>0</v>
      </c>
      <c r="L381" s="97">
        <f t="shared" si="265"/>
        <v>0</v>
      </c>
      <c r="M381" s="97">
        <f t="shared" si="265"/>
        <v>0</v>
      </c>
      <c r="N381" s="97">
        <f t="shared" si="265"/>
        <v>0</v>
      </c>
      <c r="O381" s="97">
        <f t="shared" si="265"/>
        <v>0</v>
      </c>
      <c r="P381" s="97">
        <f t="shared" si="265"/>
        <v>0</v>
      </c>
      <c r="Q381" s="97">
        <f t="shared" si="265"/>
        <v>0</v>
      </c>
      <c r="R381" s="98">
        <f t="shared" si="265"/>
        <v>0</v>
      </c>
      <c r="S381" s="110"/>
      <c r="T381" s="75"/>
      <c r="U381" s="110"/>
      <c r="V381" s="100"/>
    </row>
    <row r="382" spans="1:136" x14ac:dyDescent="0.2">
      <c r="A382" s="6"/>
      <c r="D382" s="1453" t="str">
        <f>+Forrajes!B100</f>
        <v>Barb SPG</v>
      </c>
      <c r="E382" s="1454"/>
      <c r="F382" s="1455"/>
      <c r="G382" s="97">
        <f t="shared" si="265"/>
        <v>0</v>
      </c>
      <c r="H382" s="97">
        <f t="shared" si="265"/>
        <v>0</v>
      </c>
      <c r="I382" s="97">
        <f t="shared" si="265"/>
        <v>0</v>
      </c>
      <c r="J382" s="97">
        <f t="shared" si="265"/>
        <v>0</v>
      </c>
      <c r="K382" s="97">
        <f t="shared" si="265"/>
        <v>0</v>
      </c>
      <c r="L382" s="97">
        <f t="shared" si="265"/>
        <v>0</v>
      </c>
      <c r="M382" s="97">
        <f t="shared" si="265"/>
        <v>0</v>
      </c>
      <c r="N382" s="97">
        <f t="shared" si="265"/>
        <v>0</v>
      </c>
      <c r="O382" s="97">
        <f t="shared" si="265"/>
        <v>0</v>
      </c>
      <c r="P382" s="97">
        <f t="shared" si="265"/>
        <v>0</v>
      </c>
      <c r="Q382" s="97">
        <f t="shared" si="265"/>
        <v>0</v>
      </c>
      <c r="R382" s="98">
        <f t="shared" si="265"/>
        <v>0</v>
      </c>
      <c r="S382" s="110"/>
      <c r="T382" s="110"/>
      <c r="U382" s="110"/>
    </row>
    <row r="383" spans="1:136" x14ac:dyDescent="0.2">
      <c r="A383" s="6"/>
      <c r="D383" s="1453" t="str">
        <f>+Forrajes!B101</f>
        <v>Montes</v>
      </c>
      <c r="E383" s="1454"/>
      <c r="F383" s="1455"/>
      <c r="G383" s="97">
        <f t="shared" si="265"/>
        <v>0</v>
      </c>
      <c r="H383" s="97">
        <f t="shared" si="265"/>
        <v>0</v>
      </c>
      <c r="I383" s="97">
        <f t="shared" si="265"/>
        <v>0</v>
      </c>
      <c r="J383" s="97">
        <f t="shared" si="265"/>
        <v>0</v>
      </c>
      <c r="K383" s="97">
        <f t="shared" si="265"/>
        <v>0</v>
      </c>
      <c r="L383" s="97">
        <f t="shared" si="265"/>
        <v>0</v>
      </c>
      <c r="M383" s="97">
        <f t="shared" si="265"/>
        <v>0</v>
      </c>
      <c r="N383" s="97">
        <f t="shared" si="265"/>
        <v>0</v>
      </c>
      <c r="O383" s="97">
        <f t="shared" si="265"/>
        <v>0</v>
      </c>
      <c r="P383" s="97">
        <f t="shared" si="265"/>
        <v>0</v>
      </c>
      <c r="Q383" s="97">
        <f t="shared" si="265"/>
        <v>0</v>
      </c>
      <c r="R383" s="98">
        <f t="shared" si="265"/>
        <v>0</v>
      </c>
      <c r="S383" s="110"/>
      <c r="T383" s="75"/>
      <c r="U383" s="110"/>
    </row>
    <row r="384" spans="1:136" x14ac:dyDescent="0.2">
      <c r="A384" s="6"/>
      <c r="D384" s="1453" t="str">
        <f>+Forrajes!B102</f>
        <v>Callejones, tambo</v>
      </c>
      <c r="E384" s="1454"/>
      <c r="F384" s="1455"/>
      <c r="G384" s="97">
        <f t="shared" si="265"/>
        <v>0</v>
      </c>
      <c r="H384" s="97">
        <f t="shared" si="265"/>
        <v>0</v>
      </c>
      <c r="I384" s="97">
        <f t="shared" si="265"/>
        <v>0</v>
      </c>
      <c r="J384" s="97">
        <f t="shared" si="265"/>
        <v>0</v>
      </c>
      <c r="K384" s="97">
        <f t="shared" si="265"/>
        <v>0</v>
      </c>
      <c r="L384" s="97">
        <f t="shared" si="265"/>
        <v>0</v>
      </c>
      <c r="M384" s="97">
        <f t="shared" si="265"/>
        <v>0</v>
      </c>
      <c r="N384" s="97">
        <f t="shared" si="265"/>
        <v>0</v>
      </c>
      <c r="O384" s="97">
        <f t="shared" si="265"/>
        <v>0</v>
      </c>
      <c r="P384" s="97">
        <f t="shared" si="265"/>
        <v>0</v>
      </c>
      <c r="Q384" s="97">
        <f t="shared" si="265"/>
        <v>0</v>
      </c>
      <c r="R384" s="98">
        <f t="shared" si="265"/>
        <v>0</v>
      </c>
      <c r="S384" s="110"/>
      <c r="T384" s="75"/>
      <c r="U384" s="110"/>
    </row>
    <row r="385" spans="1:136" x14ac:dyDescent="0.2">
      <c r="A385" s="6"/>
      <c r="D385" s="1453" t="str">
        <f>+Forrajes!B103</f>
        <v>Bañado</v>
      </c>
      <c r="E385" s="1454"/>
      <c r="F385" s="1455"/>
      <c r="G385" s="97">
        <f t="shared" si="265"/>
        <v>0</v>
      </c>
      <c r="H385" s="97">
        <f t="shared" si="265"/>
        <v>0</v>
      </c>
      <c r="I385" s="97">
        <f t="shared" si="265"/>
        <v>0</v>
      </c>
      <c r="J385" s="97">
        <f t="shared" si="265"/>
        <v>0</v>
      </c>
      <c r="K385" s="97">
        <f t="shared" si="265"/>
        <v>0</v>
      </c>
      <c r="L385" s="97">
        <f t="shared" si="265"/>
        <v>0</v>
      </c>
      <c r="M385" s="97">
        <f t="shared" si="265"/>
        <v>0</v>
      </c>
      <c r="N385" s="97">
        <f t="shared" si="265"/>
        <v>0</v>
      </c>
      <c r="O385" s="97">
        <f t="shared" si="265"/>
        <v>0</v>
      </c>
      <c r="P385" s="97">
        <f t="shared" si="265"/>
        <v>0</v>
      </c>
      <c r="Q385" s="97">
        <f t="shared" si="265"/>
        <v>0</v>
      </c>
      <c r="R385" s="98">
        <f t="shared" si="265"/>
        <v>0</v>
      </c>
      <c r="S385" s="110"/>
      <c r="T385" s="75"/>
      <c r="U385" s="110"/>
    </row>
    <row r="386" spans="1:136" x14ac:dyDescent="0.2">
      <c r="A386" s="6"/>
      <c r="D386" s="1453">
        <f>+Forrajes!B104</f>
        <v>0</v>
      </c>
      <c r="E386" s="1454"/>
      <c r="F386" s="1455"/>
      <c r="G386" s="97">
        <f t="shared" si="265"/>
        <v>0</v>
      </c>
      <c r="H386" s="97">
        <f t="shared" si="265"/>
        <v>0</v>
      </c>
      <c r="I386" s="97">
        <f t="shared" si="265"/>
        <v>0</v>
      </c>
      <c r="J386" s="97">
        <f t="shared" si="265"/>
        <v>0</v>
      </c>
      <c r="K386" s="97">
        <f t="shared" si="265"/>
        <v>0</v>
      </c>
      <c r="L386" s="97">
        <f t="shared" si="265"/>
        <v>0</v>
      </c>
      <c r="M386" s="97">
        <f t="shared" si="265"/>
        <v>0</v>
      </c>
      <c r="N386" s="97">
        <f t="shared" si="265"/>
        <v>0</v>
      </c>
      <c r="O386" s="97">
        <f t="shared" si="265"/>
        <v>0</v>
      </c>
      <c r="P386" s="97">
        <f t="shared" si="265"/>
        <v>0</v>
      </c>
      <c r="Q386" s="97">
        <f t="shared" si="265"/>
        <v>0</v>
      </c>
      <c r="R386" s="98">
        <f t="shared" si="265"/>
        <v>0</v>
      </c>
      <c r="S386" s="110"/>
      <c r="T386" s="75"/>
      <c r="U386" s="110"/>
    </row>
    <row r="387" spans="1:136" ht="15.05" thickBot="1" x14ac:dyDescent="0.25">
      <c r="A387" s="6"/>
      <c r="D387" s="1453" t="str">
        <f>+Forrajes!B105</f>
        <v>x</v>
      </c>
      <c r="E387" s="1451"/>
      <c r="F387" s="1456"/>
      <c r="G387" s="97">
        <f t="shared" si="265"/>
        <v>0</v>
      </c>
      <c r="H387" s="97">
        <f t="shared" si="265"/>
        <v>0</v>
      </c>
      <c r="I387" s="97">
        <f t="shared" si="265"/>
        <v>0</v>
      </c>
      <c r="J387" s="97">
        <f t="shared" si="265"/>
        <v>0</v>
      </c>
      <c r="K387" s="97">
        <f t="shared" si="265"/>
        <v>0</v>
      </c>
      <c r="L387" s="97">
        <f t="shared" si="265"/>
        <v>0</v>
      </c>
      <c r="M387" s="97">
        <f t="shared" si="265"/>
        <v>0</v>
      </c>
      <c r="N387" s="97">
        <f t="shared" si="265"/>
        <v>0</v>
      </c>
      <c r="O387" s="97">
        <f t="shared" si="265"/>
        <v>0</v>
      </c>
      <c r="P387" s="97">
        <f t="shared" si="265"/>
        <v>0</v>
      </c>
      <c r="Q387" s="97">
        <f t="shared" si="265"/>
        <v>0</v>
      </c>
      <c r="R387" s="98">
        <f t="shared" si="265"/>
        <v>0</v>
      </c>
      <c r="S387" s="110"/>
      <c r="T387" s="75"/>
      <c r="U387" s="110"/>
    </row>
    <row r="388" spans="1:136" ht="15.05" thickBot="1" x14ac:dyDescent="0.25">
      <c r="A388" s="6"/>
      <c r="B388" s="110"/>
      <c r="C388" s="110"/>
      <c r="D388" s="102" t="s">
        <v>11</v>
      </c>
      <c r="E388" s="103"/>
      <c r="F388" s="103"/>
      <c r="G388" s="1457">
        <f>+G379+G369+G346+G339+G332+G326+G316+G301+G294+G290+G359</f>
        <v>0</v>
      </c>
      <c r="H388" s="1457">
        <f t="shared" ref="H388:R388" si="266">+H379+H369+H346+H339+H332+H326+H316+H301+H294+H290+H359</f>
        <v>0</v>
      </c>
      <c r="I388" s="1457">
        <f t="shared" si="266"/>
        <v>0</v>
      </c>
      <c r="J388" s="1457">
        <f t="shared" si="266"/>
        <v>0</v>
      </c>
      <c r="K388" s="1457">
        <f t="shared" si="266"/>
        <v>0</v>
      </c>
      <c r="L388" s="1457">
        <f t="shared" si="266"/>
        <v>0</v>
      </c>
      <c r="M388" s="1457">
        <f t="shared" si="266"/>
        <v>0</v>
      </c>
      <c r="N388" s="1457">
        <f t="shared" si="266"/>
        <v>0</v>
      </c>
      <c r="O388" s="1457">
        <f t="shared" si="266"/>
        <v>0</v>
      </c>
      <c r="P388" s="1457">
        <f t="shared" si="266"/>
        <v>0</v>
      </c>
      <c r="Q388" s="1457">
        <f t="shared" si="266"/>
        <v>0</v>
      </c>
      <c r="R388" s="2387">
        <f t="shared" si="266"/>
        <v>0</v>
      </c>
      <c r="S388" s="110"/>
      <c r="T388" s="75"/>
      <c r="U388" s="110"/>
    </row>
    <row r="389" spans="1:136" x14ac:dyDescent="0.2">
      <c r="A389" s="6"/>
      <c r="B389" s="110"/>
      <c r="F389" s="1458" t="e">
        <f>SUM(G127:G132)</f>
        <v>#DIV/0!</v>
      </c>
      <c r="G389" s="1459"/>
      <c r="H389" s="1460"/>
      <c r="I389" s="1460"/>
      <c r="J389" s="1460"/>
      <c r="K389" s="1460"/>
      <c r="L389" s="1460"/>
      <c r="M389" s="1460"/>
      <c r="N389" s="1460"/>
      <c r="O389" s="1460"/>
      <c r="P389" s="1460"/>
      <c r="Q389" s="1460"/>
      <c r="R389" s="1432"/>
      <c r="S389" s="113"/>
      <c r="T389" s="100"/>
    </row>
    <row r="390" spans="1:136" x14ac:dyDescent="0.2">
      <c r="A390" s="6"/>
      <c r="B390" s="1895"/>
      <c r="C390" s="1895"/>
      <c r="D390" s="1895"/>
      <c r="E390" s="1895"/>
      <c r="F390" s="1895"/>
      <c r="G390" s="1895"/>
      <c r="H390" s="1895"/>
      <c r="I390" s="1895"/>
      <c r="J390" s="1895"/>
      <c r="K390" s="1895"/>
      <c r="L390" s="1895"/>
      <c r="M390" s="1895"/>
      <c r="N390" s="1895"/>
      <c r="O390" s="1895"/>
      <c r="P390" s="1895"/>
      <c r="Q390" s="1895"/>
      <c r="R390" s="1895"/>
      <c r="S390" s="1896"/>
      <c r="T390" s="1895"/>
      <c r="U390" s="1895"/>
    </row>
    <row r="391" spans="1:136" ht="34.200000000000003" customHeight="1" x14ac:dyDescent="0.2">
      <c r="A391" s="6"/>
      <c r="B391" s="2078" t="s">
        <v>943</v>
      </c>
      <c r="C391" s="1846"/>
      <c r="D391" s="1846"/>
      <c r="E391" s="1846"/>
      <c r="F391" s="1849"/>
      <c r="G391" s="1849"/>
      <c r="H391" s="1849"/>
      <c r="I391" s="1849"/>
      <c r="J391" s="1849"/>
      <c r="K391" s="1849"/>
      <c r="L391" s="1849"/>
      <c r="M391" s="2079"/>
      <c r="N391" s="2079"/>
      <c r="O391" s="2079"/>
      <c r="P391" s="2079"/>
      <c r="Q391" s="2079"/>
      <c r="R391" s="1846"/>
      <c r="S391" s="2080"/>
      <c r="T391" s="1846"/>
      <c r="U391" s="1846"/>
      <c r="V391" s="1846"/>
      <c r="W391" s="1846"/>
      <c r="X391" s="1846"/>
      <c r="Y391" s="1846"/>
      <c r="Z391" s="1846"/>
      <c r="AA391" s="1846"/>
      <c r="AB391" s="1846"/>
      <c r="AC391" s="1846"/>
      <c r="AD391" s="1846"/>
      <c r="EF391" s="5"/>
    </row>
    <row r="392" spans="1:136" ht="34.200000000000003" customHeight="1" x14ac:dyDescent="0.2">
      <c r="A392" s="6"/>
      <c r="B392" s="2190"/>
      <c r="F392" s="1427"/>
      <c r="G392" s="1427"/>
      <c r="H392" s="1427"/>
      <c r="I392" s="1427"/>
      <c r="J392" s="1427"/>
      <c r="K392" s="1427"/>
      <c r="L392" s="1427"/>
      <c r="M392" s="1438"/>
      <c r="N392" s="1438"/>
      <c r="O392" s="1438"/>
      <c r="P392" s="1438"/>
      <c r="Q392" s="1438"/>
    </row>
    <row r="393" spans="1:136" s="2200" customFormat="1" ht="17.7" x14ac:dyDescent="0.2">
      <c r="A393" s="2188">
        <v>1013</v>
      </c>
      <c r="B393" s="2202" t="s">
        <v>2049</v>
      </c>
      <c r="C393" s="2198"/>
      <c r="D393" s="2198"/>
      <c r="E393" s="2198"/>
      <c r="F393" s="2203"/>
      <c r="G393" s="2203"/>
      <c r="H393" s="2203"/>
      <c r="I393" s="2203"/>
      <c r="J393" s="2203"/>
      <c r="K393" s="2203"/>
      <c r="L393" s="2203"/>
      <c r="M393" s="2204"/>
      <c r="N393" s="2204"/>
      <c r="O393" s="2204"/>
      <c r="P393" s="2204"/>
      <c r="Q393" s="2204"/>
      <c r="S393" s="2205"/>
      <c r="EF393" s="2206"/>
    </row>
    <row r="394" spans="1:136" x14ac:dyDescent="0.2">
      <c r="A394" s="6"/>
      <c r="B394" s="6" t="s">
        <v>2048</v>
      </c>
      <c r="C394" s="1350" t="s">
        <v>2094</v>
      </c>
      <c r="F394" s="1427"/>
      <c r="G394" s="1427"/>
      <c r="H394" s="1427"/>
      <c r="I394" s="1427"/>
      <c r="J394" s="1427"/>
      <c r="K394" s="1427"/>
      <c r="L394" s="1427"/>
      <c r="M394" s="1438"/>
      <c r="N394" s="1438"/>
      <c r="O394" s="1438"/>
      <c r="P394" s="1438"/>
      <c r="Q394" s="1438"/>
      <c r="EF394" s="5"/>
    </row>
    <row r="395" spans="1:136" ht="16.399999999999999" x14ac:dyDescent="0.2">
      <c r="A395" s="6"/>
      <c r="B395" s="1897"/>
      <c r="C395" s="1898" t="s">
        <v>177</v>
      </c>
      <c r="G395" s="1427"/>
      <c r="H395" s="1427"/>
      <c r="I395" s="1427"/>
      <c r="J395" s="1427"/>
      <c r="K395" s="1427"/>
      <c r="L395" s="1427"/>
      <c r="M395" s="1438"/>
      <c r="N395" s="1438"/>
      <c r="O395" s="1438"/>
      <c r="P395" s="1438"/>
      <c r="Q395" s="1438"/>
      <c r="EF395" s="5"/>
    </row>
    <row r="396" spans="1:136" ht="16.399999999999999" x14ac:dyDescent="0.2">
      <c r="A396" s="6"/>
      <c r="B396" s="1897"/>
      <c r="C396" s="1898" t="s">
        <v>1191</v>
      </c>
      <c r="G396" s="1427"/>
      <c r="H396" s="1427"/>
      <c r="I396" s="1427"/>
      <c r="J396" s="1427"/>
      <c r="K396" s="1427"/>
      <c r="L396" s="1427"/>
      <c r="M396" s="1438"/>
      <c r="N396" s="1438"/>
      <c r="O396" s="1438"/>
      <c r="P396" s="1438"/>
      <c r="Q396" s="1438"/>
      <c r="EF396" s="5"/>
    </row>
    <row r="397" spans="1:136" ht="16.399999999999999" x14ac:dyDescent="0.2">
      <c r="A397" s="6"/>
      <c r="B397" s="1897"/>
      <c r="C397" s="1898" t="s">
        <v>718</v>
      </c>
      <c r="G397" s="1427"/>
      <c r="H397" s="1427"/>
      <c r="I397" s="1427"/>
      <c r="J397" s="1427"/>
      <c r="K397" s="1427"/>
      <c r="L397" s="1427"/>
      <c r="M397" s="1438"/>
      <c r="N397" s="1438"/>
      <c r="O397" s="1438"/>
      <c r="P397" s="1438"/>
      <c r="Q397" s="1438"/>
      <c r="EF397" s="5"/>
    </row>
    <row r="398" spans="1:136" ht="16.399999999999999" x14ac:dyDescent="0.2">
      <c r="A398" s="6"/>
      <c r="B398" s="1897"/>
      <c r="F398" s="1427"/>
      <c r="G398" s="1427"/>
      <c r="H398" s="1427"/>
      <c r="I398" s="1427"/>
      <c r="J398" s="1427"/>
      <c r="K398" s="1427"/>
      <c r="L398" s="1427"/>
      <c r="M398" s="1438"/>
      <c r="N398" s="1438"/>
      <c r="O398" s="1438"/>
      <c r="P398" s="1438"/>
      <c r="Q398" s="1438"/>
      <c r="EF398" s="5"/>
    </row>
    <row r="399" spans="1:136" s="2200" customFormat="1" ht="18.350000000000001" thickBot="1" x14ac:dyDescent="0.25">
      <c r="A399" s="2188">
        <v>1014</v>
      </c>
      <c r="B399" s="2207" t="s">
        <v>971</v>
      </c>
      <c r="C399" s="2208"/>
      <c r="D399" s="2208"/>
      <c r="E399" s="2209"/>
      <c r="F399" s="2208"/>
      <c r="G399" s="2208"/>
      <c r="H399" s="2207"/>
      <c r="I399" s="2207"/>
      <c r="J399" s="2207"/>
      <c r="K399" s="2207"/>
      <c r="L399" s="2207"/>
      <c r="M399" s="2207"/>
      <c r="N399" s="2207"/>
      <c r="O399" s="2207"/>
      <c r="P399" s="2207"/>
      <c r="Q399" s="2207"/>
      <c r="R399" s="2207"/>
      <c r="S399" s="2207"/>
      <c r="EF399" s="2206"/>
    </row>
    <row r="400" spans="1:136" ht="17.05" thickTop="1" x14ac:dyDescent="0.2">
      <c r="A400" s="6"/>
      <c r="B400" s="2083"/>
      <c r="C400" s="2084"/>
      <c r="D400" s="2084"/>
      <c r="E400" s="2085"/>
      <c r="F400" s="2084"/>
      <c r="G400" s="2086" t="str">
        <f t="shared" ref="G400:R400" si="267">G8</f>
        <v>Ene</v>
      </c>
      <c r="H400" s="2086" t="str">
        <f t="shared" si="267"/>
        <v>Feb</v>
      </c>
      <c r="I400" s="2086" t="str">
        <f t="shared" si="267"/>
        <v>Mar</v>
      </c>
      <c r="J400" s="2086" t="str">
        <f t="shared" si="267"/>
        <v>Abr</v>
      </c>
      <c r="K400" s="2086" t="str">
        <f t="shared" si="267"/>
        <v>May</v>
      </c>
      <c r="L400" s="2086" t="str">
        <f t="shared" si="267"/>
        <v>Jun</v>
      </c>
      <c r="M400" s="2086" t="str">
        <f t="shared" si="267"/>
        <v>Jul</v>
      </c>
      <c r="N400" s="2086" t="str">
        <f t="shared" si="267"/>
        <v>Ago</v>
      </c>
      <c r="O400" s="2086" t="str">
        <f t="shared" si="267"/>
        <v>Set</v>
      </c>
      <c r="P400" s="2086" t="str">
        <f t="shared" si="267"/>
        <v>Oct</v>
      </c>
      <c r="Q400" s="2086" t="str">
        <f t="shared" si="267"/>
        <v>Nov</v>
      </c>
      <c r="R400" s="2087" t="str">
        <f t="shared" si="267"/>
        <v>Dic</v>
      </c>
      <c r="S400" s="1916" t="s">
        <v>344</v>
      </c>
      <c r="EF400" s="5"/>
    </row>
    <row r="401" spans="1:136" ht="16.399999999999999" x14ac:dyDescent="0.2">
      <c r="A401" s="6"/>
      <c r="B401" s="2088"/>
      <c r="C401" s="100"/>
      <c r="D401" s="100"/>
      <c r="E401" s="100"/>
      <c r="F401" s="100"/>
      <c r="G401" s="1322" t="str">
        <f t="shared" ref="G401:R401" si="268">G9&amp;$D9</f>
        <v>0</v>
      </c>
      <c r="H401" s="1322" t="str">
        <f t="shared" si="268"/>
        <v>0</v>
      </c>
      <c r="I401" s="1322" t="str">
        <f t="shared" si="268"/>
        <v>0</v>
      </c>
      <c r="J401" s="1322" t="str">
        <f t="shared" si="268"/>
        <v>0</v>
      </c>
      <c r="K401" s="1322" t="str">
        <f t="shared" si="268"/>
        <v>0</v>
      </c>
      <c r="L401" s="1322" t="str">
        <f t="shared" si="268"/>
        <v>0</v>
      </c>
      <c r="M401" s="1322" t="str">
        <f t="shared" si="268"/>
        <v>0</v>
      </c>
      <c r="N401" s="1322" t="str">
        <f t="shared" si="268"/>
        <v>0</v>
      </c>
      <c r="O401" s="1322" t="str">
        <f t="shared" si="268"/>
        <v>0</v>
      </c>
      <c r="P401" s="1322" t="str">
        <f t="shared" si="268"/>
        <v>0</v>
      </c>
      <c r="Q401" s="1322" t="str">
        <f t="shared" si="268"/>
        <v>0</v>
      </c>
      <c r="R401" s="2091" t="str">
        <f t="shared" si="268"/>
        <v>0</v>
      </c>
      <c r="S401" s="2081">
        <f t="shared" ref="S401:S432" si="269">C9*E9</f>
        <v>0</v>
      </c>
      <c r="EF401" s="5"/>
    </row>
    <row r="402" spans="1:136" ht="16.399999999999999" x14ac:dyDescent="0.2">
      <c r="A402" s="6"/>
      <c r="B402" s="2088"/>
      <c r="C402" s="100"/>
      <c r="D402" s="100"/>
      <c r="E402" s="409"/>
      <c r="F402" s="100"/>
      <c r="G402" s="949" t="str">
        <f t="shared" ref="G402:R402" si="270">G10&amp;$D10</f>
        <v>0</v>
      </c>
      <c r="H402" s="949" t="str">
        <f t="shared" si="270"/>
        <v>0</v>
      </c>
      <c r="I402" s="949" t="str">
        <f t="shared" si="270"/>
        <v>0</v>
      </c>
      <c r="J402" s="949" t="str">
        <f t="shared" si="270"/>
        <v>0</v>
      </c>
      <c r="K402" s="949" t="str">
        <f t="shared" si="270"/>
        <v>0</v>
      </c>
      <c r="L402" s="949" t="str">
        <f t="shared" si="270"/>
        <v>0</v>
      </c>
      <c r="M402" s="949" t="str">
        <f t="shared" si="270"/>
        <v>0</v>
      </c>
      <c r="N402" s="949" t="str">
        <f t="shared" si="270"/>
        <v>0</v>
      </c>
      <c r="O402" s="949" t="str">
        <f t="shared" si="270"/>
        <v>0</v>
      </c>
      <c r="P402" s="949" t="str">
        <f t="shared" si="270"/>
        <v>0</v>
      </c>
      <c r="Q402" s="949" t="str">
        <f t="shared" si="270"/>
        <v>0</v>
      </c>
      <c r="R402" s="2092" t="str">
        <f t="shared" si="270"/>
        <v>0</v>
      </c>
      <c r="S402" s="2081">
        <f t="shared" si="269"/>
        <v>0</v>
      </c>
      <c r="T402" s="100"/>
      <c r="EF402" s="5"/>
    </row>
    <row r="403" spans="1:136" ht="16.399999999999999" x14ac:dyDescent="0.2">
      <c r="A403" s="6"/>
      <c r="B403" s="2088"/>
      <c r="C403" s="100"/>
      <c r="D403" s="100"/>
      <c r="E403" s="409"/>
      <c r="F403" s="100"/>
      <c r="G403" s="949" t="str">
        <f t="shared" ref="G403:R403" si="271">G11&amp;$D11</f>
        <v>0</v>
      </c>
      <c r="H403" s="949" t="str">
        <f t="shared" si="271"/>
        <v>0</v>
      </c>
      <c r="I403" s="949" t="str">
        <f t="shared" si="271"/>
        <v>0</v>
      </c>
      <c r="J403" s="949" t="str">
        <f t="shared" si="271"/>
        <v>0</v>
      </c>
      <c r="K403" s="949" t="str">
        <f t="shared" si="271"/>
        <v>0</v>
      </c>
      <c r="L403" s="949" t="str">
        <f t="shared" si="271"/>
        <v>0</v>
      </c>
      <c r="M403" s="949" t="str">
        <f t="shared" si="271"/>
        <v>0</v>
      </c>
      <c r="N403" s="949" t="str">
        <f t="shared" si="271"/>
        <v>0</v>
      </c>
      <c r="O403" s="949" t="str">
        <f t="shared" si="271"/>
        <v>0</v>
      </c>
      <c r="P403" s="949" t="str">
        <f t="shared" si="271"/>
        <v>0</v>
      </c>
      <c r="Q403" s="949" t="str">
        <f t="shared" si="271"/>
        <v>0</v>
      </c>
      <c r="R403" s="2092" t="str">
        <f t="shared" si="271"/>
        <v>0</v>
      </c>
      <c r="S403" s="2081">
        <f t="shared" si="269"/>
        <v>0</v>
      </c>
      <c r="EF403" s="5"/>
    </row>
    <row r="404" spans="1:136" ht="16.399999999999999" x14ac:dyDescent="0.2">
      <c r="A404" s="6"/>
      <c r="B404" s="2088"/>
      <c r="C404" s="100"/>
      <c r="D404" s="100"/>
      <c r="E404" s="409"/>
      <c r="F404" s="100"/>
      <c r="G404" s="949" t="str">
        <f t="shared" ref="G404:R404" si="272">G12&amp;$D12</f>
        <v>0</v>
      </c>
      <c r="H404" s="949" t="str">
        <f t="shared" si="272"/>
        <v>0</v>
      </c>
      <c r="I404" s="949" t="str">
        <f t="shared" si="272"/>
        <v>0</v>
      </c>
      <c r="J404" s="949" t="str">
        <f t="shared" si="272"/>
        <v>0</v>
      </c>
      <c r="K404" s="949" t="str">
        <f t="shared" si="272"/>
        <v>0</v>
      </c>
      <c r="L404" s="949" t="str">
        <f t="shared" si="272"/>
        <v>0</v>
      </c>
      <c r="M404" s="949" t="str">
        <f t="shared" si="272"/>
        <v>0</v>
      </c>
      <c r="N404" s="949" t="str">
        <f t="shared" si="272"/>
        <v>0</v>
      </c>
      <c r="O404" s="949" t="str">
        <f t="shared" si="272"/>
        <v>0</v>
      </c>
      <c r="P404" s="949" t="str">
        <f t="shared" si="272"/>
        <v>0</v>
      </c>
      <c r="Q404" s="949" t="str">
        <f t="shared" si="272"/>
        <v>0</v>
      </c>
      <c r="R404" s="2092" t="str">
        <f t="shared" si="272"/>
        <v>0</v>
      </c>
      <c r="S404" s="2081">
        <f t="shared" si="269"/>
        <v>0</v>
      </c>
      <c r="EF404" s="5"/>
    </row>
    <row r="405" spans="1:136" ht="16.399999999999999" x14ac:dyDescent="0.2">
      <c r="A405" s="6"/>
      <c r="B405" s="2088"/>
      <c r="C405" s="100"/>
      <c r="D405" s="100"/>
      <c r="E405" s="409"/>
      <c r="F405" s="100"/>
      <c r="G405" s="949" t="str">
        <f t="shared" ref="G405:R405" si="273">G13&amp;$D13</f>
        <v>0</v>
      </c>
      <c r="H405" s="949" t="str">
        <f t="shared" si="273"/>
        <v>0</v>
      </c>
      <c r="I405" s="949" t="str">
        <f t="shared" si="273"/>
        <v>0</v>
      </c>
      <c r="J405" s="949" t="str">
        <f t="shared" si="273"/>
        <v>0</v>
      </c>
      <c r="K405" s="949" t="str">
        <f t="shared" si="273"/>
        <v>0</v>
      </c>
      <c r="L405" s="949" t="str">
        <f t="shared" si="273"/>
        <v>0</v>
      </c>
      <c r="M405" s="949" t="str">
        <f t="shared" si="273"/>
        <v>0</v>
      </c>
      <c r="N405" s="949" t="str">
        <f t="shared" si="273"/>
        <v>0</v>
      </c>
      <c r="O405" s="949" t="str">
        <f t="shared" si="273"/>
        <v>0</v>
      </c>
      <c r="P405" s="949" t="str">
        <f t="shared" si="273"/>
        <v>0</v>
      </c>
      <c r="Q405" s="949" t="str">
        <f t="shared" si="273"/>
        <v>0</v>
      </c>
      <c r="R405" s="2092" t="str">
        <f t="shared" si="273"/>
        <v>0</v>
      </c>
      <c r="S405" s="2081">
        <f t="shared" si="269"/>
        <v>0</v>
      </c>
      <c r="EF405" s="5"/>
    </row>
    <row r="406" spans="1:136" ht="16.399999999999999" x14ac:dyDescent="0.2">
      <c r="A406" s="6"/>
      <c r="B406" s="2088"/>
      <c r="C406" s="100"/>
      <c r="D406" s="100"/>
      <c r="E406" s="409"/>
      <c r="F406" s="100"/>
      <c r="G406" s="949" t="str">
        <f t="shared" ref="G406:R406" si="274">G14&amp;$D14</f>
        <v>0</v>
      </c>
      <c r="H406" s="949" t="str">
        <f t="shared" si="274"/>
        <v>0</v>
      </c>
      <c r="I406" s="949" t="str">
        <f t="shared" si="274"/>
        <v>0</v>
      </c>
      <c r="J406" s="949" t="str">
        <f t="shared" si="274"/>
        <v>0</v>
      </c>
      <c r="K406" s="949" t="str">
        <f t="shared" si="274"/>
        <v>0</v>
      </c>
      <c r="L406" s="949" t="str">
        <f t="shared" si="274"/>
        <v>0</v>
      </c>
      <c r="M406" s="949" t="str">
        <f t="shared" si="274"/>
        <v>0</v>
      </c>
      <c r="N406" s="949" t="str">
        <f t="shared" si="274"/>
        <v>0</v>
      </c>
      <c r="O406" s="949" t="str">
        <f t="shared" si="274"/>
        <v>0</v>
      </c>
      <c r="P406" s="949" t="str">
        <f t="shared" si="274"/>
        <v>0</v>
      </c>
      <c r="Q406" s="949" t="str">
        <f t="shared" si="274"/>
        <v>0</v>
      </c>
      <c r="R406" s="2092" t="str">
        <f t="shared" si="274"/>
        <v>0</v>
      </c>
      <c r="S406" s="2081">
        <f t="shared" si="269"/>
        <v>0</v>
      </c>
      <c r="EF406" s="5"/>
    </row>
    <row r="407" spans="1:136" ht="16.399999999999999" x14ac:dyDescent="0.2">
      <c r="A407" s="6"/>
      <c r="B407" s="2088"/>
      <c r="C407" s="100"/>
      <c r="D407" s="100"/>
      <c r="E407" s="409"/>
      <c r="F407" s="100"/>
      <c r="G407" s="949" t="str">
        <f t="shared" ref="G407:R407" si="275">G15&amp;$D15</f>
        <v>0</v>
      </c>
      <c r="H407" s="949" t="str">
        <f t="shared" si="275"/>
        <v>0</v>
      </c>
      <c r="I407" s="949" t="str">
        <f t="shared" si="275"/>
        <v>0</v>
      </c>
      <c r="J407" s="949" t="str">
        <f t="shared" si="275"/>
        <v>0</v>
      </c>
      <c r="K407" s="949" t="str">
        <f t="shared" si="275"/>
        <v>0</v>
      </c>
      <c r="L407" s="949" t="str">
        <f t="shared" si="275"/>
        <v>0</v>
      </c>
      <c r="M407" s="949" t="str">
        <f t="shared" si="275"/>
        <v>0</v>
      </c>
      <c r="N407" s="949" t="str">
        <f t="shared" si="275"/>
        <v>0</v>
      </c>
      <c r="O407" s="949" t="str">
        <f t="shared" si="275"/>
        <v>0</v>
      </c>
      <c r="P407" s="949" t="str">
        <f t="shared" si="275"/>
        <v>0</v>
      </c>
      <c r="Q407" s="949" t="str">
        <f t="shared" si="275"/>
        <v>0</v>
      </c>
      <c r="R407" s="2092" t="str">
        <f t="shared" si="275"/>
        <v>0</v>
      </c>
      <c r="S407" s="2081">
        <f t="shared" si="269"/>
        <v>0</v>
      </c>
      <c r="EF407" s="5"/>
    </row>
    <row r="408" spans="1:136" ht="16.399999999999999" x14ac:dyDescent="0.2">
      <c r="A408" s="6"/>
      <c r="B408" s="2088"/>
      <c r="C408" s="100"/>
      <c r="D408" s="100"/>
      <c r="E408" s="409"/>
      <c r="F408" s="100"/>
      <c r="G408" s="949" t="str">
        <f t="shared" ref="G408:R408" si="276">G16&amp;$D16</f>
        <v>0</v>
      </c>
      <c r="H408" s="949" t="str">
        <f t="shared" si="276"/>
        <v>0</v>
      </c>
      <c r="I408" s="949" t="str">
        <f t="shared" si="276"/>
        <v>0</v>
      </c>
      <c r="J408" s="949" t="str">
        <f t="shared" si="276"/>
        <v>0</v>
      </c>
      <c r="K408" s="949" t="str">
        <f t="shared" si="276"/>
        <v>0</v>
      </c>
      <c r="L408" s="949" t="str">
        <f t="shared" si="276"/>
        <v>0</v>
      </c>
      <c r="M408" s="949" t="str">
        <f t="shared" si="276"/>
        <v>0</v>
      </c>
      <c r="N408" s="949" t="str">
        <f t="shared" si="276"/>
        <v>0</v>
      </c>
      <c r="O408" s="949" t="str">
        <f t="shared" si="276"/>
        <v>0</v>
      </c>
      <c r="P408" s="949" t="str">
        <f t="shared" si="276"/>
        <v>0</v>
      </c>
      <c r="Q408" s="949" t="str">
        <f t="shared" si="276"/>
        <v>0</v>
      </c>
      <c r="R408" s="2092" t="str">
        <f t="shared" si="276"/>
        <v>0</v>
      </c>
      <c r="S408" s="2081">
        <f t="shared" si="269"/>
        <v>0</v>
      </c>
      <c r="EF408" s="5"/>
    </row>
    <row r="409" spans="1:136" ht="16.399999999999999" x14ac:dyDescent="0.2">
      <c r="A409" s="6"/>
      <c r="B409" s="2088"/>
      <c r="C409" s="100"/>
      <c r="D409" s="100"/>
      <c r="E409" s="409"/>
      <c r="F409" s="100"/>
      <c r="G409" s="949" t="str">
        <f t="shared" ref="G409:R409" si="277">G17&amp;$D17</f>
        <v>0</v>
      </c>
      <c r="H409" s="949" t="str">
        <f t="shared" si="277"/>
        <v>0</v>
      </c>
      <c r="I409" s="949" t="str">
        <f t="shared" si="277"/>
        <v>0</v>
      </c>
      <c r="J409" s="949" t="str">
        <f t="shared" si="277"/>
        <v>0</v>
      </c>
      <c r="K409" s="949" t="str">
        <f t="shared" si="277"/>
        <v>0</v>
      </c>
      <c r="L409" s="949" t="str">
        <f t="shared" si="277"/>
        <v>0</v>
      </c>
      <c r="M409" s="949" t="str">
        <f t="shared" si="277"/>
        <v>0</v>
      </c>
      <c r="N409" s="949" t="str">
        <f t="shared" si="277"/>
        <v>0</v>
      </c>
      <c r="O409" s="949" t="str">
        <f t="shared" si="277"/>
        <v>0</v>
      </c>
      <c r="P409" s="949" t="str">
        <f t="shared" si="277"/>
        <v>0</v>
      </c>
      <c r="Q409" s="949" t="str">
        <f t="shared" si="277"/>
        <v>0</v>
      </c>
      <c r="R409" s="2092" t="str">
        <f t="shared" si="277"/>
        <v>0</v>
      </c>
      <c r="S409" s="2081">
        <f t="shared" si="269"/>
        <v>0</v>
      </c>
      <c r="EF409" s="5"/>
    </row>
    <row r="410" spans="1:136" ht="16.399999999999999" x14ac:dyDescent="0.2">
      <c r="A410" s="6"/>
      <c r="B410" s="2088"/>
      <c r="C410" s="100"/>
      <c r="D410" s="100"/>
      <c r="E410" s="409"/>
      <c r="F410" s="100"/>
      <c r="G410" s="949" t="str">
        <f t="shared" ref="G410:R410" si="278">G18&amp;$D18</f>
        <v>0</v>
      </c>
      <c r="H410" s="949" t="str">
        <f t="shared" si="278"/>
        <v>0</v>
      </c>
      <c r="I410" s="949" t="str">
        <f t="shared" si="278"/>
        <v>0</v>
      </c>
      <c r="J410" s="949" t="str">
        <f t="shared" si="278"/>
        <v>0</v>
      </c>
      <c r="K410" s="949" t="str">
        <f t="shared" si="278"/>
        <v>0</v>
      </c>
      <c r="L410" s="949" t="str">
        <f t="shared" si="278"/>
        <v>0</v>
      </c>
      <c r="M410" s="949" t="str">
        <f t="shared" si="278"/>
        <v>0</v>
      </c>
      <c r="N410" s="949" t="str">
        <f t="shared" si="278"/>
        <v>0</v>
      </c>
      <c r="O410" s="949" t="str">
        <f t="shared" si="278"/>
        <v>0</v>
      </c>
      <c r="P410" s="949" t="str">
        <f t="shared" si="278"/>
        <v>0</v>
      </c>
      <c r="Q410" s="949" t="str">
        <f t="shared" si="278"/>
        <v>0</v>
      </c>
      <c r="R410" s="2092" t="str">
        <f t="shared" si="278"/>
        <v>0</v>
      </c>
      <c r="S410" s="2081">
        <f t="shared" si="269"/>
        <v>0</v>
      </c>
      <c r="EF410" s="5"/>
    </row>
    <row r="411" spans="1:136" ht="16.399999999999999" x14ac:dyDescent="0.2">
      <c r="A411" s="6"/>
      <c r="B411" s="2088"/>
      <c r="C411" s="100"/>
      <c r="D411" s="100"/>
      <c r="E411" s="409"/>
      <c r="F411" s="100"/>
      <c r="G411" s="949" t="str">
        <f t="shared" ref="G411:R411" si="279">G19&amp;$D19</f>
        <v>0</v>
      </c>
      <c r="H411" s="949" t="str">
        <f t="shared" si="279"/>
        <v>0</v>
      </c>
      <c r="I411" s="949" t="str">
        <f t="shared" si="279"/>
        <v>0</v>
      </c>
      <c r="J411" s="949" t="str">
        <f t="shared" si="279"/>
        <v>0</v>
      </c>
      <c r="K411" s="949" t="str">
        <f t="shared" si="279"/>
        <v>0</v>
      </c>
      <c r="L411" s="949" t="str">
        <f t="shared" si="279"/>
        <v>0</v>
      </c>
      <c r="M411" s="949" t="str">
        <f t="shared" si="279"/>
        <v>0</v>
      </c>
      <c r="N411" s="949" t="str">
        <f t="shared" si="279"/>
        <v>0</v>
      </c>
      <c r="O411" s="949" t="str">
        <f t="shared" si="279"/>
        <v>0</v>
      </c>
      <c r="P411" s="949" t="str">
        <f t="shared" si="279"/>
        <v>0</v>
      </c>
      <c r="Q411" s="949" t="str">
        <f t="shared" si="279"/>
        <v>0</v>
      </c>
      <c r="R411" s="2092" t="str">
        <f t="shared" si="279"/>
        <v>0</v>
      </c>
      <c r="S411" s="2081">
        <f t="shared" si="269"/>
        <v>0</v>
      </c>
      <c r="EF411" s="5"/>
    </row>
    <row r="412" spans="1:136" ht="16.399999999999999" x14ac:dyDescent="0.2">
      <c r="A412" s="6"/>
      <c r="B412" s="2088"/>
      <c r="C412" s="100"/>
      <c r="D412" s="100"/>
      <c r="E412" s="409"/>
      <c r="F412" s="100"/>
      <c r="G412" s="949" t="str">
        <f t="shared" ref="G412:R412" si="280">G20&amp;$D20</f>
        <v>0</v>
      </c>
      <c r="H412" s="949" t="str">
        <f t="shared" si="280"/>
        <v>0</v>
      </c>
      <c r="I412" s="949" t="str">
        <f t="shared" si="280"/>
        <v>0</v>
      </c>
      <c r="J412" s="949" t="str">
        <f t="shared" si="280"/>
        <v>0</v>
      </c>
      <c r="K412" s="949" t="str">
        <f t="shared" si="280"/>
        <v>0</v>
      </c>
      <c r="L412" s="949" t="str">
        <f t="shared" si="280"/>
        <v>0</v>
      </c>
      <c r="M412" s="949" t="str">
        <f t="shared" si="280"/>
        <v>0</v>
      </c>
      <c r="N412" s="949" t="str">
        <f t="shared" si="280"/>
        <v>0</v>
      </c>
      <c r="O412" s="949" t="str">
        <f t="shared" si="280"/>
        <v>0</v>
      </c>
      <c r="P412" s="949" t="str">
        <f t="shared" si="280"/>
        <v>0</v>
      </c>
      <c r="Q412" s="949" t="str">
        <f t="shared" si="280"/>
        <v>0</v>
      </c>
      <c r="R412" s="2092" t="str">
        <f t="shared" si="280"/>
        <v>0</v>
      </c>
      <c r="S412" s="2081">
        <f t="shared" si="269"/>
        <v>0</v>
      </c>
      <c r="EF412" s="5"/>
    </row>
    <row r="413" spans="1:136" ht="16.399999999999999" x14ac:dyDescent="0.2">
      <c r="A413" s="6"/>
      <c r="B413" s="2088"/>
      <c r="C413" s="100"/>
      <c r="D413" s="100"/>
      <c r="E413" s="409"/>
      <c r="F413" s="100"/>
      <c r="G413" s="949" t="str">
        <f t="shared" ref="G413:R413" si="281">G21&amp;$D21</f>
        <v>0</v>
      </c>
      <c r="H413" s="949" t="str">
        <f t="shared" si="281"/>
        <v>0</v>
      </c>
      <c r="I413" s="949" t="str">
        <f t="shared" si="281"/>
        <v>0</v>
      </c>
      <c r="J413" s="949" t="str">
        <f t="shared" si="281"/>
        <v>0</v>
      </c>
      <c r="K413" s="949" t="str">
        <f t="shared" si="281"/>
        <v>0</v>
      </c>
      <c r="L413" s="949" t="str">
        <f t="shared" si="281"/>
        <v>0</v>
      </c>
      <c r="M413" s="949" t="str">
        <f t="shared" si="281"/>
        <v>0</v>
      </c>
      <c r="N413" s="949" t="str">
        <f t="shared" si="281"/>
        <v>0</v>
      </c>
      <c r="O413" s="949" t="str">
        <f t="shared" si="281"/>
        <v>0</v>
      </c>
      <c r="P413" s="949" t="str">
        <f t="shared" si="281"/>
        <v>0</v>
      </c>
      <c r="Q413" s="949" t="str">
        <f t="shared" si="281"/>
        <v>0</v>
      </c>
      <c r="R413" s="2092" t="str">
        <f t="shared" si="281"/>
        <v>0</v>
      </c>
      <c r="S413" s="2081">
        <f t="shared" si="269"/>
        <v>0</v>
      </c>
      <c r="EF413" s="5"/>
    </row>
    <row r="414" spans="1:136" ht="16.399999999999999" x14ac:dyDescent="0.2">
      <c r="A414" s="6"/>
      <c r="B414" s="2088"/>
      <c r="C414" s="100"/>
      <c r="D414" s="100"/>
      <c r="E414" s="409"/>
      <c r="F414" s="100"/>
      <c r="G414" s="949" t="str">
        <f t="shared" ref="G414:R414" si="282">G22&amp;$D22</f>
        <v>0</v>
      </c>
      <c r="H414" s="949" t="str">
        <f t="shared" si="282"/>
        <v>0</v>
      </c>
      <c r="I414" s="949" t="str">
        <f t="shared" si="282"/>
        <v>0</v>
      </c>
      <c r="J414" s="949" t="str">
        <f t="shared" si="282"/>
        <v>0</v>
      </c>
      <c r="K414" s="949" t="str">
        <f t="shared" si="282"/>
        <v>0</v>
      </c>
      <c r="L414" s="949" t="str">
        <f t="shared" si="282"/>
        <v>0</v>
      </c>
      <c r="M414" s="949" t="str">
        <f t="shared" si="282"/>
        <v>0</v>
      </c>
      <c r="N414" s="949" t="str">
        <f t="shared" si="282"/>
        <v>0</v>
      </c>
      <c r="O414" s="949" t="str">
        <f t="shared" si="282"/>
        <v>0</v>
      </c>
      <c r="P414" s="949" t="str">
        <f t="shared" si="282"/>
        <v>0</v>
      </c>
      <c r="Q414" s="949" t="str">
        <f t="shared" si="282"/>
        <v>0</v>
      </c>
      <c r="R414" s="2092" t="str">
        <f t="shared" si="282"/>
        <v>0</v>
      </c>
      <c r="S414" s="2081">
        <f t="shared" si="269"/>
        <v>0</v>
      </c>
      <c r="EF414" s="5"/>
    </row>
    <row r="415" spans="1:136" ht="16.399999999999999" x14ac:dyDescent="0.2">
      <c r="A415" s="6"/>
      <c r="B415" s="2088"/>
      <c r="C415" s="100"/>
      <c r="D415" s="100"/>
      <c r="E415" s="409"/>
      <c r="F415" s="100"/>
      <c r="G415" s="949" t="str">
        <f t="shared" ref="G415:R415" si="283">G23&amp;$D23</f>
        <v>0</v>
      </c>
      <c r="H415" s="949" t="str">
        <f t="shared" si="283"/>
        <v>0</v>
      </c>
      <c r="I415" s="949" t="str">
        <f t="shared" si="283"/>
        <v>0</v>
      </c>
      <c r="J415" s="949" t="str">
        <f t="shared" si="283"/>
        <v>0</v>
      </c>
      <c r="K415" s="949" t="str">
        <f t="shared" si="283"/>
        <v>0</v>
      </c>
      <c r="L415" s="949" t="str">
        <f t="shared" si="283"/>
        <v>0</v>
      </c>
      <c r="M415" s="949" t="str">
        <f t="shared" si="283"/>
        <v>0</v>
      </c>
      <c r="N415" s="949" t="str">
        <f t="shared" si="283"/>
        <v>0</v>
      </c>
      <c r="O415" s="949" t="str">
        <f t="shared" si="283"/>
        <v>0</v>
      </c>
      <c r="P415" s="949" t="str">
        <f t="shared" si="283"/>
        <v>0</v>
      </c>
      <c r="Q415" s="949" t="str">
        <f t="shared" si="283"/>
        <v>0</v>
      </c>
      <c r="R415" s="2092" t="str">
        <f t="shared" si="283"/>
        <v>0</v>
      </c>
      <c r="S415" s="2081">
        <f t="shared" si="269"/>
        <v>0</v>
      </c>
      <c r="EF415" s="5"/>
    </row>
    <row r="416" spans="1:136" ht="16.399999999999999" x14ac:dyDescent="0.2">
      <c r="A416" s="6"/>
      <c r="B416" s="2088"/>
      <c r="C416" s="100"/>
      <c r="D416" s="100"/>
      <c r="E416" s="409"/>
      <c r="F416" s="100"/>
      <c r="G416" s="949" t="str">
        <f t="shared" ref="G416:R416" si="284">G24&amp;$D24</f>
        <v>0</v>
      </c>
      <c r="H416" s="949" t="str">
        <f t="shared" si="284"/>
        <v>0</v>
      </c>
      <c r="I416" s="949" t="str">
        <f t="shared" si="284"/>
        <v>0</v>
      </c>
      <c r="J416" s="949" t="str">
        <f t="shared" si="284"/>
        <v>0</v>
      </c>
      <c r="K416" s="949" t="str">
        <f t="shared" si="284"/>
        <v>0</v>
      </c>
      <c r="L416" s="949" t="str">
        <f t="shared" si="284"/>
        <v>0</v>
      </c>
      <c r="M416" s="949" t="str">
        <f t="shared" si="284"/>
        <v>0</v>
      </c>
      <c r="N416" s="949" t="str">
        <f t="shared" si="284"/>
        <v>0</v>
      </c>
      <c r="O416" s="949" t="str">
        <f t="shared" si="284"/>
        <v>0</v>
      </c>
      <c r="P416" s="949" t="str">
        <f t="shared" si="284"/>
        <v>0</v>
      </c>
      <c r="Q416" s="949" t="str">
        <f t="shared" si="284"/>
        <v>0</v>
      </c>
      <c r="R416" s="2092" t="str">
        <f t="shared" si="284"/>
        <v>0</v>
      </c>
      <c r="S416" s="2081">
        <f t="shared" si="269"/>
        <v>0</v>
      </c>
      <c r="EF416" s="5"/>
    </row>
    <row r="417" spans="1:136" ht="16.399999999999999" x14ac:dyDescent="0.2">
      <c r="A417" s="6"/>
      <c r="B417" s="2088"/>
      <c r="C417" s="100"/>
      <c r="D417" s="100"/>
      <c r="E417" s="409"/>
      <c r="F417" s="100"/>
      <c r="G417" s="949" t="str">
        <f t="shared" ref="G417:R417" si="285">G25&amp;$D25</f>
        <v>0</v>
      </c>
      <c r="H417" s="949" t="str">
        <f t="shared" si="285"/>
        <v>0</v>
      </c>
      <c r="I417" s="949" t="str">
        <f t="shared" si="285"/>
        <v>0</v>
      </c>
      <c r="J417" s="949" t="str">
        <f t="shared" si="285"/>
        <v>0</v>
      </c>
      <c r="K417" s="949" t="str">
        <f t="shared" si="285"/>
        <v>0</v>
      </c>
      <c r="L417" s="949" t="str">
        <f t="shared" si="285"/>
        <v>0</v>
      </c>
      <c r="M417" s="949" t="str">
        <f t="shared" si="285"/>
        <v>0</v>
      </c>
      <c r="N417" s="949" t="str">
        <f t="shared" si="285"/>
        <v>0</v>
      </c>
      <c r="O417" s="949" t="str">
        <f t="shared" si="285"/>
        <v>0</v>
      </c>
      <c r="P417" s="949" t="str">
        <f t="shared" si="285"/>
        <v>0</v>
      </c>
      <c r="Q417" s="949" t="str">
        <f t="shared" si="285"/>
        <v>0</v>
      </c>
      <c r="R417" s="2092" t="str">
        <f t="shared" si="285"/>
        <v>0</v>
      </c>
      <c r="S417" s="2081">
        <f t="shared" si="269"/>
        <v>0</v>
      </c>
      <c r="EF417" s="5"/>
    </row>
    <row r="418" spans="1:136" ht="16.399999999999999" x14ac:dyDescent="0.2">
      <c r="A418" s="6"/>
      <c r="B418" s="2088"/>
      <c r="C418" s="100"/>
      <c r="D418" s="100"/>
      <c r="E418" s="409"/>
      <c r="F418" s="100"/>
      <c r="G418" s="949" t="str">
        <f t="shared" ref="G418:R418" si="286">G26&amp;$D26</f>
        <v>0</v>
      </c>
      <c r="H418" s="949" t="str">
        <f t="shared" si="286"/>
        <v>0</v>
      </c>
      <c r="I418" s="949" t="str">
        <f t="shared" si="286"/>
        <v>0</v>
      </c>
      <c r="J418" s="949" t="str">
        <f t="shared" si="286"/>
        <v>0</v>
      </c>
      <c r="K418" s="949" t="str">
        <f t="shared" si="286"/>
        <v>0</v>
      </c>
      <c r="L418" s="949" t="str">
        <f t="shared" si="286"/>
        <v>0</v>
      </c>
      <c r="M418" s="949" t="str">
        <f t="shared" si="286"/>
        <v>0</v>
      </c>
      <c r="N418" s="949" t="str">
        <f t="shared" si="286"/>
        <v>0</v>
      </c>
      <c r="O418" s="949" t="str">
        <f t="shared" si="286"/>
        <v>0</v>
      </c>
      <c r="P418" s="949" t="str">
        <f t="shared" si="286"/>
        <v>0</v>
      </c>
      <c r="Q418" s="949" t="str">
        <f t="shared" si="286"/>
        <v>0</v>
      </c>
      <c r="R418" s="2092" t="str">
        <f t="shared" si="286"/>
        <v>0</v>
      </c>
      <c r="S418" s="2081">
        <f t="shared" si="269"/>
        <v>0</v>
      </c>
      <c r="EF418" s="5"/>
    </row>
    <row r="419" spans="1:136" ht="16.399999999999999" x14ac:dyDescent="0.2">
      <c r="A419" s="6"/>
      <c r="B419" s="2088"/>
      <c r="C419" s="100"/>
      <c r="D419" s="100"/>
      <c r="E419" s="409"/>
      <c r="F419" s="100"/>
      <c r="G419" s="949" t="str">
        <f t="shared" ref="G419:R419" si="287">G27&amp;$D27</f>
        <v>0</v>
      </c>
      <c r="H419" s="949" t="str">
        <f t="shared" si="287"/>
        <v>0</v>
      </c>
      <c r="I419" s="949" t="str">
        <f t="shared" si="287"/>
        <v>0</v>
      </c>
      <c r="J419" s="949" t="str">
        <f t="shared" si="287"/>
        <v>0</v>
      </c>
      <c r="K419" s="949" t="str">
        <f t="shared" si="287"/>
        <v>0</v>
      </c>
      <c r="L419" s="949" t="str">
        <f t="shared" si="287"/>
        <v>0</v>
      </c>
      <c r="M419" s="949" t="str">
        <f t="shared" si="287"/>
        <v>0</v>
      </c>
      <c r="N419" s="949" t="str">
        <f t="shared" si="287"/>
        <v>0</v>
      </c>
      <c r="O419" s="949" t="str">
        <f t="shared" si="287"/>
        <v>0</v>
      </c>
      <c r="P419" s="949" t="str">
        <f t="shared" si="287"/>
        <v>0</v>
      </c>
      <c r="Q419" s="949" t="str">
        <f t="shared" si="287"/>
        <v>0</v>
      </c>
      <c r="R419" s="2092" t="str">
        <f t="shared" si="287"/>
        <v>0</v>
      </c>
      <c r="S419" s="2081">
        <f t="shared" si="269"/>
        <v>0</v>
      </c>
      <c r="EF419" s="5"/>
    </row>
    <row r="420" spans="1:136" ht="16.399999999999999" x14ac:dyDescent="0.2">
      <c r="A420" s="6"/>
      <c r="B420" s="2088"/>
      <c r="C420" s="100"/>
      <c r="D420" s="100"/>
      <c r="E420" s="409"/>
      <c r="F420" s="100"/>
      <c r="G420" s="949" t="str">
        <f t="shared" ref="G420:R420" si="288">G28&amp;$D28</f>
        <v>0</v>
      </c>
      <c r="H420" s="949" t="str">
        <f t="shared" si="288"/>
        <v>0</v>
      </c>
      <c r="I420" s="949" t="str">
        <f t="shared" si="288"/>
        <v>0</v>
      </c>
      <c r="J420" s="949" t="str">
        <f t="shared" si="288"/>
        <v>0</v>
      </c>
      <c r="K420" s="949" t="str">
        <f t="shared" si="288"/>
        <v>0</v>
      </c>
      <c r="L420" s="949" t="str">
        <f t="shared" si="288"/>
        <v>0</v>
      </c>
      <c r="M420" s="949" t="str">
        <f t="shared" si="288"/>
        <v>0</v>
      </c>
      <c r="N420" s="949" t="str">
        <f t="shared" si="288"/>
        <v>0</v>
      </c>
      <c r="O420" s="949" t="str">
        <f t="shared" si="288"/>
        <v>0</v>
      </c>
      <c r="P420" s="949" t="str">
        <f t="shared" si="288"/>
        <v>0</v>
      </c>
      <c r="Q420" s="949" t="str">
        <f t="shared" si="288"/>
        <v>0</v>
      </c>
      <c r="R420" s="2092" t="str">
        <f t="shared" si="288"/>
        <v>0</v>
      </c>
      <c r="S420" s="2081">
        <f t="shared" si="269"/>
        <v>0</v>
      </c>
      <c r="EF420" s="5"/>
    </row>
    <row r="421" spans="1:136" ht="16.399999999999999" x14ac:dyDescent="0.2">
      <c r="A421" s="6"/>
      <c r="B421" s="2088"/>
      <c r="C421" s="100"/>
      <c r="D421" s="100"/>
      <c r="E421" s="409"/>
      <c r="F421" s="100"/>
      <c r="G421" s="949" t="str">
        <f t="shared" ref="G421:R421" si="289">G29&amp;$D29</f>
        <v>0</v>
      </c>
      <c r="H421" s="949" t="str">
        <f t="shared" si="289"/>
        <v>0</v>
      </c>
      <c r="I421" s="949" t="str">
        <f t="shared" si="289"/>
        <v>0</v>
      </c>
      <c r="J421" s="949" t="str">
        <f t="shared" si="289"/>
        <v>0</v>
      </c>
      <c r="K421" s="949" t="str">
        <f t="shared" si="289"/>
        <v>0</v>
      </c>
      <c r="L421" s="949" t="str">
        <f t="shared" si="289"/>
        <v>0</v>
      </c>
      <c r="M421" s="949" t="str">
        <f t="shared" si="289"/>
        <v>0</v>
      </c>
      <c r="N421" s="949" t="str">
        <f t="shared" si="289"/>
        <v>0</v>
      </c>
      <c r="O421" s="949" t="str">
        <f t="shared" si="289"/>
        <v>0</v>
      </c>
      <c r="P421" s="949" t="str">
        <f t="shared" si="289"/>
        <v>0</v>
      </c>
      <c r="Q421" s="949" t="str">
        <f t="shared" si="289"/>
        <v>0</v>
      </c>
      <c r="R421" s="2092" t="str">
        <f t="shared" si="289"/>
        <v>0</v>
      </c>
      <c r="S421" s="2081">
        <f t="shared" si="269"/>
        <v>0</v>
      </c>
      <c r="EF421" s="5"/>
    </row>
    <row r="422" spans="1:136" ht="16.399999999999999" x14ac:dyDescent="0.2">
      <c r="A422" s="6"/>
      <c r="B422" s="2088"/>
      <c r="C422" s="100"/>
      <c r="D422" s="100"/>
      <c r="E422" s="409"/>
      <c r="F422" s="100"/>
      <c r="G422" s="949" t="str">
        <f t="shared" ref="G422:R422" si="290">G30&amp;$D30</f>
        <v>0</v>
      </c>
      <c r="H422" s="949" t="str">
        <f t="shared" si="290"/>
        <v>0</v>
      </c>
      <c r="I422" s="949" t="str">
        <f t="shared" si="290"/>
        <v>0</v>
      </c>
      <c r="J422" s="949" t="str">
        <f t="shared" si="290"/>
        <v>0</v>
      </c>
      <c r="K422" s="949" t="str">
        <f t="shared" si="290"/>
        <v>0</v>
      </c>
      <c r="L422" s="949" t="str">
        <f t="shared" si="290"/>
        <v>0</v>
      </c>
      <c r="M422" s="949" t="str">
        <f t="shared" si="290"/>
        <v>0</v>
      </c>
      <c r="N422" s="949" t="str">
        <f t="shared" si="290"/>
        <v>0</v>
      </c>
      <c r="O422" s="949" t="str">
        <f t="shared" si="290"/>
        <v>0</v>
      </c>
      <c r="P422" s="949" t="str">
        <f t="shared" si="290"/>
        <v>0</v>
      </c>
      <c r="Q422" s="949" t="str">
        <f t="shared" si="290"/>
        <v>0</v>
      </c>
      <c r="R422" s="2092" t="str">
        <f t="shared" si="290"/>
        <v>0</v>
      </c>
      <c r="S422" s="2081">
        <f t="shared" si="269"/>
        <v>0</v>
      </c>
      <c r="EF422" s="5"/>
    </row>
    <row r="423" spans="1:136" ht="16.399999999999999" x14ac:dyDescent="0.2">
      <c r="A423" s="6"/>
      <c r="B423" s="2088"/>
      <c r="C423" s="100"/>
      <c r="D423" s="100"/>
      <c r="E423" s="409"/>
      <c r="F423" s="100"/>
      <c r="G423" s="949" t="str">
        <f t="shared" ref="G423:R423" si="291">G31&amp;$D31</f>
        <v>0</v>
      </c>
      <c r="H423" s="949" t="str">
        <f t="shared" si="291"/>
        <v>0</v>
      </c>
      <c r="I423" s="949" t="str">
        <f t="shared" si="291"/>
        <v>0</v>
      </c>
      <c r="J423" s="949" t="str">
        <f t="shared" si="291"/>
        <v>0</v>
      </c>
      <c r="K423" s="949" t="str">
        <f t="shared" si="291"/>
        <v>0</v>
      </c>
      <c r="L423" s="949" t="str">
        <f t="shared" si="291"/>
        <v>0</v>
      </c>
      <c r="M423" s="949" t="str">
        <f t="shared" si="291"/>
        <v>0</v>
      </c>
      <c r="N423" s="949" t="str">
        <f t="shared" si="291"/>
        <v>0</v>
      </c>
      <c r="O423" s="949" t="str">
        <f t="shared" si="291"/>
        <v>0</v>
      </c>
      <c r="P423" s="949" t="str">
        <f t="shared" si="291"/>
        <v>0</v>
      </c>
      <c r="Q423" s="949" t="str">
        <f t="shared" si="291"/>
        <v>0</v>
      </c>
      <c r="R423" s="2092" t="str">
        <f t="shared" si="291"/>
        <v>0</v>
      </c>
      <c r="S423" s="2081">
        <f t="shared" si="269"/>
        <v>0</v>
      </c>
      <c r="EF423" s="5"/>
    </row>
    <row r="424" spans="1:136" ht="16.399999999999999" x14ac:dyDescent="0.2">
      <c r="A424" s="6"/>
      <c r="B424" s="2088"/>
      <c r="C424" s="100"/>
      <c r="D424" s="100"/>
      <c r="E424" s="409"/>
      <c r="F424" s="100"/>
      <c r="G424" s="949" t="str">
        <f t="shared" ref="G424:R424" si="292">G32&amp;$D32</f>
        <v>0</v>
      </c>
      <c r="H424" s="949" t="str">
        <f t="shared" si="292"/>
        <v>0</v>
      </c>
      <c r="I424" s="949" t="str">
        <f t="shared" si="292"/>
        <v>0</v>
      </c>
      <c r="J424" s="949" t="str">
        <f t="shared" si="292"/>
        <v>0</v>
      </c>
      <c r="K424" s="949" t="str">
        <f t="shared" si="292"/>
        <v>0</v>
      </c>
      <c r="L424" s="949" t="str">
        <f t="shared" si="292"/>
        <v>0</v>
      </c>
      <c r="M424" s="949" t="str">
        <f t="shared" si="292"/>
        <v>0</v>
      </c>
      <c r="N424" s="949" t="str">
        <f t="shared" si="292"/>
        <v>0</v>
      </c>
      <c r="O424" s="949" t="str">
        <f t="shared" si="292"/>
        <v>0</v>
      </c>
      <c r="P424" s="949" t="str">
        <f t="shared" si="292"/>
        <v>0</v>
      </c>
      <c r="Q424" s="949" t="str">
        <f t="shared" si="292"/>
        <v>0</v>
      </c>
      <c r="R424" s="2092" t="str">
        <f t="shared" si="292"/>
        <v>0</v>
      </c>
      <c r="S424" s="2081">
        <f t="shared" si="269"/>
        <v>0</v>
      </c>
      <c r="EF424" s="5"/>
    </row>
    <row r="425" spans="1:136" ht="16.399999999999999" x14ac:dyDescent="0.2">
      <c r="A425" s="6"/>
      <c r="B425" s="2088"/>
      <c r="C425" s="100"/>
      <c r="D425" s="100"/>
      <c r="E425" s="409"/>
      <c r="F425" s="100"/>
      <c r="G425" s="949" t="str">
        <f t="shared" ref="G425:R425" si="293">G33&amp;$D33</f>
        <v>0</v>
      </c>
      <c r="H425" s="949" t="str">
        <f t="shared" si="293"/>
        <v>0</v>
      </c>
      <c r="I425" s="949" t="str">
        <f t="shared" si="293"/>
        <v>0</v>
      </c>
      <c r="J425" s="949" t="str">
        <f t="shared" si="293"/>
        <v>0</v>
      </c>
      <c r="K425" s="949" t="str">
        <f t="shared" si="293"/>
        <v>0</v>
      </c>
      <c r="L425" s="949" t="str">
        <f t="shared" si="293"/>
        <v>0</v>
      </c>
      <c r="M425" s="949" t="str">
        <f t="shared" si="293"/>
        <v>0</v>
      </c>
      <c r="N425" s="949" t="str">
        <f t="shared" si="293"/>
        <v>0</v>
      </c>
      <c r="O425" s="949" t="str">
        <f t="shared" si="293"/>
        <v>0</v>
      </c>
      <c r="P425" s="949" t="str">
        <f t="shared" si="293"/>
        <v>0</v>
      </c>
      <c r="Q425" s="949" t="str">
        <f t="shared" si="293"/>
        <v>0</v>
      </c>
      <c r="R425" s="2092" t="str">
        <f t="shared" si="293"/>
        <v>0</v>
      </c>
      <c r="S425" s="2081">
        <f t="shared" si="269"/>
        <v>0</v>
      </c>
      <c r="EF425" s="5"/>
    </row>
    <row r="426" spans="1:136" ht="16.399999999999999" x14ac:dyDescent="0.2">
      <c r="A426" s="6"/>
      <c r="B426" s="2088"/>
      <c r="C426" s="100"/>
      <c r="D426" s="100"/>
      <c r="E426" s="409"/>
      <c r="F426" s="100"/>
      <c r="G426" s="949" t="str">
        <f t="shared" ref="G426:R426" si="294">G34&amp;$D34</f>
        <v>0</v>
      </c>
      <c r="H426" s="949" t="str">
        <f t="shared" si="294"/>
        <v>0</v>
      </c>
      <c r="I426" s="949" t="str">
        <f t="shared" si="294"/>
        <v>0</v>
      </c>
      <c r="J426" s="949" t="str">
        <f t="shared" si="294"/>
        <v>0</v>
      </c>
      <c r="K426" s="949" t="str">
        <f t="shared" si="294"/>
        <v>0</v>
      </c>
      <c r="L426" s="949" t="str">
        <f t="shared" si="294"/>
        <v>0</v>
      </c>
      <c r="M426" s="949" t="str">
        <f t="shared" si="294"/>
        <v>0</v>
      </c>
      <c r="N426" s="949" t="str">
        <f t="shared" si="294"/>
        <v>0</v>
      </c>
      <c r="O426" s="949" t="str">
        <f t="shared" si="294"/>
        <v>0</v>
      </c>
      <c r="P426" s="949" t="str">
        <f t="shared" si="294"/>
        <v>0</v>
      </c>
      <c r="Q426" s="949" t="str">
        <f t="shared" si="294"/>
        <v>0</v>
      </c>
      <c r="R426" s="2092" t="str">
        <f t="shared" si="294"/>
        <v>0</v>
      </c>
      <c r="S426" s="2081">
        <f t="shared" si="269"/>
        <v>0</v>
      </c>
      <c r="EF426" s="5"/>
    </row>
    <row r="427" spans="1:136" ht="16.399999999999999" x14ac:dyDescent="0.2">
      <c r="A427" s="6"/>
      <c r="B427" s="2088"/>
      <c r="C427" s="100"/>
      <c r="D427" s="100"/>
      <c r="E427" s="409"/>
      <c r="F427" s="100"/>
      <c r="G427" s="949" t="str">
        <f t="shared" ref="G427:R427" si="295">G35&amp;$D35</f>
        <v>0</v>
      </c>
      <c r="H427" s="949" t="str">
        <f t="shared" si="295"/>
        <v>0</v>
      </c>
      <c r="I427" s="949" t="str">
        <f t="shared" si="295"/>
        <v>0</v>
      </c>
      <c r="J427" s="949" t="str">
        <f t="shared" si="295"/>
        <v>0</v>
      </c>
      <c r="K427" s="949" t="str">
        <f t="shared" si="295"/>
        <v>0</v>
      </c>
      <c r="L427" s="949" t="str">
        <f t="shared" si="295"/>
        <v>0</v>
      </c>
      <c r="M427" s="949" t="str">
        <f t="shared" si="295"/>
        <v>0</v>
      </c>
      <c r="N427" s="949" t="str">
        <f t="shared" si="295"/>
        <v>0</v>
      </c>
      <c r="O427" s="949" t="str">
        <f t="shared" si="295"/>
        <v>0</v>
      </c>
      <c r="P427" s="949" t="str">
        <f t="shared" si="295"/>
        <v>0</v>
      </c>
      <c r="Q427" s="949" t="str">
        <f t="shared" si="295"/>
        <v>0</v>
      </c>
      <c r="R427" s="2092" t="str">
        <f t="shared" si="295"/>
        <v>0</v>
      </c>
      <c r="S427" s="2081">
        <f t="shared" si="269"/>
        <v>0</v>
      </c>
      <c r="EF427" s="5"/>
    </row>
    <row r="428" spans="1:136" ht="16.399999999999999" x14ac:dyDescent="0.2">
      <c r="A428" s="6"/>
      <c r="B428" s="2088"/>
      <c r="C428" s="100"/>
      <c r="D428" s="100"/>
      <c r="E428" s="409"/>
      <c r="F428" s="100"/>
      <c r="G428" s="949" t="str">
        <f t="shared" ref="G428:R428" si="296">G36&amp;$D36</f>
        <v>0</v>
      </c>
      <c r="H428" s="949" t="str">
        <f t="shared" si="296"/>
        <v>0</v>
      </c>
      <c r="I428" s="949" t="str">
        <f t="shared" si="296"/>
        <v>0</v>
      </c>
      <c r="J428" s="949" t="str">
        <f t="shared" si="296"/>
        <v>0</v>
      </c>
      <c r="K428" s="949" t="str">
        <f t="shared" si="296"/>
        <v>0</v>
      </c>
      <c r="L428" s="949" t="str">
        <f t="shared" si="296"/>
        <v>0</v>
      </c>
      <c r="M428" s="949" t="str">
        <f t="shared" si="296"/>
        <v>0</v>
      </c>
      <c r="N428" s="949" t="str">
        <f t="shared" si="296"/>
        <v>0</v>
      </c>
      <c r="O428" s="949" t="str">
        <f t="shared" si="296"/>
        <v>0</v>
      </c>
      <c r="P428" s="949" t="str">
        <f t="shared" si="296"/>
        <v>0</v>
      </c>
      <c r="Q428" s="949" t="str">
        <f t="shared" si="296"/>
        <v>0</v>
      </c>
      <c r="R428" s="2092" t="str">
        <f t="shared" si="296"/>
        <v>0</v>
      </c>
      <c r="S428" s="2081">
        <f t="shared" si="269"/>
        <v>0</v>
      </c>
      <c r="EF428" s="5"/>
    </row>
    <row r="429" spans="1:136" ht="16.399999999999999" x14ac:dyDescent="0.2">
      <c r="A429" s="6"/>
      <c r="B429" s="2088"/>
      <c r="C429" s="100"/>
      <c r="D429" s="100"/>
      <c r="E429" s="409"/>
      <c r="F429" s="100"/>
      <c r="G429" s="949" t="str">
        <f t="shared" ref="G429:R429" si="297">G37&amp;$D37</f>
        <v>0</v>
      </c>
      <c r="H429" s="949" t="str">
        <f t="shared" si="297"/>
        <v>0</v>
      </c>
      <c r="I429" s="949" t="str">
        <f t="shared" si="297"/>
        <v>0</v>
      </c>
      <c r="J429" s="949" t="str">
        <f t="shared" si="297"/>
        <v>0</v>
      </c>
      <c r="K429" s="949" t="str">
        <f t="shared" si="297"/>
        <v>0</v>
      </c>
      <c r="L429" s="949" t="str">
        <f t="shared" si="297"/>
        <v>0</v>
      </c>
      <c r="M429" s="949" t="str">
        <f t="shared" si="297"/>
        <v>0</v>
      </c>
      <c r="N429" s="949" t="str">
        <f t="shared" si="297"/>
        <v>0</v>
      </c>
      <c r="O429" s="949" t="str">
        <f t="shared" si="297"/>
        <v>0</v>
      </c>
      <c r="P429" s="949" t="str">
        <f t="shared" si="297"/>
        <v>0</v>
      </c>
      <c r="Q429" s="949" t="str">
        <f t="shared" si="297"/>
        <v>0</v>
      </c>
      <c r="R429" s="2092" t="str">
        <f t="shared" si="297"/>
        <v>0</v>
      </c>
      <c r="S429" s="2081">
        <f t="shared" si="269"/>
        <v>0</v>
      </c>
      <c r="EF429" s="5"/>
    </row>
    <row r="430" spans="1:136" ht="16.399999999999999" x14ac:dyDescent="0.2">
      <c r="A430" s="6"/>
      <c r="B430" s="2088"/>
      <c r="C430" s="100"/>
      <c r="D430" s="100"/>
      <c r="E430" s="409"/>
      <c r="F430" s="100"/>
      <c r="G430" s="949" t="str">
        <f t="shared" ref="G430:R430" si="298">G38&amp;$D38</f>
        <v>0</v>
      </c>
      <c r="H430" s="949" t="str">
        <f t="shared" si="298"/>
        <v>0</v>
      </c>
      <c r="I430" s="949" t="str">
        <f t="shared" si="298"/>
        <v>0</v>
      </c>
      <c r="J430" s="949" t="str">
        <f t="shared" si="298"/>
        <v>0</v>
      </c>
      <c r="K430" s="949" t="str">
        <f t="shared" si="298"/>
        <v>0</v>
      </c>
      <c r="L430" s="949" t="str">
        <f t="shared" si="298"/>
        <v>0</v>
      </c>
      <c r="M430" s="949" t="str">
        <f t="shared" si="298"/>
        <v>0</v>
      </c>
      <c r="N430" s="949" t="str">
        <f t="shared" si="298"/>
        <v>0</v>
      </c>
      <c r="O430" s="949" t="str">
        <f t="shared" si="298"/>
        <v>0</v>
      </c>
      <c r="P430" s="949" t="str">
        <f t="shared" si="298"/>
        <v>0</v>
      </c>
      <c r="Q430" s="949" t="str">
        <f t="shared" si="298"/>
        <v>0</v>
      </c>
      <c r="R430" s="2092" t="str">
        <f t="shared" si="298"/>
        <v>0</v>
      </c>
      <c r="S430" s="2081">
        <f t="shared" si="269"/>
        <v>0</v>
      </c>
      <c r="EF430" s="5"/>
    </row>
    <row r="431" spans="1:136" ht="16.399999999999999" x14ac:dyDescent="0.2">
      <c r="A431" s="6"/>
      <c r="B431" s="2088"/>
      <c r="C431" s="100"/>
      <c r="D431" s="100"/>
      <c r="E431" s="409"/>
      <c r="F431" s="100"/>
      <c r="G431" s="949" t="str">
        <f t="shared" ref="G431:R431" si="299">G39&amp;$D39</f>
        <v>0</v>
      </c>
      <c r="H431" s="949" t="str">
        <f t="shared" si="299"/>
        <v>0</v>
      </c>
      <c r="I431" s="949" t="str">
        <f t="shared" si="299"/>
        <v>0</v>
      </c>
      <c r="J431" s="949" t="str">
        <f t="shared" si="299"/>
        <v>0</v>
      </c>
      <c r="K431" s="949" t="str">
        <f t="shared" si="299"/>
        <v>0</v>
      </c>
      <c r="L431" s="949" t="str">
        <f t="shared" si="299"/>
        <v>0</v>
      </c>
      <c r="M431" s="949" t="str">
        <f t="shared" si="299"/>
        <v>0</v>
      </c>
      <c r="N431" s="949" t="str">
        <f t="shared" si="299"/>
        <v>0</v>
      </c>
      <c r="O431" s="949" t="str">
        <f t="shared" si="299"/>
        <v>0</v>
      </c>
      <c r="P431" s="949" t="str">
        <f t="shared" si="299"/>
        <v>0</v>
      </c>
      <c r="Q431" s="949" t="str">
        <f t="shared" si="299"/>
        <v>0</v>
      </c>
      <c r="R431" s="2092" t="str">
        <f t="shared" si="299"/>
        <v>0</v>
      </c>
      <c r="S431" s="2081">
        <f t="shared" si="269"/>
        <v>0</v>
      </c>
      <c r="EF431" s="5"/>
    </row>
    <row r="432" spans="1:136" ht="16.399999999999999" x14ac:dyDescent="0.2">
      <c r="A432" s="6"/>
      <c r="B432" s="2088"/>
      <c r="C432" s="100"/>
      <c r="D432" s="100"/>
      <c r="E432" s="409"/>
      <c r="F432" s="100"/>
      <c r="G432" s="949" t="str">
        <f t="shared" ref="G432:R432" si="300">G40&amp;$D40</f>
        <v>0</v>
      </c>
      <c r="H432" s="949" t="str">
        <f t="shared" si="300"/>
        <v>0</v>
      </c>
      <c r="I432" s="949" t="str">
        <f t="shared" si="300"/>
        <v>0</v>
      </c>
      <c r="J432" s="949" t="str">
        <f t="shared" si="300"/>
        <v>0</v>
      </c>
      <c r="K432" s="949" t="str">
        <f t="shared" si="300"/>
        <v>0</v>
      </c>
      <c r="L432" s="949" t="str">
        <f t="shared" si="300"/>
        <v>0</v>
      </c>
      <c r="M432" s="949" t="str">
        <f t="shared" si="300"/>
        <v>0</v>
      </c>
      <c r="N432" s="949" t="str">
        <f t="shared" si="300"/>
        <v>0</v>
      </c>
      <c r="O432" s="949" t="str">
        <f t="shared" si="300"/>
        <v>0</v>
      </c>
      <c r="P432" s="949" t="str">
        <f t="shared" si="300"/>
        <v>0</v>
      </c>
      <c r="Q432" s="949" t="str">
        <f t="shared" si="300"/>
        <v>0</v>
      </c>
      <c r="R432" s="2092" t="str">
        <f t="shared" si="300"/>
        <v>0</v>
      </c>
      <c r="S432" s="2081">
        <f t="shared" si="269"/>
        <v>0</v>
      </c>
      <c r="EF432" s="5"/>
    </row>
    <row r="433" spans="1:136" ht="16.399999999999999" x14ac:dyDescent="0.2">
      <c r="A433" s="6"/>
      <c r="B433" s="2088"/>
      <c r="C433" s="100"/>
      <c r="D433" s="100"/>
      <c r="E433" s="409"/>
      <c r="F433" s="100"/>
      <c r="G433" s="949" t="str">
        <f t="shared" ref="G433:R433" si="301">G41&amp;$D41</f>
        <v>0</v>
      </c>
      <c r="H433" s="949" t="str">
        <f t="shared" si="301"/>
        <v>0</v>
      </c>
      <c r="I433" s="949" t="str">
        <f t="shared" si="301"/>
        <v>0</v>
      </c>
      <c r="J433" s="949" t="str">
        <f t="shared" si="301"/>
        <v>0</v>
      </c>
      <c r="K433" s="949" t="str">
        <f t="shared" si="301"/>
        <v>0</v>
      </c>
      <c r="L433" s="949" t="str">
        <f t="shared" si="301"/>
        <v>0</v>
      </c>
      <c r="M433" s="949" t="str">
        <f t="shared" si="301"/>
        <v>0</v>
      </c>
      <c r="N433" s="949" t="str">
        <f t="shared" si="301"/>
        <v>0</v>
      </c>
      <c r="O433" s="949" t="str">
        <f t="shared" si="301"/>
        <v>0</v>
      </c>
      <c r="P433" s="949" t="str">
        <f t="shared" si="301"/>
        <v>0</v>
      </c>
      <c r="Q433" s="949" t="str">
        <f t="shared" si="301"/>
        <v>0</v>
      </c>
      <c r="R433" s="2092" t="str">
        <f t="shared" si="301"/>
        <v>0</v>
      </c>
      <c r="S433" s="2081">
        <f t="shared" ref="S433:S464" si="302">C41*E41</f>
        <v>0</v>
      </c>
      <c r="EF433" s="5"/>
    </row>
    <row r="434" spans="1:136" ht="16.399999999999999" x14ac:dyDescent="0.2">
      <c r="A434" s="6"/>
      <c r="B434" s="2088"/>
      <c r="C434" s="100"/>
      <c r="D434" s="100"/>
      <c r="E434" s="409"/>
      <c r="F434" s="100"/>
      <c r="G434" s="949" t="str">
        <f t="shared" ref="G434:R434" si="303">G42&amp;$D42</f>
        <v>0</v>
      </c>
      <c r="H434" s="949" t="str">
        <f t="shared" si="303"/>
        <v>0</v>
      </c>
      <c r="I434" s="949" t="str">
        <f t="shared" si="303"/>
        <v>0</v>
      </c>
      <c r="J434" s="949" t="str">
        <f t="shared" si="303"/>
        <v>0</v>
      </c>
      <c r="K434" s="949" t="str">
        <f t="shared" si="303"/>
        <v>0</v>
      </c>
      <c r="L434" s="949" t="str">
        <f t="shared" si="303"/>
        <v>0</v>
      </c>
      <c r="M434" s="949" t="str">
        <f t="shared" si="303"/>
        <v>0</v>
      </c>
      <c r="N434" s="949" t="str">
        <f t="shared" si="303"/>
        <v>0</v>
      </c>
      <c r="O434" s="949" t="str">
        <f t="shared" si="303"/>
        <v>0</v>
      </c>
      <c r="P434" s="949" t="str">
        <f t="shared" si="303"/>
        <v>0</v>
      </c>
      <c r="Q434" s="949" t="str">
        <f t="shared" si="303"/>
        <v>0</v>
      </c>
      <c r="R434" s="2092" t="str">
        <f t="shared" si="303"/>
        <v>0</v>
      </c>
      <c r="S434" s="2081">
        <f t="shared" si="302"/>
        <v>0</v>
      </c>
      <c r="EF434" s="5"/>
    </row>
    <row r="435" spans="1:136" ht="16.399999999999999" x14ac:dyDescent="0.2">
      <c r="A435" s="6"/>
      <c r="B435" s="2088"/>
      <c r="C435" s="100"/>
      <c r="D435" s="100"/>
      <c r="E435" s="409"/>
      <c r="F435" s="100"/>
      <c r="G435" s="949" t="str">
        <f t="shared" ref="G435:R435" si="304">G43&amp;$D43</f>
        <v>0</v>
      </c>
      <c r="H435" s="949" t="str">
        <f t="shared" si="304"/>
        <v>0</v>
      </c>
      <c r="I435" s="949" t="str">
        <f t="shared" si="304"/>
        <v>0</v>
      </c>
      <c r="J435" s="949" t="str">
        <f t="shared" si="304"/>
        <v>0</v>
      </c>
      <c r="K435" s="949" t="str">
        <f t="shared" si="304"/>
        <v>0</v>
      </c>
      <c r="L435" s="949" t="str">
        <f t="shared" si="304"/>
        <v>0</v>
      </c>
      <c r="M435" s="949" t="str">
        <f t="shared" si="304"/>
        <v>0</v>
      </c>
      <c r="N435" s="949" t="str">
        <f t="shared" si="304"/>
        <v>0</v>
      </c>
      <c r="O435" s="949" t="str">
        <f t="shared" si="304"/>
        <v>0</v>
      </c>
      <c r="P435" s="949" t="str">
        <f t="shared" si="304"/>
        <v>0</v>
      </c>
      <c r="Q435" s="949" t="str">
        <f t="shared" si="304"/>
        <v>0</v>
      </c>
      <c r="R435" s="2092" t="str">
        <f t="shared" si="304"/>
        <v>0</v>
      </c>
      <c r="S435" s="2081">
        <f t="shared" si="302"/>
        <v>0</v>
      </c>
      <c r="EF435" s="5"/>
    </row>
    <row r="436" spans="1:136" ht="16.399999999999999" x14ac:dyDescent="0.2">
      <c r="A436" s="6"/>
      <c r="B436" s="2088"/>
      <c r="C436" s="100"/>
      <c r="D436" s="100"/>
      <c r="E436" s="409"/>
      <c r="F436" s="100"/>
      <c r="G436" s="949" t="str">
        <f t="shared" ref="G436:R436" si="305">G44&amp;$D44</f>
        <v>0</v>
      </c>
      <c r="H436" s="949" t="str">
        <f t="shared" si="305"/>
        <v>0</v>
      </c>
      <c r="I436" s="949" t="str">
        <f t="shared" si="305"/>
        <v>0</v>
      </c>
      <c r="J436" s="949" t="str">
        <f t="shared" si="305"/>
        <v>0</v>
      </c>
      <c r="K436" s="949" t="str">
        <f t="shared" si="305"/>
        <v>0</v>
      </c>
      <c r="L436" s="949" t="str">
        <f t="shared" si="305"/>
        <v>0</v>
      </c>
      <c r="M436" s="949" t="str">
        <f t="shared" si="305"/>
        <v>0</v>
      </c>
      <c r="N436" s="949" t="str">
        <f t="shared" si="305"/>
        <v>0</v>
      </c>
      <c r="O436" s="949" t="str">
        <f t="shared" si="305"/>
        <v>0</v>
      </c>
      <c r="P436" s="949" t="str">
        <f t="shared" si="305"/>
        <v>0</v>
      </c>
      <c r="Q436" s="949" t="str">
        <f t="shared" si="305"/>
        <v>0</v>
      </c>
      <c r="R436" s="2092" t="str">
        <f t="shared" si="305"/>
        <v>0</v>
      </c>
      <c r="S436" s="2081">
        <f t="shared" si="302"/>
        <v>0</v>
      </c>
      <c r="EF436" s="5"/>
    </row>
    <row r="437" spans="1:136" ht="16.399999999999999" x14ac:dyDescent="0.2">
      <c r="A437" s="6"/>
      <c r="B437" s="2088"/>
      <c r="C437" s="100"/>
      <c r="D437" s="100"/>
      <c r="E437" s="409"/>
      <c r="F437" s="100"/>
      <c r="G437" s="949" t="str">
        <f t="shared" ref="G437:R437" si="306">G45&amp;$D45</f>
        <v>0</v>
      </c>
      <c r="H437" s="949" t="str">
        <f t="shared" si="306"/>
        <v>0</v>
      </c>
      <c r="I437" s="949" t="str">
        <f t="shared" si="306"/>
        <v>0</v>
      </c>
      <c r="J437" s="949" t="str">
        <f t="shared" si="306"/>
        <v>0</v>
      </c>
      <c r="K437" s="949" t="str">
        <f t="shared" si="306"/>
        <v>0</v>
      </c>
      <c r="L437" s="949" t="str">
        <f t="shared" si="306"/>
        <v>0</v>
      </c>
      <c r="M437" s="949" t="str">
        <f t="shared" si="306"/>
        <v>0</v>
      </c>
      <c r="N437" s="949" t="str">
        <f t="shared" si="306"/>
        <v>0</v>
      </c>
      <c r="O437" s="949" t="str">
        <f t="shared" si="306"/>
        <v>0</v>
      </c>
      <c r="P437" s="949" t="str">
        <f t="shared" si="306"/>
        <v>0</v>
      </c>
      <c r="Q437" s="949" t="str">
        <f t="shared" si="306"/>
        <v>0</v>
      </c>
      <c r="R437" s="2092" t="str">
        <f t="shared" si="306"/>
        <v>0</v>
      </c>
      <c r="S437" s="2081">
        <f t="shared" si="302"/>
        <v>0</v>
      </c>
      <c r="EF437" s="5"/>
    </row>
    <row r="438" spans="1:136" ht="16.399999999999999" x14ac:dyDescent="0.2">
      <c r="A438" s="6"/>
      <c r="B438" s="2088"/>
      <c r="C438" s="100"/>
      <c r="D438" s="100"/>
      <c r="E438" s="409"/>
      <c r="F438" s="100"/>
      <c r="G438" s="949" t="str">
        <f t="shared" ref="G438:R438" si="307">G46&amp;$D46</f>
        <v>0</v>
      </c>
      <c r="H438" s="949" t="str">
        <f t="shared" si="307"/>
        <v>0</v>
      </c>
      <c r="I438" s="949" t="str">
        <f t="shared" si="307"/>
        <v>0</v>
      </c>
      <c r="J438" s="949" t="str">
        <f t="shared" si="307"/>
        <v>0</v>
      </c>
      <c r="K438" s="949" t="str">
        <f t="shared" si="307"/>
        <v>0</v>
      </c>
      <c r="L438" s="949" t="str">
        <f t="shared" si="307"/>
        <v>0</v>
      </c>
      <c r="M438" s="949" t="str">
        <f t="shared" si="307"/>
        <v>0</v>
      </c>
      <c r="N438" s="949" t="str">
        <f t="shared" si="307"/>
        <v>0</v>
      </c>
      <c r="O438" s="949" t="str">
        <f t="shared" si="307"/>
        <v>0</v>
      </c>
      <c r="P438" s="949" t="str">
        <f t="shared" si="307"/>
        <v>0</v>
      </c>
      <c r="Q438" s="949" t="str">
        <f t="shared" si="307"/>
        <v>0</v>
      </c>
      <c r="R438" s="2092" t="str">
        <f t="shared" si="307"/>
        <v>0</v>
      </c>
      <c r="S438" s="2081">
        <f t="shared" si="302"/>
        <v>0</v>
      </c>
      <c r="EF438" s="5"/>
    </row>
    <row r="439" spans="1:136" ht="16.399999999999999" x14ac:dyDescent="0.2">
      <c r="A439" s="6"/>
      <c r="B439" s="2088"/>
      <c r="C439" s="100"/>
      <c r="D439" s="100"/>
      <c r="E439" s="409"/>
      <c r="F439" s="100"/>
      <c r="G439" s="949" t="str">
        <f t="shared" ref="G439:R439" si="308">G47&amp;$D47</f>
        <v>0</v>
      </c>
      <c r="H439" s="949" t="str">
        <f t="shared" si="308"/>
        <v>0</v>
      </c>
      <c r="I439" s="949" t="str">
        <f t="shared" si="308"/>
        <v>0</v>
      </c>
      <c r="J439" s="949" t="str">
        <f t="shared" si="308"/>
        <v>0</v>
      </c>
      <c r="K439" s="949" t="str">
        <f t="shared" si="308"/>
        <v>0</v>
      </c>
      <c r="L439" s="949" t="str">
        <f t="shared" si="308"/>
        <v>0</v>
      </c>
      <c r="M439" s="949" t="str">
        <f t="shared" si="308"/>
        <v>0</v>
      </c>
      <c r="N439" s="949" t="str">
        <f t="shared" si="308"/>
        <v>0</v>
      </c>
      <c r="O439" s="949" t="str">
        <f t="shared" si="308"/>
        <v>0</v>
      </c>
      <c r="P439" s="949" t="str">
        <f t="shared" si="308"/>
        <v>0</v>
      </c>
      <c r="Q439" s="949" t="str">
        <f t="shared" si="308"/>
        <v>0</v>
      </c>
      <c r="R439" s="2092" t="str">
        <f t="shared" si="308"/>
        <v>0</v>
      </c>
      <c r="S439" s="2081">
        <f t="shared" si="302"/>
        <v>0</v>
      </c>
      <c r="EF439" s="5"/>
    </row>
    <row r="440" spans="1:136" ht="16.399999999999999" x14ac:dyDescent="0.2">
      <c r="A440" s="6"/>
      <c r="B440" s="2088"/>
      <c r="C440" s="100"/>
      <c r="D440" s="100"/>
      <c r="E440" s="409"/>
      <c r="F440" s="100"/>
      <c r="G440" s="949" t="str">
        <f t="shared" ref="G440:R440" si="309">G48&amp;$D48</f>
        <v>0</v>
      </c>
      <c r="H440" s="949" t="str">
        <f t="shared" si="309"/>
        <v>0</v>
      </c>
      <c r="I440" s="949" t="str">
        <f t="shared" si="309"/>
        <v>0</v>
      </c>
      <c r="J440" s="949" t="str">
        <f t="shared" si="309"/>
        <v>0</v>
      </c>
      <c r="K440" s="949" t="str">
        <f t="shared" si="309"/>
        <v>0</v>
      </c>
      <c r="L440" s="949" t="str">
        <f t="shared" si="309"/>
        <v>0</v>
      </c>
      <c r="M440" s="949" t="str">
        <f t="shared" si="309"/>
        <v>0</v>
      </c>
      <c r="N440" s="949" t="str">
        <f t="shared" si="309"/>
        <v>0</v>
      </c>
      <c r="O440" s="949" t="str">
        <f t="shared" si="309"/>
        <v>0</v>
      </c>
      <c r="P440" s="949" t="str">
        <f t="shared" si="309"/>
        <v>0</v>
      </c>
      <c r="Q440" s="949" t="str">
        <f t="shared" si="309"/>
        <v>0</v>
      </c>
      <c r="R440" s="2092" t="str">
        <f t="shared" si="309"/>
        <v>0</v>
      </c>
      <c r="S440" s="2081">
        <f t="shared" si="302"/>
        <v>0</v>
      </c>
      <c r="EF440" s="5"/>
    </row>
    <row r="441" spans="1:136" ht="16.399999999999999" x14ac:dyDescent="0.2">
      <c r="A441" s="6"/>
      <c r="B441" s="2088"/>
      <c r="C441" s="100"/>
      <c r="D441" s="100"/>
      <c r="E441" s="409"/>
      <c r="F441" s="100"/>
      <c r="G441" s="949" t="str">
        <f t="shared" ref="G441:R441" si="310">G49&amp;$D49</f>
        <v>0</v>
      </c>
      <c r="H441" s="949" t="str">
        <f t="shared" si="310"/>
        <v>0</v>
      </c>
      <c r="I441" s="949" t="str">
        <f t="shared" si="310"/>
        <v>0</v>
      </c>
      <c r="J441" s="949" t="str">
        <f t="shared" si="310"/>
        <v>0</v>
      </c>
      <c r="K441" s="949" t="str">
        <f t="shared" si="310"/>
        <v>0</v>
      </c>
      <c r="L441" s="949" t="str">
        <f t="shared" si="310"/>
        <v>0</v>
      </c>
      <c r="M441" s="949" t="str">
        <f t="shared" si="310"/>
        <v>0</v>
      </c>
      <c r="N441" s="949" t="str">
        <f t="shared" si="310"/>
        <v>0</v>
      </c>
      <c r="O441" s="949" t="str">
        <f t="shared" si="310"/>
        <v>0</v>
      </c>
      <c r="P441" s="949" t="str">
        <f t="shared" si="310"/>
        <v>0</v>
      </c>
      <c r="Q441" s="949" t="str">
        <f t="shared" si="310"/>
        <v>0</v>
      </c>
      <c r="R441" s="2092" t="str">
        <f t="shared" si="310"/>
        <v>0</v>
      </c>
      <c r="S441" s="2081">
        <f t="shared" si="302"/>
        <v>0</v>
      </c>
      <c r="EF441" s="5"/>
    </row>
    <row r="442" spans="1:136" ht="16.399999999999999" x14ac:dyDescent="0.2">
      <c r="A442" s="6"/>
      <c r="B442" s="2088"/>
      <c r="C442" s="100"/>
      <c r="D442" s="100"/>
      <c r="E442" s="409"/>
      <c r="F442" s="100"/>
      <c r="G442" s="949" t="str">
        <f t="shared" ref="G442:R442" si="311">G50&amp;$D50</f>
        <v>0</v>
      </c>
      <c r="H442" s="949" t="str">
        <f t="shared" si="311"/>
        <v>0</v>
      </c>
      <c r="I442" s="949" t="str">
        <f t="shared" si="311"/>
        <v>0</v>
      </c>
      <c r="J442" s="949" t="str">
        <f t="shared" si="311"/>
        <v>0</v>
      </c>
      <c r="K442" s="949" t="str">
        <f t="shared" si="311"/>
        <v>0</v>
      </c>
      <c r="L442" s="949" t="str">
        <f t="shared" si="311"/>
        <v>0</v>
      </c>
      <c r="M442" s="949" t="str">
        <f t="shared" si="311"/>
        <v>0</v>
      </c>
      <c r="N442" s="949" t="str">
        <f t="shared" si="311"/>
        <v>0</v>
      </c>
      <c r="O442" s="949" t="str">
        <f t="shared" si="311"/>
        <v>0</v>
      </c>
      <c r="P442" s="949" t="str">
        <f t="shared" si="311"/>
        <v>0</v>
      </c>
      <c r="Q442" s="949" t="str">
        <f t="shared" si="311"/>
        <v>0</v>
      </c>
      <c r="R442" s="2092" t="str">
        <f t="shared" si="311"/>
        <v>0</v>
      </c>
      <c r="S442" s="2081">
        <f t="shared" si="302"/>
        <v>0</v>
      </c>
      <c r="EF442" s="5"/>
    </row>
    <row r="443" spans="1:136" ht="16.399999999999999" x14ac:dyDescent="0.2">
      <c r="A443" s="6"/>
      <c r="B443" s="2088"/>
      <c r="C443" s="100"/>
      <c r="D443" s="100"/>
      <c r="E443" s="409"/>
      <c r="F443" s="100"/>
      <c r="G443" s="949" t="str">
        <f t="shared" ref="G443:R443" si="312">G51&amp;$D51</f>
        <v>0</v>
      </c>
      <c r="H443" s="949" t="str">
        <f t="shared" si="312"/>
        <v>0</v>
      </c>
      <c r="I443" s="949" t="str">
        <f t="shared" si="312"/>
        <v>0</v>
      </c>
      <c r="J443" s="949" t="str">
        <f t="shared" si="312"/>
        <v>0</v>
      </c>
      <c r="K443" s="949" t="str">
        <f t="shared" si="312"/>
        <v>0</v>
      </c>
      <c r="L443" s="949" t="str">
        <f t="shared" si="312"/>
        <v>0</v>
      </c>
      <c r="M443" s="949" t="str">
        <f t="shared" si="312"/>
        <v>0</v>
      </c>
      <c r="N443" s="949" t="str">
        <f t="shared" si="312"/>
        <v>0</v>
      </c>
      <c r="O443" s="949" t="str">
        <f t="shared" si="312"/>
        <v>0</v>
      </c>
      <c r="P443" s="949" t="str">
        <f t="shared" si="312"/>
        <v>0</v>
      </c>
      <c r="Q443" s="949" t="str">
        <f t="shared" si="312"/>
        <v>0</v>
      </c>
      <c r="R443" s="2092" t="str">
        <f t="shared" si="312"/>
        <v>0</v>
      </c>
      <c r="S443" s="2081">
        <f t="shared" si="302"/>
        <v>0</v>
      </c>
      <c r="EF443" s="5"/>
    </row>
    <row r="444" spans="1:136" ht="16.399999999999999" x14ac:dyDescent="0.2">
      <c r="A444" s="6"/>
      <c r="B444" s="2088"/>
      <c r="C444" s="100"/>
      <c r="D444" s="100"/>
      <c r="E444" s="409"/>
      <c r="F444" s="100"/>
      <c r="G444" s="949" t="str">
        <f t="shared" ref="G444:R444" si="313">G52&amp;$D52</f>
        <v>0</v>
      </c>
      <c r="H444" s="949" t="str">
        <f t="shared" si="313"/>
        <v>0</v>
      </c>
      <c r="I444" s="949" t="str">
        <f t="shared" si="313"/>
        <v>0</v>
      </c>
      <c r="J444" s="949" t="str">
        <f t="shared" si="313"/>
        <v>0</v>
      </c>
      <c r="K444" s="949" t="str">
        <f t="shared" si="313"/>
        <v>0</v>
      </c>
      <c r="L444" s="949" t="str">
        <f t="shared" si="313"/>
        <v>0</v>
      </c>
      <c r="M444" s="949" t="str">
        <f t="shared" si="313"/>
        <v>0</v>
      </c>
      <c r="N444" s="949" t="str">
        <f t="shared" si="313"/>
        <v>0</v>
      </c>
      <c r="O444" s="949" t="str">
        <f t="shared" si="313"/>
        <v>0</v>
      </c>
      <c r="P444" s="949" t="str">
        <f t="shared" si="313"/>
        <v>0</v>
      </c>
      <c r="Q444" s="949" t="str">
        <f t="shared" si="313"/>
        <v>0</v>
      </c>
      <c r="R444" s="2092" t="str">
        <f t="shared" si="313"/>
        <v>0</v>
      </c>
      <c r="S444" s="2081">
        <f t="shared" si="302"/>
        <v>0</v>
      </c>
      <c r="EF444" s="5"/>
    </row>
    <row r="445" spans="1:136" ht="16.399999999999999" x14ac:dyDescent="0.2">
      <c r="A445" s="6"/>
      <c r="B445" s="2088"/>
      <c r="C445" s="100"/>
      <c r="D445" s="100"/>
      <c r="E445" s="409"/>
      <c r="F445" s="100"/>
      <c r="G445" s="949" t="str">
        <f t="shared" ref="G445:R445" si="314">G53&amp;$D53</f>
        <v>0</v>
      </c>
      <c r="H445" s="949" t="str">
        <f t="shared" si="314"/>
        <v>0</v>
      </c>
      <c r="I445" s="949" t="str">
        <f t="shared" si="314"/>
        <v>0</v>
      </c>
      <c r="J445" s="949" t="str">
        <f t="shared" si="314"/>
        <v>0</v>
      </c>
      <c r="K445" s="949" t="str">
        <f t="shared" si="314"/>
        <v>0</v>
      </c>
      <c r="L445" s="949" t="str">
        <f t="shared" si="314"/>
        <v>0</v>
      </c>
      <c r="M445" s="949" t="str">
        <f t="shared" si="314"/>
        <v>0</v>
      </c>
      <c r="N445" s="949" t="str">
        <f t="shared" si="314"/>
        <v>0</v>
      </c>
      <c r="O445" s="949" t="str">
        <f t="shared" si="314"/>
        <v>0</v>
      </c>
      <c r="P445" s="949" t="str">
        <f t="shared" si="314"/>
        <v>0</v>
      </c>
      <c r="Q445" s="949" t="str">
        <f t="shared" si="314"/>
        <v>0</v>
      </c>
      <c r="R445" s="2092" t="str">
        <f t="shared" si="314"/>
        <v>0</v>
      </c>
      <c r="S445" s="2081">
        <f t="shared" si="302"/>
        <v>0</v>
      </c>
      <c r="EF445" s="5"/>
    </row>
    <row r="446" spans="1:136" ht="16.399999999999999" x14ac:dyDescent="0.2">
      <c r="A446" s="6"/>
      <c r="B446" s="2088"/>
      <c r="C446" s="100"/>
      <c r="D446" s="100"/>
      <c r="E446" s="409"/>
      <c r="F446" s="100"/>
      <c r="G446" s="949" t="str">
        <f t="shared" ref="G446:R446" si="315">G54&amp;$D54</f>
        <v>0</v>
      </c>
      <c r="H446" s="949" t="str">
        <f t="shared" si="315"/>
        <v>0</v>
      </c>
      <c r="I446" s="949" t="str">
        <f t="shared" si="315"/>
        <v>0</v>
      </c>
      <c r="J446" s="949" t="str">
        <f t="shared" si="315"/>
        <v>0</v>
      </c>
      <c r="K446" s="949" t="str">
        <f t="shared" si="315"/>
        <v>0</v>
      </c>
      <c r="L446" s="949" t="str">
        <f t="shared" si="315"/>
        <v>0</v>
      </c>
      <c r="M446" s="949" t="str">
        <f t="shared" si="315"/>
        <v>0</v>
      </c>
      <c r="N446" s="949" t="str">
        <f t="shared" si="315"/>
        <v>0</v>
      </c>
      <c r="O446" s="949" t="str">
        <f t="shared" si="315"/>
        <v>0</v>
      </c>
      <c r="P446" s="949" t="str">
        <f t="shared" si="315"/>
        <v>0</v>
      </c>
      <c r="Q446" s="949" t="str">
        <f t="shared" si="315"/>
        <v>0</v>
      </c>
      <c r="R446" s="2092" t="str">
        <f t="shared" si="315"/>
        <v>0</v>
      </c>
      <c r="S446" s="2081">
        <f t="shared" si="302"/>
        <v>0</v>
      </c>
      <c r="EF446" s="5"/>
    </row>
    <row r="447" spans="1:136" ht="16.399999999999999" x14ac:dyDescent="0.2">
      <c r="A447" s="6"/>
      <c r="B447" s="2088"/>
      <c r="C447" s="100"/>
      <c r="D447" s="100"/>
      <c r="E447" s="409"/>
      <c r="F447" s="100"/>
      <c r="G447" s="949" t="str">
        <f t="shared" ref="G447:R447" si="316">G55&amp;$D55</f>
        <v>0</v>
      </c>
      <c r="H447" s="949" t="str">
        <f t="shared" si="316"/>
        <v>0</v>
      </c>
      <c r="I447" s="949" t="str">
        <f t="shared" si="316"/>
        <v>0</v>
      </c>
      <c r="J447" s="949" t="str">
        <f t="shared" si="316"/>
        <v>0</v>
      </c>
      <c r="K447" s="949" t="str">
        <f t="shared" si="316"/>
        <v>0</v>
      </c>
      <c r="L447" s="949" t="str">
        <f t="shared" si="316"/>
        <v>0</v>
      </c>
      <c r="M447" s="949" t="str">
        <f t="shared" si="316"/>
        <v>0</v>
      </c>
      <c r="N447" s="949" t="str">
        <f t="shared" si="316"/>
        <v>0</v>
      </c>
      <c r="O447" s="949" t="str">
        <f t="shared" si="316"/>
        <v>0</v>
      </c>
      <c r="P447" s="949" t="str">
        <f t="shared" si="316"/>
        <v>0</v>
      </c>
      <c r="Q447" s="949" t="str">
        <f t="shared" si="316"/>
        <v>0</v>
      </c>
      <c r="R447" s="2092" t="str">
        <f t="shared" si="316"/>
        <v>0</v>
      </c>
      <c r="S447" s="2081">
        <f t="shared" si="302"/>
        <v>0</v>
      </c>
      <c r="EF447" s="5"/>
    </row>
    <row r="448" spans="1:136" ht="16.399999999999999" x14ac:dyDescent="0.2">
      <c r="A448" s="6"/>
      <c r="B448" s="2088"/>
      <c r="C448" s="100"/>
      <c r="D448" s="100"/>
      <c r="E448" s="409"/>
      <c r="F448" s="100"/>
      <c r="G448" s="949" t="str">
        <f t="shared" ref="G448:R448" si="317">G56&amp;$D56</f>
        <v>0</v>
      </c>
      <c r="H448" s="949" t="str">
        <f t="shared" si="317"/>
        <v>0</v>
      </c>
      <c r="I448" s="949" t="str">
        <f t="shared" si="317"/>
        <v>0</v>
      </c>
      <c r="J448" s="949" t="str">
        <f t="shared" si="317"/>
        <v>0</v>
      </c>
      <c r="K448" s="949" t="str">
        <f t="shared" si="317"/>
        <v>0</v>
      </c>
      <c r="L448" s="949" t="str">
        <f t="shared" si="317"/>
        <v>0</v>
      </c>
      <c r="M448" s="949" t="str">
        <f t="shared" si="317"/>
        <v>0</v>
      </c>
      <c r="N448" s="949" t="str">
        <f t="shared" si="317"/>
        <v>0</v>
      </c>
      <c r="O448" s="949" t="str">
        <f t="shared" si="317"/>
        <v>0</v>
      </c>
      <c r="P448" s="949" t="str">
        <f t="shared" si="317"/>
        <v>0</v>
      </c>
      <c r="Q448" s="949" t="str">
        <f t="shared" si="317"/>
        <v>0</v>
      </c>
      <c r="R448" s="2092" t="str">
        <f t="shared" si="317"/>
        <v>0</v>
      </c>
      <c r="S448" s="2081">
        <f t="shared" si="302"/>
        <v>0</v>
      </c>
      <c r="EF448" s="5"/>
    </row>
    <row r="449" spans="1:136" ht="16.399999999999999" x14ac:dyDescent="0.2">
      <c r="A449" s="6"/>
      <c r="B449" s="2088"/>
      <c r="C449" s="100"/>
      <c r="D449" s="100"/>
      <c r="E449" s="410"/>
      <c r="F449" s="100"/>
      <c r="G449" s="949" t="str">
        <f t="shared" ref="G449:R449" si="318">G57&amp;$D57</f>
        <v>0</v>
      </c>
      <c r="H449" s="949" t="str">
        <f t="shared" si="318"/>
        <v>0</v>
      </c>
      <c r="I449" s="949" t="str">
        <f t="shared" si="318"/>
        <v>0</v>
      </c>
      <c r="J449" s="949" t="str">
        <f t="shared" si="318"/>
        <v>0</v>
      </c>
      <c r="K449" s="949" t="str">
        <f t="shared" si="318"/>
        <v>0</v>
      </c>
      <c r="L449" s="949" t="str">
        <f t="shared" si="318"/>
        <v>0</v>
      </c>
      <c r="M449" s="949" t="str">
        <f t="shared" si="318"/>
        <v>0</v>
      </c>
      <c r="N449" s="949" t="str">
        <f t="shared" si="318"/>
        <v>0</v>
      </c>
      <c r="O449" s="949" t="str">
        <f t="shared" si="318"/>
        <v>0</v>
      </c>
      <c r="P449" s="949" t="str">
        <f t="shared" si="318"/>
        <v>0</v>
      </c>
      <c r="Q449" s="949" t="str">
        <f t="shared" si="318"/>
        <v>0</v>
      </c>
      <c r="R449" s="2092" t="str">
        <f t="shared" si="318"/>
        <v>0</v>
      </c>
      <c r="S449" s="2081">
        <f t="shared" si="302"/>
        <v>0</v>
      </c>
      <c r="EF449" s="5"/>
    </row>
    <row r="450" spans="1:136" ht="16.399999999999999" x14ac:dyDescent="0.2">
      <c r="A450" s="6"/>
      <c r="B450" s="2088"/>
      <c r="C450" s="100"/>
      <c r="D450" s="100"/>
      <c r="E450" s="410"/>
      <c r="F450" s="100"/>
      <c r="G450" s="949" t="str">
        <f t="shared" ref="G450:R450" si="319">G58&amp;$D58</f>
        <v>0</v>
      </c>
      <c r="H450" s="949" t="str">
        <f t="shared" si="319"/>
        <v>0</v>
      </c>
      <c r="I450" s="949" t="str">
        <f t="shared" si="319"/>
        <v>0</v>
      </c>
      <c r="J450" s="949" t="str">
        <f t="shared" si="319"/>
        <v>0</v>
      </c>
      <c r="K450" s="949" t="str">
        <f t="shared" si="319"/>
        <v>0</v>
      </c>
      <c r="L450" s="949" t="str">
        <f t="shared" si="319"/>
        <v>0</v>
      </c>
      <c r="M450" s="949" t="str">
        <f t="shared" si="319"/>
        <v>0</v>
      </c>
      <c r="N450" s="949" t="str">
        <f t="shared" si="319"/>
        <v>0</v>
      </c>
      <c r="O450" s="949" t="str">
        <f t="shared" si="319"/>
        <v>0</v>
      </c>
      <c r="P450" s="949" t="str">
        <f t="shared" si="319"/>
        <v>0</v>
      </c>
      <c r="Q450" s="949" t="str">
        <f t="shared" si="319"/>
        <v>0</v>
      </c>
      <c r="R450" s="2092" t="str">
        <f t="shared" si="319"/>
        <v>0</v>
      </c>
      <c r="S450" s="2081">
        <f t="shared" si="302"/>
        <v>0</v>
      </c>
      <c r="EF450" s="5"/>
    </row>
    <row r="451" spans="1:136" ht="16.399999999999999" x14ac:dyDescent="0.2">
      <c r="A451" s="6"/>
      <c r="B451" s="2088"/>
      <c r="C451" s="100"/>
      <c r="D451" s="100"/>
      <c r="E451" s="410"/>
      <c r="F451" s="100"/>
      <c r="G451" s="949" t="str">
        <f t="shared" ref="G451:R451" si="320">G59&amp;$D59</f>
        <v>0</v>
      </c>
      <c r="H451" s="949" t="str">
        <f t="shared" si="320"/>
        <v>0</v>
      </c>
      <c r="I451" s="949" t="str">
        <f t="shared" si="320"/>
        <v>0</v>
      </c>
      <c r="J451" s="949" t="str">
        <f t="shared" si="320"/>
        <v>0</v>
      </c>
      <c r="K451" s="949" t="str">
        <f t="shared" si="320"/>
        <v>0</v>
      </c>
      <c r="L451" s="949" t="str">
        <f t="shared" si="320"/>
        <v>0</v>
      </c>
      <c r="M451" s="949" t="str">
        <f t="shared" si="320"/>
        <v>0</v>
      </c>
      <c r="N451" s="949" t="str">
        <f t="shared" si="320"/>
        <v>0</v>
      </c>
      <c r="O451" s="949" t="str">
        <f t="shared" si="320"/>
        <v>0</v>
      </c>
      <c r="P451" s="949" t="str">
        <f t="shared" si="320"/>
        <v>0</v>
      </c>
      <c r="Q451" s="949" t="str">
        <f t="shared" si="320"/>
        <v>0</v>
      </c>
      <c r="R451" s="2092" t="str">
        <f t="shared" si="320"/>
        <v>0</v>
      </c>
      <c r="S451" s="2081">
        <f t="shared" si="302"/>
        <v>0</v>
      </c>
      <c r="EF451" s="5"/>
    </row>
    <row r="452" spans="1:136" ht="16.399999999999999" x14ac:dyDescent="0.2">
      <c r="A452" s="6"/>
      <c r="B452" s="2088"/>
      <c r="C452" s="100"/>
      <c r="D452" s="100"/>
      <c r="E452" s="409"/>
      <c r="F452" s="100"/>
      <c r="G452" s="949" t="str">
        <f t="shared" ref="G452:R452" si="321">G60&amp;$D60</f>
        <v>0</v>
      </c>
      <c r="H452" s="949" t="str">
        <f t="shared" si="321"/>
        <v>0</v>
      </c>
      <c r="I452" s="949" t="str">
        <f t="shared" si="321"/>
        <v>0</v>
      </c>
      <c r="J452" s="949" t="str">
        <f t="shared" si="321"/>
        <v>0</v>
      </c>
      <c r="K452" s="949" t="str">
        <f t="shared" si="321"/>
        <v>0</v>
      </c>
      <c r="L452" s="949" t="str">
        <f t="shared" si="321"/>
        <v>0</v>
      </c>
      <c r="M452" s="949" t="str">
        <f t="shared" si="321"/>
        <v>0</v>
      </c>
      <c r="N452" s="949" t="str">
        <f t="shared" si="321"/>
        <v>0</v>
      </c>
      <c r="O452" s="949" t="str">
        <f t="shared" si="321"/>
        <v>0</v>
      </c>
      <c r="P452" s="949" t="str">
        <f t="shared" si="321"/>
        <v>0</v>
      </c>
      <c r="Q452" s="949" t="str">
        <f t="shared" si="321"/>
        <v>0</v>
      </c>
      <c r="R452" s="2092" t="str">
        <f t="shared" si="321"/>
        <v>0</v>
      </c>
      <c r="S452" s="2081">
        <f t="shared" si="302"/>
        <v>0</v>
      </c>
      <c r="EF452" s="5"/>
    </row>
    <row r="453" spans="1:136" ht="16.399999999999999" x14ac:dyDescent="0.2">
      <c r="A453" s="6"/>
      <c r="B453" s="2088"/>
      <c r="C453" s="100"/>
      <c r="D453" s="100"/>
      <c r="E453" s="409"/>
      <c r="F453" s="100"/>
      <c r="G453" s="949" t="str">
        <f t="shared" ref="G453:R453" si="322">G61&amp;$D61</f>
        <v>0</v>
      </c>
      <c r="H453" s="949" t="str">
        <f t="shared" si="322"/>
        <v>0</v>
      </c>
      <c r="I453" s="949" t="str">
        <f t="shared" si="322"/>
        <v>0</v>
      </c>
      <c r="J453" s="949" t="str">
        <f t="shared" si="322"/>
        <v>0</v>
      </c>
      <c r="K453" s="949" t="str">
        <f t="shared" si="322"/>
        <v>0</v>
      </c>
      <c r="L453" s="949" t="str">
        <f t="shared" si="322"/>
        <v>0</v>
      </c>
      <c r="M453" s="949" t="str">
        <f t="shared" si="322"/>
        <v>0</v>
      </c>
      <c r="N453" s="949" t="str">
        <f t="shared" si="322"/>
        <v>0</v>
      </c>
      <c r="O453" s="949" t="str">
        <f t="shared" si="322"/>
        <v>0</v>
      </c>
      <c r="P453" s="949" t="str">
        <f t="shared" si="322"/>
        <v>0</v>
      </c>
      <c r="Q453" s="949" t="str">
        <f t="shared" si="322"/>
        <v>0</v>
      </c>
      <c r="R453" s="2092" t="str">
        <f t="shared" si="322"/>
        <v>0</v>
      </c>
      <c r="S453" s="2081">
        <f t="shared" si="302"/>
        <v>0</v>
      </c>
      <c r="EF453" s="5"/>
    </row>
    <row r="454" spans="1:136" ht="16.399999999999999" x14ac:dyDescent="0.2">
      <c r="A454" s="6"/>
      <c r="B454" s="2088"/>
      <c r="C454" s="100"/>
      <c r="D454" s="100"/>
      <c r="E454" s="409"/>
      <c r="F454" s="100"/>
      <c r="G454" s="949" t="str">
        <f t="shared" ref="G454:R454" si="323">G62&amp;$D62</f>
        <v>0</v>
      </c>
      <c r="H454" s="949" t="str">
        <f t="shared" si="323"/>
        <v>0</v>
      </c>
      <c r="I454" s="949" t="str">
        <f t="shared" si="323"/>
        <v>0</v>
      </c>
      <c r="J454" s="949" t="str">
        <f t="shared" si="323"/>
        <v>0</v>
      </c>
      <c r="K454" s="949" t="str">
        <f t="shared" si="323"/>
        <v>0</v>
      </c>
      <c r="L454" s="949" t="str">
        <f t="shared" si="323"/>
        <v>0</v>
      </c>
      <c r="M454" s="949" t="str">
        <f t="shared" si="323"/>
        <v>0</v>
      </c>
      <c r="N454" s="949" t="str">
        <f t="shared" si="323"/>
        <v>0</v>
      </c>
      <c r="O454" s="949" t="str">
        <f t="shared" si="323"/>
        <v>0</v>
      </c>
      <c r="P454" s="949" t="str">
        <f t="shared" si="323"/>
        <v>0</v>
      </c>
      <c r="Q454" s="949" t="str">
        <f t="shared" si="323"/>
        <v>0</v>
      </c>
      <c r="R454" s="2092" t="str">
        <f t="shared" si="323"/>
        <v>0</v>
      </c>
      <c r="S454" s="2081">
        <f t="shared" si="302"/>
        <v>0</v>
      </c>
      <c r="EF454" s="5"/>
    </row>
    <row r="455" spans="1:136" ht="16.399999999999999" x14ac:dyDescent="0.2">
      <c r="A455" s="6"/>
      <c r="B455" s="2088"/>
      <c r="C455" s="100"/>
      <c r="D455" s="100"/>
      <c r="E455" s="409"/>
      <c r="F455" s="100"/>
      <c r="G455" s="949" t="str">
        <f t="shared" ref="G455:R455" si="324">G63&amp;$D63</f>
        <v>0</v>
      </c>
      <c r="H455" s="949" t="str">
        <f t="shared" si="324"/>
        <v>0</v>
      </c>
      <c r="I455" s="949" t="str">
        <f t="shared" si="324"/>
        <v>0</v>
      </c>
      <c r="J455" s="949" t="str">
        <f t="shared" si="324"/>
        <v>0</v>
      </c>
      <c r="K455" s="949" t="str">
        <f t="shared" si="324"/>
        <v>0</v>
      </c>
      <c r="L455" s="949" t="str">
        <f t="shared" si="324"/>
        <v>0</v>
      </c>
      <c r="M455" s="949" t="str">
        <f t="shared" si="324"/>
        <v>0</v>
      </c>
      <c r="N455" s="949" t="str">
        <f t="shared" si="324"/>
        <v>0</v>
      </c>
      <c r="O455" s="949" t="str">
        <f t="shared" si="324"/>
        <v>0</v>
      </c>
      <c r="P455" s="949" t="str">
        <f t="shared" si="324"/>
        <v>0</v>
      </c>
      <c r="Q455" s="949" t="str">
        <f t="shared" si="324"/>
        <v>0</v>
      </c>
      <c r="R455" s="2092" t="str">
        <f t="shared" si="324"/>
        <v>0</v>
      </c>
      <c r="S455" s="2081">
        <f t="shared" si="302"/>
        <v>0</v>
      </c>
      <c r="EF455" s="5"/>
    </row>
    <row r="456" spans="1:136" ht="16.399999999999999" x14ac:dyDescent="0.2">
      <c r="A456" s="6"/>
      <c r="B456" s="2088"/>
      <c r="C456" s="100"/>
      <c r="D456" s="100"/>
      <c r="E456" s="100"/>
      <c r="F456" s="100"/>
      <c r="G456" s="949" t="str">
        <f t="shared" ref="G456:R456" si="325">G64&amp;$D64</f>
        <v>0</v>
      </c>
      <c r="H456" s="949" t="str">
        <f t="shared" si="325"/>
        <v>0</v>
      </c>
      <c r="I456" s="949" t="str">
        <f t="shared" si="325"/>
        <v>0</v>
      </c>
      <c r="J456" s="949" t="str">
        <f t="shared" si="325"/>
        <v>0</v>
      </c>
      <c r="K456" s="949" t="str">
        <f t="shared" si="325"/>
        <v>0</v>
      </c>
      <c r="L456" s="949" t="str">
        <f t="shared" si="325"/>
        <v>0</v>
      </c>
      <c r="M456" s="949" t="str">
        <f t="shared" si="325"/>
        <v>0</v>
      </c>
      <c r="N456" s="949" t="str">
        <f t="shared" si="325"/>
        <v>0</v>
      </c>
      <c r="O456" s="949" t="str">
        <f t="shared" si="325"/>
        <v>0</v>
      </c>
      <c r="P456" s="949" t="str">
        <f t="shared" si="325"/>
        <v>0</v>
      </c>
      <c r="Q456" s="949" t="str">
        <f t="shared" si="325"/>
        <v>0</v>
      </c>
      <c r="R456" s="2092" t="str">
        <f t="shared" si="325"/>
        <v>0</v>
      </c>
      <c r="S456" s="2081">
        <f t="shared" si="302"/>
        <v>0</v>
      </c>
      <c r="EF456" s="5"/>
    </row>
    <row r="457" spans="1:136" ht="16.399999999999999" x14ac:dyDescent="0.2">
      <c r="A457" s="6"/>
      <c r="B457" s="2088"/>
      <c r="C457" s="100"/>
      <c r="D457" s="100"/>
      <c r="E457" s="100"/>
      <c r="F457" s="100"/>
      <c r="G457" s="949" t="str">
        <f t="shared" ref="G457:R457" si="326">G65&amp;$D65</f>
        <v>0</v>
      </c>
      <c r="H457" s="949" t="str">
        <f t="shared" si="326"/>
        <v>0</v>
      </c>
      <c r="I457" s="949" t="str">
        <f t="shared" si="326"/>
        <v>0</v>
      </c>
      <c r="J457" s="949" t="str">
        <f t="shared" si="326"/>
        <v>0</v>
      </c>
      <c r="K457" s="949" t="str">
        <f t="shared" si="326"/>
        <v>0</v>
      </c>
      <c r="L457" s="949" t="str">
        <f t="shared" si="326"/>
        <v>0</v>
      </c>
      <c r="M457" s="949" t="str">
        <f t="shared" si="326"/>
        <v>0</v>
      </c>
      <c r="N457" s="949" t="str">
        <f t="shared" si="326"/>
        <v>0</v>
      </c>
      <c r="O457" s="949" t="str">
        <f t="shared" si="326"/>
        <v>0</v>
      </c>
      <c r="P457" s="949" t="str">
        <f t="shared" si="326"/>
        <v>0</v>
      </c>
      <c r="Q457" s="949" t="str">
        <f t="shared" si="326"/>
        <v>0</v>
      </c>
      <c r="R457" s="2092" t="str">
        <f t="shared" si="326"/>
        <v>0</v>
      </c>
      <c r="S457" s="2081">
        <f t="shared" si="302"/>
        <v>0</v>
      </c>
      <c r="EF457" s="5"/>
    </row>
    <row r="458" spans="1:136" ht="16.399999999999999" x14ac:dyDescent="0.2">
      <c r="A458" s="6"/>
      <c r="B458" s="2088"/>
      <c r="C458" s="100"/>
      <c r="D458" s="100"/>
      <c r="E458" s="100"/>
      <c r="F458" s="100"/>
      <c r="G458" s="949" t="str">
        <f t="shared" ref="G458:R458" si="327">G66&amp;$D66</f>
        <v>0</v>
      </c>
      <c r="H458" s="949" t="str">
        <f t="shared" si="327"/>
        <v>0</v>
      </c>
      <c r="I458" s="949" t="str">
        <f t="shared" si="327"/>
        <v>0</v>
      </c>
      <c r="J458" s="949" t="str">
        <f t="shared" si="327"/>
        <v>0</v>
      </c>
      <c r="K458" s="949" t="str">
        <f t="shared" si="327"/>
        <v>0</v>
      </c>
      <c r="L458" s="949" t="str">
        <f t="shared" si="327"/>
        <v>0</v>
      </c>
      <c r="M458" s="949" t="str">
        <f t="shared" si="327"/>
        <v>0</v>
      </c>
      <c r="N458" s="949" t="str">
        <f t="shared" si="327"/>
        <v>0</v>
      </c>
      <c r="O458" s="949" t="str">
        <f t="shared" si="327"/>
        <v>0</v>
      </c>
      <c r="P458" s="949" t="str">
        <f t="shared" si="327"/>
        <v>0</v>
      </c>
      <c r="Q458" s="949" t="str">
        <f t="shared" si="327"/>
        <v>0</v>
      </c>
      <c r="R458" s="2092" t="str">
        <f t="shared" si="327"/>
        <v>0</v>
      </c>
      <c r="S458" s="2081">
        <f t="shared" si="302"/>
        <v>0</v>
      </c>
      <c r="EF458" s="5"/>
    </row>
    <row r="459" spans="1:136" ht="16.399999999999999" x14ac:dyDescent="0.2">
      <c r="A459" s="6"/>
      <c r="B459" s="2088"/>
      <c r="C459" s="100"/>
      <c r="D459" s="100"/>
      <c r="E459" s="100"/>
      <c r="F459" s="100"/>
      <c r="G459" s="949" t="str">
        <f t="shared" ref="G459:R459" si="328">G67&amp;$D67</f>
        <v>0</v>
      </c>
      <c r="H459" s="949" t="str">
        <f t="shared" si="328"/>
        <v>0</v>
      </c>
      <c r="I459" s="949" t="str">
        <f t="shared" si="328"/>
        <v>0</v>
      </c>
      <c r="J459" s="949" t="str">
        <f t="shared" si="328"/>
        <v>0</v>
      </c>
      <c r="K459" s="949" t="str">
        <f t="shared" si="328"/>
        <v>0</v>
      </c>
      <c r="L459" s="949" t="str">
        <f t="shared" si="328"/>
        <v>0</v>
      </c>
      <c r="M459" s="949" t="str">
        <f t="shared" si="328"/>
        <v>0</v>
      </c>
      <c r="N459" s="949" t="str">
        <f t="shared" si="328"/>
        <v>0</v>
      </c>
      <c r="O459" s="949" t="str">
        <f t="shared" si="328"/>
        <v>0</v>
      </c>
      <c r="P459" s="949" t="str">
        <f t="shared" si="328"/>
        <v>0</v>
      </c>
      <c r="Q459" s="949" t="str">
        <f t="shared" si="328"/>
        <v>0</v>
      </c>
      <c r="R459" s="2092" t="str">
        <f t="shared" si="328"/>
        <v>0</v>
      </c>
      <c r="S459" s="2081">
        <f t="shared" si="302"/>
        <v>0</v>
      </c>
      <c r="EF459" s="5"/>
    </row>
    <row r="460" spans="1:136" ht="16.399999999999999" x14ac:dyDescent="0.2">
      <c r="A460" s="6"/>
      <c r="B460" s="2088"/>
      <c r="C460" s="100"/>
      <c r="D460" s="100"/>
      <c r="E460" s="100"/>
      <c r="F460" s="100"/>
      <c r="G460" s="949" t="str">
        <f t="shared" ref="G460:R460" si="329">G68&amp;$D68</f>
        <v>0</v>
      </c>
      <c r="H460" s="949" t="str">
        <f t="shared" si="329"/>
        <v>0</v>
      </c>
      <c r="I460" s="949" t="str">
        <f t="shared" si="329"/>
        <v>0</v>
      </c>
      <c r="J460" s="949" t="str">
        <f t="shared" si="329"/>
        <v>0</v>
      </c>
      <c r="K460" s="949" t="str">
        <f t="shared" si="329"/>
        <v>0</v>
      </c>
      <c r="L460" s="949" t="str">
        <f t="shared" si="329"/>
        <v>0</v>
      </c>
      <c r="M460" s="949" t="str">
        <f t="shared" si="329"/>
        <v>0</v>
      </c>
      <c r="N460" s="949" t="str">
        <f t="shared" si="329"/>
        <v>0</v>
      </c>
      <c r="O460" s="949" t="str">
        <f t="shared" si="329"/>
        <v>0</v>
      </c>
      <c r="P460" s="949" t="str">
        <f t="shared" si="329"/>
        <v>0</v>
      </c>
      <c r="Q460" s="949" t="str">
        <f t="shared" si="329"/>
        <v>0</v>
      </c>
      <c r="R460" s="2092" t="str">
        <f t="shared" si="329"/>
        <v>0</v>
      </c>
      <c r="S460" s="2081">
        <f t="shared" si="302"/>
        <v>0</v>
      </c>
      <c r="EF460" s="5"/>
    </row>
    <row r="461" spans="1:136" ht="16.399999999999999" x14ac:dyDescent="0.2">
      <c r="A461" s="6"/>
      <c r="B461" s="2088"/>
      <c r="C461" s="100"/>
      <c r="D461" s="100"/>
      <c r="E461" s="100"/>
      <c r="F461" s="100"/>
      <c r="G461" s="949" t="str">
        <f t="shared" ref="G461:R461" si="330">G69&amp;$D69</f>
        <v>0</v>
      </c>
      <c r="H461" s="949" t="str">
        <f t="shared" si="330"/>
        <v>0</v>
      </c>
      <c r="I461" s="949" t="str">
        <f t="shared" si="330"/>
        <v>0</v>
      </c>
      <c r="J461" s="949" t="str">
        <f t="shared" si="330"/>
        <v>0</v>
      </c>
      <c r="K461" s="949" t="str">
        <f t="shared" si="330"/>
        <v>0</v>
      </c>
      <c r="L461" s="949" t="str">
        <f t="shared" si="330"/>
        <v>0</v>
      </c>
      <c r="M461" s="949" t="str">
        <f t="shared" si="330"/>
        <v>0</v>
      </c>
      <c r="N461" s="949" t="str">
        <f t="shared" si="330"/>
        <v>0</v>
      </c>
      <c r="O461" s="949" t="str">
        <f t="shared" si="330"/>
        <v>0</v>
      </c>
      <c r="P461" s="949" t="str">
        <f t="shared" si="330"/>
        <v>0</v>
      </c>
      <c r="Q461" s="949" t="str">
        <f t="shared" si="330"/>
        <v>0</v>
      </c>
      <c r="R461" s="2092" t="str">
        <f t="shared" si="330"/>
        <v>0</v>
      </c>
      <c r="S461" s="2081">
        <f t="shared" si="302"/>
        <v>0</v>
      </c>
      <c r="EF461" s="5"/>
    </row>
    <row r="462" spans="1:136" ht="16.399999999999999" x14ac:dyDescent="0.2">
      <c r="A462" s="6"/>
      <c r="B462" s="2088"/>
      <c r="C462" s="100"/>
      <c r="D462" s="100"/>
      <c r="E462" s="100"/>
      <c r="F462" s="100"/>
      <c r="G462" s="949" t="str">
        <f t="shared" ref="G462:R462" si="331">G70&amp;$D70</f>
        <v>0</v>
      </c>
      <c r="H462" s="949" t="str">
        <f t="shared" si="331"/>
        <v>0</v>
      </c>
      <c r="I462" s="949" t="str">
        <f t="shared" si="331"/>
        <v>0</v>
      </c>
      <c r="J462" s="949" t="str">
        <f t="shared" si="331"/>
        <v>0</v>
      </c>
      <c r="K462" s="949" t="str">
        <f t="shared" si="331"/>
        <v>0</v>
      </c>
      <c r="L462" s="949" t="str">
        <f t="shared" si="331"/>
        <v>0</v>
      </c>
      <c r="M462" s="949" t="str">
        <f t="shared" si="331"/>
        <v>0</v>
      </c>
      <c r="N462" s="949" t="str">
        <f t="shared" si="331"/>
        <v>0</v>
      </c>
      <c r="O462" s="949" t="str">
        <f t="shared" si="331"/>
        <v>0</v>
      </c>
      <c r="P462" s="949" t="str">
        <f t="shared" si="331"/>
        <v>0</v>
      </c>
      <c r="Q462" s="949" t="str">
        <f t="shared" si="331"/>
        <v>0</v>
      </c>
      <c r="R462" s="2092" t="str">
        <f t="shared" si="331"/>
        <v>0</v>
      </c>
      <c r="S462" s="2081">
        <f t="shared" si="302"/>
        <v>0</v>
      </c>
      <c r="EF462" s="5"/>
    </row>
    <row r="463" spans="1:136" ht="16.399999999999999" x14ac:dyDescent="0.2">
      <c r="A463" s="6"/>
      <c r="B463" s="2088"/>
      <c r="C463" s="100"/>
      <c r="D463" s="100"/>
      <c r="E463" s="100"/>
      <c r="F463" s="100"/>
      <c r="G463" s="949" t="str">
        <f t="shared" ref="G463:R463" si="332">G71&amp;$D71</f>
        <v>0</v>
      </c>
      <c r="H463" s="949" t="str">
        <f t="shared" si="332"/>
        <v>0</v>
      </c>
      <c r="I463" s="949" t="str">
        <f t="shared" si="332"/>
        <v>0</v>
      </c>
      <c r="J463" s="949" t="str">
        <f t="shared" si="332"/>
        <v>0</v>
      </c>
      <c r="K463" s="949" t="str">
        <f t="shared" si="332"/>
        <v>0</v>
      </c>
      <c r="L463" s="949" t="str">
        <f t="shared" si="332"/>
        <v>0</v>
      </c>
      <c r="M463" s="949" t="str">
        <f t="shared" si="332"/>
        <v>0</v>
      </c>
      <c r="N463" s="949" t="str">
        <f t="shared" si="332"/>
        <v>0</v>
      </c>
      <c r="O463" s="949" t="str">
        <f t="shared" si="332"/>
        <v>0</v>
      </c>
      <c r="P463" s="949" t="str">
        <f t="shared" si="332"/>
        <v>0</v>
      </c>
      <c r="Q463" s="949" t="str">
        <f t="shared" si="332"/>
        <v>0</v>
      </c>
      <c r="R463" s="2092" t="str">
        <f t="shared" si="332"/>
        <v>0</v>
      </c>
      <c r="S463" s="2081">
        <f t="shared" si="302"/>
        <v>0</v>
      </c>
      <c r="EF463" s="5"/>
    </row>
    <row r="464" spans="1:136" ht="16.399999999999999" x14ac:dyDescent="0.2">
      <c r="A464" s="6"/>
      <c r="B464" s="2088"/>
      <c r="C464" s="100"/>
      <c r="D464" s="100"/>
      <c r="E464" s="100"/>
      <c r="F464" s="100"/>
      <c r="G464" s="949" t="str">
        <f t="shared" ref="G464:R464" si="333">G72&amp;$D72</f>
        <v>0</v>
      </c>
      <c r="H464" s="949" t="str">
        <f t="shared" si="333"/>
        <v>0</v>
      </c>
      <c r="I464" s="949" t="str">
        <f t="shared" si="333"/>
        <v>0</v>
      </c>
      <c r="J464" s="949" t="str">
        <f t="shared" si="333"/>
        <v>0</v>
      </c>
      <c r="K464" s="949" t="str">
        <f t="shared" si="333"/>
        <v>0</v>
      </c>
      <c r="L464" s="949" t="str">
        <f t="shared" si="333"/>
        <v>0</v>
      </c>
      <c r="M464" s="949" t="str">
        <f t="shared" si="333"/>
        <v>0</v>
      </c>
      <c r="N464" s="949" t="str">
        <f t="shared" si="333"/>
        <v>0</v>
      </c>
      <c r="O464" s="949" t="str">
        <f t="shared" si="333"/>
        <v>0</v>
      </c>
      <c r="P464" s="949" t="str">
        <f t="shared" si="333"/>
        <v>0</v>
      </c>
      <c r="Q464" s="949" t="str">
        <f t="shared" si="333"/>
        <v>0</v>
      </c>
      <c r="R464" s="2092" t="str">
        <f t="shared" si="333"/>
        <v>0</v>
      </c>
      <c r="S464" s="2081">
        <f t="shared" si="302"/>
        <v>0</v>
      </c>
      <c r="EF464" s="5"/>
    </row>
    <row r="465" spans="1:136" ht="16.399999999999999" x14ac:dyDescent="0.2">
      <c r="A465" s="6"/>
      <c r="B465" s="2088"/>
      <c r="C465" s="100"/>
      <c r="D465" s="100"/>
      <c r="E465" s="100"/>
      <c r="F465" s="100"/>
      <c r="G465" s="949" t="str">
        <f t="shared" ref="G465:R465" si="334">G73&amp;$D73</f>
        <v>0</v>
      </c>
      <c r="H465" s="949" t="str">
        <f t="shared" si="334"/>
        <v>0</v>
      </c>
      <c r="I465" s="949" t="str">
        <f t="shared" si="334"/>
        <v>0</v>
      </c>
      <c r="J465" s="949" t="str">
        <f t="shared" si="334"/>
        <v>0</v>
      </c>
      <c r="K465" s="949" t="str">
        <f t="shared" si="334"/>
        <v>0</v>
      </c>
      <c r="L465" s="949" t="str">
        <f t="shared" si="334"/>
        <v>0</v>
      </c>
      <c r="M465" s="949" t="str">
        <f t="shared" si="334"/>
        <v>0</v>
      </c>
      <c r="N465" s="949" t="str">
        <f t="shared" si="334"/>
        <v>0</v>
      </c>
      <c r="O465" s="949" t="str">
        <f t="shared" si="334"/>
        <v>0</v>
      </c>
      <c r="P465" s="949" t="str">
        <f t="shared" si="334"/>
        <v>0</v>
      </c>
      <c r="Q465" s="949" t="str">
        <f t="shared" si="334"/>
        <v>0</v>
      </c>
      <c r="R465" s="2092" t="str">
        <f t="shared" si="334"/>
        <v>0</v>
      </c>
      <c r="S465" s="2081">
        <f t="shared" ref="S465:S490" si="335">C73*E73</f>
        <v>0</v>
      </c>
      <c r="EF465" s="5"/>
    </row>
    <row r="466" spans="1:136" ht="16.399999999999999" x14ac:dyDescent="0.2">
      <c r="A466" s="6"/>
      <c r="B466" s="2088"/>
      <c r="C466" s="100"/>
      <c r="D466" s="100"/>
      <c r="E466" s="100"/>
      <c r="F466" s="100"/>
      <c r="G466" s="949" t="str">
        <f t="shared" ref="G466:R466" si="336">G74&amp;$D74</f>
        <v>0</v>
      </c>
      <c r="H466" s="949" t="str">
        <f t="shared" si="336"/>
        <v>0</v>
      </c>
      <c r="I466" s="949" t="str">
        <f t="shared" si="336"/>
        <v>0</v>
      </c>
      <c r="J466" s="949" t="str">
        <f t="shared" si="336"/>
        <v>0</v>
      </c>
      <c r="K466" s="949" t="str">
        <f t="shared" si="336"/>
        <v>0</v>
      </c>
      <c r="L466" s="949" t="str">
        <f t="shared" si="336"/>
        <v>0</v>
      </c>
      <c r="M466" s="949" t="str">
        <f t="shared" si="336"/>
        <v>0</v>
      </c>
      <c r="N466" s="949" t="str">
        <f t="shared" si="336"/>
        <v>0</v>
      </c>
      <c r="O466" s="949" t="str">
        <f t="shared" si="336"/>
        <v>0</v>
      </c>
      <c r="P466" s="949" t="str">
        <f t="shared" si="336"/>
        <v>0</v>
      </c>
      <c r="Q466" s="949" t="str">
        <f t="shared" si="336"/>
        <v>0</v>
      </c>
      <c r="R466" s="2092" t="str">
        <f t="shared" si="336"/>
        <v>0</v>
      </c>
      <c r="S466" s="2081">
        <f t="shared" si="335"/>
        <v>0</v>
      </c>
      <c r="EF466" s="5"/>
    </row>
    <row r="467" spans="1:136" ht="16.399999999999999" x14ac:dyDescent="0.2">
      <c r="A467" s="6"/>
      <c r="B467" s="2088"/>
      <c r="C467" s="100"/>
      <c r="D467" s="100"/>
      <c r="E467" s="100"/>
      <c r="F467" s="100"/>
      <c r="G467" s="949" t="str">
        <f t="shared" ref="G467:R467" si="337">G75&amp;$D75</f>
        <v>0</v>
      </c>
      <c r="H467" s="949" t="str">
        <f t="shared" si="337"/>
        <v>0</v>
      </c>
      <c r="I467" s="949" t="str">
        <f t="shared" si="337"/>
        <v>0</v>
      </c>
      <c r="J467" s="949" t="str">
        <f t="shared" si="337"/>
        <v>0</v>
      </c>
      <c r="K467" s="949" t="str">
        <f t="shared" si="337"/>
        <v>0</v>
      </c>
      <c r="L467" s="949" t="str">
        <f t="shared" si="337"/>
        <v>0</v>
      </c>
      <c r="M467" s="949" t="str">
        <f t="shared" si="337"/>
        <v>0</v>
      </c>
      <c r="N467" s="949" t="str">
        <f t="shared" si="337"/>
        <v>0</v>
      </c>
      <c r="O467" s="949" t="str">
        <f t="shared" si="337"/>
        <v>0</v>
      </c>
      <c r="P467" s="949" t="str">
        <f t="shared" si="337"/>
        <v>0</v>
      </c>
      <c r="Q467" s="949" t="str">
        <f t="shared" si="337"/>
        <v>0</v>
      </c>
      <c r="R467" s="2092" t="str">
        <f t="shared" si="337"/>
        <v>0</v>
      </c>
      <c r="S467" s="2081">
        <f t="shared" si="335"/>
        <v>0</v>
      </c>
      <c r="EF467" s="5"/>
    </row>
    <row r="468" spans="1:136" ht="16.399999999999999" x14ac:dyDescent="0.2">
      <c r="A468" s="6"/>
      <c r="B468" s="2088"/>
      <c r="C468" s="100"/>
      <c r="D468" s="100"/>
      <c r="E468" s="100"/>
      <c r="F468" s="100"/>
      <c r="G468" s="949" t="str">
        <f t="shared" ref="G468:R468" si="338">G76&amp;$D76</f>
        <v>0</v>
      </c>
      <c r="H468" s="949" t="str">
        <f t="shared" si="338"/>
        <v>0</v>
      </c>
      <c r="I468" s="949" t="str">
        <f t="shared" si="338"/>
        <v>0</v>
      </c>
      <c r="J468" s="949" t="str">
        <f t="shared" si="338"/>
        <v>0</v>
      </c>
      <c r="K468" s="949" t="str">
        <f t="shared" si="338"/>
        <v>0</v>
      </c>
      <c r="L468" s="949" t="str">
        <f t="shared" si="338"/>
        <v>0</v>
      </c>
      <c r="M468" s="949" t="str">
        <f t="shared" si="338"/>
        <v>0</v>
      </c>
      <c r="N468" s="949" t="str">
        <f t="shared" si="338"/>
        <v>0</v>
      </c>
      <c r="O468" s="949" t="str">
        <f t="shared" si="338"/>
        <v>0</v>
      </c>
      <c r="P468" s="949" t="str">
        <f t="shared" si="338"/>
        <v>0</v>
      </c>
      <c r="Q468" s="949" t="str">
        <f t="shared" si="338"/>
        <v>0</v>
      </c>
      <c r="R468" s="2092" t="str">
        <f t="shared" si="338"/>
        <v>0</v>
      </c>
      <c r="S468" s="2081">
        <f t="shared" si="335"/>
        <v>0</v>
      </c>
      <c r="EF468" s="5"/>
    </row>
    <row r="469" spans="1:136" ht="16.399999999999999" x14ac:dyDescent="0.2">
      <c r="A469" s="6"/>
      <c r="B469" s="2088"/>
      <c r="C469" s="100"/>
      <c r="D469" s="100"/>
      <c r="E469" s="100"/>
      <c r="F469" s="100"/>
      <c r="G469" s="949" t="str">
        <f t="shared" ref="G469:R469" si="339">G77&amp;$D77</f>
        <v>0</v>
      </c>
      <c r="H469" s="949" t="str">
        <f t="shared" si="339"/>
        <v>0</v>
      </c>
      <c r="I469" s="949" t="str">
        <f t="shared" si="339"/>
        <v>0</v>
      </c>
      <c r="J469" s="949" t="str">
        <f t="shared" si="339"/>
        <v>0</v>
      </c>
      <c r="K469" s="949" t="str">
        <f t="shared" si="339"/>
        <v>0</v>
      </c>
      <c r="L469" s="949" t="str">
        <f t="shared" si="339"/>
        <v>0</v>
      </c>
      <c r="M469" s="949" t="str">
        <f t="shared" si="339"/>
        <v>0</v>
      </c>
      <c r="N469" s="949" t="str">
        <f t="shared" si="339"/>
        <v>0</v>
      </c>
      <c r="O469" s="949" t="str">
        <f t="shared" si="339"/>
        <v>0</v>
      </c>
      <c r="P469" s="949" t="str">
        <f t="shared" si="339"/>
        <v>0</v>
      </c>
      <c r="Q469" s="949" t="str">
        <f t="shared" si="339"/>
        <v>0</v>
      </c>
      <c r="R469" s="2092" t="str">
        <f t="shared" si="339"/>
        <v>0</v>
      </c>
      <c r="S469" s="2081">
        <f t="shared" si="335"/>
        <v>0</v>
      </c>
      <c r="EF469" s="5"/>
    </row>
    <row r="470" spans="1:136" ht="16.399999999999999" x14ac:dyDescent="0.2">
      <c r="A470" s="6"/>
      <c r="B470" s="2088"/>
      <c r="C470" s="100"/>
      <c r="D470" s="100"/>
      <c r="E470" s="100"/>
      <c r="F470" s="100"/>
      <c r="G470" s="949" t="str">
        <f t="shared" ref="G470:R470" si="340">G78&amp;$D78</f>
        <v>0</v>
      </c>
      <c r="H470" s="949" t="str">
        <f t="shared" si="340"/>
        <v>0</v>
      </c>
      <c r="I470" s="949" t="str">
        <f t="shared" si="340"/>
        <v>0</v>
      </c>
      <c r="J470" s="949" t="str">
        <f t="shared" si="340"/>
        <v>0</v>
      </c>
      <c r="K470" s="949" t="str">
        <f t="shared" si="340"/>
        <v>0</v>
      </c>
      <c r="L470" s="949" t="str">
        <f t="shared" si="340"/>
        <v>0</v>
      </c>
      <c r="M470" s="949" t="str">
        <f t="shared" si="340"/>
        <v>0</v>
      </c>
      <c r="N470" s="949" t="str">
        <f t="shared" si="340"/>
        <v>0</v>
      </c>
      <c r="O470" s="949" t="str">
        <f t="shared" si="340"/>
        <v>0</v>
      </c>
      <c r="P470" s="949" t="str">
        <f t="shared" si="340"/>
        <v>0</v>
      </c>
      <c r="Q470" s="949" t="str">
        <f t="shared" si="340"/>
        <v>0</v>
      </c>
      <c r="R470" s="2092" t="str">
        <f t="shared" si="340"/>
        <v>0</v>
      </c>
      <c r="S470" s="2081">
        <f t="shared" si="335"/>
        <v>0</v>
      </c>
      <c r="EF470" s="5"/>
    </row>
    <row r="471" spans="1:136" ht="16.399999999999999" x14ac:dyDescent="0.2">
      <c r="A471" s="6"/>
      <c r="B471" s="2088"/>
      <c r="C471" s="100"/>
      <c r="D471" s="100"/>
      <c r="E471" s="1427"/>
      <c r="F471" s="100"/>
      <c r="G471" s="949" t="str">
        <f t="shared" ref="G471:R471" si="341">G79&amp;$D79</f>
        <v>0</v>
      </c>
      <c r="H471" s="949" t="str">
        <f t="shared" si="341"/>
        <v>0</v>
      </c>
      <c r="I471" s="949" t="str">
        <f t="shared" si="341"/>
        <v>0</v>
      </c>
      <c r="J471" s="949" t="str">
        <f t="shared" si="341"/>
        <v>0</v>
      </c>
      <c r="K471" s="949" t="str">
        <f t="shared" si="341"/>
        <v>0</v>
      </c>
      <c r="L471" s="949" t="str">
        <f t="shared" si="341"/>
        <v>0</v>
      </c>
      <c r="M471" s="949" t="str">
        <f t="shared" si="341"/>
        <v>0</v>
      </c>
      <c r="N471" s="949" t="str">
        <f t="shared" si="341"/>
        <v>0</v>
      </c>
      <c r="O471" s="949" t="str">
        <f t="shared" si="341"/>
        <v>0</v>
      </c>
      <c r="P471" s="949" t="str">
        <f t="shared" si="341"/>
        <v>0</v>
      </c>
      <c r="Q471" s="949" t="str">
        <f t="shared" si="341"/>
        <v>0</v>
      </c>
      <c r="R471" s="2092" t="str">
        <f t="shared" si="341"/>
        <v>0</v>
      </c>
      <c r="S471" s="2081">
        <f t="shared" si="335"/>
        <v>0</v>
      </c>
      <c r="EF471" s="5"/>
    </row>
    <row r="472" spans="1:136" ht="16.399999999999999" x14ac:dyDescent="0.2">
      <c r="A472" s="6"/>
      <c r="B472" s="2088"/>
      <c r="C472" s="100"/>
      <c r="D472" s="100"/>
      <c r="E472" s="100"/>
      <c r="F472" s="100"/>
      <c r="G472" s="949" t="str">
        <f t="shared" ref="G472:R472" si="342">G80&amp;$D80</f>
        <v>0</v>
      </c>
      <c r="H472" s="949" t="str">
        <f t="shared" si="342"/>
        <v>0</v>
      </c>
      <c r="I472" s="949" t="str">
        <f t="shared" si="342"/>
        <v>0</v>
      </c>
      <c r="J472" s="949" t="str">
        <f t="shared" si="342"/>
        <v>0</v>
      </c>
      <c r="K472" s="949" t="str">
        <f t="shared" si="342"/>
        <v>0</v>
      </c>
      <c r="L472" s="949" t="str">
        <f t="shared" si="342"/>
        <v>0</v>
      </c>
      <c r="M472" s="949" t="str">
        <f t="shared" si="342"/>
        <v>0</v>
      </c>
      <c r="N472" s="949" t="str">
        <f t="shared" si="342"/>
        <v>0</v>
      </c>
      <c r="O472" s="949" t="str">
        <f t="shared" si="342"/>
        <v>0</v>
      </c>
      <c r="P472" s="949" t="str">
        <f t="shared" si="342"/>
        <v>0</v>
      </c>
      <c r="Q472" s="949" t="str">
        <f t="shared" si="342"/>
        <v>0</v>
      </c>
      <c r="R472" s="2092" t="str">
        <f t="shared" si="342"/>
        <v>0</v>
      </c>
      <c r="S472" s="2081">
        <f t="shared" si="335"/>
        <v>0</v>
      </c>
      <c r="EF472" s="5"/>
    </row>
    <row r="473" spans="1:136" ht="16.399999999999999" x14ac:dyDescent="0.2">
      <c r="A473" s="6"/>
      <c r="B473" s="2088"/>
      <c r="C473" s="100"/>
      <c r="D473" s="100"/>
      <c r="E473" s="1427"/>
      <c r="F473" s="100"/>
      <c r="G473" s="949" t="str">
        <f t="shared" ref="G473:R473" si="343">G81&amp;$D81</f>
        <v>0</v>
      </c>
      <c r="H473" s="949" t="str">
        <f t="shared" si="343"/>
        <v>0</v>
      </c>
      <c r="I473" s="949" t="str">
        <f t="shared" si="343"/>
        <v>0</v>
      </c>
      <c r="J473" s="949" t="str">
        <f t="shared" si="343"/>
        <v>0</v>
      </c>
      <c r="K473" s="949" t="str">
        <f t="shared" si="343"/>
        <v>0</v>
      </c>
      <c r="L473" s="949" t="str">
        <f t="shared" si="343"/>
        <v>0</v>
      </c>
      <c r="M473" s="949" t="str">
        <f t="shared" si="343"/>
        <v>0</v>
      </c>
      <c r="N473" s="949" t="str">
        <f t="shared" si="343"/>
        <v>0</v>
      </c>
      <c r="O473" s="949" t="str">
        <f t="shared" si="343"/>
        <v>0</v>
      </c>
      <c r="P473" s="949" t="str">
        <f t="shared" si="343"/>
        <v>0</v>
      </c>
      <c r="Q473" s="949" t="str">
        <f t="shared" si="343"/>
        <v>0</v>
      </c>
      <c r="R473" s="2092" t="str">
        <f t="shared" si="343"/>
        <v>0</v>
      </c>
      <c r="S473" s="2081">
        <f t="shared" si="335"/>
        <v>0</v>
      </c>
      <c r="EF473" s="5"/>
    </row>
    <row r="474" spans="1:136" ht="16.399999999999999" x14ac:dyDescent="0.2">
      <c r="A474" s="6"/>
      <c r="B474" s="2088"/>
      <c r="C474" s="100"/>
      <c r="D474" s="100"/>
      <c r="E474" s="100"/>
      <c r="F474" s="100"/>
      <c r="G474" s="949" t="str">
        <f t="shared" ref="G474:R474" si="344">G82&amp;$D82</f>
        <v>0</v>
      </c>
      <c r="H474" s="949" t="str">
        <f t="shared" si="344"/>
        <v>0</v>
      </c>
      <c r="I474" s="949" t="str">
        <f t="shared" si="344"/>
        <v>0</v>
      </c>
      <c r="J474" s="949" t="str">
        <f t="shared" si="344"/>
        <v>0</v>
      </c>
      <c r="K474" s="949" t="str">
        <f t="shared" si="344"/>
        <v>0</v>
      </c>
      <c r="L474" s="949" t="str">
        <f t="shared" si="344"/>
        <v>0</v>
      </c>
      <c r="M474" s="949" t="str">
        <f t="shared" si="344"/>
        <v>0</v>
      </c>
      <c r="N474" s="949" t="str">
        <f t="shared" si="344"/>
        <v>0</v>
      </c>
      <c r="O474" s="949" t="str">
        <f t="shared" si="344"/>
        <v>0</v>
      </c>
      <c r="P474" s="949" t="str">
        <f t="shared" si="344"/>
        <v>0</v>
      </c>
      <c r="Q474" s="949" t="str">
        <f t="shared" si="344"/>
        <v>0</v>
      </c>
      <c r="R474" s="2092" t="str">
        <f t="shared" si="344"/>
        <v>0</v>
      </c>
      <c r="S474" s="2081">
        <f t="shared" si="335"/>
        <v>0</v>
      </c>
      <c r="EF474" s="5"/>
    </row>
    <row r="475" spans="1:136" ht="16.399999999999999" x14ac:dyDescent="0.2">
      <c r="A475" s="6"/>
      <c r="B475" s="2088"/>
      <c r="C475" s="100"/>
      <c r="D475" s="100"/>
      <c r="E475" s="100"/>
      <c r="F475" s="100"/>
      <c r="G475" s="949" t="str">
        <f t="shared" ref="G475:R475" si="345">G83&amp;$D83</f>
        <v>0</v>
      </c>
      <c r="H475" s="949" t="str">
        <f t="shared" si="345"/>
        <v>0</v>
      </c>
      <c r="I475" s="949" t="str">
        <f t="shared" si="345"/>
        <v>0</v>
      </c>
      <c r="J475" s="949" t="str">
        <f t="shared" si="345"/>
        <v>0</v>
      </c>
      <c r="K475" s="949" t="str">
        <f t="shared" si="345"/>
        <v>0</v>
      </c>
      <c r="L475" s="949" t="str">
        <f t="shared" si="345"/>
        <v>0</v>
      </c>
      <c r="M475" s="949" t="str">
        <f t="shared" si="345"/>
        <v>0</v>
      </c>
      <c r="N475" s="949" t="str">
        <f t="shared" si="345"/>
        <v>0</v>
      </c>
      <c r="O475" s="949" t="str">
        <f t="shared" si="345"/>
        <v>0</v>
      </c>
      <c r="P475" s="949" t="str">
        <f t="shared" si="345"/>
        <v>0</v>
      </c>
      <c r="Q475" s="949" t="str">
        <f t="shared" si="345"/>
        <v>0</v>
      </c>
      <c r="R475" s="2092" t="str">
        <f t="shared" si="345"/>
        <v>0</v>
      </c>
      <c r="S475" s="2081">
        <f t="shared" si="335"/>
        <v>0</v>
      </c>
      <c r="EF475" s="5"/>
    </row>
    <row r="476" spans="1:136" ht="16.399999999999999" x14ac:dyDescent="0.2">
      <c r="A476" s="6"/>
      <c r="B476" s="2088"/>
      <c r="C476" s="100"/>
      <c r="D476" s="100"/>
      <c r="E476" s="1427"/>
      <c r="F476" s="100"/>
      <c r="G476" s="949" t="str">
        <f t="shared" ref="G476:R476" si="346">G84&amp;$D84</f>
        <v>0</v>
      </c>
      <c r="H476" s="949" t="str">
        <f t="shared" si="346"/>
        <v>0</v>
      </c>
      <c r="I476" s="949" t="str">
        <f t="shared" si="346"/>
        <v>0</v>
      </c>
      <c r="J476" s="949" t="str">
        <f t="shared" si="346"/>
        <v>0</v>
      </c>
      <c r="K476" s="949" t="str">
        <f t="shared" si="346"/>
        <v>0</v>
      </c>
      <c r="L476" s="949" t="str">
        <f t="shared" si="346"/>
        <v>0</v>
      </c>
      <c r="M476" s="949" t="str">
        <f t="shared" si="346"/>
        <v>0</v>
      </c>
      <c r="N476" s="949" t="str">
        <f t="shared" si="346"/>
        <v>0</v>
      </c>
      <c r="O476" s="949" t="str">
        <f t="shared" si="346"/>
        <v>0</v>
      </c>
      <c r="P476" s="949" t="str">
        <f t="shared" si="346"/>
        <v>0</v>
      </c>
      <c r="Q476" s="949" t="str">
        <f t="shared" si="346"/>
        <v>0</v>
      </c>
      <c r="R476" s="2092" t="str">
        <f t="shared" si="346"/>
        <v>0</v>
      </c>
      <c r="S476" s="2081">
        <f t="shared" si="335"/>
        <v>0</v>
      </c>
      <c r="EF476" s="5"/>
    </row>
    <row r="477" spans="1:136" ht="16.399999999999999" x14ac:dyDescent="0.2">
      <c r="A477" s="6"/>
      <c r="B477" s="2088"/>
      <c r="C477" s="100"/>
      <c r="D477" s="100"/>
      <c r="E477" s="1427"/>
      <c r="F477" s="100"/>
      <c r="G477" s="949" t="str">
        <f t="shared" ref="G477:R477" si="347">G85&amp;$D85</f>
        <v>0</v>
      </c>
      <c r="H477" s="949" t="str">
        <f t="shared" si="347"/>
        <v>0</v>
      </c>
      <c r="I477" s="949" t="str">
        <f t="shared" si="347"/>
        <v>0</v>
      </c>
      <c r="J477" s="949" t="str">
        <f t="shared" si="347"/>
        <v>0</v>
      </c>
      <c r="K477" s="949" t="str">
        <f t="shared" si="347"/>
        <v>0</v>
      </c>
      <c r="L477" s="949" t="str">
        <f t="shared" si="347"/>
        <v>0</v>
      </c>
      <c r="M477" s="949" t="str">
        <f t="shared" si="347"/>
        <v>0</v>
      </c>
      <c r="N477" s="949" t="str">
        <f t="shared" si="347"/>
        <v>0</v>
      </c>
      <c r="O477" s="949" t="str">
        <f t="shared" si="347"/>
        <v>0</v>
      </c>
      <c r="P477" s="949" t="str">
        <f t="shared" si="347"/>
        <v>0</v>
      </c>
      <c r="Q477" s="949" t="str">
        <f t="shared" si="347"/>
        <v>0</v>
      </c>
      <c r="R477" s="2092" t="str">
        <f t="shared" si="347"/>
        <v>0</v>
      </c>
      <c r="S477" s="2081">
        <f t="shared" si="335"/>
        <v>0</v>
      </c>
      <c r="EF477" s="5"/>
    </row>
    <row r="478" spans="1:136" ht="16.399999999999999" x14ac:dyDescent="0.2">
      <c r="A478" s="6"/>
      <c r="B478" s="2088"/>
      <c r="C478" s="100"/>
      <c r="D478" s="100"/>
      <c r="E478" s="100"/>
      <c r="F478" s="100"/>
      <c r="G478" s="949" t="str">
        <f t="shared" ref="G478:R478" si="348">G86&amp;$D86</f>
        <v>0</v>
      </c>
      <c r="H478" s="949" t="str">
        <f t="shared" si="348"/>
        <v>0</v>
      </c>
      <c r="I478" s="949" t="str">
        <f t="shared" si="348"/>
        <v>0</v>
      </c>
      <c r="J478" s="949" t="str">
        <f t="shared" si="348"/>
        <v>0</v>
      </c>
      <c r="K478" s="949" t="str">
        <f t="shared" si="348"/>
        <v>0</v>
      </c>
      <c r="L478" s="949" t="str">
        <f t="shared" si="348"/>
        <v>0</v>
      </c>
      <c r="M478" s="949" t="str">
        <f t="shared" si="348"/>
        <v>0</v>
      </c>
      <c r="N478" s="949" t="str">
        <f t="shared" si="348"/>
        <v>0</v>
      </c>
      <c r="O478" s="949" t="str">
        <f t="shared" si="348"/>
        <v>0</v>
      </c>
      <c r="P478" s="949" t="str">
        <f t="shared" si="348"/>
        <v>0</v>
      </c>
      <c r="Q478" s="949" t="str">
        <f t="shared" si="348"/>
        <v>0</v>
      </c>
      <c r="R478" s="2092" t="str">
        <f t="shared" si="348"/>
        <v>0</v>
      </c>
      <c r="S478" s="2081">
        <f t="shared" si="335"/>
        <v>0</v>
      </c>
      <c r="EF478" s="5"/>
    </row>
    <row r="479" spans="1:136" ht="16.399999999999999" x14ac:dyDescent="0.2">
      <c r="A479" s="6"/>
      <c r="B479" s="2088"/>
      <c r="C479" s="100"/>
      <c r="D479" s="100"/>
      <c r="E479" s="1427"/>
      <c r="F479" s="100"/>
      <c r="G479" s="949" t="str">
        <f t="shared" ref="G479:R479" si="349">G87&amp;$D87</f>
        <v>0</v>
      </c>
      <c r="H479" s="949" t="str">
        <f t="shared" si="349"/>
        <v>0</v>
      </c>
      <c r="I479" s="949" t="str">
        <f t="shared" si="349"/>
        <v>0</v>
      </c>
      <c r="J479" s="949" t="str">
        <f t="shared" si="349"/>
        <v>0</v>
      </c>
      <c r="K479" s="949" t="str">
        <f t="shared" si="349"/>
        <v>0</v>
      </c>
      <c r="L479" s="949" t="str">
        <f t="shared" si="349"/>
        <v>0</v>
      </c>
      <c r="M479" s="949" t="str">
        <f t="shared" si="349"/>
        <v>0</v>
      </c>
      <c r="N479" s="949" t="str">
        <f t="shared" si="349"/>
        <v>0</v>
      </c>
      <c r="O479" s="949" t="str">
        <f t="shared" si="349"/>
        <v>0</v>
      </c>
      <c r="P479" s="949" t="str">
        <f t="shared" si="349"/>
        <v>0</v>
      </c>
      <c r="Q479" s="949" t="str">
        <f t="shared" si="349"/>
        <v>0</v>
      </c>
      <c r="R479" s="2092" t="str">
        <f t="shared" si="349"/>
        <v>0</v>
      </c>
      <c r="S479" s="2081">
        <f t="shared" si="335"/>
        <v>0</v>
      </c>
      <c r="EF479" s="5"/>
    </row>
    <row r="480" spans="1:136" ht="16.399999999999999" x14ac:dyDescent="0.2">
      <c r="A480" s="6"/>
      <c r="B480" s="2088"/>
      <c r="C480" s="100"/>
      <c r="D480" s="100"/>
      <c r="E480" s="1427"/>
      <c r="F480" s="100"/>
      <c r="G480" s="949" t="str">
        <f t="shared" ref="G480:R480" si="350">G88&amp;$D88</f>
        <v>0</v>
      </c>
      <c r="H480" s="949" t="str">
        <f t="shared" si="350"/>
        <v>0</v>
      </c>
      <c r="I480" s="949" t="str">
        <f t="shared" si="350"/>
        <v>0</v>
      </c>
      <c r="J480" s="949" t="str">
        <f t="shared" si="350"/>
        <v>0</v>
      </c>
      <c r="K480" s="949" t="str">
        <f t="shared" si="350"/>
        <v>0</v>
      </c>
      <c r="L480" s="949" t="str">
        <f t="shared" si="350"/>
        <v>0</v>
      </c>
      <c r="M480" s="949" t="str">
        <f t="shared" si="350"/>
        <v>0</v>
      </c>
      <c r="N480" s="949" t="str">
        <f t="shared" si="350"/>
        <v>0</v>
      </c>
      <c r="O480" s="949" t="str">
        <f t="shared" si="350"/>
        <v>0</v>
      </c>
      <c r="P480" s="949" t="str">
        <f t="shared" si="350"/>
        <v>0</v>
      </c>
      <c r="Q480" s="949" t="str">
        <f t="shared" si="350"/>
        <v>0</v>
      </c>
      <c r="R480" s="2092" t="str">
        <f t="shared" si="350"/>
        <v>0</v>
      </c>
      <c r="S480" s="2081">
        <f t="shared" si="335"/>
        <v>0</v>
      </c>
      <c r="EF480" s="5"/>
    </row>
    <row r="481" spans="1:136" ht="16.399999999999999" x14ac:dyDescent="0.2">
      <c r="A481" s="6"/>
      <c r="B481" s="2088"/>
      <c r="C481" s="100"/>
      <c r="D481" s="100"/>
      <c r="E481" s="100"/>
      <c r="F481" s="100"/>
      <c r="G481" s="949" t="str">
        <f t="shared" ref="G481:R481" si="351">G89&amp;$D89</f>
        <v>0</v>
      </c>
      <c r="H481" s="949" t="str">
        <f t="shared" si="351"/>
        <v>0</v>
      </c>
      <c r="I481" s="949" t="str">
        <f t="shared" si="351"/>
        <v>0</v>
      </c>
      <c r="J481" s="949" t="str">
        <f t="shared" si="351"/>
        <v>0</v>
      </c>
      <c r="K481" s="949" t="str">
        <f t="shared" si="351"/>
        <v>0</v>
      </c>
      <c r="L481" s="949" t="str">
        <f t="shared" si="351"/>
        <v>0</v>
      </c>
      <c r="M481" s="949" t="str">
        <f t="shared" si="351"/>
        <v>0</v>
      </c>
      <c r="N481" s="949" t="str">
        <f t="shared" si="351"/>
        <v>0</v>
      </c>
      <c r="O481" s="949" t="str">
        <f t="shared" si="351"/>
        <v>0</v>
      </c>
      <c r="P481" s="949" t="str">
        <f t="shared" si="351"/>
        <v>0</v>
      </c>
      <c r="Q481" s="949" t="str">
        <f t="shared" si="351"/>
        <v>0</v>
      </c>
      <c r="R481" s="2092" t="str">
        <f t="shared" si="351"/>
        <v>0</v>
      </c>
      <c r="S481" s="2081">
        <f t="shared" si="335"/>
        <v>0</v>
      </c>
      <c r="EF481" s="5"/>
    </row>
    <row r="482" spans="1:136" ht="16.399999999999999" x14ac:dyDescent="0.2">
      <c r="A482" s="6"/>
      <c r="B482" s="2088"/>
      <c r="C482" s="100"/>
      <c r="D482" s="100"/>
      <c r="E482" s="100"/>
      <c r="F482" s="100"/>
      <c r="G482" s="949" t="str">
        <f t="shared" ref="G482:R482" si="352">G90&amp;$D90</f>
        <v>0</v>
      </c>
      <c r="H482" s="949" t="str">
        <f t="shared" si="352"/>
        <v>0</v>
      </c>
      <c r="I482" s="949" t="str">
        <f t="shared" si="352"/>
        <v>0</v>
      </c>
      <c r="J482" s="949" t="str">
        <f t="shared" si="352"/>
        <v>0</v>
      </c>
      <c r="K482" s="949" t="str">
        <f t="shared" si="352"/>
        <v>0</v>
      </c>
      <c r="L482" s="949" t="str">
        <f t="shared" si="352"/>
        <v>0</v>
      </c>
      <c r="M482" s="949" t="str">
        <f t="shared" si="352"/>
        <v>0</v>
      </c>
      <c r="N482" s="949" t="str">
        <f t="shared" si="352"/>
        <v>0</v>
      </c>
      <c r="O482" s="949" t="str">
        <f t="shared" si="352"/>
        <v>0</v>
      </c>
      <c r="P482" s="949" t="str">
        <f t="shared" si="352"/>
        <v>0</v>
      </c>
      <c r="Q482" s="949" t="str">
        <f t="shared" si="352"/>
        <v>0</v>
      </c>
      <c r="R482" s="2092" t="str">
        <f t="shared" si="352"/>
        <v>0</v>
      </c>
      <c r="S482" s="2081">
        <f t="shared" si="335"/>
        <v>0</v>
      </c>
      <c r="EF482" s="5"/>
    </row>
    <row r="483" spans="1:136" ht="16.399999999999999" x14ac:dyDescent="0.2">
      <c r="A483" s="6"/>
      <c r="B483" s="2088"/>
      <c r="C483" s="100"/>
      <c r="D483" s="100"/>
      <c r="E483" s="100"/>
      <c r="F483" s="100"/>
      <c r="G483" s="949" t="str">
        <f t="shared" ref="G483:R483" si="353">G91&amp;$D91</f>
        <v>0</v>
      </c>
      <c r="H483" s="949" t="str">
        <f t="shared" si="353"/>
        <v>0</v>
      </c>
      <c r="I483" s="949" t="str">
        <f t="shared" si="353"/>
        <v>0</v>
      </c>
      <c r="J483" s="949" t="str">
        <f t="shared" si="353"/>
        <v>0</v>
      </c>
      <c r="K483" s="949" t="str">
        <f t="shared" si="353"/>
        <v>0</v>
      </c>
      <c r="L483" s="949" t="str">
        <f t="shared" si="353"/>
        <v>0</v>
      </c>
      <c r="M483" s="949" t="str">
        <f t="shared" si="353"/>
        <v>0</v>
      </c>
      <c r="N483" s="949" t="str">
        <f t="shared" si="353"/>
        <v>0</v>
      </c>
      <c r="O483" s="949" t="str">
        <f t="shared" si="353"/>
        <v>0</v>
      </c>
      <c r="P483" s="949" t="str">
        <f t="shared" si="353"/>
        <v>0</v>
      </c>
      <c r="Q483" s="949" t="str">
        <f t="shared" si="353"/>
        <v>0</v>
      </c>
      <c r="R483" s="2092" t="str">
        <f t="shared" si="353"/>
        <v>0</v>
      </c>
      <c r="S483" s="2081">
        <f t="shared" si="335"/>
        <v>0</v>
      </c>
      <c r="EF483" s="5"/>
    </row>
    <row r="484" spans="1:136" ht="16.399999999999999" x14ac:dyDescent="0.2">
      <c r="A484" s="6"/>
      <c r="B484" s="2088"/>
      <c r="C484" s="100"/>
      <c r="D484" s="100"/>
      <c r="E484" s="100"/>
      <c r="F484" s="100"/>
      <c r="G484" s="949" t="str">
        <f t="shared" ref="G484:R484" si="354">G92&amp;$D92</f>
        <v>0</v>
      </c>
      <c r="H484" s="949" t="str">
        <f t="shared" si="354"/>
        <v>0</v>
      </c>
      <c r="I484" s="949" t="str">
        <f t="shared" si="354"/>
        <v>0</v>
      </c>
      <c r="J484" s="949" t="str">
        <f t="shared" si="354"/>
        <v>0</v>
      </c>
      <c r="K484" s="949" t="str">
        <f t="shared" si="354"/>
        <v>0</v>
      </c>
      <c r="L484" s="949" t="str">
        <f t="shared" si="354"/>
        <v>0</v>
      </c>
      <c r="M484" s="949" t="str">
        <f t="shared" si="354"/>
        <v>0</v>
      </c>
      <c r="N484" s="949" t="str">
        <f t="shared" si="354"/>
        <v>0</v>
      </c>
      <c r="O484" s="949" t="str">
        <f t="shared" si="354"/>
        <v>0</v>
      </c>
      <c r="P484" s="949" t="str">
        <f t="shared" si="354"/>
        <v>0</v>
      </c>
      <c r="Q484" s="949" t="str">
        <f t="shared" si="354"/>
        <v>0</v>
      </c>
      <c r="R484" s="2092" t="str">
        <f t="shared" si="354"/>
        <v>0</v>
      </c>
      <c r="S484" s="2081">
        <f t="shared" si="335"/>
        <v>0</v>
      </c>
      <c r="EF484" s="5"/>
    </row>
    <row r="485" spans="1:136" ht="16.399999999999999" x14ac:dyDescent="0.2">
      <c r="A485" s="6"/>
      <c r="B485" s="2088"/>
      <c r="C485" s="100"/>
      <c r="D485" s="100"/>
      <c r="E485" s="100"/>
      <c r="F485" s="100"/>
      <c r="G485" s="949" t="str">
        <f t="shared" ref="G485:R485" si="355">G93&amp;$D93</f>
        <v>0</v>
      </c>
      <c r="H485" s="949" t="str">
        <f t="shared" si="355"/>
        <v>0</v>
      </c>
      <c r="I485" s="949" t="str">
        <f t="shared" si="355"/>
        <v>0</v>
      </c>
      <c r="J485" s="949" t="str">
        <f t="shared" si="355"/>
        <v>0</v>
      </c>
      <c r="K485" s="949" t="str">
        <f t="shared" si="355"/>
        <v>0</v>
      </c>
      <c r="L485" s="949" t="str">
        <f t="shared" si="355"/>
        <v>0</v>
      </c>
      <c r="M485" s="949" t="str">
        <f t="shared" si="355"/>
        <v>0</v>
      </c>
      <c r="N485" s="949" t="str">
        <f t="shared" si="355"/>
        <v>0</v>
      </c>
      <c r="O485" s="949" t="str">
        <f t="shared" si="355"/>
        <v>0</v>
      </c>
      <c r="P485" s="949" t="str">
        <f t="shared" si="355"/>
        <v>0</v>
      </c>
      <c r="Q485" s="949" t="str">
        <f t="shared" si="355"/>
        <v>0</v>
      </c>
      <c r="R485" s="2092" t="str">
        <f t="shared" si="355"/>
        <v>0</v>
      </c>
      <c r="S485" s="2081">
        <f t="shared" si="335"/>
        <v>0</v>
      </c>
      <c r="EF485" s="5"/>
    </row>
    <row r="486" spans="1:136" ht="16.399999999999999" x14ac:dyDescent="0.2">
      <c r="A486" s="6"/>
      <c r="B486" s="2088"/>
      <c r="C486" s="100"/>
      <c r="D486" s="100"/>
      <c r="E486" s="100"/>
      <c r="F486" s="100"/>
      <c r="G486" s="949" t="str">
        <f t="shared" ref="G486:R486" si="356">G94&amp;$D94</f>
        <v>0</v>
      </c>
      <c r="H486" s="949" t="str">
        <f t="shared" si="356"/>
        <v>0</v>
      </c>
      <c r="I486" s="949" t="str">
        <f t="shared" si="356"/>
        <v>0</v>
      </c>
      <c r="J486" s="949" t="str">
        <f t="shared" si="356"/>
        <v>0</v>
      </c>
      <c r="K486" s="949" t="str">
        <f t="shared" si="356"/>
        <v>0</v>
      </c>
      <c r="L486" s="949" t="str">
        <f t="shared" si="356"/>
        <v>0</v>
      </c>
      <c r="M486" s="949" t="str">
        <f t="shared" si="356"/>
        <v>0</v>
      </c>
      <c r="N486" s="949" t="str">
        <f t="shared" si="356"/>
        <v>0</v>
      </c>
      <c r="O486" s="949" t="str">
        <f t="shared" si="356"/>
        <v>0</v>
      </c>
      <c r="P486" s="949" t="str">
        <f t="shared" si="356"/>
        <v>0</v>
      </c>
      <c r="Q486" s="949" t="str">
        <f t="shared" si="356"/>
        <v>0</v>
      </c>
      <c r="R486" s="2092" t="str">
        <f t="shared" si="356"/>
        <v>0</v>
      </c>
      <c r="S486" s="2081">
        <f t="shared" si="335"/>
        <v>0</v>
      </c>
      <c r="EF486" s="5"/>
    </row>
    <row r="487" spans="1:136" ht="16.399999999999999" x14ac:dyDescent="0.2">
      <c r="A487" s="6"/>
      <c r="B487" s="2088"/>
      <c r="C487" s="100"/>
      <c r="D487" s="100"/>
      <c r="E487" s="100"/>
      <c r="F487" s="100"/>
      <c r="G487" s="949" t="str">
        <f t="shared" ref="G487:R487" si="357">G95&amp;$D95</f>
        <v>0</v>
      </c>
      <c r="H487" s="949" t="str">
        <f t="shared" si="357"/>
        <v>0</v>
      </c>
      <c r="I487" s="949" t="str">
        <f t="shared" si="357"/>
        <v>0</v>
      </c>
      <c r="J487" s="949" t="str">
        <f t="shared" si="357"/>
        <v>0</v>
      </c>
      <c r="K487" s="949" t="str">
        <f t="shared" si="357"/>
        <v>0</v>
      </c>
      <c r="L487" s="949" t="str">
        <f t="shared" si="357"/>
        <v>0</v>
      </c>
      <c r="M487" s="949" t="str">
        <f t="shared" si="357"/>
        <v>0</v>
      </c>
      <c r="N487" s="949" t="str">
        <f t="shared" si="357"/>
        <v>0</v>
      </c>
      <c r="O487" s="949" t="str">
        <f t="shared" si="357"/>
        <v>0</v>
      </c>
      <c r="P487" s="949" t="str">
        <f t="shared" si="357"/>
        <v>0</v>
      </c>
      <c r="Q487" s="949" t="str">
        <f t="shared" si="357"/>
        <v>0</v>
      </c>
      <c r="R487" s="2092" t="str">
        <f t="shared" si="357"/>
        <v>0</v>
      </c>
      <c r="S487" s="2081">
        <f t="shared" si="335"/>
        <v>0</v>
      </c>
      <c r="EF487" s="5"/>
    </row>
    <row r="488" spans="1:136" ht="16.399999999999999" x14ac:dyDescent="0.2">
      <c r="A488" s="6"/>
      <c r="B488" s="2088"/>
      <c r="C488" s="100"/>
      <c r="D488" s="100"/>
      <c r="E488" s="100"/>
      <c r="F488" s="100"/>
      <c r="G488" s="949" t="str">
        <f t="shared" ref="G488:R488" si="358">G96&amp;$D96</f>
        <v>0</v>
      </c>
      <c r="H488" s="949" t="str">
        <f t="shared" si="358"/>
        <v>0</v>
      </c>
      <c r="I488" s="949" t="str">
        <f t="shared" si="358"/>
        <v>0</v>
      </c>
      <c r="J488" s="949" t="str">
        <f t="shared" si="358"/>
        <v>0</v>
      </c>
      <c r="K488" s="949" t="str">
        <f t="shared" si="358"/>
        <v>0</v>
      </c>
      <c r="L488" s="949" t="str">
        <f t="shared" si="358"/>
        <v>0</v>
      </c>
      <c r="M488" s="949" t="str">
        <f t="shared" si="358"/>
        <v>0</v>
      </c>
      <c r="N488" s="949" t="str">
        <f t="shared" si="358"/>
        <v>0</v>
      </c>
      <c r="O488" s="949" t="str">
        <f t="shared" si="358"/>
        <v>0</v>
      </c>
      <c r="P488" s="949" t="str">
        <f t="shared" si="358"/>
        <v>0</v>
      </c>
      <c r="Q488" s="949" t="str">
        <f t="shared" si="358"/>
        <v>0</v>
      </c>
      <c r="R488" s="2092" t="str">
        <f t="shared" si="358"/>
        <v>0</v>
      </c>
      <c r="S488" s="2081">
        <f t="shared" si="335"/>
        <v>0</v>
      </c>
      <c r="EF488" s="5"/>
    </row>
    <row r="489" spans="1:136" ht="16.399999999999999" x14ac:dyDescent="0.2">
      <c r="A489" s="6"/>
      <c r="B489" s="2088"/>
      <c r="C489" s="100"/>
      <c r="D489" s="100"/>
      <c r="E489" s="100"/>
      <c r="F489" s="100"/>
      <c r="G489" s="949" t="str">
        <f t="shared" ref="G489:R489" si="359">G97&amp;$D97</f>
        <v>0</v>
      </c>
      <c r="H489" s="949" t="str">
        <f t="shared" si="359"/>
        <v>0</v>
      </c>
      <c r="I489" s="949" t="str">
        <f t="shared" si="359"/>
        <v>0</v>
      </c>
      <c r="J489" s="949" t="str">
        <f t="shared" si="359"/>
        <v>0</v>
      </c>
      <c r="K489" s="949" t="str">
        <f t="shared" si="359"/>
        <v>0</v>
      </c>
      <c r="L489" s="949" t="str">
        <f t="shared" si="359"/>
        <v>0</v>
      </c>
      <c r="M489" s="949" t="str">
        <f t="shared" si="359"/>
        <v>0</v>
      </c>
      <c r="N489" s="949" t="str">
        <f t="shared" si="359"/>
        <v>0</v>
      </c>
      <c r="O489" s="949" t="str">
        <f t="shared" si="359"/>
        <v>0</v>
      </c>
      <c r="P489" s="949" t="str">
        <f t="shared" si="359"/>
        <v>0</v>
      </c>
      <c r="Q489" s="949" t="str">
        <f t="shared" si="359"/>
        <v>0</v>
      </c>
      <c r="R489" s="2092" t="str">
        <f t="shared" si="359"/>
        <v>0</v>
      </c>
      <c r="S489" s="2081">
        <f t="shared" si="335"/>
        <v>0</v>
      </c>
      <c r="EF489" s="5"/>
    </row>
    <row r="490" spans="1:136" ht="17.05" thickBot="1" x14ac:dyDescent="0.25">
      <c r="A490" s="6"/>
      <c r="B490" s="2089"/>
      <c r="C490" s="2090"/>
      <c r="D490" s="2090"/>
      <c r="E490" s="2090"/>
      <c r="F490" s="2090"/>
      <c r="G490" s="2093" t="str">
        <f t="shared" ref="G490:R490" si="360">G98&amp;$D98</f>
        <v>0</v>
      </c>
      <c r="H490" s="2093" t="str">
        <f t="shared" si="360"/>
        <v>0</v>
      </c>
      <c r="I490" s="2093" t="str">
        <f t="shared" si="360"/>
        <v>0</v>
      </c>
      <c r="J490" s="2093" t="str">
        <f t="shared" si="360"/>
        <v>0</v>
      </c>
      <c r="K490" s="2093" t="str">
        <f t="shared" si="360"/>
        <v>0</v>
      </c>
      <c r="L490" s="2093" t="str">
        <f t="shared" si="360"/>
        <v>0</v>
      </c>
      <c r="M490" s="2093" t="str">
        <f t="shared" si="360"/>
        <v>0</v>
      </c>
      <c r="N490" s="2093" t="str">
        <f t="shared" si="360"/>
        <v>0</v>
      </c>
      <c r="O490" s="2093" t="str">
        <f t="shared" si="360"/>
        <v>0</v>
      </c>
      <c r="P490" s="2093" t="str">
        <f t="shared" si="360"/>
        <v>0</v>
      </c>
      <c r="Q490" s="2093" t="str">
        <f t="shared" si="360"/>
        <v>0</v>
      </c>
      <c r="R490" s="2094" t="str">
        <f t="shared" si="360"/>
        <v>0</v>
      </c>
      <c r="S490" s="2081">
        <f t="shared" si="335"/>
        <v>0</v>
      </c>
      <c r="EF490" s="5"/>
    </row>
    <row r="491" spans="1:136" ht="17.05" thickTop="1" x14ac:dyDescent="0.2">
      <c r="A491" s="6"/>
      <c r="B491" s="1897"/>
      <c r="G491" s="100"/>
      <c r="H491" s="100"/>
      <c r="I491" s="100"/>
      <c r="J491" s="100"/>
      <c r="K491" s="100"/>
      <c r="L491" s="100"/>
      <c r="M491" s="100"/>
      <c r="N491" s="100"/>
      <c r="O491" s="100"/>
      <c r="P491" s="100"/>
      <c r="Q491" s="100"/>
      <c r="R491" s="100"/>
      <c r="S491" s="2082">
        <f>SUM(S401:S490)</f>
        <v>0</v>
      </c>
      <c r="EF491" s="5"/>
    </row>
    <row r="492" spans="1:136" ht="16.399999999999999" x14ac:dyDescent="0.2">
      <c r="A492" s="6"/>
      <c r="B492" s="1897"/>
      <c r="P492" s="6"/>
      <c r="Q492" s="6"/>
      <c r="S492" s="6"/>
      <c r="EF492" s="5"/>
    </row>
    <row r="493" spans="1:136" ht="16.399999999999999" x14ac:dyDescent="0.2">
      <c r="A493" s="6"/>
      <c r="B493" s="1897"/>
      <c r="F493" s="1427"/>
      <c r="G493" s="1427"/>
      <c r="H493" s="1427"/>
      <c r="I493" s="1427"/>
      <c r="J493" s="1427"/>
      <c r="K493" s="1427"/>
      <c r="L493" s="1427"/>
      <c r="M493" s="1438"/>
      <c r="N493" s="1438"/>
      <c r="O493" s="1438"/>
      <c r="P493" s="1438"/>
      <c r="Q493" s="1438"/>
      <c r="EF493" s="5"/>
    </row>
    <row r="494" spans="1:136" ht="16.399999999999999" x14ac:dyDescent="0.2">
      <c r="A494" s="6"/>
      <c r="B494" s="1897"/>
      <c r="F494" s="1427"/>
      <c r="G494" s="1427"/>
      <c r="H494" s="1427"/>
      <c r="I494" s="1427"/>
      <c r="J494" s="1427"/>
      <c r="K494" s="1427"/>
      <c r="L494" s="1427"/>
      <c r="M494" s="1438"/>
      <c r="N494" s="1438"/>
      <c r="O494" s="1438"/>
      <c r="P494" s="1438"/>
      <c r="Q494" s="1438"/>
      <c r="EF494" s="5"/>
    </row>
    <row r="495" spans="1:136" s="2200" customFormat="1" ht="17.7" x14ac:dyDescent="0.2">
      <c r="A495" s="2198" t="s">
        <v>1627</v>
      </c>
      <c r="B495" s="2198"/>
      <c r="C495" s="2198"/>
      <c r="D495" s="2198"/>
      <c r="E495" s="2198"/>
      <c r="F495" s="2198"/>
      <c r="G495" s="2198"/>
      <c r="H495" s="2198"/>
      <c r="I495" s="2198"/>
      <c r="J495" s="2198"/>
      <c r="K495" s="2198"/>
      <c r="L495" s="2198"/>
      <c r="M495" s="2198"/>
      <c r="N495" s="2198"/>
      <c r="O495" s="2198"/>
      <c r="P495" s="2198"/>
      <c r="Q495" s="2198"/>
      <c r="R495" s="2198"/>
      <c r="S495" s="2199"/>
      <c r="EF495" s="2201"/>
    </row>
    <row r="496" spans="1:136" ht="15.05" thickBot="1" x14ac:dyDescent="0.25">
      <c r="A496" s="6"/>
      <c r="P496" s="6"/>
      <c r="Q496" s="6"/>
      <c r="EF496" s="17"/>
    </row>
    <row r="497" spans="1:136" ht="15.75" thickTop="1" thickBot="1" x14ac:dyDescent="0.25">
      <c r="A497" s="2188">
        <v>1015</v>
      </c>
      <c r="B497" s="1435"/>
      <c r="C497" s="958"/>
      <c r="D497" s="2105" t="s">
        <v>335</v>
      </c>
      <c r="E497" s="2106"/>
      <c r="F497" s="2107"/>
      <c r="G497" s="2107"/>
      <c r="H497" s="2107"/>
      <c r="I497" s="2107"/>
      <c r="J497" s="2107"/>
      <c r="K497" s="2107"/>
      <c r="L497" s="2107"/>
      <c r="M497" s="2107"/>
      <c r="N497" s="2107"/>
      <c r="O497" s="2107"/>
      <c r="P497" s="2107"/>
      <c r="Q497" s="2108"/>
      <c r="EF497" s="17"/>
    </row>
    <row r="498" spans="1:136" x14ac:dyDescent="0.3">
      <c r="A498" s="6"/>
      <c r="D498" s="2095" t="str">
        <f>+Forrajes!B99</f>
        <v>Barb Agrícola</v>
      </c>
      <c r="E498" s="1904"/>
      <c r="F498" s="1905">
        <f t="shared" ref="F498:Q498" si="361">IF($D498&lt;&gt;0,SUMIFS($C$9:$C$98,$D$9:$D$98,$D$638,G$9:G$98,$D498),0)</f>
        <v>0</v>
      </c>
      <c r="G498" s="1905">
        <f t="shared" si="361"/>
        <v>0</v>
      </c>
      <c r="H498" s="1905">
        <f t="shared" si="361"/>
        <v>0</v>
      </c>
      <c r="I498" s="1905">
        <f t="shared" ref="I498:I510" si="362">IF($D498&lt;&gt;0,SUMIFS($C$9:$C$98,$D$9:$D$98,$D$638,J$9:J$98,$D498),0)</f>
        <v>0</v>
      </c>
      <c r="J498" s="1905">
        <f t="shared" si="361"/>
        <v>0</v>
      </c>
      <c r="K498" s="1905">
        <f t="shared" si="361"/>
        <v>0</v>
      </c>
      <c r="L498" s="1905">
        <f t="shared" si="361"/>
        <v>0</v>
      </c>
      <c r="M498" s="1905">
        <f t="shared" si="361"/>
        <v>0</v>
      </c>
      <c r="N498" s="1905">
        <f t="shared" si="361"/>
        <v>0</v>
      </c>
      <c r="O498" s="1905">
        <f t="shared" si="361"/>
        <v>0</v>
      </c>
      <c r="P498" s="1905">
        <f t="shared" si="361"/>
        <v>0</v>
      </c>
      <c r="Q498" s="2096">
        <f t="shared" si="361"/>
        <v>0</v>
      </c>
      <c r="EF498" s="17"/>
    </row>
    <row r="499" spans="1:136" x14ac:dyDescent="0.3">
      <c r="A499" s="6"/>
      <c r="D499" s="2095" t="str">
        <f>+Forrajes!B65</f>
        <v>Soja</v>
      </c>
      <c r="E499" s="1904"/>
      <c r="F499" s="1906">
        <f t="shared" ref="F499:Q499" si="363">IF($D499&lt;&gt;0,SUMIFS($C$9:$C$98,$D$9:$D$98,$D$638,G$9:G$98,$D499),0)</f>
        <v>0</v>
      </c>
      <c r="G499" s="1906">
        <f t="shared" si="363"/>
        <v>0</v>
      </c>
      <c r="H499" s="1906">
        <f t="shared" si="363"/>
        <v>0</v>
      </c>
      <c r="I499" s="1906">
        <f t="shared" si="362"/>
        <v>0</v>
      </c>
      <c r="J499" s="1906">
        <f t="shared" si="363"/>
        <v>0</v>
      </c>
      <c r="K499" s="1906">
        <f t="shared" si="363"/>
        <v>0</v>
      </c>
      <c r="L499" s="1906">
        <f t="shared" si="363"/>
        <v>0</v>
      </c>
      <c r="M499" s="1906">
        <f t="shared" si="363"/>
        <v>0</v>
      </c>
      <c r="N499" s="1906">
        <f t="shared" si="363"/>
        <v>0</v>
      </c>
      <c r="O499" s="1906">
        <f t="shared" si="363"/>
        <v>0</v>
      </c>
      <c r="P499" s="1906">
        <f t="shared" si="363"/>
        <v>0</v>
      </c>
      <c r="Q499" s="2097">
        <f t="shared" si="363"/>
        <v>0</v>
      </c>
      <c r="EF499" s="17"/>
    </row>
    <row r="500" spans="1:136" x14ac:dyDescent="0.3">
      <c r="A500" s="6"/>
      <c r="D500" s="2095" t="str">
        <f>+Forrajes!B66</f>
        <v>Soja 2ª</v>
      </c>
      <c r="E500" s="1904"/>
      <c r="F500" s="1906">
        <f t="shared" ref="F500:Q500" si="364">IF($D500&lt;&gt;0,SUMIFS($C$9:$C$98,$D$9:$D$98,$D$638,G$9:G$98,$D500),0)</f>
        <v>0</v>
      </c>
      <c r="G500" s="1906">
        <f t="shared" si="364"/>
        <v>0</v>
      </c>
      <c r="H500" s="1906">
        <f t="shared" si="364"/>
        <v>0</v>
      </c>
      <c r="I500" s="1906">
        <f t="shared" si="362"/>
        <v>0</v>
      </c>
      <c r="J500" s="1906">
        <f t="shared" si="364"/>
        <v>0</v>
      </c>
      <c r="K500" s="1906">
        <f t="shared" si="364"/>
        <v>0</v>
      </c>
      <c r="L500" s="1906">
        <f t="shared" si="364"/>
        <v>0</v>
      </c>
      <c r="M500" s="1906">
        <f t="shared" si="364"/>
        <v>0</v>
      </c>
      <c r="N500" s="1906">
        <f t="shared" si="364"/>
        <v>0</v>
      </c>
      <c r="O500" s="1906">
        <f t="shared" si="364"/>
        <v>0</v>
      </c>
      <c r="P500" s="1906">
        <f t="shared" si="364"/>
        <v>0</v>
      </c>
      <c r="Q500" s="2097">
        <f t="shared" si="364"/>
        <v>0</v>
      </c>
      <c r="EF500" s="17"/>
    </row>
    <row r="501" spans="1:136" x14ac:dyDescent="0.3">
      <c r="A501" s="6"/>
      <c r="D501" s="2095" t="str">
        <f>+Forrajes!B67</f>
        <v>Maíz Grano</v>
      </c>
      <c r="E501" s="1904"/>
      <c r="F501" s="1906">
        <f t="shared" ref="F501:Q501" si="365">IF($D501&lt;&gt;0,SUMIFS($C$9:$C$98,$D$9:$D$98,$D$638,G$9:G$98,$D501),0)</f>
        <v>0</v>
      </c>
      <c r="G501" s="1906">
        <f t="shared" si="365"/>
        <v>0</v>
      </c>
      <c r="H501" s="1906">
        <f t="shared" si="365"/>
        <v>0</v>
      </c>
      <c r="I501" s="1906">
        <f t="shared" si="362"/>
        <v>0</v>
      </c>
      <c r="J501" s="1906">
        <f t="shared" si="365"/>
        <v>0</v>
      </c>
      <c r="K501" s="1906">
        <f t="shared" si="365"/>
        <v>0</v>
      </c>
      <c r="L501" s="1906">
        <f t="shared" si="365"/>
        <v>0</v>
      </c>
      <c r="M501" s="1906">
        <f t="shared" si="365"/>
        <v>0</v>
      </c>
      <c r="N501" s="1906">
        <f t="shared" si="365"/>
        <v>0</v>
      </c>
      <c r="O501" s="1906">
        <f t="shared" si="365"/>
        <v>0</v>
      </c>
      <c r="P501" s="1906">
        <f t="shared" si="365"/>
        <v>0</v>
      </c>
      <c r="Q501" s="2097">
        <f t="shared" si="365"/>
        <v>0</v>
      </c>
      <c r="EF501" s="17"/>
    </row>
    <row r="502" spans="1:136" x14ac:dyDescent="0.3">
      <c r="A502" s="6"/>
      <c r="D502" s="2095" t="str">
        <f>+Forrajes!B68</f>
        <v>Sorgo grano</v>
      </c>
      <c r="E502" s="1904"/>
      <c r="F502" s="1906">
        <f t="shared" ref="F502:Q502" si="366">IF($D502&lt;&gt;0,SUMIFS($C$9:$C$98,$D$9:$D$98,$D$638,G$9:G$98,$D502),0)</f>
        <v>0</v>
      </c>
      <c r="G502" s="1906">
        <f t="shared" si="366"/>
        <v>0</v>
      </c>
      <c r="H502" s="1906">
        <f t="shared" si="366"/>
        <v>0</v>
      </c>
      <c r="I502" s="1906">
        <f t="shared" si="362"/>
        <v>0</v>
      </c>
      <c r="J502" s="1906">
        <f t="shared" si="366"/>
        <v>0</v>
      </c>
      <c r="K502" s="1906">
        <f t="shared" si="366"/>
        <v>0</v>
      </c>
      <c r="L502" s="1906">
        <f t="shared" si="366"/>
        <v>0</v>
      </c>
      <c r="M502" s="1906">
        <f t="shared" si="366"/>
        <v>0</v>
      </c>
      <c r="N502" s="1906">
        <f t="shared" si="366"/>
        <v>0</v>
      </c>
      <c r="O502" s="1906">
        <f t="shared" si="366"/>
        <v>0</v>
      </c>
      <c r="P502" s="1906">
        <f t="shared" si="366"/>
        <v>0</v>
      </c>
      <c r="Q502" s="2097">
        <f t="shared" si="366"/>
        <v>0</v>
      </c>
      <c r="EF502" s="17"/>
    </row>
    <row r="503" spans="1:136" x14ac:dyDescent="0.3">
      <c r="A503" s="6"/>
      <c r="D503" s="2095" t="str">
        <f>+Forrajes!B69</f>
        <v>Trigo grano</v>
      </c>
      <c r="E503" s="1904"/>
      <c r="F503" s="1906">
        <f t="shared" ref="F503:Q503" si="367">IF($D503&lt;&gt;0,SUMIFS($C$9:$C$98,$D$9:$D$98,$D$638,G$9:G$98,$D503),0)</f>
        <v>0</v>
      </c>
      <c r="G503" s="1906">
        <f t="shared" si="367"/>
        <v>0</v>
      </c>
      <c r="H503" s="1906">
        <f t="shared" si="367"/>
        <v>0</v>
      </c>
      <c r="I503" s="1906">
        <f t="shared" si="362"/>
        <v>0</v>
      </c>
      <c r="J503" s="1906">
        <f t="shared" si="367"/>
        <v>0</v>
      </c>
      <c r="K503" s="1906">
        <f t="shared" si="367"/>
        <v>0</v>
      </c>
      <c r="L503" s="1906">
        <f t="shared" si="367"/>
        <v>0</v>
      </c>
      <c r="M503" s="1906">
        <f t="shared" si="367"/>
        <v>0</v>
      </c>
      <c r="N503" s="1906">
        <f t="shared" si="367"/>
        <v>0</v>
      </c>
      <c r="O503" s="1906">
        <f t="shared" si="367"/>
        <v>0</v>
      </c>
      <c r="P503" s="1906">
        <f t="shared" si="367"/>
        <v>0</v>
      </c>
      <c r="Q503" s="2097">
        <f t="shared" si="367"/>
        <v>0</v>
      </c>
      <c r="EF503" s="17"/>
    </row>
    <row r="504" spans="1:136" x14ac:dyDescent="0.3">
      <c r="A504" s="6"/>
      <c r="D504" s="2095" t="str">
        <f>+Forrajes!B70</f>
        <v>Cebada grano</v>
      </c>
      <c r="E504" s="1904"/>
      <c r="F504" s="1906">
        <f t="shared" ref="F504:Q504" si="368">IF($D504&lt;&gt;0,SUMIFS($C$9:$C$98,$D$9:$D$98,$D$638,G$9:G$98,$D504),0)</f>
        <v>0</v>
      </c>
      <c r="G504" s="1906">
        <f t="shared" si="368"/>
        <v>0</v>
      </c>
      <c r="H504" s="1906">
        <f t="shared" si="368"/>
        <v>0</v>
      </c>
      <c r="I504" s="1906">
        <f t="shared" si="362"/>
        <v>0</v>
      </c>
      <c r="J504" s="1906">
        <f t="shared" si="368"/>
        <v>0</v>
      </c>
      <c r="K504" s="1906">
        <f t="shared" si="368"/>
        <v>0</v>
      </c>
      <c r="L504" s="1906">
        <f t="shared" si="368"/>
        <v>0</v>
      </c>
      <c r="M504" s="1906">
        <f t="shared" si="368"/>
        <v>0</v>
      </c>
      <c r="N504" s="1906">
        <f t="shared" si="368"/>
        <v>0</v>
      </c>
      <c r="O504" s="1906">
        <f t="shared" si="368"/>
        <v>0</v>
      </c>
      <c r="P504" s="1906">
        <f t="shared" si="368"/>
        <v>0</v>
      </c>
      <c r="Q504" s="2097">
        <f t="shared" si="368"/>
        <v>0</v>
      </c>
      <c r="EF504" s="17"/>
    </row>
    <row r="505" spans="1:136" x14ac:dyDescent="0.3">
      <c r="A505" s="6"/>
      <c r="D505" s="2095" t="str">
        <f>+Forrajes!B71</f>
        <v>Avena grano</v>
      </c>
      <c r="E505" s="1904"/>
      <c r="F505" s="1906">
        <f t="shared" ref="F505:Q505" si="369">IF($D505&lt;&gt;0,SUMIFS($C$9:$C$98,$D$9:$D$98,$D$638,G$9:G$98,$D505),0)</f>
        <v>0</v>
      </c>
      <c r="G505" s="1906">
        <f t="shared" si="369"/>
        <v>0</v>
      </c>
      <c r="H505" s="1906">
        <f t="shared" si="369"/>
        <v>0</v>
      </c>
      <c r="I505" s="1906">
        <f t="shared" si="362"/>
        <v>0</v>
      </c>
      <c r="J505" s="1906">
        <f t="shared" si="369"/>
        <v>0</v>
      </c>
      <c r="K505" s="1906">
        <f t="shared" si="369"/>
        <v>0</v>
      </c>
      <c r="L505" s="1906">
        <f t="shared" si="369"/>
        <v>0</v>
      </c>
      <c r="M505" s="1906">
        <f t="shared" si="369"/>
        <v>0</v>
      </c>
      <c r="N505" s="1906">
        <f t="shared" si="369"/>
        <v>0</v>
      </c>
      <c r="O505" s="1906">
        <f t="shared" si="369"/>
        <v>0</v>
      </c>
      <c r="P505" s="1906">
        <f t="shared" si="369"/>
        <v>0</v>
      </c>
      <c r="Q505" s="2097">
        <f t="shared" si="369"/>
        <v>0</v>
      </c>
      <c r="EF505" s="17"/>
    </row>
    <row r="506" spans="1:136" x14ac:dyDescent="0.3">
      <c r="A506" s="6"/>
      <c r="D506" s="2095" t="str">
        <f>+Forrajes!B72</f>
        <v>Colza grano</v>
      </c>
      <c r="E506" s="1904"/>
      <c r="F506" s="1906">
        <f t="shared" ref="F506:Q506" si="370">IF($D506&lt;&gt;0,SUMIFS($C$9:$C$98,$D$9:$D$98,$D$638,G$9:G$98,$D506),0)</f>
        <v>0</v>
      </c>
      <c r="G506" s="1906">
        <f t="shared" si="370"/>
        <v>0</v>
      </c>
      <c r="H506" s="1906">
        <f t="shared" si="370"/>
        <v>0</v>
      </c>
      <c r="I506" s="1906">
        <f t="shared" si="362"/>
        <v>0</v>
      </c>
      <c r="J506" s="1906">
        <f t="shared" si="370"/>
        <v>0</v>
      </c>
      <c r="K506" s="1906">
        <f t="shared" si="370"/>
        <v>0</v>
      </c>
      <c r="L506" s="1906">
        <f t="shared" si="370"/>
        <v>0</v>
      </c>
      <c r="M506" s="1906">
        <f t="shared" si="370"/>
        <v>0</v>
      </c>
      <c r="N506" s="1906">
        <f t="shared" si="370"/>
        <v>0</v>
      </c>
      <c r="O506" s="1906">
        <f t="shared" si="370"/>
        <v>0</v>
      </c>
      <c r="P506" s="1906">
        <f t="shared" si="370"/>
        <v>0</v>
      </c>
      <c r="Q506" s="2097">
        <f t="shared" si="370"/>
        <v>0</v>
      </c>
      <c r="EF506" s="17"/>
    </row>
    <row r="507" spans="1:136" x14ac:dyDescent="0.3">
      <c r="A507" s="6"/>
      <c r="D507" s="2095">
        <f>+Forrajes!B73</f>
        <v>0</v>
      </c>
      <c r="E507" s="1904"/>
      <c r="F507" s="1906">
        <f t="shared" ref="F507:Q507" si="371">IF($D507&lt;&gt;0,SUMIFS($C$9:$C$98,$D$9:$D$98,$D$638,G$9:G$98,$D507),0)</f>
        <v>0</v>
      </c>
      <c r="G507" s="1906">
        <f t="shared" si="371"/>
        <v>0</v>
      </c>
      <c r="H507" s="1906">
        <f t="shared" si="371"/>
        <v>0</v>
      </c>
      <c r="I507" s="1906">
        <f t="shared" si="362"/>
        <v>0</v>
      </c>
      <c r="J507" s="1906">
        <f t="shared" si="371"/>
        <v>0</v>
      </c>
      <c r="K507" s="1906">
        <f t="shared" si="371"/>
        <v>0</v>
      </c>
      <c r="L507" s="1906">
        <f t="shared" si="371"/>
        <v>0</v>
      </c>
      <c r="M507" s="1906">
        <f t="shared" si="371"/>
        <v>0</v>
      </c>
      <c r="N507" s="1906">
        <f t="shared" si="371"/>
        <v>0</v>
      </c>
      <c r="O507" s="1906">
        <f t="shared" si="371"/>
        <v>0</v>
      </c>
      <c r="P507" s="1906">
        <f t="shared" si="371"/>
        <v>0</v>
      </c>
      <c r="Q507" s="2097">
        <f t="shared" si="371"/>
        <v>0</v>
      </c>
      <c r="EF507" s="17"/>
    </row>
    <row r="508" spans="1:136" x14ac:dyDescent="0.3">
      <c r="A508" s="6"/>
      <c r="D508" s="2095">
        <f>+Forrajes!B74</f>
        <v>0</v>
      </c>
      <c r="E508" s="1904"/>
      <c r="F508" s="1906">
        <f t="shared" ref="F508:Q508" si="372">IF($D508&lt;&gt;0,SUMIFS($C$9:$C$98,$D$9:$D$98,$D$638,G$9:G$98,$D508),0)</f>
        <v>0</v>
      </c>
      <c r="G508" s="1906">
        <f t="shared" si="372"/>
        <v>0</v>
      </c>
      <c r="H508" s="1906">
        <f t="shared" si="372"/>
        <v>0</v>
      </c>
      <c r="I508" s="1906">
        <f t="shared" si="362"/>
        <v>0</v>
      </c>
      <c r="J508" s="1906">
        <f t="shared" si="372"/>
        <v>0</v>
      </c>
      <c r="K508" s="1906">
        <f t="shared" si="372"/>
        <v>0</v>
      </c>
      <c r="L508" s="1906">
        <f t="shared" si="372"/>
        <v>0</v>
      </c>
      <c r="M508" s="1906">
        <f t="shared" si="372"/>
        <v>0</v>
      </c>
      <c r="N508" s="1906">
        <f t="shared" si="372"/>
        <v>0</v>
      </c>
      <c r="O508" s="1906">
        <f t="shared" si="372"/>
        <v>0</v>
      </c>
      <c r="P508" s="1906">
        <f t="shared" si="372"/>
        <v>0</v>
      </c>
      <c r="Q508" s="2097">
        <f t="shared" si="372"/>
        <v>0</v>
      </c>
      <c r="EF508" s="17"/>
    </row>
    <row r="509" spans="1:136" x14ac:dyDescent="0.3">
      <c r="A509" s="6"/>
      <c r="D509" s="2095">
        <f>+Forrajes!B75</f>
        <v>0</v>
      </c>
      <c r="E509" s="1904"/>
      <c r="F509" s="1906">
        <f t="shared" ref="F509:Q509" si="373">IF($D509&lt;&gt;0,SUMIFS($C$9:$C$98,$D$9:$D$98,$D$638,G$9:G$98,$D509),0)</f>
        <v>0</v>
      </c>
      <c r="G509" s="1906">
        <f t="shared" si="373"/>
        <v>0</v>
      </c>
      <c r="H509" s="1906">
        <f t="shared" si="373"/>
        <v>0</v>
      </c>
      <c r="I509" s="1906">
        <f t="shared" si="362"/>
        <v>0</v>
      </c>
      <c r="J509" s="1906">
        <f t="shared" si="373"/>
        <v>0</v>
      </c>
      <c r="K509" s="1906">
        <f t="shared" si="373"/>
        <v>0</v>
      </c>
      <c r="L509" s="1906">
        <f t="shared" si="373"/>
        <v>0</v>
      </c>
      <c r="M509" s="1906">
        <f t="shared" si="373"/>
        <v>0</v>
      </c>
      <c r="N509" s="1906">
        <f t="shared" si="373"/>
        <v>0</v>
      </c>
      <c r="O509" s="1906">
        <f t="shared" si="373"/>
        <v>0</v>
      </c>
      <c r="P509" s="1906">
        <f t="shared" si="373"/>
        <v>0</v>
      </c>
      <c r="Q509" s="2097">
        <f t="shared" si="373"/>
        <v>0</v>
      </c>
      <c r="EF509" s="17"/>
    </row>
    <row r="510" spans="1:136" x14ac:dyDescent="0.3">
      <c r="A510" s="6"/>
      <c r="D510" s="2095">
        <f>+Forrajes!B76</f>
        <v>0</v>
      </c>
      <c r="E510" s="1904"/>
      <c r="F510" s="1348">
        <f t="shared" ref="F510:Q510" si="374">IF($D510&lt;&gt;0,SUMIFS($C$9:$C$98,$D$9:$D$98,$D$638,G$9:G$98,$D510),0)</f>
        <v>0</v>
      </c>
      <c r="G510" s="1348">
        <f t="shared" si="374"/>
        <v>0</v>
      </c>
      <c r="H510" s="1348">
        <f t="shared" si="374"/>
        <v>0</v>
      </c>
      <c r="I510" s="1348">
        <f t="shared" si="362"/>
        <v>0</v>
      </c>
      <c r="J510" s="1348">
        <f t="shared" si="374"/>
        <v>0</v>
      </c>
      <c r="K510" s="1348">
        <f t="shared" si="374"/>
        <v>0</v>
      </c>
      <c r="L510" s="1348">
        <f t="shared" si="374"/>
        <v>0</v>
      </c>
      <c r="M510" s="1348">
        <f t="shared" si="374"/>
        <v>0</v>
      </c>
      <c r="N510" s="1348">
        <f t="shared" si="374"/>
        <v>0</v>
      </c>
      <c r="O510" s="1348">
        <f t="shared" si="374"/>
        <v>0</v>
      </c>
      <c r="P510" s="1348">
        <f t="shared" si="374"/>
        <v>0</v>
      </c>
      <c r="Q510" s="2098">
        <f t="shared" si="374"/>
        <v>0</v>
      </c>
      <c r="EF510" s="17"/>
    </row>
    <row r="511" spans="1:136" x14ac:dyDescent="0.2">
      <c r="A511" s="6"/>
      <c r="D511" s="2099" t="s">
        <v>987</v>
      </c>
      <c r="E511" s="1908"/>
      <c r="F511" s="1909">
        <f>+SUM(F498:F510)</f>
        <v>0</v>
      </c>
      <c r="G511" s="1909">
        <f t="shared" ref="G511:Q511" si="375">+SUM(G498:G510)</f>
        <v>0</v>
      </c>
      <c r="H511" s="1909">
        <f t="shared" si="375"/>
        <v>0</v>
      </c>
      <c r="I511" s="1909">
        <f t="shared" si="375"/>
        <v>0</v>
      </c>
      <c r="J511" s="1909">
        <f t="shared" si="375"/>
        <v>0</v>
      </c>
      <c r="K511" s="1909">
        <f t="shared" si="375"/>
        <v>0</v>
      </c>
      <c r="L511" s="1909">
        <f t="shared" si="375"/>
        <v>0</v>
      </c>
      <c r="M511" s="1909">
        <f t="shared" si="375"/>
        <v>0</v>
      </c>
      <c r="N511" s="1909">
        <f t="shared" si="375"/>
        <v>0</v>
      </c>
      <c r="O511" s="1909">
        <f t="shared" si="375"/>
        <v>0</v>
      </c>
      <c r="P511" s="1909">
        <f t="shared" si="375"/>
        <v>0</v>
      </c>
      <c r="Q511" s="2100">
        <f t="shared" si="375"/>
        <v>0</v>
      </c>
      <c r="EF511" s="17"/>
    </row>
    <row r="512" spans="1:136" x14ac:dyDescent="0.3">
      <c r="A512" s="6"/>
      <c r="D512" s="2095" t="str">
        <f>+Forrajes!B78</f>
        <v xml:space="preserve">Alfalfa semillero </v>
      </c>
      <c r="E512" s="1904"/>
      <c r="F512" s="1905">
        <f t="shared" ref="F512:Q512" si="376">IF($D512&lt;&gt;0,SUMIFS($C$9:$C$98,$D$9:$D$98,$D$638,G$9:G$98,$D512),0)</f>
        <v>0</v>
      </c>
      <c r="G512" s="1905">
        <f t="shared" si="376"/>
        <v>0</v>
      </c>
      <c r="H512" s="1905">
        <f t="shared" si="376"/>
        <v>0</v>
      </c>
      <c r="I512" s="1905">
        <f t="shared" ref="I512:I529" si="377">IF($D512&lt;&gt;0,SUMIFS($C$9:$C$98,$D$9:$D$98,$D$638,J$9:J$98,$D512),0)</f>
        <v>0</v>
      </c>
      <c r="J512" s="1905">
        <f t="shared" si="376"/>
        <v>0</v>
      </c>
      <c r="K512" s="1905">
        <f t="shared" si="376"/>
        <v>0</v>
      </c>
      <c r="L512" s="1905">
        <f t="shared" si="376"/>
        <v>0</v>
      </c>
      <c r="M512" s="1905">
        <f t="shared" si="376"/>
        <v>0</v>
      </c>
      <c r="N512" s="1905">
        <f t="shared" si="376"/>
        <v>0</v>
      </c>
      <c r="O512" s="1905">
        <f t="shared" si="376"/>
        <v>0</v>
      </c>
      <c r="P512" s="1905">
        <f t="shared" si="376"/>
        <v>0</v>
      </c>
      <c r="Q512" s="2096">
        <f t="shared" si="376"/>
        <v>0</v>
      </c>
      <c r="EF512" s="17"/>
    </row>
    <row r="513" spans="1:136" x14ac:dyDescent="0.3">
      <c r="A513" s="6"/>
      <c r="D513" s="2095" t="str">
        <f>+Forrajes!B79</f>
        <v xml:space="preserve">TR semillero </v>
      </c>
      <c r="E513" s="1904"/>
      <c r="F513" s="1905">
        <f t="shared" ref="F513:Q513" si="378">IF($D513&lt;&gt;0,SUMIFS($C$9:$C$98,$D$9:$D$98,$D$638,G$9:G$98,$D513),0)</f>
        <v>0</v>
      </c>
      <c r="G513" s="1905">
        <f t="shared" si="378"/>
        <v>0</v>
      </c>
      <c r="H513" s="1905">
        <f t="shared" si="378"/>
        <v>0</v>
      </c>
      <c r="I513" s="1905">
        <f t="shared" si="377"/>
        <v>0</v>
      </c>
      <c r="J513" s="1905">
        <f t="shared" si="378"/>
        <v>0</v>
      </c>
      <c r="K513" s="1905">
        <f t="shared" si="378"/>
        <v>0</v>
      </c>
      <c r="L513" s="1905">
        <f t="shared" si="378"/>
        <v>0</v>
      </c>
      <c r="M513" s="1905">
        <f t="shared" si="378"/>
        <v>0</v>
      </c>
      <c r="N513" s="1905">
        <f t="shared" si="378"/>
        <v>0</v>
      </c>
      <c r="O513" s="1905">
        <f t="shared" si="378"/>
        <v>0</v>
      </c>
      <c r="P513" s="1905">
        <f t="shared" si="378"/>
        <v>0</v>
      </c>
      <c r="Q513" s="2096">
        <f t="shared" si="378"/>
        <v>0</v>
      </c>
      <c r="EF513" s="17"/>
    </row>
    <row r="514" spans="1:136" x14ac:dyDescent="0.3">
      <c r="A514" s="6"/>
      <c r="D514" s="2095" t="str">
        <f>+Forrajes!B80</f>
        <v xml:space="preserve">TB semillero </v>
      </c>
      <c r="E514" s="1904"/>
      <c r="F514" s="1905">
        <f t="shared" ref="F514:Q514" si="379">IF($D514&lt;&gt;0,SUMIFS($C$9:$C$98,$D$9:$D$98,$D$638,G$9:G$98,$D514),0)</f>
        <v>0</v>
      </c>
      <c r="G514" s="1905">
        <f t="shared" si="379"/>
        <v>0</v>
      </c>
      <c r="H514" s="1905">
        <f t="shared" si="379"/>
        <v>0</v>
      </c>
      <c r="I514" s="1905">
        <f t="shared" si="377"/>
        <v>0</v>
      </c>
      <c r="J514" s="1905">
        <f t="shared" si="379"/>
        <v>0</v>
      </c>
      <c r="K514" s="1905">
        <f t="shared" si="379"/>
        <v>0</v>
      </c>
      <c r="L514" s="1905">
        <f t="shared" si="379"/>
        <v>0</v>
      </c>
      <c r="M514" s="1905">
        <f t="shared" si="379"/>
        <v>0</v>
      </c>
      <c r="N514" s="1905">
        <f t="shared" si="379"/>
        <v>0</v>
      </c>
      <c r="O514" s="1905">
        <f t="shared" si="379"/>
        <v>0</v>
      </c>
      <c r="P514" s="1905">
        <f t="shared" si="379"/>
        <v>0</v>
      </c>
      <c r="Q514" s="2096">
        <f t="shared" si="379"/>
        <v>0</v>
      </c>
      <c r="EF514" s="17"/>
    </row>
    <row r="515" spans="1:136" x14ac:dyDescent="0.3">
      <c r="A515" s="6"/>
      <c r="D515" s="2095" t="str">
        <f>+Forrajes!B81</f>
        <v xml:space="preserve">Achicoria Semillero </v>
      </c>
      <c r="E515" s="1904"/>
      <c r="F515" s="1905">
        <f t="shared" ref="F515:Q515" si="380">IF($D515&lt;&gt;0,SUMIFS($C$9:$C$98,$D$9:$D$98,$D$638,G$9:G$98,$D515),0)</f>
        <v>0</v>
      </c>
      <c r="G515" s="1905">
        <f t="shared" si="380"/>
        <v>0</v>
      </c>
      <c r="H515" s="1905">
        <f t="shared" si="380"/>
        <v>0</v>
      </c>
      <c r="I515" s="1905">
        <f t="shared" si="377"/>
        <v>0</v>
      </c>
      <c r="J515" s="1905">
        <f t="shared" si="380"/>
        <v>0</v>
      </c>
      <c r="K515" s="1905">
        <f t="shared" si="380"/>
        <v>0</v>
      </c>
      <c r="L515" s="1905">
        <f t="shared" si="380"/>
        <v>0</v>
      </c>
      <c r="M515" s="1905">
        <f t="shared" si="380"/>
        <v>0</v>
      </c>
      <c r="N515" s="1905">
        <f t="shared" si="380"/>
        <v>0</v>
      </c>
      <c r="O515" s="1905">
        <f t="shared" si="380"/>
        <v>0</v>
      </c>
      <c r="P515" s="1905">
        <f t="shared" si="380"/>
        <v>0</v>
      </c>
      <c r="Q515" s="2096">
        <f t="shared" si="380"/>
        <v>0</v>
      </c>
      <c r="EF515" s="17"/>
    </row>
    <row r="516" spans="1:136" x14ac:dyDescent="0.3">
      <c r="A516" s="6"/>
      <c r="D516" s="2095">
        <f>+Forrajes!B82</f>
        <v>0</v>
      </c>
      <c r="E516" s="1904"/>
      <c r="F516" s="1905">
        <f t="shared" ref="F516:Q516" si="381">IF($D516&lt;&gt;0,SUMIFS($C$9:$C$98,$D$9:$D$98,$D$638,G$9:G$98,$D516),0)</f>
        <v>0</v>
      </c>
      <c r="G516" s="1905">
        <f t="shared" si="381"/>
        <v>0</v>
      </c>
      <c r="H516" s="1905">
        <f t="shared" si="381"/>
        <v>0</v>
      </c>
      <c r="I516" s="1905">
        <f t="shared" si="377"/>
        <v>0</v>
      </c>
      <c r="J516" s="1905">
        <f t="shared" si="381"/>
        <v>0</v>
      </c>
      <c r="K516" s="1905">
        <f t="shared" si="381"/>
        <v>0</v>
      </c>
      <c r="L516" s="1905">
        <f t="shared" si="381"/>
        <v>0</v>
      </c>
      <c r="M516" s="1905">
        <f t="shared" si="381"/>
        <v>0</v>
      </c>
      <c r="N516" s="1905">
        <f t="shared" si="381"/>
        <v>0</v>
      </c>
      <c r="O516" s="1905">
        <f t="shared" si="381"/>
        <v>0</v>
      </c>
      <c r="P516" s="1905">
        <f t="shared" si="381"/>
        <v>0</v>
      </c>
      <c r="Q516" s="2096">
        <f t="shared" si="381"/>
        <v>0</v>
      </c>
      <c r="EF516" s="17"/>
    </row>
    <row r="517" spans="1:136" x14ac:dyDescent="0.3">
      <c r="A517" s="6"/>
      <c r="D517" s="2095">
        <f>+Forrajes!B83</f>
        <v>0</v>
      </c>
      <c r="E517" s="1904"/>
      <c r="F517" s="1905">
        <f t="shared" ref="F517:Q517" si="382">IF($D517&lt;&gt;0,SUMIFS($C$9:$C$98,$D$9:$D$98,$D$638,G$9:G$98,$D517),0)</f>
        <v>0</v>
      </c>
      <c r="G517" s="1905">
        <f t="shared" si="382"/>
        <v>0</v>
      </c>
      <c r="H517" s="1905">
        <f t="shared" si="382"/>
        <v>0</v>
      </c>
      <c r="I517" s="1905">
        <f t="shared" si="377"/>
        <v>0</v>
      </c>
      <c r="J517" s="1905">
        <f t="shared" si="382"/>
        <v>0</v>
      </c>
      <c r="K517" s="1905">
        <f t="shared" si="382"/>
        <v>0</v>
      </c>
      <c r="L517" s="1905">
        <f t="shared" si="382"/>
        <v>0</v>
      </c>
      <c r="M517" s="1905">
        <f t="shared" si="382"/>
        <v>0</v>
      </c>
      <c r="N517" s="1905">
        <f t="shared" si="382"/>
        <v>0</v>
      </c>
      <c r="O517" s="1905">
        <f t="shared" si="382"/>
        <v>0</v>
      </c>
      <c r="P517" s="1905">
        <f t="shared" si="382"/>
        <v>0</v>
      </c>
      <c r="Q517" s="2096">
        <f t="shared" si="382"/>
        <v>0</v>
      </c>
      <c r="EF517" s="17"/>
    </row>
    <row r="518" spans="1:136" x14ac:dyDescent="0.3">
      <c r="A518" s="6"/>
      <c r="D518" s="2095">
        <f>+Forrajes!B84</f>
        <v>0</v>
      </c>
      <c r="E518" s="1904"/>
      <c r="F518" s="1905">
        <f t="shared" ref="F518:Q518" si="383">IF($D518&lt;&gt;0,SUMIFS($C$9:$C$98,$D$9:$D$98,$D$638,G$9:G$98,$D518),0)</f>
        <v>0</v>
      </c>
      <c r="G518" s="1905">
        <f t="shared" si="383"/>
        <v>0</v>
      </c>
      <c r="H518" s="1905">
        <f t="shared" si="383"/>
        <v>0</v>
      </c>
      <c r="I518" s="1905">
        <f t="shared" si="377"/>
        <v>0</v>
      </c>
      <c r="J518" s="1905">
        <f t="shared" si="383"/>
        <v>0</v>
      </c>
      <c r="K518" s="1905">
        <f t="shared" si="383"/>
        <v>0</v>
      </c>
      <c r="L518" s="1905">
        <f t="shared" si="383"/>
        <v>0</v>
      </c>
      <c r="M518" s="1905">
        <f t="shared" si="383"/>
        <v>0</v>
      </c>
      <c r="N518" s="1905">
        <f t="shared" si="383"/>
        <v>0</v>
      </c>
      <c r="O518" s="1905">
        <f t="shared" si="383"/>
        <v>0</v>
      </c>
      <c r="P518" s="1905">
        <f t="shared" si="383"/>
        <v>0</v>
      </c>
      <c r="Q518" s="2096">
        <f t="shared" si="383"/>
        <v>0</v>
      </c>
      <c r="EF518" s="17"/>
    </row>
    <row r="519" spans="1:136" x14ac:dyDescent="0.3">
      <c r="A519" s="6"/>
      <c r="D519" s="2095">
        <f>+Forrajes!B85</f>
        <v>0</v>
      </c>
      <c r="E519" s="1904"/>
      <c r="F519" s="1905">
        <f t="shared" ref="F519:Q519" si="384">IF($D519&lt;&gt;0,SUMIFS($C$9:$C$98,$D$9:$D$98,$D$638,G$9:G$98,$D519),0)</f>
        <v>0</v>
      </c>
      <c r="G519" s="1905">
        <f t="shared" si="384"/>
        <v>0</v>
      </c>
      <c r="H519" s="1905">
        <f t="shared" si="384"/>
        <v>0</v>
      </c>
      <c r="I519" s="1905">
        <f t="shared" si="377"/>
        <v>0</v>
      </c>
      <c r="J519" s="1905">
        <f t="shared" si="384"/>
        <v>0</v>
      </c>
      <c r="K519" s="1905">
        <f t="shared" si="384"/>
        <v>0</v>
      </c>
      <c r="L519" s="1905">
        <f t="shared" si="384"/>
        <v>0</v>
      </c>
      <c r="M519" s="1905">
        <f t="shared" si="384"/>
        <v>0</v>
      </c>
      <c r="N519" s="1905">
        <f t="shared" si="384"/>
        <v>0</v>
      </c>
      <c r="O519" s="1905">
        <f t="shared" si="384"/>
        <v>0</v>
      </c>
      <c r="P519" s="1905">
        <f t="shared" si="384"/>
        <v>0</v>
      </c>
      <c r="Q519" s="2096">
        <f t="shared" si="384"/>
        <v>0</v>
      </c>
      <c r="EF519" s="17"/>
    </row>
    <row r="520" spans="1:136" x14ac:dyDescent="0.3">
      <c r="A520" s="6"/>
      <c r="D520" s="2095">
        <f>+Forrajes!B86</f>
        <v>0</v>
      </c>
      <c r="E520" s="1904"/>
      <c r="F520" s="1905">
        <f t="shared" ref="F520:Q520" si="385">IF($D520&lt;&gt;0,SUMIFS($C$9:$C$98,$D$9:$D$98,$D$638,G$9:G$98,$D520),0)</f>
        <v>0</v>
      </c>
      <c r="G520" s="1905">
        <f t="shared" si="385"/>
        <v>0</v>
      </c>
      <c r="H520" s="1905">
        <f t="shared" si="385"/>
        <v>0</v>
      </c>
      <c r="I520" s="1905">
        <f t="shared" si="377"/>
        <v>0</v>
      </c>
      <c r="J520" s="1905">
        <f t="shared" si="385"/>
        <v>0</v>
      </c>
      <c r="K520" s="1905">
        <f t="shared" si="385"/>
        <v>0</v>
      </c>
      <c r="L520" s="1905">
        <f t="shared" si="385"/>
        <v>0</v>
      </c>
      <c r="M520" s="1905">
        <f t="shared" si="385"/>
        <v>0</v>
      </c>
      <c r="N520" s="1905">
        <f t="shared" si="385"/>
        <v>0</v>
      </c>
      <c r="O520" s="1905">
        <f t="shared" si="385"/>
        <v>0</v>
      </c>
      <c r="P520" s="1905">
        <f t="shared" si="385"/>
        <v>0</v>
      </c>
      <c r="Q520" s="2096">
        <f t="shared" si="385"/>
        <v>0</v>
      </c>
      <c r="EF520" s="17"/>
    </row>
    <row r="521" spans="1:136" x14ac:dyDescent="0.3">
      <c r="A521" s="6"/>
      <c r="D521" s="2095" t="str">
        <f>+Forrajes!B88</f>
        <v xml:space="preserve">Dactylis Semillero </v>
      </c>
      <c r="E521" s="1904"/>
      <c r="F521" s="1905">
        <f t="shared" ref="F521:Q521" si="386">IF($D521&lt;&gt;0,SUMIFS($C$9:$C$98,$D$9:$D$98,$D$638,G$9:G$98,$D521),0)</f>
        <v>0</v>
      </c>
      <c r="G521" s="1905">
        <f t="shared" si="386"/>
        <v>0</v>
      </c>
      <c r="H521" s="1905">
        <f t="shared" si="386"/>
        <v>0</v>
      </c>
      <c r="I521" s="1905">
        <f t="shared" si="377"/>
        <v>0</v>
      </c>
      <c r="J521" s="1905">
        <f t="shared" si="386"/>
        <v>0</v>
      </c>
      <c r="K521" s="1905">
        <f t="shared" si="386"/>
        <v>0</v>
      </c>
      <c r="L521" s="1905">
        <f t="shared" si="386"/>
        <v>0</v>
      </c>
      <c r="M521" s="1905">
        <f t="shared" si="386"/>
        <v>0</v>
      </c>
      <c r="N521" s="1905">
        <f t="shared" si="386"/>
        <v>0</v>
      </c>
      <c r="O521" s="1905">
        <f t="shared" si="386"/>
        <v>0</v>
      </c>
      <c r="P521" s="1905">
        <f t="shared" si="386"/>
        <v>0</v>
      </c>
      <c r="Q521" s="2096">
        <f t="shared" si="386"/>
        <v>0</v>
      </c>
      <c r="EF521" s="17"/>
    </row>
    <row r="522" spans="1:136" x14ac:dyDescent="0.3">
      <c r="A522" s="6"/>
      <c r="D522" s="2095" t="str">
        <f>+Forrajes!B89</f>
        <v xml:space="preserve">Festuca Semillero </v>
      </c>
      <c r="E522" s="1904"/>
      <c r="F522" s="1905">
        <f t="shared" ref="F522:Q522" si="387">IF($D522&lt;&gt;0,SUMIFS($C$9:$C$98,$D$9:$D$98,$D$638,G$9:G$98,$D522),0)</f>
        <v>0</v>
      </c>
      <c r="G522" s="1905">
        <f t="shared" si="387"/>
        <v>0</v>
      </c>
      <c r="H522" s="1905">
        <f t="shared" si="387"/>
        <v>0</v>
      </c>
      <c r="I522" s="1905">
        <f t="shared" si="377"/>
        <v>0</v>
      </c>
      <c r="J522" s="1905">
        <f t="shared" si="387"/>
        <v>0</v>
      </c>
      <c r="K522" s="1905">
        <f t="shared" si="387"/>
        <v>0</v>
      </c>
      <c r="L522" s="1905">
        <f t="shared" si="387"/>
        <v>0</v>
      </c>
      <c r="M522" s="1905">
        <f t="shared" si="387"/>
        <v>0</v>
      </c>
      <c r="N522" s="1905">
        <f t="shared" si="387"/>
        <v>0</v>
      </c>
      <c r="O522" s="1905">
        <f t="shared" si="387"/>
        <v>0</v>
      </c>
      <c r="P522" s="1905">
        <f t="shared" si="387"/>
        <v>0</v>
      </c>
      <c r="Q522" s="2096">
        <f t="shared" si="387"/>
        <v>0</v>
      </c>
      <c r="EF522" s="17"/>
    </row>
    <row r="523" spans="1:136" x14ac:dyDescent="0.3">
      <c r="A523" s="6"/>
      <c r="D523" s="2095" t="str">
        <f>+Forrajes!B90</f>
        <v xml:space="preserve">Rg semillero </v>
      </c>
      <c r="E523" s="1904"/>
      <c r="F523" s="1905">
        <f t="shared" ref="F523:Q523" si="388">IF($D523&lt;&gt;0,SUMIFS($C$9:$C$98,$D$9:$D$98,$D$638,G$9:G$98,$D523),0)</f>
        <v>0</v>
      </c>
      <c r="G523" s="1905">
        <f t="shared" si="388"/>
        <v>0</v>
      </c>
      <c r="H523" s="1905">
        <f t="shared" si="388"/>
        <v>0</v>
      </c>
      <c r="I523" s="1905">
        <f t="shared" si="377"/>
        <v>0</v>
      </c>
      <c r="J523" s="1905">
        <f t="shared" si="388"/>
        <v>0</v>
      </c>
      <c r="K523" s="1905">
        <f t="shared" si="388"/>
        <v>0</v>
      </c>
      <c r="L523" s="1905">
        <f t="shared" si="388"/>
        <v>0</v>
      </c>
      <c r="M523" s="1905">
        <f t="shared" si="388"/>
        <v>0</v>
      </c>
      <c r="N523" s="1905">
        <f t="shared" si="388"/>
        <v>0</v>
      </c>
      <c r="O523" s="1905">
        <f t="shared" si="388"/>
        <v>0</v>
      </c>
      <c r="P523" s="1905">
        <f t="shared" si="388"/>
        <v>0</v>
      </c>
      <c r="Q523" s="2096">
        <f t="shared" si="388"/>
        <v>0</v>
      </c>
      <c r="EF523" s="17"/>
    </row>
    <row r="524" spans="1:136" x14ac:dyDescent="0.3">
      <c r="A524" s="6"/>
      <c r="D524" s="2095">
        <f>+Forrajes!B91</f>
        <v>0</v>
      </c>
      <c r="E524" s="1904"/>
      <c r="F524" s="1905">
        <f t="shared" ref="F524:Q524" si="389">IF($D524&lt;&gt;0,SUMIFS($C$9:$C$98,$D$9:$D$98,$D$638,G$9:G$98,$D524),0)</f>
        <v>0</v>
      </c>
      <c r="G524" s="1905">
        <f t="shared" si="389"/>
        <v>0</v>
      </c>
      <c r="H524" s="1905">
        <f t="shared" si="389"/>
        <v>0</v>
      </c>
      <c r="I524" s="1905">
        <f t="shared" si="377"/>
        <v>0</v>
      </c>
      <c r="J524" s="1905">
        <f t="shared" si="389"/>
        <v>0</v>
      </c>
      <c r="K524" s="1905">
        <f t="shared" si="389"/>
        <v>0</v>
      </c>
      <c r="L524" s="1905">
        <f t="shared" si="389"/>
        <v>0</v>
      </c>
      <c r="M524" s="1905">
        <f t="shared" si="389"/>
        <v>0</v>
      </c>
      <c r="N524" s="1905">
        <f t="shared" si="389"/>
        <v>0</v>
      </c>
      <c r="O524" s="1905">
        <f t="shared" si="389"/>
        <v>0</v>
      </c>
      <c r="P524" s="1905">
        <f t="shared" si="389"/>
        <v>0</v>
      </c>
      <c r="Q524" s="2096">
        <f t="shared" si="389"/>
        <v>0</v>
      </c>
      <c r="EF524" s="17"/>
    </row>
    <row r="525" spans="1:136" x14ac:dyDescent="0.3">
      <c r="A525" s="6"/>
      <c r="D525" s="2095">
        <f>+Forrajes!B92</f>
        <v>0</v>
      </c>
      <c r="E525" s="1904"/>
      <c r="F525" s="1905">
        <f t="shared" ref="F525:Q525" si="390">IF($D525&lt;&gt;0,SUMIFS($C$9:$C$98,$D$9:$D$98,$D$638,G$9:G$98,$D525),0)</f>
        <v>0</v>
      </c>
      <c r="G525" s="1905">
        <f t="shared" si="390"/>
        <v>0</v>
      </c>
      <c r="H525" s="1905">
        <f t="shared" si="390"/>
        <v>0</v>
      </c>
      <c r="I525" s="1905">
        <f t="shared" si="377"/>
        <v>0</v>
      </c>
      <c r="J525" s="1905">
        <f t="shared" si="390"/>
        <v>0</v>
      </c>
      <c r="K525" s="1905">
        <f t="shared" si="390"/>
        <v>0</v>
      </c>
      <c r="L525" s="1905">
        <f t="shared" si="390"/>
        <v>0</v>
      </c>
      <c r="M525" s="1905">
        <f t="shared" si="390"/>
        <v>0</v>
      </c>
      <c r="N525" s="1905">
        <f t="shared" si="390"/>
        <v>0</v>
      </c>
      <c r="O525" s="1905">
        <f t="shared" si="390"/>
        <v>0</v>
      </c>
      <c r="P525" s="1905">
        <f t="shared" si="390"/>
        <v>0</v>
      </c>
      <c r="Q525" s="2096">
        <f t="shared" si="390"/>
        <v>0</v>
      </c>
      <c r="EF525" s="17"/>
    </row>
    <row r="526" spans="1:136" x14ac:dyDescent="0.3">
      <c r="A526" s="6"/>
      <c r="D526" s="2095">
        <f>+Forrajes!B93</f>
        <v>0</v>
      </c>
      <c r="E526" s="1904"/>
      <c r="F526" s="1905">
        <f t="shared" ref="F526:Q526" si="391">IF($D526&lt;&gt;0,SUMIFS($C$9:$C$98,$D$9:$D$98,$D$638,G$9:G$98,$D526),0)</f>
        <v>0</v>
      </c>
      <c r="G526" s="1905">
        <f t="shared" si="391"/>
        <v>0</v>
      </c>
      <c r="H526" s="1905">
        <f t="shared" si="391"/>
        <v>0</v>
      </c>
      <c r="I526" s="1905">
        <f t="shared" si="377"/>
        <v>0</v>
      </c>
      <c r="J526" s="1905">
        <f t="shared" si="391"/>
        <v>0</v>
      </c>
      <c r="K526" s="1905">
        <f t="shared" si="391"/>
        <v>0</v>
      </c>
      <c r="L526" s="1905">
        <f t="shared" si="391"/>
        <v>0</v>
      </c>
      <c r="M526" s="1905">
        <f t="shared" si="391"/>
        <v>0</v>
      </c>
      <c r="N526" s="1905">
        <f t="shared" si="391"/>
        <v>0</v>
      </c>
      <c r="O526" s="1905">
        <f t="shared" si="391"/>
        <v>0</v>
      </c>
      <c r="P526" s="1905">
        <f t="shared" si="391"/>
        <v>0</v>
      </c>
      <c r="Q526" s="2096">
        <f t="shared" si="391"/>
        <v>0</v>
      </c>
      <c r="EF526" s="17"/>
    </row>
    <row r="527" spans="1:136" x14ac:dyDescent="0.3">
      <c r="A527" s="6"/>
      <c r="D527" s="2095">
        <f>+Forrajes!B94</f>
        <v>0</v>
      </c>
      <c r="E527" s="1904"/>
      <c r="F527" s="1905">
        <f t="shared" ref="F527:Q527" si="392">IF($D527&lt;&gt;0,SUMIFS($C$9:$C$98,$D$9:$D$98,$D$638,G$9:G$98,$D527),0)</f>
        <v>0</v>
      </c>
      <c r="G527" s="1905">
        <f t="shared" si="392"/>
        <v>0</v>
      </c>
      <c r="H527" s="1905">
        <f t="shared" si="392"/>
        <v>0</v>
      </c>
      <c r="I527" s="1905">
        <f t="shared" si="377"/>
        <v>0</v>
      </c>
      <c r="J527" s="1905">
        <f t="shared" si="392"/>
        <v>0</v>
      </c>
      <c r="K527" s="1905">
        <f t="shared" si="392"/>
        <v>0</v>
      </c>
      <c r="L527" s="1905">
        <f t="shared" si="392"/>
        <v>0</v>
      </c>
      <c r="M527" s="1905">
        <f t="shared" si="392"/>
        <v>0</v>
      </c>
      <c r="N527" s="1905">
        <f t="shared" si="392"/>
        <v>0</v>
      </c>
      <c r="O527" s="1905">
        <f t="shared" si="392"/>
        <v>0</v>
      </c>
      <c r="P527" s="1905">
        <f t="shared" si="392"/>
        <v>0</v>
      </c>
      <c r="Q527" s="2096">
        <f t="shared" si="392"/>
        <v>0</v>
      </c>
      <c r="EF527" s="17"/>
    </row>
    <row r="528" spans="1:136" x14ac:dyDescent="0.3">
      <c r="A528" s="6"/>
      <c r="D528" s="2095">
        <f>+Forrajes!B95</f>
        <v>0</v>
      </c>
      <c r="E528" s="1904"/>
      <c r="F528" s="1905">
        <f t="shared" ref="F528:Q528" si="393">IF($D528&lt;&gt;0,SUMIFS($C$9:$C$98,$D$9:$D$98,$D$638,G$9:G$98,$D528),0)</f>
        <v>0</v>
      </c>
      <c r="G528" s="1905">
        <f t="shared" si="393"/>
        <v>0</v>
      </c>
      <c r="H528" s="1905">
        <f t="shared" si="393"/>
        <v>0</v>
      </c>
      <c r="I528" s="1905">
        <f t="shared" si="377"/>
        <v>0</v>
      </c>
      <c r="J528" s="1905">
        <f t="shared" si="393"/>
        <v>0</v>
      </c>
      <c r="K528" s="1905">
        <f t="shared" si="393"/>
        <v>0</v>
      </c>
      <c r="L528" s="1905">
        <f t="shared" si="393"/>
        <v>0</v>
      </c>
      <c r="M528" s="1905">
        <f t="shared" si="393"/>
        <v>0</v>
      </c>
      <c r="N528" s="1905">
        <f t="shared" si="393"/>
        <v>0</v>
      </c>
      <c r="O528" s="1905">
        <f t="shared" si="393"/>
        <v>0</v>
      </c>
      <c r="P528" s="1905">
        <f t="shared" si="393"/>
        <v>0</v>
      </c>
      <c r="Q528" s="2096">
        <f t="shared" si="393"/>
        <v>0</v>
      </c>
      <c r="EF528" s="17"/>
    </row>
    <row r="529" spans="1:136" x14ac:dyDescent="0.3">
      <c r="A529" s="6"/>
      <c r="D529" s="2095">
        <f>+Forrajes!B96</f>
        <v>0</v>
      </c>
      <c r="E529" s="1904"/>
      <c r="F529" s="1905">
        <f t="shared" ref="F529:Q529" si="394">IF($D529&lt;&gt;0,SUMIFS($C$9:$C$98,$D$9:$D$98,$D$638,G$9:G$98,$D529),0)</f>
        <v>0</v>
      </c>
      <c r="G529" s="1905">
        <f t="shared" si="394"/>
        <v>0</v>
      </c>
      <c r="H529" s="1905">
        <f t="shared" si="394"/>
        <v>0</v>
      </c>
      <c r="I529" s="1905">
        <f t="shared" si="377"/>
        <v>0</v>
      </c>
      <c r="J529" s="1905">
        <f t="shared" si="394"/>
        <v>0</v>
      </c>
      <c r="K529" s="1905">
        <f t="shared" si="394"/>
        <v>0</v>
      </c>
      <c r="L529" s="1905">
        <f t="shared" si="394"/>
        <v>0</v>
      </c>
      <c r="M529" s="1905">
        <f t="shared" si="394"/>
        <v>0</v>
      </c>
      <c r="N529" s="1905">
        <f t="shared" si="394"/>
        <v>0</v>
      </c>
      <c r="O529" s="1905">
        <f t="shared" si="394"/>
        <v>0</v>
      </c>
      <c r="P529" s="1905">
        <f t="shared" si="394"/>
        <v>0</v>
      </c>
      <c r="Q529" s="2096">
        <f t="shared" si="394"/>
        <v>0</v>
      </c>
      <c r="EF529" s="17"/>
    </row>
    <row r="530" spans="1:136" ht="15.05" thickBot="1" x14ac:dyDescent="0.25">
      <c r="A530" s="6"/>
      <c r="D530" s="2099" t="s">
        <v>988</v>
      </c>
      <c r="E530" s="1908"/>
      <c r="F530" s="1909">
        <f t="shared" ref="F530:Q530" si="395">+SUM(F512:F529)</f>
        <v>0</v>
      </c>
      <c r="G530" s="1909">
        <f t="shared" si="395"/>
        <v>0</v>
      </c>
      <c r="H530" s="1909">
        <f t="shared" si="395"/>
        <v>0</v>
      </c>
      <c r="I530" s="1909">
        <f t="shared" si="395"/>
        <v>0</v>
      </c>
      <c r="J530" s="1909">
        <f t="shared" si="395"/>
        <v>0</v>
      </c>
      <c r="K530" s="1909">
        <f t="shared" si="395"/>
        <v>0</v>
      </c>
      <c r="L530" s="1909">
        <f t="shared" si="395"/>
        <v>0</v>
      </c>
      <c r="M530" s="1909">
        <f t="shared" si="395"/>
        <v>0</v>
      </c>
      <c r="N530" s="1909">
        <f t="shared" si="395"/>
        <v>0</v>
      </c>
      <c r="O530" s="1909">
        <f t="shared" si="395"/>
        <v>0</v>
      </c>
      <c r="P530" s="1909">
        <f t="shared" si="395"/>
        <v>0</v>
      </c>
      <c r="Q530" s="2100">
        <f t="shared" si="395"/>
        <v>0</v>
      </c>
      <c r="EF530" s="17"/>
    </row>
    <row r="531" spans="1:136" ht="15.05" thickBot="1" x14ac:dyDescent="0.35">
      <c r="A531" s="6"/>
      <c r="D531" s="2101" t="s">
        <v>965</v>
      </c>
      <c r="E531" s="2102"/>
      <c r="F531" s="2103">
        <f>F530+F511</f>
        <v>0</v>
      </c>
      <c r="G531" s="2103">
        <f t="shared" ref="G531:Q531" si="396">G530+G511</f>
        <v>0</v>
      </c>
      <c r="H531" s="2103">
        <f t="shared" si="396"/>
        <v>0</v>
      </c>
      <c r="I531" s="2103">
        <f t="shared" si="396"/>
        <v>0</v>
      </c>
      <c r="J531" s="2103">
        <f t="shared" si="396"/>
        <v>0</v>
      </c>
      <c r="K531" s="2103">
        <f t="shared" si="396"/>
        <v>0</v>
      </c>
      <c r="L531" s="2103">
        <f t="shared" si="396"/>
        <v>0</v>
      </c>
      <c r="M531" s="2103">
        <f t="shared" si="396"/>
        <v>0</v>
      </c>
      <c r="N531" s="2103">
        <f t="shared" si="396"/>
        <v>0</v>
      </c>
      <c r="O531" s="2103">
        <f t="shared" si="396"/>
        <v>0</v>
      </c>
      <c r="P531" s="2103">
        <f t="shared" si="396"/>
        <v>0</v>
      </c>
      <c r="Q531" s="2104">
        <f t="shared" si="396"/>
        <v>0</v>
      </c>
      <c r="EF531" s="17"/>
    </row>
    <row r="532" spans="1:136" ht="15.05" thickTop="1" x14ac:dyDescent="0.2">
      <c r="A532" s="6"/>
      <c r="P532" s="6"/>
      <c r="Q532" s="6"/>
      <c r="EF532" s="17"/>
    </row>
    <row r="533" spans="1:136" x14ac:dyDescent="0.2">
      <c r="A533" s="6"/>
      <c r="P533" s="6"/>
      <c r="Q533" s="6"/>
      <c r="EF533" s="17"/>
    </row>
    <row r="534" spans="1:136" x14ac:dyDescent="0.2">
      <c r="A534" s="6"/>
      <c r="P534" s="6"/>
      <c r="Q534" s="6"/>
      <c r="EF534" s="17"/>
    </row>
    <row r="535" spans="1:136" ht="15.05" thickBot="1" x14ac:dyDescent="0.25">
      <c r="A535" s="6"/>
      <c r="P535" s="6"/>
      <c r="Q535" s="6"/>
      <c r="EF535" s="17"/>
    </row>
    <row r="536" spans="1:136" ht="15.75" thickTop="1" thickBot="1" x14ac:dyDescent="0.25">
      <c r="A536" s="2188">
        <v>1016</v>
      </c>
      <c r="B536" s="1435"/>
      <c r="C536" s="958"/>
      <c r="D536" s="2105" t="s">
        <v>1971</v>
      </c>
      <c r="E536" s="2106"/>
      <c r="F536" s="2107"/>
      <c r="G536" s="2107"/>
      <c r="H536" s="2107"/>
      <c r="I536" s="2107"/>
      <c r="J536" s="2107"/>
      <c r="K536" s="2107"/>
      <c r="L536" s="2107"/>
      <c r="M536" s="2107"/>
      <c r="N536" s="2107"/>
      <c r="O536" s="2107"/>
      <c r="P536" s="2107"/>
      <c r="Q536" s="2108"/>
      <c r="EF536" s="17"/>
    </row>
    <row r="537" spans="1:136" x14ac:dyDescent="0.3">
      <c r="A537" s="6"/>
      <c r="D537" s="2095" t="s">
        <v>2050</v>
      </c>
      <c r="E537" s="1904"/>
      <c r="F537" s="1905">
        <f t="shared" ref="F537:Q537" si="397">IF($D498&lt;&gt;0,SUMIFS($C$9:$C$98,$D$9:$D$98,$D$639,G$9:G$98,$D498),0)</f>
        <v>0</v>
      </c>
      <c r="G537" s="1905">
        <f t="shared" si="397"/>
        <v>0</v>
      </c>
      <c r="H537" s="1905">
        <f t="shared" si="397"/>
        <v>0</v>
      </c>
      <c r="I537" s="1905">
        <f t="shared" ref="I537:I549" si="398">IF($D498&lt;&gt;0,SUMIFS($C$9:$C$98,$D$9:$D$98,$D$639,J$9:J$98,$D498),0)</f>
        <v>0</v>
      </c>
      <c r="J537" s="1905">
        <f t="shared" si="397"/>
        <v>0</v>
      </c>
      <c r="K537" s="1905">
        <f t="shared" si="397"/>
        <v>0</v>
      </c>
      <c r="L537" s="1905">
        <f t="shared" si="397"/>
        <v>0</v>
      </c>
      <c r="M537" s="1905">
        <f t="shared" si="397"/>
        <v>0</v>
      </c>
      <c r="N537" s="1905">
        <f t="shared" si="397"/>
        <v>0</v>
      </c>
      <c r="O537" s="1905">
        <f t="shared" si="397"/>
        <v>0</v>
      </c>
      <c r="P537" s="1905">
        <f t="shared" si="397"/>
        <v>0</v>
      </c>
      <c r="Q537" s="2096">
        <f t="shared" si="397"/>
        <v>0</v>
      </c>
      <c r="EF537" s="17"/>
    </row>
    <row r="538" spans="1:136" x14ac:dyDescent="0.3">
      <c r="A538" s="6"/>
      <c r="D538" s="2095"/>
      <c r="E538" s="1904"/>
      <c r="F538" s="1906">
        <f t="shared" ref="F538:Q538" si="399">IF($D499&lt;&gt;0,SUMIFS($C$9:$C$98,$D$9:$D$98,$D$639,G$9:G$98,$D499),0)</f>
        <v>0</v>
      </c>
      <c r="G538" s="1906">
        <f t="shared" si="399"/>
        <v>0</v>
      </c>
      <c r="H538" s="1906">
        <f t="shared" si="399"/>
        <v>0</v>
      </c>
      <c r="I538" s="1906">
        <f t="shared" si="398"/>
        <v>0</v>
      </c>
      <c r="J538" s="1906">
        <f t="shared" si="399"/>
        <v>0</v>
      </c>
      <c r="K538" s="1906">
        <f t="shared" si="399"/>
        <v>0</v>
      </c>
      <c r="L538" s="1906">
        <f t="shared" si="399"/>
        <v>0</v>
      </c>
      <c r="M538" s="1906">
        <f t="shared" si="399"/>
        <v>0</v>
      </c>
      <c r="N538" s="1906">
        <f t="shared" si="399"/>
        <v>0</v>
      </c>
      <c r="O538" s="1906">
        <f t="shared" si="399"/>
        <v>0</v>
      </c>
      <c r="P538" s="1906">
        <f t="shared" si="399"/>
        <v>0</v>
      </c>
      <c r="Q538" s="2097">
        <f t="shared" si="399"/>
        <v>0</v>
      </c>
      <c r="EF538" s="17"/>
    </row>
    <row r="539" spans="1:136" x14ac:dyDescent="0.3">
      <c r="A539" s="6"/>
      <c r="D539" s="2095"/>
      <c r="E539" s="1904"/>
      <c r="F539" s="1906">
        <f t="shared" ref="F539:Q539" si="400">IF($D500&lt;&gt;0,SUMIFS($C$9:$C$98,$D$9:$D$98,$D$639,G$9:G$98,$D500),0)</f>
        <v>0</v>
      </c>
      <c r="G539" s="1906">
        <f t="shared" si="400"/>
        <v>0</v>
      </c>
      <c r="H539" s="1906">
        <f t="shared" si="400"/>
        <v>0</v>
      </c>
      <c r="I539" s="1906">
        <f t="shared" si="398"/>
        <v>0</v>
      </c>
      <c r="J539" s="1906">
        <f t="shared" si="400"/>
        <v>0</v>
      </c>
      <c r="K539" s="1906">
        <f t="shared" si="400"/>
        <v>0</v>
      </c>
      <c r="L539" s="1906">
        <f t="shared" si="400"/>
        <v>0</v>
      </c>
      <c r="M539" s="1906">
        <f t="shared" si="400"/>
        <v>0</v>
      </c>
      <c r="N539" s="1906">
        <f t="shared" si="400"/>
        <v>0</v>
      </c>
      <c r="O539" s="1906">
        <f t="shared" si="400"/>
        <v>0</v>
      </c>
      <c r="P539" s="1906">
        <f t="shared" si="400"/>
        <v>0</v>
      </c>
      <c r="Q539" s="2097">
        <f t="shared" si="400"/>
        <v>0</v>
      </c>
      <c r="EF539" s="17"/>
    </row>
    <row r="540" spans="1:136" x14ac:dyDescent="0.3">
      <c r="A540" s="6"/>
      <c r="D540" s="2095"/>
      <c r="E540" s="1904"/>
      <c r="F540" s="1906">
        <f t="shared" ref="F540:Q540" si="401">IF($D501&lt;&gt;0,SUMIFS($C$9:$C$98,$D$9:$D$98,$D$639,G$9:G$98,$D501),0)</f>
        <v>0</v>
      </c>
      <c r="G540" s="1906">
        <f t="shared" si="401"/>
        <v>0</v>
      </c>
      <c r="H540" s="1906">
        <f t="shared" si="401"/>
        <v>0</v>
      </c>
      <c r="I540" s="1906">
        <f t="shared" si="398"/>
        <v>0</v>
      </c>
      <c r="J540" s="1906">
        <f t="shared" si="401"/>
        <v>0</v>
      </c>
      <c r="K540" s="1906">
        <f t="shared" si="401"/>
        <v>0</v>
      </c>
      <c r="L540" s="1906">
        <f t="shared" si="401"/>
        <v>0</v>
      </c>
      <c r="M540" s="1906">
        <f t="shared" si="401"/>
        <v>0</v>
      </c>
      <c r="N540" s="1906">
        <f t="shared" si="401"/>
        <v>0</v>
      </c>
      <c r="O540" s="1906">
        <f t="shared" si="401"/>
        <v>0</v>
      </c>
      <c r="P540" s="1906">
        <f t="shared" si="401"/>
        <v>0</v>
      </c>
      <c r="Q540" s="2097">
        <f t="shared" si="401"/>
        <v>0</v>
      </c>
      <c r="EF540" s="17"/>
    </row>
    <row r="541" spans="1:136" x14ac:dyDescent="0.3">
      <c r="A541" s="6"/>
      <c r="D541" s="2095"/>
      <c r="E541" s="1904"/>
      <c r="F541" s="1906">
        <f t="shared" ref="F541:Q541" si="402">IF($D502&lt;&gt;0,SUMIFS($C$9:$C$98,$D$9:$D$98,$D$639,G$9:G$98,$D502),0)</f>
        <v>0</v>
      </c>
      <c r="G541" s="1906">
        <f t="shared" si="402"/>
        <v>0</v>
      </c>
      <c r="H541" s="1906">
        <f t="shared" si="402"/>
        <v>0</v>
      </c>
      <c r="I541" s="1906">
        <f t="shared" si="398"/>
        <v>0</v>
      </c>
      <c r="J541" s="1906">
        <f t="shared" si="402"/>
        <v>0</v>
      </c>
      <c r="K541" s="1906">
        <f t="shared" si="402"/>
        <v>0</v>
      </c>
      <c r="L541" s="1906">
        <f t="shared" si="402"/>
        <v>0</v>
      </c>
      <c r="M541" s="1906">
        <f t="shared" si="402"/>
        <v>0</v>
      </c>
      <c r="N541" s="1906">
        <f t="shared" si="402"/>
        <v>0</v>
      </c>
      <c r="O541" s="1906">
        <f t="shared" si="402"/>
        <v>0</v>
      </c>
      <c r="P541" s="1906">
        <f t="shared" si="402"/>
        <v>0</v>
      </c>
      <c r="Q541" s="2097">
        <f t="shared" si="402"/>
        <v>0</v>
      </c>
      <c r="EF541" s="17"/>
    </row>
    <row r="542" spans="1:136" x14ac:dyDescent="0.3">
      <c r="A542" s="6"/>
      <c r="D542" s="2095"/>
      <c r="E542" s="1904"/>
      <c r="F542" s="1906">
        <f t="shared" ref="F542:Q542" si="403">IF($D503&lt;&gt;0,SUMIFS($C$9:$C$98,$D$9:$D$98,$D$639,G$9:G$98,$D503),0)</f>
        <v>0</v>
      </c>
      <c r="G542" s="1906">
        <f t="shared" si="403"/>
        <v>0</v>
      </c>
      <c r="H542" s="1906">
        <f t="shared" si="403"/>
        <v>0</v>
      </c>
      <c r="I542" s="1906">
        <f t="shared" si="398"/>
        <v>0</v>
      </c>
      <c r="J542" s="1906">
        <f t="shared" si="403"/>
        <v>0</v>
      </c>
      <c r="K542" s="1906">
        <f t="shared" si="403"/>
        <v>0</v>
      </c>
      <c r="L542" s="1906">
        <f t="shared" si="403"/>
        <v>0</v>
      </c>
      <c r="M542" s="1906">
        <f t="shared" si="403"/>
        <v>0</v>
      </c>
      <c r="N542" s="1906">
        <f t="shared" si="403"/>
        <v>0</v>
      </c>
      <c r="O542" s="1906">
        <f t="shared" si="403"/>
        <v>0</v>
      </c>
      <c r="P542" s="1906">
        <f t="shared" si="403"/>
        <v>0</v>
      </c>
      <c r="Q542" s="2097">
        <f t="shared" si="403"/>
        <v>0</v>
      </c>
      <c r="EF542" s="17"/>
    </row>
    <row r="543" spans="1:136" x14ac:dyDescent="0.3">
      <c r="A543" s="6"/>
      <c r="D543" s="2095"/>
      <c r="E543" s="1904"/>
      <c r="F543" s="1906">
        <f t="shared" ref="F543:Q543" si="404">IF($D504&lt;&gt;0,SUMIFS($C$9:$C$98,$D$9:$D$98,$D$639,G$9:G$98,$D504),0)</f>
        <v>0</v>
      </c>
      <c r="G543" s="1906">
        <f t="shared" si="404"/>
        <v>0</v>
      </c>
      <c r="H543" s="1906">
        <f t="shared" si="404"/>
        <v>0</v>
      </c>
      <c r="I543" s="1906">
        <f t="shared" si="398"/>
        <v>0</v>
      </c>
      <c r="J543" s="1906">
        <f t="shared" si="404"/>
        <v>0</v>
      </c>
      <c r="K543" s="1906">
        <f t="shared" si="404"/>
        <v>0</v>
      </c>
      <c r="L543" s="1906">
        <f t="shared" si="404"/>
        <v>0</v>
      </c>
      <c r="M543" s="1906">
        <f t="shared" si="404"/>
        <v>0</v>
      </c>
      <c r="N543" s="1906">
        <f t="shared" si="404"/>
        <v>0</v>
      </c>
      <c r="O543" s="1906">
        <f t="shared" si="404"/>
        <v>0</v>
      </c>
      <c r="P543" s="1906">
        <f t="shared" si="404"/>
        <v>0</v>
      </c>
      <c r="Q543" s="2097">
        <f t="shared" si="404"/>
        <v>0</v>
      </c>
      <c r="EF543" s="17"/>
    </row>
    <row r="544" spans="1:136" x14ac:dyDescent="0.3">
      <c r="A544" s="6"/>
      <c r="D544" s="2095"/>
      <c r="E544" s="1904"/>
      <c r="F544" s="1906">
        <f t="shared" ref="F544:Q544" si="405">IF($D505&lt;&gt;0,SUMIFS($C$9:$C$98,$D$9:$D$98,$D$639,G$9:G$98,$D505),0)</f>
        <v>0</v>
      </c>
      <c r="G544" s="1906">
        <f t="shared" si="405"/>
        <v>0</v>
      </c>
      <c r="H544" s="1906">
        <f t="shared" si="405"/>
        <v>0</v>
      </c>
      <c r="I544" s="1906">
        <f t="shared" si="398"/>
        <v>0</v>
      </c>
      <c r="J544" s="1906">
        <f t="shared" si="405"/>
        <v>0</v>
      </c>
      <c r="K544" s="1906">
        <f t="shared" si="405"/>
        <v>0</v>
      </c>
      <c r="L544" s="1906">
        <f t="shared" si="405"/>
        <v>0</v>
      </c>
      <c r="M544" s="1906">
        <f t="shared" si="405"/>
        <v>0</v>
      </c>
      <c r="N544" s="1906">
        <f t="shared" si="405"/>
        <v>0</v>
      </c>
      <c r="O544" s="1906">
        <f t="shared" si="405"/>
        <v>0</v>
      </c>
      <c r="P544" s="1906">
        <f t="shared" si="405"/>
        <v>0</v>
      </c>
      <c r="Q544" s="2097">
        <f t="shared" si="405"/>
        <v>0</v>
      </c>
      <c r="EF544" s="17"/>
    </row>
    <row r="545" spans="1:136" x14ac:dyDescent="0.3">
      <c r="A545" s="6"/>
      <c r="D545" s="2095"/>
      <c r="E545" s="1904"/>
      <c r="F545" s="1906">
        <f t="shared" ref="F545:Q545" si="406">IF($D506&lt;&gt;0,SUMIFS($C$9:$C$98,$D$9:$D$98,$D$639,G$9:G$98,$D506),0)</f>
        <v>0</v>
      </c>
      <c r="G545" s="1906">
        <f t="shared" si="406"/>
        <v>0</v>
      </c>
      <c r="H545" s="1906">
        <f t="shared" si="406"/>
        <v>0</v>
      </c>
      <c r="I545" s="1906">
        <f t="shared" si="398"/>
        <v>0</v>
      </c>
      <c r="J545" s="1906">
        <f t="shared" si="406"/>
        <v>0</v>
      </c>
      <c r="K545" s="1906">
        <f t="shared" si="406"/>
        <v>0</v>
      </c>
      <c r="L545" s="1906">
        <f t="shared" si="406"/>
        <v>0</v>
      </c>
      <c r="M545" s="1906">
        <f t="shared" si="406"/>
        <v>0</v>
      </c>
      <c r="N545" s="1906">
        <f t="shared" si="406"/>
        <v>0</v>
      </c>
      <c r="O545" s="1906">
        <f t="shared" si="406"/>
        <v>0</v>
      </c>
      <c r="P545" s="1906">
        <f t="shared" si="406"/>
        <v>0</v>
      </c>
      <c r="Q545" s="2097">
        <f t="shared" si="406"/>
        <v>0</v>
      </c>
      <c r="EF545" s="17"/>
    </row>
    <row r="546" spans="1:136" x14ac:dyDescent="0.3">
      <c r="A546" s="6"/>
      <c r="D546" s="2095"/>
      <c r="E546" s="1904"/>
      <c r="F546" s="1906">
        <f t="shared" ref="F546:Q546" si="407">IF($D507&lt;&gt;0,SUMIFS($C$9:$C$98,$D$9:$D$98,$D$639,G$9:G$98,$D507),0)</f>
        <v>0</v>
      </c>
      <c r="G546" s="1906">
        <f t="shared" si="407"/>
        <v>0</v>
      </c>
      <c r="H546" s="1906">
        <f t="shared" si="407"/>
        <v>0</v>
      </c>
      <c r="I546" s="1906">
        <f t="shared" si="398"/>
        <v>0</v>
      </c>
      <c r="J546" s="1906">
        <f t="shared" si="407"/>
        <v>0</v>
      </c>
      <c r="K546" s="1906">
        <f t="shared" si="407"/>
        <v>0</v>
      </c>
      <c r="L546" s="1906">
        <f t="shared" si="407"/>
        <v>0</v>
      </c>
      <c r="M546" s="1906">
        <f t="shared" si="407"/>
        <v>0</v>
      </c>
      <c r="N546" s="1906">
        <f t="shared" si="407"/>
        <v>0</v>
      </c>
      <c r="O546" s="1906">
        <f t="shared" si="407"/>
        <v>0</v>
      </c>
      <c r="P546" s="1906">
        <f t="shared" si="407"/>
        <v>0</v>
      </c>
      <c r="Q546" s="2097">
        <f t="shared" si="407"/>
        <v>0</v>
      </c>
      <c r="EF546" s="17"/>
    </row>
    <row r="547" spans="1:136" x14ac:dyDescent="0.3">
      <c r="A547" s="6"/>
      <c r="D547" s="2095"/>
      <c r="E547" s="1904"/>
      <c r="F547" s="1906">
        <f t="shared" ref="F547:Q547" si="408">IF($D508&lt;&gt;0,SUMIFS($C$9:$C$98,$D$9:$D$98,$D$639,G$9:G$98,$D508),0)</f>
        <v>0</v>
      </c>
      <c r="G547" s="1906">
        <f t="shared" si="408"/>
        <v>0</v>
      </c>
      <c r="H547" s="1906">
        <f t="shared" si="408"/>
        <v>0</v>
      </c>
      <c r="I547" s="1906">
        <f t="shared" si="398"/>
        <v>0</v>
      </c>
      <c r="J547" s="1906">
        <f t="shared" si="408"/>
        <v>0</v>
      </c>
      <c r="K547" s="1906">
        <f t="shared" si="408"/>
        <v>0</v>
      </c>
      <c r="L547" s="1906">
        <f t="shared" si="408"/>
        <v>0</v>
      </c>
      <c r="M547" s="1906">
        <f t="shared" si="408"/>
        <v>0</v>
      </c>
      <c r="N547" s="1906">
        <f t="shared" si="408"/>
        <v>0</v>
      </c>
      <c r="O547" s="1906">
        <f t="shared" si="408"/>
        <v>0</v>
      </c>
      <c r="P547" s="1906">
        <f t="shared" si="408"/>
        <v>0</v>
      </c>
      <c r="Q547" s="2097">
        <f t="shared" si="408"/>
        <v>0</v>
      </c>
      <c r="EF547" s="17"/>
    </row>
    <row r="548" spans="1:136" x14ac:dyDescent="0.3">
      <c r="A548" s="6"/>
      <c r="D548" s="2095"/>
      <c r="E548" s="1904"/>
      <c r="F548" s="1906">
        <f t="shared" ref="F548:Q548" si="409">IF($D509&lt;&gt;0,SUMIFS($C$9:$C$98,$D$9:$D$98,$D$639,G$9:G$98,$D509),0)</f>
        <v>0</v>
      </c>
      <c r="G548" s="1906">
        <f t="shared" si="409"/>
        <v>0</v>
      </c>
      <c r="H548" s="1906">
        <f t="shared" si="409"/>
        <v>0</v>
      </c>
      <c r="I548" s="1906">
        <f t="shared" si="398"/>
        <v>0</v>
      </c>
      <c r="J548" s="1906">
        <f t="shared" si="409"/>
        <v>0</v>
      </c>
      <c r="K548" s="1906">
        <f t="shared" si="409"/>
        <v>0</v>
      </c>
      <c r="L548" s="1906">
        <f t="shared" si="409"/>
        <v>0</v>
      </c>
      <c r="M548" s="1906">
        <f t="shared" si="409"/>
        <v>0</v>
      </c>
      <c r="N548" s="1906">
        <f t="shared" si="409"/>
        <v>0</v>
      </c>
      <c r="O548" s="1906">
        <f t="shared" si="409"/>
        <v>0</v>
      </c>
      <c r="P548" s="1906">
        <f t="shared" si="409"/>
        <v>0</v>
      </c>
      <c r="Q548" s="2097">
        <f t="shared" si="409"/>
        <v>0</v>
      </c>
      <c r="EF548" s="17"/>
    </row>
    <row r="549" spans="1:136" x14ac:dyDescent="0.3">
      <c r="A549" s="6"/>
      <c r="D549" s="2095"/>
      <c r="E549" s="1904"/>
      <c r="F549" s="1348">
        <f t="shared" ref="F549:Q549" si="410">IF($D510&lt;&gt;0,SUMIFS($C$9:$C$98,$D$9:$D$98,$D$639,G$9:G$98,$D510),0)</f>
        <v>0</v>
      </c>
      <c r="G549" s="1348">
        <f t="shared" si="410"/>
        <v>0</v>
      </c>
      <c r="H549" s="1348">
        <f t="shared" si="410"/>
        <v>0</v>
      </c>
      <c r="I549" s="1348">
        <f t="shared" si="398"/>
        <v>0</v>
      </c>
      <c r="J549" s="1348">
        <f t="shared" si="410"/>
        <v>0</v>
      </c>
      <c r="K549" s="1348">
        <f t="shared" si="410"/>
        <v>0</v>
      </c>
      <c r="L549" s="1348">
        <f t="shared" si="410"/>
        <v>0</v>
      </c>
      <c r="M549" s="1348">
        <f t="shared" si="410"/>
        <v>0</v>
      </c>
      <c r="N549" s="1348">
        <f t="shared" si="410"/>
        <v>0</v>
      </c>
      <c r="O549" s="1348">
        <f t="shared" si="410"/>
        <v>0</v>
      </c>
      <c r="P549" s="1348">
        <f t="shared" si="410"/>
        <v>0</v>
      </c>
      <c r="Q549" s="2098">
        <f t="shared" si="410"/>
        <v>0</v>
      </c>
      <c r="EF549" s="17"/>
    </row>
    <row r="550" spans="1:136" x14ac:dyDescent="0.2">
      <c r="A550" s="6"/>
      <c r="D550" s="2099"/>
      <c r="E550" s="1908"/>
      <c r="F550" s="1909">
        <f>+SUM(F537:F549)</f>
        <v>0</v>
      </c>
      <c r="G550" s="1909">
        <f t="shared" ref="G550:Q550" si="411">+SUM(G537:G549)</f>
        <v>0</v>
      </c>
      <c r="H550" s="1909">
        <f t="shared" si="411"/>
        <v>0</v>
      </c>
      <c r="I550" s="1909">
        <f t="shared" si="411"/>
        <v>0</v>
      </c>
      <c r="J550" s="1909">
        <f t="shared" si="411"/>
        <v>0</v>
      </c>
      <c r="K550" s="1909">
        <f t="shared" si="411"/>
        <v>0</v>
      </c>
      <c r="L550" s="1909">
        <f t="shared" si="411"/>
        <v>0</v>
      </c>
      <c r="M550" s="1909">
        <f t="shared" si="411"/>
        <v>0</v>
      </c>
      <c r="N550" s="1909">
        <f t="shared" si="411"/>
        <v>0</v>
      </c>
      <c r="O550" s="1909">
        <f t="shared" si="411"/>
        <v>0</v>
      </c>
      <c r="P550" s="1909">
        <f t="shared" si="411"/>
        <v>0</v>
      </c>
      <c r="Q550" s="2100">
        <f t="shared" si="411"/>
        <v>0</v>
      </c>
      <c r="EF550" s="17"/>
    </row>
    <row r="551" spans="1:136" x14ac:dyDescent="0.3">
      <c r="A551" s="6"/>
      <c r="D551" s="2095"/>
      <c r="E551" s="1904"/>
      <c r="F551" s="1905">
        <f t="shared" ref="F551:Q551" si="412">IF($D512&lt;&gt;0,SUMIFS($C$9:$C$98,$D$9:$D$98,$D$639,G$9:G$98,$D512),0)</f>
        <v>0</v>
      </c>
      <c r="G551" s="1905">
        <f t="shared" si="412"/>
        <v>0</v>
      </c>
      <c r="H551" s="1905">
        <f t="shared" si="412"/>
        <v>0</v>
      </c>
      <c r="I551" s="1905">
        <f t="shared" ref="I551:I568" si="413">IF($D512&lt;&gt;0,SUMIFS($C$9:$C$98,$D$9:$D$98,$D$639,J$9:J$98,$D512),0)</f>
        <v>0</v>
      </c>
      <c r="J551" s="1905">
        <f t="shared" si="412"/>
        <v>0</v>
      </c>
      <c r="K551" s="1905">
        <f t="shared" si="412"/>
        <v>0</v>
      </c>
      <c r="L551" s="1905">
        <f t="shared" si="412"/>
        <v>0</v>
      </c>
      <c r="M551" s="1905">
        <f t="shared" si="412"/>
        <v>0</v>
      </c>
      <c r="N551" s="1905">
        <f t="shared" si="412"/>
        <v>0</v>
      </c>
      <c r="O551" s="1905">
        <f t="shared" si="412"/>
        <v>0</v>
      </c>
      <c r="P551" s="1905">
        <f t="shared" si="412"/>
        <v>0</v>
      </c>
      <c r="Q551" s="2096">
        <f t="shared" si="412"/>
        <v>0</v>
      </c>
      <c r="EF551" s="17"/>
    </row>
    <row r="552" spans="1:136" x14ac:dyDescent="0.3">
      <c r="A552" s="6"/>
      <c r="D552" s="2095"/>
      <c r="E552" s="1904"/>
      <c r="F552" s="1905">
        <f t="shared" ref="F552:Q552" si="414">IF($D513&lt;&gt;0,SUMIFS($C$9:$C$98,$D$9:$D$98,$D$639,G$9:G$98,$D513),0)</f>
        <v>0</v>
      </c>
      <c r="G552" s="1905">
        <f t="shared" si="414"/>
        <v>0</v>
      </c>
      <c r="H552" s="1905">
        <f t="shared" si="414"/>
        <v>0</v>
      </c>
      <c r="I552" s="1905">
        <f t="shared" si="413"/>
        <v>0</v>
      </c>
      <c r="J552" s="1905">
        <f t="shared" si="414"/>
        <v>0</v>
      </c>
      <c r="K552" s="1905">
        <f t="shared" si="414"/>
        <v>0</v>
      </c>
      <c r="L552" s="1905">
        <f t="shared" si="414"/>
        <v>0</v>
      </c>
      <c r="M552" s="1905">
        <f t="shared" si="414"/>
        <v>0</v>
      </c>
      <c r="N552" s="1905">
        <f t="shared" si="414"/>
        <v>0</v>
      </c>
      <c r="O552" s="1905">
        <f t="shared" si="414"/>
        <v>0</v>
      </c>
      <c r="P552" s="1905">
        <f t="shared" si="414"/>
        <v>0</v>
      </c>
      <c r="Q552" s="2096">
        <f t="shared" si="414"/>
        <v>0</v>
      </c>
      <c r="EF552" s="17"/>
    </row>
    <row r="553" spans="1:136" x14ac:dyDescent="0.3">
      <c r="A553" s="6"/>
      <c r="D553" s="2095"/>
      <c r="E553" s="1904"/>
      <c r="F553" s="1905">
        <f t="shared" ref="F553:Q553" si="415">IF($D514&lt;&gt;0,SUMIFS($C$9:$C$98,$D$9:$D$98,$D$639,G$9:G$98,$D514),0)</f>
        <v>0</v>
      </c>
      <c r="G553" s="1905">
        <f t="shared" si="415"/>
        <v>0</v>
      </c>
      <c r="H553" s="1905">
        <f t="shared" si="415"/>
        <v>0</v>
      </c>
      <c r="I553" s="1905">
        <f t="shared" si="413"/>
        <v>0</v>
      </c>
      <c r="J553" s="1905">
        <f t="shared" si="415"/>
        <v>0</v>
      </c>
      <c r="K553" s="1905">
        <f t="shared" si="415"/>
        <v>0</v>
      </c>
      <c r="L553" s="1905">
        <f t="shared" si="415"/>
        <v>0</v>
      </c>
      <c r="M553" s="1905">
        <f t="shared" si="415"/>
        <v>0</v>
      </c>
      <c r="N553" s="1905">
        <f t="shared" si="415"/>
        <v>0</v>
      </c>
      <c r="O553" s="1905">
        <f t="shared" si="415"/>
        <v>0</v>
      </c>
      <c r="P553" s="1905">
        <f t="shared" si="415"/>
        <v>0</v>
      </c>
      <c r="Q553" s="2096">
        <f t="shared" si="415"/>
        <v>0</v>
      </c>
      <c r="EF553" s="17"/>
    </row>
    <row r="554" spans="1:136" x14ac:dyDescent="0.3">
      <c r="A554" s="6"/>
      <c r="D554" s="2095"/>
      <c r="E554" s="1904"/>
      <c r="F554" s="1905">
        <f t="shared" ref="F554:Q554" si="416">IF($D515&lt;&gt;0,SUMIFS($C$9:$C$98,$D$9:$D$98,$D$639,G$9:G$98,$D515),0)</f>
        <v>0</v>
      </c>
      <c r="G554" s="1905">
        <f t="shared" si="416"/>
        <v>0</v>
      </c>
      <c r="H554" s="1905">
        <f t="shared" si="416"/>
        <v>0</v>
      </c>
      <c r="I554" s="1905">
        <f t="shared" si="413"/>
        <v>0</v>
      </c>
      <c r="J554" s="1905">
        <f t="shared" si="416"/>
        <v>0</v>
      </c>
      <c r="K554" s="1905">
        <f t="shared" si="416"/>
        <v>0</v>
      </c>
      <c r="L554" s="1905">
        <f t="shared" si="416"/>
        <v>0</v>
      </c>
      <c r="M554" s="1905">
        <f t="shared" si="416"/>
        <v>0</v>
      </c>
      <c r="N554" s="1905">
        <f t="shared" si="416"/>
        <v>0</v>
      </c>
      <c r="O554" s="1905">
        <f t="shared" si="416"/>
        <v>0</v>
      </c>
      <c r="P554" s="1905">
        <f t="shared" si="416"/>
        <v>0</v>
      </c>
      <c r="Q554" s="2096">
        <f t="shared" si="416"/>
        <v>0</v>
      </c>
      <c r="EF554" s="17"/>
    </row>
    <row r="555" spans="1:136" x14ac:dyDescent="0.3">
      <c r="A555" s="6"/>
      <c r="D555" s="2095"/>
      <c r="E555" s="1904"/>
      <c r="F555" s="1905">
        <f t="shared" ref="F555:Q555" si="417">IF($D516&lt;&gt;0,SUMIFS($C$9:$C$98,$D$9:$D$98,$D$639,G$9:G$98,$D516),0)</f>
        <v>0</v>
      </c>
      <c r="G555" s="1905">
        <f t="shared" si="417"/>
        <v>0</v>
      </c>
      <c r="H555" s="1905">
        <f t="shared" si="417"/>
        <v>0</v>
      </c>
      <c r="I555" s="1905">
        <f t="shared" si="413"/>
        <v>0</v>
      </c>
      <c r="J555" s="1905">
        <f t="shared" si="417"/>
        <v>0</v>
      </c>
      <c r="K555" s="1905">
        <f t="shared" si="417"/>
        <v>0</v>
      </c>
      <c r="L555" s="1905">
        <f t="shared" si="417"/>
        <v>0</v>
      </c>
      <c r="M555" s="1905">
        <f t="shared" si="417"/>
        <v>0</v>
      </c>
      <c r="N555" s="1905">
        <f t="shared" si="417"/>
        <v>0</v>
      </c>
      <c r="O555" s="1905">
        <f t="shared" si="417"/>
        <v>0</v>
      </c>
      <c r="P555" s="1905">
        <f t="shared" si="417"/>
        <v>0</v>
      </c>
      <c r="Q555" s="2096">
        <f t="shared" si="417"/>
        <v>0</v>
      </c>
      <c r="EF555" s="17"/>
    </row>
    <row r="556" spans="1:136" x14ac:dyDescent="0.3">
      <c r="A556" s="6"/>
      <c r="D556" s="2095"/>
      <c r="E556" s="1904"/>
      <c r="F556" s="1905">
        <f t="shared" ref="F556:Q556" si="418">IF($D517&lt;&gt;0,SUMIFS($C$9:$C$98,$D$9:$D$98,$D$639,G$9:G$98,$D517),0)</f>
        <v>0</v>
      </c>
      <c r="G556" s="1905">
        <f t="shared" si="418"/>
        <v>0</v>
      </c>
      <c r="H556" s="1905">
        <f t="shared" si="418"/>
        <v>0</v>
      </c>
      <c r="I556" s="1905">
        <f t="shared" si="413"/>
        <v>0</v>
      </c>
      <c r="J556" s="1905">
        <f t="shared" si="418"/>
        <v>0</v>
      </c>
      <c r="K556" s="1905">
        <f t="shared" si="418"/>
        <v>0</v>
      </c>
      <c r="L556" s="1905">
        <f t="shared" si="418"/>
        <v>0</v>
      </c>
      <c r="M556" s="1905">
        <f t="shared" si="418"/>
        <v>0</v>
      </c>
      <c r="N556" s="1905">
        <f t="shared" si="418"/>
        <v>0</v>
      </c>
      <c r="O556" s="1905">
        <f t="shared" si="418"/>
        <v>0</v>
      </c>
      <c r="P556" s="1905">
        <f t="shared" si="418"/>
        <v>0</v>
      </c>
      <c r="Q556" s="2096">
        <f t="shared" si="418"/>
        <v>0</v>
      </c>
      <c r="EF556" s="17"/>
    </row>
    <row r="557" spans="1:136" x14ac:dyDescent="0.3">
      <c r="A557" s="6"/>
      <c r="D557" s="2095"/>
      <c r="E557" s="1904"/>
      <c r="F557" s="1905">
        <f t="shared" ref="F557:Q557" si="419">IF($D518&lt;&gt;0,SUMIFS($C$9:$C$98,$D$9:$D$98,$D$639,G$9:G$98,$D518),0)</f>
        <v>0</v>
      </c>
      <c r="G557" s="1905">
        <f t="shared" si="419"/>
        <v>0</v>
      </c>
      <c r="H557" s="1905">
        <f t="shared" si="419"/>
        <v>0</v>
      </c>
      <c r="I557" s="1905">
        <f t="shared" si="413"/>
        <v>0</v>
      </c>
      <c r="J557" s="1905">
        <f t="shared" si="419"/>
        <v>0</v>
      </c>
      <c r="K557" s="1905">
        <f t="shared" si="419"/>
        <v>0</v>
      </c>
      <c r="L557" s="1905">
        <f t="shared" si="419"/>
        <v>0</v>
      </c>
      <c r="M557" s="1905">
        <f t="shared" si="419"/>
        <v>0</v>
      </c>
      <c r="N557" s="1905">
        <f t="shared" si="419"/>
        <v>0</v>
      </c>
      <c r="O557" s="1905">
        <f t="shared" si="419"/>
        <v>0</v>
      </c>
      <c r="P557" s="1905">
        <f t="shared" si="419"/>
        <v>0</v>
      </c>
      <c r="Q557" s="2096">
        <f t="shared" si="419"/>
        <v>0</v>
      </c>
      <c r="EF557" s="17"/>
    </row>
    <row r="558" spans="1:136" x14ac:dyDescent="0.3">
      <c r="A558" s="6"/>
      <c r="D558" s="2095"/>
      <c r="E558" s="1904"/>
      <c r="F558" s="1905">
        <f t="shared" ref="F558:Q558" si="420">IF($D519&lt;&gt;0,SUMIFS($C$9:$C$98,$D$9:$D$98,$D$639,G$9:G$98,$D519),0)</f>
        <v>0</v>
      </c>
      <c r="G558" s="1905">
        <f t="shared" si="420"/>
        <v>0</v>
      </c>
      <c r="H558" s="1905">
        <f t="shared" si="420"/>
        <v>0</v>
      </c>
      <c r="I558" s="1905">
        <f t="shared" si="413"/>
        <v>0</v>
      </c>
      <c r="J558" s="1905">
        <f t="shared" si="420"/>
        <v>0</v>
      </c>
      <c r="K558" s="1905">
        <f t="shared" si="420"/>
        <v>0</v>
      </c>
      <c r="L558" s="1905">
        <f t="shared" si="420"/>
        <v>0</v>
      </c>
      <c r="M558" s="1905">
        <f t="shared" si="420"/>
        <v>0</v>
      </c>
      <c r="N558" s="1905">
        <f t="shared" si="420"/>
        <v>0</v>
      </c>
      <c r="O558" s="1905">
        <f t="shared" si="420"/>
        <v>0</v>
      </c>
      <c r="P558" s="1905">
        <f t="shared" si="420"/>
        <v>0</v>
      </c>
      <c r="Q558" s="2096">
        <f t="shared" si="420"/>
        <v>0</v>
      </c>
      <c r="EF558" s="17"/>
    </row>
    <row r="559" spans="1:136" x14ac:dyDescent="0.3">
      <c r="A559" s="6"/>
      <c r="D559" s="2095"/>
      <c r="E559" s="1904"/>
      <c r="F559" s="1905">
        <f t="shared" ref="F559:Q559" si="421">IF($D520&lt;&gt;0,SUMIFS($C$9:$C$98,$D$9:$D$98,$D$639,G$9:G$98,$D520),0)</f>
        <v>0</v>
      </c>
      <c r="G559" s="1905">
        <f t="shared" si="421"/>
        <v>0</v>
      </c>
      <c r="H559" s="1905">
        <f t="shared" si="421"/>
        <v>0</v>
      </c>
      <c r="I559" s="1905">
        <f t="shared" si="413"/>
        <v>0</v>
      </c>
      <c r="J559" s="1905">
        <f t="shared" si="421"/>
        <v>0</v>
      </c>
      <c r="K559" s="1905">
        <f t="shared" si="421"/>
        <v>0</v>
      </c>
      <c r="L559" s="1905">
        <f t="shared" si="421"/>
        <v>0</v>
      </c>
      <c r="M559" s="1905">
        <f t="shared" si="421"/>
        <v>0</v>
      </c>
      <c r="N559" s="1905">
        <f t="shared" si="421"/>
        <v>0</v>
      </c>
      <c r="O559" s="1905">
        <f t="shared" si="421"/>
        <v>0</v>
      </c>
      <c r="P559" s="1905">
        <f t="shared" si="421"/>
        <v>0</v>
      </c>
      <c r="Q559" s="2096">
        <f t="shared" si="421"/>
        <v>0</v>
      </c>
      <c r="EF559" s="17"/>
    </row>
    <row r="560" spans="1:136" x14ac:dyDescent="0.3">
      <c r="A560" s="6"/>
      <c r="D560" s="2095"/>
      <c r="E560" s="1904"/>
      <c r="F560" s="1905">
        <f t="shared" ref="F560:Q560" si="422">IF($D521&lt;&gt;0,SUMIFS($C$9:$C$98,$D$9:$D$98,$D$639,G$9:G$98,$D521),0)</f>
        <v>0</v>
      </c>
      <c r="G560" s="1905">
        <f t="shared" si="422"/>
        <v>0</v>
      </c>
      <c r="H560" s="1905">
        <f t="shared" si="422"/>
        <v>0</v>
      </c>
      <c r="I560" s="1905">
        <f t="shared" si="413"/>
        <v>0</v>
      </c>
      <c r="J560" s="1905">
        <f t="shared" si="422"/>
        <v>0</v>
      </c>
      <c r="K560" s="1905">
        <f t="shared" si="422"/>
        <v>0</v>
      </c>
      <c r="L560" s="1905">
        <f t="shared" si="422"/>
        <v>0</v>
      </c>
      <c r="M560" s="1905">
        <f t="shared" si="422"/>
        <v>0</v>
      </c>
      <c r="N560" s="1905">
        <f t="shared" si="422"/>
        <v>0</v>
      </c>
      <c r="O560" s="1905">
        <f t="shared" si="422"/>
        <v>0</v>
      </c>
      <c r="P560" s="1905">
        <f t="shared" si="422"/>
        <v>0</v>
      </c>
      <c r="Q560" s="2096">
        <f t="shared" si="422"/>
        <v>0</v>
      </c>
      <c r="EF560" s="17"/>
    </row>
    <row r="561" spans="1:136" x14ac:dyDescent="0.3">
      <c r="A561" s="6"/>
      <c r="D561" s="2095"/>
      <c r="E561" s="1904"/>
      <c r="F561" s="1905">
        <f t="shared" ref="F561:Q561" si="423">IF($D522&lt;&gt;0,SUMIFS($C$9:$C$98,$D$9:$D$98,$D$639,G$9:G$98,$D522),0)</f>
        <v>0</v>
      </c>
      <c r="G561" s="1905">
        <f t="shared" si="423"/>
        <v>0</v>
      </c>
      <c r="H561" s="1905">
        <f t="shared" si="423"/>
        <v>0</v>
      </c>
      <c r="I561" s="1905">
        <f t="shared" si="413"/>
        <v>0</v>
      </c>
      <c r="J561" s="1905">
        <f t="shared" si="423"/>
        <v>0</v>
      </c>
      <c r="K561" s="1905">
        <f t="shared" si="423"/>
        <v>0</v>
      </c>
      <c r="L561" s="1905">
        <f t="shared" si="423"/>
        <v>0</v>
      </c>
      <c r="M561" s="1905">
        <f t="shared" si="423"/>
        <v>0</v>
      </c>
      <c r="N561" s="1905">
        <f t="shared" si="423"/>
        <v>0</v>
      </c>
      <c r="O561" s="1905">
        <f t="shared" si="423"/>
        <v>0</v>
      </c>
      <c r="P561" s="1905">
        <f t="shared" si="423"/>
        <v>0</v>
      </c>
      <c r="Q561" s="2096">
        <f t="shared" si="423"/>
        <v>0</v>
      </c>
      <c r="EF561" s="17"/>
    </row>
    <row r="562" spans="1:136" x14ac:dyDescent="0.3">
      <c r="A562" s="6"/>
      <c r="D562" s="2095"/>
      <c r="E562" s="1904"/>
      <c r="F562" s="1905">
        <f t="shared" ref="F562:Q562" si="424">IF($D523&lt;&gt;0,SUMIFS($C$9:$C$98,$D$9:$D$98,$D$639,G$9:G$98,$D523),0)</f>
        <v>0</v>
      </c>
      <c r="G562" s="1905">
        <f t="shared" si="424"/>
        <v>0</v>
      </c>
      <c r="H562" s="1905">
        <f t="shared" si="424"/>
        <v>0</v>
      </c>
      <c r="I562" s="1905">
        <f t="shared" si="413"/>
        <v>0</v>
      </c>
      <c r="J562" s="1905">
        <f t="shared" si="424"/>
        <v>0</v>
      </c>
      <c r="K562" s="1905">
        <f t="shared" si="424"/>
        <v>0</v>
      </c>
      <c r="L562" s="1905">
        <f t="shared" si="424"/>
        <v>0</v>
      </c>
      <c r="M562" s="1905">
        <f t="shared" si="424"/>
        <v>0</v>
      </c>
      <c r="N562" s="1905">
        <f t="shared" si="424"/>
        <v>0</v>
      </c>
      <c r="O562" s="1905">
        <f t="shared" si="424"/>
        <v>0</v>
      </c>
      <c r="P562" s="1905">
        <f t="shared" si="424"/>
        <v>0</v>
      </c>
      <c r="Q562" s="2096">
        <f t="shared" si="424"/>
        <v>0</v>
      </c>
      <c r="EF562" s="17"/>
    </row>
    <row r="563" spans="1:136" x14ac:dyDescent="0.3">
      <c r="A563" s="6"/>
      <c r="D563" s="2095"/>
      <c r="E563" s="1904"/>
      <c r="F563" s="1905">
        <f t="shared" ref="F563:Q563" si="425">IF($D524&lt;&gt;0,SUMIFS($C$9:$C$98,$D$9:$D$98,$D$639,G$9:G$98,$D524),0)</f>
        <v>0</v>
      </c>
      <c r="G563" s="1905">
        <f t="shared" si="425"/>
        <v>0</v>
      </c>
      <c r="H563" s="1905">
        <f t="shared" si="425"/>
        <v>0</v>
      </c>
      <c r="I563" s="1905">
        <f t="shared" si="413"/>
        <v>0</v>
      </c>
      <c r="J563" s="1905">
        <f t="shared" si="425"/>
        <v>0</v>
      </c>
      <c r="K563" s="1905">
        <f t="shared" si="425"/>
        <v>0</v>
      </c>
      <c r="L563" s="1905">
        <f t="shared" si="425"/>
        <v>0</v>
      </c>
      <c r="M563" s="1905">
        <f t="shared" si="425"/>
        <v>0</v>
      </c>
      <c r="N563" s="1905">
        <f t="shared" si="425"/>
        <v>0</v>
      </c>
      <c r="O563" s="1905">
        <f t="shared" si="425"/>
        <v>0</v>
      </c>
      <c r="P563" s="1905">
        <f t="shared" si="425"/>
        <v>0</v>
      </c>
      <c r="Q563" s="2096">
        <f t="shared" si="425"/>
        <v>0</v>
      </c>
      <c r="EF563" s="17"/>
    </row>
    <row r="564" spans="1:136" x14ac:dyDescent="0.3">
      <c r="A564" s="6"/>
      <c r="D564" s="2095"/>
      <c r="E564" s="1904"/>
      <c r="F564" s="1905">
        <f t="shared" ref="F564:Q564" si="426">IF($D525&lt;&gt;0,SUMIFS($C$9:$C$98,$D$9:$D$98,$D$639,G$9:G$98,$D525),0)</f>
        <v>0</v>
      </c>
      <c r="G564" s="1905">
        <f t="shared" si="426"/>
        <v>0</v>
      </c>
      <c r="H564" s="1905">
        <f t="shared" si="426"/>
        <v>0</v>
      </c>
      <c r="I564" s="1905">
        <f t="shared" si="413"/>
        <v>0</v>
      </c>
      <c r="J564" s="1905">
        <f t="shared" si="426"/>
        <v>0</v>
      </c>
      <c r="K564" s="1905">
        <f t="shared" si="426"/>
        <v>0</v>
      </c>
      <c r="L564" s="1905">
        <f t="shared" si="426"/>
        <v>0</v>
      </c>
      <c r="M564" s="1905">
        <f t="shared" si="426"/>
        <v>0</v>
      </c>
      <c r="N564" s="1905">
        <f t="shared" si="426"/>
        <v>0</v>
      </c>
      <c r="O564" s="1905">
        <f t="shared" si="426"/>
        <v>0</v>
      </c>
      <c r="P564" s="1905">
        <f t="shared" si="426"/>
        <v>0</v>
      </c>
      <c r="Q564" s="2096">
        <f t="shared" si="426"/>
        <v>0</v>
      </c>
      <c r="EF564" s="17"/>
    </row>
    <row r="565" spans="1:136" x14ac:dyDescent="0.3">
      <c r="A565" s="6"/>
      <c r="D565" s="2095"/>
      <c r="E565" s="1904"/>
      <c r="F565" s="1905">
        <f t="shared" ref="F565:Q565" si="427">IF($D526&lt;&gt;0,SUMIFS($C$9:$C$98,$D$9:$D$98,$D$639,G$9:G$98,$D526),0)</f>
        <v>0</v>
      </c>
      <c r="G565" s="1905">
        <f t="shared" si="427"/>
        <v>0</v>
      </c>
      <c r="H565" s="1905">
        <f t="shared" si="427"/>
        <v>0</v>
      </c>
      <c r="I565" s="1905">
        <f t="shared" si="413"/>
        <v>0</v>
      </c>
      <c r="J565" s="1905">
        <f t="shared" si="427"/>
        <v>0</v>
      </c>
      <c r="K565" s="1905">
        <f t="shared" si="427"/>
        <v>0</v>
      </c>
      <c r="L565" s="1905">
        <f t="shared" si="427"/>
        <v>0</v>
      </c>
      <c r="M565" s="1905">
        <f t="shared" si="427"/>
        <v>0</v>
      </c>
      <c r="N565" s="1905">
        <f t="shared" si="427"/>
        <v>0</v>
      </c>
      <c r="O565" s="1905">
        <f t="shared" si="427"/>
        <v>0</v>
      </c>
      <c r="P565" s="1905">
        <f t="shared" si="427"/>
        <v>0</v>
      </c>
      <c r="Q565" s="2096">
        <f t="shared" si="427"/>
        <v>0</v>
      </c>
      <c r="EF565" s="17"/>
    </row>
    <row r="566" spans="1:136" x14ac:dyDescent="0.3">
      <c r="A566" s="6"/>
      <c r="D566" s="2095"/>
      <c r="E566" s="1904"/>
      <c r="F566" s="1905">
        <f t="shared" ref="F566:Q566" si="428">IF($D527&lt;&gt;0,SUMIFS($C$9:$C$98,$D$9:$D$98,$D$639,G$9:G$98,$D527),0)</f>
        <v>0</v>
      </c>
      <c r="G566" s="1905">
        <f t="shared" si="428"/>
        <v>0</v>
      </c>
      <c r="H566" s="1905">
        <f t="shared" si="428"/>
        <v>0</v>
      </c>
      <c r="I566" s="1905">
        <f t="shared" si="413"/>
        <v>0</v>
      </c>
      <c r="J566" s="1905">
        <f t="shared" si="428"/>
        <v>0</v>
      </c>
      <c r="K566" s="1905">
        <f t="shared" si="428"/>
        <v>0</v>
      </c>
      <c r="L566" s="1905">
        <f t="shared" si="428"/>
        <v>0</v>
      </c>
      <c r="M566" s="1905">
        <f t="shared" si="428"/>
        <v>0</v>
      </c>
      <c r="N566" s="1905">
        <f t="shared" si="428"/>
        <v>0</v>
      </c>
      <c r="O566" s="1905">
        <f t="shared" si="428"/>
        <v>0</v>
      </c>
      <c r="P566" s="1905">
        <f t="shared" si="428"/>
        <v>0</v>
      </c>
      <c r="Q566" s="2096">
        <f t="shared" si="428"/>
        <v>0</v>
      </c>
      <c r="EF566" s="17"/>
    </row>
    <row r="567" spans="1:136" x14ac:dyDescent="0.3">
      <c r="A567" s="6"/>
      <c r="D567" s="2095"/>
      <c r="E567" s="1904"/>
      <c r="F567" s="1905">
        <f t="shared" ref="F567:Q567" si="429">IF($D528&lt;&gt;0,SUMIFS($C$9:$C$98,$D$9:$D$98,$D$639,G$9:G$98,$D528),0)</f>
        <v>0</v>
      </c>
      <c r="G567" s="1905">
        <f t="shared" si="429"/>
        <v>0</v>
      </c>
      <c r="H567" s="1905">
        <f t="shared" si="429"/>
        <v>0</v>
      </c>
      <c r="I567" s="1905">
        <f t="shared" si="413"/>
        <v>0</v>
      </c>
      <c r="J567" s="1905">
        <f t="shared" si="429"/>
        <v>0</v>
      </c>
      <c r="K567" s="1905">
        <f t="shared" si="429"/>
        <v>0</v>
      </c>
      <c r="L567" s="1905">
        <f t="shared" si="429"/>
        <v>0</v>
      </c>
      <c r="M567" s="1905">
        <f t="shared" si="429"/>
        <v>0</v>
      </c>
      <c r="N567" s="1905">
        <f t="shared" si="429"/>
        <v>0</v>
      </c>
      <c r="O567" s="1905">
        <f t="shared" si="429"/>
        <v>0</v>
      </c>
      <c r="P567" s="1905">
        <f t="shared" si="429"/>
        <v>0</v>
      </c>
      <c r="Q567" s="2096">
        <f t="shared" si="429"/>
        <v>0</v>
      </c>
      <c r="EF567" s="17"/>
    </row>
    <row r="568" spans="1:136" x14ac:dyDescent="0.3">
      <c r="A568" s="6"/>
      <c r="D568" s="2095"/>
      <c r="E568" s="1904"/>
      <c r="F568" s="1905">
        <f t="shared" ref="F568:Q568" si="430">IF($D529&lt;&gt;0,SUMIFS($C$9:$C$98,$D$9:$D$98,$D$639,G$9:G$98,$D529),0)</f>
        <v>0</v>
      </c>
      <c r="G568" s="1905">
        <f t="shared" si="430"/>
        <v>0</v>
      </c>
      <c r="H568" s="1905">
        <f t="shared" si="430"/>
        <v>0</v>
      </c>
      <c r="I568" s="1905">
        <f t="shared" si="413"/>
        <v>0</v>
      </c>
      <c r="J568" s="1905">
        <f t="shared" si="430"/>
        <v>0</v>
      </c>
      <c r="K568" s="1905">
        <f t="shared" si="430"/>
        <v>0</v>
      </c>
      <c r="L568" s="1905">
        <f t="shared" si="430"/>
        <v>0</v>
      </c>
      <c r="M568" s="1905">
        <f t="shared" si="430"/>
        <v>0</v>
      </c>
      <c r="N568" s="1905">
        <f t="shared" si="430"/>
        <v>0</v>
      </c>
      <c r="O568" s="1905">
        <f t="shared" si="430"/>
        <v>0</v>
      </c>
      <c r="P568" s="1905">
        <f t="shared" si="430"/>
        <v>0</v>
      </c>
      <c r="Q568" s="2096">
        <f t="shared" si="430"/>
        <v>0</v>
      </c>
      <c r="EF568" s="17"/>
    </row>
    <row r="569" spans="1:136" ht="15.05" thickBot="1" x14ac:dyDescent="0.25">
      <c r="A569" s="6"/>
      <c r="D569" s="2099"/>
      <c r="E569" s="1908"/>
      <c r="F569" s="1909">
        <f>+SUM(F551:F568)</f>
        <v>0</v>
      </c>
      <c r="G569" s="1909">
        <f t="shared" ref="G569:Q569" si="431">+SUM(G551:G568)</f>
        <v>0</v>
      </c>
      <c r="H569" s="1909">
        <f t="shared" si="431"/>
        <v>0</v>
      </c>
      <c r="I569" s="1909">
        <f t="shared" si="431"/>
        <v>0</v>
      </c>
      <c r="J569" s="1909">
        <f t="shared" si="431"/>
        <v>0</v>
      </c>
      <c r="K569" s="1909">
        <f t="shared" si="431"/>
        <v>0</v>
      </c>
      <c r="L569" s="1909">
        <f t="shared" si="431"/>
        <v>0</v>
      </c>
      <c r="M569" s="1909">
        <f t="shared" si="431"/>
        <v>0</v>
      </c>
      <c r="N569" s="1909">
        <f t="shared" si="431"/>
        <v>0</v>
      </c>
      <c r="O569" s="1909">
        <f t="shared" si="431"/>
        <v>0</v>
      </c>
      <c r="P569" s="1909">
        <f t="shared" si="431"/>
        <v>0</v>
      </c>
      <c r="Q569" s="2100">
        <f t="shared" si="431"/>
        <v>0</v>
      </c>
      <c r="EF569" s="17"/>
    </row>
    <row r="570" spans="1:136" ht="15.05" thickBot="1" x14ac:dyDescent="0.35">
      <c r="A570" s="6"/>
      <c r="D570" s="2101"/>
      <c r="E570" s="2102"/>
      <c r="F570" s="2103">
        <f>F569+F550</f>
        <v>0</v>
      </c>
      <c r="G570" s="2103">
        <f t="shared" ref="G570:Q570" si="432">G569+G550</f>
        <v>0</v>
      </c>
      <c r="H570" s="2103">
        <f t="shared" si="432"/>
        <v>0</v>
      </c>
      <c r="I570" s="2103">
        <f t="shared" si="432"/>
        <v>0</v>
      </c>
      <c r="J570" s="2103">
        <f t="shared" si="432"/>
        <v>0</v>
      </c>
      <c r="K570" s="2103">
        <f t="shared" si="432"/>
        <v>0</v>
      </c>
      <c r="L570" s="2103">
        <f t="shared" si="432"/>
        <v>0</v>
      </c>
      <c r="M570" s="2103">
        <f t="shared" si="432"/>
        <v>0</v>
      </c>
      <c r="N570" s="2103">
        <f t="shared" si="432"/>
        <v>0</v>
      </c>
      <c r="O570" s="2103">
        <f t="shared" si="432"/>
        <v>0</v>
      </c>
      <c r="P570" s="2103">
        <f t="shared" si="432"/>
        <v>0</v>
      </c>
      <c r="Q570" s="2104">
        <f t="shared" si="432"/>
        <v>0</v>
      </c>
      <c r="EF570" s="17"/>
    </row>
    <row r="571" spans="1:136" ht="15.05" thickTop="1" x14ac:dyDescent="0.2">
      <c r="A571" s="6"/>
      <c r="P571" s="6"/>
      <c r="Q571" s="6"/>
      <c r="EF571" s="17"/>
    </row>
    <row r="572" spans="1:136" ht="15.05" thickBot="1" x14ac:dyDescent="0.25">
      <c r="A572" s="6"/>
      <c r="P572" s="6"/>
      <c r="Q572" s="6"/>
      <c r="EF572" s="17"/>
    </row>
    <row r="573" spans="1:136" ht="15.75" thickTop="1" thickBot="1" x14ac:dyDescent="0.25">
      <c r="A573" s="2188">
        <v>1017</v>
      </c>
      <c r="B573" s="1435"/>
      <c r="C573" s="958"/>
      <c r="D573" s="2105" t="s">
        <v>1972</v>
      </c>
      <c r="E573" s="2106"/>
      <c r="F573" s="2107"/>
      <c r="G573" s="2107"/>
      <c r="H573" s="2107"/>
      <c r="I573" s="2107"/>
      <c r="J573" s="2107"/>
      <c r="K573" s="2107"/>
      <c r="L573" s="2107"/>
      <c r="M573" s="2107"/>
      <c r="N573" s="2107"/>
      <c r="O573" s="2107"/>
      <c r="P573" s="2107"/>
      <c r="Q573" s="2108"/>
      <c r="EF573" s="17"/>
    </row>
    <row r="574" spans="1:136" x14ac:dyDescent="0.3">
      <c r="A574" s="6"/>
      <c r="D574" s="2095"/>
      <c r="E574" s="1904"/>
      <c r="F574" s="1905">
        <f t="shared" ref="F574:Q574" si="433">IF($D498&lt;&gt;0,SUMIFS($C$9:$C$98,$D$9:$D$98,$D$640,G$9:G$98,$D498),0)</f>
        <v>0</v>
      </c>
      <c r="G574" s="1905">
        <f t="shared" si="433"/>
        <v>0</v>
      </c>
      <c r="H574" s="1905">
        <f t="shared" si="433"/>
        <v>0</v>
      </c>
      <c r="I574" s="1905">
        <f t="shared" ref="I574:I586" si="434">IF($D498&lt;&gt;0,SUMIFS($C$9:$C$98,$D$9:$D$98,$D$640,J$9:J$98,$D498),0)</f>
        <v>0</v>
      </c>
      <c r="J574" s="1905">
        <f t="shared" si="433"/>
        <v>0</v>
      </c>
      <c r="K574" s="1905">
        <f t="shared" si="433"/>
        <v>0</v>
      </c>
      <c r="L574" s="1905">
        <f t="shared" si="433"/>
        <v>0</v>
      </c>
      <c r="M574" s="1905">
        <f t="shared" si="433"/>
        <v>0</v>
      </c>
      <c r="N574" s="1905">
        <f t="shared" si="433"/>
        <v>0</v>
      </c>
      <c r="O574" s="1905">
        <f t="shared" si="433"/>
        <v>0</v>
      </c>
      <c r="P574" s="1905">
        <f t="shared" si="433"/>
        <v>0</v>
      </c>
      <c r="Q574" s="2096">
        <f t="shared" si="433"/>
        <v>0</v>
      </c>
      <c r="EF574" s="17"/>
    </row>
    <row r="575" spans="1:136" x14ac:dyDescent="0.3">
      <c r="A575" s="6"/>
      <c r="D575" s="2095"/>
      <c r="E575" s="1904"/>
      <c r="F575" s="1906">
        <f t="shared" ref="F575:Q575" si="435">IF($D499&lt;&gt;0,SUMIFS($C$9:$C$98,$D$9:$D$98,$D$640,G$9:G$98,$D499),0)</f>
        <v>0</v>
      </c>
      <c r="G575" s="1906">
        <f t="shared" si="435"/>
        <v>0</v>
      </c>
      <c r="H575" s="1906">
        <f t="shared" si="435"/>
        <v>0</v>
      </c>
      <c r="I575" s="1906">
        <f t="shared" si="434"/>
        <v>0</v>
      </c>
      <c r="J575" s="1906">
        <f t="shared" si="435"/>
        <v>0</v>
      </c>
      <c r="K575" s="1906">
        <f t="shared" si="435"/>
        <v>0</v>
      </c>
      <c r="L575" s="1906">
        <f t="shared" si="435"/>
        <v>0</v>
      </c>
      <c r="M575" s="1906">
        <f t="shared" si="435"/>
        <v>0</v>
      </c>
      <c r="N575" s="1906">
        <f t="shared" si="435"/>
        <v>0</v>
      </c>
      <c r="O575" s="1906">
        <f t="shared" si="435"/>
        <v>0</v>
      </c>
      <c r="P575" s="1906">
        <f t="shared" si="435"/>
        <v>0</v>
      </c>
      <c r="Q575" s="2097">
        <f t="shared" si="435"/>
        <v>0</v>
      </c>
      <c r="EF575" s="17"/>
    </row>
    <row r="576" spans="1:136" x14ac:dyDescent="0.3">
      <c r="A576" s="6"/>
      <c r="D576" s="2095"/>
      <c r="E576" s="1904"/>
      <c r="F576" s="1906">
        <f t="shared" ref="F576:Q576" si="436">IF($D500&lt;&gt;0,SUMIFS($C$9:$C$98,$D$9:$D$98,$D$640,G$9:G$98,$D500),0)</f>
        <v>0</v>
      </c>
      <c r="G576" s="1906">
        <f t="shared" si="436"/>
        <v>0</v>
      </c>
      <c r="H576" s="1906">
        <f t="shared" si="436"/>
        <v>0</v>
      </c>
      <c r="I576" s="1906">
        <f t="shared" si="434"/>
        <v>0</v>
      </c>
      <c r="J576" s="1906">
        <f t="shared" si="436"/>
        <v>0</v>
      </c>
      <c r="K576" s="1906">
        <f t="shared" si="436"/>
        <v>0</v>
      </c>
      <c r="L576" s="1906">
        <f t="shared" si="436"/>
        <v>0</v>
      </c>
      <c r="M576" s="1906">
        <f t="shared" si="436"/>
        <v>0</v>
      </c>
      <c r="N576" s="1906">
        <f t="shared" si="436"/>
        <v>0</v>
      </c>
      <c r="O576" s="1906">
        <f t="shared" si="436"/>
        <v>0</v>
      </c>
      <c r="P576" s="1906">
        <f t="shared" si="436"/>
        <v>0</v>
      </c>
      <c r="Q576" s="2097">
        <f t="shared" si="436"/>
        <v>0</v>
      </c>
      <c r="EF576" s="17"/>
    </row>
    <row r="577" spans="1:136" x14ac:dyDescent="0.3">
      <c r="A577" s="6"/>
      <c r="D577" s="2095"/>
      <c r="E577" s="1904"/>
      <c r="F577" s="1906">
        <f t="shared" ref="F577:Q577" si="437">IF($D501&lt;&gt;0,SUMIFS($C$9:$C$98,$D$9:$D$98,$D$640,G$9:G$98,$D501),0)</f>
        <v>0</v>
      </c>
      <c r="G577" s="1906">
        <f t="shared" si="437"/>
        <v>0</v>
      </c>
      <c r="H577" s="1906">
        <f t="shared" si="437"/>
        <v>0</v>
      </c>
      <c r="I577" s="1906">
        <f t="shared" si="434"/>
        <v>0</v>
      </c>
      <c r="J577" s="1906">
        <f t="shared" si="437"/>
        <v>0</v>
      </c>
      <c r="K577" s="1906">
        <f t="shared" si="437"/>
        <v>0</v>
      </c>
      <c r="L577" s="1906">
        <f t="shared" si="437"/>
        <v>0</v>
      </c>
      <c r="M577" s="1906">
        <f t="shared" si="437"/>
        <v>0</v>
      </c>
      <c r="N577" s="1906">
        <f t="shared" si="437"/>
        <v>0</v>
      </c>
      <c r="O577" s="1906">
        <f t="shared" si="437"/>
        <v>0</v>
      </c>
      <c r="P577" s="1906">
        <f t="shared" si="437"/>
        <v>0</v>
      </c>
      <c r="Q577" s="2097">
        <f t="shared" si="437"/>
        <v>0</v>
      </c>
      <c r="EF577" s="17"/>
    </row>
    <row r="578" spans="1:136" x14ac:dyDescent="0.3">
      <c r="A578" s="6"/>
      <c r="D578" s="2095"/>
      <c r="E578" s="1904"/>
      <c r="F578" s="1906">
        <f t="shared" ref="F578:Q578" si="438">IF($D502&lt;&gt;0,SUMIFS($C$9:$C$98,$D$9:$D$98,$D$640,G$9:G$98,$D502),0)</f>
        <v>0</v>
      </c>
      <c r="G578" s="1906">
        <f t="shared" si="438"/>
        <v>0</v>
      </c>
      <c r="H578" s="1906">
        <f t="shared" si="438"/>
        <v>0</v>
      </c>
      <c r="I578" s="1906">
        <f t="shared" si="434"/>
        <v>0</v>
      </c>
      <c r="J578" s="1906">
        <f t="shared" si="438"/>
        <v>0</v>
      </c>
      <c r="K578" s="1906">
        <f t="shared" si="438"/>
        <v>0</v>
      </c>
      <c r="L578" s="1906">
        <f t="shared" si="438"/>
        <v>0</v>
      </c>
      <c r="M578" s="1906">
        <f t="shared" si="438"/>
        <v>0</v>
      </c>
      <c r="N578" s="1906">
        <f t="shared" si="438"/>
        <v>0</v>
      </c>
      <c r="O578" s="1906">
        <f t="shared" si="438"/>
        <v>0</v>
      </c>
      <c r="P578" s="1906">
        <f t="shared" si="438"/>
        <v>0</v>
      </c>
      <c r="Q578" s="2097">
        <f t="shared" si="438"/>
        <v>0</v>
      </c>
      <c r="EF578" s="17"/>
    </row>
    <row r="579" spans="1:136" x14ac:dyDescent="0.3">
      <c r="A579" s="6"/>
      <c r="D579" s="2095"/>
      <c r="E579" s="1904"/>
      <c r="F579" s="1906">
        <f t="shared" ref="F579:Q579" si="439">IF($D503&lt;&gt;0,SUMIFS($C$9:$C$98,$D$9:$D$98,$D$640,G$9:G$98,$D503),0)</f>
        <v>0</v>
      </c>
      <c r="G579" s="1906">
        <f t="shared" si="439"/>
        <v>0</v>
      </c>
      <c r="H579" s="1906">
        <f t="shared" si="439"/>
        <v>0</v>
      </c>
      <c r="I579" s="1906">
        <f t="shared" si="434"/>
        <v>0</v>
      </c>
      <c r="J579" s="1906">
        <f t="shared" si="439"/>
        <v>0</v>
      </c>
      <c r="K579" s="1906">
        <f t="shared" si="439"/>
        <v>0</v>
      </c>
      <c r="L579" s="1906">
        <f t="shared" si="439"/>
        <v>0</v>
      </c>
      <c r="M579" s="1906">
        <f t="shared" si="439"/>
        <v>0</v>
      </c>
      <c r="N579" s="1906">
        <f t="shared" si="439"/>
        <v>0</v>
      </c>
      <c r="O579" s="1906">
        <f t="shared" si="439"/>
        <v>0</v>
      </c>
      <c r="P579" s="1906">
        <f t="shared" si="439"/>
        <v>0</v>
      </c>
      <c r="Q579" s="2097">
        <f t="shared" si="439"/>
        <v>0</v>
      </c>
      <c r="EF579" s="17"/>
    </row>
    <row r="580" spans="1:136" x14ac:dyDescent="0.3">
      <c r="A580" s="6"/>
      <c r="D580" s="2095"/>
      <c r="E580" s="1904"/>
      <c r="F580" s="1906">
        <f t="shared" ref="F580:Q580" si="440">IF($D504&lt;&gt;0,SUMIFS($C$9:$C$98,$D$9:$D$98,$D$640,G$9:G$98,$D504),0)</f>
        <v>0</v>
      </c>
      <c r="G580" s="1906">
        <f t="shared" si="440"/>
        <v>0</v>
      </c>
      <c r="H580" s="1906">
        <f t="shared" si="440"/>
        <v>0</v>
      </c>
      <c r="I580" s="1906">
        <f t="shared" si="434"/>
        <v>0</v>
      </c>
      <c r="J580" s="1906">
        <f t="shared" si="440"/>
        <v>0</v>
      </c>
      <c r="K580" s="1906">
        <f t="shared" si="440"/>
        <v>0</v>
      </c>
      <c r="L580" s="1906">
        <f t="shared" si="440"/>
        <v>0</v>
      </c>
      <c r="M580" s="1906">
        <f t="shared" si="440"/>
        <v>0</v>
      </c>
      <c r="N580" s="1906">
        <f t="shared" si="440"/>
        <v>0</v>
      </c>
      <c r="O580" s="1906">
        <f t="shared" si="440"/>
        <v>0</v>
      </c>
      <c r="P580" s="1906">
        <f t="shared" si="440"/>
        <v>0</v>
      </c>
      <c r="Q580" s="2097">
        <f t="shared" si="440"/>
        <v>0</v>
      </c>
      <c r="EF580" s="17"/>
    </row>
    <row r="581" spans="1:136" x14ac:dyDescent="0.3">
      <c r="A581" s="6"/>
      <c r="D581" s="2095"/>
      <c r="E581" s="1904"/>
      <c r="F581" s="1906">
        <f t="shared" ref="F581:Q581" si="441">IF($D505&lt;&gt;0,SUMIFS($C$9:$C$98,$D$9:$D$98,$D$640,G$9:G$98,$D505),0)</f>
        <v>0</v>
      </c>
      <c r="G581" s="1906">
        <f t="shared" si="441"/>
        <v>0</v>
      </c>
      <c r="H581" s="1906">
        <f t="shared" si="441"/>
        <v>0</v>
      </c>
      <c r="I581" s="1906">
        <f t="shared" si="434"/>
        <v>0</v>
      </c>
      <c r="J581" s="1906">
        <f t="shared" si="441"/>
        <v>0</v>
      </c>
      <c r="K581" s="1906">
        <f t="shared" si="441"/>
        <v>0</v>
      </c>
      <c r="L581" s="1906">
        <f t="shared" si="441"/>
        <v>0</v>
      </c>
      <c r="M581" s="1906">
        <f t="shared" si="441"/>
        <v>0</v>
      </c>
      <c r="N581" s="1906">
        <f t="shared" si="441"/>
        <v>0</v>
      </c>
      <c r="O581" s="1906">
        <f t="shared" si="441"/>
        <v>0</v>
      </c>
      <c r="P581" s="1906">
        <f t="shared" si="441"/>
        <v>0</v>
      </c>
      <c r="Q581" s="2097">
        <f t="shared" si="441"/>
        <v>0</v>
      </c>
      <c r="EF581" s="17"/>
    </row>
    <row r="582" spans="1:136" x14ac:dyDescent="0.3">
      <c r="A582" s="6"/>
      <c r="D582" s="2095"/>
      <c r="E582" s="1904"/>
      <c r="F582" s="1906">
        <f t="shared" ref="F582:Q582" si="442">IF($D506&lt;&gt;0,SUMIFS($C$9:$C$98,$D$9:$D$98,$D$640,G$9:G$98,$D506),0)</f>
        <v>0</v>
      </c>
      <c r="G582" s="1906">
        <f t="shared" si="442"/>
        <v>0</v>
      </c>
      <c r="H582" s="1906">
        <f t="shared" si="442"/>
        <v>0</v>
      </c>
      <c r="I582" s="1906">
        <f t="shared" si="434"/>
        <v>0</v>
      </c>
      <c r="J582" s="1906">
        <f t="shared" si="442"/>
        <v>0</v>
      </c>
      <c r="K582" s="1906">
        <f t="shared" si="442"/>
        <v>0</v>
      </c>
      <c r="L582" s="1906">
        <f t="shared" si="442"/>
        <v>0</v>
      </c>
      <c r="M582" s="1906">
        <f t="shared" si="442"/>
        <v>0</v>
      </c>
      <c r="N582" s="1906">
        <f t="shared" si="442"/>
        <v>0</v>
      </c>
      <c r="O582" s="1906">
        <f t="shared" si="442"/>
        <v>0</v>
      </c>
      <c r="P582" s="1906">
        <f t="shared" si="442"/>
        <v>0</v>
      </c>
      <c r="Q582" s="2097">
        <f t="shared" si="442"/>
        <v>0</v>
      </c>
      <c r="EF582" s="17"/>
    </row>
    <row r="583" spans="1:136" x14ac:dyDescent="0.3">
      <c r="A583" s="6"/>
      <c r="D583" s="2095"/>
      <c r="E583" s="1904"/>
      <c r="F583" s="1906">
        <f t="shared" ref="F583:Q583" si="443">IF($D507&lt;&gt;0,SUMIFS($C$9:$C$98,$D$9:$D$98,$D$640,G$9:G$98,$D507),0)</f>
        <v>0</v>
      </c>
      <c r="G583" s="1906">
        <f t="shared" si="443"/>
        <v>0</v>
      </c>
      <c r="H583" s="1906">
        <f t="shared" si="443"/>
        <v>0</v>
      </c>
      <c r="I583" s="1906">
        <f t="shared" si="434"/>
        <v>0</v>
      </c>
      <c r="J583" s="1906">
        <f t="shared" si="443"/>
        <v>0</v>
      </c>
      <c r="K583" s="1906">
        <f t="shared" si="443"/>
        <v>0</v>
      </c>
      <c r="L583" s="1906">
        <f t="shared" si="443"/>
        <v>0</v>
      </c>
      <c r="M583" s="1906">
        <f t="shared" si="443"/>
        <v>0</v>
      </c>
      <c r="N583" s="1906">
        <f t="shared" si="443"/>
        <v>0</v>
      </c>
      <c r="O583" s="1906">
        <f t="shared" si="443"/>
        <v>0</v>
      </c>
      <c r="P583" s="1906">
        <f t="shared" si="443"/>
        <v>0</v>
      </c>
      <c r="Q583" s="2097">
        <f t="shared" si="443"/>
        <v>0</v>
      </c>
      <c r="EF583" s="17"/>
    </row>
    <row r="584" spans="1:136" x14ac:dyDescent="0.3">
      <c r="A584" s="6"/>
      <c r="D584" s="2095"/>
      <c r="E584" s="1904"/>
      <c r="F584" s="1906">
        <f t="shared" ref="F584:Q584" si="444">IF($D508&lt;&gt;0,SUMIFS($C$9:$C$98,$D$9:$D$98,$D$640,G$9:G$98,$D508),0)</f>
        <v>0</v>
      </c>
      <c r="G584" s="1906">
        <f t="shared" si="444"/>
        <v>0</v>
      </c>
      <c r="H584" s="1906">
        <f t="shared" si="444"/>
        <v>0</v>
      </c>
      <c r="I584" s="1906">
        <f t="shared" si="434"/>
        <v>0</v>
      </c>
      <c r="J584" s="1906">
        <f t="shared" si="444"/>
        <v>0</v>
      </c>
      <c r="K584" s="1906">
        <f t="shared" si="444"/>
        <v>0</v>
      </c>
      <c r="L584" s="1906">
        <f t="shared" si="444"/>
        <v>0</v>
      </c>
      <c r="M584" s="1906">
        <f t="shared" si="444"/>
        <v>0</v>
      </c>
      <c r="N584" s="1906">
        <f t="shared" si="444"/>
        <v>0</v>
      </c>
      <c r="O584" s="1906">
        <f t="shared" si="444"/>
        <v>0</v>
      </c>
      <c r="P584" s="1906">
        <f t="shared" si="444"/>
        <v>0</v>
      </c>
      <c r="Q584" s="2097">
        <f t="shared" si="444"/>
        <v>0</v>
      </c>
      <c r="EF584" s="17"/>
    </row>
    <row r="585" spans="1:136" x14ac:dyDescent="0.3">
      <c r="A585" s="6"/>
      <c r="D585" s="2095"/>
      <c r="E585" s="1904"/>
      <c r="F585" s="1906">
        <f t="shared" ref="F585:Q585" si="445">IF($D509&lt;&gt;0,SUMIFS($C$9:$C$98,$D$9:$D$98,$D$640,G$9:G$98,$D509),0)</f>
        <v>0</v>
      </c>
      <c r="G585" s="1906">
        <f t="shared" si="445"/>
        <v>0</v>
      </c>
      <c r="H585" s="1906">
        <f t="shared" si="445"/>
        <v>0</v>
      </c>
      <c r="I585" s="1906">
        <f t="shared" si="434"/>
        <v>0</v>
      </c>
      <c r="J585" s="1906">
        <f t="shared" si="445"/>
        <v>0</v>
      </c>
      <c r="K585" s="1906">
        <f t="shared" si="445"/>
        <v>0</v>
      </c>
      <c r="L585" s="1906">
        <f t="shared" si="445"/>
        <v>0</v>
      </c>
      <c r="M585" s="1906">
        <f t="shared" si="445"/>
        <v>0</v>
      </c>
      <c r="N585" s="1906">
        <f t="shared" si="445"/>
        <v>0</v>
      </c>
      <c r="O585" s="1906">
        <f t="shared" si="445"/>
        <v>0</v>
      </c>
      <c r="P585" s="1906">
        <f t="shared" si="445"/>
        <v>0</v>
      </c>
      <c r="Q585" s="2097">
        <f t="shared" si="445"/>
        <v>0</v>
      </c>
      <c r="EF585" s="17"/>
    </row>
    <row r="586" spans="1:136" x14ac:dyDescent="0.3">
      <c r="A586" s="6"/>
      <c r="D586" s="2095"/>
      <c r="E586" s="1904"/>
      <c r="F586" s="1348">
        <f t="shared" ref="F586:Q586" si="446">IF($D510&lt;&gt;0,SUMIFS($C$9:$C$98,$D$9:$D$98,$D$640,G$9:G$98,$D510),0)</f>
        <v>0</v>
      </c>
      <c r="G586" s="1348">
        <f t="shared" si="446"/>
        <v>0</v>
      </c>
      <c r="H586" s="1348">
        <f t="shared" si="446"/>
        <v>0</v>
      </c>
      <c r="I586" s="1348">
        <f t="shared" si="434"/>
        <v>0</v>
      </c>
      <c r="J586" s="1348">
        <f t="shared" si="446"/>
        <v>0</v>
      </c>
      <c r="K586" s="1348">
        <f t="shared" si="446"/>
        <v>0</v>
      </c>
      <c r="L586" s="1348">
        <f t="shared" si="446"/>
        <v>0</v>
      </c>
      <c r="M586" s="1348">
        <f t="shared" si="446"/>
        <v>0</v>
      </c>
      <c r="N586" s="1348">
        <f t="shared" si="446"/>
        <v>0</v>
      </c>
      <c r="O586" s="1348">
        <f t="shared" si="446"/>
        <v>0</v>
      </c>
      <c r="P586" s="1348">
        <f t="shared" si="446"/>
        <v>0</v>
      </c>
      <c r="Q586" s="2098">
        <f t="shared" si="446"/>
        <v>0</v>
      </c>
      <c r="EF586" s="17"/>
    </row>
    <row r="587" spans="1:136" x14ac:dyDescent="0.2">
      <c r="A587" s="6"/>
      <c r="D587" s="2099"/>
      <c r="E587" s="1908"/>
      <c r="F587" s="1909">
        <f>+SUM(F574:F586)</f>
        <v>0</v>
      </c>
      <c r="G587" s="1909">
        <f t="shared" ref="G587:Q587" si="447">+SUM(G574:G586)</f>
        <v>0</v>
      </c>
      <c r="H587" s="1909">
        <f t="shared" si="447"/>
        <v>0</v>
      </c>
      <c r="I587" s="1909">
        <f t="shared" si="447"/>
        <v>0</v>
      </c>
      <c r="J587" s="1909">
        <f t="shared" si="447"/>
        <v>0</v>
      </c>
      <c r="K587" s="1909">
        <f t="shared" si="447"/>
        <v>0</v>
      </c>
      <c r="L587" s="1909">
        <f t="shared" si="447"/>
        <v>0</v>
      </c>
      <c r="M587" s="1909">
        <f t="shared" si="447"/>
        <v>0</v>
      </c>
      <c r="N587" s="1909">
        <f t="shared" si="447"/>
        <v>0</v>
      </c>
      <c r="O587" s="1909">
        <f t="shared" si="447"/>
        <v>0</v>
      </c>
      <c r="P587" s="1909">
        <f t="shared" si="447"/>
        <v>0</v>
      </c>
      <c r="Q587" s="2100">
        <f t="shared" si="447"/>
        <v>0</v>
      </c>
      <c r="EF587" s="17"/>
    </row>
    <row r="588" spans="1:136" x14ac:dyDescent="0.3">
      <c r="A588" s="6"/>
      <c r="D588" s="2095"/>
      <c r="E588" s="1904"/>
      <c r="F588" s="1905">
        <f t="shared" ref="F588:Q588" si="448">IF($D512&lt;&gt;0,SUMIFS($C$9:$C$98,$D$9:$D$98,$D$640,G$9:G$98,$D512),0)</f>
        <v>0</v>
      </c>
      <c r="G588" s="1905">
        <f t="shared" si="448"/>
        <v>0</v>
      </c>
      <c r="H588" s="1905">
        <f t="shared" si="448"/>
        <v>0</v>
      </c>
      <c r="I588" s="1905">
        <f t="shared" ref="I588:I605" si="449">IF($D512&lt;&gt;0,SUMIFS($C$9:$C$98,$D$9:$D$98,$D$640,J$9:J$98,$D512),0)</f>
        <v>0</v>
      </c>
      <c r="J588" s="1905">
        <f t="shared" si="448"/>
        <v>0</v>
      </c>
      <c r="K588" s="1905">
        <f t="shared" si="448"/>
        <v>0</v>
      </c>
      <c r="L588" s="1905">
        <f t="shared" si="448"/>
        <v>0</v>
      </c>
      <c r="M588" s="1905">
        <f t="shared" si="448"/>
        <v>0</v>
      </c>
      <c r="N588" s="1905">
        <f t="shared" si="448"/>
        <v>0</v>
      </c>
      <c r="O588" s="1905">
        <f t="shared" si="448"/>
        <v>0</v>
      </c>
      <c r="P588" s="1905">
        <f t="shared" si="448"/>
        <v>0</v>
      </c>
      <c r="Q588" s="2096">
        <f t="shared" si="448"/>
        <v>0</v>
      </c>
      <c r="EF588" s="17"/>
    </row>
    <row r="589" spans="1:136" x14ac:dyDescent="0.3">
      <c r="A589" s="6"/>
      <c r="D589" s="2095"/>
      <c r="E589" s="1904"/>
      <c r="F589" s="1905">
        <f t="shared" ref="F589:Q589" si="450">IF($D513&lt;&gt;0,SUMIFS($C$9:$C$98,$D$9:$D$98,$D$640,G$9:G$98,$D513),0)</f>
        <v>0</v>
      </c>
      <c r="G589" s="1905">
        <f t="shared" si="450"/>
        <v>0</v>
      </c>
      <c r="H589" s="1905">
        <f t="shared" si="450"/>
        <v>0</v>
      </c>
      <c r="I589" s="1905">
        <f t="shared" si="449"/>
        <v>0</v>
      </c>
      <c r="J589" s="1905">
        <f t="shared" si="450"/>
        <v>0</v>
      </c>
      <c r="K589" s="1905">
        <f t="shared" si="450"/>
        <v>0</v>
      </c>
      <c r="L589" s="1905">
        <f t="shared" si="450"/>
        <v>0</v>
      </c>
      <c r="M589" s="1905">
        <f t="shared" si="450"/>
        <v>0</v>
      </c>
      <c r="N589" s="1905">
        <f t="shared" si="450"/>
        <v>0</v>
      </c>
      <c r="O589" s="1905">
        <f t="shared" si="450"/>
        <v>0</v>
      </c>
      <c r="P589" s="1905">
        <f t="shared" si="450"/>
        <v>0</v>
      </c>
      <c r="Q589" s="2096">
        <f t="shared" si="450"/>
        <v>0</v>
      </c>
      <c r="EF589" s="17"/>
    </row>
    <row r="590" spans="1:136" x14ac:dyDescent="0.3">
      <c r="A590" s="6"/>
      <c r="D590" s="2095"/>
      <c r="E590" s="1904"/>
      <c r="F590" s="1905">
        <f t="shared" ref="F590:Q590" si="451">IF($D514&lt;&gt;0,SUMIFS($C$9:$C$98,$D$9:$D$98,$D$640,G$9:G$98,$D514),0)</f>
        <v>0</v>
      </c>
      <c r="G590" s="1905">
        <f t="shared" si="451"/>
        <v>0</v>
      </c>
      <c r="H590" s="1905">
        <f t="shared" si="451"/>
        <v>0</v>
      </c>
      <c r="I590" s="1905">
        <f t="shared" si="449"/>
        <v>0</v>
      </c>
      <c r="J590" s="1905">
        <f t="shared" si="451"/>
        <v>0</v>
      </c>
      <c r="K590" s="1905">
        <f t="shared" si="451"/>
        <v>0</v>
      </c>
      <c r="L590" s="1905">
        <f t="shared" si="451"/>
        <v>0</v>
      </c>
      <c r="M590" s="1905">
        <f t="shared" si="451"/>
        <v>0</v>
      </c>
      <c r="N590" s="1905">
        <f t="shared" si="451"/>
        <v>0</v>
      </c>
      <c r="O590" s="1905">
        <f t="shared" si="451"/>
        <v>0</v>
      </c>
      <c r="P590" s="1905">
        <f t="shared" si="451"/>
        <v>0</v>
      </c>
      <c r="Q590" s="2096">
        <f t="shared" si="451"/>
        <v>0</v>
      </c>
      <c r="EF590" s="17"/>
    </row>
    <row r="591" spans="1:136" x14ac:dyDescent="0.3">
      <c r="A591" s="6"/>
      <c r="D591" s="2095"/>
      <c r="E591" s="1904"/>
      <c r="F591" s="1905">
        <f t="shared" ref="F591:Q591" si="452">IF($D515&lt;&gt;0,SUMIFS($C$9:$C$98,$D$9:$D$98,$D$640,G$9:G$98,$D515),0)</f>
        <v>0</v>
      </c>
      <c r="G591" s="1905">
        <f t="shared" si="452"/>
        <v>0</v>
      </c>
      <c r="H591" s="1905">
        <f t="shared" si="452"/>
        <v>0</v>
      </c>
      <c r="I591" s="1905">
        <f t="shared" si="449"/>
        <v>0</v>
      </c>
      <c r="J591" s="1905">
        <f t="shared" si="452"/>
        <v>0</v>
      </c>
      <c r="K591" s="1905">
        <f t="shared" si="452"/>
        <v>0</v>
      </c>
      <c r="L591" s="1905">
        <f t="shared" si="452"/>
        <v>0</v>
      </c>
      <c r="M591" s="1905">
        <f t="shared" si="452"/>
        <v>0</v>
      </c>
      <c r="N591" s="1905">
        <f t="shared" si="452"/>
        <v>0</v>
      </c>
      <c r="O591" s="1905">
        <f t="shared" si="452"/>
        <v>0</v>
      </c>
      <c r="P591" s="1905">
        <f t="shared" si="452"/>
        <v>0</v>
      </c>
      <c r="Q591" s="2096">
        <f t="shared" si="452"/>
        <v>0</v>
      </c>
      <c r="EF591" s="17"/>
    </row>
    <row r="592" spans="1:136" x14ac:dyDescent="0.3">
      <c r="A592" s="6"/>
      <c r="D592" s="2095"/>
      <c r="E592" s="1904"/>
      <c r="F592" s="1905">
        <f t="shared" ref="F592:Q592" si="453">IF($D516&lt;&gt;0,SUMIFS($C$9:$C$98,$D$9:$D$98,$D$640,G$9:G$98,$D516),0)</f>
        <v>0</v>
      </c>
      <c r="G592" s="1905">
        <f t="shared" si="453"/>
        <v>0</v>
      </c>
      <c r="H592" s="1905">
        <f t="shared" si="453"/>
        <v>0</v>
      </c>
      <c r="I592" s="1905">
        <f t="shared" si="449"/>
        <v>0</v>
      </c>
      <c r="J592" s="1905">
        <f t="shared" si="453"/>
        <v>0</v>
      </c>
      <c r="K592" s="1905">
        <f t="shared" si="453"/>
        <v>0</v>
      </c>
      <c r="L592" s="1905">
        <f t="shared" si="453"/>
        <v>0</v>
      </c>
      <c r="M592" s="1905">
        <f t="shared" si="453"/>
        <v>0</v>
      </c>
      <c r="N592" s="1905">
        <f t="shared" si="453"/>
        <v>0</v>
      </c>
      <c r="O592" s="1905">
        <f t="shared" si="453"/>
        <v>0</v>
      </c>
      <c r="P592" s="1905">
        <f t="shared" si="453"/>
        <v>0</v>
      </c>
      <c r="Q592" s="2096">
        <f t="shared" si="453"/>
        <v>0</v>
      </c>
      <c r="EF592" s="17"/>
    </row>
    <row r="593" spans="1:136" x14ac:dyDescent="0.3">
      <c r="A593" s="6"/>
      <c r="D593" s="2095"/>
      <c r="E593" s="1904"/>
      <c r="F593" s="1905">
        <f t="shared" ref="F593:Q593" si="454">IF($D517&lt;&gt;0,SUMIFS($C$9:$C$98,$D$9:$D$98,$D$640,G$9:G$98,$D517),0)</f>
        <v>0</v>
      </c>
      <c r="G593" s="1905">
        <f t="shared" si="454"/>
        <v>0</v>
      </c>
      <c r="H593" s="1905">
        <f t="shared" si="454"/>
        <v>0</v>
      </c>
      <c r="I593" s="1905">
        <f t="shared" si="449"/>
        <v>0</v>
      </c>
      <c r="J593" s="1905">
        <f t="shared" si="454"/>
        <v>0</v>
      </c>
      <c r="K593" s="1905">
        <f t="shared" si="454"/>
        <v>0</v>
      </c>
      <c r="L593" s="1905">
        <f t="shared" si="454"/>
        <v>0</v>
      </c>
      <c r="M593" s="1905">
        <f t="shared" si="454"/>
        <v>0</v>
      </c>
      <c r="N593" s="1905">
        <f t="shared" si="454"/>
        <v>0</v>
      </c>
      <c r="O593" s="1905">
        <f t="shared" si="454"/>
        <v>0</v>
      </c>
      <c r="P593" s="1905">
        <f t="shared" si="454"/>
        <v>0</v>
      </c>
      <c r="Q593" s="2096">
        <f t="shared" si="454"/>
        <v>0</v>
      </c>
      <c r="EF593" s="17"/>
    </row>
    <row r="594" spans="1:136" x14ac:dyDescent="0.3">
      <c r="A594" s="6"/>
      <c r="D594" s="2095"/>
      <c r="E594" s="1904"/>
      <c r="F594" s="1905">
        <f t="shared" ref="F594:Q594" si="455">IF($D518&lt;&gt;0,SUMIFS($C$9:$C$98,$D$9:$D$98,$D$640,G$9:G$98,$D518),0)</f>
        <v>0</v>
      </c>
      <c r="G594" s="1905">
        <f t="shared" si="455"/>
        <v>0</v>
      </c>
      <c r="H594" s="1905">
        <f t="shared" si="455"/>
        <v>0</v>
      </c>
      <c r="I594" s="1905">
        <f t="shared" si="449"/>
        <v>0</v>
      </c>
      <c r="J594" s="1905">
        <f t="shared" si="455"/>
        <v>0</v>
      </c>
      <c r="K594" s="1905">
        <f t="shared" si="455"/>
        <v>0</v>
      </c>
      <c r="L594" s="1905">
        <f t="shared" si="455"/>
        <v>0</v>
      </c>
      <c r="M594" s="1905">
        <f t="shared" si="455"/>
        <v>0</v>
      </c>
      <c r="N594" s="1905">
        <f t="shared" si="455"/>
        <v>0</v>
      </c>
      <c r="O594" s="1905">
        <f t="shared" si="455"/>
        <v>0</v>
      </c>
      <c r="P594" s="1905">
        <f t="shared" si="455"/>
        <v>0</v>
      </c>
      <c r="Q594" s="2096">
        <f t="shared" si="455"/>
        <v>0</v>
      </c>
      <c r="EF594" s="17"/>
    </row>
    <row r="595" spans="1:136" x14ac:dyDescent="0.3">
      <c r="A595" s="6"/>
      <c r="D595" s="2095"/>
      <c r="E595" s="1904"/>
      <c r="F595" s="1905">
        <f t="shared" ref="F595:Q595" si="456">IF($D519&lt;&gt;0,SUMIFS($C$9:$C$98,$D$9:$D$98,$D$640,G$9:G$98,$D519),0)</f>
        <v>0</v>
      </c>
      <c r="G595" s="1905">
        <f t="shared" si="456"/>
        <v>0</v>
      </c>
      <c r="H595" s="1905">
        <f t="shared" si="456"/>
        <v>0</v>
      </c>
      <c r="I595" s="1905">
        <f t="shared" si="449"/>
        <v>0</v>
      </c>
      <c r="J595" s="1905">
        <f t="shared" si="456"/>
        <v>0</v>
      </c>
      <c r="K595" s="1905">
        <f t="shared" si="456"/>
        <v>0</v>
      </c>
      <c r="L595" s="1905">
        <f t="shared" si="456"/>
        <v>0</v>
      </c>
      <c r="M595" s="1905">
        <f t="shared" si="456"/>
        <v>0</v>
      </c>
      <c r="N595" s="1905">
        <f t="shared" si="456"/>
        <v>0</v>
      </c>
      <c r="O595" s="1905">
        <f t="shared" si="456"/>
        <v>0</v>
      </c>
      <c r="P595" s="1905">
        <f t="shared" si="456"/>
        <v>0</v>
      </c>
      <c r="Q595" s="2096">
        <f t="shared" si="456"/>
        <v>0</v>
      </c>
      <c r="EF595" s="17"/>
    </row>
    <row r="596" spans="1:136" x14ac:dyDescent="0.3">
      <c r="A596" s="6"/>
      <c r="D596" s="2095"/>
      <c r="E596" s="1904"/>
      <c r="F596" s="1905">
        <f t="shared" ref="F596:Q596" si="457">IF($D520&lt;&gt;0,SUMIFS($C$9:$C$98,$D$9:$D$98,$D$640,G$9:G$98,$D520),0)</f>
        <v>0</v>
      </c>
      <c r="G596" s="1905">
        <f t="shared" si="457"/>
        <v>0</v>
      </c>
      <c r="H596" s="1905">
        <f t="shared" si="457"/>
        <v>0</v>
      </c>
      <c r="I596" s="1905">
        <f t="shared" si="449"/>
        <v>0</v>
      </c>
      <c r="J596" s="1905">
        <f t="shared" si="457"/>
        <v>0</v>
      </c>
      <c r="K596" s="1905">
        <f t="shared" si="457"/>
        <v>0</v>
      </c>
      <c r="L596" s="1905">
        <f t="shared" si="457"/>
        <v>0</v>
      </c>
      <c r="M596" s="1905">
        <f t="shared" si="457"/>
        <v>0</v>
      </c>
      <c r="N596" s="1905">
        <f t="shared" si="457"/>
        <v>0</v>
      </c>
      <c r="O596" s="1905">
        <f t="shared" si="457"/>
        <v>0</v>
      </c>
      <c r="P596" s="1905">
        <f t="shared" si="457"/>
        <v>0</v>
      </c>
      <c r="Q596" s="2096">
        <f t="shared" si="457"/>
        <v>0</v>
      </c>
      <c r="EF596" s="17"/>
    </row>
    <row r="597" spans="1:136" x14ac:dyDescent="0.3">
      <c r="A597" s="6"/>
      <c r="D597" s="2095"/>
      <c r="E597" s="1904"/>
      <c r="F597" s="1905">
        <f t="shared" ref="F597:Q597" si="458">IF($D521&lt;&gt;0,SUMIFS($C$9:$C$98,$D$9:$D$98,$D$640,G$9:G$98,$D521),0)</f>
        <v>0</v>
      </c>
      <c r="G597" s="1905">
        <f t="shared" si="458"/>
        <v>0</v>
      </c>
      <c r="H597" s="1905">
        <f t="shared" si="458"/>
        <v>0</v>
      </c>
      <c r="I597" s="1905">
        <f t="shared" si="449"/>
        <v>0</v>
      </c>
      <c r="J597" s="1905">
        <f t="shared" si="458"/>
        <v>0</v>
      </c>
      <c r="K597" s="1905">
        <f t="shared" si="458"/>
        <v>0</v>
      </c>
      <c r="L597" s="1905">
        <f t="shared" si="458"/>
        <v>0</v>
      </c>
      <c r="M597" s="1905">
        <f t="shared" si="458"/>
        <v>0</v>
      </c>
      <c r="N597" s="1905">
        <f t="shared" si="458"/>
        <v>0</v>
      </c>
      <c r="O597" s="1905">
        <f t="shared" si="458"/>
        <v>0</v>
      </c>
      <c r="P597" s="1905">
        <f t="shared" si="458"/>
        <v>0</v>
      </c>
      <c r="Q597" s="2096">
        <f t="shared" si="458"/>
        <v>0</v>
      </c>
      <c r="EF597" s="17"/>
    </row>
    <row r="598" spans="1:136" x14ac:dyDescent="0.3">
      <c r="A598" s="6"/>
      <c r="D598" s="2095"/>
      <c r="E598" s="1904"/>
      <c r="F598" s="1905">
        <f t="shared" ref="F598:Q598" si="459">IF($D522&lt;&gt;0,SUMIFS($C$9:$C$98,$D$9:$D$98,$D$640,G$9:G$98,$D522),0)</f>
        <v>0</v>
      </c>
      <c r="G598" s="1905">
        <f t="shared" si="459"/>
        <v>0</v>
      </c>
      <c r="H598" s="1905">
        <f t="shared" si="459"/>
        <v>0</v>
      </c>
      <c r="I598" s="1905">
        <f t="shared" si="449"/>
        <v>0</v>
      </c>
      <c r="J598" s="1905">
        <f t="shared" si="459"/>
        <v>0</v>
      </c>
      <c r="K598" s="1905">
        <f t="shared" si="459"/>
        <v>0</v>
      </c>
      <c r="L598" s="1905">
        <f t="shared" si="459"/>
        <v>0</v>
      </c>
      <c r="M598" s="1905">
        <f t="shared" si="459"/>
        <v>0</v>
      </c>
      <c r="N598" s="1905">
        <f t="shared" si="459"/>
        <v>0</v>
      </c>
      <c r="O598" s="1905">
        <f t="shared" si="459"/>
        <v>0</v>
      </c>
      <c r="P598" s="1905">
        <f t="shared" si="459"/>
        <v>0</v>
      </c>
      <c r="Q598" s="2096">
        <f t="shared" si="459"/>
        <v>0</v>
      </c>
      <c r="EF598" s="17"/>
    </row>
    <row r="599" spans="1:136" x14ac:dyDescent="0.3">
      <c r="A599" s="6"/>
      <c r="D599" s="2095"/>
      <c r="E599" s="1904"/>
      <c r="F599" s="1905">
        <f t="shared" ref="F599:Q599" si="460">IF($D523&lt;&gt;0,SUMIFS($C$9:$C$98,$D$9:$D$98,$D$640,G$9:G$98,$D523),0)</f>
        <v>0</v>
      </c>
      <c r="G599" s="1905">
        <f t="shared" si="460"/>
        <v>0</v>
      </c>
      <c r="H599" s="1905">
        <f t="shared" si="460"/>
        <v>0</v>
      </c>
      <c r="I599" s="1905">
        <f t="shared" si="449"/>
        <v>0</v>
      </c>
      <c r="J599" s="1905">
        <f t="shared" si="460"/>
        <v>0</v>
      </c>
      <c r="K599" s="1905">
        <f t="shared" si="460"/>
        <v>0</v>
      </c>
      <c r="L599" s="1905">
        <f t="shared" si="460"/>
        <v>0</v>
      </c>
      <c r="M599" s="1905">
        <f t="shared" si="460"/>
        <v>0</v>
      </c>
      <c r="N599" s="1905">
        <f t="shared" si="460"/>
        <v>0</v>
      </c>
      <c r="O599" s="1905">
        <f t="shared" si="460"/>
        <v>0</v>
      </c>
      <c r="P599" s="1905">
        <f t="shared" si="460"/>
        <v>0</v>
      </c>
      <c r="Q599" s="2096">
        <f t="shared" si="460"/>
        <v>0</v>
      </c>
      <c r="EF599" s="17"/>
    </row>
    <row r="600" spans="1:136" x14ac:dyDescent="0.3">
      <c r="A600" s="6"/>
      <c r="D600" s="2095"/>
      <c r="E600" s="1904"/>
      <c r="F600" s="1905">
        <f t="shared" ref="F600:Q600" si="461">IF($D524&lt;&gt;0,SUMIFS($C$9:$C$98,$D$9:$D$98,$D$640,G$9:G$98,$D524),0)</f>
        <v>0</v>
      </c>
      <c r="G600" s="1905">
        <f t="shared" si="461"/>
        <v>0</v>
      </c>
      <c r="H600" s="1905">
        <f t="shared" si="461"/>
        <v>0</v>
      </c>
      <c r="I600" s="1905">
        <f t="shared" si="449"/>
        <v>0</v>
      </c>
      <c r="J600" s="1905">
        <f t="shared" si="461"/>
        <v>0</v>
      </c>
      <c r="K600" s="1905">
        <f t="shared" si="461"/>
        <v>0</v>
      </c>
      <c r="L600" s="1905">
        <f t="shared" si="461"/>
        <v>0</v>
      </c>
      <c r="M600" s="1905">
        <f t="shared" si="461"/>
        <v>0</v>
      </c>
      <c r="N600" s="1905">
        <f t="shared" si="461"/>
        <v>0</v>
      </c>
      <c r="O600" s="1905">
        <f t="shared" si="461"/>
        <v>0</v>
      </c>
      <c r="P600" s="1905">
        <f t="shared" si="461"/>
        <v>0</v>
      </c>
      <c r="Q600" s="2096">
        <f t="shared" si="461"/>
        <v>0</v>
      </c>
      <c r="EF600" s="17"/>
    </row>
    <row r="601" spans="1:136" x14ac:dyDescent="0.3">
      <c r="A601" s="6"/>
      <c r="D601" s="2095"/>
      <c r="E601" s="1904"/>
      <c r="F601" s="1905">
        <f t="shared" ref="F601:Q601" si="462">IF($D525&lt;&gt;0,SUMIFS($C$9:$C$98,$D$9:$D$98,$D$640,G$9:G$98,$D525),0)</f>
        <v>0</v>
      </c>
      <c r="G601" s="1905">
        <f t="shared" si="462"/>
        <v>0</v>
      </c>
      <c r="H601" s="1905">
        <f t="shared" si="462"/>
        <v>0</v>
      </c>
      <c r="I601" s="1905">
        <f t="shared" si="449"/>
        <v>0</v>
      </c>
      <c r="J601" s="1905">
        <f t="shared" si="462"/>
        <v>0</v>
      </c>
      <c r="K601" s="1905">
        <f t="shared" si="462"/>
        <v>0</v>
      </c>
      <c r="L601" s="1905">
        <f t="shared" si="462"/>
        <v>0</v>
      </c>
      <c r="M601" s="1905">
        <f t="shared" si="462"/>
        <v>0</v>
      </c>
      <c r="N601" s="1905">
        <f t="shared" si="462"/>
        <v>0</v>
      </c>
      <c r="O601" s="1905">
        <f t="shared" si="462"/>
        <v>0</v>
      </c>
      <c r="P601" s="1905">
        <f t="shared" si="462"/>
        <v>0</v>
      </c>
      <c r="Q601" s="2096">
        <f t="shared" si="462"/>
        <v>0</v>
      </c>
      <c r="EF601" s="17"/>
    </row>
    <row r="602" spans="1:136" x14ac:dyDescent="0.3">
      <c r="A602" s="6"/>
      <c r="D602" s="2095"/>
      <c r="E602" s="1904"/>
      <c r="F602" s="1905">
        <f t="shared" ref="F602:Q602" si="463">IF($D526&lt;&gt;0,SUMIFS($C$9:$C$98,$D$9:$D$98,$D$640,G$9:G$98,$D526),0)</f>
        <v>0</v>
      </c>
      <c r="G602" s="1905">
        <f t="shared" si="463"/>
        <v>0</v>
      </c>
      <c r="H602" s="1905">
        <f t="shared" si="463"/>
        <v>0</v>
      </c>
      <c r="I602" s="1905">
        <f t="shared" si="449"/>
        <v>0</v>
      </c>
      <c r="J602" s="1905">
        <f t="shared" si="463"/>
        <v>0</v>
      </c>
      <c r="K602" s="1905">
        <f t="shared" si="463"/>
        <v>0</v>
      </c>
      <c r="L602" s="1905">
        <f t="shared" si="463"/>
        <v>0</v>
      </c>
      <c r="M602" s="1905">
        <f t="shared" si="463"/>
        <v>0</v>
      </c>
      <c r="N602" s="1905">
        <f t="shared" si="463"/>
        <v>0</v>
      </c>
      <c r="O602" s="1905">
        <f t="shared" si="463"/>
        <v>0</v>
      </c>
      <c r="P602" s="1905">
        <f t="shared" si="463"/>
        <v>0</v>
      </c>
      <c r="Q602" s="2096">
        <f t="shared" si="463"/>
        <v>0</v>
      </c>
      <c r="EF602" s="17"/>
    </row>
    <row r="603" spans="1:136" x14ac:dyDescent="0.3">
      <c r="A603" s="6"/>
      <c r="D603" s="2095"/>
      <c r="E603" s="1904"/>
      <c r="F603" s="1905">
        <f t="shared" ref="F603:Q603" si="464">IF($D527&lt;&gt;0,SUMIFS($C$9:$C$98,$D$9:$D$98,$D$640,G$9:G$98,$D527),0)</f>
        <v>0</v>
      </c>
      <c r="G603" s="1905">
        <f t="shared" si="464"/>
        <v>0</v>
      </c>
      <c r="H603" s="1905">
        <f t="shared" si="464"/>
        <v>0</v>
      </c>
      <c r="I603" s="1905">
        <f t="shared" si="449"/>
        <v>0</v>
      </c>
      <c r="J603" s="1905">
        <f t="shared" si="464"/>
        <v>0</v>
      </c>
      <c r="K603" s="1905">
        <f t="shared" si="464"/>
        <v>0</v>
      </c>
      <c r="L603" s="1905">
        <f t="shared" si="464"/>
        <v>0</v>
      </c>
      <c r="M603" s="1905">
        <f t="shared" si="464"/>
        <v>0</v>
      </c>
      <c r="N603" s="1905">
        <f t="shared" si="464"/>
        <v>0</v>
      </c>
      <c r="O603" s="1905">
        <f t="shared" si="464"/>
        <v>0</v>
      </c>
      <c r="P603" s="1905">
        <f t="shared" si="464"/>
        <v>0</v>
      </c>
      <c r="Q603" s="2096">
        <f t="shared" si="464"/>
        <v>0</v>
      </c>
      <c r="EF603" s="17"/>
    </row>
    <row r="604" spans="1:136" x14ac:dyDescent="0.3">
      <c r="A604" s="6"/>
      <c r="D604" s="2095"/>
      <c r="E604" s="1904"/>
      <c r="F604" s="1905">
        <f t="shared" ref="F604:Q604" si="465">IF($D528&lt;&gt;0,SUMIFS($C$9:$C$98,$D$9:$D$98,$D$640,G$9:G$98,$D528),0)</f>
        <v>0</v>
      </c>
      <c r="G604" s="1905">
        <f t="shared" si="465"/>
        <v>0</v>
      </c>
      <c r="H604" s="1905">
        <f t="shared" si="465"/>
        <v>0</v>
      </c>
      <c r="I604" s="1905">
        <f t="shared" si="449"/>
        <v>0</v>
      </c>
      <c r="J604" s="1905">
        <f t="shared" si="465"/>
        <v>0</v>
      </c>
      <c r="K604" s="1905">
        <f t="shared" si="465"/>
        <v>0</v>
      </c>
      <c r="L604" s="1905">
        <f t="shared" si="465"/>
        <v>0</v>
      </c>
      <c r="M604" s="1905">
        <f t="shared" si="465"/>
        <v>0</v>
      </c>
      <c r="N604" s="1905">
        <f t="shared" si="465"/>
        <v>0</v>
      </c>
      <c r="O604" s="1905">
        <f t="shared" si="465"/>
        <v>0</v>
      </c>
      <c r="P604" s="1905">
        <f t="shared" si="465"/>
        <v>0</v>
      </c>
      <c r="Q604" s="2096">
        <f t="shared" si="465"/>
        <v>0</v>
      </c>
      <c r="EF604" s="17"/>
    </row>
    <row r="605" spans="1:136" x14ac:dyDescent="0.3">
      <c r="A605" s="6"/>
      <c r="D605" s="2095"/>
      <c r="E605" s="1904"/>
      <c r="F605" s="1905">
        <f t="shared" ref="F605:Q605" si="466">IF($D529&lt;&gt;0,SUMIFS($C$9:$C$98,$D$9:$D$98,$D$640,G$9:G$98,$D529),0)</f>
        <v>0</v>
      </c>
      <c r="G605" s="1905">
        <f t="shared" si="466"/>
        <v>0</v>
      </c>
      <c r="H605" s="1905">
        <f t="shared" si="466"/>
        <v>0</v>
      </c>
      <c r="I605" s="1905">
        <f t="shared" si="449"/>
        <v>0</v>
      </c>
      <c r="J605" s="1905">
        <f t="shared" si="466"/>
        <v>0</v>
      </c>
      <c r="K605" s="1905">
        <f t="shared" si="466"/>
        <v>0</v>
      </c>
      <c r="L605" s="1905">
        <f t="shared" si="466"/>
        <v>0</v>
      </c>
      <c r="M605" s="1905">
        <f t="shared" si="466"/>
        <v>0</v>
      </c>
      <c r="N605" s="1905">
        <f t="shared" si="466"/>
        <v>0</v>
      </c>
      <c r="O605" s="1905">
        <f t="shared" si="466"/>
        <v>0</v>
      </c>
      <c r="P605" s="1905">
        <f t="shared" si="466"/>
        <v>0</v>
      </c>
      <c r="Q605" s="2096">
        <f t="shared" si="466"/>
        <v>0</v>
      </c>
      <c r="EF605" s="17"/>
    </row>
    <row r="606" spans="1:136" ht="15.05" thickBot="1" x14ac:dyDescent="0.25">
      <c r="A606" s="6"/>
      <c r="D606" s="2099"/>
      <c r="E606" s="1908"/>
      <c r="F606" s="1909">
        <f>+SUM(F588:F605)</f>
        <v>0</v>
      </c>
      <c r="G606" s="1909">
        <f t="shared" ref="G606:Q606" si="467">+SUM(G588:G605)</f>
        <v>0</v>
      </c>
      <c r="H606" s="1909">
        <f t="shared" si="467"/>
        <v>0</v>
      </c>
      <c r="I606" s="1909">
        <f t="shared" si="467"/>
        <v>0</v>
      </c>
      <c r="J606" s="1909">
        <f t="shared" si="467"/>
        <v>0</v>
      </c>
      <c r="K606" s="1909">
        <f t="shared" si="467"/>
        <v>0</v>
      </c>
      <c r="L606" s="1909">
        <f t="shared" si="467"/>
        <v>0</v>
      </c>
      <c r="M606" s="1909">
        <f t="shared" si="467"/>
        <v>0</v>
      </c>
      <c r="N606" s="1909">
        <f t="shared" si="467"/>
        <v>0</v>
      </c>
      <c r="O606" s="1909">
        <f t="shared" si="467"/>
        <v>0</v>
      </c>
      <c r="P606" s="1909">
        <f t="shared" si="467"/>
        <v>0</v>
      </c>
      <c r="Q606" s="2100">
        <f t="shared" si="467"/>
        <v>0</v>
      </c>
      <c r="EF606" s="17"/>
    </row>
    <row r="607" spans="1:136" ht="15.05" thickBot="1" x14ac:dyDescent="0.35">
      <c r="A607" s="6"/>
      <c r="D607" s="2101"/>
      <c r="E607" s="2102"/>
      <c r="F607" s="2103">
        <f>F606+F587</f>
        <v>0</v>
      </c>
      <c r="G607" s="2103">
        <f t="shared" ref="G607:Q607" si="468">G606+G587</f>
        <v>0</v>
      </c>
      <c r="H607" s="2103">
        <f t="shared" si="468"/>
        <v>0</v>
      </c>
      <c r="I607" s="2103">
        <f t="shared" si="468"/>
        <v>0</v>
      </c>
      <c r="J607" s="2103">
        <f t="shared" si="468"/>
        <v>0</v>
      </c>
      <c r="K607" s="2103">
        <f t="shared" si="468"/>
        <v>0</v>
      </c>
      <c r="L607" s="2103">
        <f t="shared" si="468"/>
        <v>0</v>
      </c>
      <c r="M607" s="2103">
        <f t="shared" si="468"/>
        <v>0</v>
      </c>
      <c r="N607" s="2103">
        <f t="shared" si="468"/>
        <v>0</v>
      </c>
      <c r="O607" s="2103">
        <f t="shared" si="468"/>
        <v>0</v>
      </c>
      <c r="P607" s="2103">
        <f t="shared" si="468"/>
        <v>0</v>
      </c>
      <c r="Q607" s="2104">
        <f t="shared" si="468"/>
        <v>0</v>
      </c>
      <c r="EF607" s="17"/>
    </row>
    <row r="608" spans="1:136" ht="15.75" thickTop="1" thickBot="1" x14ac:dyDescent="0.25">
      <c r="A608" s="6"/>
      <c r="P608" s="6"/>
      <c r="Q608" s="6"/>
      <c r="EF608" s="17"/>
    </row>
    <row r="609" spans="1:136" ht="15.75" thickTop="1" thickBot="1" x14ac:dyDescent="0.25">
      <c r="A609" s="2188">
        <v>1018</v>
      </c>
      <c r="B609" s="1435"/>
      <c r="C609" s="958"/>
      <c r="D609" s="2105" t="s">
        <v>334</v>
      </c>
      <c r="E609" s="2106"/>
      <c r="F609" s="2106"/>
      <c r="G609" s="2106"/>
      <c r="H609" s="2106"/>
      <c r="I609" s="2106"/>
      <c r="J609" s="2106"/>
      <c r="K609" s="2106"/>
      <c r="L609" s="2106"/>
      <c r="M609" s="2106"/>
      <c r="N609" s="2106"/>
      <c r="O609" s="2107"/>
      <c r="P609" s="2114"/>
      <c r="Q609" s="2115"/>
      <c r="S609" s="6"/>
    </row>
    <row r="610" spans="1:136" x14ac:dyDescent="0.2">
      <c r="A610" s="6"/>
      <c r="D610" s="2099" t="s">
        <v>986</v>
      </c>
      <c r="E610" s="1908"/>
      <c r="F610" s="1909">
        <f t="shared" ref="F610:Q610" si="469">+F511+F550+F587</f>
        <v>0</v>
      </c>
      <c r="G610" s="1909">
        <f t="shared" si="469"/>
        <v>0</v>
      </c>
      <c r="H610" s="1909">
        <f t="shared" si="469"/>
        <v>0</v>
      </c>
      <c r="I610" s="1909">
        <f t="shared" si="469"/>
        <v>0</v>
      </c>
      <c r="J610" s="1909">
        <f t="shared" si="469"/>
        <v>0</v>
      </c>
      <c r="K610" s="1909">
        <f t="shared" si="469"/>
        <v>0</v>
      </c>
      <c r="L610" s="1909">
        <f t="shared" si="469"/>
        <v>0</v>
      </c>
      <c r="M610" s="1909">
        <f t="shared" si="469"/>
        <v>0</v>
      </c>
      <c r="N610" s="1909">
        <f t="shared" si="469"/>
        <v>0</v>
      </c>
      <c r="O610" s="1909">
        <f t="shared" si="469"/>
        <v>0</v>
      </c>
      <c r="P610" s="1909">
        <f t="shared" si="469"/>
        <v>0</v>
      </c>
      <c r="Q610" s="2100">
        <f t="shared" si="469"/>
        <v>0</v>
      </c>
      <c r="R610" s="107"/>
      <c r="S610" s="6"/>
    </row>
    <row r="611" spans="1:136" ht="15.05" thickBot="1" x14ac:dyDescent="0.25">
      <c r="A611" s="6"/>
      <c r="D611" s="2109" t="s">
        <v>336</v>
      </c>
      <c r="E611" s="1912"/>
      <c r="F611" s="1913">
        <f t="shared" ref="F611:Q611" si="470">+F530+F569+F606</f>
        <v>0</v>
      </c>
      <c r="G611" s="1913">
        <f t="shared" si="470"/>
        <v>0</v>
      </c>
      <c r="H611" s="1913">
        <f t="shared" si="470"/>
        <v>0</v>
      </c>
      <c r="I611" s="1913">
        <f t="shared" si="470"/>
        <v>0</v>
      </c>
      <c r="J611" s="1913">
        <f t="shared" si="470"/>
        <v>0</v>
      </c>
      <c r="K611" s="1913">
        <f t="shared" si="470"/>
        <v>0</v>
      </c>
      <c r="L611" s="1913">
        <f t="shared" si="470"/>
        <v>0</v>
      </c>
      <c r="M611" s="1913">
        <f t="shared" si="470"/>
        <v>0</v>
      </c>
      <c r="N611" s="1913">
        <f t="shared" si="470"/>
        <v>0</v>
      </c>
      <c r="O611" s="1913">
        <f t="shared" si="470"/>
        <v>0</v>
      </c>
      <c r="P611" s="1913">
        <f t="shared" si="470"/>
        <v>0</v>
      </c>
      <c r="Q611" s="2110">
        <f t="shared" si="470"/>
        <v>0</v>
      </c>
      <c r="R611" s="107"/>
      <c r="S611" s="6"/>
    </row>
    <row r="612" spans="1:136" ht="15.05" thickBot="1" x14ac:dyDescent="0.35">
      <c r="A612" s="6"/>
      <c r="D612" s="2101" t="s">
        <v>966</v>
      </c>
      <c r="E612" s="2111"/>
      <c r="F612" s="2103">
        <f t="shared" ref="F612:Q612" si="471">+F611+F610</f>
        <v>0</v>
      </c>
      <c r="G612" s="2112">
        <f t="shared" si="471"/>
        <v>0</v>
      </c>
      <c r="H612" s="2112">
        <f t="shared" si="471"/>
        <v>0</v>
      </c>
      <c r="I612" s="2112">
        <f t="shared" si="471"/>
        <v>0</v>
      </c>
      <c r="J612" s="2112">
        <f t="shared" si="471"/>
        <v>0</v>
      </c>
      <c r="K612" s="2112">
        <f t="shared" si="471"/>
        <v>0</v>
      </c>
      <c r="L612" s="2112">
        <f t="shared" si="471"/>
        <v>0</v>
      </c>
      <c r="M612" s="2112">
        <f t="shared" si="471"/>
        <v>0</v>
      </c>
      <c r="N612" s="2112">
        <f t="shared" si="471"/>
        <v>0</v>
      </c>
      <c r="O612" s="2112">
        <f t="shared" si="471"/>
        <v>0</v>
      </c>
      <c r="P612" s="2112">
        <f t="shared" si="471"/>
        <v>0</v>
      </c>
      <c r="Q612" s="2113">
        <f t="shared" si="471"/>
        <v>0</v>
      </c>
      <c r="R612" s="107"/>
      <c r="S612" s="6"/>
    </row>
    <row r="613" spans="1:136" ht="15.05" thickTop="1" x14ac:dyDescent="0.3">
      <c r="A613" s="6"/>
      <c r="D613" s="1914"/>
      <c r="E613" s="1914"/>
      <c r="F613" s="110"/>
      <c r="G613" s="110"/>
      <c r="H613" s="110"/>
      <c r="I613" s="110"/>
      <c r="J613" s="110"/>
      <c r="K613" s="110"/>
      <c r="L613" s="110"/>
      <c r="M613" s="110"/>
      <c r="N613" s="110"/>
      <c r="O613" s="110"/>
      <c r="P613" s="110"/>
      <c r="Q613" s="110"/>
      <c r="R613" s="107"/>
      <c r="S613" s="6"/>
    </row>
    <row r="614" spans="1:136" x14ac:dyDescent="0.3">
      <c r="A614" s="6"/>
      <c r="D614" s="1914"/>
      <c r="E614" s="1914"/>
      <c r="F614" s="111"/>
      <c r="G614" s="110"/>
      <c r="H614" s="110"/>
      <c r="I614" s="110"/>
      <c r="J614" s="110"/>
      <c r="K614" s="110"/>
      <c r="L614" s="110"/>
      <c r="M614" s="110"/>
      <c r="N614" s="110"/>
      <c r="O614" s="110"/>
      <c r="P614" s="110"/>
      <c r="Q614" s="110"/>
      <c r="R614" s="107"/>
      <c r="S614" s="6"/>
    </row>
    <row r="615" spans="1:136" s="2196" customFormat="1" ht="25.2" customHeight="1" x14ac:dyDescent="0.3">
      <c r="A615" s="2191"/>
      <c r="B615" s="2191" t="s">
        <v>1628</v>
      </c>
      <c r="C615" s="2191"/>
      <c r="D615" s="2192"/>
      <c r="E615" s="2192"/>
      <c r="F615" s="2193"/>
      <c r="G615" s="2193"/>
      <c r="H615" s="2193"/>
      <c r="I615" s="2193"/>
      <c r="J615" s="2193"/>
      <c r="K615" s="2193"/>
      <c r="L615" s="2193"/>
      <c r="M615" s="2193"/>
      <c r="N615" s="2193"/>
      <c r="O615" s="2193"/>
      <c r="P615" s="2193"/>
      <c r="Q615" s="2193"/>
      <c r="R615" s="2194"/>
      <c r="S615" s="2191"/>
      <c r="T615" s="2195"/>
      <c r="U615" s="2195"/>
      <c r="V615" s="2195"/>
      <c r="W615" s="2195"/>
      <c r="X615" s="2195"/>
      <c r="Y615" s="2195"/>
      <c r="Z615" s="2195"/>
      <c r="AA615" s="2195"/>
      <c r="AB615" s="2195"/>
      <c r="AC615" s="2195"/>
      <c r="AD615" s="2195"/>
      <c r="AE615" s="2195"/>
      <c r="AF615" s="2195"/>
      <c r="AG615" s="2195"/>
      <c r="AH615" s="2195"/>
      <c r="AI615" s="2195"/>
      <c r="AJ615" s="2195"/>
      <c r="AK615" s="2195"/>
      <c r="AL615" s="2195"/>
      <c r="AM615" s="2195"/>
      <c r="AN615" s="2195"/>
      <c r="AO615" s="2195"/>
      <c r="AP615" s="2195"/>
      <c r="AQ615" s="2195"/>
      <c r="AR615" s="2195"/>
      <c r="AS615" s="2195"/>
      <c r="AT615" s="2195"/>
      <c r="AU615" s="2195"/>
      <c r="AV615" s="2195"/>
      <c r="AW615" s="2195"/>
      <c r="AX615" s="2195"/>
      <c r="AY615" s="2195"/>
      <c r="AZ615" s="2195"/>
      <c r="BA615" s="2195"/>
      <c r="BB615" s="2195"/>
      <c r="BC615" s="2195"/>
      <c r="BD615" s="2195"/>
      <c r="BE615" s="2195"/>
      <c r="BF615" s="2195"/>
      <c r="BG615" s="2195"/>
      <c r="BH615" s="2195"/>
      <c r="BI615" s="2195"/>
      <c r="EF615" s="2197"/>
    </row>
    <row r="616" spans="1:136" s="108" customFormat="1" x14ac:dyDescent="0.3">
      <c r="A616" s="6"/>
      <c r="B616" s="6"/>
      <c r="C616" s="6"/>
      <c r="D616" s="1915"/>
      <c r="E616" s="1915"/>
      <c r="F616" s="1916"/>
      <c r="G616" s="1916"/>
      <c r="H616" s="1916"/>
      <c r="I616" s="1916"/>
      <c r="J616" s="1916"/>
      <c r="K616" s="1916"/>
      <c r="L616" s="1916"/>
      <c r="M616" s="1916"/>
      <c r="N616" s="1916"/>
      <c r="O616" s="1916"/>
      <c r="P616" s="1916"/>
      <c r="Q616" s="1916"/>
      <c r="R616" s="107"/>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row>
    <row r="617" spans="1:136" s="108" customFormat="1" x14ac:dyDescent="0.3">
      <c r="A617" s="2188">
        <v>1019</v>
      </c>
      <c r="B617" s="6" t="s">
        <v>1664</v>
      </c>
      <c r="C617" s="6"/>
      <c r="D617" s="1915"/>
      <c r="E617" s="1915"/>
      <c r="F617" s="1916"/>
      <c r="G617" s="1916"/>
      <c r="H617" s="1916"/>
      <c r="I617" s="1916"/>
      <c r="J617" s="1916"/>
      <c r="K617" s="1916"/>
      <c r="L617" s="1916"/>
      <c r="M617" s="1916"/>
      <c r="N617" s="1916"/>
      <c r="O617" s="1916"/>
      <c r="P617" s="1916"/>
      <c r="Q617" s="1916"/>
      <c r="R617" s="107"/>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row>
    <row r="618" spans="1:136" s="108" customFormat="1" x14ac:dyDescent="0.3">
      <c r="B618" s="960" t="s">
        <v>1639</v>
      </c>
      <c r="C618" s="961"/>
      <c r="D618" s="1917"/>
      <c r="E618" s="1915" t="s">
        <v>1647</v>
      </c>
      <c r="F618" s="1916"/>
      <c r="G618" s="1916"/>
      <c r="H618" s="1916"/>
      <c r="I618" s="1916"/>
      <c r="J618" s="1916"/>
      <c r="K618" s="1916"/>
      <c r="L618" s="1916"/>
      <c r="M618" s="1916"/>
      <c r="N618" s="1916"/>
      <c r="O618" s="1916"/>
      <c r="P618" s="1916"/>
      <c r="Q618" s="1916"/>
      <c r="R618" s="107"/>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row>
    <row r="619" spans="1:136" s="108" customFormat="1" x14ac:dyDescent="0.3">
      <c r="A619" s="6"/>
      <c r="B619" s="1918"/>
      <c r="C619" s="100"/>
      <c r="D619" s="1919" t="s">
        <v>2103</v>
      </c>
      <c r="E619" s="1920">
        <f>+A.Lecheros!R605</f>
        <v>0</v>
      </c>
      <c r="F619" s="1916"/>
      <c r="G619" s="1916"/>
      <c r="H619" s="1916"/>
      <c r="I619" s="1916"/>
      <c r="J619" s="1916"/>
      <c r="K619" s="1916"/>
      <c r="L619" s="1916"/>
      <c r="M619" s="1916"/>
      <c r="N619" s="1916"/>
      <c r="O619" s="1916"/>
      <c r="P619" s="1916"/>
      <c r="Q619" s="1916"/>
      <c r="R619" s="107"/>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row>
    <row r="620" spans="1:136" s="108" customFormat="1" x14ac:dyDescent="0.3">
      <c r="A620" s="6"/>
      <c r="B620" s="1921"/>
      <c r="C620" s="1922"/>
      <c r="D620" s="1923" t="s">
        <v>1640</v>
      </c>
      <c r="E620" s="1920">
        <f>+A.Lecheros!R606</f>
        <v>0</v>
      </c>
      <c r="F620" s="1916"/>
      <c r="G620" s="1916"/>
      <c r="I620" s="108" t="s">
        <v>1654</v>
      </c>
      <c r="J620" s="1916"/>
      <c r="K620" s="1916"/>
      <c r="L620" s="1916"/>
      <c r="M620" s="1916"/>
      <c r="N620" s="1916"/>
      <c r="O620" s="1916"/>
      <c r="P620" s="1916"/>
      <c r="Q620" s="1916"/>
      <c r="R620" s="107"/>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row>
    <row r="621" spans="1:136" s="108" customFormat="1" x14ac:dyDescent="0.3">
      <c r="A621" s="6"/>
      <c r="B621" s="1924" t="s">
        <v>1141</v>
      </c>
      <c r="C621" s="958"/>
      <c r="D621" s="1822"/>
      <c r="E621" s="1920">
        <f>+Alimentos!S403</f>
        <v>0</v>
      </c>
      <c r="F621" s="1916"/>
      <c r="G621" s="1916"/>
      <c r="H621" s="1925" t="s">
        <v>1646</v>
      </c>
      <c r="I621" s="1909" t="e">
        <f>+E619+E621+E622</f>
        <v>#DIV/0!</v>
      </c>
      <c r="J621" s="876" t="e">
        <f>+I621/I624</f>
        <v>#DIV/0!</v>
      </c>
      <c r="K621" s="1916"/>
      <c r="L621" s="1916"/>
      <c r="M621" s="1916"/>
      <c r="N621" s="1916"/>
      <c r="O621" s="1916"/>
      <c r="P621" s="1916"/>
      <c r="Q621" s="1916"/>
      <c r="R621" s="107"/>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row>
    <row r="622" spans="1:136" s="108" customFormat="1" x14ac:dyDescent="0.3">
      <c r="A622" s="6"/>
      <c r="B622" s="1924" t="s">
        <v>1604</v>
      </c>
      <c r="C622" s="958"/>
      <c r="D622" s="1822"/>
      <c r="E622" s="1920" t="e">
        <f>+Alimentos!S406*UsoSuelo!R654</f>
        <v>#DIV/0!</v>
      </c>
      <c r="F622" s="1916"/>
      <c r="G622" s="1916"/>
      <c r="H622" s="1925" t="s">
        <v>1645</v>
      </c>
      <c r="I622" s="1909" t="e">
        <f>+E620+E623</f>
        <v>#DIV/0!</v>
      </c>
      <c r="J622" s="876" t="e">
        <f>+I622/I624</f>
        <v>#DIV/0!</v>
      </c>
      <c r="K622" s="1916"/>
      <c r="L622" s="1916"/>
      <c r="M622" s="1916"/>
      <c r="N622" s="1916"/>
      <c r="O622" s="1916"/>
      <c r="P622" s="1916"/>
      <c r="Q622" s="1916"/>
      <c r="R622" s="107"/>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row>
    <row r="623" spans="1:136" s="108" customFormat="1" x14ac:dyDescent="0.3">
      <c r="A623" s="6"/>
      <c r="B623" s="1924" t="s">
        <v>187</v>
      </c>
      <c r="C623" s="958"/>
      <c r="D623" s="1822"/>
      <c r="E623" s="1920" t="e">
        <f>+Alimentos!S406-E622</f>
        <v>#DIV/0!</v>
      </c>
      <c r="F623" s="1916"/>
      <c r="G623" s="1916"/>
      <c r="H623" s="1925" t="s">
        <v>699</v>
      </c>
      <c r="I623" s="1909">
        <f>+E624</f>
        <v>0</v>
      </c>
      <c r="J623" s="876" t="e">
        <f>+I623/I624</f>
        <v>#DIV/0!</v>
      </c>
      <c r="K623" s="1916"/>
      <c r="L623" s="1916"/>
      <c r="M623" s="1916"/>
      <c r="N623" s="1916"/>
      <c r="O623" s="1916"/>
      <c r="P623" s="1916"/>
      <c r="Q623" s="1916"/>
      <c r="R623" s="107"/>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row>
    <row r="624" spans="1:136" s="108" customFormat="1" x14ac:dyDescent="0.3">
      <c r="A624" s="6"/>
      <c r="B624" s="1924" t="s">
        <v>718</v>
      </c>
      <c r="C624" s="958"/>
      <c r="D624" s="1822"/>
      <c r="E624" s="1920">
        <f>+Alimentos!S409</f>
        <v>0</v>
      </c>
      <c r="F624" s="1916"/>
      <c r="G624" s="1916"/>
      <c r="H624" s="1916"/>
      <c r="I624" s="1926" t="e">
        <f>+SUM(I621+I622+I623)</f>
        <v>#DIV/0!</v>
      </c>
      <c r="J624" s="1916"/>
      <c r="K624" s="1916"/>
      <c r="L624" s="1916"/>
      <c r="M624" s="1916"/>
      <c r="N624" s="1916"/>
      <c r="O624" s="1916"/>
      <c r="P624" s="1916"/>
      <c r="Q624" s="1916"/>
      <c r="R624" s="107"/>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row>
    <row r="625" spans="1:61" s="108" customFormat="1" x14ac:dyDescent="0.3">
      <c r="A625" s="6"/>
      <c r="B625" s="6"/>
      <c r="C625" s="6"/>
      <c r="D625" s="1915"/>
      <c r="E625" s="1915"/>
      <c r="F625" s="1916"/>
      <c r="G625" s="1916"/>
      <c r="H625" s="1916"/>
      <c r="I625" s="1916"/>
      <c r="J625" s="1916"/>
      <c r="K625" s="1916"/>
      <c r="L625" s="1916"/>
      <c r="M625" s="1916"/>
      <c r="N625" s="1916"/>
      <c r="O625" s="1916"/>
      <c r="P625" s="1916"/>
      <c r="Q625" s="1916"/>
      <c r="R625" s="107"/>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row>
    <row r="626" spans="1:61" s="108" customFormat="1" x14ac:dyDescent="0.3">
      <c r="A626" s="6"/>
      <c r="B626" s="6"/>
      <c r="C626" s="6"/>
      <c r="D626" s="1915"/>
      <c r="E626" s="1915"/>
      <c r="F626" s="1916"/>
      <c r="G626" s="1916"/>
      <c r="H626" s="1916"/>
      <c r="I626" s="1916"/>
      <c r="J626" s="1916"/>
      <c r="K626" s="1916"/>
      <c r="L626" s="1916"/>
      <c r="M626" s="1916"/>
      <c r="N626" s="1916"/>
      <c r="O626" s="1916"/>
      <c r="P626" s="1916"/>
      <c r="Q626" s="1916"/>
      <c r="R626" s="107"/>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row>
    <row r="627" spans="1:61" s="108" customFormat="1" ht="13.45" customHeight="1" x14ac:dyDescent="0.3">
      <c r="A627" s="2188">
        <v>1020</v>
      </c>
      <c r="B627" s="1435"/>
      <c r="C627" s="958"/>
      <c r="D627" s="1927" t="s">
        <v>1631</v>
      </c>
      <c r="E627" s="1877"/>
      <c r="F627" s="668">
        <f>+F720+F726</f>
        <v>0</v>
      </c>
      <c r="G627" s="668">
        <f t="shared" ref="G627:Q627" si="472">+G720+G726</f>
        <v>0</v>
      </c>
      <c r="H627" s="668">
        <f t="shared" si="472"/>
        <v>0</v>
      </c>
      <c r="I627" s="668">
        <f t="shared" si="472"/>
        <v>0</v>
      </c>
      <c r="J627" s="668">
        <f t="shared" si="472"/>
        <v>0</v>
      </c>
      <c r="K627" s="668">
        <f t="shared" si="472"/>
        <v>0</v>
      </c>
      <c r="L627" s="668">
        <f t="shared" si="472"/>
        <v>0</v>
      </c>
      <c r="M627" s="668">
        <f t="shared" si="472"/>
        <v>0</v>
      </c>
      <c r="N627" s="668">
        <f t="shared" si="472"/>
        <v>0</v>
      </c>
      <c r="O627" s="668">
        <f t="shared" si="472"/>
        <v>0</v>
      </c>
      <c r="P627" s="668">
        <f t="shared" si="472"/>
        <v>0</v>
      </c>
      <c r="Q627" s="668">
        <f t="shared" si="472"/>
        <v>0</v>
      </c>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row>
    <row r="628" spans="1:61" s="108" customFormat="1" x14ac:dyDescent="0.3">
      <c r="A628" s="6"/>
      <c r="B628" s="6"/>
      <c r="C628" s="6"/>
      <c r="D628" s="1927" t="s">
        <v>1637</v>
      </c>
      <c r="E628" s="1877"/>
      <c r="F628" s="668">
        <f t="shared" ref="F628:Q628" si="473">+F791+F797</f>
        <v>0</v>
      </c>
      <c r="G628" s="668">
        <f t="shared" si="473"/>
        <v>0</v>
      </c>
      <c r="H628" s="668">
        <f t="shared" si="473"/>
        <v>0</v>
      </c>
      <c r="I628" s="668">
        <f t="shared" si="473"/>
        <v>0</v>
      </c>
      <c r="J628" s="668">
        <f t="shared" si="473"/>
        <v>0</v>
      </c>
      <c r="K628" s="668">
        <f t="shared" si="473"/>
        <v>0</v>
      </c>
      <c r="L628" s="668">
        <f t="shared" si="473"/>
        <v>0</v>
      </c>
      <c r="M628" s="668">
        <f t="shared" si="473"/>
        <v>0</v>
      </c>
      <c r="N628" s="668">
        <f t="shared" si="473"/>
        <v>0</v>
      </c>
      <c r="O628" s="668">
        <f t="shared" si="473"/>
        <v>0</v>
      </c>
      <c r="P628" s="668">
        <f t="shared" si="473"/>
        <v>0</v>
      </c>
      <c r="Q628" s="668">
        <f t="shared" si="473"/>
        <v>0</v>
      </c>
      <c r="R628" s="107"/>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row>
    <row r="629" spans="1:61" s="108" customFormat="1" x14ac:dyDescent="0.3">
      <c r="A629" s="6"/>
      <c r="C629" s="6"/>
      <c r="D629" s="1928" t="s">
        <v>1663</v>
      </c>
      <c r="E629" s="1821"/>
      <c r="F629" s="49">
        <f t="shared" ref="F629:Q629" si="474">+F862+F868</f>
        <v>0</v>
      </c>
      <c r="G629" s="49">
        <f t="shared" si="474"/>
        <v>0</v>
      </c>
      <c r="H629" s="49">
        <f t="shared" si="474"/>
        <v>0</v>
      </c>
      <c r="I629" s="49">
        <f t="shared" si="474"/>
        <v>0</v>
      </c>
      <c r="J629" s="49">
        <f t="shared" si="474"/>
        <v>0</v>
      </c>
      <c r="K629" s="49">
        <f t="shared" si="474"/>
        <v>0</v>
      </c>
      <c r="L629" s="49">
        <f t="shared" si="474"/>
        <v>0</v>
      </c>
      <c r="M629" s="49">
        <f t="shared" si="474"/>
        <v>0</v>
      </c>
      <c r="N629" s="49">
        <f t="shared" si="474"/>
        <v>0</v>
      </c>
      <c r="O629" s="49">
        <f t="shared" si="474"/>
        <v>0</v>
      </c>
      <c r="P629" s="49">
        <f t="shared" si="474"/>
        <v>0</v>
      </c>
      <c r="Q629" s="49">
        <f t="shared" si="474"/>
        <v>0</v>
      </c>
      <c r="R629" s="107"/>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row>
    <row r="630" spans="1:61" s="108" customFormat="1" x14ac:dyDescent="0.3">
      <c r="A630" s="6"/>
      <c r="C630" s="6"/>
      <c r="D630" s="1929" t="s">
        <v>1655</v>
      </c>
      <c r="E630" s="1930"/>
      <c r="F630" s="1931">
        <f t="shared" ref="F630:Q630" si="475">+F628+F627+F629</f>
        <v>0</v>
      </c>
      <c r="G630" s="1931">
        <f t="shared" si="475"/>
        <v>0</v>
      </c>
      <c r="H630" s="1931">
        <f t="shared" si="475"/>
        <v>0</v>
      </c>
      <c r="I630" s="1931">
        <f t="shared" si="475"/>
        <v>0</v>
      </c>
      <c r="J630" s="1931">
        <f t="shared" si="475"/>
        <v>0</v>
      </c>
      <c r="K630" s="1931">
        <f t="shared" si="475"/>
        <v>0</v>
      </c>
      <c r="L630" s="1931">
        <f t="shared" si="475"/>
        <v>0</v>
      </c>
      <c r="M630" s="1931">
        <f t="shared" si="475"/>
        <v>0</v>
      </c>
      <c r="N630" s="1931">
        <f t="shared" si="475"/>
        <v>0</v>
      </c>
      <c r="O630" s="1931">
        <f t="shared" si="475"/>
        <v>0</v>
      </c>
      <c r="P630" s="1931">
        <f t="shared" si="475"/>
        <v>0</v>
      </c>
      <c r="Q630" s="1931">
        <f t="shared" si="475"/>
        <v>0</v>
      </c>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row>
    <row r="631" spans="1:61" s="590" customFormat="1" x14ac:dyDescent="0.3">
      <c r="A631" s="100"/>
      <c r="C631" s="100"/>
      <c r="D631" s="1915"/>
      <c r="E631" s="597"/>
      <c r="F631" s="1932"/>
      <c r="G631" s="1932"/>
      <c r="H631" s="1932"/>
      <c r="I631" s="1932"/>
      <c r="J631" s="1932"/>
      <c r="K631" s="1932"/>
      <c r="L631" s="1932"/>
      <c r="M631" s="1932"/>
      <c r="N631" s="1932"/>
      <c r="O631" s="1932"/>
      <c r="P631" s="1932"/>
      <c r="Q631" s="1932"/>
      <c r="S631" s="100"/>
      <c r="T631" s="100"/>
      <c r="U631" s="100"/>
      <c r="V631" s="100"/>
      <c r="W631" s="100"/>
      <c r="X631" s="100"/>
      <c r="Y631" s="100"/>
      <c r="Z631" s="100"/>
      <c r="AA631" s="100"/>
      <c r="AB631" s="100"/>
      <c r="AC631" s="100"/>
      <c r="AD631" s="100"/>
      <c r="AE631" s="100"/>
      <c r="AF631" s="100"/>
      <c r="AG631" s="100"/>
      <c r="AH631" s="100"/>
      <c r="AI631" s="100"/>
      <c r="AJ631" s="100"/>
      <c r="AK631" s="100"/>
      <c r="AL631" s="100"/>
      <c r="AM631" s="100"/>
      <c r="AN631" s="100"/>
      <c r="AO631" s="100"/>
      <c r="AP631" s="100"/>
      <c r="AQ631" s="100"/>
      <c r="AR631" s="100"/>
      <c r="AS631" s="100"/>
      <c r="AT631" s="100"/>
      <c r="AU631" s="100"/>
      <c r="AV631" s="100"/>
      <c r="AW631" s="100"/>
      <c r="AX631" s="100"/>
      <c r="AY631" s="100"/>
      <c r="AZ631" s="100"/>
      <c r="BA631" s="100"/>
      <c r="BB631" s="100"/>
      <c r="BC631" s="100"/>
      <c r="BD631" s="100"/>
      <c r="BE631" s="100"/>
      <c r="BF631" s="100"/>
      <c r="BG631" s="100"/>
      <c r="BH631" s="100"/>
      <c r="BI631" s="100"/>
    </row>
    <row r="632" spans="1:61" s="108" customFormat="1" x14ac:dyDescent="0.3">
      <c r="A632" s="6" t="s">
        <v>1665</v>
      </c>
      <c r="C632" s="6"/>
      <c r="D632" s="1928" t="s">
        <v>1657</v>
      </c>
      <c r="E632" s="1821"/>
      <c r="F632" s="49" t="e">
        <f t="shared" ref="F632:Q632" si="476">+F630*$J$621</f>
        <v>#DIV/0!</v>
      </c>
      <c r="G632" s="49" t="e">
        <f t="shared" si="476"/>
        <v>#DIV/0!</v>
      </c>
      <c r="H632" s="49" t="e">
        <f t="shared" si="476"/>
        <v>#DIV/0!</v>
      </c>
      <c r="I632" s="49" t="e">
        <f t="shared" si="476"/>
        <v>#DIV/0!</v>
      </c>
      <c r="J632" s="49" t="e">
        <f t="shared" si="476"/>
        <v>#DIV/0!</v>
      </c>
      <c r="K632" s="49" t="e">
        <f t="shared" si="476"/>
        <v>#DIV/0!</v>
      </c>
      <c r="L632" s="49" t="e">
        <f t="shared" si="476"/>
        <v>#DIV/0!</v>
      </c>
      <c r="M632" s="49" t="e">
        <f t="shared" si="476"/>
        <v>#DIV/0!</v>
      </c>
      <c r="N632" s="49" t="e">
        <f t="shared" si="476"/>
        <v>#DIV/0!</v>
      </c>
      <c r="O632" s="49" t="e">
        <f t="shared" si="476"/>
        <v>#DIV/0!</v>
      </c>
      <c r="P632" s="49" t="e">
        <f t="shared" si="476"/>
        <v>#DIV/0!</v>
      </c>
      <c r="Q632" s="49" t="e">
        <f t="shared" si="476"/>
        <v>#DIV/0!</v>
      </c>
      <c r="R632" s="107"/>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row>
    <row r="633" spans="1:61" s="108" customFormat="1" x14ac:dyDescent="0.3">
      <c r="A633" s="6"/>
      <c r="C633" s="6"/>
      <c r="D633" s="1928" t="s">
        <v>1658</v>
      </c>
      <c r="E633" s="1821"/>
      <c r="F633" s="49" t="e">
        <f t="shared" ref="F633:Q633" si="477">+F630*$J$622</f>
        <v>#DIV/0!</v>
      </c>
      <c r="G633" s="49" t="e">
        <f t="shared" si="477"/>
        <v>#DIV/0!</v>
      </c>
      <c r="H633" s="49" t="e">
        <f t="shared" si="477"/>
        <v>#DIV/0!</v>
      </c>
      <c r="I633" s="49" t="e">
        <f t="shared" si="477"/>
        <v>#DIV/0!</v>
      </c>
      <c r="J633" s="49" t="e">
        <f t="shared" si="477"/>
        <v>#DIV/0!</v>
      </c>
      <c r="K633" s="49" t="e">
        <f t="shared" si="477"/>
        <v>#DIV/0!</v>
      </c>
      <c r="L633" s="49" t="e">
        <f t="shared" si="477"/>
        <v>#DIV/0!</v>
      </c>
      <c r="M633" s="49" t="e">
        <f t="shared" si="477"/>
        <v>#DIV/0!</v>
      </c>
      <c r="N633" s="49" t="e">
        <f t="shared" si="477"/>
        <v>#DIV/0!</v>
      </c>
      <c r="O633" s="49" t="e">
        <f t="shared" si="477"/>
        <v>#DIV/0!</v>
      </c>
      <c r="P633" s="49" t="e">
        <f t="shared" si="477"/>
        <v>#DIV/0!</v>
      </c>
      <c r="Q633" s="49" t="e">
        <f t="shared" si="477"/>
        <v>#DIV/0!</v>
      </c>
      <c r="R633" s="107"/>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row>
    <row r="634" spans="1:61" s="108" customFormat="1" x14ac:dyDescent="0.3">
      <c r="A634" s="6"/>
      <c r="B634" s="6"/>
      <c r="C634" s="6"/>
      <c r="D634" s="1928" t="s">
        <v>1656</v>
      </c>
      <c r="E634" s="1821"/>
      <c r="F634" s="49" t="e">
        <f t="shared" ref="F634:Q634" si="478">+F630*$J$623</f>
        <v>#DIV/0!</v>
      </c>
      <c r="G634" s="49" t="e">
        <f t="shared" si="478"/>
        <v>#DIV/0!</v>
      </c>
      <c r="H634" s="49" t="e">
        <f t="shared" si="478"/>
        <v>#DIV/0!</v>
      </c>
      <c r="I634" s="49" t="e">
        <f t="shared" si="478"/>
        <v>#DIV/0!</v>
      </c>
      <c r="J634" s="49" t="e">
        <f t="shared" si="478"/>
        <v>#DIV/0!</v>
      </c>
      <c r="K634" s="49" t="e">
        <f t="shared" si="478"/>
        <v>#DIV/0!</v>
      </c>
      <c r="L634" s="49" t="e">
        <f t="shared" si="478"/>
        <v>#DIV/0!</v>
      </c>
      <c r="M634" s="49" t="e">
        <f t="shared" si="478"/>
        <v>#DIV/0!</v>
      </c>
      <c r="N634" s="49" t="e">
        <f t="shared" si="478"/>
        <v>#DIV/0!</v>
      </c>
      <c r="O634" s="49" t="e">
        <f t="shared" si="478"/>
        <v>#DIV/0!</v>
      </c>
      <c r="P634" s="49" t="e">
        <f t="shared" si="478"/>
        <v>#DIV/0!</v>
      </c>
      <c r="Q634" s="49" t="e">
        <f t="shared" si="478"/>
        <v>#DIV/0!</v>
      </c>
      <c r="R634" s="107"/>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row>
    <row r="635" spans="1:61" s="108" customFormat="1" ht="15.05" thickBot="1" x14ac:dyDescent="0.35">
      <c r="A635" s="6"/>
      <c r="B635" s="6"/>
      <c r="C635" s="6"/>
      <c r="D635" s="1915"/>
      <c r="E635" s="1915"/>
      <c r="F635" s="1916"/>
      <c r="G635" s="1916"/>
      <c r="H635" s="1916"/>
      <c r="I635" s="1916"/>
      <c r="J635" s="1916"/>
      <c r="K635" s="1916"/>
      <c r="L635" s="1916"/>
      <c r="M635" s="1916"/>
      <c r="N635" s="1916"/>
      <c r="O635" s="1916"/>
      <c r="P635" s="1916"/>
      <c r="Q635" s="1916"/>
      <c r="R635" s="107"/>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row>
    <row r="636" spans="1:61" ht="15.05" thickBot="1" x14ac:dyDescent="0.25">
      <c r="A636" s="2188">
        <v>1021</v>
      </c>
      <c r="B636" s="1435"/>
      <c r="C636" s="958"/>
      <c r="D636" s="103" t="s">
        <v>890</v>
      </c>
      <c r="E636" s="103"/>
      <c r="F636" s="103"/>
      <c r="G636" s="1899"/>
      <c r="H636" s="1899"/>
      <c r="I636" s="1899"/>
      <c r="J636" s="1899"/>
      <c r="K636" s="1899"/>
      <c r="L636" s="1899"/>
      <c r="M636" s="1899"/>
      <c r="N636" s="1899"/>
      <c r="O636" s="1899"/>
      <c r="P636" s="1899"/>
      <c r="Q636" s="1899"/>
      <c r="R636" s="1899"/>
      <c r="S636" s="1768"/>
      <c r="T636" s="106"/>
    </row>
    <row r="637" spans="1:61" ht="15.75" x14ac:dyDescent="0.2">
      <c r="A637" s="100"/>
      <c r="B637" s="100"/>
      <c r="C637" s="100"/>
      <c r="D637" s="1933" t="s">
        <v>2042</v>
      </c>
      <c r="E637" s="1439"/>
      <c r="F637" s="1439"/>
      <c r="G637" s="1934" t="str">
        <f t="shared" ref="G637:R637" si="479">G8</f>
        <v>Ene</v>
      </c>
      <c r="H637" s="1934" t="str">
        <f t="shared" si="479"/>
        <v>Feb</v>
      </c>
      <c r="I637" s="1934" t="str">
        <f t="shared" si="479"/>
        <v>Mar</v>
      </c>
      <c r="J637" s="1934" t="str">
        <f t="shared" si="479"/>
        <v>Abr</v>
      </c>
      <c r="K637" s="1934" t="str">
        <f t="shared" si="479"/>
        <v>May</v>
      </c>
      <c r="L637" s="1934" t="str">
        <f t="shared" si="479"/>
        <v>Jun</v>
      </c>
      <c r="M637" s="1934" t="str">
        <f t="shared" si="479"/>
        <v>Jul</v>
      </c>
      <c r="N637" s="1934" t="str">
        <f t="shared" si="479"/>
        <v>Ago</v>
      </c>
      <c r="O637" s="1934" t="str">
        <f t="shared" si="479"/>
        <v>Set</v>
      </c>
      <c r="P637" s="1934" t="str">
        <f t="shared" si="479"/>
        <v>Oct</v>
      </c>
      <c r="Q637" s="1934" t="str">
        <f t="shared" si="479"/>
        <v>Nov</v>
      </c>
      <c r="R637" s="1935" t="str">
        <f t="shared" si="479"/>
        <v>Dic</v>
      </c>
      <c r="S637" s="1936" t="s">
        <v>317</v>
      </c>
      <c r="T637" s="106"/>
    </row>
    <row r="638" spans="1:61" x14ac:dyDescent="0.3">
      <c r="A638" s="6"/>
      <c r="C638" s="1937"/>
      <c r="D638" s="1441" t="s">
        <v>177</v>
      </c>
      <c r="E638" s="958"/>
      <c r="F638" s="104"/>
      <c r="G638" s="54">
        <f>+F675+F682+F697+F707+F713+F720+F726+F735</f>
        <v>0</v>
      </c>
      <c r="H638" s="54">
        <f t="shared" ref="H638:R638" si="480">+G675+G682+G697+G707+G713+G720+G726+G735</f>
        <v>0</v>
      </c>
      <c r="I638" s="54">
        <f t="shared" si="480"/>
        <v>0</v>
      </c>
      <c r="J638" s="54">
        <f>+I675+I682+I697+I707+I713+I720+I726+I735</f>
        <v>0</v>
      </c>
      <c r="K638" s="54">
        <f t="shared" si="480"/>
        <v>0</v>
      </c>
      <c r="L638" s="54">
        <f t="shared" si="480"/>
        <v>0</v>
      </c>
      <c r="M638" s="54">
        <f t="shared" si="480"/>
        <v>0</v>
      </c>
      <c r="N638" s="54">
        <f t="shared" si="480"/>
        <v>0</v>
      </c>
      <c r="O638" s="54">
        <f t="shared" si="480"/>
        <v>0</v>
      </c>
      <c r="P638" s="54">
        <f t="shared" si="480"/>
        <v>0</v>
      </c>
      <c r="Q638" s="54">
        <f t="shared" si="480"/>
        <v>0</v>
      </c>
      <c r="R638" s="54">
        <f t="shared" si="480"/>
        <v>0</v>
      </c>
      <c r="S638" s="1938">
        <f>AVERAGE(G638:R638)</f>
        <v>0</v>
      </c>
      <c r="T638" s="106"/>
    </row>
    <row r="639" spans="1:61" x14ac:dyDescent="0.2">
      <c r="A639" s="6"/>
      <c r="B639" s="110"/>
      <c r="D639" s="109" t="s">
        <v>1191</v>
      </c>
      <c r="E639" s="100"/>
      <c r="F639" s="100"/>
      <c r="G639" s="49">
        <f>+F746+F753+F768+F778+F784+F791+F797+F806</f>
        <v>0</v>
      </c>
      <c r="H639" s="49">
        <f t="shared" ref="H639:R639" si="481">+G746+G753+G768+G778+G784+G791+G797+G806</f>
        <v>0</v>
      </c>
      <c r="I639" s="49">
        <f t="shared" si="481"/>
        <v>0</v>
      </c>
      <c r="J639" s="49">
        <f>+I746+I753+I768+I778+I784+I791+I797+I806</f>
        <v>0</v>
      </c>
      <c r="K639" s="49">
        <f t="shared" si="481"/>
        <v>0</v>
      </c>
      <c r="L639" s="49">
        <f t="shared" si="481"/>
        <v>0</v>
      </c>
      <c r="M639" s="49">
        <f t="shared" si="481"/>
        <v>0</v>
      </c>
      <c r="N639" s="49">
        <f t="shared" si="481"/>
        <v>0</v>
      </c>
      <c r="O639" s="49">
        <f t="shared" si="481"/>
        <v>0</v>
      </c>
      <c r="P639" s="49">
        <f t="shared" si="481"/>
        <v>0</v>
      </c>
      <c r="Q639" s="49">
        <f t="shared" si="481"/>
        <v>0</v>
      </c>
      <c r="R639" s="49">
        <f t="shared" si="481"/>
        <v>0</v>
      </c>
      <c r="S639" s="1939">
        <f>AVERAGE(G639:R639)</f>
        <v>0</v>
      </c>
      <c r="T639" s="106"/>
    </row>
    <row r="640" spans="1:61" ht="15.05" thickBot="1" x14ac:dyDescent="0.25">
      <c r="A640" s="6"/>
      <c r="B640" s="110"/>
      <c r="D640" s="1940" t="s">
        <v>718</v>
      </c>
      <c r="E640" s="1941"/>
      <c r="F640" s="1942"/>
      <c r="G640" s="1943">
        <f>+F817+F824+F839+F855+F849+F862+F868+F877</f>
        <v>0</v>
      </c>
      <c r="H640" s="1943">
        <f t="shared" ref="H640:R640" si="482">+G817+G824+G839+G855+G849+G862+G868+G877</f>
        <v>0</v>
      </c>
      <c r="I640" s="1943">
        <f t="shared" si="482"/>
        <v>0</v>
      </c>
      <c r="J640" s="1943">
        <f>+I817+I824+I839+I855+I849+I862+I868+I877</f>
        <v>0</v>
      </c>
      <c r="K640" s="1943">
        <f t="shared" si="482"/>
        <v>0</v>
      </c>
      <c r="L640" s="1943">
        <f t="shared" si="482"/>
        <v>0</v>
      </c>
      <c r="M640" s="1943">
        <f t="shared" si="482"/>
        <v>0</v>
      </c>
      <c r="N640" s="1943">
        <f t="shared" si="482"/>
        <v>0</v>
      </c>
      <c r="O640" s="1943">
        <f t="shared" si="482"/>
        <v>0</v>
      </c>
      <c r="P640" s="1943">
        <f t="shared" si="482"/>
        <v>0</v>
      </c>
      <c r="Q640" s="1943">
        <f t="shared" si="482"/>
        <v>0</v>
      </c>
      <c r="R640" s="1943">
        <f t="shared" si="482"/>
        <v>0</v>
      </c>
      <c r="S640" s="1944">
        <f>AVERAGE(G640:R640)</f>
        <v>0</v>
      </c>
      <c r="T640" s="106"/>
    </row>
    <row r="641" spans="1:61" ht="15.75" x14ac:dyDescent="0.2">
      <c r="A641" s="6"/>
      <c r="B641" s="110"/>
      <c r="D641" s="100" t="s">
        <v>2043</v>
      </c>
      <c r="E641" s="100"/>
      <c r="F641" s="100"/>
      <c r="G641" s="71"/>
      <c r="H641" s="71"/>
      <c r="I641" s="71"/>
      <c r="J641" s="71"/>
      <c r="K641" s="71"/>
      <c r="L641" s="71"/>
      <c r="M641" s="71"/>
      <c r="N641" s="71"/>
      <c r="O641" s="71"/>
      <c r="P641" s="71"/>
      <c r="Q641" s="71"/>
      <c r="R641" s="71"/>
      <c r="S641" s="71"/>
      <c r="T641" s="106"/>
    </row>
    <row r="642" spans="1:61" s="108" customFormat="1" x14ac:dyDescent="0.3">
      <c r="A642" s="6" t="s">
        <v>1666</v>
      </c>
      <c r="B642" s="6"/>
      <c r="C642" s="6"/>
      <c r="D642" s="1928" t="s">
        <v>1630</v>
      </c>
      <c r="E642" s="1821"/>
      <c r="F642" s="49">
        <f>+G638</f>
        <v>0</v>
      </c>
      <c r="G642" s="49">
        <f t="shared" ref="G642:Q642" si="483">+H638</f>
        <v>0</v>
      </c>
      <c r="H642" s="49">
        <f t="shared" si="483"/>
        <v>0</v>
      </c>
      <c r="I642" s="49">
        <f>+J638</f>
        <v>0</v>
      </c>
      <c r="J642" s="49">
        <f t="shared" si="483"/>
        <v>0</v>
      </c>
      <c r="K642" s="49">
        <f t="shared" si="483"/>
        <v>0</v>
      </c>
      <c r="L642" s="49">
        <f t="shared" si="483"/>
        <v>0</v>
      </c>
      <c r="M642" s="49">
        <f t="shared" si="483"/>
        <v>0</v>
      </c>
      <c r="N642" s="49">
        <f t="shared" si="483"/>
        <v>0</v>
      </c>
      <c r="O642" s="49">
        <f t="shared" si="483"/>
        <v>0</v>
      </c>
      <c r="P642" s="49">
        <f t="shared" si="483"/>
        <v>0</v>
      </c>
      <c r="Q642" s="49">
        <f t="shared" si="483"/>
        <v>0</v>
      </c>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row>
    <row r="643" spans="1:61" s="108" customFormat="1" x14ac:dyDescent="0.3">
      <c r="A643" s="6" t="s">
        <v>1667</v>
      </c>
      <c r="B643" s="6"/>
      <c r="C643" s="6"/>
      <c r="D643" s="1928" t="s">
        <v>1636</v>
      </c>
      <c r="E643" s="1821"/>
      <c r="F643" s="49">
        <f>+G639</f>
        <v>0</v>
      </c>
      <c r="G643" s="49">
        <f t="shared" ref="G643:Q643" si="484">+H639</f>
        <v>0</v>
      </c>
      <c r="H643" s="49">
        <f t="shared" si="484"/>
        <v>0</v>
      </c>
      <c r="I643" s="49">
        <f>+J639</f>
        <v>0</v>
      </c>
      <c r="J643" s="49">
        <f t="shared" si="484"/>
        <v>0</v>
      </c>
      <c r="K643" s="49">
        <f t="shared" si="484"/>
        <v>0</v>
      </c>
      <c r="L643" s="49">
        <f t="shared" si="484"/>
        <v>0</v>
      </c>
      <c r="M643" s="49">
        <f t="shared" si="484"/>
        <v>0</v>
      </c>
      <c r="N643" s="49">
        <f t="shared" si="484"/>
        <v>0</v>
      </c>
      <c r="O643" s="49">
        <f t="shared" si="484"/>
        <v>0</v>
      </c>
      <c r="P643" s="49">
        <f t="shared" si="484"/>
        <v>0</v>
      </c>
      <c r="Q643" s="49">
        <f t="shared" si="484"/>
        <v>0</v>
      </c>
      <c r="R643" s="107"/>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row>
    <row r="644" spans="1:61" s="108" customFormat="1" x14ac:dyDescent="0.3">
      <c r="A644" s="6"/>
      <c r="C644" s="6"/>
      <c r="D644" s="1928" t="s">
        <v>1662</v>
      </c>
      <c r="E644" s="1821"/>
      <c r="F644" s="49">
        <f>+G640</f>
        <v>0</v>
      </c>
      <c r="G644" s="49">
        <f t="shared" ref="G644:Q644" si="485">+H640</f>
        <v>0</v>
      </c>
      <c r="H644" s="49">
        <f t="shared" si="485"/>
        <v>0</v>
      </c>
      <c r="I644" s="49">
        <f>+J640</f>
        <v>0</v>
      </c>
      <c r="J644" s="49">
        <f t="shared" si="485"/>
        <v>0</v>
      </c>
      <c r="K644" s="49">
        <f t="shared" si="485"/>
        <v>0</v>
      </c>
      <c r="L644" s="49">
        <f t="shared" si="485"/>
        <v>0</v>
      </c>
      <c r="M644" s="49">
        <f t="shared" si="485"/>
        <v>0</v>
      </c>
      <c r="N644" s="49">
        <f t="shared" si="485"/>
        <v>0</v>
      </c>
      <c r="O644" s="49">
        <f t="shared" si="485"/>
        <v>0</v>
      </c>
      <c r="P644" s="49">
        <f t="shared" si="485"/>
        <v>0</v>
      </c>
      <c r="Q644" s="49">
        <f t="shared" si="485"/>
        <v>0</v>
      </c>
      <c r="R644" s="107"/>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row>
    <row r="645" spans="1:61" s="108" customFormat="1" x14ac:dyDescent="0.3">
      <c r="A645" s="6"/>
      <c r="B645" s="6"/>
      <c r="C645" s="6"/>
      <c r="D645" s="1915"/>
      <c r="E645" s="1915"/>
      <c r="F645" s="1916"/>
      <c r="G645" s="1916"/>
      <c r="H645" s="1916"/>
      <c r="I645" s="1916"/>
      <c r="J645" s="1916"/>
      <c r="K645" s="1916"/>
      <c r="L645" s="1916"/>
      <c r="M645" s="1916"/>
      <c r="N645" s="1916"/>
      <c r="O645" s="1916"/>
      <c r="P645" s="1916"/>
      <c r="Q645" s="1916"/>
      <c r="R645" s="107"/>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row>
    <row r="646" spans="1:61" s="108" customFormat="1" x14ac:dyDescent="0.3">
      <c r="A646" s="6" t="s">
        <v>1668</v>
      </c>
      <c r="B646" s="6"/>
      <c r="C646" s="6"/>
      <c r="D646" s="1929" t="s">
        <v>1670</v>
      </c>
      <c r="E646" s="1945"/>
      <c r="F646" s="1910">
        <f>+F642-F627</f>
        <v>0</v>
      </c>
      <c r="G646" s="1909">
        <f t="shared" ref="G646:Q646" si="486">+G642-G627</f>
        <v>0</v>
      </c>
      <c r="H646" s="1909">
        <f t="shared" si="486"/>
        <v>0</v>
      </c>
      <c r="I646" s="1909">
        <f t="shared" si="486"/>
        <v>0</v>
      </c>
      <c r="J646" s="1909">
        <f t="shared" si="486"/>
        <v>0</v>
      </c>
      <c r="K646" s="1909">
        <f t="shared" si="486"/>
        <v>0</v>
      </c>
      <c r="L646" s="1909">
        <f t="shared" si="486"/>
        <v>0</v>
      </c>
      <c r="M646" s="1909">
        <f t="shared" si="486"/>
        <v>0</v>
      </c>
      <c r="N646" s="1909">
        <f t="shared" si="486"/>
        <v>0</v>
      </c>
      <c r="O646" s="1909">
        <f t="shared" si="486"/>
        <v>0</v>
      </c>
      <c r="P646" s="1909">
        <f t="shared" si="486"/>
        <v>0</v>
      </c>
      <c r="Q646" s="1909">
        <f t="shared" si="486"/>
        <v>0</v>
      </c>
      <c r="R646" s="107"/>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row>
    <row r="647" spans="1:61" s="108" customFormat="1" x14ac:dyDescent="0.3">
      <c r="A647" s="6" t="s">
        <v>1669</v>
      </c>
      <c r="B647" s="6"/>
      <c r="C647" s="6"/>
      <c r="D647" s="1929" t="s">
        <v>1671</v>
      </c>
      <c r="E647" s="1945"/>
      <c r="F647" s="1910">
        <f t="shared" ref="F647:Q647" si="487">+F643-F628</f>
        <v>0</v>
      </c>
      <c r="G647" s="1910">
        <f t="shared" si="487"/>
        <v>0</v>
      </c>
      <c r="H647" s="1910">
        <f t="shared" si="487"/>
        <v>0</v>
      </c>
      <c r="I647" s="1910">
        <f t="shared" si="487"/>
        <v>0</v>
      </c>
      <c r="J647" s="1910">
        <f t="shared" si="487"/>
        <v>0</v>
      </c>
      <c r="K647" s="1910">
        <f t="shared" si="487"/>
        <v>0</v>
      </c>
      <c r="L647" s="1910">
        <f t="shared" si="487"/>
        <v>0</v>
      </c>
      <c r="M647" s="1910">
        <f t="shared" si="487"/>
        <v>0</v>
      </c>
      <c r="N647" s="1910">
        <f t="shared" si="487"/>
        <v>0</v>
      </c>
      <c r="O647" s="1910">
        <f t="shared" si="487"/>
        <v>0</v>
      </c>
      <c r="P647" s="1910">
        <f t="shared" si="487"/>
        <v>0</v>
      </c>
      <c r="Q647" s="1910">
        <f t="shared" si="487"/>
        <v>0</v>
      </c>
      <c r="R647" s="107"/>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row>
    <row r="648" spans="1:61" s="108" customFormat="1" x14ac:dyDescent="0.3">
      <c r="A648" s="6"/>
      <c r="C648" s="6"/>
      <c r="D648" s="1928" t="s">
        <v>1672</v>
      </c>
      <c r="E648" s="1821"/>
      <c r="F648" s="49">
        <f t="shared" ref="F648:Q648" si="488">+F644-F629</f>
        <v>0</v>
      </c>
      <c r="G648" s="49">
        <f t="shared" si="488"/>
        <v>0</v>
      </c>
      <c r="H648" s="49">
        <f t="shared" si="488"/>
        <v>0</v>
      </c>
      <c r="I648" s="49">
        <f t="shared" si="488"/>
        <v>0</v>
      </c>
      <c r="J648" s="49">
        <f t="shared" si="488"/>
        <v>0</v>
      </c>
      <c r="K648" s="49">
        <f t="shared" si="488"/>
        <v>0</v>
      </c>
      <c r="L648" s="49">
        <f t="shared" si="488"/>
        <v>0</v>
      </c>
      <c r="M648" s="49">
        <f t="shared" si="488"/>
        <v>0</v>
      </c>
      <c r="N648" s="49">
        <f t="shared" si="488"/>
        <v>0</v>
      </c>
      <c r="O648" s="49">
        <f t="shared" si="488"/>
        <v>0</v>
      </c>
      <c r="P648" s="49">
        <f t="shared" si="488"/>
        <v>0</v>
      </c>
      <c r="Q648" s="49">
        <f t="shared" si="488"/>
        <v>0</v>
      </c>
      <c r="R648" s="107"/>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row>
    <row r="649" spans="1:61" s="108" customFormat="1" x14ac:dyDescent="0.3">
      <c r="A649" s="6"/>
      <c r="B649" s="6"/>
      <c r="C649" s="6"/>
      <c r="D649" s="1915"/>
      <c r="E649" s="1915"/>
      <c r="F649" s="1916"/>
      <c r="G649" s="1916"/>
      <c r="H649" s="1916"/>
      <c r="I649" s="1916"/>
      <c r="J649" s="1916"/>
      <c r="K649" s="1916"/>
      <c r="L649" s="1916"/>
      <c r="M649" s="1916"/>
      <c r="N649" s="1916"/>
      <c r="O649" s="1916"/>
      <c r="P649" s="1916"/>
      <c r="Q649" s="1916"/>
      <c r="R649" s="107"/>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row>
    <row r="650" spans="1:61" s="108" customFormat="1" x14ac:dyDescent="0.3">
      <c r="A650" s="6"/>
      <c r="B650" s="6" t="s">
        <v>1634</v>
      </c>
      <c r="D650" s="1915"/>
      <c r="E650" s="1915"/>
      <c r="F650" s="1916"/>
      <c r="G650" s="1916"/>
      <c r="H650" s="1916"/>
      <c r="I650" s="1916"/>
      <c r="J650" s="1916"/>
      <c r="K650" s="1916"/>
      <c r="L650" s="1916"/>
      <c r="M650" s="1916"/>
      <c r="N650" s="1926"/>
      <c r="O650" s="1916"/>
      <c r="P650" s="1916"/>
      <c r="Q650" s="1916"/>
      <c r="R650" s="107"/>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row>
    <row r="651" spans="1:61" s="108" customFormat="1" x14ac:dyDescent="0.3">
      <c r="A651" s="6"/>
      <c r="B651" s="6"/>
      <c r="C651" s="6"/>
      <c r="D651" s="1915"/>
      <c r="E651" s="1915"/>
      <c r="F651" s="1916"/>
      <c r="G651" s="1916"/>
      <c r="H651" s="1916"/>
      <c r="I651" s="1916"/>
      <c r="J651" s="1916"/>
      <c r="K651" s="1916"/>
      <c r="L651" s="1916"/>
      <c r="M651" s="1916"/>
      <c r="N651" s="1926"/>
      <c r="O651" s="1916"/>
      <c r="P651" s="1916"/>
      <c r="Q651" s="1916"/>
      <c r="R651" s="107" t="s">
        <v>1596</v>
      </c>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row>
    <row r="652" spans="1:61" s="108" customFormat="1" x14ac:dyDescent="0.2">
      <c r="A652" s="957"/>
      <c r="B652" s="1946" t="str">
        <f>+A.Lecheros!B572</f>
        <v>Requerimientos totales de Energía Recría + Vacas Secas - Preparto</v>
      </c>
      <c r="C652" s="1947"/>
      <c r="D652" s="1947"/>
      <c r="E652" s="1948"/>
      <c r="F652" s="1949">
        <f>+A.Lecheros!F572</f>
        <v>0</v>
      </c>
      <c r="G652" s="1949">
        <f>+A.Lecheros!G572</f>
        <v>0</v>
      </c>
      <c r="H652" s="1949">
        <f>+A.Lecheros!H572</f>
        <v>0</v>
      </c>
      <c r="I652" s="1949">
        <f>+A.Lecheros!I572</f>
        <v>0</v>
      </c>
      <c r="J652" s="1949">
        <f>+A.Lecheros!J572</f>
        <v>0</v>
      </c>
      <c r="K652" s="1949">
        <f>+A.Lecheros!K572</f>
        <v>0</v>
      </c>
      <c r="L652" s="1949">
        <f>+A.Lecheros!L572</f>
        <v>0</v>
      </c>
      <c r="M652" s="1949">
        <f>+A.Lecheros!M572</f>
        <v>0</v>
      </c>
      <c r="N652" s="1949">
        <f>+A.Lecheros!N572</f>
        <v>0</v>
      </c>
      <c r="O652" s="1949">
        <f>+A.Lecheros!O572</f>
        <v>0</v>
      </c>
      <c r="P652" s="1949">
        <f>+A.Lecheros!P572</f>
        <v>0</v>
      </c>
      <c r="Q652" s="1949">
        <f>+A.Lecheros!Q572</f>
        <v>0</v>
      </c>
      <c r="R652" s="1950">
        <f>+SUM(F652:Q652)</f>
        <v>0</v>
      </c>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row>
    <row r="653" spans="1:61" s="108" customFormat="1" x14ac:dyDescent="0.2">
      <c r="A653" s="957"/>
      <c r="B653" s="1946" t="s">
        <v>1633</v>
      </c>
      <c r="C653" s="1947"/>
      <c r="D653" s="1947"/>
      <c r="E653" s="1948"/>
      <c r="F653" s="1949">
        <f>+A.Lecheros!F562-A.Lecheros!F563</f>
        <v>0</v>
      </c>
      <c r="G653" s="1949">
        <f>+A.Lecheros!G562-A.Lecheros!G563</f>
        <v>0</v>
      </c>
      <c r="H653" s="1949">
        <f>+A.Lecheros!H562-A.Lecheros!H563</f>
        <v>0</v>
      </c>
      <c r="I653" s="1949">
        <f>+A.Lecheros!I562-A.Lecheros!I563</f>
        <v>0</v>
      </c>
      <c r="J653" s="1949">
        <f>+A.Lecheros!J562-A.Lecheros!J563</f>
        <v>0</v>
      </c>
      <c r="K653" s="1949">
        <f>+A.Lecheros!K562-A.Lecheros!K563</f>
        <v>0</v>
      </c>
      <c r="L653" s="1949">
        <f>+A.Lecheros!L562-A.Lecheros!L563</f>
        <v>0</v>
      </c>
      <c r="M653" s="1949">
        <f>+A.Lecheros!M562-A.Lecheros!M563</f>
        <v>0</v>
      </c>
      <c r="N653" s="1949">
        <f>+A.Lecheros!N562-A.Lecheros!N563</f>
        <v>0</v>
      </c>
      <c r="O653" s="1949">
        <f>+A.Lecheros!O562-A.Lecheros!O563</f>
        <v>0</v>
      </c>
      <c r="P653" s="1949">
        <f>+A.Lecheros!P562-A.Lecheros!P563</f>
        <v>0</v>
      </c>
      <c r="Q653" s="1949">
        <f>+A.Lecheros!Q562-A.Lecheros!Q563</f>
        <v>0</v>
      </c>
      <c r="R653" s="1950">
        <f>+SUM(F653:Q653)</f>
        <v>0</v>
      </c>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row>
    <row r="654" spans="1:61" s="108" customFormat="1" x14ac:dyDescent="0.3">
      <c r="A654" s="6"/>
      <c r="B654" s="1951" t="s">
        <v>1635</v>
      </c>
      <c r="C654" s="959"/>
      <c r="D654" s="1952"/>
      <c r="E654" s="1945"/>
      <c r="F654" s="1953" t="e">
        <f>+F653/F652</f>
        <v>#DIV/0!</v>
      </c>
      <c r="G654" s="1953" t="e">
        <f t="shared" ref="G654:Q654" si="489">+G653/G652</f>
        <v>#DIV/0!</v>
      </c>
      <c r="H654" s="1953" t="e">
        <f t="shared" si="489"/>
        <v>#DIV/0!</v>
      </c>
      <c r="I654" s="1953" t="e">
        <f t="shared" si="489"/>
        <v>#DIV/0!</v>
      </c>
      <c r="J654" s="1953" t="e">
        <f t="shared" si="489"/>
        <v>#DIV/0!</v>
      </c>
      <c r="K654" s="1953" t="e">
        <f t="shared" si="489"/>
        <v>#DIV/0!</v>
      </c>
      <c r="L654" s="1953" t="e">
        <f t="shared" si="489"/>
        <v>#DIV/0!</v>
      </c>
      <c r="M654" s="1953" t="e">
        <f t="shared" si="489"/>
        <v>#DIV/0!</v>
      </c>
      <c r="N654" s="1953" t="e">
        <f t="shared" si="489"/>
        <v>#DIV/0!</v>
      </c>
      <c r="O654" s="1953" t="e">
        <f t="shared" si="489"/>
        <v>#DIV/0!</v>
      </c>
      <c r="P654" s="1953" t="e">
        <f t="shared" si="489"/>
        <v>#DIV/0!</v>
      </c>
      <c r="Q654" s="1953" t="e">
        <f t="shared" si="489"/>
        <v>#DIV/0!</v>
      </c>
      <c r="R654" s="1954" t="e">
        <f>+R653/R652</f>
        <v>#DIV/0!</v>
      </c>
      <c r="S654" s="876"/>
      <c r="T654" s="876"/>
      <c r="U654" s="100"/>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row>
    <row r="655" spans="1:61" s="108" customFormat="1" x14ac:dyDescent="0.3">
      <c r="A655" s="6"/>
      <c r="B655" s="6"/>
      <c r="C655" s="6"/>
      <c r="D655" s="1915"/>
      <c r="E655" s="1915"/>
      <c r="F655" s="1916"/>
      <c r="G655" s="1916"/>
      <c r="H655" s="1916"/>
      <c r="I655" s="1916"/>
      <c r="J655" s="1916"/>
      <c r="K655" s="1916"/>
      <c r="L655" s="1916"/>
      <c r="M655" s="1916"/>
      <c r="N655" s="1916"/>
      <c r="O655" s="1916"/>
      <c r="P655" s="1916"/>
      <c r="Q655" s="1916"/>
      <c r="R655" s="107"/>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row>
    <row r="656" spans="1:61" s="108" customFormat="1" x14ac:dyDescent="0.3">
      <c r="A656" s="6"/>
      <c r="B656" s="6"/>
      <c r="C656" s="6"/>
      <c r="D656" s="1929" t="s">
        <v>1638</v>
      </c>
      <c r="E656" s="1945"/>
      <c r="F656" s="1910" t="e">
        <f t="shared" ref="F656:Q656" si="490">+F647*F654</f>
        <v>#DIV/0!</v>
      </c>
      <c r="G656" s="1910" t="e">
        <f t="shared" si="490"/>
        <v>#DIV/0!</v>
      </c>
      <c r="H656" s="1910" t="e">
        <f t="shared" si="490"/>
        <v>#DIV/0!</v>
      </c>
      <c r="I656" s="1910" t="e">
        <f t="shared" si="490"/>
        <v>#DIV/0!</v>
      </c>
      <c r="J656" s="1910" t="e">
        <f t="shared" si="490"/>
        <v>#DIV/0!</v>
      </c>
      <c r="K656" s="1910" t="e">
        <f t="shared" si="490"/>
        <v>#DIV/0!</v>
      </c>
      <c r="L656" s="1910" t="e">
        <f t="shared" si="490"/>
        <v>#DIV/0!</v>
      </c>
      <c r="M656" s="1910" t="e">
        <f t="shared" si="490"/>
        <v>#DIV/0!</v>
      </c>
      <c r="N656" s="1910" t="e">
        <f t="shared" si="490"/>
        <v>#DIV/0!</v>
      </c>
      <c r="O656" s="1910" t="e">
        <f t="shared" si="490"/>
        <v>#DIV/0!</v>
      </c>
      <c r="P656" s="1910" t="e">
        <f t="shared" si="490"/>
        <v>#DIV/0!</v>
      </c>
      <c r="Q656" s="1910" t="e">
        <f t="shared" si="490"/>
        <v>#DIV/0!</v>
      </c>
      <c r="R656" s="107"/>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row>
    <row r="657" spans="1:136" s="108" customFormat="1" x14ac:dyDescent="0.3">
      <c r="A657" s="6"/>
      <c r="B657" s="6"/>
      <c r="C657" s="6"/>
      <c r="D657" s="1929" t="s">
        <v>1661</v>
      </c>
      <c r="E657" s="1945"/>
      <c r="F657" s="49" t="e">
        <f t="shared" ref="F657:Q657" si="491">+F647-F656</f>
        <v>#DIV/0!</v>
      </c>
      <c r="G657" s="49" t="e">
        <f t="shared" si="491"/>
        <v>#DIV/0!</v>
      </c>
      <c r="H657" s="49" t="e">
        <f t="shared" si="491"/>
        <v>#DIV/0!</v>
      </c>
      <c r="I657" s="49" t="e">
        <f t="shared" si="491"/>
        <v>#DIV/0!</v>
      </c>
      <c r="J657" s="49" t="e">
        <f t="shared" si="491"/>
        <v>#DIV/0!</v>
      </c>
      <c r="K657" s="49" t="e">
        <f t="shared" si="491"/>
        <v>#DIV/0!</v>
      </c>
      <c r="L657" s="49" t="e">
        <f t="shared" si="491"/>
        <v>#DIV/0!</v>
      </c>
      <c r="M657" s="49" t="e">
        <f t="shared" si="491"/>
        <v>#DIV/0!</v>
      </c>
      <c r="N657" s="49" t="e">
        <f t="shared" si="491"/>
        <v>#DIV/0!</v>
      </c>
      <c r="O657" s="49" t="e">
        <f t="shared" si="491"/>
        <v>#DIV/0!</v>
      </c>
      <c r="P657" s="49" t="e">
        <f t="shared" si="491"/>
        <v>#DIV/0!</v>
      </c>
      <c r="Q657" s="49" t="e">
        <f t="shared" si="491"/>
        <v>#DIV/0!</v>
      </c>
      <c r="R657" s="107"/>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row>
    <row r="658" spans="1:136" s="108" customFormat="1" x14ac:dyDescent="0.3">
      <c r="A658" s="6"/>
      <c r="B658" s="6"/>
      <c r="C658" s="6"/>
      <c r="D658" s="1915"/>
      <c r="E658" s="1915"/>
      <c r="F658" s="71"/>
      <c r="G658" s="71"/>
      <c r="H658" s="71"/>
      <c r="I658" s="71"/>
      <c r="J658" s="71"/>
      <c r="K658" s="71"/>
      <c r="L658" s="71"/>
      <c r="M658" s="71"/>
      <c r="N658" s="71"/>
      <c r="O658" s="71"/>
      <c r="P658" s="71"/>
      <c r="Q658" s="71"/>
      <c r="R658" s="107"/>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row>
    <row r="659" spans="1:136" s="108" customFormat="1" ht="15.05" thickBot="1" x14ac:dyDescent="0.35">
      <c r="A659" s="2188">
        <v>1022</v>
      </c>
      <c r="B659" s="2134" t="s">
        <v>754</v>
      </c>
      <c r="C659" s="1845" t="s">
        <v>2034</v>
      </c>
      <c r="D659" s="2135"/>
      <c r="E659" s="2134"/>
      <c r="F659" s="2136"/>
      <c r="G659" s="2136"/>
      <c r="H659" s="2136"/>
      <c r="I659" s="2136"/>
      <c r="J659" s="2136"/>
      <c r="K659" s="2136"/>
      <c r="L659" s="2136"/>
      <c r="M659" s="2136"/>
      <c r="N659" s="2136"/>
      <c r="O659" s="2136"/>
      <c r="P659" s="2136"/>
      <c r="Q659" s="2136"/>
      <c r="R659" s="107"/>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6"/>
      <c r="BD659" s="6"/>
      <c r="BE659" s="6"/>
      <c r="BF659" s="6"/>
      <c r="BG659" s="6"/>
      <c r="BH659" s="6"/>
      <c r="BI659" s="6"/>
    </row>
    <row r="660" spans="1:136" s="108" customFormat="1" ht="15.05" thickTop="1" x14ac:dyDescent="0.3">
      <c r="A660" s="6"/>
      <c r="B660" s="2116" t="s">
        <v>2051</v>
      </c>
      <c r="C660" s="2117"/>
      <c r="D660" s="2118" t="s">
        <v>1629</v>
      </c>
      <c r="E660" s="2119"/>
      <c r="F660" s="2120">
        <f>+F646</f>
        <v>0</v>
      </c>
      <c r="G660" s="2120">
        <f t="shared" ref="G660:Q660" si="492">+G646</f>
        <v>0</v>
      </c>
      <c r="H660" s="2120">
        <f t="shared" si="492"/>
        <v>0</v>
      </c>
      <c r="I660" s="2120">
        <f t="shared" si="492"/>
        <v>0</v>
      </c>
      <c r="J660" s="2120">
        <f t="shared" si="492"/>
        <v>0</v>
      </c>
      <c r="K660" s="2120">
        <f t="shared" si="492"/>
        <v>0</v>
      </c>
      <c r="L660" s="2120">
        <f t="shared" si="492"/>
        <v>0</v>
      </c>
      <c r="M660" s="2120">
        <f t="shared" si="492"/>
        <v>0</v>
      </c>
      <c r="N660" s="2120">
        <f t="shared" si="492"/>
        <v>0</v>
      </c>
      <c r="O660" s="2120">
        <f t="shared" si="492"/>
        <v>0</v>
      </c>
      <c r="P660" s="2120">
        <f t="shared" si="492"/>
        <v>0</v>
      </c>
      <c r="Q660" s="2121">
        <f t="shared" si="492"/>
        <v>0</v>
      </c>
      <c r="R660" s="107"/>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row>
    <row r="661" spans="1:136" s="108" customFormat="1" x14ac:dyDescent="0.3">
      <c r="A661" s="6"/>
      <c r="B661" s="2122" t="s">
        <v>2052</v>
      </c>
      <c r="C661" s="958"/>
      <c r="D661" s="2123" t="s">
        <v>1632</v>
      </c>
      <c r="E661" s="1952"/>
      <c r="F661" s="2124" t="e">
        <f t="shared" ref="F661:Q661" si="493">+F646+F656+F632</f>
        <v>#DIV/0!</v>
      </c>
      <c r="G661" s="2124" t="e">
        <f t="shared" si="493"/>
        <v>#DIV/0!</v>
      </c>
      <c r="H661" s="2124" t="e">
        <f t="shared" si="493"/>
        <v>#DIV/0!</v>
      </c>
      <c r="I661" s="2124" t="e">
        <f t="shared" si="493"/>
        <v>#DIV/0!</v>
      </c>
      <c r="J661" s="2124" t="e">
        <f t="shared" si="493"/>
        <v>#DIV/0!</v>
      </c>
      <c r="K661" s="2124" t="e">
        <f t="shared" si="493"/>
        <v>#DIV/0!</v>
      </c>
      <c r="L661" s="2124" t="e">
        <f t="shared" si="493"/>
        <v>#DIV/0!</v>
      </c>
      <c r="M661" s="2124" t="e">
        <f t="shared" si="493"/>
        <v>#DIV/0!</v>
      </c>
      <c r="N661" s="2124" t="e">
        <f t="shared" si="493"/>
        <v>#DIV/0!</v>
      </c>
      <c r="O661" s="2124" t="e">
        <f t="shared" si="493"/>
        <v>#DIV/0!</v>
      </c>
      <c r="P661" s="2124" t="e">
        <f t="shared" si="493"/>
        <v>#DIV/0!</v>
      </c>
      <c r="Q661" s="2125" t="e">
        <f t="shared" si="493"/>
        <v>#DIV/0!</v>
      </c>
      <c r="R661" s="107"/>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row>
    <row r="662" spans="1:136" s="108" customFormat="1" x14ac:dyDescent="0.3">
      <c r="A662" s="6"/>
      <c r="B662" s="2122" t="s">
        <v>147</v>
      </c>
      <c r="C662" s="958"/>
      <c r="D662" s="2123" t="s">
        <v>1660</v>
      </c>
      <c r="E662" s="1952"/>
      <c r="F662" s="2126" t="e">
        <f t="shared" ref="F662:Q662" si="494">+F657+F633</f>
        <v>#DIV/0!</v>
      </c>
      <c r="G662" s="2126" t="e">
        <f t="shared" si="494"/>
        <v>#DIV/0!</v>
      </c>
      <c r="H662" s="2126" t="e">
        <f t="shared" si="494"/>
        <v>#DIV/0!</v>
      </c>
      <c r="I662" s="2126" t="e">
        <f t="shared" si="494"/>
        <v>#DIV/0!</v>
      </c>
      <c r="J662" s="2126" t="e">
        <f t="shared" si="494"/>
        <v>#DIV/0!</v>
      </c>
      <c r="K662" s="2126" t="e">
        <f t="shared" si="494"/>
        <v>#DIV/0!</v>
      </c>
      <c r="L662" s="2126" t="e">
        <f t="shared" si="494"/>
        <v>#DIV/0!</v>
      </c>
      <c r="M662" s="2126" t="e">
        <f t="shared" si="494"/>
        <v>#DIV/0!</v>
      </c>
      <c r="N662" s="2126" t="e">
        <f t="shared" si="494"/>
        <v>#DIV/0!</v>
      </c>
      <c r="O662" s="2126" t="e">
        <f t="shared" si="494"/>
        <v>#DIV/0!</v>
      </c>
      <c r="P662" s="2126" t="e">
        <f t="shared" si="494"/>
        <v>#DIV/0!</v>
      </c>
      <c r="Q662" s="2127" t="e">
        <f t="shared" si="494"/>
        <v>#DIV/0!</v>
      </c>
      <c r="R662" s="107"/>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row>
    <row r="663" spans="1:136" s="108" customFormat="1" ht="15.05" thickBot="1" x14ac:dyDescent="0.35">
      <c r="A663" s="6"/>
      <c r="B663" s="2128" t="s">
        <v>2053</v>
      </c>
      <c r="C663" s="2129"/>
      <c r="D663" s="2130" t="s">
        <v>1659</v>
      </c>
      <c r="E663" s="2131"/>
      <c r="F663" s="2132" t="e">
        <f>+F648+F634</f>
        <v>#DIV/0!</v>
      </c>
      <c r="G663" s="2132" t="e">
        <f t="shared" ref="G663:Q663" si="495">+G648+G634</f>
        <v>#DIV/0!</v>
      </c>
      <c r="H663" s="2132" t="e">
        <f t="shared" si="495"/>
        <v>#DIV/0!</v>
      </c>
      <c r="I663" s="2132" t="e">
        <f t="shared" si="495"/>
        <v>#DIV/0!</v>
      </c>
      <c r="J663" s="2132" t="e">
        <f t="shared" si="495"/>
        <v>#DIV/0!</v>
      </c>
      <c r="K663" s="2132" t="e">
        <f t="shared" si="495"/>
        <v>#DIV/0!</v>
      </c>
      <c r="L663" s="2132" t="e">
        <f t="shared" si="495"/>
        <v>#DIV/0!</v>
      </c>
      <c r="M663" s="2132" t="e">
        <f t="shared" si="495"/>
        <v>#DIV/0!</v>
      </c>
      <c r="N663" s="2132" t="e">
        <f t="shared" si="495"/>
        <v>#DIV/0!</v>
      </c>
      <c r="O663" s="2132" t="e">
        <f t="shared" si="495"/>
        <v>#DIV/0!</v>
      </c>
      <c r="P663" s="2132" t="e">
        <f t="shared" si="495"/>
        <v>#DIV/0!</v>
      </c>
      <c r="Q663" s="2133" t="e">
        <f t="shared" si="495"/>
        <v>#DIV/0!</v>
      </c>
      <c r="R663" s="107"/>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row>
    <row r="664" spans="1:136" ht="15.05" thickTop="1" x14ac:dyDescent="0.2">
      <c r="A664" s="6"/>
    </row>
    <row r="665" spans="1:136" s="108" customFormat="1" x14ac:dyDescent="0.3">
      <c r="A665" s="6"/>
      <c r="B665" s="6"/>
      <c r="C665" s="6"/>
      <c r="D665" s="1915"/>
      <c r="E665" s="1915"/>
      <c r="F665" s="1932"/>
      <c r="G665" s="1916"/>
      <c r="H665" s="1916"/>
      <c r="I665" s="1916"/>
      <c r="J665" s="1916"/>
      <c r="K665" s="1916"/>
      <c r="L665" s="1916"/>
      <c r="M665" s="1916"/>
      <c r="N665" s="1916"/>
      <c r="O665" s="1916"/>
      <c r="P665" s="1916"/>
      <c r="Q665" s="1916"/>
      <c r="R665" s="107"/>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row>
    <row r="666" spans="1:136" s="108" customFormat="1" x14ac:dyDescent="0.3">
      <c r="A666" s="6"/>
      <c r="B666" s="6"/>
      <c r="C666" s="6"/>
      <c r="D666" s="1915"/>
      <c r="E666" s="1915"/>
      <c r="F666" s="1916"/>
      <c r="G666" s="1916"/>
      <c r="H666" s="1916"/>
      <c r="I666" s="1916"/>
      <c r="J666" s="1916"/>
      <c r="K666" s="1916"/>
      <c r="L666" s="1916"/>
      <c r="M666" s="1916"/>
      <c r="N666" s="1916"/>
      <c r="O666" s="1916"/>
      <c r="P666" s="1916"/>
      <c r="Q666" s="1916"/>
      <c r="R666" s="107"/>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row>
    <row r="667" spans="1:136" s="2196" customFormat="1" ht="18.350000000000001" thickBot="1" x14ac:dyDescent="0.35">
      <c r="A667" s="2191"/>
      <c r="B667" s="2191" t="s">
        <v>1507</v>
      </c>
      <c r="C667" s="2191"/>
      <c r="D667" s="2192"/>
      <c r="E667" s="2192"/>
      <c r="F667" s="2193"/>
      <c r="G667" s="2193"/>
      <c r="H667" s="2193"/>
      <c r="I667" s="2193"/>
      <c r="J667" s="2193"/>
      <c r="K667" s="2193"/>
      <c r="L667" s="2193"/>
      <c r="M667" s="2193"/>
      <c r="N667" s="2193"/>
      <c r="O667" s="2193"/>
      <c r="P667" s="2193"/>
      <c r="Q667" s="2193"/>
      <c r="R667" s="2194"/>
      <c r="S667" s="2191"/>
      <c r="T667" s="2191"/>
      <c r="U667" s="2191"/>
      <c r="V667" s="2191"/>
      <c r="W667" s="2191"/>
      <c r="X667" s="2191"/>
      <c r="Y667" s="2191"/>
      <c r="Z667" s="2191"/>
      <c r="AA667" s="2191"/>
      <c r="AB667" s="2191"/>
      <c r="AC667" s="2191"/>
      <c r="AD667" s="2191"/>
      <c r="AE667" s="2191"/>
      <c r="AF667" s="2191"/>
      <c r="AG667" s="2191"/>
      <c r="AH667" s="2191"/>
      <c r="AI667" s="2191"/>
      <c r="AJ667" s="2191"/>
      <c r="AK667" s="2191"/>
      <c r="AL667" s="2191"/>
      <c r="AM667" s="2191"/>
      <c r="AN667" s="2191"/>
      <c r="AO667" s="2191"/>
      <c r="AP667" s="2191"/>
      <c r="AQ667" s="2191"/>
      <c r="AR667" s="2191"/>
      <c r="AS667" s="2191"/>
      <c r="AT667" s="2191"/>
      <c r="AU667" s="2191"/>
      <c r="AV667" s="2191"/>
      <c r="AW667" s="2191"/>
      <c r="AX667" s="2191"/>
      <c r="AY667" s="2191"/>
      <c r="AZ667" s="2191"/>
      <c r="BA667" s="2191"/>
      <c r="BB667" s="2191"/>
      <c r="BC667" s="2191"/>
      <c r="BD667" s="2191"/>
      <c r="BE667" s="2195"/>
      <c r="BF667" s="2195"/>
      <c r="BG667" s="2195"/>
      <c r="BH667" s="2195"/>
      <c r="BI667" s="2195"/>
      <c r="EF667" s="2197"/>
    </row>
    <row r="668" spans="1:136" s="108" customFormat="1" ht="15.05" thickBot="1" x14ac:dyDescent="0.25">
      <c r="D668" s="1955" t="s">
        <v>980</v>
      </c>
      <c r="E668" s="1956"/>
      <c r="F668" s="1957"/>
      <c r="G668" s="1956"/>
      <c r="H668" s="1956"/>
      <c r="I668" s="1956"/>
      <c r="J668" s="1956"/>
      <c r="K668" s="1956"/>
      <c r="L668" s="1956"/>
      <c r="M668" s="1956"/>
      <c r="N668" s="1956"/>
      <c r="O668" s="1957"/>
      <c r="P668" s="1956"/>
      <c r="Q668" s="1958"/>
      <c r="R668" s="1956"/>
      <c r="S668" s="1959"/>
      <c r="T668" s="1960"/>
      <c r="U668" s="1960"/>
      <c r="V668" s="1960"/>
      <c r="W668" s="1960"/>
      <c r="X668" s="1960"/>
      <c r="Y668" s="1960"/>
      <c r="Z668" s="1960"/>
      <c r="AA668" s="1960"/>
      <c r="AB668" s="1960"/>
      <c r="AC668" s="1960"/>
      <c r="AD668" s="1960"/>
      <c r="AE668" s="1960"/>
      <c r="AF668" s="1960"/>
      <c r="AG668" s="1960"/>
      <c r="AH668" s="1960"/>
      <c r="AI668" s="1960"/>
      <c r="AJ668" s="1960"/>
      <c r="AK668" s="1960"/>
      <c r="AL668" s="1960"/>
      <c r="AM668" s="1960"/>
      <c r="AN668" s="1960"/>
      <c r="AO668" s="1960"/>
      <c r="AP668" s="1960"/>
      <c r="AQ668" s="1960"/>
      <c r="AR668" s="1960"/>
      <c r="AS668" s="1960"/>
      <c r="AT668" s="1960"/>
      <c r="AU668" s="1960"/>
      <c r="AV668" s="1960"/>
      <c r="AW668" s="1960"/>
      <c r="AX668" s="1960"/>
      <c r="AY668" s="1960"/>
      <c r="AZ668" s="1960"/>
      <c r="BA668" s="1960"/>
      <c r="BB668" s="1960"/>
      <c r="BC668" s="1960"/>
      <c r="BD668" s="1961"/>
      <c r="BE668" s="6"/>
      <c r="BF668" s="6"/>
      <c r="BG668" s="6"/>
      <c r="BH668" s="6"/>
      <c r="BI668" s="6"/>
    </row>
    <row r="669" spans="1:136" s="108" customFormat="1" ht="15.05" thickBot="1" x14ac:dyDescent="0.25">
      <c r="A669" s="767"/>
      <c r="B669" s="110"/>
      <c r="C669" s="100"/>
      <c r="D669" s="597"/>
      <c r="E669" s="590"/>
      <c r="F669" s="111"/>
      <c r="G669" s="590"/>
      <c r="H669" s="590"/>
      <c r="I669" s="590"/>
      <c r="J669" s="590"/>
      <c r="K669" s="590"/>
      <c r="L669" s="590"/>
      <c r="M669" s="590"/>
      <c r="N669" s="590"/>
      <c r="O669" s="111"/>
      <c r="P669" s="590"/>
      <c r="Q669" s="590"/>
      <c r="S669" s="10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row>
    <row r="670" spans="1:136" s="108" customFormat="1" ht="15.05" thickBot="1" x14ac:dyDescent="0.25">
      <c r="A670" s="2188">
        <v>1023</v>
      </c>
      <c r="B670" s="1435"/>
      <c r="C670" s="958"/>
      <c r="D670" s="1962" t="s">
        <v>1973</v>
      </c>
      <c r="E670" s="1963"/>
      <c r="F670" s="1964"/>
      <c r="G670" s="1963"/>
      <c r="H670" s="1963"/>
      <c r="I670" s="1963"/>
      <c r="J670" s="1963"/>
      <c r="K670" s="1963"/>
      <c r="L670" s="1963"/>
      <c r="M670" s="1963"/>
      <c r="N670" s="1963"/>
      <c r="O670" s="1964"/>
      <c r="P670" s="1963"/>
      <c r="Q670" s="1965"/>
      <c r="R670" s="2188">
        <v>1024</v>
      </c>
      <c r="S670" s="1966" t="s">
        <v>1974</v>
      </c>
      <c r="T670" s="1901"/>
      <c r="U670" s="1901"/>
      <c r="V670" s="1901"/>
      <c r="W670" s="1901"/>
      <c r="X670" s="1901"/>
      <c r="Y670" s="1901"/>
      <c r="Z670" s="1901"/>
      <c r="AA670" s="1901"/>
      <c r="AB670" s="1901"/>
      <c r="AC670" s="1901"/>
      <c r="AD670" s="1967"/>
      <c r="AE670" s="2188">
        <v>1025</v>
      </c>
      <c r="AF670" s="1968" t="s">
        <v>1975</v>
      </c>
      <c r="AG670" s="1901"/>
      <c r="AH670" s="1901"/>
      <c r="AI670" s="1901"/>
      <c r="AJ670" s="1901"/>
      <c r="AK670" s="1901"/>
      <c r="AL670" s="1901"/>
      <c r="AM670" s="1901"/>
      <c r="AN670" s="1901"/>
      <c r="AO670" s="1901"/>
      <c r="AP670" s="1901"/>
      <c r="AQ670" s="1967"/>
      <c r="AR670" s="2188">
        <v>1026</v>
      </c>
      <c r="AS670" s="1968" t="s">
        <v>1976</v>
      </c>
      <c r="AT670" s="1901"/>
      <c r="AU670" s="1901"/>
      <c r="AV670" s="1901"/>
      <c r="AW670" s="1901"/>
      <c r="AX670" s="1901"/>
      <c r="AY670" s="1901"/>
      <c r="AZ670" s="1901"/>
      <c r="BA670" s="1901"/>
      <c r="BB670" s="1901"/>
      <c r="BC670" s="1967"/>
      <c r="BD670" s="6"/>
      <c r="BE670" s="6"/>
      <c r="BF670" s="6"/>
      <c r="BG670" s="6"/>
      <c r="BH670" s="6"/>
      <c r="BI670" s="6"/>
    </row>
    <row r="671" spans="1:136" s="108" customFormat="1" x14ac:dyDescent="0.2">
      <c r="F671" s="1969"/>
      <c r="G671" s="1969"/>
      <c r="H671" s="1969"/>
      <c r="I671" s="1969"/>
      <c r="J671" s="1969"/>
      <c r="K671" s="1969"/>
      <c r="L671" s="1969"/>
      <c r="M671" s="1969"/>
      <c r="N671" s="1969"/>
      <c r="O671" s="1969"/>
      <c r="P671" s="1969"/>
      <c r="Q671" s="1969"/>
      <c r="S671" s="1970"/>
      <c r="T671" s="1926"/>
      <c r="U671" s="1926"/>
      <c r="V671" s="1926"/>
      <c r="W671" s="1926"/>
      <c r="X671" s="1926"/>
      <c r="Y671" s="1926"/>
      <c r="Z671" s="1926"/>
      <c r="AA671" s="1926"/>
      <c r="AB671" s="1926"/>
      <c r="AC671" s="1926"/>
      <c r="AD671" s="1926"/>
      <c r="AF671" s="1970"/>
      <c r="AG671" s="1926"/>
      <c r="AH671" s="1926"/>
      <c r="AI671" s="1926"/>
      <c r="AJ671" s="1926"/>
      <c r="AK671" s="1926"/>
      <c r="AL671" s="1926"/>
      <c r="AM671" s="1926"/>
      <c r="AN671" s="1926"/>
      <c r="AO671" s="1926"/>
      <c r="AP671" s="1926"/>
      <c r="AQ671" s="1926"/>
      <c r="AR671" s="590"/>
      <c r="AS671" s="1970"/>
      <c r="AT671" s="1926"/>
      <c r="AU671" s="1926"/>
      <c r="AV671" s="1926"/>
      <c r="AW671" s="1926"/>
      <c r="AX671" s="1926"/>
      <c r="AY671" s="1926"/>
      <c r="AZ671" s="1926"/>
      <c r="BA671" s="1926"/>
      <c r="BB671" s="1926"/>
      <c r="BC671" s="1926"/>
      <c r="BD671" s="1926"/>
      <c r="BE671" s="590"/>
      <c r="BF671" s="100"/>
      <c r="BG671" s="100"/>
      <c r="BH671" s="100"/>
      <c r="BI671" s="590"/>
      <c r="BJ671" s="590"/>
      <c r="BK671" s="590"/>
    </row>
    <row r="672" spans="1:136" s="108" customFormat="1" x14ac:dyDescent="0.2">
      <c r="C672" s="1971" t="str">
        <f>D672&amp;$D$638</f>
        <v xml:space="preserve">CNVacas Ordeñe </v>
      </c>
      <c r="D672" s="1857" t="str">
        <f>+D291</f>
        <v>CN</v>
      </c>
      <c r="E672" s="590"/>
      <c r="F672" s="1972">
        <f t="shared" ref="F672:Q672" si="496">IF($D672=0,0,SUMIF(G$401:G$490,$C672,$S$401:$S$490))</f>
        <v>0</v>
      </c>
      <c r="G672" s="1972">
        <f t="shared" si="496"/>
        <v>0</v>
      </c>
      <c r="H672" s="1972">
        <f t="shared" si="496"/>
        <v>0</v>
      </c>
      <c r="I672" s="1972">
        <f t="shared" si="496"/>
        <v>0</v>
      </c>
      <c r="J672" s="1972">
        <f t="shared" si="496"/>
        <v>0</v>
      </c>
      <c r="K672" s="1972">
        <f t="shared" si="496"/>
        <v>0</v>
      </c>
      <c r="L672" s="1972">
        <f t="shared" si="496"/>
        <v>0</v>
      </c>
      <c r="M672" s="1972">
        <f t="shared" si="496"/>
        <v>0</v>
      </c>
      <c r="N672" s="1972">
        <f t="shared" si="496"/>
        <v>0</v>
      </c>
      <c r="O672" s="1972">
        <f t="shared" si="496"/>
        <v>0</v>
      </c>
      <c r="P672" s="1972">
        <f t="shared" si="496"/>
        <v>0</v>
      </c>
      <c r="Q672" s="1972">
        <f t="shared" si="496"/>
        <v>0</v>
      </c>
      <c r="S672" s="1973">
        <f>SUMIF(G$401:G$490,$C672,$S$401:$S$490)*Forrajes!BG10*G$99</f>
        <v>0</v>
      </c>
      <c r="T672" s="1972">
        <f>SUMIF(H$401:H$490,$C672,$S$401:$S$490)*Forrajes!BH10*H$99</f>
        <v>0</v>
      </c>
      <c r="U672" s="1972">
        <f>SUMIF(I$401:I$490,$C672,$S$401:$S$490)*Forrajes!BI10*I$99</f>
        <v>0</v>
      </c>
      <c r="V672" s="1972">
        <f>SUMIF(J$401:J$490,$C672,$S$401:$S$490)*Forrajes!BJ10*J$99</f>
        <v>0</v>
      </c>
      <c r="W672" s="1972">
        <f>SUMIF(K$401:K$490,$C672,$S$401:$S$490)*Forrajes!BK10*K$99</f>
        <v>0</v>
      </c>
      <c r="X672" s="1972">
        <f>SUMIF(L$401:L$490,$C672,$S$401:$S$490)*Forrajes!BL10*L$99</f>
        <v>0</v>
      </c>
      <c r="Y672" s="1972">
        <f>SUMIF(M$401:M$490,$C672,$S$401:$S$490)*Forrajes!BM10*M$99</f>
        <v>0</v>
      </c>
      <c r="Z672" s="1972">
        <f>SUMIF(N$401:N$490,$C672,$S$401:$S$490)*Forrajes!BN10*N$99</f>
        <v>0</v>
      </c>
      <c r="AA672" s="1972">
        <f>SUMIF(O$401:O$490,$C672,$S$401:$S$490)*Forrajes!BO10*O$99</f>
        <v>0</v>
      </c>
      <c r="AB672" s="1972">
        <f>SUMIF(P$401:P$490,$C672,$S$401:$S$490)*Forrajes!BP10*P$99</f>
        <v>0</v>
      </c>
      <c r="AC672" s="1972">
        <f>SUMIF(Q$401:Q$490,$C672,$S$401:$S$490)*Forrajes!BQ10*Q$99</f>
        <v>0</v>
      </c>
      <c r="AD672" s="1974">
        <f>SUMIF(R$401:R$490,$C672,$S$401:$S$490)*Forrajes!BR10*R$99</f>
        <v>0</v>
      </c>
      <c r="AF672" s="1973">
        <f>Forrajes!BU10*S672</f>
        <v>0</v>
      </c>
      <c r="AG672" s="1972">
        <f>Forrajes!BV10*T672</f>
        <v>0</v>
      </c>
      <c r="AH672" s="1972">
        <f>Forrajes!BW10*U672</f>
        <v>0</v>
      </c>
      <c r="AI672" s="1972">
        <f>Forrajes!BX10*V672</f>
        <v>0</v>
      </c>
      <c r="AJ672" s="1972">
        <f>Forrajes!BY10*W672</f>
        <v>0</v>
      </c>
      <c r="AK672" s="1972">
        <f>Forrajes!BZ10*X672</f>
        <v>0</v>
      </c>
      <c r="AL672" s="1972">
        <f>Forrajes!CA10*Y672</f>
        <v>0</v>
      </c>
      <c r="AM672" s="1972">
        <f>Forrajes!CB10*Z672</f>
        <v>0</v>
      </c>
      <c r="AN672" s="1972">
        <f>Forrajes!CC10*AA672</f>
        <v>0</v>
      </c>
      <c r="AO672" s="1972">
        <f>Forrajes!CD10*AB672</f>
        <v>0</v>
      </c>
      <c r="AP672" s="1972">
        <f>Forrajes!CE10*AC672</f>
        <v>0</v>
      </c>
      <c r="AQ672" s="1972">
        <f>Forrajes!CF10*AD672</f>
        <v>0</v>
      </c>
      <c r="AS672" s="1973">
        <f>Forrajes!CI10*S672</f>
        <v>0</v>
      </c>
      <c r="AT672" s="1972">
        <f>Forrajes!CJ10*T672</f>
        <v>0</v>
      </c>
      <c r="AU672" s="1972">
        <f>Forrajes!CK10*U672</f>
        <v>0</v>
      </c>
      <c r="AV672" s="1972">
        <f>Forrajes!CL10*V672</f>
        <v>0</v>
      </c>
      <c r="AW672" s="1972">
        <f>Forrajes!CM10*W672</f>
        <v>0</v>
      </c>
      <c r="AX672" s="1972">
        <f>Forrajes!CN10*X672</f>
        <v>0</v>
      </c>
      <c r="AY672" s="1972">
        <f>Forrajes!CO10*Y672</f>
        <v>0</v>
      </c>
      <c r="AZ672" s="1972">
        <f>Forrajes!CP10*Z672</f>
        <v>0</v>
      </c>
      <c r="BA672" s="1972">
        <f>Forrajes!CQ10*AA672</f>
        <v>0</v>
      </c>
      <c r="BB672" s="1972">
        <f>Forrajes!CR10*AB672</f>
        <v>0</v>
      </c>
      <c r="BC672" s="1972">
        <f>Forrajes!CS10*AC672</f>
        <v>0</v>
      </c>
      <c r="BD672" s="786">
        <f>Forrajes!CT10*AD672</f>
        <v>0</v>
      </c>
      <c r="BE672" s="590"/>
      <c r="BF672" s="100"/>
      <c r="BG672" s="590"/>
      <c r="BH672" s="590"/>
      <c r="BI672" s="100"/>
      <c r="BJ672" s="1975"/>
      <c r="BK672" s="590"/>
    </row>
    <row r="673" spans="3:63" s="108" customFormat="1" x14ac:dyDescent="0.2">
      <c r="C673" s="1971" t="str">
        <f>D673&amp;$D$638</f>
        <v xml:space="preserve">CNMVacas Ordeñe </v>
      </c>
      <c r="D673" s="1857" t="str">
        <f>+D292</f>
        <v>CNM</v>
      </c>
      <c r="E673" s="590"/>
      <c r="F673" s="1972">
        <f t="shared" ref="F673:Q673" si="497">IF($D673=0,0,SUMIF(G$401:G$490,$C673,$S$401:$S$490))</f>
        <v>0</v>
      </c>
      <c r="G673" s="1972">
        <f t="shared" si="497"/>
        <v>0</v>
      </c>
      <c r="H673" s="1972">
        <f t="shared" si="497"/>
        <v>0</v>
      </c>
      <c r="I673" s="1972">
        <f t="shared" si="497"/>
        <v>0</v>
      </c>
      <c r="J673" s="1972">
        <f t="shared" si="497"/>
        <v>0</v>
      </c>
      <c r="K673" s="1972">
        <f t="shared" si="497"/>
        <v>0</v>
      </c>
      <c r="L673" s="1972">
        <f t="shared" si="497"/>
        <v>0</v>
      </c>
      <c r="M673" s="1972">
        <f t="shared" si="497"/>
        <v>0</v>
      </c>
      <c r="N673" s="1972">
        <f t="shared" si="497"/>
        <v>0</v>
      </c>
      <c r="O673" s="1972">
        <f t="shared" si="497"/>
        <v>0</v>
      </c>
      <c r="P673" s="1972">
        <f t="shared" si="497"/>
        <v>0</v>
      </c>
      <c r="Q673" s="1972">
        <f t="shared" si="497"/>
        <v>0</v>
      </c>
      <c r="S673" s="1976">
        <f>SUMIF(G$401:G$490,$C673,$S$401:$S$490)*Forrajes!BG11*G$99</f>
        <v>0</v>
      </c>
      <c r="T673" s="668">
        <f>SUMIF(H$401:H$490,$C673,$S$401:$S$490)*Forrajes!BH11*H$99</f>
        <v>0</v>
      </c>
      <c r="U673" s="668">
        <f>SUMIF(I$401:I$490,$C673,$S$401:$S$490)*Forrajes!BI11*I$99</f>
        <v>0</v>
      </c>
      <c r="V673" s="668">
        <f>SUMIF(J$401:J$490,$C673,$S$401:$S$490)*Forrajes!BJ11*J$99</f>
        <v>0</v>
      </c>
      <c r="W673" s="668">
        <f>SUMIF(K$401:K$490,$C673,$S$401:$S$490)*Forrajes!BK11*K$99</f>
        <v>0</v>
      </c>
      <c r="X673" s="668">
        <f>SUMIF(L$401:L$490,$C673,$S$401:$S$490)*Forrajes!BL11*L$99</f>
        <v>0</v>
      </c>
      <c r="Y673" s="668">
        <f>SUMIF(M$401:M$490,$C673,$S$401:$S$490)*Forrajes!BM11*M$99</f>
        <v>0</v>
      </c>
      <c r="Z673" s="668">
        <f>SUMIF(N$401:N$490,$C673,$S$401:$S$490)*Forrajes!BN11*N$99</f>
        <v>0</v>
      </c>
      <c r="AA673" s="668">
        <f>SUMIF(O$401:O$490,$C673,$S$401:$S$490)*Forrajes!BO11*O$99</f>
        <v>0</v>
      </c>
      <c r="AB673" s="668">
        <f>SUMIF(P$401:P$490,$C673,$S$401:$S$490)*Forrajes!BP11*P$99</f>
        <v>0</v>
      </c>
      <c r="AC673" s="668">
        <f>SUMIF(Q$401:Q$490,$C673,$S$401:$S$490)*Forrajes!BQ11*Q$99</f>
        <v>0</v>
      </c>
      <c r="AD673" s="1977">
        <f>SUMIF(R$401:R$490,$C673,$S$401:$S$490)*Forrajes!BR11*R$99</f>
        <v>0</v>
      </c>
      <c r="AF673" s="1976">
        <f>Forrajes!BU11*S673</f>
        <v>0</v>
      </c>
      <c r="AG673" s="668">
        <f>Forrajes!BV11*T673</f>
        <v>0</v>
      </c>
      <c r="AH673" s="668">
        <f>Forrajes!BW11*U673</f>
        <v>0</v>
      </c>
      <c r="AI673" s="668">
        <f>Forrajes!BX11*V673</f>
        <v>0</v>
      </c>
      <c r="AJ673" s="668">
        <f>Forrajes!BY11*W673</f>
        <v>0</v>
      </c>
      <c r="AK673" s="668">
        <f>Forrajes!BZ11*X673</f>
        <v>0</v>
      </c>
      <c r="AL673" s="668">
        <f>Forrajes!CA11*Y673</f>
        <v>0</v>
      </c>
      <c r="AM673" s="668">
        <f>Forrajes!CB11*Z673</f>
        <v>0</v>
      </c>
      <c r="AN673" s="668">
        <f>Forrajes!CC11*AA673</f>
        <v>0</v>
      </c>
      <c r="AO673" s="668">
        <f>Forrajes!CD11*AB673</f>
        <v>0</v>
      </c>
      <c r="AP673" s="668">
        <f>Forrajes!CE11*AC673</f>
        <v>0</v>
      </c>
      <c r="AQ673" s="668">
        <f>Forrajes!CF11*AD673</f>
        <v>0</v>
      </c>
      <c r="AS673" s="1976">
        <f>Forrajes!CI11*S673</f>
        <v>0</v>
      </c>
      <c r="AT673" s="668">
        <f>Forrajes!CJ11*T673</f>
        <v>0</v>
      </c>
      <c r="AU673" s="668">
        <f>Forrajes!CK11*U673</f>
        <v>0</v>
      </c>
      <c r="AV673" s="668">
        <f>Forrajes!CL11*V673</f>
        <v>0</v>
      </c>
      <c r="AW673" s="668">
        <f>Forrajes!CM11*W673</f>
        <v>0</v>
      </c>
      <c r="AX673" s="668">
        <f>Forrajes!CN11*X673</f>
        <v>0</v>
      </c>
      <c r="AY673" s="668">
        <f>Forrajes!CO11*Y673</f>
        <v>0</v>
      </c>
      <c r="AZ673" s="668">
        <f>Forrajes!CP11*Z673</f>
        <v>0</v>
      </c>
      <c r="BA673" s="668">
        <f>Forrajes!CQ11*AA673</f>
        <v>0</v>
      </c>
      <c r="BB673" s="668">
        <f>Forrajes!CR11*AB673</f>
        <v>0</v>
      </c>
      <c r="BC673" s="668">
        <f>Forrajes!CS11*AC673</f>
        <v>0</v>
      </c>
      <c r="BD673" s="1818">
        <f>Forrajes!CT11*AD673</f>
        <v>0</v>
      </c>
      <c r="BE673" s="590"/>
      <c r="BF673" s="100"/>
      <c r="BG673" s="590"/>
      <c r="BH673" s="590"/>
      <c r="BI673" s="1978"/>
      <c r="BJ673" s="1975"/>
      <c r="BK673" s="590"/>
    </row>
    <row r="674" spans="3:63" s="108" customFormat="1" x14ac:dyDescent="0.2">
      <c r="C674" s="1971" t="str">
        <f>D674&amp;$D$638</f>
        <v xml:space="preserve">CN bajoVacas Ordeñe </v>
      </c>
      <c r="D674" s="1857" t="str">
        <f>+D293</f>
        <v>CN bajo</v>
      </c>
      <c r="E674" s="590"/>
      <c r="F674" s="1972">
        <f t="shared" ref="F674:Q674" si="498">IF($D674=0,0,SUMIF(G$401:G$490,$C674,$S$401:$S$490))</f>
        <v>0</v>
      </c>
      <c r="G674" s="1972">
        <f t="shared" si="498"/>
        <v>0</v>
      </c>
      <c r="H674" s="1972">
        <f t="shared" si="498"/>
        <v>0</v>
      </c>
      <c r="I674" s="1972">
        <f t="shared" si="498"/>
        <v>0</v>
      </c>
      <c r="J674" s="1972">
        <f t="shared" si="498"/>
        <v>0</v>
      </c>
      <c r="K674" s="1972">
        <f t="shared" si="498"/>
        <v>0</v>
      </c>
      <c r="L674" s="1972">
        <f t="shared" si="498"/>
        <v>0</v>
      </c>
      <c r="M674" s="1972">
        <f t="shared" si="498"/>
        <v>0</v>
      </c>
      <c r="N674" s="1972">
        <f t="shared" si="498"/>
        <v>0</v>
      </c>
      <c r="O674" s="1972">
        <f t="shared" si="498"/>
        <v>0</v>
      </c>
      <c r="P674" s="1972">
        <f t="shared" si="498"/>
        <v>0</v>
      </c>
      <c r="Q674" s="1972">
        <f t="shared" si="498"/>
        <v>0</v>
      </c>
      <c r="S674" s="1976">
        <f>SUMIF(G$401:G$490,$C674,$S$401:$S$490)*Forrajes!BG12*G$99</f>
        <v>0</v>
      </c>
      <c r="T674" s="668">
        <f>SUMIF(H$401:H$490,$C674,$S$401:$S$490)*Forrajes!BH12*H$99</f>
        <v>0</v>
      </c>
      <c r="U674" s="668">
        <f>SUMIF(I$401:I$490,$C674,$S$401:$S$490)*Forrajes!BI12*I$99</f>
        <v>0</v>
      </c>
      <c r="V674" s="668">
        <f>SUMIF(J$401:J$490,$C674,$S$401:$S$490)*Forrajes!BJ12*J$99</f>
        <v>0</v>
      </c>
      <c r="W674" s="668">
        <f>SUMIF(K$401:K$490,$C674,$S$401:$S$490)*Forrajes!BK12*K$99</f>
        <v>0</v>
      </c>
      <c r="X674" s="668">
        <f>SUMIF(L$401:L$490,$C674,$S$401:$S$490)*Forrajes!BL12*L$99</f>
        <v>0</v>
      </c>
      <c r="Y674" s="668">
        <f>SUMIF(M$401:M$490,$C674,$S$401:$S$490)*Forrajes!BM12*M$99</f>
        <v>0</v>
      </c>
      <c r="Z674" s="668">
        <f>SUMIF(N$401:N$490,$C674,$S$401:$S$490)*Forrajes!BN12*N$99</f>
        <v>0</v>
      </c>
      <c r="AA674" s="668">
        <f>SUMIF(O$401:O$490,$C674,$S$401:$S$490)*Forrajes!BO12*O$99</f>
        <v>0</v>
      </c>
      <c r="AB674" s="668">
        <f>SUMIF(P$401:P$490,$C674,$S$401:$S$490)*Forrajes!BP12*P$99</f>
        <v>0</v>
      </c>
      <c r="AC674" s="668">
        <f>SUMIF(Q$401:Q$490,$C674,$S$401:$S$490)*Forrajes!BQ12*Q$99</f>
        <v>0</v>
      </c>
      <c r="AD674" s="1977">
        <f>SUMIF(R$401:R$490,$C674,$S$401:$S$490)*Forrajes!BR12*R$99</f>
        <v>0</v>
      </c>
      <c r="AF674" s="1976">
        <f>Forrajes!BU12*S674</f>
        <v>0</v>
      </c>
      <c r="AG674" s="668">
        <f>Forrajes!BV12*T674</f>
        <v>0</v>
      </c>
      <c r="AH674" s="668">
        <f>Forrajes!BW12*U674</f>
        <v>0</v>
      </c>
      <c r="AI674" s="668">
        <f>Forrajes!BX12*V674</f>
        <v>0</v>
      </c>
      <c r="AJ674" s="668">
        <f>Forrajes!BY12*W674</f>
        <v>0</v>
      </c>
      <c r="AK674" s="668">
        <f>Forrajes!BZ12*X674</f>
        <v>0</v>
      </c>
      <c r="AL674" s="668">
        <f>Forrajes!CA12*Y674</f>
        <v>0</v>
      </c>
      <c r="AM674" s="668">
        <f>Forrajes!CB12*Z674</f>
        <v>0</v>
      </c>
      <c r="AN674" s="668">
        <f>Forrajes!CC12*AA674</f>
        <v>0</v>
      </c>
      <c r="AO674" s="668">
        <f>Forrajes!CD12*AB674</f>
        <v>0</v>
      </c>
      <c r="AP674" s="668">
        <f>Forrajes!CE12*AC674</f>
        <v>0</v>
      </c>
      <c r="AQ674" s="668">
        <f>Forrajes!CF12*AD674</f>
        <v>0</v>
      </c>
      <c r="AS674" s="1976">
        <f>Forrajes!CI12*S674</f>
        <v>0</v>
      </c>
      <c r="AT674" s="668">
        <f>Forrajes!CJ12*T674</f>
        <v>0</v>
      </c>
      <c r="AU674" s="668">
        <f>Forrajes!CK12*U674</f>
        <v>0</v>
      </c>
      <c r="AV674" s="668">
        <f>Forrajes!CL12*V674</f>
        <v>0</v>
      </c>
      <c r="AW674" s="668">
        <f>Forrajes!CM12*W674</f>
        <v>0</v>
      </c>
      <c r="AX674" s="668">
        <f>Forrajes!CN12*X674</f>
        <v>0</v>
      </c>
      <c r="AY674" s="668">
        <f>Forrajes!CO12*Y674</f>
        <v>0</v>
      </c>
      <c r="AZ674" s="668">
        <f>Forrajes!CP12*Z674</f>
        <v>0</v>
      </c>
      <c r="BA674" s="668">
        <f>Forrajes!CQ12*AA674</f>
        <v>0</v>
      </c>
      <c r="BB674" s="668">
        <f>Forrajes!CR12*AB674</f>
        <v>0</v>
      </c>
      <c r="BC674" s="668">
        <f>Forrajes!CS12*AC674</f>
        <v>0</v>
      </c>
      <c r="BD674" s="1818">
        <f>Forrajes!CT12*AD674</f>
        <v>0</v>
      </c>
      <c r="BE674" s="590"/>
      <c r="BF674" s="100"/>
      <c r="BG674" s="590"/>
      <c r="BH674" s="590"/>
      <c r="BI674" s="1978"/>
      <c r="BJ674" s="1975"/>
      <c r="BK674" s="590"/>
    </row>
    <row r="675" spans="3:63" s="108" customFormat="1" x14ac:dyDescent="0.2">
      <c r="C675" s="1971"/>
      <c r="D675" s="1979" t="s">
        <v>989</v>
      </c>
      <c r="E675" s="1980"/>
      <c r="F675" s="1909">
        <f>SUM(F672:F674)</f>
        <v>0</v>
      </c>
      <c r="G675" s="1909">
        <f t="shared" ref="G675:Q675" si="499">SUM(G672:G674)</f>
        <v>0</v>
      </c>
      <c r="H675" s="1909">
        <f t="shared" si="499"/>
        <v>0</v>
      </c>
      <c r="I675" s="1909">
        <f t="shared" si="499"/>
        <v>0</v>
      </c>
      <c r="J675" s="1909">
        <f t="shared" si="499"/>
        <v>0</v>
      </c>
      <c r="K675" s="1909">
        <f t="shared" si="499"/>
        <v>0</v>
      </c>
      <c r="L675" s="1909">
        <f t="shared" si="499"/>
        <v>0</v>
      </c>
      <c r="M675" s="1909">
        <f t="shared" si="499"/>
        <v>0</v>
      </c>
      <c r="N675" s="1909">
        <f t="shared" si="499"/>
        <v>0</v>
      </c>
      <c r="O675" s="1909">
        <f t="shared" si="499"/>
        <v>0</v>
      </c>
      <c r="P675" s="1909">
        <f t="shared" si="499"/>
        <v>0</v>
      </c>
      <c r="Q675" s="1909">
        <f t="shared" si="499"/>
        <v>0</v>
      </c>
      <c r="S675" s="1976"/>
      <c r="T675" s="668"/>
      <c r="U675" s="668"/>
      <c r="V675" s="668"/>
      <c r="W675" s="668"/>
      <c r="X675" s="668"/>
      <c r="Y675" s="668"/>
      <c r="Z675" s="668"/>
      <c r="AA675" s="668"/>
      <c r="AB675" s="668"/>
      <c r="AC675" s="668"/>
      <c r="AD675" s="1977"/>
      <c r="AF675" s="1976"/>
      <c r="AG675" s="668"/>
      <c r="AH675" s="668"/>
      <c r="AI675" s="668"/>
      <c r="AJ675" s="668"/>
      <c r="AK675" s="668"/>
      <c r="AL675" s="668"/>
      <c r="AM675" s="668"/>
      <c r="AN675" s="668"/>
      <c r="AO675" s="668"/>
      <c r="AP675" s="668"/>
      <c r="AQ675" s="668"/>
      <c r="AS675" s="1976"/>
      <c r="AT675" s="668"/>
      <c r="AU675" s="668"/>
      <c r="AV675" s="668"/>
      <c r="AW675" s="668"/>
      <c r="AX675" s="668"/>
      <c r="AY675" s="668"/>
      <c r="AZ675" s="668"/>
      <c r="BA675" s="668"/>
      <c r="BB675" s="668"/>
      <c r="BC675" s="668"/>
      <c r="BD675" s="1818"/>
      <c r="BE675" s="590"/>
      <c r="BF675" s="100"/>
      <c r="BG675" s="590"/>
      <c r="BH675" s="590"/>
      <c r="BI675" s="1978"/>
      <c r="BJ675" s="1975"/>
      <c r="BK675" s="590"/>
    </row>
    <row r="676" spans="3:63" s="108" customFormat="1" x14ac:dyDescent="0.2">
      <c r="C676" s="1971" t="str">
        <f t="shared" ref="C676:C681" si="500">D676&amp;$D$638</f>
        <v xml:space="preserve">Alfalfa 1Vacas Ordeñe </v>
      </c>
      <c r="D676" s="1857" t="str">
        <f t="shared" ref="D676:D681" si="501">+D295</f>
        <v>Alfalfa 1</v>
      </c>
      <c r="E676" s="590"/>
      <c r="F676" s="1972">
        <f t="shared" ref="F676:Q676" si="502">IF($D676=0,0,SUMIF(G$401:G$490,$C676,$S$401:$S$490))</f>
        <v>0</v>
      </c>
      <c r="G676" s="1972">
        <f t="shared" si="502"/>
        <v>0</v>
      </c>
      <c r="H676" s="1972">
        <f t="shared" si="502"/>
        <v>0</v>
      </c>
      <c r="I676" s="1972">
        <f t="shared" si="502"/>
        <v>0</v>
      </c>
      <c r="J676" s="1972">
        <f t="shared" si="502"/>
        <v>0</v>
      </c>
      <c r="K676" s="1972">
        <f t="shared" si="502"/>
        <v>0</v>
      </c>
      <c r="L676" s="1972">
        <f t="shared" si="502"/>
        <v>0</v>
      </c>
      <c r="M676" s="1972">
        <f t="shared" si="502"/>
        <v>0</v>
      </c>
      <c r="N676" s="1972">
        <f t="shared" si="502"/>
        <v>0</v>
      </c>
      <c r="O676" s="1972">
        <f t="shared" si="502"/>
        <v>0</v>
      </c>
      <c r="P676" s="1972">
        <f t="shared" si="502"/>
        <v>0</v>
      </c>
      <c r="Q676" s="1972">
        <f t="shared" si="502"/>
        <v>0</v>
      </c>
      <c r="S676" s="1976">
        <f>SUMIF(G$401:G$490,$C676,$S$401:$S$490)*Forrajes!BG14*G$99</f>
        <v>0</v>
      </c>
      <c r="T676" s="668">
        <f>SUMIF(H$401:H$490,$C676,$S$401:$S$490)*Forrajes!BH14*H$99</f>
        <v>0</v>
      </c>
      <c r="U676" s="668">
        <f>SUMIF(I$401:I$490,$C676,$S$401:$S$490)*Forrajes!BI14*I$99</f>
        <v>0</v>
      </c>
      <c r="V676" s="668">
        <f>SUMIF(J$401:J$490,$C676,$S$401:$S$490)*Forrajes!BJ14*J$99</f>
        <v>0</v>
      </c>
      <c r="W676" s="668">
        <f>SUMIF(K$401:K$490,$C676,$S$401:$S$490)*Forrajes!BK14*K$99</f>
        <v>0</v>
      </c>
      <c r="X676" s="668">
        <f>SUMIF(L$401:L$490,$C676,$S$401:$S$490)*Forrajes!BL14*L$99</f>
        <v>0</v>
      </c>
      <c r="Y676" s="668">
        <f>SUMIF(M$401:M$490,$C676,$S$401:$S$490)*Forrajes!BM14*M$99</f>
        <v>0</v>
      </c>
      <c r="Z676" s="668">
        <f>SUMIF(N$401:N$490,$C676,$S$401:$S$490)*Forrajes!BN14*N$99</f>
        <v>0</v>
      </c>
      <c r="AA676" s="668">
        <f>SUMIF(O$401:O$490,$C676,$S$401:$S$490)*Forrajes!BO14*O$99</f>
        <v>0</v>
      </c>
      <c r="AB676" s="668">
        <f>SUMIF(P$401:P$490,$C676,$S$401:$S$490)*Forrajes!BP14*P$99</f>
        <v>0</v>
      </c>
      <c r="AC676" s="668">
        <f>SUMIF(Q$401:Q$490,$C676,$S$401:$S$490)*Forrajes!BQ14*Q$99</f>
        <v>0</v>
      </c>
      <c r="AD676" s="1977">
        <f>SUMIF(R$401:R$490,$C676,$S$401:$S$490)*Forrajes!BR14*R$99</f>
        <v>0</v>
      </c>
      <c r="AF676" s="1976">
        <f>Forrajes!BU14*S676</f>
        <v>0</v>
      </c>
      <c r="AG676" s="668">
        <f>Forrajes!BV14*T676</f>
        <v>0</v>
      </c>
      <c r="AH676" s="668">
        <f>Forrajes!BW14*U676</f>
        <v>0</v>
      </c>
      <c r="AI676" s="668">
        <f>Forrajes!BX14*V676</f>
        <v>0</v>
      </c>
      <c r="AJ676" s="668">
        <f>Forrajes!BY14*W676</f>
        <v>0</v>
      </c>
      <c r="AK676" s="668">
        <f>Forrajes!BZ14*X676</f>
        <v>0</v>
      </c>
      <c r="AL676" s="668">
        <f>Forrajes!CA14*Y676</f>
        <v>0</v>
      </c>
      <c r="AM676" s="668">
        <f>Forrajes!CB14*Z676</f>
        <v>0</v>
      </c>
      <c r="AN676" s="668">
        <f>Forrajes!CC14*AA676</f>
        <v>0</v>
      </c>
      <c r="AO676" s="668">
        <f>Forrajes!CD14*AB676</f>
        <v>0</v>
      </c>
      <c r="AP676" s="668">
        <f>Forrajes!CE14*AC676</f>
        <v>0</v>
      </c>
      <c r="AQ676" s="668">
        <f>Forrajes!CF14*AD676</f>
        <v>0</v>
      </c>
      <c r="AS676" s="1976">
        <f>Forrajes!CI14*S676</f>
        <v>0</v>
      </c>
      <c r="AT676" s="668">
        <f>Forrajes!CJ14*T676</f>
        <v>0</v>
      </c>
      <c r="AU676" s="668">
        <f>Forrajes!CK14*U676</f>
        <v>0</v>
      </c>
      <c r="AV676" s="668">
        <f>Forrajes!CL14*V676</f>
        <v>0</v>
      </c>
      <c r="AW676" s="668">
        <f>Forrajes!CM14*W676</f>
        <v>0</v>
      </c>
      <c r="AX676" s="668">
        <f>Forrajes!CN14*X676</f>
        <v>0</v>
      </c>
      <c r="AY676" s="668">
        <f>Forrajes!CO14*Y676</f>
        <v>0</v>
      </c>
      <c r="AZ676" s="668">
        <f>Forrajes!CP14*Z676</f>
        <v>0</v>
      </c>
      <c r="BA676" s="668">
        <f>Forrajes!CQ14*AA676</f>
        <v>0</v>
      </c>
      <c r="BB676" s="668">
        <f>Forrajes!CR14*AB676</f>
        <v>0</v>
      </c>
      <c r="BC676" s="668">
        <f>Forrajes!CS14*AC676</f>
        <v>0</v>
      </c>
      <c r="BD676" s="1818">
        <f>Forrajes!CT14*AD676</f>
        <v>0</v>
      </c>
      <c r="BE676" s="590"/>
      <c r="BF676" s="100"/>
      <c r="BG676" s="590"/>
      <c r="BH676" s="590"/>
      <c r="BI676" s="1978"/>
      <c r="BJ676" s="1975"/>
      <c r="BK676" s="590"/>
    </row>
    <row r="677" spans="3:63" s="108" customFormat="1" x14ac:dyDescent="0.2">
      <c r="C677" s="1971" t="str">
        <f t="shared" si="500"/>
        <v xml:space="preserve">PP 1Vacas Ordeñe </v>
      </c>
      <c r="D677" s="1857" t="str">
        <f t="shared" si="501"/>
        <v>PP 1</v>
      </c>
      <c r="E677" s="590"/>
      <c r="F677" s="1972">
        <f t="shared" ref="F677:Q677" si="503">IF($D677=0,0,SUMIF(G$401:G$490,$C677,$S$401:$S$490))</f>
        <v>0</v>
      </c>
      <c r="G677" s="1972">
        <f t="shared" si="503"/>
        <v>0</v>
      </c>
      <c r="H677" s="1972">
        <f t="shared" si="503"/>
        <v>0</v>
      </c>
      <c r="I677" s="1972">
        <f t="shared" si="503"/>
        <v>0</v>
      </c>
      <c r="J677" s="1972">
        <f t="shared" si="503"/>
        <v>0</v>
      </c>
      <c r="K677" s="1972">
        <f t="shared" si="503"/>
        <v>0</v>
      </c>
      <c r="L677" s="1972">
        <f t="shared" si="503"/>
        <v>0</v>
      </c>
      <c r="M677" s="1972">
        <f t="shared" si="503"/>
        <v>0</v>
      </c>
      <c r="N677" s="1972">
        <f t="shared" si="503"/>
        <v>0</v>
      </c>
      <c r="O677" s="1972">
        <f t="shared" si="503"/>
        <v>0</v>
      </c>
      <c r="P677" s="1972">
        <f t="shared" si="503"/>
        <v>0</v>
      </c>
      <c r="Q677" s="1972">
        <f t="shared" si="503"/>
        <v>0</v>
      </c>
      <c r="S677" s="1976">
        <f>SUMIF(G$401:G$490,$C677,$S$401:$S$490)*Forrajes!BG15*G$99</f>
        <v>0</v>
      </c>
      <c r="T677" s="668">
        <f>SUMIF(H$401:H$490,$C677,$S$401:$S$490)*Forrajes!BH15*H$99</f>
        <v>0</v>
      </c>
      <c r="U677" s="668">
        <f>SUMIF(I$401:I$490,$C677,$S$401:$S$490)*Forrajes!BI15*I$99</f>
        <v>0</v>
      </c>
      <c r="V677" s="668">
        <f>SUMIF(J$401:J$490,$C677,$S$401:$S$490)*Forrajes!BJ15*J$99</f>
        <v>0</v>
      </c>
      <c r="W677" s="668">
        <f>SUMIF(K$401:K$490,$C677,$S$401:$S$490)*Forrajes!BK15*K$99</f>
        <v>0</v>
      </c>
      <c r="X677" s="668">
        <f>SUMIF(L$401:L$490,$C677,$S$401:$S$490)*Forrajes!BL15*L$99</f>
        <v>0</v>
      </c>
      <c r="Y677" s="668">
        <f>SUMIF(M$401:M$490,$C677,$S$401:$S$490)*Forrajes!BM15*M$99</f>
        <v>0</v>
      </c>
      <c r="Z677" s="668">
        <f>SUMIF(N$401:N$490,$C677,$S$401:$S$490)*Forrajes!BN15*N$99</f>
        <v>0</v>
      </c>
      <c r="AA677" s="668">
        <f>SUMIF(O$401:O$490,$C677,$S$401:$S$490)*Forrajes!BO15*O$99</f>
        <v>0</v>
      </c>
      <c r="AB677" s="668">
        <f>SUMIF(P$401:P$490,$C677,$S$401:$S$490)*Forrajes!BP15*P$99</f>
        <v>0</v>
      </c>
      <c r="AC677" s="668">
        <f>SUMIF(Q$401:Q$490,$C677,$S$401:$S$490)*Forrajes!BQ15*Q$99</f>
        <v>0</v>
      </c>
      <c r="AD677" s="1977">
        <f>SUMIF(R$401:R$490,$C677,$S$401:$S$490)*Forrajes!BR15*R$99</f>
        <v>0</v>
      </c>
      <c r="AF677" s="1976">
        <f>Forrajes!BU15*S677</f>
        <v>0</v>
      </c>
      <c r="AG677" s="668">
        <f>Forrajes!BV15*T677</f>
        <v>0</v>
      </c>
      <c r="AH677" s="668">
        <f>Forrajes!BW15*U677</f>
        <v>0</v>
      </c>
      <c r="AI677" s="668">
        <f>Forrajes!BX15*V677</f>
        <v>0</v>
      </c>
      <c r="AJ677" s="668">
        <f>Forrajes!BY15*W677</f>
        <v>0</v>
      </c>
      <c r="AK677" s="668">
        <f>Forrajes!BZ15*X677</f>
        <v>0</v>
      </c>
      <c r="AL677" s="668">
        <f>Forrajes!CA15*Y677</f>
        <v>0</v>
      </c>
      <c r="AM677" s="668">
        <f>Forrajes!CB15*Z677</f>
        <v>0</v>
      </c>
      <c r="AN677" s="668">
        <f>Forrajes!CC15*AA677</f>
        <v>0</v>
      </c>
      <c r="AO677" s="668">
        <f>Forrajes!CD15*AB677</f>
        <v>0</v>
      </c>
      <c r="AP677" s="668">
        <f>Forrajes!CE15*AC677</f>
        <v>0</v>
      </c>
      <c r="AQ677" s="668">
        <f>Forrajes!CF15*AD677</f>
        <v>0</v>
      </c>
      <c r="AS677" s="1976">
        <f>Forrajes!CI15*S677</f>
        <v>0</v>
      </c>
      <c r="AT677" s="668">
        <f>Forrajes!CJ15*T677</f>
        <v>0</v>
      </c>
      <c r="AU677" s="668">
        <f>Forrajes!CK15*U677</f>
        <v>0</v>
      </c>
      <c r="AV677" s="668">
        <f>Forrajes!CL15*V677</f>
        <v>0</v>
      </c>
      <c r="AW677" s="668">
        <f>Forrajes!CM15*W677</f>
        <v>0</v>
      </c>
      <c r="AX677" s="668">
        <f>Forrajes!CN15*X677</f>
        <v>0</v>
      </c>
      <c r="AY677" s="668">
        <f>Forrajes!CO15*Y677</f>
        <v>0</v>
      </c>
      <c r="AZ677" s="668">
        <f>Forrajes!CP15*Z677</f>
        <v>0</v>
      </c>
      <c r="BA677" s="668">
        <f>Forrajes!CQ15*AA677</f>
        <v>0</v>
      </c>
      <c r="BB677" s="668">
        <f>Forrajes!CR15*AB677</f>
        <v>0</v>
      </c>
      <c r="BC677" s="668">
        <f>Forrajes!CS15*AC677</f>
        <v>0</v>
      </c>
      <c r="BD677" s="1818">
        <f>Forrajes!CT15*AD677</f>
        <v>0</v>
      </c>
      <c r="BE677" s="590"/>
      <c r="BF677" s="100"/>
      <c r="BG677" s="590"/>
      <c r="BH677" s="590"/>
      <c r="BI677" s="1978"/>
      <c r="BJ677" s="1975"/>
      <c r="BK677" s="590"/>
    </row>
    <row r="678" spans="3:63" s="108" customFormat="1" x14ac:dyDescent="0.2">
      <c r="C678" s="1971" t="str">
        <f t="shared" si="500"/>
        <v xml:space="preserve">Prad 1Vacas Ordeñe </v>
      </c>
      <c r="D678" s="1857" t="str">
        <f t="shared" si="501"/>
        <v>Prad 1</v>
      </c>
      <c r="E678" s="590"/>
      <c r="F678" s="1972">
        <f t="shared" ref="F678:Q678" si="504">IF($D678=0,0,SUMIF(G$401:G$490,$C678,$S$401:$S$490))</f>
        <v>0</v>
      </c>
      <c r="G678" s="1972">
        <f t="shared" si="504"/>
        <v>0</v>
      </c>
      <c r="H678" s="1972">
        <f t="shared" si="504"/>
        <v>0</v>
      </c>
      <c r="I678" s="1972">
        <f t="shared" si="504"/>
        <v>0</v>
      </c>
      <c r="J678" s="1972">
        <f t="shared" si="504"/>
        <v>0</v>
      </c>
      <c r="K678" s="1972">
        <f t="shared" si="504"/>
        <v>0</v>
      </c>
      <c r="L678" s="1972">
        <f t="shared" si="504"/>
        <v>0</v>
      </c>
      <c r="M678" s="1972">
        <f t="shared" si="504"/>
        <v>0</v>
      </c>
      <c r="N678" s="1972">
        <f t="shared" si="504"/>
        <v>0</v>
      </c>
      <c r="O678" s="1972">
        <f t="shared" si="504"/>
        <v>0</v>
      </c>
      <c r="P678" s="1972">
        <f t="shared" si="504"/>
        <v>0</v>
      </c>
      <c r="Q678" s="1972">
        <f t="shared" si="504"/>
        <v>0</v>
      </c>
      <c r="S678" s="1976">
        <f>SUMIF(G$401:G$490,$C678,$S$401:$S$490)*Forrajes!BG16*G$99</f>
        <v>0</v>
      </c>
      <c r="T678" s="668">
        <f>SUMIF(H$401:H$490,$C678,$S$401:$S$490)*Forrajes!BH16*H$99</f>
        <v>0</v>
      </c>
      <c r="U678" s="668">
        <f>SUMIF(I$401:I$490,$C678,$S$401:$S$490)*Forrajes!BI16*I$99</f>
        <v>0</v>
      </c>
      <c r="V678" s="668">
        <f>SUMIF(J$401:J$490,$C678,$S$401:$S$490)*Forrajes!BJ16*J$99</f>
        <v>0</v>
      </c>
      <c r="W678" s="668">
        <f>SUMIF(K$401:K$490,$C678,$S$401:$S$490)*Forrajes!BK16*K$99</f>
        <v>0</v>
      </c>
      <c r="X678" s="668">
        <f>SUMIF(L$401:L$490,$C678,$S$401:$S$490)*Forrajes!BL16*L$99</f>
        <v>0</v>
      </c>
      <c r="Y678" s="668">
        <f>SUMIF(M$401:M$490,$C678,$S$401:$S$490)*Forrajes!BM16*M$99</f>
        <v>0</v>
      </c>
      <c r="Z678" s="668">
        <f>SUMIF(N$401:N$490,$C678,$S$401:$S$490)*Forrajes!BN16*N$99</f>
        <v>0</v>
      </c>
      <c r="AA678" s="668">
        <f>SUMIF(O$401:O$490,$C678,$S$401:$S$490)*Forrajes!BO16*O$99</f>
        <v>0</v>
      </c>
      <c r="AB678" s="668">
        <f>SUMIF(P$401:P$490,$C678,$S$401:$S$490)*Forrajes!BP16*P$99</f>
        <v>0</v>
      </c>
      <c r="AC678" s="668">
        <f>SUMIF(Q$401:Q$490,$C678,$S$401:$S$490)*Forrajes!BQ16*Q$99</f>
        <v>0</v>
      </c>
      <c r="AD678" s="1977">
        <f>SUMIF(R$401:R$490,$C678,$S$401:$S$490)*Forrajes!BR16*R$99</f>
        <v>0</v>
      </c>
      <c r="AF678" s="1976">
        <f>Forrajes!BU16*S678</f>
        <v>0</v>
      </c>
      <c r="AG678" s="668">
        <f>Forrajes!BV16*T678</f>
        <v>0</v>
      </c>
      <c r="AH678" s="668">
        <f>Forrajes!BW16*U678</f>
        <v>0</v>
      </c>
      <c r="AI678" s="668">
        <f>Forrajes!BX16*V678</f>
        <v>0</v>
      </c>
      <c r="AJ678" s="668">
        <f>Forrajes!BY16*W678</f>
        <v>0</v>
      </c>
      <c r="AK678" s="668">
        <f>Forrajes!BZ16*X678</f>
        <v>0</v>
      </c>
      <c r="AL678" s="668">
        <f>Forrajes!CA16*Y678</f>
        <v>0</v>
      </c>
      <c r="AM678" s="668">
        <f>Forrajes!CB16*Z678</f>
        <v>0</v>
      </c>
      <c r="AN678" s="668">
        <f>Forrajes!CC16*AA678</f>
        <v>0</v>
      </c>
      <c r="AO678" s="668">
        <f>Forrajes!CD16*AB678</f>
        <v>0</v>
      </c>
      <c r="AP678" s="668">
        <f>Forrajes!CE16*AC678</f>
        <v>0</v>
      </c>
      <c r="AQ678" s="668">
        <f>Forrajes!CF16*AD678</f>
        <v>0</v>
      </c>
      <c r="AS678" s="1976">
        <f>Forrajes!CI16*S678</f>
        <v>0</v>
      </c>
      <c r="AT678" s="668">
        <f>Forrajes!CJ16*T678</f>
        <v>0</v>
      </c>
      <c r="AU678" s="668">
        <f>Forrajes!CK16*U678</f>
        <v>0</v>
      </c>
      <c r="AV678" s="668">
        <f>Forrajes!CL16*V678</f>
        <v>0</v>
      </c>
      <c r="AW678" s="668">
        <f>Forrajes!CM16*W678</f>
        <v>0</v>
      </c>
      <c r="AX678" s="668">
        <f>Forrajes!CN16*X678</f>
        <v>0</v>
      </c>
      <c r="AY678" s="668">
        <f>Forrajes!CO16*Y678</f>
        <v>0</v>
      </c>
      <c r="AZ678" s="668">
        <f>Forrajes!CP16*Z678</f>
        <v>0</v>
      </c>
      <c r="BA678" s="668">
        <f>Forrajes!CQ16*AA678</f>
        <v>0</v>
      </c>
      <c r="BB678" s="668">
        <f>Forrajes!CR16*AB678</f>
        <v>0</v>
      </c>
      <c r="BC678" s="668">
        <f>Forrajes!CS16*AC678</f>
        <v>0</v>
      </c>
      <c r="BD678" s="1818">
        <f>Forrajes!CT16*AD678</f>
        <v>0</v>
      </c>
      <c r="BE678" s="590"/>
      <c r="BF678" s="100"/>
      <c r="BG678" s="590"/>
      <c r="BH678" s="590"/>
      <c r="BI678" s="1978"/>
      <c r="BJ678" s="1975"/>
      <c r="BK678" s="590"/>
    </row>
    <row r="679" spans="3:63" s="108" customFormat="1" x14ac:dyDescent="0.2">
      <c r="C679" s="1971" t="str">
        <f t="shared" si="500"/>
        <v xml:space="preserve">Trébol Rojo 1Vacas Ordeñe </v>
      </c>
      <c r="D679" s="1857" t="str">
        <f t="shared" si="501"/>
        <v>Trébol Rojo 1</v>
      </c>
      <c r="E679" s="590"/>
      <c r="F679" s="1972">
        <f t="shared" ref="F679:Q679" si="505">IF($D679=0,0,SUMIF(G$401:G$490,$C679,$S$401:$S$490))</f>
        <v>0</v>
      </c>
      <c r="G679" s="1972">
        <f t="shared" si="505"/>
        <v>0</v>
      </c>
      <c r="H679" s="1972">
        <f t="shared" si="505"/>
        <v>0</v>
      </c>
      <c r="I679" s="1972">
        <f t="shared" si="505"/>
        <v>0</v>
      </c>
      <c r="J679" s="1972">
        <f t="shared" si="505"/>
        <v>0</v>
      </c>
      <c r="K679" s="1972">
        <f t="shared" si="505"/>
        <v>0</v>
      </c>
      <c r="L679" s="1972">
        <f t="shared" si="505"/>
        <v>0</v>
      </c>
      <c r="M679" s="1972">
        <f t="shared" si="505"/>
        <v>0</v>
      </c>
      <c r="N679" s="1972">
        <f t="shared" si="505"/>
        <v>0</v>
      </c>
      <c r="O679" s="1972">
        <f t="shared" si="505"/>
        <v>0</v>
      </c>
      <c r="P679" s="1972">
        <f t="shared" si="505"/>
        <v>0</v>
      </c>
      <c r="Q679" s="1972">
        <f t="shared" si="505"/>
        <v>0</v>
      </c>
      <c r="S679" s="1976">
        <f>SUMIF(G$401:G$490,$C679,$S$401:$S$490)*Forrajes!BG17*G$99</f>
        <v>0</v>
      </c>
      <c r="T679" s="668">
        <f>SUMIF(H$401:H$490,$C679,$S$401:$S$490)*Forrajes!BH17*H$99</f>
        <v>0</v>
      </c>
      <c r="U679" s="668">
        <f>SUMIF(I$401:I$490,$C679,$S$401:$S$490)*Forrajes!BI17*I$99</f>
        <v>0</v>
      </c>
      <c r="V679" s="668">
        <f>SUMIF(J$401:J$490,$C679,$S$401:$S$490)*Forrajes!BJ17*J$99</f>
        <v>0</v>
      </c>
      <c r="W679" s="668">
        <f>SUMIF(K$401:K$490,$C679,$S$401:$S$490)*Forrajes!BK17*K$99</f>
        <v>0</v>
      </c>
      <c r="X679" s="668">
        <f>SUMIF(L$401:L$490,$C679,$S$401:$S$490)*Forrajes!BL17*L$99</f>
        <v>0</v>
      </c>
      <c r="Y679" s="668">
        <f>SUMIF(M$401:M$490,$C679,$S$401:$S$490)*Forrajes!BM17*M$99</f>
        <v>0</v>
      </c>
      <c r="Z679" s="668">
        <f>SUMIF(N$401:N$490,$C679,$S$401:$S$490)*Forrajes!BN17*N$99</f>
        <v>0</v>
      </c>
      <c r="AA679" s="668">
        <f>SUMIF(O$401:O$490,$C679,$S$401:$S$490)*Forrajes!BO17*O$99</f>
        <v>0</v>
      </c>
      <c r="AB679" s="668">
        <f>SUMIF(P$401:P$490,$C679,$S$401:$S$490)*Forrajes!BP17*P$99</f>
        <v>0</v>
      </c>
      <c r="AC679" s="668">
        <f>SUMIF(Q$401:Q$490,$C679,$S$401:$S$490)*Forrajes!BQ17*Q$99</f>
        <v>0</v>
      </c>
      <c r="AD679" s="1977">
        <f>SUMIF(R$401:R$490,$C679,$S$401:$S$490)*Forrajes!BR17*R$99</f>
        <v>0</v>
      </c>
      <c r="AF679" s="1976">
        <f>Forrajes!BU17*S679</f>
        <v>0</v>
      </c>
      <c r="AG679" s="668">
        <f>Forrajes!BV17*T679</f>
        <v>0</v>
      </c>
      <c r="AH679" s="668">
        <f>Forrajes!BW17*U679</f>
        <v>0</v>
      </c>
      <c r="AI679" s="668">
        <f>Forrajes!BX17*V679</f>
        <v>0</v>
      </c>
      <c r="AJ679" s="668">
        <f>Forrajes!BY17*W679</f>
        <v>0</v>
      </c>
      <c r="AK679" s="668">
        <f>Forrajes!BZ17*X679</f>
        <v>0</v>
      </c>
      <c r="AL679" s="668">
        <f>Forrajes!CA17*Y679</f>
        <v>0</v>
      </c>
      <c r="AM679" s="668">
        <f>Forrajes!CB17*Z679</f>
        <v>0</v>
      </c>
      <c r="AN679" s="668">
        <f>Forrajes!CC17*AA679</f>
        <v>0</v>
      </c>
      <c r="AO679" s="668">
        <f>Forrajes!CD17*AB679</f>
        <v>0</v>
      </c>
      <c r="AP679" s="668">
        <f>Forrajes!CE17*AC679</f>
        <v>0</v>
      </c>
      <c r="AQ679" s="668">
        <f>Forrajes!CF17*AD679</f>
        <v>0</v>
      </c>
      <c r="AS679" s="1976">
        <f>Forrajes!CI17*S679</f>
        <v>0</v>
      </c>
      <c r="AT679" s="668">
        <f>Forrajes!CJ17*T679</f>
        <v>0</v>
      </c>
      <c r="AU679" s="668">
        <f>Forrajes!CK17*U679</f>
        <v>0</v>
      </c>
      <c r="AV679" s="668">
        <f>Forrajes!CL17*V679</f>
        <v>0</v>
      </c>
      <c r="AW679" s="668">
        <f>Forrajes!CM17*W679</f>
        <v>0</v>
      </c>
      <c r="AX679" s="668">
        <f>Forrajes!CN17*X679</f>
        <v>0</v>
      </c>
      <c r="AY679" s="668">
        <f>Forrajes!CO17*Y679</f>
        <v>0</v>
      </c>
      <c r="AZ679" s="668">
        <f>Forrajes!CP17*Z679</f>
        <v>0</v>
      </c>
      <c r="BA679" s="668">
        <f>Forrajes!CQ17*AA679</f>
        <v>0</v>
      </c>
      <c r="BB679" s="668">
        <f>Forrajes!CR17*AB679</f>
        <v>0</v>
      </c>
      <c r="BC679" s="668">
        <f>Forrajes!CS17*AC679</f>
        <v>0</v>
      </c>
      <c r="BD679" s="1818">
        <f>Forrajes!CT17*AD679</f>
        <v>0</v>
      </c>
      <c r="BE679" s="590"/>
      <c r="BF679" s="100"/>
      <c r="BG679" s="590"/>
      <c r="BH679" s="590"/>
      <c r="BI679" s="1978"/>
      <c r="BJ679" s="1975"/>
      <c r="BK679" s="590"/>
    </row>
    <row r="680" spans="3:63" s="108" customFormat="1" x14ac:dyDescent="0.2">
      <c r="C680" s="1971" t="str">
        <f t="shared" si="500"/>
        <v xml:space="preserve">0Vacas Ordeñe </v>
      </c>
      <c r="D680" s="1857">
        <f t="shared" si="501"/>
        <v>0</v>
      </c>
      <c r="E680" s="590"/>
      <c r="F680" s="1972">
        <f t="shared" ref="F680:Q680" si="506">IF($D680=0,0,SUMIF(G$401:G$490,$C680,$S$401:$S$490))</f>
        <v>0</v>
      </c>
      <c r="G680" s="1972">
        <f t="shared" si="506"/>
        <v>0</v>
      </c>
      <c r="H680" s="1972">
        <f t="shared" si="506"/>
        <v>0</v>
      </c>
      <c r="I680" s="1972">
        <f t="shared" si="506"/>
        <v>0</v>
      </c>
      <c r="J680" s="1972">
        <f t="shared" si="506"/>
        <v>0</v>
      </c>
      <c r="K680" s="1972">
        <f t="shared" si="506"/>
        <v>0</v>
      </c>
      <c r="L680" s="1972">
        <f t="shared" si="506"/>
        <v>0</v>
      </c>
      <c r="M680" s="1972">
        <f t="shared" si="506"/>
        <v>0</v>
      </c>
      <c r="N680" s="1972">
        <f t="shared" si="506"/>
        <v>0</v>
      </c>
      <c r="O680" s="1972">
        <f t="shared" si="506"/>
        <v>0</v>
      </c>
      <c r="P680" s="1972">
        <f t="shared" si="506"/>
        <v>0</v>
      </c>
      <c r="Q680" s="1972">
        <f t="shared" si="506"/>
        <v>0</v>
      </c>
      <c r="S680" s="1976">
        <f>SUMIF(G$401:G$490,$C680,$S$401:$S$490)*Forrajes!BG18*G$99</f>
        <v>0</v>
      </c>
      <c r="T680" s="668">
        <f>SUMIF(H$401:H$490,$C680,$S$401:$S$490)*Forrajes!BH18*H$99</f>
        <v>0</v>
      </c>
      <c r="U680" s="668">
        <f>SUMIF(I$401:I$490,$C680,$S$401:$S$490)*Forrajes!BI18*I$99</f>
        <v>0</v>
      </c>
      <c r="V680" s="668">
        <f>SUMIF(J$401:J$490,$C680,$S$401:$S$490)*Forrajes!BJ18*J$99</f>
        <v>0</v>
      </c>
      <c r="W680" s="668">
        <f>SUMIF(K$401:K$490,$C680,$S$401:$S$490)*Forrajes!BK18*K$99</f>
        <v>0</v>
      </c>
      <c r="X680" s="668">
        <f>SUMIF(L$401:L$490,$C680,$S$401:$S$490)*Forrajes!BL18*L$99</f>
        <v>0</v>
      </c>
      <c r="Y680" s="668">
        <f>SUMIF(M$401:M$490,$C680,$S$401:$S$490)*Forrajes!BM18*M$99</f>
        <v>0</v>
      </c>
      <c r="Z680" s="668">
        <f>SUMIF(N$401:N$490,$C680,$S$401:$S$490)*Forrajes!BN18*N$99</f>
        <v>0</v>
      </c>
      <c r="AA680" s="668">
        <f>SUMIF(O$401:O$490,$C680,$S$401:$S$490)*Forrajes!BO18*O$99</f>
        <v>0</v>
      </c>
      <c r="AB680" s="668">
        <f>SUMIF(P$401:P$490,$C680,$S$401:$S$490)*Forrajes!BP18*P$99</f>
        <v>0</v>
      </c>
      <c r="AC680" s="668">
        <f>SUMIF(Q$401:Q$490,$C680,$S$401:$S$490)*Forrajes!BQ18*Q$99</f>
        <v>0</v>
      </c>
      <c r="AD680" s="1977">
        <f>SUMIF(R$401:R$490,$C680,$S$401:$S$490)*Forrajes!BR18*R$99</f>
        <v>0</v>
      </c>
      <c r="AF680" s="1976">
        <f>Forrajes!BU18*S680</f>
        <v>0</v>
      </c>
      <c r="AG680" s="668">
        <f>Forrajes!BV18*T680</f>
        <v>0</v>
      </c>
      <c r="AH680" s="668">
        <f>Forrajes!BW18*U680</f>
        <v>0</v>
      </c>
      <c r="AI680" s="668">
        <f>Forrajes!BX18*V680</f>
        <v>0</v>
      </c>
      <c r="AJ680" s="668">
        <f>Forrajes!BY18*W680</f>
        <v>0</v>
      </c>
      <c r="AK680" s="668">
        <f>Forrajes!BZ18*X680</f>
        <v>0</v>
      </c>
      <c r="AL680" s="668">
        <f>Forrajes!CA18*Y680</f>
        <v>0</v>
      </c>
      <c r="AM680" s="668">
        <f>Forrajes!CB18*Z680</f>
        <v>0</v>
      </c>
      <c r="AN680" s="668">
        <f>Forrajes!CC18*AA680</f>
        <v>0</v>
      </c>
      <c r="AO680" s="668">
        <f>Forrajes!CD18*AB680</f>
        <v>0</v>
      </c>
      <c r="AP680" s="668">
        <f>Forrajes!CE18*AC680</f>
        <v>0</v>
      </c>
      <c r="AQ680" s="668">
        <f>Forrajes!CF18*AD680</f>
        <v>0</v>
      </c>
      <c r="AS680" s="1976">
        <f>Forrajes!CI18*S680</f>
        <v>0</v>
      </c>
      <c r="AT680" s="668">
        <f>Forrajes!CJ18*T680</f>
        <v>0</v>
      </c>
      <c r="AU680" s="668">
        <f>Forrajes!CK18*U680</f>
        <v>0</v>
      </c>
      <c r="AV680" s="668">
        <f>Forrajes!CL18*V680</f>
        <v>0</v>
      </c>
      <c r="AW680" s="668">
        <f>Forrajes!CM18*W680</f>
        <v>0</v>
      </c>
      <c r="AX680" s="668">
        <f>Forrajes!CN18*X680</f>
        <v>0</v>
      </c>
      <c r="AY680" s="668">
        <f>Forrajes!CO18*Y680</f>
        <v>0</v>
      </c>
      <c r="AZ680" s="668">
        <f>Forrajes!CP18*Z680</f>
        <v>0</v>
      </c>
      <c r="BA680" s="668">
        <f>Forrajes!CQ18*AA680</f>
        <v>0</v>
      </c>
      <c r="BB680" s="668">
        <f>Forrajes!CR18*AB680</f>
        <v>0</v>
      </c>
      <c r="BC680" s="668">
        <f>Forrajes!CS18*AC680</f>
        <v>0</v>
      </c>
      <c r="BD680" s="1818">
        <f>Forrajes!CT18*AD680</f>
        <v>0</v>
      </c>
      <c r="BE680" s="590"/>
      <c r="BF680" s="100"/>
      <c r="BG680" s="590"/>
      <c r="BH680" s="590"/>
      <c r="BI680" s="1978"/>
      <c r="BJ680" s="1975"/>
      <c r="BK680" s="590"/>
    </row>
    <row r="681" spans="3:63" s="108" customFormat="1" x14ac:dyDescent="0.2">
      <c r="C681" s="1971" t="str">
        <f t="shared" si="500"/>
        <v xml:space="preserve">0Vacas Ordeñe </v>
      </c>
      <c r="D681" s="1857">
        <f t="shared" si="501"/>
        <v>0</v>
      </c>
      <c r="E681" s="590"/>
      <c r="F681" s="1972">
        <f t="shared" ref="F681:Q681" si="507">IF($D681=0,0,SUMIF(G$401:G$490,$C681,$S$401:$S$490))</f>
        <v>0</v>
      </c>
      <c r="G681" s="1972">
        <f t="shared" si="507"/>
        <v>0</v>
      </c>
      <c r="H681" s="1972">
        <f t="shared" si="507"/>
        <v>0</v>
      </c>
      <c r="I681" s="1972">
        <f t="shared" si="507"/>
        <v>0</v>
      </c>
      <c r="J681" s="1972">
        <f t="shared" si="507"/>
        <v>0</v>
      </c>
      <c r="K681" s="1972">
        <f t="shared" si="507"/>
        <v>0</v>
      </c>
      <c r="L681" s="1972">
        <f t="shared" si="507"/>
        <v>0</v>
      </c>
      <c r="M681" s="1972">
        <f t="shared" si="507"/>
        <v>0</v>
      </c>
      <c r="N681" s="1972">
        <f t="shared" si="507"/>
        <v>0</v>
      </c>
      <c r="O681" s="1972">
        <f t="shared" si="507"/>
        <v>0</v>
      </c>
      <c r="P681" s="1972">
        <f t="shared" si="507"/>
        <v>0</v>
      </c>
      <c r="Q681" s="1972">
        <f t="shared" si="507"/>
        <v>0</v>
      </c>
      <c r="S681" s="1976">
        <f>SUMIF(G$401:G$490,$C681,$S$401:$S$490)*Forrajes!BG19*G$99</f>
        <v>0</v>
      </c>
      <c r="T681" s="668">
        <f>SUMIF(H$401:H$490,$C681,$S$401:$S$490)*Forrajes!BH19*H$99</f>
        <v>0</v>
      </c>
      <c r="U681" s="668">
        <f>SUMIF(I$401:I$490,$C681,$S$401:$S$490)*Forrajes!BI19*I$99</f>
        <v>0</v>
      </c>
      <c r="V681" s="668">
        <f>SUMIF(J$401:J$490,$C681,$S$401:$S$490)*Forrajes!BJ19*J$99</f>
        <v>0</v>
      </c>
      <c r="W681" s="668">
        <f>SUMIF(K$401:K$490,$C681,$S$401:$S$490)*Forrajes!BK19*K$99</f>
        <v>0</v>
      </c>
      <c r="X681" s="668">
        <f>SUMIF(L$401:L$490,$C681,$S$401:$S$490)*Forrajes!BL19*L$99</f>
        <v>0</v>
      </c>
      <c r="Y681" s="668">
        <f>SUMIF(M$401:M$490,$C681,$S$401:$S$490)*Forrajes!BM19*M$99</f>
        <v>0</v>
      </c>
      <c r="Z681" s="668">
        <f>SUMIF(N$401:N$490,$C681,$S$401:$S$490)*Forrajes!BN19*N$99</f>
        <v>0</v>
      </c>
      <c r="AA681" s="668">
        <f>SUMIF(O$401:O$490,$C681,$S$401:$S$490)*Forrajes!BO19*O$99</f>
        <v>0</v>
      </c>
      <c r="AB681" s="668">
        <f>SUMIF(P$401:P$490,$C681,$S$401:$S$490)*Forrajes!BP19*P$99</f>
        <v>0</v>
      </c>
      <c r="AC681" s="668">
        <f>SUMIF(Q$401:Q$490,$C681,$S$401:$S$490)*Forrajes!BQ19*Q$99</f>
        <v>0</v>
      </c>
      <c r="AD681" s="1977">
        <f>SUMIF(R$401:R$490,$C681,$S$401:$S$490)*Forrajes!BR19*R$99</f>
        <v>0</v>
      </c>
      <c r="AF681" s="1976">
        <f>Forrajes!BU19*S681</f>
        <v>0</v>
      </c>
      <c r="AG681" s="668">
        <f>Forrajes!BV19*T681</f>
        <v>0</v>
      </c>
      <c r="AH681" s="668">
        <f>Forrajes!BW19*U681</f>
        <v>0</v>
      </c>
      <c r="AI681" s="668">
        <f>Forrajes!BX19*V681</f>
        <v>0</v>
      </c>
      <c r="AJ681" s="668">
        <f>Forrajes!BY19*W681</f>
        <v>0</v>
      </c>
      <c r="AK681" s="668">
        <f>Forrajes!BZ19*X681</f>
        <v>0</v>
      </c>
      <c r="AL681" s="668">
        <f>Forrajes!CA19*Y681</f>
        <v>0</v>
      </c>
      <c r="AM681" s="668">
        <f>Forrajes!CB19*Z681</f>
        <v>0</v>
      </c>
      <c r="AN681" s="668">
        <f>Forrajes!CC19*AA681</f>
        <v>0</v>
      </c>
      <c r="AO681" s="668">
        <f>Forrajes!CD19*AB681</f>
        <v>0</v>
      </c>
      <c r="AP681" s="668">
        <f>Forrajes!CE19*AC681</f>
        <v>0</v>
      </c>
      <c r="AQ681" s="668">
        <f>Forrajes!CF19*AD681</f>
        <v>0</v>
      </c>
      <c r="AS681" s="1976">
        <f>Forrajes!CI19*S681</f>
        <v>0</v>
      </c>
      <c r="AT681" s="668">
        <f>Forrajes!CJ19*T681</f>
        <v>0</v>
      </c>
      <c r="AU681" s="668">
        <f>Forrajes!CK19*U681</f>
        <v>0</v>
      </c>
      <c r="AV681" s="668">
        <f>Forrajes!CL19*V681</f>
        <v>0</v>
      </c>
      <c r="AW681" s="668">
        <f>Forrajes!CM19*W681</f>
        <v>0</v>
      </c>
      <c r="AX681" s="668">
        <f>Forrajes!CN19*X681</f>
        <v>0</v>
      </c>
      <c r="AY681" s="668">
        <f>Forrajes!CO19*Y681</f>
        <v>0</v>
      </c>
      <c r="AZ681" s="668">
        <f>Forrajes!CP19*Z681</f>
        <v>0</v>
      </c>
      <c r="BA681" s="668">
        <f>Forrajes!CQ19*AA681</f>
        <v>0</v>
      </c>
      <c r="BB681" s="668">
        <f>Forrajes!CR19*AB681</f>
        <v>0</v>
      </c>
      <c r="BC681" s="668">
        <f>Forrajes!CS19*AC681</f>
        <v>0</v>
      </c>
      <c r="BD681" s="1818">
        <f>Forrajes!CT19*AD681</f>
        <v>0</v>
      </c>
      <c r="BE681" s="590"/>
      <c r="BF681" s="100"/>
      <c r="BG681" s="590"/>
      <c r="BH681" s="590"/>
      <c r="BI681" s="1978"/>
      <c r="BJ681" s="1975"/>
      <c r="BK681" s="590"/>
    </row>
    <row r="682" spans="3:63" s="108" customFormat="1" x14ac:dyDescent="0.2">
      <c r="C682" s="1971"/>
      <c r="D682" s="1979" t="s">
        <v>990</v>
      </c>
      <c r="E682" s="1980"/>
      <c r="F682" s="1909">
        <f>SUM(F676:F681)</f>
        <v>0</v>
      </c>
      <c r="G682" s="1909">
        <f t="shared" ref="G682:Q682" si="508">SUM(G676:G681)</f>
        <v>0</v>
      </c>
      <c r="H682" s="1909">
        <f t="shared" si="508"/>
        <v>0</v>
      </c>
      <c r="I682" s="1909">
        <f t="shared" si="508"/>
        <v>0</v>
      </c>
      <c r="J682" s="1909">
        <f t="shared" si="508"/>
        <v>0</v>
      </c>
      <c r="K682" s="1909">
        <f t="shared" si="508"/>
        <v>0</v>
      </c>
      <c r="L682" s="1909">
        <f t="shared" si="508"/>
        <v>0</v>
      </c>
      <c r="M682" s="1909">
        <f t="shared" si="508"/>
        <v>0</v>
      </c>
      <c r="N682" s="1909">
        <f t="shared" si="508"/>
        <v>0</v>
      </c>
      <c r="O682" s="1909">
        <f t="shared" si="508"/>
        <v>0</v>
      </c>
      <c r="P682" s="1909">
        <f t="shared" si="508"/>
        <v>0</v>
      </c>
      <c r="Q682" s="1909">
        <f t="shared" si="508"/>
        <v>0</v>
      </c>
      <c r="S682" s="1976"/>
      <c r="T682" s="668"/>
      <c r="U682" s="668"/>
      <c r="V682" s="668"/>
      <c r="W682" s="668"/>
      <c r="X682" s="668"/>
      <c r="Y682" s="668"/>
      <c r="Z682" s="668"/>
      <c r="AA682" s="668"/>
      <c r="AB682" s="668"/>
      <c r="AC682" s="668"/>
      <c r="AD682" s="1977"/>
      <c r="AF682" s="1976"/>
      <c r="AG682" s="668"/>
      <c r="AH682" s="668"/>
      <c r="AI682" s="668"/>
      <c r="AJ682" s="668"/>
      <c r="AK682" s="668"/>
      <c r="AL682" s="668"/>
      <c r="AM682" s="668"/>
      <c r="AN682" s="668"/>
      <c r="AO682" s="668"/>
      <c r="AP682" s="668"/>
      <c r="AQ682" s="668"/>
      <c r="AS682" s="1976"/>
      <c r="AT682" s="668"/>
      <c r="AU682" s="668"/>
      <c r="AV682" s="668"/>
      <c r="AW682" s="668"/>
      <c r="AX682" s="668"/>
      <c r="AY682" s="668"/>
      <c r="AZ682" s="668"/>
      <c r="BA682" s="668"/>
      <c r="BB682" s="668"/>
      <c r="BC682" s="668"/>
      <c r="BD682" s="1818"/>
      <c r="BE682" s="590"/>
      <c r="BF682" s="100"/>
      <c r="BG682" s="590"/>
      <c r="BH682" s="590"/>
      <c r="BI682" s="1978"/>
      <c r="BJ682" s="1975"/>
      <c r="BK682" s="590"/>
    </row>
    <row r="683" spans="3:63" s="108" customFormat="1" x14ac:dyDescent="0.2">
      <c r="C683" s="1971" t="str">
        <f t="shared" ref="C683:C696" si="509">D683&amp;$D$638</f>
        <v xml:space="preserve">Alfalfa 2Vacas Ordeñe </v>
      </c>
      <c r="D683" s="1857" t="str">
        <f t="shared" ref="D683:D696" si="510">+D302</f>
        <v>Alfalfa 2</v>
      </c>
      <c r="E683" s="590"/>
      <c r="F683" s="1972">
        <f t="shared" ref="F683:Q683" si="511">IF($D683=0,0,SUMIF(G$401:G$490,$C683,$S$401:$S$490))</f>
        <v>0</v>
      </c>
      <c r="G683" s="1972">
        <f t="shared" si="511"/>
        <v>0</v>
      </c>
      <c r="H683" s="1972">
        <f t="shared" si="511"/>
        <v>0</v>
      </c>
      <c r="I683" s="1972">
        <f t="shared" si="511"/>
        <v>0</v>
      </c>
      <c r="J683" s="1972">
        <f t="shared" si="511"/>
        <v>0</v>
      </c>
      <c r="K683" s="1972">
        <f t="shared" si="511"/>
        <v>0</v>
      </c>
      <c r="L683" s="1972">
        <f t="shared" si="511"/>
        <v>0</v>
      </c>
      <c r="M683" s="1972">
        <f t="shared" si="511"/>
        <v>0</v>
      </c>
      <c r="N683" s="1972">
        <f t="shared" si="511"/>
        <v>0</v>
      </c>
      <c r="O683" s="1972">
        <f t="shared" si="511"/>
        <v>0</v>
      </c>
      <c r="P683" s="1972">
        <f t="shared" si="511"/>
        <v>0</v>
      </c>
      <c r="Q683" s="1972">
        <f t="shared" si="511"/>
        <v>0</v>
      </c>
      <c r="S683" s="1976">
        <f>SUMIF(G$401:G$490,$C683,$S$401:$S$490)*Forrajes!BG21*G$99</f>
        <v>0</v>
      </c>
      <c r="T683" s="668">
        <f>SUMIF(H$401:H$490,$C683,$S$401:$S$490)*Forrajes!BH21*H$99</f>
        <v>0</v>
      </c>
      <c r="U683" s="668">
        <f>SUMIF(I$401:I$490,$C683,$S$401:$S$490)*Forrajes!BI21*I$99</f>
        <v>0</v>
      </c>
      <c r="V683" s="668">
        <f>SUMIF(J$401:J$490,$C683,$S$401:$S$490)*Forrajes!BJ21*J$99</f>
        <v>0</v>
      </c>
      <c r="W683" s="668">
        <f>SUMIF(K$401:K$490,$C683,$S$401:$S$490)*Forrajes!BK21*K$99</f>
        <v>0</v>
      </c>
      <c r="X683" s="668">
        <f>SUMIF(L$401:L$490,$C683,$S$401:$S$490)*Forrajes!BL21*L$99</f>
        <v>0</v>
      </c>
      <c r="Y683" s="668">
        <f>SUMIF(M$401:M$490,$C683,$S$401:$S$490)*Forrajes!BM21*M$99</f>
        <v>0</v>
      </c>
      <c r="Z683" s="668">
        <f>SUMIF(N$401:N$490,$C683,$S$401:$S$490)*Forrajes!BN21*N$99</f>
        <v>0</v>
      </c>
      <c r="AA683" s="668">
        <f>SUMIF(O$401:O$490,$C683,$S$401:$S$490)*Forrajes!BO21*O$99</f>
        <v>0</v>
      </c>
      <c r="AB683" s="668">
        <f>SUMIF(P$401:P$490,$C683,$S$401:$S$490)*Forrajes!BP21*P$99</f>
        <v>0</v>
      </c>
      <c r="AC683" s="668">
        <f>SUMIF(Q$401:Q$490,$C683,$S$401:$S$490)*Forrajes!BQ21*Q$99</f>
        <v>0</v>
      </c>
      <c r="AD683" s="1977">
        <f>SUMIF(R$401:R$490,$C683,$S$401:$S$490)*Forrajes!BR21*R$99</f>
        <v>0</v>
      </c>
      <c r="AF683" s="1976">
        <f>Forrajes!BU21*S683</f>
        <v>0</v>
      </c>
      <c r="AG683" s="668">
        <f>Forrajes!BV21*T683</f>
        <v>0</v>
      </c>
      <c r="AH683" s="668">
        <f>Forrajes!BW21*U683</f>
        <v>0</v>
      </c>
      <c r="AI683" s="668">
        <f>Forrajes!BX21*V683</f>
        <v>0</v>
      </c>
      <c r="AJ683" s="668">
        <f>Forrajes!BY21*W683</f>
        <v>0</v>
      </c>
      <c r="AK683" s="668">
        <f>Forrajes!BZ21*X683</f>
        <v>0</v>
      </c>
      <c r="AL683" s="668">
        <f>Forrajes!CA21*Y683</f>
        <v>0</v>
      </c>
      <c r="AM683" s="668">
        <f>Forrajes!CB21*Z683</f>
        <v>0</v>
      </c>
      <c r="AN683" s="668">
        <f>Forrajes!CC21*AA683</f>
        <v>0</v>
      </c>
      <c r="AO683" s="668">
        <f>Forrajes!CD21*AB683</f>
        <v>0</v>
      </c>
      <c r="AP683" s="668">
        <f>Forrajes!CE21*AC683</f>
        <v>0</v>
      </c>
      <c r="AQ683" s="668">
        <f>Forrajes!CF21*AD683</f>
        <v>0</v>
      </c>
      <c r="AS683" s="1976">
        <f>Forrajes!CI21*S683</f>
        <v>0</v>
      </c>
      <c r="AT683" s="668">
        <f>Forrajes!CJ21*T683</f>
        <v>0</v>
      </c>
      <c r="AU683" s="668">
        <f>Forrajes!CK21*U683</f>
        <v>0</v>
      </c>
      <c r="AV683" s="668">
        <f>Forrajes!CL21*V683</f>
        <v>0</v>
      </c>
      <c r="AW683" s="668">
        <f>Forrajes!CM21*W683</f>
        <v>0</v>
      </c>
      <c r="AX683" s="668">
        <f>Forrajes!CN21*X683</f>
        <v>0</v>
      </c>
      <c r="AY683" s="668">
        <f>Forrajes!CO21*Y683</f>
        <v>0</v>
      </c>
      <c r="AZ683" s="668">
        <f>Forrajes!CP21*Z683</f>
        <v>0</v>
      </c>
      <c r="BA683" s="668">
        <f>Forrajes!CQ21*AA683</f>
        <v>0</v>
      </c>
      <c r="BB683" s="668">
        <f>Forrajes!CR21*AB683</f>
        <v>0</v>
      </c>
      <c r="BC683" s="668">
        <f>Forrajes!CS21*AC683</f>
        <v>0</v>
      </c>
      <c r="BD683" s="1818">
        <f>Forrajes!CT21*AD683</f>
        <v>0</v>
      </c>
      <c r="BE683" s="590"/>
      <c r="BF683" s="100"/>
      <c r="BG683" s="590"/>
      <c r="BH683" s="590"/>
      <c r="BI683" s="1978"/>
      <c r="BJ683" s="1975"/>
      <c r="BK683" s="590"/>
    </row>
    <row r="684" spans="3:63" s="108" customFormat="1" x14ac:dyDescent="0.2">
      <c r="C684" s="1971" t="str">
        <f t="shared" si="509"/>
        <v xml:space="preserve">Alfalfa 3Vacas Ordeñe </v>
      </c>
      <c r="D684" s="1857" t="str">
        <f t="shared" si="510"/>
        <v>Alfalfa 3</v>
      </c>
      <c r="E684" s="590"/>
      <c r="F684" s="1972">
        <f t="shared" ref="F684:Q684" si="512">IF($D684=0,0,SUMIF(G$401:G$490,$C684,$S$401:$S$490))</f>
        <v>0</v>
      </c>
      <c r="G684" s="1972">
        <f t="shared" si="512"/>
        <v>0</v>
      </c>
      <c r="H684" s="1972">
        <f t="shared" si="512"/>
        <v>0</v>
      </c>
      <c r="I684" s="1972">
        <f t="shared" si="512"/>
        <v>0</v>
      </c>
      <c r="J684" s="1972">
        <f t="shared" si="512"/>
        <v>0</v>
      </c>
      <c r="K684" s="1972">
        <f t="shared" si="512"/>
        <v>0</v>
      </c>
      <c r="L684" s="1972">
        <f t="shared" si="512"/>
        <v>0</v>
      </c>
      <c r="M684" s="1972">
        <f t="shared" si="512"/>
        <v>0</v>
      </c>
      <c r="N684" s="1972">
        <f t="shared" si="512"/>
        <v>0</v>
      </c>
      <c r="O684" s="1972">
        <f t="shared" si="512"/>
        <v>0</v>
      </c>
      <c r="P684" s="1972">
        <f t="shared" si="512"/>
        <v>0</v>
      </c>
      <c r="Q684" s="1972">
        <f t="shared" si="512"/>
        <v>0</v>
      </c>
      <c r="S684" s="1976">
        <f>SUMIF(G$401:G$490,$C684,$S$401:$S$490)*Forrajes!BG22*G$99</f>
        <v>0</v>
      </c>
      <c r="T684" s="668">
        <f>SUMIF(H$401:H$490,$C684,$S$401:$S$490)*Forrajes!BH22*H$99</f>
        <v>0</v>
      </c>
      <c r="U684" s="668">
        <f>SUMIF(I$401:I$490,$C684,$S$401:$S$490)*Forrajes!BI22*I$99</f>
        <v>0</v>
      </c>
      <c r="V684" s="668">
        <f>SUMIF(J$401:J$490,$C684,$S$401:$S$490)*Forrajes!BJ22*J$99</f>
        <v>0</v>
      </c>
      <c r="W684" s="668">
        <f>SUMIF(K$401:K$490,$C684,$S$401:$S$490)*Forrajes!BK22*K$99</f>
        <v>0</v>
      </c>
      <c r="X684" s="668">
        <f>SUMIF(L$401:L$490,$C684,$S$401:$S$490)*Forrajes!BL22*L$99</f>
        <v>0</v>
      </c>
      <c r="Y684" s="668">
        <f>SUMIF(M$401:M$490,$C684,$S$401:$S$490)*Forrajes!BM22*M$99</f>
        <v>0</v>
      </c>
      <c r="Z684" s="668">
        <f>SUMIF(N$401:N$490,$C684,$S$401:$S$490)*Forrajes!BN22*N$99</f>
        <v>0</v>
      </c>
      <c r="AA684" s="668">
        <f>SUMIF(O$401:O$490,$C684,$S$401:$S$490)*Forrajes!BO22*O$99</f>
        <v>0</v>
      </c>
      <c r="AB684" s="668">
        <f>SUMIF(P$401:P$490,$C684,$S$401:$S$490)*Forrajes!BP22*P$99</f>
        <v>0</v>
      </c>
      <c r="AC684" s="668">
        <f>SUMIF(Q$401:Q$490,$C684,$S$401:$S$490)*Forrajes!BQ22*Q$99</f>
        <v>0</v>
      </c>
      <c r="AD684" s="1977">
        <f>SUMIF(R$401:R$490,$C684,$S$401:$S$490)*Forrajes!BR22*R$99</f>
        <v>0</v>
      </c>
      <c r="AF684" s="1976">
        <f>Forrajes!BU22*S684</f>
        <v>0</v>
      </c>
      <c r="AG684" s="668">
        <f>Forrajes!BV22*T684</f>
        <v>0</v>
      </c>
      <c r="AH684" s="668">
        <f>Forrajes!BW22*U684</f>
        <v>0</v>
      </c>
      <c r="AI684" s="668">
        <f>Forrajes!BX22*V684</f>
        <v>0</v>
      </c>
      <c r="AJ684" s="668">
        <f>Forrajes!BY22*W684</f>
        <v>0</v>
      </c>
      <c r="AK684" s="668">
        <f>Forrajes!BZ22*X684</f>
        <v>0</v>
      </c>
      <c r="AL684" s="668">
        <f>Forrajes!CA22*Y684</f>
        <v>0</v>
      </c>
      <c r="AM684" s="668">
        <f>Forrajes!CB22*Z684</f>
        <v>0</v>
      </c>
      <c r="AN684" s="668">
        <f>Forrajes!CC22*AA684</f>
        <v>0</v>
      </c>
      <c r="AO684" s="668">
        <f>Forrajes!CD22*AB684</f>
        <v>0</v>
      </c>
      <c r="AP684" s="668">
        <f>Forrajes!CE22*AC684</f>
        <v>0</v>
      </c>
      <c r="AQ684" s="668">
        <f>Forrajes!CF22*AD684</f>
        <v>0</v>
      </c>
      <c r="AS684" s="1976">
        <f>Forrajes!CI22*S684</f>
        <v>0</v>
      </c>
      <c r="AT684" s="668">
        <f>Forrajes!CJ22*T684</f>
        <v>0</v>
      </c>
      <c r="AU684" s="668">
        <f>Forrajes!CK22*U684</f>
        <v>0</v>
      </c>
      <c r="AV684" s="668">
        <f>Forrajes!CL22*V684</f>
        <v>0</v>
      </c>
      <c r="AW684" s="668">
        <f>Forrajes!CM22*W684</f>
        <v>0</v>
      </c>
      <c r="AX684" s="668">
        <f>Forrajes!CN22*X684</f>
        <v>0</v>
      </c>
      <c r="AY684" s="668">
        <f>Forrajes!CO22*Y684</f>
        <v>0</v>
      </c>
      <c r="AZ684" s="668">
        <f>Forrajes!CP22*Z684</f>
        <v>0</v>
      </c>
      <c r="BA684" s="668">
        <f>Forrajes!CQ22*AA684</f>
        <v>0</v>
      </c>
      <c r="BB684" s="668">
        <f>Forrajes!CR22*AB684</f>
        <v>0</v>
      </c>
      <c r="BC684" s="668">
        <f>Forrajes!CS22*AC684</f>
        <v>0</v>
      </c>
      <c r="BD684" s="1818">
        <f>Forrajes!CT22*AD684</f>
        <v>0</v>
      </c>
      <c r="BE684" s="590"/>
      <c r="BF684" s="100"/>
      <c r="BG684" s="590"/>
      <c r="BH684" s="590"/>
      <c r="BI684" s="1978"/>
      <c r="BJ684" s="1975"/>
      <c r="BK684" s="590"/>
    </row>
    <row r="685" spans="3:63" s="108" customFormat="1" x14ac:dyDescent="0.2">
      <c r="C685" s="1971" t="str">
        <f t="shared" si="509"/>
        <v xml:space="preserve">Alfalfa 4Vacas Ordeñe </v>
      </c>
      <c r="D685" s="1857" t="str">
        <f t="shared" si="510"/>
        <v>Alfalfa 4</v>
      </c>
      <c r="E685" s="590"/>
      <c r="F685" s="1972">
        <f t="shared" ref="F685:Q685" si="513">IF($D685=0,0,SUMIF(G$401:G$490,$C685,$S$401:$S$490))</f>
        <v>0</v>
      </c>
      <c r="G685" s="1972">
        <f t="shared" si="513"/>
        <v>0</v>
      </c>
      <c r="H685" s="1972">
        <f t="shared" si="513"/>
        <v>0</v>
      </c>
      <c r="I685" s="1972">
        <f t="shared" si="513"/>
        <v>0</v>
      </c>
      <c r="J685" s="1972">
        <f t="shared" si="513"/>
        <v>0</v>
      </c>
      <c r="K685" s="1972">
        <f t="shared" si="513"/>
        <v>0</v>
      </c>
      <c r="L685" s="1972">
        <f t="shared" si="513"/>
        <v>0</v>
      </c>
      <c r="M685" s="1972">
        <f t="shared" si="513"/>
        <v>0</v>
      </c>
      <c r="N685" s="1972">
        <f t="shared" si="513"/>
        <v>0</v>
      </c>
      <c r="O685" s="1972">
        <f t="shared" si="513"/>
        <v>0</v>
      </c>
      <c r="P685" s="1972">
        <f t="shared" si="513"/>
        <v>0</v>
      </c>
      <c r="Q685" s="1972">
        <f t="shared" si="513"/>
        <v>0</v>
      </c>
      <c r="S685" s="1976">
        <f>SUMIF(G$401:G$490,$C685,$S$401:$S$490)*Forrajes!BG23*G$99</f>
        <v>0</v>
      </c>
      <c r="T685" s="668">
        <f>SUMIF(H$401:H$490,$C685,$S$401:$S$490)*Forrajes!BH23*H$99</f>
        <v>0</v>
      </c>
      <c r="U685" s="668">
        <f>SUMIF(I$401:I$490,$C685,$S$401:$S$490)*Forrajes!BI23*I$99</f>
        <v>0</v>
      </c>
      <c r="V685" s="668">
        <f>SUMIF(J$401:J$490,$C685,$S$401:$S$490)*Forrajes!BJ23*J$99</f>
        <v>0</v>
      </c>
      <c r="W685" s="668">
        <f>SUMIF(K$401:K$490,$C685,$S$401:$S$490)*Forrajes!BK23*K$99</f>
        <v>0</v>
      </c>
      <c r="X685" s="668">
        <f>SUMIF(L$401:L$490,$C685,$S$401:$S$490)*Forrajes!BL23*L$99</f>
        <v>0</v>
      </c>
      <c r="Y685" s="668">
        <f>SUMIF(M$401:M$490,$C685,$S$401:$S$490)*Forrajes!BM23*M$99</f>
        <v>0</v>
      </c>
      <c r="Z685" s="668">
        <f>SUMIF(N$401:N$490,$C685,$S$401:$S$490)*Forrajes!BN23*N$99</f>
        <v>0</v>
      </c>
      <c r="AA685" s="668">
        <f>SUMIF(O$401:O$490,$C685,$S$401:$S$490)*Forrajes!BO23*O$99</f>
        <v>0</v>
      </c>
      <c r="AB685" s="668">
        <f>SUMIF(P$401:P$490,$C685,$S$401:$S$490)*Forrajes!BP23*P$99</f>
        <v>0</v>
      </c>
      <c r="AC685" s="668">
        <f>SUMIF(Q$401:Q$490,$C685,$S$401:$S$490)*Forrajes!BQ23*Q$99</f>
        <v>0</v>
      </c>
      <c r="AD685" s="1977">
        <f>SUMIF(R$401:R$490,$C685,$S$401:$S$490)*Forrajes!BR23*R$99</f>
        <v>0</v>
      </c>
      <c r="AF685" s="1976">
        <f>Forrajes!BU23*S685</f>
        <v>0</v>
      </c>
      <c r="AG685" s="668">
        <f>Forrajes!BV23*T685</f>
        <v>0</v>
      </c>
      <c r="AH685" s="668">
        <f>Forrajes!BW23*U685</f>
        <v>0</v>
      </c>
      <c r="AI685" s="668">
        <f>Forrajes!BX23*V685</f>
        <v>0</v>
      </c>
      <c r="AJ685" s="668">
        <f>Forrajes!BY23*W685</f>
        <v>0</v>
      </c>
      <c r="AK685" s="668">
        <f>Forrajes!BZ23*X685</f>
        <v>0</v>
      </c>
      <c r="AL685" s="668">
        <f>Forrajes!CA23*Y685</f>
        <v>0</v>
      </c>
      <c r="AM685" s="668">
        <f>Forrajes!CB23*Z685</f>
        <v>0</v>
      </c>
      <c r="AN685" s="668">
        <f>Forrajes!CC23*AA685</f>
        <v>0</v>
      </c>
      <c r="AO685" s="668">
        <f>Forrajes!CD23*AB685</f>
        <v>0</v>
      </c>
      <c r="AP685" s="668">
        <f>Forrajes!CE23*AC685</f>
        <v>0</v>
      </c>
      <c r="AQ685" s="668">
        <f>Forrajes!CF23*AD685</f>
        <v>0</v>
      </c>
      <c r="AS685" s="1976">
        <f>Forrajes!CI23*S685</f>
        <v>0</v>
      </c>
      <c r="AT685" s="668">
        <f>Forrajes!CJ23*T685</f>
        <v>0</v>
      </c>
      <c r="AU685" s="668">
        <f>Forrajes!CK23*U685</f>
        <v>0</v>
      </c>
      <c r="AV685" s="668">
        <f>Forrajes!CL23*V685</f>
        <v>0</v>
      </c>
      <c r="AW685" s="668">
        <f>Forrajes!CM23*W685</f>
        <v>0</v>
      </c>
      <c r="AX685" s="668">
        <f>Forrajes!CN23*X685</f>
        <v>0</v>
      </c>
      <c r="AY685" s="668">
        <f>Forrajes!CO23*Y685</f>
        <v>0</v>
      </c>
      <c r="AZ685" s="668">
        <f>Forrajes!CP23*Z685</f>
        <v>0</v>
      </c>
      <c r="BA685" s="668">
        <f>Forrajes!CQ23*AA685</f>
        <v>0</v>
      </c>
      <c r="BB685" s="668">
        <f>Forrajes!CR23*AB685</f>
        <v>0</v>
      </c>
      <c r="BC685" s="668">
        <f>Forrajes!CS23*AC685</f>
        <v>0</v>
      </c>
      <c r="BD685" s="1818">
        <f>Forrajes!CT23*AD685</f>
        <v>0</v>
      </c>
      <c r="BE685" s="590"/>
      <c r="BF685" s="100"/>
      <c r="BG685" s="590"/>
      <c r="BH685" s="590"/>
      <c r="BI685" s="1978"/>
      <c r="BJ685" s="1975"/>
      <c r="BK685" s="590"/>
    </row>
    <row r="686" spans="3:63" s="108" customFormat="1" x14ac:dyDescent="0.2">
      <c r="C686" s="1971" t="str">
        <f t="shared" si="509"/>
        <v xml:space="preserve">PP 2Vacas Ordeñe </v>
      </c>
      <c r="D686" s="1857" t="str">
        <f t="shared" si="510"/>
        <v>PP 2</v>
      </c>
      <c r="E686" s="590"/>
      <c r="F686" s="1972">
        <f t="shared" ref="F686:Q686" si="514">IF($D686=0,0,SUMIF(G$401:G$490,$C686,$S$401:$S$490))</f>
        <v>0</v>
      </c>
      <c r="G686" s="1972">
        <f t="shared" si="514"/>
        <v>0</v>
      </c>
      <c r="H686" s="1972">
        <f t="shared" si="514"/>
        <v>0</v>
      </c>
      <c r="I686" s="1972">
        <f t="shared" si="514"/>
        <v>0</v>
      </c>
      <c r="J686" s="1972">
        <f t="shared" si="514"/>
        <v>0</v>
      </c>
      <c r="K686" s="1972">
        <f t="shared" si="514"/>
        <v>0</v>
      </c>
      <c r="L686" s="1972">
        <f t="shared" si="514"/>
        <v>0</v>
      </c>
      <c r="M686" s="1972">
        <f t="shared" si="514"/>
        <v>0</v>
      </c>
      <c r="N686" s="1972">
        <f t="shared" si="514"/>
        <v>0</v>
      </c>
      <c r="O686" s="1972">
        <f t="shared" si="514"/>
        <v>0</v>
      </c>
      <c r="P686" s="1972">
        <f t="shared" si="514"/>
        <v>0</v>
      </c>
      <c r="Q686" s="1972">
        <f t="shared" si="514"/>
        <v>0</v>
      </c>
      <c r="S686" s="1976">
        <f>SUMIF(G$401:G$490,$C686,$S$401:$S$490)*Forrajes!BG24*G$99</f>
        <v>0</v>
      </c>
      <c r="T686" s="668">
        <f>SUMIF(H$401:H$490,$C686,$S$401:$S$490)*Forrajes!BH24*H$99</f>
        <v>0</v>
      </c>
      <c r="U686" s="668">
        <f>SUMIF(I$401:I$490,$C686,$S$401:$S$490)*Forrajes!BI24*I$99</f>
        <v>0</v>
      </c>
      <c r="V686" s="668">
        <f>SUMIF(J$401:J$490,$C686,$S$401:$S$490)*Forrajes!BJ24*J$99</f>
        <v>0</v>
      </c>
      <c r="W686" s="668">
        <f>SUMIF(K$401:K$490,$C686,$S$401:$S$490)*Forrajes!BK24*K$99</f>
        <v>0</v>
      </c>
      <c r="X686" s="668">
        <f>SUMIF(L$401:L$490,$C686,$S$401:$S$490)*Forrajes!BL24*L$99</f>
        <v>0</v>
      </c>
      <c r="Y686" s="668">
        <f>SUMIF(M$401:M$490,$C686,$S$401:$S$490)*Forrajes!BM24*M$99</f>
        <v>0</v>
      </c>
      <c r="Z686" s="668">
        <f>SUMIF(N$401:N$490,$C686,$S$401:$S$490)*Forrajes!BN24*N$99</f>
        <v>0</v>
      </c>
      <c r="AA686" s="668">
        <f>SUMIF(O$401:O$490,$C686,$S$401:$S$490)*Forrajes!BO24*O$99</f>
        <v>0</v>
      </c>
      <c r="AB686" s="668">
        <f>SUMIF(P$401:P$490,$C686,$S$401:$S$490)*Forrajes!BP24*P$99</f>
        <v>0</v>
      </c>
      <c r="AC686" s="668">
        <f>SUMIF(Q$401:Q$490,$C686,$S$401:$S$490)*Forrajes!BQ24*Q$99</f>
        <v>0</v>
      </c>
      <c r="AD686" s="1977">
        <f>SUMIF(R$401:R$490,$C686,$S$401:$S$490)*Forrajes!BR24*R$99</f>
        <v>0</v>
      </c>
      <c r="AF686" s="1976">
        <f>Forrajes!BU24*S686</f>
        <v>0</v>
      </c>
      <c r="AG686" s="668">
        <f>Forrajes!BV24*T686</f>
        <v>0</v>
      </c>
      <c r="AH686" s="668">
        <f>Forrajes!BW24*U686</f>
        <v>0</v>
      </c>
      <c r="AI686" s="668">
        <f>Forrajes!BX24*V686</f>
        <v>0</v>
      </c>
      <c r="AJ686" s="668">
        <f>Forrajes!BY24*W686</f>
        <v>0</v>
      </c>
      <c r="AK686" s="668">
        <f>Forrajes!BZ24*X686</f>
        <v>0</v>
      </c>
      <c r="AL686" s="668">
        <f>Forrajes!CA24*Y686</f>
        <v>0</v>
      </c>
      <c r="AM686" s="668">
        <f>Forrajes!CB24*Z686</f>
        <v>0</v>
      </c>
      <c r="AN686" s="668">
        <f>Forrajes!CC24*AA686</f>
        <v>0</v>
      </c>
      <c r="AO686" s="668">
        <f>Forrajes!CD24*AB686</f>
        <v>0</v>
      </c>
      <c r="AP686" s="668">
        <f>Forrajes!CE24*AC686</f>
        <v>0</v>
      </c>
      <c r="AQ686" s="668">
        <f>Forrajes!CF24*AD686</f>
        <v>0</v>
      </c>
      <c r="AS686" s="1976">
        <f>Forrajes!CI24*S686</f>
        <v>0</v>
      </c>
      <c r="AT686" s="668">
        <f>Forrajes!CJ24*T686</f>
        <v>0</v>
      </c>
      <c r="AU686" s="668">
        <f>Forrajes!CK24*U686</f>
        <v>0</v>
      </c>
      <c r="AV686" s="668">
        <f>Forrajes!CL24*V686</f>
        <v>0</v>
      </c>
      <c r="AW686" s="668">
        <f>Forrajes!CM24*W686</f>
        <v>0</v>
      </c>
      <c r="AX686" s="668">
        <f>Forrajes!CN24*X686</f>
        <v>0</v>
      </c>
      <c r="AY686" s="668">
        <f>Forrajes!CO24*Y686</f>
        <v>0</v>
      </c>
      <c r="AZ686" s="668">
        <f>Forrajes!CP24*Z686</f>
        <v>0</v>
      </c>
      <c r="BA686" s="668">
        <f>Forrajes!CQ24*AA686</f>
        <v>0</v>
      </c>
      <c r="BB686" s="668">
        <f>Forrajes!CR24*AB686</f>
        <v>0</v>
      </c>
      <c r="BC686" s="668">
        <f>Forrajes!CS24*AC686</f>
        <v>0</v>
      </c>
      <c r="BD686" s="1818">
        <f>Forrajes!CT24*AD686</f>
        <v>0</v>
      </c>
      <c r="BE686" s="590"/>
      <c r="BF686" s="100"/>
      <c r="BG686" s="590"/>
      <c r="BH686" s="590"/>
      <c r="BI686" s="1978"/>
      <c r="BJ686" s="1975"/>
      <c r="BK686" s="590"/>
    </row>
    <row r="687" spans="3:63" s="108" customFormat="1" x14ac:dyDescent="0.2">
      <c r="C687" s="1971" t="str">
        <f t="shared" si="509"/>
        <v xml:space="preserve">PP 3Vacas Ordeñe </v>
      </c>
      <c r="D687" s="1857" t="str">
        <f t="shared" si="510"/>
        <v>PP 3</v>
      </c>
      <c r="E687" s="590"/>
      <c r="F687" s="1972">
        <f t="shared" ref="F687:Q687" si="515">IF($D687=0,0,SUMIF(G$401:G$490,$C687,$S$401:$S$490))</f>
        <v>0</v>
      </c>
      <c r="G687" s="1972">
        <f t="shared" si="515"/>
        <v>0</v>
      </c>
      <c r="H687" s="1972">
        <f t="shared" si="515"/>
        <v>0</v>
      </c>
      <c r="I687" s="1972">
        <f t="shared" si="515"/>
        <v>0</v>
      </c>
      <c r="J687" s="1972">
        <f t="shared" si="515"/>
        <v>0</v>
      </c>
      <c r="K687" s="1972">
        <f t="shared" si="515"/>
        <v>0</v>
      </c>
      <c r="L687" s="1972">
        <f t="shared" si="515"/>
        <v>0</v>
      </c>
      <c r="M687" s="1972">
        <f t="shared" si="515"/>
        <v>0</v>
      </c>
      <c r="N687" s="1972">
        <f t="shared" si="515"/>
        <v>0</v>
      </c>
      <c r="O687" s="1972">
        <f t="shared" si="515"/>
        <v>0</v>
      </c>
      <c r="P687" s="1972">
        <f t="shared" si="515"/>
        <v>0</v>
      </c>
      <c r="Q687" s="1972">
        <f t="shared" si="515"/>
        <v>0</v>
      </c>
      <c r="S687" s="1976">
        <f>SUMIF(G$401:G$490,$C687,$S$401:$S$490)*Forrajes!BG25*G$99</f>
        <v>0</v>
      </c>
      <c r="T687" s="668">
        <f>SUMIF(H$401:H$490,$C687,$S$401:$S$490)*Forrajes!BH25*H$99</f>
        <v>0</v>
      </c>
      <c r="U687" s="668">
        <f>SUMIF(I$401:I$490,$C687,$S$401:$S$490)*Forrajes!BI25*I$99</f>
        <v>0</v>
      </c>
      <c r="V687" s="668">
        <f>SUMIF(J$401:J$490,$C687,$S$401:$S$490)*Forrajes!BJ25*J$99</f>
        <v>0</v>
      </c>
      <c r="W687" s="668">
        <f>SUMIF(K$401:K$490,$C687,$S$401:$S$490)*Forrajes!BK25*K$99</f>
        <v>0</v>
      </c>
      <c r="X687" s="668">
        <f>SUMIF(L$401:L$490,$C687,$S$401:$S$490)*Forrajes!BL25*L$99</f>
        <v>0</v>
      </c>
      <c r="Y687" s="668">
        <f>SUMIF(M$401:M$490,$C687,$S$401:$S$490)*Forrajes!BM25*M$99</f>
        <v>0</v>
      </c>
      <c r="Z687" s="668">
        <f>SUMIF(N$401:N$490,$C687,$S$401:$S$490)*Forrajes!BN25*N$99</f>
        <v>0</v>
      </c>
      <c r="AA687" s="668">
        <f>SUMIF(O$401:O$490,$C687,$S$401:$S$490)*Forrajes!BO25*O$99</f>
        <v>0</v>
      </c>
      <c r="AB687" s="668">
        <f>SUMIF(P$401:P$490,$C687,$S$401:$S$490)*Forrajes!BP25*P$99</f>
        <v>0</v>
      </c>
      <c r="AC687" s="668">
        <f>SUMIF(Q$401:Q$490,$C687,$S$401:$S$490)*Forrajes!BQ25*Q$99</f>
        <v>0</v>
      </c>
      <c r="AD687" s="1977">
        <f>SUMIF(R$401:R$490,$C687,$S$401:$S$490)*Forrajes!BR25*R$99</f>
        <v>0</v>
      </c>
      <c r="AF687" s="1976">
        <f>Forrajes!BU25*S687</f>
        <v>0</v>
      </c>
      <c r="AG687" s="668">
        <f>Forrajes!BV25*T687</f>
        <v>0</v>
      </c>
      <c r="AH687" s="668">
        <f>Forrajes!BW25*U687</f>
        <v>0</v>
      </c>
      <c r="AI687" s="668">
        <f>Forrajes!BX25*V687</f>
        <v>0</v>
      </c>
      <c r="AJ687" s="668">
        <f>Forrajes!BY25*W687</f>
        <v>0</v>
      </c>
      <c r="AK687" s="668">
        <f>Forrajes!BZ25*X687</f>
        <v>0</v>
      </c>
      <c r="AL687" s="668">
        <f>Forrajes!CA25*Y687</f>
        <v>0</v>
      </c>
      <c r="AM687" s="668">
        <f>Forrajes!CB25*Z687</f>
        <v>0</v>
      </c>
      <c r="AN687" s="668">
        <f>Forrajes!CC25*AA687</f>
        <v>0</v>
      </c>
      <c r="AO687" s="668">
        <f>Forrajes!CD25*AB687</f>
        <v>0</v>
      </c>
      <c r="AP687" s="668">
        <f>Forrajes!CE25*AC687</f>
        <v>0</v>
      </c>
      <c r="AQ687" s="668">
        <f>Forrajes!CF25*AD687</f>
        <v>0</v>
      </c>
      <c r="AS687" s="1976">
        <f>Forrajes!CI25*S687</f>
        <v>0</v>
      </c>
      <c r="AT687" s="668">
        <f>Forrajes!CJ25*T687</f>
        <v>0</v>
      </c>
      <c r="AU687" s="668">
        <f>Forrajes!CK25*U687</f>
        <v>0</v>
      </c>
      <c r="AV687" s="668">
        <f>Forrajes!CL25*V687</f>
        <v>0</v>
      </c>
      <c r="AW687" s="668">
        <f>Forrajes!CM25*W687</f>
        <v>0</v>
      </c>
      <c r="AX687" s="668">
        <f>Forrajes!CN25*X687</f>
        <v>0</v>
      </c>
      <c r="AY687" s="668">
        <f>Forrajes!CO25*Y687</f>
        <v>0</v>
      </c>
      <c r="AZ687" s="668">
        <f>Forrajes!CP25*Z687</f>
        <v>0</v>
      </c>
      <c r="BA687" s="668">
        <f>Forrajes!CQ25*AA687</f>
        <v>0</v>
      </c>
      <c r="BB687" s="668">
        <f>Forrajes!CR25*AB687</f>
        <v>0</v>
      </c>
      <c r="BC687" s="668">
        <f>Forrajes!CS25*AC687</f>
        <v>0</v>
      </c>
      <c r="BD687" s="1818">
        <f>Forrajes!CT25*AD687</f>
        <v>0</v>
      </c>
      <c r="BE687" s="590"/>
      <c r="BF687" s="100"/>
      <c r="BG687" s="590"/>
      <c r="BH687" s="590"/>
      <c r="BI687" s="1978"/>
      <c r="BJ687" s="1975"/>
      <c r="BK687" s="590"/>
    </row>
    <row r="688" spans="3:63" s="108" customFormat="1" x14ac:dyDescent="0.2">
      <c r="C688" s="1971" t="str">
        <f t="shared" si="509"/>
        <v xml:space="preserve">PP 4Vacas Ordeñe </v>
      </c>
      <c r="D688" s="1857" t="str">
        <f t="shared" si="510"/>
        <v>PP 4</v>
      </c>
      <c r="E688" s="590"/>
      <c r="F688" s="1972">
        <f t="shared" ref="F688:Q688" si="516">IF($D688=0,0,SUMIF(G$401:G$490,$C688,$S$401:$S$490))</f>
        <v>0</v>
      </c>
      <c r="G688" s="1972">
        <f t="shared" si="516"/>
        <v>0</v>
      </c>
      <c r="H688" s="1972">
        <f t="shared" si="516"/>
        <v>0</v>
      </c>
      <c r="I688" s="1972">
        <f t="shared" si="516"/>
        <v>0</v>
      </c>
      <c r="J688" s="1972">
        <f t="shared" si="516"/>
        <v>0</v>
      </c>
      <c r="K688" s="1972">
        <f t="shared" si="516"/>
        <v>0</v>
      </c>
      <c r="L688" s="1972">
        <f t="shared" si="516"/>
        <v>0</v>
      </c>
      <c r="M688" s="1972">
        <f t="shared" si="516"/>
        <v>0</v>
      </c>
      <c r="N688" s="1972">
        <f t="shared" si="516"/>
        <v>0</v>
      </c>
      <c r="O688" s="1972">
        <f t="shared" si="516"/>
        <v>0</v>
      </c>
      <c r="P688" s="1972">
        <f t="shared" si="516"/>
        <v>0</v>
      </c>
      <c r="Q688" s="1972">
        <f t="shared" si="516"/>
        <v>0</v>
      </c>
      <c r="S688" s="1976">
        <f>SUMIF(G$401:G$490,$C688,$S$401:$S$490)*Forrajes!BG26*G$99</f>
        <v>0</v>
      </c>
      <c r="T688" s="668">
        <f>SUMIF(H$401:H$490,$C688,$S$401:$S$490)*Forrajes!BH26*H$99</f>
        <v>0</v>
      </c>
      <c r="U688" s="668">
        <f>SUMIF(I$401:I$490,$C688,$S$401:$S$490)*Forrajes!BI26*I$99</f>
        <v>0</v>
      </c>
      <c r="V688" s="668">
        <f>SUMIF(J$401:J$490,$C688,$S$401:$S$490)*Forrajes!BJ26*J$99</f>
        <v>0</v>
      </c>
      <c r="W688" s="668">
        <f>SUMIF(K$401:K$490,$C688,$S$401:$S$490)*Forrajes!BK26*K$99</f>
        <v>0</v>
      </c>
      <c r="X688" s="668">
        <f>SUMIF(L$401:L$490,$C688,$S$401:$S$490)*Forrajes!BL26*L$99</f>
        <v>0</v>
      </c>
      <c r="Y688" s="668">
        <f>SUMIF(M$401:M$490,$C688,$S$401:$S$490)*Forrajes!BM26*M$99</f>
        <v>0</v>
      </c>
      <c r="Z688" s="668">
        <f>SUMIF(N$401:N$490,$C688,$S$401:$S$490)*Forrajes!BN26*N$99</f>
        <v>0</v>
      </c>
      <c r="AA688" s="668">
        <f>SUMIF(O$401:O$490,$C688,$S$401:$S$490)*Forrajes!BO26*O$99</f>
        <v>0</v>
      </c>
      <c r="AB688" s="668">
        <f>SUMIF(P$401:P$490,$C688,$S$401:$S$490)*Forrajes!BP26*P$99</f>
        <v>0</v>
      </c>
      <c r="AC688" s="668">
        <f>SUMIF(Q$401:Q$490,$C688,$S$401:$S$490)*Forrajes!BQ26*Q$99</f>
        <v>0</v>
      </c>
      <c r="AD688" s="1977">
        <f>SUMIF(R$401:R$490,$C688,$S$401:$S$490)*Forrajes!BR26*R$99</f>
        <v>0</v>
      </c>
      <c r="AF688" s="1976">
        <f>Forrajes!BU26*S688</f>
        <v>0</v>
      </c>
      <c r="AG688" s="668">
        <f>Forrajes!BV26*T688</f>
        <v>0</v>
      </c>
      <c r="AH688" s="668">
        <f>Forrajes!BW26*U688</f>
        <v>0</v>
      </c>
      <c r="AI688" s="668">
        <f>Forrajes!BX26*V688</f>
        <v>0</v>
      </c>
      <c r="AJ688" s="668">
        <f>Forrajes!BY26*W688</f>
        <v>0</v>
      </c>
      <c r="AK688" s="668">
        <f>Forrajes!BZ26*X688</f>
        <v>0</v>
      </c>
      <c r="AL688" s="668">
        <f>Forrajes!CA26*Y688</f>
        <v>0</v>
      </c>
      <c r="AM688" s="668">
        <f>Forrajes!CB26*Z688</f>
        <v>0</v>
      </c>
      <c r="AN688" s="668">
        <f>Forrajes!CC26*AA688</f>
        <v>0</v>
      </c>
      <c r="AO688" s="668">
        <f>Forrajes!CD26*AB688</f>
        <v>0</v>
      </c>
      <c r="AP688" s="668">
        <f>Forrajes!CE26*AC688</f>
        <v>0</v>
      </c>
      <c r="AQ688" s="668">
        <f>Forrajes!CF26*AD688</f>
        <v>0</v>
      </c>
      <c r="AS688" s="1976">
        <f>Forrajes!CI26*S688</f>
        <v>0</v>
      </c>
      <c r="AT688" s="668">
        <f>Forrajes!CJ26*T688</f>
        <v>0</v>
      </c>
      <c r="AU688" s="668">
        <f>Forrajes!CK26*U688</f>
        <v>0</v>
      </c>
      <c r="AV688" s="668">
        <f>Forrajes!CL26*V688</f>
        <v>0</v>
      </c>
      <c r="AW688" s="668">
        <f>Forrajes!CM26*W688</f>
        <v>0</v>
      </c>
      <c r="AX688" s="668">
        <f>Forrajes!CN26*X688</f>
        <v>0</v>
      </c>
      <c r="AY688" s="668">
        <f>Forrajes!CO26*Y688</f>
        <v>0</v>
      </c>
      <c r="AZ688" s="668">
        <f>Forrajes!CP26*Z688</f>
        <v>0</v>
      </c>
      <c r="BA688" s="668">
        <f>Forrajes!CQ26*AA688</f>
        <v>0</v>
      </c>
      <c r="BB688" s="668">
        <f>Forrajes!CR26*AB688</f>
        <v>0</v>
      </c>
      <c r="BC688" s="668">
        <f>Forrajes!CS26*AC688</f>
        <v>0</v>
      </c>
      <c r="BD688" s="1818">
        <f>Forrajes!CT26*AD688</f>
        <v>0</v>
      </c>
      <c r="BE688" s="590"/>
      <c r="BF688" s="100"/>
      <c r="BG688" s="590"/>
      <c r="BH688" s="590"/>
      <c r="BI688" s="1978"/>
      <c r="BJ688" s="1975"/>
      <c r="BK688" s="590"/>
    </row>
    <row r="689" spans="3:63" s="108" customFormat="1" x14ac:dyDescent="0.2">
      <c r="C689" s="1971" t="str">
        <f t="shared" si="509"/>
        <v xml:space="preserve">Prad 2Vacas Ordeñe </v>
      </c>
      <c r="D689" s="1857" t="str">
        <f t="shared" si="510"/>
        <v>Prad 2</v>
      </c>
      <c r="E689" s="590"/>
      <c r="F689" s="1972">
        <f t="shared" ref="F689:Q689" si="517">IF($D689=0,0,SUMIF(G$401:G$490,$C689,$S$401:$S$490))</f>
        <v>0</v>
      </c>
      <c r="G689" s="1972">
        <f t="shared" si="517"/>
        <v>0</v>
      </c>
      <c r="H689" s="1972">
        <f t="shared" si="517"/>
        <v>0</v>
      </c>
      <c r="I689" s="1972">
        <f t="shared" si="517"/>
        <v>0</v>
      </c>
      <c r="J689" s="1972">
        <f t="shared" si="517"/>
        <v>0</v>
      </c>
      <c r="K689" s="1972">
        <f t="shared" si="517"/>
        <v>0</v>
      </c>
      <c r="L689" s="1972">
        <f t="shared" si="517"/>
        <v>0</v>
      </c>
      <c r="M689" s="1972">
        <f t="shared" si="517"/>
        <v>0</v>
      </c>
      <c r="N689" s="1972">
        <f t="shared" si="517"/>
        <v>0</v>
      </c>
      <c r="O689" s="1972">
        <f t="shared" si="517"/>
        <v>0</v>
      </c>
      <c r="P689" s="1972">
        <f t="shared" si="517"/>
        <v>0</v>
      </c>
      <c r="Q689" s="1972">
        <f t="shared" si="517"/>
        <v>0</v>
      </c>
      <c r="S689" s="1976">
        <f>SUMIF(G$401:G$490,$C689,$S$401:$S$490)*Forrajes!BG27*G$99</f>
        <v>0</v>
      </c>
      <c r="T689" s="668">
        <f>SUMIF(H$401:H$490,$C689,$S$401:$S$490)*Forrajes!BH27*H$99</f>
        <v>0</v>
      </c>
      <c r="U689" s="668">
        <f>SUMIF(I$401:I$490,$C689,$S$401:$S$490)*Forrajes!BI27*I$99</f>
        <v>0</v>
      </c>
      <c r="V689" s="668">
        <f>SUMIF(J$401:J$490,$C689,$S$401:$S$490)*Forrajes!BJ27*J$99</f>
        <v>0</v>
      </c>
      <c r="W689" s="668">
        <f>SUMIF(K$401:K$490,$C689,$S$401:$S$490)*Forrajes!BK27*K$99</f>
        <v>0</v>
      </c>
      <c r="X689" s="668">
        <f>SUMIF(L$401:L$490,$C689,$S$401:$S$490)*Forrajes!BL27*L$99</f>
        <v>0</v>
      </c>
      <c r="Y689" s="668">
        <f>SUMIF(M$401:M$490,$C689,$S$401:$S$490)*Forrajes!BM27*M$99</f>
        <v>0</v>
      </c>
      <c r="Z689" s="668">
        <f>SUMIF(N$401:N$490,$C689,$S$401:$S$490)*Forrajes!BN27*N$99</f>
        <v>0</v>
      </c>
      <c r="AA689" s="668">
        <f>SUMIF(O$401:O$490,$C689,$S$401:$S$490)*Forrajes!BO27*O$99</f>
        <v>0</v>
      </c>
      <c r="AB689" s="668">
        <f>SUMIF(P$401:P$490,$C689,$S$401:$S$490)*Forrajes!BP27*P$99</f>
        <v>0</v>
      </c>
      <c r="AC689" s="668">
        <f>SUMIF(Q$401:Q$490,$C689,$S$401:$S$490)*Forrajes!BQ27*Q$99</f>
        <v>0</v>
      </c>
      <c r="AD689" s="1977">
        <f>SUMIF(R$401:R$490,$C689,$S$401:$S$490)*Forrajes!BR27*R$99</f>
        <v>0</v>
      </c>
      <c r="AF689" s="1976">
        <f>Forrajes!BU27*S689</f>
        <v>0</v>
      </c>
      <c r="AG689" s="668">
        <f>Forrajes!BV27*T689</f>
        <v>0</v>
      </c>
      <c r="AH689" s="668">
        <f>Forrajes!BW27*U689</f>
        <v>0</v>
      </c>
      <c r="AI689" s="668">
        <f>Forrajes!BX27*V689</f>
        <v>0</v>
      </c>
      <c r="AJ689" s="668">
        <f>Forrajes!BY27*W689</f>
        <v>0</v>
      </c>
      <c r="AK689" s="668">
        <f>Forrajes!BZ27*X689</f>
        <v>0</v>
      </c>
      <c r="AL689" s="668">
        <f>Forrajes!CA27*Y689</f>
        <v>0</v>
      </c>
      <c r="AM689" s="668">
        <f>Forrajes!CB27*Z689</f>
        <v>0</v>
      </c>
      <c r="AN689" s="668">
        <f>Forrajes!CC27*AA689</f>
        <v>0</v>
      </c>
      <c r="AO689" s="668">
        <f>Forrajes!CD27*AB689</f>
        <v>0</v>
      </c>
      <c r="AP689" s="668">
        <f>Forrajes!CE27*AC689</f>
        <v>0</v>
      </c>
      <c r="AQ689" s="668">
        <f>Forrajes!CF27*AD689</f>
        <v>0</v>
      </c>
      <c r="AS689" s="1976">
        <f>Forrajes!CI27*S689</f>
        <v>0</v>
      </c>
      <c r="AT689" s="668">
        <f>Forrajes!CJ27*T689</f>
        <v>0</v>
      </c>
      <c r="AU689" s="668">
        <f>Forrajes!CK27*U689</f>
        <v>0</v>
      </c>
      <c r="AV689" s="668">
        <f>Forrajes!CL27*V689</f>
        <v>0</v>
      </c>
      <c r="AW689" s="668">
        <f>Forrajes!CM27*W689</f>
        <v>0</v>
      </c>
      <c r="AX689" s="668">
        <f>Forrajes!CN27*X689</f>
        <v>0</v>
      </c>
      <c r="AY689" s="668">
        <f>Forrajes!CO27*Y689</f>
        <v>0</v>
      </c>
      <c r="AZ689" s="668">
        <f>Forrajes!CP27*Z689</f>
        <v>0</v>
      </c>
      <c r="BA689" s="668">
        <f>Forrajes!CQ27*AA689</f>
        <v>0</v>
      </c>
      <c r="BB689" s="668">
        <f>Forrajes!CR27*AB689</f>
        <v>0</v>
      </c>
      <c r="BC689" s="668">
        <f>Forrajes!CS27*AC689</f>
        <v>0</v>
      </c>
      <c r="BD689" s="1818">
        <f>Forrajes!CT27*AD689</f>
        <v>0</v>
      </c>
      <c r="BE689" s="590"/>
      <c r="BF689" s="100"/>
      <c r="BG689" s="590"/>
      <c r="BH689" s="590"/>
      <c r="BI689" s="100"/>
      <c r="BJ689" s="1975"/>
      <c r="BK689" s="590"/>
    </row>
    <row r="690" spans="3:63" s="108" customFormat="1" x14ac:dyDescent="0.2">
      <c r="C690" s="1971" t="str">
        <f t="shared" si="509"/>
        <v xml:space="preserve">Prad 3Vacas Ordeñe </v>
      </c>
      <c r="D690" s="1857" t="str">
        <f t="shared" si="510"/>
        <v>Prad 3</v>
      </c>
      <c r="E690" s="590"/>
      <c r="F690" s="1972">
        <f t="shared" ref="F690:Q690" si="518">IF($D690=0,0,SUMIF(G$401:G$490,$C690,$S$401:$S$490))</f>
        <v>0</v>
      </c>
      <c r="G690" s="1972">
        <f t="shared" si="518"/>
        <v>0</v>
      </c>
      <c r="H690" s="1972">
        <f t="shared" si="518"/>
        <v>0</v>
      </c>
      <c r="I690" s="1972">
        <f t="shared" si="518"/>
        <v>0</v>
      </c>
      <c r="J690" s="1972">
        <f t="shared" si="518"/>
        <v>0</v>
      </c>
      <c r="K690" s="1972">
        <f t="shared" si="518"/>
        <v>0</v>
      </c>
      <c r="L690" s="1972">
        <f t="shared" si="518"/>
        <v>0</v>
      </c>
      <c r="M690" s="1972">
        <f t="shared" si="518"/>
        <v>0</v>
      </c>
      <c r="N690" s="1972">
        <f t="shared" si="518"/>
        <v>0</v>
      </c>
      <c r="O690" s="1972">
        <f t="shared" si="518"/>
        <v>0</v>
      </c>
      <c r="P690" s="1972">
        <f t="shared" si="518"/>
        <v>0</v>
      </c>
      <c r="Q690" s="1972">
        <f t="shared" si="518"/>
        <v>0</v>
      </c>
      <c r="S690" s="1976">
        <f>SUMIF(G$401:G$490,$C690,$S$401:$S$490)*Forrajes!BG28*G$99</f>
        <v>0</v>
      </c>
      <c r="T690" s="668">
        <f>SUMIF(H$401:H$490,$C690,$S$401:$S$490)*Forrajes!BH28*H$99</f>
        <v>0</v>
      </c>
      <c r="U690" s="668">
        <f>SUMIF(I$401:I$490,$C690,$S$401:$S$490)*Forrajes!BI28*I$99</f>
        <v>0</v>
      </c>
      <c r="V690" s="668">
        <f>SUMIF(J$401:J$490,$C690,$S$401:$S$490)*Forrajes!BJ28*J$99</f>
        <v>0</v>
      </c>
      <c r="W690" s="668">
        <f>SUMIF(K$401:K$490,$C690,$S$401:$S$490)*Forrajes!BK28*K$99</f>
        <v>0</v>
      </c>
      <c r="X690" s="668">
        <f>SUMIF(L$401:L$490,$C690,$S$401:$S$490)*Forrajes!BL28*L$99</f>
        <v>0</v>
      </c>
      <c r="Y690" s="668">
        <f>SUMIF(M$401:M$490,$C690,$S$401:$S$490)*Forrajes!BM28*M$99</f>
        <v>0</v>
      </c>
      <c r="Z690" s="668">
        <f>SUMIF(N$401:N$490,$C690,$S$401:$S$490)*Forrajes!BN28*N$99</f>
        <v>0</v>
      </c>
      <c r="AA690" s="668">
        <f>SUMIF(O$401:O$490,$C690,$S$401:$S$490)*Forrajes!BO28*O$99</f>
        <v>0</v>
      </c>
      <c r="AB690" s="668">
        <f>SUMIF(P$401:P$490,$C690,$S$401:$S$490)*Forrajes!BP28*P$99</f>
        <v>0</v>
      </c>
      <c r="AC690" s="668">
        <f>SUMIF(Q$401:Q$490,$C690,$S$401:$S$490)*Forrajes!BQ28*Q$99</f>
        <v>0</v>
      </c>
      <c r="AD690" s="1977">
        <f>SUMIF(R$401:R$490,$C690,$S$401:$S$490)*Forrajes!BR28*R$99</f>
        <v>0</v>
      </c>
      <c r="AF690" s="1976">
        <f>Forrajes!BU28*S690</f>
        <v>0</v>
      </c>
      <c r="AG690" s="668">
        <f>Forrajes!BV28*T690</f>
        <v>0</v>
      </c>
      <c r="AH690" s="668">
        <f>Forrajes!BW28*U690</f>
        <v>0</v>
      </c>
      <c r="AI690" s="668">
        <f>Forrajes!BX28*V690</f>
        <v>0</v>
      </c>
      <c r="AJ690" s="668">
        <f>Forrajes!BY28*W690</f>
        <v>0</v>
      </c>
      <c r="AK690" s="668">
        <f>Forrajes!BZ28*X690</f>
        <v>0</v>
      </c>
      <c r="AL690" s="668">
        <f>Forrajes!CA28*Y690</f>
        <v>0</v>
      </c>
      <c r="AM690" s="668">
        <f>Forrajes!CB28*Z690</f>
        <v>0</v>
      </c>
      <c r="AN690" s="668">
        <f>Forrajes!CC28*AA690</f>
        <v>0</v>
      </c>
      <c r="AO690" s="668">
        <f>Forrajes!CD28*AB690</f>
        <v>0</v>
      </c>
      <c r="AP690" s="668">
        <f>Forrajes!CE28*AC690</f>
        <v>0</v>
      </c>
      <c r="AQ690" s="668">
        <f>Forrajes!CF28*AD690</f>
        <v>0</v>
      </c>
      <c r="AS690" s="1976">
        <f>Forrajes!CI28*S690</f>
        <v>0</v>
      </c>
      <c r="AT690" s="668">
        <f>Forrajes!CJ28*T690</f>
        <v>0</v>
      </c>
      <c r="AU690" s="668">
        <f>Forrajes!CK28*U690</f>
        <v>0</v>
      </c>
      <c r="AV690" s="668">
        <f>Forrajes!CL28*V690</f>
        <v>0</v>
      </c>
      <c r="AW690" s="668">
        <f>Forrajes!CM28*W690</f>
        <v>0</v>
      </c>
      <c r="AX690" s="668">
        <f>Forrajes!CN28*X690</f>
        <v>0</v>
      </c>
      <c r="AY690" s="668">
        <f>Forrajes!CO28*Y690</f>
        <v>0</v>
      </c>
      <c r="AZ690" s="668">
        <f>Forrajes!CP28*Z690</f>
        <v>0</v>
      </c>
      <c r="BA690" s="668">
        <f>Forrajes!CQ28*AA690</f>
        <v>0</v>
      </c>
      <c r="BB690" s="668">
        <f>Forrajes!CR28*AB690</f>
        <v>0</v>
      </c>
      <c r="BC690" s="668">
        <f>Forrajes!CS28*AC690</f>
        <v>0</v>
      </c>
      <c r="BD690" s="1818">
        <f>Forrajes!CT28*AD690</f>
        <v>0</v>
      </c>
      <c r="BE690" s="590"/>
      <c r="BF690" s="100"/>
      <c r="BG690" s="590"/>
      <c r="BH690" s="590"/>
      <c r="BI690" s="100"/>
      <c r="BJ690" s="1975"/>
      <c r="BK690" s="590"/>
    </row>
    <row r="691" spans="3:63" s="108" customFormat="1" x14ac:dyDescent="0.2">
      <c r="C691" s="1971" t="str">
        <f t="shared" si="509"/>
        <v xml:space="preserve">Prad 4Vacas Ordeñe </v>
      </c>
      <c r="D691" s="1857" t="str">
        <f t="shared" si="510"/>
        <v>Prad 4</v>
      </c>
      <c r="E691" s="590"/>
      <c r="F691" s="1972">
        <f t="shared" ref="F691:Q691" si="519">IF($D691=0,0,SUMIF(G$401:G$490,$C691,$S$401:$S$490))</f>
        <v>0</v>
      </c>
      <c r="G691" s="1972">
        <f t="shared" si="519"/>
        <v>0</v>
      </c>
      <c r="H691" s="1972">
        <f t="shared" si="519"/>
        <v>0</v>
      </c>
      <c r="I691" s="1972">
        <f t="shared" si="519"/>
        <v>0</v>
      </c>
      <c r="J691" s="1972">
        <f t="shared" si="519"/>
        <v>0</v>
      </c>
      <c r="K691" s="1972">
        <f t="shared" si="519"/>
        <v>0</v>
      </c>
      <c r="L691" s="1972">
        <f t="shared" si="519"/>
        <v>0</v>
      </c>
      <c r="M691" s="1972">
        <f t="shared" si="519"/>
        <v>0</v>
      </c>
      <c r="N691" s="1972">
        <f t="shared" si="519"/>
        <v>0</v>
      </c>
      <c r="O691" s="1972">
        <f t="shared" si="519"/>
        <v>0</v>
      </c>
      <c r="P691" s="1972">
        <f t="shared" si="519"/>
        <v>0</v>
      </c>
      <c r="Q691" s="1972">
        <f t="shared" si="519"/>
        <v>0</v>
      </c>
      <c r="S691" s="1976">
        <f>SUMIF(G$401:G$490,$C691,$S$401:$S$490)*Forrajes!BG29*G$99</f>
        <v>0</v>
      </c>
      <c r="T691" s="668">
        <f>SUMIF(H$401:H$490,$C691,$S$401:$S$490)*Forrajes!BH29*H$99</f>
        <v>0</v>
      </c>
      <c r="U691" s="668">
        <f>SUMIF(I$401:I$490,$C691,$S$401:$S$490)*Forrajes!BI29*I$99</f>
        <v>0</v>
      </c>
      <c r="V691" s="668">
        <f>SUMIF(J$401:J$490,$C691,$S$401:$S$490)*Forrajes!BJ29*J$99</f>
        <v>0</v>
      </c>
      <c r="W691" s="668">
        <f>SUMIF(K$401:K$490,$C691,$S$401:$S$490)*Forrajes!BK29*K$99</f>
        <v>0</v>
      </c>
      <c r="X691" s="668">
        <f>SUMIF(L$401:L$490,$C691,$S$401:$S$490)*Forrajes!BL29*L$99</f>
        <v>0</v>
      </c>
      <c r="Y691" s="668">
        <f>SUMIF(M$401:M$490,$C691,$S$401:$S$490)*Forrajes!BM29*M$99</f>
        <v>0</v>
      </c>
      <c r="Z691" s="668">
        <f>SUMIF(N$401:N$490,$C691,$S$401:$S$490)*Forrajes!BN29*N$99</f>
        <v>0</v>
      </c>
      <c r="AA691" s="668">
        <f>SUMIF(O$401:O$490,$C691,$S$401:$S$490)*Forrajes!BO29*O$99</f>
        <v>0</v>
      </c>
      <c r="AB691" s="668">
        <f>SUMIF(P$401:P$490,$C691,$S$401:$S$490)*Forrajes!BP29*P$99</f>
        <v>0</v>
      </c>
      <c r="AC691" s="668">
        <f>SUMIF(Q$401:Q$490,$C691,$S$401:$S$490)*Forrajes!BQ29*Q$99</f>
        <v>0</v>
      </c>
      <c r="AD691" s="1977">
        <f>SUMIF(R$401:R$490,$C691,$S$401:$S$490)*Forrajes!BR29*R$99</f>
        <v>0</v>
      </c>
      <c r="AF691" s="1976">
        <f>Forrajes!BU29*S691</f>
        <v>0</v>
      </c>
      <c r="AG691" s="668">
        <f>Forrajes!BV29*T691</f>
        <v>0</v>
      </c>
      <c r="AH691" s="668">
        <f>Forrajes!BW29*U691</f>
        <v>0</v>
      </c>
      <c r="AI691" s="668">
        <f>Forrajes!BX29*V691</f>
        <v>0</v>
      </c>
      <c r="AJ691" s="668">
        <f>Forrajes!BY29*W691</f>
        <v>0</v>
      </c>
      <c r="AK691" s="668">
        <f>Forrajes!BZ29*X691</f>
        <v>0</v>
      </c>
      <c r="AL691" s="668">
        <f>Forrajes!CA29*Y691</f>
        <v>0</v>
      </c>
      <c r="AM691" s="668">
        <f>Forrajes!CB29*Z691</f>
        <v>0</v>
      </c>
      <c r="AN691" s="668">
        <f>Forrajes!CC29*AA691</f>
        <v>0</v>
      </c>
      <c r="AO691" s="668">
        <f>Forrajes!CD29*AB691</f>
        <v>0</v>
      </c>
      <c r="AP691" s="668">
        <f>Forrajes!CE29*AC691</f>
        <v>0</v>
      </c>
      <c r="AQ691" s="668">
        <f>Forrajes!CF29*AD691</f>
        <v>0</v>
      </c>
      <c r="AS691" s="1976">
        <f>Forrajes!CI29*S691</f>
        <v>0</v>
      </c>
      <c r="AT691" s="668">
        <f>Forrajes!CJ29*T691</f>
        <v>0</v>
      </c>
      <c r="AU691" s="668">
        <f>Forrajes!CK29*U691</f>
        <v>0</v>
      </c>
      <c r="AV691" s="668">
        <f>Forrajes!CL29*V691</f>
        <v>0</v>
      </c>
      <c r="AW691" s="668">
        <f>Forrajes!CM29*W691</f>
        <v>0</v>
      </c>
      <c r="AX691" s="668">
        <f>Forrajes!CN29*X691</f>
        <v>0</v>
      </c>
      <c r="AY691" s="668">
        <f>Forrajes!CO29*Y691</f>
        <v>0</v>
      </c>
      <c r="AZ691" s="668">
        <f>Forrajes!CP29*Z691</f>
        <v>0</v>
      </c>
      <c r="BA691" s="668">
        <f>Forrajes!CQ29*AA691</f>
        <v>0</v>
      </c>
      <c r="BB691" s="668">
        <f>Forrajes!CR29*AB691</f>
        <v>0</v>
      </c>
      <c r="BC691" s="668">
        <f>Forrajes!CS29*AC691</f>
        <v>0</v>
      </c>
      <c r="BD691" s="1818">
        <f>Forrajes!CT29*AD691</f>
        <v>0</v>
      </c>
      <c r="BE691" s="590"/>
      <c r="BF691" s="100"/>
      <c r="BG691" s="590"/>
      <c r="BH691" s="590"/>
      <c r="BI691" s="100"/>
      <c r="BJ691" s="1975"/>
      <c r="BK691" s="590"/>
    </row>
    <row r="692" spans="3:63" s="108" customFormat="1" x14ac:dyDescent="0.2">
      <c r="C692" s="1971" t="str">
        <f t="shared" si="509"/>
        <v xml:space="preserve">Trébol Rojo 2Vacas Ordeñe </v>
      </c>
      <c r="D692" s="1857" t="str">
        <f t="shared" si="510"/>
        <v>Trébol Rojo 2</v>
      </c>
      <c r="E692" s="590"/>
      <c r="F692" s="1972">
        <f t="shared" ref="F692:Q692" si="520">IF($D692=0,0,SUMIF(G$401:G$490,$C692,$S$401:$S$490))</f>
        <v>0</v>
      </c>
      <c r="G692" s="1972">
        <f t="shared" si="520"/>
        <v>0</v>
      </c>
      <c r="H692" s="1972">
        <f t="shared" si="520"/>
        <v>0</v>
      </c>
      <c r="I692" s="1972">
        <f t="shared" si="520"/>
        <v>0</v>
      </c>
      <c r="J692" s="1972">
        <f t="shared" si="520"/>
        <v>0</v>
      </c>
      <c r="K692" s="1972">
        <f t="shared" si="520"/>
        <v>0</v>
      </c>
      <c r="L692" s="1972">
        <f t="shared" si="520"/>
        <v>0</v>
      </c>
      <c r="M692" s="1972">
        <f t="shared" si="520"/>
        <v>0</v>
      </c>
      <c r="N692" s="1972">
        <f t="shared" si="520"/>
        <v>0</v>
      </c>
      <c r="O692" s="1972">
        <f t="shared" si="520"/>
        <v>0</v>
      </c>
      <c r="P692" s="1972">
        <f t="shared" si="520"/>
        <v>0</v>
      </c>
      <c r="Q692" s="1972">
        <f t="shared" si="520"/>
        <v>0</v>
      </c>
      <c r="S692" s="1976">
        <f>SUMIF(G$401:G$490,$C692,$S$401:$S$490)*Forrajes!BG30*G$99</f>
        <v>0</v>
      </c>
      <c r="T692" s="668">
        <f>SUMIF(H$401:H$490,$C692,$S$401:$S$490)*Forrajes!BH30*H$99</f>
        <v>0</v>
      </c>
      <c r="U692" s="668">
        <f>SUMIF(I$401:I$490,$C692,$S$401:$S$490)*Forrajes!BI30*I$99</f>
        <v>0</v>
      </c>
      <c r="V692" s="668">
        <f>SUMIF(J$401:J$490,$C692,$S$401:$S$490)*Forrajes!BJ30*J$99</f>
        <v>0</v>
      </c>
      <c r="W692" s="668">
        <f>SUMIF(K$401:K$490,$C692,$S$401:$S$490)*Forrajes!BK30*K$99</f>
        <v>0</v>
      </c>
      <c r="X692" s="668">
        <f>SUMIF(L$401:L$490,$C692,$S$401:$S$490)*Forrajes!BL30*L$99</f>
        <v>0</v>
      </c>
      <c r="Y692" s="668">
        <f>SUMIF(M$401:M$490,$C692,$S$401:$S$490)*Forrajes!BM30*M$99</f>
        <v>0</v>
      </c>
      <c r="Z692" s="668">
        <f>SUMIF(N$401:N$490,$C692,$S$401:$S$490)*Forrajes!BN30*N$99</f>
        <v>0</v>
      </c>
      <c r="AA692" s="668">
        <f>SUMIF(O$401:O$490,$C692,$S$401:$S$490)*Forrajes!BO30*O$99</f>
        <v>0</v>
      </c>
      <c r="AB692" s="668">
        <f>SUMIF(P$401:P$490,$C692,$S$401:$S$490)*Forrajes!BP30*P$99</f>
        <v>0</v>
      </c>
      <c r="AC692" s="668">
        <f>SUMIF(Q$401:Q$490,$C692,$S$401:$S$490)*Forrajes!BQ30*Q$99</f>
        <v>0</v>
      </c>
      <c r="AD692" s="1977">
        <f>SUMIF(R$401:R$490,$C692,$S$401:$S$490)*Forrajes!BR30*R$99</f>
        <v>0</v>
      </c>
      <c r="AF692" s="1976">
        <f>Forrajes!BU30*S692</f>
        <v>0</v>
      </c>
      <c r="AG692" s="668">
        <f>Forrajes!BV30*T692</f>
        <v>0</v>
      </c>
      <c r="AH692" s="668">
        <f>Forrajes!BW30*U692</f>
        <v>0</v>
      </c>
      <c r="AI692" s="668">
        <f>Forrajes!BX30*V692</f>
        <v>0</v>
      </c>
      <c r="AJ692" s="668">
        <f>Forrajes!BY30*W692</f>
        <v>0</v>
      </c>
      <c r="AK692" s="668">
        <f>Forrajes!BZ30*X692</f>
        <v>0</v>
      </c>
      <c r="AL692" s="668">
        <f>Forrajes!CA30*Y692</f>
        <v>0</v>
      </c>
      <c r="AM692" s="668">
        <f>Forrajes!CB30*Z692</f>
        <v>0</v>
      </c>
      <c r="AN692" s="668">
        <f>Forrajes!CC30*AA692</f>
        <v>0</v>
      </c>
      <c r="AO692" s="668">
        <f>Forrajes!CD30*AB692</f>
        <v>0</v>
      </c>
      <c r="AP692" s="668">
        <f>Forrajes!CE30*AC692</f>
        <v>0</v>
      </c>
      <c r="AQ692" s="668">
        <f>Forrajes!CF30*AD692</f>
        <v>0</v>
      </c>
      <c r="AS692" s="1976">
        <f>Forrajes!CI30*S692</f>
        <v>0</v>
      </c>
      <c r="AT692" s="668">
        <f>Forrajes!CJ30*T692</f>
        <v>0</v>
      </c>
      <c r="AU692" s="668">
        <f>Forrajes!CK30*U692</f>
        <v>0</v>
      </c>
      <c r="AV692" s="668">
        <f>Forrajes!CL30*V692</f>
        <v>0</v>
      </c>
      <c r="AW692" s="668">
        <f>Forrajes!CM30*W692</f>
        <v>0</v>
      </c>
      <c r="AX692" s="668">
        <f>Forrajes!CN30*X692</f>
        <v>0</v>
      </c>
      <c r="AY692" s="668">
        <f>Forrajes!CO30*Y692</f>
        <v>0</v>
      </c>
      <c r="AZ692" s="668">
        <f>Forrajes!CP30*Z692</f>
        <v>0</v>
      </c>
      <c r="BA692" s="668">
        <f>Forrajes!CQ30*AA692</f>
        <v>0</v>
      </c>
      <c r="BB692" s="668">
        <f>Forrajes!CR30*AB692</f>
        <v>0</v>
      </c>
      <c r="BC692" s="668">
        <f>Forrajes!CS30*AC692</f>
        <v>0</v>
      </c>
      <c r="BD692" s="1818">
        <f>Forrajes!CT30*AD692</f>
        <v>0</v>
      </c>
      <c r="BE692" s="590"/>
      <c r="BF692" s="100"/>
      <c r="BG692" s="590"/>
      <c r="BH692" s="590"/>
      <c r="BI692" s="1978"/>
      <c r="BJ692" s="1975"/>
      <c r="BK692" s="590"/>
    </row>
    <row r="693" spans="3:63" s="108" customFormat="1" x14ac:dyDescent="0.2">
      <c r="C693" s="1971" t="str">
        <f t="shared" si="509"/>
        <v xml:space="preserve">Trébol Rojo 3Vacas Ordeñe </v>
      </c>
      <c r="D693" s="1857" t="str">
        <f t="shared" si="510"/>
        <v>Trébol Rojo 3</v>
      </c>
      <c r="E693" s="590"/>
      <c r="F693" s="1972">
        <f t="shared" ref="F693:Q693" si="521">IF($D693=0,0,SUMIF(G$401:G$490,$C693,$S$401:$S$490))</f>
        <v>0</v>
      </c>
      <c r="G693" s="1972">
        <f t="shared" si="521"/>
        <v>0</v>
      </c>
      <c r="H693" s="1972">
        <f t="shared" si="521"/>
        <v>0</v>
      </c>
      <c r="I693" s="1972">
        <f t="shared" si="521"/>
        <v>0</v>
      </c>
      <c r="J693" s="1972">
        <f t="shared" si="521"/>
        <v>0</v>
      </c>
      <c r="K693" s="1972">
        <f t="shared" si="521"/>
        <v>0</v>
      </c>
      <c r="L693" s="1972">
        <f t="shared" si="521"/>
        <v>0</v>
      </c>
      <c r="M693" s="1972">
        <f t="shared" si="521"/>
        <v>0</v>
      </c>
      <c r="N693" s="1972">
        <f t="shared" si="521"/>
        <v>0</v>
      </c>
      <c r="O693" s="1972">
        <f t="shared" si="521"/>
        <v>0</v>
      </c>
      <c r="P693" s="1972">
        <f t="shared" si="521"/>
        <v>0</v>
      </c>
      <c r="Q693" s="1972">
        <f t="shared" si="521"/>
        <v>0</v>
      </c>
      <c r="S693" s="1976">
        <f>SUMIF(G$401:G$490,$C693,$S$401:$S$490)*Forrajes!BG31*G$99</f>
        <v>0</v>
      </c>
      <c r="T693" s="668">
        <f>SUMIF(H$401:H$490,$C693,$S$401:$S$490)*Forrajes!BH31*H$99</f>
        <v>0</v>
      </c>
      <c r="U693" s="668">
        <f>SUMIF(I$401:I$490,$C693,$S$401:$S$490)*Forrajes!BI31*I$99</f>
        <v>0</v>
      </c>
      <c r="V693" s="668">
        <f>SUMIF(J$401:J$490,$C693,$S$401:$S$490)*Forrajes!BJ31*J$99</f>
        <v>0</v>
      </c>
      <c r="W693" s="668">
        <f>SUMIF(K$401:K$490,$C693,$S$401:$S$490)*Forrajes!BK31*K$99</f>
        <v>0</v>
      </c>
      <c r="X693" s="668">
        <f>SUMIF(L$401:L$490,$C693,$S$401:$S$490)*Forrajes!BL31*L$99</f>
        <v>0</v>
      </c>
      <c r="Y693" s="668">
        <f>SUMIF(M$401:M$490,$C693,$S$401:$S$490)*Forrajes!BM31*M$99</f>
        <v>0</v>
      </c>
      <c r="Z693" s="668">
        <f>SUMIF(N$401:N$490,$C693,$S$401:$S$490)*Forrajes!BN31*N$99</f>
        <v>0</v>
      </c>
      <c r="AA693" s="668">
        <f>SUMIF(O$401:O$490,$C693,$S$401:$S$490)*Forrajes!BO31*O$99</f>
        <v>0</v>
      </c>
      <c r="AB693" s="668">
        <f>SUMIF(P$401:P$490,$C693,$S$401:$S$490)*Forrajes!BP31*P$99</f>
        <v>0</v>
      </c>
      <c r="AC693" s="668">
        <f>SUMIF(Q$401:Q$490,$C693,$S$401:$S$490)*Forrajes!BQ31*Q$99</f>
        <v>0</v>
      </c>
      <c r="AD693" s="1977">
        <f>SUMIF(R$401:R$490,$C693,$S$401:$S$490)*Forrajes!BR31*R$99</f>
        <v>0</v>
      </c>
      <c r="AF693" s="1976">
        <f>Forrajes!BU31*S693</f>
        <v>0</v>
      </c>
      <c r="AG693" s="668">
        <f>Forrajes!BV31*T693</f>
        <v>0</v>
      </c>
      <c r="AH693" s="668">
        <f>Forrajes!BW31*U693</f>
        <v>0</v>
      </c>
      <c r="AI693" s="668">
        <f>Forrajes!BX31*V693</f>
        <v>0</v>
      </c>
      <c r="AJ693" s="668">
        <f>Forrajes!BY31*W693</f>
        <v>0</v>
      </c>
      <c r="AK693" s="668">
        <f>Forrajes!BZ31*X693</f>
        <v>0</v>
      </c>
      <c r="AL693" s="668">
        <f>Forrajes!CA31*Y693</f>
        <v>0</v>
      </c>
      <c r="AM693" s="668">
        <f>Forrajes!CB31*Z693</f>
        <v>0</v>
      </c>
      <c r="AN693" s="668">
        <f>Forrajes!CC31*AA693</f>
        <v>0</v>
      </c>
      <c r="AO693" s="668">
        <f>Forrajes!CD31*AB693</f>
        <v>0</v>
      </c>
      <c r="AP693" s="668">
        <f>Forrajes!CE31*AC693</f>
        <v>0</v>
      </c>
      <c r="AQ693" s="668">
        <f>Forrajes!CF31*AD693</f>
        <v>0</v>
      </c>
      <c r="AS693" s="1976">
        <f>Forrajes!CI31*S693</f>
        <v>0</v>
      </c>
      <c r="AT693" s="668">
        <f>Forrajes!CJ31*T693</f>
        <v>0</v>
      </c>
      <c r="AU693" s="668">
        <f>Forrajes!CK31*U693</f>
        <v>0</v>
      </c>
      <c r="AV693" s="668">
        <f>Forrajes!CL31*V693</f>
        <v>0</v>
      </c>
      <c r="AW693" s="668">
        <f>Forrajes!CM31*W693</f>
        <v>0</v>
      </c>
      <c r="AX693" s="668">
        <f>Forrajes!CN31*X693</f>
        <v>0</v>
      </c>
      <c r="AY693" s="668">
        <f>Forrajes!CO31*Y693</f>
        <v>0</v>
      </c>
      <c r="AZ693" s="668">
        <f>Forrajes!CP31*Z693</f>
        <v>0</v>
      </c>
      <c r="BA693" s="668">
        <f>Forrajes!CQ31*AA693</f>
        <v>0</v>
      </c>
      <c r="BB693" s="668">
        <f>Forrajes!CR31*AB693</f>
        <v>0</v>
      </c>
      <c r="BC693" s="668">
        <f>Forrajes!CS31*AC693</f>
        <v>0</v>
      </c>
      <c r="BD693" s="1818">
        <f>Forrajes!CT31*AD693</f>
        <v>0</v>
      </c>
      <c r="BE693" s="590"/>
      <c r="BF693" s="100"/>
      <c r="BG693" s="590"/>
      <c r="BH693" s="590"/>
      <c r="BI693" s="100"/>
      <c r="BJ693" s="1975"/>
      <c r="BK693" s="590"/>
    </row>
    <row r="694" spans="3:63" s="108" customFormat="1" x14ac:dyDescent="0.2">
      <c r="C694" s="1971" t="str">
        <f t="shared" si="509"/>
        <v xml:space="preserve">Alfalfa 5Vacas Ordeñe </v>
      </c>
      <c r="D694" s="1857" t="str">
        <f t="shared" si="510"/>
        <v>Alfalfa 5</v>
      </c>
      <c r="E694" s="590"/>
      <c r="F694" s="1972">
        <f t="shared" ref="F694:Q694" si="522">IF($D694=0,0,SUMIF(G$401:G$490,$C694,$S$401:$S$490))</f>
        <v>0</v>
      </c>
      <c r="G694" s="1972">
        <f t="shared" si="522"/>
        <v>0</v>
      </c>
      <c r="H694" s="1972">
        <f t="shared" si="522"/>
        <v>0</v>
      </c>
      <c r="I694" s="1972">
        <f t="shared" si="522"/>
        <v>0</v>
      </c>
      <c r="J694" s="1972">
        <f t="shared" si="522"/>
        <v>0</v>
      </c>
      <c r="K694" s="1972">
        <f t="shared" si="522"/>
        <v>0</v>
      </c>
      <c r="L694" s="1972">
        <f t="shared" si="522"/>
        <v>0</v>
      </c>
      <c r="M694" s="1972">
        <f t="shared" si="522"/>
        <v>0</v>
      </c>
      <c r="N694" s="1972">
        <f t="shared" si="522"/>
        <v>0</v>
      </c>
      <c r="O694" s="1972">
        <f t="shared" si="522"/>
        <v>0</v>
      </c>
      <c r="P694" s="1972">
        <f t="shared" si="522"/>
        <v>0</v>
      </c>
      <c r="Q694" s="1972">
        <f t="shared" si="522"/>
        <v>0</v>
      </c>
      <c r="S694" s="1976">
        <f>SUMIF(G$401:G$490,$C694,$S$401:$S$490)*Forrajes!BG32*G$99</f>
        <v>0</v>
      </c>
      <c r="T694" s="668">
        <f>SUMIF(H$401:H$490,$C694,$S$401:$S$490)*Forrajes!BH32*H$99</f>
        <v>0</v>
      </c>
      <c r="U694" s="668">
        <f>SUMIF(I$401:I$490,$C694,$S$401:$S$490)*Forrajes!BI32*I$99</f>
        <v>0</v>
      </c>
      <c r="V694" s="668">
        <f>SUMIF(J$401:J$490,$C694,$S$401:$S$490)*Forrajes!BJ32*J$99</f>
        <v>0</v>
      </c>
      <c r="W694" s="668">
        <f>SUMIF(K$401:K$490,$C694,$S$401:$S$490)*Forrajes!BK32*K$99</f>
        <v>0</v>
      </c>
      <c r="X694" s="668">
        <f>SUMIF(L$401:L$490,$C694,$S$401:$S$490)*Forrajes!BL32*L$99</f>
        <v>0</v>
      </c>
      <c r="Y694" s="668">
        <f>SUMIF(M$401:M$490,$C694,$S$401:$S$490)*Forrajes!BM32*M$99</f>
        <v>0</v>
      </c>
      <c r="Z694" s="668">
        <f>SUMIF(N$401:N$490,$C694,$S$401:$S$490)*Forrajes!BN32*N$99</f>
        <v>0</v>
      </c>
      <c r="AA694" s="668">
        <f>SUMIF(O$401:O$490,$C694,$S$401:$S$490)*Forrajes!BO32*O$99</f>
        <v>0</v>
      </c>
      <c r="AB694" s="668">
        <f>SUMIF(P$401:P$490,$C694,$S$401:$S$490)*Forrajes!BP32*P$99</f>
        <v>0</v>
      </c>
      <c r="AC694" s="668">
        <f>SUMIF(Q$401:Q$490,$C694,$S$401:$S$490)*Forrajes!BQ32*Q$99</f>
        <v>0</v>
      </c>
      <c r="AD694" s="1977">
        <f>SUMIF(R$401:R$490,$C694,$S$401:$S$490)*Forrajes!BR32*R$99</f>
        <v>0</v>
      </c>
      <c r="AF694" s="1976">
        <f>Forrajes!BU32*S694</f>
        <v>0</v>
      </c>
      <c r="AG694" s="668">
        <f>Forrajes!BV32*T694</f>
        <v>0</v>
      </c>
      <c r="AH694" s="668">
        <f>Forrajes!BW32*U694</f>
        <v>0</v>
      </c>
      <c r="AI694" s="668">
        <f>Forrajes!BX32*V694</f>
        <v>0</v>
      </c>
      <c r="AJ694" s="668">
        <f>Forrajes!BY32*W694</f>
        <v>0</v>
      </c>
      <c r="AK694" s="668">
        <f>Forrajes!BZ32*X694</f>
        <v>0</v>
      </c>
      <c r="AL694" s="668">
        <f>Forrajes!CA32*Y694</f>
        <v>0</v>
      </c>
      <c r="AM694" s="668">
        <f>Forrajes!CB32*Z694</f>
        <v>0</v>
      </c>
      <c r="AN694" s="668">
        <f>Forrajes!CC32*AA694</f>
        <v>0</v>
      </c>
      <c r="AO694" s="668">
        <f>Forrajes!CD32*AB694</f>
        <v>0</v>
      </c>
      <c r="AP694" s="668">
        <f>Forrajes!CE32*AC694</f>
        <v>0</v>
      </c>
      <c r="AQ694" s="668">
        <f>Forrajes!CF32*AD694</f>
        <v>0</v>
      </c>
      <c r="AS694" s="1976">
        <f>Forrajes!CI32*S694</f>
        <v>0</v>
      </c>
      <c r="AT694" s="668">
        <f>Forrajes!CJ32*T694</f>
        <v>0</v>
      </c>
      <c r="AU694" s="668">
        <f>Forrajes!CK32*U694</f>
        <v>0</v>
      </c>
      <c r="AV694" s="668">
        <f>Forrajes!CL32*V694</f>
        <v>0</v>
      </c>
      <c r="AW694" s="668">
        <f>Forrajes!CM32*W694</f>
        <v>0</v>
      </c>
      <c r="AX694" s="668">
        <f>Forrajes!CN32*X694</f>
        <v>0</v>
      </c>
      <c r="AY694" s="668">
        <f>Forrajes!CO32*Y694</f>
        <v>0</v>
      </c>
      <c r="AZ694" s="668">
        <f>Forrajes!CP32*Z694</f>
        <v>0</v>
      </c>
      <c r="BA694" s="668">
        <f>Forrajes!CQ32*AA694</f>
        <v>0</v>
      </c>
      <c r="BB694" s="668">
        <f>Forrajes!CR32*AB694</f>
        <v>0</v>
      </c>
      <c r="BC694" s="668">
        <f>Forrajes!CS32*AC694</f>
        <v>0</v>
      </c>
      <c r="BD694" s="1818">
        <f>Forrajes!CT32*AD694</f>
        <v>0</v>
      </c>
      <c r="BE694" s="590"/>
      <c r="BF694" s="100"/>
      <c r="BG694" s="590"/>
      <c r="BH694" s="590"/>
      <c r="BI694" s="100"/>
      <c r="BJ694" s="1975"/>
      <c r="BK694" s="590"/>
    </row>
    <row r="695" spans="3:63" s="108" customFormat="1" x14ac:dyDescent="0.2">
      <c r="C695" s="1971" t="str">
        <f t="shared" si="509"/>
        <v xml:space="preserve">PP 5Vacas Ordeñe </v>
      </c>
      <c r="D695" s="1857" t="str">
        <f t="shared" si="510"/>
        <v>PP 5</v>
      </c>
      <c r="E695" s="590"/>
      <c r="F695" s="1972">
        <f t="shared" ref="F695:Q695" si="523">IF($D695=0,0,SUMIF(G$401:G$490,$C695,$S$401:$S$490))</f>
        <v>0</v>
      </c>
      <c r="G695" s="1972">
        <f t="shared" si="523"/>
        <v>0</v>
      </c>
      <c r="H695" s="1972">
        <f t="shared" si="523"/>
        <v>0</v>
      </c>
      <c r="I695" s="1972">
        <f t="shared" si="523"/>
        <v>0</v>
      </c>
      <c r="J695" s="1972">
        <f t="shared" si="523"/>
        <v>0</v>
      </c>
      <c r="K695" s="1972">
        <f t="shared" si="523"/>
        <v>0</v>
      </c>
      <c r="L695" s="1972">
        <f t="shared" si="523"/>
        <v>0</v>
      </c>
      <c r="M695" s="1972">
        <f t="shared" si="523"/>
        <v>0</v>
      </c>
      <c r="N695" s="1972">
        <f t="shared" si="523"/>
        <v>0</v>
      </c>
      <c r="O695" s="1972">
        <f t="shared" si="523"/>
        <v>0</v>
      </c>
      <c r="P695" s="1972">
        <f t="shared" si="523"/>
        <v>0</v>
      </c>
      <c r="Q695" s="1972">
        <f t="shared" si="523"/>
        <v>0</v>
      </c>
      <c r="S695" s="1976">
        <f>SUMIF(G$401:G$490,$C695,$S$401:$S$490)*Forrajes!BG33*G$99</f>
        <v>0</v>
      </c>
      <c r="T695" s="668">
        <f>SUMIF(H$401:H$490,$C695,$S$401:$S$490)*Forrajes!BH33*H$99</f>
        <v>0</v>
      </c>
      <c r="U695" s="668">
        <f>SUMIF(I$401:I$490,$C695,$S$401:$S$490)*Forrajes!BI33*I$99</f>
        <v>0</v>
      </c>
      <c r="V695" s="668">
        <f>SUMIF(J$401:J$490,$C695,$S$401:$S$490)*Forrajes!BJ33*J$99</f>
        <v>0</v>
      </c>
      <c r="W695" s="668">
        <f>SUMIF(K$401:K$490,$C695,$S$401:$S$490)*Forrajes!BK33*K$99</f>
        <v>0</v>
      </c>
      <c r="X695" s="668">
        <f>SUMIF(L$401:L$490,$C695,$S$401:$S$490)*Forrajes!BL33*L$99</f>
        <v>0</v>
      </c>
      <c r="Y695" s="668">
        <f>SUMIF(M$401:M$490,$C695,$S$401:$S$490)*Forrajes!BM33*M$99</f>
        <v>0</v>
      </c>
      <c r="Z695" s="668">
        <f>SUMIF(N$401:N$490,$C695,$S$401:$S$490)*Forrajes!BN33*N$99</f>
        <v>0</v>
      </c>
      <c r="AA695" s="668">
        <f>SUMIF(O$401:O$490,$C695,$S$401:$S$490)*Forrajes!BO33*O$99</f>
        <v>0</v>
      </c>
      <c r="AB695" s="668">
        <f>SUMIF(P$401:P$490,$C695,$S$401:$S$490)*Forrajes!BP33*P$99</f>
        <v>0</v>
      </c>
      <c r="AC695" s="668">
        <f>SUMIF(Q$401:Q$490,$C695,$S$401:$S$490)*Forrajes!BQ33*Q$99</f>
        <v>0</v>
      </c>
      <c r="AD695" s="1977">
        <f>SUMIF(R$401:R$490,$C695,$S$401:$S$490)*Forrajes!BR33*R$99</f>
        <v>0</v>
      </c>
      <c r="AF695" s="1976">
        <f>Forrajes!BU33*S695</f>
        <v>0</v>
      </c>
      <c r="AG695" s="668">
        <f>Forrajes!BV33*T695</f>
        <v>0</v>
      </c>
      <c r="AH695" s="668">
        <f>Forrajes!BW33*U695</f>
        <v>0</v>
      </c>
      <c r="AI695" s="668">
        <f>Forrajes!BX33*V695</f>
        <v>0</v>
      </c>
      <c r="AJ695" s="668">
        <f>Forrajes!BY33*W695</f>
        <v>0</v>
      </c>
      <c r="AK695" s="668">
        <f>Forrajes!BZ33*X695</f>
        <v>0</v>
      </c>
      <c r="AL695" s="668">
        <f>Forrajes!CA33*Y695</f>
        <v>0</v>
      </c>
      <c r="AM695" s="668">
        <f>Forrajes!CB33*Z695</f>
        <v>0</v>
      </c>
      <c r="AN695" s="668">
        <f>Forrajes!CC33*AA695</f>
        <v>0</v>
      </c>
      <c r="AO695" s="668">
        <f>Forrajes!CD33*AB695</f>
        <v>0</v>
      </c>
      <c r="AP695" s="668">
        <f>Forrajes!CE33*AC695</f>
        <v>0</v>
      </c>
      <c r="AQ695" s="668">
        <f>Forrajes!CF33*AD695</f>
        <v>0</v>
      </c>
      <c r="AS695" s="1976">
        <f>Forrajes!CI33*S695</f>
        <v>0</v>
      </c>
      <c r="AT695" s="668">
        <f>Forrajes!CJ33*T695</f>
        <v>0</v>
      </c>
      <c r="AU695" s="668">
        <f>Forrajes!CK33*U695</f>
        <v>0</v>
      </c>
      <c r="AV695" s="668">
        <f>Forrajes!CL33*V695</f>
        <v>0</v>
      </c>
      <c r="AW695" s="668">
        <f>Forrajes!CM33*W695</f>
        <v>0</v>
      </c>
      <c r="AX695" s="668">
        <f>Forrajes!CN33*X695</f>
        <v>0</v>
      </c>
      <c r="AY695" s="668">
        <f>Forrajes!CO33*Y695</f>
        <v>0</v>
      </c>
      <c r="AZ695" s="668">
        <f>Forrajes!CP33*Z695</f>
        <v>0</v>
      </c>
      <c r="BA695" s="668">
        <f>Forrajes!CQ33*AA695</f>
        <v>0</v>
      </c>
      <c r="BB695" s="668">
        <f>Forrajes!CR33*AB695</f>
        <v>0</v>
      </c>
      <c r="BC695" s="668">
        <f>Forrajes!CS33*AC695</f>
        <v>0</v>
      </c>
      <c r="BD695" s="1818">
        <f>Forrajes!CT33*AD695</f>
        <v>0</v>
      </c>
      <c r="BE695" s="590"/>
      <c r="BF695" s="100"/>
      <c r="BG695" s="590"/>
      <c r="BH695" s="590"/>
      <c r="BI695" s="100"/>
      <c r="BJ695" s="1975"/>
      <c r="BK695" s="590"/>
    </row>
    <row r="696" spans="3:63" s="108" customFormat="1" x14ac:dyDescent="0.2">
      <c r="C696" s="1971" t="str">
        <f t="shared" si="509"/>
        <v xml:space="preserve">0Vacas Ordeñe </v>
      </c>
      <c r="D696" s="1857">
        <f t="shared" si="510"/>
        <v>0</v>
      </c>
      <c r="E696" s="590"/>
      <c r="F696" s="1972">
        <f t="shared" ref="F696:Q696" si="524">IF($D696=0,0,SUMIF(G$401:G$490,$C696,$S$401:$S$490))</f>
        <v>0</v>
      </c>
      <c r="G696" s="1972">
        <f t="shared" si="524"/>
        <v>0</v>
      </c>
      <c r="H696" s="1972">
        <f t="shared" si="524"/>
        <v>0</v>
      </c>
      <c r="I696" s="1972">
        <f t="shared" si="524"/>
        <v>0</v>
      </c>
      <c r="J696" s="1972">
        <f t="shared" si="524"/>
        <v>0</v>
      </c>
      <c r="K696" s="1972">
        <f t="shared" si="524"/>
        <v>0</v>
      </c>
      <c r="L696" s="1972">
        <f t="shared" si="524"/>
        <v>0</v>
      </c>
      <c r="M696" s="1972">
        <f t="shared" si="524"/>
        <v>0</v>
      </c>
      <c r="N696" s="1972">
        <f t="shared" si="524"/>
        <v>0</v>
      </c>
      <c r="O696" s="1972">
        <f t="shared" si="524"/>
        <v>0</v>
      </c>
      <c r="P696" s="1972">
        <f t="shared" si="524"/>
        <v>0</v>
      </c>
      <c r="Q696" s="1972">
        <f t="shared" si="524"/>
        <v>0</v>
      </c>
      <c r="S696" s="1976">
        <f>SUMIF(G$401:G$490,$C696,$S$401:$S$490)*Forrajes!BG34*G$99</f>
        <v>0</v>
      </c>
      <c r="T696" s="668">
        <f>SUMIF(H$401:H$490,$C696,$S$401:$S$490)*Forrajes!BH34*H$99</f>
        <v>0</v>
      </c>
      <c r="U696" s="668">
        <f>SUMIF(I$401:I$490,$C696,$S$401:$S$490)*Forrajes!BI34*I$99</f>
        <v>0</v>
      </c>
      <c r="V696" s="668">
        <f>SUMIF(J$401:J$490,$C696,$S$401:$S$490)*Forrajes!BJ34*J$99</f>
        <v>0</v>
      </c>
      <c r="W696" s="668">
        <f>SUMIF(K$401:K$490,$C696,$S$401:$S$490)*Forrajes!BK34*K$99</f>
        <v>0</v>
      </c>
      <c r="X696" s="668">
        <f>SUMIF(L$401:L$490,$C696,$S$401:$S$490)*Forrajes!BL34*L$99</f>
        <v>0</v>
      </c>
      <c r="Y696" s="668">
        <f>SUMIF(M$401:M$490,$C696,$S$401:$S$490)*Forrajes!BM34*M$99</f>
        <v>0</v>
      </c>
      <c r="Z696" s="668">
        <f>SUMIF(N$401:N$490,$C696,$S$401:$S$490)*Forrajes!BN34*N$99</f>
        <v>0</v>
      </c>
      <c r="AA696" s="668">
        <f>SUMIF(O$401:O$490,$C696,$S$401:$S$490)*Forrajes!BO34*O$99</f>
        <v>0</v>
      </c>
      <c r="AB696" s="668">
        <f>SUMIF(P$401:P$490,$C696,$S$401:$S$490)*Forrajes!BP34*P$99</f>
        <v>0</v>
      </c>
      <c r="AC696" s="668">
        <f>SUMIF(Q$401:Q$490,$C696,$S$401:$S$490)*Forrajes!BQ34*Q$99</f>
        <v>0</v>
      </c>
      <c r="AD696" s="1977">
        <f>SUMIF(R$401:R$490,$C696,$S$401:$S$490)*Forrajes!BR34*R$99</f>
        <v>0</v>
      </c>
      <c r="AF696" s="1976">
        <f>Forrajes!BU34*S696</f>
        <v>0</v>
      </c>
      <c r="AG696" s="668">
        <f>Forrajes!BV34*T696</f>
        <v>0</v>
      </c>
      <c r="AH696" s="668">
        <f>Forrajes!BW34*U696</f>
        <v>0</v>
      </c>
      <c r="AI696" s="668">
        <f>Forrajes!BX34*V696</f>
        <v>0</v>
      </c>
      <c r="AJ696" s="668">
        <f>Forrajes!BY34*W696</f>
        <v>0</v>
      </c>
      <c r="AK696" s="668">
        <f>Forrajes!BZ34*X696</f>
        <v>0</v>
      </c>
      <c r="AL696" s="668">
        <f>Forrajes!CA34*Y696</f>
        <v>0</v>
      </c>
      <c r="AM696" s="668">
        <f>Forrajes!CB34*Z696</f>
        <v>0</v>
      </c>
      <c r="AN696" s="668">
        <f>Forrajes!CC34*AA696</f>
        <v>0</v>
      </c>
      <c r="AO696" s="668">
        <f>Forrajes!CD34*AB696</f>
        <v>0</v>
      </c>
      <c r="AP696" s="668">
        <f>Forrajes!CE34*AC696</f>
        <v>0</v>
      </c>
      <c r="AQ696" s="668">
        <f>Forrajes!CF34*AD696</f>
        <v>0</v>
      </c>
      <c r="AS696" s="1976">
        <f>Forrajes!CI34*S696</f>
        <v>0</v>
      </c>
      <c r="AT696" s="668">
        <f>Forrajes!CJ34*T696</f>
        <v>0</v>
      </c>
      <c r="AU696" s="668">
        <f>Forrajes!CK34*U696</f>
        <v>0</v>
      </c>
      <c r="AV696" s="668">
        <f>Forrajes!CL34*V696</f>
        <v>0</v>
      </c>
      <c r="AW696" s="668">
        <f>Forrajes!CM34*W696</f>
        <v>0</v>
      </c>
      <c r="AX696" s="668">
        <f>Forrajes!CN34*X696</f>
        <v>0</v>
      </c>
      <c r="AY696" s="668">
        <f>Forrajes!CO34*Y696</f>
        <v>0</v>
      </c>
      <c r="AZ696" s="668">
        <f>Forrajes!CP34*Z696</f>
        <v>0</v>
      </c>
      <c r="BA696" s="668">
        <f>Forrajes!CQ34*AA696</f>
        <v>0</v>
      </c>
      <c r="BB696" s="668">
        <f>Forrajes!CR34*AB696</f>
        <v>0</v>
      </c>
      <c r="BC696" s="668">
        <f>Forrajes!CS34*AC696</f>
        <v>0</v>
      </c>
      <c r="BD696" s="1818">
        <f>Forrajes!CT34*AD696</f>
        <v>0</v>
      </c>
      <c r="BE696" s="590"/>
      <c r="BF696" s="100"/>
      <c r="BG696" s="590"/>
      <c r="BH696" s="590"/>
      <c r="BI696" s="100"/>
      <c r="BJ696" s="1975"/>
      <c r="BK696" s="590"/>
    </row>
    <row r="697" spans="3:63" s="108" customFormat="1" x14ac:dyDescent="0.2">
      <c r="C697" s="1971"/>
      <c r="D697" s="1979" t="s">
        <v>991</v>
      </c>
      <c r="E697" s="1980"/>
      <c r="F697" s="1909">
        <f>SUM(F683:F696)</f>
        <v>0</v>
      </c>
      <c r="G697" s="1909">
        <f t="shared" ref="G697:Q697" si="525">SUM(G683:G696)</f>
        <v>0</v>
      </c>
      <c r="H697" s="1909">
        <f t="shared" si="525"/>
        <v>0</v>
      </c>
      <c r="I697" s="1909">
        <f t="shared" si="525"/>
        <v>0</v>
      </c>
      <c r="J697" s="1909">
        <f t="shared" si="525"/>
        <v>0</v>
      </c>
      <c r="K697" s="1909">
        <f t="shared" si="525"/>
        <v>0</v>
      </c>
      <c r="L697" s="1909">
        <f t="shared" si="525"/>
        <v>0</v>
      </c>
      <c r="M697" s="1909">
        <f t="shared" si="525"/>
        <v>0</v>
      </c>
      <c r="N697" s="1909">
        <f t="shared" si="525"/>
        <v>0</v>
      </c>
      <c r="O697" s="1909">
        <f t="shared" si="525"/>
        <v>0</v>
      </c>
      <c r="P697" s="1909">
        <f t="shared" si="525"/>
        <v>0</v>
      </c>
      <c r="Q697" s="1909">
        <f t="shared" si="525"/>
        <v>0</v>
      </c>
      <c r="S697" s="1976"/>
      <c r="T697" s="668"/>
      <c r="U697" s="668"/>
      <c r="V697" s="668"/>
      <c r="W697" s="668"/>
      <c r="X697" s="668"/>
      <c r="Y697" s="668"/>
      <c r="Z697" s="668"/>
      <c r="AA697" s="668"/>
      <c r="AB697" s="668"/>
      <c r="AC697" s="668"/>
      <c r="AD697" s="1977"/>
      <c r="AF697" s="1976"/>
      <c r="AG697" s="668"/>
      <c r="AH697" s="668"/>
      <c r="AI697" s="668"/>
      <c r="AJ697" s="668"/>
      <c r="AK697" s="668"/>
      <c r="AL697" s="668"/>
      <c r="AM697" s="668"/>
      <c r="AN697" s="668"/>
      <c r="AO697" s="668"/>
      <c r="AP697" s="668"/>
      <c r="AQ697" s="668"/>
      <c r="AS697" s="1976"/>
      <c r="AT697" s="668"/>
      <c r="AU697" s="668"/>
      <c r="AV697" s="668"/>
      <c r="AW697" s="668"/>
      <c r="AX697" s="668"/>
      <c r="AY697" s="668"/>
      <c r="AZ697" s="668"/>
      <c r="BA697" s="668"/>
      <c r="BB697" s="668"/>
      <c r="BC697" s="668"/>
      <c r="BD697" s="1818"/>
      <c r="BE697" s="590"/>
      <c r="BF697" s="100"/>
      <c r="BG697" s="590"/>
      <c r="BH697" s="590"/>
      <c r="BI697" s="100"/>
      <c r="BJ697" s="1975"/>
      <c r="BK697" s="590"/>
    </row>
    <row r="698" spans="3:63" s="108" customFormat="1" x14ac:dyDescent="0.2">
      <c r="C698" s="1971" t="str">
        <f t="shared" ref="C698:C706" si="526">D698&amp;$D$638</f>
        <v xml:space="preserve">AvenaVacas Ordeñe </v>
      </c>
      <c r="D698" s="1857" t="str">
        <f t="shared" ref="D698:D706" si="527">+D317</f>
        <v>Avena</v>
      </c>
      <c r="E698" s="590"/>
      <c r="F698" s="1972">
        <f t="shared" ref="F698:Q698" si="528">IF($D698=0,0,SUMIF(G$401:G$490,$C698,$S$401:$S$490))</f>
        <v>0</v>
      </c>
      <c r="G698" s="1972">
        <f t="shared" si="528"/>
        <v>0</v>
      </c>
      <c r="H698" s="1972">
        <f t="shared" si="528"/>
        <v>0</v>
      </c>
      <c r="I698" s="1972">
        <f t="shared" si="528"/>
        <v>0</v>
      </c>
      <c r="J698" s="1972">
        <f t="shared" si="528"/>
        <v>0</v>
      </c>
      <c r="K698" s="1972">
        <f t="shared" si="528"/>
        <v>0</v>
      </c>
      <c r="L698" s="1972">
        <f t="shared" si="528"/>
        <v>0</v>
      </c>
      <c r="M698" s="1972">
        <f t="shared" si="528"/>
        <v>0</v>
      </c>
      <c r="N698" s="1972">
        <f t="shared" si="528"/>
        <v>0</v>
      </c>
      <c r="O698" s="1972">
        <f t="shared" si="528"/>
        <v>0</v>
      </c>
      <c r="P698" s="1972">
        <f t="shared" si="528"/>
        <v>0</v>
      </c>
      <c r="Q698" s="1972">
        <f t="shared" si="528"/>
        <v>0</v>
      </c>
      <c r="S698" s="1976">
        <f>SUMIF(G$401:G$490,$C698,$S$401:$S$490)*Forrajes!BG36*G$99</f>
        <v>0</v>
      </c>
      <c r="T698" s="668">
        <f>SUMIF(H$401:H$490,$C698,$S$401:$S$490)*Forrajes!BH36*H$99</f>
        <v>0</v>
      </c>
      <c r="U698" s="668">
        <f>SUMIF(I$401:I$490,$C698,$S$401:$S$490)*Forrajes!BI36*I$99</f>
        <v>0</v>
      </c>
      <c r="V698" s="668">
        <f>SUMIF(J$401:J$490,$C698,$S$401:$S$490)*Forrajes!BJ36*J$99</f>
        <v>0</v>
      </c>
      <c r="W698" s="668">
        <f>SUMIF(K$401:K$490,$C698,$S$401:$S$490)*Forrajes!BK36*K$99</f>
        <v>0</v>
      </c>
      <c r="X698" s="668">
        <f>SUMIF(L$401:L$490,$C698,$S$401:$S$490)*Forrajes!BL36*L$99</f>
        <v>0</v>
      </c>
      <c r="Y698" s="668">
        <f>SUMIF(M$401:M$490,$C698,$S$401:$S$490)*Forrajes!BM36*M$99</f>
        <v>0</v>
      </c>
      <c r="Z698" s="668">
        <f>SUMIF(N$401:N$490,$C698,$S$401:$S$490)*Forrajes!BN36*N$99</f>
        <v>0</v>
      </c>
      <c r="AA698" s="668">
        <f>SUMIF(O$401:O$490,$C698,$S$401:$S$490)*Forrajes!BO36*O$99</f>
        <v>0</v>
      </c>
      <c r="AB698" s="668">
        <f>SUMIF(P$401:P$490,$C698,$S$401:$S$490)*Forrajes!BP36*P$99</f>
        <v>0</v>
      </c>
      <c r="AC698" s="668">
        <f>SUMIF(Q$401:Q$490,$C698,$S$401:$S$490)*Forrajes!BQ36*Q$99</f>
        <v>0</v>
      </c>
      <c r="AD698" s="1977">
        <f>SUMIF(R$401:R$490,$C698,$S$401:$S$490)*Forrajes!BR36*R$99</f>
        <v>0</v>
      </c>
      <c r="AF698" s="1976">
        <f>Forrajes!BU36*S698</f>
        <v>0</v>
      </c>
      <c r="AG698" s="668">
        <f>Forrajes!BV36*T698</f>
        <v>0</v>
      </c>
      <c r="AH698" s="668">
        <f>Forrajes!BW36*U698</f>
        <v>0</v>
      </c>
      <c r="AI698" s="668">
        <f>Forrajes!BX36*V698</f>
        <v>0</v>
      </c>
      <c r="AJ698" s="668">
        <f>Forrajes!BY36*W698</f>
        <v>0</v>
      </c>
      <c r="AK698" s="668">
        <f>Forrajes!BZ36*X698</f>
        <v>0</v>
      </c>
      <c r="AL698" s="668">
        <f>Forrajes!CA36*Y698</f>
        <v>0</v>
      </c>
      <c r="AM698" s="668">
        <f>Forrajes!CB36*Z698</f>
        <v>0</v>
      </c>
      <c r="AN698" s="668">
        <f>Forrajes!CC36*AA698</f>
        <v>0</v>
      </c>
      <c r="AO698" s="668">
        <f>Forrajes!CD36*AB698</f>
        <v>0</v>
      </c>
      <c r="AP698" s="668">
        <f>Forrajes!CE36*AC698</f>
        <v>0</v>
      </c>
      <c r="AQ698" s="668">
        <f>Forrajes!CF36*AD698</f>
        <v>0</v>
      </c>
      <c r="AS698" s="1976">
        <f>Forrajes!CI36*S698</f>
        <v>0</v>
      </c>
      <c r="AT698" s="668">
        <f>Forrajes!CJ36*T698</f>
        <v>0</v>
      </c>
      <c r="AU698" s="668">
        <f>Forrajes!CK36*U698</f>
        <v>0</v>
      </c>
      <c r="AV698" s="668">
        <f>Forrajes!CL36*V698</f>
        <v>0</v>
      </c>
      <c r="AW698" s="668">
        <f>Forrajes!CM36*W698</f>
        <v>0</v>
      </c>
      <c r="AX698" s="668">
        <f>Forrajes!CN36*X698</f>
        <v>0</v>
      </c>
      <c r="AY698" s="668">
        <f>Forrajes!CO36*Y698</f>
        <v>0</v>
      </c>
      <c r="AZ698" s="668">
        <f>Forrajes!CP36*Z698</f>
        <v>0</v>
      </c>
      <c r="BA698" s="668">
        <f>Forrajes!CQ36*AA698</f>
        <v>0</v>
      </c>
      <c r="BB698" s="668">
        <f>Forrajes!CR36*AB698</f>
        <v>0</v>
      </c>
      <c r="BC698" s="668">
        <f>Forrajes!CS36*AC698</f>
        <v>0</v>
      </c>
      <c r="BD698" s="1818">
        <f>Forrajes!CT36*AD698</f>
        <v>0</v>
      </c>
      <c r="BE698" s="590"/>
      <c r="BF698" s="100"/>
      <c r="BG698" s="590"/>
      <c r="BH698" s="590"/>
      <c r="BI698" s="1978"/>
      <c r="BJ698" s="1975"/>
      <c r="BK698" s="590"/>
    </row>
    <row r="699" spans="3:63" s="108" customFormat="1" x14ac:dyDescent="0.2">
      <c r="C699" s="1971" t="str">
        <f t="shared" si="526"/>
        <v xml:space="preserve">RaigrásVacas Ordeñe </v>
      </c>
      <c r="D699" s="1857" t="str">
        <f t="shared" si="527"/>
        <v>Raigrás</v>
      </c>
      <c r="E699" s="590"/>
      <c r="F699" s="1972">
        <f t="shared" ref="F699:Q699" si="529">IF($D699=0,0,SUMIF(G$401:G$490,$C699,$S$401:$S$490))</f>
        <v>0</v>
      </c>
      <c r="G699" s="1972">
        <f t="shared" si="529"/>
        <v>0</v>
      </c>
      <c r="H699" s="1972">
        <f t="shared" si="529"/>
        <v>0</v>
      </c>
      <c r="I699" s="1972">
        <f t="shared" si="529"/>
        <v>0</v>
      </c>
      <c r="J699" s="1972">
        <f t="shared" si="529"/>
        <v>0</v>
      </c>
      <c r="K699" s="1972">
        <f t="shared" si="529"/>
        <v>0</v>
      </c>
      <c r="L699" s="1972">
        <f t="shared" si="529"/>
        <v>0</v>
      </c>
      <c r="M699" s="1972">
        <f t="shared" si="529"/>
        <v>0</v>
      </c>
      <c r="N699" s="1972">
        <f t="shared" si="529"/>
        <v>0</v>
      </c>
      <c r="O699" s="1972">
        <f t="shared" si="529"/>
        <v>0</v>
      </c>
      <c r="P699" s="1972">
        <f t="shared" si="529"/>
        <v>0</v>
      </c>
      <c r="Q699" s="1972">
        <f t="shared" si="529"/>
        <v>0</v>
      </c>
      <c r="S699" s="1976">
        <f>SUMIF(G$401:G$490,$C699,$S$401:$S$490)*Forrajes!BG37*G$99</f>
        <v>0</v>
      </c>
      <c r="T699" s="668">
        <f>SUMIF(H$401:H$490,$C699,$S$401:$S$490)*Forrajes!BH37*H$99</f>
        <v>0</v>
      </c>
      <c r="U699" s="668">
        <f>SUMIF(I$401:I$490,$C699,$S$401:$S$490)*Forrajes!BI37*I$99</f>
        <v>0</v>
      </c>
      <c r="V699" s="668">
        <f>SUMIF(J$401:J$490,$C699,$S$401:$S$490)*Forrajes!BJ37*J$99</f>
        <v>0</v>
      </c>
      <c r="W699" s="668">
        <f>SUMIF(K$401:K$490,$C699,$S$401:$S$490)*Forrajes!BK37*K$99</f>
        <v>0</v>
      </c>
      <c r="X699" s="668">
        <f>SUMIF(L$401:L$490,$C699,$S$401:$S$490)*Forrajes!BL37*L$99</f>
        <v>0</v>
      </c>
      <c r="Y699" s="668">
        <f>SUMIF(M$401:M$490,$C699,$S$401:$S$490)*Forrajes!BM37*M$99</f>
        <v>0</v>
      </c>
      <c r="Z699" s="668">
        <f>SUMIF(N$401:N$490,$C699,$S$401:$S$490)*Forrajes!BN37*N$99</f>
        <v>0</v>
      </c>
      <c r="AA699" s="668">
        <f>SUMIF(O$401:O$490,$C699,$S$401:$S$490)*Forrajes!BO37*O$99</f>
        <v>0</v>
      </c>
      <c r="AB699" s="668">
        <f>SUMIF(P$401:P$490,$C699,$S$401:$S$490)*Forrajes!BP37*P$99</f>
        <v>0</v>
      </c>
      <c r="AC699" s="668">
        <f>SUMIF(Q$401:Q$490,$C699,$S$401:$S$490)*Forrajes!BQ37*Q$99</f>
        <v>0</v>
      </c>
      <c r="AD699" s="1977">
        <f>SUMIF(R$401:R$490,$C699,$S$401:$S$490)*Forrajes!BR37*R$99</f>
        <v>0</v>
      </c>
      <c r="AF699" s="1976">
        <f>Forrajes!BU37*S699</f>
        <v>0</v>
      </c>
      <c r="AG699" s="668">
        <f>Forrajes!BV37*T699</f>
        <v>0</v>
      </c>
      <c r="AH699" s="668">
        <f>Forrajes!BW37*U699</f>
        <v>0</v>
      </c>
      <c r="AI699" s="668">
        <f>Forrajes!BX37*V699</f>
        <v>0</v>
      </c>
      <c r="AJ699" s="668">
        <f>Forrajes!BY37*W699</f>
        <v>0</v>
      </c>
      <c r="AK699" s="668">
        <f>Forrajes!BZ37*X699</f>
        <v>0</v>
      </c>
      <c r="AL699" s="668">
        <f>Forrajes!CA37*Y699</f>
        <v>0</v>
      </c>
      <c r="AM699" s="668">
        <f>Forrajes!CB37*Z699</f>
        <v>0</v>
      </c>
      <c r="AN699" s="668">
        <f>Forrajes!CC37*AA699</f>
        <v>0</v>
      </c>
      <c r="AO699" s="668">
        <f>Forrajes!CD37*AB699</f>
        <v>0</v>
      </c>
      <c r="AP699" s="668">
        <f>Forrajes!CE37*AC699</f>
        <v>0</v>
      </c>
      <c r="AQ699" s="668">
        <f>Forrajes!CF37*AD699</f>
        <v>0</v>
      </c>
      <c r="AS699" s="1976">
        <f>Forrajes!CI37*S699</f>
        <v>0</v>
      </c>
      <c r="AT699" s="668">
        <f>Forrajes!CJ37*T699</f>
        <v>0</v>
      </c>
      <c r="AU699" s="668">
        <f>Forrajes!CK37*U699</f>
        <v>0</v>
      </c>
      <c r="AV699" s="668">
        <f>Forrajes!CL37*V699</f>
        <v>0</v>
      </c>
      <c r="AW699" s="668">
        <f>Forrajes!CM37*W699</f>
        <v>0</v>
      </c>
      <c r="AX699" s="668">
        <f>Forrajes!CN37*X699</f>
        <v>0</v>
      </c>
      <c r="AY699" s="668">
        <f>Forrajes!CO37*Y699</f>
        <v>0</v>
      </c>
      <c r="AZ699" s="668">
        <f>Forrajes!CP37*Z699</f>
        <v>0</v>
      </c>
      <c r="BA699" s="668">
        <f>Forrajes!CQ37*AA699</f>
        <v>0</v>
      </c>
      <c r="BB699" s="668">
        <f>Forrajes!CR37*AB699</f>
        <v>0</v>
      </c>
      <c r="BC699" s="668">
        <f>Forrajes!CS37*AC699</f>
        <v>0</v>
      </c>
      <c r="BD699" s="1818">
        <f>Forrajes!CT37*AD699</f>
        <v>0</v>
      </c>
      <c r="BE699" s="590"/>
      <c r="BF699" s="100"/>
      <c r="BG699" s="590"/>
      <c r="BH699" s="590"/>
      <c r="BI699" s="100"/>
      <c r="BJ699" s="1975"/>
      <c r="BK699" s="111"/>
    </row>
    <row r="700" spans="3:63" s="108" customFormat="1" x14ac:dyDescent="0.2">
      <c r="C700" s="1971" t="str">
        <f t="shared" si="526"/>
        <v xml:space="preserve">Av+RgVacas Ordeñe </v>
      </c>
      <c r="D700" s="1857" t="str">
        <f t="shared" si="527"/>
        <v>Av+Rg</v>
      </c>
      <c r="E700" s="590"/>
      <c r="F700" s="1972">
        <f t="shared" ref="F700:Q700" si="530">IF($D700=0,0,SUMIF(G$401:G$490,$C700,$S$401:$S$490))</f>
        <v>0</v>
      </c>
      <c r="G700" s="1972">
        <f t="shared" si="530"/>
        <v>0</v>
      </c>
      <c r="H700" s="1972">
        <f t="shared" si="530"/>
        <v>0</v>
      </c>
      <c r="I700" s="1972">
        <f t="shared" si="530"/>
        <v>0</v>
      </c>
      <c r="J700" s="1972">
        <f t="shared" si="530"/>
        <v>0</v>
      </c>
      <c r="K700" s="1972">
        <f t="shared" si="530"/>
        <v>0</v>
      </c>
      <c r="L700" s="1972">
        <f t="shared" si="530"/>
        <v>0</v>
      </c>
      <c r="M700" s="1972">
        <f t="shared" si="530"/>
        <v>0</v>
      </c>
      <c r="N700" s="1972">
        <f t="shared" si="530"/>
        <v>0</v>
      </c>
      <c r="O700" s="1972">
        <f t="shared" si="530"/>
        <v>0</v>
      </c>
      <c r="P700" s="1972">
        <f t="shared" si="530"/>
        <v>0</v>
      </c>
      <c r="Q700" s="1972">
        <f t="shared" si="530"/>
        <v>0</v>
      </c>
      <c r="S700" s="1976">
        <f>SUMIF(G$401:G$490,$C700,$S$401:$S$490)*Forrajes!BG38*G$99</f>
        <v>0</v>
      </c>
      <c r="T700" s="668">
        <f>SUMIF(H$401:H$490,$C700,$S$401:$S$490)*Forrajes!BH38*H$99</f>
        <v>0</v>
      </c>
      <c r="U700" s="668">
        <f>SUMIF(I$401:I$490,$C700,$S$401:$S$490)*Forrajes!BI38*I$99</f>
        <v>0</v>
      </c>
      <c r="V700" s="668">
        <f>SUMIF(J$401:J$490,$C700,$S$401:$S$490)*Forrajes!BJ38*J$99</f>
        <v>0</v>
      </c>
      <c r="W700" s="668">
        <f>SUMIF(K$401:K$490,$C700,$S$401:$S$490)*Forrajes!BK38*K$99</f>
        <v>0</v>
      </c>
      <c r="X700" s="668">
        <f>SUMIF(L$401:L$490,$C700,$S$401:$S$490)*Forrajes!BL38*L$99</f>
        <v>0</v>
      </c>
      <c r="Y700" s="668">
        <f>SUMIF(M$401:M$490,$C700,$S$401:$S$490)*Forrajes!BM38*M$99</f>
        <v>0</v>
      </c>
      <c r="Z700" s="668">
        <f>SUMIF(N$401:N$490,$C700,$S$401:$S$490)*Forrajes!BN38*N$99</f>
        <v>0</v>
      </c>
      <c r="AA700" s="668">
        <f>SUMIF(O$401:O$490,$C700,$S$401:$S$490)*Forrajes!BO38*O$99</f>
        <v>0</v>
      </c>
      <c r="AB700" s="668">
        <f>SUMIF(P$401:P$490,$C700,$S$401:$S$490)*Forrajes!BP38*P$99</f>
        <v>0</v>
      </c>
      <c r="AC700" s="668">
        <f>SUMIF(Q$401:Q$490,$C700,$S$401:$S$490)*Forrajes!BQ38*Q$99</f>
        <v>0</v>
      </c>
      <c r="AD700" s="1977">
        <f>SUMIF(R$401:R$490,$C700,$S$401:$S$490)*Forrajes!BR38*R$99</f>
        <v>0</v>
      </c>
      <c r="AF700" s="1976">
        <f>Forrajes!BU38*S700</f>
        <v>0</v>
      </c>
      <c r="AG700" s="668">
        <f>Forrajes!BV38*T700</f>
        <v>0</v>
      </c>
      <c r="AH700" s="668">
        <f>Forrajes!BW38*U700</f>
        <v>0</v>
      </c>
      <c r="AI700" s="668">
        <f>Forrajes!BX38*V700</f>
        <v>0</v>
      </c>
      <c r="AJ700" s="668">
        <f>Forrajes!BY38*W700</f>
        <v>0</v>
      </c>
      <c r="AK700" s="668">
        <f>Forrajes!BZ38*X700</f>
        <v>0</v>
      </c>
      <c r="AL700" s="668">
        <f>Forrajes!CA38*Y700</f>
        <v>0</v>
      </c>
      <c r="AM700" s="668">
        <f>Forrajes!CB38*Z700</f>
        <v>0</v>
      </c>
      <c r="AN700" s="668">
        <f>Forrajes!CC38*AA700</f>
        <v>0</v>
      </c>
      <c r="AO700" s="668">
        <f>Forrajes!CD38*AB700</f>
        <v>0</v>
      </c>
      <c r="AP700" s="668">
        <f>Forrajes!CE38*AC700</f>
        <v>0</v>
      </c>
      <c r="AQ700" s="668">
        <f>Forrajes!CF38*AD700</f>
        <v>0</v>
      </c>
      <c r="AS700" s="1976">
        <f>Forrajes!CI38*S700</f>
        <v>0</v>
      </c>
      <c r="AT700" s="668">
        <f>Forrajes!CJ38*T700</f>
        <v>0</v>
      </c>
      <c r="AU700" s="668">
        <f>Forrajes!CK38*U700</f>
        <v>0</v>
      </c>
      <c r="AV700" s="668">
        <f>Forrajes!CL38*V700</f>
        <v>0</v>
      </c>
      <c r="AW700" s="668">
        <f>Forrajes!CM38*W700</f>
        <v>0</v>
      </c>
      <c r="AX700" s="668">
        <f>Forrajes!CN38*X700</f>
        <v>0</v>
      </c>
      <c r="AY700" s="668">
        <f>Forrajes!CO38*Y700</f>
        <v>0</v>
      </c>
      <c r="AZ700" s="668">
        <f>Forrajes!CP38*Z700</f>
        <v>0</v>
      </c>
      <c r="BA700" s="668">
        <f>Forrajes!CQ38*AA700</f>
        <v>0</v>
      </c>
      <c r="BB700" s="668">
        <f>Forrajes!CR38*AB700</f>
        <v>0</v>
      </c>
      <c r="BC700" s="668">
        <f>Forrajes!CS38*AC700</f>
        <v>0</v>
      </c>
      <c r="BD700" s="1818">
        <f>Forrajes!CT38*AD700</f>
        <v>0</v>
      </c>
      <c r="BE700" s="590"/>
      <c r="BF700" s="100"/>
      <c r="BG700" s="590"/>
      <c r="BH700" s="590"/>
      <c r="BI700" s="1978"/>
      <c r="BJ700" s="1975"/>
      <c r="BK700" s="590"/>
    </row>
    <row r="701" spans="3:63" s="108" customFormat="1" x14ac:dyDescent="0.2">
      <c r="C701" s="1971" t="str">
        <f t="shared" si="526"/>
        <v xml:space="preserve">Rg Ciclo LargoVacas Ordeñe </v>
      </c>
      <c r="D701" s="1857" t="str">
        <f t="shared" si="527"/>
        <v>Rg Ciclo Largo</v>
      </c>
      <c r="E701" s="590"/>
      <c r="F701" s="1972">
        <f t="shared" ref="F701:Q701" si="531">IF($D701=0,0,SUMIF(G$401:G$490,$C701,$S$401:$S$490))</f>
        <v>0</v>
      </c>
      <c r="G701" s="1972">
        <f t="shared" si="531"/>
        <v>0</v>
      </c>
      <c r="H701" s="1972">
        <f t="shared" si="531"/>
        <v>0</v>
      </c>
      <c r="I701" s="1972">
        <f t="shared" si="531"/>
        <v>0</v>
      </c>
      <c r="J701" s="1972">
        <f t="shared" si="531"/>
        <v>0</v>
      </c>
      <c r="K701" s="1972">
        <f t="shared" si="531"/>
        <v>0</v>
      </c>
      <c r="L701" s="1972">
        <f t="shared" si="531"/>
        <v>0</v>
      </c>
      <c r="M701" s="1972">
        <f t="shared" si="531"/>
        <v>0</v>
      </c>
      <c r="N701" s="1972">
        <f t="shared" si="531"/>
        <v>0</v>
      </c>
      <c r="O701" s="1972">
        <f t="shared" si="531"/>
        <v>0</v>
      </c>
      <c r="P701" s="1972">
        <f t="shared" si="531"/>
        <v>0</v>
      </c>
      <c r="Q701" s="1972">
        <f t="shared" si="531"/>
        <v>0</v>
      </c>
      <c r="S701" s="1976">
        <f>SUMIF(G$401:G$490,$C701,$S$401:$S$490)*Forrajes!BG39*G$99</f>
        <v>0</v>
      </c>
      <c r="T701" s="668">
        <f>SUMIF(H$401:H$490,$C701,$S$401:$S$490)*Forrajes!BH39*H$99</f>
        <v>0</v>
      </c>
      <c r="U701" s="668">
        <f>SUMIF(I$401:I$490,$C701,$S$401:$S$490)*Forrajes!BI39*I$99</f>
        <v>0</v>
      </c>
      <c r="V701" s="668">
        <f>SUMIF(J$401:J$490,$C701,$S$401:$S$490)*Forrajes!BJ39*J$99</f>
        <v>0</v>
      </c>
      <c r="W701" s="668">
        <f>SUMIF(K$401:K$490,$C701,$S$401:$S$490)*Forrajes!BK39*K$99</f>
        <v>0</v>
      </c>
      <c r="X701" s="668">
        <f>SUMIF(L$401:L$490,$C701,$S$401:$S$490)*Forrajes!BL39*L$99</f>
        <v>0</v>
      </c>
      <c r="Y701" s="668">
        <f>SUMIF(M$401:M$490,$C701,$S$401:$S$490)*Forrajes!BM39*M$99</f>
        <v>0</v>
      </c>
      <c r="Z701" s="668">
        <f>SUMIF(N$401:N$490,$C701,$S$401:$S$490)*Forrajes!BN39*N$99</f>
        <v>0</v>
      </c>
      <c r="AA701" s="668">
        <f>SUMIF(O$401:O$490,$C701,$S$401:$S$490)*Forrajes!BO39*O$99</f>
        <v>0</v>
      </c>
      <c r="AB701" s="668">
        <f>SUMIF(P$401:P$490,$C701,$S$401:$S$490)*Forrajes!BP39*P$99</f>
        <v>0</v>
      </c>
      <c r="AC701" s="668">
        <f>SUMIF(Q$401:Q$490,$C701,$S$401:$S$490)*Forrajes!BQ39*Q$99</f>
        <v>0</v>
      </c>
      <c r="AD701" s="1977">
        <f>SUMIF(R$401:R$490,$C701,$S$401:$S$490)*Forrajes!BR39*R$99</f>
        <v>0</v>
      </c>
      <c r="AF701" s="1976">
        <f>Forrajes!BU39*S701</f>
        <v>0</v>
      </c>
      <c r="AG701" s="668">
        <f>Forrajes!BV39*T701</f>
        <v>0</v>
      </c>
      <c r="AH701" s="668">
        <f>Forrajes!BW39*U701</f>
        <v>0</v>
      </c>
      <c r="AI701" s="668">
        <f>Forrajes!BX39*V701</f>
        <v>0</v>
      </c>
      <c r="AJ701" s="668">
        <f>Forrajes!BY39*W701</f>
        <v>0</v>
      </c>
      <c r="AK701" s="668">
        <f>Forrajes!BZ39*X701</f>
        <v>0</v>
      </c>
      <c r="AL701" s="668">
        <f>Forrajes!CA39*Y701</f>
        <v>0</v>
      </c>
      <c r="AM701" s="668">
        <f>Forrajes!CB39*Z701</f>
        <v>0</v>
      </c>
      <c r="AN701" s="668">
        <f>Forrajes!CC39*AA701</f>
        <v>0</v>
      </c>
      <c r="AO701" s="668">
        <f>Forrajes!CD39*AB701</f>
        <v>0</v>
      </c>
      <c r="AP701" s="668">
        <f>Forrajes!CE39*AC701</f>
        <v>0</v>
      </c>
      <c r="AQ701" s="668">
        <f>Forrajes!CF39*AD701</f>
        <v>0</v>
      </c>
      <c r="AS701" s="1976">
        <f>Forrajes!CI39*S701</f>
        <v>0</v>
      </c>
      <c r="AT701" s="668">
        <f>Forrajes!CJ39*T701</f>
        <v>0</v>
      </c>
      <c r="AU701" s="668">
        <f>Forrajes!CK39*U701</f>
        <v>0</v>
      </c>
      <c r="AV701" s="668">
        <f>Forrajes!CL39*V701</f>
        <v>0</v>
      </c>
      <c r="AW701" s="668">
        <f>Forrajes!CM39*W701</f>
        <v>0</v>
      </c>
      <c r="AX701" s="668">
        <f>Forrajes!CN39*X701</f>
        <v>0</v>
      </c>
      <c r="AY701" s="668">
        <f>Forrajes!CO39*Y701</f>
        <v>0</v>
      </c>
      <c r="AZ701" s="668">
        <f>Forrajes!CP39*Z701</f>
        <v>0</v>
      </c>
      <c r="BA701" s="668">
        <f>Forrajes!CQ39*AA701</f>
        <v>0</v>
      </c>
      <c r="BB701" s="668">
        <f>Forrajes!CR39*AB701</f>
        <v>0</v>
      </c>
      <c r="BC701" s="668">
        <f>Forrajes!CS39*AC701</f>
        <v>0</v>
      </c>
      <c r="BD701" s="1818">
        <f>Forrajes!CT39*AD701</f>
        <v>0</v>
      </c>
      <c r="BE701" s="590"/>
      <c r="BF701" s="100"/>
      <c r="BG701" s="590"/>
      <c r="BH701" s="590"/>
      <c r="BI701" s="100"/>
      <c r="BJ701" s="1975"/>
      <c r="BK701" s="590"/>
    </row>
    <row r="702" spans="3:63" s="108" customFormat="1" x14ac:dyDescent="0.2">
      <c r="C702" s="1971" t="str">
        <f t="shared" si="526"/>
        <v xml:space="preserve">Trigo pastoreoVacas Ordeñe </v>
      </c>
      <c r="D702" s="1857" t="str">
        <f t="shared" si="527"/>
        <v>Trigo pastoreo</v>
      </c>
      <c r="E702" s="590"/>
      <c r="F702" s="1972">
        <f t="shared" ref="F702:Q702" si="532">IF($D702=0,0,SUMIF(G$401:G$490,$C702,$S$401:$S$490))</f>
        <v>0</v>
      </c>
      <c r="G702" s="1972">
        <f t="shared" si="532"/>
        <v>0</v>
      </c>
      <c r="H702" s="1972">
        <f t="shared" si="532"/>
        <v>0</v>
      </c>
      <c r="I702" s="1972">
        <f t="shared" si="532"/>
        <v>0</v>
      </c>
      <c r="J702" s="1972">
        <f t="shared" si="532"/>
        <v>0</v>
      </c>
      <c r="K702" s="1972">
        <f t="shared" si="532"/>
        <v>0</v>
      </c>
      <c r="L702" s="1972">
        <f t="shared" si="532"/>
        <v>0</v>
      </c>
      <c r="M702" s="1972">
        <f t="shared" si="532"/>
        <v>0</v>
      </c>
      <c r="N702" s="1972">
        <f t="shared" si="532"/>
        <v>0</v>
      </c>
      <c r="O702" s="1972">
        <f t="shared" si="532"/>
        <v>0</v>
      </c>
      <c r="P702" s="1972">
        <f t="shared" si="532"/>
        <v>0</v>
      </c>
      <c r="Q702" s="1972">
        <f t="shared" si="532"/>
        <v>0</v>
      </c>
      <c r="S702" s="1976">
        <f>SUMIF(G$401:G$490,$C702,$S$401:$S$490)*Forrajes!BG40*G$99</f>
        <v>0</v>
      </c>
      <c r="T702" s="668">
        <f>SUMIF(H$401:H$490,$C702,$S$401:$S$490)*Forrajes!BH40*H$99</f>
        <v>0</v>
      </c>
      <c r="U702" s="668">
        <f>SUMIF(I$401:I$490,$C702,$S$401:$S$490)*Forrajes!BI40*I$99</f>
        <v>0</v>
      </c>
      <c r="V702" s="668">
        <f>SUMIF(J$401:J$490,$C702,$S$401:$S$490)*Forrajes!BJ40*J$99</f>
        <v>0</v>
      </c>
      <c r="W702" s="668">
        <f>SUMIF(K$401:K$490,$C702,$S$401:$S$490)*Forrajes!BK40*K$99</f>
        <v>0</v>
      </c>
      <c r="X702" s="668">
        <f>SUMIF(L$401:L$490,$C702,$S$401:$S$490)*Forrajes!BL40*L$99</f>
        <v>0</v>
      </c>
      <c r="Y702" s="668">
        <f>SUMIF(M$401:M$490,$C702,$S$401:$S$490)*Forrajes!BM40*M$99</f>
        <v>0</v>
      </c>
      <c r="Z702" s="668">
        <f>SUMIF(N$401:N$490,$C702,$S$401:$S$490)*Forrajes!BN40*N$99</f>
        <v>0</v>
      </c>
      <c r="AA702" s="668">
        <f>SUMIF(O$401:O$490,$C702,$S$401:$S$490)*Forrajes!BO40*O$99</f>
        <v>0</v>
      </c>
      <c r="AB702" s="668">
        <f>SUMIF(P$401:P$490,$C702,$S$401:$S$490)*Forrajes!BP40*P$99</f>
        <v>0</v>
      </c>
      <c r="AC702" s="668">
        <f>SUMIF(Q$401:Q$490,$C702,$S$401:$S$490)*Forrajes!BQ40*Q$99</f>
        <v>0</v>
      </c>
      <c r="AD702" s="1977">
        <f>SUMIF(R$401:R$490,$C702,$S$401:$S$490)*Forrajes!BR40*R$99</f>
        <v>0</v>
      </c>
      <c r="AF702" s="1976">
        <f>Forrajes!BU40*S702</f>
        <v>0</v>
      </c>
      <c r="AG702" s="668">
        <f>Forrajes!BV40*T702</f>
        <v>0</v>
      </c>
      <c r="AH702" s="668">
        <f>Forrajes!BW40*U702</f>
        <v>0</v>
      </c>
      <c r="AI702" s="668">
        <f>Forrajes!BX40*V702</f>
        <v>0</v>
      </c>
      <c r="AJ702" s="668">
        <f>Forrajes!BY40*W702</f>
        <v>0</v>
      </c>
      <c r="AK702" s="668">
        <f>Forrajes!BZ40*X702</f>
        <v>0</v>
      </c>
      <c r="AL702" s="668">
        <f>Forrajes!CA40*Y702</f>
        <v>0</v>
      </c>
      <c r="AM702" s="668">
        <f>Forrajes!CB40*Z702</f>
        <v>0</v>
      </c>
      <c r="AN702" s="668">
        <f>Forrajes!CC40*AA702</f>
        <v>0</v>
      </c>
      <c r="AO702" s="668">
        <f>Forrajes!CD40*AB702</f>
        <v>0</v>
      </c>
      <c r="AP702" s="668">
        <f>Forrajes!CE40*AC702</f>
        <v>0</v>
      </c>
      <c r="AQ702" s="668">
        <f>Forrajes!CF40*AD702</f>
        <v>0</v>
      </c>
      <c r="AS702" s="1976">
        <f>Forrajes!CI40*S702</f>
        <v>0</v>
      </c>
      <c r="AT702" s="668">
        <f>Forrajes!CJ40*T702</f>
        <v>0</v>
      </c>
      <c r="AU702" s="668">
        <f>Forrajes!CK40*U702</f>
        <v>0</v>
      </c>
      <c r="AV702" s="668">
        <f>Forrajes!CL40*V702</f>
        <v>0</v>
      </c>
      <c r="AW702" s="668">
        <f>Forrajes!CM40*W702</f>
        <v>0</v>
      </c>
      <c r="AX702" s="668">
        <f>Forrajes!CN40*X702</f>
        <v>0</v>
      </c>
      <c r="AY702" s="668">
        <f>Forrajes!CO40*Y702</f>
        <v>0</v>
      </c>
      <c r="AZ702" s="668">
        <f>Forrajes!CP40*Z702</f>
        <v>0</v>
      </c>
      <c r="BA702" s="668">
        <f>Forrajes!CQ40*AA702</f>
        <v>0</v>
      </c>
      <c r="BB702" s="668">
        <f>Forrajes!CR40*AB702</f>
        <v>0</v>
      </c>
      <c r="BC702" s="668">
        <f>Forrajes!CS40*AC702</f>
        <v>0</v>
      </c>
      <c r="BD702" s="1818">
        <f>Forrajes!CT40*AD702</f>
        <v>0</v>
      </c>
      <c r="BE702" s="590"/>
      <c r="BF702" s="100"/>
      <c r="BG702" s="590"/>
      <c r="BH702" s="590"/>
      <c r="BI702" s="100"/>
      <c r="BJ702" s="1975"/>
      <c r="BK702" s="590"/>
    </row>
    <row r="703" spans="3:63" s="108" customFormat="1" x14ac:dyDescent="0.2">
      <c r="C703" s="1971" t="str">
        <f t="shared" si="526"/>
        <v xml:space="preserve">Cebada pastoreoVacas Ordeñe </v>
      </c>
      <c r="D703" s="1857" t="str">
        <f t="shared" si="527"/>
        <v>Cebada pastoreo</v>
      </c>
      <c r="E703" s="590"/>
      <c r="F703" s="1972">
        <f t="shared" ref="F703:Q703" si="533">IF($D703=0,0,SUMIF(G$401:G$490,$C703,$S$401:$S$490))</f>
        <v>0</v>
      </c>
      <c r="G703" s="1972">
        <f t="shared" si="533"/>
        <v>0</v>
      </c>
      <c r="H703" s="1972">
        <f t="shared" si="533"/>
        <v>0</v>
      </c>
      <c r="I703" s="1972">
        <f t="shared" si="533"/>
        <v>0</v>
      </c>
      <c r="J703" s="1972">
        <f t="shared" si="533"/>
        <v>0</v>
      </c>
      <c r="K703" s="1972">
        <f t="shared" si="533"/>
        <v>0</v>
      </c>
      <c r="L703" s="1972">
        <f t="shared" si="533"/>
        <v>0</v>
      </c>
      <c r="M703" s="1972">
        <f t="shared" si="533"/>
        <v>0</v>
      </c>
      <c r="N703" s="1972">
        <f t="shared" si="533"/>
        <v>0</v>
      </c>
      <c r="O703" s="1972">
        <f t="shared" si="533"/>
        <v>0</v>
      </c>
      <c r="P703" s="1972">
        <f t="shared" si="533"/>
        <v>0</v>
      </c>
      <c r="Q703" s="1972">
        <f t="shared" si="533"/>
        <v>0</v>
      </c>
      <c r="S703" s="1976">
        <f>SUMIF(G$401:G$490,$C703,$S$401:$S$490)*Forrajes!BG41*G$99</f>
        <v>0</v>
      </c>
      <c r="T703" s="668">
        <f>SUMIF(H$401:H$490,$C703,$S$401:$S$490)*Forrajes!BH41*H$99</f>
        <v>0</v>
      </c>
      <c r="U703" s="668">
        <f>SUMIF(I$401:I$490,$C703,$S$401:$S$490)*Forrajes!BI41*I$99</f>
        <v>0</v>
      </c>
      <c r="V703" s="668">
        <f>SUMIF(J$401:J$490,$C703,$S$401:$S$490)*Forrajes!BJ41*J$99</f>
        <v>0</v>
      </c>
      <c r="W703" s="668">
        <f>SUMIF(K$401:K$490,$C703,$S$401:$S$490)*Forrajes!BK41*K$99</f>
        <v>0</v>
      </c>
      <c r="X703" s="668">
        <f>SUMIF(L$401:L$490,$C703,$S$401:$S$490)*Forrajes!BL41*L$99</f>
        <v>0</v>
      </c>
      <c r="Y703" s="668">
        <f>SUMIF(M$401:M$490,$C703,$S$401:$S$490)*Forrajes!BM41*M$99</f>
        <v>0</v>
      </c>
      <c r="Z703" s="668">
        <f>SUMIF(N$401:N$490,$C703,$S$401:$S$490)*Forrajes!BN41*N$99</f>
        <v>0</v>
      </c>
      <c r="AA703" s="668">
        <f>SUMIF(O$401:O$490,$C703,$S$401:$S$490)*Forrajes!BO41*O$99</f>
        <v>0</v>
      </c>
      <c r="AB703" s="668">
        <f>SUMIF(P$401:P$490,$C703,$S$401:$S$490)*Forrajes!BP41*P$99</f>
        <v>0</v>
      </c>
      <c r="AC703" s="668">
        <f>SUMIF(Q$401:Q$490,$C703,$S$401:$S$490)*Forrajes!BQ41*Q$99</f>
        <v>0</v>
      </c>
      <c r="AD703" s="1977">
        <f>SUMIF(R$401:R$490,$C703,$S$401:$S$490)*Forrajes!BR41*R$99</f>
        <v>0</v>
      </c>
      <c r="AF703" s="1976">
        <f>Forrajes!BU41*S703</f>
        <v>0</v>
      </c>
      <c r="AG703" s="668">
        <f>Forrajes!BV41*T703</f>
        <v>0</v>
      </c>
      <c r="AH703" s="668">
        <f>Forrajes!BW41*U703</f>
        <v>0</v>
      </c>
      <c r="AI703" s="668">
        <f>Forrajes!BX41*V703</f>
        <v>0</v>
      </c>
      <c r="AJ703" s="668">
        <f>Forrajes!BY41*W703</f>
        <v>0</v>
      </c>
      <c r="AK703" s="668">
        <f>Forrajes!BZ41*X703</f>
        <v>0</v>
      </c>
      <c r="AL703" s="668">
        <f>Forrajes!CA41*Y703</f>
        <v>0</v>
      </c>
      <c r="AM703" s="668">
        <f>Forrajes!CB41*Z703</f>
        <v>0</v>
      </c>
      <c r="AN703" s="668">
        <f>Forrajes!CC41*AA703</f>
        <v>0</v>
      </c>
      <c r="AO703" s="668">
        <f>Forrajes!CD41*AB703</f>
        <v>0</v>
      </c>
      <c r="AP703" s="668">
        <f>Forrajes!CE41*AC703</f>
        <v>0</v>
      </c>
      <c r="AQ703" s="668">
        <f>Forrajes!CF41*AD703</f>
        <v>0</v>
      </c>
      <c r="AS703" s="1976">
        <f>Forrajes!CI41*S703</f>
        <v>0</v>
      </c>
      <c r="AT703" s="668">
        <f>Forrajes!CJ41*T703</f>
        <v>0</v>
      </c>
      <c r="AU703" s="668">
        <f>Forrajes!CK41*U703</f>
        <v>0</v>
      </c>
      <c r="AV703" s="668">
        <f>Forrajes!CL41*V703</f>
        <v>0</v>
      </c>
      <c r="AW703" s="668">
        <f>Forrajes!CM41*W703</f>
        <v>0</v>
      </c>
      <c r="AX703" s="668">
        <f>Forrajes!CN41*X703</f>
        <v>0</v>
      </c>
      <c r="AY703" s="668">
        <f>Forrajes!CO41*Y703</f>
        <v>0</v>
      </c>
      <c r="AZ703" s="668">
        <f>Forrajes!CP41*Z703</f>
        <v>0</v>
      </c>
      <c r="BA703" s="668">
        <f>Forrajes!CQ41*AA703</f>
        <v>0</v>
      </c>
      <c r="BB703" s="668">
        <f>Forrajes!CR41*AB703</f>
        <v>0</v>
      </c>
      <c r="BC703" s="668">
        <f>Forrajes!CS41*AC703</f>
        <v>0</v>
      </c>
      <c r="BD703" s="1818">
        <f>Forrajes!CT41*AD703</f>
        <v>0</v>
      </c>
      <c r="BE703" s="590"/>
      <c r="BF703" s="100"/>
      <c r="BG703" s="590"/>
      <c r="BH703" s="590"/>
      <c r="BI703" s="100"/>
      <c r="BJ703" s="1975"/>
      <c r="BK703" s="590"/>
    </row>
    <row r="704" spans="3:63" s="108" customFormat="1" x14ac:dyDescent="0.2">
      <c r="C704" s="1971" t="str">
        <f t="shared" si="526"/>
        <v xml:space="preserve">InterS. RgVacas Ordeñe </v>
      </c>
      <c r="D704" s="1857" t="str">
        <f t="shared" si="527"/>
        <v>InterS. Rg</v>
      </c>
      <c r="E704" s="590"/>
      <c r="F704" s="1972">
        <f t="shared" ref="F704:Q704" si="534">IF($D704=0,0,SUMIF(G$401:G$490,$C704,$S$401:$S$490))</f>
        <v>0</v>
      </c>
      <c r="G704" s="1972">
        <f t="shared" si="534"/>
        <v>0</v>
      </c>
      <c r="H704" s="1972">
        <f t="shared" si="534"/>
        <v>0</v>
      </c>
      <c r="I704" s="1972">
        <f t="shared" si="534"/>
        <v>0</v>
      </c>
      <c r="J704" s="1972">
        <f t="shared" si="534"/>
        <v>0</v>
      </c>
      <c r="K704" s="1972">
        <f t="shared" si="534"/>
        <v>0</v>
      </c>
      <c r="L704" s="1972">
        <f t="shared" si="534"/>
        <v>0</v>
      </c>
      <c r="M704" s="1972">
        <f t="shared" si="534"/>
        <v>0</v>
      </c>
      <c r="N704" s="1972">
        <f t="shared" si="534"/>
        <v>0</v>
      </c>
      <c r="O704" s="1972">
        <f t="shared" si="534"/>
        <v>0</v>
      </c>
      <c r="P704" s="1972">
        <f t="shared" si="534"/>
        <v>0</v>
      </c>
      <c r="Q704" s="1972">
        <f t="shared" si="534"/>
        <v>0</v>
      </c>
      <c r="S704" s="1976">
        <f>SUMIF(G$401:G$490,$C704,$S$401:$S$490)*Forrajes!BG42*G$99</f>
        <v>0</v>
      </c>
      <c r="T704" s="668">
        <f>SUMIF(H$401:H$490,$C704,$S$401:$S$490)*Forrajes!BH42*H$99</f>
        <v>0</v>
      </c>
      <c r="U704" s="668">
        <f>SUMIF(I$401:I$490,$C704,$S$401:$S$490)*Forrajes!BI42*I$99</f>
        <v>0</v>
      </c>
      <c r="V704" s="668">
        <f>SUMIF(J$401:J$490,$C704,$S$401:$S$490)*Forrajes!BJ42*J$99</f>
        <v>0</v>
      </c>
      <c r="W704" s="668">
        <f>SUMIF(K$401:K$490,$C704,$S$401:$S$490)*Forrajes!BK42*K$99</f>
        <v>0</v>
      </c>
      <c r="X704" s="668">
        <f>SUMIF(L$401:L$490,$C704,$S$401:$S$490)*Forrajes!BL42*L$99</f>
        <v>0</v>
      </c>
      <c r="Y704" s="668">
        <f>SUMIF(M$401:M$490,$C704,$S$401:$S$490)*Forrajes!BM42*M$99</f>
        <v>0</v>
      </c>
      <c r="Z704" s="668">
        <f>SUMIF(N$401:N$490,$C704,$S$401:$S$490)*Forrajes!BN42*N$99</f>
        <v>0</v>
      </c>
      <c r="AA704" s="668">
        <f>SUMIF(O$401:O$490,$C704,$S$401:$S$490)*Forrajes!BO42*O$99</f>
        <v>0</v>
      </c>
      <c r="AB704" s="668">
        <f>SUMIF(P$401:P$490,$C704,$S$401:$S$490)*Forrajes!BP42*P$99</f>
        <v>0</v>
      </c>
      <c r="AC704" s="668">
        <f>SUMIF(Q$401:Q$490,$C704,$S$401:$S$490)*Forrajes!BQ42*Q$99</f>
        <v>0</v>
      </c>
      <c r="AD704" s="1977">
        <f>SUMIF(R$401:R$490,$C704,$S$401:$S$490)*Forrajes!BR42*R$99</f>
        <v>0</v>
      </c>
      <c r="AF704" s="1976">
        <f>Forrajes!BU42*S704</f>
        <v>0</v>
      </c>
      <c r="AG704" s="668">
        <f>Forrajes!BV42*T704</f>
        <v>0</v>
      </c>
      <c r="AH704" s="668">
        <f>Forrajes!BW42*U704</f>
        <v>0</v>
      </c>
      <c r="AI704" s="668">
        <f>Forrajes!BX42*V704</f>
        <v>0</v>
      </c>
      <c r="AJ704" s="668">
        <f>Forrajes!BY42*W704</f>
        <v>0</v>
      </c>
      <c r="AK704" s="668">
        <f>Forrajes!BZ42*X704</f>
        <v>0</v>
      </c>
      <c r="AL704" s="668">
        <f>Forrajes!CA42*Y704</f>
        <v>0</v>
      </c>
      <c r="AM704" s="668">
        <f>Forrajes!CB42*Z704</f>
        <v>0</v>
      </c>
      <c r="AN704" s="668">
        <f>Forrajes!CC42*AA704</f>
        <v>0</v>
      </c>
      <c r="AO704" s="668">
        <f>Forrajes!CD42*AB704</f>
        <v>0</v>
      </c>
      <c r="AP704" s="668">
        <f>Forrajes!CE42*AC704</f>
        <v>0</v>
      </c>
      <c r="AQ704" s="668">
        <f>Forrajes!CF42*AD704</f>
        <v>0</v>
      </c>
      <c r="AS704" s="1976">
        <f>Forrajes!CI42*S704</f>
        <v>0</v>
      </c>
      <c r="AT704" s="668">
        <f>Forrajes!CJ42*T704</f>
        <v>0</v>
      </c>
      <c r="AU704" s="668">
        <f>Forrajes!CK42*U704</f>
        <v>0</v>
      </c>
      <c r="AV704" s="668">
        <f>Forrajes!CL42*V704</f>
        <v>0</v>
      </c>
      <c r="AW704" s="668">
        <f>Forrajes!CM42*W704</f>
        <v>0</v>
      </c>
      <c r="AX704" s="668">
        <f>Forrajes!CN42*X704</f>
        <v>0</v>
      </c>
      <c r="AY704" s="668">
        <f>Forrajes!CO42*Y704</f>
        <v>0</v>
      </c>
      <c r="AZ704" s="668">
        <f>Forrajes!CP42*Z704</f>
        <v>0</v>
      </c>
      <c r="BA704" s="668">
        <f>Forrajes!CQ42*AA704</f>
        <v>0</v>
      </c>
      <c r="BB704" s="668">
        <f>Forrajes!CR42*AB704</f>
        <v>0</v>
      </c>
      <c r="BC704" s="668">
        <f>Forrajes!CS42*AC704</f>
        <v>0</v>
      </c>
      <c r="BD704" s="1818">
        <f>Forrajes!CT42*AD704</f>
        <v>0</v>
      </c>
      <c r="BE704" s="590"/>
      <c r="BF704" s="100"/>
      <c r="BG704" s="590"/>
      <c r="BH704" s="590"/>
      <c r="BI704" s="100"/>
      <c r="BJ704" s="1975"/>
      <c r="BK704" s="590"/>
    </row>
    <row r="705" spans="3:63" s="108" customFormat="1" x14ac:dyDescent="0.2">
      <c r="C705" s="1971" t="str">
        <f t="shared" si="526"/>
        <v xml:space="preserve">0Vacas Ordeñe </v>
      </c>
      <c r="D705" s="1857">
        <f t="shared" si="527"/>
        <v>0</v>
      </c>
      <c r="E705" s="590"/>
      <c r="F705" s="1972">
        <f t="shared" ref="F705:Q705" si="535">IF($D705=0,0,SUMIF(G$401:G$490,$C705,$S$401:$S$490))</f>
        <v>0</v>
      </c>
      <c r="G705" s="1972">
        <f t="shared" si="535"/>
        <v>0</v>
      </c>
      <c r="H705" s="1972">
        <f t="shared" si="535"/>
        <v>0</v>
      </c>
      <c r="I705" s="1972">
        <f t="shared" si="535"/>
        <v>0</v>
      </c>
      <c r="J705" s="1972">
        <f t="shared" si="535"/>
        <v>0</v>
      </c>
      <c r="K705" s="1972">
        <f t="shared" si="535"/>
        <v>0</v>
      </c>
      <c r="L705" s="1972">
        <f t="shared" si="535"/>
        <v>0</v>
      </c>
      <c r="M705" s="1972">
        <f t="shared" si="535"/>
        <v>0</v>
      </c>
      <c r="N705" s="1972">
        <f t="shared" si="535"/>
        <v>0</v>
      </c>
      <c r="O705" s="1972">
        <f t="shared" si="535"/>
        <v>0</v>
      </c>
      <c r="P705" s="1972">
        <f t="shared" si="535"/>
        <v>0</v>
      </c>
      <c r="Q705" s="1972">
        <f t="shared" si="535"/>
        <v>0</v>
      </c>
      <c r="S705" s="1976">
        <f>SUMIF(G$401:G$490,$C705,$S$401:$S$490)*Forrajes!BG43*G$99</f>
        <v>0</v>
      </c>
      <c r="T705" s="668">
        <f>SUMIF(H$401:H$490,$C705,$S$401:$S$490)*Forrajes!BH43*H$99</f>
        <v>0</v>
      </c>
      <c r="U705" s="668">
        <f>SUMIF(I$401:I$490,$C705,$S$401:$S$490)*Forrajes!BI43*I$99</f>
        <v>0</v>
      </c>
      <c r="V705" s="668">
        <f>SUMIF(J$401:J$490,$C705,$S$401:$S$490)*Forrajes!BJ43*J$99</f>
        <v>0</v>
      </c>
      <c r="W705" s="668">
        <f>SUMIF(K$401:K$490,$C705,$S$401:$S$490)*Forrajes!BK43*K$99</f>
        <v>0</v>
      </c>
      <c r="X705" s="668">
        <f>SUMIF(L$401:L$490,$C705,$S$401:$S$490)*Forrajes!BL43*L$99</f>
        <v>0</v>
      </c>
      <c r="Y705" s="668">
        <f>SUMIF(M$401:M$490,$C705,$S$401:$S$490)*Forrajes!BM43*M$99</f>
        <v>0</v>
      </c>
      <c r="Z705" s="668">
        <f>SUMIF(N$401:N$490,$C705,$S$401:$S$490)*Forrajes!BN43*N$99</f>
        <v>0</v>
      </c>
      <c r="AA705" s="668">
        <f>SUMIF(O$401:O$490,$C705,$S$401:$S$490)*Forrajes!BO43*O$99</f>
        <v>0</v>
      </c>
      <c r="AB705" s="668">
        <f>SUMIF(P$401:P$490,$C705,$S$401:$S$490)*Forrajes!BP43*P$99</f>
        <v>0</v>
      </c>
      <c r="AC705" s="668">
        <f>SUMIF(Q$401:Q$490,$C705,$S$401:$S$490)*Forrajes!BQ43*Q$99</f>
        <v>0</v>
      </c>
      <c r="AD705" s="1977">
        <f>SUMIF(R$401:R$490,$C705,$S$401:$S$490)*Forrajes!BR43*R$99</f>
        <v>0</v>
      </c>
      <c r="AF705" s="1976">
        <f>Forrajes!BU43*S705</f>
        <v>0</v>
      </c>
      <c r="AG705" s="668">
        <f>Forrajes!BV43*T705</f>
        <v>0</v>
      </c>
      <c r="AH705" s="668">
        <f>Forrajes!BW43*U705</f>
        <v>0</v>
      </c>
      <c r="AI705" s="668">
        <f>Forrajes!BX43*V705</f>
        <v>0</v>
      </c>
      <c r="AJ705" s="668">
        <f>Forrajes!BY43*W705</f>
        <v>0</v>
      </c>
      <c r="AK705" s="668">
        <f>Forrajes!BZ43*X705</f>
        <v>0</v>
      </c>
      <c r="AL705" s="668">
        <f>Forrajes!CA43*Y705</f>
        <v>0</v>
      </c>
      <c r="AM705" s="668">
        <f>Forrajes!CB43*Z705</f>
        <v>0</v>
      </c>
      <c r="AN705" s="668">
        <f>Forrajes!CC43*AA705</f>
        <v>0</v>
      </c>
      <c r="AO705" s="668">
        <f>Forrajes!CD43*AB705</f>
        <v>0</v>
      </c>
      <c r="AP705" s="668">
        <f>Forrajes!CE43*AC705</f>
        <v>0</v>
      </c>
      <c r="AQ705" s="668">
        <f>Forrajes!CF43*AD705</f>
        <v>0</v>
      </c>
      <c r="AS705" s="1976">
        <f>Forrajes!CI43*S705</f>
        <v>0</v>
      </c>
      <c r="AT705" s="668">
        <f>Forrajes!CJ43*T705</f>
        <v>0</v>
      </c>
      <c r="AU705" s="668">
        <f>Forrajes!CK43*U705</f>
        <v>0</v>
      </c>
      <c r="AV705" s="668">
        <f>Forrajes!CL43*V705</f>
        <v>0</v>
      </c>
      <c r="AW705" s="668">
        <f>Forrajes!CM43*W705</f>
        <v>0</v>
      </c>
      <c r="AX705" s="668">
        <f>Forrajes!CN43*X705</f>
        <v>0</v>
      </c>
      <c r="AY705" s="668">
        <f>Forrajes!CO43*Y705</f>
        <v>0</v>
      </c>
      <c r="AZ705" s="668">
        <f>Forrajes!CP43*Z705</f>
        <v>0</v>
      </c>
      <c r="BA705" s="668">
        <f>Forrajes!CQ43*AA705</f>
        <v>0</v>
      </c>
      <c r="BB705" s="668">
        <f>Forrajes!CR43*AB705</f>
        <v>0</v>
      </c>
      <c r="BC705" s="668">
        <f>Forrajes!CS43*AC705</f>
        <v>0</v>
      </c>
      <c r="BD705" s="1818">
        <f>Forrajes!CT43*AD705</f>
        <v>0</v>
      </c>
      <c r="BE705" s="590"/>
      <c r="BF705" s="100"/>
      <c r="BG705" s="590"/>
      <c r="BH705" s="590"/>
      <c r="BI705" s="100"/>
      <c r="BJ705" s="1975"/>
      <c r="BK705" s="590"/>
    </row>
    <row r="706" spans="3:63" s="108" customFormat="1" x14ac:dyDescent="0.2">
      <c r="C706" s="1971" t="str">
        <f t="shared" si="526"/>
        <v xml:space="preserve">0Vacas Ordeñe </v>
      </c>
      <c r="D706" s="1857">
        <f t="shared" si="527"/>
        <v>0</v>
      </c>
      <c r="E706" s="590"/>
      <c r="F706" s="1972">
        <f t="shared" ref="F706:Q706" si="536">IF($D706=0,0,SUMIF(G$401:G$490,$C706,$S$401:$S$490))</f>
        <v>0</v>
      </c>
      <c r="G706" s="1972">
        <f t="shared" si="536"/>
        <v>0</v>
      </c>
      <c r="H706" s="1972">
        <f t="shared" si="536"/>
        <v>0</v>
      </c>
      <c r="I706" s="1972">
        <f t="shared" si="536"/>
        <v>0</v>
      </c>
      <c r="J706" s="1972">
        <f t="shared" si="536"/>
        <v>0</v>
      </c>
      <c r="K706" s="1972">
        <f t="shared" si="536"/>
        <v>0</v>
      </c>
      <c r="L706" s="1972">
        <f t="shared" si="536"/>
        <v>0</v>
      </c>
      <c r="M706" s="1972">
        <f t="shared" si="536"/>
        <v>0</v>
      </c>
      <c r="N706" s="1972">
        <f t="shared" si="536"/>
        <v>0</v>
      </c>
      <c r="O706" s="1972">
        <f t="shared" si="536"/>
        <v>0</v>
      </c>
      <c r="P706" s="1972">
        <f t="shared" si="536"/>
        <v>0</v>
      </c>
      <c r="Q706" s="1972">
        <f t="shared" si="536"/>
        <v>0</v>
      </c>
      <c r="S706" s="1976">
        <f>SUMIF(G$401:G$490,$C706,$S$401:$S$490)*Forrajes!BG44*G$99</f>
        <v>0</v>
      </c>
      <c r="T706" s="668">
        <f>SUMIF(H$401:H$490,$C706,$S$401:$S$490)*Forrajes!BH44*H$99</f>
        <v>0</v>
      </c>
      <c r="U706" s="668">
        <f>SUMIF(I$401:I$490,$C706,$S$401:$S$490)*Forrajes!BI44*I$99</f>
        <v>0</v>
      </c>
      <c r="V706" s="668">
        <f>SUMIF(J$401:J$490,$C706,$S$401:$S$490)*Forrajes!BJ44*J$99</f>
        <v>0</v>
      </c>
      <c r="W706" s="668">
        <f>SUMIF(K$401:K$490,$C706,$S$401:$S$490)*Forrajes!BK44*K$99</f>
        <v>0</v>
      </c>
      <c r="X706" s="668">
        <f>SUMIF(L$401:L$490,$C706,$S$401:$S$490)*Forrajes!BL44*L$99</f>
        <v>0</v>
      </c>
      <c r="Y706" s="668">
        <f>SUMIF(M$401:M$490,$C706,$S$401:$S$490)*Forrajes!BM44*M$99</f>
        <v>0</v>
      </c>
      <c r="Z706" s="668">
        <f>SUMIF(N$401:N$490,$C706,$S$401:$S$490)*Forrajes!BN44*N$99</f>
        <v>0</v>
      </c>
      <c r="AA706" s="668">
        <f>SUMIF(O$401:O$490,$C706,$S$401:$S$490)*Forrajes!BO44*O$99</f>
        <v>0</v>
      </c>
      <c r="AB706" s="668">
        <f>SUMIF(P$401:P$490,$C706,$S$401:$S$490)*Forrajes!BP44*P$99</f>
        <v>0</v>
      </c>
      <c r="AC706" s="668">
        <f>SUMIF(Q$401:Q$490,$C706,$S$401:$S$490)*Forrajes!BQ44*Q$99</f>
        <v>0</v>
      </c>
      <c r="AD706" s="1977">
        <f>SUMIF(R$401:R$490,$C706,$S$401:$S$490)*Forrajes!BR44*R$99</f>
        <v>0</v>
      </c>
      <c r="AF706" s="1976">
        <f>Forrajes!BU44*S706</f>
        <v>0</v>
      </c>
      <c r="AG706" s="668">
        <f>Forrajes!BV44*T706</f>
        <v>0</v>
      </c>
      <c r="AH706" s="668">
        <f>Forrajes!BW44*U706</f>
        <v>0</v>
      </c>
      <c r="AI706" s="668">
        <f>Forrajes!BX44*V706</f>
        <v>0</v>
      </c>
      <c r="AJ706" s="668">
        <f>Forrajes!BY44*W706</f>
        <v>0</v>
      </c>
      <c r="AK706" s="668">
        <f>Forrajes!BZ44*X706</f>
        <v>0</v>
      </c>
      <c r="AL706" s="668">
        <f>Forrajes!CA44*Y706</f>
        <v>0</v>
      </c>
      <c r="AM706" s="668">
        <f>Forrajes!CB44*Z706</f>
        <v>0</v>
      </c>
      <c r="AN706" s="668">
        <f>Forrajes!CC44*AA706</f>
        <v>0</v>
      </c>
      <c r="AO706" s="668">
        <f>Forrajes!CD44*AB706</f>
        <v>0</v>
      </c>
      <c r="AP706" s="668">
        <f>Forrajes!CE44*AC706</f>
        <v>0</v>
      </c>
      <c r="AQ706" s="668">
        <f>Forrajes!CF44*AD706</f>
        <v>0</v>
      </c>
      <c r="AS706" s="1976">
        <f>Forrajes!CI44*S706</f>
        <v>0</v>
      </c>
      <c r="AT706" s="668">
        <f>Forrajes!CJ44*T706</f>
        <v>0</v>
      </c>
      <c r="AU706" s="668">
        <f>Forrajes!CK44*U706</f>
        <v>0</v>
      </c>
      <c r="AV706" s="668">
        <f>Forrajes!CL44*V706</f>
        <v>0</v>
      </c>
      <c r="AW706" s="668">
        <f>Forrajes!CM44*W706</f>
        <v>0</v>
      </c>
      <c r="AX706" s="668">
        <f>Forrajes!CN44*X706</f>
        <v>0</v>
      </c>
      <c r="AY706" s="668">
        <f>Forrajes!CO44*Y706</f>
        <v>0</v>
      </c>
      <c r="AZ706" s="668">
        <f>Forrajes!CP44*Z706</f>
        <v>0</v>
      </c>
      <c r="BA706" s="668">
        <f>Forrajes!CQ44*AA706</f>
        <v>0</v>
      </c>
      <c r="BB706" s="668">
        <f>Forrajes!CR44*AB706</f>
        <v>0</v>
      </c>
      <c r="BC706" s="668">
        <f>Forrajes!CS44*AC706</f>
        <v>0</v>
      </c>
      <c r="BD706" s="1818">
        <f>Forrajes!CT44*AD706</f>
        <v>0</v>
      </c>
      <c r="BE706" s="590"/>
      <c r="BF706" s="100"/>
      <c r="BG706" s="590"/>
      <c r="BH706" s="590"/>
      <c r="BI706" s="100"/>
      <c r="BJ706" s="1975"/>
      <c r="BK706" s="590"/>
    </row>
    <row r="707" spans="3:63" s="108" customFormat="1" x14ac:dyDescent="0.2">
      <c r="C707" s="1971"/>
      <c r="D707" s="1907" t="s">
        <v>992</v>
      </c>
      <c r="E707" s="1908"/>
      <c r="F707" s="1909">
        <f>SUM(F698:F706)</f>
        <v>0</v>
      </c>
      <c r="G707" s="1909">
        <f t="shared" ref="G707:Q707" si="537">SUM(G698:G706)</f>
        <v>0</v>
      </c>
      <c r="H707" s="1909">
        <f t="shared" si="537"/>
        <v>0</v>
      </c>
      <c r="I707" s="1909">
        <f t="shared" si="537"/>
        <v>0</v>
      </c>
      <c r="J707" s="1909">
        <f t="shared" si="537"/>
        <v>0</v>
      </c>
      <c r="K707" s="1909">
        <f t="shared" si="537"/>
        <v>0</v>
      </c>
      <c r="L707" s="1909">
        <f t="shared" si="537"/>
        <v>0</v>
      </c>
      <c r="M707" s="1909">
        <f t="shared" si="537"/>
        <v>0</v>
      </c>
      <c r="N707" s="1909">
        <f t="shared" si="537"/>
        <v>0</v>
      </c>
      <c r="O707" s="1909">
        <f t="shared" si="537"/>
        <v>0</v>
      </c>
      <c r="P707" s="1909">
        <f t="shared" si="537"/>
        <v>0</v>
      </c>
      <c r="Q707" s="1909">
        <f t="shared" si="537"/>
        <v>0</v>
      </c>
      <c r="S707" s="1976"/>
      <c r="T707" s="668"/>
      <c r="U707" s="668"/>
      <c r="V707" s="668"/>
      <c r="W707" s="668"/>
      <c r="X707" s="668"/>
      <c r="Y707" s="668"/>
      <c r="Z707" s="668"/>
      <c r="AA707" s="668"/>
      <c r="AB707" s="668"/>
      <c r="AC707" s="668"/>
      <c r="AD707" s="1977"/>
      <c r="AF707" s="1976"/>
      <c r="AG707" s="668"/>
      <c r="AH707" s="668"/>
      <c r="AI707" s="668"/>
      <c r="AJ707" s="668"/>
      <c r="AK707" s="668"/>
      <c r="AL707" s="668"/>
      <c r="AM707" s="668"/>
      <c r="AN707" s="668"/>
      <c r="AO707" s="668"/>
      <c r="AP707" s="668"/>
      <c r="AQ707" s="668"/>
      <c r="AS707" s="1976"/>
      <c r="AT707" s="668"/>
      <c r="AU707" s="668"/>
      <c r="AV707" s="668"/>
      <c r="AW707" s="668"/>
      <c r="AX707" s="668"/>
      <c r="AY707" s="668"/>
      <c r="AZ707" s="668"/>
      <c r="BA707" s="668"/>
      <c r="BB707" s="668"/>
      <c r="BC707" s="668"/>
      <c r="BD707" s="1818"/>
      <c r="BE707" s="590"/>
      <c r="BF707" s="100"/>
      <c r="BG707" s="590"/>
      <c r="BH707" s="590"/>
      <c r="BI707" s="100"/>
      <c r="BJ707" s="1975"/>
      <c r="BK707" s="590"/>
    </row>
    <row r="708" spans="3:63" s="108" customFormat="1" x14ac:dyDescent="0.2">
      <c r="C708" s="1971" t="str">
        <f>D708&amp;$D$638</f>
        <v xml:space="preserve">Sorgo ForrajeroVacas Ordeñe </v>
      </c>
      <c r="D708" s="1857" t="str">
        <f>+D327</f>
        <v>Sorgo Forrajero</v>
      </c>
      <c r="E708" s="590"/>
      <c r="F708" s="1972">
        <f t="shared" ref="F708:Q708" si="538">IF($D708=0,0,SUMIF(G$401:G$490,$C708,$S$401:$S$490))</f>
        <v>0</v>
      </c>
      <c r="G708" s="1972">
        <f t="shared" si="538"/>
        <v>0</v>
      </c>
      <c r="H708" s="1972">
        <f t="shared" si="538"/>
        <v>0</v>
      </c>
      <c r="I708" s="1972">
        <f t="shared" si="538"/>
        <v>0</v>
      </c>
      <c r="J708" s="1972">
        <f t="shared" si="538"/>
        <v>0</v>
      </c>
      <c r="K708" s="1972">
        <f t="shared" si="538"/>
        <v>0</v>
      </c>
      <c r="L708" s="1972">
        <f t="shared" si="538"/>
        <v>0</v>
      </c>
      <c r="M708" s="1972">
        <f t="shared" si="538"/>
        <v>0</v>
      </c>
      <c r="N708" s="1972">
        <f t="shared" si="538"/>
        <v>0</v>
      </c>
      <c r="O708" s="1972">
        <f t="shared" si="538"/>
        <v>0</v>
      </c>
      <c r="P708" s="1972">
        <f t="shared" si="538"/>
        <v>0</v>
      </c>
      <c r="Q708" s="1972">
        <f t="shared" si="538"/>
        <v>0</v>
      </c>
      <c r="S708" s="1976">
        <f>SUMIF(G$401:G$490,$C708,$S$401:$S$490)*Forrajes!BG46*G$99</f>
        <v>0</v>
      </c>
      <c r="T708" s="668">
        <f>SUMIF(H$401:H$490,$C708,$S$401:$S$490)*Forrajes!BH46*H$99</f>
        <v>0</v>
      </c>
      <c r="U708" s="668">
        <f>SUMIF(I$401:I$490,$C708,$S$401:$S$490)*Forrajes!BI46*I$99</f>
        <v>0</v>
      </c>
      <c r="V708" s="668">
        <f>SUMIF(J$401:J$490,$C708,$S$401:$S$490)*Forrajes!BJ46*J$99</f>
        <v>0</v>
      </c>
      <c r="W708" s="668">
        <f>SUMIF(K$401:K$490,$C708,$S$401:$S$490)*Forrajes!BK46*K$99</f>
        <v>0</v>
      </c>
      <c r="X708" s="668">
        <f>SUMIF(L$401:L$490,$C708,$S$401:$S$490)*Forrajes!BL46*L$99</f>
        <v>0</v>
      </c>
      <c r="Y708" s="668">
        <f>SUMIF(M$401:M$490,$C708,$S$401:$S$490)*Forrajes!BM46*M$99</f>
        <v>0</v>
      </c>
      <c r="Z708" s="668">
        <f>SUMIF(N$401:N$490,$C708,$S$401:$S$490)*Forrajes!BN46*N$99</f>
        <v>0</v>
      </c>
      <c r="AA708" s="668">
        <f>SUMIF(O$401:O$490,$C708,$S$401:$S$490)*Forrajes!BO46*O$99</f>
        <v>0</v>
      </c>
      <c r="AB708" s="668">
        <f>SUMIF(P$401:P$490,$C708,$S$401:$S$490)*Forrajes!BP46*P$99</f>
        <v>0</v>
      </c>
      <c r="AC708" s="668">
        <f>SUMIF(Q$401:Q$490,$C708,$S$401:$S$490)*Forrajes!BQ46*Q$99</f>
        <v>0</v>
      </c>
      <c r="AD708" s="1977">
        <f>SUMIF(R$401:R$490,$C708,$S$401:$S$490)*Forrajes!BR46*R$99</f>
        <v>0</v>
      </c>
      <c r="AF708" s="1976">
        <f>Forrajes!BU46*S708</f>
        <v>0</v>
      </c>
      <c r="AG708" s="668">
        <f>Forrajes!BV46*T708</f>
        <v>0</v>
      </c>
      <c r="AH708" s="668">
        <f>Forrajes!BW46*U708</f>
        <v>0</v>
      </c>
      <c r="AI708" s="668">
        <f>Forrajes!BX46*V708</f>
        <v>0</v>
      </c>
      <c r="AJ708" s="668">
        <f>Forrajes!BY46*W708</f>
        <v>0</v>
      </c>
      <c r="AK708" s="668">
        <f>Forrajes!BZ46*X708</f>
        <v>0</v>
      </c>
      <c r="AL708" s="668">
        <f>Forrajes!CA46*Y708</f>
        <v>0</v>
      </c>
      <c r="AM708" s="668">
        <f>Forrajes!CB46*Z708</f>
        <v>0</v>
      </c>
      <c r="AN708" s="668">
        <f>Forrajes!CC46*AA708</f>
        <v>0</v>
      </c>
      <c r="AO708" s="668">
        <f>Forrajes!CD46*AB708</f>
        <v>0</v>
      </c>
      <c r="AP708" s="668">
        <f>Forrajes!CE46*AC708</f>
        <v>0</v>
      </c>
      <c r="AQ708" s="668">
        <f>Forrajes!CF46*AD708</f>
        <v>0</v>
      </c>
      <c r="AS708" s="1976">
        <f>Forrajes!CI46*S708</f>
        <v>0</v>
      </c>
      <c r="AT708" s="668">
        <f>Forrajes!CJ46*T708</f>
        <v>0</v>
      </c>
      <c r="AU708" s="668">
        <f>Forrajes!CK46*U708</f>
        <v>0</v>
      </c>
      <c r="AV708" s="668">
        <f>Forrajes!CL46*V708</f>
        <v>0</v>
      </c>
      <c r="AW708" s="668">
        <f>Forrajes!CM46*W708</f>
        <v>0</v>
      </c>
      <c r="AX708" s="668">
        <f>Forrajes!CN46*X708</f>
        <v>0</v>
      </c>
      <c r="AY708" s="668">
        <f>Forrajes!CO46*Y708</f>
        <v>0</v>
      </c>
      <c r="AZ708" s="668">
        <f>Forrajes!CP46*Z708</f>
        <v>0</v>
      </c>
      <c r="BA708" s="668">
        <f>Forrajes!CQ46*AA708</f>
        <v>0</v>
      </c>
      <c r="BB708" s="668">
        <f>Forrajes!CR46*AB708</f>
        <v>0</v>
      </c>
      <c r="BC708" s="668">
        <f>Forrajes!CS46*AC708</f>
        <v>0</v>
      </c>
      <c r="BD708" s="1818">
        <f>Forrajes!CT46*AD708</f>
        <v>0</v>
      </c>
      <c r="BE708" s="590"/>
      <c r="BF708" s="100"/>
      <c r="BG708" s="590"/>
      <c r="BH708" s="590"/>
      <c r="BI708" s="100"/>
      <c r="BJ708" s="1975"/>
      <c r="BK708" s="590"/>
    </row>
    <row r="709" spans="3:63" s="108" customFormat="1" x14ac:dyDescent="0.2">
      <c r="C709" s="1971" t="str">
        <f>D709&amp;$D$638</f>
        <v xml:space="preserve">Sudan Vacas Ordeñe </v>
      </c>
      <c r="D709" s="1857" t="str">
        <f>+D328</f>
        <v xml:space="preserve">Sudan </v>
      </c>
      <c r="E709" s="590"/>
      <c r="F709" s="1972">
        <f t="shared" ref="F709:Q709" si="539">IF($D709=0,0,SUMIF(G$401:G$490,$C709,$S$401:$S$490))</f>
        <v>0</v>
      </c>
      <c r="G709" s="1972">
        <f t="shared" si="539"/>
        <v>0</v>
      </c>
      <c r="H709" s="1972">
        <f t="shared" si="539"/>
        <v>0</v>
      </c>
      <c r="I709" s="1972">
        <f t="shared" si="539"/>
        <v>0</v>
      </c>
      <c r="J709" s="1972">
        <f t="shared" si="539"/>
        <v>0</v>
      </c>
      <c r="K709" s="1972">
        <f t="shared" si="539"/>
        <v>0</v>
      </c>
      <c r="L709" s="1972">
        <f t="shared" si="539"/>
        <v>0</v>
      </c>
      <c r="M709" s="1972">
        <f t="shared" si="539"/>
        <v>0</v>
      </c>
      <c r="N709" s="1972">
        <f t="shared" si="539"/>
        <v>0</v>
      </c>
      <c r="O709" s="1972">
        <f t="shared" si="539"/>
        <v>0</v>
      </c>
      <c r="P709" s="1972">
        <f t="shared" si="539"/>
        <v>0</v>
      </c>
      <c r="Q709" s="1972">
        <f t="shared" si="539"/>
        <v>0</v>
      </c>
      <c r="S709" s="1976">
        <f>SUMIF(G$401:G$490,$C709,$S$401:$S$490)*Forrajes!BG47*G$99</f>
        <v>0</v>
      </c>
      <c r="T709" s="668">
        <f>SUMIF(H$401:H$490,$C709,$S$401:$S$490)*Forrajes!BH47*H$99</f>
        <v>0</v>
      </c>
      <c r="U709" s="668">
        <f>SUMIF(I$401:I$490,$C709,$S$401:$S$490)*Forrajes!BI47*I$99</f>
        <v>0</v>
      </c>
      <c r="V709" s="668">
        <f>SUMIF(J$401:J$490,$C709,$S$401:$S$490)*Forrajes!BJ47*J$99</f>
        <v>0</v>
      </c>
      <c r="W709" s="668">
        <f>SUMIF(K$401:K$490,$C709,$S$401:$S$490)*Forrajes!BK47*K$99</f>
        <v>0</v>
      </c>
      <c r="X709" s="668">
        <f>SUMIF(L$401:L$490,$C709,$S$401:$S$490)*Forrajes!BL47*L$99</f>
        <v>0</v>
      </c>
      <c r="Y709" s="668">
        <f>SUMIF(M$401:M$490,$C709,$S$401:$S$490)*Forrajes!BM47*M$99</f>
        <v>0</v>
      </c>
      <c r="Z709" s="668">
        <f>SUMIF(N$401:N$490,$C709,$S$401:$S$490)*Forrajes!BN47*N$99</f>
        <v>0</v>
      </c>
      <c r="AA709" s="668">
        <f>SUMIF(O$401:O$490,$C709,$S$401:$S$490)*Forrajes!BO47*O$99</f>
        <v>0</v>
      </c>
      <c r="AB709" s="668">
        <f>SUMIF(P$401:P$490,$C709,$S$401:$S$490)*Forrajes!BP47*P$99</f>
        <v>0</v>
      </c>
      <c r="AC709" s="668">
        <f>SUMIF(Q$401:Q$490,$C709,$S$401:$S$490)*Forrajes!BQ47*Q$99</f>
        <v>0</v>
      </c>
      <c r="AD709" s="1977">
        <f>SUMIF(R$401:R$490,$C709,$S$401:$S$490)*Forrajes!BR47*R$99</f>
        <v>0</v>
      </c>
      <c r="AF709" s="1976">
        <f>Forrajes!BU47*S709</f>
        <v>0</v>
      </c>
      <c r="AG709" s="668">
        <f>Forrajes!BV47*T709</f>
        <v>0</v>
      </c>
      <c r="AH709" s="668">
        <f>Forrajes!BW47*U709</f>
        <v>0</v>
      </c>
      <c r="AI709" s="668">
        <f>Forrajes!BX47*V709</f>
        <v>0</v>
      </c>
      <c r="AJ709" s="668">
        <f>Forrajes!BY47*W709</f>
        <v>0</v>
      </c>
      <c r="AK709" s="668">
        <f>Forrajes!BZ47*X709</f>
        <v>0</v>
      </c>
      <c r="AL709" s="668">
        <f>Forrajes!CA47*Y709</f>
        <v>0</v>
      </c>
      <c r="AM709" s="668">
        <f>Forrajes!CB47*Z709</f>
        <v>0</v>
      </c>
      <c r="AN709" s="668">
        <f>Forrajes!CC47*AA709</f>
        <v>0</v>
      </c>
      <c r="AO709" s="668">
        <f>Forrajes!CD47*AB709</f>
        <v>0</v>
      </c>
      <c r="AP709" s="668">
        <f>Forrajes!CE47*AC709</f>
        <v>0</v>
      </c>
      <c r="AQ709" s="668">
        <f>Forrajes!CF47*AD709</f>
        <v>0</v>
      </c>
      <c r="AS709" s="1976">
        <f>Forrajes!CI47*S709</f>
        <v>0</v>
      </c>
      <c r="AT709" s="668">
        <f>Forrajes!CJ47*T709</f>
        <v>0</v>
      </c>
      <c r="AU709" s="668">
        <f>Forrajes!CK47*U709</f>
        <v>0</v>
      </c>
      <c r="AV709" s="668">
        <f>Forrajes!CL47*V709</f>
        <v>0</v>
      </c>
      <c r="AW709" s="668">
        <f>Forrajes!CM47*W709</f>
        <v>0</v>
      </c>
      <c r="AX709" s="668">
        <f>Forrajes!CN47*X709</f>
        <v>0</v>
      </c>
      <c r="AY709" s="668">
        <f>Forrajes!CO47*Y709</f>
        <v>0</v>
      </c>
      <c r="AZ709" s="668">
        <f>Forrajes!CP47*Z709</f>
        <v>0</v>
      </c>
      <c r="BA709" s="668">
        <f>Forrajes!CQ47*AA709</f>
        <v>0</v>
      </c>
      <c r="BB709" s="668">
        <f>Forrajes!CR47*AB709</f>
        <v>0</v>
      </c>
      <c r="BC709" s="668">
        <f>Forrajes!CS47*AC709</f>
        <v>0</v>
      </c>
      <c r="BD709" s="1818">
        <f>Forrajes!CT47*AD709</f>
        <v>0</v>
      </c>
      <c r="BE709" s="590"/>
      <c r="BF709" s="100"/>
      <c r="BG709" s="590"/>
      <c r="BH709" s="590"/>
      <c r="BI709" s="1978"/>
      <c r="BJ709" s="1975"/>
      <c r="BK709" s="590"/>
    </row>
    <row r="710" spans="3:63" s="108" customFormat="1" x14ac:dyDescent="0.2">
      <c r="C710" s="1971" t="str">
        <f>D710&amp;$D$638</f>
        <v xml:space="preserve">0Vacas Ordeñe </v>
      </c>
      <c r="D710" s="1857">
        <f>+D329</f>
        <v>0</v>
      </c>
      <c r="E710" s="590"/>
      <c r="F710" s="1972">
        <f t="shared" ref="F710:Q710" si="540">IF($D710=0,0,SUMIF(G$401:G$490,$C710,$S$401:$S$490))</f>
        <v>0</v>
      </c>
      <c r="G710" s="1972">
        <f t="shared" si="540"/>
        <v>0</v>
      </c>
      <c r="H710" s="1972">
        <f t="shared" si="540"/>
        <v>0</v>
      </c>
      <c r="I710" s="1972">
        <f t="shared" si="540"/>
        <v>0</v>
      </c>
      <c r="J710" s="1972">
        <f t="shared" si="540"/>
        <v>0</v>
      </c>
      <c r="K710" s="1972">
        <f t="shared" si="540"/>
        <v>0</v>
      </c>
      <c r="L710" s="1972">
        <f t="shared" si="540"/>
        <v>0</v>
      </c>
      <c r="M710" s="1972">
        <f t="shared" si="540"/>
        <v>0</v>
      </c>
      <c r="N710" s="1972">
        <f t="shared" si="540"/>
        <v>0</v>
      </c>
      <c r="O710" s="1972">
        <f t="shared" si="540"/>
        <v>0</v>
      </c>
      <c r="P710" s="1972">
        <f t="shared" si="540"/>
        <v>0</v>
      </c>
      <c r="Q710" s="1972">
        <f t="shared" si="540"/>
        <v>0</v>
      </c>
      <c r="S710" s="1976">
        <f>SUMIF(G$401:G$490,$C710,$S$401:$S$490)*Forrajes!BG48*G$99</f>
        <v>0</v>
      </c>
      <c r="T710" s="668">
        <f>SUMIF(H$401:H$490,$C710,$S$401:$S$490)*Forrajes!BH48*H$99</f>
        <v>0</v>
      </c>
      <c r="U710" s="668">
        <f>SUMIF(I$401:I$490,$C710,$S$401:$S$490)*Forrajes!BI48*I$99</f>
        <v>0</v>
      </c>
      <c r="V710" s="668">
        <f>SUMIF(J$401:J$490,$C710,$S$401:$S$490)*Forrajes!BJ48*J$99</f>
        <v>0</v>
      </c>
      <c r="W710" s="668">
        <f>SUMIF(K$401:K$490,$C710,$S$401:$S$490)*Forrajes!BK48*K$99</f>
        <v>0</v>
      </c>
      <c r="X710" s="668">
        <f>SUMIF(L$401:L$490,$C710,$S$401:$S$490)*Forrajes!BL48*L$99</f>
        <v>0</v>
      </c>
      <c r="Y710" s="668">
        <f>SUMIF(M$401:M$490,$C710,$S$401:$S$490)*Forrajes!BM48*M$99</f>
        <v>0</v>
      </c>
      <c r="Z710" s="668">
        <f>SUMIF(N$401:N$490,$C710,$S$401:$S$490)*Forrajes!BN48*N$99</f>
        <v>0</v>
      </c>
      <c r="AA710" s="668">
        <f>SUMIF(O$401:O$490,$C710,$S$401:$S$490)*Forrajes!BO48*O$99</f>
        <v>0</v>
      </c>
      <c r="AB710" s="668">
        <f>SUMIF(P$401:P$490,$C710,$S$401:$S$490)*Forrajes!BP48*P$99</f>
        <v>0</v>
      </c>
      <c r="AC710" s="668">
        <f>SUMIF(Q$401:Q$490,$C710,$S$401:$S$490)*Forrajes!BQ48*Q$99</f>
        <v>0</v>
      </c>
      <c r="AD710" s="1977">
        <f>SUMIF(R$401:R$490,$C710,$S$401:$S$490)*Forrajes!BR48*R$99</f>
        <v>0</v>
      </c>
      <c r="AF710" s="1976">
        <f>Forrajes!BU48*S710</f>
        <v>0</v>
      </c>
      <c r="AG710" s="668">
        <f>Forrajes!BV48*T710</f>
        <v>0</v>
      </c>
      <c r="AH710" s="668">
        <f>Forrajes!BW48*U710</f>
        <v>0</v>
      </c>
      <c r="AI710" s="668">
        <f>Forrajes!BX48*V710</f>
        <v>0</v>
      </c>
      <c r="AJ710" s="668">
        <f>Forrajes!BY48*W710</f>
        <v>0</v>
      </c>
      <c r="AK710" s="668">
        <f>Forrajes!BZ48*X710</f>
        <v>0</v>
      </c>
      <c r="AL710" s="668">
        <f>Forrajes!CA48*Y710</f>
        <v>0</v>
      </c>
      <c r="AM710" s="668">
        <f>Forrajes!CB48*Z710</f>
        <v>0</v>
      </c>
      <c r="AN710" s="668">
        <f>Forrajes!CC48*AA710</f>
        <v>0</v>
      </c>
      <c r="AO710" s="668">
        <f>Forrajes!CD48*AB710</f>
        <v>0</v>
      </c>
      <c r="AP710" s="668">
        <f>Forrajes!CE48*AC710</f>
        <v>0</v>
      </c>
      <c r="AQ710" s="668">
        <f>Forrajes!CF48*AD710</f>
        <v>0</v>
      </c>
      <c r="AS710" s="1976">
        <f>Forrajes!CI48*S710</f>
        <v>0</v>
      </c>
      <c r="AT710" s="668">
        <f>Forrajes!CJ48*T710</f>
        <v>0</v>
      </c>
      <c r="AU710" s="668">
        <f>Forrajes!CK48*U710</f>
        <v>0</v>
      </c>
      <c r="AV710" s="668">
        <f>Forrajes!CL48*V710</f>
        <v>0</v>
      </c>
      <c r="AW710" s="668">
        <f>Forrajes!CM48*W710</f>
        <v>0</v>
      </c>
      <c r="AX710" s="668">
        <f>Forrajes!CN48*X710</f>
        <v>0</v>
      </c>
      <c r="AY710" s="668">
        <f>Forrajes!CO48*Y710</f>
        <v>0</v>
      </c>
      <c r="AZ710" s="668">
        <f>Forrajes!CP48*Z710</f>
        <v>0</v>
      </c>
      <c r="BA710" s="668">
        <f>Forrajes!CQ48*AA710</f>
        <v>0</v>
      </c>
      <c r="BB710" s="668">
        <f>Forrajes!CR48*AB710</f>
        <v>0</v>
      </c>
      <c r="BC710" s="668">
        <f>Forrajes!CS48*AC710</f>
        <v>0</v>
      </c>
      <c r="BD710" s="1818">
        <f>Forrajes!CT48*AD710</f>
        <v>0</v>
      </c>
      <c r="BE710" s="590"/>
      <c r="BF710" s="100"/>
      <c r="BG710" s="590"/>
      <c r="BH710" s="590"/>
      <c r="BI710" s="100"/>
      <c r="BJ710" s="1975"/>
      <c r="BK710" s="590"/>
    </row>
    <row r="711" spans="3:63" s="108" customFormat="1" x14ac:dyDescent="0.2">
      <c r="C711" s="1971" t="str">
        <f>D711&amp;$D$638</f>
        <v xml:space="preserve">0Vacas Ordeñe </v>
      </c>
      <c r="D711" s="1857">
        <f>+D330</f>
        <v>0</v>
      </c>
      <c r="E711" s="590"/>
      <c r="F711" s="1972">
        <f t="shared" ref="F711:Q711" si="541">IF($D711=0,0,SUMIF(G$401:G$490,$C711,$S$401:$S$490))</f>
        <v>0</v>
      </c>
      <c r="G711" s="1972">
        <f t="shared" si="541"/>
        <v>0</v>
      </c>
      <c r="H711" s="1972">
        <f t="shared" si="541"/>
        <v>0</v>
      </c>
      <c r="I711" s="1972">
        <f t="shared" si="541"/>
        <v>0</v>
      </c>
      <c r="J711" s="1972">
        <f t="shared" si="541"/>
        <v>0</v>
      </c>
      <c r="K711" s="1972">
        <f t="shared" si="541"/>
        <v>0</v>
      </c>
      <c r="L711" s="1972">
        <f t="shared" si="541"/>
        <v>0</v>
      </c>
      <c r="M711" s="1972">
        <f t="shared" si="541"/>
        <v>0</v>
      </c>
      <c r="N711" s="1972">
        <f t="shared" si="541"/>
        <v>0</v>
      </c>
      <c r="O711" s="1972">
        <f t="shared" si="541"/>
        <v>0</v>
      </c>
      <c r="P711" s="1972">
        <f t="shared" si="541"/>
        <v>0</v>
      </c>
      <c r="Q711" s="1972">
        <f t="shared" si="541"/>
        <v>0</v>
      </c>
      <c r="S711" s="1976">
        <f>SUMIF(G$401:G$490,$C711,$S$401:$S$490)*Forrajes!BG49*G$99</f>
        <v>0</v>
      </c>
      <c r="T711" s="668">
        <f>SUMIF(H$401:H$490,$C711,$S$401:$S$490)*Forrajes!BH49*H$99</f>
        <v>0</v>
      </c>
      <c r="U711" s="668">
        <f>SUMIF(I$401:I$490,$C711,$S$401:$S$490)*Forrajes!BI49*I$99</f>
        <v>0</v>
      </c>
      <c r="V711" s="668">
        <f>SUMIF(J$401:J$490,$C711,$S$401:$S$490)*Forrajes!BJ49*J$99</f>
        <v>0</v>
      </c>
      <c r="W711" s="668">
        <f>SUMIF(K$401:K$490,$C711,$S$401:$S$490)*Forrajes!BK49*K$99</f>
        <v>0</v>
      </c>
      <c r="X711" s="668">
        <f>SUMIF(L$401:L$490,$C711,$S$401:$S$490)*Forrajes!BL49*L$99</f>
        <v>0</v>
      </c>
      <c r="Y711" s="668">
        <f>SUMIF(M$401:M$490,$C711,$S$401:$S$490)*Forrajes!BM49*M$99</f>
        <v>0</v>
      </c>
      <c r="Z711" s="668">
        <f>SUMIF(N$401:N$490,$C711,$S$401:$S$490)*Forrajes!BN49*N$99</f>
        <v>0</v>
      </c>
      <c r="AA711" s="668">
        <f>SUMIF(O$401:O$490,$C711,$S$401:$S$490)*Forrajes!BO49*O$99</f>
        <v>0</v>
      </c>
      <c r="AB711" s="668">
        <f>SUMIF(P$401:P$490,$C711,$S$401:$S$490)*Forrajes!BP49*P$99</f>
        <v>0</v>
      </c>
      <c r="AC711" s="668">
        <f>SUMIF(Q$401:Q$490,$C711,$S$401:$S$490)*Forrajes!BQ49*Q$99</f>
        <v>0</v>
      </c>
      <c r="AD711" s="1977">
        <f>SUMIF(R$401:R$490,$C711,$S$401:$S$490)*Forrajes!BR49*R$99</f>
        <v>0</v>
      </c>
      <c r="AF711" s="1976">
        <f>Forrajes!BU49*S711</f>
        <v>0</v>
      </c>
      <c r="AG711" s="668">
        <f>Forrajes!BV49*T711</f>
        <v>0</v>
      </c>
      <c r="AH711" s="668">
        <f>Forrajes!BW49*U711</f>
        <v>0</v>
      </c>
      <c r="AI711" s="668">
        <f>Forrajes!BX49*V711</f>
        <v>0</v>
      </c>
      <c r="AJ711" s="668">
        <f>Forrajes!BY49*W711</f>
        <v>0</v>
      </c>
      <c r="AK711" s="668">
        <f>Forrajes!BZ49*X711</f>
        <v>0</v>
      </c>
      <c r="AL711" s="668">
        <f>Forrajes!CA49*Y711</f>
        <v>0</v>
      </c>
      <c r="AM711" s="668">
        <f>Forrajes!CB49*Z711</f>
        <v>0</v>
      </c>
      <c r="AN711" s="668">
        <f>Forrajes!CC49*AA711</f>
        <v>0</v>
      </c>
      <c r="AO711" s="668">
        <f>Forrajes!CD49*AB711</f>
        <v>0</v>
      </c>
      <c r="AP711" s="668">
        <f>Forrajes!CE49*AC711</f>
        <v>0</v>
      </c>
      <c r="AQ711" s="668">
        <f>Forrajes!CF49*AD711</f>
        <v>0</v>
      </c>
      <c r="AS711" s="1976">
        <f>Forrajes!CI49*S711</f>
        <v>0</v>
      </c>
      <c r="AT711" s="668">
        <f>Forrajes!CJ49*T711</f>
        <v>0</v>
      </c>
      <c r="AU711" s="668">
        <f>Forrajes!CK49*U711</f>
        <v>0</v>
      </c>
      <c r="AV711" s="668">
        <f>Forrajes!CL49*V711</f>
        <v>0</v>
      </c>
      <c r="AW711" s="668">
        <f>Forrajes!CM49*W711</f>
        <v>0</v>
      </c>
      <c r="AX711" s="668">
        <f>Forrajes!CN49*X711</f>
        <v>0</v>
      </c>
      <c r="AY711" s="668">
        <f>Forrajes!CO49*Y711</f>
        <v>0</v>
      </c>
      <c r="AZ711" s="668">
        <f>Forrajes!CP49*Z711</f>
        <v>0</v>
      </c>
      <c r="BA711" s="668">
        <f>Forrajes!CQ49*AA711</f>
        <v>0</v>
      </c>
      <c r="BB711" s="668">
        <f>Forrajes!CR49*AB711</f>
        <v>0</v>
      </c>
      <c r="BC711" s="668">
        <f>Forrajes!CS49*AC711</f>
        <v>0</v>
      </c>
      <c r="BD711" s="1818">
        <f>Forrajes!CT49*AD711</f>
        <v>0</v>
      </c>
      <c r="BE711" s="590"/>
      <c r="BF711" s="100"/>
      <c r="BG711" s="590"/>
      <c r="BH711" s="590"/>
      <c r="BI711" s="100"/>
      <c r="BJ711" s="1975"/>
      <c r="BK711" s="590"/>
    </row>
    <row r="712" spans="3:63" s="108" customFormat="1" x14ac:dyDescent="0.2">
      <c r="C712" s="1971" t="str">
        <f>D712&amp;$D$638</f>
        <v xml:space="preserve">0Vacas Ordeñe </v>
      </c>
      <c r="D712" s="1857">
        <f>+D331</f>
        <v>0</v>
      </c>
      <c r="E712" s="590"/>
      <c r="F712" s="1972">
        <f t="shared" ref="F712:Q712" si="542">IF($D712=0,0,SUMIF(G$401:G$490,$C712,$S$401:$S$490))</f>
        <v>0</v>
      </c>
      <c r="G712" s="1972">
        <f t="shared" si="542"/>
        <v>0</v>
      </c>
      <c r="H712" s="1972">
        <f t="shared" si="542"/>
        <v>0</v>
      </c>
      <c r="I712" s="1972">
        <f t="shared" si="542"/>
        <v>0</v>
      </c>
      <c r="J712" s="1972">
        <f t="shared" si="542"/>
        <v>0</v>
      </c>
      <c r="K712" s="1972">
        <f t="shared" si="542"/>
        <v>0</v>
      </c>
      <c r="L712" s="1972">
        <f t="shared" si="542"/>
        <v>0</v>
      </c>
      <c r="M712" s="1972">
        <f t="shared" si="542"/>
        <v>0</v>
      </c>
      <c r="N712" s="1972">
        <f t="shared" si="542"/>
        <v>0</v>
      </c>
      <c r="O712" s="1972">
        <f t="shared" si="542"/>
        <v>0</v>
      </c>
      <c r="P712" s="1972">
        <f t="shared" si="542"/>
        <v>0</v>
      </c>
      <c r="Q712" s="1972">
        <f t="shared" si="542"/>
        <v>0</v>
      </c>
      <c r="S712" s="1976">
        <f>SUMIF(G$401:G$490,$C712,$S$401:$S$490)*Forrajes!BG50*G$99</f>
        <v>0</v>
      </c>
      <c r="T712" s="668">
        <f>SUMIF(H$401:H$490,$C712,$S$401:$S$490)*Forrajes!BH50*H$99</f>
        <v>0</v>
      </c>
      <c r="U712" s="668">
        <f>SUMIF(I$401:I$490,$C712,$S$401:$S$490)*Forrajes!BI50*I$99</f>
        <v>0</v>
      </c>
      <c r="V712" s="668">
        <f>SUMIF(J$401:J$490,$C712,$S$401:$S$490)*Forrajes!BJ50*J$99</f>
        <v>0</v>
      </c>
      <c r="W712" s="668">
        <f>SUMIF(K$401:K$490,$C712,$S$401:$S$490)*Forrajes!BK50*K$99</f>
        <v>0</v>
      </c>
      <c r="X712" s="668">
        <f>SUMIF(L$401:L$490,$C712,$S$401:$S$490)*Forrajes!BL50*L$99</f>
        <v>0</v>
      </c>
      <c r="Y712" s="668">
        <f>SUMIF(M$401:M$490,$C712,$S$401:$S$490)*Forrajes!BM50*M$99</f>
        <v>0</v>
      </c>
      <c r="Z712" s="668">
        <f>SUMIF(N$401:N$490,$C712,$S$401:$S$490)*Forrajes!BN50*N$99</f>
        <v>0</v>
      </c>
      <c r="AA712" s="668">
        <f>SUMIF(O$401:O$490,$C712,$S$401:$S$490)*Forrajes!BO50*O$99</f>
        <v>0</v>
      </c>
      <c r="AB712" s="668">
        <f>SUMIF(P$401:P$490,$C712,$S$401:$S$490)*Forrajes!BP50*P$99</f>
        <v>0</v>
      </c>
      <c r="AC712" s="668">
        <f>SUMIF(Q$401:Q$490,$C712,$S$401:$S$490)*Forrajes!BQ50*Q$99</f>
        <v>0</v>
      </c>
      <c r="AD712" s="1977">
        <f>SUMIF(R$401:R$490,$C712,$S$401:$S$490)*Forrajes!BR50*R$99</f>
        <v>0</v>
      </c>
      <c r="AF712" s="1976">
        <f>Forrajes!BU50*S712</f>
        <v>0</v>
      </c>
      <c r="AG712" s="668">
        <f>Forrajes!BV50*T712</f>
        <v>0</v>
      </c>
      <c r="AH712" s="668">
        <f>Forrajes!BW50*U712</f>
        <v>0</v>
      </c>
      <c r="AI712" s="668">
        <f>Forrajes!BX50*V712</f>
        <v>0</v>
      </c>
      <c r="AJ712" s="668">
        <f>Forrajes!BY50*W712</f>
        <v>0</v>
      </c>
      <c r="AK712" s="668">
        <f>Forrajes!BZ50*X712</f>
        <v>0</v>
      </c>
      <c r="AL712" s="668">
        <f>Forrajes!CA50*Y712</f>
        <v>0</v>
      </c>
      <c r="AM712" s="668">
        <f>Forrajes!CB50*Z712</f>
        <v>0</v>
      </c>
      <c r="AN712" s="668">
        <f>Forrajes!CC50*AA712</f>
        <v>0</v>
      </c>
      <c r="AO712" s="668">
        <f>Forrajes!CD50*AB712</f>
        <v>0</v>
      </c>
      <c r="AP712" s="668">
        <f>Forrajes!CE50*AC712</f>
        <v>0</v>
      </c>
      <c r="AQ712" s="668">
        <f>Forrajes!CF50*AD712</f>
        <v>0</v>
      </c>
      <c r="AS712" s="1976">
        <f>Forrajes!CI50*S712</f>
        <v>0</v>
      </c>
      <c r="AT712" s="668">
        <f>Forrajes!CJ50*T712</f>
        <v>0</v>
      </c>
      <c r="AU712" s="668">
        <f>Forrajes!CK50*U712</f>
        <v>0</v>
      </c>
      <c r="AV712" s="668">
        <f>Forrajes!CL50*V712</f>
        <v>0</v>
      </c>
      <c r="AW712" s="668">
        <f>Forrajes!CM50*W712</f>
        <v>0</v>
      </c>
      <c r="AX712" s="668">
        <f>Forrajes!CN50*X712</f>
        <v>0</v>
      </c>
      <c r="AY712" s="668">
        <f>Forrajes!CO50*Y712</f>
        <v>0</v>
      </c>
      <c r="AZ712" s="668">
        <f>Forrajes!CP50*Z712</f>
        <v>0</v>
      </c>
      <c r="BA712" s="668">
        <f>Forrajes!CQ50*AA712</f>
        <v>0</v>
      </c>
      <c r="BB712" s="668">
        <f>Forrajes!CR50*AB712</f>
        <v>0</v>
      </c>
      <c r="BC712" s="668">
        <f>Forrajes!CS50*AC712</f>
        <v>0</v>
      </c>
      <c r="BD712" s="1818">
        <f>Forrajes!CT50*AD712</f>
        <v>0</v>
      </c>
      <c r="BE712" s="590"/>
      <c r="BF712" s="100"/>
      <c r="BG712" s="590"/>
      <c r="BH712" s="590"/>
      <c r="BI712" s="100"/>
      <c r="BJ712" s="1975"/>
      <c r="BK712" s="590"/>
    </row>
    <row r="713" spans="3:63" s="108" customFormat="1" x14ac:dyDescent="0.2">
      <c r="C713" s="1971"/>
      <c r="D713" s="1911" t="s">
        <v>993</v>
      </c>
      <c r="E713" s="1912"/>
      <c r="F713" s="1913">
        <f>SUM(F708:F712)</f>
        <v>0</v>
      </c>
      <c r="G713" s="1913">
        <f t="shared" ref="G713:Q713" si="543">SUM(G708:G712)</f>
        <v>0</v>
      </c>
      <c r="H713" s="1913">
        <f t="shared" si="543"/>
        <v>0</v>
      </c>
      <c r="I713" s="1913">
        <f t="shared" si="543"/>
        <v>0</v>
      </c>
      <c r="J713" s="1913">
        <f t="shared" si="543"/>
        <v>0</v>
      </c>
      <c r="K713" s="1913">
        <f t="shared" si="543"/>
        <v>0</v>
      </c>
      <c r="L713" s="1913">
        <f t="shared" si="543"/>
        <v>0</v>
      </c>
      <c r="M713" s="1913">
        <f t="shared" si="543"/>
        <v>0</v>
      </c>
      <c r="N713" s="1913">
        <f t="shared" si="543"/>
        <v>0</v>
      </c>
      <c r="O713" s="1913">
        <f t="shared" si="543"/>
        <v>0</v>
      </c>
      <c r="P713" s="1913">
        <f t="shared" si="543"/>
        <v>0</v>
      </c>
      <c r="Q713" s="1913">
        <f t="shared" si="543"/>
        <v>0</v>
      </c>
      <c r="S713" s="1981"/>
      <c r="T713" s="1982"/>
      <c r="U713" s="1982"/>
      <c r="V713" s="1982"/>
      <c r="W713" s="1982"/>
      <c r="X713" s="1982"/>
      <c r="Y713" s="1982"/>
      <c r="Z713" s="1982"/>
      <c r="AA713" s="1982"/>
      <c r="AB713" s="1982"/>
      <c r="AC713" s="1982"/>
      <c r="AD713" s="1983"/>
      <c r="AF713" s="1981"/>
      <c r="AG713" s="1982"/>
      <c r="AH713" s="1982"/>
      <c r="AI713" s="1982"/>
      <c r="AJ713" s="1982"/>
      <c r="AK713" s="1982"/>
      <c r="AL713" s="1982"/>
      <c r="AM713" s="1982"/>
      <c r="AN713" s="1982"/>
      <c r="AO713" s="1982"/>
      <c r="AP713" s="1982"/>
      <c r="AQ713" s="1982"/>
      <c r="AS713" s="1981"/>
      <c r="AT713" s="1982"/>
      <c r="AU713" s="1982"/>
      <c r="AV713" s="1982"/>
      <c r="AW713" s="1982"/>
      <c r="AX713" s="1982"/>
      <c r="AY713" s="1982"/>
      <c r="AZ713" s="1982"/>
      <c r="BA713" s="1982"/>
      <c r="BB713" s="1982"/>
      <c r="BC713" s="1982"/>
      <c r="BD713" s="769"/>
      <c r="BE713" s="590"/>
      <c r="BF713" s="100"/>
      <c r="BG713" s="590"/>
      <c r="BH713" s="590"/>
      <c r="BI713" s="100"/>
      <c r="BJ713" s="1975"/>
      <c r="BK713" s="590"/>
    </row>
    <row r="714" spans="3:63" s="108" customFormat="1" x14ac:dyDescent="0.2">
      <c r="C714" s="1984" t="str">
        <f t="shared" ref="C714:C719" si="544">D714&amp;$D$638</f>
        <v xml:space="preserve">Maíz SiloVacas Ordeñe </v>
      </c>
      <c r="D714" s="1857" t="str">
        <f t="shared" ref="D714:D719" si="545">+D333</f>
        <v>Maíz Silo</v>
      </c>
      <c r="E714" s="590"/>
      <c r="F714" s="1972">
        <f t="shared" ref="F714:Q714" si="546">IF($D714=0,0,SUMIF(G$401:G$490,$C714,$S$401:$S$490))</f>
        <v>0</v>
      </c>
      <c r="G714" s="1972">
        <f t="shared" si="546"/>
        <v>0</v>
      </c>
      <c r="H714" s="1972">
        <f t="shared" si="546"/>
        <v>0</v>
      </c>
      <c r="I714" s="1972">
        <f t="shared" si="546"/>
        <v>0</v>
      </c>
      <c r="J714" s="1972">
        <f t="shared" si="546"/>
        <v>0</v>
      </c>
      <c r="K714" s="1972">
        <f t="shared" si="546"/>
        <v>0</v>
      </c>
      <c r="L714" s="1972">
        <f t="shared" si="546"/>
        <v>0</v>
      </c>
      <c r="M714" s="1972">
        <f t="shared" si="546"/>
        <v>0</v>
      </c>
      <c r="N714" s="1972">
        <f t="shared" si="546"/>
        <v>0</v>
      </c>
      <c r="O714" s="1972">
        <f t="shared" si="546"/>
        <v>0</v>
      </c>
      <c r="P714" s="1972">
        <f t="shared" si="546"/>
        <v>0</v>
      </c>
      <c r="Q714" s="1972">
        <f t="shared" si="546"/>
        <v>0</v>
      </c>
      <c r="S714" s="1973">
        <f>SUMIF(G$401:G$490,$C714,$S$401:$S$490)*Forrajes!BG203*G$99</f>
        <v>0</v>
      </c>
      <c r="T714" s="1973">
        <f>SUMIF(H$401:H$490,$C714,$S$401:$S$490)*Forrajes!BH203*H$99</f>
        <v>0</v>
      </c>
      <c r="U714" s="1973">
        <f>SUMIF(I$401:I$490,$C714,$S$401:$S$490)*Forrajes!BI203*I$99</f>
        <v>0</v>
      </c>
      <c r="V714" s="1973">
        <f>SUMIF(J$401:J$490,$C714,$S$401:$S$490)*Forrajes!BJ203*J$99</f>
        <v>0</v>
      </c>
      <c r="W714" s="1973">
        <f>SUMIF(K$401:K$490,$C714,$S$401:$S$490)*Forrajes!BK203*K$99</f>
        <v>0</v>
      </c>
      <c r="X714" s="1973">
        <f>SUMIF(L$401:L$490,$C714,$S$401:$S$490)*Forrajes!BL203*L$99</f>
        <v>0</v>
      </c>
      <c r="Y714" s="1973">
        <f>SUMIF(M$401:M$490,$C714,$S$401:$S$490)*Forrajes!BM203*M$99</f>
        <v>0</v>
      </c>
      <c r="Z714" s="1973">
        <f>SUMIF(N$401:N$490,$C714,$S$401:$S$490)*Forrajes!BN203*N$99</f>
        <v>0</v>
      </c>
      <c r="AA714" s="1973">
        <f>SUMIF(O$401:O$490,$C714,$S$401:$S$490)*Forrajes!BO203*O$99</f>
        <v>0</v>
      </c>
      <c r="AB714" s="1973">
        <f>SUMIF(P$401:P$490,$C714,$S$401:$S$490)*Forrajes!BP203*P$99</f>
        <v>0</v>
      </c>
      <c r="AC714" s="1973">
        <f>SUMIF(Q$401:Q$490,$C714,$S$401:$S$490)*Forrajes!BQ203*Q$99</f>
        <v>0</v>
      </c>
      <c r="AD714" s="1973">
        <f>SUMIF(R$401:R$490,$C714,$S$401:$S$490)*Forrajes!BR203*R$99</f>
        <v>0</v>
      </c>
      <c r="AE714" s="590"/>
      <c r="AF714" s="1973">
        <f>Forrajes!BU203*S714</f>
        <v>0</v>
      </c>
      <c r="AG714" s="1973">
        <f>Forrajes!BV203*T714</f>
        <v>0</v>
      </c>
      <c r="AH714" s="1973">
        <f>Forrajes!BW203*U714</f>
        <v>0</v>
      </c>
      <c r="AI714" s="1973">
        <f>Forrajes!BX203*V714</f>
        <v>0</v>
      </c>
      <c r="AJ714" s="1973">
        <f>Forrajes!BY203*W714</f>
        <v>0</v>
      </c>
      <c r="AK714" s="1973">
        <f>Forrajes!BZ203*X714</f>
        <v>0</v>
      </c>
      <c r="AL714" s="1973">
        <f>Forrajes!CA203*Y714</f>
        <v>0</v>
      </c>
      <c r="AM714" s="1973">
        <f>Forrajes!CB203*Z714</f>
        <v>0</v>
      </c>
      <c r="AN714" s="1973">
        <f>Forrajes!CC203*AA714</f>
        <v>0</v>
      </c>
      <c r="AO714" s="1973">
        <f>Forrajes!CD203*AB714</f>
        <v>0</v>
      </c>
      <c r="AP714" s="1973">
        <f>Forrajes!CE203*AC714</f>
        <v>0</v>
      </c>
      <c r="AQ714" s="1973">
        <f>Forrajes!CF203*AD714</f>
        <v>0</v>
      </c>
      <c r="AR714" s="590"/>
      <c r="AS714" s="1973">
        <f>Forrajes!CI203*S714</f>
        <v>0</v>
      </c>
      <c r="AT714" s="1973">
        <f>Forrajes!CJ203*T714</f>
        <v>0</v>
      </c>
      <c r="AU714" s="1973">
        <f>Forrajes!CK203*U714</f>
        <v>0</v>
      </c>
      <c r="AV714" s="1973">
        <f>Forrajes!CL203*V714</f>
        <v>0</v>
      </c>
      <c r="AW714" s="1973">
        <f>Forrajes!CM203*W714</f>
        <v>0</v>
      </c>
      <c r="AX714" s="1973">
        <f>Forrajes!CN203*X714</f>
        <v>0</v>
      </c>
      <c r="AY714" s="1973">
        <f>Forrajes!CO203*Y714</f>
        <v>0</v>
      </c>
      <c r="AZ714" s="1973">
        <f>Forrajes!CP203*Z714</f>
        <v>0</v>
      </c>
      <c r="BA714" s="1973">
        <f>Forrajes!CQ203*AA714</f>
        <v>0</v>
      </c>
      <c r="BB714" s="1973">
        <f>Forrajes!CR203*AB714</f>
        <v>0</v>
      </c>
      <c r="BC714" s="1973">
        <f>Forrajes!CS203*AC714</f>
        <v>0</v>
      </c>
      <c r="BD714" s="779">
        <f>Forrajes!CT203*AD714</f>
        <v>0</v>
      </c>
      <c r="BE714" s="590"/>
      <c r="BF714" s="100"/>
      <c r="BG714" s="590"/>
      <c r="BH714" s="590"/>
      <c r="BI714" s="100"/>
      <c r="BJ714" s="1975"/>
      <c r="BK714" s="590"/>
    </row>
    <row r="715" spans="3:63" s="108" customFormat="1" x14ac:dyDescent="0.2">
      <c r="C715" s="1984" t="str">
        <f t="shared" si="544"/>
        <v xml:space="preserve">Sorgo siloVacas Ordeñe </v>
      </c>
      <c r="D715" s="1857" t="str">
        <f t="shared" si="545"/>
        <v>Sorgo silo</v>
      </c>
      <c r="E715" s="590"/>
      <c r="F715" s="1972">
        <f t="shared" ref="F715:Q715" si="547">IF($D715=0,0,SUMIF(G$401:G$490,$C715,$S$401:$S$490))</f>
        <v>0</v>
      </c>
      <c r="G715" s="1972">
        <f t="shared" si="547"/>
        <v>0</v>
      </c>
      <c r="H715" s="1972">
        <f t="shared" si="547"/>
        <v>0</v>
      </c>
      <c r="I715" s="1972">
        <f t="shared" si="547"/>
        <v>0</v>
      </c>
      <c r="J715" s="1972">
        <f t="shared" si="547"/>
        <v>0</v>
      </c>
      <c r="K715" s="1972">
        <f t="shared" si="547"/>
        <v>0</v>
      </c>
      <c r="L715" s="1972">
        <f t="shared" si="547"/>
        <v>0</v>
      </c>
      <c r="M715" s="1972">
        <f t="shared" si="547"/>
        <v>0</v>
      </c>
      <c r="N715" s="1972">
        <f t="shared" si="547"/>
        <v>0</v>
      </c>
      <c r="O715" s="1972">
        <f t="shared" si="547"/>
        <v>0</v>
      </c>
      <c r="P715" s="1972">
        <f t="shared" si="547"/>
        <v>0</v>
      </c>
      <c r="Q715" s="1972">
        <f t="shared" si="547"/>
        <v>0</v>
      </c>
      <c r="S715" s="1973">
        <f>SUMIF(G$401:G$490,$C715,$S$401:$S$490)*Forrajes!BG204*G$99</f>
        <v>0</v>
      </c>
      <c r="T715" s="1973">
        <f>SUMIF(H$401:H$490,$C715,$S$401:$S$490)*Forrajes!BH204*H$99</f>
        <v>0</v>
      </c>
      <c r="U715" s="1973">
        <f>SUMIF(I$401:I$490,$C715,$S$401:$S$490)*Forrajes!BI204*I$99</f>
        <v>0</v>
      </c>
      <c r="V715" s="1973">
        <f>SUMIF(J$401:J$490,$C715,$S$401:$S$490)*Forrajes!BJ204*J$99</f>
        <v>0</v>
      </c>
      <c r="W715" s="1973">
        <f>SUMIF(K$401:K$490,$C715,$S$401:$S$490)*Forrajes!BK204*K$99</f>
        <v>0</v>
      </c>
      <c r="X715" s="1973">
        <f>SUMIF(L$401:L$490,$C715,$S$401:$S$490)*Forrajes!BL204*L$99</f>
        <v>0</v>
      </c>
      <c r="Y715" s="1973">
        <f>SUMIF(M$401:M$490,$C715,$S$401:$S$490)*Forrajes!BM204*M$99</f>
        <v>0</v>
      </c>
      <c r="Z715" s="1973">
        <f>SUMIF(N$401:N$490,$C715,$S$401:$S$490)*Forrajes!BN204*N$99</f>
        <v>0</v>
      </c>
      <c r="AA715" s="1973">
        <f>SUMIF(O$401:O$490,$C715,$S$401:$S$490)*Forrajes!BO204*O$99</f>
        <v>0</v>
      </c>
      <c r="AB715" s="1973">
        <f>SUMIF(P$401:P$490,$C715,$S$401:$S$490)*Forrajes!BP204*P$99</f>
        <v>0</v>
      </c>
      <c r="AC715" s="1973">
        <f>SUMIF(Q$401:Q$490,$C715,$S$401:$S$490)*Forrajes!BQ204*Q$99</f>
        <v>0</v>
      </c>
      <c r="AD715" s="1973">
        <f>SUMIF(R$401:R$490,$C715,$S$401:$S$490)*Forrajes!BR204*R$99</f>
        <v>0</v>
      </c>
      <c r="AE715" s="590"/>
      <c r="AF715" s="1973">
        <f>Forrajes!BU204*S715</f>
        <v>0</v>
      </c>
      <c r="AG715" s="1973">
        <f>Forrajes!BV204*T715</f>
        <v>0</v>
      </c>
      <c r="AH715" s="1973">
        <f>Forrajes!BW204*U715</f>
        <v>0</v>
      </c>
      <c r="AI715" s="1973">
        <f>Forrajes!BX204*V715</f>
        <v>0</v>
      </c>
      <c r="AJ715" s="1973">
        <f>Forrajes!BY204*W715</f>
        <v>0</v>
      </c>
      <c r="AK715" s="1973">
        <f>Forrajes!BZ204*X715</f>
        <v>0</v>
      </c>
      <c r="AL715" s="1973">
        <f>Forrajes!CA204*Y715</f>
        <v>0</v>
      </c>
      <c r="AM715" s="1973">
        <f>Forrajes!CB204*Z715</f>
        <v>0</v>
      </c>
      <c r="AN715" s="1973">
        <f>Forrajes!CC204*AA715</f>
        <v>0</v>
      </c>
      <c r="AO715" s="1973">
        <f>Forrajes!CD204*AB715</f>
        <v>0</v>
      </c>
      <c r="AP715" s="1973">
        <f>Forrajes!CE204*AC715</f>
        <v>0</v>
      </c>
      <c r="AQ715" s="1973">
        <f>Forrajes!CF204*AD715</f>
        <v>0</v>
      </c>
      <c r="AR715" s="590"/>
      <c r="AS715" s="1976">
        <f>Forrajes!CI204*S715</f>
        <v>0</v>
      </c>
      <c r="AT715" s="668">
        <f>Forrajes!CJ204*T715</f>
        <v>0</v>
      </c>
      <c r="AU715" s="668">
        <f>Forrajes!CK204*U715</f>
        <v>0</v>
      </c>
      <c r="AV715" s="668">
        <f>Forrajes!CL204*V715</f>
        <v>0</v>
      </c>
      <c r="AW715" s="668">
        <f>Forrajes!CM204*W715</f>
        <v>0</v>
      </c>
      <c r="AX715" s="668">
        <f>Forrajes!CN204*X715</f>
        <v>0</v>
      </c>
      <c r="AY715" s="668">
        <f>Forrajes!CO204*Y715</f>
        <v>0</v>
      </c>
      <c r="AZ715" s="668">
        <f>Forrajes!CP204*Z715</f>
        <v>0</v>
      </c>
      <c r="BA715" s="668">
        <f>Forrajes!CQ204*AA715</f>
        <v>0</v>
      </c>
      <c r="BB715" s="668">
        <f>Forrajes!CR204*AB715</f>
        <v>0</v>
      </c>
      <c r="BC715" s="668">
        <f>Forrajes!CS204*AC715</f>
        <v>0</v>
      </c>
      <c r="BD715" s="1818">
        <f>Forrajes!CT204*AD715</f>
        <v>0</v>
      </c>
      <c r="BE715" s="590"/>
      <c r="BF715" s="100"/>
      <c r="BG715" s="590"/>
      <c r="BH715" s="590"/>
      <c r="BI715" s="100"/>
      <c r="BJ715" s="1975"/>
      <c r="BK715" s="590"/>
    </row>
    <row r="716" spans="3:63" s="108" customFormat="1" x14ac:dyDescent="0.2">
      <c r="C716" s="1984" t="str">
        <f t="shared" si="544"/>
        <v xml:space="preserve">MohaVacas Ordeñe </v>
      </c>
      <c r="D716" s="1857" t="str">
        <f t="shared" si="545"/>
        <v>Moha</v>
      </c>
      <c r="E716" s="590"/>
      <c r="F716" s="1972">
        <f t="shared" ref="F716:Q716" si="548">IF($D716=0,0,SUMIF(G$401:G$490,$C716,$S$401:$S$490))</f>
        <v>0</v>
      </c>
      <c r="G716" s="1972">
        <f t="shared" si="548"/>
        <v>0</v>
      </c>
      <c r="H716" s="1972">
        <f t="shared" si="548"/>
        <v>0</v>
      </c>
      <c r="I716" s="1972">
        <f t="shared" si="548"/>
        <v>0</v>
      </c>
      <c r="J716" s="1972">
        <f t="shared" si="548"/>
        <v>0</v>
      </c>
      <c r="K716" s="1972">
        <f t="shared" si="548"/>
        <v>0</v>
      </c>
      <c r="L716" s="1972">
        <f t="shared" si="548"/>
        <v>0</v>
      </c>
      <c r="M716" s="1972">
        <f t="shared" si="548"/>
        <v>0</v>
      </c>
      <c r="N716" s="1972">
        <f t="shared" si="548"/>
        <v>0</v>
      </c>
      <c r="O716" s="1972">
        <f t="shared" si="548"/>
        <v>0</v>
      </c>
      <c r="P716" s="1972">
        <f t="shared" si="548"/>
        <v>0</v>
      </c>
      <c r="Q716" s="1972">
        <f t="shared" si="548"/>
        <v>0</v>
      </c>
      <c r="S716" s="1973">
        <f>SUMIF(G$401:G$490,$C716,$S$401:$S$490)*Forrajes!BG205*G$99</f>
        <v>0</v>
      </c>
      <c r="T716" s="1973">
        <f>SUMIF(H$401:H$490,$C716,$S$401:$S$490)*Forrajes!BH205*H$99</f>
        <v>0</v>
      </c>
      <c r="U716" s="1973">
        <f>SUMIF(I$401:I$490,$C716,$S$401:$S$490)*Forrajes!BI205*I$99</f>
        <v>0</v>
      </c>
      <c r="V716" s="1973">
        <f>SUMIF(J$401:J$490,$C716,$S$401:$S$490)*Forrajes!BJ205*J$99</f>
        <v>0</v>
      </c>
      <c r="W716" s="1973">
        <f>SUMIF(K$401:K$490,$C716,$S$401:$S$490)*Forrajes!BK205*K$99</f>
        <v>0</v>
      </c>
      <c r="X716" s="1973">
        <f>SUMIF(L$401:L$490,$C716,$S$401:$S$490)*Forrajes!BL205*L$99</f>
        <v>0</v>
      </c>
      <c r="Y716" s="1973">
        <f>SUMIF(M$401:M$490,$C716,$S$401:$S$490)*Forrajes!BM205*M$99</f>
        <v>0</v>
      </c>
      <c r="Z716" s="1973">
        <f>SUMIF(N$401:N$490,$C716,$S$401:$S$490)*Forrajes!BN205*N$99</f>
        <v>0</v>
      </c>
      <c r="AA716" s="1973">
        <f>SUMIF(O$401:O$490,$C716,$S$401:$S$490)*Forrajes!BO205*O$99</f>
        <v>0</v>
      </c>
      <c r="AB716" s="1973">
        <f>SUMIF(P$401:P$490,$C716,$S$401:$S$490)*Forrajes!BP205*P$99</f>
        <v>0</v>
      </c>
      <c r="AC716" s="1973">
        <f>SUMIF(Q$401:Q$490,$C716,$S$401:$S$490)*Forrajes!BQ205*Q$99</f>
        <v>0</v>
      </c>
      <c r="AD716" s="1973">
        <f>SUMIF(R$401:R$490,$C716,$S$401:$S$490)*Forrajes!BR205*R$99</f>
        <v>0</v>
      </c>
      <c r="AE716" s="590"/>
      <c r="AF716" s="1973">
        <f>Forrajes!BU205*S716</f>
        <v>0</v>
      </c>
      <c r="AG716" s="1973">
        <f>Forrajes!BV205*T716</f>
        <v>0</v>
      </c>
      <c r="AH716" s="1973">
        <f>Forrajes!BW205*U716</f>
        <v>0</v>
      </c>
      <c r="AI716" s="1973">
        <f>Forrajes!BX205*V716</f>
        <v>0</v>
      </c>
      <c r="AJ716" s="1973">
        <f>Forrajes!BY205*W716</f>
        <v>0</v>
      </c>
      <c r="AK716" s="1973">
        <f>Forrajes!BZ205*X716</f>
        <v>0</v>
      </c>
      <c r="AL716" s="1973">
        <f>Forrajes!CA205*Y716</f>
        <v>0</v>
      </c>
      <c r="AM716" s="1973">
        <f>Forrajes!CB205*Z716</f>
        <v>0</v>
      </c>
      <c r="AN716" s="1973">
        <f>Forrajes!CC205*AA716</f>
        <v>0</v>
      </c>
      <c r="AO716" s="1973">
        <f>Forrajes!CD205*AB716</f>
        <v>0</v>
      </c>
      <c r="AP716" s="1973">
        <f>Forrajes!CE205*AC716</f>
        <v>0</v>
      </c>
      <c r="AQ716" s="1973">
        <f>Forrajes!CF205*AD716</f>
        <v>0</v>
      </c>
      <c r="AR716" s="590"/>
      <c r="AS716" s="1976">
        <f>Forrajes!CI205*S716</f>
        <v>0</v>
      </c>
      <c r="AT716" s="668">
        <f>Forrajes!CJ205*T716</f>
        <v>0</v>
      </c>
      <c r="AU716" s="668">
        <f>Forrajes!CK205*U716</f>
        <v>0</v>
      </c>
      <c r="AV716" s="668">
        <f>Forrajes!CL205*V716</f>
        <v>0</v>
      </c>
      <c r="AW716" s="668">
        <f>Forrajes!CM205*W716</f>
        <v>0</v>
      </c>
      <c r="AX716" s="668">
        <f>Forrajes!CN205*X716</f>
        <v>0</v>
      </c>
      <c r="AY716" s="668">
        <f>Forrajes!CO205*Y716</f>
        <v>0</v>
      </c>
      <c r="AZ716" s="668">
        <f>Forrajes!CP205*Z716</f>
        <v>0</v>
      </c>
      <c r="BA716" s="668">
        <f>Forrajes!CQ205*AA716</f>
        <v>0</v>
      </c>
      <c r="BB716" s="668">
        <f>Forrajes!CR205*AB716</f>
        <v>0</v>
      </c>
      <c r="BC716" s="668">
        <f>Forrajes!CS205*AC716</f>
        <v>0</v>
      </c>
      <c r="BD716" s="1818">
        <f>Forrajes!CT205*AD716</f>
        <v>0</v>
      </c>
      <c r="BE716" s="590"/>
      <c r="BF716" s="100"/>
      <c r="BG716" s="590"/>
      <c r="BH716" s="590"/>
      <c r="BI716" s="100"/>
      <c r="BJ716" s="1975"/>
      <c r="BK716" s="590"/>
    </row>
    <row r="717" spans="3:63" s="108" customFormat="1" x14ac:dyDescent="0.2">
      <c r="C717" s="1984" t="str">
        <f t="shared" si="544"/>
        <v xml:space="preserve">Soja reservaVacas Ordeñe </v>
      </c>
      <c r="D717" s="1857" t="str">
        <f t="shared" si="545"/>
        <v>Soja reserva</v>
      </c>
      <c r="E717" s="590"/>
      <c r="F717" s="1972">
        <f t="shared" ref="F717:Q717" si="549">IF($D717=0,0,SUMIF(G$401:G$490,$C717,$S$401:$S$490))</f>
        <v>0</v>
      </c>
      <c r="G717" s="1972">
        <f t="shared" si="549"/>
        <v>0</v>
      </c>
      <c r="H717" s="1972">
        <f t="shared" si="549"/>
        <v>0</v>
      </c>
      <c r="I717" s="1972">
        <f t="shared" si="549"/>
        <v>0</v>
      </c>
      <c r="J717" s="1972">
        <f t="shared" si="549"/>
        <v>0</v>
      </c>
      <c r="K717" s="1972">
        <f t="shared" si="549"/>
        <v>0</v>
      </c>
      <c r="L717" s="1972">
        <f t="shared" si="549"/>
        <v>0</v>
      </c>
      <c r="M717" s="1972">
        <f t="shared" si="549"/>
        <v>0</v>
      </c>
      <c r="N717" s="1972">
        <f t="shared" si="549"/>
        <v>0</v>
      </c>
      <c r="O717" s="1972">
        <f t="shared" si="549"/>
        <v>0</v>
      </c>
      <c r="P717" s="1972">
        <f t="shared" si="549"/>
        <v>0</v>
      </c>
      <c r="Q717" s="1972">
        <f t="shared" si="549"/>
        <v>0</v>
      </c>
      <c r="S717" s="1973">
        <f>SUMIF(G$401:G$490,$C717,$S$401:$S$490)*Forrajes!BG206*G$99</f>
        <v>0</v>
      </c>
      <c r="T717" s="1973">
        <f>SUMIF(H$401:H$490,$C717,$S$401:$S$490)*Forrajes!BH206*H$99</f>
        <v>0</v>
      </c>
      <c r="U717" s="1973">
        <f>SUMIF(I$401:I$490,$C717,$S$401:$S$490)*Forrajes!BI206*I$99</f>
        <v>0</v>
      </c>
      <c r="V717" s="1973">
        <f>SUMIF(J$401:J$490,$C717,$S$401:$S$490)*Forrajes!BJ206*J$99</f>
        <v>0</v>
      </c>
      <c r="W717" s="1973">
        <f>SUMIF(K$401:K$490,$C717,$S$401:$S$490)*Forrajes!BK206*K$99</f>
        <v>0</v>
      </c>
      <c r="X717" s="1973">
        <f>SUMIF(L$401:L$490,$C717,$S$401:$S$490)*Forrajes!BL206*L$99</f>
        <v>0</v>
      </c>
      <c r="Y717" s="1973">
        <f>SUMIF(M$401:M$490,$C717,$S$401:$S$490)*Forrajes!BM206*M$99</f>
        <v>0</v>
      </c>
      <c r="Z717" s="1973">
        <f>SUMIF(N$401:N$490,$C717,$S$401:$S$490)*Forrajes!BN206*N$99</f>
        <v>0</v>
      </c>
      <c r="AA717" s="1973">
        <f>SUMIF(O$401:O$490,$C717,$S$401:$S$490)*Forrajes!BO206*O$99</f>
        <v>0</v>
      </c>
      <c r="AB717" s="1973">
        <f>SUMIF(P$401:P$490,$C717,$S$401:$S$490)*Forrajes!BP206*P$99</f>
        <v>0</v>
      </c>
      <c r="AC717" s="1973">
        <f>SUMIF(Q$401:Q$490,$C717,$S$401:$S$490)*Forrajes!BQ206*Q$99</f>
        <v>0</v>
      </c>
      <c r="AD717" s="1973">
        <f>SUMIF(R$401:R$490,$C717,$S$401:$S$490)*Forrajes!BR206*R$99</f>
        <v>0</v>
      </c>
      <c r="AE717" s="590"/>
      <c r="AF717" s="1973">
        <f>Forrajes!BU206*S717</f>
        <v>0</v>
      </c>
      <c r="AG717" s="1973">
        <f>Forrajes!BV206*T717</f>
        <v>0</v>
      </c>
      <c r="AH717" s="1973">
        <f>Forrajes!BW206*U717</f>
        <v>0</v>
      </c>
      <c r="AI717" s="1973">
        <f>Forrajes!BX206*V717</f>
        <v>0</v>
      </c>
      <c r="AJ717" s="1973">
        <f>Forrajes!BY206*W717</f>
        <v>0</v>
      </c>
      <c r="AK717" s="1973">
        <f>Forrajes!BZ206*X717</f>
        <v>0</v>
      </c>
      <c r="AL717" s="1973">
        <f>Forrajes!CA206*Y717</f>
        <v>0</v>
      </c>
      <c r="AM717" s="1973">
        <f>Forrajes!CB206*Z717</f>
        <v>0</v>
      </c>
      <c r="AN717" s="1973">
        <f>Forrajes!CC206*AA717</f>
        <v>0</v>
      </c>
      <c r="AO717" s="1973">
        <f>Forrajes!CD206*AB717</f>
        <v>0</v>
      </c>
      <c r="AP717" s="1973">
        <f>Forrajes!CE206*AC717</f>
        <v>0</v>
      </c>
      <c r="AQ717" s="1973">
        <f>Forrajes!CF206*AD717</f>
        <v>0</v>
      </c>
      <c r="AR717" s="590"/>
      <c r="AS717" s="1976">
        <f>Forrajes!CI206*S717</f>
        <v>0</v>
      </c>
      <c r="AT717" s="668">
        <f>Forrajes!CJ206*T717</f>
        <v>0</v>
      </c>
      <c r="AU717" s="668">
        <f>Forrajes!CK206*U717</f>
        <v>0</v>
      </c>
      <c r="AV717" s="668">
        <f>Forrajes!CL206*V717</f>
        <v>0</v>
      </c>
      <c r="AW717" s="668">
        <f>Forrajes!CM206*W717</f>
        <v>0</v>
      </c>
      <c r="AX717" s="668">
        <f>Forrajes!CN206*X717</f>
        <v>0</v>
      </c>
      <c r="AY717" s="668">
        <f>Forrajes!CO206*Y717</f>
        <v>0</v>
      </c>
      <c r="AZ717" s="668">
        <f>Forrajes!CP206*Z717</f>
        <v>0</v>
      </c>
      <c r="BA717" s="668">
        <f>Forrajes!CQ206*AA717</f>
        <v>0</v>
      </c>
      <c r="BB717" s="668">
        <f>Forrajes!CR206*AB717</f>
        <v>0</v>
      </c>
      <c r="BC717" s="668">
        <f>Forrajes!CS206*AC717</f>
        <v>0</v>
      </c>
      <c r="BD717" s="1818">
        <f>Forrajes!CT206*AD717</f>
        <v>0</v>
      </c>
      <c r="BE717" s="590"/>
      <c r="BF717" s="100"/>
      <c r="BG717" s="590"/>
      <c r="BH717" s="590"/>
      <c r="BI717" s="100"/>
      <c r="BJ717" s="1975"/>
      <c r="BK717" s="590"/>
    </row>
    <row r="718" spans="3:63" s="108" customFormat="1" x14ac:dyDescent="0.2">
      <c r="C718" s="1984" t="str">
        <f t="shared" si="544"/>
        <v xml:space="preserve">0Vacas Ordeñe </v>
      </c>
      <c r="D718" s="1857">
        <f t="shared" si="545"/>
        <v>0</v>
      </c>
      <c r="E718" s="590"/>
      <c r="F718" s="1972">
        <f t="shared" ref="F718:Q718" si="550">IF($D718=0,0,SUMIF(G$401:G$490,$C718,$S$401:$S$490))</f>
        <v>0</v>
      </c>
      <c r="G718" s="1972">
        <f t="shared" si="550"/>
        <v>0</v>
      </c>
      <c r="H718" s="1972">
        <f t="shared" si="550"/>
        <v>0</v>
      </c>
      <c r="I718" s="1972">
        <f t="shared" si="550"/>
        <v>0</v>
      </c>
      <c r="J718" s="1972">
        <f t="shared" si="550"/>
        <v>0</v>
      </c>
      <c r="K718" s="1972">
        <f t="shared" si="550"/>
        <v>0</v>
      </c>
      <c r="L718" s="1972">
        <f t="shared" si="550"/>
        <v>0</v>
      </c>
      <c r="M718" s="1972">
        <f t="shared" si="550"/>
        <v>0</v>
      </c>
      <c r="N718" s="1972">
        <f t="shared" si="550"/>
        <v>0</v>
      </c>
      <c r="O718" s="1972">
        <f t="shared" si="550"/>
        <v>0</v>
      </c>
      <c r="P718" s="1972">
        <f t="shared" si="550"/>
        <v>0</v>
      </c>
      <c r="Q718" s="1972">
        <f t="shared" si="550"/>
        <v>0</v>
      </c>
      <c r="S718" s="1973">
        <f>SUMIF(G$401:G$490,$C718,$S$401:$S$490)*Forrajes!BG207*G$99</f>
        <v>0</v>
      </c>
      <c r="T718" s="1973">
        <f>SUMIF(H$401:H$490,$C718,$S$401:$S$490)*Forrajes!BH207*H$99</f>
        <v>0</v>
      </c>
      <c r="U718" s="1973">
        <f>SUMIF(I$401:I$490,$C718,$S$401:$S$490)*Forrajes!BI207*I$99</f>
        <v>0</v>
      </c>
      <c r="V718" s="1973">
        <f>SUMIF(J$401:J$490,$C718,$S$401:$S$490)*Forrajes!BJ207*J$99</f>
        <v>0</v>
      </c>
      <c r="W718" s="1973">
        <f>SUMIF(K$401:K$490,$C718,$S$401:$S$490)*Forrajes!BK207*K$99</f>
        <v>0</v>
      </c>
      <c r="X718" s="1973">
        <f>SUMIF(L$401:L$490,$C718,$S$401:$S$490)*Forrajes!BL207*L$99</f>
        <v>0</v>
      </c>
      <c r="Y718" s="1973">
        <f>SUMIF(M$401:M$490,$C718,$S$401:$S$490)*Forrajes!BM207*M$99</f>
        <v>0</v>
      </c>
      <c r="Z718" s="1973">
        <f>SUMIF(N$401:N$490,$C718,$S$401:$S$490)*Forrajes!BN207*N$99</f>
        <v>0</v>
      </c>
      <c r="AA718" s="1973">
        <f>SUMIF(O$401:O$490,$C718,$S$401:$S$490)*Forrajes!BO207*O$99</f>
        <v>0</v>
      </c>
      <c r="AB718" s="1973">
        <f>SUMIF(P$401:P$490,$C718,$S$401:$S$490)*Forrajes!BP207*P$99</f>
        <v>0</v>
      </c>
      <c r="AC718" s="1973">
        <f>SUMIF(Q$401:Q$490,$C718,$S$401:$S$490)*Forrajes!BQ207*Q$99</f>
        <v>0</v>
      </c>
      <c r="AD718" s="1973">
        <f>SUMIF(R$401:R$490,$C718,$S$401:$S$490)*Forrajes!BR207*R$99</f>
        <v>0</v>
      </c>
      <c r="AE718" s="590"/>
      <c r="AF718" s="1973">
        <f>Forrajes!BU207*S718</f>
        <v>0</v>
      </c>
      <c r="AG718" s="1973">
        <f>Forrajes!BV207*T718</f>
        <v>0</v>
      </c>
      <c r="AH718" s="1973">
        <f>Forrajes!BW207*U718</f>
        <v>0</v>
      </c>
      <c r="AI718" s="1973">
        <f>Forrajes!BX207*V718</f>
        <v>0</v>
      </c>
      <c r="AJ718" s="1973">
        <f>Forrajes!BY207*W718</f>
        <v>0</v>
      </c>
      <c r="AK718" s="1973">
        <f>Forrajes!BZ207*X718</f>
        <v>0</v>
      </c>
      <c r="AL718" s="1973">
        <f>Forrajes!CA207*Y718</f>
        <v>0</v>
      </c>
      <c r="AM718" s="1973">
        <f>Forrajes!CB207*Z718</f>
        <v>0</v>
      </c>
      <c r="AN718" s="1973">
        <f>Forrajes!CC207*AA718</f>
        <v>0</v>
      </c>
      <c r="AO718" s="1973">
        <f>Forrajes!CD207*AB718</f>
        <v>0</v>
      </c>
      <c r="AP718" s="1973">
        <f>Forrajes!CE207*AC718</f>
        <v>0</v>
      </c>
      <c r="AQ718" s="1973">
        <f>Forrajes!CF207*AD718</f>
        <v>0</v>
      </c>
      <c r="AR718" s="590"/>
      <c r="AS718" s="1976">
        <f>Forrajes!CI207*S718</f>
        <v>0</v>
      </c>
      <c r="AT718" s="668">
        <f>Forrajes!CJ207*T718</f>
        <v>0</v>
      </c>
      <c r="AU718" s="668">
        <f>Forrajes!CK207*U718</f>
        <v>0</v>
      </c>
      <c r="AV718" s="668">
        <f>Forrajes!CL207*V718</f>
        <v>0</v>
      </c>
      <c r="AW718" s="668">
        <f>Forrajes!CM207*W718</f>
        <v>0</v>
      </c>
      <c r="AX718" s="668">
        <f>Forrajes!CN207*X718</f>
        <v>0</v>
      </c>
      <c r="AY718" s="668">
        <f>Forrajes!CO207*Y718</f>
        <v>0</v>
      </c>
      <c r="AZ718" s="668">
        <f>Forrajes!CP207*Z718</f>
        <v>0</v>
      </c>
      <c r="BA718" s="668">
        <f>Forrajes!CQ207*AA718</f>
        <v>0</v>
      </c>
      <c r="BB718" s="668">
        <f>Forrajes!CR207*AB718</f>
        <v>0</v>
      </c>
      <c r="BC718" s="668">
        <f>Forrajes!CS207*AC718</f>
        <v>0</v>
      </c>
      <c r="BD718" s="1818">
        <f>Forrajes!CT207*AD718</f>
        <v>0</v>
      </c>
      <c r="BE718" s="590"/>
      <c r="BF718" s="100"/>
      <c r="BG718" s="590"/>
      <c r="BH718" s="590"/>
      <c r="BI718" s="100"/>
      <c r="BJ718" s="1975"/>
      <c r="BK718" s="590"/>
    </row>
    <row r="719" spans="3:63" s="108" customFormat="1" x14ac:dyDescent="0.2">
      <c r="C719" s="1984" t="str">
        <f t="shared" si="544"/>
        <v xml:space="preserve">0Vacas Ordeñe </v>
      </c>
      <c r="D719" s="1857">
        <f t="shared" si="545"/>
        <v>0</v>
      </c>
      <c r="E719" s="590"/>
      <c r="F719" s="1972">
        <f t="shared" ref="F719:Q719" si="551">IF($D719=0,0,SUMIF(G$401:G$490,$C719,$S$401:$S$490))</f>
        <v>0</v>
      </c>
      <c r="G719" s="1972">
        <f t="shared" si="551"/>
        <v>0</v>
      </c>
      <c r="H719" s="1972">
        <f t="shared" si="551"/>
        <v>0</v>
      </c>
      <c r="I719" s="1972">
        <f t="shared" si="551"/>
        <v>0</v>
      </c>
      <c r="J719" s="1972">
        <f t="shared" si="551"/>
        <v>0</v>
      </c>
      <c r="K719" s="1972">
        <f t="shared" si="551"/>
        <v>0</v>
      </c>
      <c r="L719" s="1972">
        <f t="shared" si="551"/>
        <v>0</v>
      </c>
      <c r="M719" s="1972">
        <f t="shared" si="551"/>
        <v>0</v>
      </c>
      <c r="N719" s="1972">
        <f t="shared" si="551"/>
        <v>0</v>
      </c>
      <c r="O719" s="1972">
        <f t="shared" si="551"/>
        <v>0</v>
      </c>
      <c r="P719" s="1972">
        <f t="shared" si="551"/>
        <v>0</v>
      </c>
      <c r="Q719" s="1972">
        <f t="shared" si="551"/>
        <v>0</v>
      </c>
      <c r="S719" s="1973">
        <f>SUMIF(G$401:G$490,$C719,$S$401:$S$490)*Forrajes!BG208*G$99</f>
        <v>0</v>
      </c>
      <c r="T719" s="1973">
        <f>SUMIF(H$401:H$490,$C719,$S$401:$S$490)*Forrajes!BH208*H$99</f>
        <v>0</v>
      </c>
      <c r="U719" s="1973">
        <f>SUMIF(I$401:I$490,$C719,$S$401:$S$490)*Forrajes!BI208*I$99</f>
        <v>0</v>
      </c>
      <c r="V719" s="1973">
        <f>SUMIF(J$401:J$490,$C719,$S$401:$S$490)*Forrajes!BJ208*J$99</f>
        <v>0</v>
      </c>
      <c r="W719" s="1973">
        <f>SUMIF(K$401:K$490,$C719,$S$401:$S$490)*Forrajes!BK208*K$99</f>
        <v>0</v>
      </c>
      <c r="X719" s="1973">
        <f>SUMIF(L$401:L$490,$C719,$S$401:$S$490)*Forrajes!BL208*L$99</f>
        <v>0</v>
      </c>
      <c r="Y719" s="1973">
        <f>SUMIF(M$401:M$490,$C719,$S$401:$S$490)*Forrajes!BM208*M$99</f>
        <v>0</v>
      </c>
      <c r="Z719" s="1973">
        <f>SUMIF(N$401:N$490,$C719,$S$401:$S$490)*Forrajes!BN208*N$99</f>
        <v>0</v>
      </c>
      <c r="AA719" s="1973">
        <f>SUMIF(O$401:O$490,$C719,$S$401:$S$490)*Forrajes!BO208*O$99</f>
        <v>0</v>
      </c>
      <c r="AB719" s="1973">
        <f>SUMIF(P$401:P$490,$C719,$S$401:$S$490)*Forrajes!BP208*P$99</f>
        <v>0</v>
      </c>
      <c r="AC719" s="1973">
        <f>SUMIF(Q$401:Q$490,$C719,$S$401:$S$490)*Forrajes!BQ208*Q$99</f>
        <v>0</v>
      </c>
      <c r="AD719" s="1973">
        <f>SUMIF(R$401:R$490,$C719,$S$401:$S$490)*Forrajes!BR208*R$99</f>
        <v>0</v>
      </c>
      <c r="AE719" s="590"/>
      <c r="AF719" s="1973">
        <f>Forrajes!BU208*S719</f>
        <v>0</v>
      </c>
      <c r="AG719" s="1973">
        <f>Forrajes!BV208*T719</f>
        <v>0</v>
      </c>
      <c r="AH719" s="1973">
        <f>Forrajes!BW208*U719</f>
        <v>0</v>
      </c>
      <c r="AI719" s="1973">
        <f>Forrajes!BX208*V719</f>
        <v>0</v>
      </c>
      <c r="AJ719" s="1973">
        <f>Forrajes!BY208*W719</f>
        <v>0</v>
      </c>
      <c r="AK719" s="1973">
        <f>Forrajes!BZ208*X719</f>
        <v>0</v>
      </c>
      <c r="AL719" s="1973">
        <f>Forrajes!CA208*Y719</f>
        <v>0</v>
      </c>
      <c r="AM719" s="1973">
        <f>Forrajes!CB208*Z719</f>
        <v>0</v>
      </c>
      <c r="AN719" s="1973">
        <f>Forrajes!CC208*AA719</f>
        <v>0</v>
      </c>
      <c r="AO719" s="1973">
        <f>Forrajes!CD208*AB719</f>
        <v>0</v>
      </c>
      <c r="AP719" s="1973">
        <f>Forrajes!CE208*AC719</f>
        <v>0</v>
      </c>
      <c r="AQ719" s="1973">
        <f>Forrajes!CF208*AD719</f>
        <v>0</v>
      </c>
      <c r="AR719" s="590"/>
      <c r="AS719" s="1976">
        <f>Forrajes!CI208*S719</f>
        <v>0</v>
      </c>
      <c r="AT719" s="668">
        <f>Forrajes!CJ208*T719</f>
        <v>0</v>
      </c>
      <c r="AU719" s="668">
        <f>Forrajes!CK208*U719</f>
        <v>0</v>
      </c>
      <c r="AV719" s="668">
        <f>Forrajes!CL208*V719</f>
        <v>0</v>
      </c>
      <c r="AW719" s="668">
        <f>Forrajes!CM208*W719</f>
        <v>0</v>
      </c>
      <c r="AX719" s="668">
        <f>Forrajes!CN208*X719</f>
        <v>0</v>
      </c>
      <c r="AY719" s="668">
        <f>Forrajes!CO208*Y719</f>
        <v>0</v>
      </c>
      <c r="AZ719" s="668">
        <f>Forrajes!CP208*Z719</f>
        <v>0</v>
      </c>
      <c r="BA719" s="668">
        <f>Forrajes!CQ208*AA719</f>
        <v>0</v>
      </c>
      <c r="BB719" s="668">
        <f>Forrajes!CR208*AB719</f>
        <v>0</v>
      </c>
      <c r="BC719" s="668">
        <f>Forrajes!CS208*AC719</f>
        <v>0</v>
      </c>
      <c r="BD719" s="1818">
        <f>Forrajes!CT208*AD719</f>
        <v>0</v>
      </c>
      <c r="BE719" s="590"/>
      <c r="BF719" s="100"/>
      <c r="BG719" s="590"/>
      <c r="BH719" s="590"/>
      <c r="BI719" s="100"/>
      <c r="BJ719" s="1975"/>
      <c r="BK719" s="590"/>
    </row>
    <row r="720" spans="3:63" s="108" customFormat="1" x14ac:dyDescent="0.2">
      <c r="C720" s="1984"/>
      <c r="D720" s="1907" t="s">
        <v>994</v>
      </c>
      <c r="E720" s="1908"/>
      <c r="F720" s="1909">
        <f>SUM(F714:F719)</f>
        <v>0</v>
      </c>
      <c r="G720" s="1909">
        <f t="shared" ref="G720:Q720" si="552">SUM(G714:G719)</f>
        <v>0</v>
      </c>
      <c r="H720" s="1909">
        <f t="shared" si="552"/>
        <v>0</v>
      </c>
      <c r="I720" s="1909">
        <f t="shared" si="552"/>
        <v>0</v>
      </c>
      <c r="J720" s="1909">
        <f t="shared" si="552"/>
        <v>0</v>
      </c>
      <c r="K720" s="1909">
        <f t="shared" si="552"/>
        <v>0</v>
      </c>
      <c r="L720" s="1909">
        <f t="shared" si="552"/>
        <v>0</v>
      </c>
      <c r="M720" s="1909">
        <f t="shared" si="552"/>
        <v>0</v>
      </c>
      <c r="N720" s="1909">
        <f t="shared" si="552"/>
        <v>0</v>
      </c>
      <c r="O720" s="1909">
        <f t="shared" si="552"/>
        <v>0</v>
      </c>
      <c r="P720" s="1909">
        <f t="shared" si="552"/>
        <v>0</v>
      </c>
      <c r="Q720" s="1909">
        <f t="shared" si="552"/>
        <v>0</v>
      </c>
      <c r="S720" s="1973"/>
      <c r="T720" s="1973"/>
      <c r="U720" s="1973"/>
      <c r="V720" s="1973"/>
      <c r="W720" s="1973"/>
      <c r="X720" s="1973"/>
      <c r="Y720" s="1973"/>
      <c r="Z720" s="1973"/>
      <c r="AA720" s="1973"/>
      <c r="AB720" s="1973"/>
      <c r="AC720" s="1973"/>
      <c r="AD720" s="1973"/>
      <c r="AE720" s="590"/>
      <c r="AF720" s="1973"/>
      <c r="AG720" s="1973"/>
      <c r="AH720" s="1973"/>
      <c r="AI720" s="1973"/>
      <c r="AJ720" s="1973"/>
      <c r="AK720" s="1973"/>
      <c r="AL720" s="1973"/>
      <c r="AM720" s="1973"/>
      <c r="AN720" s="1973"/>
      <c r="AO720" s="1973"/>
      <c r="AP720" s="1973"/>
      <c r="AQ720" s="1973"/>
      <c r="AR720" s="590"/>
      <c r="AS720" s="1976"/>
      <c r="AT720" s="668"/>
      <c r="AU720" s="668"/>
      <c r="AV720" s="668"/>
      <c r="AW720" s="668"/>
      <c r="AX720" s="668"/>
      <c r="AY720" s="668"/>
      <c r="AZ720" s="668"/>
      <c r="BA720" s="668"/>
      <c r="BB720" s="668"/>
      <c r="BC720" s="668"/>
      <c r="BD720" s="1818"/>
      <c r="BE720" s="590"/>
      <c r="BF720" s="100"/>
      <c r="BG720" s="590"/>
      <c r="BH720" s="590"/>
      <c r="BI720" s="100"/>
      <c r="BJ720" s="1975"/>
      <c r="BK720" s="590"/>
    </row>
    <row r="721" spans="3:63" s="108" customFormat="1" x14ac:dyDescent="0.2">
      <c r="C721" s="1984" t="str">
        <f>D721&amp;$D$638</f>
        <v xml:space="preserve">Avena siloVacas Ordeñe </v>
      </c>
      <c r="D721" s="1857" t="str">
        <f>+D340</f>
        <v>Avena silo</v>
      </c>
      <c r="E721" s="590"/>
      <c r="F721" s="1972">
        <f t="shared" ref="F721:Q721" si="553">IF($D721=0,0,SUMIF(G$401:G$490,$C721,$S$401:$S$490))</f>
        <v>0</v>
      </c>
      <c r="G721" s="1972">
        <f t="shared" si="553"/>
        <v>0</v>
      </c>
      <c r="H721" s="1972">
        <f t="shared" si="553"/>
        <v>0</v>
      </c>
      <c r="I721" s="1972">
        <f t="shared" si="553"/>
        <v>0</v>
      </c>
      <c r="J721" s="1972">
        <f t="shared" si="553"/>
        <v>0</v>
      </c>
      <c r="K721" s="1972">
        <f t="shared" si="553"/>
        <v>0</v>
      </c>
      <c r="L721" s="1972">
        <f t="shared" si="553"/>
        <v>0</v>
      </c>
      <c r="M721" s="1972">
        <f t="shared" si="553"/>
        <v>0</v>
      </c>
      <c r="N721" s="1972">
        <f t="shared" si="553"/>
        <v>0</v>
      </c>
      <c r="O721" s="1972">
        <f t="shared" si="553"/>
        <v>0</v>
      </c>
      <c r="P721" s="1972">
        <f t="shared" si="553"/>
        <v>0</v>
      </c>
      <c r="Q721" s="1972">
        <f t="shared" si="553"/>
        <v>0</v>
      </c>
      <c r="S721" s="1973">
        <f>SUMIF(G$401:G$490,$C721,$S$401:$S$490)*Forrajes!BG210*G$99</f>
        <v>0</v>
      </c>
      <c r="T721" s="1973">
        <f>SUMIF(H$401:H$490,$C721,$S$401:$S$490)*Forrajes!BH210*H$99</f>
        <v>0</v>
      </c>
      <c r="U721" s="1973">
        <f>SUMIF(I$401:I$490,$C721,$S$401:$S$490)*Forrajes!BI210*I$99</f>
        <v>0</v>
      </c>
      <c r="V721" s="1973">
        <f>SUMIF(J$401:J$490,$C721,$S$401:$S$490)*Forrajes!BJ210*J$99</f>
        <v>0</v>
      </c>
      <c r="W721" s="1973">
        <f>SUMIF(K$401:K$490,$C721,$S$401:$S$490)*Forrajes!BK210*K$99</f>
        <v>0</v>
      </c>
      <c r="X721" s="1973">
        <f>SUMIF(L$401:L$490,$C721,$S$401:$S$490)*Forrajes!BL210*L$99</f>
        <v>0</v>
      </c>
      <c r="Y721" s="1973">
        <f>SUMIF(M$401:M$490,$C721,$S$401:$S$490)*Forrajes!BM210*M$99</f>
        <v>0</v>
      </c>
      <c r="Z721" s="1973">
        <f>SUMIF(N$401:N$490,$C721,$S$401:$S$490)*Forrajes!BN210*N$99</f>
        <v>0</v>
      </c>
      <c r="AA721" s="1973">
        <f>SUMIF(O$401:O$490,$C721,$S$401:$S$490)*Forrajes!BO210*O$99</f>
        <v>0</v>
      </c>
      <c r="AB721" s="1973">
        <f>SUMIF(P$401:P$490,$C721,$S$401:$S$490)*Forrajes!BP210*P$99</f>
        <v>0</v>
      </c>
      <c r="AC721" s="1973">
        <f>SUMIF(Q$401:Q$490,$C721,$S$401:$S$490)*Forrajes!BQ210*Q$99</f>
        <v>0</v>
      </c>
      <c r="AD721" s="1973">
        <f>SUMIF(R$401:R$490,$C721,$S$401:$S$490)*Forrajes!BR210*R$99</f>
        <v>0</v>
      </c>
      <c r="AE721" s="590"/>
      <c r="AF721" s="1973">
        <f>Forrajes!BU210*S721</f>
        <v>0</v>
      </c>
      <c r="AG721" s="1973">
        <f>Forrajes!BV210*T721</f>
        <v>0</v>
      </c>
      <c r="AH721" s="1973">
        <f>Forrajes!BW210*U721</f>
        <v>0</v>
      </c>
      <c r="AI721" s="1973">
        <f>Forrajes!BX210*V721</f>
        <v>0</v>
      </c>
      <c r="AJ721" s="1973">
        <f>Forrajes!BY210*W721</f>
        <v>0</v>
      </c>
      <c r="AK721" s="1973">
        <f>Forrajes!BZ210*X721</f>
        <v>0</v>
      </c>
      <c r="AL721" s="1973">
        <f>Forrajes!CA210*Y721</f>
        <v>0</v>
      </c>
      <c r="AM721" s="1973">
        <f>Forrajes!CB210*Z721</f>
        <v>0</v>
      </c>
      <c r="AN721" s="1973">
        <f>Forrajes!CC210*AA721</f>
        <v>0</v>
      </c>
      <c r="AO721" s="1973">
        <f>Forrajes!CD210*AB721</f>
        <v>0</v>
      </c>
      <c r="AP721" s="1973">
        <f>Forrajes!CE210*AC721</f>
        <v>0</v>
      </c>
      <c r="AQ721" s="1973">
        <f>Forrajes!CF210*AD721</f>
        <v>0</v>
      </c>
      <c r="AR721" s="590"/>
      <c r="AS721" s="1976">
        <f>Forrajes!CI210*S721</f>
        <v>0</v>
      </c>
      <c r="AT721" s="668">
        <f>Forrajes!CJ210*T721</f>
        <v>0</v>
      </c>
      <c r="AU721" s="668">
        <f>Forrajes!CK210*U721</f>
        <v>0</v>
      </c>
      <c r="AV721" s="668">
        <f>Forrajes!CL210*V721</f>
        <v>0</v>
      </c>
      <c r="AW721" s="668">
        <f>Forrajes!CM210*W721</f>
        <v>0</v>
      </c>
      <c r="AX721" s="668">
        <f>Forrajes!CN210*X721</f>
        <v>0</v>
      </c>
      <c r="AY721" s="668">
        <f>Forrajes!CO210*Y721</f>
        <v>0</v>
      </c>
      <c r="AZ721" s="668">
        <f>Forrajes!CP210*Z721</f>
        <v>0</v>
      </c>
      <c r="BA721" s="668">
        <f>Forrajes!CQ210*AA721</f>
        <v>0</v>
      </c>
      <c r="BB721" s="668">
        <f>Forrajes!CR210*AB721</f>
        <v>0</v>
      </c>
      <c r="BC721" s="668">
        <f>Forrajes!CS210*AC721</f>
        <v>0</v>
      </c>
      <c r="BD721" s="1818">
        <f>Forrajes!CT210*AD721</f>
        <v>0</v>
      </c>
      <c r="BE721" s="590"/>
      <c r="BF721" s="100"/>
      <c r="BG721" s="590"/>
      <c r="BH721" s="590"/>
      <c r="BI721" s="100"/>
      <c r="BJ721" s="1975"/>
      <c r="BK721" s="590"/>
    </row>
    <row r="722" spans="3:63" s="108" customFormat="1" x14ac:dyDescent="0.2">
      <c r="C722" s="1984" t="str">
        <f>D722&amp;$D$638</f>
        <v xml:space="preserve">Raigrás SiloVacas Ordeñe </v>
      </c>
      <c r="D722" s="1857" t="str">
        <f>+D341</f>
        <v>Raigrás Silo</v>
      </c>
      <c r="E722" s="590"/>
      <c r="F722" s="1972">
        <f t="shared" ref="F722:Q722" si="554">IF($D722=0,0,SUMIF(G$401:G$490,$C722,$S$401:$S$490))</f>
        <v>0</v>
      </c>
      <c r="G722" s="1972">
        <f t="shared" si="554"/>
        <v>0</v>
      </c>
      <c r="H722" s="1972">
        <f t="shared" si="554"/>
        <v>0</v>
      </c>
      <c r="I722" s="1972">
        <f t="shared" si="554"/>
        <v>0</v>
      </c>
      <c r="J722" s="1972">
        <f t="shared" si="554"/>
        <v>0</v>
      </c>
      <c r="K722" s="1972">
        <f t="shared" si="554"/>
        <v>0</v>
      </c>
      <c r="L722" s="1972">
        <f t="shared" si="554"/>
        <v>0</v>
      </c>
      <c r="M722" s="1972">
        <f t="shared" si="554"/>
        <v>0</v>
      </c>
      <c r="N722" s="1972">
        <f t="shared" si="554"/>
        <v>0</v>
      </c>
      <c r="O722" s="1972">
        <f t="shared" si="554"/>
        <v>0</v>
      </c>
      <c r="P722" s="1972">
        <f t="shared" si="554"/>
        <v>0</v>
      </c>
      <c r="Q722" s="1972">
        <f t="shared" si="554"/>
        <v>0</v>
      </c>
      <c r="S722" s="1973">
        <f>SUMIF(G$401:G$490,$C722,$S$401:$S$490)*Forrajes!BG211*G$99</f>
        <v>0</v>
      </c>
      <c r="T722" s="1973">
        <f>SUMIF(H$401:H$490,$C722,$S$401:$S$490)*Forrajes!BH211*H$99</f>
        <v>0</v>
      </c>
      <c r="U722" s="1973">
        <f>SUMIF(I$401:I$490,$C722,$S$401:$S$490)*Forrajes!BI211*I$99</f>
        <v>0</v>
      </c>
      <c r="V722" s="1973">
        <f>SUMIF(J$401:J$490,$C722,$S$401:$S$490)*Forrajes!BJ211*J$99</f>
        <v>0</v>
      </c>
      <c r="W722" s="1973">
        <f>SUMIF(K$401:K$490,$C722,$S$401:$S$490)*Forrajes!BK211*K$99</f>
        <v>0</v>
      </c>
      <c r="X722" s="1973">
        <f>SUMIF(L$401:L$490,$C722,$S$401:$S$490)*Forrajes!BL211*L$99</f>
        <v>0</v>
      </c>
      <c r="Y722" s="1973">
        <f>SUMIF(M$401:M$490,$C722,$S$401:$S$490)*Forrajes!BM211*M$99</f>
        <v>0</v>
      </c>
      <c r="Z722" s="1973">
        <f>SUMIF(N$401:N$490,$C722,$S$401:$S$490)*Forrajes!BN211*N$99</f>
        <v>0</v>
      </c>
      <c r="AA722" s="1973">
        <f>SUMIF(O$401:O$490,$C722,$S$401:$S$490)*Forrajes!BO211*O$99</f>
        <v>0</v>
      </c>
      <c r="AB722" s="1973">
        <f>SUMIF(P$401:P$490,$C722,$S$401:$S$490)*Forrajes!BP211*P$99</f>
        <v>0</v>
      </c>
      <c r="AC722" s="1973">
        <f>SUMIF(Q$401:Q$490,$C722,$S$401:$S$490)*Forrajes!BQ211*Q$99</f>
        <v>0</v>
      </c>
      <c r="AD722" s="1973">
        <f>SUMIF(R$401:R$490,$C722,$S$401:$S$490)*Forrajes!BR211*R$99</f>
        <v>0</v>
      </c>
      <c r="AE722" s="590"/>
      <c r="AF722" s="1973">
        <f>Forrajes!BU211*S722</f>
        <v>0</v>
      </c>
      <c r="AG722" s="1973">
        <f>Forrajes!BV211*T722</f>
        <v>0</v>
      </c>
      <c r="AH722" s="1973">
        <f>Forrajes!BW211*U722</f>
        <v>0</v>
      </c>
      <c r="AI722" s="1973">
        <f>Forrajes!BX211*V722</f>
        <v>0</v>
      </c>
      <c r="AJ722" s="1973">
        <f>Forrajes!BY211*W722</f>
        <v>0</v>
      </c>
      <c r="AK722" s="1973">
        <f>Forrajes!BZ211*X722</f>
        <v>0</v>
      </c>
      <c r="AL722" s="1973">
        <f>Forrajes!CA211*Y722</f>
        <v>0</v>
      </c>
      <c r="AM722" s="1973">
        <f>Forrajes!CB211*Z722</f>
        <v>0</v>
      </c>
      <c r="AN722" s="1973">
        <f>Forrajes!CC211*AA722</f>
        <v>0</v>
      </c>
      <c r="AO722" s="1973">
        <f>Forrajes!CD211*AB722</f>
        <v>0</v>
      </c>
      <c r="AP722" s="1973">
        <f>Forrajes!CE211*AC722</f>
        <v>0</v>
      </c>
      <c r="AQ722" s="1973">
        <f>Forrajes!CF211*AD722</f>
        <v>0</v>
      </c>
      <c r="AR722" s="590"/>
      <c r="AS722" s="1976">
        <f>Forrajes!CI211*S722</f>
        <v>0</v>
      </c>
      <c r="AT722" s="668">
        <f>Forrajes!CJ211*T722</f>
        <v>0</v>
      </c>
      <c r="AU722" s="668">
        <f>Forrajes!CK211*U722</f>
        <v>0</v>
      </c>
      <c r="AV722" s="668">
        <f>Forrajes!CL211*V722</f>
        <v>0</v>
      </c>
      <c r="AW722" s="668">
        <f>Forrajes!CM211*W722</f>
        <v>0</v>
      </c>
      <c r="AX722" s="668">
        <f>Forrajes!CN211*X722</f>
        <v>0</v>
      </c>
      <c r="AY722" s="668">
        <f>Forrajes!CO211*Y722</f>
        <v>0</v>
      </c>
      <c r="AZ722" s="668">
        <f>Forrajes!CP211*Z722</f>
        <v>0</v>
      </c>
      <c r="BA722" s="668">
        <f>Forrajes!CQ211*AA722</f>
        <v>0</v>
      </c>
      <c r="BB722" s="668">
        <f>Forrajes!CR211*AB722</f>
        <v>0</v>
      </c>
      <c r="BC722" s="668">
        <f>Forrajes!CS211*AC722</f>
        <v>0</v>
      </c>
      <c r="BD722" s="1818">
        <f>Forrajes!CT211*AD722</f>
        <v>0</v>
      </c>
      <c r="BE722" s="590"/>
      <c r="BF722" s="100"/>
      <c r="BG722" s="590"/>
      <c r="BH722" s="590"/>
      <c r="BI722" s="100"/>
      <c r="BJ722" s="1975"/>
      <c r="BK722" s="590"/>
    </row>
    <row r="723" spans="3:63" s="108" customFormat="1" x14ac:dyDescent="0.2">
      <c r="C723" s="1984" t="str">
        <f>D723&amp;$D$638</f>
        <v xml:space="preserve">Ra Silo Cierre AgoVacas Ordeñe </v>
      </c>
      <c r="D723" s="1857" t="str">
        <f>+D342</f>
        <v>Ra Silo Cierre Ago</v>
      </c>
      <c r="E723" s="590"/>
      <c r="F723" s="1972">
        <f t="shared" ref="F723:Q723" si="555">IF($D723=0,0,SUMIF(G$401:G$490,$C723,$S$401:$S$490))</f>
        <v>0</v>
      </c>
      <c r="G723" s="1972">
        <f t="shared" si="555"/>
        <v>0</v>
      </c>
      <c r="H723" s="1972">
        <f t="shared" si="555"/>
        <v>0</v>
      </c>
      <c r="I723" s="1972">
        <f t="shared" si="555"/>
        <v>0</v>
      </c>
      <c r="J723" s="1972">
        <f t="shared" si="555"/>
        <v>0</v>
      </c>
      <c r="K723" s="1972">
        <f t="shared" si="555"/>
        <v>0</v>
      </c>
      <c r="L723" s="1972">
        <f t="shared" si="555"/>
        <v>0</v>
      </c>
      <c r="M723" s="1972">
        <f t="shared" si="555"/>
        <v>0</v>
      </c>
      <c r="N723" s="1972">
        <f t="shared" si="555"/>
        <v>0</v>
      </c>
      <c r="O723" s="1972">
        <f t="shared" si="555"/>
        <v>0</v>
      </c>
      <c r="P723" s="1972">
        <f t="shared" si="555"/>
        <v>0</v>
      </c>
      <c r="Q723" s="1972">
        <f t="shared" si="555"/>
        <v>0</v>
      </c>
      <c r="S723" s="1973">
        <f>SUMIF(G$401:G$490,$C723,$S$401:$S$490)*Forrajes!BG212*G$99</f>
        <v>0</v>
      </c>
      <c r="T723" s="1973">
        <f>SUMIF(H$401:H$490,$C723,$S$401:$S$490)*Forrajes!BH212*H$99</f>
        <v>0</v>
      </c>
      <c r="U723" s="1973">
        <f>SUMIF(I$401:I$490,$C723,$S$401:$S$490)*Forrajes!BI212*I$99</f>
        <v>0</v>
      </c>
      <c r="V723" s="1973">
        <f>SUMIF(J$401:J$490,$C723,$S$401:$S$490)*Forrajes!BJ212*J$99</f>
        <v>0</v>
      </c>
      <c r="W723" s="1973">
        <f>SUMIF(K$401:K$490,$C723,$S$401:$S$490)*Forrajes!BK212*K$99</f>
        <v>0</v>
      </c>
      <c r="X723" s="1973">
        <f>SUMIF(L$401:L$490,$C723,$S$401:$S$490)*Forrajes!BL212*L$99</f>
        <v>0</v>
      </c>
      <c r="Y723" s="1973">
        <f>SUMIF(M$401:M$490,$C723,$S$401:$S$490)*Forrajes!BM212*M$99</f>
        <v>0</v>
      </c>
      <c r="Z723" s="1973">
        <f>SUMIF(N$401:N$490,$C723,$S$401:$S$490)*Forrajes!BN212*N$99</f>
        <v>0</v>
      </c>
      <c r="AA723" s="1973">
        <f>SUMIF(O$401:O$490,$C723,$S$401:$S$490)*Forrajes!BO212*O$99</f>
        <v>0</v>
      </c>
      <c r="AB723" s="1973">
        <f>SUMIF(P$401:P$490,$C723,$S$401:$S$490)*Forrajes!BP212*P$99</f>
        <v>0</v>
      </c>
      <c r="AC723" s="1973">
        <f>SUMIF(Q$401:Q$490,$C723,$S$401:$S$490)*Forrajes!BQ212*Q$99</f>
        <v>0</v>
      </c>
      <c r="AD723" s="1973">
        <f>SUMIF(R$401:R$490,$C723,$S$401:$S$490)*Forrajes!BR212*R$99</f>
        <v>0</v>
      </c>
      <c r="AE723" s="590"/>
      <c r="AF723" s="1973">
        <f>Forrajes!BU212*S723</f>
        <v>0</v>
      </c>
      <c r="AG723" s="1973">
        <f>Forrajes!BV212*T723</f>
        <v>0</v>
      </c>
      <c r="AH723" s="1973">
        <f>Forrajes!BW212*U723</f>
        <v>0</v>
      </c>
      <c r="AI723" s="1973">
        <f>Forrajes!BX212*V723</f>
        <v>0</v>
      </c>
      <c r="AJ723" s="1973">
        <f>Forrajes!BY212*W723</f>
        <v>0</v>
      </c>
      <c r="AK723" s="1973">
        <f>Forrajes!BZ212*X723</f>
        <v>0</v>
      </c>
      <c r="AL723" s="1973">
        <f>Forrajes!CA212*Y723</f>
        <v>0</v>
      </c>
      <c r="AM723" s="1973">
        <f>Forrajes!CB212*Z723</f>
        <v>0</v>
      </c>
      <c r="AN723" s="1973">
        <f>Forrajes!CC212*AA723</f>
        <v>0</v>
      </c>
      <c r="AO723" s="1973">
        <f>Forrajes!CD212*AB723</f>
        <v>0</v>
      </c>
      <c r="AP723" s="1973">
        <f>Forrajes!CE212*AC723</f>
        <v>0</v>
      </c>
      <c r="AQ723" s="1973">
        <f>Forrajes!CF212*AD723</f>
        <v>0</v>
      </c>
      <c r="AR723" s="590"/>
      <c r="AS723" s="1976">
        <f>Forrajes!CI212*S723</f>
        <v>0</v>
      </c>
      <c r="AT723" s="668">
        <f>Forrajes!CJ212*T723</f>
        <v>0</v>
      </c>
      <c r="AU723" s="668">
        <f>Forrajes!CK212*U723</f>
        <v>0</v>
      </c>
      <c r="AV723" s="668">
        <f>Forrajes!CL212*V723</f>
        <v>0</v>
      </c>
      <c r="AW723" s="668">
        <f>Forrajes!CM212*W723</f>
        <v>0</v>
      </c>
      <c r="AX723" s="668">
        <f>Forrajes!CN212*X723</f>
        <v>0</v>
      </c>
      <c r="AY723" s="668">
        <f>Forrajes!CO212*Y723</f>
        <v>0</v>
      </c>
      <c r="AZ723" s="668">
        <f>Forrajes!CP212*Z723</f>
        <v>0</v>
      </c>
      <c r="BA723" s="668">
        <f>Forrajes!CQ212*AA723</f>
        <v>0</v>
      </c>
      <c r="BB723" s="668">
        <f>Forrajes!CR212*AB723</f>
        <v>0</v>
      </c>
      <c r="BC723" s="668">
        <f>Forrajes!CS212*AC723</f>
        <v>0</v>
      </c>
      <c r="BD723" s="1818">
        <f>Forrajes!CT212*AD723</f>
        <v>0</v>
      </c>
      <c r="BE723" s="590"/>
      <c r="BF723" s="100"/>
      <c r="BG723" s="590"/>
      <c r="BH723" s="590"/>
      <c r="BI723" s="100"/>
      <c r="BJ723" s="1975"/>
      <c r="BK723" s="590"/>
    </row>
    <row r="724" spans="3:63" s="108" customFormat="1" x14ac:dyDescent="0.2">
      <c r="C724" s="1984" t="str">
        <f>D724&amp;$D$638</f>
        <v xml:space="preserve">0Vacas Ordeñe </v>
      </c>
      <c r="D724" s="1857">
        <f>+D343</f>
        <v>0</v>
      </c>
      <c r="E724" s="590"/>
      <c r="F724" s="1972">
        <f t="shared" ref="F724:Q724" si="556">IF($D724=0,0,SUMIF(G$401:G$490,$C724,$S$401:$S$490))</f>
        <v>0</v>
      </c>
      <c r="G724" s="1972">
        <f t="shared" si="556"/>
        <v>0</v>
      </c>
      <c r="H724" s="1972">
        <f t="shared" si="556"/>
        <v>0</v>
      </c>
      <c r="I724" s="1972">
        <f t="shared" si="556"/>
        <v>0</v>
      </c>
      <c r="J724" s="1972">
        <f t="shared" si="556"/>
        <v>0</v>
      </c>
      <c r="K724" s="1972">
        <f t="shared" si="556"/>
        <v>0</v>
      </c>
      <c r="L724" s="1972">
        <f t="shared" si="556"/>
        <v>0</v>
      </c>
      <c r="M724" s="1972">
        <f t="shared" si="556"/>
        <v>0</v>
      </c>
      <c r="N724" s="1972">
        <f t="shared" si="556"/>
        <v>0</v>
      </c>
      <c r="O724" s="1972">
        <f t="shared" si="556"/>
        <v>0</v>
      </c>
      <c r="P724" s="1972">
        <f t="shared" si="556"/>
        <v>0</v>
      </c>
      <c r="Q724" s="1972">
        <f t="shared" si="556"/>
        <v>0</v>
      </c>
      <c r="S724" s="1973">
        <f>SUMIF(G$401:G$490,$C724,$S$401:$S$490)*Forrajes!BG213*G$99</f>
        <v>0</v>
      </c>
      <c r="T724" s="1973">
        <f>SUMIF(H$401:H$490,$C724,$S$401:$S$490)*Forrajes!BH213*H$99</f>
        <v>0</v>
      </c>
      <c r="U724" s="1973">
        <f>SUMIF(I$401:I$490,$C724,$S$401:$S$490)*Forrajes!BI213*I$99</f>
        <v>0</v>
      </c>
      <c r="V724" s="1973">
        <f>SUMIF(J$401:J$490,$C724,$S$401:$S$490)*Forrajes!BJ213*J$99</f>
        <v>0</v>
      </c>
      <c r="W724" s="1973">
        <f>SUMIF(K$401:K$490,$C724,$S$401:$S$490)*Forrajes!BK213*K$99</f>
        <v>0</v>
      </c>
      <c r="X724" s="1973">
        <f>SUMIF(L$401:L$490,$C724,$S$401:$S$490)*Forrajes!BL213*L$99</f>
        <v>0</v>
      </c>
      <c r="Y724" s="1973">
        <f>SUMIF(M$401:M$490,$C724,$S$401:$S$490)*Forrajes!BM213*M$99</f>
        <v>0</v>
      </c>
      <c r="Z724" s="1973">
        <f>SUMIF(N$401:N$490,$C724,$S$401:$S$490)*Forrajes!BN213*N$99</f>
        <v>0</v>
      </c>
      <c r="AA724" s="1973">
        <f>SUMIF(O$401:O$490,$C724,$S$401:$S$490)*Forrajes!BO213*O$99</f>
        <v>0</v>
      </c>
      <c r="AB724" s="1973">
        <f>SUMIF(P$401:P$490,$C724,$S$401:$S$490)*Forrajes!BP213*P$99</f>
        <v>0</v>
      </c>
      <c r="AC724" s="1973">
        <f>SUMIF(Q$401:Q$490,$C724,$S$401:$S$490)*Forrajes!BQ213*Q$99</f>
        <v>0</v>
      </c>
      <c r="AD724" s="1973">
        <f>SUMIF(R$401:R$490,$C724,$S$401:$S$490)*Forrajes!BR213*R$99</f>
        <v>0</v>
      </c>
      <c r="AE724" s="590"/>
      <c r="AF724" s="1973">
        <f>Forrajes!BU213*S724</f>
        <v>0</v>
      </c>
      <c r="AG724" s="1973">
        <f>Forrajes!BV213*T724</f>
        <v>0</v>
      </c>
      <c r="AH724" s="1973">
        <f>Forrajes!BW213*U724</f>
        <v>0</v>
      </c>
      <c r="AI724" s="1973">
        <f>Forrajes!BX213*V724</f>
        <v>0</v>
      </c>
      <c r="AJ724" s="1973">
        <f>Forrajes!BY213*W724</f>
        <v>0</v>
      </c>
      <c r="AK724" s="1973">
        <f>Forrajes!BZ213*X724</f>
        <v>0</v>
      </c>
      <c r="AL724" s="1973">
        <f>Forrajes!CA213*Y724</f>
        <v>0</v>
      </c>
      <c r="AM724" s="1973">
        <f>Forrajes!CB213*Z724</f>
        <v>0</v>
      </c>
      <c r="AN724" s="1973">
        <f>Forrajes!CC213*AA724</f>
        <v>0</v>
      </c>
      <c r="AO724" s="1973">
        <f>Forrajes!CD213*AB724</f>
        <v>0</v>
      </c>
      <c r="AP724" s="1973">
        <f>Forrajes!CE213*AC724</f>
        <v>0</v>
      </c>
      <c r="AQ724" s="1973">
        <f>Forrajes!CF213*AD724</f>
        <v>0</v>
      </c>
      <c r="AR724" s="590"/>
      <c r="AS724" s="1976">
        <f>Forrajes!CI213*S724</f>
        <v>0</v>
      </c>
      <c r="AT724" s="668">
        <f>Forrajes!CJ213*T724</f>
        <v>0</v>
      </c>
      <c r="AU724" s="668">
        <f>Forrajes!CK213*U724</f>
        <v>0</v>
      </c>
      <c r="AV724" s="668">
        <f>Forrajes!CL213*V724</f>
        <v>0</v>
      </c>
      <c r="AW724" s="668">
        <f>Forrajes!CM213*W724</f>
        <v>0</v>
      </c>
      <c r="AX724" s="668">
        <f>Forrajes!CN213*X724</f>
        <v>0</v>
      </c>
      <c r="AY724" s="668">
        <f>Forrajes!CO213*Y724</f>
        <v>0</v>
      </c>
      <c r="AZ724" s="668">
        <f>Forrajes!CP213*Z724</f>
        <v>0</v>
      </c>
      <c r="BA724" s="668">
        <f>Forrajes!CQ213*AA724</f>
        <v>0</v>
      </c>
      <c r="BB724" s="668">
        <f>Forrajes!CR213*AB724</f>
        <v>0</v>
      </c>
      <c r="BC724" s="668">
        <f>Forrajes!CS213*AC724</f>
        <v>0</v>
      </c>
      <c r="BD724" s="1818">
        <f>Forrajes!CT213*AD724</f>
        <v>0</v>
      </c>
      <c r="BE724" s="590"/>
      <c r="BF724" s="100"/>
      <c r="BG724" s="590"/>
      <c r="BH724" s="590"/>
      <c r="BI724" s="100"/>
      <c r="BJ724" s="1975"/>
      <c r="BK724" s="590"/>
    </row>
    <row r="725" spans="3:63" s="108" customFormat="1" x14ac:dyDescent="0.2">
      <c r="C725" s="1984" t="str">
        <f>D725&amp;$D$638</f>
        <v xml:space="preserve">0Vacas Ordeñe </v>
      </c>
      <c r="D725" s="1857">
        <f>+D344</f>
        <v>0</v>
      </c>
      <c r="E725" s="590"/>
      <c r="F725" s="1972">
        <f t="shared" ref="F725:Q725" si="557">IF($D725=0,0,SUMIF(G$401:G$490,$C725,$S$401:$S$490))</f>
        <v>0</v>
      </c>
      <c r="G725" s="1972">
        <f t="shared" si="557"/>
        <v>0</v>
      </c>
      <c r="H725" s="1972">
        <f t="shared" si="557"/>
        <v>0</v>
      </c>
      <c r="I725" s="1972">
        <f t="shared" si="557"/>
        <v>0</v>
      </c>
      <c r="J725" s="1972">
        <f t="shared" si="557"/>
        <v>0</v>
      </c>
      <c r="K725" s="1972">
        <f t="shared" si="557"/>
        <v>0</v>
      </c>
      <c r="L725" s="1972">
        <f t="shared" si="557"/>
        <v>0</v>
      </c>
      <c r="M725" s="1972">
        <f t="shared" si="557"/>
        <v>0</v>
      </c>
      <c r="N725" s="1972">
        <f t="shared" si="557"/>
        <v>0</v>
      </c>
      <c r="O725" s="1972">
        <f t="shared" si="557"/>
        <v>0</v>
      </c>
      <c r="P725" s="1972">
        <f t="shared" si="557"/>
        <v>0</v>
      </c>
      <c r="Q725" s="1972">
        <f t="shared" si="557"/>
        <v>0</v>
      </c>
      <c r="S725" s="1973">
        <f>SUMIF(G$401:G$490,$C725,$S$401:$S$490)*Forrajes!BG214*G$99</f>
        <v>0</v>
      </c>
      <c r="T725" s="1973">
        <f>SUMIF(H$401:H$490,$C725,$S$401:$S$490)*Forrajes!BH214*H$99</f>
        <v>0</v>
      </c>
      <c r="U725" s="1973">
        <f>SUMIF(I$401:I$490,$C725,$S$401:$S$490)*Forrajes!BI214*I$99</f>
        <v>0</v>
      </c>
      <c r="V725" s="1973">
        <f>SUMIF(J$401:J$490,$C725,$S$401:$S$490)*Forrajes!BJ214*J$99</f>
        <v>0</v>
      </c>
      <c r="W725" s="1973">
        <f>SUMIF(K$401:K$490,$C725,$S$401:$S$490)*Forrajes!BK214*K$99</f>
        <v>0</v>
      </c>
      <c r="X725" s="1973">
        <f>SUMIF(L$401:L$490,$C725,$S$401:$S$490)*Forrajes!BL214*L$99</f>
        <v>0</v>
      </c>
      <c r="Y725" s="1973">
        <f>SUMIF(M$401:M$490,$C725,$S$401:$S$490)*Forrajes!BM214*M$99</f>
        <v>0</v>
      </c>
      <c r="Z725" s="1973">
        <f>SUMIF(N$401:N$490,$C725,$S$401:$S$490)*Forrajes!BN214*N$99</f>
        <v>0</v>
      </c>
      <c r="AA725" s="1973">
        <f>SUMIF(O$401:O$490,$C725,$S$401:$S$490)*Forrajes!BO214*O$99</f>
        <v>0</v>
      </c>
      <c r="AB725" s="1973">
        <f>SUMIF(P$401:P$490,$C725,$S$401:$S$490)*Forrajes!BP214*P$99</f>
        <v>0</v>
      </c>
      <c r="AC725" s="1973">
        <f>SUMIF(Q$401:Q$490,$C725,$S$401:$S$490)*Forrajes!BQ214*Q$99</f>
        <v>0</v>
      </c>
      <c r="AD725" s="1973">
        <f>SUMIF(R$401:R$490,$C725,$S$401:$S$490)*Forrajes!BR214*R$99</f>
        <v>0</v>
      </c>
      <c r="AE725" s="590"/>
      <c r="AF725" s="1973">
        <f>Forrajes!BU214*S725</f>
        <v>0</v>
      </c>
      <c r="AG725" s="1973">
        <f>Forrajes!BV214*T725</f>
        <v>0</v>
      </c>
      <c r="AH725" s="1973">
        <f>Forrajes!BW214*U725</f>
        <v>0</v>
      </c>
      <c r="AI725" s="1973">
        <f>Forrajes!BX214*V725</f>
        <v>0</v>
      </c>
      <c r="AJ725" s="1973">
        <f>Forrajes!BY214*W725</f>
        <v>0</v>
      </c>
      <c r="AK725" s="1973">
        <f>Forrajes!BZ214*X725</f>
        <v>0</v>
      </c>
      <c r="AL725" s="1973">
        <f>Forrajes!CA214*Y725</f>
        <v>0</v>
      </c>
      <c r="AM725" s="1973">
        <f>Forrajes!CB214*Z725</f>
        <v>0</v>
      </c>
      <c r="AN725" s="1973">
        <f>Forrajes!CC214*AA725</f>
        <v>0</v>
      </c>
      <c r="AO725" s="1973">
        <f>Forrajes!CD214*AB725</f>
        <v>0</v>
      </c>
      <c r="AP725" s="1973">
        <f>Forrajes!CE214*AC725</f>
        <v>0</v>
      </c>
      <c r="AQ725" s="1973">
        <f>Forrajes!CF214*AD725</f>
        <v>0</v>
      </c>
      <c r="AR725" s="590"/>
      <c r="AS725" s="1976">
        <f>Forrajes!CI214*S725</f>
        <v>0</v>
      </c>
      <c r="AT725" s="668">
        <f>Forrajes!CJ214*T725</f>
        <v>0</v>
      </c>
      <c r="AU725" s="668">
        <f>Forrajes!CK214*U725</f>
        <v>0</v>
      </c>
      <c r="AV725" s="668">
        <f>Forrajes!CL214*V725</f>
        <v>0</v>
      </c>
      <c r="AW725" s="668">
        <f>Forrajes!CM214*W725</f>
        <v>0</v>
      </c>
      <c r="AX725" s="668">
        <f>Forrajes!CN214*X725</f>
        <v>0</v>
      </c>
      <c r="AY725" s="668">
        <f>Forrajes!CO214*Y725</f>
        <v>0</v>
      </c>
      <c r="AZ725" s="668">
        <f>Forrajes!CP214*Z725</f>
        <v>0</v>
      </c>
      <c r="BA725" s="668">
        <f>Forrajes!CQ214*AA725</f>
        <v>0</v>
      </c>
      <c r="BB725" s="668">
        <f>Forrajes!CR214*AB725</f>
        <v>0</v>
      </c>
      <c r="BC725" s="668">
        <f>Forrajes!CS214*AC725</f>
        <v>0</v>
      </c>
      <c r="BD725" s="1818">
        <f>Forrajes!CT214*AD725</f>
        <v>0</v>
      </c>
      <c r="BE725" s="590"/>
      <c r="BF725" s="100"/>
      <c r="BG725" s="590"/>
      <c r="BH725" s="590"/>
      <c r="BI725" s="100"/>
      <c r="BJ725" s="1975"/>
      <c r="BK725" s="590"/>
    </row>
    <row r="726" spans="3:63" s="108" customFormat="1" x14ac:dyDescent="0.2">
      <c r="C726" s="590"/>
      <c r="D726" s="1911" t="s">
        <v>995</v>
      </c>
      <c r="E726" s="1912"/>
      <c r="F726" s="1913">
        <f>SUM(F721:F725)</f>
        <v>0</v>
      </c>
      <c r="G726" s="1913">
        <f t="shared" ref="G726:Q726" si="558">SUM(G721:G725)</f>
        <v>0</v>
      </c>
      <c r="H726" s="1913">
        <f t="shared" si="558"/>
        <v>0</v>
      </c>
      <c r="I726" s="1913">
        <f t="shared" si="558"/>
        <v>0</v>
      </c>
      <c r="J726" s="1913">
        <f t="shared" si="558"/>
        <v>0</v>
      </c>
      <c r="K726" s="1913">
        <f t="shared" si="558"/>
        <v>0</v>
      </c>
      <c r="L726" s="1913">
        <f t="shared" si="558"/>
        <v>0</v>
      </c>
      <c r="M726" s="1913">
        <f t="shared" si="558"/>
        <v>0</v>
      </c>
      <c r="N726" s="1913">
        <f t="shared" si="558"/>
        <v>0</v>
      </c>
      <c r="O726" s="1913">
        <f>SUM(O721:O725)</f>
        <v>0</v>
      </c>
      <c r="P726" s="1913">
        <f t="shared" si="558"/>
        <v>0</v>
      </c>
      <c r="Q726" s="1985">
        <f t="shared" si="558"/>
        <v>0</v>
      </c>
      <c r="R726" s="1984"/>
      <c r="S726" s="1976"/>
      <c r="T726" s="668"/>
      <c r="U726" s="668"/>
      <c r="V726" s="668"/>
      <c r="W726" s="668"/>
      <c r="X726" s="668"/>
      <c r="Y726" s="668"/>
      <c r="Z726" s="668"/>
      <c r="AA726" s="668"/>
      <c r="AB726" s="668"/>
      <c r="AC726" s="668"/>
      <c r="AD726" s="1977"/>
      <c r="AE726" s="590"/>
      <c r="AF726" s="1976"/>
      <c r="AG726" s="668"/>
      <c r="AH726" s="668"/>
      <c r="AI726" s="668"/>
      <c r="AJ726" s="668"/>
      <c r="AK726" s="668"/>
      <c r="AL726" s="668"/>
      <c r="AM726" s="668"/>
      <c r="AN726" s="668"/>
      <c r="AO726" s="668"/>
      <c r="AP726" s="668"/>
      <c r="AQ726" s="668"/>
      <c r="AR726" s="590"/>
      <c r="AS726" s="1976"/>
      <c r="AT726" s="668"/>
      <c r="AU726" s="668"/>
      <c r="AV726" s="668"/>
      <c r="AW726" s="668"/>
      <c r="AX726" s="668"/>
      <c r="AY726" s="668"/>
      <c r="AZ726" s="668"/>
      <c r="BA726" s="668"/>
      <c r="BB726" s="668"/>
      <c r="BC726" s="668"/>
      <c r="BD726" s="1818"/>
      <c r="BE726" s="590"/>
      <c r="BF726" s="100"/>
      <c r="BG726" s="590"/>
      <c r="BH726" s="590"/>
      <c r="BI726" s="100"/>
      <c r="BJ726" s="1975"/>
      <c r="BK726" s="590"/>
    </row>
    <row r="727" spans="3:63" s="108" customFormat="1" x14ac:dyDescent="0.2">
      <c r="C727" s="1984" t="str">
        <f t="shared" ref="C727:C734" si="559">D727&amp;$D$638</f>
        <v xml:space="preserve">Barb SPLVacas Ordeñe </v>
      </c>
      <c r="D727" s="1857" t="str">
        <f>+Forrajes!B98</f>
        <v>Barb SPL</v>
      </c>
      <c r="E727" s="597"/>
      <c r="F727" s="1972">
        <f t="shared" ref="F727:Q727" si="560">IF($D727=0,0,SUMIF(G$401:G$490,$C727,$S$401:$S$490))</f>
        <v>0</v>
      </c>
      <c r="G727" s="1972">
        <f t="shared" si="560"/>
        <v>0</v>
      </c>
      <c r="H727" s="1972">
        <f t="shared" si="560"/>
        <v>0</v>
      </c>
      <c r="I727" s="1972">
        <f t="shared" si="560"/>
        <v>0</v>
      </c>
      <c r="J727" s="1972">
        <f t="shared" si="560"/>
        <v>0</v>
      </c>
      <c r="K727" s="1972">
        <f t="shared" si="560"/>
        <v>0</v>
      </c>
      <c r="L727" s="1972">
        <f t="shared" si="560"/>
        <v>0</v>
      </c>
      <c r="M727" s="1972">
        <f t="shared" si="560"/>
        <v>0</v>
      </c>
      <c r="N727" s="1972">
        <f t="shared" si="560"/>
        <v>0</v>
      </c>
      <c r="O727" s="1972">
        <f t="shared" si="560"/>
        <v>0</v>
      </c>
      <c r="P727" s="1972">
        <f t="shared" si="560"/>
        <v>0</v>
      </c>
      <c r="Q727" s="1972">
        <f t="shared" si="560"/>
        <v>0</v>
      </c>
      <c r="R727" s="1984"/>
      <c r="S727" s="1973"/>
      <c r="T727" s="787"/>
      <c r="U727" s="787"/>
      <c r="V727" s="787"/>
      <c r="W727" s="787"/>
      <c r="X727" s="787"/>
      <c r="Y727" s="787"/>
      <c r="Z727" s="787"/>
      <c r="AA727" s="787"/>
      <c r="AB727" s="787"/>
      <c r="AC727" s="787"/>
      <c r="AD727" s="780"/>
      <c r="AE727" s="590"/>
      <c r="AF727" s="1973"/>
      <c r="AG727" s="1972"/>
      <c r="AH727" s="1972"/>
      <c r="AI727" s="1972"/>
      <c r="AJ727" s="1972"/>
      <c r="AK727" s="1972"/>
      <c r="AL727" s="1972"/>
      <c r="AM727" s="1972"/>
      <c r="AN727" s="1972"/>
      <c r="AO727" s="1972"/>
      <c r="AP727" s="1972"/>
      <c r="AQ727" s="1972"/>
      <c r="AR727" s="590"/>
      <c r="AS727" s="1973"/>
      <c r="AT727" s="787"/>
      <c r="AU727" s="787"/>
      <c r="AV727" s="787"/>
      <c r="AW727" s="787"/>
      <c r="AX727" s="787"/>
      <c r="AY727" s="787"/>
      <c r="AZ727" s="787"/>
      <c r="BA727" s="787"/>
      <c r="BB727" s="787"/>
      <c r="BC727" s="787"/>
      <c r="BD727" s="780"/>
      <c r="BE727" s="590"/>
      <c r="BF727" s="100"/>
      <c r="BG727" s="590"/>
      <c r="BH727" s="590"/>
      <c r="BI727" s="100"/>
      <c r="BJ727" s="1975"/>
      <c r="BK727" s="590"/>
    </row>
    <row r="728" spans="3:63" s="108" customFormat="1" x14ac:dyDescent="0.2">
      <c r="C728" s="1984" t="str">
        <f t="shared" si="559"/>
        <v xml:space="preserve">Barb AgrícolaVacas Ordeñe </v>
      </c>
      <c r="D728" s="1857" t="str">
        <f>+Forrajes!B99</f>
        <v>Barb Agrícola</v>
      </c>
      <c r="E728" s="597"/>
      <c r="F728" s="1972">
        <f t="shared" ref="F728:Q728" si="561">IF($D728=0,0,SUMIF(G$401:G$490,$C728,$S$401:$S$490))</f>
        <v>0</v>
      </c>
      <c r="G728" s="1972">
        <f t="shared" si="561"/>
        <v>0</v>
      </c>
      <c r="H728" s="1972">
        <f t="shared" si="561"/>
        <v>0</v>
      </c>
      <c r="I728" s="1972">
        <f t="shared" si="561"/>
        <v>0</v>
      </c>
      <c r="J728" s="1972">
        <f t="shared" si="561"/>
        <v>0</v>
      </c>
      <c r="K728" s="1972">
        <f t="shared" si="561"/>
        <v>0</v>
      </c>
      <c r="L728" s="1972">
        <f t="shared" si="561"/>
        <v>0</v>
      </c>
      <c r="M728" s="1972">
        <f t="shared" si="561"/>
        <v>0</v>
      </c>
      <c r="N728" s="1972">
        <f t="shared" si="561"/>
        <v>0</v>
      </c>
      <c r="O728" s="1972">
        <f t="shared" si="561"/>
        <v>0</v>
      </c>
      <c r="P728" s="1972">
        <f t="shared" si="561"/>
        <v>0</v>
      </c>
      <c r="Q728" s="1972">
        <f t="shared" si="561"/>
        <v>0</v>
      </c>
      <c r="R728" s="1984"/>
      <c r="S728" s="1973"/>
      <c r="T728" s="787"/>
      <c r="U728" s="787"/>
      <c r="V728" s="787"/>
      <c r="W728" s="787"/>
      <c r="X728" s="787"/>
      <c r="Y728" s="787"/>
      <c r="Z728" s="787"/>
      <c r="AA728" s="787"/>
      <c r="AB728" s="787"/>
      <c r="AC728" s="787"/>
      <c r="AD728" s="780"/>
      <c r="AE728" s="590"/>
      <c r="AF728" s="1973"/>
      <c r="AG728" s="1972"/>
      <c r="AH728" s="1972"/>
      <c r="AI728" s="1972"/>
      <c r="AJ728" s="1972"/>
      <c r="AK728" s="1972"/>
      <c r="AL728" s="1972"/>
      <c r="AM728" s="1972"/>
      <c r="AN728" s="1972"/>
      <c r="AO728" s="1972"/>
      <c r="AP728" s="1972"/>
      <c r="AQ728" s="1972"/>
      <c r="AR728" s="590"/>
      <c r="AS728" s="1973"/>
      <c r="AT728" s="787"/>
      <c r="AU728" s="787"/>
      <c r="AV728" s="787"/>
      <c r="AW728" s="787"/>
      <c r="AX728" s="787"/>
      <c r="AY728" s="787"/>
      <c r="AZ728" s="787"/>
      <c r="BA728" s="787"/>
      <c r="BB728" s="787"/>
      <c r="BC728" s="787"/>
      <c r="BD728" s="780"/>
      <c r="BE728" s="590"/>
      <c r="BF728" s="100"/>
      <c r="BG728" s="590"/>
      <c r="BH728" s="590"/>
      <c r="BI728" s="100"/>
      <c r="BJ728" s="1975"/>
      <c r="BK728" s="590"/>
    </row>
    <row r="729" spans="3:63" s="108" customFormat="1" x14ac:dyDescent="0.2">
      <c r="C729" s="1984" t="str">
        <f t="shared" si="559"/>
        <v xml:space="preserve">Barb SPGVacas Ordeñe </v>
      </c>
      <c r="D729" s="1857" t="str">
        <f>+Forrajes!B100</f>
        <v>Barb SPG</v>
      </c>
      <c r="E729" s="597"/>
      <c r="F729" s="1972">
        <f t="shared" ref="F729:Q729" si="562">IF($D729=0,0,SUMIF(G$401:G$490,$C729,$S$401:$S$490))</f>
        <v>0</v>
      </c>
      <c r="G729" s="1972">
        <f t="shared" si="562"/>
        <v>0</v>
      </c>
      <c r="H729" s="1972">
        <f t="shared" si="562"/>
        <v>0</v>
      </c>
      <c r="I729" s="1972">
        <f t="shared" si="562"/>
        <v>0</v>
      </c>
      <c r="J729" s="1972">
        <f t="shared" si="562"/>
        <v>0</v>
      </c>
      <c r="K729" s="1972">
        <f t="shared" si="562"/>
        <v>0</v>
      </c>
      <c r="L729" s="1972">
        <f t="shared" si="562"/>
        <v>0</v>
      </c>
      <c r="M729" s="1972">
        <f t="shared" si="562"/>
        <v>0</v>
      </c>
      <c r="N729" s="1972">
        <f t="shared" si="562"/>
        <v>0</v>
      </c>
      <c r="O729" s="1972">
        <f t="shared" si="562"/>
        <v>0</v>
      </c>
      <c r="P729" s="1972">
        <f t="shared" si="562"/>
        <v>0</v>
      </c>
      <c r="Q729" s="1972">
        <f t="shared" si="562"/>
        <v>0</v>
      </c>
      <c r="R729" s="1984"/>
      <c r="S729" s="1973"/>
      <c r="T729" s="787"/>
      <c r="U729" s="787"/>
      <c r="V729" s="787"/>
      <c r="W729" s="787"/>
      <c r="X729" s="787"/>
      <c r="Y729" s="787"/>
      <c r="Z729" s="787"/>
      <c r="AA729" s="787"/>
      <c r="AB729" s="787"/>
      <c r="AC729" s="787"/>
      <c r="AD729" s="780"/>
      <c r="AE729" s="590"/>
      <c r="AF729" s="1973"/>
      <c r="AG729" s="1972"/>
      <c r="AH729" s="1972"/>
      <c r="AI729" s="1972"/>
      <c r="AJ729" s="1972"/>
      <c r="AK729" s="1972"/>
      <c r="AL729" s="1972"/>
      <c r="AM729" s="1972"/>
      <c r="AN729" s="1972"/>
      <c r="AO729" s="1972"/>
      <c r="AP729" s="1972"/>
      <c r="AQ729" s="1972"/>
      <c r="AR729" s="590"/>
      <c r="AS729" s="1973"/>
      <c r="AT729" s="787"/>
      <c r="AU729" s="787"/>
      <c r="AV729" s="787"/>
      <c r="AW729" s="787"/>
      <c r="AX729" s="787"/>
      <c r="AY729" s="787"/>
      <c r="AZ729" s="787"/>
      <c r="BA729" s="787"/>
      <c r="BB729" s="787"/>
      <c r="BC729" s="787"/>
      <c r="BD729" s="780"/>
      <c r="BE729" s="590"/>
      <c r="BF729" s="100"/>
      <c r="BG729" s="590"/>
      <c r="BH729" s="590"/>
      <c r="BI729" s="100"/>
      <c r="BJ729" s="1975"/>
      <c r="BK729" s="590"/>
    </row>
    <row r="730" spans="3:63" s="108" customFormat="1" x14ac:dyDescent="0.2">
      <c r="C730" s="1984" t="str">
        <f t="shared" si="559"/>
        <v xml:space="preserve">MontesVacas Ordeñe </v>
      </c>
      <c r="D730" s="1857" t="str">
        <f>+Forrajes!B101</f>
        <v>Montes</v>
      </c>
      <c r="E730" s="597"/>
      <c r="F730" s="1972">
        <f t="shared" ref="F730:Q730" si="563">IF($D730=0,0,SUMIF(G$401:G$490,$C730,$S$401:$S$490))</f>
        <v>0</v>
      </c>
      <c r="G730" s="1972">
        <f t="shared" si="563"/>
        <v>0</v>
      </c>
      <c r="H730" s="1972">
        <f t="shared" si="563"/>
        <v>0</v>
      </c>
      <c r="I730" s="1972">
        <f t="shared" si="563"/>
        <v>0</v>
      </c>
      <c r="J730" s="1972">
        <f t="shared" si="563"/>
        <v>0</v>
      </c>
      <c r="K730" s="1972">
        <f t="shared" si="563"/>
        <v>0</v>
      </c>
      <c r="L730" s="1972">
        <f t="shared" si="563"/>
        <v>0</v>
      </c>
      <c r="M730" s="1972">
        <f t="shared" si="563"/>
        <v>0</v>
      </c>
      <c r="N730" s="1972">
        <f t="shared" si="563"/>
        <v>0</v>
      </c>
      <c r="O730" s="1972">
        <f t="shared" si="563"/>
        <v>0</v>
      </c>
      <c r="P730" s="1972">
        <f t="shared" si="563"/>
        <v>0</v>
      </c>
      <c r="Q730" s="1972">
        <f t="shared" si="563"/>
        <v>0</v>
      </c>
      <c r="R730" s="1984"/>
      <c r="S730" s="1973"/>
      <c r="T730" s="787"/>
      <c r="U730" s="787"/>
      <c r="V730" s="787"/>
      <c r="W730" s="787"/>
      <c r="X730" s="787"/>
      <c r="Y730" s="787"/>
      <c r="Z730" s="787"/>
      <c r="AA730" s="787"/>
      <c r="AB730" s="787"/>
      <c r="AC730" s="787"/>
      <c r="AD730" s="780"/>
      <c r="AE730" s="590"/>
      <c r="AF730" s="1973"/>
      <c r="AG730" s="1972"/>
      <c r="AH730" s="1972"/>
      <c r="AI730" s="1972"/>
      <c r="AJ730" s="1972"/>
      <c r="AK730" s="1972"/>
      <c r="AL730" s="1972"/>
      <c r="AM730" s="1972"/>
      <c r="AN730" s="1972"/>
      <c r="AO730" s="1972"/>
      <c r="AP730" s="1972"/>
      <c r="AQ730" s="1972"/>
      <c r="AR730" s="590"/>
      <c r="AS730" s="1973"/>
      <c r="AT730" s="787"/>
      <c r="AU730" s="787"/>
      <c r="AV730" s="787"/>
      <c r="AW730" s="787"/>
      <c r="AX730" s="787"/>
      <c r="AY730" s="787"/>
      <c r="AZ730" s="787"/>
      <c r="BA730" s="787"/>
      <c r="BB730" s="787"/>
      <c r="BC730" s="787"/>
      <c r="BD730" s="780"/>
      <c r="BE730" s="590"/>
      <c r="BF730" s="100"/>
      <c r="BG730" s="590"/>
      <c r="BH730" s="590"/>
      <c r="BI730" s="100"/>
      <c r="BJ730" s="1975"/>
      <c r="BK730" s="590"/>
    </row>
    <row r="731" spans="3:63" s="108" customFormat="1" x14ac:dyDescent="0.2">
      <c r="C731" s="1984" t="str">
        <f t="shared" si="559"/>
        <v xml:space="preserve">Callejones, tamboVacas Ordeñe </v>
      </c>
      <c r="D731" s="1857" t="str">
        <f>+Forrajes!B102</f>
        <v>Callejones, tambo</v>
      </c>
      <c r="E731" s="597"/>
      <c r="F731" s="1972">
        <f t="shared" ref="F731:Q731" si="564">IF($D731=0,0,SUMIF(G$401:G$490,$C731,$S$401:$S$490))</f>
        <v>0</v>
      </c>
      <c r="G731" s="1972">
        <f t="shared" si="564"/>
        <v>0</v>
      </c>
      <c r="H731" s="1972">
        <f t="shared" si="564"/>
        <v>0</v>
      </c>
      <c r="I731" s="1972">
        <f t="shared" si="564"/>
        <v>0</v>
      </c>
      <c r="J731" s="1972">
        <f t="shared" si="564"/>
        <v>0</v>
      </c>
      <c r="K731" s="1972">
        <f t="shared" si="564"/>
        <v>0</v>
      </c>
      <c r="L731" s="1972">
        <f t="shared" si="564"/>
        <v>0</v>
      </c>
      <c r="M731" s="1972">
        <f t="shared" si="564"/>
        <v>0</v>
      </c>
      <c r="N731" s="1972">
        <f t="shared" si="564"/>
        <v>0</v>
      </c>
      <c r="O731" s="1972">
        <f t="shared" si="564"/>
        <v>0</v>
      </c>
      <c r="P731" s="1972">
        <f t="shared" si="564"/>
        <v>0</v>
      </c>
      <c r="Q731" s="1972">
        <f t="shared" si="564"/>
        <v>0</v>
      </c>
      <c r="R731" s="1984"/>
      <c r="S731" s="1973"/>
      <c r="T731" s="787"/>
      <c r="U731" s="787"/>
      <c r="V731" s="787"/>
      <c r="W731" s="787"/>
      <c r="X731" s="787"/>
      <c r="Y731" s="787"/>
      <c r="Z731" s="787"/>
      <c r="AA731" s="787"/>
      <c r="AB731" s="787"/>
      <c r="AC731" s="787"/>
      <c r="AD731" s="780"/>
      <c r="AE731" s="590"/>
      <c r="AF731" s="1973"/>
      <c r="AG731" s="1972"/>
      <c r="AH731" s="1972"/>
      <c r="AI731" s="1972"/>
      <c r="AJ731" s="1972"/>
      <c r="AK731" s="1972"/>
      <c r="AL731" s="1972"/>
      <c r="AM731" s="1972"/>
      <c r="AN731" s="1972"/>
      <c r="AO731" s="1972"/>
      <c r="AP731" s="1972"/>
      <c r="AQ731" s="1972"/>
      <c r="AR731" s="590"/>
      <c r="AS731" s="1973"/>
      <c r="AT731" s="787"/>
      <c r="AU731" s="787"/>
      <c r="AV731" s="787"/>
      <c r="AW731" s="787"/>
      <c r="AX731" s="787"/>
      <c r="AY731" s="787"/>
      <c r="AZ731" s="787"/>
      <c r="BA731" s="787"/>
      <c r="BB731" s="787"/>
      <c r="BC731" s="787"/>
      <c r="BD731" s="780"/>
      <c r="BE731" s="590"/>
      <c r="BF731" s="100"/>
      <c r="BG731" s="590"/>
      <c r="BH731" s="590"/>
      <c r="BI731" s="100"/>
      <c r="BJ731" s="1975"/>
      <c r="BK731" s="590"/>
    </row>
    <row r="732" spans="3:63" s="108" customFormat="1" x14ac:dyDescent="0.2">
      <c r="C732" s="1984" t="str">
        <f t="shared" si="559"/>
        <v xml:space="preserve">BañadoVacas Ordeñe </v>
      </c>
      <c r="D732" s="1857" t="str">
        <f>+Forrajes!B103</f>
        <v>Bañado</v>
      </c>
      <c r="E732" s="597"/>
      <c r="F732" s="1972">
        <f t="shared" ref="F732:Q732" si="565">IF($D732=0,0,SUMIF(G$401:G$490,$C732,$S$401:$S$490))</f>
        <v>0</v>
      </c>
      <c r="G732" s="1972">
        <f t="shared" si="565"/>
        <v>0</v>
      </c>
      <c r="H732" s="1972">
        <f t="shared" si="565"/>
        <v>0</v>
      </c>
      <c r="I732" s="1972">
        <f t="shared" si="565"/>
        <v>0</v>
      </c>
      <c r="J732" s="1972">
        <f t="shared" si="565"/>
        <v>0</v>
      </c>
      <c r="K732" s="1972">
        <f t="shared" si="565"/>
        <v>0</v>
      </c>
      <c r="L732" s="1972">
        <f t="shared" si="565"/>
        <v>0</v>
      </c>
      <c r="M732" s="1972">
        <f t="shared" si="565"/>
        <v>0</v>
      </c>
      <c r="N732" s="1972">
        <f t="shared" si="565"/>
        <v>0</v>
      </c>
      <c r="O732" s="1972">
        <f t="shared" si="565"/>
        <v>0</v>
      </c>
      <c r="P732" s="1972">
        <f t="shared" si="565"/>
        <v>0</v>
      </c>
      <c r="Q732" s="1972">
        <f t="shared" si="565"/>
        <v>0</v>
      </c>
      <c r="R732" s="1984"/>
      <c r="S732" s="1973"/>
      <c r="T732" s="787"/>
      <c r="U732" s="787"/>
      <c r="V732" s="787"/>
      <c r="W732" s="787"/>
      <c r="X732" s="787"/>
      <c r="Y732" s="787"/>
      <c r="Z732" s="787"/>
      <c r="AA732" s="787"/>
      <c r="AB732" s="787"/>
      <c r="AC732" s="787"/>
      <c r="AD732" s="780"/>
      <c r="AE732" s="590"/>
      <c r="AF732" s="1973"/>
      <c r="AG732" s="1972"/>
      <c r="AH732" s="1972"/>
      <c r="AI732" s="1972"/>
      <c r="AJ732" s="1972"/>
      <c r="AK732" s="1972"/>
      <c r="AL732" s="1972"/>
      <c r="AM732" s="1972"/>
      <c r="AN732" s="1972"/>
      <c r="AO732" s="1972"/>
      <c r="AP732" s="1972"/>
      <c r="AQ732" s="1972"/>
      <c r="AR732" s="590"/>
      <c r="AS732" s="1973"/>
      <c r="AT732" s="787"/>
      <c r="AU732" s="787"/>
      <c r="AV732" s="787"/>
      <c r="AW732" s="787"/>
      <c r="AX732" s="787"/>
      <c r="AY732" s="787"/>
      <c r="AZ732" s="787"/>
      <c r="BA732" s="787"/>
      <c r="BB732" s="787"/>
      <c r="BC732" s="787"/>
      <c r="BD732" s="780"/>
      <c r="BE732" s="590"/>
      <c r="BF732" s="100"/>
      <c r="BG732" s="590"/>
      <c r="BH732" s="590"/>
      <c r="BI732" s="100"/>
      <c r="BJ732" s="1975"/>
      <c r="BK732" s="590"/>
    </row>
    <row r="733" spans="3:63" s="108" customFormat="1" x14ac:dyDescent="0.2">
      <c r="C733" s="1984" t="str">
        <f t="shared" si="559"/>
        <v xml:space="preserve">0Vacas Ordeñe </v>
      </c>
      <c r="D733" s="1857">
        <f>+Forrajes!B104</f>
        <v>0</v>
      </c>
      <c r="E733" s="597"/>
      <c r="F733" s="1972">
        <f t="shared" ref="F733:Q733" si="566">IF($D733=0,0,SUMIF(G$401:G$490,$C733,$S$401:$S$490))</f>
        <v>0</v>
      </c>
      <c r="G733" s="1972">
        <f t="shared" si="566"/>
        <v>0</v>
      </c>
      <c r="H733" s="1972">
        <f t="shared" si="566"/>
        <v>0</v>
      </c>
      <c r="I733" s="1972">
        <f t="shared" si="566"/>
        <v>0</v>
      </c>
      <c r="J733" s="1972">
        <f t="shared" si="566"/>
        <v>0</v>
      </c>
      <c r="K733" s="1972">
        <f t="shared" si="566"/>
        <v>0</v>
      </c>
      <c r="L733" s="1972">
        <f t="shared" si="566"/>
        <v>0</v>
      </c>
      <c r="M733" s="1972">
        <f t="shared" si="566"/>
        <v>0</v>
      </c>
      <c r="N733" s="1972">
        <f t="shared" si="566"/>
        <v>0</v>
      </c>
      <c r="O733" s="1972">
        <f t="shared" si="566"/>
        <v>0</v>
      </c>
      <c r="P733" s="1972">
        <f t="shared" si="566"/>
        <v>0</v>
      </c>
      <c r="Q733" s="1972">
        <f t="shared" si="566"/>
        <v>0</v>
      </c>
      <c r="R733" s="1984"/>
      <c r="S733" s="1973"/>
      <c r="T733" s="787"/>
      <c r="U733" s="787"/>
      <c r="V733" s="787"/>
      <c r="W733" s="787"/>
      <c r="X733" s="787"/>
      <c r="Y733" s="787"/>
      <c r="Z733" s="787"/>
      <c r="AA733" s="787"/>
      <c r="AB733" s="787"/>
      <c r="AC733" s="787"/>
      <c r="AD733" s="780"/>
      <c r="AE733" s="590"/>
      <c r="AF733" s="1973"/>
      <c r="AG733" s="1972"/>
      <c r="AH733" s="1972"/>
      <c r="AI733" s="1972"/>
      <c r="AJ733" s="1972"/>
      <c r="AK733" s="1972"/>
      <c r="AL733" s="1972"/>
      <c r="AM733" s="1972"/>
      <c r="AN733" s="1972"/>
      <c r="AO733" s="1972"/>
      <c r="AP733" s="1972"/>
      <c r="AQ733" s="1972"/>
      <c r="AR733" s="590"/>
      <c r="AS733" s="1973"/>
      <c r="AT733" s="787"/>
      <c r="AU733" s="787"/>
      <c r="AV733" s="787"/>
      <c r="AW733" s="787"/>
      <c r="AX733" s="787"/>
      <c r="AY733" s="787"/>
      <c r="AZ733" s="787"/>
      <c r="BA733" s="787"/>
      <c r="BB733" s="787"/>
      <c r="BC733" s="787"/>
      <c r="BD733" s="780"/>
      <c r="BE733" s="590"/>
      <c r="BF733" s="100"/>
      <c r="BG733" s="590"/>
      <c r="BH733" s="590"/>
      <c r="BI733" s="100"/>
      <c r="BJ733" s="1975"/>
      <c r="BK733" s="590"/>
    </row>
    <row r="734" spans="3:63" s="108" customFormat="1" x14ac:dyDescent="0.2">
      <c r="C734" s="1984" t="str">
        <f t="shared" si="559"/>
        <v xml:space="preserve">xVacas Ordeñe </v>
      </c>
      <c r="D734" s="1857" t="str">
        <f>+Forrajes!B105</f>
        <v>x</v>
      </c>
      <c r="E734" s="597"/>
      <c r="F734" s="1972">
        <f t="shared" ref="F734:Q734" si="567">IF($D734=0,0,SUMIF(G$401:G$490,$C734,$S$401:$S$490))</f>
        <v>0</v>
      </c>
      <c r="G734" s="1972">
        <f t="shared" si="567"/>
        <v>0</v>
      </c>
      <c r="H734" s="1972">
        <f t="shared" si="567"/>
        <v>0</v>
      </c>
      <c r="I734" s="1972">
        <f t="shared" si="567"/>
        <v>0</v>
      </c>
      <c r="J734" s="1972">
        <f t="shared" si="567"/>
        <v>0</v>
      </c>
      <c r="K734" s="1972">
        <f t="shared" si="567"/>
        <v>0</v>
      </c>
      <c r="L734" s="1972">
        <f t="shared" si="567"/>
        <v>0</v>
      </c>
      <c r="M734" s="1972">
        <f t="shared" si="567"/>
        <v>0</v>
      </c>
      <c r="N734" s="1972">
        <f t="shared" si="567"/>
        <v>0</v>
      </c>
      <c r="O734" s="1972">
        <f t="shared" si="567"/>
        <v>0</v>
      </c>
      <c r="P734" s="1972">
        <f t="shared" si="567"/>
        <v>0</v>
      </c>
      <c r="Q734" s="1972">
        <f t="shared" si="567"/>
        <v>0</v>
      </c>
      <c r="R734" s="1984"/>
      <c r="S734" s="1973"/>
      <c r="T734" s="787"/>
      <c r="U734" s="787"/>
      <c r="V734" s="787"/>
      <c r="W734" s="787"/>
      <c r="X734" s="787"/>
      <c r="Y734" s="787"/>
      <c r="Z734" s="787"/>
      <c r="AA734" s="787"/>
      <c r="AB734" s="787"/>
      <c r="AC734" s="787"/>
      <c r="AD734" s="780"/>
      <c r="AE734" s="590"/>
      <c r="AF734" s="1973"/>
      <c r="AG734" s="1972"/>
      <c r="AH734" s="1972"/>
      <c r="AI734" s="1972"/>
      <c r="AJ734" s="1972"/>
      <c r="AK734" s="1972"/>
      <c r="AL734" s="1972"/>
      <c r="AM734" s="1972"/>
      <c r="AN734" s="1972"/>
      <c r="AO734" s="1972"/>
      <c r="AP734" s="1972"/>
      <c r="AQ734" s="1972"/>
      <c r="AR734" s="590"/>
      <c r="AS734" s="1973"/>
      <c r="AT734" s="787"/>
      <c r="AU734" s="787"/>
      <c r="AV734" s="787"/>
      <c r="AW734" s="787"/>
      <c r="AX734" s="787"/>
      <c r="AY734" s="787"/>
      <c r="AZ734" s="787"/>
      <c r="BA734" s="787"/>
      <c r="BB734" s="787"/>
      <c r="BC734" s="787"/>
      <c r="BD734" s="780"/>
      <c r="BE734" s="590"/>
      <c r="BF734" s="100"/>
      <c r="BG734" s="590"/>
      <c r="BH734" s="590"/>
      <c r="BI734" s="100"/>
      <c r="BJ734" s="1975"/>
      <c r="BK734" s="590"/>
    </row>
    <row r="735" spans="3:63" s="108" customFormat="1" x14ac:dyDescent="0.2">
      <c r="C735" s="590"/>
      <c r="D735" s="597" t="s">
        <v>2328</v>
      </c>
      <c r="E735" s="597"/>
      <c r="F735" s="1926">
        <f>+SUM(F727:F734)</f>
        <v>0</v>
      </c>
      <c r="G735" s="1926">
        <f t="shared" ref="G735:Q735" si="568">+SUM(G727:G734)</f>
        <v>0</v>
      </c>
      <c r="H735" s="1926">
        <f t="shared" si="568"/>
        <v>0</v>
      </c>
      <c r="I735" s="1926">
        <f t="shared" si="568"/>
        <v>0</v>
      </c>
      <c r="J735" s="1926">
        <f t="shared" si="568"/>
        <v>0</v>
      </c>
      <c r="K735" s="1926">
        <f t="shared" si="568"/>
        <v>0</v>
      </c>
      <c r="L735" s="1926">
        <f t="shared" si="568"/>
        <v>0</v>
      </c>
      <c r="M735" s="1926">
        <f t="shared" si="568"/>
        <v>0</v>
      </c>
      <c r="N735" s="1926">
        <f t="shared" si="568"/>
        <v>0</v>
      </c>
      <c r="O735" s="1926">
        <f t="shared" si="568"/>
        <v>0</v>
      </c>
      <c r="P735" s="1926">
        <f t="shared" si="568"/>
        <v>0</v>
      </c>
      <c r="Q735" s="1926">
        <f t="shared" si="568"/>
        <v>0</v>
      </c>
      <c r="R735" s="1984"/>
      <c r="S735" s="1973"/>
      <c r="T735" s="787"/>
      <c r="U735" s="787"/>
      <c r="V735" s="787"/>
      <c r="W735" s="787"/>
      <c r="X735" s="787"/>
      <c r="Y735" s="787"/>
      <c r="Z735" s="787"/>
      <c r="AA735" s="787"/>
      <c r="AB735" s="787"/>
      <c r="AC735" s="787"/>
      <c r="AD735" s="780"/>
      <c r="AE735" s="590"/>
      <c r="AF735" s="1973"/>
      <c r="AG735" s="1972"/>
      <c r="AH735" s="1972"/>
      <c r="AI735" s="1972"/>
      <c r="AJ735" s="1972"/>
      <c r="AK735" s="1972"/>
      <c r="AL735" s="1972"/>
      <c r="AM735" s="1972"/>
      <c r="AN735" s="1972"/>
      <c r="AO735" s="1972"/>
      <c r="AP735" s="1972"/>
      <c r="AQ735" s="1972"/>
      <c r="AR735" s="590"/>
      <c r="AS735" s="1973"/>
      <c r="AT735" s="787"/>
      <c r="AU735" s="787"/>
      <c r="AV735" s="787"/>
      <c r="AW735" s="787"/>
      <c r="AX735" s="787"/>
      <c r="AY735" s="787"/>
      <c r="AZ735" s="787"/>
      <c r="BA735" s="787"/>
      <c r="BB735" s="787"/>
      <c r="BC735" s="787"/>
      <c r="BD735" s="780"/>
      <c r="BE735" s="590"/>
      <c r="BF735" s="100"/>
      <c r="BG735" s="590"/>
      <c r="BH735" s="590"/>
      <c r="BI735" s="100"/>
      <c r="BJ735" s="1975"/>
      <c r="BK735" s="590"/>
    </row>
    <row r="736" spans="3:63" s="108" customFormat="1" x14ac:dyDescent="0.2">
      <c r="D736" s="597"/>
      <c r="E736" s="597"/>
      <c r="F736" s="1926"/>
      <c r="G736" s="1926"/>
      <c r="H736" s="1926"/>
      <c r="I736" s="1926"/>
      <c r="J736" s="1926"/>
      <c r="K736" s="1926"/>
      <c r="L736" s="1926"/>
      <c r="M736" s="1926"/>
      <c r="N736" s="1926"/>
      <c r="O736" s="1926"/>
      <c r="P736" s="1926"/>
      <c r="Q736" s="1926"/>
      <c r="R736" s="1986" t="s">
        <v>2044</v>
      </c>
      <c r="S736" s="1987">
        <f t="shared" ref="S736:AD736" si="569">SUM(S672:S713)</f>
        <v>0</v>
      </c>
      <c r="T736" s="1987">
        <f t="shared" si="569"/>
        <v>0</v>
      </c>
      <c r="U736" s="1987">
        <f t="shared" si="569"/>
        <v>0</v>
      </c>
      <c r="V736" s="1987">
        <f t="shared" si="569"/>
        <v>0</v>
      </c>
      <c r="W736" s="1987">
        <f t="shared" si="569"/>
        <v>0</v>
      </c>
      <c r="X736" s="1987">
        <f t="shared" si="569"/>
        <v>0</v>
      </c>
      <c r="Y736" s="1987">
        <f t="shared" si="569"/>
        <v>0</v>
      </c>
      <c r="Z736" s="1987">
        <f t="shared" si="569"/>
        <v>0</v>
      </c>
      <c r="AA736" s="1987">
        <f t="shared" si="569"/>
        <v>0</v>
      </c>
      <c r="AB736" s="1987">
        <f t="shared" si="569"/>
        <v>0</v>
      </c>
      <c r="AC736" s="1987">
        <f t="shared" si="569"/>
        <v>0</v>
      </c>
      <c r="AD736" s="1987">
        <f t="shared" si="569"/>
        <v>0</v>
      </c>
      <c r="AE736" s="108" t="s">
        <v>1584</v>
      </c>
      <c r="AF736" s="1987">
        <f t="shared" ref="AF736:AQ736" si="570">SUM(AF672:AF713)</f>
        <v>0</v>
      </c>
      <c r="AG736" s="1988">
        <f t="shared" si="570"/>
        <v>0</v>
      </c>
      <c r="AH736" s="1988">
        <f t="shared" si="570"/>
        <v>0</v>
      </c>
      <c r="AI736" s="1988">
        <f t="shared" si="570"/>
        <v>0</v>
      </c>
      <c r="AJ736" s="1988">
        <f t="shared" si="570"/>
        <v>0</v>
      </c>
      <c r="AK736" s="1988">
        <f t="shared" si="570"/>
        <v>0</v>
      </c>
      <c r="AL736" s="1988">
        <f t="shared" si="570"/>
        <v>0</v>
      </c>
      <c r="AM736" s="1988">
        <f t="shared" si="570"/>
        <v>0</v>
      </c>
      <c r="AN736" s="1988">
        <f t="shared" si="570"/>
        <v>0</v>
      </c>
      <c r="AO736" s="1988">
        <f t="shared" si="570"/>
        <v>0</v>
      </c>
      <c r="AP736" s="1988">
        <f t="shared" si="570"/>
        <v>0</v>
      </c>
      <c r="AQ736" s="1988">
        <f t="shared" si="570"/>
        <v>0</v>
      </c>
      <c r="AR736" s="108" t="s">
        <v>1590</v>
      </c>
      <c r="AS736" s="1987">
        <f t="shared" ref="AS736:BD736" si="571">SUM(AS672:AS713)</f>
        <v>0</v>
      </c>
      <c r="AT736" s="1987">
        <f t="shared" si="571"/>
        <v>0</v>
      </c>
      <c r="AU736" s="1987">
        <f t="shared" si="571"/>
        <v>0</v>
      </c>
      <c r="AV736" s="1987">
        <f t="shared" si="571"/>
        <v>0</v>
      </c>
      <c r="AW736" s="1987">
        <f t="shared" si="571"/>
        <v>0</v>
      </c>
      <c r="AX736" s="1987">
        <f t="shared" si="571"/>
        <v>0</v>
      </c>
      <c r="AY736" s="1987">
        <f t="shared" si="571"/>
        <v>0</v>
      </c>
      <c r="AZ736" s="1987">
        <f t="shared" si="571"/>
        <v>0</v>
      </c>
      <c r="BA736" s="1987">
        <f t="shared" si="571"/>
        <v>0</v>
      </c>
      <c r="BB736" s="1987">
        <f t="shared" si="571"/>
        <v>0</v>
      </c>
      <c r="BC736" s="1987">
        <f t="shared" si="571"/>
        <v>0</v>
      </c>
      <c r="BD736" s="1989">
        <f t="shared" si="571"/>
        <v>0</v>
      </c>
      <c r="BE736" s="590"/>
      <c r="BF736" s="590"/>
      <c r="BG736" s="590"/>
      <c r="BH736" s="590"/>
      <c r="BI736" s="1978"/>
      <c r="BJ736" s="1975"/>
      <c r="BK736" s="590"/>
    </row>
    <row r="737" spans="1:63" s="108" customFormat="1" ht="15.05" thickBot="1" x14ac:dyDescent="0.25">
      <c r="F737" s="423"/>
      <c r="G737" s="423"/>
      <c r="H737" s="423"/>
      <c r="I737" s="423"/>
      <c r="J737" s="423"/>
      <c r="K737" s="423"/>
      <c r="L737" s="423"/>
      <c r="M737" s="423"/>
      <c r="N737" s="423"/>
      <c r="O737" s="423"/>
      <c r="P737" s="423"/>
      <c r="Q737" s="423"/>
      <c r="R737" s="1990" t="s">
        <v>2045</v>
      </c>
      <c r="S737" s="1991">
        <f t="shared" ref="S737:AD737" si="572">SUM(S714:S726)</f>
        <v>0</v>
      </c>
      <c r="T737" s="1992">
        <f t="shared" si="572"/>
        <v>0</v>
      </c>
      <c r="U737" s="1992">
        <f t="shared" si="572"/>
        <v>0</v>
      </c>
      <c r="V737" s="1992">
        <f t="shared" si="572"/>
        <v>0</v>
      </c>
      <c r="W737" s="1992">
        <f t="shared" si="572"/>
        <v>0</v>
      </c>
      <c r="X737" s="1992">
        <f t="shared" si="572"/>
        <v>0</v>
      </c>
      <c r="Y737" s="1992">
        <f t="shared" si="572"/>
        <v>0</v>
      </c>
      <c r="Z737" s="1992">
        <f t="shared" si="572"/>
        <v>0</v>
      </c>
      <c r="AA737" s="1992">
        <f t="shared" si="572"/>
        <v>0</v>
      </c>
      <c r="AB737" s="1992">
        <f t="shared" si="572"/>
        <v>0</v>
      </c>
      <c r="AC737" s="1992">
        <f t="shared" si="572"/>
        <v>0</v>
      </c>
      <c r="AD737" s="1993">
        <f t="shared" si="572"/>
        <v>0</v>
      </c>
      <c r="AE737" s="108" t="s">
        <v>1585</v>
      </c>
      <c r="AF737" s="1991">
        <f t="shared" ref="AF737:AQ737" si="573">SUM(AF714:AF726)</f>
        <v>0</v>
      </c>
      <c r="AG737" s="1992">
        <f t="shared" si="573"/>
        <v>0</v>
      </c>
      <c r="AH737" s="1992">
        <f t="shared" si="573"/>
        <v>0</v>
      </c>
      <c r="AI737" s="1992">
        <f t="shared" si="573"/>
        <v>0</v>
      </c>
      <c r="AJ737" s="1992">
        <f t="shared" si="573"/>
        <v>0</v>
      </c>
      <c r="AK737" s="1992">
        <f t="shared" si="573"/>
        <v>0</v>
      </c>
      <c r="AL737" s="1992">
        <f t="shared" si="573"/>
        <v>0</v>
      </c>
      <c r="AM737" s="1992">
        <f t="shared" si="573"/>
        <v>0</v>
      </c>
      <c r="AN737" s="1992">
        <f t="shared" si="573"/>
        <v>0</v>
      </c>
      <c r="AO737" s="1992">
        <f t="shared" si="573"/>
        <v>0</v>
      </c>
      <c r="AP737" s="1992">
        <f t="shared" si="573"/>
        <v>0</v>
      </c>
      <c r="AQ737" s="1992">
        <f t="shared" si="573"/>
        <v>0</v>
      </c>
      <c r="AR737" s="108" t="s">
        <v>1591</v>
      </c>
      <c r="AS737" s="1991">
        <f t="shared" ref="AS737:BD737" si="574">SUM(AS714:AS726)</f>
        <v>0</v>
      </c>
      <c r="AT737" s="1992">
        <f t="shared" si="574"/>
        <v>0</v>
      </c>
      <c r="AU737" s="1992">
        <f t="shared" si="574"/>
        <v>0</v>
      </c>
      <c r="AV737" s="1992">
        <f t="shared" si="574"/>
        <v>0</v>
      </c>
      <c r="AW737" s="1992">
        <f t="shared" si="574"/>
        <v>0</v>
      </c>
      <c r="AX737" s="1992">
        <f t="shared" si="574"/>
        <v>0</v>
      </c>
      <c r="AY737" s="1992">
        <f t="shared" si="574"/>
        <v>0</v>
      </c>
      <c r="AZ737" s="1992">
        <f t="shared" si="574"/>
        <v>0</v>
      </c>
      <c r="BA737" s="1992">
        <f t="shared" si="574"/>
        <v>0</v>
      </c>
      <c r="BB737" s="1992">
        <f t="shared" si="574"/>
        <v>0</v>
      </c>
      <c r="BC737" s="1992">
        <f t="shared" si="574"/>
        <v>0</v>
      </c>
      <c r="BD737" s="1994">
        <f t="shared" si="574"/>
        <v>0</v>
      </c>
      <c r="BE737" s="590"/>
      <c r="BF737" s="590"/>
      <c r="BG737" s="590"/>
      <c r="BH737" s="590"/>
      <c r="BI737" s="1978"/>
      <c r="BJ737" s="1975"/>
      <c r="BK737" s="590"/>
    </row>
    <row r="738" spans="1:63" s="108" customFormat="1" x14ac:dyDescent="0.2">
      <c r="F738" s="423"/>
      <c r="G738" s="423"/>
      <c r="H738" s="423"/>
      <c r="I738" s="423"/>
      <c r="J738" s="423"/>
      <c r="K738" s="423"/>
      <c r="L738" s="423"/>
      <c r="M738" s="423"/>
      <c r="N738" s="423"/>
      <c r="O738" s="423"/>
      <c r="P738" s="423"/>
      <c r="Q738" s="423"/>
      <c r="R738" s="1349" t="s">
        <v>21</v>
      </c>
      <c r="S738" s="423">
        <f t="shared" ref="S738:AD738" si="575">+SUM(S736:S737)</f>
        <v>0</v>
      </c>
      <c r="T738" s="423">
        <f t="shared" si="575"/>
        <v>0</v>
      </c>
      <c r="U738" s="423">
        <f t="shared" si="575"/>
        <v>0</v>
      </c>
      <c r="V738" s="423">
        <f t="shared" si="575"/>
        <v>0</v>
      </c>
      <c r="W738" s="423">
        <f t="shared" si="575"/>
        <v>0</v>
      </c>
      <c r="X738" s="423">
        <f t="shared" si="575"/>
        <v>0</v>
      </c>
      <c r="Y738" s="423">
        <f t="shared" si="575"/>
        <v>0</v>
      </c>
      <c r="Z738" s="423">
        <f t="shared" si="575"/>
        <v>0</v>
      </c>
      <c r="AA738" s="423">
        <f t="shared" si="575"/>
        <v>0</v>
      </c>
      <c r="AB738" s="423">
        <f t="shared" si="575"/>
        <v>0</v>
      </c>
      <c r="AC738" s="423">
        <f t="shared" si="575"/>
        <v>0</v>
      </c>
      <c r="AD738" s="423">
        <f t="shared" si="575"/>
        <v>0</v>
      </c>
      <c r="AE738" s="108" t="s">
        <v>1586</v>
      </c>
      <c r="AF738" s="423">
        <f t="shared" ref="AF738:AQ738" si="576">+SUM(AF736:AF737)</f>
        <v>0</v>
      </c>
      <c r="AG738" s="423">
        <f t="shared" si="576"/>
        <v>0</v>
      </c>
      <c r="AH738" s="423">
        <f t="shared" si="576"/>
        <v>0</v>
      </c>
      <c r="AI738" s="423">
        <f t="shared" si="576"/>
        <v>0</v>
      </c>
      <c r="AJ738" s="423">
        <f t="shared" si="576"/>
        <v>0</v>
      </c>
      <c r="AK738" s="423">
        <f t="shared" si="576"/>
        <v>0</v>
      </c>
      <c r="AL738" s="423">
        <f t="shared" si="576"/>
        <v>0</v>
      </c>
      <c r="AM738" s="423">
        <f t="shared" si="576"/>
        <v>0</v>
      </c>
      <c r="AN738" s="423">
        <f t="shared" si="576"/>
        <v>0</v>
      </c>
      <c r="AO738" s="423">
        <f t="shared" si="576"/>
        <v>0</v>
      </c>
      <c r="AP738" s="423">
        <f t="shared" si="576"/>
        <v>0</v>
      </c>
      <c r="AQ738" s="423">
        <f t="shared" si="576"/>
        <v>0</v>
      </c>
      <c r="AR738" s="108" t="s">
        <v>1592</v>
      </c>
      <c r="AS738" s="423">
        <f t="shared" ref="AS738:BD738" si="577">+SUM(AS736:AS737)</f>
        <v>0</v>
      </c>
      <c r="AT738" s="423">
        <f t="shared" si="577"/>
        <v>0</v>
      </c>
      <c r="AU738" s="423">
        <f t="shared" si="577"/>
        <v>0</v>
      </c>
      <c r="AV738" s="423">
        <f t="shared" si="577"/>
        <v>0</v>
      </c>
      <c r="AW738" s="423">
        <f t="shared" si="577"/>
        <v>0</v>
      </c>
      <c r="AX738" s="423">
        <f t="shared" si="577"/>
        <v>0</v>
      </c>
      <c r="AY738" s="423">
        <f t="shared" si="577"/>
        <v>0</v>
      </c>
      <c r="AZ738" s="423">
        <f t="shared" si="577"/>
        <v>0</v>
      </c>
      <c r="BA738" s="423">
        <f t="shared" si="577"/>
        <v>0</v>
      </c>
      <c r="BB738" s="423">
        <f t="shared" si="577"/>
        <v>0</v>
      </c>
      <c r="BC738" s="423">
        <f t="shared" si="577"/>
        <v>0</v>
      </c>
      <c r="BD738" s="423">
        <f t="shared" si="577"/>
        <v>0</v>
      </c>
      <c r="BE738" s="590"/>
      <c r="BF738" s="590"/>
      <c r="BG738" s="590"/>
      <c r="BH738" s="590"/>
      <c r="BI738" s="1978"/>
      <c r="BJ738" s="1975"/>
      <c r="BK738" s="590"/>
    </row>
    <row r="739" spans="1:63" s="108" customFormat="1" ht="15.05" thickBot="1" x14ac:dyDescent="0.25">
      <c r="F739" s="423"/>
      <c r="G739" s="423"/>
      <c r="H739" s="423"/>
      <c r="I739" s="423"/>
      <c r="J739" s="423"/>
      <c r="K739" s="423"/>
      <c r="L739" s="423"/>
      <c r="M739" s="423"/>
      <c r="N739" s="423"/>
      <c r="O739" s="423"/>
      <c r="P739" s="423"/>
      <c r="Q739" s="423"/>
      <c r="BE739" s="590"/>
      <c r="BF739" s="100"/>
      <c r="BG739" s="100"/>
      <c r="BH739" s="100"/>
      <c r="BI739" s="100"/>
      <c r="BJ739" s="590"/>
      <c r="BK739" s="590"/>
    </row>
    <row r="740" spans="1:63" s="108" customFormat="1" ht="15.05" thickBot="1" x14ac:dyDescent="0.25">
      <c r="A740" s="767"/>
      <c r="B740" s="110"/>
      <c r="C740" s="100"/>
      <c r="D740" s="1955" t="s">
        <v>981</v>
      </c>
      <c r="E740" s="1956"/>
      <c r="F740" s="1957"/>
      <c r="G740" s="1956"/>
      <c r="H740" s="1956"/>
      <c r="I740" s="1956"/>
      <c r="J740" s="1956"/>
      <c r="K740" s="1956"/>
      <c r="L740" s="1956"/>
      <c r="M740" s="1956"/>
      <c r="N740" s="1956"/>
      <c r="O740" s="1957"/>
      <c r="P740" s="1956"/>
      <c r="Q740" s="1958"/>
      <c r="R740" s="1956"/>
      <c r="S740" s="1959"/>
      <c r="T740" s="1960"/>
      <c r="U740" s="1960"/>
      <c r="V740" s="1960"/>
      <c r="W740" s="1960"/>
      <c r="X740" s="1960"/>
      <c r="Y740" s="1960"/>
      <c r="Z740" s="1960"/>
      <c r="AA740" s="1960"/>
      <c r="AB740" s="1960"/>
      <c r="AC740" s="1960"/>
      <c r="AD740" s="1960"/>
      <c r="AE740" s="1960"/>
      <c r="AF740" s="1960"/>
      <c r="AG740" s="1960"/>
      <c r="AH740" s="1960"/>
      <c r="AI740" s="1960"/>
      <c r="AJ740" s="1960"/>
      <c r="AK740" s="1960"/>
      <c r="AL740" s="1960"/>
      <c r="AM740" s="1960"/>
      <c r="AN740" s="1960"/>
      <c r="AO740" s="1960"/>
      <c r="AP740" s="1960"/>
      <c r="AQ740" s="1960"/>
      <c r="AR740" s="1960"/>
      <c r="AS740" s="1960"/>
      <c r="AT740" s="1960"/>
      <c r="AU740" s="1960"/>
      <c r="AV740" s="1960"/>
      <c r="AW740" s="1960"/>
      <c r="AX740" s="1960"/>
      <c r="AY740" s="1960"/>
      <c r="AZ740" s="1960"/>
      <c r="BA740" s="1960"/>
      <c r="BB740" s="1960"/>
      <c r="BC740" s="1960"/>
      <c r="BD740" s="1961"/>
      <c r="BE740" s="6"/>
      <c r="BF740" s="6"/>
      <c r="BG740" s="6"/>
      <c r="BH740" s="6"/>
      <c r="BI740" s="6"/>
    </row>
    <row r="741" spans="1:63" s="108" customFormat="1" x14ac:dyDescent="0.2">
      <c r="A741" s="767"/>
      <c r="B741" s="110"/>
      <c r="C741" s="2188">
        <v>1027</v>
      </c>
      <c r="D741" s="597" t="s">
        <v>1973</v>
      </c>
      <c r="E741" s="590"/>
      <c r="F741" s="111"/>
      <c r="G741" s="590"/>
      <c r="H741" s="590"/>
      <c r="I741" s="590"/>
      <c r="J741" s="590"/>
      <c r="K741" s="590"/>
      <c r="L741" s="590"/>
      <c r="M741" s="590"/>
      <c r="N741" s="590"/>
      <c r="O741" s="111"/>
      <c r="P741" s="590"/>
      <c r="Q741" s="590"/>
      <c r="R741" s="2188">
        <v>1028</v>
      </c>
      <c r="S741" s="1995" t="s">
        <v>1974</v>
      </c>
      <c r="T741" s="6"/>
      <c r="U741" s="6"/>
      <c r="V741" s="6"/>
      <c r="W741" s="6"/>
      <c r="X741" s="6"/>
      <c r="Y741" s="6"/>
      <c r="Z741" s="6"/>
      <c r="AA741" s="6"/>
      <c r="AB741" s="6"/>
      <c r="AC741" s="6"/>
      <c r="AD741" s="6"/>
      <c r="AE741" s="2188">
        <v>1029</v>
      </c>
      <c r="AF741" s="6" t="s">
        <v>1975</v>
      </c>
      <c r="AG741" s="6"/>
      <c r="AH741" s="6"/>
      <c r="AI741" s="6"/>
      <c r="AJ741" s="6"/>
      <c r="AK741" s="6"/>
      <c r="AL741" s="6"/>
      <c r="AM741" s="6"/>
      <c r="AN741" s="6"/>
      <c r="AO741" s="6"/>
      <c r="AP741" s="6"/>
      <c r="AQ741" s="6"/>
      <c r="AR741" s="2188">
        <v>1030</v>
      </c>
      <c r="AS741" s="6" t="s">
        <v>1976</v>
      </c>
      <c r="AT741" s="6"/>
      <c r="AU741" s="6"/>
      <c r="AV741" s="6"/>
      <c r="AW741" s="6"/>
      <c r="AX741" s="6"/>
      <c r="AY741" s="6"/>
      <c r="AZ741" s="6"/>
      <c r="BA741" s="6"/>
      <c r="BB741" s="6"/>
      <c r="BC741" s="6"/>
      <c r="BD741" s="6"/>
      <c r="BE741" s="6"/>
      <c r="BF741" s="6"/>
      <c r="BG741" s="6"/>
      <c r="BH741" s="6"/>
      <c r="BI741" s="6"/>
    </row>
    <row r="742" spans="1:63" s="108" customFormat="1" x14ac:dyDescent="0.2">
      <c r="F742" s="1996" t="str">
        <f t="shared" ref="F742:Q742" si="578">G8</f>
        <v>Ene</v>
      </c>
      <c r="G742" s="1972" t="str">
        <f t="shared" si="578"/>
        <v>Feb</v>
      </c>
      <c r="H742" s="1972" t="str">
        <f t="shared" si="578"/>
        <v>Mar</v>
      </c>
      <c r="I742" s="1972" t="str">
        <f>J8</f>
        <v>Abr</v>
      </c>
      <c r="J742" s="1972" t="str">
        <f t="shared" si="578"/>
        <v>May</v>
      </c>
      <c r="K742" s="1972" t="str">
        <f t="shared" si="578"/>
        <v>Jun</v>
      </c>
      <c r="L742" s="1972" t="str">
        <f t="shared" si="578"/>
        <v>Jul</v>
      </c>
      <c r="M742" s="1972" t="str">
        <f t="shared" si="578"/>
        <v>Ago</v>
      </c>
      <c r="N742" s="1972" t="str">
        <f t="shared" si="578"/>
        <v>Set</v>
      </c>
      <c r="O742" s="1972" t="str">
        <f t="shared" si="578"/>
        <v>Oct</v>
      </c>
      <c r="P742" s="1972" t="str">
        <f t="shared" si="578"/>
        <v>Nov</v>
      </c>
      <c r="Q742" s="1974" t="str">
        <f t="shared" si="578"/>
        <v>Dic</v>
      </c>
      <c r="S742" s="590"/>
      <c r="T742" s="590"/>
      <c r="U742" s="590"/>
      <c r="V742" s="590"/>
      <c r="W742" s="590"/>
      <c r="X742" s="590"/>
      <c r="Y742" s="590"/>
      <c r="Z742" s="590"/>
      <c r="AA742" s="590"/>
      <c r="AB742" s="590"/>
      <c r="AC742" s="590"/>
      <c r="AD742" s="590"/>
      <c r="AE742" s="590"/>
      <c r="AF742" s="111"/>
      <c r="AG742" s="111"/>
      <c r="AH742" s="111"/>
      <c r="AI742" s="111"/>
      <c r="AJ742" s="111"/>
      <c r="AK742" s="111"/>
      <c r="AL742" s="111"/>
      <c r="AM742" s="111"/>
      <c r="AN742" s="111"/>
      <c r="AO742" s="111"/>
      <c r="AP742" s="111"/>
      <c r="AQ742" s="111"/>
      <c r="AR742" s="590"/>
      <c r="AS742" s="111"/>
      <c r="AT742" s="111"/>
      <c r="AU742" s="111"/>
      <c r="AV742" s="111"/>
      <c r="AW742" s="111"/>
      <c r="AX742" s="111"/>
      <c r="AY742" s="111"/>
      <c r="AZ742" s="111"/>
      <c r="BA742" s="111"/>
      <c r="BB742" s="111"/>
      <c r="BC742" s="111"/>
      <c r="BD742" s="111"/>
      <c r="BE742" s="590"/>
      <c r="BF742" s="100"/>
      <c r="BG742" s="100"/>
      <c r="BH742" s="100"/>
      <c r="BI742" s="590"/>
      <c r="BJ742" s="590"/>
      <c r="BK742" s="590"/>
    </row>
    <row r="743" spans="1:63" s="108" customFormat="1" x14ac:dyDescent="0.2">
      <c r="C743" s="1971" t="str">
        <f t="shared" ref="C743:C752" si="579">D743&amp;$D$639</f>
        <v>CNRecría-Vacas Secas</v>
      </c>
      <c r="D743" s="1857" t="str">
        <f t="shared" ref="D743:D774" si="580">+D672</f>
        <v>CN</v>
      </c>
      <c r="E743" s="590"/>
      <c r="F743" s="1972">
        <f t="shared" ref="F743:Q743" si="581">IF($D743&lt;&gt;0,SUMIFS($C$9:$C$98,$D$9:$D$98,$D$639,G$9:G$98,$D743),0)</f>
        <v>0</v>
      </c>
      <c r="G743" s="1972">
        <f t="shared" si="581"/>
        <v>0</v>
      </c>
      <c r="H743" s="1972">
        <f t="shared" si="581"/>
        <v>0</v>
      </c>
      <c r="I743" s="1972">
        <f>IF($D743&lt;&gt;0,SUMIFS($C$9:$C$98,$D$9:$D$98,$D$639,J$9:J$98,$D743),0)</f>
        <v>0</v>
      </c>
      <c r="J743" s="1972">
        <f t="shared" si="581"/>
        <v>0</v>
      </c>
      <c r="K743" s="1972">
        <f t="shared" si="581"/>
        <v>0</v>
      </c>
      <c r="L743" s="1972">
        <f t="shared" si="581"/>
        <v>0</v>
      </c>
      <c r="M743" s="1972">
        <f t="shared" si="581"/>
        <v>0</v>
      </c>
      <c r="N743" s="1972">
        <f t="shared" si="581"/>
        <v>0</v>
      </c>
      <c r="O743" s="1972">
        <f t="shared" si="581"/>
        <v>0</v>
      </c>
      <c r="P743" s="1972">
        <f t="shared" si="581"/>
        <v>0</v>
      </c>
      <c r="Q743" s="1972">
        <f t="shared" si="581"/>
        <v>0</v>
      </c>
      <c r="S743" s="1973">
        <f>SUMIF(G$401:G$490,$C743,$S$401:$S$490)*Forrajes!BG10*G$99</f>
        <v>0</v>
      </c>
      <c r="T743" s="1972">
        <f>SUMIF(H$401:H$490,$C743,$S$401:$S$490)*Forrajes!BH10*H$99</f>
        <v>0</v>
      </c>
      <c r="U743" s="1972">
        <f>SUMIF(I$401:I$490,$C743,$S$401:$S$490)*Forrajes!BI10*I$99</f>
        <v>0</v>
      </c>
      <c r="V743" s="1972">
        <f>SUMIF(J$401:J$490,$C743,$S$401:$S$490)*Forrajes!BJ10*J$99</f>
        <v>0</v>
      </c>
      <c r="W743" s="1972">
        <f>SUMIF(K$401:K$490,$C743,$S$401:$S$490)*Forrajes!BK10*K$99</f>
        <v>0</v>
      </c>
      <c r="X743" s="1972">
        <f>SUMIF(L$401:L$490,$C743,$S$401:$S$490)*Forrajes!BL10*L$99</f>
        <v>0</v>
      </c>
      <c r="Y743" s="1972">
        <f>SUMIF(M$401:M$490,$C743,$S$401:$S$490)*Forrajes!BM10*M$99</f>
        <v>0</v>
      </c>
      <c r="Z743" s="1972">
        <f>SUMIF(N$401:N$490,$C743,$S$401:$S$490)*Forrajes!BN10*N$99</f>
        <v>0</v>
      </c>
      <c r="AA743" s="1972">
        <f>SUMIF(O$401:O$490,$C743,$S$401:$S$490)*Forrajes!BO10*O$99</f>
        <v>0</v>
      </c>
      <c r="AB743" s="1972">
        <f>SUMIF(P$401:P$490,$C743,$S$401:$S$490)*Forrajes!BP10*P$99</f>
        <v>0</v>
      </c>
      <c r="AC743" s="1972">
        <f>SUMIF(Q$401:Q$490,$C743,$S$401:$S$490)*Forrajes!BQ10*Q$99</f>
        <v>0</v>
      </c>
      <c r="AD743" s="1974">
        <f>SUMIF(R$401:R$490,$C743,$S$401:$S$490)*Forrajes!BR10*R$99</f>
        <v>0</v>
      </c>
      <c r="AF743" s="1973">
        <f>Forrajes!BU10*S743</f>
        <v>0</v>
      </c>
      <c r="AG743" s="1972">
        <f>Forrajes!BV10*T743</f>
        <v>0</v>
      </c>
      <c r="AH743" s="1972">
        <f>Forrajes!BW10*U743</f>
        <v>0</v>
      </c>
      <c r="AI743" s="1972">
        <f>Forrajes!BX10*V743</f>
        <v>0</v>
      </c>
      <c r="AJ743" s="1972">
        <f>Forrajes!BY10*W743</f>
        <v>0</v>
      </c>
      <c r="AK743" s="1972">
        <f>Forrajes!BZ10*X743</f>
        <v>0</v>
      </c>
      <c r="AL743" s="1972">
        <f>Forrajes!CA10*Y743</f>
        <v>0</v>
      </c>
      <c r="AM743" s="1972">
        <f>Forrajes!CB10*Z743</f>
        <v>0</v>
      </c>
      <c r="AN743" s="1972">
        <f>Forrajes!CC10*AA743</f>
        <v>0</v>
      </c>
      <c r="AO743" s="1972">
        <f>Forrajes!CD10*AB743</f>
        <v>0</v>
      </c>
      <c r="AP743" s="1972">
        <f>Forrajes!CE10*AC743</f>
        <v>0</v>
      </c>
      <c r="AQ743" s="1972">
        <f>Forrajes!CF10*AD743</f>
        <v>0</v>
      </c>
      <c r="AS743" s="1973">
        <f>Forrajes!CI10*S743</f>
        <v>0</v>
      </c>
      <c r="AT743" s="1972">
        <f>Forrajes!CJ10*T743</f>
        <v>0</v>
      </c>
      <c r="AU743" s="1972">
        <f>Forrajes!CK10*U743</f>
        <v>0</v>
      </c>
      <c r="AV743" s="1972">
        <f>Forrajes!CL10*V743</f>
        <v>0</v>
      </c>
      <c r="AW743" s="1972">
        <f>Forrajes!CM10*W743</f>
        <v>0</v>
      </c>
      <c r="AX743" s="1972">
        <f>Forrajes!CN10*X743</f>
        <v>0</v>
      </c>
      <c r="AY743" s="1972">
        <f>Forrajes!CO10*Y743</f>
        <v>0</v>
      </c>
      <c r="AZ743" s="1972">
        <f>Forrajes!CP10*Z743</f>
        <v>0</v>
      </c>
      <c r="BA743" s="1972">
        <f>Forrajes!CQ10*AA743</f>
        <v>0</v>
      </c>
      <c r="BB743" s="1972">
        <f>Forrajes!CR10*AB743</f>
        <v>0</v>
      </c>
      <c r="BC743" s="1972">
        <f>Forrajes!CS10*AC743</f>
        <v>0</v>
      </c>
      <c r="BD743" s="786">
        <f>Forrajes!CT10*AD743</f>
        <v>0</v>
      </c>
      <c r="BE743" s="590"/>
      <c r="BF743" s="100"/>
      <c r="BG743" s="590"/>
      <c r="BH743" s="590"/>
      <c r="BI743" s="100"/>
      <c r="BJ743" s="1975"/>
      <c r="BK743" s="590"/>
    </row>
    <row r="744" spans="1:63" s="108" customFormat="1" x14ac:dyDescent="0.2">
      <c r="C744" s="1971" t="str">
        <f t="shared" si="579"/>
        <v>CNMRecría-Vacas Secas</v>
      </c>
      <c r="D744" s="1857" t="str">
        <f t="shared" si="580"/>
        <v>CNM</v>
      </c>
      <c r="E744" s="590"/>
      <c r="F744" s="1972">
        <f t="shared" ref="F744:Q744" si="582">IF($D744&lt;&gt;0,SUMIFS($C$9:$C$98,$D$9:$D$98,$D$639,G$9:G$98,$D744),0)</f>
        <v>0</v>
      </c>
      <c r="G744" s="1972">
        <f t="shared" si="582"/>
        <v>0</v>
      </c>
      <c r="H744" s="1972">
        <f t="shared" si="582"/>
        <v>0</v>
      </c>
      <c r="I744" s="1972">
        <f>IF($D744&lt;&gt;0,SUMIFS($C$9:$C$98,$D$9:$D$98,$D$639,J$9:J$98,$D744),0)</f>
        <v>0</v>
      </c>
      <c r="J744" s="1972">
        <f t="shared" si="582"/>
        <v>0</v>
      </c>
      <c r="K744" s="1972">
        <f t="shared" si="582"/>
        <v>0</v>
      </c>
      <c r="L744" s="1972">
        <f t="shared" si="582"/>
        <v>0</v>
      </c>
      <c r="M744" s="1972">
        <f t="shared" si="582"/>
        <v>0</v>
      </c>
      <c r="N744" s="1972">
        <f t="shared" si="582"/>
        <v>0</v>
      </c>
      <c r="O744" s="1972">
        <f t="shared" si="582"/>
        <v>0</v>
      </c>
      <c r="P744" s="1972">
        <f t="shared" si="582"/>
        <v>0</v>
      </c>
      <c r="Q744" s="1972">
        <f t="shared" si="582"/>
        <v>0</v>
      </c>
      <c r="S744" s="1976">
        <f>SUMIF(G$401:G$490,$C744,$S$401:$S$490)*Forrajes!BG11*G$99</f>
        <v>0</v>
      </c>
      <c r="T744" s="668">
        <f>SUMIF(H$401:H$490,$C744,$S$401:$S$490)*Forrajes!BH11*H$99</f>
        <v>0</v>
      </c>
      <c r="U744" s="668">
        <f>SUMIF(I$401:I$490,$C744,$S$401:$S$490)*Forrajes!BI11*I$99</f>
        <v>0</v>
      </c>
      <c r="V744" s="668">
        <f>SUMIF(J$401:J$490,$C744,$S$401:$S$490)*Forrajes!BJ11*J$99</f>
        <v>0</v>
      </c>
      <c r="W744" s="668">
        <f>SUMIF(K$401:K$490,$C744,$S$401:$S$490)*Forrajes!BK11*K$99</f>
        <v>0</v>
      </c>
      <c r="X744" s="668">
        <f>SUMIF(L$401:L$490,$C744,$S$401:$S$490)*Forrajes!BL11*L$99</f>
        <v>0</v>
      </c>
      <c r="Y744" s="668">
        <f>SUMIF(M$401:M$490,$C744,$S$401:$S$490)*Forrajes!BM11*M$99</f>
        <v>0</v>
      </c>
      <c r="Z744" s="668">
        <f>SUMIF(N$401:N$490,$C744,$S$401:$S$490)*Forrajes!BN11*N$99</f>
        <v>0</v>
      </c>
      <c r="AA744" s="668">
        <f>SUMIF(O$401:O$490,$C744,$S$401:$S$490)*Forrajes!BO11*O$99</f>
        <v>0</v>
      </c>
      <c r="AB744" s="668">
        <f>SUMIF(P$401:P$490,$C744,$S$401:$S$490)*Forrajes!BP11*P$99</f>
        <v>0</v>
      </c>
      <c r="AC744" s="668">
        <f>SUMIF(Q$401:Q$490,$C744,$S$401:$S$490)*Forrajes!BQ11*Q$99</f>
        <v>0</v>
      </c>
      <c r="AD744" s="1977">
        <f>SUMIF(R$401:R$490,$C744,$S$401:$S$490)*Forrajes!BR11*R$99</f>
        <v>0</v>
      </c>
      <c r="AF744" s="1976">
        <f>Forrajes!BU11*S744</f>
        <v>0</v>
      </c>
      <c r="AG744" s="668">
        <f>Forrajes!BV11*T744</f>
        <v>0</v>
      </c>
      <c r="AH744" s="668">
        <f>Forrajes!BW11*U744</f>
        <v>0</v>
      </c>
      <c r="AI744" s="668">
        <f>Forrajes!BX11*V744</f>
        <v>0</v>
      </c>
      <c r="AJ744" s="668">
        <f>Forrajes!BY11*W744</f>
        <v>0</v>
      </c>
      <c r="AK744" s="668">
        <f>Forrajes!BZ11*X744</f>
        <v>0</v>
      </c>
      <c r="AL744" s="668">
        <f>Forrajes!CA11*Y744</f>
        <v>0</v>
      </c>
      <c r="AM744" s="668">
        <f>Forrajes!CB11*Z744</f>
        <v>0</v>
      </c>
      <c r="AN744" s="668">
        <f>Forrajes!CC11*AA744</f>
        <v>0</v>
      </c>
      <c r="AO744" s="668">
        <f>Forrajes!CD11*AB744</f>
        <v>0</v>
      </c>
      <c r="AP744" s="668">
        <f>Forrajes!CE11*AC744</f>
        <v>0</v>
      </c>
      <c r="AQ744" s="668">
        <f>Forrajes!CF11*AD744</f>
        <v>0</v>
      </c>
      <c r="AS744" s="1976">
        <f>Forrajes!CI11*S744</f>
        <v>0</v>
      </c>
      <c r="AT744" s="668">
        <f>Forrajes!CJ11*T744</f>
        <v>0</v>
      </c>
      <c r="AU744" s="668">
        <f>Forrajes!CK11*U744</f>
        <v>0</v>
      </c>
      <c r="AV744" s="668">
        <f>Forrajes!CL11*V744</f>
        <v>0</v>
      </c>
      <c r="AW744" s="668">
        <f>Forrajes!CM11*W744</f>
        <v>0</v>
      </c>
      <c r="AX744" s="668">
        <f>Forrajes!CN11*X744</f>
        <v>0</v>
      </c>
      <c r="AY744" s="668">
        <f>Forrajes!CO11*Y744</f>
        <v>0</v>
      </c>
      <c r="AZ744" s="668">
        <f>Forrajes!CP11*Z744</f>
        <v>0</v>
      </c>
      <c r="BA744" s="668">
        <f>Forrajes!CQ11*AA744</f>
        <v>0</v>
      </c>
      <c r="BB744" s="668">
        <f>Forrajes!CR11*AB744</f>
        <v>0</v>
      </c>
      <c r="BC744" s="668">
        <f>Forrajes!CS11*AC744</f>
        <v>0</v>
      </c>
      <c r="BD744" s="1818">
        <f>Forrajes!CT11*AD744</f>
        <v>0</v>
      </c>
      <c r="BE744" s="590"/>
      <c r="BF744" s="100"/>
      <c r="BG744" s="590"/>
      <c r="BH744" s="590"/>
      <c r="BI744" s="1978"/>
      <c r="BJ744" s="1975"/>
      <c r="BK744" s="590"/>
    </row>
    <row r="745" spans="1:63" s="108" customFormat="1" x14ac:dyDescent="0.2">
      <c r="C745" s="1971" t="str">
        <f t="shared" si="579"/>
        <v>CN bajoRecría-Vacas Secas</v>
      </c>
      <c r="D745" s="1857" t="str">
        <f t="shared" si="580"/>
        <v>CN bajo</v>
      </c>
      <c r="E745" s="590"/>
      <c r="F745" s="1972">
        <f t="shared" ref="F745:Q745" si="583">IF($D745&lt;&gt;0,SUMIFS($C$9:$C$98,$D$9:$D$98,$D$639,G$9:G$98,$D745),0)</f>
        <v>0</v>
      </c>
      <c r="G745" s="1972">
        <f t="shared" si="583"/>
        <v>0</v>
      </c>
      <c r="H745" s="1972">
        <f t="shared" si="583"/>
        <v>0</v>
      </c>
      <c r="I745" s="1972">
        <f>IF($D745&lt;&gt;0,SUMIFS($C$9:$C$98,$D$9:$D$98,$D$639,J$9:J$98,$D745),0)</f>
        <v>0</v>
      </c>
      <c r="J745" s="1972">
        <f t="shared" si="583"/>
        <v>0</v>
      </c>
      <c r="K745" s="1972">
        <f t="shared" si="583"/>
        <v>0</v>
      </c>
      <c r="L745" s="1972">
        <f t="shared" si="583"/>
        <v>0</v>
      </c>
      <c r="M745" s="1972">
        <f t="shared" si="583"/>
        <v>0</v>
      </c>
      <c r="N745" s="1972">
        <f t="shared" si="583"/>
        <v>0</v>
      </c>
      <c r="O745" s="1972">
        <f t="shared" si="583"/>
        <v>0</v>
      </c>
      <c r="P745" s="1972">
        <f t="shared" si="583"/>
        <v>0</v>
      </c>
      <c r="Q745" s="1972">
        <f t="shared" si="583"/>
        <v>0</v>
      </c>
      <c r="S745" s="1976">
        <f>SUMIF(G$401:G$490,$C745,$S$401:$S$490)*Forrajes!BG12*G$99</f>
        <v>0</v>
      </c>
      <c r="T745" s="668">
        <f>SUMIF(H$401:H$490,$C745,$S$401:$S$490)*Forrajes!BH12*H$99</f>
        <v>0</v>
      </c>
      <c r="U745" s="668">
        <f>SUMIF(I$401:I$490,$C745,$S$401:$S$490)*Forrajes!BI12*I$99</f>
        <v>0</v>
      </c>
      <c r="V745" s="668">
        <f>SUMIF(J$401:J$490,$C745,$S$401:$S$490)*Forrajes!BJ12*J$99</f>
        <v>0</v>
      </c>
      <c r="W745" s="668">
        <f>SUMIF(K$401:K$490,$C745,$S$401:$S$490)*Forrajes!BK12*K$99</f>
        <v>0</v>
      </c>
      <c r="X745" s="668">
        <f>SUMIF(L$401:L$490,$C745,$S$401:$S$490)*Forrajes!BL12*L$99</f>
        <v>0</v>
      </c>
      <c r="Y745" s="668">
        <f>SUMIF(M$401:M$490,$C745,$S$401:$S$490)*Forrajes!BM12*M$99</f>
        <v>0</v>
      </c>
      <c r="Z745" s="668">
        <f>SUMIF(N$401:N$490,$C745,$S$401:$S$490)*Forrajes!BN12*N$99</f>
        <v>0</v>
      </c>
      <c r="AA745" s="668">
        <f>SUMIF(O$401:O$490,$C745,$S$401:$S$490)*Forrajes!BO12*O$99</f>
        <v>0</v>
      </c>
      <c r="AB745" s="668">
        <f>SUMIF(P$401:P$490,$C745,$S$401:$S$490)*Forrajes!BP12*P$99</f>
        <v>0</v>
      </c>
      <c r="AC745" s="668">
        <f>SUMIF(Q$401:Q$490,$C745,$S$401:$S$490)*Forrajes!BQ12*Q$99</f>
        <v>0</v>
      </c>
      <c r="AD745" s="1977">
        <f>SUMIF(R$401:R$490,$C745,$S$401:$S$490)*Forrajes!BR12*R$99</f>
        <v>0</v>
      </c>
      <c r="AF745" s="1976">
        <f>Forrajes!BU12*S745</f>
        <v>0</v>
      </c>
      <c r="AG745" s="668">
        <f>Forrajes!BV12*T745</f>
        <v>0</v>
      </c>
      <c r="AH745" s="668">
        <f>Forrajes!BW12*U745</f>
        <v>0</v>
      </c>
      <c r="AI745" s="668">
        <f>Forrajes!BX12*V745</f>
        <v>0</v>
      </c>
      <c r="AJ745" s="668">
        <f>Forrajes!BY12*W745</f>
        <v>0</v>
      </c>
      <c r="AK745" s="668">
        <f>Forrajes!BZ12*X745</f>
        <v>0</v>
      </c>
      <c r="AL745" s="668">
        <f>Forrajes!CA12*Y745</f>
        <v>0</v>
      </c>
      <c r="AM745" s="668">
        <f>Forrajes!CB12*Z745</f>
        <v>0</v>
      </c>
      <c r="AN745" s="668">
        <f>Forrajes!CC12*AA745</f>
        <v>0</v>
      </c>
      <c r="AO745" s="668">
        <f>Forrajes!CD12*AB745</f>
        <v>0</v>
      </c>
      <c r="AP745" s="668">
        <f>Forrajes!CE12*AC745</f>
        <v>0</v>
      </c>
      <c r="AQ745" s="668">
        <f>Forrajes!CF12*AD745</f>
        <v>0</v>
      </c>
      <c r="AS745" s="1976">
        <f>Forrajes!CI12*S745</f>
        <v>0</v>
      </c>
      <c r="AT745" s="668">
        <f>Forrajes!CJ12*T745</f>
        <v>0</v>
      </c>
      <c r="AU745" s="668">
        <f>Forrajes!CK12*U745</f>
        <v>0</v>
      </c>
      <c r="AV745" s="668">
        <f>Forrajes!CL12*V745</f>
        <v>0</v>
      </c>
      <c r="AW745" s="668">
        <f>Forrajes!CM12*W745</f>
        <v>0</v>
      </c>
      <c r="AX745" s="668">
        <f>Forrajes!CN12*X745</f>
        <v>0</v>
      </c>
      <c r="AY745" s="668">
        <f>Forrajes!CO12*Y745</f>
        <v>0</v>
      </c>
      <c r="AZ745" s="668">
        <f>Forrajes!CP12*Z745</f>
        <v>0</v>
      </c>
      <c r="BA745" s="668">
        <f>Forrajes!CQ12*AA745</f>
        <v>0</v>
      </c>
      <c r="BB745" s="668">
        <f>Forrajes!CR12*AB745</f>
        <v>0</v>
      </c>
      <c r="BC745" s="668">
        <f>Forrajes!CS12*AC745</f>
        <v>0</v>
      </c>
      <c r="BD745" s="1818">
        <f>Forrajes!CT12*AD745</f>
        <v>0</v>
      </c>
      <c r="BE745" s="590"/>
      <c r="BF745" s="100"/>
      <c r="BG745" s="590"/>
      <c r="BH745" s="590"/>
      <c r="BI745" s="1978"/>
      <c r="BJ745" s="1975"/>
      <c r="BK745" s="590"/>
    </row>
    <row r="746" spans="1:63" s="108" customFormat="1" x14ac:dyDescent="0.2">
      <c r="C746" s="1971" t="str">
        <f t="shared" si="579"/>
        <v>Subtotal Campo naturalRecría-Vacas Secas</v>
      </c>
      <c r="D746" s="1979" t="str">
        <f t="shared" si="580"/>
        <v>Subtotal Campo natural</v>
      </c>
      <c r="E746" s="1980"/>
      <c r="F746" s="1909">
        <f>SUM(F743:F745)</f>
        <v>0</v>
      </c>
      <c r="G746" s="1909">
        <f t="shared" ref="G746:Q746" si="584">SUM(G743:G745)</f>
        <v>0</v>
      </c>
      <c r="H746" s="1909">
        <f t="shared" si="584"/>
        <v>0</v>
      </c>
      <c r="I746" s="1909">
        <f t="shared" si="584"/>
        <v>0</v>
      </c>
      <c r="J746" s="1909">
        <f t="shared" si="584"/>
        <v>0</v>
      </c>
      <c r="K746" s="1909">
        <f t="shared" si="584"/>
        <v>0</v>
      </c>
      <c r="L746" s="1909">
        <f t="shared" si="584"/>
        <v>0</v>
      </c>
      <c r="M746" s="1909">
        <f t="shared" si="584"/>
        <v>0</v>
      </c>
      <c r="N746" s="1909">
        <f t="shared" si="584"/>
        <v>0</v>
      </c>
      <c r="O746" s="1909">
        <f t="shared" si="584"/>
        <v>0</v>
      </c>
      <c r="P746" s="1909">
        <f t="shared" si="584"/>
        <v>0</v>
      </c>
      <c r="Q746" s="1909">
        <f t="shared" si="584"/>
        <v>0</v>
      </c>
      <c r="S746" s="1976">
        <f>SUMIF(G$401:G$490,$C746,$S$401:$S$490)*Forrajes!BG13*G$99</f>
        <v>0</v>
      </c>
      <c r="T746" s="668">
        <f>SUMIF(H$401:H$490,$C746,$S$401:$S$490)*Forrajes!BH13*H$99</f>
        <v>0</v>
      </c>
      <c r="U746" s="668">
        <f>SUMIF(I$401:I$490,$C746,$S$401:$S$490)*Forrajes!BI13*I$99</f>
        <v>0</v>
      </c>
      <c r="V746" s="668">
        <f>SUMIF(J$401:J$490,$C746,$S$401:$S$490)*Forrajes!BJ13*J$99</f>
        <v>0</v>
      </c>
      <c r="W746" s="668">
        <f>SUMIF(K$401:K$490,$C746,$S$401:$S$490)*Forrajes!BK13*K$99</f>
        <v>0</v>
      </c>
      <c r="X746" s="668">
        <f>SUMIF(L$401:L$490,$C746,$S$401:$S$490)*Forrajes!BL13*L$99</f>
        <v>0</v>
      </c>
      <c r="Y746" s="668">
        <f>SUMIF(M$401:M$490,$C746,$S$401:$S$490)*Forrajes!BM13*M$99</f>
        <v>0</v>
      </c>
      <c r="Z746" s="668">
        <f>SUMIF(N$401:N$490,$C746,$S$401:$S$490)*Forrajes!BN13*N$99</f>
        <v>0</v>
      </c>
      <c r="AA746" s="668">
        <f>SUMIF(O$401:O$490,$C746,$S$401:$S$490)*Forrajes!BO13*O$99</f>
        <v>0</v>
      </c>
      <c r="AB746" s="668">
        <f>SUMIF(P$401:P$490,$C746,$S$401:$S$490)*Forrajes!BP13*P$99</f>
        <v>0</v>
      </c>
      <c r="AC746" s="668">
        <f>SUMIF(Q$401:Q$490,$C746,$S$401:$S$490)*Forrajes!BQ13*Q$99</f>
        <v>0</v>
      </c>
      <c r="AD746" s="1977">
        <f>SUMIF(R$401:R$490,$C746,$S$401:$S$490)*Forrajes!BR13*R$99</f>
        <v>0</v>
      </c>
      <c r="AF746" s="1976">
        <f>Forrajes!BU13*S746</f>
        <v>0</v>
      </c>
      <c r="AG746" s="668">
        <f>Forrajes!BV13*T746</f>
        <v>0</v>
      </c>
      <c r="AH746" s="668">
        <f>Forrajes!BW13*U746</f>
        <v>0</v>
      </c>
      <c r="AI746" s="668">
        <f>Forrajes!BX13*V746</f>
        <v>0</v>
      </c>
      <c r="AJ746" s="668">
        <f>Forrajes!BY13*W746</f>
        <v>0</v>
      </c>
      <c r="AK746" s="668">
        <f>Forrajes!BZ13*X746</f>
        <v>0</v>
      </c>
      <c r="AL746" s="668">
        <f>Forrajes!CA13*Y746</f>
        <v>0</v>
      </c>
      <c r="AM746" s="668">
        <f>Forrajes!CB13*Z746</f>
        <v>0</v>
      </c>
      <c r="AN746" s="668">
        <f>Forrajes!CC13*AA746</f>
        <v>0</v>
      </c>
      <c r="AO746" s="668">
        <f>Forrajes!CD13*AB746</f>
        <v>0</v>
      </c>
      <c r="AP746" s="668">
        <f>Forrajes!CE13*AC746</f>
        <v>0</v>
      </c>
      <c r="AQ746" s="668">
        <f>Forrajes!CF13*AD746</f>
        <v>0</v>
      </c>
      <c r="AS746" s="1976">
        <f>Forrajes!CI13*S746</f>
        <v>0</v>
      </c>
      <c r="AT746" s="668">
        <f>Forrajes!CJ13*T746</f>
        <v>0</v>
      </c>
      <c r="AU746" s="668">
        <f>Forrajes!CK13*U746</f>
        <v>0</v>
      </c>
      <c r="AV746" s="668">
        <f>Forrajes!CL13*V746</f>
        <v>0</v>
      </c>
      <c r="AW746" s="668">
        <f>Forrajes!CM13*W746</f>
        <v>0</v>
      </c>
      <c r="AX746" s="668">
        <f>Forrajes!CN13*X746</f>
        <v>0</v>
      </c>
      <c r="AY746" s="668">
        <f>Forrajes!CO13*Y746</f>
        <v>0</v>
      </c>
      <c r="AZ746" s="668">
        <f>Forrajes!CP13*Z746</f>
        <v>0</v>
      </c>
      <c r="BA746" s="668">
        <f>Forrajes!CQ13*AA746</f>
        <v>0</v>
      </c>
      <c r="BB746" s="668">
        <f>Forrajes!CR13*AB746</f>
        <v>0</v>
      </c>
      <c r="BC746" s="668">
        <f>Forrajes!CS13*AC746</f>
        <v>0</v>
      </c>
      <c r="BD746" s="1818">
        <f>Forrajes!CT13*AD746</f>
        <v>0</v>
      </c>
      <c r="BE746" s="590"/>
      <c r="BF746" s="100"/>
      <c r="BG746" s="590"/>
      <c r="BH746" s="590"/>
      <c r="BI746" s="1978"/>
      <c r="BJ746" s="1975"/>
      <c r="BK746" s="590"/>
    </row>
    <row r="747" spans="1:63" s="108" customFormat="1" x14ac:dyDescent="0.2">
      <c r="C747" s="1971" t="str">
        <f t="shared" si="579"/>
        <v>Alfalfa 1Recría-Vacas Secas</v>
      </c>
      <c r="D747" s="1857" t="str">
        <f t="shared" si="580"/>
        <v>Alfalfa 1</v>
      </c>
      <c r="E747" s="590"/>
      <c r="F747" s="1972">
        <f t="shared" ref="F747:Q747" si="585">IF($D747&lt;&gt;0,SUMIFS($C$9:$C$98,$D$9:$D$98,$D$639,G$9:G$98,$D747),0)</f>
        <v>0</v>
      </c>
      <c r="G747" s="1972">
        <f t="shared" si="585"/>
        <v>0</v>
      </c>
      <c r="H747" s="1972">
        <f t="shared" si="585"/>
        <v>0</v>
      </c>
      <c r="I747" s="1972">
        <f t="shared" ref="I747:I752" si="586">IF($D747&lt;&gt;0,SUMIFS($C$9:$C$98,$D$9:$D$98,$D$639,J$9:J$98,$D747),0)</f>
        <v>0</v>
      </c>
      <c r="J747" s="1972">
        <f t="shared" si="585"/>
        <v>0</v>
      </c>
      <c r="K747" s="1972">
        <f t="shared" si="585"/>
        <v>0</v>
      </c>
      <c r="L747" s="1972">
        <f t="shared" si="585"/>
        <v>0</v>
      </c>
      <c r="M747" s="1972">
        <f t="shared" si="585"/>
        <v>0</v>
      </c>
      <c r="N747" s="1972">
        <f t="shared" si="585"/>
        <v>0</v>
      </c>
      <c r="O747" s="1972">
        <f t="shared" si="585"/>
        <v>0</v>
      </c>
      <c r="P747" s="1972">
        <f t="shared" si="585"/>
        <v>0</v>
      </c>
      <c r="Q747" s="1972">
        <f t="shared" si="585"/>
        <v>0</v>
      </c>
      <c r="S747" s="1976">
        <f>SUMIF(G$401:G$490,$C747,$S$401:$S$490)*Forrajes!BG14*G$99</f>
        <v>0</v>
      </c>
      <c r="T747" s="668">
        <f>SUMIF(H$401:H$490,$C747,$S$401:$S$490)*Forrajes!BH14*H$99</f>
        <v>0</v>
      </c>
      <c r="U747" s="668">
        <f>SUMIF(I$401:I$490,$C747,$S$401:$S$490)*Forrajes!BI14*I$99</f>
        <v>0</v>
      </c>
      <c r="V747" s="668">
        <f>SUMIF(J$401:J$490,$C747,$S$401:$S$490)*Forrajes!BJ14*J$99</f>
        <v>0</v>
      </c>
      <c r="W747" s="668">
        <f>SUMIF(K$401:K$490,$C747,$S$401:$S$490)*Forrajes!BK14*K$99</f>
        <v>0</v>
      </c>
      <c r="X747" s="668">
        <f>SUMIF(L$401:L$490,$C747,$S$401:$S$490)*Forrajes!BL14*L$99</f>
        <v>0</v>
      </c>
      <c r="Y747" s="668">
        <f>SUMIF(M$401:M$490,$C747,$S$401:$S$490)*Forrajes!BM14*M$99</f>
        <v>0</v>
      </c>
      <c r="Z747" s="668">
        <f>SUMIF(N$401:N$490,$C747,$S$401:$S$490)*Forrajes!BN14*N$99</f>
        <v>0</v>
      </c>
      <c r="AA747" s="668">
        <f>SUMIF(O$401:O$490,$C747,$S$401:$S$490)*Forrajes!BO14*O$99</f>
        <v>0</v>
      </c>
      <c r="AB747" s="668">
        <f>SUMIF(P$401:P$490,$C747,$S$401:$S$490)*Forrajes!BP14*P$99</f>
        <v>0</v>
      </c>
      <c r="AC747" s="668">
        <f>SUMIF(Q$401:Q$490,$C747,$S$401:$S$490)*Forrajes!BQ14*Q$99</f>
        <v>0</v>
      </c>
      <c r="AD747" s="1977">
        <f>SUMIF(R$401:R$490,$C747,$S$401:$S$490)*Forrajes!BR14*R$99</f>
        <v>0</v>
      </c>
      <c r="AF747" s="1976">
        <f>Forrajes!BU14*S747</f>
        <v>0</v>
      </c>
      <c r="AG747" s="668">
        <f>Forrajes!BV14*T747</f>
        <v>0</v>
      </c>
      <c r="AH747" s="668">
        <f>Forrajes!BW14*U747</f>
        <v>0</v>
      </c>
      <c r="AI747" s="668">
        <f>Forrajes!BX14*V747</f>
        <v>0</v>
      </c>
      <c r="AJ747" s="668">
        <f>Forrajes!BY14*W747</f>
        <v>0</v>
      </c>
      <c r="AK747" s="668">
        <f>Forrajes!BZ14*X747</f>
        <v>0</v>
      </c>
      <c r="AL747" s="668">
        <f>Forrajes!CA14*Y747</f>
        <v>0</v>
      </c>
      <c r="AM747" s="668">
        <f>Forrajes!CB14*Z747</f>
        <v>0</v>
      </c>
      <c r="AN747" s="668">
        <f>Forrajes!CC14*AA747</f>
        <v>0</v>
      </c>
      <c r="AO747" s="668">
        <f>Forrajes!CD14*AB747</f>
        <v>0</v>
      </c>
      <c r="AP747" s="668">
        <f>Forrajes!CE14*AC747</f>
        <v>0</v>
      </c>
      <c r="AQ747" s="668">
        <f>Forrajes!CF14*AD747</f>
        <v>0</v>
      </c>
      <c r="AS747" s="1976">
        <f>Forrajes!CI14*S747</f>
        <v>0</v>
      </c>
      <c r="AT747" s="668">
        <f>Forrajes!CJ14*T747</f>
        <v>0</v>
      </c>
      <c r="AU747" s="668">
        <f>Forrajes!CK14*U747</f>
        <v>0</v>
      </c>
      <c r="AV747" s="668">
        <f>Forrajes!CL14*V747</f>
        <v>0</v>
      </c>
      <c r="AW747" s="668">
        <f>Forrajes!CM14*W747</f>
        <v>0</v>
      </c>
      <c r="AX747" s="668">
        <f>Forrajes!CN14*X747</f>
        <v>0</v>
      </c>
      <c r="AY747" s="668">
        <f>Forrajes!CO14*Y747</f>
        <v>0</v>
      </c>
      <c r="AZ747" s="668">
        <f>Forrajes!CP14*Z747</f>
        <v>0</v>
      </c>
      <c r="BA747" s="668">
        <f>Forrajes!CQ14*AA747</f>
        <v>0</v>
      </c>
      <c r="BB747" s="668">
        <f>Forrajes!CR14*AB747</f>
        <v>0</v>
      </c>
      <c r="BC747" s="668">
        <f>Forrajes!CS14*AC747</f>
        <v>0</v>
      </c>
      <c r="BD747" s="1818">
        <f>Forrajes!CT14*AD747</f>
        <v>0</v>
      </c>
      <c r="BE747" s="590"/>
      <c r="BF747" s="100"/>
      <c r="BG747" s="590"/>
      <c r="BH747" s="590"/>
      <c r="BI747" s="1978"/>
      <c r="BJ747" s="1975"/>
      <c r="BK747" s="590"/>
    </row>
    <row r="748" spans="1:63" s="108" customFormat="1" x14ac:dyDescent="0.2">
      <c r="C748" s="1971" t="str">
        <f t="shared" si="579"/>
        <v>PP 1Recría-Vacas Secas</v>
      </c>
      <c r="D748" s="1857" t="str">
        <f t="shared" si="580"/>
        <v>PP 1</v>
      </c>
      <c r="E748" s="590"/>
      <c r="F748" s="1972">
        <f t="shared" ref="F748:Q748" si="587">IF($D748&lt;&gt;0,SUMIFS($C$9:$C$98,$D$9:$D$98,$D$639,G$9:G$98,$D748),0)</f>
        <v>0</v>
      </c>
      <c r="G748" s="1972">
        <f t="shared" si="587"/>
        <v>0</v>
      </c>
      <c r="H748" s="1972">
        <f t="shared" si="587"/>
        <v>0</v>
      </c>
      <c r="I748" s="1972">
        <f t="shared" si="586"/>
        <v>0</v>
      </c>
      <c r="J748" s="1972">
        <f t="shared" si="587"/>
        <v>0</v>
      </c>
      <c r="K748" s="1972">
        <f t="shared" si="587"/>
        <v>0</v>
      </c>
      <c r="L748" s="1972">
        <f t="shared" si="587"/>
        <v>0</v>
      </c>
      <c r="M748" s="1972">
        <f t="shared" si="587"/>
        <v>0</v>
      </c>
      <c r="N748" s="1972">
        <f t="shared" si="587"/>
        <v>0</v>
      </c>
      <c r="O748" s="1972">
        <f t="shared" si="587"/>
        <v>0</v>
      </c>
      <c r="P748" s="1972">
        <f t="shared" si="587"/>
        <v>0</v>
      </c>
      <c r="Q748" s="1972">
        <f t="shared" si="587"/>
        <v>0</v>
      </c>
      <c r="S748" s="1976">
        <f>SUMIF(G$401:G$490,$C748,$S$401:$S$490)*Forrajes!BG15*G$99</f>
        <v>0</v>
      </c>
      <c r="T748" s="668">
        <f>SUMIF(H$401:H$490,$C748,$S$401:$S$490)*Forrajes!BH15*H$99</f>
        <v>0</v>
      </c>
      <c r="U748" s="668">
        <f>SUMIF(I$401:I$490,$C748,$S$401:$S$490)*Forrajes!BI15*I$99</f>
        <v>0</v>
      </c>
      <c r="V748" s="668">
        <f>SUMIF(J$401:J$490,$C748,$S$401:$S$490)*Forrajes!BJ15*J$99</f>
        <v>0</v>
      </c>
      <c r="W748" s="668">
        <f>SUMIF(K$401:K$490,$C748,$S$401:$S$490)*Forrajes!BK15*K$99</f>
        <v>0</v>
      </c>
      <c r="X748" s="668">
        <f>SUMIF(L$401:L$490,$C748,$S$401:$S$490)*Forrajes!BL15*L$99</f>
        <v>0</v>
      </c>
      <c r="Y748" s="668">
        <f>SUMIF(M$401:M$490,$C748,$S$401:$S$490)*Forrajes!BM15*M$99</f>
        <v>0</v>
      </c>
      <c r="Z748" s="668">
        <f>SUMIF(N$401:N$490,$C748,$S$401:$S$490)*Forrajes!BN15*N$99</f>
        <v>0</v>
      </c>
      <c r="AA748" s="668">
        <f>SUMIF(O$401:O$490,$C748,$S$401:$S$490)*Forrajes!BO15*O$99</f>
        <v>0</v>
      </c>
      <c r="AB748" s="668">
        <f>SUMIF(P$401:P$490,$C748,$S$401:$S$490)*Forrajes!BP15*P$99</f>
        <v>0</v>
      </c>
      <c r="AC748" s="668">
        <f>SUMIF(Q$401:Q$490,$C748,$S$401:$S$490)*Forrajes!BQ15*Q$99</f>
        <v>0</v>
      </c>
      <c r="AD748" s="1977">
        <f>SUMIF(R$401:R$490,$C748,$S$401:$S$490)*Forrajes!BR15*R$99</f>
        <v>0</v>
      </c>
      <c r="AF748" s="1976">
        <f>Forrajes!BU15*S748</f>
        <v>0</v>
      </c>
      <c r="AG748" s="668">
        <f>Forrajes!BV15*T748</f>
        <v>0</v>
      </c>
      <c r="AH748" s="668">
        <f>Forrajes!BW15*U748</f>
        <v>0</v>
      </c>
      <c r="AI748" s="668">
        <f>Forrajes!BX15*V748</f>
        <v>0</v>
      </c>
      <c r="AJ748" s="668">
        <f>Forrajes!BY15*W748</f>
        <v>0</v>
      </c>
      <c r="AK748" s="668">
        <f>Forrajes!BZ15*X748</f>
        <v>0</v>
      </c>
      <c r="AL748" s="668">
        <f>Forrajes!CA15*Y748</f>
        <v>0</v>
      </c>
      <c r="AM748" s="668">
        <f>Forrajes!CB15*Z748</f>
        <v>0</v>
      </c>
      <c r="AN748" s="668">
        <f>Forrajes!CC15*AA748</f>
        <v>0</v>
      </c>
      <c r="AO748" s="668">
        <f>Forrajes!CD15*AB748</f>
        <v>0</v>
      </c>
      <c r="AP748" s="668">
        <f>Forrajes!CE15*AC748</f>
        <v>0</v>
      </c>
      <c r="AQ748" s="668">
        <f>Forrajes!CF15*AD748</f>
        <v>0</v>
      </c>
      <c r="AS748" s="1976">
        <f>Forrajes!CI15*S748</f>
        <v>0</v>
      </c>
      <c r="AT748" s="668">
        <f>Forrajes!CJ15*T748</f>
        <v>0</v>
      </c>
      <c r="AU748" s="668">
        <f>Forrajes!CK15*U748</f>
        <v>0</v>
      </c>
      <c r="AV748" s="668">
        <f>Forrajes!CL15*V748</f>
        <v>0</v>
      </c>
      <c r="AW748" s="668">
        <f>Forrajes!CM15*W748</f>
        <v>0</v>
      </c>
      <c r="AX748" s="668">
        <f>Forrajes!CN15*X748</f>
        <v>0</v>
      </c>
      <c r="AY748" s="668">
        <f>Forrajes!CO15*Y748</f>
        <v>0</v>
      </c>
      <c r="AZ748" s="668">
        <f>Forrajes!CP15*Z748</f>
        <v>0</v>
      </c>
      <c r="BA748" s="668">
        <f>Forrajes!CQ15*AA748</f>
        <v>0</v>
      </c>
      <c r="BB748" s="668">
        <f>Forrajes!CR15*AB748</f>
        <v>0</v>
      </c>
      <c r="BC748" s="668">
        <f>Forrajes!CS15*AC748</f>
        <v>0</v>
      </c>
      <c r="BD748" s="1818">
        <f>Forrajes!CT15*AD748</f>
        <v>0</v>
      </c>
      <c r="BE748" s="590"/>
      <c r="BF748" s="100"/>
      <c r="BG748" s="590"/>
      <c r="BH748" s="590"/>
      <c r="BI748" s="1978"/>
      <c r="BJ748" s="1975"/>
      <c r="BK748" s="590"/>
    </row>
    <row r="749" spans="1:63" s="108" customFormat="1" x14ac:dyDescent="0.2">
      <c r="C749" s="1971" t="str">
        <f t="shared" si="579"/>
        <v>Prad 1Recría-Vacas Secas</v>
      </c>
      <c r="D749" s="1857" t="str">
        <f t="shared" si="580"/>
        <v>Prad 1</v>
      </c>
      <c r="E749" s="590"/>
      <c r="F749" s="1972">
        <f t="shared" ref="F749:Q749" si="588">IF($D749&lt;&gt;0,SUMIFS($C$9:$C$98,$D$9:$D$98,$D$639,G$9:G$98,$D749),0)</f>
        <v>0</v>
      </c>
      <c r="G749" s="1972">
        <f t="shared" si="588"/>
        <v>0</v>
      </c>
      <c r="H749" s="1972">
        <f t="shared" si="588"/>
        <v>0</v>
      </c>
      <c r="I749" s="1972">
        <f t="shared" si="586"/>
        <v>0</v>
      </c>
      <c r="J749" s="1972">
        <f t="shared" si="588"/>
        <v>0</v>
      </c>
      <c r="K749" s="1972">
        <f t="shared" si="588"/>
        <v>0</v>
      </c>
      <c r="L749" s="1972">
        <f t="shared" si="588"/>
        <v>0</v>
      </c>
      <c r="M749" s="1972">
        <f t="shared" si="588"/>
        <v>0</v>
      </c>
      <c r="N749" s="1972">
        <f t="shared" si="588"/>
        <v>0</v>
      </c>
      <c r="O749" s="1972">
        <f t="shared" si="588"/>
        <v>0</v>
      </c>
      <c r="P749" s="1972">
        <f t="shared" si="588"/>
        <v>0</v>
      </c>
      <c r="Q749" s="1972">
        <f t="shared" si="588"/>
        <v>0</v>
      </c>
      <c r="S749" s="1976">
        <f>SUMIF(G$401:G$490,$C749,$S$401:$S$490)*Forrajes!BG16*G$99</f>
        <v>0</v>
      </c>
      <c r="T749" s="668">
        <f>SUMIF(H$401:H$490,$C749,$S$401:$S$490)*Forrajes!BH16*H$99</f>
        <v>0</v>
      </c>
      <c r="U749" s="668">
        <f>SUMIF(I$401:I$490,$C749,$S$401:$S$490)*Forrajes!BI16*I$99</f>
        <v>0</v>
      </c>
      <c r="V749" s="668">
        <f>SUMIF(J$401:J$490,$C749,$S$401:$S$490)*Forrajes!BJ16*J$99</f>
        <v>0</v>
      </c>
      <c r="W749" s="668">
        <f>SUMIF(K$401:K$490,$C749,$S$401:$S$490)*Forrajes!BK16*K$99</f>
        <v>0</v>
      </c>
      <c r="X749" s="668">
        <f>SUMIF(L$401:L$490,$C749,$S$401:$S$490)*Forrajes!BL16*L$99</f>
        <v>0</v>
      </c>
      <c r="Y749" s="668">
        <f>SUMIF(M$401:M$490,$C749,$S$401:$S$490)*Forrajes!BM16*M$99</f>
        <v>0</v>
      </c>
      <c r="Z749" s="668">
        <f>SUMIF(N$401:N$490,$C749,$S$401:$S$490)*Forrajes!BN16*N$99</f>
        <v>0</v>
      </c>
      <c r="AA749" s="668">
        <f>SUMIF(O$401:O$490,$C749,$S$401:$S$490)*Forrajes!BO16*O$99</f>
        <v>0</v>
      </c>
      <c r="AB749" s="668">
        <f>SUMIF(P$401:P$490,$C749,$S$401:$S$490)*Forrajes!BP16*P$99</f>
        <v>0</v>
      </c>
      <c r="AC749" s="668">
        <f>SUMIF(Q$401:Q$490,$C749,$S$401:$S$490)*Forrajes!BQ16*Q$99</f>
        <v>0</v>
      </c>
      <c r="AD749" s="1977">
        <f>SUMIF(R$401:R$490,$C749,$S$401:$S$490)*Forrajes!BR16*R$99</f>
        <v>0</v>
      </c>
      <c r="AF749" s="1976">
        <f>Forrajes!BU16*S749</f>
        <v>0</v>
      </c>
      <c r="AG749" s="668">
        <f>Forrajes!BV16*T749</f>
        <v>0</v>
      </c>
      <c r="AH749" s="668">
        <f>Forrajes!BW16*U749</f>
        <v>0</v>
      </c>
      <c r="AI749" s="668">
        <f>Forrajes!BX16*V749</f>
        <v>0</v>
      </c>
      <c r="AJ749" s="668">
        <f>Forrajes!BY16*W749</f>
        <v>0</v>
      </c>
      <c r="AK749" s="668">
        <f>Forrajes!BZ16*X749</f>
        <v>0</v>
      </c>
      <c r="AL749" s="668">
        <f>Forrajes!CA16*Y749</f>
        <v>0</v>
      </c>
      <c r="AM749" s="668">
        <f>Forrajes!CB16*Z749</f>
        <v>0</v>
      </c>
      <c r="AN749" s="668">
        <f>Forrajes!CC16*AA749</f>
        <v>0</v>
      </c>
      <c r="AO749" s="668">
        <f>Forrajes!CD16*AB749</f>
        <v>0</v>
      </c>
      <c r="AP749" s="668">
        <f>Forrajes!CE16*AC749</f>
        <v>0</v>
      </c>
      <c r="AQ749" s="668">
        <f>Forrajes!CF16*AD749</f>
        <v>0</v>
      </c>
      <c r="AS749" s="1976">
        <f>Forrajes!CI16*S749</f>
        <v>0</v>
      </c>
      <c r="AT749" s="668">
        <f>Forrajes!CJ16*T749</f>
        <v>0</v>
      </c>
      <c r="AU749" s="668">
        <f>Forrajes!CK16*U749</f>
        <v>0</v>
      </c>
      <c r="AV749" s="668">
        <f>Forrajes!CL16*V749</f>
        <v>0</v>
      </c>
      <c r="AW749" s="668">
        <f>Forrajes!CM16*W749</f>
        <v>0</v>
      </c>
      <c r="AX749" s="668">
        <f>Forrajes!CN16*X749</f>
        <v>0</v>
      </c>
      <c r="AY749" s="668">
        <f>Forrajes!CO16*Y749</f>
        <v>0</v>
      </c>
      <c r="AZ749" s="668">
        <f>Forrajes!CP16*Z749</f>
        <v>0</v>
      </c>
      <c r="BA749" s="668">
        <f>Forrajes!CQ16*AA749</f>
        <v>0</v>
      </c>
      <c r="BB749" s="668">
        <f>Forrajes!CR16*AB749</f>
        <v>0</v>
      </c>
      <c r="BC749" s="668">
        <f>Forrajes!CS16*AC749</f>
        <v>0</v>
      </c>
      <c r="BD749" s="1818">
        <f>Forrajes!CT16*AD749</f>
        <v>0</v>
      </c>
      <c r="BE749" s="590"/>
      <c r="BF749" s="100"/>
      <c r="BG749" s="590"/>
      <c r="BH749" s="590"/>
      <c r="BI749" s="1978"/>
      <c r="BJ749" s="1975"/>
      <c r="BK749" s="590"/>
    </row>
    <row r="750" spans="1:63" s="108" customFormat="1" x14ac:dyDescent="0.2">
      <c r="C750" s="1971" t="str">
        <f t="shared" si="579"/>
        <v>Trébol Rojo 1Recría-Vacas Secas</v>
      </c>
      <c r="D750" s="1857" t="str">
        <f t="shared" si="580"/>
        <v>Trébol Rojo 1</v>
      </c>
      <c r="E750" s="590"/>
      <c r="F750" s="1972">
        <f t="shared" ref="F750:Q750" si="589">IF($D750&lt;&gt;0,SUMIFS($C$9:$C$98,$D$9:$D$98,$D$639,G$9:G$98,$D750),0)</f>
        <v>0</v>
      </c>
      <c r="G750" s="1972">
        <f t="shared" si="589"/>
        <v>0</v>
      </c>
      <c r="H750" s="1972">
        <f t="shared" si="589"/>
        <v>0</v>
      </c>
      <c r="I750" s="1972">
        <f t="shared" si="586"/>
        <v>0</v>
      </c>
      <c r="J750" s="1972">
        <f t="shared" si="589"/>
        <v>0</v>
      </c>
      <c r="K750" s="1972">
        <f t="shared" si="589"/>
        <v>0</v>
      </c>
      <c r="L750" s="1972">
        <f t="shared" si="589"/>
        <v>0</v>
      </c>
      <c r="M750" s="1972">
        <f t="shared" si="589"/>
        <v>0</v>
      </c>
      <c r="N750" s="1972">
        <f t="shared" si="589"/>
        <v>0</v>
      </c>
      <c r="O750" s="1972">
        <f t="shared" si="589"/>
        <v>0</v>
      </c>
      <c r="P750" s="1972">
        <f t="shared" si="589"/>
        <v>0</v>
      </c>
      <c r="Q750" s="1972">
        <f t="shared" si="589"/>
        <v>0</v>
      </c>
      <c r="S750" s="1976">
        <f>SUMIF(G$401:G$490,$C750,$S$401:$S$490)*Forrajes!BG17*G$99</f>
        <v>0</v>
      </c>
      <c r="T750" s="668">
        <f>SUMIF(H$401:H$490,$C750,$S$401:$S$490)*Forrajes!BH17*H$99</f>
        <v>0</v>
      </c>
      <c r="U750" s="668">
        <f>SUMIF(I$401:I$490,$C750,$S$401:$S$490)*Forrajes!BI17*I$99</f>
        <v>0</v>
      </c>
      <c r="V750" s="668">
        <f>SUMIF(J$401:J$490,$C750,$S$401:$S$490)*Forrajes!BJ17*J$99</f>
        <v>0</v>
      </c>
      <c r="W750" s="668">
        <f>SUMIF(K$401:K$490,$C750,$S$401:$S$490)*Forrajes!BK17*K$99</f>
        <v>0</v>
      </c>
      <c r="X750" s="668">
        <f>SUMIF(L$401:L$490,$C750,$S$401:$S$490)*Forrajes!BL17*L$99</f>
        <v>0</v>
      </c>
      <c r="Y750" s="668">
        <f>SUMIF(M$401:M$490,$C750,$S$401:$S$490)*Forrajes!BM17*M$99</f>
        <v>0</v>
      </c>
      <c r="Z750" s="668">
        <f>SUMIF(N$401:N$490,$C750,$S$401:$S$490)*Forrajes!BN17*N$99</f>
        <v>0</v>
      </c>
      <c r="AA750" s="668">
        <f>SUMIF(O$401:O$490,$C750,$S$401:$S$490)*Forrajes!BO17*O$99</f>
        <v>0</v>
      </c>
      <c r="AB750" s="668">
        <f>SUMIF(P$401:P$490,$C750,$S$401:$S$490)*Forrajes!BP17*P$99</f>
        <v>0</v>
      </c>
      <c r="AC750" s="668">
        <f>SUMIF(Q$401:Q$490,$C750,$S$401:$S$490)*Forrajes!BQ17*Q$99</f>
        <v>0</v>
      </c>
      <c r="AD750" s="1977">
        <f>SUMIF(R$401:R$490,$C750,$S$401:$S$490)*Forrajes!BR17*R$99</f>
        <v>0</v>
      </c>
      <c r="AF750" s="1976">
        <f>Forrajes!BU17*S750</f>
        <v>0</v>
      </c>
      <c r="AG750" s="668">
        <f>Forrajes!BV17*T750</f>
        <v>0</v>
      </c>
      <c r="AH750" s="668">
        <f>Forrajes!BW17*U750</f>
        <v>0</v>
      </c>
      <c r="AI750" s="668">
        <f>Forrajes!BX17*V750</f>
        <v>0</v>
      </c>
      <c r="AJ750" s="668">
        <f>Forrajes!BY17*W750</f>
        <v>0</v>
      </c>
      <c r="AK750" s="668">
        <f>Forrajes!BZ17*X750</f>
        <v>0</v>
      </c>
      <c r="AL750" s="668">
        <f>Forrajes!CA17*Y750</f>
        <v>0</v>
      </c>
      <c r="AM750" s="668">
        <f>Forrajes!CB17*Z750</f>
        <v>0</v>
      </c>
      <c r="AN750" s="668">
        <f>Forrajes!CC17*AA750</f>
        <v>0</v>
      </c>
      <c r="AO750" s="668">
        <f>Forrajes!CD17*AB750</f>
        <v>0</v>
      </c>
      <c r="AP750" s="668">
        <f>Forrajes!CE17*AC750</f>
        <v>0</v>
      </c>
      <c r="AQ750" s="668">
        <f>Forrajes!CF17*AD750</f>
        <v>0</v>
      </c>
      <c r="AS750" s="1976">
        <f>Forrajes!CI17*S750</f>
        <v>0</v>
      </c>
      <c r="AT750" s="668">
        <f>Forrajes!CJ17*T750</f>
        <v>0</v>
      </c>
      <c r="AU750" s="668">
        <f>Forrajes!CK17*U750</f>
        <v>0</v>
      </c>
      <c r="AV750" s="668">
        <f>Forrajes!CL17*V750</f>
        <v>0</v>
      </c>
      <c r="AW750" s="668">
        <f>Forrajes!CM17*W750</f>
        <v>0</v>
      </c>
      <c r="AX750" s="668">
        <f>Forrajes!CN17*X750</f>
        <v>0</v>
      </c>
      <c r="AY750" s="668">
        <f>Forrajes!CO17*Y750</f>
        <v>0</v>
      </c>
      <c r="AZ750" s="668">
        <f>Forrajes!CP17*Z750</f>
        <v>0</v>
      </c>
      <c r="BA750" s="668">
        <f>Forrajes!CQ17*AA750</f>
        <v>0</v>
      </c>
      <c r="BB750" s="668">
        <f>Forrajes!CR17*AB750</f>
        <v>0</v>
      </c>
      <c r="BC750" s="668">
        <f>Forrajes!CS17*AC750</f>
        <v>0</v>
      </c>
      <c r="BD750" s="1818">
        <f>Forrajes!CT17*AD750</f>
        <v>0</v>
      </c>
      <c r="BE750" s="590"/>
      <c r="BF750" s="100"/>
      <c r="BG750" s="590"/>
      <c r="BH750" s="590"/>
      <c r="BI750" s="1978"/>
      <c r="BJ750" s="1975"/>
      <c r="BK750" s="590"/>
    </row>
    <row r="751" spans="1:63" s="108" customFormat="1" x14ac:dyDescent="0.2">
      <c r="C751" s="1971" t="str">
        <f t="shared" si="579"/>
        <v>0Recría-Vacas Secas</v>
      </c>
      <c r="D751" s="1857">
        <f t="shared" si="580"/>
        <v>0</v>
      </c>
      <c r="E751" s="590"/>
      <c r="F751" s="1972">
        <f t="shared" ref="F751:Q751" si="590">IF($D751&lt;&gt;0,SUMIFS($C$9:$C$98,$D$9:$D$98,$D$639,G$9:G$98,$D751),0)</f>
        <v>0</v>
      </c>
      <c r="G751" s="1972">
        <f t="shared" si="590"/>
        <v>0</v>
      </c>
      <c r="H751" s="1972">
        <f t="shared" si="590"/>
        <v>0</v>
      </c>
      <c r="I751" s="1972">
        <f t="shared" si="586"/>
        <v>0</v>
      </c>
      <c r="J751" s="1972">
        <f t="shared" si="590"/>
        <v>0</v>
      </c>
      <c r="K751" s="1972">
        <f t="shared" si="590"/>
        <v>0</v>
      </c>
      <c r="L751" s="1972">
        <f t="shared" si="590"/>
        <v>0</v>
      </c>
      <c r="M751" s="1972">
        <f t="shared" si="590"/>
        <v>0</v>
      </c>
      <c r="N751" s="1972">
        <f t="shared" si="590"/>
        <v>0</v>
      </c>
      <c r="O751" s="1972">
        <f t="shared" si="590"/>
        <v>0</v>
      </c>
      <c r="P751" s="1972">
        <f t="shared" si="590"/>
        <v>0</v>
      </c>
      <c r="Q751" s="1972">
        <f t="shared" si="590"/>
        <v>0</v>
      </c>
      <c r="S751" s="1976">
        <f>SUMIF(G$401:G$490,$C751,$S$401:$S$490)*Forrajes!BG18*G$99</f>
        <v>0</v>
      </c>
      <c r="T751" s="668">
        <f>SUMIF(H$401:H$490,$C751,$S$401:$S$490)*Forrajes!BH18*H$99</f>
        <v>0</v>
      </c>
      <c r="U751" s="668">
        <f>SUMIF(I$401:I$490,$C751,$S$401:$S$490)*Forrajes!BI18*I$99</f>
        <v>0</v>
      </c>
      <c r="V751" s="668">
        <f>SUMIF(J$401:J$490,$C751,$S$401:$S$490)*Forrajes!BJ18*J$99</f>
        <v>0</v>
      </c>
      <c r="W751" s="668">
        <f>SUMIF(K$401:K$490,$C751,$S$401:$S$490)*Forrajes!BK18*K$99</f>
        <v>0</v>
      </c>
      <c r="X751" s="668">
        <f>SUMIF(L$401:L$490,$C751,$S$401:$S$490)*Forrajes!BL18*L$99</f>
        <v>0</v>
      </c>
      <c r="Y751" s="668">
        <f>SUMIF(M$401:M$490,$C751,$S$401:$S$490)*Forrajes!BM18*M$99</f>
        <v>0</v>
      </c>
      <c r="Z751" s="668">
        <f>SUMIF(N$401:N$490,$C751,$S$401:$S$490)*Forrajes!BN18*N$99</f>
        <v>0</v>
      </c>
      <c r="AA751" s="668">
        <f>SUMIF(O$401:O$490,$C751,$S$401:$S$490)*Forrajes!BO18*O$99</f>
        <v>0</v>
      </c>
      <c r="AB751" s="668">
        <f>SUMIF(P$401:P$490,$C751,$S$401:$S$490)*Forrajes!BP18*P$99</f>
        <v>0</v>
      </c>
      <c r="AC751" s="668">
        <f>SUMIF(Q$401:Q$490,$C751,$S$401:$S$490)*Forrajes!BQ18*Q$99</f>
        <v>0</v>
      </c>
      <c r="AD751" s="1977">
        <f>SUMIF(R$401:R$490,$C751,$S$401:$S$490)*Forrajes!BR18*R$99</f>
        <v>0</v>
      </c>
      <c r="AF751" s="1976">
        <f>Forrajes!BU18*S751</f>
        <v>0</v>
      </c>
      <c r="AG751" s="668">
        <f>Forrajes!BV18*T751</f>
        <v>0</v>
      </c>
      <c r="AH751" s="668">
        <f>Forrajes!BW18*U751</f>
        <v>0</v>
      </c>
      <c r="AI751" s="668">
        <f>Forrajes!BX18*V751</f>
        <v>0</v>
      </c>
      <c r="AJ751" s="668">
        <f>Forrajes!BY18*W751</f>
        <v>0</v>
      </c>
      <c r="AK751" s="668">
        <f>Forrajes!BZ18*X751</f>
        <v>0</v>
      </c>
      <c r="AL751" s="668">
        <f>Forrajes!CA18*Y751</f>
        <v>0</v>
      </c>
      <c r="AM751" s="668">
        <f>Forrajes!CB18*Z751</f>
        <v>0</v>
      </c>
      <c r="AN751" s="668">
        <f>Forrajes!CC18*AA751</f>
        <v>0</v>
      </c>
      <c r="AO751" s="668">
        <f>Forrajes!CD18*AB751</f>
        <v>0</v>
      </c>
      <c r="AP751" s="668">
        <f>Forrajes!CE18*AC751</f>
        <v>0</v>
      </c>
      <c r="AQ751" s="668">
        <f>Forrajes!CF18*AD751</f>
        <v>0</v>
      </c>
      <c r="AS751" s="1976">
        <f>Forrajes!CI18*S751</f>
        <v>0</v>
      </c>
      <c r="AT751" s="668">
        <f>Forrajes!CJ18*T751</f>
        <v>0</v>
      </c>
      <c r="AU751" s="668">
        <f>Forrajes!CK18*U751</f>
        <v>0</v>
      </c>
      <c r="AV751" s="668">
        <f>Forrajes!CL18*V751</f>
        <v>0</v>
      </c>
      <c r="AW751" s="668">
        <f>Forrajes!CM18*W751</f>
        <v>0</v>
      </c>
      <c r="AX751" s="668">
        <f>Forrajes!CN18*X751</f>
        <v>0</v>
      </c>
      <c r="AY751" s="668">
        <f>Forrajes!CO18*Y751</f>
        <v>0</v>
      </c>
      <c r="AZ751" s="668">
        <f>Forrajes!CP18*Z751</f>
        <v>0</v>
      </c>
      <c r="BA751" s="668">
        <f>Forrajes!CQ18*AA751</f>
        <v>0</v>
      </c>
      <c r="BB751" s="668">
        <f>Forrajes!CR18*AB751</f>
        <v>0</v>
      </c>
      <c r="BC751" s="668">
        <f>Forrajes!CS18*AC751</f>
        <v>0</v>
      </c>
      <c r="BD751" s="1818">
        <f>Forrajes!CT18*AD751</f>
        <v>0</v>
      </c>
      <c r="BE751" s="590"/>
      <c r="BF751" s="100"/>
      <c r="BG751" s="590"/>
      <c r="BH751" s="590"/>
      <c r="BI751" s="1978"/>
      <c r="BJ751" s="1975"/>
      <c r="BK751" s="590"/>
    </row>
    <row r="752" spans="1:63" s="108" customFormat="1" x14ac:dyDescent="0.2">
      <c r="C752" s="1971" t="str">
        <f t="shared" si="579"/>
        <v>0Recría-Vacas Secas</v>
      </c>
      <c r="D752" s="1857">
        <f t="shared" si="580"/>
        <v>0</v>
      </c>
      <c r="E752" s="590"/>
      <c r="F752" s="1972">
        <f t="shared" ref="F752:Q752" si="591">IF($D752&lt;&gt;0,SUMIFS($C$9:$C$98,$D$9:$D$98,$D$639,G$9:G$98,$D752),0)</f>
        <v>0</v>
      </c>
      <c r="G752" s="1972">
        <f t="shared" si="591"/>
        <v>0</v>
      </c>
      <c r="H752" s="1972">
        <f t="shared" si="591"/>
        <v>0</v>
      </c>
      <c r="I752" s="1972">
        <f t="shared" si="586"/>
        <v>0</v>
      </c>
      <c r="J752" s="1972">
        <f t="shared" si="591"/>
        <v>0</v>
      </c>
      <c r="K752" s="1972">
        <f t="shared" si="591"/>
        <v>0</v>
      </c>
      <c r="L752" s="1972">
        <f t="shared" si="591"/>
        <v>0</v>
      </c>
      <c r="M752" s="1972">
        <f t="shared" si="591"/>
        <v>0</v>
      </c>
      <c r="N752" s="1972">
        <f t="shared" si="591"/>
        <v>0</v>
      </c>
      <c r="O752" s="1972">
        <f t="shared" si="591"/>
        <v>0</v>
      </c>
      <c r="P752" s="1972">
        <f t="shared" si="591"/>
        <v>0</v>
      </c>
      <c r="Q752" s="1972">
        <f t="shared" si="591"/>
        <v>0</v>
      </c>
      <c r="S752" s="1976">
        <f>SUMIF(G$401:G$490,$C752,$S$401:$S$490)*Forrajes!BG19*G$99</f>
        <v>0</v>
      </c>
      <c r="T752" s="668">
        <f>SUMIF(H$401:H$490,$C752,$S$401:$S$490)*Forrajes!BH19*H$99</f>
        <v>0</v>
      </c>
      <c r="U752" s="668">
        <f>SUMIF(I$401:I$490,$C752,$S$401:$S$490)*Forrajes!BI19*I$99</f>
        <v>0</v>
      </c>
      <c r="V752" s="668">
        <f>SUMIF(J$401:J$490,$C752,$S$401:$S$490)*Forrajes!BJ19*J$99</f>
        <v>0</v>
      </c>
      <c r="W752" s="668">
        <f>SUMIF(K$401:K$490,$C752,$S$401:$S$490)*Forrajes!BK19*K$99</f>
        <v>0</v>
      </c>
      <c r="X752" s="668">
        <f>SUMIF(L$401:L$490,$C752,$S$401:$S$490)*Forrajes!BL19*L$99</f>
        <v>0</v>
      </c>
      <c r="Y752" s="668">
        <f>SUMIF(M$401:M$490,$C752,$S$401:$S$490)*Forrajes!BM19*M$99</f>
        <v>0</v>
      </c>
      <c r="Z752" s="668">
        <f>SUMIF(N$401:N$490,$C752,$S$401:$S$490)*Forrajes!BN19*N$99</f>
        <v>0</v>
      </c>
      <c r="AA752" s="668">
        <f>SUMIF(O$401:O$490,$C752,$S$401:$S$490)*Forrajes!BO19*O$99</f>
        <v>0</v>
      </c>
      <c r="AB752" s="668">
        <f>SUMIF(P$401:P$490,$C752,$S$401:$S$490)*Forrajes!BP19*P$99</f>
        <v>0</v>
      </c>
      <c r="AC752" s="668">
        <f>SUMIF(Q$401:Q$490,$C752,$S$401:$S$490)*Forrajes!BQ19*Q$99</f>
        <v>0</v>
      </c>
      <c r="AD752" s="1977">
        <f>SUMIF(R$401:R$490,$C752,$S$401:$S$490)*Forrajes!BR19*R$99</f>
        <v>0</v>
      </c>
      <c r="AF752" s="1976">
        <f>Forrajes!BU19*S752</f>
        <v>0</v>
      </c>
      <c r="AG752" s="668">
        <f>Forrajes!BV19*T752</f>
        <v>0</v>
      </c>
      <c r="AH752" s="668">
        <f>Forrajes!BW19*U752</f>
        <v>0</v>
      </c>
      <c r="AI752" s="668">
        <f>Forrajes!BX19*V752</f>
        <v>0</v>
      </c>
      <c r="AJ752" s="668">
        <f>Forrajes!BY19*W752</f>
        <v>0</v>
      </c>
      <c r="AK752" s="668">
        <f>Forrajes!BZ19*X752</f>
        <v>0</v>
      </c>
      <c r="AL752" s="668">
        <f>Forrajes!CA19*Y752</f>
        <v>0</v>
      </c>
      <c r="AM752" s="668">
        <f>Forrajes!CB19*Z752</f>
        <v>0</v>
      </c>
      <c r="AN752" s="668">
        <f>Forrajes!CC19*AA752</f>
        <v>0</v>
      </c>
      <c r="AO752" s="668">
        <f>Forrajes!CD19*AB752</f>
        <v>0</v>
      </c>
      <c r="AP752" s="668">
        <f>Forrajes!CE19*AC752</f>
        <v>0</v>
      </c>
      <c r="AQ752" s="668">
        <f>Forrajes!CF19*AD752</f>
        <v>0</v>
      </c>
      <c r="AS752" s="1976">
        <f>Forrajes!CI19*S752</f>
        <v>0</v>
      </c>
      <c r="AT752" s="668">
        <f>Forrajes!CJ19*T752</f>
        <v>0</v>
      </c>
      <c r="AU752" s="668">
        <f>Forrajes!CK19*U752</f>
        <v>0</v>
      </c>
      <c r="AV752" s="668">
        <f>Forrajes!CL19*V752</f>
        <v>0</v>
      </c>
      <c r="AW752" s="668">
        <f>Forrajes!CM19*W752</f>
        <v>0</v>
      </c>
      <c r="AX752" s="668">
        <f>Forrajes!CN19*X752</f>
        <v>0</v>
      </c>
      <c r="AY752" s="668">
        <f>Forrajes!CO19*Y752</f>
        <v>0</v>
      </c>
      <c r="AZ752" s="668">
        <f>Forrajes!CP19*Z752</f>
        <v>0</v>
      </c>
      <c r="BA752" s="668">
        <f>Forrajes!CQ19*AA752</f>
        <v>0</v>
      </c>
      <c r="BB752" s="668">
        <f>Forrajes!CR19*AB752</f>
        <v>0</v>
      </c>
      <c r="BC752" s="668">
        <f>Forrajes!CS19*AC752</f>
        <v>0</v>
      </c>
      <c r="BD752" s="1818">
        <f>Forrajes!CT19*AD752</f>
        <v>0</v>
      </c>
      <c r="BE752" s="590"/>
      <c r="BF752" s="100"/>
      <c r="BG752" s="590"/>
      <c r="BH752" s="590"/>
      <c r="BI752" s="1978"/>
      <c r="BJ752" s="1975"/>
      <c r="BK752" s="590"/>
    </row>
    <row r="753" spans="3:63" s="108" customFormat="1" x14ac:dyDescent="0.2">
      <c r="C753" s="1971"/>
      <c r="D753" s="1979" t="str">
        <f t="shared" si="580"/>
        <v>Subtotal Praderas Nuevas</v>
      </c>
      <c r="E753" s="1980"/>
      <c r="F753" s="1909">
        <f>SUM(F747:F752)</f>
        <v>0</v>
      </c>
      <c r="G753" s="1909">
        <f t="shared" ref="G753:Q753" si="592">SUM(G747:G752)</f>
        <v>0</v>
      </c>
      <c r="H753" s="1909">
        <f t="shared" si="592"/>
        <v>0</v>
      </c>
      <c r="I753" s="1909">
        <f t="shared" si="592"/>
        <v>0</v>
      </c>
      <c r="J753" s="1909">
        <f t="shared" si="592"/>
        <v>0</v>
      </c>
      <c r="K753" s="1909">
        <f t="shared" si="592"/>
        <v>0</v>
      </c>
      <c r="L753" s="1909">
        <f t="shared" si="592"/>
        <v>0</v>
      </c>
      <c r="M753" s="1909">
        <f t="shared" si="592"/>
        <v>0</v>
      </c>
      <c r="N753" s="1909">
        <f t="shared" si="592"/>
        <v>0</v>
      </c>
      <c r="O753" s="1909">
        <f t="shared" si="592"/>
        <v>0</v>
      </c>
      <c r="P753" s="1909">
        <f t="shared" si="592"/>
        <v>0</v>
      </c>
      <c r="Q753" s="1909">
        <f t="shared" si="592"/>
        <v>0</v>
      </c>
      <c r="S753" s="1976"/>
      <c r="T753" s="668"/>
      <c r="U753" s="668"/>
      <c r="V753" s="668"/>
      <c r="W753" s="668"/>
      <c r="X753" s="668"/>
      <c r="Y753" s="668"/>
      <c r="Z753" s="668"/>
      <c r="AA753" s="668"/>
      <c r="AB753" s="668"/>
      <c r="AC753" s="668"/>
      <c r="AD753" s="1977"/>
      <c r="AF753" s="1976"/>
      <c r="AG753" s="668"/>
      <c r="AH753" s="668"/>
      <c r="AI753" s="668"/>
      <c r="AJ753" s="668"/>
      <c r="AK753" s="668"/>
      <c r="AL753" s="668"/>
      <c r="AM753" s="668"/>
      <c r="AN753" s="668"/>
      <c r="AO753" s="668"/>
      <c r="AP753" s="668"/>
      <c r="AQ753" s="668"/>
      <c r="AS753" s="1976"/>
      <c r="AT753" s="668"/>
      <c r="AU753" s="668"/>
      <c r="AV753" s="668"/>
      <c r="AW753" s="668"/>
      <c r="AX753" s="668"/>
      <c r="AY753" s="668"/>
      <c r="AZ753" s="668"/>
      <c r="BA753" s="668"/>
      <c r="BB753" s="668"/>
      <c r="BC753" s="668"/>
      <c r="BD753" s="1818"/>
      <c r="BE753" s="590"/>
      <c r="BF753" s="100"/>
      <c r="BG753" s="590"/>
      <c r="BH753" s="590"/>
      <c r="BI753" s="1978"/>
      <c r="BJ753" s="1975"/>
      <c r="BK753" s="590"/>
    </row>
    <row r="754" spans="3:63" s="108" customFormat="1" x14ac:dyDescent="0.2">
      <c r="C754" s="1971" t="str">
        <f t="shared" ref="C754:C767" si="593">D754&amp;$D$639</f>
        <v>Alfalfa 2Recría-Vacas Secas</v>
      </c>
      <c r="D754" s="1857" t="str">
        <f t="shared" si="580"/>
        <v>Alfalfa 2</v>
      </c>
      <c r="E754" s="590"/>
      <c r="F754" s="1972">
        <f t="shared" ref="F754:Q754" si="594">IF($D754&lt;&gt;0,SUMIFS($C$9:$C$98,$D$9:$D$98,$D$639,G$9:G$98,$D754),0)</f>
        <v>0</v>
      </c>
      <c r="G754" s="1972">
        <f t="shared" si="594"/>
        <v>0</v>
      </c>
      <c r="H754" s="1972">
        <f t="shared" si="594"/>
        <v>0</v>
      </c>
      <c r="I754" s="1972">
        <f t="shared" ref="I754:I767" si="595">IF($D754&lt;&gt;0,SUMIFS($C$9:$C$98,$D$9:$D$98,$D$639,J$9:J$98,$D754),0)</f>
        <v>0</v>
      </c>
      <c r="J754" s="1972">
        <f t="shared" si="594"/>
        <v>0</v>
      </c>
      <c r="K754" s="1972">
        <f t="shared" si="594"/>
        <v>0</v>
      </c>
      <c r="L754" s="1972">
        <f t="shared" si="594"/>
        <v>0</v>
      </c>
      <c r="M754" s="1972">
        <f t="shared" si="594"/>
        <v>0</v>
      </c>
      <c r="N754" s="1972">
        <f t="shared" si="594"/>
        <v>0</v>
      </c>
      <c r="O754" s="1972">
        <f t="shared" si="594"/>
        <v>0</v>
      </c>
      <c r="P754" s="1972">
        <f t="shared" si="594"/>
        <v>0</v>
      </c>
      <c r="Q754" s="1972">
        <f t="shared" si="594"/>
        <v>0</v>
      </c>
      <c r="S754" s="1976">
        <f>SUMIF(G$401:G$490,$C754,$S$401:$S$490)*Forrajes!BG21*G$99</f>
        <v>0</v>
      </c>
      <c r="T754" s="668">
        <f>SUMIF(H$401:H$490,$C754,$S$401:$S$490)*Forrajes!BH21*H$99</f>
        <v>0</v>
      </c>
      <c r="U754" s="668">
        <f>SUMIF(I$401:I$490,$C754,$S$401:$S$490)*Forrajes!BI21*I$99</f>
        <v>0</v>
      </c>
      <c r="V754" s="668">
        <f>SUMIF(J$401:J$490,$C754,$S$401:$S$490)*Forrajes!BJ21*J$99</f>
        <v>0</v>
      </c>
      <c r="W754" s="668">
        <f>SUMIF(K$401:K$490,$C754,$S$401:$S$490)*Forrajes!BK21*K$99</f>
        <v>0</v>
      </c>
      <c r="X754" s="668">
        <f>SUMIF(L$401:L$490,$C754,$S$401:$S$490)*Forrajes!BL21*L$99</f>
        <v>0</v>
      </c>
      <c r="Y754" s="668">
        <f>SUMIF(M$401:M$490,$C754,$S$401:$S$490)*Forrajes!BM21*M$99</f>
        <v>0</v>
      </c>
      <c r="Z754" s="668">
        <f>SUMIF(N$401:N$490,$C754,$S$401:$S$490)*Forrajes!BN21*N$99</f>
        <v>0</v>
      </c>
      <c r="AA754" s="668">
        <f>SUMIF(O$401:O$490,$C754,$S$401:$S$490)*Forrajes!BO21*O$99</f>
        <v>0</v>
      </c>
      <c r="AB754" s="668">
        <f>SUMIF(P$401:P$490,$C754,$S$401:$S$490)*Forrajes!BP21*P$99</f>
        <v>0</v>
      </c>
      <c r="AC754" s="668">
        <f>SUMIF(Q$401:Q$490,$C754,$S$401:$S$490)*Forrajes!BQ21*Q$99</f>
        <v>0</v>
      </c>
      <c r="AD754" s="1977">
        <f>SUMIF(R$401:R$490,$C754,$S$401:$S$490)*Forrajes!BR21*R$99</f>
        <v>0</v>
      </c>
      <c r="AF754" s="1976">
        <f>Forrajes!BU21*S754</f>
        <v>0</v>
      </c>
      <c r="AG754" s="668">
        <f>Forrajes!BV21*T754</f>
        <v>0</v>
      </c>
      <c r="AH754" s="668">
        <f>Forrajes!BW21*U754</f>
        <v>0</v>
      </c>
      <c r="AI754" s="668">
        <f>Forrajes!BX21*V754</f>
        <v>0</v>
      </c>
      <c r="AJ754" s="668">
        <f>Forrajes!BY21*W754</f>
        <v>0</v>
      </c>
      <c r="AK754" s="668">
        <f>Forrajes!BZ21*X754</f>
        <v>0</v>
      </c>
      <c r="AL754" s="668">
        <f>Forrajes!CA21*Y754</f>
        <v>0</v>
      </c>
      <c r="AM754" s="668">
        <f>Forrajes!CB21*Z754</f>
        <v>0</v>
      </c>
      <c r="AN754" s="668">
        <f>Forrajes!CC21*AA754</f>
        <v>0</v>
      </c>
      <c r="AO754" s="668">
        <f>Forrajes!CD21*AB754</f>
        <v>0</v>
      </c>
      <c r="AP754" s="668">
        <f>Forrajes!CE21*AC754</f>
        <v>0</v>
      </c>
      <c r="AQ754" s="668">
        <f>Forrajes!CF21*AD754</f>
        <v>0</v>
      </c>
      <c r="AS754" s="1976">
        <f>Forrajes!CI21*S754</f>
        <v>0</v>
      </c>
      <c r="AT754" s="668">
        <f>Forrajes!CJ21*T754</f>
        <v>0</v>
      </c>
      <c r="AU754" s="668">
        <f>Forrajes!CK21*U754</f>
        <v>0</v>
      </c>
      <c r="AV754" s="668">
        <f>Forrajes!CL21*V754</f>
        <v>0</v>
      </c>
      <c r="AW754" s="668">
        <f>Forrajes!CM21*W754</f>
        <v>0</v>
      </c>
      <c r="AX754" s="668">
        <f>Forrajes!CN21*X754</f>
        <v>0</v>
      </c>
      <c r="AY754" s="668">
        <f>Forrajes!CO21*Y754</f>
        <v>0</v>
      </c>
      <c r="AZ754" s="668">
        <f>Forrajes!CP21*Z754</f>
        <v>0</v>
      </c>
      <c r="BA754" s="668">
        <f>Forrajes!CQ21*AA754</f>
        <v>0</v>
      </c>
      <c r="BB754" s="668">
        <f>Forrajes!CR21*AB754</f>
        <v>0</v>
      </c>
      <c r="BC754" s="668">
        <f>Forrajes!CS21*AC754</f>
        <v>0</v>
      </c>
      <c r="BD754" s="1818">
        <f>Forrajes!CT21*AD754</f>
        <v>0</v>
      </c>
      <c r="BE754" s="590"/>
      <c r="BF754" s="100"/>
      <c r="BG754" s="590"/>
      <c r="BH754" s="590"/>
      <c r="BI754" s="1978"/>
      <c r="BJ754" s="1975"/>
      <c r="BK754" s="590"/>
    </row>
    <row r="755" spans="3:63" s="108" customFormat="1" x14ac:dyDescent="0.2">
      <c r="C755" s="1971" t="str">
        <f t="shared" si="593"/>
        <v>Alfalfa 3Recría-Vacas Secas</v>
      </c>
      <c r="D755" s="1857" t="str">
        <f t="shared" si="580"/>
        <v>Alfalfa 3</v>
      </c>
      <c r="E755" s="590"/>
      <c r="F755" s="1972">
        <f t="shared" ref="F755:Q755" si="596">IF($D755&lt;&gt;0,SUMIFS($C$9:$C$98,$D$9:$D$98,$D$639,G$9:G$98,$D755),0)</f>
        <v>0</v>
      </c>
      <c r="G755" s="1972">
        <f t="shared" si="596"/>
        <v>0</v>
      </c>
      <c r="H755" s="1972">
        <f t="shared" si="596"/>
        <v>0</v>
      </c>
      <c r="I755" s="1972">
        <f t="shared" si="595"/>
        <v>0</v>
      </c>
      <c r="J755" s="1972">
        <f t="shared" si="596"/>
        <v>0</v>
      </c>
      <c r="K755" s="1972">
        <f t="shared" si="596"/>
        <v>0</v>
      </c>
      <c r="L755" s="1972">
        <f t="shared" si="596"/>
        <v>0</v>
      </c>
      <c r="M755" s="1972">
        <f t="shared" si="596"/>
        <v>0</v>
      </c>
      <c r="N755" s="1972">
        <f t="shared" si="596"/>
        <v>0</v>
      </c>
      <c r="O755" s="1972">
        <f t="shared" si="596"/>
        <v>0</v>
      </c>
      <c r="P755" s="1972">
        <f t="shared" si="596"/>
        <v>0</v>
      </c>
      <c r="Q755" s="1972">
        <f t="shared" si="596"/>
        <v>0</v>
      </c>
      <c r="S755" s="1976">
        <f>SUMIF(G$401:G$490,$C755,$S$401:$S$490)*Forrajes!BG22*G$99</f>
        <v>0</v>
      </c>
      <c r="T755" s="668">
        <f>SUMIF(H$401:H$490,$C755,$S$401:$S$490)*Forrajes!BH22*H$99</f>
        <v>0</v>
      </c>
      <c r="U755" s="668">
        <f>SUMIF(I$401:I$490,$C755,$S$401:$S$490)*Forrajes!BI22*I$99</f>
        <v>0</v>
      </c>
      <c r="V755" s="668">
        <f>SUMIF(J$401:J$490,$C755,$S$401:$S$490)*Forrajes!BJ22*J$99</f>
        <v>0</v>
      </c>
      <c r="W755" s="668">
        <f>SUMIF(K$401:K$490,$C755,$S$401:$S$490)*Forrajes!BK22*K$99</f>
        <v>0</v>
      </c>
      <c r="X755" s="668">
        <f>SUMIF(L$401:L$490,$C755,$S$401:$S$490)*Forrajes!BL22*L$99</f>
        <v>0</v>
      </c>
      <c r="Y755" s="668">
        <f>SUMIF(M$401:M$490,$C755,$S$401:$S$490)*Forrajes!BM22*M$99</f>
        <v>0</v>
      </c>
      <c r="Z755" s="668">
        <f>SUMIF(N$401:N$490,$C755,$S$401:$S$490)*Forrajes!BN22*N$99</f>
        <v>0</v>
      </c>
      <c r="AA755" s="668">
        <f>SUMIF(O$401:O$490,$C755,$S$401:$S$490)*Forrajes!BO22*O$99</f>
        <v>0</v>
      </c>
      <c r="AB755" s="668">
        <f>SUMIF(P$401:P$490,$C755,$S$401:$S$490)*Forrajes!BP22*P$99</f>
        <v>0</v>
      </c>
      <c r="AC755" s="668">
        <f>SUMIF(Q$401:Q$490,$C755,$S$401:$S$490)*Forrajes!BQ22*Q$99</f>
        <v>0</v>
      </c>
      <c r="AD755" s="1977">
        <f>SUMIF(R$401:R$490,$C755,$S$401:$S$490)*Forrajes!BR22*R$99</f>
        <v>0</v>
      </c>
      <c r="AF755" s="1976">
        <f>Forrajes!BU22*S755</f>
        <v>0</v>
      </c>
      <c r="AG755" s="668">
        <f>Forrajes!BV22*T755</f>
        <v>0</v>
      </c>
      <c r="AH755" s="668">
        <f>Forrajes!BW22*U755</f>
        <v>0</v>
      </c>
      <c r="AI755" s="668">
        <f>Forrajes!BX22*V755</f>
        <v>0</v>
      </c>
      <c r="AJ755" s="668">
        <f>Forrajes!BY22*W755</f>
        <v>0</v>
      </c>
      <c r="AK755" s="668">
        <f>Forrajes!BZ22*X755</f>
        <v>0</v>
      </c>
      <c r="AL755" s="668">
        <f>Forrajes!CA22*Y755</f>
        <v>0</v>
      </c>
      <c r="AM755" s="668">
        <f>Forrajes!CB22*Z755</f>
        <v>0</v>
      </c>
      <c r="AN755" s="668">
        <f>Forrajes!CC22*AA755</f>
        <v>0</v>
      </c>
      <c r="AO755" s="668">
        <f>Forrajes!CD22*AB755</f>
        <v>0</v>
      </c>
      <c r="AP755" s="668">
        <f>Forrajes!CE22*AC755</f>
        <v>0</v>
      </c>
      <c r="AQ755" s="668">
        <f>Forrajes!CF22*AD755</f>
        <v>0</v>
      </c>
      <c r="AS755" s="1976">
        <f>Forrajes!CI22*S755</f>
        <v>0</v>
      </c>
      <c r="AT755" s="668">
        <f>Forrajes!CJ22*T755</f>
        <v>0</v>
      </c>
      <c r="AU755" s="668">
        <f>Forrajes!CK22*U755</f>
        <v>0</v>
      </c>
      <c r="AV755" s="668">
        <f>Forrajes!CL22*V755</f>
        <v>0</v>
      </c>
      <c r="AW755" s="668">
        <f>Forrajes!CM22*W755</f>
        <v>0</v>
      </c>
      <c r="AX755" s="668">
        <f>Forrajes!CN22*X755</f>
        <v>0</v>
      </c>
      <c r="AY755" s="668">
        <f>Forrajes!CO22*Y755</f>
        <v>0</v>
      </c>
      <c r="AZ755" s="668">
        <f>Forrajes!CP22*Z755</f>
        <v>0</v>
      </c>
      <c r="BA755" s="668">
        <f>Forrajes!CQ22*AA755</f>
        <v>0</v>
      </c>
      <c r="BB755" s="668">
        <f>Forrajes!CR22*AB755</f>
        <v>0</v>
      </c>
      <c r="BC755" s="668">
        <f>Forrajes!CS22*AC755</f>
        <v>0</v>
      </c>
      <c r="BD755" s="1818">
        <f>Forrajes!CT22*AD755</f>
        <v>0</v>
      </c>
      <c r="BE755" s="590"/>
      <c r="BF755" s="100"/>
      <c r="BG755" s="590"/>
      <c r="BH755" s="590"/>
      <c r="BI755" s="1978"/>
      <c r="BJ755" s="1975"/>
      <c r="BK755" s="590"/>
    </row>
    <row r="756" spans="3:63" s="108" customFormat="1" x14ac:dyDescent="0.2">
      <c r="C756" s="1971" t="str">
        <f t="shared" si="593"/>
        <v>Alfalfa 4Recría-Vacas Secas</v>
      </c>
      <c r="D756" s="1857" t="str">
        <f t="shared" si="580"/>
        <v>Alfalfa 4</v>
      </c>
      <c r="E756" s="590"/>
      <c r="F756" s="1972">
        <f t="shared" ref="F756:Q756" si="597">IF($D756&lt;&gt;0,SUMIFS($C$9:$C$98,$D$9:$D$98,$D$639,G$9:G$98,$D756),0)</f>
        <v>0</v>
      </c>
      <c r="G756" s="1972">
        <f t="shared" si="597"/>
        <v>0</v>
      </c>
      <c r="H756" s="1972">
        <f t="shared" si="597"/>
        <v>0</v>
      </c>
      <c r="I756" s="1972">
        <f t="shared" si="595"/>
        <v>0</v>
      </c>
      <c r="J756" s="1972">
        <f t="shared" si="597"/>
        <v>0</v>
      </c>
      <c r="K756" s="1972">
        <f t="shared" si="597"/>
        <v>0</v>
      </c>
      <c r="L756" s="1972">
        <f t="shared" si="597"/>
        <v>0</v>
      </c>
      <c r="M756" s="1972">
        <f t="shared" si="597"/>
        <v>0</v>
      </c>
      <c r="N756" s="1972">
        <f t="shared" si="597"/>
        <v>0</v>
      </c>
      <c r="O756" s="1972">
        <f t="shared" si="597"/>
        <v>0</v>
      </c>
      <c r="P756" s="1972">
        <f t="shared" si="597"/>
        <v>0</v>
      </c>
      <c r="Q756" s="1972">
        <f t="shared" si="597"/>
        <v>0</v>
      </c>
      <c r="S756" s="1976">
        <f>SUMIF(G$401:G$490,$C756,$S$401:$S$490)*Forrajes!BG23*G$99</f>
        <v>0</v>
      </c>
      <c r="T756" s="668">
        <f>SUMIF(H$401:H$490,$C756,$S$401:$S$490)*Forrajes!BH23*H$99</f>
        <v>0</v>
      </c>
      <c r="U756" s="668">
        <f>SUMIF(I$401:I$490,$C756,$S$401:$S$490)*Forrajes!BI23*I$99</f>
        <v>0</v>
      </c>
      <c r="V756" s="668">
        <f>SUMIF(J$401:J$490,$C756,$S$401:$S$490)*Forrajes!BJ23*J$99</f>
        <v>0</v>
      </c>
      <c r="W756" s="668">
        <f>SUMIF(K$401:K$490,$C756,$S$401:$S$490)*Forrajes!BK23*K$99</f>
        <v>0</v>
      </c>
      <c r="X756" s="668">
        <f>SUMIF(L$401:L$490,$C756,$S$401:$S$490)*Forrajes!BL23*L$99</f>
        <v>0</v>
      </c>
      <c r="Y756" s="668">
        <f>SUMIF(M$401:M$490,$C756,$S$401:$S$490)*Forrajes!BM23*M$99</f>
        <v>0</v>
      </c>
      <c r="Z756" s="668">
        <f>SUMIF(N$401:N$490,$C756,$S$401:$S$490)*Forrajes!BN23*N$99</f>
        <v>0</v>
      </c>
      <c r="AA756" s="668">
        <f>SUMIF(O$401:O$490,$C756,$S$401:$S$490)*Forrajes!BO23*O$99</f>
        <v>0</v>
      </c>
      <c r="AB756" s="668">
        <f>SUMIF(P$401:P$490,$C756,$S$401:$S$490)*Forrajes!BP23*P$99</f>
        <v>0</v>
      </c>
      <c r="AC756" s="668">
        <f>SUMIF(Q$401:Q$490,$C756,$S$401:$S$490)*Forrajes!BQ23*Q$99</f>
        <v>0</v>
      </c>
      <c r="AD756" s="1977">
        <f>SUMIF(R$401:R$490,$C756,$S$401:$S$490)*Forrajes!BR23*R$99</f>
        <v>0</v>
      </c>
      <c r="AF756" s="1976">
        <f>Forrajes!BU23*S756</f>
        <v>0</v>
      </c>
      <c r="AG756" s="668">
        <f>Forrajes!BV23*T756</f>
        <v>0</v>
      </c>
      <c r="AH756" s="668">
        <f>Forrajes!BW23*U756</f>
        <v>0</v>
      </c>
      <c r="AI756" s="668">
        <f>Forrajes!BX23*V756</f>
        <v>0</v>
      </c>
      <c r="AJ756" s="668">
        <f>Forrajes!BY23*W756</f>
        <v>0</v>
      </c>
      <c r="AK756" s="668">
        <f>Forrajes!BZ23*X756</f>
        <v>0</v>
      </c>
      <c r="AL756" s="668">
        <f>Forrajes!CA23*Y756</f>
        <v>0</v>
      </c>
      <c r="AM756" s="668">
        <f>Forrajes!CB23*Z756</f>
        <v>0</v>
      </c>
      <c r="AN756" s="668">
        <f>Forrajes!CC23*AA756</f>
        <v>0</v>
      </c>
      <c r="AO756" s="668">
        <f>Forrajes!CD23*AB756</f>
        <v>0</v>
      </c>
      <c r="AP756" s="668">
        <f>Forrajes!CE23*AC756</f>
        <v>0</v>
      </c>
      <c r="AQ756" s="668">
        <f>Forrajes!CF23*AD756</f>
        <v>0</v>
      </c>
      <c r="AS756" s="1976">
        <f>Forrajes!CI23*S756</f>
        <v>0</v>
      </c>
      <c r="AT756" s="668">
        <f>Forrajes!CJ23*T756</f>
        <v>0</v>
      </c>
      <c r="AU756" s="668">
        <f>Forrajes!CK23*U756</f>
        <v>0</v>
      </c>
      <c r="AV756" s="668">
        <f>Forrajes!CL23*V756</f>
        <v>0</v>
      </c>
      <c r="AW756" s="668">
        <f>Forrajes!CM23*W756</f>
        <v>0</v>
      </c>
      <c r="AX756" s="668">
        <f>Forrajes!CN23*X756</f>
        <v>0</v>
      </c>
      <c r="AY756" s="668">
        <f>Forrajes!CO23*Y756</f>
        <v>0</v>
      </c>
      <c r="AZ756" s="668">
        <f>Forrajes!CP23*Z756</f>
        <v>0</v>
      </c>
      <c r="BA756" s="668">
        <f>Forrajes!CQ23*AA756</f>
        <v>0</v>
      </c>
      <c r="BB756" s="668">
        <f>Forrajes!CR23*AB756</f>
        <v>0</v>
      </c>
      <c r="BC756" s="668">
        <f>Forrajes!CS23*AC756</f>
        <v>0</v>
      </c>
      <c r="BD756" s="1818">
        <f>Forrajes!CT23*AD756</f>
        <v>0</v>
      </c>
      <c r="BE756" s="590"/>
      <c r="BF756" s="100"/>
      <c r="BG756" s="590"/>
      <c r="BH756" s="590"/>
      <c r="BI756" s="1978"/>
      <c r="BJ756" s="1975"/>
      <c r="BK756" s="590"/>
    </row>
    <row r="757" spans="3:63" s="108" customFormat="1" x14ac:dyDescent="0.2">
      <c r="C757" s="1971" t="str">
        <f t="shared" si="593"/>
        <v>PP 2Recría-Vacas Secas</v>
      </c>
      <c r="D757" s="1857" t="str">
        <f t="shared" si="580"/>
        <v>PP 2</v>
      </c>
      <c r="E757" s="590"/>
      <c r="F757" s="1972">
        <f t="shared" ref="F757:Q757" si="598">IF($D757&lt;&gt;0,SUMIFS($C$9:$C$98,$D$9:$D$98,$D$639,G$9:G$98,$D757),0)</f>
        <v>0</v>
      </c>
      <c r="G757" s="1972">
        <f t="shared" si="598"/>
        <v>0</v>
      </c>
      <c r="H757" s="1972">
        <f t="shared" si="598"/>
        <v>0</v>
      </c>
      <c r="I757" s="1972">
        <f t="shared" si="595"/>
        <v>0</v>
      </c>
      <c r="J757" s="1972">
        <f t="shared" si="598"/>
        <v>0</v>
      </c>
      <c r="K757" s="1972">
        <f t="shared" si="598"/>
        <v>0</v>
      </c>
      <c r="L757" s="1972">
        <f t="shared" si="598"/>
        <v>0</v>
      </c>
      <c r="M757" s="1972">
        <f t="shared" si="598"/>
        <v>0</v>
      </c>
      <c r="N757" s="1972">
        <f t="shared" si="598"/>
        <v>0</v>
      </c>
      <c r="O757" s="1972">
        <f t="shared" si="598"/>
        <v>0</v>
      </c>
      <c r="P757" s="1972">
        <f t="shared" si="598"/>
        <v>0</v>
      </c>
      <c r="Q757" s="1972">
        <f t="shared" si="598"/>
        <v>0</v>
      </c>
      <c r="S757" s="1976">
        <f>SUMIF(G$401:G$490,$C757,$S$401:$S$490)*Forrajes!BG24*G$99</f>
        <v>0</v>
      </c>
      <c r="T757" s="668">
        <f>SUMIF(H$401:H$490,$C757,$S$401:$S$490)*Forrajes!BH24*H$99</f>
        <v>0</v>
      </c>
      <c r="U757" s="668">
        <f>SUMIF(I$401:I$490,$C757,$S$401:$S$490)*Forrajes!BI24*I$99</f>
        <v>0</v>
      </c>
      <c r="V757" s="668">
        <f>SUMIF(J$401:J$490,$C757,$S$401:$S$490)*Forrajes!BJ24*J$99</f>
        <v>0</v>
      </c>
      <c r="W757" s="668">
        <f>SUMIF(K$401:K$490,$C757,$S$401:$S$490)*Forrajes!BK24*K$99</f>
        <v>0</v>
      </c>
      <c r="X757" s="668">
        <f>SUMIF(L$401:L$490,$C757,$S$401:$S$490)*Forrajes!BL24*L$99</f>
        <v>0</v>
      </c>
      <c r="Y757" s="668">
        <f>SUMIF(M$401:M$490,$C757,$S$401:$S$490)*Forrajes!BM24*M$99</f>
        <v>0</v>
      </c>
      <c r="Z757" s="668">
        <f>SUMIF(N$401:N$490,$C757,$S$401:$S$490)*Forrajes!BN24*N$99</f>
        <v>0</v>
      </c>
      <c r="AA757" s="668">
        <f>SUMIF(O$401:O$490,$C757,$S$401:$S$490)*Forrajes!BO24*O$99</f>
        <v>0</v>
      </c>
      <c r="AB757" s="668">
        <f>SUMIF(P$401:P$490,$C757,$S$401:$S$490)*Forrajes!BP24*P$99</f>
        <v>0</v>
      </c>
      <c r="AC757" s="668">
        <f>SUMIF(Q$401:Q$490,$C757,$S$401:$S$490)*Forrajes!BQ24*Q$99</f>
        <v>0</v>
      </c>
      <c r="AD757" s="1977">
        <f>SUMIF(R$401:R$490,$C757,$S$401:$S$490)*Forrajes!BR24*R$99</f>
        <v>0</v>
      </c>
      <c r="AF757" s="1976">
        <f>Forrajes!BU24*S757</f>
        <v>0</v>
      </c>
      <c r="AG757" s="668">
        <f>Forrajes!BV24*T757</f>
        <v>0</v>
      </c>
      <c r="AH757" s="668">
        <f>Forrajes!BW24*U757</f>
        <v>0</v>
      </c>
      <c r="AI757" s="668">
        <f>Forrajes!BX24*V757</f>
        <v>0</v>
      </c>
      <c r="AJ757" s="668">
        <f>Forrajes!BY24*W757</f>
        <v>0</v>
      </c>
      <c r="AK757" s="668">
        <f>Forrajes!BZ24*X757</f>
        <v>0</v>
      </c>
      <c r="AL757" s="668">
        <f>Forrajes!CA24*Y757</f>
        <v>0</v>
      </c>
      <c r="AM757" s="668">
        <f>Forrajes!CB24*Z757</f>
        <v>0</v>
      </c>
      <c r="AN757" s="668">
        <f>Forrajes!CC24*AA757</f>
        <v>0</v>
      </c>
      <c r="AO757" s="668">
        <f>Forrajes!CD24*AB757</f>
        <v>0</v>
      </c>
      <c r="AP757" s="668">
        <f>Forrajes!CE24*AC757</f>
        <v>0</v>
      </c>
      <c r="AQ757" s="668">
        <f>Forrajes!CF24*AD757</f>
        <v>0</v>
      </c>
      <c r="AS757" s="1976">
        <f>Forrajes!CI24*S757</f>
        <v>0</v>
      </c>
      <c r="AT757" s="668">
        <f>Forrajes!CJ24*T757</f>
        <v>0</v>
      </c>
      <c r="AU757" s="668">
        <f>Forrajes!CK24*U757</f>
        <v>0</v>
      </c>
      <c r="AV757" s="668">
        <f>Forrajes!CL24*V757</f>
        <v>0</v>
      </c>
      <c r="AW757" s="668">
        <f>Forrajes!CM24*W757</f>
        <v>0</v>
      </c>
      <c r="AX757" s="668">
        <f>Forrajes!CN24*X757</f>
        <v>0</v>
      </c>
      <c r="AY757" s="668">
        <f>Forrajes!CO24*Y757</f>
        <v>0</v>
      </c>
      <c r="AZ757" s="668">
        <f>Forrajes!CP24*Z757</f>
        <v>0</v>
      </c>
      <c r="BA757" s="668">
        <f>Forrajes!CQ24*AA757</f>
        <v>0</v>
      </c>
      <c r="BB757" s="668">
        <f>Forrajes!CR24*AB757</f>
        <v>0</v>
      </c>
      <c r="BC757" s="668">
        <f>Forrajes!CS24*AC757</f>
        <v>0</v>
      </c>
      <c r="BD757" s="1818">
        <f>Forrajes!CT24*AD757</f>
        <v>0</v>
      </c>
      <c r="BE757" s="590"/>
      <c r="BF757" s="100"/>
      <c r="BG757" s="590"/>
      <c r="BH757" s="590"/>
      <c r="BI757" s="1978"/>
      <c r="BJ757" s="1975"/>
      <c r="BK757" s="590"/>
    </row>
    <row r="758" spans="3:63" s="108" customFormat="1" x14ac:dyDescent="0.2">
      <c r="C758" s="1971" t="str">
        <f t="shared" si="593"/>
        <v>PP 3Recría-Vacas Secas</v>
      </c>
      <c r="D758" s="1857" t="str">
        <f t="shared" si="580"/>
        <v>PP 3</v>
      </c>
      <c r="E758" s="590"/>
      <c r="F758" s="1972">
        <f t="shared" ref="F758:Q758" si="599">IF($D758&lt;&gt;0,SUMIFS($C$9:$C$98,$D$9:$D$98,$D$639,G$9:G$98,$D758),0)</f>
        <v>0</v>
      </c>
      <c r="G758" s="1972">
        <f t="shared" si="599"/>
        <v>0</v>
      </c>
      <c r="H758" s="1972">
        <f t="shared" si="599"/>
        <v>0</v>
      </c>
      <c r="I758" s="1972">
        <f t="shared" si="595"/>
        <v>0</v>
      </c>
      <c r="J758" s="1972">
        <f t="shared" si="599"/>
        <v>0</v>
      </c>
      <c r="K758" s="1972">
        <f t="shared" si="599"/>
        <v>0</v>
      </c>
      <c r="L758" s="1972">
        <f t="shared" si="599"/>
        <v>0</v>
      </c>
      <c r="M758" s="1972">
        <f t="shared" si="599"/>
        <v>0</v>
      </c>
      <c r="N758" s="1972">
        <f t="shared" si="599"/>
        <v>0</v>
      </c>
      <c r="O758" s="1972">
        <f t="shared" si="599"/>
        <v>0</v>
      </c>
      <c r="P758" s="1972">
        <f t="shared" si="599"/>
        <v>0</v>
      </c>
      <c r="Q758" s="1972">
        <f t="shared" si="599"/>
        <v>0</v>
      </c>
      <c r="S758" s="1976">
        <f>SUMIF(G$401:G$490,$C758,$S$401:$S$490)*Forrajes!BG25*G$99</f>
        <v>0</v>
      </c>
      <c r="T758" s="668">
        <f>SUMIF(H$401:H$490,$C758,$S$401:$S$490)*Forrajes!BH25*H$99</f>
        <v>0</v>
      </c>
      <c r="U758" s="668">
        <f>SUMIF(I$401:I$490,$C758,$S$401:$S$490)*Forrajes!BI25*I$99</f>
        <v>0</v>
      </c>
      <c r="V758" s="668">
        <f>SUMIF(J$401:J$490,$C758,$S$401:$S$490)*Forrajes!BJ25*J$99</f>
        <v>0</v>
      </c>
      <c r="W758" s="668">
        <f>SUMIF(K$401:K$490,$C758,$S$401:$S$490)*Forrajes!BK25*K$99</f>
        <v>0</v>
      </c>
      <c r="X758" s="668">
        <f>SUMIF(L$401:L$490,$C758,$S$401:$S$490)*Forrajes!BL25*L$99</f>
        <v>0</v>
      </c>
      <c r="Y758" s="668">
        <f>SUMIF(M$401:M$490,$C758,$S$401:$S$490)*Forrajes!BM25*M$99</f>
        <v>0</v>
      </c>
      <c r="Z758" s="668">
        <f>SUMIF(N$401:N$490,$C758,$S$401:$S$490)*Forrajes!BN25*N$99</f>
        <v>0</v>
      </c>
      <c r="AA758" s="668">
        <f>SUMIF(O$401:O$490,$C758,$S$401:$S$490)*Forrajes!BO25*O$99</f>
        <v>0</v>
      </c>
      <c r="AB758" s="668">
        <f>SUMIF(P$401:P$490,$C758,$S$401:$S$490)*Forrajes!BP25*P$99</f>
        <v>0</v>
      </c>
      <c r="AC758" s="668">
        <f>SUMIF(Q$401:Q$490,$C758,$S$401:$S$490)*Forrajes!BQ25*Q$99</f>
        <v>0</v>
      </c>
      <c r="AD758" s="1977">
        <f>SUMIF(R$401:R$490,$C758,$S$401:$S$490)*Forrajes!BR25*R$99</f>
        <v>0</v>
      </c>
      <c r="AF758" s="1976">
        <f>Forrajes!BU25*S758</f>
        <v>0</v>
      </c>
      <c r="AG758" s="668">
        <f>Forrajes!BV25*T758</f>
        <v>0</v>
      </c>
      <c r="AH758" s="668">
        <f>Forrajes!BW25*U758</f>
        <v>0</v>
      </c>
      <c r="AI758" s="668">
        <f>Forrajes!BX25*V758</f>
        <v>0</v>
      </c>
      <c r="AJ758" s="668">
        <f>Forrajes!BY25*W758</f>
        <v>0</v>
      </c>
      <c r="AK758" s="668">
        <f>Forrajes!BZ25*X758</f>
        <v>0</v>
      </c>
      <c r="AL758" s="668">
        <f>Forrajes!CA25*Y758</f>
        <v>0</v>
      </c>
      <c r="AM758" s="668">
        <f>Forrajes!CB25*Z758</f>
        <v>0</v>
      </c>
      <c r="AN758" s="668">
        <f>Forrajes!CC25*AA758</f>
        <v>0</v>
      </c>
      <c r="AO758" s="668">
        <f>Forrajes!CD25*AB758</f>
        <v>0</v>
      </c>
      <c r="AP758" s="668">
        <f>Forrajes!CE25*AC758</f>
        <v>0</v>
      </c>
      <c r="AQ758" s="668">
        <f>Forrajes!CF25*AD758</f>
        <v>0</v>
      </c>
      <c r="AS758" s="1976">
        <f>Forrajes!CI25*S758</f>
        <v>0</v>
      </c>
      <c r="AT758" s="668">
        <f>Forrajes!CJ25*T758</f>
        <v>0</v>
      </c>
      <c r="AU758" s="668">
        <f>Forrajes!CK25*U758</f>
        <v>0</v>
      </c>
      <c r="AV758" s="668">
        <f>Forrajes!CL25*V758</f>
        <v>0</v>
      </c>
      <c r="AW758" s="668">
        <f>Forrajes!CM25*W758</f>
        <v>0</v>
      </c>
      <c r="AX758" s="668">
        <f>Forrajes!CN25*X758</f>
        <v>0</v>
      </c>
      <c r="AY758" s="668">
        <f>Forrajes!CO25*Y758</f>
        <v>0</v>
      </c>
      <c r="AZ758" s="668">
        <f>Forrajes!CP25*Z758</f>
        <v>0</v>
      </c>
      <c r="BA758" s="668">
        <f>Forrajes!CQ25*AA758</f>
        <v>0</v>
      </c>
      <c r="BB758" s="668">
        <f>Forrajes!CR25*AB758</f>
        <v>0</v>
      </c>
      <c r="BC758" s="668">
        <f>Forrajes!CS25*AC758</f>
        <v>0</v>
      </c>
      <c r="BD758" s="1818">
        <f>Forrajes!CT25*AD758</f>
        <v>0</v>
      </c>
      <c r="BE758" s="590"/>
      <c r="BF758" s="100"/>
      <c r="BG758" s="590"/>
      <c r="BH758" s="590"/>
      <c r="BI758" s="1978"/>
      <c r="BJ758" s="1975"/>
      <c r="BK758" s="590"/>
    </row>
    <row r="759" spans="3:63" s="108" customFormat="1" x14ac:dyDescent="0.2">
      <c r="C759" s="1971" t="str">
        <f t="shared" si="593"/>
        <v>PP 4Recría-Vacas Secas</v>
      </c>
      <c r="D759" s="1857" t="str">
        <f t="shared" si="580"/>
        <v>PP 4</v>
      </c>
      <c r="E759" s="590"/>
      <c r="F759" s="1972">
        <f t="shared" ref="F759:Q759" si="600">IF($D759&lt;&gt;0,SUMIFS($C$9:$C$98,$D$9:$D$98,$D$639,G$9:G$98,$D759),0)</f>
        <v>0</v>
      </c>
      <c r="G759" s="1972">
        <f t="shared" si="600"/>
        <v>0</v>
      </c>
      <c r="H759" s="1972">
        <f t="shared" si="600"/>
        <v>0</v>
      </c>
      <c r="I759" s="1972">
        <f t="shared" si="595"/>
        <v>0</v>
      </c>
      <c r="J759" s="1972">
        <f t="shared" si="600"/>
        <v>0</v>
      </c>
      <c r="K759" s="1972">
        <f t="shared" si="600"/>
        <v>0</v>
      </c>
      <c r="L759" s="1972">
        <f t="shared" si="600"/>
        <v>0</v>
      </c>
      <c r="M759" s="1972">
        <f t="shared" si="600"/>
        <v>0</v>
      </c>
      <c r="N759" s="1972">
        <f t="shared" si="600"/>
        <v>0</v>
      </c>
      <c r="O759" s="1972">
        <f t="shared" si="600"/>
        <v>0</v>
      </c>
      <c r="P759" s="1972">
        <f t="shared" si="600"/>
        <v>0</v>
      </c>
      <c r="Q759" s="1972">
        <f t="shared" si="600"/>
        <v>0</v>
      </c>
      <c r="S759" s="1976">
        <f>SUMIF(G$401:G$490,$C759,$S$401:$S$490)*Forrajes!BG26*G$99</f>
        <v>0</v>
      </c>
      <c r="T759" s="668">
        <f>SUMIF(H$401:H$490,$C759,$S$401:$S$490)*Forrajes!BH26*H$99</f>
        <v>0</v>
      </c>
      <c r="U759" s="668">
        <f>SUMIF(I$401:I$490,$C759,$S$401:$S$490)*Forrajes!BI26*I$99</f>
        <v>0</v>
      </c>
      <c r="V759" s="668">
        <f>SUMIF(J$401:J$490,$C759,$S$401:$S$490)*Forrajes!BJ26*J$99</f>
        <v>0</v>
      </c>
      <c r="W759" s="668">
        <f>SUMIF(K$401:K$490,$C759,$S$401:$S$490)*Forrajes!BK26*K$99</f>
        <v>0</v>
      </c>
      <c r="X759" s="668">
        <f>SUMIF(L$401:L$490,$C759,$S$401:$S$490)*Forrajes!BL26*L$99</f>
        <v>0</v>
      </c>
      <c r="Y759" s="668">
        <f>SUMIF(M$401:M$490,$C759,$S$401:$S$490)*Forrajes!BM26*M$99</f>
        <v>0</v>
      </c>
      <c r="Z759" s="668">
        <f>SUMIF(N$401:N$490,$C759,$S$401:$S$490)*Forrajes!BN26*N$99</f>
        <v>0</v>
      </c>
      <c r="AA759" s="668">
        <f>SUMIF(O$401:O$490,$C759,$S$401:$S$490)*Forrajes!BO26*O$99</f>
        <v>0</v>
      </c>
      <c r="AB759" s="668">
        <f>SUMIF(P$401:P$490,$C759,$S$401:$S$490)*Forrajes!BP26*P$99</f>
        <v>0</v>
      </c>
      <c r="AC759" s="668">
        <f>SUMIF(Q$401:Q$490,$C759,$S$401:$S$490)*Forrajes!BQ26*Q$99</f>
        <v>0</v>
      </c>
      <c r="AD759" s="1977">
        <f>SUMIF(R$401:R$490,$C759,$S$401:$S$490)*Forrajes!BR26*R$99</f>
        <v>0</v>
      </c>
      <c r="AF759" s="1976">
        <f>Forrajes!BU26*S759</f>
        <v>0</v>
      </c>
      <c r="AG759" s="668">
        <f>Forrajes!BV26*T759</f>
        <v>0</v>
      </c>
      <c r="AH759" s="668">
        <f>Forrajes!BW26*U759</f>
        <v>0</v>
      </c>
      <c r="AI759" s="668">
        <f>Forrajes!BX26*V759</f>
        <v>0</v>
      </c>
      <c r="AJ759" s="668">
        <f>Forrajes!BY26*W759</f>
        <v>0</v>
      </c>
      <c r="AK759" s="668">
        <f>Forrajes!BZ26*X759</f>
        <v>0</v>
      </c>
      <c r="AL759" s="668">
        <f>Forrajes!CA26*Y759</f>
        <v>0</v>
      </c>
      <c r="AM759" s="668">
        <f>Forrajes!CB26*Z759</f>
        <v>0</v>
      </c>
      <c r="AN759" s="668">
        <f>Forrajes!CC26*AA759</f>
        <v>0</v>
      </c>
      <c r="AO759" s="668">
        <f>Forrajes!CD26*AB759</f>
        <v>0</v>
      </c>
      <c r="AP759" s="668">
        <f>Forrajes!CE26*AC759</f>
        <v>0</v>
      </c>
      <c r="AQ759" s="668">
        <f>Forrajes!CF26*AD759</f>
        <v>0</v>
      </c>
      <c r="AS759" s="1976">
        <f>Forrajes!CI26*S759</f>
        <v>0</v>
      </c>
      <c r="AT759" s="668">
        <f>Forrajes!CJ26*T759</f>
        <v>0</v>
      </c>
      <c r="AU759" s="668">
        <f>Forrajes!CK26*U759</f>
        <v>0</v>
      </c>
      <c r="AV759" s="668">
        <f>Forrajes!CL26*V759</f>
        <v>0</v>
      </c>
      <c r="AW759" s="668">
        <f>Forrajes!CM26*W759</f>
        <v>0</v>
      </c>
      <c r="AX759" s="668">
        <f>Forrajes!CN26*X759</f>
        <v>0</v>
      </c>
      <c r="AY759" s="668">
        <f>Forrajes!CO26*Y759</f>
        <v>0</v>
      </c>
      <c r="AZ759" s="668">
        <f>Forrajes!CP26*Z759</f>
        <v>0</v>
      </c>
      <c r="BA759" s="668">
        <f>Forrajes!CQ26*AA759</f>
        <v>0</v>
      </c>
      <c r="BB759" s="668">
        <f>Forrajes!CR26*AB759</f>
        <v>0</v>
      </c>
      <c r="BC759" s="668">
        <f>Forrajes!CS26*AC759</f>
        <v>0</v>
      </c>
      <c r="BD759" s="1818">
        <f>Forrajes!CT26*AD759</f>
        <v>0</v>
      </c>
      <c r="BE759" s="590"/>
      <c r="BF759" s="100"/>
      <c r="BG759" s="590"/>
      <c r="BH759" s="590"/>
      <c r="BI759" s="1978"/>
      <c r="BJ759" s="1975"/>
      <c r="BK759" s="590"/>
    </row>
    <row r="760" spans="3:63" s="108" customFormat="1" x14ac:dyDescent="0.2">
      <c r="C760" s="1971" t="str">
        <f t="shared" si="593"/>
        <v>Prad 2Recría-Vacas Secas</v>
      </c>
      <c r="D760" s="1857" t="str">
        <f t="shared" si="580"/>
        <v>Prad 2</v>
      </c>
      <c r="E760" s="590"/>
      <c r="F760" s="1972">
        <f t="shared" ref="F760:Q760" si="601">IF($D760&lt;&gt;0,SUMIFS($C$9:$C$98,$D$9:$D$98,$D$639,G$9:G$98,$D760),0)</f>
        <v>0</v>
      </c>
      <c r="G760" s="1972">
        <f t="shared" si="601"/>
        <v>0</v>
      </c>
      <c r="H760" s="1972">
        <f t="shared" si="601"/>
        <v>0</v>
      </c>
      <c r="I760" s="1972">
        <f t="shared" si="595"/>
        <v>0</v>
      </c>
      <c r="J760" s="1972">
        <f t="shared" si="601"/>
        <v>0</v>
      </c>
      <c r="K760" s="1972">
        <f t="shared" si="601"/>
        <v>0</v>
      </c>
      <c r="L760" s="1972">
        <f t="shared" si="601"/>
        <v>0</v>
      </c>
      <c r="M760" s="1972">
        <f t="shared" si="601"/>
        <v>0</v>
      </c>
      <c r="N760" s="1972">
        <f t="shared" si="601"/>
        <v>0</v>
      </c>
      <c r="O760" s="1972">
        <f t="shared" si="601"/>
        <v>0</v>
      </c>
      <c r="P760" s="1972">
        <f t="shared" si="601"/>
        <v>0</v>
      </c>
      <c r="Q760" s="1972">
        <f t="shared" si="601"/>
        <v>0</v>
      </c>
      <c r="S760" s="1976">
        <f>SUMIF(G$401:G$490,$C760,$S$401:$S$490)*Forrajes!BG27*G$99</f>
        <v>0</v>
      </c>
      <c r="T760" s="668">
        <f>SUMIF(H$401:H$490,$C760,$S$401:$S$490)*Forrajes!BH27*H$99</f>
        <v>0</v>
      </c>
      <c r="U760" s="668">
        <f>SUMIF(I$401:I$490,$C760,$S$401:$S$490)*Forrajes!BI27*I$99</f>
        <v>0</v>
      </c>
      <c r="V760" s="668">
        <f>SUMIF(J$401:J$490,$C760,$S$401:$S$490)*Forrajes!BJ27*J$99</f>
        <v>0</v>
      </c>
      <c r="W760" s="668">
        <f>SUMIF(K$401:K$490,$C760,$S$401:$S$490)*Forrajes!BK27*K$99</f>
        <v>0</v>
      </c>
      <c r="X760" s="668">
        <f>SUMIF(L$401:L$490,$C760,$S$401:$S$490)*Forrajes!BL27*L$99</f>
        <v>0</v>
      </c>
      <c r="Y760" s="668">
        <f>SUMIF(M$401:M$490,$C760,$S$401:$S$490)*Forrajes!BM27*M$99</f>
        <v>0</v>
      </c>
      <c r="Z760" s="668">
        <f>SUMIF(N$401:N$490,$C760,$S$401:$S$490)*Forrajes!BN27*N$99</f>
        <v>0</v>
      </c>
      <c r="AA760" s="668">
        <f>SUMIF(O$401:O$490,$C760,$S$401:$S$490)*Forrajes!BO27*O$99</f>
        <v>0</v>
      </c>
      <c r="AB760" s="668">
        <f>SUMIF(P$401:P$490,$C760,$S$401:$S$490)*Forrajes!BP27*P$99</f>
        <v>0</v>
      </c>
      <c r="AC760" s="668">
        <f>SUMIF(Q$401:Q$490,$C760,$S$401:$S$490)*Forrajes!BQ27*Q$99</f>
        <v>0</v>
      </c>
      <c r="AD760" s="1977">
        <f>SUMIF(R$401:R$490,$C760,$S$401:$S$490)*Forrajes!BR27*R$99</f>
        <v>0</v>
      </c>
      <c r="AF760" s="1976">
        <f>Forrajes!BU27*S760</f>
        <v>0</v>
      </c>
      <c r="AG760" s="668">
        <f>Forrajes!BV27*T760</f>
        <v>0</v>
      </c>
      <c r="AH760" s="668">
        <f>Forrajes!BW27*U760</f>
        <v>0</v>
      </c>
      <c r="AI760" s="668">
        <f>Forrajes!BX27*V760</f>
        <v>0</v>
      </c>
      <c r="AJ760" s="668">
        <f>Forrajes!BY27*W760</f>
        <v>0</v>
      </c>
      <c r="AK760" s="668">
        <f>Forrajes!BZ27*X760</f>
        <v>0</v>
      </c>
      <c r="AL760" s="668">
        <f>Forrajes!CA27*Y760</f>
        <v>0</v>
      </c>
      <c r="AM760" s="668">
        <f>Forrajes!CB27*Z760</f>
        <v>0</v>
      </c>
      <c r="AN760" s="668">
        <f>Forrajes!CC27*AA760</f>
        <v>0</v>
      </c>
      <c r="AO760" s="668">
        <f>Forrajes!CD27*AB760</f>
        <v>0</v>
      </c>
      <c r="AP760" s="668">
        <f>Forrajes!CE27*AC760</f>
        <v>0</v>
      </c>
      <c r="AQ760" s="668">
        <f>Forrajes!CF27*AD760</f>
        <v>0</v>
      </c>
      <c r="AS760" s="1976">
        <f>Forrajes!CI27*S760</f>
        <v>0</v>
      </c>
      <c r="AT760" s="668">
        <f>Forrajes!CJ27*T760</f>
        <v>0</v>
      </c>
      <c r="AU760" s="668">
        <f>Forrajes!CK27*U760</f>
        <v>0</v>
      </c>
      <c r="AV760" s="668">
        <f>Forrajes!CL27*V760</f>
        <v>0</v>
      </c>
      <c r="AW760" s="668">
        <f>Forrajes!CM27*W760</f>
        <v>0</v>
      </c>
      <c r="AX760" s="668">
        <f>Forrajes!CN27*X760</f>
        <v>0</v>
      </c>
      <c r="AY760" s="668">
        <f>Forrajes!CO27*Y760</f>
        <v>0</v>
      </c>
      <c r="AZ760" s="668">
        <f>Forrajes!CP27*Z760</f>
        <v>0</v>
      </c>
      <c r="BA760" s="668">
        <f>Forrajes!CQ27*AA760</f>
        <v>0</v>
      </c>
      <c r="BB760" s="668">
        <f>Forrajes!CR27*AB760</f>
        <v>0</v>
      </c>
      <c r="BC760" s="668">
        <f>Forrajes!CS27*AC760</f>
        <v>0</v>
      </c>
      <c r="BD760" s="1818">
        <f>Forrajes!CT27*AD760</f>
        <v>0</v>
      </c>
      <c r="BE760" s="590"/>
      <c r="BF760" s="100"/>
      <c r="BG760" s="590"/>
      <c r="BH760" s="590"/>
      <c r="BI760" s="100"/>
      <c r="BJ760" s="1975"/>
      <c r="BK760" s="590"/>
    </row>
    <row r="761" spans="3:63" s="108" customFormat="1" x14ac:dyDescent="0.2">
      <c r="C761" s="1971" t="str">
        <f t="shared" si="593"/>
        <v>Prad 3Recría-Vacas Secas</v>
      </c>
      <c r="D761" s="1857" t="str">
        <f t="shared" si="580"/>
        <v>Prad 3</v>
      </c>
      <c r="E761" s="590"/>
      <c r="F761" s="1972">
        <f t="shared" ref="F761:Q761" si="602">IF($D761&lt;&gt;0,SUMIFS($C$9:$C$98,$D$9:$D$98,$D$639,G$9:G$98,$D761),0)</f>
        <v>0</v>
      </c>
      <c r="G761" s="1972">
        <f t="shared" si="602"/>
        <v>0</v>
      </c>
      <c r="H761" s="1972">
        <f t="shared" si="602"/>
        <v>0</v>
      </c>
      <c r="I761" s="1972">
        <f t="shared" si="595"/>
        <v>0</v>
      </c>
      <c r="J761" s="1972">
        <f t="shared" si="602"/>
        <v>0</v>
      </c>
      <c r="K761" s="1972">
        <f t="shared" si="602"/>
        <v>0</v>
      </c>
      <c r="L761" s="1972">
        <f t="shared" si="602"/>
        <v>0</v>
      </c>
      <c r="M761" s="1972">
        <f t="shared" si="602"/>
        <v>0</v>
      </c>
      <c r="N761" s="1972">
        <f t="shared" si="602"/>
        <v>0</v>
      </c>
      <c r="O761" s="1972">
        <f t="shared" si="602"/>
        <v>0</v>
      </c>
      <c r="P761" s="1972">
        <f t="shared" si="602"/>
        <v>0</v>
      </c>
      <c r="Q761" s="1972">
        <f t="shared" si="602"/>
        <v>0</v>
      </c>
      <c r="S761" s="1976">
        <f>SUMIF(G$401:G$490,$C761,$S$401:$S$490)*Forrajes!BG28*G$99</f>
        <v>0</v>
      </c>
      <c r="T761" s="668">
        <f>SUMIF(H$401:H$490,$C761,$S$401:$S$490)*Forrajes!BH28*H$99</f>
        <v>0</v>
      </c>
      <c r="U761" s="668">
        <f>SUMIF(I$401:I$490,$C761,$S$401:$S$490)*Forrajes!BI28*I$99</f>
        <v>0</v>
      </c>
      <c r="V761" s="668">
        <f>SUMIF(J$401:J$490,$C761,$S$401:$S$490)*Forrajes!BJ28*J$99</f>
        <v>0</v>
      </c>
      <c r="W761" s="668">
        <f>SUMIF(K$401:K$490,$C761,$S$401:$S$490)*Forrajes!BK28*K$99</f>
        <v>0</v>
      </c>
      <c r="X761" s="668">
        <f>SUMIF(L$401:L$490,$C761,$S$401:$S$490)*Forrajes!BL28*L$99</f>
        <v>0</v>
      </c>
      <c r="Y761" s="668">
        <f>SUMIF(M$401:M$490,$C761,$S$401:$S$490)*Forrajes!BM28*M$99</f>
        <v>0</v>
      </c>
      <c r="Z761" s="668">
        <f>SUMIF(N$401:N$490,$C761,$S$401:$S$490)*Forrajes!BN28*N$99</f>
        <v>0</v>
      </c>
      <c r="AA761" s="668">
        <f>SUMIF(O$401:O$490,$C761,$S$401:$S$490)*Forrajes!BO28*O$99</f>
        <v>0</v>
      </c>
      <c r="AB761" s="668">
        <f>SUMIF(P$401:P$490,$C761,$S$401:$S$490)*Forrajes!BP28*P$99</f>
        <v>0</v>
      </c>
      <c r="AC761" s="668">
        <f>SUMIF(Q$401:Q$490,$C761,$S$401:$S$490)*Forrajes!BQ28*Q$99</f>
        <v>0</v>
      </c>
      <c r="AD761" s="1977">
        <f>SUMIF(R$401:R$490,$C761,$S$401:$S$490)*Forrajes!BR28*R$99</f>
        <v>0</v>
      </c>
      <c r="AF761" s="1976">
        <f>Forrajes!BU28*S761</f>
        <v>0</v>
      </c>
      <c r="AG761" s="668">
        <f>Forrajes!BV28*T761</f>
        <v>0</v>
      </c>
      <c r="AH761" s="668">
        <f>Forrajes!BW28*U761</f>
        <v>0</v>
      </c>
      <c r="AI761" s="668">
        <f>Forrajes!BX28*V761</f>
        <v>0</v>
      </c>
      <c r="AJ761" s="668">
        <f>Forrajes!BY28*W761</f>
        <v>0</v>
      </c>
      <c r="AK761" s="668">
        <f>Forrajes!BZ28*X761</f>
        <v>0</v>
      </c>
      <c r="AL761" s="668">
        <f>Forrajes!CA28*Y761</f>
        <v>0</v>
      </c>
      <c r="AM761" s="668">
        <f>Forrajes!CB28*Z761</f>
        <v>0</v>
      </c>
      <c r="AN761" s="668">
        <f>Forrajes!CC28*AA761</f>
        <v>0</v>
      </c>
      <c r="AO761" s="668">
        <f>Forrajes!CD28*AB761</f>
        <v>0</v>
      </c>
      <c r="AP761" s="668">
        <f>Forrajes!CE28*AC761</f>
        <v>0</v>
      </c>
      <c r="AQ761" s="668">
        <f>Forrajes!CF28*AD761</f>
        <v>0</v>
      </c>
      <c r="AS761" s="1976">
        <f>Forrajes!CI28*S761</f>
        <v>0</v>
      </c>
      <c r="AT761" s="668">
        <f>Forrajes!CJ28*T761</f>
        <v>0</v>
      </c>
      <c r="AU761" s="668">
        <f>Forrajes!CK28*U761</f>
        <v>0</v>
      </c>
      <c r="AV761" s="668">
        <f>Forrajes!CL28*V761</f>
        <v>0</v>
      </c>
      <c r="AW761" s="668">
        <f>Forrajes!CM28*W761</f>
        <v>0</v>
      </c>
      <c r="AX761" s="668">
        <f>Forrajes!CN28*X761</f>
        <v>0</v>
      </c>
      <c r="AY761" s="668">
        <f>Forrajes!CO28*Y761</f>
        <v>0</v>
      </c>
      <c r="AZ761" s="668">
        <f>Forrajes!CP28*Z761</f>
        <v>0</v>
      </c>
      <c r="BA761" s="668">
        <f>Forrajes!CQ28*AA761</f>
        <v>0</v>
      </c>
      <c r="BB761" s="668">
        <f>Forrajes!CR28*AB761</f>
        <v>0</v>
      </c>
      <c r="BC761" s="668">
        <f>Forrajes!CS28*AC761</f>
        <v>0</v>
      </c>
      <c r="BD761" s="1818">
        <f>Forrajes!CT28*AD761</f>
        <v>0</v>
      </c>
      <c r="BE761" s="590"/>
      <c r="BF761" s="100"/>
      <c r="BG761" s="590"/>
      <c r="BH761" s="590"/>
      <c r="BI761" s="100"/>
      <c r="BJ761" s="1975"/>
      <c r="BK761" s="590"/>
    </row>
    <row r="762" spans="3:63" s="108" customFormat="1" x14ac:dyDescent="0.2">
      <c r="C762" s="1971" t="str">
        <f t="shared" si="593"/>
        <v>Prad 4Recría-Vacas Secas</v>
      </c>
      <c r="D762" s="1857" t="str">
        <f t="shared" si="580"/>
        <v>Prad 4</v>
      </c>
      <c r="E762" s="590"/>
      <c r="F762" s="1972">
        <f t="shared" ref="F762:Q762" si="603">IF($D762&lt;&gt;0,SUMIFS($C$9:$C$98,$D$9:$D$98,$D$639,G$9:G$98,$D762),0)</f>
        <v>0</v>
      </c>
      <c r="G762" s="1972">
        <f t="shared" si="603"/>
        <v>0</v>
      </c>
      <c r="H762" s="1972">
        <f t="shared" si="603"/>
        <v>0</v>
      </c>
      <c r="I762" s="1972">
        <f t="shared" si="595"/>
        <v>0</v>
      </c>
      <c r="J762" s="1972">
        <f t="shared" si="603"/>
        <v>0</v>
      </c>
      <c r="K762" s="1972">
        <f t="shared" si="603"/>
        <v>0</v>
      </c>
      <c r="L762" s="1972">
        <f t="shared" si="603"/>
        <v>0</v>
      </c>
      <c r="M762" s="1972">
        <f t="shared" si="603"/>
        <v>0</v>
      </c>
      <c r="N762" s="1972">
        <f t="shared" si="603"/>
        <v>0</v>
      </c>
      <c r="O762" s="1972">
        <f t="shared" si="603"/>
        <v>0</v>
      </c>
      <c r="P762" s="1972">
        <f t="shared" si="603"/>
        <v>0</v>
      </c>
      <c r="Q762" s="1972">
        <f t="shared" si="603"/>
        <v>0</v>
      </c>
      <c r="S762" s="1976">
        <f>SUMIF(G$401:G$490,$C762,$S$401:$S$490)*Forrajes!BG29*G$99</f>
        <v>0</v>
      </c>
      <c r="T762" s="668">
        <f>SUMIF(H$401:H$490,$C762,$S$401:$S$490)*Forrajes!BH29*H$99</f>
        <v>0</v>
      </c>
      <c r="U762" s="668">
        <f>SUMIF(I$401:I$490,$C762,$S$401:$S$490)*Forrajes!BI29*I$99</f>
        <v>0</v>
      </c>
      <c r="V762" s="668">
        <f>SUMIF(J$401:J$490,$C762,$S$401:$S$490)*Forrajes!BJ29*J$99</f>
        <v>0</v>
      </c>
      <c r="W762" s="668">
        <f>SUMIF(K$401:K$490,$C762,$S$401:$S$490)*Forrajes!BK29*K$99</f>
        <v>0</v>
      </c>
      <c r="X762" s="668">
        <f>SUMIF(L$401:L$490,$C762,$S$401:$S$490)*Forrajes!BL29*L$99</f>
        <v>0</v>
      </c>
      <c r="Y762" s="668">
        <f>SUMIF(M$401:M$490,$C762,$S$401:$S$490)*Forrajes!BM29*M$99</f>
        <v>0</v>
      </c>
      <c r="Z762" s="668">
        <f>SUMIF(N$401:N$490,$C762,$S$401:$S$490)*Forrajes!BN29*N$99</f>
        <v>0</v>
      </c>
      <c r="AA762" s="668">
        <f>SUMIF(O$401:O$490,$C762,$S$401:$S$490)*Forrajes!BO29*O$99</f>
        <v>0</v>
      </c>
      <c r="AB762" s="668">
        <f>SUMIF(P$401:P$490,$C762,$S$401:$S$490)*Forrajes!BP29*P$99</f>
        <v>0</v>
      </c>
      <c r="AC762" s="668">
        <f>SUMIF(Q$401:Q$490,$C762,$S$401:$S$490)*Forrajes!BQ29*Q$99</f>
        <v>0</v>
      </c>
      <c r="AD762" s="1977">
        <f>SUMIF(R$401:R$490,$C762,$S$401:$S$490)*Forrajes!BR29*R$99</f>
        <v>0</v>
      </c>
      <c r="AF762" s="1976">
        <f>Forrajes!BU29*S762</f>
        <v>0</v>
      </c>
      <c r="AG762" s="668">
        <f>Forrajes!BV29*T762</f>
        <v>0</v>
      </c>
      <c r="AH762" s="668">
        <f>Forrajes!BW29*U762</f>
        <v>0</v>
      </c>
      <c r="AI762" s="668">
        <f>Forrajes!BX29*V762</f>
        <v>0</v>
      </c>
      <c r="AJ762" s="668">
        <f>Forrajes!BY29*W762</f>
        <v>0</v>
      </c>
      <c r="AK762" s="668">
        <f>Forrajes!BZ29*X762</f>
        <v>0</v>
      </c>
      <c r="AL762" s="668">
        <f>Forrajes!CA29*Y762</f>
        <v>0</v>
      </c>
      <c r="AM762" s="668">
        <f>Forrajes!CB29*Z762</f>
        <v>0</v>
      </c>
      <c r="AN762" s="668">
        <f>Forrajes!CC29*AA762</f>
        <v>0</v>
      </c>
      <c r="AO762" s="668">
        <f>Forrajes!CD29*AB762</f>
        <v>0</v>
      </c>
      <c r="AP762" s="668">
        <f>Forrajes!CE29*AC762</f>
        <v>0</v>
      </c>
      <c r="AQ762" s="668">
        <f>Forrajes!CF29*AD762</f>
        <v>0</v>
      </c>
      <c r="AS762" s="1976">
        <f>Forrajes!CI29*S762</f>
        <v>0</v>
      </c>
      <c r="AT762" s="668">
        <f>Forrajes!CJ29*T762</f>
        <v>0</v>
      </c>
      <c r="AU762" s="668">
        <f>Forrajes!CK29*U762</f>
        <v>0</v>
      </c>
      <c r="AV762" s="668">
        <f>Forrajes!CL29*V762</f>
        <v>0</v>
      </c>
      <c r="AW762" s="668">
        <f>Forrajes!CM29*W762</f>
        <v>0</v>
      </c>
      <c r="AX762" s="668">
        <f>Forrajes!CN29*X762</f>
        <v>0</v>
      </c>
      <c r="AY762" s="668">
        <f>Forrajes!CO29*Y762</f>
        <v>0</v>
      </c>
      <c r="AZ762" s="668">
        <f>Forrajes!CP29*Z762</f>
        <v>0</v>
      </c>
      <c r="BA762" s="668">
        <f>Forrajes!CQ29*AA762</f>
        <v>0</v>
      </c>
      <c r="BB762" s="668">
        <f>Forrajes!CR29*AB762</f>
        <v>0</v>
      </c>
      <c r="BC762" s="668">
        <f>Forrajes!CS29*AC762</f>
        <v>0</v>
      </c>
      <c r="BD762" s="1818">
        <f>Forrajes!CT29*AD762</f>
        <v>0</v>
      </c>
      <c r="BE762" s="590"/>
      <c r="BF762" s="100"/>
      <c r="BG762" s="590"/>
      <c r="BH762" s="590"/>
      <c r="BI762" s="100"/>
      <c r="BJ762" s="1975"/>
      <c r="BK762" s="590"/>
    </row>
    <row r="763" spans="3:63" s="108" customFormat="1" x14ac:dyDescent="0.2">
      <c r="C763" s="1971" t="str">
        <f t="shared" si="593"/>
        <v>Trébol Rojo 2Recría-Vacas Secas</v>
      </c>
      <c r="D763" s="1857" t="str">
        <f t="shared" si="580"/>
        <v>Trébol Rojo 2</v>
      </c>
      <c r="E763" s="590"/>
      <c r="F763" s="1972">
        <f t="shared" ref="F763:Q763" si="604">IF($D763&lt;&gt;0,SUMIFS($C$9:$C$98,$D$9:$D$98,$D$639,G$9:G$98,$D763),0)</f>
        <v>0</v>
      </c>
      <c r="G763" s="1972">
        <f t="shared" si="604"/>
        <v>0</v>
      </c>
      <c r="H763" s="1972">
        <f t="shared" si="604"/>
        <v>0</v>
      </c>
      <c r="I763" s="1972">
        <f t="shared" si="595"/>
        <v>0</v>
      </c>
      <c r="J763" s="1972">
        <f t="shared" si="604"/>
        <v>0</v>
      </c>
      <c r="K763" s="1972">
        <f t="shared" si="604"/>
        <v>0</v>
      </c>
      <c r="L763" s="1972">
        <f t="shared" si="604"/>
        <v>0</v>
      </c>
      <c r="M763" s="1972">
        <f t="shared" si="604"/>
        <v>0</v>
      </c>
      <c r="N763" s="1972">
        <f t="shared" si="604"/>
        <v>0</v>
      </c>
      <c r="O763" s="1972">
        <f t="shared" si="604"/>
        <v>0</v>
      </c>
      <c r="P763" s="1972">
        <f t="shared" si="604"/>
        <v>0</v>
      </c>
      <c r="Q763" s="1972">
        <f t="shared" si="604"/>
        <v>0</v>
      </c>
      <c r="S763" s="1976">
        <f>SUMIF(G$401:G$490,$C763,$S$401:$S$490)*Forrajes!BG30*G$99</f>
        <v>0</v>
      </c>
      <c r="T763" s="668">
        <f>SUMIF(H$401:H$490,$C763,$S$401:$S$490)*Forrajes!BH30*H$99</f>
        <v>0</v>
      </c>
      <c r="U763" s="668">
        <f>SUMIF(I$401:I$490,$C763,$S$401:$S$490)*Forrajes!BI30*I$99</f>
        <v>0</v>
      </c>
      <c r="V763" s="668">
        <f>SUMIF(J$401:J$490,$C763,$S$401:$S$490)*Forrajes!BJ30*J$99</f>
        <v>0</v>
      </c>
      <c r="W763" s="668">
        <f>SUMIF(K$401:K$490,$C763,$S$401:$S$490)*Forrajes!BK30*K$99</f>
        <v>0</v>
      </c>
      <c r="X763" s="668">
        <f>SUMIF(L$401:L$490,$C763,$S$401:$S$490)*Forrajes!BL30*L$99</f>
        <v>0</v>
      </c>
      <c r="Y763" s="668">
        <f>SUMIF(M$401:M$490,$C763,$S$401:$S$490)*Forrajes!BM30*M$99</f>
        <v>0</v>
      </c>
      <c r="Z763" s="668">
        <f>SUMIF(N$401:N$490,$C763,$S$401:$S$490)*Forrajes!BN30*N$99</f>
        <v>0</v>
      </c>
      <c r="AA763" s="668">
        <f>SUMIF(O$401:O$490,$C763,$S$401:$S$490)*Forrajes!BO30*O$99</f>
        <v>0</v>
      </c>
      <c r="AB763" s="668">
        <f>SUMIF(P$401:P$490,$C763,$S$401:$S$490)*Forrajes!BP30*P$99</f>
        <v>0</v>
      </c>
      <c r="AC763" s="668">
        <f>SUMIF(Q$401:Q$490,$C763,$S$401:$S$490)*Forrajes!BQ30*Q$99</f>
        <v>0</v>
      </c>
      <c r="AD763" s="1977">
        <f>SUMIF(R$401:R$490,$C763,$S$401:$S$490)*Forrajes!BR30*R$99</f>
        <v>0</v>
      </c>
      <c r="AF763" s="1976">
        <f>Forrajes!BU30*S763</f>
        <v>0</v>
      </c>
      <c r="AG763" s="668">
        <f>Forrajes!BV30*T763</f>
        <v>0</v>
      </c>
      <c r="AH763" s="668">
        <f>Forrajes!BW30*U763</f>
        <v>0</v>
      </c>
      <c r="AI763" s="668">
        <f>Forrajes!BX30*V763</f>
        <v>0</v>
      </c>
      <c r="AJ763" s="668">
        <f>Forrajes!BY30*W763</f>
        <v>0</v>
      </c>
      <c r="AK763" s="668">
        <f>Forrajes!BZ30*X763</f>
        <v>0</v>
      </c>
      <c r="AL763" s="668">
        <f>Forrajes!CA30*Y763</f>
        <v>0</v>
      </c>
      <c r="AM763" s="668">
        <f>Forrajes!CB30*Z763</f>
        <v>0</v>
      </c>
      <c r="AN763" s="668">
        <f>Forrajes!CC30*AA763</f>
        <v>0</v>
      </c>
      <c r="AO763" s="668">
        <f>Forrajes!CD30*AB763</f>
        <v>0</v>
      </c>
      <c r="AP763" s="668">
        <f>Forrajes!CE30*AC763</f>
        <v>0</v>
      </c>
      <c r="AQ763" s="668">
        <f>Forrajes!CF30*AD763</f>
        <v>0</v>
      </c>
      <c r="AS763" s="1976">
        <f>Forrajes!CI30*S763</f>
        <v>0</v>
      </c>
      <c r="AT763" s="668">
        <f>Forrajes!CJ30*T763</f>
        <v>0</v>
      </c>
      <c r="AU763" s="668">
        <f>Forrajes!CK30*U763</f>
        <v>0</v>
      </c>
      <c r="AV763" s="668">
        <f>Forrajes!CL30*V763</f>
        <v>0</v>
      </c>
      <c r="AW763" s="668">
        <f>Forrajes!CM30*W763</f>
        <v>0</v>
      </c>
      <c r="AX763" s="668">
        <f>Forrajes!CN30*X763</f>
        <v>0</v>
      </c>
      <c r="AY763" s="668">
        <f>Forrajes!CO30*Y763</f>
        <v>0</v>
      </c>
      <c r="AZ763" s="668">
        <f>Forrajes!CP30*Z763</f>
        <v>0</v>
      </c>
      <c r="BA763" s="668">
        <f>Forrajes!CQ30*AA763</f>
        <v>0</v>
      </c>
      <c r="BB763" s="668">
        <f>Forrajes!CR30*AB763</f>
        <v>0</v>
      </c>
      <c r="BC763" s="668">
        <f>Forrajes!CS30*AC763</f>
        <v>0</v>
      </c>
      <c r="BD763" s="1818">
        <f>Forrajes!CT30*AD763</f>
        <v>0</v>
      </c>
      <c r="BE763" s="590"/>
      <c r="BF763" s="100"/>
      <c r="BG763" s="590"/>
      <c r="BH763" s="590"/>
      <c r="BI763" s="1978"/>
      <c r="BJ763" s="1975"/>
      <c r="BK763" s="590"/>
    </row>
    <row r="764" spans="3:63" s="108" customFormat="1" x14ac:dyDescent="0.2">
      <c r="C764" s="1971" t="str">
        <f t="shared" si="593"/>
        <v>Trébol Rojo 3Recría-Vacas Secas</v>
      </c>
      <c r="D764" s="1857" t="str">
        <f t="shared" si="580"/>
        <v>Trébol Rojo 3</v>
      </c>
      <c r="E764" s="590"/>
      <c r="F764" s="1972">
        <f t="shared" ref="F764:Q764" si="605">IF($D764&lt;&gt;0,SUMIFS($C$9:$C$98,$D$9:$D$98,$D$639,G$9:G$98,$D764),0)</f>
        <v>0</v>
      </c>
      <c r="G764" s="1972">
        <f t="shared" si="605"/>
        <v>0</v>
      </c>
      <c r="H764" s="1972">
        <f t="shared" si="605"/>
        <v>0</v>
      </c>
      <c r="I764" s="1972">
        <f t="shared" si="595"/>
        <v>0</v>
      </c>
      <c r="J764" s="1972">
        <f t="shared" si="605"/>
        <v>0</v>
      </c>
      <c r="K764" s="1972">
        <f t="shared" si="605"/>
        <v>0</v>
      </c>
      <c r="L764" s="1972">
        <f t="shared" si="605"/>
        <v>0</v>
      </c>
      <c r="M764" s="1972">
        <f t="shared" si="605"/>
        <v>0</v>
      </c>
      <c r="N764" s="1972">
        <f t="shared" si="605"/>
        <v>0</v>
      </c>
      <c r="O764" s="1972">
        <f t="shared" si="605"/>
        <v>0</v>
      </c>
      <c r="P764" s="1972">
        <f t="shared" si="605"/>
        <v>0</v>
      </c>
      <c r="Q764" s="1972">
        <f t="shared" si="605"/>
        <v>0</v>
      </c>
      <c r="S764" s="1976">
        <f>SUMIF(G$401:G$490,$C764,$S$401:$S$490)*Forrajes!BG31*G$99</f>
        <v>0</v>
      </c>
      <c r="T764" s="668">
        <f>SUMIF(H$401:H$490,$C764,$S$401:$S$490)*Forrajes!BH31*H$99</f>
        <v>0</v>
      </c>
      <c r="U764" s="668">
        <f>SUMIF(I$401:I$490,$C764,$S$401:$S$490)*Forrajes!BI31*I$99</f>
        <v>0</v>
      </c>
      <c r="V764" s="668">
        <f>SUMIF(J$401:J$490,$C764,$S$401:$S$490)*Forrajes!BJ31*J$99</f>
        <v>0</v>
      </c>
      <c r="W764" s="668">
        <f>SUMIF(K$401:K$490,$C764,$S$401:$S$490)*Forrajes!BK31*K$99</f>
        <v>0</v>
      </c>
      <c r="X764" s="668">
        <f>SUMIF(L$401:L$490,$C764,$S$401:$S$490)*Forrajes!BL31*L$99</f>
        <v>0</v>
      </c>
      <c r="Y764" s="668">
        <f>SUMIF(M$401:M$490,$C764,$S$401:$S$490)*Forrajes!BM31*M$99</f>
        <v>0</v>
      </c>
      <c r="Z764" s="668">
        <f>SUMIF(N$401:N$490,$C764,$S$401:$S$490)*Forrajes!BN31*N$99</f>
        <v>0</v>
      </c>
      <c r="AA764" s="668">
        <f>SUMIF(O$401:O$490,$C764,$S$401:$S$490)*Forrajes!BO31*O$99</f>
        <v>0</v>
      </c>
      <c r="AB764" s="668">
        <f>SUMIF(P$401:P$490,$C764,$S$401:$S$490)*Forrajes!BP31*P$99</f>
        <v>0</v>
      </c>
      <c r="AC764" s="668">
        <f>SUMIF(Q$401:Q$490,$C764,$S$401:$S$490)*Forrajes!BQ31*Q$99</f>
        <v>0</v>
      </c>
      <c r="AD764" s="1977">
        <f>SUMIF(R$401:R$490,$C764,$S$401:$S$490)*Forrajes!BR31*R$99</f>
        <v>0</v>
      </c>
      <c r="AF764" s="1976">
        <f>Forrajes!BU31*S764</f>
        <v>0</v>
      </c>
      <c r="AG764" s="668">
        <f>Forrajes!BV31*T764</f>
        <v>0</v>
      </c>
      <c r="AH764" s="668">
        <f>Forrajes!BW31*U764</f>
        <v>0</v>
      </c>
      <c r="AI764" s="668">
        <f>Forrajes!BX31*V764</f>
        <v>0</v>
      </c>
      <c r="AJ764" s="668">
        <f>Forrajes!BY31*W764</f>
        <v>0</v>
      </c>
      <c r="AK764" s="668">
        <f>Forrajes!BZ31*X764</f>
        <v>0</v>
      </c>
      <c r="AL764" s="668">
        <f>Forrajes!CA31*Y764</f>
        <v>0</v>
      </c>
      <c r="AM764" s="668">
        <f>Forrajes!CB31*Z764</f>
        <v>0</v>
      </c>
      <c r="AN764" s="668">
        <f>Forrajes!CC31*AA764</f>
        <v>0</v>
      </c>
      <c r="AO764" s="668">
        <f>Forrajes!CD31*AB764</f>
        <v>0</v>
      </c>
      <c r="AP764" s="668">
        <f>Forrajes!CE31*AC764</f>
        <v>0</v>
      </c>
      <c r="AQ764" s="668">
        <f>Forrajes!CF31*AD764</f>
        <v>0</v>
      </c>
      <c r="AS764" s="1976">
        <f>Forrajes!CI31*S764</f>
        <v>0</v>
      </c>
      <c r="AT764" s="668">
        <f>Forrajes!CJ31*T764</f>
        <v>0</v>
      </c>
      <c r="AU764" s="668">
        <f>Forrajes!CK31*U764</f>
        <v>0</v>
      </c>
      <c r="AV764" s="668">
        <f>Forrajes!CL31*V764</f>
        <v>0</v>
      </c>
      <c r="AW764" s="668">
        <f>Forrajes!CM31*W764</f>
        <v>0</v>
      </c>
      <c r="AX764" s="668">
        <f>Forrajes!CN31*X764</f>
        <v>0</v>
      </c>
      <c r="AY764" s="668">
        <f>Forrajes!CO31*Y764</f>
        <v>0</v>
      </c>
      <c r="AZ764" s="668">
        <f>Forrajes!CP31*Z764</f>
        <v>0</v>
      </c>
      <c r="BA764" s="668">
        <f>Forrajes!CQ31*AA764</f>
        <v>0</v>
      </c>
      <c r="BB764" s="668">
        <f>Forrajes!CR31*AB764</f>
        <v>0</v>
      </c>
      <c r="BC764" s="668">
        <f>Forrajes!CS31*AC764</f>
        <v>0</v>
      </c>
      <c r="BD764" s="1818">
        <f>Forrajes!CT31*AD764</f>
        <v>0</v>
      </c>
      <c r="BE764" s="590"/>
      <c r="BF764" s="100"/>
      <c r="BG764" s="590"/>
      <c r="BH764" s="590"/>
      <c r="BI764" s="100"/>
      <c r="BJ764" s="1975"/>
      <c r="BK764" s="590"/>
    </row>
    <row r="765" spans="3:63" s="108" customFormat="1" x14ac:dyDescent="0.2">
      <c r="C765" s="1971" t="str">
        <f t="shared" si="593"/>
        <v>Alfalfa 5Recría-Vacas Secas</v>
      </c>
      <c r="D765" s="1857" t="str">
        <f t="shared" si="580"/>
        <v>Alfalfa 5</v>
      </c>
      <c r="E765" s="590"/>
      <c r="F765" s="1972">
        <f t="shared" ref="F765:Q765" si="606">IF($D765&lt;&gt;0,SUMIFS($C$9:$C$98,$D$9:$D$98,$D$639,G$9:G$98,$D765),0)</f>
        <v>0</v>
      </c>
      <c r="G765" s="1972">
        <f t="shared" si="606"/>
        <v>0</v>
      </c>
      <c r="H765" s="1972">
        <f t="shared" si="606"/>
        <v>0</v>
      </c>
      <c r="I765" s="1972">
        <f t="shared" si="595"/>
        <v>0</v>
      </c>
      <c r="J765" s="1972">
        <f t="shared" si="606"/>
        <v>0</v>
      </c>
      <c r="K765" s="1972">
        <f t="shared" si="606"/>
        <v>0</v>
      </c>
      <c r="L765" s="1972">
        <f t="shared" si="606"/>
        <v>0</v>
      </c>
      <c r="M765" s="1972">
        <f t="shared" si="606"/>
        <v>0</v>
      </c>
      <c r="N765" s="1972">
        <f t="shared" si="606"/>
        <v>0</v>
      </c>
      <c r="O765" s="1972">
        <f t="shared" si="606"/>
        <v>0</v>
      </c>
      <c r="P765" s="1972">
        <f t="shared" si="606"/>
        <v>0</v>
      </c>
      <c r="Q765" s="1972">
        <f t="shared" si="606"/>
        <v>0</v>
      </c>
      <c r="S765" s="1976">
        <f>SUMIF(G$401:G$490,$C765,$S$401:$S$490)*Forrajes!BG32*G$99</f>
        <v>0</v>
      </c>
      <c r="T765" s="668">
        <f>SUMIF(H$401:H$490,$C765,$S$401:$S$490)*Forrajes!BH32*H$99</f>
        <v>0</v>
      </c>
      <c r="U765" s="668">
        <f>SUMIF(I$401:I$490,$C765,$S$401:$S$490)*Forrajes!BI32*I$99</f>
        <v>0</v>
      </c>
      <c r="V765" s="668">
        <f>SUMIF(J$401:J$490,$C765,$S$401:$S$490)*Forrajes!BJ32*J$99</f>
        <v>0</v>
      </c>
      <c r="W765" s="668">
        <f>SUMIF(K$401:K$490,$C765,$S$401:$S$490)*Forrajes!BK32*K$99</f>
        <v>0</v>
      </c>
      <c r="X765" s="668">
        <f>SUMIF(L$401:L$490,$C765,$S$401:$S$490)*Forrajes!BL32*L$99</f>
        <v>0</v>
      </c>
      <c r="Y765" s="668">
        <f>SUMIF(M$401:M$490,$C765,$S$401:$S$490)*Forrajes!BM32*M$99</f>
        <v>0</v>
      </c>
      <c r="Z765" s="668">
        <f>SUMIF(N$401:N$490,$C765,$S$401:$S$490)*Forrajes!BN32*N$99</f>
        <v>0</v>
      </c>
      <c r="AA765" s="668">
        <f>SUMIF(O$401:O$490,$C765,$S$401:$S$490)*Forrajes!BO32*O$99</f>
        <v>0</v>
      </c>
      <c r="AB765" s="668">
        <f>SUMIF(P$401:P$490,$C765,$S$401:$S$490)*Forrajes!BP32*P$99</f>
        <v>0</v>
      </c>
      <c r="AC765" s="668">
        <f>SUMIF(Q$401:Q$490,$C765,$S$401:$S$490)*Forrajes!BQ32*Q$99</f>
        <v>0</v>
      </c>
      <c r="AD765" s="1977">
        <f>SUMIF(R$401:R$490,$C765,$S$401:$S$490)*Forrajes!BR32*R$99</f>
        <v>0</v>
      </c>
      <c r="AF765" s="1976">
        <f>Forrajes!BU32*S765</f>
        <v>0</v>
      </c>
      <c r="AG765" s="668">
        <f>Forrajes!BV32*T765</f>
        <v>0</v>
      </c>
      <c r="AH765" s="668">
        <f>Forrajes!BW32*U765</f>
        <v>0</v>
      </c>
      <c r="AI765" s="668">
        <f>Forrajes!BX32*V765</f>
        <v>0</v>
      </c>
      <c r="AJ765" s="668">
        <f>Forrajes!BY32*W765</f>
        <v>0</v>
      </c>
      <c r="AK765" s="668">
        <f>Forrajes!BZ32*X765</f>
        <v>0</v>
      </c>
      <c r="AL765" s="668">
        <f>Forrajes!CA32*Y765</f>
        <v>0</v>
      </c>
      <c r="AM765" s="668">
        <f>Forrajes!CB32*Z765</f>
        <v>0</v>
      </c>
      <c r="AN765" s="668">
        <f>Forrajes!CC32*AA765</f>
        <v>0</v>
      </c>
      <c r="AO765" s="668">
        <f>Forrajes!CD32*AB765</f>
        <v>0</v>
      </c>
      <c r="AP765" s="668">
        <f>Forrajes!CE32*AC765</f>
        <v>0</v>
      </c>
      <c r="AQ765" s="668">
        <f>Forrajes!CF32*AD765</f>
        <v>0</v>
      </c>
      <c r="AS765" s="1976">
        <f>Forrajes!CI32*S765</f>
        <v>0</v>
      </c>
      <c r="AT765" s="668">
        <f>Forrajes!CJ32*T765</f>
        <v>0</v>
      </c>
      <c r="AU765" s="668">
        <f>Forrajes!CK32*U765</f>
        <v>0</v>
      </c>
      <c r="AV765" s="668">
        <f>Forrajes!CL32*V765</f>
        <v>0</v>
      </c>
      <c r="AW765" s="668">
        <f>Forrajes!CM32*W765</f>
        <v>0</v>
      </c>
      <c r="AX765" s="668">
        <f>Forrajes!CN32*X765</f>
        <v>0</v>
      </c>
      <c r="AY765" s="668">
        <f>Forrajes!CO32*Y765</f>
        <v>0</v>
      </c>
      <c r="AZ765" s="668">
        <f>Forrajes!CP32*Z765</f>
        <v>0</v>
      </c>
      <c r="BA765" s="668">
        <f>Forrajes!CQ32*AA765</f>
        <v>0</v>
      </c>
      <c r="BB765" s="668">
        <f>Forrajes!CR32*AB765</f>
        <v>0</v>
      </c>
      <c r="BC765" s="668">
        <f>Forrajes!CS32*AC765</f>
        <v>0</v>
      </c>
      <c r="BD765" s="1818">
        <f>Forrajes!CT32*AD765</f>
        <v>0</v>
      </c>
      <c r="BE765" s="590"/>
      <c r="BF765" s="100"/>
      <c r="BG765" s="590"/>
      <c r="BH765" s="590"/>
      <c r="BI765" s="100"/>
      <c r="BJ765" s="1975"/>
      <c r="BK765" s="590"/>
    </row>
    <row r="766" spans="3:63" s="108" customFormat="1" x14ac:dyDescent="0.2">
      <c r="C766" s="1971" t="str">
        <f t="shared" si="593"/>
        <v>PP 5Recría-Vacas Secas</v>
      </c>
      <c r="D766" s="1857" t="str">
        <f t="shared" si="580"/>
        <v>PP 5</v>
      </c>
      <c r="E766" s="590"/>
      <c r="F766" s="1972">
        <f t="shared" ref="F766:Q766" si="607">IF($D766&lt;&gt;0,SUMIFS($C$9:$C$98,$D$9:$D$98,$D$639,G$9:G$98,$D766),0)</f>
        <v>0</v>
      </c>
      <c r="G766" s="1972">
        <f t="shared" si="607"/>
        <v>0</v>
      </c>
      <c r="H766" s="1972">
        <f t="shared" si="607"/>
        <v>0</v>
      </c>
      <c r="I766" s="1972">
        <f t="shared" si="595"/>
        <v>0</v>
      </c>
      <c r="J766" s="1972">
        <f t="shared" si="607"/>
        <v>0</v>
      </c>
      <c r="K766" s="1972">
        <f t="shared" si="607"/>
        <v>0</v>
      </c>
      <c r="L766" s="1972">
        <f t="shared" si="607"/>
        <v>0</v>
      </c>
      <c r="M766" s="1972">
        <f t="shared" si="607"/>
        <v>0</v>
      </c>
      <c r="N766" s="1972">
        <f t="shared" si="607"/>
        <v>0</v>
      </c>
      <c r="O766" s="1972">
        <f t="shared" si="607"/>
        <v>0</v>
      </c>
      <c r="P766" s="1972">
        <f t="shared" si="607"/>
        <v>0</v>
      </c>
      <c r="Q766" s="1972">
        <f t="shared" si="607"/>
        <v>0</v>
      </c>
      <c r="S766" s="1976">
        <f>SUMIF(G$401:G$490,$C766,$S$401:$S$490)*Forrajes!BG33*G$99</f>
        <v>0</v>
      </c>
      <c r="T766" s="668">
        <f>SUMIF(H$401:H$490,$C766,$S$401:$S$490)*Forrajes!BH33*H$99</f>
        <v>0</v>
      </c>
      <c r="U766" s="668">
        <f>SUMIF(I$401:I$490,$C766,$S$401:$S$490)*Forrajes!BI33*I$99</f>
        <v>0</v>
      </c>
      <c r="V766" s="668">
        <f>SUMIF(J$401:J$490,$C766,$S$401:$S$490)*Forrajes!BJ33*J$99</f>
        <v>0</v>
      </c>
      <c r="W766" s="668">
        <f>SUMIF(K$401:K$490,$C766,$S$401:$S$490)*Forrajes!BK33*K$99</f>
        <v>0</v>
      </c>
      <c r="X766" s="668">
        <f>SUMIF(L$401:L$490,$C766,$S$401:$S$490)*Forrajes!BL33*L$99</f>
        <v>0</v>
      </c>
      <c r="Y766" s="668">
        <f>SUMIF(M$401:M$490,$C766,$S$401:$S$490)*Forrajes!BM33*M$99</f>
        <v>0</v>
      </c>
      <c r="Z766" s="668">
        <f>SUMIF(N$401:N$490,$C766,$S$401:$S$490)*Forrajes!BN33*N$99</f>
        <v>0</v>
      </c>
      <c r="AA766" s="668">
        <f>SUMIF(O$401:O$490,$C766,$S$401:$S$490)*Forrajes!BO33*O$99</f>
        <v>0</v>
      </c>
      <c r="AB766" s="668">
        <f>SUMIF(P$401:P$490,$C766,$S$401:$S$490)*Forrajes!BP33*P$99</f>
        <v>0</v>
      </c>
      <c r="AC766" s="668">
        <f>SUMIF(Q$401:Q$490,$C766,$S$401:$S$490)*Forrajes!BQ33*Q$99</f>
        <v>0</v>
      </c>
      <c r="AD766" s="1977">
        <f>SUMIF(R$401:R$490,$C766,$S$401:$S$490)*Forrajes!BR33*R$99</f>
        <v>0</v>
      </c>
      <c r="AF766" s="1976">
        <f>Forrajes!BU33*S766</f>
        <v>0</v>
      </c>
      <c r="AG766" s="668">
        <f>Forrajes!BV33*T766</f>
        <v>0</v>
      </c>
      <c r="AH766" s="668">
        <f>Forrajes!BW33*U766</f>
        <v>0</v>
      </c>
      <c r="AI766" s="668">
        <f>Forrajes!BX33*V766</f>
        <v>0</v>
      </c>
      <c r="AJ766" s="668">
        <f>Forrajes!BY33*W766</f>
        <v>0</v>
      </c>
      <c r="AK766" s="668">
        <f>Forrajes!BZ33*X766</f>
        <v>0</v>
      </c>
      <c r="AL766" s="668">
        <f>Forrajes!CA33*Y766</f>
        <v>0</v>
      </c>
      <c r="AM766" s="668">
        <f>Forrajes!CB33*Z766</f>
        <v>0</v>
      </c>
      <c r="AN766" s="668">
        <f>Forrajes!CC33*AA766</f>
        <v>0</v>
      </c>
      <c r="AO766" s="668">
        <f>Forrajes!CD33*AB766</f>
        <v>0</v>
      </c>
      <c r="AP766" s="668">
        <f>Forrajes!CE33*AC766</f>
        <v>0</v>
      </c>
      <c r="AQ766" s="668">
        <f>Forrajes!CF33*AD766</f>
        <v>0</v>
      </c>
      <c r="AS766" s="1976">
        <f>Forrajes!CI33*S766</f>
        <v>0</v>
      </c>
      <c r="AT766" s="668">
        <f>Forrajes!CJ33*T766</f>
        <v>0</v>
      </c>
      <c r="AU766" s="668">
        <f>Forrajes!CK33*U766</f>
        <v>0</v>
      </c>
      <c r="AV766" s="668">
        <f>Forrajes!CL33*V766</f>
        <v>0</v>
      </c>
      <c r="AW766" s="668">
        <f>Forrajes!CM33*W766</f>
        <v>0</v>
      </c>
      <c r="AX766" s="668">
        <f>Forrajes!CN33*X766</f>
        <v>0</v>
      </c>
      <c r="AY766" s="668">
        <f>Forrajes!CO33*Y766</f>
        <v>0</v>
      </c>
      <c r="AZ766" s="668">
        <f>Forrajes!CP33*Z766</f>
        <v>0</v>
      </c>
      <c r="BA766" s="668">
        <f>Forrajes!CQ33*AA766</f>
        <v>0</v>
      </c>
      <c r="BB766" s="668">
        <f>Forrajes!CR33*AB766</f>
        <v>0</v>
      </c>
      <c r="BC766" s="668">
        <f>Forrajes!CS33*AC766</f>
        <v>0</v>
      </c>
      <c r="BD766" s="1818">
        <f>Forrajes!CT33*AD766</f>
        <v>0</v>
      </c>
      <c r="BE766" s="590"/>
      <c r="BF766" s="100"/>
      <c r="BG766" s="590"/>
      <c r="BH766" s="590"/>
      <c r="BI766" s="100"/>
      <c r="BJ766" s="1975"/>
      <c r="BK766" s="590"/>
    </row>
    <row r="767" spans="3:63" s="108" customFormat="1" x14ac:dyDescent="0.2">
      <c r="C767" s="1971" t="str">
        <f t="shared" si="593"/>
        <v>0Recría-Vacas Secas</v>
      </c>
      <c r="D767" s="1857">
        <f t="shared" si="580"/>
        <v>0</v>
      </c>
      <c r="E767" s="590"/>
      <c r="F767" s="1972">
        <f t="shared" ref="F767:Q767" si="608">IF($D767&lt;&gt;0,SUMIFS($C$9:$C$98,$D$9:$D$98,$D$639,G$9:G$98,$D767),0)</f>
        <v>0</v>
      </c>
      <c r="G767" s="1972">
        <f t="shared" si="608"/>
        <v>0</v>
      </c>
      <c r="H767" s="1972">
        <f t="shared" si="608"/>
        <v>0</v>
      </c>
      <c r="I767" s="1972">
        <f t="shared" si="595"/>
        <v>0</v>
      </c>
      <c r="J767" s="1972">
        <f t="shared" si="608"/>
        <v>0</v>
      </c>
      <c r="K767" s="1972">
        <f t="shared" si="608"/>
        <v>0</v>
      </c>
      <c r="L767" s="1972">
        <f t="shared" si="608"/>
        <v>0</v>
      </c>
      <c r="M767" s="1972">
        <f t="shared" si="608"/>
        <v>0</v>
      </c>
      <c r="N767" s="1972">
        <f t="shared" si="608"/>
        <v>0</v>
      </c>
      <c r="O767" s="1972">
        <f t="shared" si="608"/>
        <v>0</v>
      </c>
      <c r="P767" s="1972">
        <f t="shared" si="608"/>
        <v>0</v>
      </c>
      <c r="Q767" s="1972">
        <f t="shared" si="608"/>
        <v>0</v>
      </c>
      <c r="S767" s="1976">
        <f>SUMIF(G$401:G$490,$C767,$S$401:$S$490)*Forrajes!BG34*G$99</f>
        <v>0</v>
      </c>
      <c r="T767" s="668">
        <f>SUMIF(H$401:H$490,$C767,$S$401:$S$490)*Forrajes!BH34*H$99</f>
        <v>0</v>
      </c>
      <c r="U767" s="668">
        <f>SUMIF(I$401:I$490,$C767,$S$401:$S$490)*Forrajes!BI34*I$99</f>
        <v>0</v>
      </c>
      <c r="V767" s="668">
        <f>SUMIF(J$401:J$490,$C767,$S$401:$S$490)*Forrajes!BJ34*J$99</f>
        <v>0</v>
      </c>
      <c r="W767" s="668">
        <f>SUMIF(K$401:K$490,$C767,$S$401:$S$490)*Forrajes!BK34*K$99</f>
        <v>0</v>
      </c>
      <c r="X767" s="668">
        <f>SUMIF(L$401:L$490,$C767,$S$401:$S$490)*Forrajes!BL34*L$99</f>
        <v>0</v>
      </c>
      <c r="Y767" s="668">
        <f>SUMIF(M$401:M$490,$C767,$S$401:$S$490)*Forrajes!BM34*M$99</f>
        <v>0</v>
      </c>
      <c r="Z767" s="668">
        <f>SUMIF(N$401:N$490,$C767,$S$401:$S$490)*Forrajes!BN34*N$99</f>
        <v>0</v>
      </c>
      <c r="AA767" s="668">
        <f>SUMIF(O$401:O$490,$C767,$S$401:$S$490)*Forrajes!BO34*O$99</f>
        <v>0</v>
      </c>
      <c r="AB767" s="668">
        <f>SUMIF(P$401:P$490,$C767,$S$401:$S$490)*Forrajes!BP34*P$99</f>
        <v>0</v>
      </c>
      <c r="AC767" s="668">
        <f>SUMIF(Q$401:Q$490,$C767,$S$401:$S$490)*Forrajes!BQ34*Q$99</f>
        <v>0</v>
      </c>
      <c r="AD767" s="1977">
        <f>SUMIF(R$401:R$490,$C767,$S$401:$S$490)*Forrajes!BR34*R$99</f>
        <v>0</v>
      </c>
      <c r="AF767" s="1976">
        <f>Forrajes!BU34*S767</f>
        <v>0</v>
      </c>
      <c r="AG767" s="668">
        <f>Forrajes!BV34*T767</f>
        <v>0</v>
      </c>
      <c r="AH767" s="668">
        <f>Forrajes!BW34*U767</f>
        <v>0</v>
      </c>
      <c r="AI767" s="668">
        <f>Forrajes!BX34*V767</f>
        <v>0</v>
      </c>
      <c r="AJ767" s="668">
        <f>Forrajes!BY34*W767</f>
        <v>0</v>
      </c>
      <c r="AK767" s="668">
        <f>Forrajes!BZ34*X767</f>
        <v>0</v>
      </c>
      <c r="AL767" s="668">
        <f>Forrajes!CA34*Y767</f>
        <v>0</v>
      </c>
      <c r="AM767" s="668">
        <f>Forrajes!CB34*Z767</f>
        <v>0</v>
      </c>
      <c r="AN767" s="668">
        <f>Forrajes!CC34*AA767</f>
        <v>0</v>
      </c>
      <c r="AO767" s="668">
        <f>Forrajes!CD34*AB767</f>
        <v>0</v>
      </c>
      <c r="AP767" s="668">
        <f>Forrajes!CE34*AC767</f>
        <v>0</v>
      </c>
      <c r="AQ767" s="668">
        <f>Forrajes!CF34*AD767</f>
        <v>0</v>
      </c>
      <c r="AS767" s="1976">
        <f>Forrajes!CI34*S767</f>
        <v>0</v>
      </c>
      <c r="AT767" s="668">
        <f>Forrajes!CJ34*T767</f>
        <v>0</v>
      </c>
      <c r="AU767" s="668">
        <f>Forrajes!CK34*U767</f>
        <v>0</v>
      </c>
      <c r="AV767" s="668">
        <f>Forrajes!CL34*V767</f>
        <v>0</v>
      </c>
      <c r="AW767" s="668">
        <f>Forrajes!CM34*W767</f>
        <v>0</v>
      </c>
      <c r="AX767" s="668">
        <f>Forrajes!CN34*X767</f>
        <v>0</v>
      </c>
      <c r="AY767" s="668">
        <f>Forrajes!CO34*Y767</f>
        <v>0</v>
      </c>
      <c r="AZ767" s="668">
        <f>Forrajes!CP34*Z767</f>
        <v>0</v>
      </c>
      <c r="BA767" s="668">
        <f>Forrajes!CQ34*AA767</f>
        <v>0</v>
      </c>
      <c r="BB767" s="668">
        <f>Forrajes!CR34*AB767</f>
        <v>0</v>
      </c>
      <c r="BC767" s="668">
        <f>Forrajes!CS34*AC767</f>
        <v>0</v>
      </c>
      <c r="BD767" s="1818">
        <f>Forrajes!CT34*AD767</f>
        <v>0</v>
      </c>
      <c r="BE767" s="590"/>
      <c r="BF767" s="100"/>
      <c r="BG767" s="590"/>
      <c r="BH767" s="590"/>
      <c r="BI767" s="100"/>
      <c r="BJ767" s="1975"/>
      <c r="BK767" s="590"/>
    </row>
    <row r="768" spans="3:63" s="108" customFormat="1" x14ac:dyDescent="0.2">
      <c r="C768" s="1971"/>
      <c r="D768" s="1979" t="str">
        <f t="shared" si="580"/>
        <v>Subtotal Praderas más de un año</v>
      </c>
      <c r="E768" s="1980"/>
      <c r="F768" s="1909">
        <f>SUM(F754:F767)</f>
        <v>0</v>
      </c>
      <c r="G768" s="1909">
        <f t="shared" ref="G768:Q768" si="609">SUM(G754:G767)</f>
        <v>0</v>
      </c>
      <c r="H768" s="1909">
        <f t="shared" si="609"/>
        <v>0</v>
      </c>
      <c r="I768" s="1909">
        <f t="shared" si="609"/>
        <v>0</v>
      </c>
      <c r="J768" s="1909">
        <f t="shared" si="609"/>
        <v>0</v>
      </c>
      <c r="K768" s="1909">
        <f t="shared" si="609"/>
        <v>0</v>
      </c>
      <c r="L768" s="1909">
        <f t="shared" si="609"/>
        <v>0</v>
      </c>
      <c r="M768" s="1909">
        <f t="shared" si="609"/>
        <v>0</v>
      </c>
      <c r="N768" s="1909">
        <f t="shared" si="609"/>
        <v>0</v>
      </c>
      <c r="O768" s="1909">
        <f t="shared" si="609"/>
        <v>0</v>
      </c>
      <c r="P768" s="1909">
        <f t="shared" si="609"/>
        <v>0</v>
      </c>
      <c r="Q768" s="1909">
        <f t="shared" si="609"/>
        <v>0</v>
      </c>
      <c r="S768" s="1976"/>
      <c r="T768" s="668"/>
      <c r="U768" s="668"/>
      <c r="V768" s="668"/>
      <c r="W768" s="668"/>
      <c r="X768" s="668"/>
      <c r="Y768" s="668"/>
      <c r="Z768" s="668"/>
      <c r="AA768" s="668"/>
      <c r="AB768" s="668"/>
      <c r="AC768" s="668"/>
      <c r="AD768" s="1977"/>
      <c r="AF768" s="1976"/>
      <c r="AG768" s="668"/>
      <c r="AH768" s="668"/>
      <c r="AI768" s="668"/>
      <c r="AJ768" s="668"/>
      <c r="AK768" s="668"/>
      <c r="AL768" s="668"/>
      <c r="AM768" s="668"/>
      <c r="AN768" s="668"/>
      <c r="AO768" s="668"/>
      <c r="AP768" s="668"/>
      <c r="AQ768" s="668"/>
      <c r="AS768" s="1976"/>
      <c r="AT768" s="668"/>
      <c r="AU768" s="668"/>
      <c r="AV768" s="668"/>
      <c r="AW768" s="668"/>
      <c r="AX768" s="668"/>
      <c r="AY768" s="668"/>
      <c r="AZ768" s="668"/>
      <c r="BA768" s="668"/>
      <c r="BB768" s="668"/>
      <c r="BC768" s="668"/>
      <c r="BD768" s="1818"/>
      <c r="BE768" s="590"/>
      <c r="BF768" s="100"/>
      <c r="BG768" s="590"/>
      <c r="BH768" s="590"/>
      <c r="BI768" s="100"/>
      <c r="BJ768" s="1975"/>
      <c r="BK768" s="590"/>
    </row>
    <row r="769" spans="3:63" s="108" customFormat="1" x14ac:dyDescent="0.2">
      <c r="C769" s="1971" t="str">
        <f t="shared" ref="C769:C777" si="610">D769&amp;$D$639</f>
        <v>AvenaRecría-Vacas Secas</v>
      </c>
      <c r="D769" s="1857" t="str">
        <f t="shared" si="580"/>
        <v>Avena</v>
      </c>
      <c r="E769" s="590"/>
      <c r="F769" s="1972">
        <f t="shared" ref="F769:Q769" si="611">IF($D769&lt;&gt;0,SUMIFS($C$9:$C$98,$D$9:$D$98,$D$639,G$9:G$98,$D769),0)</f>
        <v>0</v>
      </c>
      <c r="G769" s="1972">
        <f t="shared" si="611"/>
        <v>0</v>
      </c>
      <c r="H769" s="1972">
        <f t="shared" si="611"/>
        <v>0</v>
      </c>
      <c r="I769" s="1972">
        <f t="shared" ref="I769:I777" si="612">IF($D769&lt;&gt;0,SUMIFS($C$9:$C$98,$D$9:$D$98,$D$639,J$9:J$98,$D769),0)</f>
        <v>0</v>
      </c>
      <c r="J769" s="1972">
        <f t="shared" si="611"/>
        <v>0</v>
      </c>
      <c r="K769" s="1972">
        <f t="shared" si="611"/>
        <v>0</v>
      </c>
      <c r="L769" s="1972">
        <f t="shared" si="611"/>
        <v>0</v>
      </c>
      <c r="M769" s="1972">
        <f t="shared" si="611"/>
        <v>0</v>
      </c>
      <c r="N769" s="1972">
        <f t="shared" si="611"/>
        <v>0</v>
      </c>
      <c r="O769" s="1972">
        <f t="shared" si="611"/>
        <v>0</v>
      </c>
      <c r="P769" s="1972">
        <f t="shared" si="611"/>
        <v>0</v>
      </c>
      <c r="Q769" s="1972">
        <f t="shared" si="611"/>
        <v>0</v>
      </c>
      <c r="S769" s="1976">
        <f>SUMIF(G$401:G$490,$C769,$S$401:$S$490)*Forrajes!BG36*G$99</f>
        <v>0</v>
      </c>
      <c r="T769" s="668">
        <f>SUMIF(H$401:H$490,$C769,$S$401:$S$490)*Forrajes!BH36*H$99</f>
        <v>0</v>
      </c>
      <c r="U769" s="668">
        <f>SUMIF(I$401:I$490,$C769,$S$401:$S$490)*Forrajes!BI36*I$99</f>
        <v>0</v>
      </c>
      <c r="V769" s="668">
        <f>SUMIF(J$401:J$490,$C769,$S$401:$S$490)*Forrajes!BJ36*J$99</f>
        <v>0</v>
      </c>
      <c r="W769" s="668">
        <f>SUMIF(K$401:K$490,$C769,$S$401:$S$490)*Forrajes!BK36*K$99</f>
        <v>0</v>
      </c>
      <c r="X769" s="668">
        <f>SUMIF(L$401:L$490,$C769,$S$401:$S$490)*Forrajes!BL36*L$99</f>
        <v>0</v>
      </c>
      <c r="Y769" s="668">
        <f>SUMIF(M$401:M$490,$C769,$S$401:$S$490)*Forrajes!BM36*M$99</f>
        <v>0</v>
      </c>
      <c r="Z769" s="668">
        <f>SUMIF(N$401:N$490,$C769,$S$401:$S$490)*Forrajes!BN36*N$99</f>
        <v>0</v>
      </c>
      <c r="AA769" s="668">
        <f>SUMIF(O$401:O$490,$C769,$S$401:$S$490)*Forrajes!BO36*O$99</f>
        <v>0</v>
      </c>
      <c r="AB769" s="668">
        <f>SUMIF(P$401:P$490,$C769,$S$401:$S$490)*Forrajes!BP36*P$99</f>
        <v>0</v>
      </c>
      <c r="AC769" s="668">
        <f>SUMIF(Q$401:Q$490,$C769,$S$401:$S$490)*Forrajes!BQ36*Q$99</f>
        <v>0</v>
      </c>
      <c r="AD769" s="1977">
        <f>SUMIF(R$401:R$490,$C769,$S$401:$S$490)*Forrajes!BR36*R$99</f>
        <v>0</v>
      </c>
      <c r="AF769" s="1976">
        <f>Forrajes!BU36*S769</f>
        <v>0</v>
      </c>
      <c r="AG769" s="668">
        <f>Forrajes!BV36*T769</f>
        <v>0</v>
      </c>
      <c r="AH769" s="668">
        <f>Forrajes!BW36*U769</f>
        <v>0</v>
      </c>
      <c r="AI769" s="668">
        <f>Forrajes!BX36*V769</f>
        <v>0</v>
      </c>
      <c r="AJ769" s="668">
        <f>Forrajes!BY36*W769</f>
        <v>0</v>
      </c>
      <c r="AK769" s="668">
        <f>Forrajes!BZ36*X769</f>
        <v>0</v>
      </c>
      <c r="AL769" s="668">
        <f>Forrajes!CA36*Y769</f>
        <v>0</v>
      </c>
      <c r="AM769" s="668">
        <f>Forrajes!CB36*Z769</f>
        <v>0</v>
      </c>
      <c r="AN769" s="668">
        <f>Forrajes!CC36*AA769</f>
        <v>0</v>
      </c>
      <c r="AO769" s="668">
        <f>Forrajes!CD36*AB769</f>
        <v>0</v>
      </c>
      <c r="AP769" s="668">
        <f>Forrajes!CE36*AC769</f>
        <v>0</v>
      </c>
      <c r="AQ769" s="668">
        <f>Forrajes!CF36*AD769</f>
        <v>0</v>
      </c>
      <c r="AS769" s="1976">
        <f>Forrajes!CI36*S769</f>
        <v>0</v>
      </c>
      <c r="AT769" s="668">
        <f>Forrajes!CJ36*T769</f>
        <v>0</v>
      </c>
      <c r="AU769" s="668">
        <f>Forrajes!CK36*U769</f>
        <v>0</v>
      </c>
      <c r="AV769" s="668">
        <f>Forrajes!CL36*V769</f>
        <v>0</v>
      </c>
      <c r="AW769" s="668">
        <f>Forrajes!CM36*W769</f>
        <v>0</v>
      </c>
      <c r="AX769" s="668">
        <f>Forrajes!CN36*X769</f>
        <v>0</v>
      </c>
      <c r="AY769" s="668">
        <f>Forrajes!CO36*Y769</f>
        <v>0</v>
      </c>
      <c r="AZ769" s="668">
        <f>Forrajes!CP36*Z769</f>
        <v>0</v>
      </c>
      <c r="BA769" s="668">
        <f>Forrajes!CQ36*AA769</f>
        <v>0</v>
      </c>
      <c r="BB769" s="668">
        <f>Forrajes!CR36*AB769</f>
        <v>0</v>
      </c>
      <c r="BC769" s="668">
        <f>Forrajes!CS36*AC769</f>
        <v>0</v>
      </c>
      <c r="BD769" s="1818">
        <f>Forrajes!CT36*AD769</f>
        <v>0</v>
      </c>
      <c r="BE769" s="590"/>
      <c r="BF769" s="100"/>
      <c r="BG769" s="590"/>
      <c r="BH769" s="590"/>
      <c r="BI769" s="1978"/>
      <c r="BJ769" s="1975"/>
      <c r="BK769" s="590"/>
    </row>
    <row r="770" spans="3:63" s="108" customFormat="1" x14ac:dyDescent="0.2">
      <c r="C770" s="1971" t="str">
        <f t="shared" si="610"/>
        <v>RaigrásRecría-Vacas Secas</v>
      </c>
      <c r="D770" s="1857" t="str">
        <f t="shared" si="580"/>
        <v>Raigrás</v>
      </c>
      <c r="E770" s="590"/>
      <c r="F770" s="1972">
        <f t="shared" ref="F770:Q770" si="613">IF($D770&lt;&gt;0,SUMIFS($C$9:$C$98,$D$9:$D$98,$D$639,G$9:G$98,$D770),0)</f>
        <v>0</v>
      </c>
      <c r="G770" s="1972">
        <f t="shared" si="613"/>
        <v>0</v>
      </c>
      <c r="H770" s="1972">
        <f t="shared" si="613"/>
        <v>0</v>
      </c>
      <c r="I770" s="1972">
        <f t="shared" si="612"/>
        <v>0</v>
      </c>
      <c r="J770" s="1972">
        <f t="shared" si="613"/>
        <v>0</v>
      </c>
      <c r="K770" s="1972">
        <f t="shared" si="613"/>
        <v>0</v>
      </c>
      <c r="L770" s="1972">
        <f t="shared" si="613"/>
        <v>0</v>
      </c>
      <c r="M770" s="1972">
        <f t="shared" si="613"/>
        <v>0</v>
      </c>
      <c r="N770" s="1972">
        <f t="shared" si="613"/>
        <v>0</v>
      </c>
      <c r="O770" s="1972">
        <f t="shared" si="613"/>
        <v>0</v>
      </c>
      <c r="P770" s="1972">
        <f t="shared" si="613"/>
        <v>0</v>
      </c>
      <c r="Q770" s="1972">
        <f t="shared" si="613"/>
        <v>0</v>
      </c>
      <c r="S770" s="1976">
        <f>SUMIF(G$401:G$490,$C770,$S$401:$S$490)*Forrajes!BG37*G$99</f>
        <v>0</v>
      </c>
      <c r="T770" s="668">
        <f>SUMIF(H$401:H$490,$C770,$S$401:$S$490)*Forrajes!BH37*H$99</f>
        <v>0</v>
      </c>
      <c r="U770" s="668">
        <f>SUMIF(I$401:I$490,$C770,$S$401:$S$490)*Forrajes!BI37*I$99</f>
        <v>0</v>
      </c>
      <c r="V770" s="668">
        <f>SUMIF(J$401:J$490,$C770,$S$401:$S$490)*Forrajes!BJ37*J$99</f>
        <v>0</v>
      </c>
      <c r="W770" s="668">
        <f>SUMIF(K$401:K$490,$C770,$S$401:$S$490)*Forrajes!BK37*K$99</f>
        <v>0</v>
      </c>
      <c r="X770" s="668">
        <f>SUMIF(L$401:L$490,$C770,$S$401:$S$490)*Forrajes!BL37*L$99</f>
        <v>0</v>
      </c>
      <c r="Y770" s="668">
        <f>SUMIF(M$401:M$490,$C770,$S$401:$S$490)*Forrajes!BM37*M$99</f>
        <v>0</v>
      </c>
      <c r="Z770" s="668">
        <f>SUMIF(N$401:N$490,$C770,$S$401:$S$490)*Forrajes!BN37*N$99</f>
        <v>0</v>
      </c>
      <c r="AA770" s="668">
        <f>SUMIF(O$401:O$490,$C770,$S$401:$S$490)*Forrajes!BO37*O$99</f>
        <v>0</v>
      </c>
      <c r="AB770" s="668">
        <f>SUMIF(P$401:P$490,$C770,$S$401:$S$490)*Forrajes!BP37*P$99</f>
        <v>0</v>
      </c>
      <c r="AC770" s="668">
        <f>SUMIF(Q$401:Q$490,$C770,$S$401:$S$490)*Forrajes!BQ37*Q$99</f>
        <v>0</v>
      </c>
      <c r="AD770" s="1977">
        <f>SUMIF(R$401:R$490,$C770,$S$401:$S$490)*Forrajes!BR37*R$99</f>
        <v>0</v>
      </c>
      <c r="AF770" s="1976">
        <f>Forrajes!BU37*S770</f>
        <v>0</v>
      </c>
      <c r="AG770" s="668">
        <f>Forrajes!BV37*T770</f>
        <v>0</v>
      </c>
      <c r="AH770" s="668">
        <f>Forrajes!BW37*U770</f>
        <v>0</v>
      </c>
      <c r="AI770" s="668">
        <f>Forrajes!BX37*V770</f>
        <v>0</v>
      </c>
      <c r="AJ770" s="668">
        <f>Forrajes!BY37*W770</f>
        <v>0</v>
      </c>
      <c r="AK770" s="668">
        <f>Forrajes!BZ37*X770</f>
        <v>0</v>
      </c>
      <c r="AL770" s="668">
        <f>Forrajes!CA37*Y770</f>
        <v>0</v>
      </c>
      <c r="AM770" s="668">
        <f>Forrajes!CB37*Z770</f>
        <v>0</v>
      </c>
      <c r="AN770" s="668">
        <f>Forrajes!CC37*AA770</f>
        <v>0</v>
      </c>
      <c r="AO770" s="668">
        <f>Forrajes!CD37*AB770</f>
        <v>0</v>
      </c>
      <c r="AP770" s="668">
        <f>Forrajes!CE37*AC770</f>
        <v>0</v>
      </c>
      <c r="AQ770" s="668">
        <f>Forrajes!CF37*AD770</f>
        <v>0</v>
      </c>
      <c r="AS770" s="1976">
        <f>Forrajes!CI37*S770</f>
        <v>0</v>
      </c>
      <c r="AT770" s="668">
        <f>Forrajes!CJ37*T770</f>
        <v>0</v>
      </c>
      <c r="AU770" s="668">
        <f>Forrajes!CK37*U770</f>
        <v>0</v>
      </c>
      <c r="AV770" s="668">
        <f>Forrajes!CL37*V770</f>
        <v>0</v>
      </c>
      <c r="AW770" s="668">
        <f>Forrajes!CM37*W770</f>
        <v>0</v>
      </c>
      <c r="AX770" s="668">
        <f>Forrajes!CN37*X770</f>
        <v>0</v>
      </c>
      <c r="AY770" s="668">
        <f>Forrajes!CO37*Y770</f>
        <v>0</v>
      </c>
      <c r="AZ770" s="668">
        <f>Forrajes!CP37*Z770</f>
        <v>0</v>
      </c>
      <c r="BA770" s="668">
        <f>Forrajes!CQ37*AA770</f>
        <v>0</v>
      </c>
      <c r="BB770" s="668">
        <f>Forrajes!CR37*AB770</f>
        <v>0</v>
      </c>
      <c r="BC770" s="668">
        <f>Forrajes!CS37*AC770</f>
        <v>0</v>
      </c>
      <c r="BD770" s="1818">
        <f>Forrajes!CT37*AD770</f>
        <v>0</v>
      </c>
      <c r="BE770" s="590"/>
      <c r="BF770" s="100"/>
      <c r="BG770" s="590"/>
      <c r="BH770" s="590"/>
      <c r="BI770" s="100"/>
      <c r="BJ770" s="1975"/>
      <c r="BK770" s="111"/>
    </row>
    <row r="771" spans="3:63" s="108" customFormat="1" x14ac:dyDescent="0.2">
      <c r="C771" s="1971" t="str">
        <f t="shared" si="610"/>
        <v>Av+RgRecría-Vacas Secas</v>
      </c>
      <c r="D771" s="1857" t="str">
        <f t="shared" si="580"/>
        <v>Av+Rg</v>
      </c>
      <c r="E771" s="590"/>
      <c r="F771" s="1972">
        <f t="shared" ref="F771:Q771" si="614">IF($D771&lt;&gt;0,SUMIFS($C$9:$C$98,$D$9:$D$98,$D$639,G$9:G$98,$D771),0)</f>
        <v>0</v>
      </c>
      <c r="G771" s="1972">
        <f t="shared" si="614"/>
        <v>0</v>
      </c>
      <c r="H771" s="1972">
        <f t="shared" si="614"/>
        <v>0</v>
      </c>
      <c r="I771" s="1972">
        <f t="shared" si="612"/>
        <v>0</v>
      </c>
      <c r="J771" s="1972">
        <f t="shared" si="614"/>
        <v>0</v>
      </c>
      <c r="K771" s="1972">
        <f t="shared" si="614"/>
        <v>0</v>
      </c>
      <c r="L771" s="1972">
        <f t="shared" si="614"/>
        <v>0</v>
      </c>
      <c r="M771" s="1972">
        <f t="shared" si="614"/>
        <v>0</v>
      </c>
      <c r="N771" s="1972">
        <f t="shared" si="614"/>
        <v>0</v>
      </c>
      <c r="O771" s="1972">
        <f t="shared" si="614"/>
        <v>0</v>
      </c>
      <c r="P771" s="1972">
        <f t="shared" si="614"/>
        <v>0</v>
      </c>
      <c r="Q771" s="1972">
        <f t="shared" si="614"/>
        <v>0</v>
      </c>
      <c r="S771" s="1976">
        <f>SUMIF(G$401:G$490,$C771,$S$401:$S$490)*Forrajes!BG38*G$99</f>
        <v>0</v>
      </c>
      <c r="T771" s="668">
        <f>SUMIF(H$401:H$490,$C771,$S$401:$S$490)*Forrajes!BH38*H$99</f>
        <v>0</v>
      </c>
      <c r="U771" s="668">
        <f>SUMIF(I$401:I$490,$C771,$S$401:$S$490)*Forrajes!BI38*I$99</f>
        <v>0</v>
      </c>
      <c r="V771" s="668">
        <f>SUMIF(J$401:J$490,$C771,$S$401:$S$490)*Forrajes!BJ38*J$99</f>
        <v>0</v>
      </c>
      <c r="W771" s="668">
        <f>SUMIF(K$401:K$490,$C771,$S$401:$S$490)*Forrajes!BK38*K$99</f>
        <v>0</v>
      </c>
      <c r="X771" s="668">
        <f>SUMIF(L$401:L$490,$C771,$S$401:$S$490)*Forrajes!BL38*L$99</f>
        <v>0</v>
      </c>
      <c r="Y771" s="668">
        <f>SUMIF(M$401:M$490,$C771,$S$401:$S$490)*Forrajes!BM38*M$99</f>
        <v>0</v>
      </c>
      <c r="Z771" s="668">
        <f>SUMIF(N$401:N$490,$C771,$S$401:$S$490)*Forrajes!BN38*N$99</f>
        <v>0</v>
      </c>
      <c r="AA771" s="668">
        <f>SUMIF(O$401:O$490,$C771,$S$401:$S$490)*Forrajes!BO38*O$99</f>
        <v>0</v>
      </c>
      <c r="AB771" s="668">
        <f>SUMIF(P$401:P$490,$C771,$S$401:$S$490)*Forrajes!BP38*P$99</f>
        <v>0</v>
      </c>
      <c r="AC771" s="668">
        <f>SUMIF(Q$401:Q$490,$C771,$S$401:$S$490)*Forrajes!BQ38*Q$99</f>
        <v>0</v>
      </c>
      <c r="AD771" s="1977">
        <f>SUMIF(R$401:R$490,$C771,$S$401:$S$490)*Forrajes!BR38*R$99</f>
        <v>0</v>
      </c>
      <c r="AF771" s="1976">
        <f>Forrajes!BU38*S771</f>
        <v>0</v>
      </c>
      <c r="AG771" s="668">
        <f>Forrajes!BV38*T771</f>
        <v>0</v>
      </c>
      <c r="AH771" s="668">
        <f>Forrajes!BW38*U771</f>
        <v>0</v>
      </c>
      <c r="AI771" s="668">
        <f>Forrajes!BX38*V771</f>
        <v>0</v>
      </c>
      <c r="AJ771" s="668">
        <f>Forrajes!BY38*W771</f>
        <v>0</v>
      </c>
      <c r="AK771" s="668">
        <f>Forrajes!BZ38*X771</f>
        <v>0</v>
      </c>
      <c r="AL771" s="668">
        <f>Forrajes!CA38*Y771</f>
        <v>0</v>
      </c>
      <c r="AM771" s="668">
        <f>Forrajes!CB38*Z771</f>
        <v>0</v>
      </c>
      <c r="AN771" s="668">
        <f>Forrajes!CC38*AA771</f>
        <v>0</v>
      </c>
      <c r="AO771" s="668">
        <f>Forrajes!CD38*AB771</f>
        <v>0</v>
      </c>
      <c r="AP771" s="668">
        <f>Forrajes!CE38*AC771</f>
        <v>0</v>
      </c>
      <c r="AQ771" s="668">
        <f>Forrajes!CF38*AD771</f>
        <v>0</v>
      </c>
      <c r="AS771" s="1976">
        <f>Forrajes!CI38*S771</f>
        <v>0</v>
      </c>
      <c r="AT771" s="668">
        <f>Forrajes!CJ38*T771</f>
        <v>0</v>
      </c>
      <c r="AU771" s="668">
        <f>Forrajes!CK38*U771</f>
        <v>0</v>
      </c>
      <c r="AV771" s="668">
        <f>Forrajes!CL38*V771</f>
        <v>0</v>
      </c>
      <c r="AW771" s="668">
        <f>Forrajes!CM38*W771</f>
        <v>0</v>
      </c>
      <c r="AX771" s="668">
        <f>Forrajes!CN38*X771</f>
        <v>0</v>
      </c>
      <c r="AY771" s="668">
        <f>Forrajes!CO38*Y771</f>
        <v>0</v>
      </c>
      <c r="AZ771" s="668">
        <f>Forrajes!CP38*Z771</f>
        <v>0</v>
      </c>
      <c r="BA771" s="668">
        <f>Forrajes!CQ38*AA771</f>
        <v>0</v>
      </c>
      <c r="BB771" s="668">
        <f>Forrajes!CR38*AB771</f>
        <v>0</v>
      </c>
      <c r="BC771" s="668">
        <f>Forrajes!CS38*AC771</f>
        <v>0</v>
      </c>
      <c r="BD771" s="1818">
        <f>Forrajes!CT38*AD771</f>
        <v>0</v>
      </c>
      <c r="BE771" s="590"/>
      <c r="BF771" s="100"/>
      <c r="BG771" s="590"/>
      <c r="BH771" s="590"/>
      <c r="BI771" s="1978"/>
      <c r="BJ771" s="1975"/>
      <c r="BK771" s="590"/>
    </row>
    <row r="772" spans="3:63" s="108" customFormat="1" x14ac:dyDescent="0.2">
      <c r="C772" s="1971" t="str">
        <f t="shared" si="610"/>
        <v>Rg Ciclo LargoRecría-Vacas Secas</v>
      </c>
      <c r="D772" s="1857" t="str">
        <f t="shared" si="580"/>
        <v>Rg Ciclo Largo</v>
      </c>
      <c r="E772" s="590"/>
      <c r="F772" s="1972">
        <f t="shared" ref="F772:Q772" si="615">IF($D772&lt;&gt;0,SUMIFS($C$9:$C$98,$D$9:$D$98,$D$639,G$9:G$98,$D772),0)</f>
        <v>0</v>
      </c>
      <c r="G772" s="1972">
        <f t="shared" si="615"/>
        <v>0</v>
      </c>
      <c r="H772" s="1972">
        <f t="shared" si="615"/>
        <v>0</v>
      </c>
      <c r="I772" s="1972">
        <f t="shared" si="612"/>
        <v>0</v>
      </c>
      <c r="J772" s="1972">
        <f t="shared" si="615"/>
        <v>0</v>
      </c>
      <c r="K772" s="1972">
        <f t="shared" si="615"/>
        <v>0</v>
      </c>
      <c r="L772" s="1972">
        <f t="shared" si="615"/>
        <v>0</v>
      </c>
      <c r="M772" s="1972">
        <f t="shared" si="615"/>
        <v>0</v>
      </c>
      <c r="N772" s="1972">
        <f t="shared" si="615"/>
        <v>0</v>
      </c>
      <c r="O772" s="1972">
        <f t="shared" si="615"/>
        <v>0</v>
      </c>
      <c r="P772" s="1972">
        <f t="shared" si="615"/>
        <v>0</v>
      </c>
      <c r="Q772" s="1972">
        <f t="shared" si="615"/>
        <v>0</v>
      </c>
      <c r="S772" s="1976">
        <f>SUMIF(G$401:G$490,$C772,$S$401:$S$490)*Forrajes!BG39*G$99</f>
        <v>0</v>
      </c>
      <c r="T772" s="668">
        <f>SUMIF(H$401:H$490,$C772,$S$401:$S$490)*Forrajes!BH39*H$99</f>
        <v>0</v>
      </c>
      <c r="U772" s="668">
        <f>SUMIF(I$401:I$490,$C772,$S$401:$S$490)*Forrajes!BI39*I$99</f>
        <v>0</v>
      </c>
      <c r="V772" s="668">
        <f>SUMIF(J$401:J$490,$C772,$S$401:$S$490)*Forrajes!BJ39*J$99</f>
        <v>0</v>
      </c>
      <c r="W772" s="668">
        <f>SUMIF(K$401:K$490,$C772,$S$401:$S$490)*Forrajes!BK39*K$99</f>
        <v>0</v>
      </c>
      <c r="X772" s="668">
        <f>SUMIF(L$401:L$490,$C772,$S$401:$S$490)*Forrajes!BL39*L$99</f>
        <v>0</v>
      </c>
      <c r="Y772" s="668">
        <f>SUMIF(M$401:M$490,$C772,$S$401:$S$490)*Forrajes!BM39*M$99</f>
        <v>0</v>
      </c>
      <c r="Z772" s="668">
        <f>SUMIF(N$401:N$490,$C772,$S$401:$S$490)*Forrajes!BN39*N$99</f>
        <v>0</v>
      </c>
      <c r="AA772" s="668">
        <f>SUMIF(O$401:O$490,$C772,$S$401:$S$490)*Forrajes!BO39*O$99</f>
        <v>0</v>
      </c>
      <c r="AB772" s="668">
        <f>SUMIF(P$401:P$490,$C772,$S$401:$S$490)*Forrajes!BP39*P$99</f>
        <v>0</v>
      </c>
      <c r="AC772" s="668">
        <f>SUMIF(Q$401:Q$490,$C772,$S$401:$S$490)*Forrajes!BQ39*Q$99</f>
        <v>0</v>
      </c>
      <c r="AD772" s="1977">
        <f>SUMIF(R$401:R$490,$C772,$S$401:$S$490)*Forrajes!BR39*R$99</f>
        <v>0</v>
      </c>
      <c r="AF772" s="1976">
        <f>Forrajes!BU39*S772</f>
        <v>0</v>
      </c>
      <c r="AG772" s="668">
        <f>Forrajes!BV39*T772</f>
        <v>0</v>
      </c>
      <c r="AH772" s="668">
        <f>Forrajes!BW39*U772</f>
        <v>0</v>
      </c>
      <c r="AI772" s="668">
        <f>Forrajes!BX39*V772</f>
        <v>0</v>
      </c>
      <c r="AJ772" s="668">
        <f>Forrajes!BY39*W772</f>
        <v>0</v>
      </c>
      <c r="AK772" s="668">
        <f>Forrajes!BZ39*X772</f>
        <v>0</v>
      </c>
      <c r="AL772" s="668">
        <f>Forrajes!CA39*Y772</f>
        <v>0</v>
      </c>
      <c r="AM772" s="668">
        <f>Forrajes!CB39*Z772</f>
        <v>0</v>
      </c>
      <c r="AN772" s="668">
        <f>Forrajes!CC39*AA772</f>
        <v>0</v>
      </c>
      <c r="AO772" s="668">
        <f>Forrajes!CD39*AB772</f>
        <v>0</v>
      </c>
      <c r="AP772" s="668">
        <f>Forrajes!CE39*AC772</f>
        <v>0</v>
      </c>
      <c r="AQ772" s="668">
        <f>Forrajes!CF39*AD772</f>
        <v>0</v>
      </c>
      <c r="AS772" s="1976">
        <f>Forrajes!CI39*S772</f>
        <v>0</v>
      </c>
      <c r="AT772" s="668">
        <f>Forrajes!CJ39*T772</f>
        <v>0</v>
      </c>
      <c r="AU772" s="668">
        <f>Forrajes!CK39*U772</f>
        <v>0</v>
      </c>
      <c r="AV772" s="668">
        <f>Forrajes!CL39*V772</f>
        <v>0</v>
      </c>
      <c r="AW772" s="668">
        <f>Forrajes!CM39*W772</f>
        <v>0</v>
      </c>
      <c r="AX772" s="668">
        <f>Forrajes!CN39*X772</f>
        <v>0</v>
      </c>
      <c r="AY772" s="668">
        <f>Forrajes!CO39*Y772</f>
        <v>0</v>
      </c>
      <c r="AZ772" s="668">
        <f>Forrajes!CP39*Z772</f>
        <v>0</v>
      </c>
      <c r="BA772" s="668">
        <f>Forrajes!CQ39*AA772</f>
        <v>0</v>
      </c>
      <c r="BB772" s="668">
        <f>Forrajes!CR39*AB772</f>
        <v>0</v>
      </c>
      <c r="BC772" s="668">
        <f>Forrajes!CS39*AC772</f>
        <v>0</v>
      </c>
      <c r="BD772" s="1818">
        <f>Forrajes!CT39*AD772</f>
        <v>0</v>
      </c>
      <c r="BE772" s="590"/>
      <c r="BF772" s="100"/>
      <c r="BG772" s="590"/>
      <c r="BH772" s="590"/>
      <c r="BI772" s="100"/>
      <c r="BJ772" s="1975"/>
      <c r="BK772" s="590"/>
    </row>
    <row r="773" spans="3:63" s="108" customFormat="1" x14ac:dyDescent="0.2">
      <c r="C773" s="1971" t="str">
        <f t="shared" si="610"/>
        <v>Trigo pastoreoRecría-Vacas Secas</v>
      </c>
      <c r="D773" s="1857" t="str">
        <f t="shared" si="580"/>
        <v>Trigo pastoreo</v>
      </c>
      <c r="E773" s="590"/>
      <c r="F773" s="1972">
        <f t="shared" ref="F773:Q773" si="616">IF($D773&lt;&gt;0,SUMIFS($C$9:$C$98,$D$9:$D$98,$D$639,G$9:G$98,$D773),0)</f>
        <v>0</v>
      </c>
      <c r="G773" s="1972">
        <f t="shared" si="616"/>
        <v>0</v>
      </c>
      <c r="H773" s="1972">
        <f t="shared" si="616"/>
        <v>0</v>
      </c>
      <c r="I773" s="1972">
        <f t="shared" si="612"/>
        <v>0</v>
      </c>
      <c r="J773" s="1972">
        <f t="shared" si="616"/>
        <v>0</v>
      </c>
      <c r="K773" s="1972">
        <f t="shared" si="616"/>
        <v>0</v>
      </c>
      <c r="L773" s="1972">
        <f t="shared" si="616"/>
        <v>0</v>
      </c>
      <c r="M773" s="1972">
        <f t="shared" si="616"/>
        <v>0</v>
      </c>
      <c r="N773" s="1972">
        <f t="shared" si="616"/>
        <v>0</v>
      </c>
      <c r="O773" s="1972">
        <f t="shared" si="616"/>
        <v>0</v>
      </c>
      <c r="P773" s="1972">
        <f t="shared" si="616"/>
        <v>0</v>
      </c>
      <c r="Q773" s="1972">
        <f t="shared" si="616"/>
        <v>0</v>
      </c>
      <c r="S773" s="1976">
        <f>SUMIF(G$401:G$490,$C773,$S$401:$S$490)*Forrajes!BG40*G$99</f>
        <v>0</v>
      </c>
      <c r="T773" s="668">
        <f>SUMIF(H$401:H$490,$C773,$S$401:$S$490)*Forrajes!BH40*H$99</f>
        <v>0</v>
      </c>
      <c r="U773" s="668">
        <f>SUMIF(I$401:I$490,$C773,$S$401:$S$490)*Forrajes!BI40*I$99</f>
        <v>0</v>
      </c>
      <c r="V773" s="668">
        <f>SUMIF(J$401:J$490,$C773,$S$401:$S$490)*Forrajes!BJ40*J$99</f>
        <v>0</v>
      </c>
      <c r="W773" s="668">
        <f>SUMIF(K$401:K$490,$C773,$S$401:$S$490)*Forrajes!BK40*K$99</f>
        <v>0</v>
      </c>
      <c r="X773" s="668">
        <f>SUMIF(L$401:L$490,$C773,$S$401:$S$490)*Forrajes!BL40*L$99</f>
        <v>0</v>
      </c>
      <c r="Y773" s="668">
        <f>SUMIF(M$401:M$490,$C773,$S$401:$S$490)*Forrajes!BM40*M$99</f>
        <v>0</v>
      </c>
      <c r="Z773" s="668">
        <f>SUMIF(N$401:N$490,$C773,$S$401:$S$490)*Forrajes!BN40*N$99</f>
        <v>0</v>
      </c>
      <c r="AA773" s="668">
        <f>SUMIF(O$401:O$490,$C773,$S$401:$S$490)*Forrajes!BO40*O$99</f>
        <v>0</v>
      </c>
      <c r="AB773" s="668">
        <f>SUMIF(P$401:P$490,$C773,$S$401:$S$490)*Forrajes!BP40*P$99</f>
        <v>0</v>
      </c>
      <c r="AC773" s="668">
        <f>SUMIF(Q$401:Q$490,$C773,$S$401:$S$490)*Forrajes!BQ40*Q$99</f>
        <v>0</v>
      </c>
      <c r="AD773" s="1977">
        <f>SUMIF(R$401:R$490,$C773,$S$401:$S$490)*Forrajes!BR40*R$99</f>
        <v>0</v>
      </c>
      <c r="AF773" s="1976">
        <f>Forrajes!BU40*S773</f>
        <v>0</v>
      </c>
      <c r="AG773" s="668">
        <f>Forrajes!BV40*T773</f>
        <v>0</v>
      </c>
      <c r="AH773" s="668">
        <f>Forrajes!BW40*U773</f>
        <v>0</v>
      </c>
      <c r="AI773" s="668">
        <f>Forrajes!BX40*V773</f>
        <v>0</v>
      </c>
      <c r="AJ773" s="668">
        <f>Forrajes!BY40*W773</f>
        <v>0</v>
      </c>
      <c r="AK773" s="668">
        <f>Forrajes!BZ40*X773</f>
        <v>0</v>
      </c>
      <c r="AL773" s="668">
        <f>Forrajes!CA40*Y773</f>
        <v>0</v>
      </c>
      <c r="AM773" s="668">
        <f>Forrajes!CB40*Z773</f>
        <v>0</v>
      </c>
      <c r="AN773" s="668">
        <f>Forrajes!CC40*AA773</f>
        <v>0</v>
      </c>
      <c r="AO773" s="668">
        <f>Forrajes!CD40*AB773</f>
        <v>0</v>
      </c>
      <c r="AP773" s="668">
        <f>Forrajes!CE40*AC773</f>
        <v>0</v>
      </c>
      <c r="AQ773" s="668">
        <f>Forrajes!CF40*AD773</f>
        <v>0</v>
      </c>
      <c r="AS773" s="1976">
        <f>Forrajes!CI40*S773</f>
        <v>0</v>
      </c>
      <c r="AT773" s="668">
        <f>Forrajes!CJ40*T773</f>
        <v>0</v>
      </c>
      <c r="AU773" s="668">
        <f>Forrajes!CK40*U773</f>
        <v>0</v>
      </c>
      <c r="AV773" s="668">
        <f>Forrajes!CL40*V773</f>
        <v>0</v>
      </c>
      <c r="AW773" s="668">
        <f>Forrajes!CM40*W773</f>
        <v>0</v>
      </c>
      <c r="AX773" s="668">
        <f>Forrajes!CN40*X773</f>
        <v>0</v>
      </c>
      <c r="AY773" s="668">
        <f>Forrajes!CO40*Y773</f>
        <v>0</v>
      </c>
      <c r="AZ773" s="668">
        <f>Forrajes!CP40*Z773</f>
        <v>0</v>
      </c>
      <c r="BA773" s="668">
        <f>Forrajes!CQ40*AA773</f>
        <v>0</v>
      </c>
      <c r="BB773" s="668">
        <f>Forrajes!CR40*AB773</f>
        <v>0</v>
      </c>
      <c r="BC773" s="668">
        <f>Forrajes!CS40*AC773</f>
        <v>0</v>
      </c>
      <c r="BD773" s="1818">
        <f>Forrajes!CT40*AD773</f>
        <v>0</v>
      </c>
      <c r="BE773" s="590"/>
      <c r="BF773" s="100"/>
      <c r="BG773" s="590"/>
      <c r="BH773" s="590"/>
      <c r="BI773" s="100"/>
      <c r="BJ773" s="1975"/>
      <c r="BK773" s="590"/>
    </row>
    <row r="774" spans="3:63" s="108" customFormat="1" x14ac:dyDescent="0.2">
      <c r="C774" s="1971" t="str">
        <f t="shared" si="610"/>
        <v>Cebada pastoreoRecría-Vacas Secas</v>
      </c>
      <c r="D774" s="1857" t="str">
        <f t="shared" si="580"/>
        <v>Cebada pastoreo</v>
      </c>
      <c r="E774" s="590"/>
      <c r="F774" s="1972">
        <f t="shared" ref="F774:Q774" si="617">IF($D774&lt;&gt;0,SUMIFS($C$9:$C$98,$D$9:$D$98,$D$639,G$9:G$98,$D774),0)</f>
        <v>0</v>
      </c>
      <c r="G774" s="1972">
        <f t="shared" si="617"/>
        <v>0</v>
      </c>
      <c r="H774" s="1972">
        <f t="shared" si="617"/>
        <v>0</v>
      </c>
      <c r="I774" s="1972">
        <f t="shared" si="612"/>
        <v>0</v>
      </c>
      <c r="J774" s="1972">
        <f t="shared" si="617"/>
        <v>0</v>
      </c>
      <c r="K774" s="1972">
        <f t="shared" si="617"/>
        <v>0</v>
      </c>
      <c r="L774" s="1972">
        <f t="shared" si="617"/>
        <v>0</v>
      </c>
      <c r="M774" s="1972">
        <f t="shared" si="617"/>
        <v>0</v>
      </c>
      <c r="N774" s="1972">
        <f t="shared" si="617"/>
        <v>0</v>
      </c>
      <c r="O774" s="1972">
        <f t="shared" si="617"/>
        <v>0</v>
      </c>
      <c r="P774" s="1972">
        <f t="shared" si="617"/>
        <v>0</v>
      </c>
      <c r="Q774" s="1972">
        <f t="shared" si="617"/>
        <v>0</v>
      </c>
      <c r="S774" s="1976">
        <f>SUMIF(G$401:G$490,$C774,$S$401:$S$490)*Forrajes!BG41*G$99</f>
        <v>0</v>
      </c>
      <c r="T774" s="668">
        <f>SUMIF(H$401:H$490,$C774,$S$401:$S$490)*Forrajes!BH41*H$99</f>
        <v>0</v>
      </c>
      <c r="U774" s="668">
        <f>SUMIF(I$401:I$490,$C774,$S$401:$S$490)*Forrajes!BI41*I$99</f>
        <v>0</v>
      </c>
      <c r="V774" s="668">
        <f>SUMIF(J$401:J$490,$C774,$S$401:$S$490)*Forrajes!BJ41*J$99</f>
        <v>0</v>
      </c>
      <c r="W774" s="668">
        <f>SUMIF(K$401:K$490,$C774,$S$401:$S$490)*Forrajes!BK41*K$99</f>
        <v>0</v>
      </c>
      <c r="X774" s="668">
        <f>SUMIF(L$401:L$490,$C774,$S$401:$S$490)*Forrajes!BL41*L$99</f>
        <v>0</v>
      </c>
      <c r="Y774" s="668">
        <f>SUMIF(M$401:M$490,$C774,$S$401:$S$490)*Forrajes!BM41*M$99</f>
        <v>0</v>
      </c>
      <c r="Z774" s="668">
        <f>SUMIF(N$401:N$490,$C774,$S$401:$S$490)*Forrajes!BN41*N$99</f>
        <v>0</v>
      </c>
      <c r="AA774" s="668">
        <f>SUMIF(O$401:O$490,$C774,$S$401:$S$490)*Forrajes!BO41*O$99</f>
        <v>0</v>
      </c>
      <c r="AB774" s="668">
        <f>SUMIF(P$401:P$490,$C774,$S$401:$S$490)*Forrajes!BP41*P$99</f>
        <v>0</v>
      </c>
      <c r="AC774" s="668">
        <f>SUMIF(Q$401:Q$490,$C774,$S$401:$S$490)*Forrajes!BQ41*Q$99</f>
        <v>0</v>
      </c>
      <c r="AD774" s="1977">
        <f>SUMIF(R$401:R$490,$C774,$S$401:$S$490)*Forrajes!BR41*R$99</f>
        <v>0</v>
      </c>
      <c r="AF774" s="1976">
        <f>Forrajes!BU41*S774</f>
        <v>0</v>
      </c>
      <c r="AG774" s="668">
        <f>Forrajes!BV41*T774</f>
        <v>0</v>
      </c>
      <c r="AH774" s="668">
        <f>Forrajes!BW41*U774</f>
        <v>0</v>
      </c>
      <c r="AI774" s="668">
        <f>Forrajes!BX41*V774</f>
        <v>0</v>
      </c>
      <c r="AJ774" s="668">
        <f>Forrajes!BY41*W774</f>
        <v>0</v>
      </c>
      <c r="AK774" s="668">
        <f>Forrajes!BZ41*X774</f>
        <v>0</v>
      </c>
      <c r="AL774" s="668">
        <f>Forrajes!CA41*Y774</f>
        <v>0</v>
      </c>
      <c r="AM774" s="668">
        <f>Forrajes!CB41*Z774</f>
        <v>0</v>
      </c>
      <c r="AN774" s="668">
        <f>Forrajes!CC41*AA774</f>
        <v>0</v>
      </c>
      <c r="AO774" s="668">
        <f>Forrajes!CD41*AB774</f>
        <v>0</v>
      </c>
      <c r="AP774" s="668">
        <f>Forrajes!CE41*AC774</f>
        <v>0</v>
      </c>
      <c r="AQ774" s="668">
        <f>Forrajes!CF41*AD774</f>
        <v>0</v>
      </c>
      <c r="AS774" s="1976">
        <f>Forrajes!CI41*S774</f>
        <v>0</v>
      </c>
      <c r="AT774" s="668">
        <f>Forrajes!CJ41*T774</f>
        <v>0</v>
      </c>
      <c r="AU774" s="668">
        <f>Forrajes!CK41*U774</f>
        <v>0</v>
      </c>
      <c r="AV774" s="668">
        <f>Forrajes!CL41*V774</f>
        <v>0</v>
      </c>
      <c r="AW774" s="668">
        <f>Forrajes!CM41*W774</f>
        <v>0</v>
      </c>
      <c r="AX774" s="668">
        <f>Forrajes!CN41*X774</f>
        <v>0</v>
      </c>
      <c r="AY774" s="668">
        <f>Forrajes!CO41*Y774</f>
        <v>0</v>
      </c>
      <c r="AZ774" s="668">
        <f>Forrajes!CP41*Z774</f>
        <v>0</v>
      </c>
      <c r="BA774" s="668">
        <f>Forrajes!CQ41*AA774</f>
        <v>0</v>
      </c>
      <c r="BB774" s="668">
        <f>Forrajes!CR41*AB774</f>
        <v>0</v>
      </c>
      <c r="BC774" s="668">
        <f>Forrajes!CS41*AC774</f>
        <v>0</v>
      </c>
      <c r="BD774" s="1818">
        <f>Forrajes!CT41*AD774</f>
        <v>0</v>
      </c>
      <c r="BE774" s="590"/>
      <c r="BF774" s="100"/>
      <c r="BG774" s="590"/>
      <c r="BH774" s="590"/>
      <c r="BI774" s="100"/>
      <c r="BJ774" s="1975"/>
      <c r="BK774" s="590"/>
    </row>
    <row r="775" spans="3:63" s="108" customFormat="1" x14ac:dyDescent="0.2">
      <c r="C775" s="1971" t="str">
        <f t="shared" si="610"/>
        <v>InterS. RgRecría-Vacas Secas</v>
      </c>
      <c r="D775" s="1857" t="str">
        <f t="shared" ref="D775:D798" si="618">+D704</f>
        <v>InterS. Rg</v>
      </c>
      <c r="E775" s="590"/>
      <c r="F775" s="1972">
        <f t="shared" ref="F775:Q775" si="619">IF($D775&lt;&gt;0,SUMIFS($C$9:$C$98,$D$9:$D$98,$D$639,G$9:G$98,$D775),0)</f>
        <v>0</v>
      </c>
      <c r="G775" s="1972">
        <f t="shared" si="619"/>
        <v>0</v>
      </c>
      <c r="H775" s="1972">
        <f t="shared" si="619"/>
        <v>0</v>
      </c>
      <c r="I775" s="1972">
        <f t="shared" si="612"/>
        <v>0</v>
      </c>
      <c r="J775" s="1972">
        <f t="shared" si="619"/>
        <v>0</v>
      </c>
      <c r="K775" s="1972">
        <f t="shared" si="619"/>
        <v>0</v>
      </c>
      <c r="L775" s="1972">
        <f t="shared" si="619"/>
        <v>0</v>
      </c>
      <c r="M775" s="1972">
        <f t="shared" si="619"/>
        <v>0</v>
      </c>
      <c r="N775" s="1972">
        <f t="shared" si="619"/>
        <v>0</v>
      </c>
      <c r="O775" s="1972">
        <f t="shared" si="619"/>
        <v>0</v>
      </c>
      <c r="P775" s="1972">
        <f t="shared" si="619"/>
        <v>0</v>
      </c>
      <c r="Q775" s="1972">
        <f t="shared" si="619"/>
        <v>0</v>
      </c>
      <c r="S775" s="1976">
        <f>SUMIF(G$401:G$490,$C775,$S$401:$S$490)*Forrajes!BG42*G$99</f>
        <v>0</v>
      </c>
      <c r="T775" s="668">
        <f>SUMIF(H$401:H$490,$C775,$S$401:$S$490)*Forrajes!BH42*H$99</f>
        <v>0</v>
      </c>
      <c r="U775" s="668">
        <f>SUMIF(I$401:I$490,$C775,$S$401:$S$490)*Forrajes!BI42*I$99</f>
        <v>0</v>
      </c>
      <c r="V775" s="668">
        <f>SUMIF(J$401:J$490,$C775,$S$401:$S$490)*Forrajes!BJ42*J$99</f>
        <v>0</v>
      </c>
      <c r="W775" s="668">
        <f>SUMIF(K$401:K$490,$C775,$S$401:$S$490)*Forrajes!BK42*K$99</f>
        <v>0</v>
      </c>
      <c r="X775" s="668">
        <f>SUMIF(L$401:L$490,$C775,$S$401:$S$490)*Forrajes!BL42*L$99</f>
        <v>0</v>
      </c>
      <c r="Y775" s="668">
        <f>SUMIF(M$401:M$490,$C775,$S$401:$S$490)*Forrajes!BM42*M$99</f>
        <v>0</v>
      </c>
      <c r="Z775" s="668">
        <f>SUMIF(N$401:N$490,$C775,$S$401:$S$490)*Forrajes!BN42*N$99</f>
        <v>0</v>
      </c>
      <c r="AA775" s="668">
        <f>SUMIF(O$401:O$490,$C775,$S$401:$S$490)*Forrajes!BO42*O$99</f>
        <v>0</v>
      </c>
      <c r="AB775" s="668">
        <f>SUMIF(P$401:P$490,$C775,$S$401:$S$490)*Forrajes!BP42*P$99</f>
        <v>0</v>
      </c>
      <c r="AC775" s="668">
        <f>SUMIF(Q$401:Q$490,$C775,$S$401:$S$490)*Forrajes!BQ42*Q$99</f>
        <v>0</v>
      </c>
      <c r="AD775" s="1977">
        <f>SUMIF(R$401:R$490,$C775,$S$401:$S$490)*Forrajes!BR42*R$99</f>
        <v>0</v>
      </c>
      <c r="AF775" s="1976">
        <f>Forrajes!BU42*S775</f>
        <v>0</v>
      </c>
      <c r="AG775" s="668">
        <f>Forrajes!BV42*T775</f>
        <v>0</v>
      </c>
      <c r="AH775" s="668">
        <f>Forrajes!BW42*U775</f>
        <v>0</v>
      </c>
      <c r="AI775" s="668">
        <f>Forrajes!BX42*V775</f>
        <v>0</v>
      </c>
      <c r="AJ775" s="668">
        <f>Forrajes!BY42*W775</f>
        <v>0</v>
      </c>
      <c r="AK775" s="668">
        <f>Forrajes!BZ42*X775</f>
        <v>0</v>
      </c>
      <c r="AL775" s="668">
        <f>Forrajes!CA42*Y775</f>
        <v>0</v>
      </c>
      <c r="AM775" s="668">
        <f>Forrajes!CB42*Z775</f>
        <v>0</v>
      </c>
      <c r="AN775" s="668">
        <f>Forrajes!CC42*AA775</f>
        <v>0</v>
      </c>
      <c r="AO775" s="668">
        <f>Forrajes!CD42*AB775</f>
        <v>0</v>
      </c>
      <c r="AP775" s="668">
        <f>Forrajes!CE42*AC775</f>
        <v>0</v>
      </c>
      <c r="AQ775" s="668">
        <f>Forrajes!CF42*AD775</f>
        <v>0</v>
      </c>
      <c r="AS775" s="1976">
        <f>Forrajes!CI42*S775</f>
        <v>0</v>
      </c>
      <c r="AT775" s="668">
        <f>Forrajes!CJ42*T775</f>
        <v>0</v>
      </c>
      <c r="AU775" s="668">
        <f>Forrajes!CK42*U775</f>
        <v>0</v>
      </c>
      <c r="AV775" s="668">
        <f>Forrajes!CL42*V775</f>
        <v>0</v>
      </c>
      <c r="AW775" s="668">
        <f>Forrajes!CM42*W775</f>
        <v>0</v>
      </c>
      <c r="AX775" s="668">
        <f>Forrajes!CN42*X775</f>
        <v>0</v>
      </c>
      <c r="AY775" s="668">
        <f>Forrajes!CO42*Y775</f>
        <v>0</v>
      </c>
      <c r="AZ775" s="668">
        <f>Forrajes!CP42*Z775</f>
        <v>0</v>
      </c>
      <c r="BA775" s="668">
        <f>Forrajes!CQ42*AA775</f>
        <v>0</v>
      </c>
      <c r="BB775" s="668">
        <f>Forrajes!CR42*AB775</f>
        <v>0</v>
      </c>
      <c r="BC775" s="668">
        <f>Forrajes!CS42*AC775</f>
        <v>0</v>
      </c>
      <c r="BD775" s="1818">
        <f>Forrajes!CT42*AD775</f>
        <v>0</v>
      </c>
      <c r="BE775" s="590"/>
      <c r="BF775" s="100"/>
      <c r="BG775" s="590"/>
      <c r="BH775" s="590"/>
      <c r="BI775" s="100"/>
      <c r="BJ775" s="1975"/>
      <c r="BK775" s="590"/>
    </row>
    <row r="776" spans="3:63" s="108" customFormat="1" x14ac:dyDescent="0.2">
      <c r="C776" s="1971" t="str">
        <f t="shared" si="610"/>
        <v>0Recría-Vacas Secas</v>
      </c>
      <c r="D776" s="1857">
        <f t="shared" si="618"/>
        <v>0</v>
      </c>
      <c r="E776" s="590"/>
      <c r="F776" s="1972">
        <f t="shared" ref="F776:Q776" si="620">IF($D776&lt;&gt;0,SUMIFS($C$9:$C$98,$D$9:$D$98,$D$639,G$9:G$98,$D776),0)</f>
        <v>0</v>
      </c>
      <c r="G776" s="1972">
        <f t="shared" si="620"/>
        <v>0</v>
      </c>
      <c r="H776" s="1972">
        <f t="shared" si="620"/>
        <v>0</v>
      </c>
      <c r="I776" s="1972">
        <f t="shared" si="612"/>
        <v>0</v>
      </c>
      <c r="J776" s="1972">
        <f t="shared" si="620"/>
        <v>0</v>
      </c>
      <c r="K776" s="1972">
        <f t="shared" si="620"/>
        <v>0</v>
      </c>
      <c r="L776" s="1972">
        <f t="shared" si="620"/>
        <v>0</v>
      </c>
      <c r="M776" s="1972">
        <f t="shared" si="620"/>
        <v>0</v>
      </c>
      <c r="N776" s="1972">
        <f t="shared" si="620"/>
        <v>0</v>
      </c>
      <c r="O776" s="1972">
        <f t="shared" si="620"/>
        <v>0</v>
      </c>
      <c r="P776" s="1972">
        <f t="shared" si="620"/>
        <v>0</v>
      </c>
      <c r="Q776" s="1972">
        <f t="shared" si="620"/>
        <v>0</v>
      </c>
      <c r="S776" s="1976">
        <f>SUMIF(G$401:G$490,$C776,$S$401:$S$490)*Forrajes!BG43*G$99</f>
        <v>0</v>
      </c>
      <c r="T776" s="668">
        <f>SUMIF(H$401:H$490,$C776,$S$401:$S$490)*Forrajes!BH43*H$99</f>
        <v>0</v>
      </c>
      <c r="U776" s="668">
        <f>SUMIF(I$401:I$490,$C776,$S$401:$S$490)*Forrajes!BI43*I$99</f>
        <v>0</v>
      </c>
      <c r="V776" s="668">
        <f>SUMIF(J$401:J$490,$C776,$S$401:$S$490)*Forrajes!BJ43*J$99</f>
        <v>0</v>
      </c>
      <c r="W776" s="668">
        <f>SUMIF(K$401:K$490,$C776,$S$401:$S$490)*Forrajes!BK43*K$99</f>
        <v>0</v>
      </c>
      <c r="X776" s="668">
        <f>SUMIF(L$401:L$490,$C776,$S$401:$S$490)*Forrajes!BL43*L$99</f>
        <v>0</v>
      </c>
      <c r="Y776" s="668">
        <f>SUMIF(M$401:M$490,$C776,$S$401:$S$490)*Forrajes!BM43*M$99</f>
        <v>0</v>
      </c>
      <c r="Z776" s="668">
        <f>SUMIF(N$401:N$490,$C776,$S$401:$S$490)*Forrajes!BN43*N$99</f>
        <v>0</v>
      </c>
      <c r="AA776" s="668">
        <f>SUMIF(O$401:O$490,$C776,$S$401:$S$490)*Forrajes!BO43*O$99</f>
        <v>0</v>
      </c>
      <c r="AB776" s="668">
        <f>SUMIF(P$401:P$490,$C776,$S$401:$S$490)*Forrajes!BP43*P$99</f>
        <v>0</v>
      </c>
      <c r="AC776" s="668">
        <f>SUMIF(Q$401:Q$490,$C776,$S$401:$S$490)*Forrajes!BQ43*Q$99</f>
        <v>0</v>
      </c>
      <c r="AD776" s="1977">
        <f>SUMIF(R$401:R$490,$C776,$S$401:$S$490)*Forrajes!BR43*R$99</f>
        <v>0</v>
      </c>
      <c r="AF776" s="1976">
        <f>Forrajes!BU43*S776</f>
        <v>0</v>
      </c>
      <c r="AG776" s="668">
        <f>Forrajes!BV43*T776</f>
        <v>0</v>
      </c>
      <c r="AH776" s="668">
        <f>Forrajes!BW43*U776</f>
        <v>0</v>
      </c>
      <c r="AI776" s="668">
        <f>Forrajes!BX43*V776</f>
        <v>0</v>
      </c>
      <c r="AJ776" s="668">
        <f>Forrajes!BY43*W776</f>
        <v>0</v>
      </c>
      <c r="AK776" s="668">
        <f>Forrajes!BZ43*X776</f>
        <v>0</v>
      </c>
      <c r="AL776" s="668">
        <f>Forrajes!CA43*Y776</f>
        <v>0</v>
      </c>
      <c r="AM776" s="668">
        <f>Forrajes!CB43*Z776</f>
        <v>0</v>
      </c>
      <c r="AN776" s="668">
        <f>Forrajes!CC43*AA776</f>
        <v>0</v>
      </c>
      <c r="AO776" s="668">
        <f>Forrajes!CD43*AB776</f>
        <v>0</v>
      </c>
      <c r="AP776" s="668">
        <f>Forrajes!CE43*AC776</f>
        <v>0</v>
      </c>
      <c r="AQ776" s="668">
        <f>Forrajes!CF43*AD776</f>
        <v>0</v>
      </c>
      <c r="AS776" s="1976">
        <f>Forrajes!CI43*S776</f>
        <v>0</v>
      </c>
      <c r="AT776" s="668">
        <f>Forrajes!CJ43*T776</f>
        <v>0</v>
      </c>
      <c r="AU776" s="668">
        <f>Forrajes!CK43*U776</f>
        <v>0</v>
      </c>
      <c r="AV776" s="668">
        <f>Forrajes!CL43*V776</f>
        <v>0</v>
      </c>
      <c r="AW776" s="668">
        <f>Forrajes!CM43*W776</f>
        <v>0</v>
      </c>
      <c r="AX776" s="668">
        <f>Forrajes!CN43*X776</f>
        <v>0</v>
      </c>
      <c r="AY776" s="668">
        <f>Forrajes!CO43*Y776</f>
        <v>0</v>
      </c>
      <c r="AZ776" s="668">
        <f>Forrajes!CP43*Z776</f>
        <v>0</v>
      </c>
      <c r="BA776" s="668">
        <f>Forrajes!CQ43*AA776</f>
        <v>0</v>
      </c>
      <c r="BB776" s="668">
        <f>Forrajes!CR43*AB776</f>
        <v>0</v>
      </c>
      <c r="BC776" s="668">
        <f>Forrajes!CS43*AC776</f>
        <v>0</v>
      </c>
      <c r="BD776" s="1818">
        <f>Forrajes!CT43*AD776</f>
        <v>0</v>
      </c>
      <c r="BE776" s="590"/>
      <c r="BF776" s="100"/>
      <c r="BG776" s="590"/>
      <c r="BH776" s="590"/>
      <c r="BI776" s="100"/>
      <c r="BJ776" s="1975"/>
      <c r="BK776" s="590"/>
    </row>
    <row r="777" spans="3:63" s="108" customFormat="1" x14ac:dyDescent="0.2">
      <c r="C777" s="1971" t="str">
        <f t="shared" si="610"/>
        <v>0Recría-Vacas Secas</v>
      </c>
      <c r="D777" s="1857">
        <f t="shared" si="618"/>
        <v>0</v>
      </c>
      <c r="E777" s="590"/>
      <c r="F777" s="1972">
        <f t="shared" ref="F777:Q777" si="621">IF($D777&lt;&gt;0,SUMIFS($C$9:$C$98,$D$9:$D$98,$D$639,G$9:G$98,$D777),0)</f>
        <v>0</v>
      </c>
      <c r="G777" s="1972">
        <f t="shared" si="621"/>
        <v>0</v>
      </c>
      <c r="H777" s="1972">
        <f t="shared" si="621"/>
        <v>0</v>
      </c>
      <c r="I777" s="1972">
        <f t="shared" si="612"/>
        <v>0</v>
      </c>
      <c r="J777" s="1972">
        <f t="shared" si="621"/>
        <v>0</v>
      </c>
      <c r="K777" s="1972">
        <f t="shared" si="621"/>
        <v>0</v>
      </c>
      <c r="L777" s="1972">
        <f t="shared" si="621"/>
        <v>0</v>
      </c>
      <c r="M777" s="1972">
        <f t="shared" si="621"/>
        <v>0</v>
      </c>
      <c r="N777" s="1972">
        <f t="shared" si="621"/>
        <v>0</v>
      </c>
      <c r="O777" s="1972">
        <f t="shared" si="621"/>
        <v>0</v>
      </c>
      <c r="P777" s="1972">
        <f t="shared" si="621"/>
        <v>0</v>
      </c>
      <c r="Q777" s="1972">
        <f t="shared" si="621"/>
        <v>0</v>
      </c>
      <c r="S777" s="1976">
        <f>SUMIF(G$401:G$490,$C777,$S$401:$S$490)*Forrajes!BG44*G$99</f>
        <v>0</v>
      </c>
      <c r="T777" s="668">
        <f>SUMIF(H$401:H$490,$C777,$S$401:$S$490)*Forrajes!BH44*H$99</f>
        <v>0</v>
      </c>
      <c r="U777" s="668">
        <f>SUMIF(I$401:I$490,$C777,$S$401:$S$490)*Forrajes!BI44*I$99</f>
        <v>0</v>
      </c>
      <c r="V777" s="668">
        <f>SUMIF(J$401:J$490,$C777,$S$401:$S$490)*Forrajes!BJ44*J$99</f>
        <v>0</v>
      </c>
      <c r="W777" s="668">
        <f>SUMIF(K$401:K$490,$C777,$S$401:$S$490)*Forrajes!BK44*K$99</f>
        <v>0</v>
      </c>
      <c r="X777" s="668">
        <f>SUMIF(L$401:L$490,$C777,$S$401:$S$490)*Forrajes!BL44*L$99</f>
        <v>0</v>
      </c>
      <c r="Y777" s="668">
        <f>SUMIF(M$401:M$490,$C777,$S$401:$S$490)*Forrajes!BM44*M$99</f>
        <v>0</v>
      </c>
      <c r="Z777" s="668">
        <f>SUMIF(N$401:N$490,$C777,$S$401:$S$490)*Forrajes!BN44*N$99</f>
        <v>0</v>
      </c>
      <c r="AA777" s="668">
        <f>SUMIF(O$401:O$490,$C777,$S$401:$S$490)*Forrajes!BO44*O$99</f>
        <v>0</v>
      </c>
      <c r="AB777" s="668">
        <f>SUMIF(P$401:P$490,$C777,$S$401:$S$490)*Forrajes!BP44*P$99</f>
        <v>0</v>
      </c>
      <c r="AC777" s="668">
        <f>SUMIF(Q$401:Q$490,$C777,$S$401:$S$490)*Forrajes!BQ44*Q$99</f>
        <v>0</v>
      </c>
      <c r="AD777" s="1977">
        <f>SUMIF(R$401:R$490,$C777,$S$401:$S$490)*Forrajes!BR44*R$99</f>
        <v>0</v>
      </c>
      <c r="AF777" s="1976">
        <f>Forrajes!BU44*S777</f>
        <v>0</v>
      </c>
      <c r="AG777" s="668">
        <f>Forrajes!BV44*T777</f>
        <v>0</v>
      </c>
      <c r="AH777" s="668">
        <f>Forrajes!BW44*U777</f>
        <v>0</v>
      </c>
      <c r="AI777" s="668">
        <f>Forrajes!BX44*V777</f>
        <v>0</v>
      </c>
      <c r="AJ777" s="668">
        <f>Forrajes!BY44*W777</f>
        <v>0</v>
      </c>
      <c r="AK777" s="668">
        <f>Forrajes!BZ44*X777</f>
        <v>0</v>
      </c>
      <c r="AL777" s="668">
        <f>Forrajes!CA44*Y777</f>
        <v>0</v>
      </c>
      <c r="AM777" s="668">
        <f>Forrajes!CB44*Z777</f>
        <v>0</v>
      </c>
      <c r="AN777" s="668">
        <f>Forrajes!CC44*AA777</f>
        <v>0</v>
      </c>
      <c r="AO777" s="668">
        <f>Forrajes!CD44*AB777</f>
        <v>0</v>
      </c>
      <c r="AP777" s="668">
        <f>Forrajes!CE44*AC777</f>
        <v>0</v>
      </c>
      <c r="AQ777" s="668">
        <f>Forrajes!CF44*AD777</f>
        <v>0</v>
      </c>
      <c r="AS777" s="1976">
        <f>Forrajes!CI44*S777</f>
        <v>0</v>
      </c>
      <c r="AT777" s="668">
        <f>Forrajes!CJ44*T777</f>
        <v>0</v>
      </c>
      <c r="AU777" s="668">
        <f>Forrajes!CK44*U777</f>
        <v>0</v>
      </c>
      <c r="AV777" s="668">
        <f>Forrajes!CL44*V777</f>
        <v>0</v>
      </c>
      <c r="AW777" s="668">
        <f>Forrajes!CM44*W777</f>
        <v>0</v>
      </c>
      <c r="AX777" s="668">
        <f>Forrajes!CN44*X777</f>
        <v>0</v>
      </c>
      <c r="AY777" s="668">
        <f>Forrajes!CO44*Y777</f>
        <v>0</v>
      </c>
      <c r="AZ777" s="668">
        <f>Forrajes!CP44*Z777</f>
        <v>0</v>
      </c>
      <c r="BA777" s="668">
        <f>Forrajes!CQ44*AA777</f>
        <v>0</v>
      </c>
      <c r="BB777" s="668">
        <f>Forrajes!CR44*AB777</f>
        <v>0</v>
      </c>
      <c r="BC777" s="668">
        <f>Forrajes!CS44*AC777</f>
        <v>0</v>
      </c>
      <c r="BD777" s="1818">
        <f>Forrajes!CT44*AD777</f>
        <v>0</v>
      </c>
      <c r="BE777" s="590"/>
      <c r="BF777" s="100"/>
      <c r="BG777" s="590"/>
      <c r="BH777" s="590"/>
      <c r="BI777" s="100"/>
      <c r="BJ777" s="1975"/>
      <c r="BK777" s="590"/>
    </row>
    <row r="778" spans="3:63" s="108" customFormat="1" x14ac:dyDescent="0.2">
      <c r="C778" s="1971"/>
      <c r="D778" s="1907" t="str">
        <f t="shared" si="618"/>
        <v xml:space="preserve">Subtotal Verdeos de Invierno </v>
      </c>
      <c r="E778" s="1908"/>
      <c r="F778" s="1909">
        <f>SUM(F769:F777)</f>
        <v>0</v>
      </c>
      <c r="G778" s="1909">
        <f t="shared" ref="G778:Q778" si="622">SUM(G769:G777)</f>
        <v>0</v>
      </c>
      <c r="H778" s="1909">
        <f t="shared" si="622"/>
        <v>0</v>
      </c>
      <c r="I778" s="1909">
        <f t="shared" si="622"/>
        <v>0</v>
      </c>
      <c r="J778" s="1909">
        <f t="shared" si="622"/>
        <v>0</v>
      </c>
      <c r="K778" s="1909">
        <f t="shared" si="622"/>
        <v>0</v>
      </c>
      <c r="L778" s="1909">
        <f t="shared" si="622"/>
        <v>0</v>
      </c>
      <c r="M778" s="1909">
        <f t="shared" si="622"/>
        <v>0</v>
      </c>
      <c r="N778" s="1909">
        <f t="shared" si="622"/>
        <v>0</v>
      </c>
      <c r="O778" s="1909">
        <f t="shared" si="622"/>
        <v>0</v>
      </c>
      <c r="P778" s="1909">
        <f t="shared" si="622"/>
        <v>0</v>
      </c>
      <c r="Q778" s="1909">
        <f t="shared" si="622"/>
        <v>0</v>
      </c>
      <c r="S778" s="1976"/>
      <c r="T778" s="668"/>
      <c r="U778" s="668"/>
      <c r="V778" s="668"/>
      <c r="W778" s="668"/>
      <c r="X778" s="668"/>
      <c r="Y778" s="668"/>
      <c r="Z778" s="668"/>
      <c r="AA778" s="668"/>
      <c r="AB778" s="668"/>
      <c r="AC778" s="668"/>
      <c r="AD778" s="1977"/>
      <c r="AF778" s="1976"/>
      <c r="AG778" s="668"/>
      <c r="AH778" s="668"/>
      <c r="AI778" s="668"/>
      <c r="AJ778" s="668"/>
      <c r="AK778" s="668"/>
      <c r="AL778" s="668"/>
      <c r="AM778" s="668"/>
      <c r="AN778" s="668"/>
      <c r="AO778" s="668"/>
      <c r="AP778" s="668"/>
      <c r="AQ778" s="668"/>
      <c r="AS778" s="1976"/>
      <c r="AT778" s="668"/>
      <c r="AU778" s="668"/>
      <c r="AV778" s="668"/>
      <c r="AW778" s="668"/>
      <c r="AX778" s="668"/>
      <c r="AY778" s="668"/>
      <c r="AZ778" s="668"/>
      <c r="BA778" s="668"/>
      <c r="BB778" s="668"/>
      <c r="BC778" s="668"/>
      <c r="BD778" s="1818"/>
      <c r="BE778" s="590"/>
      <c r="BF778" s="100"/>
      <c r="BG778" s="590"/>
      <c r="BH778" s="590"/>
      <c r="BI778" s="100"/>
      <c r="BJ778" s="1975"/>
      <c r="BK778" s="590"/>
    </row>
    <row r="779" spans="3:63" s="108" customFormat="1" x14ac:dyDescent="0.2">
      <c r="C779" s="1971" t="str">
        <f>D779&amp;$D$639</f>
        <v>Sorgo ForrajeroRecría-Vacas Secas</v>
      </c>
      <c r="D779" s="1857" t="str">
        <f t="shared" si="618"/>
        <v>Sorgo Forrajero</v>
      </c>
      <c r="E779" s="590"/>
      <c r="F779" s="1972">
        <f t="shared" ref="F779:Q779" si="623">IF($D779&lt;&gt;0,SUMIFS($C$9:$C$98,$D$9:$D$98,$D$639,G$9:G$98,$D779),0)</f>
        <v>0</v>
      </c>
      <c r="G779" s="1972">
        <f t="shared" si="623"/>
        <v>0</v>
      </c>
      <c r="H779" s="1972">
        <f t="shared" si="623"/>
        <v>0</v>
      </c>
      <c r="I779" s="1972">
        <f>IF($D779&lt;&gt;0,SUMIFS($C$9:$C$98,$D$9:$D$98,$D$639,J$9:J$98,$D779),0)</f>
        <v>0</v>
      </c>
      <c r="J779" s="1972">
        <f t="shared" si="623"/>
        <v>0</v>
      </c>
      <c r="K779" s="1972">
        <f t="shared" si="623"/>
        <v>0</v>
      </c>
      <c r="L779" s="1972">
        <f t="shared" si="623"/>
        <v>0</v>
      </c>
      <c r="M779" s="1972">
        <f t="shared" si="623"/>
        <v>0</v>
      </c>
      <c r="N779" s="1972">
        <f t="shared" si="623"/>
        <v>0</v>
      </c>
      <c r="O779" s="1972">
        <f t="shared" si="623"/>
        <v>0</v>
      </c>
      <c r="P779" s="1972">
        <f t="shared" si="623"/>
        <v>0</v>
      </c>
      <c r="Q779" s="1972">
        <f t="shared" si="623"/>
        <v>0</v>
      </c>
      <c r="S779" s="1976">
        <f>SUMIF(G$401:G$490,$C779,$S$401:$S$490)*Forrajes!BG46*G$99</f>
        <v>0</v>
      </c>
      <c r="T779" s="668">
        <f>SUMIF(H$401:H$490,$C779,$S$401:$S$490)*Forrajes!BH46*H$99</f>
        <v>0</v>
      </c>
      <c r="U779" s="668">
        <f>SUMIF(I$401:I$490,$C779,$S$401:$S$490)*Forrajes!BI46*I$99</f>
        <v>0</v>
      </c>
      <c r="V779" s="668">
        <f>SUMIF(J$401:J$490,$C779,$S$401:$S$490)*Forrajes!BJ46*J$99</f>
        <v>0</v>
      </c>
      <c r="W779" s="668">
        <f>SUMIF(K$401:K$490,$C779,$S$401:$S$490)*Forrajes!BK46*K$99</f>
        <v>0</v>
      </c>
      <c r="X779" s="668">
        <f>SUMIF(L$401:L$490,$C779,$S$401:$S$490)*Forrajes!BL46*L$99</f>
        <v>0</v>
      </c>
      <c r="Y779" s="668">
        <f>SUMIF(M$401:M$490,$C779,$S$401:$S$490)*Forrajes!BM46*M$99</f>
        <v>0</v>
      </c>
      <c r="Z779" s="668">
        <f>SUMIF(N$401:N$490,$C779,$S$401:$S$490)*Forrajes!BN46*N$99</f>
        <v>0</v>
      </c>
      <c r="AA779" s="668">
        <f>SUMIF(O$401:O$490,$C779,$S$401:$S$490)*Forrajes!BO46*O$99</f>
        <v>0</v>
      </c>
      <c r="AB779" s="668">
        <f>SUMIF(P$401:P$490,$C779,$S$401:$S$490)*Forrajes!BP46*P$99</f>
        <v>0</v>
      </c>
      <c r="AC779" s="668">
        <f>SUMIF(Q$401:Q$490,$C779,$S$401:$S$490)*Forrajes!BQ46*Q$99</f>
        <v>0</v>
      </c>
      <c r="AD779" s="1977">
        <f>SUMIF(R$401:R$490,$C779,$S$401:$S$490)*Forrajes!BR46*R$99</f>
        <v>0</v>
      </c>
      <c r="AF779" s="1976">
        <f>Forrajes!BU46*S779</f>
        <v>0</v>
      </c>
      <c r="AG779" s="668">
        <f>Forrajes!BV46*T779</f>
        <v>0</v>
      </c>
      <c r="AH779" s="668">
        <f>Forrajes!BW46*U779</f>
        <v>0</v>
      </c>
      <c r="AI779" s="668">
        <f>Forrajes!BX46*V779</f>
        <v>0</v>
      </c>
      <c r="AJ779" s="668">
        <f>Forrajes!BY46*W779</f>
        <v>0</v>
      </c>
      <c r="AK779" s="668">
        <f>Forrajes!BZ46*X779</f>
        <v>0</v>
      </c>
      <c r="AL779" s="668">
        <f>Forrajes!CA46*Y779</f>
        <v>0</v>
      </c>
      <c r="AM779" s="668">
        <f>Forrajes!CB46*Z779</f>
        <v>0</v>
      </c>
      <c r="AN779" s="668">
        <f>Forrajes!CC46*AA779</f>
        <v>0</v>
      </c>
      <c r="AO779" s="668">
        <f>Forrajes!CD46*AB779</f>
        <v>0</v>
      </c>
      <c r="AP779" s="668">
        <f>Forrajes!CE46*AC779</f>
        <v>0</v>
      </c>
      <c r="AQ779" s="668">
        <f>Forrajes!CF46*AD779</f>
        <v>0</v>
      </c>
      <c r="AS779" s="1976">
        <f>Forrajes!CI46*S779</f>
        <v>0</v>
      </c>
      <c r="AT779" s="668">
        <f>Forrajes!CJ46*T779</f>
        <v>0</v>
      </c>
      <c r="AU779" s="668">
        <f>Forrajes!CK46*U779</f>
        <v>0</v>
      </c>
      <c r="AV779" s="668">
        <f>Forrajes!CL46*V779</f>
        <v>0</v>
      </c>
      <c r="AW779" s="668">
        <f>Forrajes!CM46*W779</f>
        <v>0</v>
      </c>
      <c r="AX779" s="668">
        <f>Forrajes!CN46*X779</f>
        <v>0</v>
      </c>
      <c r="AY779" s="668">
        <f>Forrajes!CO46*Y779</f>
        <v>0</v>
      </c>
      <c r="AZ779" s="668">
        <f>Forrajes!CP46*Z779</f>
        <v>0</v>
      </c>
      <c r="BA779" s="668">
        <f>Forrajes!CQ46*AA779</f>
        <v>0</v>
      </c>
      <c r="BB779" s="668">
        <f>Forrajes!CR46*AB779</f>
        <v>0</v>
      </c>
      <c r="BC779" s="668">
        <f>Forrajes!CS46*AC779</f>
        <v>0</v>
      </c>
      <c r="BD779" s="1818">
        <f>Forrajes!CT46*AD779</f>
        <v>0</v>
      </c>
      <c r="BE779" s="590"/>
      <c r="BF779" s="100"/>
      <c r="BG779" s="590"/>
      <c r="BH779" s="590"/>
      <c r="BI779" s="100"/>
      <c r="BJ779" s="1975"/>
      <c r="BK779" s="590"/>
    </row>
    <row r="780" spans="3:63" s="108" customFormat="1" x14ac:dyDescent="0.2">
      <c r="C780" s="1971" t="str">
        <f>D780&amp;$D$639</f>
        <v>Sudan Recría-Vacas Secas</v>
      </c>
      <c r="D780" s="1857" t="str">
        <f t="shared" si="618"/>
        <v xml:space="preserve">Sudan </v>
      </c>
      <c r="E780" s="590"/>
      <c r="F780" s="1972">
        <f t="shared" ref="F780:Q780" si="624">IF($D780&lt;&gt;0,SUMIFS($C$9:$C$98,$D$9:$D$98,$D$639,G$9:G$98,$D780),0)</f>
        <v>0</v>
      </c>
      <c r="G780" s="1972">
        <f t="shared" si="624"/>
        <v>0</v>
      </c>
      <c r="H780" s="1972">
        <f t="shared" si="624"/>
        <v>0</v>
      </c>
      <c r="I780" s="1972">
        <f>IF($D780&lt;&gt;0,SUMIFS($C$9:$C$98,$D$9:$D$98,$D$639,J$9:J$98,$D780),0)</f>
        <v>0</v>
      </c>
      <c r="J780" s="1972">
        <f t="shared" si="624"/>
        <v>0</v>
      </c>
      <c r="K780" s="1972">
        <f t="shared" si="624"/>
        <v>0</v>
      </c>
      <c r="L780" s="1972">
        <f t="shared" si="624"/>
        <v>0</v>
      </c>
      <c r="M780" s="1972">
        <f t="shared" si="624"/>
        <v>0</v>
      </c>
      <c r="N780" s="1972">
        <f t="shared" si="624"/>
        <v>0</v>
      </c>
      <c r="O780" s="1972">
        <f t="shared" si="624"/>
        <v>0</v>
      </c>
      <c r="P780" s="1972">
        <f t="shared" si="624"/>
        <v>0</v>
      </c>
      <c r="Q780" s="1972">
        <f t="shared" si="624"/>
        <v>0</v>
      </c>
      <c r="S780" s="1976">
        <f>SUMIF(G$401:G$490,$C780,$S$401:$S$490)*Forrajes!BG47*G$99</f>
        <v>0</v>
      </c>
      <c r="T780" s="668">
        <f>SUMIF(H$401:H$490,$C780,$S$401:$S$490)*Forrajes!BH47*H$99</f>
        <v>0</v>
      </c>
      <c r="U780" s="668">
        <f>SUMIF(I$401:I$490,$C780,$S$401:$S$490)*Forrajes!BI47*I$99</f>
        <v>0</v>
      </c>
      <c r="V780" s="668">
        <f>SUMIF(J$401:J$490,$C780,$S$401:$S$490)*Forrajes!BJ47*J$99</f>
        <v>0</v>
      </c>
      <c r="W780" s="668">
        <f>SUMIF(K$401:K$490,$C780,$S$401:$S$490)*Forrajes!BK47*K$99</f>
        <v>0</v>
      </c>
      <c r="X780" s="668">
        <f>SUMIF(L$401:L$490,$C780,$S$401:$S$490)*Forrajes!BL47*L$99</f>
        <v>0</v>
      </c>
      <c r="Y780" s="668">
        <f>SUMIF(M$401:M$490,$C780,$S$401:$S$490)*Forrajes!BM47*M$99</f>
        <v>0</v>
      </c>
      <c r="Z780" s="668">
        <f>SUMIF(N$401:N$490,$C780,$S$401:$S$490)*Forrajes!BN47*N$99</f>
        <v>0</v>
      </c>
      <c r="AA780" s="668">
        <f>SUMIF(O$401:O$490,$C780,$S$401:$S$490)*Forrajes!BO47*O$99</f>
        <v>0</v>
      </c>
      <c r="AB780" s="668">
        <f>SUMIF(P$401:P$490,$C780,$S$401:$S$490)*Forrajes!BP47*P$99</f>
        <v>0</v>
      </c>
      <c r="AC780" s="668">
        <f>SUMIF(Q$401:Q$490,$C780,$S$401:$S$490)*Forrajes!BQ47*Q$99</f>
        <v>0</v>
      </c>
      <c r="AD780" s="1977">
        <f>SUMIF(R$401:R$490,$C780,$S$401:$S$490)*Forrajes!BR47*R$99</f>
        <v>0</v>
      </c>
      <c r="AF780" s="1976">
        <f>Forrajes!BU47*S780</f>
        <v>0</v>
      </c>
      <c r="AG780" s="668">
        <f>Forrajes!BV47*T780</f>
        <v>0</v>
      </c>
      <c r="AH780" s="668">
        <f>Forrajes!BW47*U780</f>
        <v>0</v>
      </c>
      <c r="AI780" s="668">
        <f>Forrajes!BX47*V780</f>
        <v>0</v>
      </c>
      <c r="AJ780" s="668">
        <f>Forrajes!BY47*W780</f>
        <v>0</v>
      </c>
      <c r="AK780" s="668">
        <f>Forrajes!BZ47*X780</f>
        <v>0</v>
      </c>
      <c r="AL780" s="668">
        <f>Forrajes!CA47*Y780</f>
        <v>0</v>
      </c>
      <c r="AM780" s="668">
        <f>Forrajes!CB47*Z780</f>
        <v>0</v>
      </c>
      <c r="AN780" s="668">
        <f>Forrajes!CC47*AA780</f>
        <v>0</v>
      </c>
      <c r="AO780" s="668">
        <f>Forrajes!CD47*AB780</f>
        <v>0</v>
      </c>
      <c r="AP780" s="668">
        <f>Forrajes!CE47*AC780</f>
        <v>0</v>
      </c>
      <c r="AQ780" s="668">
        <f>Forrajes!CF47*AD780</f>
        <v>0</v>
      </c>
      <c r="AS780" s="1976">
        <f>Forrajes!CI47*S780</f>
        <v>0</v>
      </c>
      <c r="AT780" s="668">
        <f>Forrajes!CJ47*T780</f>
        <v>0</v>
      </c>
      <c r="AU780" s="668">
        <f>Forrajes!CK47*U780</f>
        <v>0</v>
      </c>
      <c r="AV780" s="668">
        <f>Forrajes!CL47*V780</f>
        <v>0</v>
      </c>
      <c r="AW780" s="668">
        <f>Forrajes!CM47*W780</f>
        <v>0</v>
      </c>
      <c r="AX780" s="668">
        <f>Forrajes!CN47*X780</f>
        <v>0</v>
      </c>
      <c r="AY780" s="668">
        <f>Forrajes!CO47*Y780</f>
        <v>0</v>
      </c>
      <c r="AZ780" s="668">
        <f>Forrajes!CP47*Z780</f>
        <v>0</v>
      </c>
      <c r="BA780" s="668">
        <f>Forrajes!CQ47*AA780</f>
        <v>0</v>
      </c>
      <c r="BB780" s="668">
        <f>Forrajes!CR47*AB780</f>
        <v>0</v>
      </c>
      <c r="BC780" s="668">
        <f>Forrajes!CS47*AC780</f>
        <v>0</v>
      </c>
      <c r="BD780" s="1818">
        <f>Forrajes!CT47*AD780</f>
        <v>0</v>
      </c>
      <c r="BE780" s="590"/>
      <c r="BF780" s="100"/>
      <c r="BG780" s="590"/>
      <c r="BH780" s="590"/>
      <c r="BI780" s="1978"/>
      <c r="BJ780" s="1975"/>
      <c r="BK780" s="590"/>
    </row>
    <row r="781" spans="3:63" s="108" customFormat="1" x14ac:dyDescent="0.2">
      <c r="C781" s="1971" t="str">
        <f>D781&amp;$D$639</f>
        <v>0Recría-Vacas Secas</v>
      </c>
      <c r="D781" s="1857">
        <f t="shared" si="618"/>
        <v>0</v>
      </c>
      <c r="E781" s="590"/>
      <c r="F781" s="1972">
        <f t="shared" ref="F781:Q781" si="625">IF($D781&lt;&gt;0,SUMIFS($C$9:$C$98,$D$9:$D$98,$D$639,G$9:G$98,$D781),0)</f>
        <v>0</v>
      </c>
      <c r="G781" s="1972">
        <f t="shared" si="625"/>
        <v>0</v>
      </c>
      <c r="H781" s="1972">
        <f t="shared" si="625"/>
        <v>0</v>
      </c>
      <c r="I781" s="1972">
        <f>IF($D781&lt;&gt;0,SUMIFS($C$9:$C$98,$D$9:$D$98,$D$639,J$9:J$98,$D781),0)</f>
        <v>0</v>
      </c>
      <c r="J781" s="1972">
        <f t="shared" si="625"/>
        <v>0</v>
      </c>
      <c r="K781" s="1972">
        <f t="shared" si="625"/>
        <v>0</v>
      </c>
      <c r="L781" s="1972">
        <f t="shared" si="625"/>
        <v>0</v>
      </c>
      <c r="M781" s="1972">
        <f t="shared" si="625"/>
        <v>0</v>
      </c>
      <c r="N781" s="1972">
        <f t="shared" si="625"/>
        <v>0</v>
      </c>
      <c r="O781" s="1972">
        <f t="shared" si="625"/>
        <v>0</v>
      </c>
      <c r="P781" s="1972">
        <f t="shared" si="625"/>
        <v>0</v>
      </c>
      <c r="Q781" s="1972">
        <f t="shared" si="625"/>
        <v>0</v>
      </c>
      <c r="S781" s="1976">
        <f>SUMIF(G$401:G$490,$C781,$S$401:$S$490)*Forrajes!BG48*G$99</f>
        <v>0</v>
      </c>
      <c r="T781" s="668">
        <f>SUMIF(H$401:H$490,$C781,$S$401:$S$490)*Forrajes!BH48*H$99</f>
        <v>0</v>
      </c>
      <c r="U781" s="668">
        <f>SUMIF(I$401:I$490,$C781,$S$401:$S$490)*Forrajes!BI48*I$99</f>
        <v>0</v>
      </c>
      <c r="V781" s="668">
        <f>SUMIF(J$401:J$490,$C781,$S$401:$S$490)*Forrajes!BJ48*J$99</f>
        <v>0</v>
      </c>
      <c r="W781" s="668">
        <f>SUMIF(K$401:K$490,$C781,$S$401:$S$490)*Forrajes!BK48*K$99</f>
        <v>0</v>
      </c>
      <c r="X781" s="668">
        <f>SUMIF(L$401:L$490,$C781,$S$401:$S$490)*Forrajes!BL48*L$99</f>
        <v>0</v>
      </c>
      <c r="Y781" s="668">
        <f>SUMIF(M$401:M$490,$C781,$S$401:$S$490)*Forrajes!BM48*M$99</f>
        <v>0</v>
      </c>
      <c r="Z781" s="668">
        <f>SUMIF(N$401:N$490,$C781,$S$401:$S$490)*Forrajes!BN48*N$99</f>
        <v>0</v>
      </c>
      <c r="AA781" s="668">
        <f>SUMIF(O$401:O$490,$C781,$S$401:$S$490)*Forrajes!BO48*O$99</f>
        <v>0</v>
      </c>
      <c r="AB781" s="668">
        <f>SUMIF(P$401:P$490,$C781,$S$401:$S$490)*Forrajes!BP48*P$99</f>
        <v>0</v>
      </c>
      <c r="AC781" s="668">
        <f>SUMIF(Q$401:Q$490,$C781,$S$401:$S$490)*Forrajes!BQ48*Q$99</f>
        <v>0</v>
      </c>
      <c r="AD781" s="1977">
        <f>SUMIF(R$401:R$490,$C781,$S$401:$S$490)*Forrajes!BR48*R$99</f>
        <v>0</v>
      </c>
      <c r="AF781" s="1976">
        <f>Forrajes!BU48*S781</f>
        <v>0</v>
      </c>
      <c r="AG781" s="668">
        <f>Forrajes!BV48*T781</f>
        <v>0</v>
      </c>
      <c r="AH781" s="668">
        <f>Forrajes!BW48*U781</f>
        <v>0</v>
      </c>
      <c r="AI781" s="668">
        <f>Forrajes!BX48*V781</f>
        <v>0</v>
      </c>
      <c r="AJ781" s="668">
        <f>Forrajes!BY48*W781</f>
        <v>0</v>
      </c>
      <c r="AK781" s="668">
        <f>Forrajes!BZ48*X781</f>
        <v>0</v>
      </c>
      <c r="AL781" s="668">
        <f>Forrajes!CA48*Y781</f>
        <v>0</v>
      </c>
      <c r="AM781" s="668">
        <f>Forrajes!CB48*Z781</f>
        <v>0</v>
      </c>
      <c r="AN781" s="668">
        <f>Forrajes!CC48*AA781</f>
        <v>0</v>
      </c>
      <c r="AO781" s="668">
        <f>Forrajes!CD48*AB781</f>
        <v>0</v>
      </c>
      <c r="AP781" s="668">
        <f>Forrajes!CE48*AC781</f>
        <v>0</v>
      </c>
      <c r="AQ781" s="668">
        <f>Forrajes!CF48*AD781</f>
        <v>0</v>
      </c>
      <c r="AS781" s="1976">
        <f>Forrajes!CI48*S781</f>
        <v>0</v>
      </c>
      <c r="AT781" s="668">
        <f>Forrajes!CJ48*T781</f>
        <v>0</v>
      </c>
      <c r="AU781" s="668">
        <f>Forrajes!CK48*U781</f>
        <v>0</v>
      </c>
      <c r="AV781" s="668">
        <f>Forrajes!CL48*V781</f>
        <v>0</v>
      </c>
      <c r="AW781" s="668">
        <f>Forrajes!CM48*W781</f>
        <v>0</v>
      </c>
      <c r="AX781" s="668">
        <f>Forrajes!CN48*X781</f>
        <v>0</v>
      </c>
      <c r="AY781" s="668">
        <f>Forrajes!CO48*Y781</f>
        <v>0</v>
      </c>
      <c r="AZ781" s="668">
        <f>Forrajes!CP48*Z781</f>
        <v>0</v>
      </c>
      <c r="BA781" s="668">
        <f>Forrajes!CQ48*AA781</f>
        <v>0</v>
      </c>
      <c r="BB781" s="668">
        <f>Forrajes!CR48*AB781</f>
        <v>0</v>
      </c>
      <c r="BC781" s="668">
        <f>Forrajes!CS48*AC781</f>
        <v>0</v>
      </c>
      <c r="BD781" s="1818">
        <f>Forrajes!CT48*AD781</f>
        <v>0</v>
      </c>
      <c r="BE781" s="590"/>
      <c r="BF781" s="100"/>
      <c r="BG781" s="590"/>
      <c r="BH781" s="590"/>
      <c r="BI781" s="100"/>
      <c r="BJ781" s="1975"/>
      <c r="BK781" s="590"/>
    </row>
    <row r="782" spans="3:63" s="108" customFormat="1" x14ac:dyDescent="0.2">
      <c r="C782" s="1971" t="str">
        <f>D782&amp;$D$639</f>
        <v>0Recría-Vacas Secas</v>
      </c>
      <c r="D782" s="1857">
        <f t="shared" si="618"/>
        <v>0</v>
      </c>
      <c r="E782" s="590"/>
      <c r="F782" s="1972">
        <f t="shared" ref="F782:Q782" si="626">IF($D782&lt;&gt;0,SUMIFS($C$9:$C$98,$D$9:$D$98,$D$639,G$9:G$98,$D782),0)</f>
        <v>0</v>
      </c>
      <c r="G782" s="1972">
        <f t="shared" si="626"/>
        <v>0</v>
      </c>
      <c r="H782" s="1972">
        <f t="shared" si="626"/>
        <v>0</v>
      </c>
      <c r="I782" s="1972">
        <f>IF($D782&lt;&gt;0,SUMIFS($C$9:$C$98,$D$9:$D$98,$D$639,J$9:J$98,$D782),0)</f>
        <v>0</v>
      </c>
      <c r="J782" s="1972">
        <f t="shared" si="626"/>
        <v>0</v>
      </c>
      <c r="K782" s="1972">
        <f t="shared" si="626"/>
        <v>0</v>
      </c>
      <c r="L782" s="1972">
        <f t="shared" si="626"/>
        <v>0</v>
      </c>
      <c r="M782" s="1972">
        <f t="shared" si="626"/>
        <v>0</v>
      </c>
      <c r="N782" s="1972">
        <f t="shared" si="626"/>
        <v>0</v>
      </c>
      <c r="O782" s="1972">
        <f t="shared" si="626"/>
        <v>0</v>
      </c>
      <c r="P782" s="1972">
        <f t="shared" si="626"/>
        <v>0</v>
      </c>
      <c r="Q782" s="1972">
        <f t="shared" si="626"/>
        <v>0</v>
      </c>
      <c r="S782" s="1976">
        <f>SUMIF(G$401:G$490,$C782,$S$401:$S$490)*Forrajes!BG49*G$99</f>
        <v>0</v>
      </c>
      <c r="T782" s="668">
        <f>SUMIF(H$401:H$490,$C782,$S$401:$S$490)*Forrajes!BH49*H$99</f>
        <v>0</v>
      </c>
      <c r="U782" s="668">
        <f>SUMIF(I$401:I$490,$C782,$S$401:$S$490)*Forrajes!BI49*I$99</f>
        <v>0</v>
      </c>
      <c r="V782" s="668">
        <f>SUMIF(J$401:J$490,$C782,$S$401:$S$490)*Forrajes!BJ49*J$99</f>
        <v>0</v>
      </c>
      <c r="W782" s="668">
        <f>SUMIF(K$401:K$490,$C782,$S$401:$S$490)*Forrajes!BK49*K$99</f>
        <v>0</v>
      </c>
      <c r="X782" s="668">
        <f>SUMIF(L$401:L$490,$C782,$S$401:$S$490)*Forrajes!BL49*L$99</f>
        <v>0</v>
      </c>
      <c r="Y782" s="668">
        <f>SUMIF(M$401:M$490,$C782,$S$401:$S$490)*Forrajes!BM49*M$99</f>
        <v>0</v>
      </c>
      <c r="Z782" s="668">
        <f>SUMIF(N$401:N$490,$C782,$S$401:$S$490)*Forrajes!BN49*N$99</f>
        <v>0</v>
      </c>
      <c r="AA782" s="668">
        <f>SUMIF(O$401:O$490,$C782,$S$401:$S$490)*Forrajes!BO49*O$99</f>
        <v>0</v>
      </c>
      <c r="AB782" s="668">
        <f>SUMIF(P$401:P$490,$C782,$S$401:$S$490)*Forrajes!BP49*P$99</f>
        <v>0</v>
      </c>
      <c r="AC782" s="668">
        <f>SUMIF(Q$401:Q$490,$C782,$S$401:$S$490)*Forrajes!BQ49*Q$99</f>
        <v>0</v>
      </c>
      <c r="AD782" s="1977">
        <f>SUMIF(R$401:R$490,$C782,$S$401:$S$490)*Forrajes!BR49*R$99</f>
        <v>0</v>
      </c>
      <c r="AF782" s="1976">
        <f>Forrajes!BU49*S782</f>
        <v>0</v>
      </c>
      <c r="AG782" s="668">
        <f>Forrajes!BV49*T782</f>
        <v>0</v>
      </c>
      <c r="AH782" s="668">
        <f>Forrajes!BW49*U782</f>
        <v>0</v>
      </c>
      <c r="AI782" s="668">
        <f>Forrajes!BX49*V782</f>
        <v>0</v>
      </c>
      <c r="AJ782" s="668">
        <f>Forrajes!BY49*W782</f>
        <v>0</v>
      </c>
      <c r="AK782" s="668">
        <f>Forrajes!BZ49*X782</f>
        <v>0</v>
      </c>
      <c r="AL782" s="668">
        <f>Forrajes!CA49*Y782</f>
        <v>0</v>
      </c>
      <c r="AM782" s="668">
        <f>Forrajes!CB49*Z782</f>
        <v>0</v>
      </c>
      <c r="AN782" s="668">
        <f>Forrajes!CC49*AA782</f>
        <v>0</v>
      </c>
      <c r="AO782" s="668">
        <f>Forrajes!CD49*AB782</f>
        <v>0</v>
      </c>
      <c r="AP782" s="668">
        <f>Forrajes!CE49*AC782</f>
        <v>0</v>
      </c>
      <c r="AQ782" s="668">
        <f>Forrajes!CF49*AD782</f>
        <v>0</v>
      </c>
      <c r="AS782" s="1976">
        <f>Forrajes!CI49*S782</f>
        <v>0</v>
      </c>
      <c r="AT782" s="668">
        <f>Forrajes!CJ49*T782</f>
        <v>0</v>
      </c>
      <c r="AU782" s="668">
        <f>Forrajes!CK49*U782</f>
        <v>0</v>
      </c>
      <c r="AV782" s="668">
        <f>Forrajes!CL49*V782</f>
        <v>0</v>
      </c>
      <c r="AW782" s="668">
        <f>Forrajes!CM49*W782</f>
        <v>0</v>
      </c>
      <c r="AX782" s="668">
        <f>Forrajes!CN49*X782</f>
        <v>0</v>
      </c>
      <c r="AY782" s="668">
        <f>Forrajes!CO49*Y782</f>
        <v>0</v>
      </c>
      <c r="AZ782" s="668">
        <f>Forrajes!CP49*Z782</f>
        <v>0</v>
      </c>
      <c r="BA782" s="668">
        <f>Forrajes!CQ49*AA782</f>
        <v>0</v>
      </c>
      <c r="BB782" s="668">
        <f>Forrajes!CR49*AB782</f>
        <v>0</v>
      </c>
      <c r="BC782" s="668">
        <f>Forrajes!CS49*AC782</f>
        <v>0</v>
      </c>
      <c r="BD782" s="1818">
        <f>Forrajes!CT49*AD782</f>
        <v>0</v>
      </c>
      <c r="BE782" s="590"/>
      <c r="BF782" s="100"/>
      <c r="BG782" s="590"/>
      <c r="BH782" s="590"/>
      <c r="BI782" s="100"/>
      <c r="BJ782" s="1975"/>
      <c r="BK782" s="590"/>
    </row>
    <row r="783" spans="3:63" s="108" customFormat="1" x14ac:dyDescent="0.2">
      <c r="C783" s="1971" t="str">
        <f>D783&amp;$D$639</f>
        <v>0Recría-Vacas Secas</v>
      </c>
      <c r="D783" s="1857">
        <f t="shared" si="618"/>
        <v>0</v>
      </c>
      <c r="E783" s="590"/>
      <c r="F783" s="1972">
        <f t="shared" ref="F783:Q783" si="627">IF($D783&lt;&gt;0,SUMIFS($C$9:$C$98,$D$9:$D$98,$D$639,G$9:G$98,$D783),0)</f>
        <v>0</v>
      </c>
      <c r="G783" s="1972">
        <f t="shared" si="627"/>
        <v>0</v>
      </c>
      <c r="H783" s="1972">
        <f t="shared" si="627"/>
        <v>0</v>
      </c>
      <c r="I783" s="1972">
        <f>IF($D783&lt;&gt;0,SUMIFS($C$9:$C$98,$D$9:$D$98,$D$639,J$9:J$98,$D783),0)</f>
        <v>0</v>
      </c>
      <c r="J783" s="1972">
        <f t="shared" si="627"/>
        <v>0</v>
      </c>
      <c r="K783" s="1972">
        <f t="shared" si="627"/>
        <v>0</v>
      </c>
      <c r="L783" s="1972">
        <f t="shared" si="627"/>
        <v>0</v>
      </c>
      <c r="M783" s="1972">
        <f t="shared" si="627"/>
        <v>0</v>
      </c>
      <c r="N783" s="1972">
        <f t="shared" si="627"/>
        <v>0</v>
      </c>
      <c r="O783" s="1972">
        <f t="shared" si="627"/>
        <v>0</v>
      </c>
      <c r="P783" s="1972">
        <f t="shared" si="627"/>
        <v>0</v>
      </c>
      <c r="Q783" s="1972">
        <f t="shared" si="627"/>
        <v>0</v>
      </c>
      <c r="S783" s="1976">
        <f>SUMIF(G$401:G$490,$C783,$S$401:$S$490)*Forrajes!BG50*G$99</f>
        <v>0</v>
      </c>
      <c r="T783" s="668">
        <f>SUMIF(H$401:H$490,$C783,$S$401:$S$490)*Forrajes!BH50*H$99</f>
        <v>0</v>
      </c>
      <c r="U783" s="668">
        <f>SUMIF(I$401:I$490,$C783,$S$401:$S$490)*Forrajes!BI50*I$99</f>
        <v>0</v>
      </c>
      <c r="V783" s="668">
        <f>SUMIF(J$401:J$490,$C783,$S$401:$S$490)*Forrajes!BJ50*J$99</f>
        <v>0</v>
      </c>
      <c r="W783" s="668">
        <f>SUMIF(K$401:K$490,$C783,$S$401:$S$490)*Forrajes!BK50*K$99</f>
        <v>0</v>
      </c>
      <c r="X783" s="668">
        <f>SUMIF(L$401:L$490,$C783,$S$401:$S$490)*Forrajes!BL50*L$99</f>
        <v>0</v>
      </c>
      <c r="Y783" s="668">
        <f>SUMIF(M$401:M$490,$C783,$S$401:$S$490)*Forrajes!BM50*M$99</f>
        <v>0</v>
      </c>
      <c r="Z783" s="668">
        <f>SUMIF(N$401:N$490,$C783,$S$401:$S$490)*Forrajes!BN50*N$99</f>
        <v>0</v>
      </c>
      <c r="AA783" s="668">
        <f>SUMIF(O$401:O$490,$C783,$S$401:$S$490)*Forrajes!BO50*O$99</f>
        <v>0</v>
      </c>
      <c r="AB783" s="668">
        <f>SUMIF(P$401:P$490,$C783,$S$401:$S$490)*Forrajes!BP50*P$99</f>
        <v>0</v>
      </c>
      <c r="AC783" s="668">
        <f>SUMIF(Q$401:Q$490,$C783,$S$401:$S$490)*Forrajes!BQ50*Q$99</f>
        <v>0</v>
      </c>
      <c r="AD783" s="1977">
        <f>SUMIF(R$401:R$490,$C783,$S$401:$S$490)*Forrajes!BR50*R$99</f>
        <v>0</v>
      </c>
      <c r="AF783" s="1976">
        <f>Forrajes!BU50*S783</f>
        <v>0</v>
      </c>
      <c r="AG783" s="668">
        <f>Forrajes!BV50*T783</f>
        <v>0</v>
      </c>
      <c r="AH783" s="668">
        <f>Forrajes!BW50*U783</f>
        <v>0</v>
      </c>
      <c r="AI783" s="668">
        <f>Forrajes!BX50*V783</f>
        <v>0</v>
      </c>
      <c r="AJ783" s="668">
        <f>Forrajes!BY50*W783</f>
        <v>0</v>
      </c>
      <c r="AK783" s="668">
        <f>Forrajes!BZ50*X783</f>
        <v>0</v>
      </c>
      <c r="AL783" s="668">
        <f>Forrajes!CA50*Y783</f>
        <v>0</v>
      </c>
      <c r="AM783" s="668">
        <f>Forrajes!CB50*Z783</f>
        <v>0</v>
      </c>
      <c r="AN783" s="668">
        <f>Forrajes!CC50*AA783</f>
        <v>0</v>
      </c>
      <c r="AO783" s="668">
        <f>Forrajes!CD50*AB783</f>
        <v>0</v>
      </c>
      <c r="AP783" s="668">
        <f>Forrajes!CE50*AC783</f>
        <v>0</v>
      </c>
      <c r="AQ783" s="668">
        <f>Forrajes!CF50*AD783</f>
        <v>0</v>
      </c>
      <c r="AS783" s="1976">
        <f>Forrajes!CI50*S783</f>
        <v>0</v>
      </c>
      <c r="AT783" s="668">
        <f>Forrajes!CJ50*T783</f>
        <v>0</v>
      </c>
      <c r="AU783" s="668">
        <f>Forrajes!CK50*U783</f>
        <v>0</v>
      </c>
      <c r="AV783" s="668">
        <f>Forrajes!CL50*V783</f>
        <v>0</v>
      </c>
      <c r="AW783" s="668">
        <f>Forrajes!CM50*W783</f>
        <v>0</v>
      </c>
      <c r="AX783" s="668">
        <f>Forrajes!CN50*X783</f>
        <v>0</v>
      </c>
      <c r="AY783" s="668">
        <f>Forrajes!CO50*Y783</f>
        <v>0</v>
      </c>
      <c r="AZ783" s="668">
        <f>Forrajes!CP50*Z783</f>
        <v>0</v>
      </c>
      <c r="BA783" s="668">
        <f>Forrajes!CQ50*AA783</f>
        <v>0</v>
      </c>
      <c r="BB783" s="668">
        <f>Forrajes!CR50*AB783</f>
        <v>0</v>
      </c>
      <c r="BC783" s="668">
        <f>Forrajes!CS50*AC783</f>
        <v>0</v>
      </c>
      <c r="BD783" s="1818">
        <f>Forrajes!CT50*AD783</f>
        <v>0</v>
      </c>
      <c r="BE783" s="590"/>
      <c r="BF783" s="100"/>
      <c r="BG783" s="590"/>
      <c r="BH783" s="590"/>
      <c r="BI783" s="100"/>
      <c r="BJ783" s="1975"/>
      <c r="BK783" s="590"/>
    </row>
    <row r="784" spans="3:63" s="108" customFormat="1" x14ac:dyDescent="0.2">
      <c r="C784" s="1971"/>
      <c r="D784" s="1911" t="str">
        <f t="shared" si="618"/>
        <v xml:space="preserve">Subtotal Verdeos de Verano </v>
      </c>
      <c r="E784" s="1912"/>
      <c r="F784" s="1913">
        <f>SUM(F779:F783)</f>
        <v>0</v>
      </c>
      <c r="G784" s="1913">
        <f t="shared" ref="G784:Q784" si="628">SUM(G779:G783)</f>
        <v>0</v>
      </c>
      <c r="H784" s="1913">
        <f t="shared" si="628"/>
        <v>0</v>
      </c>
      <c r="I784" s="1913">
        <f t="shared" si="628"/>
        <v>0</v>
      </c>
      <c r="J784" s="1913">
        <f t="shared" si="628"/>
        <v>0</v>
      </c>
      <c r="K784" s="1913">
        <f t="shared" si="628"/>
        <v>0</v>
      </c>
      <c r="L784" s="1913">
        <f t="shared" si="628"/>
        <v>0</v>
      </c>
      <c r="M784" s="1913">
        <f t="shared" si="628"/>
        <v>0</v>
      </c>
      <c r="N784" s="1913">
        <f t="shared" si="628"/>
        <v>0</v>
      </c>
      <c r="O784" s="1913">
        <f t="shared" si="628"/>
        <v>0</v>
      </c>
      <c r="P784" s="1913">
        <f t="shared" si="628"/>
        <v>0</v>
      </c>
      <c r="Q784" s="1913">
        <f t="shared" si="628"/>
        <v>0</v>
      </c>
      <c r="S784" s="1981"/>
      <c r="T784" s="1982"/>
      <c r="U784" s="1982"/>
      <c r="V784" s="1982"/>
      <c r="W784" s="1982"/>
      <c r="X784" s="1982"/>
      <c r="Y784" s="1982"/>
      <c r="Z784" s="1982"/>
      <c r="AA784" s="1982"/>
      <c r="AB784" s="1982"/>
      <c r="AC784" s="1982"/>
      <c r="AD784" s="1983"/>
      <c r="AF784" s="1981"/>
      <c r="AG784" s="1982"/>
      <c r="AH784" s="1982"/>
      <c r="AI784" s="1982"/>
      <c r="AJ784" s="1982"/>
      <c r="AK784" s="1982"/>
      <c r="AL784" s="1982"/>
      <c r="AM784" s="1982"/>
      <c r="AN784" s="1982"/>
      <c r="AO784" s="1982"/>
      <c r="AP784" s="1982"/>
      <c r="AQ784" s="1982"/>
      <c r="AS784" s="1981"/>
      <c r="AT784" s="1982"/>
      <c r="AU784" s="1982"/>
      <c r="AV784" s="1982"/>
      <c r="AW784" s="1982"/>
      <c r="AX784" s="1982"/>
      <c r="AY784" s="1982"/>
      <c r="AZ784" s="1982"/>
      <c r="BA784" s="1982"/>
      <c r="BB784" s="1982"/>
      <c r="BC784" s="1982"/>
      <c r="BD784" s="769"/>
      <c r="BE784" s="590"/>
      <c r="BF784" s="100"/>
      <c r="BG784" s="590"/>
      <c r="BH784" s="590"/>
      <c r="BI784" s="100"/>
      <c r="BJ784" s="1975"/>
      <c r="BK784" s="590"/>
    </row>
    <row r="785" spans="3:63" s="108" customFormat="1" x14ac:dyDescent="0.2">
      <c r="C785" s="1984" t="str">
        <f t="shared" ref="C785:C805" si="629">D785&amp;$D$639</f>
        <v>Maíz SiloRecría-Vacas Secas</v>
      </c>
      <c r="D785" s="1857" t="str">
        <f t="shared" si="618"/>
        <v>Maíz Silo</v>
      </c>
      <c r="E785" s="590"/>
      <c r="F785" s="1972">
        <f t="shared" ref="F785:Q785" si="630">IF($D785&lt;&gt;0,SUMIFS($C$9:$C$98,$D$9:$D$98,$D$639,G$9:G$98,$D785),0)</f>
        <v>0</v>
      </c>
      <c r="G785" s="1972">
        <f t="shared" si="630"/>
        <v>0</v>
      </c>
      <c r="H785" s="1972">
        <f t="shared" si="630"/>
        <v>0</v>
      </c>
      <c r="I785" s="1972">
        <f t="shared" ref="I785:I790" si="631">IF($D785&lt;&gt;0,SUMIFS($C$9:$C$98,$D$9:$D$98,$D$639,J$9:J$98,$D785),0)</f>
        <v>0</v>
      </c>
      <c r="J785" s="1972">
        <f t="shared" si="630"/>
        <v>0</v>
      </c>
      <c r="K785" s="1972">
        <f t="shared" si="630"/>
        <v>0</v>
      </c>
      <c r="L785" s="1972">
        <f t="shared" si="630"/>
        <v>0</v>
      </c>
      <c r="M785" s="1972">
        <f t="shared" si="630"/>
        <v>0</v>
      </c>
      <c r="N785" s="1972">
        <f t="shared" si="630"/>
        <v>0</v>
      </c>
      <c r="O785" s="1972">
        <f t="shared" si="630"/>
        <v>0</v>
      </c>
      <c r="P785" s="1972">
        <f t="shared" si="630"/>
        <v>0</v>
      </c>
      <c r="Q785" s="1972">
        <f t="shared" si="630"/>
        <v>0</v>
      </c>
      <c r="S785" s="1973">
        <f>SUMIF(G$401:G$490,$C785,$S$401:$S$490)*Forrajes!BG203*G$99</f>
        <v>0</v>
      </c>
      <c r="T785" s="1973">
        <f>SUMIF(H$401:H$490,$C785,$S$401:$S$490)*Forrajes!BH203*H$99</f>
        <v>0</v>
      </c>
      <c r="U785" s="1973">
        <f>SUMIF(I$401:I$490,$C785,$S$401:$S$490)*Forrajes!BI203*I$99</f>
        <v>0</v>
      </c>
      <c r="V785" s="1973">
        <f>SUMIF(J$401:J$490,$C785,$S$401:$S$490)*Forrajes!BJ203*J$99</f>
        <v>0</v>
      </c>
      <c r="W785" s="1973">
        <f>SUMIF(K$401:K$490,$C785,$S$401:$S$490)*Forrajes!BK203*K$99</f>
        <v>0</v>
      </c>
      <c r="X785" s="1973">
        <f>SUMIF(L$401:L$490,$C785,$S$401:$S$490)*Forrajes!BL203*L$99</f>
        <v>0</v>
      </c>
      <c r="Y785" s="1973">
        <f>SUMIF(M$401:M$490,$C785,$S$401:$S$490)*Forrajes!BM203*M$99</f>
        <v>0</v>
      </c>
      <c r="Z785" s="1973">
        <f>SUMIF(N$401:N$490,$C785,$S$401:$S$490)*Forrajes!BN203*N$99</f>
        <v>0</v>
      </c>
      <c r="AA785" s="1973">
        <f>SUMIF(O$401:O$490,$C785,$S$401:$S$490)*Forrajes!BO203*O$99</f>
        <v>0</v>
      </c>
      <c r="AB785" s="1973">
        <f>SUMIF(P$401:P$490,$C785,$S$401:$S$490)*Forrajes!BP203*P$99</f>
        <v>0</v>
      </c>
      <c r="AC785" s="1973">
        <f>SUMIF(Q$401:Q$490,$C785,$S$401:$S$490)*Forrajes!BQ203*Q$99</f>
        <v>0</v>
      </c>
      <c r="AD785" s="1973">
        <f>SUMIF(R$401:R$490,$C785,$S$401:$S$490)*Forrajes!BR203*R$99</f>
        <v>0</v>
      </c>
      <c r="AE785" s="590"/>
      <c r="AF785" s="1973">
        <f>Forrajes!BU203*S785</f>
        <v>0</v>
      </c>
      <c r="AG785" s="1973">
        <f>Forrajes!BV203*T785</f>
        <v>0</v>
      </c>
      <c r="AH785" s="1973">
        <f>Forrajes!BW203*U785</f>
        <v>0</v>
      </c>
      <c r="AI785" s="1973">
        <f>Forrajes!BX203*V785</f>
        <v>0</v>
      </c>
      <c r="AJ785" s="1973">
        <f>Forrajes!BY203*W785</f>
        <v>0</v>
      </c>
      <c r="AK785" s="1973">
        <f>Forrajes!BZ203*X785</f>
        <v>0</v>
      </c>
      <c r="AL785" s="1973">
        <f>Forrajes!CA203*Y785</f>
        <v>0</v>
      </c>
      <c r="AM785" s="1973">
        <f>Forrajes!CB203*Z785</f>
        <v>0</v>
      </c>
      <c r="AN785" s="1973">
        <f>Forrajes!CC203*AA785</f>
        <v>0</v>
      </c>
      <c r="AO785" s="1973">
        <f>Forrajes!CD203*AB785</f>
        <v>0</v>
      </c>
      <c r="AP785" s="1973">
        <f>Forrajes!CE203*AC785</f>
        <v>0</v>
      </c>
      <c r="AQ785" s="1973">
        <f>Forrajes!CF203*AD785</f>
        <v>0</v>
      </c>
      <c r="AR785" s="590"/>
      <c r="AS785" s="1973">
        <f>Forrajes!CI203*S785</f>
        <v>0</v>
      </c>
      <c r="AT785" s="1973">
        <f>Forrajes!CJ203*T785</f>
        <v>0</v>
      </c>
      <c r="AU785" s="1973">
        <f>Forrajes!CK203*U785</f>
        <v>0</v>
      </c>
      <c r="AV785" s="1973">
        <f>Forrajes!CL203*V785</f>
        <v>0</v>
      </c>
      <c r="AW785" s="1973">
        <f>Forrajes!CM203*W785</f>
        <v>0</v>
      </c>
      <c r="AX785" s="1973">
        <f>Forrajes!CN203*X785</f>
        <v>0</v>
      </c>
      <c r="AY785" s="1973">
        <f>Forrajes!CO203*Y785</f>
        <v>0</v>
      </c>
      <c r="AZ785" s="1973">
        <f>Forrajes!CP203*Z785</f>
        <v>0</v>
      </c>
      <c r="BA785" s="1973">
        <f>Forrajes!CQ203*AA785</f>
        <v>0</v>
      </c>
      <c r="BB785" s="1973">
        <f>Forrajes!CR203*AB785</f>
        <v>0</v>
      </c>
      <c r="BC785" s="1973">
        <f>Forrajes!CS203*AC785</f>
        <v>0</v>
      </c>
      <c r="BD785" s="779">
        <f>Forrajes!CT203*AD785</f>
        <v>0</v>
      </c>
      <c r="BE785" s="590"/>
      <c r="BF785" s="100"/>
      <c r="BG785" s="590"/>
      <c r="BH785" s="590"/>
      <c r="BI785" s="100"/>
      <c r="BJ785" s="1975"/>
      <c r="BK785" s="590"/>
    </row>
    <row r="786" spans="3:63" s="108" customFormat="1" x14ac:dyDescent="0.2">
      <c r="C786" s="1984" t="str">
        <f t="shared" si="629"/>
        <v>Sorgo siloRecría-Vacas Secas</v>
      </c>
      <c r="D786" s="1857" t="str">
        <f t="shared" si="618"/>
        <v>Sorgo silo</v>
      </c>
      <c r="E786" s="590"/>
      <c r="F786" s="1972">
        <f t="shared" ref="F786:Q786" si="632">IF($D786&lt;&gt;0,SUMIFS($C$9:$C$98,$D$9:$D$98,$D$639,G$9:G$98,$D786),0)</f>
        <v>0</v>
      </c>
      <c r="G786" s="1972">
        <f t="shared" si="632"/>
        <v>0</v>
      </c>
      <c r="H786" s="1972">
        <f t="shared" si="632"/>
        <v>0</v>
      </c>
      <c r="I786" s="1972">
        <f t="shared" si="631"/>
        <v>0</v>
      </c>
      <c r="J786" s="1972">
        <f t="shared" si="632"/>
        <v>0</v>
      </c>
      <c r="K786" s="1972">
        <f t="shared" si="632"/>
        <v>0</v>
      </c>
      <c r="L786" s="1972">
        <f t="shared" si="632"/>
        <v>0</v>
      </c>
      <c r="M786" s="1972">
        <f t="shared" si="632"/>
        <v>0</v>
      </c>
      <c r="N786" s="1972">
        <f t="shared" si="632"/>
        <v>0</v>
      </c>
      <c r="O786" s="1972">
        <f t="shared" si="632"/>
        <v>0</v>
      </c>
      <c r="P786" s="1972">
        <f t="shared" si="632"/>
        <v>0</v>
      </c>
      <c r="Q786" s="1972">
        <f t="shared" si="632"/>
        <v>0</v>
      </c>
      <c r="S786" s="1973">
        <f>SUMIF(G$401:G$490,$C786,$S$401:$S$490)*Forrajes!BG204*G$99</f>
        <v>0</v>
      </c>
      <c r="T786" s="1973">
        <f>SUMIF(H$401:H$490,$C786,$S$401:$S$490)*Forrajes!BH204*H$99</f>
        <v>0</v>
      </c>
      <c r="U786" s="1973">
        <f>SUMIF(I$401:I$490,$C786,$S$401:$S$490)*Forrajes!BI204*I$99</f>
        <v>0</v>
      </c>
      <c r="V786" s="1973">
        <f>SUMIF(J$401:J$490,$C786,$S$401:$S$490)*Forrajes!BJ204*J$99</f>
        <v>0</v>
      </c>
      <c r="W786" s="1973">
        <f>SUMIF(K$401:K$490,$C786,$S$401:$S$490)*Forrajes!BK204*K$99</f>
        <v>0</v>
      </c>
      <c r="X786" s="1973">
        <f>SUMIF(L$401:L$490,$C786,$S$401:$S$490)*Forrajes!BL204*L$99</f>
        <v>0</v>
      </c>
      <c r="Y786" s="1973">
        <f>SUMIF(M$401:M$490,$C786,$S$401:$S$490)*Forrajes!BM204*M$99</f>
        <v>0</v>
      </c>
      <c r="Z786" s="1973">
        <f>SUMIF(N$401:N$490,$C786,$S$401:$S$490)*Forrajes!BN204*N$99</f>
        <v>0</v>
      </c>
      <c r="AA786" s="1973">
        <f>SUMIF(O$401:O$490,$C786,$S$401:$S$490)*Forrajes!BO204*O$99</f>
        <v>0</v>
      </c>
      <c r="AB786" s="1973">
        <f>SUMIF(P$401:P$490,$C786,$S$401:$S$490)*Forrajes!BP204*P$99</f>
        <v>0</v>
      </c>
      <c r="AC786" s="1973">
        <f>SUMIF(Q$401:Q$490,$C786,$S$401:$S$490)*Forrajes!BQ204*Q$99</f>
        <v>0</v>
      </c>
      <c r="AD786" s="1973">
        <f>SUMIF(R$401:R$490,$C786,$S$401:$S$490)*Forrajes!BR204*R$99</f>
        <v>0</v>
      </c>
      <c r="AE786" s="590"/>
      <c r="AF786" s="1973">
        <f>Forrajes!BU204*S786</f>
        <v>0</v>
      </c>
      <c r="AG786" s="1973">
        <f>Forrajes!BV204*T786</f>
        <v>0</v>
      </c>
      <c r="AH786" s="1973">
        <f>Forrajes!BW204*U786</f>
        <v>0</v>
      </c>
      <c r="AI786" s="1973">
        <f>Forrajes!BX204*V786</f>
        <v>0</v>
      </c>
      <c r="AJ786" s="1973">
        <f>Forrajes!BY204*W786</f>
        <v>0</v>
      </c>
      <c r="AK786" s="1973">
        <f>Forrajes!BZ204*X786</f>
        <v>0</v>
      </c>
      <c r="AL786" s="1973">
        <f>Forrajes!CA204*Y786</f>
        <v>0</v>
      </c>
      <c r="AM786" s="1973">
        <f>Forrajes!CB204*Z786</f>
        <v>0</v>
      </c>
      <c r="AN786" s="1973">
        <f>Forrajes!CC204*AA786</f>
        <v>0</v>
      </c>
      <c r="AO786" s="1973">
        <f>Forrajes!CD204*AB786</f>
        <v>0</v>
      </c>
      <c r="AP786" s="1973">
        <f>Forrajes!CE204*AC786</f>
        <v>0</v>
      </c>
      <c r="AQ786" s="1973">
        <f>Forrajes!CF204*AD786</f>
        <v>0</v>
      </c>
      <c r="AR786" s="590"/>
      <c r="AS786" s="1976">
        <f>Forrajes!CI204*S786</f>
        <v>0</v>
      </c>
      <c r="AT786" s="668">
        <f>Forrajes!CJ204*T786</f>
        <v>0</v>
      </c>
      <c r="AU786" s="668">
        <f>Forrajes!CK204*U786</f>
        <v>0</v>
      </c>
      <c r="AV786" s="668">
        <f>Forrajes!CL204*V786</f>
        <v>0</v>
      </c>
      <c r="AW786" s="668">
        <f>Forrajes!CM204*W786</f>
        <v>0</v>
      </c>
      <c r="AX786" s="668">
        <f>Forrajes!CN204*X786</f>
        <v>0</v>
      </c>
      <c r="AY786" s="668">
        <f>Forrajes!CO204*Y786</f>
        <v>0</v>
      </c>
      <c r="AZ786" s="668">
        <f>Forrajes!CP204*Z786</f>
        <v>0</v>
      </c>
      <c r="BA786" s="668">
        <f>Forrajes!CQ204*AA786</f>
        <v>0</v>
      </c>
      <c r="BB786" s="668">
        <f>Forrajes!CR204*AB786</f>
        <v>0</v>
      </c>
      <c r="BC786" s="668">
        <f>Forrajes!CS204*AC786</f>
        <v>0</v>
      </c>
      <c r="BD786" s="1818">
        <f>Forrajes!CT204*AD786</f>
        <v>0</v>
      </c>
      <c r="BE786" s="590"/>
      <c r="BF786" s="100"/>
      <c r="BG786" s="590"/>
      <c r="BH786" s="590"/>
      <c r="BI786" s="100"/>
      <c r="BJ786" s="1975"/>
      <c r="BK786" s="590"/>
    </row>
    <row r="787" spans="3:63" s="108" customFormat="1" x14ac:dyDescent="0.2">
      <c r="C787" s="1984" t="str">
        <f t="shared" si="629"/>
        <v>MohaRecría-Vacas Secas</v>
      </c>
      <c r="D787" s="1857" t="str">
        <f t="shared" si="618"/>
        <v>Moha</v>
      </c>
      <c r="E787" s="590"/>
      <c r="F787" s="1972">
        <f t="shared" ref="F787:Q787" si="633">IF($D787&lt;&gt;0,SUMIFS($C$9:$C$98,$D$9:$D$98,$D$639,G$9:G$98,$D787),0)</f>
        <v>0</v>
      </c>
      <c r="G787" s="1972">
        <f t="shared" si="633"/>
        <v>0</v>
      </c>
      <c r="H787" s="1972">
        <f t="shared" si="633"/>
        <v>0</v>
      </c>
      <c r="I787" s="1972">
        <f t="shared" si="631"/>
        <v>0</v>
      </c>
      <c r="J787" s="1972">
        <f t="shared" si="633"/>
        <v>0</v>
      </c>
      <c r="K787" s="1972">
        <f t="shared" si="633"/>
        <v>0</v>
      </c>
      <c r="L787" s="1972">
        <f t="shared" si="633"/>
        <v>0</v>
      </c>
      <c r="M787" s="1972">
        <f t="shared" si="633"/>
        <v>0</v>
      </c>
      <c r="N787" s="1972">
        <f t="shared" si="633"/>
        <v>0</v>
      </c>
      <c r="O787" s="1972">
        <f t="shared" si="633"/>
        <v>0</v>
      </c>
      <c r="P787" s="1972">
        <f t="shared" si="633"/>
        <v>0</v>
      </c>
      <c r="Q787" s="1972">
        <f t="shared" si="633"/>
        <v>0</v>
      </c>
      <c r="S787" s="1973">
        <f>SUMIF(G$401:G$490,$C787,$S$401:$S$490)*Forrajes!BG205*G$99</f>
        <v>0</v>
      </c>
      <c r="T787" s="1973">
        <f>SUMIF(H$401:H$490,$C787,$S$401:$S$490)*Forrajes!BH205*H$99</f>
        <v>0</v>
      </c>
      <c r="U787" s="1973">
        <f>SUMIF(I$401:I$490,$C787,$S$401:$S$490)*Forrajes!BI205*I$99</f>
        <v>0</v>
      </c>
      <c r="V787" s="1973">
        <f>SUMIF(J$401:J$490,$C787,$S$401:$S$490)*Forrajes!BJ205*J$99</f>
        <v>0</v>
      </c>
      <c r="W787" s="1973">
        <f>SUMIF(K$401:K$490,$C787,$S$401:$S$490)*Forrajes!BK205*K$99</f>
        <v>0</v>
      </c>
      <c r="X787" s="1973">
        <f>SUMIF(L$401:L$490,$C787,$S$401:$S$490)*Forrajes!BL205*L$99</f>
        <v>0</v>
      </c>
      <c r="Y787" s="1973">
        <f>SUMIF(M$401:M$490,$C787,$S$401:$S$490)*Forrajes!BM205*M$99</f>
        <v>0</v>
      </c>
      <c r="Z787" s="1973">
        <f>SUMIF(N$401:N$490,$C787,$S$401:$S$490)*Forrajes!BN205*N$99</f>
        <v>0</v>
      </c>
      <c r="AA787" s="1973">
        <f>SUMIF(O$401:O$490,$C787,$S$401:$S$490)*Forrajes!BO205*O$99</f>
        <v>0</v>
      </c>
      <c r="AB787" s="1973">
        <f>SUMIF(P$401:P$490,$C787,$S$401:$S$490)*Forrajes!BP205*P$99</f>
        <v>0</v>
      </c>
      <c r="AC787" s="1973">
        <f>SUMIF(Q$401:Q$490,$C787,$S$401:$S$490)*Forrajes!BQ205*Q$99</f>
        <v>0</v>
      </c>
      <c r="AD787" s="1973">
        <f>SUMIF(R$401:R$490,$C787,$S$401:$S$490)*Forrajes!BR205*R$99</f>
        <v>0</v>
      </c>
      <c r="AE787" s="590"/>
      <c r="AF787" s="1973">
        <f>Forrajes!BU205*S787</f>
        <v>0</v>
      </c>
      <c r="AG787" s="1973">
        <f>Forrajes!BV205*T787</f>
        <v>0</v>
      </c>
      <c r="AH787" s="1973">
        <f>Forrajes!BW205*U787</f>
        <v>0</v>
      </c>
      <c r="AI787" s="1973">
        <f>Forrajes!BX205*V787</f>
        <v>0</v>
      </c>
      <c r="AJ787" s="1973">
        <f>Forrajes!BY205*W787</f>
        <v>0</v>
      </c>
      <c r="AK787" s="1973">
        <f>Forrajes!BZ205*X787</f>
        <v>0</v>
      </c>
      <c r="AL787" s="1973">
        <f>Forrajes!CA205*Y787</f>
        <v>0</v>
      </c>
      <c r="AM787" s="1973">
        <f>Forrajes!CB205*Z787</f>
        <v>0</v>
      </c>
      <c r="AN787" s="1973">
        <f>Forrajes!CC205*AA787</f>
        <v>0</v>
      </c>
      <c r="AO787" s="1973">
        <f>Forrajes!CD205*AB787</f>
        <v>0</v>
      </c>
      <c r="AP787" s="1973">
        <f>Forrajes!CE205*AC787</f>
        <v>0</v>
      </c>
      <c r="AQ787" s="1973">
        <f>Forrajes!CF205*AD787</f>
        <v>0</v>
      </c>
      <c r="AR787" s="590"/>
      <c r="AS787" s="1976">
        <f>Forrajes!CI205*S787</f>
        <v>0</v>
      </c>
      <c r="AT787" s="668">
        <f>Forrajes!CJ205*T787</f>
        <v>0</v>
      </c>
      <c r="AU787" s="668">
        <f>Forrajes!CK205*U787</f>
        <v>0</v>
      </c>
      <c r="AV787" s="668">
        <f>Forrajes!CL205*V787</f>
        <v>0</v>
      </c>
      <c r="AW787" s="668">
        <f>Forrajes!CM205*W787</f>
        <v>0</v>
      </c>
      <c r="AX787" s="668">
        <f>Forrajes!CN205*X787</f>
        <v>0</v>
      </c>
      <c r="AY787" s="668">
        <f>Forrajes!CO205*Y787</f>
        <v>0</v>
      </c>
      <c r="AZ787" s="668">
        <f>Forrajes!CP205*Z787</f>
        <v>0</v>
      </c>
      <c r="BA787" s="668">
        <f>Forrajes!CQ205*AA787</f>
        <v>0</v>
      </c>
      <c r="BB787" s="668">
        <f>Forrajes!CR205*AB787</f>
        <v>0</v>
      </c>
      <c r="BC787" s="668">
        <f>Forrajes!CS205*AC787</f>
        <v>0</v>
      </c>
      <c r="BD787" s="1818">
        <f>Forrajes!CT205*AD787</f>
        <v>0</v>
      </c>
      <c r="BE787" s="590"/>
      <c r="BF787" s="100"/>
      <c r="BG787" s="590"/>
      <c r="BH787" s="590"/>
      <c r="BI787" s="100"/>
      <c r="BJ787" s="1975"/>
      <c r="BK787" s="590"/>
    </row>
    <row r="788" spans="3:63" s="108" customFormat="1" x14ac:dyDescent="0.2">
      <c r="C788" s="1984" t="str">
        <f t="shared" si="629"/>
        <v>Soja reservaRecría-Vacas Secas</v>
      </c>
      <c r="D788" s="1857" t="str">
        <f t="shared" si="618"/>
        <v>Soja reserva</v>
      </c>
      <c r="E788" s="590"/>
      <c r="F788" s="1972">
        <f t="shared" ref="F788:Q788" si="634">IF($D788&lt;&gt;0,SUMIFS($C$9:$C$98,$D$9:$D$98,$D$639,G$9:G$98,$D788),0)</f>
        <v>0</v>
      </c>
      <c r="G788" s="1972">
        <f t="shared" si="634"/>
        <v>0</v>
      </c>
      <c r="H788" s="1972">
        <f t="shared" si="634"/>
        <v>0</v>
      </c>
      <c r="I788" s="1972">
        <f t="shared" si="631"/>
        <v>0</v>
      </c>
      <c r="J788" s="1972">
        <f t="shared" si="634"/>
        <v>0</v>
      </c>
      <c r="K788" s="1972">
        <f t="shared" si="634"/>
        <v>0</v>
      </c>
      <c r="L788" s="1972">
        <f t="shared" si="634"/>
        <v>0</v>
      </c>
      <c r="M788" s="1972">
        <f t="shared" si="634"/>
        <v>0</v>
      </c>
      <c r="N788" s="1972">
        <f t="shared" si="634"/>
        <v>0</v>
      </c>
      <c r="O788" s="1972">
        <f t="shared" si="634"/>
        <v>0</v>
      </c>
      <c r="P788" s="1972">
        <f t="shared" si="634"/>
        <v>0</v>
      </c>
      <c r="Q788" s="1972">
        <f t="shared" si="634"/>
        <v>0</v>
      </c>
      <c r="S788" s="1973">
        <f>SUMIF(G$401:G$490,$C788,$S$401:$S$490)*Forrajes!BG206*G$99</f>
        <v>0</v>
      </c>
      <c r="T788" s="1973">
        <f>SUMIF(H$401:H$490,$C788,$S$401:$S$490)*Forrajes!BH206*H$99</f>
        <v>0</v>
      </c>
      <c r="U788" s="1973">
        <f>SUMIF(I$401:I$490,$C788,$S$401:$S$490)*Forrajes!BI206*I$99</f>
        <v>0</v>
      </c>
      <c r="V788" s="1973">
        <f>SUMIF(J$401:J$490,$C788,$S$401:$S$490)*Forrajes!BJ206*J$99</f>
        <v>0</v>
      </c>
      <c r="W788" s="1973">
        <f>SUMIF(K$401:K$490,$C788,$S$401:$S$490)*Forrajes!BK206*K$99</f>
        <v>0</v>
      </c>
      <c r="X788" s="1973">
        <f>SUMIF(L$401:L$490,$C788,$S$401:$S$490)*Forrajes!BL206*L$99</f>
        <v>0</v>
      </c>
      <c r="Y788" s="1973">
        <f>SUMIF(M$401:M$490,$C788,$S$401:$S$490)*Forrajes!BM206*M$99</f>
        <v>0</v>
      </c>
      <c r="Z788" s="1973">
        <f>SUMIF(N$401:N$490,$C788,$S$401:$S$490)*Forrajes!BN206*N$99</f>
        <v>0</v>
      </c>
      <c r="AA788" s="1973">
        <f>SUMIF(O$401:O$490,$C788,$S$401:$S$490)*Forrajes!BO206*O$99</f>
        <v>0</v>
      </c>
      <c r="AB788" s="1973">
        <f>SUMIF(P$401:P$490,$C788,$S$401:$S$490)*Forrajes!BP206*P$99</f>
        <v>0</v>
      </c>
      <c r="AC788" s="1973">
        <f>SUMIF(Q$401:Q$490,$C788,$S$401:$S$490)*Forrajes!BQ206*Q$99</f>
        <v>0</v>
      </c>
      <c r="AD788" s="1973">
        <f>SUMIF(R$401:R$490,$C788,$S$401:$S$490)*Forrajes!BR206*R$99</f>
        <v>0</v>
      </c>
      <c r="AE788" s="590"/>
      <c r="AF788" s="1973">
        <f>Forrajes!BU206*S788</f>
        <v>0</v>
      </c>
      <c r="AG788" s="1973">
        <f>Forrajes!BV206*T788</f>
        <v>0</v>
      </c>
      <c r="AH788" s="1973">
        <f>Forrajes!BW206*U788</f>
        <v>0</v>
      </c>
      <c r="AI788" s="1973">
        <f>Forrajes!BX206*V788</f>
        <v>0</v>
      </c>
      <c r="AJ788" s="1973">
        <f>Forrajes!BY206*W788</f>
        <v>0</v>
      </c>
      <c r="AK788" s="1973">
        <f>Forrajes!BZ206*X788</f>
        <v>0</v>
      </c>
      <c r="AL788" s="1973">
        <f>Forrajes!CA206*Y788</f>
        <v>0</v>
      </c>
      <c r="AM788" s="1973">
        <f>Forrajes!CB206*Z788</f>
        <v>0</v>
      </c>
      <c r="AN788" s="1973">
        <f>Forrajes!CC206*AA788</f>
        <v>0</v>
      </c>
      <c r="AO788" s="1973">
        <f>Forrajes!CD206*AB788</f>
        <v>0</v>
      </c>
      <c r="AP788" s="1973">
        <f>Forrajes!CE206*AC788</f>
        <v>0</v>
      </c>
      <c r="AQ788" s="1973">
        <f>Forrajes!CF206*AD788</f>
        <v>0</v>
      </c>
      <c r="AR788" s="590"/>
      <c r="AS788" s="1976">
        <f>Forrajes!CI206*S788</f>
        <v>0</v>
      </c>
      <c r="AT788" s="668">
        <f>Forrajes!CJ206*T788</f>
        <v>0</v>
      </c>
      <c r="AU788" s="668">
        <f>Forrajes!CK206*U788</f>
        <v>0</v>
      </c>
      <c r="AV788" s="668">
        <f>Forrajes!CL206*V788</f>
        <v>0</v>
      </c>
      <c r="AW788" s="668">
        <f>Forrajes!CM206*W788</f>
        <v>0</v>
      </c>
      <c r="AX788" s="668">
        <f>Forrajes!CN206*X788</f>
        <v>0</v>
      </c>
      <c r="AY788" s="668">
        <f>Forrajes!CO206*Y788</f>
        <v>0</v>
      </c>
      <c r="AZ788" s="668">
        <f>Forrajes!CP206*Z788</f>
        <v>0</v>
      </c>
      <c r="BA788" s="668">
        <f>Forrajes!CQ206*AA788</f>
        <v>0</v>
      </c>
      <c r="BB788" s="668">
        <f>Forrajes!CR206*AB788</f>
        <v>0</v>
      </c>
      <c r="BC788" s="668">
        <f>Forrajes!CS206*AC788</f>
        <v>0</v>
      </c>
      <c r="BD788" s="1818">
        <f>Forrajes!CT206*AD788</f>
        <v>0</v>
      </c>
      <c r="BE788" s="590"/>
      <c r="BF788" s="100"/>
      <c r="BG788" s="590"/>
      <c r="BH788" s="590"/>
      <c r="BI788" s="100"/>
      <c r="BJ788" s="1975"/>
      <c r="BK788" s="590"/>
    </row>
    <row r="789" spans="3:63" s="108" customFormat="1" x14ac:dyDescent="0.2">
      <c r="C789" s="1984" t="str">
        <f t="shared" si="629"/>
        <v>0Recría-Vacas Secas</v>
      </c>
      <c r="D789" s="1857">
        <f t="shared" si="618"/>
        <v>0</v>
      </c>
      <c r="E789" s="590"/>
      <c r="F789" s="1972">
        <f t="shared" ref="F789:Q789" si="635">IF($D789&lt;&gt;0,SUMIFS($C$9:$C$98,$D$9:$D$98,$D$639,G$9:G$98,$D789),0)</f>
        <v>0</v>
      </c>
      <c r="G789" s="1972">
        <f t="shared" si="635"/>
        <v>0</v>
      </c>
      <c r="H789" s="1972">
        <f t="shared" si="635"/>
        <v>0</v>
      </c>
      <c r="I789" s="1972">
        <f t="shared" si="631"/>
        <v>0</v>
      </c>
      <c r="J789" s="1972">
        <f t="shared" si="635"/>
        <v>0</v>
      </c>
      <c r="K789" s="1972">
        <f t="shared" si="635"/>
        <v>0</v>
      </c>
      <c r="L789" s="1972">
        <f t="shared" si="635"/>
        <v>0</v>
      </c>
      <c r="M789" s="1972">
        <f t="shared" si="635"/>
        <v>0</v>
      </c>
      <c r="N789" s="1972">
        <f t="shared" si="635"/>
        <v>0</v>
      </c>
      <c r="O789" s="1972">
        <f t="shared" si="635"/>
        <v>0</v>
      </c>
      <c r="P789" s="1972">
        <f t="shared" si="635"/>
        <v>0</v>
      </c>
      <c r="Q789" s="1972">
        <f t="shared" si="635"/>
        <v>0</v>
      </c>
      <c r="S789" s="1973">
        <f>SUMIF(G$401:G$490,$C789,$S$401:$S$490)*Forrajes!BG207*G$99</f>
        <v>0</v>
      </c>
      <c r="T789" s="1973">
        <f>SUMIF(H$401:H$490,$C789,$S$401:$S$490)*Forrajes!BH207*H$99</f>
        <v>0</v>
      </c>
      <c r="U789" s="1973">
        <f>SUMIF(I$401:I$490,$C789,$S$401:$S$490)*Forrajes!BI207*I$99</f>
        <v>0</v>
      </c>
      <c r="V789" s="1973">
        <f>SUMIF(J$401:J$490,$C789,$S$401:$S$490)*Forrajes!BJ207*J$99</f>
        <v>0</v>
      </c>
      <c r="W789" s="1973">
        <f>SUMIF(K$401:K$490,$C789,$S$401:$S$490)*Forrajes!BK207*K$99</f>
        <v>0</v>
      </c>
      <c r="X789" s="1973">
        <f>SUMIF(L$401:L$490,$C789,$S$401:$S$490)*Forrajes!BL207*L$99</f>
        <v>0</v>
      </c>
      <c r="Y789" s="1973">
        <f>SUMIF(M$401:M$490,$C789,$S$401:$S$490)*Forrajes!BM207*M$99</f>
        <v>0</v>
      </c>
      <c r="Z789" s="1973">
        <f>SUMIF(N$401:N$490,$C789,$S$401:$S$490)*Forrajes!BN207*N$99</f>
        <v>0</v>
      </c>
      <c r="AA789" s="1973">
        <f>SUMIF(O$401:O$490,$C789,$S$401:$S$490)*Forrajes!BO207*O$99</f>
        <v>0</v>
      </c>
      <c r="AB789" s="1973">
        <f>SUMIF(P$401:P$490,$C789,$S$401:$S$490)*Forrajes!BP207*P$99</f>
        <v>0</v>
      </c>
      <c r="AC789" s="1973">
        <f>SUMIF(Q$401:Q$490,$C789,$S$401:$S$490)*Forrajes!BQ207*Q$99</f>
        <v>0</v>
      </c>
      <c r="AD789" s="1973">
        <f>SUMIF(R$401:R$490,$C789,$S$401:$S$490)*Forrajes!BR207*R$99</f>
        <v>0</v>
      </c>
      <c r="AE789" s="590"/>
      <c r="AF789" s="1973">
        <f>Forrajes!BU207*S789</f>
        <v>0</v>
      </c>
      <c r="AG789" s="1973">
        <f>Forrajes!BV207*T789</f>
        <v>0</v>
      </c>
      <c r="AH789" s="1973">
        <f>Forrajes!BW207*U789</f>
        <v>0</v>
      </c>
      <c r="AI789" s="1973">
        <f>Forrajes!BX207*V789</f>
        <v>0</v>
      </c>
      <c r="AJ789" s="1973">
        <f>Forrajes!BY207*W789</f>
        <v>0</v>
      </c>
      <c r="AK789" s="1973">
        <f>Forrajes!BZ207*X789</f>
        <v>0</v>
      </c>
      <c r="AL789" s="1973">
        <f>Forrajes!CA207*Y789</f>
        <v>0</v>
      </c>
      <c r="AM789" s="1973">
        <f>Forrajes!CB207*Z789</f>
        <v>0</v>
      </c>
      <c r="AN789" s="1973">
        <f>Forrajes!CC207*AA789</f>
        <v>0</v>
      </c>
      <c r="AO789" s="1973">
        <f>Forrajes!CD207*AB789</f>
        <v>0</v>
      </c>
      <c r="AP789" s="1973">
        <f>Forrajes!CE207*AC789</f>
        <v>0</v>
      </c>
      <c r="AQ789" s="1973">
        <f>Forrajes!CF207*AD789</f>
        <v>0</v>
      </c>
      <c r="AR789" s="590"/>
      <c r="AS789" s="1976">
        <f>Forrajes!CI207*S789</f>
        <v>0</v>
      </c>
      <c r="AT789" s="668">
        <f>Forrajes!CJ207*T789</f>
        <v>0</v>
      </c>
      <c r="AU789" s="668">
        <f>Forrajes!CK207*U789</f>
        <v>0</v>
      </c>
      <c r="AV789" s="668">
        <f>Forrajes!CL207*V789</f>
        <v>0</v>
      </c>
      <c r="AW789" s="668">
        <f>Forrajes!CM207*W789</f>
        <v>0</v>
      </c>
      <c r="AX789" s="668">
        <f>Forrajes!CN207*X789</f>
        <v>0</v>
      </c>
      <c r="AY789" s="668">
        <f>Forrajes!CO207*Y789</f>
        <v>0</v>
      </c>
      <c r="AZ789" s="668">
        <f>Forrajes!CP207*Z789</f>
        <v>0</v>
      </c>
      <c r="BA789" s="668">
        <f>Forrajes!CQ207*AA789</f>
        <v>0</v>
      </c>
      <c r="BB789" s="668">
        <f>Forrajes!CR207*AB789</f>
        <v>0</v>
      </c>
      <c r="BC789" s="668">
        <f>Forrajes!CS207*AC789</f>
        <v>0</v>
      </c>
      <c r="BD789" s="1818">
        <f>Forrajes!CT207*AD789</f>
        <v>0</v>
      </c>
      <c r="BE789" s="590"/>
      <c r="BF789" s="100"/>
      <c r="BG789" s="590"/>
      <c r="BH789" s="590"/>
      <c r="BI789" s="100"/>
      <c r="BJ789" s="1975"/>
      <c r="BK789" s="590"/>
    </row>
    <row r="790" spans="3:63" s="108" customFormat="1" x14ac:dyDescent="0.2">
      <c r="C790" s="1984" t="str">
        <f t="shared" si="629"/>
        <v>0Recría-Vacas Secas</v>
      </c>
      <c r="D790" s="1857">
        <f t="shared" si="618"/>
        <v>0</v>
      </c>
      <c r="E790" s="590"/>
      <c r="F790" s="1972">
        <f t="shared" ref="F790:Q790" si="636">IF($D790&lt;&gt;0,SUMIFS($C$9:$C$98,$D$9:$D$98,$D$639,G$9:G$98,$D790),0)</f>
        <v>0</v>
      </c>
      <c r="G790" s="1972">
        <f t="shared" si="636"/>
        <v>0</v>
      </c>
      <c r="H790" s="1972">
        <f t="shared" si="636"/>
        <v>0</v>
      </c>
      <c r="I790" s="1972">
        <f t="shared" si="631"/>
        <v>0</v>
      </c>
      <c r="J790" s="1972">
        <f t="shared" si="636"/>
        <v>0</v>
      </c>
      <c r="K790" s="1972">
        <f t="shared" si="636"/>
        <v>0</v>
      </c>
      <c r="L790" s="1972">
        <f t="shared" si="636"/>
        <v>0</v>
      </c>
      <c r="M790" s="1972">
        <f t="shared" si="636"/>
        <v>0</v>
      </c>
      <c r="N790" s="1972">
        <f t="shared" si="636"/>
        <v>0</v>
      </c>
      <c r="O790" s="1972">
        <f t="shared" si="636"/>
        <v>0</v>
      </c>
      <c r="P790" s="1972">
        <f t="shared" si="636"/>
        <v>0</v>
      </c>
      <c r="Q790" s="1972">
        <f t="shared" si="636"/>
        <v>0</v>
      </c>
      <c r="S790" s="1973">
        <f>SUMIF(G$401:G$490,$C790,$S$401:$S$490)*Forrajes!BG208*G$99</f>
        <v>0</v>
      </c>
      <c r="T790" s="1973">
        <f>SUMIF(H$401:H$490,$C790,$S$401:$S$490)*Forrajes!BH208*H$99</f>
        <v>0</v>
      </c>
      <c r="U790" s="1973">
        <f>SUMIF(I$401:I$490,$C790,$S$401:$S$490)*Forrajes!BI208*I$99</f>
        <v>0</v>
      </c>
      <c r="V790" s="1973">
        <f>SUMIF(J$401:J$490,$C790,$S$401:$S$490)*Forrajes!BJ208*J$99</f>
        <v>0</v>
      </c>
      <c r="W790" s="1973">
        <f>SUMIF(K$401:K$490,$C790,$S$401:$S$490)*Forrajes!BK208*K$99</f>
        <v>0</v>
      </c>
      <c r="X790" s="1973">
        <f>SUMIF(L$401:L$490,$C790,$S$401:$S$490)*Forrajes!BL208*L$99</f>
        <v>0</v>
      </c>
      <c r="Y790" s="1973">
        <f>SUMIF(M$401:M$490,$C790,$S$401:$S$490)*Forrajes!BM208*M$99</f>
        <v>0</v>
      </c>
      <c r="Z790" s="1973">
        <f>SUMIF(N$401:N$490,$C790,$S$401:$S$490)*Forrajes!BN208*N$99</f>
        <v>0</v>
      </c>
      <c r="AA790" s="1973">
        <f>SUMIF(O$401:O$490,$C790,$S$401:$S$490)*Forrajes!BO208*O$99</f>
        <v>0</v>
      </c>
      <c r="AB790" s="1973">
        <f>SUMIF(P$401:P$490,$C790,$S$401:$S$490)*Forrajes!BP208*P$99</f>
        <v>0</v>
      </c>
      <c r="AC790" s="1973">
        <f>SUMIF(Q$401:Q$490,$C790,$S$401:$S$490)*Forrajes!BQ208*Q$99</f>
        <v>0</v>
      </c>
      <c r="AD790" s="1973">
        <f>SUMIF(R$401:R$490,$C790,$S$401:$S$490)*Forrajes!BR208*R$99</f>
        <v>0</v>
      </c>
      <c r="AE790" s="590"/>
      <c r="AF790" s="1973">
        <f>Forrajes!BU208*S790</f>
        <v>0</v>
      </c>
      <c r="AG790" s="1973">
        <f>Forrajes!BV208*T790</f>
        <v>0</v>
      </c>
      <c r="AH790" s="1973">
        <f>Forrajes!BW208*U790</f>
        <v>0</v>
      </c>
      <c r="AI790" s="1973">
        <f>Forrajes!BX208*V790</f>
        <v>0</v>
      </c>
      <c r="AJ790" s="1973">
        <f>Forrajes!BY208*W790</f>
        <v>0</v>
      </c>
      <c r="AK790" s="1973">
        <f>Forrajes!BZ208*X790</f>
        <v>0</v>
      </c>
      <c r="AL790" s="1973">
        <f>Forrajes!CA208*Y790</f>
        <v>0</v>
      </c>
      <c r="AM790" s="1973">
        <f>Forrajes!CB208*Z790</f>
        <v>0</v>
      </c>
      <c r="AN790" s="1973">
        <f>Forrajes!CC208*AA790</f>
        <v>0</v>
      </c>
      <c r="AO790" s="1973">
        <f>Forrajes!CD208*AB790</f>
        <v>0</v>
      </c>
      <c r="AP790" s="1973">
        <f>Forrajes!CE208*AC790</f>
        <v>0</v>
      </c>
      <c r="AQ790" s="1973">
        <f>Forrajes!CF208*AD790</f>
        <v>0</v>
      </c>
      <c r="AR790" s="590"/>
      <c r="AS790" s="1976">
        <f>Forrajes!CI208*S790</f>
        <v>0</v>
      </c>
      <c r="AT790" s="668">
        <f>Forrajes!CJ208*T790</f>
        <v>0</v>
      </c>
      <c r="AU790" s="668">
        <f>Forrajes!CK208*U790</f>
        <v>0</v>
      </c>
      <c r="AV790" s="668">
        <f>Forrajes!CL208*V790</f>
        <v>0</v>
      </c>
      <c r="AW790" s="668">
        <f>Forrajes!CM208*W790</f>
        <v>0</v>
      </c>
      <c r="AX790" s="668">
        <f>Forrajes!CN208*X790</f>
        <v>0</v>
      </c>
      <c r="AY790" s="668">
        <f>Forrajes!CO208*Y790</f>
        <v>0</v>
      </c>
      <c r="AZ790" s="668">
        <f>Forrajes!CP208*Z790</f>
        <v>0</v>
      </c>
      <c r="BA790" s="668">
        <f>Forrajes!CQ208*AA790</f>
        <v>0</v>
      </c>
      <c r="BB790" s="668">
        <f>Forrajes!CR208*AB790</f>
        <v>0</v>
      </c>
      <c r="BC790" s="668">
        <f>Forrajes!CS208*AC790</f>
        <v>0</v>
      </c>
      <c r="BD790" s="1818">
        <f>Forrajes!CT208*AD790</f>
        <v>0</v>
      </c>
      <c r="BE790" s="590"/>
      <c r="BF790" s="100"/>
      <c r="BG790" s="590"/>
      <c r="BH790" s="590"/>
      <c r="BI790" s="100"/>
      <c r="BJ790" s="1975"/>
      <c r="BK790" s="590"/>
    </row>
    <row r="791" spans="3:63" s="108" customFormat="1" x14ac:dyDescent="0.2">
      <c r="C791" s="1984" t="str">
        <f t="shared" si="629"/>
        <v>Subtotal Cultivos de Verano para ReservaRecría-Vacas Secas</v>
      </c>
      <c r="D791" s="1907" t="str">
        <f t="shared" si="618"/>
        <v>Subtotal Cultivos de Verano para Reserva</v>
      </c>
      <c r="E791" s="1908"/>
      <c r="F791" s="1909">
        <f>SUM(F785:F790)</f>
        <v>0</v>
      </c>
      <c r="G791" s="1909">
        <f t="shared" ref="G791:Q791" si="637">SUM(G785:G790)</f>
        <v>0</v>
      </c>
      <c r="H791" s="1909">
        <f t="shared" si="637"/>
        <v>0</v>
      </c>
      <c r="I791" s="1909">
        <f t="shared" si="637"/>
        <v>0</v>
      </c>
      <c r="J791" s="1909">
        <f t="shared" si="637"/>
        <v>0</v>
      </c>
      <c r="K791" s="1909">
        <f t="shared" si="637"/>
        <v>0</v>
      </c>
      <c r="L791" s="1909">
        <f t="shared" si="637"/>
        <v>0</v>
      </c>
      <c r="M791" s="1909">
        <f t="shared" si="637"/>
        <v>0</v>
      </c>
      <c r="N791" s="1909">
        <f t="shared" si="637"/>
        <v>0</v>
      </c>
      <c r="O791" s="1909">
        <f t="shared" si="637"/>
        <v>0</v>
      </c>
      <c r="P791" s="1909">
        <f t="shared" si="637"/>
        <v>0</v>
      </c>
      <c r="Q791" s="1909">
        <f t="shared" si="637"/>
        <v>0</v>
      </c>
      <c r="S791" s="1973"/>
      <c r="T791" s="1973"/>
      <c r="U791" s="1973"/>
      <c r="V791" s="1973"/>
      <c r="W791" s="1973"/>
      <c r="X791" s="1973"/>
      <c r="Y791" s="1973"/>
      <c r="Z791" s="1973"/>
      <c r="AA791" s="1973"/>
      <c r="AB791" s="1973"/>
      <c r="AC791" s="1973"/>
      <c r="AD791" s="1973"/>
      <c r="AE791" s="590"/>
      <c r="AF791" s="1973"/>
      <c r="AG791" s="1973"/>
      <c r="AH791" s="1973"/>
      <c r="AI791" s="1973"/>
      <c r="AJ791" s="1973"/>
      <c r="AK791" s="1973"/>
      <c r="AL791" s="1973"/>
      <c r="AM791" s="1973"/>
      <c r="AN791" s="1973"/>
      <c r="AO791" s="1973"/>
      <c r="AP791" s="1973"/>
      <c r="AQ791" s="1973"/>
      <c r="AR791" s="590"/>
      <c r="AS791" s="1976"/>
      <c r="AT791" s="668"/>
      <c r="AU791" s="668"/>
      <c r="AV791" s="668"/>
      <c r="AW791" s="668"/>
      <c r="AX791" s="668"/>
      <c r="AY791" s="668"/>
      <c r="AZ791" s="668"/>
      <c r="BA791" s="668"/>
      <c r="BB791" s="668"/>
      <c r="BC791" s="668"/>
      <c r="BD791" s="1818"/>
      <c r="BE791" s="590"/>
      <c r="BF791" s="100"/>
      <c r="BG791" s="590"/>
      <c r="BH791" s="590"/>
      <c r="BI791" s="100"/>
      <c r="BJ791" s="1975"/>
      <c r="BK791" s="590"/>
    </row>
    <row r="792" spans="3:63" s="108" customFormat="1" x14ac:dyDescent="0.2">
      <c r="C792" s="1984" t="str">
        <f t="shared" si="629"/>
        <v>Avena siloRecría-Vacas Secas</v>
      </c>
      <c r="D792" s="1857" t="str">
        <f t="shared" si="618"/>
        <v>Avena silo</v>
      </c>
      <c r="E792" s="590"/>
      <c r="F792" s="1972">
        <f t="shared" ref="F792:Q792" si="638">IF($D792&lt;&gt;0,SUMIFS($C$9:$C$98,$D$9:$D$98,$D$639,G$9:G$98,$D792),0)</f>
        <v>0</v>
      </c>
      <c r="G792" s="1972">
        <f t="shared" si="638"/>
        <v>0</v>
      </c>
      <c r="H792" s="1972">
        <f t="shared" si="638"/>
        <v>0</v>
      </c>
      <c r="I792" s="1972">
        <f>IF($D792&lt;&gt;0,SUMIFS($C$9:$C$98,$D$9:$D$98,$D$639,J$9:J$98,$D792),0)</f>
        <v>0</v>
      </c>
      <c r="J792" s="1972">
        <f t="shared" si="638"/>
        <v>0</v>
      </c>
      <c r="K792" s="1972">
        <f t="shared" si="638"/>
        <v>0</v>
      </c>
      <c r="L792" s="1972">
        <f t="shared" si="638"/>
        <v>0</v>
      </c>
      <c r="M792" s="1972">
        <f t="shared" si="638"/>
        <v>0</v>
      </c>
      <c r="N792" s="1972">
        <f t="shared" si="638"/>
        <v>0</v>
      </c>
      <c r="O792" s="1972">
        <f t="shared" si="638"/>
        <v>0</v>
      </c>
      <c r="P792" s="1972">
        <f t="shared" si="638"/>
        <v>0</v>
      </c>
      <c r="Q792" s="1972">
        <f t="shared" si="638"/>
        <v>0</v>
      </c>
      <c r="S792" s="1973">
        <f>SUMIF(G$401:G$490,$C792,$S$401:$S$490)*Forrajes!BG210*G$99</f>
        <v>0</v>
      </c>
      <c r="T792" s="1973">
        <f>SUMIF(H$401:H$490,$C792,$S$401:$S$490)*Forrajes!BH210*H$99</f>
        <v>0</v>
      </c>
      <c r="U792" s="1973">
        <f>SUMIF(I$401:I$490,$C792,$S$401:$S$490)*Forrajes!BI210*I$99</f>
        <v>0</v>
      </c>
      <c r="V792" s="1973">
        <f>SUMIF(J$401:J$490,$C792,$S$401:$S$490)*Forrajes!BJ210*J$99</f>
        <v>0</v>
      </c>
      <c r="W792" s="1973">
        <f>SUMIF(K$401:K$490,$C792,$S$401:$S$490)*Forrajes!BK210*K$99</f>
        <v>0</v>
      </c>
      <c r="X792" s="1973">
        <f>SUMIF(L$401:L$490,$C792,$S$401:$S$490)*Forrajes!BL210*L$99</f>
        <v>0</v>
      </c>
      <c r="Y792" s="1973">
        <f>SUMIF(M$401:M$490,$C792,$S$401:$S$490)*Forrajes!BM210*M$99</f>
        <v>0</v>
      </c>
      <c r="Z792" s="1973">
        <f>SUMIF(N$401:N$490,$C792,$S$401:$S$490)*Forrajes!BN210*N$99</f>
        <v>0</v>
      </c>
      <c r="AA792" s="1973">
        <f>SUMIF(O$401:O$490,$C792,$S$401:$S$490)*Forrajes!BO210*O$99</f>
        <v>0</v>
      </c>
      <c r="AB792" s="1973">
        <f>SUMIF(P$401:P$490,$C792,$S$401:$S$490)*Forrajes!BP210*P$99</f>
        <v>0</v>
      </c>
      <c r="AC792" s="1973">
        <f>SUMIF(Q$401:Q$490,$C792,$S$401:$S$490)*Forrajes!BQ210*Q$99</f>
        <v>0</v>
      </c>
      <c r="AD792" s="1973">
        <f>SUMIF(R$401:R$490,$C792,$S$401:$S$490)*Forrajes!BR210*R$99</f>
        <v>0</v>
      </c>
      <c r="AE792" s="590"/>
      <c r="AF792" s="1973">
        <f>Forrajes!BU210*S792</f>
        <v>0</v>
      </c>
      <c r="AG792" s="1973">
        <f>Forrajes!BV210*T792</f>
        <v>0</v>
      </c>
      <c r="AH792" s="1973">
        <f>Forrajes!BW210*U792</f>
        <v>0</v>
      </c>
      <c r="AI792" s="1973">
        <f>Forrajes!BX210*V792</f>
        <v>0</v>
      </c>
      <c r="AJ792" s="1973">
        <f>Forrajes!BY210*W792</f>
        <v>0</v>
      </c>
      <c r="AK792" s="1973">
        <f>Forrajes!BZ210*X792</f>
        <v>0</v>
      </c>
      <c r="AL792" s="1973">
        <f>Forrajes!CA210*Y792</f>
        <v>0</v>
      </c>
      <c r="AM792" s="1973">
        <f>Forrajes!CB210*Z792</f>
        <v>0</v>
      </c>
      <c r="AN792" s="1973">
        <f>Forrajes!CC210*AA792</f>
        <v>0</v>
      </c>
      <c r="AO792" s="1973">
        <f>Forrajes!CD210*AB792</f>
        <v>0</v>
      </c>
      <c r="AP792" s="1973">
        <f>Forrajes!CE210*AC792</f>
        <v>0</v>
      </c>
      <c r="AQ792" s="1973">
        <f>Forrajes!CF210*AD792</f>
        <v>0</v>
      </c>
      <c r="AR792" s="590"/>
      <c r="AS792" s="1976">
        <f>Forrajes!CI210*S792</f>
        <v>0</v>
      </c>
      <c r="AT792" s="668">
        <f>Forrajes!CJ210*T792</f>
        <v>0</v>
      </c>
      <c r="AU792" s="668">
        <f>Forrajes!CK210*U792</f>
        <v>0</v>
      </c>
      <c r="AV792" s="668">
        <f>Forrajes!CL210*V792</f>
        <v>0</v>
      </c>
      <c r="AW792" s="668">
        <f>Forrajes!CM210*W792</f>
        <v>0</v>
      </c>
      <c r="AX792" s="668">
        <f>Forrajes!CN210*X792</f>
        <v>0</v>
      </c>
      <c r="AY792" s="668">
        <f>Forrajes!CO210*Y792</f>
        <v>0</v>
      </c>
      <c r="AZ792" s="668">
        <f>Forrajes!CP210*Z792</f>
        <v>0</v>
      </c>
      <c r="BA792" s="668">
        <f>Forrajes!CQ210*AA792</f>
        <v>0</v>
      </c>
      <c r="BB792" s="668">
        <f>Forrajes!CR210*AB792</f>
        <v>0</v>
      </c>
      <c r="BC792" s="668">
        <f>Forrajes!CS210*AC792</f>
        <v>0</v>
      </c>
      <c r="BD792" s="1818">
        <f>Forrajes!CT210*AD792</f>
        <v>0</v>
      </c>
      <c r="BE792" s="590"/>
      <c r="BF792" s="100"/>
      <c r="BG792" s="590"/>
      <c r="BH792" s="590"/>
      <c r="BI792" s="100"/>
      <c r="BJ792" s="1975"/>
      <c r="BK792" s="590"/>
    </row>
    <row r="793" spans="3:63" s="108" customFormat="1" x14ac:dyDescent="0.2">
      <c r="C793" s="1984" t="str">
        <f t="shared" si="629"/>
        <v>Raigrás SiloRecría-Vacas Secas</v>
      </c>
      <c r="D793" s="1857" t="str">
        <f t="shared" si="618"/>
        <v>Raigrás Silo</v>
      </c>
      <c r="E793" s="590"/>
      <c r="F793" s="1972">
        <f t="shared" ref="F793:Q793" si="639">IF($D793&lt;&gt;0,SUMIFS($C$9:$C$98,$D$9:$D$98,$D$639,G$9:G$98,$D793),0)</f>
        <v>0</v>
      </c>
      <c r="G793" s="1972">
        <f t="shared" si="639"/>
        <v>0</v>
      </c>
      <c r="H793" s="1972">
        <f t="shared" si="639"/>
        <v>0</v>
      </c>
      <c r="I793" s="1972">
        <f>IF($D793&lt;&gt;0,SUMIFS($C$9:$C$98,$D$9:$D$98,$D$639,J$9:J$98,$D793),0)</f>
        <v>0</v>
      </c>
      <c r="J793" s="1972">
        <f t="shared" si="639"/>
        <v>0</v>
      </c>
      <c r="K793" s="1972">
        <f t="shared" si="639"/>
        <v>0</v>
      </c>
      <c r="L793" s="1972">
        <f t="shared" si="639"/>
        <v>0</v>
      </c>
      <c r="M793" s="1972">
        <f t="shared" si="639"/>
        <v>0</v>
      </c>
      <c r="N793" s="1972">
        <f t="shared" si="639"/>
        <v>0</v>
      </c>
      <c r="O793" s="1972">
        <f t="shared" si="639"/>
        <v>0</v>
      </c>
      <c r="P793" s="1972">
        <f t="shared" si="639"/>
        <v>0</v>
      </c>
      <c r="Q793" s="1972">
        <f t="shared" si="639"/>
        <v>0</v>
      </c>
      <c r="S793" s="1973">
        <f>SUMIF(G$401:G$490,$C793,$S$401:$S$490)*Forrajes!BG211*G$99</f>
        <v>0</v>
      </c>
      <c r="T793" s="1973">
        <f>SUMIF(H$401:H$490,$C793,$S$401:$S$490)*Forrajes!BH211*H$99</f>
        <v>0</v>
      </c>
      <c r="U793" s="1973">
        <f>SUMIF(I$401:I$490,$C793,$S$401:$S$490)*Forrajes!BI211*I$99</f>
        <v>0</v>
      </c>
      <c r="V793" s="1973">
        <f>SUMIF(J$401:J$490,$C793,$S$401:$S$490)*Forrajes!BJ211*J$99</f>
        <v>0</v>
      </c>
      <c r="W793" s="1973">
        <f>SUMIF(K$401:K$490,$C793,$S$401:$S$490)*Forrajes!BK211*K$99</f>
        <v>0</v>
      </c>
      <c r="X793" s="1973">
        <f>SUMIF(L$401:L$490,$C793,$S$401:$S$490)*Forrajes!BL211*L$99</f>
        <v>0</v>
      </c>
      <c r="Y793" s="1973">
        <f>SUMIF(M$401:M$490,$C793,$S$401:$S$490)*Forrajes!BM211*M$99</f>
        <v>0</v>
      </c>
      <c r="Z793" s="1973">
        <f>SUMIF(N$401:N$490,$C793,$S$401:$S$490)*Forrajes!BN211*N$99</f>
        <v>0</v>
      </c>
      <c r="AA793" s="1973">
        <f>SUMIF(O$401:O$490,$C793,$S$401:$S$490)*Forrajes!BO211*O$99</f>
        <v>0</v>
      </c>
      <c r="AB793" s="1973">
        <f>SUMIF(P$401:P$490,$C793,$S$401:$S$490)*Forrajes!BP211*P$99</f>
        <v>0</v>
      </c>
      <c r="AC793" s="1973">
        <f>SUMIF(Q$401:Q$490,$C793,$S$401:$S$490)*Forrajes!BQ211*Q$99</f>
        <v>0</v>
      </c>
      <c r="AD793" s="1973">
        <f>SUMIF(R$401:R$490,$C793,$S$401:$S$490)*Forrajes!BR211*R$99</f>
        <v>0</v>
      </c>
      <c r="AE793" s="590"/>
      <c r="AF793" s="1973">
        <f>Forrajes!BU211*S793</f>
        <v>0</v>
      </c>
      <c r="AG793" s="1973">
        <f>Forrajes!BV211*T793</f>
        <v>0</v>
      </c>
      <c r="AH793" s="1973">
        <f>Forrajes!BW211*U793</f>
        <v>0</v>
      </c>
      <c r="AI793" s="1973">
        <f>Forrajes!BX211*V793</f>
        <v>0</v>
      </c>
      <c r="AJ793" s="1973">
        <f>Forrajes!BY211*W793</f>
        <v>0</v>
      </c>
      <c r="AK793" s="1973">
        <f>Forrajes!BZ211*X793</f>
        <v>0</v>
      </c>
      <c r="AL793" s="1973">
        <f>Forrajes!CA211*Y793</f>
        <v>0</v>
      </c>
      <c r="AM793" s="1973">
        <f>Forrajes!CB211*Z793</f>
        <v>0</v>
      </c>
      <c r="AN793" s="1973">
        <f>Forrajes!CC211*AA793</f>
        <v>0</v>
      </c>
      <c r="AO793" s="1973">
        <f>Forrajes!CD211*AB793</f>
        <v>0</v>
      </c>
      <c r="AP793" s="1973">
        <f>Forrajes!CE211*AC793</f>
        <v>0</v>
      </c>
      <c r="AQ793" s="1973">
        <f>Forrajes!CF211*AD793</f>
        <v>0</v>
      </c>
      <c r="AR793" s="590"/>
      <c r="AS793" s="1976">
        <f>Forrajes!CI211*S793</f>
        <v>0</v>
      </c>
      <c r="AT793" s="668">
        <f>Forrajes!CJ211*T793</f>
        <v>0</v>
      </c>
      <c r="AU793" s="668">
        <f>Forrajes!CK211*U793</f>
        <v>0</v>
      </c>
      <c r="AV793" s="668">
        <f>Forrajes!CL211*V793</f>
        <v>0</v>
      </c>
      <c r="AW793" s="668">
        <f>Forrajes!CM211*W793</f>
        <v>0</v>
      </c>
      <c r="AX793" s="668">
        <f>Forrajes!CN211*X793</f>
        <v>0</v>
      </c>
      <c r="AY793" s="668">
        <f>Forrajes!CO211*Y793</f>
        <v>0</v>
      </c>
      <c r="AZ793" s="668">
        <f>Forrajes!CP211*Z793</f>
        <v>0</v>
      </c>
      <c r="BA793" s="668">
        <f>Forrajes!CQ211*AA793</f>
        <v>0</v>
      </c>
      <c r="BB793" s="668">
        <f>Forrajes!CR211*AB793</f>
        <v>0</v>
      </c>
      <c r="BC793" s="668">
        <f>Forrajes!CS211*AC793</f>
        <v>0</v>
      </c>
      <c r="BD793" s="1818">
        <f>Forrajes!CT211*AD793</f>
        <v>0</v>
      </c>
      <c r="BE793" s="590"/>
      <c r="BF793" s="100"/>
      <c r="BG793" s="590"/>
      <c r="BH793" s="590"/>
      <c r="BI793" s="100"/>
      <c r="BJ793" s="1975"/>
      <c r="BK793" s="590"/>
    </row>
    <row r="794" spans="3:63" s="108" customFormat="1" x14ac:dyDescent="0.2">
      <c r="C794" s="1984" t="str">
        <f t="shared" si="629"/>
        <v>Ra Silo Cierre AgoRecría-Vacas Secas</v>
      </c>
      <c r="D794" s="1857" t="str">
        <f t="shared" si="618"/>
        <v>Ra Silo Cierre Ago</v>
      </c>
      <c r="E794" s="590"/>
      <c r="F794" s="1972">
        <f t="shared" ref="F794:Q794" si="640">IF($D794&lt;&gt;0,SUMIFS($C$9:$C$98,$D$9:$D$98,$D$639,G$9:G$98,$D794),0)</f>
        <v>0</v>
      </c>
      <c r="G794" s="1972">
        <f t="shared" si="640"/>
        <v>0</v>
      </c>
      <c r="H794" s="1972">
        <f t="shared" si="640"/>
        <v>0</v>
      </c>
      <c r="I794" s="1972">
        <f>IF($D794&lt;&gt;0,SUMIFS($C$9:$C$98,$D$9:$D$98,$D$639,J$9:J$98,$D794),0)</f>
        <v>0</v>
      </c>
      <c r="J794" s="1972">
        <f t="shared" si="640"/>
        <v>0</v>
      </c>
      <c r="K794" s="1972">
        <f t="shared" si="640"/>
        <v>0</v>
      </c>
      <c r="L794" s="1972">
        <f t="shared" si="640"/>
        <v>0</v>
      </c>
      <c r="M794" s="1972">
        <f t="shared" si="640"/>
        <v>0</v>
      </c>
      <c r="N794" s="1972">
        <f t="shared" si="640"/>
        <v>0</v>
      </c>
      <c r="O794" s="1972">
        <f t="shared" si="640"/>
        <v>0</v>
      </c>
      <c r="P794" s="1972">
        <f t="shared" si="640"/>
        <v>0</v>
      </c>
      <c r="Q794" s="1972">
        <f t="shared" si="640"/>
        <v>0</v>
      </c>
      <c r="S794" s="1973">
        <f>SUMIF(G$401:G$490,$C794,$S$401:$S$490)*Forrajes!BG212*G$99</f>
        <v>0</v>
      </c>
      <c r="T794" s="1973">
        <f>SUMIF(H$401:H$490,$C794,$S$401:$S$490)*Forrajes!BH212*H$99</f>
        <v>0</v>
      </c>
      <c r="U794" s="1973">
        <f>SUMIF(I$401:I$490,$C794,$S$401:$S$490)*Forrajes!BI212*I$99</f>
        <v>0</v>
      </c>
      <c r="V794" s="1973">
        <f>SUMIF(J$401:J$490,$C794,$S$401:$S$490)*Forrajes!BJ212*J$99</f>
        <v>0</v>
      </c>
      <c r="W794" s="1973">
        <f>SUMIF(K$401:K$490,$C794,$S$401:$S$490)*Forrajes!BK212*K$99</f>
        <v>0</v>
      </c>
      <c r="X794" s="1973">
        <f>SUMIF(L$401:L$490,$C794,$S$401:$S$490)*Forrajes!BL212*L$99</f>
        <v>0</v>
      </c>
      <c r="Y794" s="1973">
        <f>SUMIF(M$401:M$490,$C794,$S$401:$S$490)*Forrajes!BM212*M$99</f>
        <v>0</v>
      </c>
      <c r="Z794" s="1973">
        <f>SUMIF(N$401:N$490,$C794,$S$401:$S$490)*Forrajes!BN212*N$99</f>
        <v>0</v>
      </c>
      <c r="AA794" s="1973">
        <f>SUMIF(O$401:O$490,$C794,$S$401:$S$490)*Forrajes!BO212*O$99</f>
        <v>0</v>
      </c>
      <c r="AB794" s="1973">
        <f>SUMIF(P$401:P$490,$C794,$S$401:$S$490)*Forrajes!BP212*P$99</f>
        <v>0</v>
      </c>
      <c r="AC794" s="1973">
        <f>SUMIF(Q$401:Q$490,$C794,$S$401:$S$490)*Forrajes!BQ212*Q$99</f>
        <v>0</v>
      </c>
      <c r="AD794" s="1973">
        <f>SUMIF(R$401:R$490,$C794,$S$401:$S$490)*Forrajes!BR212*R$99</f>
        <v>0</v>
      </c>
      <c r="AE794" s="590"/>
      <c r="AF794" s="1973">
        <f>Forrajes!BU212*S794</f>
        <v>0</v>
      </c>
      <c r="AG794" s="1973">
        <f>Forrajes!BV212*T794</f>
        <v>0</v>
      </c>
      <c r="AH794" s="1973">
        <f>Forrajes!BW212*U794</f>
        <v>0</v>
      </c>
      <c r="AI794" s="1973">
        <f>Forrajes!BX212*V794</f>
        <v>0</v>
      </c>
      <c r="AJ794" s="1973">
        <f>Forrajes!BY212*W794</f>
        <v>0</v>
      </c>
      <c r="AK794" s="1973">
        <f>Forrajes!BZ212*X794</f>
        <v>0</v>
      </c>
      <c r="AL794" s="1973">
        <f>Forrajes!CA212*Y794</f>
        <v>0</v>
      </c>
      <c r="AM794" s="1973">
        <f>Forrajes!CB212*Z794</f>
        <v>0</v>
      </c>
      <c r="AN794" s="1973">
        <f>Forrajes!CC212*AA794</f>
        <v>0</v>
      </c>
      <c r="AO794" s="1973">
        <f>Forrajes!CD212*AB794</f>
        <v>0</v>
      </c>
      <c r="AP794" s="1973">
        <f>Forrajes!CE212*AC794</f>
        <v>0</v>
      </c>
      <c r="AQ794" s="1973">
        <f>Forrajes!CF212*AD794</f>
        <v>0</v>
      </c>
      <c r="AR794" s="590"/>
      <c r="AS794" s="1976">
        <f>Forrajes!CI212*S794</f>
        <v>0</v>
      </c>
      <c r="AT794" s="668">
        <f>Forrajes!CJ212*T794</f>
        <v>0</v>
      </c>
      <c r="AU794" s="668">
        <f>Forrajes!CK212*U794</f>
        <v>0</v>
      </c>
      <c r="AV794" s="668">
        <f>Forrajes!CL212*V794</f>
        <v>0</v>
      </c>
      <c r="AW794" s="668">
        <f>Forrajes!CM212*W794</f>
        <v>0</v>
      </c>
      <c r="AX794" s="668">
        <f>Forrajes!CN212*X794</f>
        <v>0</v>
      </c>
      <c r="AY794" s="668">
        <f>Forrajes!CO212*Y794</f>
        <v>0</v>
      </c>
      <c r="AZ794" s="668">
        <f>Forrajes!CP212*Z794</f>
        <v>0</v>
      </c>
      <c r="BA794" s="668">
        <f>Forrajes!CQ212*AA794</f>
        <v>0</v>
      </c>
      <c r="BB794" s="668">
        <f>Forrajes!CR212*AB794</f>
        <v>0</v>
      </c>
      <c r="BC794" s="668">
        <f>Forrajes!CS212*AC794</f>
        <v>0</v>
      </c>
      <c r="BD794" s="1818">
        <f>Forrajes!CT212*AD794</f>
        <v>0</v>
      </c>
      <c r="BE794" s="590"/>
      <c r="BF794" s="100"/>
      <c r="BG794" s="590"/>
      <c r="BH794" s="590"/>
      <c r="BI794" s="100"/>
      <c r="BJ794" s="1975"/>
      <c r="BK794" s="590"/>
    </row>
    <row r="795" spans="3:63" s="108" customFormat="1" x14ac:dyDescent="0.2">
      <c r="C795" s="1984" t="str">
        <f t="shared" si="629"/>
        <v>0Recría-Vacas Secas</v>
      </c>
      <c r="D795" s="1857">
        <f t="shared" si="618"/>
        <v>0</v>
      </c>
      <c r="E795" s="590"/>
      <c r="F795" s="1972">
        <f t="shared" ref="F795:Q795" si="641">IF($D795&lt;&gt;0,SUMIFS($C$9:$C$98,$D$9:$D$98,$D$639,G$9:G$98,$D795),0)</f>
        <v>0</v>
      </c>
      <c r="G795" s="1972">
        <f t="shared" si="641"/>
        <v>0</v>
      </c>
      <c r="H795" s="1972">
        <f t="shared" si="641"/>
        <v>0</v>
      </c>
      <c r="I795" s="1972">
        <f>IF($D795&lt;&gt;0,SUMIFS($C$9:$C$98,$D$9:$D$98,$D$639,J$9:J$98,$D795),0)</f>
        <v>0</v>
      </c>
      <c r="J795" s="1972">
        <f t="shared" si="641"/>
        <v>0</v>
      </c>
      <c r="K795" s="1972">
        <f t="shared" si="641"/>
        <v>0</v>
      </c>
      <c r="L795" s="1972">
        <f t="shared" si="641"/>
        <v>0</v>
      </c>
      <c r="M795" s="1972">
        <f t="shared" si="641"/>
        <v>0</v>
      </c>
      <c r="N795" s="1972">
        <f t="shared" si="641"/>
        <v>0</v>
      </c>
      <c r="O795" s="1972">
        <f t="shared" si="641"/>
        <v>0</v>
      </c>
      <c r="P795" s="1972">
        <f t="shared" si="641"/>
        <v>0</v>
      </c>
      <c r="Q795" s="1972">
        <f t="shared" si="641"/>
        <v>0</v>
      </c>
      <c r="S795" s="1973">
        <f>SUMIF(G$401:G$490,$C795,$S$401:$S$490)*Forrajes!BG213*G$99</f>
        <v>0</v>
      </c>
      <c r="T795" s="1973">
        <f>SUMIF(H$401:H$490,$C795,$S$401:$S$490)*Forrajes!BH213*H$99</f>
        <v>0</v>
      </c>
      <c r="U795" s="1973">
        <f>SUMIF(I$401:I$490,$C795,$S$401:$S$490)*Forrajes!BI213*I$99</f>
        <v>0</v>
      </c>
      <c r="V795" s="1973">
        <f>SUMIF(J$401:J$490,$C795,$S$401:$S$490)*Forrajes!BJ213*J$99</f>
        <v>0</v>
      </c>
      <c r="W795" s="1973">
        <f>SUMIF(K$401:K$490,$C795,$S$401:$S$490)*Forrajes!BK213*K$99</f>
        <v>0</v>
      </c>
      <c r="X795" s="1973">
        <f>SUMIF(L$401:L$490,$C795,$S$401:$S$490)*Forrajes!BL213*L$99</f>
        <v>0</v>
      </c>
      <c r="Y795" s="1973">
        <f>SUMIF(M$401:M$490,$C795,$S$401:$S$490)*Forrajes!BM213*M$99</f>
        <v>0</v>
      </c>
      <c r="Z795" s="1973">
        <f>SUMIF(N$401:N$490,$C795,$S$401:$S$490)*Forrajes!BN213*N$99</f>
        <v>0</v>
      </c>
      <c r="AA795" s="1973">
        <f>SUMIF(O$401:O$490,$C795,$S$401:$S$490)*Forrajes!BO213*O$99</f>
        <v>0</v>
      </c>
      <c r="AB795" s="1973">
        <f>SUMIF(P$401:P$490,$C795,$S$401:$S$490)*Forrajes!BP213*P$99</f>
        <v>0</v>
      </c>
      <c r="AC795" s="1973">
        <f>SUMIF(Q$401:Q$490,$C795,$S$401:$S$490)*Forrajes!BQ213*Q$99</f>
        <v>0</v>
      </c>
      <c r="AD795" s="1973">
        <f>SUMIF(R$401:R$490,$C795,$S$401:$S$490)*Forrajes!BR213*R$99</f>
        <v>0</v>
      </c>
      <c r="AE795" s="590"/>
      <c r="AF795" s="1973">
        <f>Forrajes!BU213*S795</f>
        <v>0</v>
      </c>
      <c r="AG795" s="1973">
        <f>Forrajes!BV213*T795</f>
        <v>0</v>
      </c>
      <c r="AH795" s="1973">
        <f>Forrajes!BW213*U795</f>
        <v>0</v>
      </c>
      <c r="AI795" s="1973">
        <f>Forrajes!BX213*V795</f>
        <v>0</v>
      </c>
      <c r="AJ795" s="1973">
        <f>Forrajes!BY213*W795</f>
        <v>0</v>
      </c>
      <c r="AK795" s="1973">
        <f>Forrajes!BZ213*X795</f>
        <v>0</v>
      </c>
      <c r="AL795" s="1973">
        <f>Forrajes!CA213*Y795</f>
        <v>0</v>
      </c>
      <c r="AM795" s="1973">
        <f>Forrajes!CB213*Z795</f>
        <v>0</v>
      </c>
      <c r="AN795" s="1973">
        <f>Forrajes!CC213*AA795</f>
        <v>0</v>
      </c>
      <c r="AO795" s="1973">
        <f>Forrajes!CD213*AB795</f>
        <v>0</v>
      </c>
      <c r="AP795" s="1973">
        <f>Forrajes!CE213*AC795</f>
        <v>0</v>
      </c>
      <c r="AQ795" s="1973">
        <f>Forrajes!CF213*AD795</f>
        <v>0</v>
      </c>
      <c r="AR795" s="590"/>
      <c r="AS795" s="1976">
        <f>Forrajes!CI213*S795</f>
        <v>0</v>
      </c>
      <c r="AT795" s="668">
        <f>Forrajes!CJ213*T795</f>
        <v>0</v>
      </c>
      <c r="AU795" s="668">
        <f>Forrajes!CK213*U795</f>
        <v>0</v>
      </c>
      <c r="AV795" s="668">
        <f>Forrajes!CL213*V795</f>
        <v>0</v>
      </c>
      <c r="AW795" s="668">
        <f>Forrajes!CM213*W795</f>
        <v>0</v>
      </c>
      <c r="AX795" s="668">
        <f>Forrajes!CN213*X795</f>
        <v>0</v>
      </c>
      <c r="AY795" s="668">
        <f>Forrajes!CO213*Y795</f>
        <v>0</v>
      </c>
      <c r="AZ795" s="668">
        <f>Forrajes!CP213*Z795</f>
        <v>0</v>
      </c>
      <c r="BA795" s="668">
        <f>Forrajes!CQ213*AA795</f>
        <v>0</v>
      </c>
      <c r="BB795" s="668">
        <f>Forrajes!CR213*AB795</f>
        <v>0</v>
      </c>
      <c r="BC795" s="668">
        <f>Forrajes!CS213*AC795</f>
        <v>0</v>
      </c>
      <c r="BD795" s="1818">
        <f>Forrajes!CT213*AD795</f>
        <v>0</v>
      </c>
      <c r="BE795" s="590"/>
      <c r="BF795" s="100"/>
      <c r="BG795" s="590"/>
      <c r="BH795" s="590"/>
      <c r="BI795" s="100"/>
      <c r="BJ795" s="1975"/>
      <c r="BK795" s="590"/>
    </row>
    <row r="796" spans="3:63" s="108" customFormat="1" x14ac:dyDescent="0.2">
      <c r="C796" s="1984" t="str">
        <f t="shared" si="629"/>
        <v>0Recría-Vacas Secas</v>
      </c>
      <c r="D796" s="1857">
        <f t="shared" si="618"/>
        <v>0</v>
      </c>
      <c r="E796" s="590"/>
      <c r="F796" s="1972">
        <f t="shared" ref="F796:Q796" si="642">IF($D796&lt;&gt;0,SUMIFS($C$9:$C$98,$D$9:$D$98,$D$639,G$9:G$98,$D796),0)</f>
        <v>0</v>
      </c>
      <c r="G796" s="1972">
        <f t="shared" si="642"/>
        <v>0</v>
      </c>
      <c r="H796" s="1972">
        <f t="shared" si="642"/>
        <v>0</v>
      </c>
      <c r="I796" s="1972">
        <f>IF($D796&lt;&gt;0,SUMIFS($C$9:$C$98,$D$9:$D$98,$D$639,J$9:J$98,$D796),0)</f>
        <v>0</v>
      </c>
      <c r="J796" s="1972">
        <f t="shared" si="642"/>
        <v>0</v>
      </c>
      <c r="K796" s="1972">
        <f t="shared" si="642"/>
        <v>0</v>
      </c>
      <c r="L796" s="1972">
        <f t="shared" si="642"/>
        <v>0</v>
      </c>
      <c r="M796" s="1972">
        <f t="shared" si="642"/>
        <v>0</v>
      </c>
      <c r="N796" s="1972">
        <f t="shared" si="642"/>
        <v>0</v>
      </c>
      <c r="O796" s="1972">
        <f t="shared" si="642"/>
        <v>0</v>
      </c>
      <c r="P796" s="1972">
        <f t="shared" si="642"/>
        <v>0</v>
      </c>
      <c r="Q796" s="1972">
        <f t="shared" si="642"/>
        <v>0</v>
      </c>
      <c r="S796" s="1973">
        <f>SUMIF(G$401:G$490,$C796,$S$401:$S$490)*Forrajes!BG214*G$99</f>
        <v>0</v>
      </c>
      <c r="T796" s="1973">
        <f>SUMIF(H$401:H$490,$C796,$S$401:$S$490)*Forrajes!BH214*H$99</f>
        <v>0</v>
      </c>
      <c r="U796" s="1973">
        <f>SUMIF(I$401:I$490,$C796,$S$401:$S$490)*Forrajes!BI214*I$99</f>
        <v>0</v>
      </c>
      <c r="V796" s="1973">
        <f>SUMIF(J$401:J$490,$C796,$S$401:$S$490)*Forrajes!BJ214*J$99</f>
        <v>0</v>
      </c>
      <c r="W796" s="1973">
        <f>SUMIF(K$401:K$490,$C796,$S$401:$S$490)*Forrajes!BK214*K$99</f>
        <v>0</v>
      </c>
      <c r="X796" s="1973">
        <f>SUMIF(L$401:L$490,$C796,$S$401:$S$490)*Forrajes!BL214*L$99</f>
        <v>0</v>
      </c>
      <c r="Y796" s="1973">
        <f>SUMIF(M$401:M$490,$C796,$S$401:$S$490)*Forrajes!BM214*M$99</f>
        <v>0</v>
      </c>
      <c r="Z796" s="1973">
        <f>SUMIF(N$401:N$490,$C796,$S$401:$S$490)*Forrajes!BN214*N$99</f>
        <v>0</v>
      </c>
      <c r="AA796" s="1973">
        <f>SUMIF(O$401:O$490,$C796,$S$401:$S$490)*Forrajes!BO214*O$99</f>
        <v>0</v>
      </c>
      <c r="AB796" s="1973">
        <f>SUMIF(P$401:P$490,$C796,$S$401:$S$490)*Forrajes!BP214*P$99</f>
        <v>0</v>
      </c>
      <c r="AC796" s="1973">
        <f>SUMIF(Q$401:Q$490,$C796,$S$401:$S$490)*Forrajes!BQ214*Q$99</f>
        <v>0</v>
      </c>
      <c r="AD796" s="1973">
        <f>SUMIF(R$401:R$490,$C796,$S$401:$S$490)*Forrajes!BR214*R$99</f>
        <v>0</v>
      </c>
      <c r="AE796" s="590"/>
      <c r="AF796" s="1973">
        <f>Forrajes!BU214*S796</f>
        <v>0</v>
      </c>
      <c r="AG796" s="1973">
        <f>Forrajes!BV214*T796</f>
        <v>0</v>
      </c>
      <c r="AH796" s="1973">
        <f>Forrajes!BW214*U796</f>
        <v>0</v>
      </c>
      <c r="AI796" s="1973">
        <f>Forrajes!BX214*V796</f>
        <v>0</v>
      </c>
      <c r="AJ796" s="1973">
        <f>Forrajes!BY214*W796</f>
        <v>0</v>
      </c>
      <c r="AK796" s="1973">
        <f>Forrajes!BZ214*X796</f>
        <v>0</v>
      </c>
      <c r="AL796" s="1973">
        <f>Forrajes!CA214*Y796</f>
        <v>0</v>
      </c>
      <c r="AM796" s="1973">
        <f>Forrajes!CB214*Z796</f>
        <v>0</v>
      </c>
      <c r="AN796" s="1973">
        <f>Forrajes!CC214*AA796</f>
        <v>0</v>
      </c>
      <c r="AO796" s="1973">
        <f>Forrajes!CD214*AB796</f>
        <v>0</v>
      </c>
      <c r="AP796" s="1973">
        <f>Forrajes!CE214*AC796</f>
        <v>0</v>
      </c>
      <c r="AQ796" s="1973">
        <f>Forrajes!CF214*AD796</f>
        <v>0</v>
      </c>
      <c r="AR796" s="590"/>
      <c r="AS796" s="1976">
        <f>Forrajes!CI214*S796</f>
        <v>0</v>
      </c>
      <c r="AT796" s="668">
        <f>Forrajes!CJ214*T796</f>
        <v>0</v>
      </c>
      <c r="AU796" s="668">
        <f>Forrajes!CK214*U796</f>
        <v>0</v>
      </c>
      <c r="AV796" s="668">
        <f>Forrajes!CL214*V796</f>
        <v>0</v>
      </c>
      <c r="AW796" s="668">
        <f>Forrajes!CM214*W796</f>
        <v>0</v>
      </c>
      <c r="AX796" s="668">
        <f>Forrajes!CN214*X796</f>
        <v>0</v>
      </c>
      <c r="AY796" s="668">
        <f>Forrajes!CO214*Y796</f>
        <v>0</v>
      </c>
      <c r="AZ796" s="668">
        <f>Forrajes!CP214*Z796</f>
        <v>0</v>
      </c>
      <c r="BA796" s="668">
        <f>Forrajes!CQ214*AA796</f>
        <v>0</v>
      </c>
      <c r="BB796" s="668">
        <f>Forrajes!CR214*AB796</f>
        <v>0</v>
      </c>
      <c r="BC796" s="668">
        <f>Forrajes!CS214*AC796</f>
        <v>0</v>
      </c>
      <c r="BD796" s="1818">
        <f>Forrajes!CT214*AD796</f>
        <v>0</v>
      </c>
      <c r="BE796" s="590"/>
      <c r="BF796" s="100"/>
      <c r="BG796" s="590"/>
      <c r="BH796" s="590"/>
      <c r="BI796" s="100"/>
      <c r="BJ796" s="1975"/>
      <c r="BK796" s="590"/>
    </row>
    <row r="797" spans="3:63" s="108" customFormat="1" x14ac:dyDescent="0.2">
      <c r="C797" s="590" t="str">
        <f t="shared" si="629"/>
        <v>Subtotal Cultivos de Invierno para ReservaRecría-Vacas Secas</v>
      </c>
      <c r="D797" s="1911" t="str">
        <f t="shared" si="618"/>
        <v>Subtotal Cultivos de Invierno para Reserva</v>
      </c>
      <c r="E797" s="1912"/>
      <c r="F797" s="1913">
        <f>SUM(F792:F796)</f>
        <v>0</v>
      </c>
      <c r="G797" s="1913">
        <f t="shared" ref="G797:Q797" si="643">SUM(G792:G796)</f>
        <v>0</v>
      </c>
      <c r="H797" s="1913">
        <f t="shared" si="643"/>
        <v>0</v>
      </c>
      <c r="I797" s="1913">
        <f t="shared" si="643"/>
        <v>0</v>
      </c>
      <c r="J797" s="1913">
        <f t="shared" si="643"/>
        <v>0</v>
      </c>
      <c r="K797" s="1913">
        <f t="shared" si="643"/>
        <v>0</v>
      </c>
      <c r="L797" s="1913">
        <f t="shared" si="643"/>
        <v>0</v>
      </c>
      <c r="M797" s="1913">
        <f t="shared" si="643"/>
        <v>0</v>
      </c>
      <c r="N797" s="1913">
        <f t="shared" si="643"/>
        <v>0</v>
      </c>
      <c r="O797" s="1913">
        <f t="shared" si="643"/>
        <v>0</v>
      </c>
      <c r="P797" s="1913">
        <f t="shared" si="643"/>
        <v>0</v>
      </c>
      <c r="Q797" s="1985">
        <f t="shared" si="643"/>
        <v>0</v>
      </c>
      <c r="R797" s="1984"/>
      <c r="S797" s="1976"/>
      <c r="T797" s="668"/>
      <c r="U797" s="668"/>
      <c r="V797" s="668"/>
      <c r="W797" s="668"/>
      <c r="X797" s="668"/>
      <c r="Y797" s="668"/>
      <c r="Z797" s="668"/>
      <c r="AA797" s="668"/>
      <c r="AB797" s="668"/>
      <c r="AC797" s="668"/>
      <c r="AD797" s="1977"/>
      <c r="AE797" s="590"/>
      <c r="AF797" s="1976"/>
      <c r="AG797" s="668"/>
      <c r="AH797" s="668"/>
      <c r="AI797" s="668"/>
      <c r="AJ797" s="668"/>
      <c r="AK797" s="668"/>
      <c r="AL797" s="668"/>
      <c r="AM797" s="668"/>
      <c r="AN797" s="668"/>
      <c r="AO797" s="668"/>
      <c r="AP797" s="668"/>
      <c r="AQ797" s="668"/>
      <c r="AR797" s="590"/>
      <c r="AS797" s="1976"/>
      <c r="AT797" s="668"/>
      <c r="AU797" s="668"/>
      <c r="AV797" s="668"/>
      <c r="AW797" s="668"/>
      <c r="AX797" s="668"/>
      <c r="AY797" s="668"/>
      <c r="AZ797" s="668"/>
      <c r="BA797" s="668"/>
      <c r="BB797" s="668"/>
      <c r="BC797" s="668"/>
      <c r="BD797" s="1818"/>
      <c r="BE797" s="590"/>
      <c r="BF797" s="100"/>
      <c r="BG797" s="590"/>
      <c r="BH797" s="590"/>
      <c r="BI797" s="100"/>
      <c r="BJ797" s="1975"/>
      <c r="BK797" s="590"/>
    </row>
    <row r="798" spans="3:63" s="108" customFormat="1" x14ac:dyDescent="0.2">
      <c r="C798" s="590" t="str">
        <f t="shared" si="629"/>
        <v>Barb SPLRecría-Vacas Secas</v>
      </c>
      <c r="D798" s="597" t="str">
        <f t="shared" si="618"/>
        <v>Barb SPL</v>
      </c>
      <c r="E798" s="597"/>
      <c r="F798" s="1972">
        <f t="shared" ref="F798:F805" si="644">IF($D798&lt;&gt;0,SUMIFS($C$9:$C$98,$D$9:$D$98,$D$639,G$9:G$98,$D798),0)</f>
        <v>0</v>
      </c>
      <c r="G798" s="1972">
        <f t="shared" ref="G798:G805" si="645">IF($D798&lt;&gt;0,SUMIFS($C$9:$C$98,$D$9:$D$98,$D$639,H$9:H$98,$D798),0)</f>
        <v>0</v>
      </c>
      <c r="H798" s="1972">
        <f t="shared" ref="H798:H805" si="646">IF($D798&lt;&gt;0,SUMIFS($C$9:$C$98,$D$9:$D$98,$D$639,I$9:I$98,$D798),0)</f>
        <v>0</v>
      </c>
      <c r="I798" s="1972">
        <f t="shared" ref="I798:I805" si="647">IF($D798&lt;&gt;0,SUMIFS($C$9:$C$98,$D$9:$D$98,$D$639,J$9:J$98,$D798),0)</f>
        <v>0</v>
      </c>
      <c r="J798" s="1972">
        <f t="shared" ref="J798:J805" si="648">IF($D798&lt;&gt;0,SUMIFS($C$9:$C$98,$D$9:$D$98,$D$639,K$9:K$98,$D798),0)</f>
        <v>0</v>
      </c>
      <c r="K798" s="1972">
        <f t="shared" ref="K798:K805" si="649">IF($D798&lt;&gt;0,SUMIFS($C$9:$C$98,$D$9:$D$98,$D$639,L$9:L$98,$D798),0)</f>
        <v>0</v>
      </c>
      <c r="L798" s="1972">
        <f t="shared" ref="L798:L805" si="650">IF($D798&lt;&gt;0,SUMIFS($C$9:$C$98,$D$9:$D$98,$D$639,M$9:M$98,$D798),0)</f>
        <v>0</v>
      </c>
      <c r="M798" s="1972">
        <f t="shared" ref="M798:M805" si="651">IF($D798&lt;&gt;0,SUMIFS($C$9:$C$98,$D$9:$D$98,$D$639,N$9:N$98,$D798),0)</f>
        <v>0</v>
      </c>
      <c r="N798" s="1972">
        <f t="shared" ref="N798:N805" si="652">IF($D798&lt;&gt;0,SUMIFS($C$9:$C$98,$D$9:$D$98,$D$639,O$9:O$98,$D798),0)</f>
        <v>0</v>
      </c>
      <c r="O798" s="1972">
        <f t="shared" ref="O798:O805" si="653">IF($D798&lt;&gt;0,SUMIFS($C$9:$C$98,$D$9:$D$98,$D$639,P$9:P$98,$D798),0)</f>
        <v>0</v>
      </c>
      <c r="P798" s="1972">
        <f t="shared" ref="P798:P805" si="654">IF($D798&lt;&gt;0,SUMIFS($C$9:$C$98,$D$9:$D$98,$D$639,Q$9:Q$98,$D798),0)</f>
        <v>0</v>
      </c>
      <c r="Q798" s="1972">
        <f t="shared" ref="Q798:Q805" si="655">IF($D798&lt;&gt;0,SUMIFS($C$9:$C$98,$D$9:$D$98,$D$639,R$9:R$98,$D798),0)</f>
        <v>0</v>
      </c>
      <c r="R798" s="1984"/>
      <c r="S798" s="1973"/>
      <c r="T798" s="787"/>
      <c r="U798" s="787"/>
      <c r="V798" s="787"/>
      <c r="W798" s="787"/>
      <c r="X798" s="787"/>
      <c r="Y798" s="787"/>
      <c r="Z798" s="787"/>
      <c r="AA798" s="787"/>
      <c r="AB798" s="787"/>
      <c r="AC798" s="787"/>
      <c r="AD798" s="780"/>
      <c r="AE798" s="590"/>
      <c r="AF798" s="1973"/>
      <c r="AG798" s="1972"/>
      <c r="AH798" s="1972"/>
      <c r="AI798" s="1972"/>
      <c r="AJ798" s="1972"/>
      <c r="AK798" s="1972"/>
      <c r="AL798" s="1972"/>
      <c r="AM798" s="1972"/>
      <c r="AN798" s="1972"/>
      <c r="AO798" s="1972"/>
      <c r="AP798" s="1972"/>
      <c r="AQ798" s="1972"/>
      <c r="AR798" s="590"/>
      <c r="AS798" s="1973"/>
      <c r="AT798" s="787"/>
      <c r="AU798" s="787"/>
      <c r="AV798" s="787"/>
      <c r="AW798" s="787"/>
      <c r="AX798" s="787"/>
      <c r="AY798" s="787"/>
      <c r="AZ798" s="787"/>
      <c r="BA798" s="787"/>
      <c r="BB798" s="787"/>
      <c r="BC798" s="787"/>
      <c r="BD798" s="780"/>
      <c r="BE798" s="590"/>
      <c r="BF798" s="100"/>
      <c r="BG798" s="590"/>
      <c r="BH798" s="590"/>
      <c r="BI798" s="100"/>
      <c r="BJ798" s="1975"/>
      <c r="BK798" s="590"/>
    </row>
    <row r="799" spans="3:63" s="108" customFormat="1" x14ac:dyDescent="0.2">
      <c r="C799" s="590" t="str">
        <f t="shared" si="629"/>
        <v>Barb AgrícolaRecría-Vacas Secas</v>
      </c>
      <c r="D799" s="597" t="str">
        <f t="shared" ref="D799:D805" si="656">+D728</f>
        <v>Barb Agrícola</v>
      </c>
      <c r="E799" s="597"/>
      <c r="F799" s="1972">
        <f t="shared" si="644"/>
        <v>0</v>
      </c>
      <c r="G799" s="1972">
        <f t="shared" si="645"/>
        <v>0</v>
      </c>
      <c r="H799" s="1972">
        <f t="shared" si="646"/>
        <v>0</v>
      </c>
      <c r="I799" s="1972">
        <f t="shared" si="647"/>
        <v>0</v>
      </c>
      <c r="J799" s="1972">
        <f t="shared" si="648"/>
        <v>0</v>
      </c>
      <c r="K799" s="1972">
        <f t="shared" si="649"/>
        <v>0</v>
      </c>
      <c r="L799" s="1972">
        <f t="shared" si="650"/>
        <v>0</v>
      </c>
      <c r="M799" s="1972">
        <f t="shared" si="651"/>
        <v>0</v>
      </c>
      <c r="N799" s="1972">
        <f t="shared" si="652"/>
        <v>0</v>
      </c>
      <c r="O799" s="1972">
        <f t="shared" si="653"/>
        <v>0</v>
      </c>
      <c r="P799" s="1972">
        <f t="shared" si="654"/>
        <v>0</v>
      </c>
      <c r="Q799" s="1972">
        <f t="shared" si="655"/>
        <v>0</v>
      </c>
      <c r="R799" s="1984"/>
      <c r="S799" s="1973"/>
      <c r="T799" s="787"/>
      <c r="U799" s="787"/>
      <c r="V799" s="787"/>
      <c r="W799" s="787"/>
      <c r="X799" s="787"/>
      <c r="Y799" s="787"/>
      <c r="Z799" s="787"/>
      <c r="AA799" s="787"/>
      <c r="AB799" s="787"/>
      <c r="AC799" s="787"/>
      <c r="AD799" s="780"/>
      <c r="AE799" s="590"/>
      <c r="AF799" s="1973"/>
      <c r="AG799" s="1972"/>
      <c r="AH799" s="1972"/>
      <c r="AI799" s="1972"/>
      <c r="AJ799" s="1972"/>
      <c r="AK799" s="1972"/>
      <c r="AL799" s="1972"/>
      <c r="AM799" s="1972"/>
      <c r="AN799" s="1972"/>
      <c r="AO799" s="1972"/>
      <c r="AP799" s="1972"/>
      <c r="AQ799" s="1972"/>
      <c r="AR799" s="590"/>
      <c r="AS799" s="1973"/>
      <c r="AT799" s="787"/>
      <c r="AU799" s="787"/>
      <c r="AV799" s="787"/>
      <c r="AW799" s="787"/>
      <c r="AX799" s="787"/>
      <c r="AY799" s="787"/>
      <c r="AZ799" s="787"/>
      <c r="BA799" s="787"/>
      <c r="BB799" s="787"/>
      <c r="BC799" s="787"/>
      <c r="BD799" s="780"/>
      <c r="BE799" s="590"/>
      <c r="BF799" s="100"/>
      <c r="BG799" s="590"/>
      <c r="BH799" s="590"/>
      <c r="BI799" s="100"/>
      <c r="BJ799" s="1975"/>
      <c r="BK799" s="590"/>
    </row>
    <row r="800" spans="3:63" s="108" customFormat="1" x14ac:dyDescent="0.2">
      <c r="C800" s="590" t="str">
        <f t="shared" si="629"/>
        <v>Barb SPGRecría-Vacas Secas</v>
      </c>
      <c r="D800" s="597" t="str">
        <f t="shared" si="656"/>
        <v>Barb SPG</v>
      </c>
      <c r="E800" s="597"/>
      <c r="F800" s="1972">
        <f t="shared" si="644"/>
        <v>0</v>
      </c>
      <c r="G800" s="1972">
        <f t="shared" si="645"/>
        <v>0</v>
      </c>
      <c r="H800" s="1972">
        <f t="shared" si="646"/>
        <v>0</v>
      </c>
      <c r="I800" s="1972">
        <f t="shared" si="647"/>
        <v>0</v>
      </c>
      <c r="J800" s="1972">
        <f t="shared" si="648"/>
        <v>0</v>
      </c>
      <c r="K800" s="1972">
        <f t="shared" si="649"/>
        <v>0</v>
      </c>
      <c r="L800" s="1972">
        <f t="shared" si="650"/>
        <v>0</v>
      </c>
      <c r="M800" s="1972">
        <f t="shared" si="651"/>
        <v>0</v>
      </c>
      <c r="N800" s="1972">
        <f t="shared" si="652"/>
        <v>0</v>
      </c>
      <c r="O800" s="1972">
        <f t="shared" si="653"/>
        <v>0</v>
      </c>
      <c r="P800" s="1972">
        <f t="shared" si="654"/>
        <v>0</v>
      </c>
      <c r="Q800" s="1972">
        <f t="shared" si="655"/>
        <v>0</v>
      </c>
      <c r="R800" s="1984"/>
      <c r="S800" s="1973"/>
      <c r="T800" s="787"/>
      <c r="U800" s="787"/>
      <c r="V800" s="787"/>
      <c r="W800" s="787"/>
      <c r="X800" s="787"/>
      <c r="Y800" s="787"/>
      <c r="Z800" s="787"/>
      <c r="AA800" s="787"/>
      <c r="AB800" s="787"/>
      <c r="AC800" s="787"/>
      <c r="AD800" s="780"/>
      <c r="AE800" s="590"/>
      <c r="AF800" s="1973"/>
      <c r="AG800" s="1972"/>
      <c r="AH800" s="1972"/>
      <c r="AI800" s="1972"/>
      <c r="AJ800" s="1972"/>
      <c r="AK800" s="1972"/>
      <c r="AL800" s="1972"/>
      <c r="AM800" s="1972"/>
      <c r="AN800" s="1972"/>
      <c r="AO800" s="1972"/>
      <c r="AP800" s="1972"/>
      <c r="AQ800" s="1972"/>
      <c r="AR800" s="590"/>
      <c r="AS800" s="1973"/>
      <c r="AT800" s="787"/>
      <c r="AU800" s="787"/>
      <c r="AV800" s="787"/>
      <c r="AW800" s="787"/>
      <c r="AX800" s="787"/>
      <c r="AY800" s="787"/>
      <c r="AZ800" s="787"/>
      <c r="BA800" s="787"/>
      <c r="BB800" s="787"/>
      <c r="BC800" s="787"/>
      <c r="BD800" s="780"/>
      <c r="BE800" s="590"/>
      <c r="BF800" s="100"/>
      <c r="BG800" s="590"/>
      <c r="BH800" s="590"/>
      <c r="BI800" s="100"/>
      <c r="BJ800" s="1975"/>
      <c r="BK800" s="590"/>
    </row>
    <row r="801" spans="1:63" s="108" customFormat="1" x14ac:dyDescent="0.2">
      <c r="C801" s="590" t="str">
        <f t="shared" si="629"/>
        <v>MontesRecría-Vacas Secas</v>
      </c>
      <c r="D801" s="597" t="str">
        <f t="shared" si="656"/>
        <v>Montes</v>
      </c>
      <c r="E801" s="597"/>
      <c r="F801" s="1972">
        <f t="shared" si="644"/>
        <v>0</v>
      </c>
      <c r="G801" s="1972">
        <f t="shared" si="645"/>
        <v>0</v>
      </c>
      <c r="H801" s="1972">
        <f t="shared" si="646"/>
        <v>0</v>
      </c>
      <c r="I801" s="1972">
        <f t="shared" si="647"/>
        <v>0</v>
      </c>
      <c r="J801" s="1972">
        <f t="shared" si="648"/>
        <v>0</v>
      </c>
      <c r="K801" s="1972">
        <f t="shared" si="649"/>
        <v>0</v>
      </c>
      <c r="L801" s="1972">
        <f t="shared" si="650"/>
        <v>0</v>
      </c>
      <c r="M801" s="1972">
        <f t="shared" si="651"/>
        <v>0</v>
      </c>
      <c r="N801" s="1972">
        <f t="shared" si="652"/>
        <v>0</v>
      </c>
      <c r="O801" s="1972">
        <f t="shared" si="653"/>
        <v>0</v>
      </c>
      <c r="P801" s="1972">
        <f t="shared" si="654"/>
        <v>0</v>
      </c>
      <c r="Q801" s="1972">
        <f t="shared" si="655"/>
        <v>0</v>
      </c>
      <c r="R801" s="1984"/>
      <c r="S801" s="1973"/>
      <c r="T801" s="787"/>
      <c r="U801" s="787"/>
      <c r="V801" s="787"/>
      <c r="W801" s="787"/>
      <c r="X801" s="787"/>
      <c r="Y801" s="787"/>
      <c r="Z801" s="787"/>
      <c r="AA801" s="787"/>
      <c r="AB801" s="787"/>
      <c r="AC801" s="787"/>
      <c r="AD801" s="780"/>
      <c r="AE801" s="590"/>
      <c r="AF801" s="1973"/>
      <c r="AG801" s="1972"/>
      <c r="AH801" s="1972"/>
      <c r="AI801" s="1972"/>
      <c r="AJ801" s="1972"/>
      <c r="AK801" s="1972"/>
      <c r="AL801" s="1972"/>
      <c r="AM801" s="1972"/>
      <c r="AN801" s="1972"/>
      <c r="AO801" s="1972"/>
      <c r="AP801" s="1972"/>
      <c r="AQ801" s="1972"/>
      <c r="AR801" s="590"/>
      <c r="AS801" s="1973"/>
      <c r="AT801" s="787"/>
      <c r="AU801" s="787"/>
      <c r="AV801" s="787"/>
      <c r="AW801" s="787"/>
      <c r="AX801" s="787"/>
      <c r="AY801" s="787"/>
      <c r="AZ801" s="787"/>
      <c r="BA801" s="787"/>
      <c r="BB801" s="787"/>
      <c r="BC801" s="787"/>
      <c r="BD801" s="780"/>
      <c r="BE801" s="590"/>
      <c r="BF801" s="100"/>
      <c r="BG801" s="590"/>
      <c r="BH801" s="590"/>
      <c r="BI801" s="100"/>
      <c r="BJ801" s="1975"/>
      <c r="BK801" s="590"/>
    </row>
    <row r="802" spans="1:63" s="108" customFormat="1" x14ac:dyDescent="0.2">
      <c r="C802" s="590" t="str">
        <f t="shared" si="629"/>
        <v>Callejones, tamboRecría-Vacas Secas</v>
      </c>
      <c r="D802" s="597" t="str">
        <f t="shared" si="656"/>
        <v>Callejones, tambo</v>
      </c>
      <c r="E802" s="597"/>
      <c r="F802" s="1972">
        <f t="shared" si="644"/>
        <v>0</v>
      </c>
      <c r="G802" s="1972">
        <f t="shared" si="645"/>
        <v>0</v>
      </c>
      <c r="H802" s="1972">
        <f t="shared" si="646"/>
        <v>0</v>
      </c>
      <c r="I802" s="1972">
        <f t="shared" si="647"/>
        <v>0</v>
      </c>
      <c r="J802" s="1972">
        <f t="shared" si="648"/>
        <v>0</v>
      </c>
      <c r="K802" s="1972">
        <f t="shared" si="649"/>
        <v>0</v>
      </c>
      <c r="L802" s="1972">
        <f t="shared" si="650"/>
        <v>0</v>
      </c>
      <c r="M802" s="1972">
        <f t="shared" si="651"/>
        <v>0</v>
      </c>
      <c r="N802" s="1972">
        <f t="shared" si="652"/>
        <v>0</v>
      </c>
      <c r="O802" s="1972">
        <f t="shared" si="653"/>
        <v>0</v>
      </c>
      <c r="P802" s="1972">
        <f t="shared" si="654"/>
        <v>0</v>
      </c>
      <c r="Q802" s="1972">
        <f t="shared" si="655"/>
        <v>0</v>
      </c>
      <c r="R802" s="1984"/>
      <c r="S802" s="1973"/>
      <c r="T802" s="787"/>
      <c r="U802" s="787"/>
      <c r="V802" s="787"/>
      <c r="W802" s="787"/>
      <c r="X802" s="787"/>
      <c r="Y802" s="787"/>
      <c r="Z802" s="787"/>
      <c r="AA802" s="787"/>
      <c r="AB802" s="787"/>
      <c r="AC802" s="787"/>
      <c r="AD802" s="780"/>
      <c r="AE802" s="590"/>
      <c r="AF802" s="1973"/>
      <c r="AG802" s="1972"/>
      <c r="AH802" s="1972"/>
      <c r="AI802" s="1972"/>
      <c r="AJ802" s="1972"/>
      <c r="AK802" s="1972"/>
      <c r="AL802" s="1972"/>
      <c r="AM802" s="1972"/>
      <c r="AN802" s="1972"/>
      <c r="AO802" s="1972"/>
      <c r="AP802" s="1972"/>
      <c r="AQ802" s="1972"/>
      <c r="AR802" s="590"/>
      <c r="AS802" s="1973"/>
      <c r="AT802" s="787"/>
      <c r="AU802" s="787"/>
      <c r="AV802" s="787"/>
      <c r="AW802" s="787"/>
      <c r="AX802" s="787"/>
      <c r="AY802" s="787"/>
      <c r="AZ802" s="787"/>
      <c r="BA802" s="787"/>
      <c r="BB802" s="787"/>
      <c r="BC802" s="787"/>
      <c r="BD802" s="780"/>
      <c r="BE802" s="590"/>
      <c r="BF802" s="100"/>
      <c r="BG802" s="590"/>
      <c r="BH802" s="590"/>
      <c r="BI802" s="100"/>
      <c r="BJ802" s="1975"/>
      <c r="BK802" s="590"/>
    </row>
    <row r="803" spans="1:63" s="108" customFormat="1" x14ac:dyDescent="0.2">
      <c r="C803" s="590" t="str">
        <f t="shared" si="629"/>
        <v>BañadoRecría-Vacas Secas</v>
      </c>
      <c r="D803" s="597" t="str">
        <f t="shared" si="656"/>
        <v>Bañado</v>
      </c>
      <c r="E803" s="597"/>
      <c r="F803" s="1972">
        <f t="shared" si="644"/>
        <v>0</v>
      </c>
      <c r="G803" s="1972">
        <f t="shared" si="645"/>
        <v>0</v>
      </c>
      <c r="H803" s="1972">
        <f t="shared" si="646"/>
        <v>0</v>
      </c>
      <c r="I803" s="1972">
        <f t="shared" si="647"/>
        <v>0</v>
      </c>
      <c r="J803" s="1972">
        <f t="shared" si="648"/>
        <v>0</v>
      </c>
      <c r="K803" s="1972">
        <f t="shared" si="649"/>
        <v>0</v>
      </c>
      <c r="L803" s="1972">
        <f t="shared" si="650"/>
        <v>0</v>
      </c>
      <c r="M803" s="1972">
        <f t="shared" si="651"/>
        <v>0</v>
      </c>
      <c r="N803" s="1972">
        <f t="shared" si="652"/>
        <v>0</v>
      </c>
      <c r="O803" s="1972">
        <f t="shared" si="653"/>
        <v>0</v>
      </c>
      <c r="P803" s="1972">
        <f t="shared" si="654"/>
        <v>0</v>
      </c>
      <c r="Q803" s="1972">
        <f t="shared" si="655"/>
        <v>0</v>
      </c>
      <c r="R803" s="1984"/>
      <c r="S803" s="1973"/>
      <c r="T803" s="787"/>
      <c r="U803" s="787"/>
      <c r="V803" s="787"/>
      <c r="W803" s="787"/>
      <c r="X803" s="787"/>
      <c r="Y803" s="787"/>
      <c r="Z803" s="787"/>
      <c r="AA803" s="787"/>
      <c r="AB803" s="787"/>
      <c r="AC803" s="787"/>
      <c r="AD803" s="780"/>
      <c r="AE803" s="590"/>
      <c r="AF803" s="1973"/>
      <c r="AG803" s="1972"/>
      <c r="AH803" s="1972"/>
      <c r="AI803" s="1972"/>
      <c r="AJ803" s="1972"/>
      <c r="AK803" s="1972"/>
      <c r="AL803" s="1972"/>
      <c r="AM803" s="1972"/>
      <c r="AN803" s="1972"/>
      <c r="AO803" s="1972"/>
      <c r="AP803" s="1972"/>
      <c r="AQ803" s="1972"/>
      <c r="AR803" s="590"/>
      <c r="AS803" s="1973"/>
      <c r="AT803" s="787"/>
      <c r="AU803" s="787"/>
      <c r="AV803" s="787"/>
      <c r="AW803" s="787"/>
      <c r="AX803" s="787"/>
      <c r="AY803" s="787"/>
      <c r="AZ803" s="787"/>
      <c r="BA803" s="787"/>
      <c r="BB803" s="787"/>
      <c r="BC803" s="787"/>
      <c r="BD803" s="780"/>
      <c r="BE803" s="590"/>
      <c r="BF803" s="100"/>
      <c r="BG803" s="590"/>
      <c r="BH803" s="590"/>
      <c r="BI803" s="100"/>
      <c r="BJ803" s="1975"/>
      <c r="BK803" s="590"/>
    </row>
    <row r="804" spans="1:63" s="108" customFormat="1" x14ac:dyDescent="0.2">
      <c r="C804" s="590" t="str">
        <f t="shared" si="629"/>
        <v>0Recría-Vacas Secas</v>
      </c>
      <c r="D804" s="597">
        <f t="shared" si="656"/>
        <v>0</v>
      </c>
      <c r="E804" s="597"/>
      <c r="F804" s="1972">
        <f t="shared" si="644"/>
        <v>0</v>
      </c>
      <c r="G804" s="1972">
        <f t="shared" si="645"/>
        <v>0</v>
      </c>
      <c r="H804" s="1972">
        <f t="shared" si="646"/>
        <v>0</v>
      </c>
      <c r="I804" s="1972">
        <f t="shared" si="647"/>
        <v>0</v>
      </c>
      <c r="J804" s="1972">
        <f t="shared" si="648"/>
        <v>0</v>
      </c>
      <c r="K804" s="1972">
        <f t="shared" si="649"/>
        <v>0</v>
      </c>
      <c r="L804" s="1972">
        <f t="shared" si="650"/>
        <v>0</v>
      </c>
      <c r="M804" s="1972">
        <f t="shared" si="651"/>
        <v>0</v>
      </c>
      <c r="N804" s="1972">
        <f t="shared" si="652"/>
        <v>0</v>
      </c>
      <c r="O804" s="1972">
        <f t="shared" si="653"/>
        <v>0</v>
      </c>
      <c r="P804" s="1972">
        <f t="shared" si="654"/>
        <v>0</v>
      </c>
      <c r="Q804" s="1972">
        <f t="shared" si="655"/>
        <v>0</v>
      </c>
      <c r="R804" s="1984"/>
      <c r="S804" s="1973"/>
      <c r="T804" s="787"/>
      <c r="U804" s="787"/>
      <c r="V804" s="787"/>
      <c r="W804" s="787"/>
      <c r="X804" s="787"/>
      <c r="Y804" s="787"/>
      <c r="Z804" s="787"/>
      <c r="AA804" s="787"/>
      <c r="AB804" s="787"/>
      <c r="AC804" s="787"/>
      <c r="AD804" s="780"/>
      <c r="AE804" s="590"/>
      <c r="AF804" s="1973"/>
      <c r="AG804" s="1972"/>
      <c r="AH804" s="1972"/>
      <c r="AI804" s="1972"/>
      <c r="AJ804" s="1972"/>
      <c r="AK804" s="1972"/>
      <c r="AL804" s="1972"/>
      <c r="AM804" s="1972"/>
      <c r="AN804" s="1972"/>
      <c r="AO804" s="1972"/>
      <c r="AP804" s="1972"/>
      <c r="AQ804" s="1972"/>
      <c r="AR804" s="590"/>
      <c r="AS804" s="1973"/>
      <c r="AT804" s="787"/>
      <c r="AU804" s="787"/>
      <c r="AV804" s="787"/>
      <c r="AW804" s="787"/>
      <c r="AX804" s="787"/>
      <c r="AY804" s="787"/>
      <c r="AZ804" s="787"/>
      <c r="BA804" s="787"/>
      <c r="BB804" s="787"/>
      <c r="BC804" s="787"/>
      <c r="BD804" s="780"/>
      <c r="BE804" s="590"/>
      <c r="BF804" s="100"/>
      <c r="BG804" s="590"/>
      <c r="BH804" s="590"/>
      <c r="BI804" s="100"/>
      <c r="BJ804" s="1975"/>
      <c r="BK804" s="590"/>
    </row>
    <row r="805" spans="1:63" s="108" customFormat="1" x14ac:dyDescent="0.2">
      <c r="C805" s="590" t="str">
        <f t="shared" si="629"/>
        <v>xRecría-Vacas Secas</v>
      </c>
      <c r="D805" s="597" t="str">
        <f t="shared" si="656"/>
        <v>x</v>
      </c>
      <c r="E805" s="597"/>
      <c r="F805" s="1972">
        <f t="shared" si="644"/>
        <v>0</v>
      </c>
      <c r="G805" s="1972">
        <f t="shared" si="645"/>
        <v>0</v>
      </c>
      <c r="H805" s="1972">
        <f t="shared" si="646"/>
        <v>0</v>
      </c>
      <c r="I805" s="1972">
        <f t="shared" si="647"/>
        <v>0</v>
      </c>
      <c r="J805" s="1972">
        <f t="shared" si="648"/>
        <v>0</v>
      </c>
      <c r="K805" s="1972">
        <f t="shared" si="649"/>
        <v>0</v>
      </c>
      <c r="L805" s="1972">
        <f t="shared" si="650"/>
        <v>0</v>
      </c>
      <c r="M805" s="1972">
        <f t="shared" si="651"/>
        <v>0</v>
      </c>
      <c r="N805" s="1972">
        <f t="shared" si="652"/>
        <v>0</v>
      </c>
      <c r="O805" s="1972">
        <f t="shared" si="653"/>
        <v>0</v>
      </c>
      <c r="P805" s="1972">
        <f t="shared" si="654"/>
        <v>0</v>
      </c>
      <c r="Q805" s="1972">
        <f t="shared" si="655"/>
        <v>0</v>
      </c>
      <c r="R805" s="1984"/>
      <c r="S805" s="1973"/>
      <c r="T805" s="787"/>
      <c r="U805" s="787"/>
      <c r="V805" s="787"/>
      <c r="W805" s="787"/>
      <c r="X805" s="787"/>
      <c r="Y805" s="787"/>
      <c r="Z805" s="787"/>
      <c r="AA805" s="787"/>
      <c r="AB805" s="787"/>
      <c r="AC805" s="787"/>
      <c r="AD805" s="780"/>
      <c r="AE805" s="590"/>
      <c r="AF805" s="1973"/>
      <c r="AG805" s="1972"/>
      <c r="AH805" s="1972"/>
      <c r="AI805" s="1972"/>
      <c r="AJ805" s="1972"/>
      <c r="AK805" s="1972"/>
      <c r="AL805" s="1972"/>
      <c r="AM805" s="1972"/>
      <c r="AN805" s="1972"/>
      <c r="AO805" s="1972"/>
      <c r="AP805" s="1972"/>
      <c r="AQ805" s="1972"/>
      <c r="AR805" s="590"/>
      <c r="AS805" s="1973"/>
      <c r="AT805" s="787"/>
      <c r="AU805" s="787"/>
      <c r="AV805" s="787"/>
      <c r="AW805" s="787"/>
      <c r="AX805" s="787"/>
      <c r="AY805" s="787"/>
      <c r="AZ805" s="787"/>
      <c r="BA805" s="787"/>
      <c r="BB805" s="787"/>
      <c r="BC805" s="787"/>
      <c r="BD805" s="780"/>
      <c r="BE805" s="590"/>
      <c r="BF805" s="100"/>
      <c r="BG805" s="590"/>
      <c r="BH805" s="590"/>
      <c r="BI805" s="100"/>
      <c r="BJ805" s="1975"/>
      <c r="BK805" s="590"/>
    </row>
    <row r="806" spans="1:63" s="108" customFormat="1" x14ac:dyDescent="0.2">
      <c r="C806" s="590"/>
      <c r="D806" s="597" t="s">
        <v>2328</v>
      </c>
      <c r="E806" s="597"/>
      <c r="F806" s="1926">
        <f>+SUM(F798:F805)</f>
        <v>0</v>
      </c>
      <c r="G806" s="1926">
        <f t="shared" ref="G806:Q806" si="657">+SUM(G798:G805)</f>
        <v>0</v>
      </c>
      <c r="H806" s="1926">
        <f t="shared" si="657"/>
        <v>0</v>
      </c>
      <c r="I806" s="1926">
        <f t="shared" si="657"/>
        <v>0</v>
      </c>
      <c r="J806" s="1926">
        <f t="shared" si="657"/>
        <v>0</v>
      </c>
      <c r="K806" s="1926">
        <f t="shared" si="657"/>
        <v>0</v>
      </c>
      <c r="L806" s="1926">
        <f t="shared" si="657"/>
        <v>0</v>
      </c>
      <c r="M806" s="1926">
        <f t="shared" si="657"/>
        <v>0</v>
      </c>
      <c r="N806" s="1926">
        <f t="shared" si="657"/>
        <v>0</v>
      </c>
      <c r="O806" s="1926">
        <f t="shared" si="657"/>
        <v>0</v>
      </c>
      <c r="P806" s="1926">
        <f t="shared" si="657"/>
        <v>0</v>
      </c>
      <c r="Q806" s="1926">
        <f t="shared" si="657"/>
        <v>0</v>
      </c>
      <c r="R806" s="1984"/>
      <c r="S806" s="1973"/>
      <c r="T806" s="787"/>
      <c r="U806" s="787"/>
      <c r="V806" s="787"/>
      <c r="W806" s="787"/>
      <c r="X806" s="787"/>
      <c r="Y806" s="787"/>
      <c r="Z806" s="787"/>
      <c r="AA806" s="787"/>
      <c r="AB806" s="787"/>
      <c r="AC806" s="787"/>
      <c r="AD806" s="780"/>
      <c r="AE806" s="590"/>
      <c r="AF806" s="1973"/>
      <c r="AG806" s="1972"/>
      <c r="AH806" s="1972"/>
      <c r="AI806" s="1972"/>
      <c r="AJ806" s="1972"/>
      <c r="AK806" s="1972"/>
      <c r="AL806" s="1972"/>
      <c r="AM806" s="1972"/>
      <c r="AN806" s="1972"/>
      <c r="AO806" s="1972"/>
      <c r="AP806" s="1972"/>
      <c r="AQ806" s="1972"/>
      <c r="AR806" s="590"/>
      <c r="AS806" s="1973"/>
      <c r="AT806" s="787"/>
      <c r="AU806" s="787"/>
      <c r="AV806" s="787"/>
      <c r="AW806" s="787"/>
      <c r="AX806" s="787"/>
      <c r="AY806" s="787"/>
      <c r="AZ806" s="787"/>
      <c r="BA806" s="787"/>
      <c r="BB806" s="787"/>
      <c r="BC806" s="787"/>
      <c r="BD806" s="780"/>
      <c r="BE806" s="590"/>
      <c r="BF806" s="100"/>
      <c r="BG806" s="590"/>
      <c r="BH806" s="590"/>
      <c r="BI806" s="100"/>
      <c r="BJ806" s="1975"/>
      <c r="BK806" s="590"/>
    </row>
    <row r="807" spans="1:63" s="108" customFormat="1" x14ac:dyDescent="0.2">
      <c r="D807" s="597"/>
      <c r="E807" s="597"/>
      <c r="F807" s="1926"/>
      <c r="G807" s="1926"/>
      <c r="H807" s="1926"/>
      <c r="I807" s="1926"/>
      <c r="J807" s="1926"/>
      <c r="K807" s="1926"/>
      <c r="L807" s="1926"/>
      <c r="M807" s="1926"/>
      <c r="N807" s="1926"/>
      <c r="O807" s="1926"/>
      <c r="P807" s="1926"/>
      <c r="Q807" s="1926"/>
      <c r="R807" s="1986" t="s">
        <v>2046</v>
      </c>
      <c r="S807" s="1987">
        <f t="shared" ref="S807:AD807" si="658">SUM(S743:S783)</f>
        <v>0</v>
      </c>
      <c r="T807" s="1987">
        <f t="shared" si="658"/>
        <v>0</v>
      </c>
      <c r="U807" s="1987">
        <f t="shared" si="658"/>
        <v>0</v>
      </c>
      <c r="V807" s="1987">
        <f t="shared" si="658"/>
        <v>0</v>
      </c>
      <c r="W807" s="1987">
        <f t="shared" si="658"/>
        <v>0</v>
      </c>
      <c r="X807" s="1987">
        <f t="shared" si="658"/>
        <v>0</v>
      </c>
      <c r="Y807" s="1987">
        <f t="shared" si="658"/>
        <v>0</v>
      </c>
      <c r="Z807" s="1987">
        <f t="shared" si="658"/>
        <v>0</v>
      </c>
      <c r="AA807" s="1987">
        <f t="shared" si="658"/>
        <v>0</v>
      </c>
      <c r="AB807" s="1987">
        <f t="shared" si="658"/>
        <v>0</v>
      </c>
      <c r="AC807" s="1987">
        <f t="shared" si="658"/>
        <v>0</v>
      </c>
      <c r="AD807" s="1987">
        <f t="shared" si="658"/>
        <v>0</v>
      </c>
      <c r="AF807" s="1987">
        <f t="shared" ref="AF807:AQ807" si="659">SUM(AF743:AF783)</f>
        <v>0</v>
      </c>
      <c r="AG807" s="1988">
        <f t="shared" si="659"/>
        <v>0</v>
      </c>
      <c r="AH807" s="1988">
        <f t="shared" si="659"/>
        <v>0</v>
      </c>
      <c r="AI807" s="1988">
        <f t="shared" si="659"/>
        <v>0</v>
      </c>
      <c r="AJ807" s="1988">
        <f t="shared" si="659"/>
        <v>0</v>
      </c>
      <c r="AK807" s="1988">
        <f t="shared" si="659"/>
        <v>0</v>
      </c>
      <c r="AL807" s="1988">
        <f t="shared" si="659"/>
        <v>0</v>
      </c>
      <c r="AM807" s="1988">
        <f t="shared" si="659"/>
        <v>0</v>
      </c>
      <c r="AN807" s="1988">
        <f t="shared" si="659"/>
        <v>0</v>
      </c>
      <c r="AO807" s="1988">
        <f t="shared" si="659"/>
        <v>0</v>
      </c>
      <c r="AP807" s="1988">
        <f t="shared" si="659"/>
        <v>0</v>
      </c>
      <c r="AQ807" s="1988">
        <f t="shared" si="659"/>
        <v>0</v>
      </c>
      <c r="AS807" s="1987">
        <f t="shared" ref="AS807:BD807" si="660">SUM(AS743:AS783)</f>
        <v>0</v>
      </c>
      <c r="AT807" s="1987">
        <f t="shared" si="660"/>
        <v>0</v>
      </c>
      <c r="AU807" s="1987">
        <f t="shared" si="660"/>
        <v>0</v>
      </c>
      <c r="AV807" s="1987">
        <f t="shared" si="660"/>
        <v>0</v>
      </c>
      <c r="AW807" s="1987">
        <f t="shared" si="660"/>
        <v>0</v>
      </c>
      <c r="AX807" s="1987">
        <f t="shared" si="660"/>
        <v>0</v>
      </c>
      <c r="AY807" s="1987">
        <f t="shared" si="660"/>
        <v>0</v>
      </c>
      <c r="AZ807" s="1987">
        <f t="shared" si="660"/>
        <v>0</v>
      </c>
      <c r="BA807" s="1987">
        <f t="shared" si="660"/>
        <v>0</v>
      </c>
      <c r="BB807" s="1987">
        <f t="shared" si="660"/>
        <v>0</v>
      </c>
      <c r="BC807" s="1987">
        <f t="shared" si="660"/>
        <v>0</v>
      </c>
      <c r="BD807" s="1989">
        <f t="shared" si="660"/>
        <v>0</v>
      </c>
      <c r="BE807" s="590"/>
      <c r="BF807" s="590"/>
      <c r="BG807" s="590"/>
      <c r="BH807" s="590"/>
      <c r="BI807" s="1978"/>
      <c r="BJ807" s="1975"/>
      <c r="BK807" s="590"/>
    </row>
    <row r="808" spans="1:63" s="108" customFormat="1" ht="15.05" thickBot="1" x14ac:dyDescent="0.25">
      <c r="F808" s="423"/>
      <c r="G808" s="423"/>
      <c r="H808" s="423"/>
      <c r="I808" s="423"/>
      <c r="J808" s="423"/>
      <c r="K808" s="423"/>
      <c r="L808" s="423"/>
      <c r="M808" s="423"/>
      <c r="N808" s="423"/>
      <c r="O808" s="423"/>
      <c r="P808" s="423"/>
      <c r="Q808" s="423"/>
      <c r="R808" s="1990" t="s">
        <v>2047</v>
      </c>
      <c r="S808" s="1991">
        <f t="shared" ref="S808:AD808" si="661">SUM(S785:S797)</f>
        <v>0</v>
      </c>
      <c r="T808" s="1992">
        <f t="shared" si="661"/>
        <v>0</v>
      </c>
      <c r="U808" s="1992">
        <f t="shared" si="661"/>
        <v>0</v>
      </c>
      <c r="V808" s="1992">
        <f t="shared" si="661"/>
        <v>0</v>
      </c>
      <c r="W808" s="1992">
        <f t="shared" si="661"/>
        <v>0</v>
      </c>
      <c r="X808" s="1992">
        <f t="shared" si="661"/>
        <v>0</v>
      </c>
      <c r="Y808" s="1992">
        <f t="shared" si="661"/>
        <v>0</v>
      </c>
      <c r="Z808" s="1992">
        <f t="shared" si="661"/>
        <v>0</v>
      </c>
      <c r="AA808" s="1992">
        <f t="shared" si="661"/>
        <v>0</v>
      </c>
      <c r="AB808" s="1992">
        <f t="shared" si="661"/>
        <v>0</v>
      </c>
      <c r="AC808" s="1992">
        <f t="shared" si="661"/>
        <v>0</v>
      </c>
      <c r="AD808" s="1993">
        <f t="shared" si="661"/>
        <v>0</v>
      </c>
      <c r="AF808" s="1991">
        <f t="shared" ref="AF808:AQ808" si="662">SUM(AF785:AF797)</f>
        <v>0</v>
      </c>
      <c r="AG808" s="1992">
        <f t="shared" si="662"/>
        <v>0</v>
      </c>
      <c r="AH808" s="1992">
        <f t="shared" si="662"/>
        <v>0</v>
      </c>
      <c r="AI808" s="1992">
        <f t="shared" si="662"/>
        <v>0</v>
      </c>
      <c r="AJ808" s="1992">
        <f t="shared" si="662"/>
        <v>0</v>
      </c>
      <c r="AK808" s="1992">
        <f t="shared" si="662"/>
        <v>0</v>
      </c>
      <c r="AL808" s="1992">
        <f t="shared" si="662"/>
        <v>0</v>
      </c>
      <c r="AM808" s="1992">
        <f t="shared" si="662"/>
        <v>0</v>
      </c>
      <c r="AN808" s="1992">
        <f t="shared" si="662"/>
        <v>0</v>
      </c>
      <c r="AO808" s="1992">
        <f t="shared" si="662"/>
        <v>0</v>
      </c>
      <c r="AP808" s="1992">
        <f t="shared" si="662"/>
        <v>0</v>
      </c>
      <c r="AQ808" s="1992">
        <f t="shared" si="662"/>
        <v>0</v>
      </c>
      <c r="AS808" s="1991">
        <f t="shared" ref="AS808:BD808" si="663">SUM(AS785:AS797)</f>
        <v>0</v>
      </c>
      <c r="AT808" s="1992">
        <f t="shared" si="663"/>
        <v>0</v>
      </c>
      <c r="AU808" s="1992">
        <f t="shared" si="663"/>
        <v>0</v>
      </c>
      <c r="AV808" s="1992">
        <f t="shared" si="663"/>
        <v>0</v>
      </c>
      <c r="AW808" s="1992">
        <f t="shared" si="663"/>
        <v>0</v>
      </c>
      <c r="AX808" s="1992">
        <f t="shared" si="663"/>
        <v>0</v>
      </c>
      <c r="AY808" s="1992">
        <f t="shared" si="663"/>
        <v>0</v>
      </c>
      <c r="AZ808" s="1992">
        <f t="shared" si="663"/>
        <v>0</v>
      </c>
      <c r="BA808" s="1992">
        <f t="shared" si="663"/>
        <v>0</v>
      </c>
      <c r="BB808" s="1992">
        <f t="shared" si="663"/>
        <v>0</v>
      </c>
      <c r="BC808" s="1992">
        <f t="shared" si="663"/>
        <v>0</v>
      </c>
      <c r="BD808" s="1994">
        <f t="shared" si="663"/>
        <v>0</v>
      </c>
      <c r="BE808" s="590"/>
      <c r="BF808" s="590"/>
      <c r="BG808" s="590"/>
      <c r="BH808" s="590"/>
      <c r="BI808" s="1978"/>
      <c r="BJ808" s="1975"/>
      <c r="BK808" s="590"/>
    </row>
    <row r="809" spans="1:63" s="108" customFormat="1" x14ac:dyDescent="0.2">
      <c r="F809" s="423"/>
      <c r="G809" s="423"/>
      <c r="H809" s="423"/>
      <c r="I809" s="423"/>
      <c r="J809" s="423"/>
      <c r="K809" s="423"/>
      <c r="L809" s="423"/>
      <c r="M809" s="423"/>
      <c r="N809" s="423"/>
      <c r="O809" s="423"/>
      <c r="P809" s="423"/>
      <c r="Q809" s="423"/>
      <c r="R809" s="1349" t="s">
        <v>21</v>
      </c>
      <c r="S809" s="423">
        <f t="shared" ref="S809:AD809" si="664">+SUM(S807:S808)</f>
        <v>0</v>
      </c>
      <c r="T809" s="423">
        <f t="shared" si="664"/>
        <v>0</v>
      </c>
      <c r="U809" s="423">
        <f t="shared" si="664"/>
        <v>0</v>
      </c>
      <c r="V809" s="423">
        <f t="shared" si="664"/>
        <v>0</v>
      </c>
      <c r="W809" s="423">
        <f t="shared" si="664"/>
        <v>0</v>
      </c>
      <c r="X809" s="423">
        <f t="shared" si="664"/>
        <v>0</v>
      </c>
      <c r="Y809" s="423">
        <f t="shared" si="664"/>
        <v>0</v>
      </c>
      <c r="Z809" s="423">
        <f t="shared" si="664"/>
        <v>0</v>
      </c>
      <c r="AA809" s="423">
        <f t="shared" si="664"/>
        <v>0</v>
      </c>
      <c r="AB809" s="423">
        <f t="shared" si="664"/>
        <v>0</v>
      </c>
      <c r="AC809" s="423">
        <f t="shared" si="664"/>
        <v>0</v>
      </c>
      <c r="AD809" s="423">
        <f t="shared" si="664"/>
        <v>0</v>
      </c>
      <c r="AE809" s="108" t="s">
        <v>1586</v>
      </c>
      <c r="AF809" s="423">
        <f t="shared" ref="AF809:AQ809" si="665">+SUM(AF807:AF808)</f>
        <v>0</v>
      </c>
      <c r="AG809" s="423">
        <f t="shared" si="665"/>
        <v>0</v>
      </c>
      <c r="AH809" s="423">
        <f t="shared" si="665"/>
        <v>0</v>
      </c>
      <c r="AI809" s="423">
        <f t="shared" si="665"/>
        <v>0</v>
      </c>
      <c r="AJ809" s="423">
        <f t="shared" si="665"/>
        <v>0</v>
      </c>
      <c r="AK809" s="423">
        <f t="shared" si="665"/>
        <v>0</v>
      </c>
      <c r="AL809" s="423">
        <f t="shared" si="665"/>
        <v>0</v>
      </c>
      <c r="AM809" s="423">
        <f t="shared" si="665"/>
        <v>0</v>
      </c>
      <c r="AN809" s="423">
        <f t="shared" si="665"/>
        <v>0</v>
      </c>
      <c r="AO809" s="423">
        <f t="shared" si="665"/>
        <v>0</v>
      </c>
      <c r="AP809" s="423">
        <f t="shared" si="665"/>
        <v>0</v>
      </c>
      <c r="AQ809" s="423">
        <f t="shared" si="665"/>
        <v>0</v>
      </c>
      <c r="AR809" s="108" t="s">
        <v>1592</v>
      </c>
      <c r="AS809" s="423">
        <f t="shared" ref="AS809:BD809" si="666">+SUM(AS807:AS808)</f>
        <v>0</v>
      </c>
      <c r="AT809" s="423">
        <f t="shared" si="666"/>
        <v>0</v>
      </c>
      <c r="AU809" s="423">
        <f t="shared" si="666"/>
        <v>0</v>
      </c>
      <c r="AV809" s="423">
        <f t="shared" si="666"/>
        <v>0</v>
      </c>
      <c r="AW809" s="423">
        <f t="shared" si="666"/>
        <v>0</v>
      </c>
      <c r="AX809" s="423">
        <f t="shared" si="666"/>
        <v>0</v>
      </c>
      <c r="AY809" s="423">
        <f t="shared" si="666"/>
        <v>0</v>
      </c>
      <c r="AZ809" s="423">
        <f t="shared" si="666"/>
        <v>0</v>
      </c>
      <c r="BA809" s="423">
        <f t="shared" si="666"/>
        <v>0</v>
      </c>
      <c r="BB809" s="423">
        <f t="shared" si="666"/>
        <v>0</v>
      </c>
      <c r="BC809" s="423">
        <f t="shared" si="666"/>
        <v>0</v>
      </c>
      <c r="BD809" s="423">
        <f t="shared" si="666"/>
        <v>0</v>
      </c>
      <c r="BE809" s="590"/>
      <c r="BF809" s="590"/>
      <c r="BG809" s="590"/>
      <c r="BH809" s="590"/>
      <c r="BI809" s="1978"/>
      <c r="BJ809" s="1975"/>
      <c r="BK809" s="590"/>
    </row>
    <row r="810" spans="1:63" s="108" customFormat="1" ht="15.05" thickBot="1" x14ac:dyDescent="0.25">
      <c r="F810" s="423"/>
      <c r="G810" s="423"/>
      <c r="H810" s="423"/>
      <c r="I810" s="423"/>
      <c r="J810" s="423"/>
      <c r="K810" s="423"/>
      <c r="L810" s="423"/>
      <c r="M810" s="423"/>
      <c r="N810" s="423"/>
      <c r="O810" s="423"/>
      <c r="P810" s="423"/>
      <c r="Q810" s="423"/>
      <c r="R810" s="1349"/>
      <c r="S810" s="423"/>
      <c r="T810" s="423"/>
      <c r="U810" s="423"/>
      <c r="V810" s="423"/>
      <c r="W810" s="423"/>
      <c r="X810" s="423"/>
      <c r="Y810" s="423"/>
      <c r="Z810" s="423"/>
      <c r="AA810" s="423"/>
      <c r="AB810" s="423"/>
      <c r="AC810" s="423"/>
      <c r="AD810" s="423"/>
      <c r="AE810" s="108" t="s">
        <v>1588</v>
      </c>
      <c r="AF810" s="593" t="e">
        <f t="shared" ref="AF810:AQ810" si="667">+AF807/S807</f>
        <v>#DIV/0!</v>
      </c>
      <c r="AG810" s="593" t="e">
        <f t="shared" si="667"/>
        <v>#DIV/0!</v>
      </c>
      <c r="AH810" s="593" t="e">
        <f t="shared" si="667"/>
        <v>#DIV/0!</v>
      </c>
      <c r="AI810" s="593" t="e">
        <f t="shared" si="667"/>
        <v>#DIV/0!</v>
      </c>
      <c r="AJ810" s="593" t="e">
        <f t="shared" si="667"/>
        <v>#DIV/0!</v>
      </c>
      <c r="AK810" s="593" t="e">
        <f t="shared" si="667"/>
        <v>#DIV/0!</v>
      </c>
      <c r="AL810" s="593" t="e">
        <f t="shared" si="667"/>
        <v>#DIV/0!</v>
      </c>
      <c r="AM810" s="593" t="e">
        <f t="shared" si="667"/>
        <v>#DIV/0!</v>
      </c>
      <c r="AN810" s="593" t="e">
        <f t="shared" si="667"/>
        <v>#DIV/0!</v>
      </c>
      <c r="AO810" s="593" t="e">
        <f t="shared" si="667"/>
        <v>#DIV/0!</v>
      </c>
      <c r="AP810" s="593" t="e">
        <f t="shared" si="667"/>
        <v>#DIV/0!</v>
      </c>
      <c r="AQ810" s="593" t="e">
        <f t="shared" si="667"/>
        <v>#DIV/0!</v>
      </c>
      <c r="AR810" s="108" t="s">
        <v>1593</v>
      </c>
      <c r="AS810" s="1997" t="e">
        <f t="shared" ref="AS810:BD810" si="668">+AS807/S807</f>
        <v>#DIV/0!</v>
      </c>
      <c r="AT810" s="1997" t="e">
        <f t="shared" si="668"/>
        <v>#DIV/0!</v>
      </c>
      <c r="AU810" s="1997" t="e">
        <f t="shared" si="668"/>
        <v>#DIV/0!</v>
      </c>
      <c r="AV810" s="1997" t="e">
        <f t="shared" si="668"/>
        <v>#DIV/0!</v>
      </c>
      <c r="AW810" s="1997" t="e">
        <f t="shared" si="668"/>
        <v>#DIV/0!</v>
      </c>
      <c r="AX810" s="1997" t="e">
        <f t="shared" si="668"/>
        <v>#DIV/0!</v>
      </c>
      <c r="AY810" s="1997" t="e">
        <f t="shared" si="668"/>
        <v>#DIV/0!</v>
      </c>
      <c r="AZ810" s="1997" t="e">
        <f t="shared" si="668"/>
        <v>#DIV/0!</v>
      </c>
      <c r="BA810" s="1997" t="e">
        <f t="shared" si="668"/>
        <v>#DIV/0!</v>
      </c>
      <c r="BB810" s="1997" t="e">
        <f t="shared" si="668"/>
        <v>#DIV/0!</v>
      </c>
      <c r="BC810" s="1997" t="e">
        <f t="shared" si="668"/>
        <v>#DIV/0!</v>
      </c>
      <c r="BD810" s="1997" t="e">
        <f t="shared" si="668"/>
        <v>#DIV/0!</v>
      </c>
      <c r="BE810" s="590"/>
      <c r="BF810" s="590"/>
      <c r="BG810" s="590"/>
      <c r="BH810" s="590"/>
      <c r="BI810" s="1978"/>
      <c r="BJ810" s="1975"/>
      <c r="BK810" s="590"/>
    </row>
    <row r="811" spans="1:63" s="108" customFormat="1" ht="15.05" thickBot="1" x14ac:dyDescent="0.25">
      <c r="A811" s="767"/>
      <c r="B811" s="110"/>
      <c r="C811" s="100"/>
      <c r="D811" s="1955" t="s">
        <v>1456</v>
      </c>
      <c r="E811" s="1956"/>
      <c r="F811" s="1957"/>
      <c r="G811" s="1956"/>
      <c r="H811" s="1956"/>
      <c r="I811" s="1956"/>
      <c r="J811" s="1956"/>
      <c r="K811" s="1956"/>
      <c r="L811" s="1956"/>
      <c r="M811" s="1956"/>
      <c r="N811" s="1956"/>
      <c r="O811" s="1957"/>
      <c r="P811" s="1956"/>
      <c r="Q811" s="1958"/>
      <c r="R811" s="1956"/>
      <c r="S811" s="1959"/>
      <c r="T811" s="1960"/>
      <c r="U811" s="1960"/>
      <c r="V811" s="1960"/>
      <c r="W811" s="1960"/>
      <c r="X811" s="1960"/>
      <c r="Y811" s="1960"/>
      <c r="Z811" s="1960"/>
      <c r="AA811" s="1960"/>
      <c r="AB811" s="1960"/>
      <c r="AC811" s="1960"/>
      <c r="AD811" s="1960"/>
      <c r="AE811" s="1960"/>
      <c r="AF811" s="1960"/>
      <c r="AG811" s="1960"/>
      <c r="AH811" s="1960"/>
      <c r="AI811" s="1960"/>
      <c r="AJ811" s="1960"/>
      <c r="AK811" s="1960"/>
      <c r="AL811" s="1960"/>
      <c r="AM811" s="1960"/>
      <c r="AN811" s="1960"/>
      <c r="AO811" s="1960"/>
      <c r="AP811" s="1960"/>
      <c r="AQ811" s="1960"/>
      <c r="AR811" s="1960"/>
      <c r="AS811" s="1960"/>
      <c r="AT811" s="1960"/>
      <c r="AU811" s="1960"/>
      <c r="AV811" s="1960"/>
      <c r="AW811" s="1960"/>
      <c r="AX811" s="1960"/>
      <c r="AY811" s="1960"/>
      <c r="AZ811" s="1960"/>
      <c r="BA811" s="1960"/>
      <c r="BB811" s="1960"/>
      <c r="BC811" s="1960"/>
      <c r="BD811" s="1961"/>
      <c r="BE811" s="6"/>
      <c r="BF811" s="6"/>
      <c r="BG811" s="6"/>
      <c r="BH811" s="6"/>
      <c r="BI811" s="6"/>
    </row>
    <row r="812" spans="1:63" s="108" customFormat="1" x14ac:dyDescent="0.2">
      <c r="A812" s="767"/>
      <c r="B812" s="110"/>
      <c r="C812" s="2188">
        <v>1030</v>
      </c>
      <c r="D812" s="597" t="s">
        <v>1973</v>
      </c>
      <c r="E812" s="590"/>
      <c r="F812" s="111"/>
      <c r="G812" s="590"/>
      <c r="H812" s="590"/>
      <c r="I812" s="590"/>
      <c r="J812" s="590"/>
      <c r="K812" s="590"/>
      <c r="L812" s="590"/>
      <c r="M812" s="590"/>
      <c r="N812" s="590"/>
      <c r="O812" s="111"/>
      <c r="P812" s="590"/>
      <c r="Q812" s="590"/>
      <c r="R812" s="2188">
        <v>1031</v>
      </c>
      <c r="S812" s="1995" t="s">
        <v>1974</v>
      </c>
      <c r="T812" s="6"/>
      <c r="U812" s="6"/>
      <c r="V812" s="6"/>
      <c r="W812" s="6"/>
      <c r="X812" s="6"/>
      <c r="Y812" s="6"/>
      <c r="Z812" s="6"/>
      <c r="AA812" s="6"/>
      <c r="AB812" s="6"/>
      <c r="AC812" s="6"/>
      <c r="AD812" s="6"/>
      <c r="AE812" s="2188">
        <v>1032</v>
      </c>
      <c r="AF812" s="6" t="s">
        <v>1975</v>
      </c>
      <c r="AG812" s="6"/>
      <c r="AH812" s="6"/>
      <c r="AI812" s="6"/>
      <c r="AJ812" s="6"/>
      <c r="AK812" s="6"/>
      <c r="AL812" s="6"/>
      <c r="AM812" s="6"/>
      <c r="AN812" s="6"/>
      <c r="AO812" s="6"/>
      <c r="AP812" s="6"/>
      <c r="AQ812" s="6"/>
      <c r="AR812" s="2188">
        <v>1033</v>
      </c>
      <c r="AS812" s="6" t="s">
        <v>1976</v>
      </c>
      <c r="AT812" s="6"/>
      <c r="AU812" s="6"/>
      <c r="AV812" s="6"/>
      <c r="AW812" s="6"/>
      <c r="AX812" s="6"/>
      <c r="AY812" s="6"/>
      <c r="AZ812" s="6"/>
      <c r="BA812" s="6"/>
      <c r="BB812" s="6"/>
      <c r="BC812" s="6"/>
      <c r="BD812" s="6"/>
      <c r="BE812" s="6"/>
      <c r="BF812" s="6"/>
      <c r="BG812" s="6"/>
      <c r="BH812" s="6"/>
      <c r="BI812" s="6"/>
    </row>
    <row r="813" spans="1:63" s="108" customFormat="1" x14ac:dyDescent="0.2">
      <c r="A813" s="743"/>
      <c r="F813" s="1998" t="str">
        <f t="shared" ref="F813:Q813" si="669">G400</f>
        <v>Ene</v>
      </c>
      <c r="G813" s="1982" t="str">
        <f t="shared" si="669"/>
        <v>Feb</v>
      </c>
      <c r="H813" s="1982" t="str">
        <f t="shared" si="669"/>
        <v>Mar</v>
      </c>
      <c r="I813" s="1982" t="str">
        <f>J400</f>
        <v>Abr</v>
      </c>
      <c r="J813" s="1982" t="str">
        <f t="shared" si="669"/>
        <v>May</v>
      </c>
      <c r="K813" s="1982" t="str">
        <f t="shared" si="669"/>
        <v>Jun</v>
      </c>
      <c r="L813" s="1982" t="str">
        <f t="shared" si="669"/>
        <v>Jul</v>
      </c>
      <c r="M813" s="1982" t="str">
        <f t="shared" si="669"/>
        <v>Ago</v>
      </c>
      <c r="N813" s="1982" t="str">
        <f t="shared" si="669"/>
        <v>Set</v>
      </c>
      <c r="O813" s="1982" t="str">
        <f t="shared" si="669"/>
        <v>Oct</v>
      </c>
      <c r="P813" s="1982" t="str">
        <f t="shared" si="669"/>
        <v>Nov</v>
      </c>
      <c r="Q813" s="1983" t="str">
        <f t="shared" si="669"/>
        <v>Dic</v>
      </c>
      <c r="AF813" s="1981"/>
      <c r="AG813" s="1982"/>
      <c r="AH813" s="1982"/>
      <c r="AI813" s="1982"/>
      <c r="AJ813" s="1982"/>
      <c r="AK813" s="1982"/>
      <c r="AL813" s="1982"/>
      <c r="AM813" s="1982"/>
      <c r="AN813" s="1982"/>
      <c r="AO813" s="1982"/>
      <c r="AP813" s="1982"/>
      <c r="AQ813" s="1982"/>
      <c r="AS813" s="1981"/>
      <c r="AT813" s="1982"/>
      <c r="AU813" s="1982"/>
      <c r="AV813" s="1982"/>
      <c r="AW813" s="1982"/>
      <c r="AX813" s="1982"/>
      <c r="AY813" s="1982"/>
      <c r="AZ813" s="1982"/>
      <c r="BA813" s="1982"/>
      <c r="BB813" s="1982"/>
      <c r="BC813" s="1982"/>
      <c r="BD813" s="769"/>
      <c r="BE813" s="590"/>
      <c r="BF813" s="100"/>
      <c r="BG813" s="100"/>
      <c r="BH813" s="100"/>
      <c r="BI813" s="590"/>
      <c r="BJ813" s="590"/>
      <c r="BK813" s="590"/>
    </row>
    <row r="814" spans="1:63" s="108" customFormat="1" x14ac:dyDescent="0.2">
      <c r="C814" s="1971" t="str">
        <f t="shared" ref="C814:C845" si="670">D814&amp;$D$640</f>
        <v>CNGanadería</v>
      </c>
      <c r="D814" s="1857" t="str">
        <f t="shared" ref="D814:D845" si="671">+D743</f>
        <v>CN</v>
      </c>
      <c r="E814" s="590"/>
      <c r="F814" s="1972">
        <f t="shared" ref="F814:Q814" si="672">IF($D814&lt;&gt;0,SUMIFS($C$9:$C$98,$D$9:$D$98,$D$640,G$9:G$98,$D814),0)</f>
        <v>0</v>
      </c>
      <c r="G814" s="1972">
        <f t="shared" si="672"/>
        <v>0</v>
      </c>
      <c r="H814" s="1972">
        <f t="shared" si="672"/>
        <v>0</v>
      </c>
      <c r="I814" s="1972">
        <f>IF($D814&lt;&gt;0,SUMIFS($C$9:$C$98,$D$9:$D$98,$D$640,J$9:J$98,$D814),0)</f>
        <v>0</v>
      </c>
      <c r="J814" s="1972">
        <f t="shared" si="672"/>
        <v>0</v>
      </c>
      <c r="K814" s="1972">
        <f t="shared" si="672"/>
        <v>0</v>
      </c>
      <c r="L814" s="1972">
        <f t="shared" si="672"/>
        <v>0</v>
      </c>
      <c r="M814" s="1972">
        <f t="shared" si="672"/>
        <v>0</v>
      </c>
      <c r="N814" s="1972">
        <f t="shared" si="672"/>
        <v>0</v>
      </c>
      <c r="O814" s="1972">
        <f t="shared" si="672"/>
        <v>0</v>
      </c>
      <c r="P814" s="1972">
        <f t="shared" si="672"/>
        <v>0</v>
      </c>
      <c r="Q814" s="1972">
        <f t="shared" si="672"/>
        <v>0</v>
      </c>
      <c r="S814" s="1973">
        <f>SUMIF(G$401:G$490,$C814,$S$401:$S$490)*Forrajes!BG10*G$99</f>
        <v>0</v>
      </c>
      <c r="T814" s="1972">
        <f>SUMIF(H$401:H$490,$C814,$S$401:$S$490)*Forrajes!BH10*H$99</f>
        <v>0</v>
      </c>
      <c r="U814" s="1972">
        <f>SUMIF(I$401:I$490,$C814,$S$401:$S$490)*Forrajes!BI10*I$99</f>
        <v>0</v>
      </c>
      <c r="V814" s="1972">
        <f>SUMIF(J$401:J$490,$C814,$S$401:$S$490)*Forrajes!BJ10*J$99</f>
        <v>0</v>
      </c>
      <c r="W814" s="1972">
        <f>SUMIF(K$401:K$490,$C814,$S$401:$S$490)*Forrajes!BK10*K$99</f>
        <v>0</v>
      </c>
      <c r="X814" s="1972">
        <f>SUMIF(L$401:L$490,$C814,$S$401:$S$490)*Forrajes!BL10*L$99</f>
        <v>0</v>
      </c>
      <c r="Y814" s="1972">
        <f>SUMIF(M$401:M$490,$C814,$S$401:$S$490)*Forrajes!BM10*M$99</f>
        <v>0</v>
      </c>
      <c r="Z814" s="1972">
        <f>SUMIF(N$401:N$490,$C814,$S$401:$S$490)*Forrajes!BN10*N$99</f>
        <v>0</v>
      </c>
      <c r="AA814" s="1972">
        <f>SUMIF(O$401:O$490,$C814,$S$401:$S$490)*Forrajes!BO10*O$99</f>
        <v>0</v>
      </c>
      <c r="AB814" s="1972">
        <f>SUMIF(P$401:P$490,$C814,$S$401:$S$490)*Forrajes!BP10*P$99</f>
        <v>0</v>
      </c>
      <c r="AC814" s="1972">
        <f>SUMIF(Q$401:Q$490,$C814,$S$401:$S$490)*Forrajes!BQ10*Q$99</f>
        <v>0</v>
      </c>
      <c r="AD814" s="1974">
        <f>SUMIF(R$401:R$490,$C814,$S$401:$S$490)*Forrajes!BR10*R$99</f>
        <v>0</v>
      </c>
      <c r="AF814" s="1973">
        <f>Forrajes!BU10*S814</f>
        <v>0</v>
      </c>
      <c r="AG814" s="1972">
        <f>Forrajes!BV10*T814</f>
        <v>0</v>
      </c>
      <c r="AH814" s="1972">
        <f>Forrajes!BW10*U814</f>
        <v>0</v>
      </c>
      <c r="AI814" s="1972">
        <f>Forrajes!BX10*V814</f>
        <v>0</v>
      </c>
      <c r="AJ814" s="1972">
        <f>Forrajes!BY10*W814</f>
        <v>0</v>
      </c>
      <c r="AK814" s="1972">
        <f>Forrajes!BZ10*X814</f>
        <v>0</v>
      </c>
      <c r="AL814" s="1972">
        <f>Forrajes!CA10*Y814</f>
        <v>0</v>
      </c>
      <c r="AM814" s="1972">
        <f>Forrajes!CB10*Z814</f>
        <v>0</v>
      </c>
      <c r="AN814" s="1972">
        <f>Forrajes!CC10*AA814</f>
        <v>0</v>
      </c>
      <c r="AO814" s="1972">
        <f>Forrajes!CD10*AB814</f>
        <v>0</v>
      </c>
      <c r="AP814" s="1972">
        <f>Forrajes!CE10*AC814</f>
        <v>0</v>
      </c>
      <c r="AQ814" s="1972">
        <f>Forrajes!CF10*AD814</f>
        <v>0</v>
      </c>
      <c r="AS814" s="1973">
        <f>Forrajes!CI10*S814</f>
        <v>0</v>
      </c>
      <c r="AT814" s="1972">
        <f>Forrajes!CJ10*T814</f>
        <v>0</v>
      </c>
      <c r="AU814" s="1972">
        <f>Forrajes!CK10*U814</f>
        <v>0</v>
      </c>
      <c r="AV814" s="1972">
        <f>Forrajes!CL10*V814</f>
        <v>0</v>
      </c>
      <c r="AW814" s="1972">
        <f>Forrajes!CM10*W814</f>
        <v>0</v>
      </c>
      <c r="AX814" s="1972">
        <f>Forrajes!CN10*X814</f>
        <v>0</v>
      </c>
      <c r="AY814" s="1972">
        <f>Forrajes!CO10*Y814</f>
        <v>0</v>
      </c>
      <c r="AZ814" s="1972">
        <f>Forrajes!CP10*Z814</f>
        <v>0</v>
      </c>
      <c r="BA814" s="1972">
        <f>Forrajes!CQ10*AA814</f>
        <v>0</v>
      </c>
      <c r="BB814" s="1972">
        <f>Forrajes!CR10*AB814</f>
        <v>0</v>
      </c>
      <c r="BC814" s="1972">
        <f>Forrajes!CS10*AC814</f>
        <v>0</v>
      </c>
      <c r="BD814" s="786">
        <f>Forrajes!CT10*AD814</f>
        <v>0</v>
      </c>
      <c r="BE814" s="590"/>
      <c r="BF814" s="100"/>
      <c r="BG814" s="590"/>
      <c r="BH814" s="590"/>
      <c r="BI814" s="100"/>
      <c r="BJ814" s="1975"/>
      <c r="BK814" s="590"/>
    </row>
    <row r="815" spans="1:63" s="108" customFormat="1" x14ac:dyDescent="0.2">
      <c r="C815" s="1971" t="str">
        <f t="shared" si="670"/>
        <v>CNMGanadería</v>
      </c>
      <c r="D815" s="1857" t="str">
        <f t="shared" si="671"/>
        <v>CNM</v>
      </c>
      <c r="E815" s="590"/>
      <c r="F815" s="1972">
        <f t="shared" ref="F815:Q815" si="673">IF($D815&lt;&gt;0,SUMIFS($C$9:$C$98,$D$9:$D$98,$D$640,G$9:G$98,$D815),0)</f>
        <v>0</v>
      </c>
      <c r="G815" s="1972">
        <f t="shared" si="673"/>
        <v>0</v>
      </c>
      <c r="H815" s="1972">
        <f t="shared" si="673"/>
        <v>0</v>
      </c>
      <c r="I815" s="1972">
        <f>IF($D815&lt;&gt;0,SUMIFS($C$9:$C$98,$D$9:$D$98,$D$640,J$9:J$98,$D815),0)</f>
        <v>0</v>
      </c>
      <c r="J815" s="1972">
        <f t="shared" si="673"/>
        <v>0</v>
      </c>
      <c r="K815" s="1972">
        <f t="shared" si="673"/>
        <v>0</v>
      </c>
      <c r="L815" s="1972">
        <f t="shared" si="673"/>
        <v>0</v>
      </c>
      <c r="M815" s="1972">
        <f t="shared" si="673"/>
        <v>0</v>
      </c>
      <c r="N815" s="1972">
        <f t="shared" si="673"/>
        <v>0</v>
      </c>
      <c r="O815" s="1972">
        <f t="shared" si="673"/>
        <v>0</v>
      </c>
      <c r="P815" s="1972">
        <f t="shared" si="673"/>
        <v>0</v>
      </c>
      <c r="Q815" s="1972">
        <f t="shared" si="673"/>
        <v>0</v>
      </c>
      <c r="S815" s="1976">
        <f>SUMIF(G$401:G$490,$C815,$S$401:$S$490)*Forrajes!BG11*G$99</f>
        <v>0</v>
      </c>
      <c r="T815" s="668">
        <f>SUMIF(H$401:H$490,$C815,$S$401:$S$490)*Forrajes!BH11*H$99</f>
        <v>0</v>
      </c>
      <c r="U815" s="668">
        <f>SUMIF(I$401:I$490,$C815,$S$401:$S$490)*Forrajes!BI11*I$99</f>
        <v>0</v>
      </c>
      <c r="V815" s="668">
        <f>SUMIF(J$401:J$490,$C815,$S$401:$S$490)*Forrajes!BJ11*J$99</f>
        <v>0</v>
      </c>
      <c r="W815" s="668">
        <f>SUMIF(K$401:K$490,$C815,$S$401:$S$490)*Forrajes!BK11*K$99</f>
        <v>0</v>
      </c>
      <c r="X815" s="668">
        <f>SUMIF(L$401:L$490,$C815,$S$401:$S$490)*Forrajes!BL11*L$99</f>
        <v>0</v>
      </c>
      <c r="Y815" s="668">
        <f>SUMIF(M$401:M$490,$C815,$S$401:$S$490)*Forrajes!BM11*M$99</f>
        <v>0</v>
      </c>
      <c r="Z815" s="668">
        <f>SUMIF(N$401:N$490,$C815,$S$401:$S$490)*Forrajes!BN11*N$99</f>
        <v>0</v>
      </c>
      <c r="AA815" s="668">
        <f>SUMIF(O$401:O$490,$C815,$S$401:$S$490)*Forrajes!BO11*O$99</f>
        <v>0</v>
      </c>
      <c r="AB815" s="668">
        <f>SUMIF(P$401:P$490,$C815,$S$401:$S$490)*Forrajes!BP11*P$99</f>
        <v>0</v>
      </c>
      <c r="AC815" s="668">
        <f>SUMIF(Q$401:Q$490,$C815,$S$401:$S$490)*Forrajes!BQ11*Q$99</f>
        <v>0</v>
      </c>
      <c r="AD815" s="1977">
        <f>SUMIF(R$401:R$490,$C815,$S$401:$S$490)*Forrajes!BR11*R$99</f>
        <v>0</v>
      </c>
      <c r="AF815" s="1976">
        <f>Forrajes!BU11*S815</f>
        <v>0</v>
      </c>
      <c r="AG815" s="668">
        <f>Forrajes!BV11*T815</f>
        <v>0</v>
      </c>
      <c r="AH815" s="668">
        <f>Forrajes!BW11*U815</f>
        <v>0</v>
      </c>
      <c r="AI815" s="668">
        <f>Forrajes!BX11*V815</f>
        <v>0</v>
      </c>
      <c r="AJ815" s="668">
        <f>Forrajes!BY11*W815</f>
        <v>0</v>
      </c>
      <c r="AK815" s="668">
        <f>Forrajes!BZ11*X815</f>
        <v>0</v>
      </c>
      <c r="AL815" s="668">
        <f>Forrajes!CA11*Y815</f>
        <v>0</v>
      </c>
      <c r="AM815" s="668">
        <f>Forrajes!CB11*Z815</f>
        <v>0</v>
      </c>
      <c r="AN815" s="668">
        <f>Forrajes!CC11*AA815</f>
        <v>0</v>
      </c>
      <c r="AO815" s="668">
        <f>Forrajes!CD11*AB815</f>
        <v>0</v>
      </c>
      <c r="AP815" s="668">
        <f>Forrajes!CE11*AC815</f>
        <v>0</v>
      </c>
      <c r="AQ815" s="668">
        <f>Forrajes!CF11*AD815</f>
        <v>0</v>
      </c>
      <c r="AS815" s="1976">
        <f>Forrajes!CI11*S815</f>
        <v>0</v>
      </c>
      <c r="AT815" s="668">
        <f>Forrajes!CJ11*T815</f>
        <v>0</v>
      </c>
      <c r="AU815" s="668">
        <f>Forrajes!CK11*U815</f>
        <v>0</v>
      </c>
      <c r="AV815" s="668">
        <f>Forrajes!CL11*V815</f>
        <v>0</v>
      </c>
      <c r="AW815" s="668">
        <f>Forrajes!CM11*W815</f>
        <v>0</v>
      </c>
      <c r="AX815" s="668">
        <f>Forrajes!CN11*X815</f>
        <v>0</v>
      </c>
      <c r="AY815" s="668">
        <f>Forrajes!CO11*Y815</f>
        <v>0</v>
      </c>
      <c r="AZ815" s="668">
        <f>Forrajes!CP11*Z815</f>
        <v>0</v>
      </c>
      <c r="BA815" s="668">
        <f>Forrajes!CQ11*AA815</f>
        <v>0</v>
      </c>
      <c r="BB815" s="668">
        <f>Forrajes!CR11*AB815</f>
        <v>0</v>
      </c>
      <c r="BC815" s="668">
        <f>Forrajes!CS11*AC815</f>
        <v>0</v>
      </c>
      <c r="BD815" s="1818">
        <f>Forrajes!CT11*AD815</f>
        <v>0</v>
      </c>
      <c r="BE815" s="590"/>
      <c r="BF815" s="100"/>
      <c r="BG815" s="590"/>
      <c r="BH815" s="590"/>
      <c r="BI815" s="1978"/>
      <c r="BJ815" s="1975"/>
      <c r="BK815" s="590"/>
    </row>
    <row r="816" spans="1:63" s="108" customFormat="1" x14ac:dyDescent="0.2">
      <c r="C816" s="1971" t="str">
        <f t="shared" si="670"/>
        <v>CN bajoGanadería</v>
      </c>
      <c r="D816" s="1857" t="str">
        <f t="shared" si="671"/>
        <v>CN bajo</v>
      </c>
      <c r="E816" s="590"/>
      <c r="F816" s="1972">
        <f t="shared" ref="F816:Q816" si="674">IF($D816&lt;&gt;0,SUMIFS($C$9:$C$98,$D$9:$D$98,$D$640,G$9:G$98,$D816),0)</f>
        <v>0</v>
      </c>
      <c r="G816" s="1972">
        <f t="shared" si="674"/>
        <v>0</v>
      </c>
      <c r="H816" s="1972">
        <f t="shared" si="674"/>
        <v>0</v>
      </c>
      <c r="I816" s="1972">
        <f>IF($D816&lt;&gt;0,SUMIFS($C$9:$C$98,$D$9:$D$98,$D$640,J$9:J$98,$D816),0)</f>
        <v>0</v>
      </c>
      <c r="J816" s="1972">
        <f t="shared" si="674"/>
        <v>0</v>
      </c>
      <c r="K816" s="1972">
        <f t="shared" si="674"/>
        <v>0</v>
      </c>
      <c r="L816" s="1972">
        <f t="shared" si="674"/>
        <v>0</v>
      </c>
      <c r="M816" s="1972">
        <f t="shared" si="674"/>
        <v>0</v>
      </c>
      <c r="N816" s="1972">
        <f t="shared" si="674"/>
        <v>0</v>
      </c>
      <c r="O816" s="1972">
        <f t="shared" si="674"/>
        <v>0</v>
      </c>
      <c r="P816" s="1972">
        <f t="shared" si="674"/>
        <v>0</v>
      </c>
      <c r="Q816" s="1972">
        <f t="shared" si="674"/>
        <v>0</v>
      </c>
      <c r="S816" s="1976">
        <f>SUMIF(G$401:G$490,$C816,$S$401:$S$490)*Forrajes!BG12*G$99</f>
        <v>0</v>
      </c>
      <c r="T816" s="668">
        <f>SUMIF(H$401:H$490,$C816,$S$401:$S$490)*Forrajes!BH12*H$99</f>
        <v>0</v>
      </c>
      <c r="U816" s="668">
        <f>SUMIF(I$401:I$490,$C816,$S$401:$S$490)*Forrajes!BI12*I$99</f>
        <v>0</v>
      </c>
      <c r="V816" s="668">
        <f>SUMIF(J$401:J$490,$C816,$S$401:$S$490)*Forrajes!BJ12*J$99</f>
        <v>0</v>
      </c>
      <c r="W816" s="668">
        <f>SUMIF(K$401:K$490,$C816,$S$401:$S$490)*Forrajes!BK12*K$99</f>
        <v>0</v>
      </c>
      <c r="X816" s="668">
        <f>SUMIF(L$401:L$490,$C816,$S$401:$S$490)*Forrajes!BL12*L$99</f>
        <v>0</v>
      </c>
      <c r="Y816" s="668">
        <f>SUMIF(M$401:M$490,$C816,$S$401:$S$490)*Forrajes!BM12*M$99</f>
        <v>0</v>
      </c>
      <c r="Z816" s="668">
        <f>SUMIF(N$401:N$490,$C816,$S$401:$S$490)*Forrajes!BN12*N$99</f>
        <v>0</v>
      </c>
      <c r="AA816" s="668">
        <f>SUMIF(O$401:O$490,$C816,$S$401:$S$490)*Forrajes!BO12*O$99</f>
        <v>0</v>
      </c>
      <c r="AB816" s="668">
        <f>SUMIF(P$401:P$490,$C816,$S$401:$S$490)*Forrajes!BP12*P$99</f>
        <v>0</v>
      </c>
      <c r="AC816" s="668">
        <f>SUMIF(Q$401:Q$490,$C816,$S$401:$S$490)*Forrajes!BQ12*Q$99</f>
        <v>0</v>
      </c>
      <c r="AD816" s="1977">
        <f>SUMIF(R$401:R$490,$C816,$S$401:$S$490)*Forrajes!BR12*R$99</f>
        <v>0</v>
      </c>
      <c r="AF816" s="1976">
        <f>Forrajes!BU12*S816</f>
        <v>0</v>
      </c>
      <c r="AG816" s="668">
        <f>Forrajes!BV12*T816</f>
        <v>0</v>
      </c>
      <c r="AH816" s="668">
        <f>Forrajes!BW12*U816</f>
        <v>0</v>
      </c>
      <c r="AI816" s="668">
        <f>Forrajes!BX12*V816</f>
        <v>0</v>
      </c>
      <c r="AJ816" s="668">
        <f>Forrajes!BY12*W816</f>
        <v>0</v>
      </c>
      <c r="AK816" s="668">
        <f>Forrajes!BZ12*X816</f>
        <v>0</v>
      </c>
      <c r="AL816" s="668">
        <f>Forrajes!CA12*Y816</f>
        <v>0</v>
      </c>
      <c r="AM816" s="668">
        <f>Forrajes!CB12*Z816</f>
        <v>0</v>
      </c>
      <c r="AN816" s="668">
        <f>Forrajes!CC12*AA816</f>
        <v>0</v>
      </c>
      <c r="AO816" s="668">
        <f>Forrajes!CD12*AB816</f>
        <v>0</v>
      </c>
      <c r="AP816" s="668">
        <f>Forrajes!CE12*AC816</f>
        <v>0</v>
      </c>
      <c r="AQ816" s="668">
        <f>Forrajes!CF12*AD816</f>
        <v>0</v>
      </c>
      <c r="AS816" s="1976">
        <f>Forrajes!CI12*S816</f>
        <v>0</v>
      </c>
      <c r="AT816" s="668">
        <f>Forrajes!CJ12*T816</f>
        <v>0</v>
      </c>
      <c r="AU816" s="668">
        <f>Forrajes!CK12*U816</f>
        <v>0</v>
      </c>
      <c r="AV816" s="668">
        <f>Forrajes!CL12*V816</f>
        <v>0</v>
      </c>
      <c r="AW816" s="668">
        <f>Forrajes!CM12*W816</f>
        <v>0</v>
      </c>
      <c r="AX816" s="668">
        <f>Forrajes!CN12*X816</f>
        <v>0</v>
      </c>
      <c r="AY816" s="668">
        <f>Forrajes!CO12*Y816</f>
        <v>0</v>
      </c>
      <c r="AZ816" s="668">
        <f>Forrajes!CP12*Z816</f>
        <v>0</v>
      </c>
      <c r="BA816" s="668">
        <f>Forrajes!CQ12*AA816</f>
        <v>0</v>
      </c>
      <c r="BB816" s="668">
        <f>Forrajes!CR12*AB816</f>
        <v>0</v>
      </c>
      <c r="BC816" s="668">
        <f>Forrajes!CS12*AC816</f>
        <v>0</v>
      </c>
      <c r="BD816" s="1818">
        <f>Forrajes!CT12*AD816</f>
        <v>0</v>
      </c>
      <c r="BE816" s="590"/>
      <c r="BF816" s="100"/>
      <c r="BG816" s="590"/>
      <c r="BH816" s="590"/>
      <c r="BI816" s="1978"/>
      <c r="BJ816" s="1975"/>
      <c r="BK816" s="590"/>
    </row>
    <row r="817" spans="3:63" s="108" customFormat="1" x14ac:dyDescent="0.2">
      <c r="C817" s="1971" t="str">
        <f t="shared" si="670"/>
        <v>Subtotal Campo naturalGanadería</v>
      </c>
      <c r="D817" s="1979" t="str">
        <f t="shared" si="671"/>
        <v>Subtotal Campo natural</v>
      </c>
      <c r="E817" s="1980"/>
      <c r="F817" s="1909">
        <f>SUM(F814:F816)</f>
        <v>0</v>
      </c>
      <c r="G817" s="1909">
        <f t="shared" ref="G817:Q817" si="675">SUM(G814:G816)</f>
        <v>0</v>
      </c>
      <c r="H817" s="1909">
        <f t="shared" si="675"/>
        <v>0</v>
      </c>
      <c r="I817" s="1909">
        <f t="shared" si="675"/>
        <v>0</v>
      </c>
      <c r="J817" s="1909">
        <f t="shared" si="675"/>
        <v>0</v>
      </c>
      <c r="K817" s="1909">
        <f t="shared" si="675"/>
        <v>0</v>
      </c>
      <c r="L817" s="1909">
        <f t="shared" si="675"/>
        <v>0</v>
      </c>
      <c r="M817" s="1909">
        <f t="shared" si="675"/>
        <v>0</v>
      </c>
      <c r="N817" s="1909">
        <f t="shared" si="675"/>
        <v>0</v>
      </c>
      <c r="O817" s="1909">
        <f t="shared" si="675"/>
        <v>0</v>
      </c>
      <c r="P817" s="1909">
        <f t="shared" si="675"/>
        <v>0</v>
      </c>
      <c r="Q817" s="1909">
        <f t="shared" si="675"/>
        <v>0</v>
      </c>
      <c r="S817" s="1976">
        <f>SUMIF(G$401:G$490,$C817,$S$401:$S$490)*Forrajes!BG13*G$99</f>
        <v>0</v>
      </c>
      <c r="T817" s="668">
        <f>SUMIF(H$401:H$490,$C817,$S$401:$S$490)*Forrajes!BH13*H$99</f>
        <v>0</v>
      </c>
      <c r="U817" s="668">
        <f>SUMIF(I$401:I$490,$C817,$S$401:$S$490)*Forrajes!BI13*I$99</f>
        <v>0</v>
      </c>
      <c r="V817" s="668">
        <f>SUMIF(J$401:J$490,$C817,$S$401:$S$490)*Forrajes!BJ13*J$99</f>
        <v>0</v>
      </c>
      <c r="W817" s="668">
        <f>SUMIF(K$401:K$490,$C817,$S$401:$S$490)*Forrajes!BK13*K$99</f>
        <v>0</v>
      </c>
      <c r="X817" s="668">
        <f>SUMIF(L$401:L$490,$C817,$S$401:$S$490)*Forrajes!BL13*L$99</f>
        <v>0</v>
      </c>
      <c r="Y817" s="668">
        <f>SUMIF(M$401:M$490,$C817,$S$401:$S$490)*Forrajes!BM13*M$99</f>
        <v>0</v>
      </c>
      <c r="Z817" s="668">
        <f>SUMIF(N$401:N$490,$C817,$S$401:$S$490)*Forrajes!BN13*N$99</f>
        <v>0</v>
      </c>
      <c r="AA817" s="668">
        <f>SUMIF(O$401:O$490,$C817,$S$401:$S$490)*Forrajes!BO13*O$99</f>
        <v>0</v>
      </c>
      <c r="AB817" s="668">
        <f>SUMIF(P$401:P$490,$C817,$S$401:$S$490)*Forrajes!BP13*P$99</f>
        <v>0</v>
      </c>
      <c r="AC817" s="668">
        <f>SUMIF(Q$401:Q$490,$C817,$S$401:$S$490)*Forrajes!BQ13*Q$99</f>
        <v>0</v>
      </c>
      <c r="AD817" s="1977">
        <f>SUMIF(R$401:R$490,$C817,$S$401:$S$490)*Forrajes!BR13*R$99</f>
        <v>0</v>
      </c>
      <c r="AF817" s="1976">
        <f>Forrajes!BU13*S817</f>
        <v>0</v>
      </c>
      <c r="AG817" s="668">
        <f>Forrajes!BV13*T817</f>
        <v>0</v>
      </c>
      <c r="AH817" s="668">
        <f>Forrajes!BW13*U817</f>
        <v>0</v>
      </c>
      <c r="AI817" s="668">
        <f>Forrajes!BX13*V817</f>
        <v>0</v>
      </c>
      <c r="AJ817" s="668">
        <f>Forrajes!BY13*W817</f>
        <v>0</v>
      </c>
      <c r="AK817" s="668">
        <f>Forrajes!BZ13*X817</f>
        <v>0</v>
      </c>
      <c r="AL817" s="668">
        <f>Forrajes!CA13*Y817</f>
        <v>0</v>
      </c>
      <c r="AM817" s="668">
        <f>Forrajes!CB13*Z817</f>
        <v>0</v>
      </c>
      <c r="AN817" s="668">
        <f>Forrajes!CC13*AA817</f>
        <v>0</v>
      </c>
      <c r="AO817" s="668">
        <f>Forrajes!CD13*AB817</f>
        <v>0</v>
      </c>
      <c r="AP817" s="668">
        <f>Forrajes!CE13*AC817</f>
        <v>0</v>
      </c>
      <c r="AQ817" s="668">
        <f>Forrajes!CF13*AD817</f>
        <v>0</v>
      </c>
      <c r="AS817" s="1976">
        <f>Forrajes!CI13*S817</f>
        <v>0</v>
      </c>
      <c r="AT817" s="668">
        <f>Forrajes!CJ13*T817</f>
        <v>0</v>
      </c>
      <c r="AU817" s="668">
        <f>Forrajes!CK13*U817</f>
        <v>0</v>
      </c>
      <c r="AV817" s="668">
        <f>Forrajes!CL13*V817</f>
        <v>0</v>
      </c>
      <c r="AW817" s="668">
        <f>Forrajes!CM13*W817</f>
        <v>0</v>
      </c>
      <c r="AX817" s="668">
        <f>Forrajes!CN13*X817</f>
        <v>0</v>
      </c>
      <c r="AY817" s="668">
        <f>Forrajes!CO13*Y817</f>
        <v>0</v>
      </c>
      <c r="AZ817" s="668">
        <f>Forrajes!CP13*Z817</f>
        <v>0</v>
      </c>
      <c r="BA817" s="668">
        <f>Forrajes!CQ13*AA817</f>
        <v>0</v>
      </c>
      <c r="BB817" s="668">
        <f>Forrajes!CR13*AB817</f>
        <v>0</v>
      </c>
      <c r="BC817" s="668">
        <f>Forrajes!CS13*AC817</f>
        <v>0</v>
      </c>
      <c r="BD817" s="1818">
        <f>Forrajes!CT13*AD817</f>
        <v>0</v>
      </c>
      <c r="BE817" s="590"/>
      <c r="BF817" s="100"/>
      <c r="BG817" s="590"/>
      <c r="BH817" s="590"/>
      <c r="BI817" s="1978"/>
      <c r="BJ817" s="1975"/>
      <c r="BK817" s="590"/>
    </row>
    <row r="818" spans="3:63" s="108" customFormat="1" x14ac:dyDescent="0.2">
      <c r="C818" s="1971" t="str">
        <f t="shared" si="670"/>
        <v>Alfalfa 1Ganadería</v>
      </c>
      <c r="D818" s="1857" t="str">
        <f t="shared" si="671"/>
        <v>Alfalfa 1</v>
      </c>
      <c r="E818" s="590"/>
      <c r="F818" s="1972">
        <f t="shared" ref="F818:Q818" si="676">IF($D818&lt;&gt;0,SUMIFS($C$9:$C$98,$D$9:$D$98,$D$640,G$9:G$98,$D818),0)</f>
        <v>0</v>
      </c>
      <c r="G818" s="1972">
        <f t="shared" si="676"/>
        <v>0</v>
      </c>
      <c r="H818" s="1972">
        <f t="shared" si="676"/>
        <v>0</v>
      </c>
      <c r="I818" s="1972">
        <f t="shared" ref="I818:I823" si="677">IF($D818&lt;&gt;0,SUMIFS($C$9:$C$98,$D$9:$D$98,$D$640,J$9:J$98,$D818),0)</f>
        <v>0</v>
      </c>
      <c r="J818" s="1972">
        <f t="shared" si="676"/>
        <v>0</v>
      </c>
      <c r="K818" s="1972">
        <f t="shared" si="676"/>
        <v>0</v>
      </c>
      <c r="L818" s="1972">
        <f t="shared" si="676"/>
        <v>0</v>
      </c>
      <c r="M818" s="1972">
        <f t="shared" si="676"/>
        <v>0</v>
      </c>
      <c r="N818" s="1972">
        <f t="shared" si="676"/>
        <v>0</v>
      </c>
      <c r="O818" s="1972">
        <f t="shared" si="676"/>
        <v>0</v>
      </c>
      <c r="P818" s="1972">
        <f t="shared" si="676"/>
        <v>0</v>
      </c>
      <c r="Q818" s="1972">
        <f t="shared" si="676"/>
        <v>0</v>
      </c>
      <c r="S818" s="1976">
        <f>SUMIF(G$401:G$490,$C818,$S$401:$S$490)*Forrajes!BG14*G$99</f>
        <v>0</v>
      </c>
      <c r="T818" s="668">
        <f>SUMIF(H$401:H$490,$C818,$S$401:$S$490)*Forrajes!BH14*H$99</f>
        <v>0</v>
      </c>
      <c r="U818" s="668">
        <f>SUMIF(I$401:I$490,$C818,$S$401:$S$490)*Forrajes!BI14*I$99</f>
        <v>0</v>
      </c>
      <c r="V818" s="668">
        <f>SUMIF(J$401:J$490,$C818,$S$401:$S$490)*Forrajes!BJ14*J$99</f>
        <v>0</v>
      </c>
      <c r="W818" s="668">
        <f>SUMIF(K$401:K$490,$C818,$S$401:$S$490)*Forrajes!BK14*K$99</f>
        <v>0</v>
      </c>
      <c r="X818" s="668">
        <f>SUMIF(L$401:L$490,$C818,$S$401:$S$490)*Forrajes!BL14*L$99</f>
        <v>0</v>
      </c>
      <c r="Y818" s="668">
        <f>SUMIF(M$401:M$490,$C818,$S$401:$S$490)*Forrajes!BM14*M$99</f>
        <v>0</v>
      </c>
      <c r="Z818" s="668">
        <f>SUMIF(N$401:N$490,$C818,$S$401:$S$490)*Forrajes!BN14*N$99</f>
        <v>0</v>
      </c>
      <c r="AA818" s="668">
        <f>SUMIF(O$401:O$490,$C818,$S$401:$S$490)*Forrajes!BO14*O$99</f>
        <v>0</v>
      </c>
      <c r="AB818" s="668">
        <f>SUMIF(P$401:P$490,$C818,$S$401:$S$490)*Forrajes!BP14*P$99</f>
        <v>0</v>
      </c>
      <c r="AC818" s="668">
        <f>SUMIF(Q$401:Q$490,$C818,$S$401:$S$490)*Forrajes!BQ14*Q$99</f>
        <v>0</v>
      </c>
      <c r="AD818" s="1977">
        <f>SUMIF(R$401:R$490,$C818,$S$401:$S$490)*Forrajes!BR14*R$99</f>
        <v>0</v>
      </c>
      <c r="AF818" s="1976">
        <f>Forrajes!BU14*S818</f>
        <v>0</v>
      </c>
      <c r="AG818" s="668">
        <f>Forrajes!BV14*T818</f>
        <v>0</v>
      </c>
      <c r="AH818" s="668">
        <f>Forrajes!BW14*U818</f>
        <v>0</v>
      </c>
      <c r="AI818" s="668">
        <f>Forrajes!BX14*V818</f>
        <v>0</v>
      </c>
      <c r="AJ818" s="668">
        <f>Forrajes!BY14*W818</f>
        <v>0</v>
      </c>
      <c r="AK818" s="668">
        <f>Forrajes!BZ14*X818</f>
        <v>0</v>
      </c>
      <c r="AL818" s="668">
        <f>Forrajes!CA14*Y818</f>
        <v>0</v>
      </c>
      <c r="AM818" s="668">
        <f>Forrajes!CB14*Z818</f>
        <v>0</v>
      </c>
      <c r="AN818" s="668">
        <f>Forrajes!CC14*AA818</f>
        <v>0</v>
      </c>
      <c r="AO818" s="668">
        <f>Forrajes!CD14*AB818</f>
        <v>0</v>
      </c>
      <c r="AP818" s="668">
        <f>Forrajes!CE14*AC818</f>
        <v>0</v>
      </c>
      <c r="AQ818" s="668">
        <f>Forrajes!CF14*AD818</f>
        <v>0</v>
      </c>
      <c r="AS818" s="1976">
        <f>Forrajes!CI14*S818</f>
        <v>0</v>
      </c>
      <c r="AT818" s="668">
        <f>Forrajes!CJ14*T818</f>
        <v>0</v>
      </c>
      <c r="AU818" s="668">
        <f>Forrajes!CK14*U818</f>
        <v>0</v>
      </c>
      <c r="AV818" s="668">
        <f>Forrajes!CL14*V818</f>
        <v>0</v>
      </c>
      <c r="AW818" s="668">
        <f>Forrajes!CM14*W818</f>
        <v>0</v>
      </c>
      <c r="AX818" s="668">
        <f>Forrajes!CN14*X818</f>
        <v>0</v>
      </c>
      <c r="AY818" s="668">
        <f>Forrajes!CO14*Y818</f>
        <v>0</v>
      </c>
      <c r="AZ818" s="668">
        <f>Forrajes!CP14*Z818</f>
        <v>0</v>
      </c>
      <c r="BA818" s="668">
        <f>Forrajes!CQ14*AA818</f>
        <v>0</v>
      </c>
      <c r="BB818" s="668">
        <f>Forrajes!CR14*AB818</f>
        <v>0</v>
      </c>
      <c r="BC818" s="668">
        <f>Forrajes!CS14*AC818</f>
        <v>0</v>
      </c>
      <c r="BD818" s="1818">
        <f>Forrajes!CT14*AD818</f>
        <v>0</v>
      </c>
      <c r="BE818" s="590"/>
      <c r="BF818" s="100"/>
      <c r="BG818" s="590"/>
      <c r="BH818" s="590"/>
      <c r="BI818" s="1978"/>
      <c r="BJ818" s="1975"/>
      <c r="BK818" s="590"/>
    </row>
    <row r="819" spans="3:63" s="108" customFormat="1" x14ac:dyDescent="0.2">
      <c r="C819" s="1971" t="str">
        <f t="shared" si="670"/>
        <v>PP 1Ganadería</v>
      </c>
      <c r="D819" s="1857" t="str">
        <f t="shared" si="671"/>
        <v>PP 1</v>
      </c>
      <c r="E819" s="590"/>
      <c r="F819" s="1972">
        <f t="shared" ref="F819:Q819" si="678">IF($D819&lt;&gt;0,SUMIFS($C$9:$C$98,$D$9:$D$98,$D$640,G$9:G$98,$D819),0)</f>
        <v>0</v>
      </c>
      <c r="G819" s="1972">
        <f t="shared" si="678"/>
        <v>0</v>
      </c>
      <c r="H819" s="1972">
        <f t="shared" si="678"/>
        <v>0</v>
      </c>
      <c r="I819" s="1972">
        <f t="shared" si="677"/>
        <v>0</v>
      </c>
      <c r="J819" s="1972">
        <f t="shared" si="678"/>
        <v>0</v>
      </c>
      <c r="K819" s="1972">
        <f t="shared" si="678"/>
        <v>0</v>
      </c>
      <c r="L819" s="1972">
        <f t="shared" si="678"/>
        <v>0</v>
      </c>
      <c r="M819" s="1972">
        <f t="shared" si="678"/>
        <v>0</v>
      </c>
      <c r="N819" s="1972">
        <f t="shared" si="678"/>
        <v>0</v>
      </c>
      <c r="O819" s="1972">
        <f t="shared" si="678"/>
        <v>0</v>
      </c>
      <c r="P819" s="1972">
        <f t="shared" si="678"/>
        <v>0</v>
      </c>
      <c r="Q819" s="1972">
        <f t="shared" si="678"/>
        <v>0</v>
      </c>
      <c r="S819" s="1976">
        <f>SUMIF(G$401:G$490,$C819,$S$401:$S$490)*Forrajes!BG15*G$99</f>
        <v>0</v>
      </c>
      <c r="T819" s="668">
        <f>SUMIF(H$401:H$490,$C819,$S$401:$S$490)*Forrajes!BH15*H$99</f>
        <v>0</v>
      </c>
      <c r="U819" s="668">
        <f>SUMIF(I$401:I$490,$C819,$S$401:$S$490)*Forrajes!BI15*I$99</f>
        <v>0</v>
      </c>
      <c r="V819" s="668">
        <f>SUMIF(J$401:J$490,$C819,$S$401:$S$490)*Forrajes!BJ15*J$99</f>
        <v>0</v>
      </c>
      <c r="W819" s="668">
        <f>SUMIF(K$401:K$490,$C819,$S$401:$S$490)*Forrajes!BK15*K$99</f>
        <v>0</v>
      </c>
      <c r="X819" s="668">
        <f>SUMIF(L$401:L$490,$C819,$S$401:$S$490)*Forrajes!BL15*L$99</f>
        <v>0</v>
      </c>
      <c r="Y819" s="668">
        <f>SUMIF(M$401:M$490,$C819,$S$401:$S$490)*Forrajes!BM15*M$99</f>
        <v>0</v>
      </c>
      <c r="Z819" s="668">
        <f>SUMIF(N$401:N$490,$C819,$S$401:$S$490)*Forrajes!BN15*N$99</f>
        <v>0</v>
      </c>
      <c r="AA819" s="668">
        <f>SUMIF(O$401:O$490,$C819,$S$401:$S$490)*Forrajes!BO15*O$99</f>
        <v>0</v>
      </c>
      <c r="AB819" s="668">
        <f>SUMIF(P$401:P$490,$C819,$S$401:$S$490)*Forrajes!BP15*P$99</f>
        <v>0</v>
      </c>
      <c r="AC819" s="668">
        <f>SUMIF(Q$401:Q$490,$C819,$S$401:$S$490)*Forrajes!BQ15*Q$99</f>
        <v>0</v>
      </c>
      <c r="AD819" s="1977">
        <f>SUMIF(R$401:R$490,$C819,$S$401:$S$490)*Forrajes!BR15*R$99</f>
        <v>0</v>
      </c>
      <c r="AF819" s="1976">
        <f>Forrajes!BU15*S819</f>
        <v>0</v>
      </c>
      <c r="AG819" s="668">
        <f>Forrajes!BV15*T819</f>
        <v>0</v>
      </c>
      <c r="AH819" s="668">
        <f>Forrajes!BW15*U819</f>
        <v>0</v>
      </c>
      <c r="AI819" s="668">
        <f>Forrajes!BX15*V819</f>
        <v>0</v>
      </c>
      <c r="AJ819" s="668">
        <f>Forrajes!BY15*W819</f>
        <v>0</v>
      </c>
      <c r="AK819" s="668">
        <f>Forrajes!BZ15*X819</f>
        <v>0</v>
      </c>
      <c r="AL819" s="668">
        <f>Forrajes!CA15*Y819</f>
        <v>0</v>
      </c>
      <c r="AM819" s="668">
        <f>Forrajes!CB15*Z819</f>
        <v>0</v>
      </c>
      <c r="AN819" s="668">
        <f>Forrajes!CC15*AA819</f>
        <v>0</v>
      </c>
      <c r="AO819" s="668">
        <f>Forrajes!CD15*AB819</f>
        <v>0</v>
      </c>
      <c r="AP819" s="668">
        <f>Forrajes!CE15*AC819</f>
        <v>0</v>
      </c>
      <c r="AQ819" s="668">
        <f>Forrajes!CF15*AD819</f>
        <v>0</v>
      </c>
      <c r="AS819" s="1976">
        <f>Forrajes!CI15*S819</f>
        <v>0</v>
      </c>
      <c r="AT819" s="668">
        <f>Forrajes!CJ15*T819</f>
        <v>0</v>
      </c>
      <c r="AU819" s="668">
        <f>Forrajes!CK15*U819</f>
        <v>0</v>
      </c>
      <c r="AV819" s="668">
        <f>Forrajes!CL15*V819</f>
        <v>0</v>
      </c>
      <c r="AW819" s="668">
        <f>Forrajes!CM15*W819</f>
        <v>0</v>
      </c>
      <c r="AX819" s="668">
        <f>Forrajes!CN15*X819</f>
        <v>0</v>
      </c>
      <c r="AY819" s="668">
        <f>Forrajes!CO15*Y819</f>
        <v>0</v>
      </c>
      <c r="AZ819" s="668">
        <f>Forrajes!CP15*Z819</f>
        <v>0</v>
      </c>
      <c r="BA819" s="668">
        <f>Forrajes!CQ15*AA819</f>
        <v>0</v>
      </c>
      <c r="BB819" s="668">
        <f>Forrajes!CR15*AB819</f>
        <v>0</v>
      </c>
      <c r="BC819" s="668">
        <f>Forrajes!CS15*AC819</f>
        <v>0</v>
      </c>
      <c r="BD819" s="1818">
        <f>Forrajes!CT15*AD819</f>
        <v>0</v>
      </c>
      <c r="BE819" s="590"/>
      <c r="BF819" s="100"/>
      <c r="BG819" s="590"/>
      <c r="BH819" s="590"/>
      <c r="BI819" s="1978"/>
      <c r="BJ819" s="1975"/>
      <c r="BK819" s="590"/>
    </row>
    <row r="820" spans="3:63" s="108" customFormat="1" x14ac:dyDescent="0.2">
      <c r="C820" s="1971" t="str">
        <f t="shared" si="670"/>
        <v>Prad 1Ganadería</v>
      </c>
      <c r="D820" s="1857" t="str">
        <f t="shared" si="671"/>
        <v>Prad 1</v>
      </c>
      <c r="E820" s="590"/>
      <c r="F820" s="1972">
        <f t="shared" ref="F820:Q820" si="679">IF($D820&lt;&gt;0,SUMIFS($C$9:$C$98,$D$9:$D$98,$D$640,G$9:G$98,$D820),0)</f>
        <v>0</v>
      </c>
      <c r="G820" s="1972">
        <f t="shared" si="679"/>
        <v>0</v>
      </c>
      <c r="H820" s="1972">
        <f t="shared" si="679"/>
        <v>0</v>
      </c>
      <c r="I820" s="1972">
        <f t="shared" si="677"/>
        <v>0</v>
      </c>
      <c r="J820" s="1972">
        <f t="shared" si="679"/>
        <v>0</v>
      </c>
      <c r="K820" s="1972">
        <f t="shared" si="679"/>
        <v>0</v>
      </c>
      <c r="L820" s="1972">
        <f t="shared" si="679"/>
        <v>0</v>
      </c>
      <c r="M820" s="1972">
        <f t="shared" si="679"/>
        <v>0</v>
      </c>
      <c r="N820" s="1972">
        <f t="shared" si="679"/>
        <v>0</v>
      </c>
      <c r="O820" s="1972">
        <f t="shared" si="679"/>
        <v>0</v>
      </c>
      <c r="P820" s="1972">
        <f t="shared" si="679"/>
        <v>0</v>
      </c>
      <c r="Q820" s="1972">
        <f t="shared" si="679"/>
        <v>0</v>
      </c>
      <c r="S820" s="1976">
        <f>SUMIF(G$401:G$490,$C820,$S$401:$S$490)*Forrajes!BG16*G$99</f>
        <v>0</v>
      </c>
      <c r="T820" s="668">
        <f>SUMIF(H$401:H$490,$C820,$S$401:$S$490)*Forrajes!BH16*H$99</f>
        <v>0</v>
      </c>
      <c r="U820" s="668">
        <f>SUMIF(I$401:I$490,$C820,$S$401:$S$490)*Forrajes!BI16*I$99</f>
        <v>0</v>
      </c>
      <c r="V820" s="668">
        <f>SUMIF(J$401:J$490,$C820,$S$401:$S$490)*Forrajes!BJ16*J$99</f>
        <v>0</v>
      </c>
      <c r="W820" s="668">
        <f>SUMIF(K$401:K$490,$C820,$S$401:$S$490)*Forrajes!BK16*K$99</f>
        <v>0</v>
      </c>
      <c r="X820" s="668">
        <f>SUMIF(L$401:L$490,$C820,$S$401:$S$490)*Forrajes!BL16*L$99</f>
        <v>0</v>
      </c>
      <c r="Y820" s="668">
        <f>SUMIF(M$401:M$490,$C820,$S$401:$S$490)*Forrajes!BM16*M$99</f>
        <v>0</v>
      </c>
      <c r="Z820" s="668">
        <f>SUMIF(N$401:N$490,$C820,$S$401:$S$490)*Forrajes!BN16*N$99</f>
        <v>0</v>
      </c>
      <c r="AA820" s="668">
        <f>SUMIF(O$401:O$490,$C820,$S$401:$S$490)*Forrajes!BO16*O$99</f>
        <v>0</v>
      </c>
      <c r="AB820" s="668">
        <f>SUMIF(P$401:P$490,$C820,$S$401:$S$490)*Forrajes!BP16*P$99</f>
        <v>0</v>
      </c>
      <c r="AC820" s="668">
        <f>SUMIF(Q$401:Q$490,$C820,$S$401:$S$490)*Forrajes!BQ16*Q$99</f>
        <v>0</v>
      </c>
      <c r="AD820" s="1977">
        <f>SUMIF(R$401:R$490,$C820,$S$401:$S$490)*Forrajes!BR16*R$99</f>
        <v>0</v>
      </c>
      <c r="AF820" s="1976">
        <f>Forrajes!BU16*S820</f>
        <v>0</v>
      </c>
      <c r="AG820" s="668">
        <f>Forrajes!BV16*T820</f>
        <v>0</v>
      </c>
      <c r="AH820" s="668">
        <f>Forrajes!BW16*U820</f>
        <v>0</v>
      </c>
      <c r="AI820" s="668">
        <f>Forrajes!BX16*V820</f>
        <v>0</v>
      </c>
      <c r="AJ820" s="668">
        <f>Forrajes!BY16*W820</f>
        <v>0</v>
      </c>
      <c r="AK820" s="668">
        <f>Forrajes!BZ16*X820</f>
        <v>0</v>
      </c>
      <c r="AL820" s="668">
        <f>Forrajes!CA16*Y820</f>
        <v>0</v>
      </c>
      <c r="AM820" s="668">
        <f>Forrajes!CB16*Z820</f>
        <v>0</v>
      </c>
      <c r="AN820" s="668">
        <f>Forrajes!CC16*AA820</f>
        <v>0</v>
      </c>
      <c r="AO820" s="668">
        <f>Forrajes!CD16*AB820</f>
        <v>0</v>
      </c>
      <c r="AP820" s="668">
        <f>Forrajes!CE16*AC820</f>
        <v>0</v>
      </c>
      <c r="AQ820" s="668">
        <f>Forrajes!CF16*AD820</f>
        <v>0</v>
      </c>
      <c r="AS820" s="1976">
        <f>Forrajes!CI16*S820</f>
        <v>0</v>
      </c>
      <c r="AT820" s="668">
        <f>Forrajes!CJ16*T820</f>
        <v>0</v>
      </c>
      <c r="AU820" s="668">
        <f>Forrajes!CK16*U820</f>
        <v>0</v>
      </c>
      <c r="AV820" s="668">
        <f>Forrajes!CL16*V820</f>
        <v>0</v>
      </c>
      <c r="AW820" s="668">
        <f>Forrajes!CM16*W820</f>
        <v>0</v>
      </c>
      <c r="AX820" s="668">
        <f>Forrajes!CN16*X820</f>
        <v>0</v>
      </c>
      <c r="AY820" s="668">
        <f>Forrajes!CO16*Y820</f>
        <v>0</v>
      </c>
      <c r="AZ820" s="668">
        <f>Forrajes!CP16*Z820</f>
        <v>0</v>
      </c>
      <c r="BA820" s="668">
        <f>Forrajes!CQ16*AA820</f>
        <v>0</v>
      </c>
      <c r="BB820" s="668">
        <f>Forrajes!CR16*AB820</f>
        <v>0</v>
      </c>
      <c r="BC820" s="668">
        <f>Forrajes!CS16*AC820</f>
        <v>0</v>
      </c>
      <c r="BD820" s="1818">
        <f>Forrajes!CT16*AD820</f>
        <v>0</v>
      </c>
      <c r="BE820" s="590"/>
      <c r="BF820" s="100"/>
      <c r="BG820" s="590"/>
      <c r="BH820" s="590"/>
      <c r="BI820" s="1978"/>
      <c r="BJ820" s="1975"/>
      <c r="BK820" s="590"/>
    </row>
    <row r="821" spans="3:63" s="108" customFormat="1" x14ac:dyDescent="0.2">
      <c r="C821" s="1971" t="str">
        <f t="shared" si="670"/>
        <v>Trébol Rojo 1Ganadería</v>
      </c>
      <c r="D821" s="1857" t="str">
        <f t="shared" si="671"/>
        <v>Trébol Rojo 1</v>
      </c>
      <c r="E821" s="590"/>
      <c r="F821" s="1972">
        <f t="shared" ref="F821:Q821" si="680">IF($D821&lt;&gt;0,SUMIFS($C$9:$C$98,$D$9:$D$98,$D$640,G$9:G$98,$D821),0)</f>
        <v>0</v>
      </c>
      <c r="G821" s="1972">
        <f t="shared" si="680"/>
        <v>0</v>
      </c>
      <c r="H821" s="1972">
        <f t="shared" si="680"/>
        <v>0</v>
      </c>
      <c r="I821" s="1972">
        <f t="shared" si="677"/>
        <v>0</v>
      </c>
      <c r="J821" s="1972">
        <f t="shared" si="680"/>
        <v>0</v>
      </c>
      <c r="K821" s="1972">
        <f t="shared" si="680"/>
        <v>0</v>
      </c>
      <c r="L821" s="1972">
        <f t="shared" si="680"/>
        <v>0</v>
      </c>
      <c r="M821" s="1972">
        <f t="shared" si="680"/>
        <v>0</v>
      </c>
      <c r="N821" s="1972">
        <f t="shared" si="680"/>
        <v>0</v>
      </c>
      <c r="O821" s="1972">
        <f t="shared" si="680"/>
        <v>0</v>
      </c>
      <c r="P821" s="1972">
        <f t="shared" si="680"/>
        <v>0</v>
      </c>
      <c r="Q821" s="1972">
        <f t="shared" si="680"/>
        <v>0</v>
      </c>
      <c r="S821" s="1976">
        <f>SUMIF(G$401:G$490,$C821,$S$401:$S$490)*Forrajes!BG17*G$99</f>
        <v>0</v>
      </c>
      <c r="T821" s="668">
        <f>SUMIF(H$401:H$490,$C821,$S$401:$S$490)*Forrajes!BH17*H$99</f>
        <v>0</v>
      </c>
      <c r="U821" s="668">
        <f>SUMIF(I$401:I$490,$C821,$S$401:$S$490)*Forrajes!BI17*I$99</f>
        <v>0</v>
      </c>
      <c r="V821" s="668">
        <f>SUMIF(J$401:J$490,$C821,$S$401:$S$490)*Forrajes!BJ17*J$99</f>
        <v>0</v>
      </c>
      <c r="W821" s="668">
        <f>SUMIF(K$401:K$490,$C821,$S$401:$S$490)*Forrajes!BK17*K$99</f>
        <v>0</v>
      </c>
      <c r="X821" s="668">
        <f>SUMIF(L$401:L$490,$C821,$S$401:$S$490)*Forrajes!BL17*L$99</f>
        <v>0</v>
      </c>
      <c r="Y821" s="668">
        <f>SUMIF(M$401:M$490,$C821,$S$401:$S$490)*Forrajes!BM17*M$99</f>
        <v>0</v>
      </c>
      <c r="Z821" s="668">
        <f>SUMIF(N$401:N$490,$C821,$S$401:$S$490)*Forrajes!BN17*N$99</f>
        <v>0</v>
      </c>
      <c r="AA821" s="668">
        <f>SUMIF(O$401:O$490,$C821,$S$401:$S$490)*Forrajes!BO17*O$99</f>
        <v>0</v>
      </c>
      <c r="AB821" s="668">
        <f>SUMIF(P$401:P$490,$C821,$S$401:$S$490)*Forrajes!BP17*P$99</f>
        <v>0</v>
      </c>
      <c r="AC821" s="668">
        <f>SUMIF(Q$401:Q$490,$C821,$S$401:$S$490)*Forrajes!BQ17*Q$99</f>
        <v>0</v>
      </c>
      <c r="AD821" s="1977">
        <f>SUMIF(R$401:R$490,$C821,$S$401:$S$490)*Forrajes!BR17*R$99</f>
        <v>0</v>
      </c>
      <c r="AF821" s="1976">
        <f>Forrajes!BU17*S821</f>
        <v>0</v>
      </c>
      <c r="AG821" s="668">
        <f>Forrajes!BV17*T821</f>
        <v>0</v>
      </c>
      <c r="AH821" s="668">
        <f>Forrajes!BW17*U821</f>
        <v>0</v>
      </c>
      <c r="AI821" s="668">
        <f>Forrajes!BX17*V821</f>
        <v>0</v>
      </c>
      <c r="AJ821" s="668">
        <f>Forrajes!BY17*W821</f>
        <v>0</v>
      </c>
      <c r="AK821" s="668">
        <f>Forrajes!BZ17*X821</f>
        <v>0</v>
      </c>
      <c r="AL821" s="668">
        <f>Forrajes!CA17*Y821</f>
        <v>0</v>
      </c>
      <c r="AM821" s="668">
        <f>Forrajes!CB17*Z821</f>
        <v>0</v>
      </c>
      <c r="AN821" s="668">
        <f>Forrajes!CC17*AA821</f>
        <v>0</v>
      </c>
      <c r="AO821" s="668">
        <f>Forrajes!CD17*AB821</f>
        <v>0</v>
      </c>
      <c r="AP821" s="668">
        <f>Forrajes!CE17*AC821</f>
        <v>0</v>
      </c>
      <c r="AQ821" s="668">
        <f>Forrajes!CF17*AD821</f>
        <v>0</v>
      </c>
      <c r="AS821" s="1976">
        <f>Forrajes!CI17*S821</f>
        <v>0</v>
      </c>
      <c r="AT821" s="668">
        <f>Forrajes!CJ17*T821</f>
        <v>0</v>
      </c>
      <c r="AU821" s="668">
        <f>Forrajes!CK17*U821</f>
        <v>0</v>
      </c>
      <c r="AV821" s="668">
        <f>Forrajes!CL17*V821</f>
        <v>0</v>
      </c>
      <c r="AW821" s="668">
        <f>Forrajes!CM17*W821</f>
        <v>0</v>
      </c>
      <c r="AX821" s="668">
        <f>Forrajes!CN17*X821</f>
        <v>0</v>
      </c>
      <c r="AY821" s="668">
        <f>Forrajes!CO17*Y821</f>
        <v>0</v>
      </c>
      <c r="AZ821" s="668">
        <f>Forrajes!CP17*Z821</f>
        <v>0</v>
      </c>
      <c r="BA821" s="668">
        <f>Forrajes!CQ17*AA821</f>
        <v>0</v>
      </c>
      <c r="BB821" s="668">
        <f>Forrajes!CR17*AB821</f>
        <v>0</v>
      </c>
      <c r="BC821" s="668">
        <f>Forrajes!CS17*AC821</f>
        <v>0</v>
      </c>
      <c r="BD821" s="1818">
        <f>Forrajes!CT17*AD821</f>
        <v>0</v>
      </c>
      <c r="BE821" s="590"/>
      <c r="BF821" s="100"/>
      <c r="BG821" s="590"/>
      <c r="BH821" s="590"/>
      <c r="BI821" s="1978"/>
      <c r="BJ821" s="1975"/>
      <c r="BK821" s="590"/>
    </row>
    <row r="822" spans="3:63" s="108" customFormat="1" x14ac:dyDescent="0.2">
      <c r="C822" s="1971" t="str">
        <f t="shared" si="670"/>
        <v>0Ganadería</v>
      </c>
      <c r="D822" s="1857">
        <f t="shared" si="671"/>
        <v>0</v>
      </c>
      <c r="E822" s="590"/>
      <c r="F822" s="1972">
        <f t="shared" ref="F822:Q822" si="681">IF($D822&lt;&gt;0,SUMIFS($C$9:$C$98,$D$9:$D$98,$D$640,G$9:G$98,$D822),0)</f>
        <v>0</v>
      </c>
      <c r="G822" s="1972">
        <f t="shared" si="681"/>
        <v>0</v>
      </c>
      <c r="H822" s="1972">
        <f t="shared" si="681"/>
        <v>0</v>
      </c>
      <c r="I822" s="1972">
        <f t="shared" si="677"/>
        <v>0</v>
      </c>
      <c r="J822" s="1972">
        <f t="shared" si="681"/>
        <v>0</v>
      </c>
      <c r="K822" s="1972">
        <f t="shared" si="681"/>
        <v>0</v>
      </c>
      <c r="L822" s="1972">
        <f t="shared" si="681"/>
        <v>0</v>
      </c>
      <c r="M822" s="1972">
        <f t="shared" si="681"/>
        <v>0</v>
      </c>
      <c r="N822" s="1972">
        <f t="shared" si="681"/>
        <v>0</v>
      </c>
      <c r="O822" s="1972">
        <f t="shared" si="681"/>
        <v>0</v>
      </c>
      <c r="P822" s="1972">
        <f t="shared" si="681"/>
        <v>0</v>
      </c>
      <c r="Q822" s="1972">
        <f t="shared" si="681"/>
        <v>0</v>
      </c>
      <c r="S822" s="1976">
        <f>SUMIF(G$401:G$490,$C822,$S$401:$S$490)*Forrajes!BG18*G$99</f>
        <v>0</v>
      </c>
      <c r="T822" s="668">
        <f>SUMIF(H$401:H$490,$C822,$S$401:$S$490)*Forrajes!BH18*H$99</f>
        <v>0</v>
      </c>
      <c r="U822" s="668">
        <f>SUMIF(I$401:I$490,$C822,$S$401:$S$490)*Forrajes!BI18*I$99</f>
        <v>0</v>
      </c>
      <c r="V822" s="668">
        <f>SUMIF(J$401:J$490,$C822,$S$401:$S$490)*Forrajes!BJ18*J$99</f>
        <v>0</v>
      </c>
      <c r="W822" s="668">
        <f>SUMIF(K$401:K$490,$C822,$S$401:$S$490)*Forrajes!BK18*K$99</f>
        <v>0</v>
      </c>
      <c r="X822" s="668">
        <f>SUMIF(L$401:L$490,$C822,$S$401:$S$490)*Forrajes!BL18*L$99</f>
        <v>0</v>
      </c>
      <c r="Y822" s="668">
        <f>SUMIF(M$401:M$490,$C822,$S$401:$S$490)*Forrajes!BM18*M$99</f>
        <v>0</v>
      </c>
      <c r="Z822" s="668">
        <f>SUMIF(N$401:N$490,$C822,$S$401:$S$490)*Forrajes!BN18*N$99</f>
        <v>0</v>
      </c>
      <c r="AA822" s="668">
        <f>SUMIF(O$401:O$490,$C822,$S$401:$S$490)*Forrajes!BO18*O$99</f>
        <v>0</v>
      </c>
      <c r="AB822" s="668">
        <f>SUMIF(P$401:P$490,$C822,$S$401:$S$490)*Forrajes!BP18*P$99</f>
        <v>0</v>
      </c>
      <c r="AC822" s="668">
        <f>SUMIF(Q$401:Q$490,$C822,$S$401:$S$490)*Forrajes!BQ18*Q$99</f>
        <v>0</v>
      </c>
      <c r="AD822" s="1977">
        <f>SUMIF(R$401:R$490,$C822,$S$401:$S$490)*Forrajes!BR18*R$99</f>
        <v>0</v>
      </c>
      <c r="AF822" s="1976">
        <f>Forrajes!BU18*S822</f>
        <v>0</v>
      </c>
      <c r="AG822" s="668">
        <f>Forrajes!BV18*T822</f>
        <v>0</v>
      </c>
      <c r="AH822" s="668">
        <f>Forrajes!BW18*U822</f>
        <v>0</v>
      </c>
      <c r="AI822" s="668">
        <f>Forrajes!BX18*V822</f>
        <v>0</v>
      </c>
      <c r="AJ822" s="668">
        <f>Forrajes!BY18*W822</f>
        <v>0</v>
      </c>
      <c r="AK822" s="668">
        <f>Forrajes!BZ18*X822</f>
        <v>0</v>
      </c>
      <c r="AL822" s="668">
        <f>Forrajes!CA18*Y822</f>
        <v>0</v>
      </c>
      <c r="AM822" s="668">
        <f>Forrajes!CB18*Z822</f>
        <v>0</v>
      </c>
      <c r="AN822" s="668">
        <f>Forrajes!CC18*AA822</f>
        <v>0</v>
      </c>
      <c r="AO822" s="668">
        <f>Forrajes!CD18*AB822</f>
        <v>0</v>
      </c>
      <c r="AP822" s="668">
        <f>Forrajes!CE18*AC822</f>
        <v>0</v>
      </c>
      <c r="AQ822" s="668">
        <f>Forrajes!CF18*AD822</f>
        <v>0</v>
      </c>
      <c r="AS822" s="1976">
        <f>Forrajes!CI18*S822</f>
        <v>0</v>
      </c>
      <c r="AT822" s="668">
        <f>Forrajes!CJ18*T822</f>
        <v>0</v>
      </c>
      <c r="AU822" s="668">
        <f>Forrajes!CK18*U822</f>
        <v>0</v>
      </c>
      <c r="AV822" s="668">
        <f>Forrajes!CL18*V822</f>
        <v>0</v>
      </c>
      <c r="AW822" s="668">
        <f>Forrajes!CM18*W822</f>
        <v>0</v>
      </c>
      <c r="AX822" s="668">
        <f>Forrajes!CN18*X822</f>
        <v>0</v>
      </c>
      <c r="AY822" s="668">
        <f>Forrajes!CO18*Y822</f>
        <v>0</v>
      </c>
      <c r="AZ822" s="668">
        <f>Forrajes!CP18*Z822</f>
        <v>0</v>
      </c>
      <c r="BA822" s="668">
        <f>Forrajes!CQ18*AA822</f>
        <v>0</v>
      </c>
      <c r="BB822" s="668">
        <f>Forrajes!CR18*AB822</f>
        <v>0</v>
      </c>
      <c r="BC822" s="668">
        <f>Forrajes!CS18*AC822</f>
        <v>0</v>
      </c>
      <c r="BD822" s="1818">
        <f>Forrajes!CT18*AD822</f>
        <v>0</v>
      </c>
      <c r="BE822" s="590"/>
      <c r="BF822" s="100"/>
      <c r="BG822" s="590"/>
      <c r="BH822" s="590"/>
      <c r="BI822" s="1978"/>
      <c r="BJ822" s="1975"/>
      <c r="BK822" s="590"/>
    </row>
    <row r="823" spans="3:63" s="108" customFormat="1" x14ac:dyDescent="0.2">
      <c r="C823" s="1971" t="str">
        <f t="shared" si="670"/>
        <v>0Ganadería</v>
      </c>
      <c r="D823" s="1857">
        <f t="shared" si="671"/>
        <v>0</v>
      </c>
      <c r="E823" s="590"/>
      <c r="F823" s="1972">
        <f t="shared" ref="F823:Q823" si="682">IF($D823&lt;&gt;0,SUMIFS($C$9:$C$98,$D$9:$D$98,$D$640,G$9:G$98,$D823),0)</f>
        <v>0</v>
      </c>
      <c r="G823" s="1972">
        <f t="shared" si="682"/>
        <v>0</v>
      </c>
      <c r="H823" s="1972">
        <f t="shared" si="682"/>
        <v>0</v>
      </c>
      <c r="I823" s="1972">
        <f t="shared" si="677"/>
        <v>0</v>
      </c>
      <c r="J823" s="1972">
        <f t="shared" si="682"/>
        <v>0</v>
      </c>
      <c r="K823" s="1972">
        <f t="shared" si="682"/>
        <v>0</v>
      </c>
      <c r="L823" s="1972">
        <f t="shared" si="682"/>
        <v>0</v>
      </c>
      <c r="M823" s="1972">
        <f t="shared" si="682"/>
        <v>0</v>
      </c>
      <c r="N823" s="1972">
        <f t="shared" si="682"/>
        <v>0</v>
      </c>
      <c r="O823" s="1972">
        <f t="shared" si="682"/>
        <v>0</v>
      </c>
      <c r="P823" s="1972">
        <f t="shared" si="682"/>
        <v>0</v>
      </c>
      <c r="Q823" s="1972">
        <f t="shared" si="682"/>
        <v>0</v>
      </c>
      <c r="S823" s="1976">
        <f>SUMIF(G$401:G$490,$C823,$S$401:$S$490)*Forrajes!BG19*G$99</f>
        <v>0</v>
      </c>
      <c r="T823" s="668">
        <f>SUMIF(H$401:H$490,$C823,$S$401:$S$490)*Forrajes!BH19*H$99</f>
        <v>0</v>
      </c>
      <c r="U823" s="668">
        <f>SUMIF(I$401:I$490,$C823,$S$401:$S$490)*Forrajes!BI19*I$99</f>
        <v>0</v>
      </c>
      <c r="V823" s="668">
        <f>SUMIF(J$401:J$490,$C823,$S$401:$S$490)*Forrajes!BJ19*J$99</f>
        <v>0</v>
      </c>
      <c r="W823" s="668">
        <f>SUMIF(K$401:K$490,$C823,$S$401:$S$490)*Forrajes!BK19*K$99</f>
        <v>0</v>
      </c>
      <c r="X823" s="668">
        <f>SUMIF(L$401:L$490,$C823,$S$401:$S$490)*Forrajes!BL19*L$99</f>
        <v>0</v>
      </c>
      <c r="Y823" s="668">
        <f>SUMIF(M$401:M$490,$C823,$S$401:$S$490)*Forrajes!BM19*M$99</f>
        <v>0</v>
      </c>
      <c r="Z823" s="668">
        <f>SUMIF(N$401:N$490,$C823,$S$401:$S$490)*Forrajes!BN19*N$99</f>
        <v>0</v>
      </c>
      <c r="AA823" s="668">
        <f>SUMIF(O$401:O$490,$C823,$S$401:$S$490)*Forrajes!BO19*O$99</f>
        <v>0</v>
      </c>
      <c r="AB823" s="668">
        <f>SUMIF(P$401:P$490,$C823,$S$401:$S$490)*Forrajes!BP19*P$99</f>
        <v>0</v>
      </c>
      <c r="AC823" s="668">
        <f>SUMIF(Q$401:Q$490,$C823,$S$401:$S$490)*Forrajes!BQ19*Q$99</f>
        <v>0</v>
      </c>
      <c r="AD823" s="1977">
        <f>SUMIF(R$401:R$490,$C823,$S$401:$S$490)*Forrajes!BR19*R$99</f>
        <v>0</v>
      </c>
      <c r="AF823" s="1976">
        <f>Forrajes!BU19*S823</f>
        <v>0</v>
      </c>
      <c r="AG823" s="668">
        <f>Forrajes!BV19*T823</f>
        <v>0</v>
      </c>
      <c r="AH823" s="668">
        <f>Forrajes!BW19*U823</f>
        <v>0</v>
      </c>
      <c r="AI823" s="668">
        <f>Forrajes!BX19*V823</f>
        <v>0</v>
      </c>
      <c r="AJ823" s="668">
        <f>Forrajes!BY19*W823</f>
        <v>0</v>
      </c>
      <c r="AK823" s="668">
        <f>Forrajes!BZ19*X823</f>
        <v>0</v>
      </c>
      <c r="AL823" s="668">
        <f>Forrajes!CA19*Y823</f>
        <v>0</v>
      </c>
      <c r="AM823" s="668">
        <f>Forrajes!CB19*Z823</f>
        <v>0</v>
      </c>
      <c r="AN823" s="668">
        <f>Forrajes!CC19*AA823</f>
        <v>0</v>
      </c>
      <c r="AO823" s="668">
        <f>Forrajes!CD19*AB823</f>
        <v>0</v>
      </c>
      <c r="AP823" s="668">
        <f>Forrajes!CE19*AC823</f>
        <v>0</v>
      </c>
      <c r="AQ823" s="668">
        <f>Forrajes!CF19*AD823</f>
        <v>0</v>
      </c>
      <c r="AS823" s="1976">
        <f>Forrajes!CI19*S823</f>
        <v>0</v>
      </c>
      <c r="AT823" s="668">
        <f>Forrajes!CJ19*T823</f>
        <v>0</v>
      </c>
      <c r="AU823" s="668">
        <f>Forrajes!CK19*U823</f>
        <v>0</v>
      </c>
      <c r="AV823" s="668">
        <f>Forrajes!CL19*V823</f>
        <v>0</v>
      </c>
      <c r="AW823" s="668">
        <f>Forrajes!CM19*W823</f>
        <v>0</v>
      </c>
      <c r="AX823" s="668">
        <f>Forrajes!CN19*X823</f>
        <v>0</v>
      </c>
      <c r="AY823" s="668">
        <f>Forrajes!CO19*Y823</f>
        <v>0</v>
      </c>
      <c r="AZ823" s="668">
        <f>Forrajes!CP19*Z823</f>
        <v>0</v>
      </c>
      <c r="BA823" s="668">
        <f>Forrajes!CQ19*AA823</f>
        <v>0</v>
      </c>
      <c r="BB823" s="668">
        <f>Forrajes!CR19*AB823</f>
        <v>0</v>
      </c>
      <c r="BC823" s="668">
        <f>Forrajes!CS19*AC823</f>
        <v>0</v>
      </c>
      <c r="BD823" s="1818">
        <f>Forrajes!CT19*AD823</f>
        <v>0</v>
      </c>
      <c r="BE823" s="590"/>
      <c r="BF823" s="100"/>
      <c r="BG823" s="590"/>
      <c r="BH823" s="590"/>
      <c r="BI823" s="1978"/>
      <c r="BJ823" s="1975"/>
      <c r="BK823" s="590"/>
    </row>
    <row r="824" spans="3:63" s="108" customFormat="1" x14ac:dyDescent="0.2">
      <c r="C824" s="1971" t="str">
        <f t="shared" si="670"/>
        <v>Subtotal Praderas NuevasGanadería</v>
      </c>
      <c r="D824" s="1979" t="str">
        <f t="shared" si="671"/>
        <v>Subtotal Praderas Nuevas</v>
      </c>
      <c r="E824" s="1980"/>
      <c r="F824" s="1909">
        <f>SUM(F818:F823)</f>
        <v>0</v>
      </c>
      <c r="G824" s="1909">
        <f t="shared" ref="G824:Q824" si="683">SUM(G818:G823)</f>
        <v>0</v>
      </c>
      <c r="H824" s="1909">
        <f t="shared" si="683"/>
        <v>0</v>
      </c>
      <c r="I824" s="1909">
        <f t="shared" si="683"/>
        <v>0</v>
      </c>
      <c r="J824" s="1909">
        <f t="shared" si="683"/>
        <v>0</v>
      </c>
      <c r="K824" s="1909">
        <f t="shared" si="683"/>
        <v>0</v>
      </c>
      <c r="L824" s="1909">
        <f t="shared" si="683"/>
        <v>0</v>
      </c>
      <c r="M824" s="1909">
        <f t="shared" si="683"/>
        <v>0</v>
      </c>
      <c r="N824" s="1909">
        <f t="shared" si="683"/>
        <v>0</v>
      </c>
      <c r="O824" s="1909">
        <f t="shared" si="683"/>
        <v>0</v>
      </c>
      <c r="P824" s="1909">
        <f t="shared" si="683"/>
        <v>0</v>
      </c>
      <c r="Q824" s="1909">
        <f t="shared" si="683"/>
        <v>0</v>
      </c>
      <c r="S824" s="1976"/>
      <c r="T824" s="668"/>
      <c r="U824" s="668"/>
      <c r="V824" s="668"/>
      <c r="W824" s="668"/>
      <c r="X824" s="668"/>
      <c r="Y824" s="668"/>
      <c r="Z824" s="668"/>
      <c r="AA824" s="668"/>
      <c r="AB824" s="668"/>
      <c r="AC824" s="668"/>
      <c r="AD824" s="1977"/>
      <c r="AF824" s="1976"/>
      <c r="AG824" s="668"/>
      <c r="AH824" s="668"/>
      <c r="AI824" s="668"/>
      <c r="AJ824" s="668"/>
      <c r="AK824" s="668"/>
      <c r="AL824" s="668"/>
      <c r="AM824" s="668"/>
      <c r="AN824" s="668"/>
      <c r="AO824" s="668"/>
      <c r="AP824" s="668"/>
      <c r="AQ824" s="668"/>
      <c r="AS824" s="1976"/>
      <c r="AT824" s="668"/>
      <c r="AU824" s="668"/>
      <c r="AV824" s="668"/>
      <c r="AW824" s="668"/>
      <c r="AX824" s="668"/>
      <c r="AY824" s="668"/>
      <c r="AZ824" s="668"/>
      <c r="BA824" s="668"/>
      <c r="BB824" s="668"/>
      <c r="BC824" s="668"/>
      <c r="BD824" s="1818"/>
      <c r="BE824" s="590"/>
      <c r="BF824" s="100"/>
      <c r="BG824" s="590"/>
      <c r="BH824" s="590"/>
      <c r="BI824" s="1978"/>
      <c r="BJ824" s="1975"/>
      <c r="BK824" s="590"/>
    </row>
    <row r="825" spans="3:63" s="108" customFormat="1" x14ac:dyDescent="0.2">
      <c r="C825" s="1971" t="str">
        <f t="shared" si="670"/>
        <v>Alfalfa 2Ganadería</v>
      </c>
      <c r="D825" s="1857" t="str">
        <f t="shared" si="671"/>
        <v>Alfalfa 2</v>
      </c>
      <c r="E825" s="590"/>
      <c r="F825" s="1972">
        <f t="shared" ref="F825:Q825" si="684">IF($D825&lt;&gt;0,SUMIFS($C$9:$C$98,$D$9:$D$98,$D$640,G$9:G$98,$D825),0)</f>
        <v>0</v>
      </c>
      <c r="G825" s="1972">
        <f t="shared" si="684"/>
        <v>0</v>
      </c>
      <c r="H825" s="1972">
        <f t="shared" si="684"/>
        <v>0</v>
      </c>
      <c r="I825" s="1972">
        <f t="shared" ref="I825:I838" si="685">IF($D825&lt;&gt;0,SUMIFS($C$9:$C$98,$D$9:$D$98,$D$640,J$9:J$98,$D825),0)</f>
        <v>0</v>
      </c>
      <c r="J825" s="1972">
        <f t="shared" si="684"/>
        <v>0</v>
      </c>
      <c r="K825" s="1972">
        <f t="shared" si="684"/>
        <v>0</v>
      </c>
      <c r="L825" s="1972">
        <f t="shared" si="684"/>
        <v>0</v>
      </c>
      <c r="M825" s="1972">
        <f t="shared" si="684"/>
        <v>0</v>
      </c>
      <c r="N825" s="1972">
        <f t="shared" si="684"/>
        <v>0</v>
      </c>
      <c r="O825" s="1972">
        <f t="shared" si="684"/>
        <v>0</v>
      </c>
      <c r="P825" s="1972">
        <f t="shared" si="684"/>
        <v>0</v>
      </c>
      <c r="Q825" s="1972">
        <f t="shared" si="684"/>
        <v>0</v>
      </c>
      <c r="S825" s="1976">
        <f>SUMIF(G$401:G$490,$C825,$S$401:$S$490)*Forrajes!BG21*G$99</f>
        <v>0</v>
      </c>
      <c r="T825" s="668">
        <f>SUMIF(H$401:H$490,$C825,$S$401:$S$490)*Forrajes!BH21*H$99</f>
        <v>0</v>
      </c>
      <c r="U825" s="668">
        <f>SUMIF(I$401:I$490,$C825,$S$401:$S$490)*Forrajes!BI21*I$99</f>
        <v>0</v>
      </c>
      <c r="V825" s="668">
        <f>SUMIF(J$401:J$490,$C825,$S$401:$S$490)*Forrajes!BJ21*J$99</f>
        <v>0</v>
      </c>
      <c r="W825" s="668">
        <f>SUMIF(K$401:K$490,$C825,$S$401:$S$490)*Forrajes!BK21*K$99</f>
        <v>0</v>
      </c>
      <c r="X825" s="668">
        <f>SUMIF(L$401:L$490,$C825,$S$401:$S$490)*Forrajes!BL21*L$99</f>
        <v>0</v>
      </c>
      <c r="Y825" s="668">
        <f>SUMIF(M$401:M$490,$C825,$S$401:$S$490)*Forrajes!BM21*M$99</f>
        <v>0</v>
      </c>
      <c r="Z825" s="668">
        <f>SUMIF(N$401:N$490,$C825,$S$401:$S$490)*Forrajes!BN21*N$99</f>
        <v>0</v>
      </c>
      <c r="AA825" s="668">
        <f>SUMIF(O$401:O$490,$C825,$S$401:$S$490)*Forrajes!BO21*O$99</f>
        <v>0</v>
      </c>
      <c r="AB825" s="668">
        <f>SUMIF(P$401:P$490,$C825,$S$401:$S$490)*Forrajes!BP21*P$99</f>
        <v>0</v>
      </c>
      <c r="AC825" s="668">
        <f>SUMIF(Q$401:Q$490,$C825,$S$401:$S$490)*Forrajes!BQ21*Q$99</f>
        <v>0</v>
      </c>
      <c r="AD825" s="1977">
        <f>SUMIF(R$401:R$490,$C825,$S$401:$S$490)*Forrajes!BR21*R$99</f>
        <v>0</v>
      </c>
      <c r="AF825" s="1976">
        <f>Forrajes!BU21*S825</f>
        <v>0</v>
      </c>
      <c r="AG825" s="668">
        <f>Forrajes!BV21*T825</f>
        <v>0</v>
      </c>
      <c r="AH825" s="668">
        <f>Forrajes!BW21*U825</f>
        <v>0</v>
      </c>
      <c r="AI825" s="668">
        <f>Forrajes!BX21*V825</f>
        <v>0</v>
      </c>
      <c r="AJ825" s="668">
        <f>Forrajes!BY21*W825</f>
        <v>0</v>
      </c>
      <c r="AK825" s="668">
        <f>Forrajes!BZ21*X825</f>
        <v>0</v>
      </c>
      <c r="AL825" s="668">
        <f>Forrajes!CA21*Y825</f>
        <v>0</v>
      </c>
      <c r="AM825" s="668">
        <f>Forrajes!CB21*Z825</f>
        <v>0</v>
      </c>
      <c r="AN825" s="668">
        <f>Forrajes!CC21*AA825</f>
        <v>0</v>
      </c>
      <c r="AO825" s="668">
        <f>Forrajes!CD21*AB825</f>
        <v>0</v>
      </c>
      <c r="AP825" s="668">
        <f>Forrajes!CE21*AC825</f>
        <v>0</v>
      </c>
      <c r="AQ825" s="668">
        <f>Forrajes!CF21*AD825</f>
        <v>0</v>
      </c>
      <c r="AS825" s="1976">
        <f>Forrajes!CI21*S825</f>
        <v>0</v>
      </c>
      <c r="AT825" s="668">
        <f>Forrajes!CJ21*T825</f>
        <v>0</v>
      </c>
      <c r="AU825" s="668">
        <f>Forrajes!CK21*U825</f>
        <v>0</v>
      </c>
      <c r="AV825" s="668">
        <f>Forrajes!CL21*V825</f>
        <v>0</v>
      </c>
      <c r="AW825" s="668">
        <f>Forrajes!CM21*W825</f>
        <v>0</v>
      </c>
      <c r="AX825" s="668">
        <f>Forrajes!CN21*X825</f>
        <v>0</v>
      </c>
      <c r="AY825" s="668">
        <f>Forrajes!CO21*Y825</f>
        <v>0</v>
      </c>
      <c r="AZ825" s="668">
        <f>Forrajes!CP21*Z825</f>
        <v>0</v>
      </c>
      <c r="BA825" s="668">
        <f>Forrajes!CQ21*AA825</f>
        <v>0</v>
      </c>
      <c r="BB825" s="668">
        <f>Forrajes!CR21*AB825</f>
        <v>0</v>
      </c>
      <c r="BC825" s="668">
        <f>Forrajes!CS21*AC825</f>
        <v>0</v>
      </c>
      <c r="BD825" s="1818">
        <f>Forrajes!CT21*AD825</f>
        <v>0</v>
      </c>
      <c r="BE825" s="590"/>
      <c r="BF825" s="100"/>
      <c r="BG825" s="590"/>
      <c r="BH825" s="590"/>
      <c r="BI825" s="1978"/>
      <c r="BJ825" s="1975"/>
      <c r="BK825" s="590"/>
    </row>
    <row r="826" spans="3:63" s="108" customFormat="1" x14ac:dyDescent="0.2">
      <c r="C826" s="1971" t="str">
        <f t="shared" si="670"/>
        <v>Alfalfa 3Ganadería</v>
      </c>
      <c r="D826" s="1857" t="str">
        <f t="shared" si="671"/>
        <v>Alfalfa 3</v>
      </c>
      <c r="E826" s="590"/>
      <c r="F826" s="1972">
        <f t="shared" ref="F826:Q826" si="686">IF($D826&lt;&gt;0,SUMIFS($C$9:$C$98,$D$9:$D$98,$D$640,G$9:G$98,$D826),0)</f>
        <v>0</v>
      </c>
      <c r="G826" s="1972">
        <f t="shared" si="686"/>
        <v>0</v>
      </c>
      <c r="H826" s="1972">
        <f t="shared" si="686"/>
        <v>0</v>
      </c>
      <c r="I826" s="1972">
        <f t="shared" si="685"/>
        <v>0</v>
      </c>
      <c r="J826" s="1972">
        <f t="shared" si="686"/>
        <v>0</v>
      </c>
      <c r="K826" s="1972">
        <f t="shared" si="686"/>
        <v>0</v>
      </c>
      <c r="L826" s="1972">
        <f t="shared" si="686"/>
        <v>0</v>
      </c>
      <c r="M826" s="1972">
        <f t="shared" si="686"/>
        <v>0</v>
      </c>
      <c r="N826" s="1972">
        <f t="shared" si="686"/>
        <v>0</v>
      </c>
      <c r="O826" s="1972">
        <f t="shared" si="686"/>
        <v>0</v>
      </c>
      <c r="P826" s="1972">
        <f t="shared" si="686"/>
        <v>0</v>
      </c>
      <c r="Q826" s="1972">
        <f t="shared" si="686"/>
        <v>0</v>
      </c>
      <c r="S826" s="1976">
        <f>SUMIF(G$401:G$490,$C826,$S$401:$S$490)*Forrajes!BG22*G$99</f>
        <v>0</v>
      </c>
      <c r="T826" s="668">
        <f>SUMIF(H$401:H$490,$C826,$S$401:$S$490)*Forrajes!BH22*H$99</f>
        <v>0</v>
      </c>
      <c r="U826" s="668">
        <f>SUMIF(I$401:I$490,$C826,$S$401:$S$490)*Forrajes!BI22*I$99</f>
        <v>0</v>
      </c>
      <c r="V826" s="668">
        <f>SUMIF(J$401:J$490,$C826,$S$401:$S$490)*Forrajes!BJ22*J$99</f>
        <v>0</v>
      </c>
      <c r="W826" s="668">
        <f>SUMIF(K$401:K$490,$C826,$S$401:$S$490)*Forrajes!BK22*K$99</f>
        <v>0</v>
      </c>
      <c r="X826" s="668">
        <f>SUMIF(L$401:L$490,$C826,$S$401:$S$490)*Forrajes!BL22*L$99</f>
        <v>0</v>
      </c>
      <c r="Y826" s="668">
        <f>SUMIF(M$401:M$490,$C826,$S$401:$S$490)*Forrajes!BM22*M$99</f>
        <v>0</v>
      </c>
      <c r="Z826" s="668">
        <f>SUMIF(N$401:N$490,$C826,$S$401:$S$490)*Forrajes!BN22*N$99</f>
        <v>0</v>
      </c>
      <c r="AA826" s="668">
        <f>SUMIF(O$401:O$490,$C826,$S$401:$S$490)*Forrajes!BO22*O$99</f>
        <v>0</v>
      </c>
      <c r="AB826" s="668">
        <f>SUMIF(P$401:P$490,$C826,$S$401:$S$490)*Forrajes!BP22*P$99</f>
        <v>0</v>
      </c>
      <c r="AC826" s="668">
        <f>SUMIF(Q$401:Q$490,$C826,$S$401:$S$490)*Forrajes!BQ22*Q$99</f>
        <v>0</v>
      </c>
      <c r="AD826" s="1977">
        <f>SUMIF(R$401:R$490,$C826,$S$401:$S$490)*Forrajes!BR22*R$99</f>
        <v>0</v>
      </c>
      <c r="AF826" s="1976">
        <f>Forrajes!BU22*S826</f>
        <v>0</v>
      </c>
      <c r="AG826" s="668">
        <f>Forrajes!BV22*T826</f>
        <v>0</v>
      </c>
      <c r="AH826" s="668">
        <f>Forrajes!BW22*U826</f>
        <v>0</v>
      </c>
      <c r="AI826" s="668">
        <f>Forrajes!BX22*V826</f>
        <v>0</v>
      </c>
      <c r="AJ826" s="668">
        <f>Forrajes!BY22*W826</f>
        <v>0</v>
      </c>
      <c r="AK826" s="668">
        <f>Forrajes!BZ22*X826</f>
        <v>0</v>
      </c>
      <c r="AL826" s="668">
        <f>Forrajes!CA22*Y826</f>
        <v>0</v>
      </c>
      <c r="AM826" s="668">
        <f>Forrajes!CB22*Z826</f>
        <v>0</v>
      </c>
      <c r="AN826" s="668">
        <f>Forrajes!CC22*AA826</f>
        <v>0</v>
      </c>
      <c r="AO826" s="668">
        <f>Forrajes!CD22*AB826</f>
        <v>0</v>
      </c>
      <c r="AP826" s="668">
        <f>Forrajes!CE22*AC826</f>
        <v>0</v>
      </c>
      <c r="AQ826" s="668">
        <f>Forrajes!CF22*AD826</f>
        <v>0</v>
      </c>
      <c r="AS826" s="1976">
        <f>Forrajes!CI22*S826</f>
        <v>0</v>
      </c>
      <c r="AT826" s="668">
        <f>Forrajes!CJ22*T826</f>
        <v>0</v>
      </c>
      <c r="AU826" s="668">
        <f>Forrajes!CK22*U826</f>
        <v>0</v>
      </c>
      <c r="AV826" s="668">
        <f>Forrajes!CL22*V826</f>
        <v>0</v>
      </c>
      <c r="AW826" s="668">
        <f>Forrajes!CM22*W826</f>
        <v>0</v>
      </c>
      <c r="AX826" s="668">
        <f>Forrajes!CN22*X826</f>
        <v>0</v>
      </c>
      <c r="AY826" s="668">
        <f>Forrajes!CO22*Y826</f>
        <v>0</v>
      </c>
      <c r="AZ826" s="668">
        <f>Forrajes!CP22*Z826</f>
        <v>0</v>
      </c>
      <c r="BA826" s="668">
        <f>Forrajes!CQ22*AA826</f>
        <v>0</v>
      </c>
      <c r="BB826" s="668">
        <f>Forrajes!CR22*AB826</f>
        <v>0</v>
      </c>
      <c r="BC826" s="668">
        <f>Forrajes!CS22*AC826</f>
        <v>0</v>
      </c>
      <c r="BD826" s="1818">
        <f>Forrajes!CT22*AD826</f>
        <v>0</v>
      </c>
      <c r="BE826" s="590"/>
      <c r="BF826" s="100"/>
      <c r="BG826" s="590"/>
      <c r="BH826" s="590"/>
      <c r="BI826" s="1978"/>
      <c r="BJ826" s="1975"/>
      <c r="BK826" s="590"/>
    </row>
    <row r="827" spans="3:63" s="108" customFormat="1" x14ac:dyDescent="0.2">
      <c r="C827" s="1971" t="str">
        <f t="shared" si="670"/>
        <v>Alfalfa 4Ganadería</v>
      </c>
      <c r="D827" s="1857" t="str">
        <f t="shared" si="671"/>
        <v>Alfalfa 4</v>
      </c>
      <c r="E827" s="590"/>
      <c r="F827" s="1972">
        <f t="shared" ref="F827:Q827" si="687">IF($D827&lt;&gt;0,SUMIFS($C$9:$C$98,$D$9:$D$98,$D$640,G$9:G$98,$D827),0)</f>
        <v>0</v>
      </c>
      <c r="G827" s="1972">
        <f t="shared" si="687"/>
        <v>0</v>
      </c>
      <c r="H827" s="1972">
        <f t="shared" si="687"/>
        <v>0</v>
      </c>
      <c r="I827" s="1972">
        <f t="shared" si="685"/>
        <v>0</v>
      </c>
      <c r="J827" s="1972">
        <f t="shared" si="687"/>
        <v>0</v>
      </c>
      <c r="K827" s="1972">
        <f t="shared" si="687"/>
        <v>0</v>
      </c>
      <c r="L827" s="1972">
        <f t="shared" si="687"/>
        <v>0</v>
      </c>
      <c r="M827" s="1972">
        <f t="shared" si="687"/>
        <v>0</v>
      </c>
      <c r="N827" s="1972">
        <f t="shared" si="687"/>
        <v>0</v>
      </c>
      <c r="O827" s="1972">
        <f t="shared" si="687"/>
        <v>0</v>
      </c>
      <c r="P827" s="1972">
        <f t="shared" si="687"/>
        <v>0</v>
      </c>
      <c r="Q827" s="1972">
        <f t="shared" si="687"/>
        <v>0</v>
      </c>
      <c r="S827" s="1976">
        <f>SUMIF(G$401:G$490,$C827,$S$401:$S$490)*Forrajes!BG23*G$99</f>
        <v>0</v>
      </c>
      <c r="T827" s="668">
        <f>SUMIF(H$401:H$490,$C827,$S$401:$S$490)*Forrajes!BH23*H$99</f>
        <v>0</v>
      </c>
      <c r="U827" s="668">
        <f>SUMIF(I$401:I$490,$C827,$S$401:$S$490)*Forrajes!BI23*I$99</f>
        <v>0</v>
      </c>
      <c r="V827" s="668">
        <f>SUMIF(J$401:J$490,$C827,$S$401:$S$490)*Forrajes!BJ23*J$99</f>
        <v>0</v>
      </c>
      <c r="W827" s="668">
        <f>SUMIF(K$401:K$490,$C827,$S$401:$S$490)*Forrajes!BK23*K$99</f>
        <v>0</v>
      </c>
      <c r="X827" s="668">
        <f>SUMIF(L$401:L$490,$C827,$S$401:$S$490)*Forrajes!BL23*L$99</f>
        <v>0</v>
      </c>
      <c r="Y827" s="668">
        <f>SUMIF(M$401:M$490,$C827,$S$401:$S$490)*Forrajes!BM23*M$99</f>
        <v>0</v>
      </c>
      <c r="Z827" s="668">
        <f>SUMIF(N$401:N$490,$C827,$S$401:$S$490)*Forrajes!BN23*N$99</f>
        <v>0</v>
      </c>
      <c r="AA827" s="668">
        <f>SUMIF(O$401:O$490,$C827,$S$401:$S$490)*Forrajes!BO23*O$99</f>
        <v>0</v>
      </c>
      <c r="AB827" s="668">
        <f>SUMIF(P$401:P$490,$C827,$S$401:$S$490)*Forrajes!BP23*P$99</f>
        <v>0</v>
      </c>
      <c r="AC827" s="668">
        <f>SUMIF(Q$401:Q$490,$C827,$S$401:$S$490)*Forrajes!BQ23*Q$99</f>
        <v>0</v>
      </c>
      <c r="AD827" s="1977">
        <f>SUMIF(R$401:R$490,$C827,$S$401:$S$490)*Forrajes!BR23*R$99</f>
        <v>0</v>
      </c>
      <c r="AF827" s="1976">
        <f>Forrajes!BU23*S827</f>
        <v>0</v>
      </c>
      <c r="AG827" s="668">
        <f>Forrajes!BV23*T827</f>
        <v>0</v>
      </c>
      <c r="AH827" s="668">
        <f>Forrajes!BW23*U827</f>
        <v>0</v>
      </c>
      <c r="AI827" s="668">
        <f>Forrajes!BX23*V827</f>
        <v>0</v>
      </c>
      <c r="AJ827" s="668">
        <f>Forrajes!BY23*W827</f>
        <v>0</v>
      </c>
      <c r="AK827" s="668">
        <f>Forrajes!BZ23*X827</f>
        <v>0</v>
      </c>
      <c r="AL827" s="668">
        <f>Forrajes!CA23*Y827</f>
        <v>0</v>
      </c>
      <c r="AM827" s="668">
        <f>Forrajes!CB23*Z827</f>
        <v>0</v>
      </c>
      <c r="AN827" s="668">
        <f>Forrajes!CC23*AA827</f>
        <v>0</v>
      </c>
      <c r="AO827" s="668">
        <f>Forrajes!CD23*AB827</f>
        <v>0</v>
      </c>
      <c r="AP827" s="668">
        <f>Forrajes!CE23*AC827</f>
        <v>0</v>
      </c>
      <c r="AQ827" s="668">
        <f>Forrajes!CF23*AD827</f>
        <v>0</v>
      </c>
      <c r="AS827" s="1976">
        <f>Forrajes!CI23*S827</f>
        <v>0</v>
      </c>
      <c r="AT827" s="668">
        <f>Forrajes!CJ23*T827</f>
        <v>0</v>
      </c>
      <c r="AU827" s="668">
        <f>Forrajes!CK23*U827</f>
        <v>0</v>
      </c>
      <c r="AV827" s="668">
        <f>Forrajes!CL23*V827</f>
        <v>0</v>
      </c>
      <c r="AW827" s="668">
        <f>Forrajes!CM23*W827</f>
        <v>0</v>
      </c>
      <c r="AX827" s="668">
        <f>Forrajes!CN23*X827</f>
        <v>0</v>
      </c>
      <c r="AY827" s="668">
        <f>Forrajes!CO23*Y827</f>
        <v>0</v>
      </c>
      <c r="AZ827" s="668">
        <f>Forrajes!CP23*Z827</f>
        <v>0</v>
      </c>
      <c r="BA827" s="668">
        <f>Forrajes!CQ23*AA827</f>
        <v>0</v>
      </c>
      <c r="BB827" s="668">
        <f>Forrajes!CR23*AB827</f>
        <v>0</v>
      </c>
      <c r="BC827" s="668">
        <f>Forrajes!CS23*AC827</f>
        <v>0</v>
      </c>
      <c r="BD827" s="1818">
        <f>Forrajes!CT23*AD827</f>
        <v>0</v>
      </c>
      <c r="BE827" s="590"/>
      <c r="BF827" s="100"/>
      <c r="BG827" s="590"/>
      <c r="BH827" s="590"/>
      <c r="BI827" s="1978"/>
      <c r="BJ827" s="1975"/>
      <c r="BK827" s="590"/>
    </row>
    <row r="828" spans="3:63" s="108" customFormat="1" x14ac:dyDescent="0.2">
      <c r="C828" s="1971" t="str">
        <f t="shared" si="670"/>
        <v>PP 2Ganadería</v>
      </c>
      <c r="D828" s="1857" t="str">
        <f t="shared" si="671"/>
        <v>PP 2</v>
      </c>
      <c r="E828" s="590"/>
      <c r="F828" s="1972">
        <f t="shared" ref="F828:Q828" si="688">IF($D828&lt;&gt;0,SUMIFS($C$9:$C$98,$D$9:$D$98,$D$640,G$9:G$98,$D828),0)</f>
        <v>0</v>
      </c>
      <c r="G828" s="1972">
        <f t="shared" si="688"/>
        <v>0</v>
      </c>
      <c r="H828" s="1972">
        <f t="shared" si="688"/>
        <v>0</v>
      </c>
      <c r="I828" s="1972">
        <f t="shared" si="685"/>
        <v>0</v>
      </c>
      <c r="J828" s="1972">
        <f t="shared" si="688"/>
        <v>0</v>
      </c>
      <c r="K828" s="1972">
        <f t="shared" si="688"/>
        <v>0</v>
      </c>
      <c r="L828" s="1972">
        <f t="shared" si="688"/>
        <v>0</v>
      </c>
      <c r="M828" s="1972">
        <f t="shared" si="688"/>
        <v>0</v>
      </c>
      <c r="N828" s="1972">
        <f t="shared" si="688"/>
        <v>0</v>
      </c>
      <c r="O828" s="1972">
        <f t="shared" si="688"/>
        <v>0</v>
      </c>
      <c r="P828" s="1972">
        <f t="shared" si="688"/>
        <v>0</v>
      </c>
      <c r="Q828" s="1972">
        <f t="shared" si="688"/>
        <v>0</v>
      </c>
      <c r="S828" s="1976">
        <f>SUMIF(G$401:G$490,$C828,$S$401:$S$490)*Forrajes!BG24*G$99</f>
        <v>0</v>
      </c>
      <c r="T828" s="668">
        <f>SUMIF(H$401:H$490,$C828,$S$401:$S$490)*Forrajes!BH24*H$99</f>
        <v>0</v>
      </c>
      <c r="U828" s="668">
        <f>SUMIF(I$401:I$490,$C828,$S$401:$S$490)*Forrajes!BI24*I$99</f>
        <v>0</v>
      </c>
      <c r="V828" s="668">
        <f>SUMIF(J$401:J$490,$C828,$S$401:$S$490)*Forrajes!BJ24*J$99</f>
        <v>0</v>
      </c>
      <c r="W828" s="668">
        <f>SUMIF(K$401:K$490,$C828,$S$401:$S$490)*Forrajes!BK24*K$99</f>
        <v>0</v>
      </c>
      <c r="X828" s="668">
        <f>SUMIF(L$401:L$490,$C828,$S$401:$S$490)*Forrajes!BL24*L$99</f>
        <v>0</v>
      </c>
      <c r="Y828" s="668">
        <f>SUMIF(M$401:M$490,$C828,$S$401:$S$490)*Forrajes!BM24*M$99</f>
        <v>0</v>
      </c>
      <c r="Z828" s="668">
        <f>SUMIF(N$401:N$490,$C828,$S$401:$S$490)*Forrajes!BN24*N$99</f>
        <v>0</v>
      </c>
      <c r="AA828" s="668">
        <f>SUMIF(O$401:O$490,$C828,$S$401:$S$490)*Forrajes!BO24*O$99</f>
        <v>0</v>
      </c>
      <c r="AB828" s="668">
        <f>SUMIF(P$401:P$490,$C828,$S$401:$S$490)*Forrajes!BP24*P$99</f>
        <v>0</v>
      </c>
      <c r="AC828" s="668">
        <f>SUMIF(Q$401:Q$490,$C828,$S$401:$S$490)*Forrajes!BQ24*Q$99</f>
        <v>0</v>
      </c>
      <c r="AD828" s="1977">
        <f>SUMIF(R$401:R$490,$C828,$S$401:$S$490)*Forrajes!BR24*R$99</f>
        <v>0</v>
      </c>
      <c r="AF828" s="1976">
        <f>Forrajes!BU24*S828</f>
        <v>0</v>
      </c>
      <c r="AG828" s="668">
        <f>Forrajes!BV24*T828</f>
        <v>0</v>
      </c>
      <c r="AH828" s="668">
        <f>Forrajes!BW24*U828</f>
        <v>0</v>
      </c>
      <c r="AI828" s="668">
        <f>Forrajes!BX24*V828</f>
        <v>0</v>
      </c>
      <c r="AJ828" s="668">
        <f>Forrajes!BY24*W828</f>
        <v>0</v>
      </c>
      <c r="AK828" s="668">
        <f>Forrajes!BZ24*X828</f>
        <v>0</v>
      </c>
      <c r="AL828" s="668">
        <f>Forrajes!CA24*Y828</f>
        <v>0</v>
      </c>
      <c r="AM828" s="668">
        <f>Forrajes!CB24*Z828</f>
        <v>0</v>
      </c>
      <c r="AN828" s="668">
        <f>Forrajes!CC24*AA828</f>
        <v>0</v>
      </c>
      <c r="AO828" s="668">
        <f>Forrajes!CD24*AB828</f>
        <v>0</v>
      </c>
      <c r="AP828" s="668">
        <f>Forrajes!CE24*AC828</f>
        <v>0</v>
      </c>
      <c r="AQ828" s="668">
        <f>Forrajes!CF24*AD828</f>
        <v>0</v>
      </c>
      <c r="AS828" s="1976">
        <f>Forrajes!CI24*S828</f>
        <v>0</v>
      </c>
      <c r="AT828" s="668">
        <f>Forrajes!CJ24*T828</f>
        <v>0</v>
      </c>
      <c r="AU828" s="668">
        <f>Forrajes!CK24*U828</f>
        <v>0</v>
      </c>
      <c r="AV828" s="668">
        <f>Forrajes!CL24*V828</f>
        <v>0</v>
      </c>
      <c r="AW828" s="668">
        <f>Forrajes!CM24*W828</f>
        <v>0</v>
      </c>
      <c r="AX828" s="668">
        <f>Forrajes!CN24*X828</f>
        <v>0</v>
      </c>
      <c r="AY828" s="668">
        <f>Forrajes!CO24*Y828</f>
        <v>0</v>
      </c>
      <c r="AZ828" s="668">
        <f>Forrajes!CP24*Z828</f>
        <v>0</v>
      </c>
      <c r="BA828" s="668">
        <f>Forrajes!CQ24*AA828</f>
        <v>0</v>
      </c>
      <c r="BB828" s="668">
        <f>Forrajes!CR24*AB828</f>
        <v>0</v>
      </c>
      <c r="BC828" s="668">
        <f>Forrajes!CS24*AC828</f>
        <v>0</v>
      </c>
      <c r="BD828" s="1818">
        <f>Forrajes!CT24*AD828</f>
        <v>0</v>
      </c>
      <c r="BE828" s="590"/>
      <c r="BF828" s="100"/>
      <c r="BG828" s="590"/>
      <c r="BH828" s="590"/>
      <c r="BI828" s="1978"/>
      <c r="BJ828" s="1975"/>
      <c r="BK828" s="590"/>
    </row>
    <row r="829" spans="3:63" s="108" customFormat="1" x14ac:dyDescent="0.2">
      <c r="C829" s="1971" t="str">
        <f t="shared" si="670"/>
        <v>PP 3Ganadería</v>
      </c>
      <c r="D829" s="1857" t="str">
        <f t="shared" si="671"/>
        <v>PP 3</v>
      </c>
      <c r="E829" s="590"/>
      <c r="F829" s="1972">
        <f t="shared" ref="F829:Q829" si="689">IF($D829&lt;&gt;0,SUMIFS($C$9:$C$98,$D$9:$D$98,$D$640,G$9:G$98,$D829),0)</f>
        <v>0</v>
      </c>
      <c r="G829" s="1972">
        <f t="shared" si="689"/>
        <v>0</v>
      </c>
      <c r="H829" s="1972">
        <f t="shared" si="689"/>
        <v>0</v>
      </c>
      <c r="I829" s="1972">
        <f t="shared" si="685"/>
        <v>0</v>
      </c>
      <c r="J829" s="1972">
        <f t="shared" si="689"/>
        <v>0</v>
      </c>
      <c r="K829" s="1972">
        <f t="shared" si="689"/>
        <v>0</v>
      </c>
      <c r="L829" s="1972">
        <f t="shared" si="689"/>
        <v>0</v>
      </c>
      <c r="M829" s="1972">
        <f t="shared" si="689"/>
        <v>0</v>
      </c>
      <c r="N829" s="1972">
        <f t="shared" si="689"/>
        <v>0</v>
      </c>
      <c r="O829" s="1972">
        <f t="shared" si="689"/>
        <v>0</v>
      </c>
      <c r="P829" s="1972">
        <f t="shared" si="689"/>
        <v>0</v>
      </c>
      <c r="Q829" s="1972">
        <f t="shared" si="689"/>
        <v>0</v>
      </c>
      <c r="S829" s="1976">
        <f>SUMIF(G$401:G$490,$C829,$S$401:$S$490)*Forrajes!BG25*G$99</f>
        <v>0</v>
      </c>
      <c r="T829" s="668">
        <f>SUMIF(H$401:H$490,$C829,$S$401:$S$490)*Forrajes!BH25*H$99</f>
        <v>0</v>
      </c>
      <c r="U829" s="668">
        <f>SUMIF(I$401:I$490,$C829,$S$401:$S$490)*Forrajes!BI25*I$99</f>
        <v>0</v>
      </c>
      <c r="V829" s="668">
        <f>SUMIF(J$401:J$490,$C829,$S$401:$S$490)*Forrajes!BJ25*J$99</f>
        <v>0</v>
      </c>
      <c r="W829" s="668">
        <f>SUMIF(K$401:K$490,$C829,$S$401:$S$490)*Forrajes!BK25*K$99</f>
        <v>0</v>
      </c>
      <c r="X829" s="668">
        <f>SUMIF(L$401:L$490,$C829,$S$401:$S$490)*Forrajes!BL25*L$99</f>
        <v>0</v>
      </c>
      <c r="Y829" s="668">
        <f>SUMIF(M$401:M$490,$C829,$S$401:$S$490)*Forrajes!BM25*M$99</f>
        <v>0</v>
      </c>
      <c r="Z829" s="668">
        <f>SUMIF(N$401:N$490,$C829,$S$401:$S$490)*Forrajes!BN25*N$99</f>
        <v>0</v>
      </c>
      <c r="AA829" s="668">
        <f>SUMIF(O$401:O$490,$C829,$S$401:$S$490)*Forrajes!BO25*O$99</f>
        <v>0</v>
      </c>
      <c r="AB829" s="668">
        <f>SUMIF(P$401:P$490,$C829,$S$401:$S$490)*Forrajes!BP25*P$99</f>
        <v>0</v>
      </c>
      <c r="AC829" s="668">
        <f>SUMIF(Q$401:Q$490,$C829,$S$401:$S$490)*Forrajes!BQ25*Q$99</f>
        <v>0</v>
      </c>
      <c r="AD829" s="1977">
        <f>SUMIF(R$401:R$490,$C829,$S$401:$S$490)*Forrajes!BR25*R$99</f>
        <v>0</v>
      </c>
      <c r="AF829" s="1976">
        <f>Forrajes!BU25*S829</f>
        <v>0</v>
      </c>
      <c r="AG829" s="668">
        <f>Forrajes!BV25*T829</f>
        <v>0</v>
      </c>
      <c r="AH829" s="668">
        <f>Forrajes!BW25*U829</f>
        <v>0</v>
      </c>
      <c r="AI829" s="668">
        <f>Forrajes!BX25*V829</f>
        <v>0</v>
      </c>
      <c r="AJ829" s="668">
        <f>Forrajes!BY25*W829</f>
        <v>0</v>
      </c>
      <c r="AK829" s="668">
        <f>Forrajes!BZ25*X829</f>
        <v>0</v>
      </c>
      <c r="AL829" s="668">
        <f>Forrajes!CA25*Y829</f>
        <v>0</v>
      </c>
      <c r="AM829" s="668">
        <f>Forrajes!CB25*Z829</f>
        <v>0</v>
      </c>
      <c r="AN829" s="668">
        <f>Forrajes!CC25*AA829</f>
        <v>0</v>
      </c>
      <c r="AO829" s="668">
        <f>Forrajes!CD25*AB829</f>
        <v>0</v>
      </c>
      <c r="AP829" s="668">
        <f>Forrajes!CE25*AC829</f>
        <v>0</v>
      </c>
      <c r="AQ829" s="668">
        <f>Forrajes!CF25*AD829</f>
        <v>0</v>
      </c>
      <c r="AS829" s="1976">
        <f>Forrajes!CI25*S829</f>
        <v>0</v>
      </c>
      <c r="AT829" s="668">
        <f>Forrajes!CJ25*T829</f>
        <v>0</v>
      </c>
      <c r="AU829" s="668">
        <f>Forrajes!CK25*U829</f>
        <v>0</v>
      </c>
      <c r="AV829" s="668">
        <f>Forrajes!CL25*V829</f>
        <v>0</v>
      </c>
      <c r="AW829" s="668">
        <f>Forrajes!CM25*W829</f>
        <v>0</v>
      </c>
      <c r="AX829" s="668">
        <f>Forrajes!CN25*X829</f>
        <v>0</v>
      </c>
      <c r="AY829" s="668">
        <f>Forrajes!CO25*Y829</f>
        <v>0</v>
      </c>
      <c r="AZ829" s="668">
        <f>Forrajes!CP25*Z829</f>
        <v>0</v>
      </c>
      <c r="BA829" s="668">
        <f>Forrajes!CQ25*AA829</f>
        <v>0</v>
      </c>
      <c r="BB829" s="668">
        <f>Forrajes!CR25*AB829</f>
        <v>0</v>
      </c>
      <c r="BC829" s="668">
        <f>Forrajes!CS25*AC829</f>
        <v>0</v>
      </c>
      <c r="BD829" s="1818">
        <f>Forrajes!CT25*AD829</f>
        <v>0</v>
      </c>
      <c r="BE829" s="590"/>
      <c r="BF829" s="100"/>
      <c r="BG829" s="590"/>
      <c r="BH829" s="590"/>
      <c r="BI829" s="1978"/>
      <c r="BJ829" s="1975"/>
      <c r="BK829" s="590"/>
    </row>
    <row r="830" spans="3:63" s="108" customFormat="1" x14ac:dyDescent="0.2">
      <c r="C830" s="1971" t="str">
        <f t="shared" si="670"/>
        <v>PP 4Ganadería</v>
      </c>
      <c r="D830" s="1857" t="str">
        <f t="shared" si="671"/>
        <v>PP 4</v>
      </c>
      <c r="E830" s="590"/>
      <c r="F830" s="1972">
        <f t="shared" ref="F830:Q830" si="690">IF($D830&lt;&gt;0,SUMIFS($C$9:$C$98,$D$9:$D$98,$D$640,G$9:G$98,$D830),0)</f>
        <v>0</v>
      </c>
      <c r="G830" s="1972">
        <f t="shared" si="690"/>
        <v>0</v>
      </c>
      <c r="H830" s="1972">
        <f t="shared" si="690"/>
        <v>0</v>
      </c>
      <c r="I830" s="1972">
        <f t="shared" si="685"/>
        <v>0</v>
      </c>
      <c r="J830" s="1972">
        <f t="shared" si="690"/>
        <v>0</v>
      </c>
      <c r="K830" s="1972">
        <f t="shared" si="690"/>
        <v>0</v>
      </c>
      <c r="L830" s="1972">
        <f t="shared" si="690"/>
        <v>0</v>
      </c>
      <c r="M830" s="1972">
        <f t="shared" si="690"/>
        <v>0</v>
      </c>
      <c r="N830" s="1972">
        <f t="shared" si="690"/>
        <v>0</v>
      </c>
      <c r="O830" s="1972">
        <f t="shared" si="690"/>
        <v>0</v>
      </c>
      <c r="P830" s="1972">
        <f t="shared" si="690"/>
        <v>0</v>
      </c>
      <c r="Q830" s="1972">
        <f t="shared" si="690"/>
        <v>0</v>
      </c>
      <c r="S830" s="1976">
        <f>SUMIF(G$401:G$490,$C830,$S$401:$S$490)*Forrajes!BG26*G$99</f>
        <v>0</v>
      </c>
      <c r="T830" s="668">
        <f>SUMIF(H$401:H$490,$C830,$S$401:$S$490)*Forrajes!BH26*H$99</f>
        <v>0</v>
      </c>
      <c r="U830" s="668">
        <f>SUMIF(I$401:I$490,$C830,$S$401:$S$490)*Forrajes!BI26*I$99</f>
        <v>0</v>
      </c>
      <c r="V830" s="668">
        <f>SUMIF(J$401:J$490,$C830,$S$401:$S$490)*Forrajes!BJ26*J$99</f>
        <v>0</v>
      </c>
      <c r="W830" s="668">
        <f>SUMIF(K$401:K$490,$C830,$S$401:$S$490)*Forrajes!BK26*K$99</f>
        <v>0</v>
      </c>
      <c r="X830" s="668">
        <f>SUMIF(L$401:L$490,$C830,$S$401:$S$490)*Forrajes!BL26*L$99</f>
        <v>0</v>
      </c>
      <c r="Y830" s="668">
        <f>SUMIF(M$401:M$490,$C830,$S$401:$S$490)*Forrajes!BM26*M$99</f>
        <v>0</v>
      </c>
      <c r="Z830" s="668">
        <f>SUMIF(N$401:N$490,$C830,$S$401:$S$490)*Forrajes!BN26*N$99</f>
        <v>0</v>
      </c>
      <c r="AA830" s="668">
        <f>SUMIF(O$401:O$490,$C830,$S$401:$S$490)*Forrajes!BO26*O$99</f>
        <v>0</v>
      </c>
      <c r="AB830" s="668">
        <f>SUMIF(P$401:P$490,$C830,$S$401:$S$490)*Forrajes!BP26*P$99</f>
        <v>0</v>
      </c>
      <c r="AC830" s="668">
        <f>SUMIF(Q$401:Q$490,$C830,$S$401:$S$490)*Forrajes!BQ26*Q$99</f>
        <v>0</v>
      </c>
      <c r="AD830" s="1977">
        <f>SUMIF(R$401:R$490,$C830,$S$401:$S$490)*Forrajes!BR26*R$99</f>
        <v>0</v>
      </c>
      <c r="AF830" s="1976">
        <f>Forrajes!BU26*S830</f>
        <v>0</v>
      </c>
      <c r="AG830" s="668">
        <f>Forrajes!BV26*T830</f>
        <v>0</v>
      </c>
      <c r="AH830" s="668">
        <f>Forrajes!BW26*U830</f>
        <v>0</v>
      </c>
      <c r="AI830" s="668">
        <f>Forrajes!BX26*V830</f>
        <v>0</v>
      </c>
      <c r="AJ830" s="668">
        <f>Forrajes!BY26*W830</f>
        <v>0</v>
      </c>
      <c r="AK830" s="668">
        <f>Forrajes!BZ26*X830</f>
        <v>0</v>
      </c>
      <c r="AL830" s="668">
        <f>Forrajes!CA26*Y830</f>
        <v>0</v>
      </c>
      <c r="AM830" s="668">
        <f>Forrajes!CB26*Z830</f>
        <v>0</v>
      </c>
      <c r="AN830" s="668">
        <f>Forrajes!CC26*AA830</f>
        <v>0</v>
      </c>
      <c r="AO830" s="668">
        <f>Forrajes!CD26*AB830</f>
        <v>0</v>
      </c>
      <c r="AP830" s="668">
        <f>Forrajes!CE26*AC830</f>
        <v>0</v>
      </c>
      <c r="AQ830" s="668">
        <f>Forrajes!CF26*AD830</f>
        <v>0</v>
      </c>
      <c r="AS830" s="1976">
        <f>Forrajes!CI26*S830</f>
        <v>0</v>
      </c>
      <c r="AT830" s="668">
        <f>Forrajes!CJ26*T830</f>
        <v>0</v>
      </c>
      <c r="AU830" s="668">
        <f>Forrajes!CK26*U830</f>
        <v>0</v>
      </c>
      <c r="AV830" s="668">
        <f>Forrajes!CL26*V830</f>
        <v>0</v>
      </c>
      <c r="AW830" s="668">
        <f>Forrajes!CM26*W830</f>
        <v>0</v>
      </c>
      <c r="AX830" s="668">
        <f>Forrajes!CN26*X830</f>
        <v>0</v>
      </c>
      <c r="AY830" s="668">
        <f>Forrajes!CO26*Y830</f>
        <v>0</v>
      </c>
      <c r="AZ830" s="668">
        <f>Forrajes!CP26*Z830</f>
        <v>0</v>
      </c>
      <c r="BA830" s="668">
        <f>Forrajes!CQ26*AA830</f>
        <v>0</v>
      </c>
      <c r="BB830" s="668">
        <f>Forrajes!CR26*AB830</f>
        <v>0</v>
      </c>
      <c r="BC830" s="668">
        <f>Forrajes!CS26*AC830</f>
        <v>0</v>
      </c>
      <c r="BD830" s="1818">
        <f>Forrajes!CT26*AD830</f>
        <v>0</v>
      </c>
      <c r="BE830" s="590"/>
      <c r="BF830" s="100"/>
      <c r="BG830" s="590"/>
      <c r="BH830" s="590"/>
      <c r="BI830" s="1978"/>
      <c r="BJ830" s="1975"/>
      <c r="BK830" s="590"/>
    </row>
    <row r="831" spans="3:63" s="108" customFormat="1" x14ac:dyDescent="0.2">
      <c r="C831" s="1971" t="str">
        <f t="shared" si="670"/>
        <v>Prad 2Ganadería</v>
      </c>
      <c r="D831" s="1857" t="str">
        <f t="shared" si="671"/>
        <v>Prad 2</v>
      </c>
      <c r="E831" s="590"/>
      <c r="F831" s="1972">
        <f t="shared" ref="F831:Q831" si="691">IF($D831&lt;&gt;0,SUMIFS($C$9:$C$98,$D$9:$D$98,$D$640,G$9:G$98,$D831),0)</f>
        <v>0</v>
      </c>
      <c r="G831" s="1972">
        <f t="shared" si="691"/>
        <v>0</v>
      </c>
      <c r="H831" s="1972">
        <f t="shared" si="691"/>
        <v>0</v>
      </c>
      <c r="I831" s="1972">
        <f t="shared" si="685"/>
        <v>0</v>
      </c>
      <c r="J831" s="1972">
        <f t="shared" si="691"/>
        <v>0</v>
      </c>
      <c r="K831" s="1972">
        <f t="shared" si="691"/>
        <v>0</v>
      </c>
      <c r="L831" s="1972">
        <f t="shared" si="691"/>
        <v>0</v>
      </c>
      <c r="M831" s="1972">
        <f t="shared" si="691"/>
        <v>0</v>
      </c>
      <c r="N831" s="1972">
        <f t="shared" si="691"/>
        <v>0</v>
      </c>
      <c r="O831" s="1972">
        <f t="shared" si="691"/>
        <v>0</v>
      </c>
      <c r="P831" s="1972">
        <f t="shared" si="691"/>
        <v>0</v>
      </c>
      <c r="Q831" s="1972">
        <f t="shared" si="691"/>
        <v>0</v>
      </c>
      <c r="S831" s="1976">
        <f>SUMIF(G$401:G$490,$C831,$S$401:$S$490)*Forrajes!BG27*G$99</f>
        <v>0</v>
      </c>
      <c r="T831" s="668">
        <f>SUMIF(H$401:H$490,$C831,$S$401:$S$490)*Forrajes!BH27*H$99</f>
        <v>0</v>
      </c>
      <c r="U831" s="668">
        <f>SUMIF(I$401:I$490,$C831,$S$401:$S$490)*Forrajes!BI27*I$99</f>
        <v>0</v>
      </c>
      <c r="V831" s="668">
        <f>SUMIF(J$401:J$490,$C831,$S$401:$S$490)*Forrajes!BJ27*J$99</f>
        <v>0</v>
      </c>
      <c r="W831" s="668">
        <f>SUMIF(K$401:K$490,$C831,$S$401:$S$490)*Forrajes!BK27*K$99</f>
        <v>0</v>
      </c>
      <c r="X831" s="668">
        <f>SUMIF(L$401:L$490,$C831,$S$401:$S$490)*Forrajes!BL27*L$99</f>
        <v>0</v>
      </c>
      <c r="Y831" s="668">
        <f>SUMIF(M$401:M$490,$C831,$S$401:$S$490)*Forrajes!BM27*M$99</f>
        <v>0</v>
      </c>
      <c r="Z831" s="668">
        <f>SUMIF(N$401:N$490,$C831,$S$401:$S$490)*Forrajes!BN27*N$99</f>
        <v>0</v>
      </c>
      <c r="AA831" s="668">
        <f>SUMIF(O$401:O$490,$C831,$S$401:$S$490)*Forrajes!BO27*O$99</f>
        <v>0</v>
      </c>
      <c r="AB831" s="668">
        <f>SUMIF(P$401:P$490,$C831,$S$401:$S$490)*Forrajes!BP27*P$99</f>
        <v>0</v>
      </c>
      <c r="AC831" s="668">
        <f>SUMIF(Q$401:Q$490,$C831,$S$401:$S$490)*Forrajes!BQ27*Q$99</f>
        <v>0</v>
      </c>
      <c r="AD831" s="1977">
        <f>SUMIF(R$401:R$490,$C831,$S$401:$S$490)*Forrajes!BR27*R$99</f>
        <v>0</v>
      </c>
      <c r="AF831" s="1976">
        <f>Forrajes!BU27*S831</f>
        <v>0</v>
      </c>
      <c r="AG831" s="668">
        <f>Forrajes!BV27*T831</f>
        <v>0</v>
      </c>
      <c r="AH831" s="668">
        <f>Forrajes!BW27*U831</f>
        <v>0</v>
      </c>
      <c r="AI831" s="668">
        <f>Forrajes!BX27*V831</f>
        <v>0</v>
      </c>
      <c r="AJ831" s="668">
        <f>Forrajes!BY27*W831</f>
        <v>0</v>
      </c>
      <c r="AK831" s="668">
        <f>Forrajes!BZ27*X831</f>
        <v>0</v>
      </c>
      <c r="AL831" s="668">
        <f>Forrajes!CA27*Y831</f>
        <v>0</v>
      </c>
      <c r="AM831" s="668">
        <f>Forrajes!CB27*Z831</f>
        <v>0</v>
      </c>
      <c r="AN831" s="668">
        <f>Forrajes!CC27*AA831</f>
        <v>0</v>
      </c>
      <c r="AO831" s="668">
        <f>Forrajes!CD27*AB831</f>
        <v>0</v>
      </c>
      <c r="AP831" s="668">
        <f>Forrajes!CE27*AC831</f>
        <v>0</v>
      </c>
      <c r="AQ831" s="668">
        <f>Forrajes!CF27*AD831</f>
        <v>0</v>
      </c>
      <c r="AS831" s="1976">
        <f>Forrajes!CI27*S831</f>
        <v>0</v>
      </c>
      <c r="AT831" s="668">
        <f>Forrajes!CJ27*T831</f>
        <v>0</v>
      </c>
      <c r="AU831" s="668">
        <f>Forrajes!CK27*U831</f>
        <v>0</v>
      </c>
      <c r="AV831" s="668">
        <f>Forrajes!CL27*V831</f>
        <v>0</v>
      </c>
      <c r="AW831" s="668">
        <f>Forrajes!CM27*W831</f>
        <v>0</v>
      </c>
      <c r="AX831" s="668">
        <f>Forrajes!CN27*X831</f>
        <v>0</v>
      </c>
      <c r="AY831" s="668">
        <f>Forrajes!CO27*Y831</f>
        <v>0</v>
      </c>
      <c r="AZ831" s="668">
        <f>Forrajes!CP27*Z831</f>
        <v>0</v>
      </c>
      <c r="BA831" s="668">
        <f>Forrajes!CQ27*AA831</f>
        <v>0</v>
      </c>
      <c r="BB831" s="668">
        <f>Forrajes!CR27*AB831</f>
        <v>0</v>
      </c>
      <c r="BC831" s="668">
        <f>Forrajes!CS27*AC831</f>
        <v>0</v>
      </c>
      <c r="BD831" s="1818">
        <f>Forrajes!CT27*AD831</f>
        <v>0</v>
      </c>
      <c r="BE831" s="590"/>
      <c r="BF831" s="100"/>
      <c r="BG831" s="590"/>
      <c r="BH831" s="590"/>
      <c r="BI831" s="100"/>
      <c r="BJ831" s="1975"/>
      <c r="BK831" s="590"/>
    </row>
    <row r="832" spans="3:63" s="108" customFormat="1" x14ac:dyDescent="0.2">
      <c r="C832" s="1971" t="str">
        <f t="shared" si="670"/>
        <v>Prad 3Ganadería</v>
      </c>
      <c r="D832" s="1857" t="str">
        <f t="shared" si="671"/>
        <v>Prad 3</v>
      </c>
      <c r="E832" s="590"/>
      <c r="F832" s="1972">
        <f t="shared" ref="F832:Q832" si="692">IF($D832&lt;&gt;0,SUMIFS($C$9:$C$98,$D$9:$D$98,$D$640,G$9:G$98,$D832),0)</f>
        <v>0</v>
      </c>
      <c r="G832" s="1972">
        <f t="shared" si="692"/>
        <v>0</v>
      </c>
      <c r="H832" s="1972">
        <f t="shared" si="692"/>
        <v>0</v>
      </c>
      <c r="I832" s="1972">
        <f t="shared" si="685"/>
        <v>0</v>
      </c>
      <c r="J832" s="1972">
        <f t="shared" si="692"/>
        <v>0</v>
      </c>
      <c r="K832" s="1972">
        <f t="shared" si="692"/>
        <v>0</v>
      </c>
      <c r="L832" s="1972">
        <f t="shared" si="692"/>
        <v>0</v>
      </c>
      <c r="M832" s="1972">
        <f t="shared" si="692"/>
        <v>0</v>
      </c>
      <c r="N832" s="1972">
        <f t="shared" si="692"/>
        <v>0</v>
      </c>
      <c r="O832" s="1972">
        <f t="shared" si="692"/>
        <v>0</v>
      </c>
      <c r="P832" s="1972">
        <f t="shared" si="692"/>
        <v>0</v>
      </c>
      <c r="Q832" s="1972">
        <f t="shared" si="692"/>
        <v>0</v>
      </c>
      <c r="S832" s="1976">
        <f>SUMIF(G$401:G$490,$C832,$S$401:$S$490)*Forrajes!BG28*G$99</f>
        <v>0</v>
      </c>
      <c r="T832" s="668">
        <f>SUMIF(H$401:H$490,$C832,$S$401:$S$490)*Forrajes!BH28*H$99</f>
        <v>0</v>
      </c>
      <c r="U832" s="668">
        <f>SUMIF(I$401:I$490,$C832,$S$401:$S$490)*Forrajes!BI28*I$99</f>
        <v>0</v>
      </c>
      <c r="V832" s="668">
        <f>SUMIF(J$401:J$490,$C832,$S$401:$S$490)*Forrajes!BJ28*J$99</f>
        <v>0</v>
      </c>
      <c r="W832" s="668">
        <f>SUMIF(K$401:K$490,$C832,$S$401:$S$490)*Forrajes!BK28*K$99</f>
        <v>0</v>
      </c>
      <c r="X832" s="668">
        <f>SUMIF(L$401:L$490,$C832,$S$401:$S$490)*Forrajes!BL28*L$99</f>
        <v>0</v>
      </c>
      <c r="Y832" s="668">
        <f>SUMIF(M$401:M$490,$C832,$S$401:$S$490)*Forrajes!BM28*M$99</f>
        <v>0</v>
      </c>
      <c r="Z832" s="668">
        <f>SUMIF(N$401:N$490,$C832,$S$401:$S$490)*Forrajes!BN28*N$99</f>
        <v>0</v>
      </c>
      <c r="AA832" s="668">
        <f>SUMIF(O$401:O$490,$C832,$S$401:$S$490)*Forrajes!BO28*O$99</f>
        <v>0</v>
      </c>
      <c r="AB832" s="668">
        <f>SUMIF(P$401:P$490,$C832,$S$401:$S$490)*Forrajes!BP28*P$99</f>
        <v>0</v>
      </c>
      <c r="AC832" s="668">
        <f>SUMIF(Q$401:Q$490,$C832,$S$401:$S$490)*Forrajes!BQ28*Q$99</f>
        <v>0</v>
      </c>
      <c r="AD832" s="1977">
        <f>SUMIF(R$401:R$490,$C832,$S$401:$S$490)*Forrajes!BR28*R$99</f>
        <v>0</v>
      </c>
      <c r="AF832" s="1976">
        <f>Forrajes!BU28*S832</f>
        <v>0</v>
      </c>
      <c r="AG832" s="668">
        <f>Forrajes!BV28*T832</f>
        <v>0</v>
      </c>
      <c r="AH832" s="668">
        <f>Forrajes!BW28*U832</f>
        <v>0</v>
      </c>
      <c r="AI832" s="668">
        <f>Forrajes!BX28*V832</f>
        <v>0</v>
      </c>
      <c r="AJ832" s="668">
        <f>Forrajes!BY28*W832</f>
        <v>0</v>
      </c>
      <c r="AK832" s="668">
        <f>Forrajes!BZ28*X832</f>
        <v>0</v>
      </c>
      <c r="AL832" s="668">
        <f>Forrajes!CA28*Y832</f>
        <v>0</v>
      </c>
      <c r="AM832" s="668">
        <f>Forrajes!CB28*Z832</f>
        <v>0</v>
      </c>
      <c r="AN832" s="668">
        <f>Forrajes!CC28*AA832</f>
        <v>0</v>
      </c>
      <c r="AO832" s="668">
        <f>Forrajes!CD28*AB832</f>
        <v>0</v>
      </c>
      <c r="AP832" s="668">
        <f>Forrajes!CE28*AC832</f>
        <v>0</v>
      </c>
      <c r="AQ832" s="668">
        <f>Forrajes!CF28*AD832</f>
        <v>0</v>
      </c>
      <c r="AS832" s="1976">
        <f>Forrajes!CI28*S832</f>
        <v>0</v>
      </c>
      <c r="AT832" s="668">
        <f>Forrajes!CJ28*T832</f>
        <v>0</v>
      </c>
      <c r="AU832" s="668">
        <f>Forrajes!CK28*U832</f>
        <v>0</v>
      </c>
      <c r="AV832" s="668">
        <f>Forrajes!CL28*V832</f>
        <v>0</v>
      </c>
      <c r="AW832" s="668">
        <f>Forrajes!CM28*W832</f>
        <v>0</v>
      </c>
      <c r="AX832" s="668">
        <f>Forrajes!CN28*X832</f>
        <v>0</v>
      </c>
      <c r="AY832" s="668">
        <f>Forrajes!CO28*Y832</f>
        <v>0</v>
      </c>
      <c r="AZ832" s="668">
        <f>Forrajes!CP28*Z832</f>
        <v>0</v>
      </c>
      <c r="BA832" s="668">
        <f>Forrajes!CQ28*AA832</f>
        <v>0</v>
      </c>
      <c r="BB832" s="668">
        <f>Forrajes!CR28*AB832</f>
        <v>0</v>
      </c>
      <c r="BC832" s="668">
        <f>Forrajes!CS28*AC832</f>
        <v>0</v>
      </c>
      <c r="BD832" s="1818">
        <f>Forrajes!CT28*AD832</f>
        <v>0</v>
      </c>
      <c r="BE832" s="590"/>
      <c r="BF832" s="100"/>
      <c r="BG832" s="590"/>
      <c r="BH832" s="590"/>
      <c r="BI832" s="100"/>
      <c r="BJ832" s="1975"/>
      <c r="BK832" s="590"/>
    </row>
    <row r="833" spans="3:63" s="108" customFormat="1" x14ac:dyDescent="0.2">
      <c r="C833" s="1971" t="str">
        <f t="shared" si="670"/>
        <v>Prad 4Ganadería</v>
      </c>
      <c r="D833" s="1857" t="str">
        <f t="shared" si="671"/>
        <v>Prad 4</v>
      </c>
      <c r="E833" s="590"/>
      <c r="F833" s="1972">
        <f t="shared" ref="F833:Q833" si="693">IF($D833&lt;&gt;0,SUMIFS($C$9:$C$98,$D$9:$D$98,$D$640,G$9:G$98,$D833),0)</f>
        <v>0</v>
      </c>
      <c r="G833" s="1972">
        <f t="shared" si="693"/>
        <v>0</v>
      </c>
      <c r="H833" s="1972">
        <f t="shared" si="693"/>
        <v>0</v>
      </c>
      <c r="I833" s="1972">
        <f t="shared" si="685"/>
        <v>0</v>
      </c>
      <c r="J833" s="1972">
        <f t="shared" si="693"/>
        <v>0</v>
      </c>
      <c r="K833" s="1972">
        <f t="shared" si="693"/>
        <v>0</v>
      </c>
      <c r="L833" s="1972">
        <f t="shared" si="693"/>
        <v>0</v>
      </c>
      <c r="M833" s="1972">
        <f t="shared" si="693"/>
        <v>0</v>
      </c>
      <c r="N833" s="1972">
        <f t="shared" si="693"/>
        <v>0</v>
      </c>
      <c r="O833" s="1972">
        <f t="shared" si="693"/>
        <v>0</v>
      </c>
      <c r="P833" s="1972">
        <f t="shared" si="693"/>
        <v>0</v>
      </c>
      <c r="Q833" s="1972">
        <f t="shared" si="693"/>
        <v>0</v>
      </c>
      <c r="S833" s="1976">
        <f>SUMIF(G$401:G$490,$C833,$S$401:$S$490)*Forrajes!BG29*G$99</f>
        <v>0</v>
      </c>
      <c r="T833" s="668">
        <f>SUMIF(H$401:H$490,$C833,$S$401:$S$490)*Forrajes!BH29*H$99</f>
        <v>0</v>
      </c>
      <c r="U833" s="668">
        <f>SUMIF(I$401:I$490,$C833,$S$401:$S$490)*Forrajes!BI29*I$99</f>
        <v>0</v>
      </c>
      <c r="V833" s="668">
        <f>SUMIF(J$401:J$490,$C833,$S$401:$S$490)*Forrajes!BJ29*J$99</f>
        <v>0</v>
      </c>
      <c r="W833" s="668">
        <f>SUMIF(K$401:K$490,$C833,$S$401:$S$490)*Forrajes!BK29*K$99</f>
        <v>0</v>
      </c>
      <c r="X833" s="668">
        <f>SUMIF(L$401:L$490,$C833,$S$401:$S$490)*Forrajes!BL29*L$99</f>
        <v>0</v>
      </c>
      <c r="Y833" s="668">
        <f>SUMIF(M$401:M$490,$C833,$S$401:$S$490)*Forrajes!BM29*M$99</f>
        <v>0</v>
      </c>
      <c r="Z833" s="668">
        <f>SUMIF(N$401:N$490,$C833,$S$401:$S$490)*Forrajes!BN29*N$99</f>
        <v>0</v>
      </c>
      <c r="AA833" s="668">
        <f>SUMIF(O$401:O$490,$C833,$S$401:$S$490)*Forrajes!BO29*O$99</f>
        <v>0</v>
      </c>
      <c r="AB833" s="668">
        <f>SUMIF(P$401:P$490,$C833,$S$401:$S$490)*Forrajes!BP29*P$99</f>
        <v>0</v>
      </c>
      <c r="AC833" s="668">
        <f>SUMIF(Q$401:Q$490,$C833,$S$401:$S$490)*Forrajes!BQ29*Q$99</f>
        <v>0</v>
      </c>
      <c r="AD833" s="1977">
        <f>SUMIF(R$401:R$490,$C833,$S$401:$S$490)*Forrajes!BR29*R$99</f>
        <v>0</v>
      </c>
      <c r="AF833" s="1976">
        <f>Forrajes!BU29*S833</f>
        <v>0</v>
      </c>
      <c r="AG833" s="668">
        <f>Forrajes!BV29*T833</f>
        <v>0</v>
      </c>
      <c r="AH833" s="668">
        <f>Forrajes!BW29*U833</f>
        <v>0</v>
      </c>
      <c r="AI833" s="668">
        <f>Forrajes!BX29*V833</f>
        <v>0</v>
      </c>
      <c r="AJ833" s="668">
        <f>Forrajes!BY29*W833</f>
        <v>0</v>
      </c>
      <c r="AK833" s="668">
        <f>Forrajes!BZ29*X833</f>
        <v>0</v>
      </c>
      <c r="AL833" s="668">
        <f>Forrajes!CA29*Y833</f>
        <v>0</v>
      </c>
      <c r="AM833" s="668">
        <f>Forrajes!CB29*Z833</f>
        <v>0</v>
      </c>
      <c r="AN833" s="668">
        <f>Forrajes!CC29*AA833</f>
        <v>0</v>
      </c>
      <c r="AO833" s="668">
        <f>Forrajes!CD29*AB833</f>
        <v>0</v>
      </c>
      <c r="AP833" s="668">
        <f>Forrajes!CE29*AC833</f>
        <v>0</v>
      </c>
      <c r="AQ833" s="668">
        <f>Forrajes!CF29*AD833</f>
        <v>0</v>
      </c>
      <c r="AS833" s="1976">
        <f>Forrajes!CI29*S833</f>
        <v>0</v>
      </c>
      <c r="AT833" s="668">
        <f>Forrajes!CJ29*T833</f>
        <v>0</v>
      </c>
      <c r="AU833" s="668">
        <f>Forrajes!CK29*U833</f>
        <v>0</v>
      </c>
      <c r="AV833" s="668">
        <f>Forrajes!CL29*V833</f>
        <v>0</v>
      </c>
      <c r="AW833" s="668">
        <f>Forrajes!CM29*W833</f>
        <v>0</v>
      </c>
      <c r="AX833" s="668">
        <f>Forrajes!CN29*X833</f>
        <v>0</v>
      </c>
      <c r="AY833" s="668">
        <f>Forrajes!CO29*Y833</f>
        <v>0</v>
      </c>
      <c r="AZ833" s="668">
        <f>Forrajes!CP29*Z833</f>
        <v>0</v>
      </c>
      <c r="BA833" s="668">
        <f>Forrajes!CQ29*AA833</f>
        <v>0</v>
      </c>
      <c r="BB833" s="668">
        <f>Forrajes!CR29*AB833</f>
        <v>0</v>
      </c>
      <c r="BC833" s="668">
        <f>Forrajes!CS29*AC833</f>
        <v>0</v>
      </c>
      <c r="BD833" s="1818">
        <f>Forrajes!CT29*AD833</f>
        <v>0</v>
      </c>
      <c r="BE833" s="590"/>
      <c r="BF833" s="100"/>
      <c r="BG833" s="590"/>
      <c r="BH833" s="590"/>
      <c r="BI833" s="100"/>
      <c r="BJ833" s="1975"/>
      <c r="BK833" s="590"/>
    </row>
    <row r="834" spans="3:63" s="108" customFormat="1" x14ac:dyDescent="0.2">
      <c r="C834" s="1971" t="str">
        <f t="shared" si="670"/>
        <v>Trébol Rojo 2Ganadería</v>
      </c>
      <c r="D834" s="1857" t="str">
        <f t="shared" si="671"/>
        <v>Trébol Rojo 2</v>
      </c>
      <c r="E834" s="590"/>
      <c r="F834" s="1972">
        <f t="shared" ref="F834:Q834" si="694">IF($D834&lt;&gt;0,SUMIFS($C$9:$C$98,$D$9:$D$98,$D$640,G$9:G$98,$D834),0)</f>
        <v>0</v>
      </c>
      <c r="G834" s="1972">
        <f t="shared" si="694"/>
        <v>0</v>
      </c>
      <c r="H834" s="1972">
        <f t="shared" si="694"/>
        <v>0</v>
      </c>
      <c r="I834" s="1972">
        <f t="shared" si="685"/>
        <v>0</v>
      </c>
      <c r="J834" s="1972">
        <f t="shared" si="694"/>
        <v>0</v>
      </c>
      <c r="K834" s="1972">
        <f t="shared" si="694"/>
        <v>0</v>
      </c>
      <c r="L834" s="1972">
        <f t="shared" si="694"/>
        <v>0</v>
      </c>
      <c r="M834" s="1972">
        <f t="shared" si="694"/>
        <v>0</v>
      </c>
      <c r="N834" s="1972">
        <f t="shared" si="694"/>
        <v>0</v>
      </c>
      <c r="O834" s="1972">
        <f t="shared" si="694"/>
        <v>0</v>
      </c>
      <c r="P834" s="1972">
        <f t="shared" si="694"/>
        <v>0</v>
      </c>
      <c r="Q834" s="1972">
        <f t="shared" si="694"/>
        <v>0</v>
      </c>
      <c r="S834" s="1976">
        <f>SUMIF(G$401:G$490,$C834,$S$401:$S$490)*Forrajes!BG30*G$99</f>
        <v>0</v>
      </c>
      <c r="T834" s="668">
        <f>SUMIF(H$401:H$490,$C834,$S$401:$S$490)*Forrajes!BH30*H$99</f>
        <v>0</v>
      </c>
      <c r="U834" s="668">
        <f>SUMIF(I$401:I$490,$C834,$S$401:$S$490)*Forrajes!BI30*I$99</f>
        <v>0</v>
      </c>
      <c r="V834" s="668">
        <f>SUMIF(J$401:J$490,$C834,$S$401:$S$490)*Forrajes!BJ30*J$99</f>
        <v>0</v>
      </c>
      <c r="W834" s="668">
        <f>SUMIF(K$401:K$490,$C834,$S$401:$S$490)*Forrajes!BK30*K$99</f>
        <v>0</v>
      </c>
      <c r="X834" s="668">
        <f>SUMIF(L$401:L$490,$C834,$S$401:$S$490)*Forrajes!BL30*L$99</f>
        <v>0</v>
      </c>
      <c r="Y834" s="668">
        <f>SUMIF(M$401:M$490,$C834,$S$401:$S$490)*Forrajes!BM30*M$99</f>
        <v>0</v>
      </c>
      <c r="Z834" s="668">
        <f>SUMIF(N$401:N$490,$C834,$S$401:$S$490)*Forrajes!BN30*N$99</f>
        <v>0</v>
      </c>
      <c r="AA834" s="668">
        <f>SUMIF(O$401:O$490,$C834,$S$401:$S$490)*Forrajes!BO30*O$99</f>
        <v>0</v>
      </c>
      <c r="AB834" s="668">
        <f>SUMIF(P$401:P$490,$C834,$S$401:$S$490)*Forrajes!BP30*P$99</f>
        <v>0</v>
      </c>
      <c r="AC834" s="668">
        <f>SUMIF(Q$401:Q$490,$C834,$S$401:$S$490)*Forrajes!BQ30*Q$99</f>
        <v>0</v>
      </c>
      <c r="AD834" s="1977">
        <f>SUMIF(R$401:R$490,$C834,$S$401:$S$490)*Forrajes!BR30*R$99</f>
        <v>0</v>
      </c>
      <c r="AF834" s="1976">
        <f>Forrajes!BU30*S834</f>
        <v>0</v>
      </c>
      <c r="AG834" s="668">
        <f>Forrajes!BV30*T834</f>
        <v>0</v>
      </c>
      <c r="AH834" s="668">
        <f>Forrajes!BW30*U834</f>
        <v>0</v>
      </c>
      <c r="AI834" s="668">
        <f>Forrajes!BX30*V834</f>
        <v>0</v>
      </c>
      <c r="AJ834" s="668">
        <f>Forrajes!BY30*W834</f>
        <v>0</v>
      </c>
      <c r="AK834" s="668">
        <f>Forrajes!BZ30*X834</f>
        <v>0</v>
      </c>
      <c r="AL834" s="668">
        <f>Forrajes!CA30*Y834</f>
        <v>0</v>
      </c>
      <c r="AM834" s="668">
        <f>Forrajes!CB30*Z834</f>
        <v>0</v>
      </c>
      <c r="AN834" s="668">
        <f>Forrajes!CC30*AA834</f>
        <v>0</v>
      </c>
      <c r="AO834" s="668">
        <f>Forrajes!CD30*AB834</f>
        <v>0</v>
      </c>
      <c r="AP834" s="668">
        <f>Forrajes!CE30*AC834</f>
        <v>0</v>
      </c>
      <c r="AQ834" s="668">
        <f>Forrajes!CF30*AD834</f>
        <v>0</v>
      </c>
      <c r="AS834" s="1976">
        <f>Forrajes!CI30*S834</f>
        <v>0</v>
      </c>
      <c r="AT834" s="668">
        <f>Forrajes!CJ30*T834</f>
        <v>0</v>
      </c>
      <c r="AU834" s="668">
        <f>Forrajes!CK30*U834</f>
        <v>0</v>
      </c>
      <c r="AV834" s="668">
        <f>Forrajes!CL30*V834</f>
        <v>0</v>
      </c>
      <c r="AW834" s="668">
        <f>Forrajes!CM30*W834</f>
        <v>0</v>
      </c>
      <c r="AX834" s="668">
        <f>Forrajes!CN30*X834</f>
        <v>0</v>
      </c>
      <c r="AY834" s="668">
        <f>Forrajes!CO30*Y834</f>
        <v>0</v>
      </c>
      <c r="AZ834" s="668">
        <f>Forrajes!CP30*Z834</f>
        <v>0</v>
      </c>
      <c r="BA834" s="668">
        <f>Forrajes!CQ30*AA834</f>
        <v>0</v>
      </c>
      <c r="BB834" s="668">
        <f>Forrajes!CR30*AB834</f>
        <v>0</v>
      </c>
      <c r="BC834" s="668">
        <f>Forrajes!CS30*AC834</f>
        <v>0</v>
      </c>
      <c r="BD834" s="1818">
        <f>Forrajes!CT30*AD834</f>
        <v>0</v>
      </c>
      <c r="BE834" s="590"/>
      <c r="BF834" s="100"/>
      <c r="BG834" s="590"/>
      <c r="BH834" s="590"/>
      <c r="BI834" s="1978"/>
      <c r="BJ834" s="1975"/>
      <c r="BK834" s="590"/>
    </row>
    <row r="835" spans="3:63" s="108" customFormat="1" x14ac:dyDescent="0.2">
      <c r="C835" s="1971" t="str">
        <f t="shared" si="670"/>
        <v>Trébol Rojo 3Ganadería</v>
      </c>
      <c r="D835" s="1857" t="str">
        <f t="shared" si="671"/>
        <v>Trébol Rojo 3</v>
      </c>
      <c r="E835" s="590"/>
      <c r="F835" s="1972">
        <f t="shared" ref="F835:Q835" si="695">IF($D835&lt;&gt;0,SUMIFS($C$9:$C$98,$D$9:$D$98,$D$640,G$9:G$98,$D835),0)</f>
        <v>0</v>
      </c>
      <c r="G835" s="1972">
        <f t="shared" si="695"/>
        <v>0</v>
      </c>
      <c r="H835" s="1972">
        <f t="shared" si="695"/>
        <v>0</v>
      </c>
      <c r="I835" s="1972">
        <f t="shared" si="685"/>
        <v>0</v>
      </c>
      <c r="J835" s="1972">
        <f t="shared" si="695"/>
        <v>0</v>
      </c>
      <c r="K835" s="1972">
        <f t="shared" si="695"/>
        <v>0</v>
      </c>
      <c r="L835" s="1972">
        <f t="shared" si="695"/>
        <v>0</v>
      </c>
      <c r="M835" s="1972">
        <f t="shared" si="695"/>
        <v>0</v>
      </c>
      <c r="N835" s="1972">
        <f t="shared" si="695"/>
        <v>0</v>
      </c>
      <c r="O835" s="1972">
        <f t="shared" si="695"/>
        <v>0</v>
      </c>
      <c r="P835" s="1972">
        <f t="shared" si="695"/>
        <v>0</v>
      </c>
      <c r="Q835" s="1972">
        <f t="shared" si="695"/>
        <v>0</v>
      </c>
      <c r="S835" s="1976">
        <f>SUMIF(G$401:G$490,$C835,$S$401:$S$490)*Forrajes!BG31*G$99</f>
        <v>0</v>
      </c>
      <c r="T835" s="668">
        <f>SUMIF(H$401:H$490,$C835,$S$401:$S$490)*Forrajes!BH31*H$99</f>
        <v>0</v>
      </c>
      <c r="U835" s="668">
        <f>SUMIF(I$401:I$490,$C835,$S$401:$S$490)*Forrajes!BI31*I$99</f>
        <v>0</v>
      </c>
      <c r="V835" s="668">
        <f>SUMIF(J$401:J$490,$C835,$S$401:$S$490)*Forrajes!BJ31*J$99</f>
        <v>0</v>
      </c>
      <c r="W835" s="668">
        <f>SUMIF(K$401:K$490,$C835,$S$401:$S$490)*Forrajes!BK31*K$99</f>
        <v>0</v>
      </c>
      <c r="X835" s="668">
        <f>SUMIF(L$401:L$490,$C835,$S$401:$S$490)*Forrajes!BL31*L$99</f>
        <v>0</v>
      </c>
      <c r="Y835" s="668">
        <f>SUMIF(M$401:M$490,$C835,$S$401:$S$490)*Forrajes!BM31*M$99</f>
        <v>0</v>
      </c>
      <c r="Z835" s="668">
        <f>SUMIF(N$401:N$490,$C835,$S$401:$S$490)*Forrajes!BN31*N$99</f>
        <v>0</v>
      </c>
      <c r="AA835" s="668">
        <f>SUMIF(O$401:O$490,$C835,$S$401:$S$490)*Forrajes!BO31*O$99</f>
        <v>0</v>
      </c>
      <c r="AB835" s="668">
        <f>SUMIF(P$401:P$490,$C835,$S$401:$S$490)*Forrajes!BP31*P$99</f>
        <v>0</v>
      </c>
      <c r="AC835" s="668">
        <f>SUMIF(Q$401:Q$490,$C835,$S$401:$S$490)*Forrajes!BQ31*Q$99</f>
        <v>0</v>
      </c>
      <c r="AD835" s="1977">
        <f>SUMIF(R$401:R$490,$C835,$S$401:$S$490)*Forrajes!BR31*R$99</f>
        <v>0</v>
      </c>
      <c r="AF835" s="1976">
        <f>Forrajes!BU31*S835</f>
        <v>0</v>
      </c>
      <c r="AG835" s="668">
        <f>Forrajes!BV31*T835</f>
        <v>0</v>
      </c>
      <c r="AH835" s="668">
        <f>Forrajes!BW31*U835</f>
        <v>0</v>
      </c>
      <c r="AI835" s="668">
        <f>Forrajes!BX31*V835</f>
        <v>0</v>
      </c>
      <c r="AJ835" s="668">
        <f>Forrajes!BY31*W835</f>
        <v>0</v>
      </c>
      <c r="AK835" s="668">
        <f>Forrajes!BZ31*X835</f>
        <v>0</v>
      </c>
      <c r="AL835" s="668">
        <f>Forrajes!CA31*Y835</f>
        <v>0</v>
      </c>
      <c r="AM835" s="668">
        <f>Forrajes!CB31*Z835</f>
        <v>0</v>
      </c>
      <c r="AN835" s="668">
        <f>Forrajes!CC31*AA835</f>
        <v>0</v>
      </c>
      <c r="AO835" s="668">
        <f>Forrajes!CD31*AB835</f>
        <v>0</v>
      </c>
      <c r="AP835" s="668">
        <f>Forrajes!CE31*AC835</f>
        <v>0</v>
      </c>
      <c r="AQ835" s="668">
        <f>Forrajes!CF31*AD835</f>
        <v>0</v>
      </c>
      <c r="AS835" s="1976">
        <f>Forrajes!CI31*S835</f>
        <v>0</v>
      </c>
      <c r="AT835" s="668">
        <f>Forrajes!CJ31*T835</f>
        <v>0</v>
      </c>
      <c r="AU835" s="668">
        <f>Forrajes!CK31*U835</f>
        <v>0</v>
      </c>
      <c r="AV835" s="668">
        <f>Forrajes!CL31*V835</f>
        <v>0</v>
      </c>
      <c r="AW835" s="668">
        <f>Forrajes!CM31*W835</f>
        <v>0</v>
      </c>
      <c r="AX835" s="668">
        <f>Forrajes!CN31*X835</f>
        <v>0</v>
      </c>
      <c r="AY835" s="668">
        <f>Forrajes!CO31*Y835</f>
        <v>0</v>
      </c>
      <c r="AZ835" s="668">
        <f>Forrajes!CP31*Z835</f>
        <v>0</v>
      </c>
      <c r="BA835" s="668">
        <f>Forrajes!CQ31*AA835</f>
        <v>0</v>
      </c>
      <c r="BB835" s="668">
        <f>Forrajes!CR31*AB835</f>
        <v>0</v>
      </c>
      <c r="BC835" s="668">
        <f>Forrajes!CS31*AC835</f>
        <v>0</v>
      </c>
      <c r="BD835" s="1818">
        <f>Forrajes!CT31*AD835</f>
        <v>0</v>
      </c>
      <c r="BE835" s="590"/>
      <c r="BF835" s="100"/>
      <c r="BG835" s="590"/>
      <c r="BH835" s="590"/>
      <c r="BI835" s="100"/>
      <c r="BJ835" s="1975"/>
      <c r="BK835" s="590"/>
    </row>
    <row r="836" spans="3:63" s="108" customFormat="1" x14ac:dyDescent="0.2">
      <c r="C836" s="1971" t="str">
        <f t="shared" si="670"/>
        <v>Alfalfa 5Ganadería</v>
      </c>
      <c r="D836" s="1857" t="str">
        <f t="shared" si="671"/>
        <v>Alfalfa 5</v>
      </c>
      <c r="E836" s="590"/>
      <c r="F836" s="1972">
        <f t="shared" ref="F836:Q836" si="696">IF($D836&lt;&gt;0,SUMIFS($C$9:$C$98,$D$9:$D$98,$D$640,G$9:G$98,$D836),0)</f>
        <v>0</v>
      </c>
      <c r="G836" s="1972">
        <f t="shared" si="696"/>
        <v>0</v>
      </c>
      <c r="H836" s="1972">
        <f t="shared" si="696"/>
        <v>0</v>
      </c>
      <c r="I836" s="1972">
        <f t="shared" si="685"/>
        <v>0</v>
      </c>
      <c r="J836" s="1972">
        <f t="shared" si="696"/>
        <v>0</v>
      </c>
      <c r="K836" s="1972">
        <f t="shared" si="696"/>
        <v>0</v>
      </c>
      <c r="L836" s="1972">
        <f t="shared" si="696"/>
        <v>0</v>
      </c>
      <c r="M836" s="1972">
        <f t="shared" si="696"/>
        <v>0</v>
      </c>
      <c r="N836" s="1972">
        <f t="shared" si="696"/>
        <v>0</v>
      </c>
      <c r="O836" s="1972">
        <f t="shared" si="696"/>
        <v>0</v>
      </c>
      <c r="P836" s="1972">
        <f t="shared" si="696"/>
        <v>0</v>
      </c>
      <c r="Q836" s="1972">
        <f t="shared" si="696"/>
        <v>0</v>
      </c>
      <c r="S836" s="1976">
        <f>SUMIF(G$401:G$490,$C836,$S$401:$S$490)*Forrajes!BG32*G$99</f>
        <v>0</v>
      </c>
      <c r="T836" s="668">
        <f>SUMIF(H$401:H$490,$C836,$S$401:$S$490)*Forrajes!BH32*H$99</f>
        <v>0</v>
      </c>
      <c r="U836" s="668">
        <f>SUMIF(I$401:I$490,$C836,$S$401:$S$490)*Forrajes!BI32*I$99</f>
        <v>0</v>
      </c>
      <c r="V836" s="668">
        <f>SUMIF(J$401:J$490,$C836,$S$401:$S$490)*Forrajes!BJ32*J$99</f>
        <v>0</v>
      </c>
      <c r="W836" s="668">
        <f>SUMIF(K$401:K$490,$C836,$S$401:$S$490)*Forrajes!BK32*K$99</f>
        <v>0</v>
      </c>
      <c r="X836" s="668">
        <f>SUMIF(L$401:L$490,$C836,$S$401:$S$490)*Forrajes!BL32*L$99</f>
        <v>0</v>
      </c>
      <c r="Y836" s="668">
        <f>SUMIF(M$401:M$490,$C836,$S$401:$S$490)*Forrajes!BM32*M$99</f>
        <v>0</v>
      </c>
      <c r="Z836" s="668">
        <f>SUMIF(N$401:N$490,$C836,$S$401:$S$490)*Forrajes!BN32*N$99</f>
        <v>0</v>
      </c>
      <c r="AA836" s="668">
        <f>SUMIF(O$401:O$490,$C836,$S$401:$S$490)*Forrajes!BO32*O$99</f>
        <v>0</v>
      </c>
      <c r="AB836" s="668">
        <f>SUMIF(P$401:P$490,$C836,$S$401:$S$490)*Forrajes!BP32*P$99</f>
        <v>0</v>
      </c>
      <c r="AC836" s="668">
        <f>SUMIF(Q$401:Q$490,$C836,$S$401:$S$490)*Forrajes!BQ32*Q$99</f>
        <v>0</v>
      </c>
      <c r="AD836" s="1977">
        <f>SUMIF(R$401:R$490,$C836,$S$401:$S$490)*Forrajes!BR32*R$99</f>
        <v>0</v>
      </c>
      <c r="AF836" s="1976">
        <f>Forrajes!BU32*S836</f>
        <v>0</v>
      </c>
      <c r="AG836" s="668">
        <f>Forrajes!BV32*T836</f>
        <v>0</v>
      </c>
      <c r="AH836" s="668">
        <f>Forrajes!BW32*U836</f>
        <v>0</v>
      </c>
      <c r="AI836" s="668">
        <f>Forrajes!BX32*V836</f>
        <v>0</v>
      </c>
      <c r="AJ836" s="668">
        <f>Forrajes!BY32*W836</f>
        <v>0</v>
      </c>
      <c r="AK836" s="668">
        <f>Forrajes!BZ32*X836</f>
        <v>0</v>
      </c>
      <c r="AL836" s="668">
        <f>Forrajes!CA32*Y836</f>
        <v>0</v>
      </c>
      <c r="AM836" s="668">
        <f>Forrajes!CB32*Z836</f>
        <v>0</v>
      </c>
      <c r="AN836" s="668">
        <f>Forrajes!CC32*AA836</f>
        <v>0</v>
      </c>
      <c r="AO836" s="668">
        <f>Forrajes!CD32*AB836</f>
        <v>0</v>
      </c>
      <c r="AP836" s="668">
        <f>Forrajes!CE32*AC836</f>
        <v>0</v>
      </c>
      <c r="AQ836" s="668">
        <f>Forrajes!CF32*AD836</f>
        <v>0</v>
      </c>
      <c r="AS836" s="1976">
        <f>Forrajes!CI32*S836</f>
        <v>0</v>
      </c>
      <c r="AT836" s="668">
        <f>Forrajes!CJ32*T836</f>
        <v>0</v>
      </c>
      <c r="AU836" s="668">
        <f>Forrajes!CK32*U836</f>
        <v>0</v>
      </c>
      <c r="AV836" s="668">
        <f>Forrajes!CL32*V836</f>
        <v>0</v>
      </c>
      <c r="AW836" s="668">
        <f>Forrajes!CM32*W836</f>
        <v>0</v>
      </c>
      <c r="AX836" s="668">
        <f>Forrajes!CN32*X836</f>
        <v>0</v>
      </c>
      <c r="AY836" s="668">
        <f>Forrajes!CO32*Y836</f>
        <v>0</v>
      </c>
      <c r="AZ836" s="668">
        <f>Forrajes!CP32*Z836</f>
        <v>0</v>
      </c>
      <c r="BA836" s="668">
        <f>Forrajes!CQ32*AA836</f>
        <v>0</v>
      </c>
      <c r="BB836" s="668">
        <f>Forrajes!CR32*AB836</f>
        <v>0</v>
      </c>
      <c r="BC836" s="668">
        <f>Forrajes!CS32*AC836</f>
        <v>0</v>
      </c>
      <c r="BD836" s="1818">
        <f>Forrajes!CT32*AD836</f>
        <v>0</v>
      </c>
      <c r="BE836" s="590"/>
      <c r="BF836" s="100"/>
      <c r="BG836" s="590"/>
      <c r="BH836" s="590"/>
      <c r="BI836" s="100"/>
      <c r="BJ836" s="1975"/>
      <c r="BK836" s="590"/>
    </row>
    <row r="837" spans="3:63" s="108" customFormat="1" x14ac:dyDescent="0.2">
      <c r="C837" s="1971" t="str">
        <f t="shared" si="670"/>
        <v>PP 5Ganadería</v>
      </c>
      <c r="D837" s="1857" t="str">
        <f t="shared" si="671"/>
        <v>PP 5</v>
      </c>
      <c r="E837" s="590"/>
      <c r="F837" s="1972">
        <f t="shared" ref="F837:Q837" si="697">IF($D837&lt;&gt;0,SUMIFS($C$9:$C$98,$D$9:$D$98,$D$640,G$9:G$98,$D837),0)</f>
        <v>0</v>
      </c>
      <c r="G837" s="1972">
        <f t="shared" si="697"/>
        <v>0</v>
      </c>
      <c r="H837" s="1972">
        <f t="shared" si="697"/>
        <v>0</v>
      </c>
      <c r="I837" s="1972">
        <f t="shared" si="685"/>
        <v>0</v>
      </c>
      <c r="J837" s="1972">
        <f t="shared" si="697"/>
        <v>0</v>
      </c>
      <c r="K837" s="1972">
        <f t="shared" si="697"/>
        <v>0</v>
      </c>
      <c r="L837" s="1972">
        <f t="shared" si="697"/>
        <v>0</v>
      </c>
      <c r="M837" s="1972">
        <f t="shared" si="697"/>
        <v>0</v>
      </c>
      <c r="N837" s="1972">
        <f t="shared" si="697"/>
        <v>0</v>
      </c>
      <c r="O837" s="1972">
        <f t="shared" si="697"/>
        <v>0</v>
      </c>
      <c r="P837" s="1972">
        <f t="shared" si="697"/>
        <v>0</v>
      </c>
      <c r="Q837" s="1972">
        <f t="shared" si="697"/>
        <v>0</v>
      </c>
      <c r="S837" s="1976">
        <f>SUMIF(G$401:G$490,$C837,$S$401:$S$490)*Forrajes!BG33*G$99</f>
        <v>0</v>
      </c>
      <c r="T837" s="668">
        <f>SUMIF(H$401:H$490,$C837,$S$401:$S$490)*Forrajes!BH33*H$99</f>
        <v>0</v>
      </c>
      <c r="U837" s="668">
        <f>SUMIF(I$401:I$490,$C837,$S$401:$S$490)*Forrajes!BI33*I$99</f>
        <v>0</v>
      </c>
      <c r="V837" s="668">
        <f>SUMIF(J$401:J$490,$C837,$S$401:$S$490)*Forrajes!BJ33*J$99</f>
        <v>0</v>
      </c>
      <c r="W837" s="668">
        <f>SUMIF(K$401:K$490,$C837,$S$401:$S$490)*Forrajes!BK33*K$99</f>
        <v>0</v>
      </c>
      <c r="X837" s="668">
        <f>SUMIF(L$401:L$490,$C837,$S$401:$S$490)*Forrajes!BL33*L$99</f>
        <v>0</v>
      </c>
      <c r="Y837" s="668">
        <f>SUMIF(M$401:M$490,$C837,$S$401:$S$490)*Forrajes!BM33*M$99</f>
        <v>0</v>
      </c>
      <c r="Z837" s="668">
        <f>SUMIF(N$401:N$490,$C837,$S$401:$S$490)*Forrajes!BN33*N$99</f>
        <v>0</v>
      </c>
      <c r="AA837" s="668">
        <f>SUMIF(O$401:O$490,$C837,$S$401:$S$490)*Forrajes!BO33*O$99</f>
        <v>0</v>
      </c>
      <c r="AB837" s="668">
        <f>SUMIF(P$401:P$490,$C837,$S$401:$S$490)*Forrajes!BP33*P$99</f>
        <v>0</v>
      </c>
      <c r="AC837" s="668">
        <f>SUMIF(Q$401:Q$490,$C837,$S$401:$S$490)*Forrajes!BQ33*Q$99</f>
        <v>0</v>
      </c>
      <c r="AD837" s="1977">
        <f>SUMIF(R$401:R$490,$C837,$S$401:$S$490)*Forrajes!BR33*R$99</f>
        <v>0</v>
      </c>
      <c r="AF837" s="1976">
        <f>Forrajes!BU33*S837</f>
        <v>0</v>
      </c>
      <c r="AG837" s="668">
        <f>Forrajes!BV33*T837</f>
        <v>0</v>
      </c>
      <c r="AH837" s="668">
        <f>Forrajes!BW33*U837</f>
        <v>0</v>
      </c>
      <c r="AI837" s="668">
        <f>Forrajes!BX33*V837</f>
        <v>0</v>
      </c>
      <c r="AJ837" s="668">
        <f>Forrajes!BY33*W837</f>
        <v>0</v>
      </c>
      <c r="AK837" s="668">
        <f>Forrajes!BZ33*X837</f>
        <v>0</v>
      </c>
      <c r="AL837" s="668">
        <f>Forrajes!CA33*Y837</f>
        <v>0</v>
      </c>
      <c r="AM837" s="668">
        <f>Forrajes!CB33*Z837</f>
        <v>0</v>
      </c>
      <c r="AN837" s="668">
        <f>Forrajes!CC33*AA837</f>
        <v>0</v>
      </c>
      <c r="AO837" s="668">
        <f>Forrajes!CD33*AB837</f>
        <v>0</v>
      </c>
      <c r="AP837" s="668">
        <f>Forrajes!CE33*AC837</f>
        <v>0</v>
      </c>
      <c r="AQ837" s="668">
        <f>Forrajes!CF33*AD837</f>
        <v>0</v>
      </c>
      <c r="AS837" s="1976">
        <f>Forrajes!CI33*S837</f>
        <v>0</v>
      </c>
      <c r="AT837" s="668">
        <f>Forrajes!CJ33*T837</f>
        <v>0</v>
      </c>
      <c r="AU837" s="668">
        <f>Forrajes!CK33*U837</f>
        <v>0</v>
      </c>
      <c r="AV837" s="668">
        <f>Forrajes!CL33*V837</f>
        <v>0</v>
      </c>
      <c r="AW837" s="668">
        <f>Forrajes!CM33*W837</f>
        <v>0</v>
      </c>
      <c r="AX837" s="668">
        <f>Forrajes!CN33*X837</f>
        <v>0</v>
      </c>
      <c r="AY837" s="668">
        <f>Forrajes!CO33*Y837</f>
        <v>0</v>
      </c>
      <c r="AZ837" s="668">
        <f>Forrajes!CP33*Z837</f>
        <v>0</v>
      </c>
      <c r="BA837" s="668">
        <f>Forrajes!CQ33*AA837</f>
        <v>0</v>
      </c>
      <c r="BB837" s="668">
        <f>Forrajes!CR33*AB837</f>
        <v>0</v>
      </c>
      <c r="BC837" s="668">
        <f>Forrajes!CS33*AC837</f>
        <v>0</v>
      </c>
      <c r="BD837" s="1818">
        <f>Forrajes!CT33*AD837</f>
        <v>0</v>
      </c>
      <c r="BE837" s="590"/>
      <c r="BF837" s="100"/>
      <c r="BG837" s="590"/>
      <c r="BH837" s="590"/>
      <c r="BI837" s="100"/>
      <c r="BJ837" s="1975"/>
      <c r="BK837" s="590"/>
    </row>
    <row r="838" spans="3:63" s="108" customFormat="1" x14ac:dyDescent="0.2">
      <c r="C838" s="1971" t="str">
        <f t="shared" si="670"/>
        <v>0Ganadería</v>
      </c>
      <c r="D838" s="1857">
        <f t="shared" si="671"/>
        <v>0</v>
      </c>
      <c r="E838" s="590"/>
      <c r="F838" s="1972">
        <f t="shared" ref="F838:Q838" si="698">IF($D838&lt;&gt;0,SUMIFS($C$9:$C$98,$D$9:$D$98,$D$640,G$9:G$98,$D838),0)</f>
        <v>0</v>
      </c>
      <c r="G838" s="1972">
        <f t="shared" si="698"/>
        <v>0</v>
      </c>
      <c r="H838" s="1972">
        <f t="shared" si="698"/>
        <v>0</v>
      </c>
      <c r="I838" s="1972">
        <f t="shared" si="685"/>
        <v>0</v>
      </c>
      <c r="J838" s="1972">
        <f t="shared" si="698"/>
        <v>0</v>
      </c>
      <c r="K838" s="1972">
        <f t="shared" si="698"/>
        <v>0</v>
      </c>
      <c r="L838" s="1972">
        <f t="shared" si="698"/>
        <v>0</v>
      </c>
      <c r="M838" s="1972">
        <f t="shared" si="698"/>
        <v>0</v>
      </c>
      <c r="N838" s="1972">
        <f t="shared" si="698"/>
        <v>0</v>
      </c>
      <c r="O838" s="1972">
        <f t="shared" si="698"/>
        <v>0</v>
      </c>
      <c r="P838" s="1972">
        <f t="shared" si="698"/>
        <v>0</v>
      </c>
      <c r="Q838" s="1972">
        <f t="shared" si="698"/>
        <v>0</v>
      </c>
      <c r="S838" s="1976">
        <f>SUMIF(G$401:G$490,$C838,$S$401:$S$490)*Forrajes!BG34*G$99</f>
        <v>0</v>
      </c>
      <c r="T838" s="668">
        <f>SUMIF(H$401:H$490,$C838,$S$401:$S$490)*Forrajes!BH34*H$99</f>
        <v>0</v>
      </c>
      <c r="U838" s="668">
        <f>SUMIF(I$401:I$490,$C838,$S$401:$S$490)*Forrajes!BI34*I$99</f>
        <v>0</v>
      </c>
      <c r="V838" s="668">
        <f>SUMIF(J$401:J$490,$C838,$S$401:$S$490)*Forrajes!BJ34*J$99</f>
        <v>0</v>
      </c>
      <c r="W838" s="668">
        <f>SUMIF(K$401:K$490,$C838,$S$401:$S$490)*Forrajes!BK34*K$99</f>
        <v>0</v>
      </c>
      <c r="X838" s="668">
        <f>SUMIF(L$401:L$490,$C838,$S$401:$S$490)*Forrajes!BL34*L$99</f>
        <v>0</v>
      </c>
      <c r="Y838" s="668">
        <f>SUMIF(M$401:M$490,$C838,$S$401:$S$490)*Forrajes!BM34*M$99</f>
        <v>0</v>
      </c>
      <c r="Z838" s="668">
        <f>SUMIF(N$401:N$490,$C838,$S$401:$S$490)*Forrajes!BN34*N$99</f>
        <v>0</v>
      </c>
      <c r="AA838" s="668">
        <f>SUMIF(O$401:O$490,$C838,$S$401:$S$490)*Forrajes!BO34*O$99</f>
        <v>0</v>
      </c>
      <c r="AB838" s="668">
        <f>SUMIF(P$401:P$490,$C838,$S$401:$S$490)*Forrajes!BP34*P$99</f>
        <v>0</v>
      </c>
      <c r="AC838" s="668">
        <f>SUMIF(Q$401:Q$490,$C838,$S$401:$S$490)*Forrajes!BQ34*Q$99</f>
        <v>0</v>
      </c>
      <c r="AD838" s="1977">
        <f>SUMIF(R$401:R$490,$C838,$S$401:$S$490)*Forrajes!BR34*R$99</f>
        <v>0</v>
      </c>
      <c r="AF838" s="1976">
        <f>Forrajes!BU34*S838</f>
        <v>0</v>
      </c>
      <c r="AG838" s="668">
        <f>Forrajes!BV34*T838</f>
        <v>0</v>
      </c>
      <c r="AH838" s="668">
        <f>Forrajes!BW34*U838</f>
        <v>0</v>
      </c>
      <c r="AI838" s="668">
        <f>Forrajes!BX34*V838</f>
        <v>0</v>
      </c>
      <c r="AJ838" s="668">
        <f>Forrajes!BY34*W838</f>
        <v>0</v>
      </c>
      <c r="AK838" s="668">
        <f>Forrajes!BZ34*X838</f>
        <v>0</v>
      </c>
      <c r="AL838" s="668">
        <f>Forrajes!CA34*Y838</f>
        <v>0</v>
      </c>
      <c r="AM838" s="668">
        <f>Forrajes!CB34*Z838</f>
        <v>0</v>
      </c>
      <c r="AN838" s="668">
        <f>Forrajes!CC34*AA838</f>
        <v>0</v>
      </c>
      <c r="AO838" s="668">
        <f>Forrajes!CD34*AB838</f>
        <v>0</v>
      </c>
      <c r="AP838" s="668">
        <f>Forrajes!CE34*AC838</f>
        <v>0</v>
      </c>
      <c r="AQ838" s="668">
        <f>Forrajes!CF34*AD838</f>
        <v>0</v>
      </c>
      <c r="AS838" s="1976">
        <f>Forrajes!CI34*S838</f>
        <v>0</v>
      </c>
      <c r="AT838" s="668">
        <f>Forrajes!CJ34*T838</f>
        <v>0</v>
      </c>
      <c r="AU838" s="668">
        <f>Forrajes!CK34*U838</f>
        <v>0</v>
      </c>
      <c r="AV838" s="668">
        <f>Forrajes!CL34*V838</f>
        <v>0</v>
      </c>
      <c r="AW838" s="668">
        <f>Forrajes!CM34*W838</f>
        <v>0</v>
      </c>
      <c r="AX838" s="668">
        <f>Forrajes!CN34*X838</f>
        <v>0</v>
      </c>
      <c r="AY838" s="668">
        <f>Forrajes!CO34*Y838</f>
        <v>0</v>
      </c>
      <c r="AZ838" s="668">
        <f>Forrajes!CP34*Z838</f>
        <v>0</v>
      </c>
      <c r="BA838" s="668">
        <f>Forrajes!CQ34*AA838</f>
        <v>0</v>
      </c>
      <c r="BB838" s="668">
        <f>Forrajes!CR34*AB838</f>
        <v>0</v>
      </c>
      <c r="BC838" s="668">
        <f>Forrajes!CS34*AC838</f>
        <v>0</v>
      </c>
      <c r="BD838" s="1818">
        <f>Forrajes!CT34*AD838</f>
        <v>0</v>
      </c>
      <c r="BE838" s="590"/>
      <c r="BF838" s="100"/>
      <c r="BG838" s="590"/>
      <c r="BH838" s="590"/>
      <c r="BI838" s="100"/>
      <c r="BJ838" s="1975"/>
      <c r="BK838" s="590"/>
    </row>
    <row r="839" spans="3:63" s="108" customFormat="1" x14ac:dyDescent="0.2">
      <c r="C839" s="1971" t="str">
        <f t="shared" si="670"/>
        <v>Subtotal Praderas más de un añoGanadería</v>
      </c>
      <c r="D839" s="1979" t="str">
        <f t="shared" si="671"/>
        <v>Subtotal Praderas más de un año</v>
      </c>
      <c r="E839" s="1980"/>
      <c r="F839" s="1909">
        <f>SUM(F825:F838)</f>
        <v>0</v>
      </c>
      <c r="G839" s="1909">
        <f t="shared" ref="G839:Q839" si="699">SUM(G825:G838)</f>
        <v>0</v>
      </c>
      <c r="H839" s="1909">
        <f t="shared" si="699"/>
        <v>0</v>
      </c>
      <c r="I839" s="1909">
        <f t="shared" si="699"/>
        <v>0</v>
      </c>
      <c r="J839" s="1909">
        <f t="shared" si="699"/>
        <v>0</v>
      </c>
      <c r="K839" s="1909">
        <f t="shared" si="699"/>
        <v>0</v>
      </c>
      <c r="L839" s="1909">
        <f t="shared" si="699"/>
        <v>0</v>
      </c>
      <c r="M839" s="1909">
        <f t="shared" si="699"/>
        <v>0</v>
      </c>
      <c r="N839" s="1909">
        <f t="shared" si="699"/>
        <v>0</v>
      </c>
      <c r="O839" s="1909">
        <f t="shared" si="699"/>
        <v>0</v>
      </c>
      <c r="P839" s="1909">
        <f t="shared" si="699"/>
        <v>0</v>
      </c>
      <c r="Q839" s="1909">
        <f t="shared" si="699"/>
        <v>0</v>
      </c>
      <c r="S839" s="1976"/>
      <c r="T839" s="668"/>
      <c r="U839" s="668"/>
      <c r="V839" s="668"/>
      <c r="W839" s="668"/>
      <c r="X839" s="668"/>
      <c r="Y839" s="668"/>
      <c r="Z839" s="668"/>
      <c r="AA839" s="668"/>
      <c r="AB839" s="668"/>
      <c r="AC839" s="668"/>
      <c r="AD839" s="1977"/>
      <c r="AF839" s="1976"/>
      <c r="AG839" s="668"/>
      <c r="AH839" s="668"/>
      <c r="AI839" s="668"/>
      <c r="AJ839" s="668"/>
      <c r="AK839" s="668"/>
      <c r="AL839" s="668"/>
      <c r="AM839" s="668"/>
      <c r="AN839" s="668"/>
      <c r="AO839" s="668"/>
      <c r="AP839" s="668"/>
      <c r="AQ839" s="668"/>
      <c r="AS839" s="1976"/>
      <c r="AT839" s="668"/>
      <c r="AU839" s="668"/>
      <c r="AV839" s="668"/>
      <c r="AW839" s="668"/>
      <c r="AX839" s="668"/>
      <c r="AY839" s="668"/>
      <c r="AZ839" s="668"/>
      <c r="BA839" s="668"/>
      <c r="BB839" s="668"/>
      <c r="BC839" s="668"/>
      <c r="BD839" s="1818"/>
      <c r="BE839" s="590"/>
      <c r="BF839" s="100"/>
      <c r="BG839" s="590"/>
      <c r="BH839" s="590"/>
      <c r="BI839" s="100"/>
      <c r="BJ839" s="1975"/>
      <c r="BK839" s="590"/>
    </row>
    <row r="840" spans="3:63" s="108" customFormat="1" x14ac:dyDescent="0.2">
      <c r="C840" s="1971" t="str">
        <f t="shared" si="670"/>
        <v>AvenaGanadería</v>
      </c>
      <c r="D840" s="1857" t="str">
        <f t="shared" si="671"/>
        <v>Avena</v>
      </c>
      <c r="E840" s="590"/>
      <c r="F840" s="1972">
        <f t="shared" ref="F840:Q840" si="700">IF($D840&lt;&gt;0,SUMIFS($C$9:$C$98,$D$9:$D$98,$D$640,G$9:G$98,$D840),0)</f>
        <v>0</v>
      </c>
      <c r="G840" s="1972">
        <f t="shared" si="700"/>
        <v>0</v>
      </c>
      <c r="H840" s="1972">
        <f t="shared" si="700"/>
        <v>0</v>
      </c>
      <c r="I840" s="1972">
        <f t="shared" ref="I840:I848" si="701">IF($D840&lt;&gt;0,SUMIFS($C$9:$C$98,$D$9:$D$98,$D$640,J$9:J$98,$D840),0)</f>
        <v>0</v>
      </c>
      <c r="J840" s="1972">
        <f t="shared" si="700"/>
        <v>0</v>
      </c>
      <c r="K840" s="1972">
        <f t="shared" si="700"/>
        <v>0</v>
      </c>
      <c r="L840" s="1972">
        <f t="shared" si="700"/>
        <v>0</v>
      </c>
      <c r="M840" s="1972">
        <f t="shared" si="700"/>
        <v>0</v>
      </c>
      <c r="N840" s="1972">
        <f t="shared" si="700"/>
        <v>0</v>
      </c>
      <c r="O840" s="1972">
        <f t="shared" si="700"/>
        <v>0</v>
      </c>
      <c r="P840" s="1972">
        <f t="shared" si="700"/>
        <v>0</v>
      </c>
      <c r="Q840" s="1972">
        <f t="shared" si="700"/>
        <v>0</v>
      </c>
      <c r="S840" s="1976">
        <f>SUMIF(G$401:G$490,$C840,$S$401:$S$490)*Forrajes!BG36*G$99</f>
        <v>0</v>
      </c>
      <c r="T840" s="668">
        <f>SUMIF(H$401:H$490,$C840,$S$401:$S$490)*Forrajes!BH36*H$99</f>
        <v>0</v>
      </c>
      <c r="U840" s="668">
        <f>SUMIF(I$401:I$490,$C840,$S$401:$S$490)*Forrajes!BI36*I$99</f>
        <v>0</v>
      </c>
      <c r="V840" s="668">
        <f>SUMIF(J$401:J$490,$C840,$S$401:$S$490)*Forrajes!BJ36*J$99</f>
        <v>0</v>
      </c>
      <c r="W840" s="668">
        <f>SUMIF(K$401:K$490,$C840,$S$401:$S$490)*Forrajes!BK36*K$99</f>
        <v>0</v>
      </c>
      <c r="X840" s="668">
        <f>SUMIF(L$401:L$490,$C840,$S$401:$S$490)*Forrajes!BL36*L$99</f>
        <v>0</v>
      </c>
      <c r="Y840" s="668">
        <f>SUMIF(M$401:M$490,$C840,$S$401:$S$490)*Forrajes!BM36*M$99</f>
        <v>0</v>
      </c>
      <c r="Z840" s="668">
        <f>SUMIF(N$401:N$490,$C840,$S$401:$S$490)*Forrajes!BN36*N$99</f>
        <v>0</v>
      </c>
      <c r="AA840" s="668">
        <f>SUMIF(O$401:O$490,$C840,$S$401:$S$490)*Forrajes!BO36*O$99</f>
        <v>0</v>
      </c>
      <c r="AB840" s="668">
        <f>SUMIF(P$401:P$490,$C840,$S$401:$S$490)*Forrajes!BP36*P$99</f>
        <v>0</v>
      </c>
      <c r="AC840" s="668">
        <f>SUMIF(Q$401:Q$490,$C840,$S$401:$S$490)*Forrajes!BQ36*Q$99</f>
        <v>0</v>
      </c>
      <c r="AD840" s="1977">
        <f>SUMIF(R$401:R$490,$C840,$S$401:$S$490)*Forrajes!BR36*R$99</f>
        <v>0</v>
      </c>
      <c r="AF840" s="1976">
        <f>Forrajes!BU36*S840</f>
        <v>0</v>
      </c>
      <c r="AG840" s="668">
        <f>Forrajes!BV36*T840</f>
        <v>0</v>
      </c>
      <c r="AH840" s="668">
        <f>Forrajes!BW36*U840</f>
        <v>0</v>
      </c>
      <c r="AI840" s="668">
        <f>Forrajes!BX36*V840</f>
        <v>0</v>
      </c>
      <c r="AJ840" s="668">
        <f>Forrajes!BY36*W840</f>
        <v>0</v>
      </c>
      <c r="AK840" s="668">
        <f>Forrajes!BZ36*X840</f>
        <v>0</v>
      </c>
      <c r="AL840" s="668">
        <f>Forrajes!CA36*Y840</f>
        <v>0</v>
      </c>
      <c r="AM840" s="668">
        <f>Forrajes!CB36*Z840</f>
        <v>0</v>
      </c>
      <c r="AN840" s="668">
        <f>Forrajes!CC36*AA840</f>
        <v>0</v>
      </c>
      <c r="AO840" s="668">
        <f>Forrajes!CD36*AB840</f>
        <v>0</v>
      </c>
      <c r="AP840" s="668">
        <f>Forrajes!CE36*AC840</f>
        <v>0</v>
      </c>
      <c r="AQ840" s="668">
        <f>Forrajes!CF36*AD840</f>
        <v>0</v>
      </c>
      <c r="AS840" s="1976">
        <f>Forrajes!CI36*S840</f>
        <v>0</v>
      </c>
      <c r="AT840" s="668">
        <f>Forrajes!CJ36*T840</f>
        <v>0</v>
      </c>
      <c r="AU840" s="668">
        <f>Forrajes!CK36*U840</f>
        <v>0</v>
      </c>
      <c r="AV840" s="668">
        <f>Forrajes!CL36*V840</f>
        <v>0</v>
      </c>
      <c r="AW840" s="668">
        <f>Forrajes!CM36*W840</f>
        <v>0</v>
      </c>
      <c r="AX840" s="668">
        <f>Forrajes!CN36*X840</f>
        <v>0</v>
      </c>
      <c r="AY840" s="668">
        <f>Forrajes!CO36*Y840</f>
        <v>0</v>
      </c>
      <c r="AZ840" s="668">
        <f>Forrajes!CP36*Z840</f>
        <v>0</v>
      </c>
      <c r="BA840" s="668">
        <f>Forrajes!CQ36*AA840</f>
        <v>0</v>
      </c>
      <c r="BB840" s="668">
        <f>Forrajes!CR36*AB840</f>
        <v>0</v>
      </c>
      <c r="BC840" s="668">
        <f>Forrajes!CS36*AC840</f>
        <v>0</v>
      </c>
      <c r="BD840" s="1818">
        <f>Forrajes!CT36*AD840</f>
        <v>0</v>
      </c>
      <c r="BE840" s="590"/>
      <c r="BF840" s="100"/>
      <c r="BG840" s="590"/>
      <c r="BH840" s="590"/>
      <c r="BI840" s="1978"/>
      <c r="BJ840" s="1975"/>
      <c r="BK840" s="590"/>
    </row>
    <row r="841" spans="3:63" s="108" customFormat="1" x14ac:dyDescent="0.2">
      <c r="C841" s="1971" t="str">
        <f t="shared" si="670"/>
        <v>RaigrásGanadería</v>
      </c>
      <c r="D841" s="1857" t="str">
        <f t="shared" si="671"/>
        <v>Raigrás</v>
      </c>
      <c r="E841" s="590"/>
      <c r="F841" s="1972">
        <f t="shared" ref="F841:Q841" si="702">IF($D841&lt;&gt;0,SUMIFS($C$9:$C$98,$D$9:$D$98,$D$640,G$9:G$98,$D841),0)</f>
        <v>0</v>
      </c>
      <c r="G841" s="1972">
        <f t="shared" si="702"/>
        <v>0</v>
      </c>
      <c r="H841" s="1972">
        <f t="shared" si="702"/>
        <v>0</v>
      </c>
      <c r="I841" s="1972">
        <f t="shared" si="701"/>
        <v>0</v>
      </c>
      <c r="J841" s="1972">
        <f t="shared" si="702"/>
        <v>0</v>
      </c>
      <c r="K841" s="1972">
        <f t="shared" si="702"/>
        <v>0</v>
      </c>
      <c r="L841" s="1972">
        <f t="shared" si="702"/>
        <v>0</v>
      </c>
      <c r="M841" s="1972">
        <f t="shared" si="702"/>
        <v>0</v>
      </c>
      <c r="N841" s="1972">
        <f t="shared" si="702"/>
        <v>0</v>
      </c>
      <c r="O841" s="1972">
        <f t="shared" si="702"/>
        <v>0</v>
      </c>
      <c r="P841" s="1972">
        <f t="shared" si="702"/>
        <v>0</v>
      </c>
      <c r="Q841" s="1972">
        <f t="shared" si="702"/>
        <v>0</v>
      </c>
      <c r="S841" s="1976">
        <f>SUMIF(G$401:G$490,$C841,$S$401:$S$490)*Forrajes!BG37*G$99</f>
        <v>0</v>
      </c>
      <c r="T841" s="668">
        <f>SUMIF(H$401:H$490,$C841,$S$401:$S$490)*Forrajes!BH37*H$99</f>
        <v>0</v>
      </c>
      <c r="U841" s="668">
        <f>SUMIF(I$401:I$490,$C841,$S$401:$S$490)*Forrajes!BI37*I$99</f>
        <v>0</v>
      </c>
      <c r="V841" s="668">
        <f>SUMIF(J$401:J$490,$C841,$S$401:$S$490)*Forrajes!BJ37*J$99</f>
        <v>0</v>
      </c>
      <c r="W841" s="668">
        <f>SUMIF(K$401:K$490,$C841,$S$401:$S$490)*Forrajes!BK37*K$99</f>
        <v>0</v>
      </c>
      <c r="X841" s="668">
        <f>SUMIF(L$401:L$490,$C841,$S$401:$S$490)*Forrajes!BL37*L$99</f>
        <v>0</v>
      </c>
      <c r="Y841" s="668">
        <f>SUMIF(M$401:M$490,$C841,$S$401:$S$490)*Forrajes!BM37*M$99</f>
        <v>0</v>
      </c>
      <c r="Z841" s="668">
        <f>SUMIF(N$401:N$490,$C841,$S$401:$S$490)*Forrajes!BN37*N$99</f>
        <v>0</v>
      </c>
      <c r="AA841" s="668">
        <f>SUMIF(O$401:O$490,$C841,$S$401:$S$490)*Forrajes!BO37*O$99</f>
        <v>0</v>
      </c>
      <c r="AB841" s="668">
        <f>SUMIF(P$401:P$490,$C841,$S$401:$S$490)*Forrajes!BP37*P$99</f>
        <v>0</v>
      </c>
      <c r="AC841" s="668">
        <f>SUMIF(Q$401:Q$490,$C841,$S$401:$S$490)*Forrajes!BQ37*Q$99</f>
        <v>0</v>
      </c>
      <c r="AD841" s="1977">
        <f>SUMIF(R$401:R$490,$C841,$S$401:$S$490)*Forrajes!BR37*R$99</f>
        <v>0</v>
      </c>
      <c r="AF841" s="1976">
        <f>Forrajes!BU37*S841</f>
        <v>0</v>
      </c>
      <c r="AG841" s="668">
        <f>Forrajes!BV37*T841</f>
        <v>0</v>
      </c>
      <c r="AH841" s="668">
        <f>Forrajes!BW37*U841</f>
        <v>0</v>
      </c>
      <c r="AI841" s="668">
        <f>Forrajes!BX37*V841</f>
        <v>0</v>
      </c>
      <c r="AJ841" s="668">
        <f>Forrajes!BY37*W841</f>
        <v>0</v>
      </c>
      <c r="AK841" s="668">
        <f>Forrajes!BZ37*X841</f>
        <v>0</v>
      </c>
      <c r="AL841" s="668">
        <f>Forrajes!CA37*Y841</f>
        <v>0</v>
      </c>
      <c r="AM841" s="668">
        <f>Forrajes!CB37*Z841</f>
        <v>0</v>
      </c>
      <c r="AN841" s="668">
        <f>Forrajes!CC37*AA841</f>
        <v>0</v>
      </c>
      <c r="AO841" s="668">
        <f>Forrajes!CD37*AB841</f>
        <v>0</v>
      </c>
      <c r="AP841" s="668">
        <f>Forrajes!CE37*AC841</f>
        <v>0</v>
      </c>
      <c r="AQ841" s="668">
        <f>Forrajes!CF37*AD841</f>
        <v>0</v>
      </c>
      <c r="AS841" s="1976">
        <f>Forrajes!CI37*S841</f>
        <v>0</v>
      </c>
      <c r="AT841" s="668">
        <f>Forrajes!CJ37*T841</f>
        <v>0</v>
      </c>
      <c r="AU841" s="668">
        <f>Forrajes!CK37*U841</f>
        <v>0</v>
      </c>
      <c r="AV841" s="668">
        <f>Forrajes!CL37*V841</f>
        <v>0</v>
      </c>
      <c r="AW841" s="668">
        <f>Forrajes!CM37*W841</f>
        <v>0</v>
      </c>
      <c r="AX841" s="668">
        <f>Forrajes!CN37*X841</f>
        <v>0</v>
      </c>
      <c r="AY841" s="668">
        <f>Forrajes!CO37*Y841</f>
        <v>0</v>
      </c>
      <c r="AZ841" s="668">
        <f>Forrajes!CP37*Z841</f>
        <v>0</v>
      </c>
      <c r="BA841" s="668">
        <f>Forrajes!CQ37*AA841</f>
        <v>0</v>
      </c>
      <c r="BB841" s="668">
        <f>Forrajes!CR37*AB841</f>
        <v>0</v>
      </c>
      <c r="BC841" s="668">
        <f>Forrajes!CS37*AC841</f>
        <v>0</v>
      </c>
      <c r="BD841" s="1818">
        <f>Forrajes!CT37*AD841</f>
        <v>0</v>
      </c>
      <c r="BE841" s="590"/>
      <c r="BF841" s="100"/>
      <c r="BG841" s="590"/>
      <c r="BH841" s="590"/>
      <c r="BI841" s="100"/>
      <c r="BJ841" s="1975"/>
      <c r="BK841" s="111"/>
    </row>
    <row r="842" spans="3:63" s="108" customFormat="1" x14ac:dyDescent="0.2">
      <c r="C842" s="1971" t="str">
        <f t="shared" si="670"/>
        <v>Av+RgGanadería</v>
      </c>
      <c r="D842" s="1857" t="str">
        <f t="shared" si="671"/>
        <v>Av+Rg</v>
      </c>
      <c r="E842" s="590"/>
      <c r="F842" s="1972">
        <f t="shared" ref="F842:Q842" si="703">IF($D842&lt;&gt;0,SUMIFS($C$9:$C$98,$D$9:$D$98,$D$640,G$9:G$98,$D842),0)</f>
        <v>0</v>
      </c>
      <c r="G842" s="1972">
        <f t="shared" si="703"/>
        <v>0</v>
      </c>
      <c r="H842" s="1972">
        <f t="shared" si="703"/>
        <v>0</v>
      </c>
      <c r="I842" s="1972">
        <f t="shared" si="701"/>
        <v>0</v>
      </c>
      <c r="J842" s="1972">
        <f t="shared" si="703"/>
        <v>0</v>
      </c>
      <c r="K842" s="1972">
        <f t="shared" si="703"/>
        <v>0</v>
      </c>
      <c r="L842" s="1972">
        <f t="shared" si="703"/>
        <v>0</v>
      </c>
      <c r="M842" s="1972">
        <f t="shared" si="703"/>
        <v>0</v>
      </c>
      <c r="N842" s="1972">
        <f t="shared" si="703"/>
        <v>0</v>
      </c>
      <c r="O842" s="1972">
        <f t="shared" si="703"/>
        <v>0</v>
      </c>
      <c r="P842" s="1972">
        <f t="shared" si="703"/>
        <v>0</v>
      </c>
      <c r="Q842" s="1972">
        <f t="shared" si="703"/>
        <v>0</v>
      </c>
      <c r="S842" s="1976">
        <f>SUMIF(G$401:G$490,$C842,$S$401:$S$490)*Forrajes!BG38*G$99</f>
        <v>0</v>
      </c>
      <c r="T842" s="668">
        <f>SUMIF(H$401:H$490,$C842,$S$401:$S$490)*Forrajes!BH38*H$99</f>
        <v>0</v>
      </c>
      <c r="U842" s="668">
        <f>SUMIF(I$401:I$490,$C842,$S$401:$S$490)*Forrajes!BI38*I$99</f>
        <v>0</v>
      </c>
      <c r="V842" s="668">
        <f>SUMIF(J$401:J$490,$C842,$S$401:$S$490)*Forrajes!BJ38*J$99</f>
        <v>0</v>
      </c>
      <c r="W842" s="668">
        <f>SUMIF(K$401:K$490,$C842,$S$401:$S$490)*Forrajes!BK38*K$99</f>
        <v>0</v>
      </c>
      <c r="X842" s="668">
        <f>SUMIF(L$401:L$490,$C842,$S$401:$S$490)*Forrajes!BL38*L$99</f>
        <v>0</v>
      </c>
      <c r="Y842" s="668">
        <f>SUMIF(M$401:M$490,$C842,$S$401:$S$490)*Forrajes!BM38*M$99</f>
        <v>0</v>
      </c>
      <c r="Z842" s="668">
        <f>SUMIF(N$401:N$490,$C842,$S$401:$S$490)*Forrajes!BN38*N$99</f>
        <v>0</v>
      </c>
      <c r="AA842" s="668">
        <f>SUMIF(O$401:O$490,$C842,$S$401:$S$490)*Forrajes!BO38*O$99</f>
        <v>0</v>
      </c>
      <c r="AB842" s="668">
        <f>SUMIF(P$401:P$490,$C842,$S$401:$S$490)*Forrajes!BP38*P$99</f>
        <v>0</v>
      </c>
      <c r="AC842" s="668">
        <f>SUMIF(Q$401:Q$490,$C842,$S$401:$S$490)*Forrajes!BQ38*Q$99</f>
        <v>0</v>
      </c>
      <c r="AD842" s="1977">
        <f>SUMIF(R$401:R$490,$C842,$S$401:$S$490)*Forrajes!BR38*R$99</f>
        <v>0</v>
      </c>
      <c r="AF842" s="1976">
        <f>Forrajes!BU38*S842</f>
        <v>0</v>
      </c>
      <c r="AG842" s="668">
        <f>Forrajes!BV38*T842</f>
        <v>0</v>
      </c>
      <c r="AH842" s="668">
        <f>Forrajes!BW38*U842</f>
        <v>0</v>
      </c>
      <c r="AI842" s="668">
        <f>Forrajes!BX38*V842</f>
        <v>0</v>
      </c>
      <c r="AJ842" s="668">
        <f>Forrajes!BY38*W842</f>
        <v>0</v>
      </c>
      <c r="AK842" s="668">
        <f>Forrajes!BZ38*X842</f>
        <v>0</v>
      </c>
      <c r="AL842" s="668">
        <f>Forrajes!CA38*Y842</f>
        <v>0</v>
      </c>
      <c r="AM842" s="668">
        <f>Forrajes!CB38*Z842</f>
        <v>0</v>
      </c>
      <c r="AN842" s="668">
        <f>Forrajes!CC38*AA842</f>
        <v>0</v>
      </c>
      <c r="AO842" s="668">
        <f>Forrajes!CD38*AB842</f>
        <v>0</v>
      </c>
      <c r="AP842" s="668">
        <f>Forrajes!CE38*AC842</f>
        <v>0</v>
      </c>
      <c r="AQ842" s="668">
        <f>Forrajes!CF38*AD842</f>
        <v>0</v>
      </c>
      <c r="AS842" s="1976">
        <f>Forrajes!CI38*S842</f>
        <v>0</v>
      </c>
      <c r="AT842" s="668">
        <f>Forrajes!CJ38*T842</f>
        <v>0</v>
      </c>
      <c r="AU842" s="668">
        <f>Forrajes!CK38*U842</f>
        <v>0</v>
      </c>
      <c r="AV842" s="668">
        <f>Forrajes!CL38*V842</f>
        <v>0</v>
      </c>
      <c r="AW842" s="668">
        <f>Forrajes!CM38*W842</f>
        <v>0</v>
      </c>
      <c r="AX842" s="668">
        <f>Forrajes!CN38*X842</f>
        <v>0</v>
      </c>
      <c r="AY842" s="668">
        <f>Forrajes!CO38*Y842</f>
        <v>0</v>
      </c>
      <c r="AZ842" s="668">
        <f>Forrajes!CP38*Z842</f>
        <v>0</v>
      </c>
      <c r="BA842" s="668">
        <f>Forrajes!CQ38*AA842</f>
        <v>0</v>
      </c>
      <c r="BB842" s="668">
        <f>Forrajes!CR38*AB842</f>
        <v>0</v>
      </c>
      <c r="BC842" s="668">
        <f>Forrajes!CS38*AC842</f>
        <v>0</v>
      </c>
      <c r="BD842" s="1818">
        <f>Forrajes!CT38*AD842</f>
        <v>0</v>
      </c>
      <c r="BE842" s="590"/>
      <c r="BF842" s="100"/>
      <c r="BG842" s="590"/>
      <c r="BH842" s="590"/>
      <c r="BI842" s="1978"/>
      <c r="BJ842" s="1975"/>
      <c r="BK842" s="590"/>
    </row>
    <row r="843" spans="3:63" s="108" customFormat="1" x14ac:dyDescent="0.2">
      <c r="C843" s="1971" t="str">
        <f t="shared" si="670"/>
        <v>Rg Ciclo LargoGanadería</v>
      </c>
      <c r="D843" s="1857" t="str">
        <f t="shared" si="671"/>
        <v>Rg Ciclo Largo</v>
      </c>
      <c r="E843" s="590"/>
      <c r="F843" s="1972">
        <f t="shared" ref="F843:Q843" si="704">IF($D843&lt;&gt;0,SUMIFS($C$9:$C$98,$D$9:$D$98,$D$640,G$9:G$98,$D843),0)</f>
        <v>0</v>
      </c>
      <c r="G843" s="1972">
        <f t="shared" si="704"/>
        <v>0</v>
      </c>
      <c r="H843" s="1972">
        <f t="shared" si="704"/>
        <v>0</v>
      </c>
      <c r="I843" s="1972">
        <f t="shared" si="701"/>
        <v>0</v>
      </c>
      <c r="J843" s="1972">
        <f t="shared" si="704"/>
        <v>0</v>
      </c>
      <c r="K843" s="1972">
        <f t="shared" si="704"/>
        <v>0</v>
      </c>
      <c r="L843" s="1972">
        <f t="shared" si="704"/>
        <v>0</v>
      </c>
      <c r="M843" s="1972">
        <f t="shared" si="704"/>
        <v>0</v>
      </c>
      <c r="N843" s="1972">
        <f t="shared" si="704"/>
        <v>0</v>
      </c>
      <c r="O843" s="1972">
        <f t="shared" si="704"/>
        <v>0</v>
      </c>
      <c r="P843" s="1972">
        <f t="shared" si="704"/>
        <v>0</v>
      </c>
      <c r="Q843" s="1972">
        <f t="shared" si="704"/>
        <v>0</v>
      </c>
      <c r="S843" s="1976">
        <f>SUMIF(G$401:G$490,$C843,$S$401:$S$490)*Forrajes!BG39*G$99</f>
        <v>0</v>
      </c>
      <c r="T843" s="668">
        <f>SUMIF(H$401:H$490,$C843,$S$401:$S$490)*Forrajes!BH39*H$99</f>
        <v>0</v>
      </c>
      <c r="U843" s="668">
        <f>SUMIF(I$401:I$490,$C843,$S$401:$S$490)*Forrajes!BI39*I$99</f>
        <v>0</v>
      </c>
      <c r="V843" s="668">
        <f>SUMIF(J$401:J$490,$C843,$S$401:$S$490)*Forrajes!BJ39*J$99</f>
        <v>0</v>
      </c>
      <c r="W843" s="668">
        <f>SUMIF(K$401:K$490,$C843,$S$401:$S$490)*Forrajes!BK39*K$99</f>
        <v>0</v>
      </c>
      <c r="X843" s="668">
        <f>SUMIF(L$401:L$490,$C843,$S$401:$S$490)*Forrajes!BL39*L$99</f>
        <v>0</v>
      </c>
      <c r="Y843" s="668">
        <f>SUMIF(M$401:M$490,$C843,$S$401:$S$490)*Forrajes!BM39*M$99</f>
        <v>0</v>
      </c>
      <c r="Z843" s="668">
        <f>SUMIF(N$401:N$490,$C843,$S$401:$S$490)*Forrajes!BN39*N$99</f>
        <v>0</v>
      </c>
      <c r="AA843" s="668">
        <f>SUMIF(O$401:O$490,$C843,$S$401:$S$490)*Forrajes!BO39*O$99</f>
        <v>0</v>
      </c>
      <c r="AB843" s="668">
        <f>SUMIF(P$401:P$490,$C843,$S$401:$S$490)*Forrajes!BP39*P$99</f>
        <v>0</v>
      </c>
      <c r="AC843" s="668">
        <f>SUMIF(Q$401:Q$490,$C843,$S$401:$S$490)*Forrajes!BQ39*Q$99</f>
        <v>0</v>
      </c>
      <c r="AD843" s="1977">
        <f>SUMIF(R$401:R$490,$C843,$S$401:$S$490)*Forrajes!BR39*R$99</f>
        <v>0</v>
      </c>
      <c r="AF843" s="1976">
        <f>Forrajes!BU39*S843</f>
        <v>0</v>
      </c>
      <c r="AG843" s="668">
        <f>Forrajes!BV39*T843</f>
        <v>0</v>
      </c>
      <c r="AH843" s="668">
        <f>Forrajes!BW39*U843</f>
        <v>0</v>
      </c>
      <c r="AI843" s="668">
        <f>Forrajes!BX39*V843</f>
        <v>0</v>
      </c>
      <c r="AJ843" s="668">
        <f>Forrajes!BY39*W843</f>
        <v>0</v>
      </c>
      <c r="AK843" s="668">
        <f>Forrajes!BZ39*X843</f>
        <v>0</v>
      </c>
      <c r="AL843" s="668">
        <f>Forrajes!CA39*Y843</f>
        <v>0</v>
      </c>
      <c r="AM843" s="668">
        <f>Forrajes!CB39*Z843</f>
        <v>0</v>
      </c>
      <c r="AN843" s="668">
        <f>Forrajes!CC39*AA843</f>
        <v>0</v>
      </c>
      <c r="AO843" s="668">
        <f>Forrajes!CD39*AB843</f>
        <v>0</v>
      </c>
      <c r="AP843" s="668">
        <f>Forrajes!CE39*AC843</f>
        <v>0</v>
      </c>
      <c r="AQ843" s="668">
        <f>Forrajes!CF39*AD843</f>
        <v>0</v>
      </c>
      <c r="AS843" s="1976">
        <f>Forrajes!CI39*S843</f>
        <v>0</v>
      </c>
      <c r="AT843" s="668">
        <f>Forrajes!CJ39*T843</f>
        <v>0</v>
      </c>
      <c r="AU843" s="668">
        <f>Forrajes!CK39*U843</f>
        <v>0</v>
      </c>
      <c r="AV843" s="668">
        <f>Forrajes!CL39*V843</f>
        <v>0</v>
      </c>
      <c r="AW843" s="668">
        <f>Forrajes!CM39*W843</f>
        <v>0</v>
      </c>
      <c r="AX843" s="668">
        <f>Forrajes!CN39*X843</f>
        <v>0</v>
      </c>
      <c r="AY843" s="668">
        <f>Forrajes!CO39*Y843</f>
        <v>0</v>
      </c>
      <c r="AZ843" s="668">
        <f>Forrajes!CP39*Z843</f>
        <v>0</v>
      </c>
      <c r="BA843" s="668">
        <f>Forrajes!CQ39*AA843</f>
        <v>0</v>
      </c>
      <c r="BB843" s="668">
        <f>Forrajes!CR39*AB843</f>
        <v>0</v>
      </c>
      <c r="BC843" s="668">
        <f>Forrajes!CS39*AC843</f>
        <v>0</v>
      </c>
      <c r="BD843" s="1818">
        <f>Forrajes!CT39*AD843</f>
        <v>0</v>
      </c>
      <c r="BE843" s="590"/>
      <c r="BF843" s="100"/>
      <c r="BG843" s="590"/>
      <c r="BH843" s="590"/>
      <c r="BI843" s="100"/>
      <c r="BJ843" s="1975"/>
      <c r="BK843" s="590"/>
    </row>
    <row r="844" spans="3:63" s="108" customFormat="1" x14ac:dyDescent="0.2">
      <c r="C844" s="1971" t="str">
        <f t="shared" si="670"/>
        <v>Trigo pastoreoGanadería</v>
      </c>
      <c r="D844" s="1857" t="str">
        <f t="shared" si="671"/>
        <v>Trigo pastoreo</v>
      </c>
      <c r="E844" s="590"/>
      <c r="F844" s="1972">
        <f t="shared" ref="F844:Q844" si="705">IF($D844&lt;&gt;0,SUMIFS($C$9:$C$98,$D$9:$D$98,$D$640,G$9:G$98,$D844),0)</f>
        <v>0</v>
      </c>
      <c r="G844" s="1972">
        <f t="shared" si="705"/>
        <v>0</v>
      </c>
      <c r="H844" s="1972">
        <f t="shared" si="705"/>
        <v>0</v>
      </c>
      <c r="I844" s="1972">
        <f t="shared" si="701"/>
        <v>0</v>
      </c>
      <c r="J844" s="1972">
        <f t="shared" si="705"/>
        <v>0</v>
      </c>
      <c r="K844" s="1972">
        <f t="shared" si="705"/>
        <v>0</v>
      </c>
      <c r="L844" s="1972">
        <f t="shared" si="705"/>
        <v>0</v>
      </c>
      <c r="M844" s="1972">
        <f t="shared" si="705"/>
        <v>0</v>
      </c>
      <c r="N844" s="1972">
        <f t="shared" si="705"/>
        <v>0</v>
      </c>
      <c r="O844" s="1972">
        <f t="shared" si="705"/>
        <v>0</v>
      </c>
      <c r="P844" s="1972">
        <f t="shared" si="705"/>
        <v>0</v>
      </c>
      <c r="Q844" s="1972">
        <f t="shared" si="705"/>
        <v>0</v>
      </c>
      <c r="S844" s="1976">
        <f>SUMIF(G$401:G$490,$C844,$S$401:$S$490)*Forrajes!BG40*G$99</f>
        <v>0</v>
      </c>
      <c r="T844" s="668">
        <f>SUMIF(H$401:H$490,$C844,$S$401:$S$490)*Forrajes!BH40*H$99</f>
        <v>0</v>
      </c>
      <c r="U844" s="668">
        <f>SUMIF(I$401:I$490,$C844,$S$401:$S$490)*Forrajes!BI40*I$99</f>
        <v>0</v>
      </c>
      <c r="V844" s="668">
        <f>SUMIF(J$401:J$490,$C844,$S$401:$S$490)*Forrajes!BJ40*J$99</f>
        <v>0</v>
      </c>
      <c r="W844" s="668">
        <f>SUMIF(K$401:K$490,$C844,$S$401:$S$490)*Forrajes!BK40*K$99</f>
        <v>0</v>
      </c>
      <c r="X844" s="668">
        <f>SUMIF(L$401:L$490,$C844,$S$401:$S$490)*Forrajes!BL40*L$99</f>
        <v>0</v>
      </c>
      <c r="Y844" s="668">
        <f>SUMIF(M$401:M$490,$C844,$S$401:$S$490)*Forrajes!BM40*M$99</f>
        <v>0</v>
      </c>
      <c r="Z844" s="668">
        <f>SUMIF(N$401:N$490,$C844,$S$401:$S$490)*Forrajes!BN40*N$99</f>
        <v>0</v>
      </c>
      <c r="AA844" s="668">
        <f>SUMIF(O$401:O$490,$C844,$S$401:$S$490)*Forrajes!BO40*O$99</f>
        <v>0</v>
      </c>
      <c r="AB844" s="668">
        <f>SUMIF(P$401:P$490,$C844,$S$401:$S$490)*Forrajes!BP40*P$99</f>
        <v>0</v>
      </c>
      <c r="AC844" s="668">
        <f>SUMIF(Q$401:Q$490,$C844,$S$401:$S$490)*Forrajes!BQ40*Q$99</f>
        <v>0</v>
      </c>
      <c r="AD844" s="1977">
        <f>SUMIF(R$401:R$490,$C844,$S$401:$S$490)*Forrajes!BR40*R$99</f>
        <v>0</v>
      </c>
      <c r="AF844" s="1976">
        <f>Forrajes!BU40*S844</f>
        <v>0</v>
      </c>
      <c r="AG844" s="668">
        <f>Forrajes!BV40*T844</f>
        <v>0</v>
      </c>
      <c r="AH844" s="668">
        <f>Forrajes!BW40*U844</f>
        <v>0</v>
      </c>
      <c r="AI844" s="668">
        <f>Forrajes!BX40*V844</f>
        <v>0</v>
      </c>
      <c r="AJ844" s="668">
        <f>Forrajes!BY40*W844</f>
        <v>0</v>
      </c>
      <c r="AK844" s="668">
        <f>Forrajes!BZ40*X844</f>
        <v>0</v>
      </c>
      <c r="AL844" s="668">
        <f>Forrajes!CA40*Y844</f>
        <v>0</v>
      </c>
      <c r="AM844" s="668">
        <f>Forrajes!CB40*Z844</f>
        <v>0</v>
      </c>
      <c r="AN844" s="668">
        <f>Forrajes!CC40*AA844</f>
        <v>0</v>
      </c>
      <c r="AO844" s="668">
        <f>Forrajes!CD40*AB844</f>
        <v>0</v>
      </c>
      <c r="AP844" s="668">
        <f>Forrajes!CE40*AC844</f>
        <v>0</v>
      </c>
      <c r="AQ844" s="668">
        <f>Forrajes!CF40*AD844</f>
        <v>0</v>
      </c>
      <c r="AS844" s="1976">
        <f>Forrajes!CI40*S844</f>
        <v>0</v>
      </c>
      <c r="AT844" s="668">
        <f>Forrajes!CJ40*T844</f>
        <v>0</v>
      </c>
      <c r="AU844" s="668">
        <f>Forrajes!CK40*U844</f>
        <v>0</v>
      </c>
      <c r="AV844" s="668">
        <f>Forrajes!CL40*V844</f>
        <v>0</v>
      </c>
      <c r="AW844" s="668">
        <f>Forrajes!CM40*W844</f>
        <v>0</v>
      </c>
      <c r="AX844" s="668">
        <f>Forrajes!CN40*X844</f>
        <v>0</v>
      </c>
      <c r="AY844" s="668">
        <f>Forrajes!CO40*Y844</f>
        <v>0</v>
      </c>
      <c r="AZ844" s="668">
        <f>Forrajes!CP40*Z844</f>
        <v>0</v>
      </c>
      <c r="BA844" s="668">
        <f>Forrajes!CQ40*AA844</f>
        <v>0</v>
      </c>
      <c r="BB844" s="668">
        <f>Forrajes!CR40*AB844</f>
        <v>0</v>
      </c>
      <c r="BC844" s="668">
        <f>Forrajes!CS40*AC844</f>
        <v>0</v>
      </c>
      <c r="BD844" s="1818">
        <f>Forrajes!CT40*AD844</f>
        <v>0</v>
      </c>
      <c r="BE844" s="590"/>
      <c r="BF844" s="100"/>
      <c r="BG844" s="590"/>
      <c r="BH844" s="590"/>
      <c r="BI844" s="100"/>
      <c r="BJ844" s="1975"/>
      <c r="BK844" s="590"/>
    </row>
    <row r="845" spans="3:63" s="108" customFormat="1" x14ac:dyDescent="0.2">
      <c r="C845" s="1971" t="str">
        <f t="shared" si="670"/>
        <v>Cebada pastoreoGanadería</v>
      </c>
      <c r="D845" s="1857" t="str">
        <f t="shared" si="671"/>
        <v>Cebada pastoreo</v>
      </c>
      <c r="E845" s="590"/>
      <c r="F845" s="1972">
        <f t="shared" ref="F845:Q845" si="706">IF($D845&lt;&gt;0,SUMIFS($C$9:$C$98,$D$9:$D$98,$D$640,G$9:G$98,$D845),0)</f>
        <v>0</v>
      </c>
      <c r="G845" s="1972">
        <f t="shared" si="706"/>
        <v>0</v>
      </c>
      <c r="H845" s="1972">
        <f t="shared" si="706"/>
        <v>0</v>
      </c>
      <c r="I845" s="1972">
        <f t="shared" si="701"/>
        <v>0</v>
      </c>
      <c r="J845" s="1972">
        <f t="shared" si="706"/>
        <v>0</v>
      </c>
      <c r="K845" s="1972">
        <f t="shared" si="706"/>
        <v>0</v>
      </c>
      <c r="L845" s="1972">
        <f t="shared" si="706"/>
        <v>0</v>
      </c>
      <c r="M845" s="1972">
        <f t="shared" si="706"/>
        <v>0</v>
      </c>
      <c r="N845" s="1972">
        <f t="shared" si="706"/>
        <v>0</v>
      </c>
      <c r="O845" s="1972">
        <f t="shared" si="706"/>
        <v>0</v>
      </c>
      <c r="P845" s="1972">
        <f t="shared" si="706"/>
        <v>0</v>
      </c>
      <c r="Q845" s="1972">
        <f t="shared" si="706"/>
        <v>0</v>
      </c>
      <c r="S845" s="1976">
        <f>SUMIF(G$401:G$490,$C845,$S$401:$S$490)*Forrajes!BG41*G$99</f>
        <v>0</v>
      </c>
      <c r="T845" s="668">
        <f>SUMIF(H$401:H$490,$C845,$S$401:$S$490)*Forrajes!BH41*H$99</f>
        <v>0</v>
      </c>
      <c r="U845" s="668">
        <f>SUMIF(I$401:I$490,$C845,$S$401:$S$490)*Forrajes!BI41*I$99</f>
        <v>0</v>
      </c>
      <c r="V845" s="668">
        <f>SUMIF(J$401:J$490,$C845,$S$401:$S$490)*Forrajes!BJ41*J$99</f>
        <v>0</v>
      </c>
      <c r="W845" s="668">
        <f>SUMIF(K$401:K$490,$C845,$S$401:$S$490)*Forrajes!BK41*K$99</f>
        <v>0</v>
      </c>
      <c r="X845" s="668">
        <f>SUMIF(L$401:L$490,$C845,$S$401:$S$490)*Forrajes!BL41*L$99</f>
        <v>0</v>
      </c>
      <c r="Y845" s="668">
        <f>SUMIF(M$401:M$490,$C845,$S$401:$S$490)*Forrajes!BM41*M$99</f>
        <v>0</v>
      </c>
      <c r="Z845" s="668">
        <f>SUMIF(N$401:N$490,$C845,$S$401:$S$490)*Forrajes!BN41*N$99</f>
        <v>0</v>
      </c>
      <c r="AA845" s="668">
        <f>SUMIF(O$401:O$490,$C845,$S$401:$S$490)*Forrajes!BO41*O$99</f>
        <v>0</v>
      </c>
      <c r="AB845" s="668">
        <f>SUMIF(P$401:P$490,$C845,$S$401:$S$490)*Forrajes!BP41*P$99</f>
        <v>0</v>
      </c>
      <c r="AC845" s="668">
        <f>SUMIF(Q$401:Q$490,$C845,$S$401:$S$490)*Forrajes!BQ41*Q$99</f>
        <v>0</v>
      </c>
      <c r="AD845" s="1977">
        <f>SUMIF(R$401:R$490,$C845,$S$401:$S$490)*Forrajes!BR41*R$99</f>
        <v>0</v>
      </c>
      <c r="AF845" s="1976">
        <f>Forrajes!BU41*S845</f>
        <v>0</v>
      </c>
      <c r="AG845" s="668">
        <f>Forrajes!BV41*T845</f>
        <v>0</v>
      </c>
      <c r="AH845" s="668">
        <f>Forrajes!BW41*U845</f>
        <v>0</v>
      </c>
      <c r="AI845" s="668">
        <f>Forrajes!BX41*V845</f>
        <v>0</v>
      </c>
      <c r="AJ845" s="668">
        <f>Forrajes!BY41*W845</f>
        <v>0</v>
      </c>
      <c r="AK845" s="668">
        <f>Forrajes!BZ41*X845</f>
        <v>0</v>
      </c>
      <c r="AL845" s="668">
        <f>Forrajes!CA41*Y845</f>
        <v>0</v>
      </c>
      <c r="AM845" s="668">
        <f>Forrajes!CB41*Z845</f>
        <v>0</v>
      </c>
      <c r="AN845" s="668">
        <f>Forrajes!CC41*AA845</f>
        <v>0</v>
      </c>
      <c r="AO845" s="668">
        <f>Forrajes!CD41*AB845</f>
        <v>0</v>
      </c>
      <c r="AP845" s="668">
        <f>Forrajes!CE41*AC845</f>
        <v>0</v>
      </c>
      <c r="AQ845" s="668">
        <f>Forrajes!CF41*AD845</f>
        <v>0</v>
      </c>
      <c r="AS845" s="1976">
        <f>Forrajes!CI41*S845</f>
        <v>0</v>
      </c>
      <c r="AT845" s="668">
        <f>Forrajes!CJ41*T845</f>
        <v>0</v>
      </c>
      <c r="AU845" s="668">
        <f>Forrajes!CK41*U845</f>
        <v>0</v>
      </c>
      <c r="AV845" s="668">
        <f>Forrajes!CL41*V845</f>
        <v>0</v>
      </c>
      <c r="AW845" s="668">
        <f>Forrajes!CM41*W845</f>
        <v>0</v>
      </c>
      <c r="AX845" s="668">
        <f>Forrajes!CN41*X845</f>
        <v>0</v>
      </c>
      <c r="AY845" s="668">
        <f>Forrajes!CO41*Y845</f>
        <v>0</v>
      </c>
      <c r="AZ845" s="668">
        <f>Forrajes!CP41*Z845</f>
        <v>0</v>
      </c>
      <c r="BA845" s="668">
        <f>Forrajes!CQ41*AA845</f>
        <v>0</v>
      </c>
      <c r="BB845" s="668">
        <f>Forrajes!CR41*AB845</f>
        <v>0</v>
      </c>
      <c r="BC845" s="668">
        <f>Forrajes!CS41*AC845</f>
        <v>0</v>
      </c>
      <c r="BD845" s="1818">
        <f>Forrajes!CT41*AD845</f>
        <v>0</v>
      </c>
      <c r="BE845" s="590"/>
      <c r="BF845" s="100"/>
      <c r="BG845" s="590"/>
      <c r="BH845" s="590"/>
      <c r="BI845" s="100"/>
      <c r="BJ845" s="1975"/>
      <c r="BK845" s="590"/>
    </row>
    <row r="846" spans="3:63" s="108" customFormat="1" x14ac:dyDescent="0.2">
      <c r="C846" s="1971" t="str">
        <f t="shared" ref="C846:C876" si="707">D846&amp;$D$640</f>
        <v>InterS. RgGanadería</v>
      </c>
      <c r="D846" s="1857" t="str">
        <f t="shared" ref="D846:D869" si="708">+D775</f>
        <v>InterS. Rg</v>
      </c>
      <c r="E846" s="590"/>
      <c r="F846" s="1972">
        <f t="shared" ref="F846:Q846" si="709">IF($D846&lt;&gt;0,SUMIFS($C$9:$C$98,$D$9:$D$98,$D$640,G$9:G$98,$D846),0)</f>
        <v>0</v>
      </c>
      <c r="G846" s="1972">
        <f t="shared" si="709"/>
        <v>0</v>
      </c>
      <c r="H846" s="1972">
        <f t="shared" si="709"/>
        <v>0</v>
      </c>
      <c r="I846" s="1972">
        <f t="shared" si="701"/>
        <v>0</v>
      </c>
      <c r="J846" s="1972">
        <f t="shared" si="709"/>
        <v>0</v>
      </c>
      <c r="K846" s="1972">
        <f t="shared" si="709"/>
        <v>0</v>
      </c>
      <c r="L846" s="1972">
        <f t="shared" si="709"/>
        <v>0</v>
      </c>
      <c r="M846" s="1972">
        <f t="shared" si="709"/>
        <v>0</v>
      </c>
      <c r="N846" s="1972">
        <f t="shared" si="709"/>
        <v>0</v>
      </c>
      <c r="O846" s="1972">
        <f t="shared" si="709"/>
        <v>0</v>
      </c>
      <c r="P846" s="1972">
        <f t="shared" si="709"/>
        <v>0</v>
      </c>
      <c r="Q846" s="1972">
        <f t="shared" si="709"/>
        <v>0</v>
      </c>
      <c r="S846" s="1976">
        <f>SUMIF(G$401:G$490,$C846,$S$401:$S$490)*Forrajes!BG42*G$99</f>
        <v>0</v>
      </c>
      <c r="T846" s="668">
        <f>SUMIF(H$401:H$490,$C846,$S$401:$S$490)*Forrajes!BH42*H$99</f>
        <v>0</v>
      </c>
      <c r="U846" s="668">
        <f>SUMIF(I$401:I$490,$C846,$S$401:$S$490)*Forrajes!BI42*I$99</f>
        <v>0</v>
      </c>
      <c r="V846" s="668">
        <f>SUMIF(J$401:J$490,$C846,$S$401:$S$490)*Forrajes!BJ42*J$99</f>
        <v>0</v>
      </c>
      <c r="W846" s="668">
        <f>SUMIF(K$401:K$490,$C846,$S$401:$S$490)*Forrajes!BK42*K$99</f>
        <v>0</v>
      </c>
      <c r="X846" s="668">
        <f>SUMIF(L$401:L$490,$C846,$S$401:$S$490)*Forrajes!BL42*L$99</f>
        <v>0</v>
      </c>
      <c r="Y846" s="668">
        <f>SUMIF(M$401:M$490,$C846,$S$401:$S$490)*Forrajes!BM42*M$99</f>
        <v>0</v>
      </c>
      <c r="Z846" s="668">
        <f>SUMIF(N$401:N$490,$C846,$S$401:$S$490)*Forrajes!BN42*N$99</f>
        <v>0</v>
      </c>
      <c r="AA846" s="668">
        <f>SUMIF(O$401:O$490,$C846,$S$401:$S$490)*Forrajes!BO42*O$99</f>
        <v>0</v>
      </c>
      <c r="AB846" s="668">
        <f>SUMIF(P$401:P$490,$C846,$S$401:$S$490)*Forrajes!BP42*P$99</f>
        <v>0</v>
      </c>
      <c r="AC846" s="668">
        <f>SUMIF(Q$401:Q$490,$C846,$S$401:$S$490)*Forrajes!BQ42*Q$99</f>
        <v>0</v>
      </c>
      <c r="AD846" s="1977">
        <f>SUMIF(R$401:R$490,$C846,$S$401:$S$490)*Forrajes!BR42*R$99</f>
        <v>0</v>
      </c>
      <c r="AF846" s="1976">
        <f>Forrajes!BU42*S846</f>
        <v>0</v>
      </c>
      <c r="AG846" s="668">
        <f>Forrajes!BV42*T846</f>
        <v>0</v>
      </c>
      <c r="AH846" s="668">
        <f>Forrajes!BW42*U846</f>
        <v>0</v>
      </c>
      <c r="AI846" s="668">
        <f>Forrajes!BX42*V846</f>
        <v>0</v>
      </c>
      <c r="AJ846" s="668">
        <f>Forrajes!BY42*W846</f>
        <v>0</v>
      </c>
      <c r="AK846" s="668">
        <f>Forrajes!BZ42*X846</f>
        <v>0</v>
      </c>
      <c r="AL846" s="668">
        <f>Forrajes!CA42*Y846</f>
        <v>0</v>
      </c>
      <c r="AM846" s="668">
        <f>Forrajes!CB42*Z846</f>
        <v>0</v>
      </c>
      <c r="AN846" s="668">
        <f>Forrajes!CC42*AA846</f>
        <v>0</v>
      </c>
      <c r="AO846" s="668">
        <f>Forrajes!CD42*AB846</f>
        <v>0</v>
      </c>
      <c r="AP846" s="668">
        <f>Forrajes!CE42*AC846</f>
        <v>0</v>
      </c>
      <c r="AQ846" s="668">
        <f>Forrajes!CF42*AD846</f>
        <v>0</v>
      </c>
      <c r="AS846" s="1976">
        <f>Forrajes!CI42*S846</f>
        <v>0</v>
      </c>
      <c r="AT846" s="668">
        <f>Forrajes!CJ42*T846</f>
        <v>0</v>
      </c>
      <c r="AU846" s="668">
        <f>Forrajes!CK42*U846</f>
        <v>0</v>
      </c>
      <c r="AV846" s="668">
        <f>Forrajes!CL42*V846</f>
        <v>0</v>
      </c>
      <c r="AW846" s="668">
        <f>Forrajes!CM42*W846</f>
        <v>0</v>
      </c>
      <c r="AX846" s="668">
        <f>Forrajes!CN42*X846</f>
        <v>0</v>
      </c>
      <c r="AY846" s="668">
        <f>Forrajes!CO42*Y846</f>
        <v>0</v>
      </c>
      <c r="AZ846" s="668">
        <f>Forrajes!CP42*Z846</f>
        <v>0</v>
      </c>
      <c r="BA846" s="668">
        <f>Forrajes!CQ42*AA846</f>
        <v>0</v>
      </c>
      <c r="BB846" s="668">
        <f>Forrajes!CR42*AB846</f>
        <v>0</v>
      </c>
      <c r="BC846" s="668">
        <f>Forrajes!CS42*AC846</f>
        <v>0</v>
      </c>
      <c r="BD846" s="1818">
        <f>Forrajes!CT42*AD846</f>
        <v>0</v>
      </c>
      <c r="BE846" s="590"/>
      <c r="BF846" s="100"/>
      <c r="BG846" s="590"/>
      <c r="BH846" s="590"/>
      <c r="BI846" s="100"/>
      <c r="BJ846" s="1975"/>
      <c r="BK846" s="590"/>
    </row>
    <row r="847" spans="3:63" s="108" customFormat="1" x14ac:dyDescent="0.2">
      <c r="C847" s="1971" t="str">
        <f t="shared" si="707"/>
        <v>0Ganadería</v>
      </c>
      <c r="D847" s="1857">
        <f t="shared" si="708"/>
        <v>0</v>
      </c>
      <c r="E847" s="590"/>
      <c r="F847" s="1972">
        <f t="shared" ref="F847:Q847" si="710">IF($D847&lt;&gt;0,SUMIFS($C$9:$C$98,$D$9:$D$98,$D$640,G$9:G$98,$D847),0)</f>
        <v>0</v>
      </c>
      <c r="G847" s="1972">
        <f t="shared" si="710"/>
        <v>0</v>
      </c>
      <c r="H847" s="1972">
        <f t="shared" si="710"/>
        <v>0</v>
      </c>
      <c r="I847" s="1972">
        <f t="shared" si="701"/>
        <v>0</v>
      </c>
      <c r="J847" s="1972">
        <f t="shared" si="710"/>
        <v>0</v>
      </c>
      <c r="K847" s="1972">
        <f t="shared" si="710"/>
        <v>0</v>
      </c>
      <c r="L847" s="1972">
        <f t="shared" si="710"/>
        <v>0</v>
      </c>
      <c r="M847" s="1972">
        <f t="shared" si="710"/>
        <v>0</v>
      </c>
      <c r="N847" s="1972">
        <f t="shared" si="710"/>
        <v>0</v>
      </c>
      <c r="O847" s="1972">
        <f t="shared" si="710"/>
        <v>0</v>
      </c>
      <c r="P847" s="1972">
        <f t="shared" si="710"/>
        <v>0</v>
      </c>
      <c r="Q847" s="1972">
        <f t="shared" si="710"/>
        <v>0</v>
      </c>
      <c r="S847" s="1976">
        <f>SUMIF(G$401:G$490,$C847,$S$401:$S$490)*Forrajes!BG43*G$99</f>
        <v>0</v>
      </c>
      <c r="T847" s="668">
        <f>SUMIF(H$401:H$490,$C847,$S$401:$S$490)*Forrajes!BH43*H$99</f>
        <v>0</v>
      </c>
      <c r="U847" s="668">
        <f>SUMIF(I$401:I$490,$C847,$S$401:$S$490)*Forrajes!BI43*I$99</f>
        <v>0</v>
      </c>
      <c r="V847" s="668">
        <f>SUMIF(J$401:J$490,$C847,$S$401:$S$490)*Forrajes!BJ43*J$99</f>
        <v>0</v>
      </c>
      <c r="W847" s="668">
        <f>SUMIF(K$401:K$490,$C847,$S$401:$S$490)*Forrajes!BK43*K$99</f>
        <v>0</v>
      </c>
      <c r="X847" s="668">
        <f>SUMIF(L$401:L$490,$C847,$S$401:$S$490)*Forrajes!BL43*L$99</f>
        <v>0</v>
      </c>
      <c r="Y847" s="668">
        <f>SUMIF(M$401:M$490,$C847,$S$401:$S$490)*Forrajes!BM43*M$99</f>
        <v>0</v>
      </c>
      <c r="Z847" s="668">
        <f>SUMIF(N$401:N$490,$C847,$S$401:$S$490)*Forrajes!BN43*N$99</f>
        <v>0</v>
      </c>
      <c r="AA847" s="668">
        <f>SUMIF(O$401:O$490,$C847,$S$401:$S$490)*Forrajes!BO43*O$99</f>
        <v>0</v>
      </c>
      <c r="AB847" s="668">
        <f>SUMIF(P$401:P$490,$C847,$S$401:$S$490)*Forrajes!BP43*P$99</f>
        <v>0</v>
      </c>
      <c r="AC847" s="668">
        <f>SUMIF(Q$401:Q$490,$C847,$S$401:$S$490)*Forrajes!BQ43*Q$99</f>
        <v>0</v>
      </c>
      <c r="AD847" s="1977">
        <f>SUMIF(R$401:R$490,$C847,$S$401:$S$490)*Forrajes!BR43*R$99</f>
        <v>0</v>
      </c>
      <c r="AF847" s="1976">
        <f>Forrajes!BU43*S847</f>
        <v>0</v>
      </c>
      <c r="AG847" s="668">
        <f>Forrajes!BV43*T847</f>
        <v>0</v>
      </c>
      <c r="AH847" s="668">
        <f>Forrajes!BW43*U847</f>
        <v>0</v>
      </c>
      <c r="AI847" s="668">
        <f>Forrajes!BX43*V847</f>
        <v>0</v>
      </c>
      <c r="AJ847" s="668">
        <f>Forrajes!BY43*W847</f>
        <v>0</v>
      </c>
      <c r="AK847" s="668">
        <f>Forrajes!BZ43*X847</f>
        <v>0</v>
      </c>
      <c r="AL847" s="668">
        <f>Forrajes!CA43*Y847</f>
        <v>0</v>
      </c>
      <c r="AM847" s="668">
        <f>Forrajes!CB43*Z847</f>
        <v>0</v>
      </c>
      <c r="AN847" s="668">
        <f>Forrajes!CC43*AA847</f>
        <v>0</v>
      </c>
      <c r="AO847" s="668">
        <f>Forrajes!CD43*AB847</f>
        <v>0</v>
      </c>
      <c r="AP847" s="668">
        <f>Forrajes!CE43*AC847</f>
        <v>0</v>
      </c>
      <c r="AQ847" s="668">
        <f>Forrajes!CF43*AD847</f>
        <v>0</v>
      </c>
      <c r="AS847" s="1976">
        <f>Forrajes!CI43*S847</f>
        <v>0</v>
      </c>
      <c r="AT847" s="668">
        <f>Forrajes!CJ43*T847</f>
        <v>0</v>
      </c>
      <c r="AU847" s="668">
        <f>Forrajes!CK43*U847</f>
        <v>0</v>
      </c>
      <c r="AV847" s="668">
        <f>Forrajes!CL43*V847</f>
        <v>0</v>
      </c>
      <c r="AW847" s="668">
        <f>Forrajes!CM43*W847</f>
        <v>0</v>
      </c>
      <c r="AX847" s="668">
        <f>Forrajes!CN43*X847</f>
        <v>0</v>
      </c>
      <c r="AY847" s="668">
        <f>Forrajes!CO43*Y847</f>
        <v>0</v>
      </c>
      <c r="AZ847" s="668">
        <f>Forrajes!CP43*Z847</f>
        <v>0</v>
      </c>
      <c r="BA847" s="668">
        <f>Forrajes!CQ43*AA847</f>
        <v>0</v>
      </c>
      <c r="BB847" s="668">
        <f>Forrajes!CR43*AB847</f>
        <v>0</v>
      </c>
      <c r="BC847" s="668">
        <f>Forrajes!CS43*AC847</f>
        <v>0</v>
      </c>
      <c r="BD847" s="1818">
        <f>Forrajes!CT43*AD847</f>
        <v>0</v>
      </c>
      <c r="BE847" s="590"/>
      <c r="BF847" s="100"/>
      <c r="BG847" s="590"/>
      <c r="BH847" s="590"/>
      <c r="BI847" s="100"/>
      <c r="BJ847" s="1975"/>
      <c r="BK847" s="590"/>
    </row>
    <row r="848" spans="3:63" s="108" customFormat="1" x14ac:dyDescent="0.2">
      <c r="C848" s="1971" t="str">
        <f t="shared" si="707"/>
        <v>0Ganadería</v>
      </c>
      <c r="D848" s="1857">
        <f t="shared" si="708"/>
        <v>0</v>
      </c>
      <c r="E848" s="590"/>
      <c r="F848" s="1972">
        <f t="shared" ref="F848:Q848" si="711">IF($D848&lt;&gt;0,SUMIFS($C$9:$C$98,$D$9:$D$98,$D$640,G$9:G$98,$D848),0)</f>
        <v>0</v>
      </c>
      <c r="G848" s="1972">
        <f t="shared" si="711"/>
        <v>0</v>
      </c>
      <c r="H848" s="1972">
        <f t="shared" si="711"/>
        <v>0</v>
      </c>
      <c r="I848" s="1972">
        <f t="shared" si="701"/>
        <v>0</v>
      </c>
      <c r="J848" s="1972">
        <f t="shared" si="711"/>
        <v>0</v>
      </c>
      <c r="K848" s="1972">
        <f t="shared" si="711"/>
        <v>0</v>
      </c>
      <c r="L848" s="1972">
        <f t="shared" si="711"/>
        <v>0</v>
      </c>
      <c r="M848" s="1972">
        <f t="shared" si="711"/>
        <v>0</v>
      </c>
      <c r="N848" s="1972">
        <f t="shared" si="711"/>
        <v>0</v>
      </c>
      <c r="O848" s="1972">
        <f t="shared" si="711"/>
        <v>0</v>
      </c>
      <c r="P848" s="1972">
        <f t="shared" si="711"/>
        <v>0</v>
      </c>
      <c r="Q848" s="1972">
        <f t="shared" si="711"/>
        <v>0</v>
      </c>
      <c r="S848" s="1976">
        <f>SUMIF(G$401:G$490,$C848,$S$401:$S$490)*Forrajes!BG44*G$99</f>
        <v>0</v>
      </c>
      <c r="T848" s="668">
        <f>SUMIF(H$401:H$490,$C848,$S$401:$S$490)*Forrajes!BH44*H$99</f>
        <v>0</v>
      </c>
      <c r="U848" s="668">
        <f>SUMIF(I$401:I$490,$C848,$S$401:$S$490)*Forrajes!BI44*I$99</f>
        <v>0</v>
      </c>
      <c r="V848" s="668">
        <f>SUMIF(J$401:J$490,$C848,$S$401:$S$490)*Forrajes!BJ44*J$99</f>
        <v>0</v>
      </c>
      <c r="W848" s="668">
        <f>SUMIF(K$401:K$490,$C848,$S$401:$S$490)*Forrajes!BK44*K$99</f>
        <v>0</v>
      </c>
      <c r="X848" s="668">
        <f>SUMIF(L$401:L$490,$C848,$S$401:$S$490)*Forrajes!BL44*L$99</f>
        <v>0</v>
      </c>
      <c r="Y848" s="668">
        <f>SUMIF(M$401:M$490,$C848,$S$401:$S$490)*Forrajes!BM44*M$99</f>
        <v>0</v>
      </c>
      <c r="Z848" s="668">
        <f>SUMIF(N$401:N$490,$C848,$S$401:$S$490)*Forrajes!BN44*N$99</f>
        <v>0</v>
      </c>
      <c r="AA848" s="668">
        <f>SUMIF(O$401:O$490,$C848,$S$401:$S$490)*Forrajes!BO44*O$99</f>
        <v>0</v>
      </c>
      <c r="AB848" s="668">
        <f>SUMIF(P$401:P$490,$C848,$S$401:$S$490)*Forrajes!BP44*P$99</f>
        <v>0</v>
      </c>
      <c r="AC848" s="668">
        <f>SUMIF(Q$401:Q$490,$C848,$S$401:$S$490)*Forrajes!BQ44*Q$99</f>
        <v>0</v>
      </c>
      <c r="AD848" s="1977">
        <f>SUMIF(R$401:R$490,$C848,$S$401:$S$490)*Forrajes!BR44*R$99</f>
        <v>0</v>
      </c>
      <c r="AF848" s="1976">
        <f>Forrajes!BU44*S848</f>
        <v>0</v>
      </c>
      <c r="AG848" s="668">
        <f>Forrajes!BV44*T848</f>
        <v>0</v>
      </c>
      <c r="AH848" s="668">
        <f>Forrajes!BW44*U848</f>
        <v>0</v>
      </c>
      <c r="AI848" s="668">
        <f>Forrajes!BX44*V848</f>
        <v>0</v>
      </c>
      <c r="AJ848" s="668">
        <f>Forrajes!BY44*W848</f>
        <v>0</v>
      </c>
      <c r="AK848" s="668">
        <f>Forrajes!BZ44*X848</f>
        <v>0</v>
      </c>
      <c r="AL848" s="668">
        <f>Forrajes!CA44*Y848</f>
        <v>0</v>
      </c>
      <c r="AM848" s="668">
        <f>Forrajes!CB44*Z848</f>
        <v>0</v>
      </c>
      <c r="AN848" s="668">
        <f>Forrajes!CC44*AA848</f>
        <v>0</v>
      </c>
      <c r="AO848" s="668">
        <f>Forrajes!CD44*AB848</f>
        <v>0</v>
      </c>
      <c r="AP848" s="668">
        <f>Forrajes!CE44*AC848</f>
        <v>0</v>
      </c>
      <c r="AQ848" s="668">
        <f>Forrajes!CF44*AD848</f>
        <v>0</v>
      </c>
      <c r="AS848" s="1976">
        <f>Forrajes!CI44*S848</f>
        <v>0</v>
      </c>
      <c r="AT848" s="668">
        <f>Forrajes!CJ44*T848</f>
        <v>0</v>
      </c>
      <c r="AU848" s="668">
        <f>Forrajes!CK44*U848</f>
        <v>0</v>
      </c>
      <c r="AV848" s="668">
        <f>Forrajes!CL44*V848</f>
        <v>0</v>
      </c>
      <c r="AW848" s="668">
        <f>Forrajes!CM44*W848</f>
        <v>0</v>
      </c>
      <c r="AX848" s="668">
        <f>Forrajes!CN44*X848</f>
        <v>0</v>
      </c>
      <c r="AY848" s="668">
        <f>Forrajes!CO44*Y848</f>
        <v>0</v>
      </c>
      <c r="AZ848" s="668">
        <f>Forrajes!CP44*Z848</f>
        <v>0</v>
      </c>
      <c r="BA848" s="668">
        <f>Forrajes!CQ44*AA848</f>
        <v>0</v>
      </c>
      <c r="BB848" s="668">
        <f>Forrajes!CR44*AB848</f>
        <v>0</v>
      </c>
      <c r="BC848" s="668">
        <f>Forrajes!CS44*AC848</f>
        <v>0</v>
      </c>
      <c r="BD848" s="1818">
        <f>Forrajes!CT44*AD848</f>
        <v>0</v>
      </c>
      <c r="BE848" s="590"/>
      <c r="BF848" s="100"/>
      <c r="BG848" s="590"/>
      <c r="BH848" s="590"/>
      <c r="BI848" s="100"/>
      <c r="BJ848" s="1975"/>
      <c r="BK848" s="590"/>
    </row>
    <row r="849" spans="3:63" s="108" customFormat="1" x14ac:dyDescent="0.2">
      <c r="C849" s="1971" t="str">
        <f t="shared" si="707"/>
        <v>Subtotal Verdeos de Invierno Ganadería</v>
      </c>
      <c r="D849" s="1907" t="str">
        <f t="shared" si="708"/>
        <v xml:space="preserve">Subtotal Verdeos de Invierno </v>
      </c>
      <c r="E849" s="1908"/>
      <c r="F849" s="1909">
        <f>SUM(F840:F848)</f>
        <v>0</v>
      </c>
      <c r="G849" s="1909">
        <f t="shared" ref="G849:Q849" si="712">SUM(G840:G848)</f>
        <v>0</v>
      </c>
      <c r="H849" s="1909">
        <f t="shared" si="712"/>
        <v>0</v>
      </c>
      <c r="I849" s="1909">
        <f t="shared" si="712"/>
        <v>0</v>
      </c>
      <c r="J849" s="1909">
        <f t="shared" si="712"/>
        <v>0</v>
      </c>
      <c r="K849" s="1909">
        <f t="shared" si="712"/>
        <v>0</v>
      </c>
      <c r="L849" s="1909">
        <f t="shared" si="712"/>
        <v>0</v>
      </c>
      <c r="M849" s="1909">
        <f t="shared" si="712"/>
        <v>0</v>
      </c>
      <c r="N849" s="1909">
        <f t="shared" si="712"/>
        <v>0</v>
      </c>
      <c r="O849" s="1909">
        <f t="shared" si="712"/>
        <v>0</v>
      </c>
      <c r="P849" s="1909">
        <f t="shared" si="712"/>
        <v>0</v>
      </c>
      <c r="Q849" s="1909">
        <f t="shared" si="712"/>
        <v>0</v>
      </c>
      <c r="S849" s="1976"/>
      <c r="T849" s="668"/>
      <c r="U849" s="668"/>
      <c r="V849" s="668"/>
      <c r="W849" s="668"/>
      <c r="X849" s="668"/>
      <c r="Y849" s="668"/>
      <c r="Z849" s="668"/>
      <c r="AA849" s="668"/>
      <c r="AB849" s="668"/>
      <c r="AC849" s="668"/>
      <c r="AD849" s="1977"/>
      <c r="AF849" s="1976"/>
      <c r="AG849" s="668"/>
      <c r="AH849" s="668"/>
      <c r="AI849" s="668"/>
      <c r="AJ849" s="668"/>
      <c r="AK849" s="668"/>
      <c r="AL849" s="668"/>
      <c r="AM849" s="668"/>
      <c r="AN849" s="668"/>
      <c r="AO849" s="668"/>
      <c r="AP849" s="668"/>
      <c r="AQ849" s="668"/>
      <c r="AS849" s="1976"/>
      <c r="AT849" s="668"/>
      <c r="AU849" s="668"/>
      <c r="AV849" s="668"/>
      <c r="AW849" s="668"/>
      <c r="AX849" s="668"/>
      <c r="AY849" s="668"/>
      <c r="AZ849" s="668"/>
      <c r="BA849" s="668"/>
      <c r="BB849" s="668"/>
      <c r="BC849" s="668"/>
      <c r="BD849" s="1818"/>
      <c r="BE849" s="590"/>
      <c r="BF849" s="100"/>
      <c r="BG849" s="590"/>
      <c r="BH849" s="590"/>
      <c r="BI849" s="100"/>
      <c r="BJ849" s="1975"/>
      <c r="BK849" s="590"/>
    </row>
    <row r="850" spans="3:63" s="108" customFormat="1" x14ac:dyDescent="0.2">
      <c r="C850" s="1971" t="str">
        <f t="shared" si="707"/>
        <v>Sorgo ForrajeroGanadería</v>
      </c>
      <c r="D850" s="1857" t="str">
        <f t="shared" si="708"/>
        <v>Sorgo Forrajero</v>
      </c>
      <c r="E850" s="590"/>
      <c r="F850" s="1972">
        <f t="shared" ref="F850:Q850" si="713">IF($D850&lt;&gt;0,SUMIFS($C$9:$C$98,$D$9:$D$98,$D$640,G$9:G$98,$D850),0)</f>
        <v>0</v>
      </c>
      <c r="G850" s="1972">
        <f t="shared" si="713"/>
        <v>0</v>
      </c>
      <c r="H850" s="1972">
        <f t="shared" si="713"/>
        <v>0</v>
      </c>
      <c r="I850" s="1972">
        <f>IF($D850&lt;&gt;0,SUMIFS($C$9:$C$98,$D$9:$D$98,$D$640,J$9:J$98,$D850),0)</f>
        <v>0</v>
      </c>
      <c r="J850" s="1972">
        <f t="shared" si="713"/>
        <v>0</v>
      </c>
      <c r="K850" s="1972">
        <f t="shared" si="713"/>
        <v>0</v>
      </c>
      <c r="L850" s="1972">
        <f t="shared" si="713"/>
        <v>0</v>
      </c>
      <c r="M850" s="1972">
        <f t="shared" si="713"/>
        <v>0</v>
      </c>
      <c r="N850" s="1972">
        <f t="shared" si="713"/>
        <v>0</v>
      </c>
      <c r="O850" s="1972">
        <f t="shared" si="713"/>
        <v>0</v>
      </c>
      <c r="P850" s="1972">
        <f t="shared" si="713"/>
        <v>0</v>
      </c>
      <c r="Q850" s="1972">
        <f t="shared" si="713"/>
        <v>0</v>
      </c>
      <c r="S850" s="1976">
        <f>SUMIF(G$401:G$490,$C850,$S$401:$S$490)*Forrajes!BG46*G$99</f>
        <v>0</v>
      </c>
      <c r="T850" s="668">
        <f>SUMIF(H$401:H$490,$C850,$S$401:$S$490)*Forrajes!BH46*H$99</f>
        <v>0</v>
      </c>
      <c r="U850" s="668">
        <f>SUMIF(I$401:I$490,$C850,$S$401:$S$490)*Forrajes!BI46*I$99</f>
        <v>0</v>
      </c>
      <c r="V850" s="668">
        <f>SUMIF(J$401:J$490,$C850,$S$401:$S$490)*Forrajes!BJ46*J$99</f>
        <v>0</v>
      </c>
      <c r="W850" s="668">
        <f>SUMIF(K$401:K$490,$C850,$S$401:$S$490)*Forrajes!BK46*K$99</f>
        <v>0</v>
      </c>
      <c r="X850" s="668">
        <f>SUMIF(L$401:L$490,$C850,$S$401:$S$490)*Forrajes!BL46*L$99</f>
        <v>0</v>
      </c>
      <c r="Y850" s="668">
        <f>SUMIF(M$401:M$490,$C850,$S$401:$S$490)*Forrajes!BM46*M$99</f>
        <v>0</v>
      </c>
      <c r="Z850" s="668">
        <f>SUMIF(N$401:N$490,$C850,$S$401:$S$490)*Forrajes!BN46*N$99</f>
        <v>0</v>
      </c>
      <c r="AA850" s="668">
        <f>SUMIF(O$401:O$490,$C850,$S$401:$S$490)*Forrajes!BO46*O$99</f>
        <v>0</v>
      </c>
      <c r="AB850" s="668">
        <f>SUMIF(P$401:P$490,$C850,$S$401:$S$490)*Forrajes!BP46*P$99</f>
        <v>0</v>
      </c>
      <c r="AC850" s="668">
        <f>SUMIF(Q$401:Q$490,$C850,$S$401:$S$490)*Forrajes!BQ46*Q$99</f>
        <v>0</v>
      </c>
      <c r="AD850" s="1977">
        <f>SUMIF(R$401:R$490,$C850,$S$401:$S$490)*Forrajes!BR46*R$99</f>
        <v>0</v>
      </c>
      <c r="AF850" s="1976">
        <f>Forrajes!BU46*S850</f>
        <v>0</v>
      </c>
      <c r="AG850" s="668">
        <f>Forrajes!BV46*T850</f>
        <v>0</v>
      </c>
      <c r="AH850" s="668">
        <f>Forrajes!BW46*U850</f>
        <v>0</v>
      </c>
      <c r="AI850" s="668">
        <f>Forrajes!BX46*V850</f>
        <v>0</v>
      </c>
      <c r="AJ850" s="668">
        <f>Forrajes!BY46*W850</f>
        <v>0</v>
      </c>
      <c r="AK850" s="668">
        <f>Forrajes!BZ46*X850</f>
        <v>0</v>
      </c>
      <c r="AL850" s="668">
        <f>Forrajes!CA46*Y850</f>
        <v>0</v>
      </c>
      <c r="AM850" s="668">
        <f>Forrajes!CB46*Z850</f>
        <v>0</v>
      </c>
      <c r="AN850" s="668">
        <f>Forrajes!CC46*AA850</f>
        <v>0</v>
      </c>
      <c r="AO850" s="668">
        <f>Forrajes!CD46*AB850</f>
        <v>0</v>
      </c>
      <c r="AP850" s="668">
        <f>Forrajes!CE46*AC850</f>
        <v>0</v>
      </c>
      <c r="AQ850" s="668">
        <f>Forrajes!CF46*AD850</f>
        <v>0</v>
      </c>
      <c r="AS850" s="1976">
        <f>Forrajes!CI46*S850</f>
        <v>0</v>
      </c>
      <c r="AT850" s="668">
        <f>Forrajes!CJ46*T850</f>
        <v>0</v>
      </c>
      <c r="AU850" s="668">
        <f>Forrajes!CK46*U850</f>
        <v>0</v>
      </c>
      <c r="AV850" s="668">
        <f>Forrajes!CL46*V850</f>
        <v>0</v>
      </c>
      <c r="AW850" s="668">
        <f>Forrajes!CM46*W850</f>
        <v>0</v>
      </c>
      <c r="AX850" s="668">
        <f>Forrajes!CN46*X850</f>
        <v>0</v>
      </c>
      <c r="AY850" s="668">
        <f>Forrajes!CO46*Y850</f>
        <v>0</v>
      </c>
      <c r="AZ850" s="668">
        <f>Forrajes!CP46*Z850</f>
        <v>0</v>
      </c>
      <c r="BA850" s="668">
        <f>Forrajes!CQ46*AA850</f>
        <v>0</v>
      </c>
      <c r="BB850" s="668">
        <f>Forrajes!CR46*AB850</f>
        <v>0</v>
      </c>
      <c r="BC850" s="668">
        <f>Forrajes!CS46*AC850</f>
        <v>0</v>
      </c>
      <c r="BD850" s="1818">
        <f>Forrajes!CT46*AD850</f>
        <v>0</v>
      </c>
      <c r="BE850" s="590"/>
      <c r="BF850" s="100"/>
      <c r="BG850" s="590"/>
      <c r="BH850" s="590"/>
      <c r="BI850" s="100"/>
      <c r="BJ850" s="1975"/>
      <c r="BK850" s="590"/>
    </row>
    <row r="851" spans="3:63" s="108" customFormat="1" x14ac:dyDescent="0.2">
      <c r="C851" s="1971" t="str">
        <f t="shared" si="707"/>
        <v>Sudan Ganadería</v>
      </c>
      <c r="D851" s="1857" t="str">
        <f t="shared" si="708"/>
        <v xml:space="preserve">Sudan </v>
      </c>
      <c r="E851" s="590"/>
      <c r="F851" s="1972">
        <f t="shared" ref="F851:Q851" si="714">IF($D851&lt;&gt;0,SUMIFS($C$9:$C$98,$D$9:$D$98,$D$640,G$9:G$98,$D851),0)</f>
        <v>0</v>
      </c>
      <c r="G851" s="1972">
        <f t="shared" si="714"/>
        <v>0</v>
      </c>
      <c r="H851" s="1972">
        <f t="shared" si="714"/>
        <v>0</v>
      </c>
      <c r="I851" s="1972">
        <f>IF($D851&lt;&gt;0,SUMIFS($C$9:$C$98,$D$9:$D$98,$D$640,J$9:J$98,$D851),0)</f>
        <v>0</v>
      </c>
      <c r="J851" s="1972">
        <f t="shared" si="714"/>
        <v>0</v>
      </c>
      <c r="K851" s="1972">
        <f t="shared" si="714"/>
        <v>0</v>
      </c>
      <c r="L851" s="1972">
        <f t="shared" si="714"/>
        <v>0</v>
      </c>
      <c r="M851" s="1972">
        <f t="shared" si="714"/>
        <v>0</v>
      </c>
      <c r="N851" s="1972">
        <f t="shared" si="714"/>
        <v>0</v>
      </c>
      <c r="O851" s="1972">
        <f t="shared" si="714"/>
        <v>0</v>
      </c>
      <c r="P851" s="1972">
        <f t="shared" si="714"/>
        <v>0</v>
      </c>
      <c r="Q851" s="1972">
        <f t="shared" si="714"/>
        <v>0</v>
      </c>
      <c r="S851" s="1976">
        <f>SUMIF(G$401:G$490,$C851,$S$401:$S$490)*Forrajes!BG47*G$99</f>
        <v>0</v>
      </c>
      <c r="T851" s="668">
        <f>SUMIF(H$401:H$490,$C851,$S$401:$S$490)*Forrajes!BH47*H$99</f>
        <v>0</v>
      </c>
      <c r="U851" s="668">
        <f>SUMIF(I$401:I$490,$C851,$S$401:$S$490)*Forrajes!BI47*I$99</f>
        <v>0</v>
      </c>
      <c r="V851" s="668">
        <f>SUMIF(J$401:J$490,$C851,$S$401:$S$490)*Forrajes!BJ47*J$99</f>
        <v>0</v>
      </c>
      <c r="W851" s="668">
        <f>SUMIF(K$401:K$490,$C851,$S$401:$S$490)*Forrajes!BK47*K$99</f>
        <v>0</v>
      </c>
      <c r="X851" s="668">
        <f>SUMIF(L$401:L$490,$C851,$S$401:$S$490)*Forrajes!BL47*L$99</f>
        <v>0</v>
      </c>
      <c r="Y851" s="668">
        <f>SUMIF(M$401:M$490,$C851,$S$401:$S$490)*Forrajes!BM47*M$99</f>
        <v>0</v>
      </c>
      <c r="Z851" s="668">
        <f>SUMIF(N$401:N$490,$C851,$S$401:$S$490)*Forrajes!BN47*N$99</f>
        <v>0</v>
      </c>
      <c r="AA851" s="668">
        <f>SUMIF(O$401:O$490,$C851,$S$401:$S$490)*Forrajes!BO47*O$99</f>
        <v>0</v>
      </c>
      <c r="AB851" s="668">
        <f>SUMIF(P$401:P$490,$C851,$S$401:$S$490)*Forrajes!BP47*P$99</f>
        <v>0</v>
      </c>
      <c r="AC851" s="668">
        <f>SUMIF(Q$401:Q$490,$C851,$S$401:$S$490)*Forrajes!BQ47*Q$99</f>
        <v>0</v>
      </c>
      <c r="AD851" s="1977">
        <f>SUMIF(R$401:R$490,$C851,$S$401:$S$490)*Forrajes!BR47*R$99</f>
        <v>0</v>
      </c>
      <c r="AF851" s="1976">
        <f>Forrajes!BU47*S851</f>
        <v>0</v>
      </c>
      <c r="AG851" s="668">
        <f>Forrajes!BV47*T851</f>
        <v>0</v>
      </c>
      <c r="AH851" s="668">
        <f>Forrajes!BW47*U851</f>
        <v>0</v>
      </c>
      <c r="AI851" s="668">
        <f>Forrajes!BX47*V851</f>
        <v>0</v>
      </c>
      <c r="AJ851" s="668">
        <f>Forrajes!BY47*W851</f>
        <v>0</v>
      </c>
      <c r="AK851" s="668">
        <f>Forrajes!BZ47*X851</f>
        <v>0</v>
      </c>
      <c r="AL851" s="668">
        <f>Forrajes!CA47*Y851</f>
        <v>0</v>
      </c>
      <c r="AM851" s="668">
        <f>Forrajes!CB47*Z851</f>
        <v>0</v>
      </c>
      <c r="AN851" s="668">
        <f>Forrajes!CC47*AA851</f>
        <v>0</v>
      </c>
      <c r="AO851" s="668">
        <f>Forrajes!CD47*AB851</f>
        <v>0</v>
      </c>
      <c r="AP851" s="668">
        <f>Forrajes!CE47*AC851</f>
        <v>0</v>
      </c>
      <c r="AQ851" s="668">
        <f>Forrajes!CF47*AD851</f>
        <v>0</v>
      </c>
      <c r="AS851" s="1976">
        <f>Forrajes!CI47*S851</f>
        <v>0</v>
      </c>
      <c r="AT851" s="668">
        <f>Forrajes!CJ47*T851</f>
        <v>0</v>
      </c>
      <c r="AU851" s="668">
        <f>Forrajes!CK47*U851</f>
        <v>0</v>
      </c>
      <c r="AV851" s="668">
        <f>Forrajes!CL47*V851</f>
        <v>0</v>
      </c>
      <c r="AW851" s="668">
        <f>Forrajes!CM47*W851</f>
        <v>0</v>
      </c>
      <c r="AX851" s="668">
        <f>Forrajes!CN47*X851</f>
        <v>0</v>
      </c>
      <c r="AY851" s="668">
        <f>Forrajes!CO47*Y851</f>
        <v>0</v>
      </c>
      <c r="AZ851" s="668">
        <f>Forrajes!CP47*Z851</f>
        <v>0</v>
      </c>
      <c r="BA851" s="668">
        <f>Forrajes!CQ47*AA851</f>
        <v>0</v>
      </c>
      <c r="BB851" s="668">
        <f>Forrajes!CR47*AB851</f>
        <v>0</v>
      </c>
      <c r="BC851" s="668">
        <f>Forrajes!CS47*AC851</f>
        <v>0</v>
      </c>
      <c r="BD851" s="1818">
        <f>Forrajes!CT47*AD851</f>
        <v>0</v>
      </c>
      <c r="BE851" s="590"/>
      <c r="BF851" s="100"/>
      <c r="BG851" s="590"/>
      <c r="BH851" s="590"/>
      <c r="BI851" s="1978"/>
      <c r="BJ851" s="1975"/>
      <c r="BK851" s="590"/>
    </row>
    <row r="852" spans="3:63" s="108" customFormat="1" x14ac:dyDescent="0.2">
      <c r="C852" s="1971" t="str">
        <f t="shared" si="707"/>
        <v>0Ganadería</v>
      </c>
      <c r="D852" s="1857">
        <f t="shared" si="708"/>
        <v>0</v>
      </c>
      <c r="E852" s="590"/>
      <c r="F852" s="1972">
        <f t="shared" ref="F852:Q852" si="715">IF($D852&lt;&gt;0,SUMIFS($C$9:$C$98,$D$9:$D$98,$D$640,G$9:G$98,$D852),0)</f>
        <v>0</v>
      </c>
      <c r="G852" s="1972">
        <f t="shared" si="715"/>
        <v>0</v>
      </c>
      <c r="H852" s="1972">
        <f t="shared" si="715"/>
        <v>0</v>
      </c>
      <c r="I852" s="1972">
        <f>IF($D852&lt;&gt;0,SUMIFS($C$9:$C$98,$D$9:$D$98,$D$640,J$9:J$98,$D852),0)</f>
        <v>0</v>
      </c>
      <c r="J852" s="1972">
        <f t="shared" si="715"/>
        <v>0</v>
      </c>
      <c r="K852" s="1972">
        <f t="shared" si="715"/>
        <v>0</v>
      </c>
      <c r="L852" s="1972">
        <f t="shared" si="715"/>
        <v>0</v>
      </c>
      <c r="M852" s="1972">
        <f t="shared" si="715"/>
        <v>0</v>
      </c>
      <c r="N852" s="1972">
        <f t="shared" si="715"/>
        <v>0</v>
      </c>
      <c r="O852" s="1972">
        <f t="shared" si="715"/>
        <v>0</v>
      </c>
      <c r="P852" s="1972">
        <f t="shared" si="715"/>
        <v>0</v>
      </c>
      <c r="Q852" s="1972">
        <f t="shared" si="715"/>
        <v>0</v>
      </c>
      <c r="S852" s="1976">
        <f>SUMIF(G$401:G$490,$C852,$S$401:$S$490)*Forrajes!BG48*G$99</f>
        <v>0</v>
      </c>
      <c r="T852" s="668">
        <f>SUMIF(H$401:H$490,$C852,$S$401:$S$490)*Forrajes!BH48*H$99</f>
        <v>0</v>
      </c>
      <c r="U852" s="668">
        <f>SUMIF(I$401:I$490,$C852,$S$401:$S$490)*Forrajes!BI48*I$99</f>
        <v>0</v>
      </c>
      <c r="V852" s="668">
        <f>SUMIF(J$401:J$490,$C852,$S$401:$S$490)*Forrajes!BJ48*J$99</f>
        <v>0</v>
      </c>
      <c r="W852" s="668">
        <f>SUMIF(K$401:K$490,$C852,$S$401:$S$490)*Forrajes!BK48*K$99</f>
        <v>0</v>
      </c>
      <c r="X852" s="668">
        <f>SUMIF(L$401:L$490,$C852,$S$401:$S$490)*Forrajes!BL48*L$99</f>
        <v>0</v>
      </c>
      <c r="Y852" s="668">
        <f>SUMIF(M$401:M$490,$C852,$S$401:$S$490)*Forrajes!BM48*M$99</f>
        <v>0</v>
      </c>
      <c r="Z852" s="668">
        <f>SUMIF(N$401:N$490,$C852,$S$401:$S$490)*Forrajes!BN48*N$99</f>
        <v>0</v>
      </c>
      <c r="AA852" s="668">
        <f>SUMIF(O$401:O$490,$C852,$S$401:$S$490)*Forrajes!BO48*O$99</f>
        <v>0</v>
      </c>
      <c r="AB852" s="668">
        <f>SUMIF(P$401:P$490,$C852,$S$401:$S$490)*Forrajes!BP48*P$99</f>
        <v>0</v>
      </c>
      <c r="AC852" s="668">
        <f>SUMIF(Q$401:Q$490,$C852,$S$401:$S$490)*Forrajes!BQ48*Q$99</f>
        <v>0</v>
      </c>
      <c r="AD852" s="1977">
        <f>SUMIF(R$401:R$490,$C852,$S$401:$S$490)*Forrajes!BR48*R$99</f>
        <v>0</v>
      </c>
      <c r="AF852" s="1976">
        <f>Forrajes!BU48*S852</f>
        <v>0</v>
      </c>
      <c r="AG852" s="668">
        <f>Forrajes!BV48*T852</f>
        <v>0</v>
      </c>
      <c r="AH852" s="668">
        <f>Forrajes!BW48*U852</f>
        <v>0</v>
      </c>
      <c r="AI852" s="668">
        <f>Forrajes!BX48*V852</f>
        <v>0</v>
      </c>
      <c r="AJ852" s="668">
        <f>Forrajes!BY48*W852</f>
        <v>0</v>
      </c>
      <c r="AK852" s="668">
        <f>Forrajes!BZ48*X852</f>
        <v>0</v>
      </c>
      <c r="AL852" s="668">
        <f>Forrajes!CA48*Y852</f>
        <v>0</v>
      </c>
      <c r="AM852" s="668">
        <f>Forrajes!CB48*Z852</f>
        <v>0</v>
      </c>
      <c r="AN852" s="668">
        <f>Forrajes!CC48*AA852</f>
        <v>0</v>
      </c>
      <c r="AO852" s="668">
        <f>Forrajes!CD48*AB852</f>
        <v>0</v>
      </c>
      <c r="AP852" s="668">
        <f>Forrajes!CE48*AC852</f>
        <v>0</v>
      </c>
      <c r="AQ852" s="668">
        <f>Forrajes!CF48*AD852</f>
        <v>0</v>
      </c>
      <c r="AS852" s="1976">
        <f>Forrajes!CI48*S852</f>
        <v>0</v>
      </c>
      <c r="AT852" s="668">
        <f>Forrajes!CJ48*T852</f>
        <v>0</v>
      </c>
      <c r="AU852" s="668">
        <f>Forrajes!CK48*U852</f>
        <v>0</v>
      </c>
      <c r="AV852" s="668">
        <f>Forrajes!CL48*V852</f>
        <v>0</v>
      </c>
      <c r="AW852" s="668">
        <f>Forrajes!CM48*W852</f>
        <v>0</v>
      </c>
      <c r="AX852" s="668">
        <f>Forrajes!CN48*X852</f>
        <v>0</v>
      </c>
      <c r="AY852" s="668">
        <f>Forrajes!CO48*Y852</f>
        <v>0</v>
      </c>
      <c r="AZ852" s="668">
        <f>Forrajes!CP48*Z852</f>
        <v>0</v>
      </c>
      <c r="BA852" s="668">
        <f>Forrajes!CQ48*AA852</f>
        <v>0</v>
      </c>
      <c r="BB852" s="668">
        <f>Forrajes!CR48*AB852</f>
        <v>0</v>
      </c>
      <c r="BC852" s="668">
        <f>Forrajes!CS48*AC852</f>
        <v>0</v>
      </c>
      <c r="BD852" s="1818">
        <f>Forrajes!CT48*AD852</f>
        <v>0</v>
      </c>
      <c r="BE852" s="590"/>
      <c r="BF852" s="100"/>
      <c r="BG852" s="590"/>
      <c r="BH852" s="590"/>
      <c r="BI852" s="100"/>
      <c r="BJ852" s="1975"/>
      <c r="BK852" s="590"/>
    </row>
    <row r="853" spans="3:63" s="108" customFormat="1" x14ac:dyDescent="0.2">
      <c r="C853" s="1971" t="str">
        <f t="shared" si="707"/>
        <v>0Ganadería</v>
      </c>
      <c r="D853" s="1857">
        <f t="shared" si="708"/>
        <v>0</v>
      </c>
      <c r="E853" s="590"/>
      <c r="F853" s="1972">
        <f t="shared" ref="F853:Q853" si="716">IF($D853&lt;&gt;0,SUMIFS($C$9:$C$98,$D$9:$D$98,$D$640,G$9:G$98,$D853),0)</f>
        <v>0</v>
      </c>
      <c r="G853" s="1972">
        <f t="shared" si="716"/>
        <v>0</v>
      </c>
      <c r="H853" s="1972">
        <f t="shared" si="716"/>
        <v>0</v>
      </c>
      <c r="I853" s="1972">
        <f>IF($D853&lt;&gt;0,SUMIFS($C$9:$C$98,$D$9:$D$98,$D$640,J$9:J$98,$D853),0)</f>
        <v>0</v>
      </c>
      <c r="J853" s="1972">
        <f t="shared" si="716"/>
        <v>0</v>
      </c>
      <c r="K853" s="1972">
        <f t="shared" si="716"/>
        <v>0</v>
      </c>
      <c r="L853" s="1972">
        <f t="shared" si="716"/>
        <v>0</v>
      </c>
      <c r="M853" s="1972">
        <f t="shared" si="716"/>
        <v>0</v>
      </c>
      <c r="N853" s="1972">
        <f t="shared" si="716"/>
        <v>0</v>
      </c>
      <c r="O853" s="1972">
        <f t="shared" si="716"/>
        <v>0</v>
      </c>
      <c r="P853" s="1972">
        <f t="shared" si="716"/>
        <v>0</v>
      </c>
      <c r="Q853" s="1972">
        <f t="shared" si="716"/>
        <v>0</v>
      </c>
      <c r="S853" s="1976">
        <f>SUMIF(G$401:G$490,$C853,$S$401:$S$490)*Forrajes!BG49*G$99</f>
        <v>0</v>
      </c>
      <c r="T853" s="668">
        <f>SUMIF(H$401:H$490,$C853,$S$401:$S$490)*Forrajes!BH49*H$99</f>
        <v>0</v>
      </c>
      <c r="U853" s="668">
        <f>SUMIF(I$401:I$490,$C853,$S$401:$S$490)*Forrajes!BI49*I$99</f>
        <v>0</v>
      </c>
      <c r="V853" s="668">
        <f>SUMIF(J$401:J$490,$C853,$S$401:$S$490)*Forrajes!BJ49*J$99</f>
        <v>0</v>
      </c>
      <c r="W853" s="668">
        <f>SUMIF(K$401:K$490,$C853,$S$401:$S$490)*Forrajes!BK49*K$99</f>
        <v>0</v>
      </c>
      <c r="X853" s="668">
        <f>SUMIF(L$401:L$490,$C853,$S$401:$S$490)*Forrajes!BL49*L$99</f>
        <v>0</v>
      </c>
      <c r="Y853" s="668">
        <f>SUMIF(M$401:M$490,$C853,$S$401:$S$490)*Forrajes!BM49*M$99</f>
        <v>0</v>
      </c>
      <c r="Z853" s="668">
        <f>SUMIF(N$401:N$490,$C853,$S$401:$S$490)*Forrajes!BN49*N$99</f>
        <v>0</v>
      </c>
      <c r="AA853" s="668">
        <f>SUMIF(O$401:O$490,$C853,$S$401:$S$490)*Forrajes!BO49*O$99</f>
        <v>0</v>
      </c>
      <c r="AB853" s="668">
        <f>SUMIF(P$401:P$490,$C853,$S$401:$S$490)*Forrajes!BP49*P$99</f>
        <v>0</v>
      </c>
      <c r="AC853" s="668">
        <f>SUMIF(Q$401:Q$490,$C853,$S$401:$S$490)*Forrajes!BQ49*Q$99</f>
        <v>0</v>
      </c>
      <c r="AD853" s="1977">
        <f>SUMIF(R$401:R$490,$C853,$S$401:$S$490)*Forrajes!BR49*R$99</f>
        <v>0</v>
      </c>
      <c r="AF853" s="1976">
        <f>Forrajes!BU49*S853</f>
        <v>0</v>
      </c>
      <c r="AG853" s="668">
        <f>Forrajes!BV49*T853</f>
        <v>0</v>
      </c>
      <c r="AH853" s="668">
        <f>Forrajes!BW49*U853</f>
        <v>0</v>
      </c>
      <c r="AI853" s="668">
        <f>Forrajes!BX49*V853</f>
        <v>0</v>
      </c>
      <c r="AJ853" s="668">
        <f>Forrajes!BY49*W853</f>
        <v>0</v>
      </c>
      <c r="AK853" s="668">
        <f>Forrajes!BZ49*X853</f>
        <v>0</v>
      </c>
      <c r="AL853" s="668">
        <f>Forrajes!CA49*Y853</f>
        <v>0</v>
      </c>
      <c r="AM853" s="668">
        <f>Forrajes!CB49*Z853</f>
        <v>0</v>
      </c>
      <c r="AN853" s="668">
        <f>Forrajes!CC49*AA853</f>
        <v>0</v>
      </c>
      <c r="AO853" s="668">
        <f>Forrajes!CD49*AB853</f>
        <v>0</v>
      </c>
      <c r="AP853" s="668">
        <f>Forrajes!CE49*AC853</f>
        <v>0</v>
      </c>
      <c r="AQ853" s="668">
        <f>Forrajes!CF49*AD853</f>
        <v>0</v>
      </c>
      <c r="AS853" s="1976">
        <f>Forrajes!CI49*S853</f>
        <v>0</v>
      </c>
      <c r="AT853" s="668">
        <f>Forrajes!CJ49*T853</f>
        <v>0</v>
      </c>
      <c r="AU853" s="668">
        <f>Forrajes!CK49*U853</f>
        <v>0</v>
      </c>
      <c r="AV853" s="668">
        <f>Forrajes!CL49*V853</f>
        <v>0</v>
      </c>
      <c r="AW853" s="668">
        <f>Forrajes!CM49*W853</f>
        <v>0</v>
      </c>
      <c r="AX853" s="668">
        <f>Forrajes!CN49*X853</f>
        <v>0</v>
      </c>
      <c r="AY853" s="668">
        <f>Forrajes!CO49*Y853</f>
        <v>0</v>
      </c>
      <c r="AZ853" s="668">
        <f>Forrajes!CP49*Z853</f>
        <v>0</v>
      </c>
      <c r="BA853" s="668">
        <f>Forrajes!CQ49*AA853</f>
        <v>0</v>
      </c>
      <c r="BB853" s="668">
        <f>Forrajes!CR49*AB853</f>
        <v>0</v>
      </c>
      <c r="BC853" s="668">
        <f>Forrajes!CS49*AC853</f>
        <v>0</v>
      </c>
      <c r="BD853" s="1818">
        <f>Forrajes!CT49*AD853</f>
        <v>0</v>
      </c>
      <c r="BE853" s="590"/>
      <c r="BF853" s="100"/>
      <c r="BG853" s="590"/>
      <c r="BH853" s="590"/>
      <c r="BI853" s="100"/>
      <c r="BJ853" s="1975"/>
      <c r="BK853" s="590"/>
    </row>
    <row r="854" spans="3:63" s="108" customFormat="1" x14ac:dyDescent="0.2">
      <c r="C854" s="1971" t="str">
        <f t="shared" si="707"/>
        <v>0Ganadería</v>
      </c>
      <c r="D854" s="1857">
        <f t="shared" si="708"/>
        <v>0</v>
      </c>
      <c r="E854" s="590"/>
      <c r="F854" s="1972">
        <f t="shared" ref="F854:Q854" si="717">IF($D854&lt;&gt;0,SUMIFS($C$9:$C$98,$D$9:$D$98,$D$640,G$9:G$98,$D854),0)</f>
        <v>0</v>
      </c>
      <c r="G854" s="1972">
        <f t="shared" si="717"/>
        <v>0</v>
      </c>
      <c r="H854" s="1972">
        <f t="shared" si="717"/>
        <v>0</v>
      </c>
      <c r="I854" s="1972">
        <f>IF($D854&lt;&gt;0,SUMIFS($C$9:$C$98,$D$9:$D$98,$D$640,J$9:J$98,$D854),0)</f>
        <v>0</v>
      </c>
      <c r="J854" s="1972">
        <f t="shared" si="717"/>
        <v>0</v>
      </c>
      <c r="K854" s="1972">
        <f t="shared" si="717"/>
        <v>0</v>
      </c>
      <c r="L854" s="1972">
        <f t="shared" si="717"/>
        <v>0</v>
      </c>
      <c r="M854" s="1972">
        <f t="shared" si="717"/>
        <v>0</v>
      </c>
      <c r="N854" s="1972">
        <f t="shared" si="717"/>
        <v>0</v>
      </c>
      <c r="O854" s="1972">
        <f t="shared" si="717"/>
        <v>0</v>
      </c>
      <c r="P854" s="1972">
        <f t="shared" si="717"/>
        <v>0</v>
      </c>
      <c r="Q854" s="1972">
        <f t="shared" si="717"/>
        <v>0</v>
      </c>
      <c r="S854" s="1976">
        <f>SUMIF(G$401:G$490,$C854,$S$401:$S$490)*Forrajes!BG50*G$99</f>
        <v>0</v>
      </c>
      <c r="T854" s="668">
        <f>SUMIF(H$401:H$490,$C854,$S$401:$S$490)*Forrajes!BH50*H$99</f>
        <v>0</v>
      </c>
      <c r="U854" s="668">
        <f>SUMIF(I$401:I$490,$C854,$S$401:$S$490)*Forrajes!BI50*I$99</f>
        <v>0</v>
      </c>
      <c r="V854" s="668">
        <f>SUMIF(J$401:J$490,$C854,$S$401:$S$490)*Forrajes!BJ50*J$99</f>
        <v>0</v>
      </c>
      <c r="W854" s="668">
        <f>SUMIF(K$401:K$490,$C854,$S$401:$S$490)*Forrajes!BK50*K$99</f>
        <v>0</v>
      </c>
      <c r="X854" s="668">
        <f>SUMIF(L$401:L$490,$C854,$S$401:$S$490)*Forrajes!BL50*L$99</f>
        <v>0</v>
      </c>
      <c r="Y854" s="668">
        <f>SUMIF(M$401:M$490,$C854,$S$401:$S$490)*Forrajes!BM50*M$99</f>
        <v>0</v>
      </c>
      <c r="Z854" s="668">
        <f>SUMIF(N$401:N$490,$C854,$S$401:$S$490)*Forrajes!BN50*N$99</f>
        <v>0</v>
      </c>
      <c r="AA854" s="668">
        <f>SUMIF(O$401:O$490,$C854,$S$401:$S$490)*Forrajes!BO50*O$99</f>
        <v>0</v>
      </c>
      <c r="AB854" s="668">
        <f>SUMIF(P$401:P$490,$C854,$S$401:$S$490)*Forrajes!BP50*P$99</f>
        <v>0</v>
      </c>
      <c r="AC854" s="668">
        <f>SUMIF(Q$401:Q$490,$C854,$S$401:$S$490)*Forrajes!BQ50*Q$99</f>
        <v>0</v>
      </c>
      <c r="AD854" s="1977">
        <f>SUMIF(R$401:R$490,$C854,$S$401:$S$490)*Forrajes!BR50*R$99</f>
        <v>0</v>
      </c>
      <c r="AF854" s="1976">
        <f>Forrajes!BU50*S854</f>
        <v>0</v>
      </c>
      <c r="AG854" s="668">
        <f>Forrajes!BV50*T854</f>
        <v>0</v>
      </c>
      <c r="AH854" s="668">
        <f>Forrajes!BW50*U854</f>
        <v>0</v>
      </c>
      <c r="AI854" s="668">
        <f>Forrajes!BX50*V854</f>
        <v>0</v>
      </c>
      <c r="AJ854" s="668">
        <f>Forrajes!BY50*W854</f>
        <v>0</v>
      </c>
      <c r="AK854" s="668">
        <f>Forrajes!BZ50*X854</f>
        <v>0</v>
      </c>
      <c r="AL854" s="668">
        <f>Forrajes!CA50*Y854</f>
        <v>0</v>
      </c>
      <c r="AM854" s="668">
        <f>Forrajes!CB50*Z854</f>
        <v>0</v>
      </c>
      <c r="AN854" s="668">
        <f>Forrajes!CC50*AA854</f>
        <v>0</v>
      </c>
      <c r="AO854" s="668">
        <f>Forrajes!CD50*AB854</f>
        <v>0</v>
      </c>
      <c r="AP854" s="668">
        <f>Forrajes!CE50*AC854</f>
        <v>0</v>
      </c>
      <c r="AQ854" s="668">
        <f>Forrajes!CF50*AD854</f>
        <v>0</v>
      </c>
      <c r="AS854" s="1976">
        <f>Forrajes!CI50*S854</f>
        <v>0</v>
      </c>
      <c r="AT854" s="668">
        <f>Forrajes!CJ50*T854</f>
        <v>0</v>
      </c>
      <c r="AU854" s="668">
        <f>Forrajes!CK50*U854</f>
        <v>0</v>
      </c>
      <c r="AV854" s="668">
        <f>Forrajes!CL50*V854</f>
        <v>0</v>
      </c>
      <c r="AW854" s="668">
        <f>Forrajes!CM50*W854</f>
        <v>0</v>
      </c>
      <c r="AX854" s="668">
        <f>Forrajes!CN50*X854</f>
        <v>0</v>
      </c>
      <c r="AY854" s="668">
        <f>Forrajes!CO50*Y854</f>
        <v>0</v>
      </c>
      <c r="AZ854" s="668">
        <f>Forrajes!CP50*Z854</f>
        <v>0</v>
      </c>
      <c r="BA854" s="668">
        <f>Forrajes!CQ50*AA854</f>
        <v>0</v>
      </c>
      <c r="BB854" s="668">
        <f>Forrajes!CR50*AB854</f>
        <v>0</v>
      </c>
      <c r="BC854" s="668">
        <f>Forrajes!CS50*AC854</f>
        <v>0</v>
      </c>
      <c r="BD854" s="1818">
        <f>Forrajes!CT50*AD854</f>
        <v>0</v>
      </c>
      <c r="BE854" s="590"/>
      <c r="BF854" s="100"/>
      <c r="BG854" s="590"/>
      <c r="BH854" s="590"/>
      <c r="BI854" s="100"/>
      <c r="BJ854" s="1975"/>
      <c r="BK854" s="590"/>
    </row>
    <row r="855" spans="3:63" s="108" customFormat="1" x14ac:dyDescent="0.2">
      <c r="C855" s="1971" t="str">
        <f t="shared" si="707"/>
        <v>Subtotal Verdeos de Verano Ganadería</v>
      </c>
      <c r="D855" s="1911" t="str">
        <f t="shared" si="708"/>
        <v xml:space="preserve">Subtotal Verdeos de Verano </v>
      </c>
      <c r="E855" s="1912"/>
      <c r="F855" s="1913">
        <f>SUM(F850:F854)</f>
        <v>0</v>
      </c>
      <c r="G855" s="1913">
        <f t="shared" ref="G855:Q855" si="718">SUM(G850:G854)</f>
        <v>0</v>
      </c>
      <c r="H855" s="1913">
        <f t="shared" si="718"/>
        <v>0</v>
      </c>
      <c r="I855" s="1913">
        <f t="shared" si="718"/>
        <v>0</v>
      </c>
      <c r="J855" s="1913">
        <f t="shared" si="718"/>
        <v>0</v>
      </c>
      <c r="K855" s="1913">
        <f t="shared" si="718"/>
        <v>0</v>
      </c>
      <c r="L855" s="1913">
        <f t="shared" si="718"/>
        <v>0</v>
      </c>
      <c r="M855" s="1913">
        <f t="shared" si="718"/>
        <v>0</v>
      </c>
      <c r="N855" s="1913">
        <f t="shared" si="718"/>
        <v>0</v>
      </c>
      <c r="O855" s="1913">
        <f t="shared" si="718"/>
        <v>0</v>
      </c>
      <c r="P855" s="1913">
        <f t="shared" si="718"/>
        <v>0</v>
      </c>
      <c r="Q855" s="1913">
        <f t="shared" si="718"/>
        <v>0</v>
      </c>
      <c r="S855" s="1981"/>
      <c r="T855" s="1982"/>
      <c r="U855" s="1982"/>
      <c r="V855" s="1982"/>
      <c r="W855" s="1982"/>
      <c r="X855" s="1982"/>
      <c r="Y855" s="1982"/>
      <c r="Z855" s="1982"/>
      <c r="AA855" s="1982"/>
      <c r="AB855" s="1982"/>
      <c r="AC855" s="1982"/>
      <c r="AD855" s="1983"/>
      <c r="AF855" s="1981"/>
      <c r="AG855" s="1982"/>
      <c r="AH855" s="1982"/>
      <c r="AI855" s="1982"/>
      <c r="AJ855" s="1982"/>
      <c r="AK855" s="1982"/>
      <c r="AL855" s="1982"/>
      <c r="AM855" s="1982"/>
      <c r="AN855" s="1982"/>
      <c r="AO855" s="1982"/>
      <c r="AP855" s="1982"/>
      <c r="AQ855" s="1982"/>
      <c r="AS855" s="1981"/>
      <c r="AT855" s="1982"/>
      <c r="AU855" s="1982"/>
      <c r="AV855" s="1982"/>
      <c r="AW855" s="1982"/>
      <c r="AX855" s="1982"/>
      <c r="AY855" s="1982"/>
      <c r="AZ855" s="1982"/>
      <c r="BA855" s="1982"/>
      <c r="BB855" s="1982"/>
      <c r="BC855" s="1982"/>
      <c r="BD855" s="769"/>
      <c r="BE855" s="590"/>
      <c r="BF855" s="100"/>
      <c r="BG855" s="590"/>
      <c r="BH855" s="590"/>
      <c r="BI855" s="100"/>
      <c r="BJ855" s="1975"/>
      <c r="BK855" s="590"/>
    </row>
    <row r="856" spans="3:63" s="108" customFormat="1" x14ac:dyDescent="0.2">
      <c r="C856" s="1984" t="str">
        <f t="shared" si="707"/>
        <v>Maíz SiloGanadería</v>
      </c>
      <c r="D856" s="1857" t="str">
        <f t="shared" si="708"/>
        <v>Maíz Silo</v>
      </c>
      <c r="E856" s="590"/>
      <c r="F856" s="1972">
        <f t="shared" ref="F856:Q856" si="719">IF($D856&lt;&gt;0,SUMIFS($C$9:$C$98,$D$9:$D$98,$D$640,G$9:G$98,$D856),0)</f>
        <v>0</v>
      </c>
      <c r="G856" s="1972">
        <f t="shared" si="719"/>
        <v>0</v>
      </c>
      <c r="H856" s="1972">
        <f t="shared" si="719"/>
        <v>0</v>
      </c>
      <c r="I856" s="1972">
        <f t="shared" ref="I856:I861" si="720">IF($D856&lt;&gt;0,SUMIFS($C$9:$C$98,$D$9:$D$98,$D$640,J$9:J$98,$D856),0)</f>
        <v>0</v>
      </c>
      <c r="J856" s="1972">
        <f t="shared" si="719"/>
        <v>0</v>
      </c>
      <c r="K856" s="1972">
        <f t="shared" si="719"/>
        <v>0</v>
      </c>
      <c r="L856" s="1972">
        <f t="shared" si="719"/>
        <v>0</v>
      </c>
      <c r="M856" s="1972">
        <f t="shared" si="719"/>
        <v>0</v>
      </c>
      <c r="N856" s="1972">
        <f t="shared" si="719"/>
        <v>0</v>
      </c>
      <c r="O856" s="1972">
        <f t="shared" si="719"/>
        <v>0</v>
      </c>
      <c r="P856" s="1972">
        <f t="shared" si="719"/>
        <v>0</v>
      </c>
      <c r="Q856" s="1972">
        <f t="shared" si="719"/>
        <v>0</v>
      </c>
      <c r="S856" s="1973">
        <f>SUMIF(G$401:G$490,$C856,$S$401:$S$490)*Forrajes!BG220*G$99</f>
        <v>0</v>
      </c>
      <c r="T856" s="1973">
        <f>SUMIF(H$401:H$490,$C856,$S$401:$S$490)*Forrajes!BH220*H$99</f>
        <v>0</v>
      </c>
      <c r="U856" s="1973">
        <f>SUMIF(I$401:I$490,$C856,$S$401:$S$490)*Forrajes!BI220*I$99</f>
        <v>0</v>
      </c>
      <c r="V856" s="1973">
        <f>SUMIF(J$401:J$490,$C856,$S$401:$S$490)*Forrajes!BJ220*J$99</f>
        <v>0</v>
      </c>
      <c r="W856" s="1973">
        <f>SUMIF(K$401:K$490,$C856,$S$401:$S$490)*Forrajes!BK220*K$99</f>
        <v>0</v>
      </c>
      <c r="X856" s="1973">
        <f>SUMIF(L$401:L$490,$C856,$S$401:$S$490)*Forrajes!BL220*L$99</f>
        <v>0</v>
      </c>
      <c r="Y856" s="1973">
        <f>SUMIF(M$401:M$490,$C856,$S$401:$S$490)*Forrajes!BM220*M$99</f>
        <v>0</v>
      </c>
      <c r="Z856" s="1973">
        <f>SUMIF(N$401:N$490,$C856,$S$401:$S$490)*Forrajes!BN220*N$99</f>
        <v>0</v>
      </c>
      <c r="AA856" s="1973">
        <f>SUMIF(O$401:O$490,$C856,$S$401:$S$490)*Forrajes!BO220*O$99</f>
        <v>0</v>
      </c>
      <c r="AB856" s="1973">
        <f>SUMIF(P$401:P$490,$C856,$S$401:$S$490)*Forrajes!BP220*P$99</f>
        <v>0</v>
      </c>
      <c r="AC856" s="1973">
        <f>SUMIF(Q$401:Q$490,$C856,$S$401:$S$490)*Forrajes!BQ220*Q$99</f>
        <v>0</v>
      </c>
      <c r="AD856" s="1973">
        <f>SUMIF(R$401:R$490,$C856,$S$401:$S$490)*Forrajes!BR220*R$99</f>
        <v>0</v>
      </c>
      <c r="AE856" s="590"/>
      <c r="AF856" s="1973">
        <f>Forrajes!BU220*S856</f>
        <v>0</v>
      </c>
      <c r="AG856" s="1973">
        <f>Forrajes!BV220*T856</f>
        <v>0</v>
      </c>
      <c r="AH856" s="1973">
        <f>Forrajes!BW220*U856</f>
        <v>0</v>
      </c>
      <c r="AI856" s="1973">
        <f>Forrajes!BX220*V856</f>
        <v>0</v>
      </c>
      <c r="AJ856" s="1973">
        <f>Forrajes!BY220*W856</f>
        <v>0</v>
      </c>
      <c r="AK856" s="1973">
        <f>Forrajes!BZ220*X856</f>
        <v>0</v>
      </c>
      <c r="AL856" s="1973">
        <f>Forrajes!CA220*Y856</f>
        <v>0</v>
      </c>
      <c r="AM856" s="1973">
        <f>Forrajes!CB220*Z856</f>
        <v>0</v>
      </c>
      <c r="AN856" s="1973">
        <f>Forrajes!CC220*AA856</f>
        <v>0</v>
      </c>
      <c r="AO856" s="1973">
        <f>Forrajes!CD220*AB856</f>
        <v>0</v>
      </c>
      <c r="AP856" s="1973">
        <f>Forrajes!CE220*AC856</f>
        <v>0</v>
      </c>
      <c r="AQ856" s="1973">
        <f>Forrajes!CF220*AD856</f>
        <v>0</v>
      </c>
      <c r="AR856" s="590"/>
      <c r="AS856" s="1973">
        <f>Forrajes!CI220*S856</f>
        <v>0</v>
      </c>
      <c r="AT856" s="1973">
        <f>Forrajes!CJ220*T856</f>
        <v>0</v>
      </c>
      <c r="AU856" s="1973">
        <f>Forrajes!CK220*U856</f>
        <v>0</v>
      </c>
      <c r="AV856" s="1973">
        <f>Forrajes!CL220*V856</f>
        <v>0</v>
      </c>
      <c r="AW856" s="1973">
        <f>Forrajes!CM220*W856</f>
        <v>0</v>
      </c>
      <c r="AX856" s="1973">
        <f>Forrajes!CN220*X856</f>
        <v>0</v>
      </c>
      <c r="AY856" s="1973">
        <f>Forrajes!CO220*Y856</f>
        <v>0</v>
      </c>
      <c r="AZ856" s="1973">
        <f>Forrajes!CP220*Z856</f>
        <v>0</v>
      </c>
      <c r="BA856" s="1973">
        <f>Forrajes!CQ220*AA856</f>
        <v>0</v>
      </c>
      <c r="BB856" s="1973">
        <f>Forrajes!CR220*AB856</f>
        <v>0</v>
      </c>
      <c r="BC856" s="1973">
        <f>Forrajes!CS220*AC856</f>
        <v>0</v>
      </c>
      <c r="BD856" s="779">
        <f>Forrajes!CT220*AD856</f>
        <v>0</v>
      </c>
      <c r="BE856" s="590"/>
      <c r="BF856" s="100"/>
      <c r="BG856" s="590"/>
      <c r="BH856" s="590"/>
      <c r="BI856" s="100"/>
      <c r="BJ856" s="1975"/>
      <c r="BK856" s="590"/>
    </row>
    <row r="857" spans="3:63" s="108" customFormat="1" x14ac:dyDescent="0.2">
      <c r="C857" s="1984" t="str">
        <f t="shared" si="707"/>
        <v>Sorgo siloGanadería</v>
      </c>
      <c r="D857" s="1857" t="str">
        <f t="shared" si="708"/>
        <v>Sorgo silo</v>
      </c>
      <c r="E857" s="590"/>
      <c r="F857" s="1972">
        <f t="shared" ref="F857:Q857" si="721">IF($D857&lt;&gt;0,SUMIFS($C$9:$C$98,$D$9:$D$98,$D$640,G$9:G$98,$D857),0)</f>
        <v>0</v>
      </c>
      <c r="G857" s="1972">
        <f t="shared" si="721"/>
        <v>0</v>
      </c>
      <c r="H857" s="1972">
        <f t="shared" si="721"/>
        <v>0</v>
      </c>
      <c r="I857" s="1972">
        <f t="shared" si="720"/>
        <v>0</v>
      </c>
      <c r="J857" s="1972">
        <f t="shared" si="721"/>
        <v>0</v>
      </c>
      <c r="K857" s="1972">
        <f t="shared" si="721"/>
        <v>0</v>
      </c>
      <c r="L857" s="1972">
        <f t="shared" si="721"/>
        <v>0</v>
      </c>
      <c r="M857" s="1972">
        <f t="shared" si="721"/>
        <v>0</v>
      </c>
      <c r="N857" s="1972">
        <f t="shared" si="721"/>
        <v>0</v>
      </c>
      <c r="O857" s="1972">
        <f t="shared" si="721"/>
        <v>0</v>
      </c>
      <c r="P857" s="1972">
        <f t="shared" si="721"/>
        <v>0</v>
      </c>
      <c r="Q857" s="1972">
        <f t="shared" si="721"/>
        <v>0</v>
      </c>
      <c r="S857" s="1973">
        <f>SUMIF(G$401:G$490,$C857,$S$401:$S$490)*Forrajes!BG221*G$99</f>
        <v>0</v>
      </c>
      <c r="T857" s="1973">
        <f>SUMIF(H$401:H$490,$C857,$S$401:$S$490)*Forrajes!BH221*H$99</f>
        <v>0</v>
      </c>
      <c r="U857" s="1973">
        <f>SUMIF(I$401:I$490,$C857,$S$401:$S$490)*Forrajes!BI221*I$99</f>
        <v>0</v>
      </c>
      <c r="V857" s="1973">
        <f>SUMIF(J$401:J$490,$C857,$S$401:$S$490)*Forrajes!BJ221*J$99</f>
        <v>0</v>
      </c>
      <c r="W857" s="1973">
        <f>SUMIF(K$401:K$490,$C857,$S$401:$S$490)*Forrajes!BK221*K$99</f>
        <v>0</v>
      </c>
      <c r="X857" s="1973">
        <f>SUMIF(L$401:L$490,$C857,$S$401:$S$490)*Forrajes!BL221*L$99</f>
        <v>0</v>
      </c>
      <c r="Y857" s="1973">
        <f>SUMIF(M$401:M$490,$C857,$S$401:$S$490)*Forrajes!BM221*M$99</f>
        <v>0</v>
      </c>
      <c r="Z857" s="1973">
        <f>SUMIF(N$401:N$490,$C857,$S$401:$S$490)*Forrajes!BN221*N$99</f>
        <v>0</v>
      </c>
      <c r="AA857" s="1973">
        <f>SUMIF(O$401:O$490,$C857,$S$401:$S$490)*Forrajes!BO221*O$99</f>
        <v>0</v>
      </c>
      <c r="AB857" s="1973">
        <f>SUMIF(P$401:P$490,$C857,$S$401:$S$490)*Forrajes!BP221*P$99</f>
        <v>0</v>
      </c>
      <c r="AC857" s="1973">
        <f>SUMIF(Q$401:Q$490,$C857,$S$401:$S$490)*Forrajes!BQ221*Q$99</f>
        <v>0</v>
      </c>
      <c r="AD857" s="1973">
        <f>SUMIF(R$401:R$490,$C857,$S$401:$S$490)*Forrajes!BR221*R$99</f>
        <v>0</v>
      </c>
      <c r="AE857" s="590"/>
      <c r="AF857" s="1973">
        <f>Forrajes!BU221*S857</f>
        <v>0</v>
      </c>
      <c r="AG857" s="1973">
        <f>Forrajes!BV221*T857</f>
        <v>0</v>
      </c>
      <c r="AH857" s="1973">
        <f>Forrajes!BW221*U857</f>
        <v>0</v>
      </c>
      <c r="AI857" s="1973">
        <f>Forrajes!BX221*V857</f>
        <v>0</v>
      </c>
      <c r="AJ857" s="1973">
        <f>Forrajes!BY221*W857</f>
        <v>0</v>
      </c>
      <c r="AK857" s="1973">
        <f>Forrajes!BZ221*X857</f>
        <v>0</v>
      </c>
      <c r="AL857" s="1973">
        <f>Forrajes!CA221*Y857</f>
        <v>0</v>
      </c>
      <c r="AM857" s="1973">
        <f>Forrajes!CB221*Z857</f>
        <v>0</v>
      </c>
      <c r="AN857" s="1973">
        <f>Forrajes!CC221*AA857</f>
        <v>0</v>
      </c>
      <c r="AO857" s="1973">
        <f>Forrajes!CD221*AB857</f>
        <v>0</v>
      </c>
      <c r="AP857" s="1973">
        <f>Forrajes!CE221*AC857</f>
        <v>0</v>
      </c>
      <c r="AQ857" s="1973">
        <f>Forrajes!CF221*AD857</f>
        <v>0</v>
      </c>
      <c r="AR857" s="590"/>
      <c r="AS857" s="1976">
        <f>Forrajes!CI221*S857</f>
        <v>0</v>
      </c>
      <c r="AT857" s="668">
        <f>Forrajes!CJ221*T857</f>
        <v>0</v>
      </c>
      <c r="AU857" s="668">
        <f>Forrajes!CK221*U857</f>
        <v>0</v>
      </c>
      <c r="AV857" s="668">
        <f>Forrajes!CL221*V857</f>
        <v>0</v>
      </c>
      <c r="AW857" s="668">
        <f>Forrajes!CM221*W857</f>
        <v>0</v>
      </c>
      <c r="AX857" s="668">
        <f>Forrajes!CN221*X857</f>
        <v>0</v>
      </c>
      <c r="AY857" s="668">
        <f>Forrajes!CO221*Y857</f>
        <v>0</v>
      </c>
      <c r="AZ857" s="668">
        <f>Forrajes!CP221*Z857</f>
        <v>0</v>
      </c>
      <c r="BA857" s="668">
        <f>Forrajes!CQ221*AA857</f>
        <v>0</v>
      </c>
      <c r="BB857" s="668">
        <f>Forrajes!CR221*AB857</f>
        <v>0</v>
      </c>
      <c r="BC857" s="668">
        <f>Forrajes!CS221*AC857</f>
        <v>0</v>
      </c>
      <c r="BD857" s="1818">
        <f>Forrajes!CT221*AD857</f>
        <v>0</v>
      </c>
      <c r="BE857" s="590"/>
      <c r="BF857" s="100"/>
      <c r="BG857" s="590"/>
      <c r="BH857" s="590"/>
      <c r="BI857" s="100"/>
      <c r="BJ857" s="1975"/>
      <c r="BK857" s="590"/>
    </row>
    <row r="858" spans="3:63" s="108" customFormat="1" x14ac:dyDescent="0.2">
      <c r="C858" s="1984" t="str">
        <f t="shared" si="707"/>
        <v>MohaGanadería</v>
      </c>
      <c r="D858" s="1857" t="str">
        <f t="shared" si="708"/>
        <v>Moha</v>
      </c>
      <c r="E858" s="590"/>
      <c r="F858" s="1972">
        <f t="shared" ref="F858:Q858" si="722">IF($D858&lt;&gt;0,SUMIFS($C$9:$C$98,$D$9:$D$98,$D$640,G$9:G$98,$D858),0)</f>
        <v>0</v>
      </c>
      <c r="G858" s="1972">
        <f t="shared" si="722"/>
        <v>0</v>
      </c>
      <c r="H858" s="1972">
        <f t="shared" si="722"/>
        <v>0</v>
      </c>
      <c r="I858" s="1972">
        <f t="shared" si="720"/>
        <v>0</v>
      </c>
      <c r="J858" s="1972">
        <f t="shared" si="722"/>
        <v>0</v>
      </c>
      <c r="K858" s="1972">
        <f t="shared" si="722"/>
        <v>0</v>
      </c>
      <c r="L858" s="1972">
        <f t="shared" si="722"/>
        <v>0</v>
      </c>
      <c r="M858" s="1972">
        <f t="shared" si="722"/>
        <v>0</v>
      </c>
      <c r="N858" s="1972">
        <f t="shared" si="722"/>
        <v>0</v>
      </c>
      <c r="O858" s="1972">
        <f t="shared" si="722"/>
        <v>0</v>
      </c>
      <c r="P858" s="1972">
        <f t="shared" si="722"/>
        <v>0</v>
      </c>
      <c r="Q858" s="1972">
        <f t="shared" si="722"/>
        <v>0</v>
      </c>
      <c r="S858" s="1973">
        <f>SUMIF(G$401:G$490,$C858,$S$401:$S$490)*Forrajes!BG222*G$99</f>
        <v>0</v>
      </c>
      <c r="T858" s="1973">
        <f>SUMIF(H$401:H$490,$C858,$S$401:$S$490)*Forrajes!BH222*H$99</f>
        <v>0</v>
      </c>
      <c r="U858" s="1973">
        <f>SUMIF(I$401:I$490,$C858,$S$401:$S$490)*Forrajes!BI222*I$99</f>
        <v>0</v>
      </c>
      <c r="V858" s="1973">
        <f>SUMIF(J$401:J$490,$C858,$S$401:$S$490)*Forrajes!BJ222*J$99</f>
        <v>0</v>
      </c>
      <c r="W858" s="1973">
        <f>SUMIF(K$401:K$490,$C858,$S$401:$S$490)*Forrajes!BK222*K$99</f>
        <v>0</v>
      </c>
      <c r="X858" s="1973">
        <f>SUMIF(L$401:L$490,$C858,$S$401:$S$490)*Forrajes!BL222*L$99</f>
        <v>0</v>
      </c>
      <c r="Y858" s="1973">
        <f>SUMIF(M$401:M$490,$C858,$S$401:$S$490)*Forrajes!BM222*M$99</f>
        <v>0</v>
      </c>
      <c r="Z858" s="1973">
        <f>SUMIF(N$401:N$490,$C858,$S$401:$S$490)*Forrajes!BN222*N$99</f>
        <v>0</v>
      </c>
      <c r="AA858" s="1973">
        <f>SUMIF(O$401:O$490,$C858,$S$401:$S$490)*Forrajes!BO222*O$99</f>
        <v>0</v>
      </c>
      <c r="AB858" s="1973">
        <f>SUMIF(P$401:P$490,$C858,$S$401:$S$490)*Forrajes!BP222*P$99</f>
        <v>0</v>
      </c>
      <c r="AC858" s="1973">
        <f>SUMIF(Q$401:Q$490,$C858,$S$401:$S$490)*Forrajes!BQ222*Q$99</f>
        <v>0</v>
      </c>
      <c r="AD858" s="1973">
        <f>SUMIF(R$401:R$490,$C858,$S$401:$S$490)*Forrajes!BR222*R$99</f>
        <v>0</v>
      </c>
      <c r="AE858" s="590"/>
      <c r="AF858" s="1973">
        <f>Forrajes!BU222*S858</f>
        <v>0</v>
      </c>
      <c r="AG858" s="1973">
        <f>Forrajes!BV222*T858</f>
        <v>0</v>
      </c>
      <c r="AH858" s="1973">
        <f>Forrajes!BW222*U858</f>
        <v>0</v>
      </c>
      <c r="AI858" s="1973">
        <f>Forrajes!BX222*V858</f>
        <v>0</v>
      </c>
      <c r="AJ858" s="1973">
        <f>Forrajes!BY222*W858</f>
        <v>0</v>
      </c>
      <c r="AK858" s="1973">
        <f>Forrajes!BZ222*X858</f>
        <v>0</v>
      </c>
      <c r="AL858" s="1973">
        <f>Forrajes!CA222*Y858</f>
        <v>0</v>
      </c>
      <c r="AM858" s="1973">
        <f>Forrajes!CB222*Z858</f>
        <v>0</v>
      </c>
      <c r="AN858" s="1973">
        <f>Forrajes!CC222*AA858</f>
        <v>0</v>
      </c>
      <c r="AO858" s="1973">
        <f>Forrajes!CD222*AB858</f>
        <v>0</v>
      </c>
      <c r="AP858" s="1973">
        <f>Forrajes!CE222*AC858</f>
        <v>0</v>
      </c>
      <c r="AQ858" s="1973">
        <f>Forrajes!CF222*AD858</f>
        <v>0</v>
      </c>
      <c r="AR858" s="590"/>
      <c r="AS858" s="1976">
        <f>Forrajes!CI222*S858</f>
        <v>0</v>
      </c>
      <c r="AT858" s="668">
        <f>Forrajes!CJ222*T858</f>
        <v>0</v>
      </c>
      <c r="AU858" s="668">
        <f>Forrajes!CK222*U858</f>
        <v>0</v>
      </c>
      <c r="AV858" s="668">
        <f>Forrajes!CL222*V858</f>
        <v>0</v>
      </c>
      <c r="AW858" s="668">
        <f>Forrajes!CM222*W858</f>
        <v>0</v>
      </c>
      <c r="AX858" s="668">
        <f>Forrajes!CN222*X858</f>
        <v>0</v>
      </c>
      <c r="AY858" s="668">
        <f>Forrajes!CO222*Y858</f>
        <v>0</v>
      </c>
      <c r="AZ858" s="668">
        <f>Forrajes!CP222*Z858</f>
        <v>0</v>
      </c>
      <c r="BA858" s="668">
        <f>Forrajes!CQ222*AA858</f>
        <v>0</v>
      </c>
      <c r="BB858" s="668">
        <f>Forrajes!CR222*AB858</f>
        <v>0</v>
      </c>
      <c r="BC858" s="668">
        <f>Forrajes!CS222*AC858</f>
        <v>0</v>
      </c>
      <c r="BD858" s="1818">
        <f>Forrajes!CT222*AD858</f>
        <v>0</v>
      </c>
      <c r="BE858" s="590"/>
      <c r="BF858" s="100"/>
      <c r="BG858" s="590"/>
      <c r="BH858" s="590"/>
      <c r="BI858" s="100"/>
      <c r="BJ858" s="1975"/>
      <c r="BK858" s="590"/>
    </row>
    <row r="859" spans="3:63" s="108" customFormat="1" x14ac:dyDescent="0.2">
      <c r="C859" s="1984" t="str">
        <f t="shared" si="707"/>
        <v>Soja reservaGanadería</v>
      </c>
      <c r="D859" s="1857" t="str">
        <f t="shared" si="708"/>
        <v>Soja reserva</v>
      </c>
      <c r="E859" s="590"/>
      <c r="F859" s="1972">
        <f t="shared" ref="F859:Q859" si="723">IF($D859&lt;&gt;0,SUMIFS($C$9:$C$98,$D$9:$D$98,$D$640,G$9:G$98,$D859),0)</f>
        <v>0</v>
      </c>
      <c r="G859" s="1972">
        <f t="shared" si="723"/>
        <v>0</v>
      </c>
      <c r="H859" s="1972">
        <f t="shared" si="723"/>
        <v>0</v>
      </c>
      <c r="I859" s="1972">
        <f t="shared" si="720"/>
        <v>0</v>
      </c>
      <c r="J859" s="1972">
        <f t="shared" si="723"/>
        <v>0</v>
      </c>
      <c r="K859" s="1972">
        <f t="shared" si="723"/>
        <v>0</v>
      </c>
      <c r="L859" s="1972">
        <f t="shared" si="723"/>
        <v>0</v>
      </c>
      <c r="M859" s="1972">
        <f t="shared" si="723"/>
        <v>0</v>
      </c>
      <c r="N859" s="1972">
        <f t="shared" si="723"/>
        <v>0</v>
      </c>
      <c r="O859" s="1972">
        <f t="shared" si="723"/>
        <v>0</v>
      </c>
      <c r="P859" s="1972">
        <f t="shared" si="723"/>
        <v>0</v>
      </c>
      <c r="Q859" s="1972">
        <f t="shared" si="723"/>
        <v>0</v>
      </c>
      <c r="S859" s="1973">
        <f>SUMIF(G$401:G$490,$C859,$S$401:$S$490)*Forrajes!BG223*G$99</f>
        <v>0</v>
      </c>
      <c r="T859" s="1973">
        <f>SUMIF(H$401:H$490,$C859,$S$401:$S$490)*Forrajes!BH223*H$99</f>
        <v>0</v>
      </c>
      <c r="U859" s="1973">
        <f>SUMIF(I$401:I$490,$C859,$S$401:$S$490)*Forrajes!BI223*I$99</f>
        <v>0</v>
      </c>
      <c r="V859" s="1973">
        <f>SUMIF(J$401:J$490,$C859,$S$401:$S$490)*Forrajes!BJ223*J$99</f>
        <v>0</v>
      </c>
      <c r="W859" s="1973">
        <f>SUMIF(K$401:K$490,$C859,$S$401:$S$490)*Forrajes!BK223*K$99</f>
        <v>0</v>
      </c>
      <c r="X859" s="1973">
        <f>SUMIF(L$401:L$490,$C859,$S$401:$S$490)*Forrajes!BL223*L$99</f>
        <v>0</v>
      </c>
      <c r="Y859" s="1973">
        <f>SUMIF(M$401:M$490,$C859,$S$401:$S$490)*Forrajes!BM223*M$99</f>
        <v>0</v>
      </c>
      <c r="Z859" s="1973">
        <f>SUMIF(N$401:N$490,$C859,$S$401:$S$490)*Forrajes!BN223*N$99</f>
        <v>0</v>
      </c>
      <c r="AA859" s="1973">
        <f>SUMIF(O$401:O$490,$C859,$S$401:$S$490)*Forrajes!BO223*O$99</f>
        <v>0</v>
      </c>
      <c r="AB859" s="1973">
        <f>SUMIF(P$401:P$490,$C859,$S$401:$S$490)*Forrajes!BP223*P$99</f>
        <v>0</v>
      </c>
      <c r="AC859" s="1973">
        <f>SUMIF(Q$401:Q$490,$C859,$S$401:$S$490)*Forrajes!BQ223*Q$99</f>
        <v>0</v>
      </c>
      <c r="AD859" s="1973">
        <f>SUMIF(R$401:R$490,$C859,$S$401:$S$490)*Forrajes!BR223*R$99</f>
        <v>0</v>
      </c>
      <c r="AE859" s="590"/>
      <c r="AF859" s="1973">
        <f>Forrajes!BU223*S859</f>
        <v>0</v>
      </c>
      <c r="AG859" s="1973">
        <f>Forrajes!BV223*T859</f>
        <v>0</v>
      </c>
      <c r="AH859" s="1973">
        <f>Forrajes!BW223*U859</f>
        <v>0</v>
      </c>
      <c r="AI859" s="1973">
        <f>Forrajes!BX223*V859</f>
        <v>0</v>
      </c>
      <c r="AJ859" s="1973">
        <f>Forrajes!BY223*W859</f>
        <v>0</v>
      </c>
      <c r="AK859" s="1973">
        <f>Forrajes!BZ223*X859</f>
        <v>0</v>
      </c>
      <c r="AL859" s="1973">
        <f>Forrajes!CA223*Y859</f>
        <v>0</v>
      </c>
      <c r="AM859" s="1973">
        <f>Forrajes!CB223*Z859</f>
        <v>0</v>
      </c>
      <c r="AN859" s="1973">
        <f>Forrajes!CC223*AA859</f>
        <v>0</v>
      </c>
      <c r="AO859" s="1973">
        <f>Forrajes!CD223*AB859</f>
        <v>0</v>
      </c>
      <c r="AP859" s="1973">
        <f>Forrajes!CE223*AC859</f>
        <v>0</v>
      </c>
      <c r="AQ859" s="1973">
        <f>Forrajes!CF223*AD859</f>
        <v>0</v>
      </c>
      <c r="AR859" s="590"/>
      <c r="AS859" s="1976">
        <f>Forrajes!CI223*S859</f>
        <v>0</v>
      </c>
      <c r="AT859" s="668">
        <f>Forrajes!CJ223*T859</f>
        <v>0</v>
      </c>
      <c r="AU859" s="668">
        <f>Forrajes!CK223*U859</f>
        <v>0</v>
      </c>
      <c r="AV859" s="668">
        <f>Forrajes!CL223*V859</f>
        <v>0</v>
      </c>
      <c r="AW859" s="668">
        <f>Forrajes!CM223*W859</f>
        <v>0</v>
      </c>
      <c r="AX859" s="668">
        <f>Forrajes!CN223*X859</f>
        <v>0</v>
      </c>
      <c r="AY859" s="668">
        <f>Forrajes!CO223*Y859</f>
        <v>0</v>
      </c>
      <c r="AZ859" s="668">
        <f>Forrajes!CP223*Z859</f>
        <v>0</v>
      </c>
      <c r="BA859" s="668">
        <f>Forrajes!CQ223*AA859</f>
        <v>0</v>
      </c>
      <c r="BB859" s="668">
        <f>Forrajes!CR223*AB859</f>
        <v>0</v>
      </c>
      <c r="BC859" s="668">
        <f>Forrajes!CS223*AC859</f>
        <v>0</v>
      </c>
      <c r="BD859" s="1818">
        <f>Forrajes!CT223*AD859</f>
        <v>0</v>
      </c>
      <c r="BE859" s="590"/>
      <c r="BF859" s="100"/>
      <c r="BG859" s="590"/>
      <c r="BH859" s="590"/>
      <c r="BI859" s="100"/>
      <c r="BJ859" s="1975"/>
      <c r="BK859" s="590"/>
    </row>
    <row r="860" spans="3:63" s="108" customFormat="1" x14ac:dyDescent="0.2">
      <c r="C860" s="1984" t="str">
        <f t="shared" si="707"/>
        <v>0Ganadería</v>
      </c>
      <c r="D860" s="1857">
        <f t="shared" si="708"/>
        <v>0</v>
      </c>
      <c r="E860" s="590"/>
      <c r="F860" s="1972">
        <f t="shared" ref="F860:Q860" si="724">IF($D860&lt;&gt;0,SUMIFS($C$9:$C$98,$D$9:$D$98,$D$640,G$9:G$98,$D860),0)</f>
        <v>0</v>
      </c>
      <c r="G860" s="1972">
        <f t="shared" si="724"/>
        <v>0</v>
      </c>
      <c r="H860" s="1972">
        <f t="shared" si="724"/>
        <v>0</v>
      </c>
      <c r="I860" s="1972">
        <f t="shared" si="720"/>
        <v>0</v>
      </c>
      <c r="J860" s="1972">
        <f t="shared" si="724"/>
        <v>0</v>
      </c>
      <c r="K860" s="1972">
        <f t="shared" si="724"/>
        <v>0</v>
      </c>
      <c r="L860" s="1972">
        <f t="shared" si="724"/>
        <v>0</v>
      </c>
      <c r="M860" s="1972">
        <f t="shared" si="724"/>
        <v>0</v>
      </c>
      <c r="N860" s="1972">
        <f t="shared" si="724"/>
        <v>0</v>
      </c>
      <c r="O860" s="1972">
        <f t="shared" si="724"/>
        <v>0</v>
      </c>
      <c r="P860" s="1972">
        <f t="shared" si="724"/>
        <v>0</v>
      </c>
      <c r="Q860" s="1972">
        <f t="shared" si="724"/>
        <v>0</v>
      </c>
      <c r="S860" s="1973">
        <f>SUMIF(G$401:G$490,$C860,$S$401:$S$490)*Forrajes!BG224*G$99</f>
        <v>0</v>
      </c>
      <c r="T860" s="1973">
        <f>SUMIF(H$401:H$490,$C860,$S$401:$S$490)*Forrajes!BH224*H$99</f>
        <v>0</v>
      </c>
      <c r="U860" s="1973">
        <f>SUMIF(I$401:I$490,$C860,$S$401:$S$490)*Forrajes!BI224*I$99</f>
        <v>0</v>
      </c>
      <c r="V860" s="1973">
        <f>SUMIF(J$401:J$490,$C860,$S$401:$S$490)*Forrajes!BJ224*J$99</f>
        <v>0</v>
      </c>
      <c r="W860" s="1973">
        <f>SUMIF(K$401:K$490,$C860,$S$401:$S$490)*Forrajes!BK224*K$99</f>
        <v>0</v>
      </c>
      <c r="X860" s="1973">
        <f>SUMIF(L$401:L$490,$C860,$S$401:$S$490)*Forrajes!BL224*L$99</f>
        <v>0</v>
      </c>
      <c r="Y860" s="1973">
        <f>SUMIF(M$401:M$490,$C860,$S$401:$S$490)*Forrajes!BM224*M$99</f>
        <v>0</v>
      </c>
      <c r="Z860" s="1973">
        <f>SUMIF(N$401:N$490,$C860,$S$401:$S$490)*Forrajes!BN224*N$99</f>
        <v>0</v>
      </c>
      <c r="AA860" s="1973">
        <f>SUMIF(O$401:O$490,$C860,$S$401:$S$490)*Forrajes!BO224*O$99</f>
        <v>0</v>
      </c>
      <c r="AB860" s="1973">
        <f>SUMIF(P$401:P$490,$C860,$S$401:$S$490)*Forrajes!BP224*P$99</f>
        <v>0</v>
      </c>
      <c r="AC860" s="1973">
        <f>SUMIF(Q$401:Q$490,$C860,$S$401:$S$490)*Forrajes!BQ224*Q$99</f>
        <v>0</v>
      </c>
      <c r="AD860" s="1973">
        <f>SUMIF(R$401:R$490,$C860,$S$401:$S$490)*Forrajes!BR224*R$99</f>
        <v>0</v>
      </c>
      <c r="AE860" s="590"/>
      <c r="AF860" s="1973">
        <f>Forrajes!BU224*S860</f>
        <v>0</v>
      </c>
      <c r="AG860" s="1973">
        <f>Forrajes!BV224*T860</f>
        <v>0</v>
      </c>
      <c r="AH860" s="1973">
        <f>Forrajes!BW224*U860</f>
        <v>0</v>
      </c>
      <c r="AI860" s="1973">
        <f>Forrajes!BX224*V860</f>
        <v>0</v>
      </c>
      <c r="AJ860" s="1973">
        <f>Forrajes!BY224*W860</f>
        <v>0</v>
      </c>
      <c r="AK860" s="1973">
        <f>Forrajes!BZ224*X860</f>
        <v>0</v>
      </c>
      <c r="AL860" s="1973">
        <f>Forrajes!CA224*Y860</f>
        <v>0</v>
      </c>
      <c r="AM860" s="1973">
        <f>Forrajes!CB224*Z860</f>
        <v>0</v>
      </c>
      <c r="AN860" s="1973">
        <f>Forrajes!CC224*AA860</f>
        <v>0</v>
      </c>
      <c r="AO860" s="1973">
        <f>Forrajes!CD224*AB860</f>
        <v>0</v>
      </c>
      <c r="AP860" s="1973">
        <f>Forrajes!CE224*AC860</f>
        <v>0</v>
      </c>
      <c r="AQ860" s="1973">
        <f>Forrajes!CF224*AD860</f>
        <v>0</v>
      </c>
      <c r="AR860" s="590"/>
      <c r="AS860" s="1976">
        <f>Forrajes!CI224*S860</f>
        <v>0</v>
      </c>
      <c r="AT860" s="668">
        <f>Forrajes!CJ224*T860</f>
        <v>0</v>
      </c>
      <c r="AU860" s="668">
        <f>Forrajes!CK224*U860</f>
        <v>0</v>
      </c>
      <c r="AV860" s="668">
        <f>Forrajes!CL224*V860</f>
        <v>0</v>
      </c>
      <c r="AW860" s="668">
        <f>Forrajes!CM224*W860</f>
        <v>0</v>
      </c>
      <c r="AX860" s="668">
        <f>Forrajes!CN224*X860</f>
        <v>0</v>
      </c>
      <c r="AY860" s="668">
        <f>Forrajes!CO224*Y860</f>
        <v>0</v>
      </c>
      <c r="AZ860" s="668">
        <f>Forrajes!CP224*Z860</f>
        <v>0</v>
      </c>
      <c r="BA860" s="668">
        <f>Forrajes!CQ224*AA860</f>
        <v>0</v>
      </c>
      <c r="BB860" s="668">
        <f>Forrajes!CR224*AB860</f>
        <v>0</v>
      </c>
      <c r="BC860" s="668">
        <f>Forrajes!CS224*AC860</f>
        <v>0</v>
      </c>
      <c r="BD860" s="1818">
        <f>Forrajes!CT224*AD860</f>
        <v>0</v>
      </c>
      <c r="BE860" s="590"/>
      <c r="BF860" s="100"/>
      <c r="BG860" s="590"/>
      <c r="BH860" s="590"/>
      <c r="BI860" s="100"/>
      <c r="BJ860" s="1975"/>
      <c r="BK860" s="590"/>
    </row>
    <row r="861" spans="3:63" s="108" customFormat="1" x14ac:dyDescent="0.2">
      <c r="C861" s="1984" t="str">
        <f t="shared" si="707"/>
        <v>0Ganadería</v>
      </c>
      <c r="D861" s="1857">
        <f t="shared" si="708"/>
        <v>0</v>
      </c>
      <c r="E861" s="590"/>
      <c r="F861" s="1972">
        <f t="shared" ref="F861:Q861" si="725">IF($D861&lt;&gt;0,SUMIFS($C$9:$C$98,$D$9:$D$98,$D$640,G$9:G$98,$D861),0)</f>
        <v>0</v>
      </c>
      <c r="G861" s="1972">
        <f t="shared" si="725"/>
        <v>0</v>
      </c>
      <c r="H861" s="1972">
        <f t="shared" si="725"/>
        <v>0</v>
      </c>
      <c r="I861" s="1972">
        <f t="shared" si="720"/>
        <v>0</v>
      </c>
      <c r="J861" s="1972">
        <f t="shared" si="725"/>
        <v>0</v>
      </c>
      <c r="K861" s="1972">
        <f t="shared" si="725"/>
        <v>0</v>
      </c>
      <c r="L861" s="1972">
        <f t="shared" si="725"/>
        <v>0</v>
      </c>
      <c r="M861" s="1972">
        <f t="shared" si="725"/>
        <v>0</v>
      </c>
      <c r="N861" s="1972">
        <f t="shared" si="725"/>
        <v>0</v>
      </c>
      <c r="O861" s="1972">
        <f t="shared" si="725"/>
        <v>0</v>
      </c>
      <c r="P861" s="1972">
        <f t="shared" si="725"/>
        <v>0</v>
      </c>
      <c r="Q861" s="1972">
        <f t="shared" si="725"/>
        <v>0</v>
      </c>
      <c r="S861" s="1973">
        <f>SUMIF(G$401:G$490,$C861,$S$401:$S$490)*Forrajes!BG225*G$99</f>
        <v>0</v>
      </c>
      <c r="T861" s="1973">
        <f>SUMIF(H$401:H$490,$C861,$S$401:$S$490)*Forrajes!BH225*H$99</f>
        <v>0</v>
      </c>
      <c r="U861" s="1973">
        <f>SUMIF(I$401:I$490,$C861,$S$401:$S$490)*Forrajes!BI225*I$99</f>
        <v>0</v>
      </c>
      <c r="V861" s="1973">
        <f>SUMIF(J$401:J$490,$C861,$S$401:$S$490)*Forrajes!BJ225*J$99</f>
        <v>0</v>
      </c>
      <c r="W861" s="1973">
        <f>SUMIF(K$401:K$490,$C861,$S$401:$S$490)*Forrajes!BK225*K$99</f>
        <v>0</v>
      </c>
      <c r="X861" s="1973">
        <f>SUMIF(L$401:L$490,$C861,$S$401:$S$490)*Forrajes!BL225*L$99</f>
        <v>0</v>
      </c>
      <c r="Y861" s="1973">
        <f>SUMIF(M$401:M$490,$C861,$S$401:$S$490)*Forrajes!BM225*M$99</f>
        <v>0</v>
      </c>
      <c r="Z861" s="1973">
        <f>SUMIF(N$401:N$490,$C861,$S$401:$S$490)*Forrajes!BN225*N$99</f>
        <v>0</v>
      </c>
      <c r="AA861" s="1973">
        <f>SUMIF(O$401:O$490,$C861,$S$401:$S$490)*Forrajes!BO225*O$99</f>
        <v>0</v>
      </c>
      <c r="AB861" s="1973">
        <f>SUMIF(P$401:P$490,$C861,$S$401:$S$490)*Forrajes!BP225*P$99</f>
        <v>0</v>
      </c>
      <c r="AC861" s="1973">
        <f>SUMIF(Q$401:Q$490,$C861,$S$401:$S$490)*Forrajes!BQ225*Q$99</f>
        <v>0</v>
      </c>
      <c r="AD861" s="1973">
        <f>SUMIF(R$401:R$490,$C861,$S$401:$S$490)*Forrajes!BR225*R$99</f>
        <v>0</v>
      </c>
      <c r="AE861" s="590"/>
      <c r="AF861" s="1973">
        <f>Forrajes!BU225*S861</f>
        <v>0</v>
      </c>
      <c r="AG861" s="1973">
        <f>Forrajes!BV225*T861</f>
        <v>0</v>
      </c>
      <c r="AH861" s="1973">
        <f>Forrajes!BW225*U861</f>
        <v>0</v>
      </c>
      <c r="AI861" s="1973">
        <f>Forrajes!BX225*V861</f>
        <v>0</v>
      </c>
      <c r="AJ861" s="1973">
        <f>Forrajes!BY225*W861</f>
        <v>0</v>
      </c>
      <c r="AK861" s="1973">
        <f>Forrajes!BZ225*X861</f>
        <v>0</v>
      </c>
      <c r="AL861" s="1973">
        <f>Forrajes!CA225*Y861</f>
        <v>0</v>
      </c>
      <c r="AM861" s="1973">
        <f>Forrajes!CB225*Z861</f>
        <v>0</v>
      </c>
      <c r="AN861" s="1973">
        <f>Forrajes!CC225*AA861</f>
        <v>0</v>
      </c>
      <c r="AO861" s="1973">
        <f>Forrajes!CD225*AB861</f>
        <v>0</v>
      </c>
      <c r="AP861" s="1973">
        <f>Forrajes!CE225*AC861</f>
        <v>0</v>
      </c>
      <c r="AQ861" s="1973">
        <f>Forrajes!CF225*AD861</f>
        <v>0</v>
      </c>
      <c r="AR861" s="590"/>
      <c r="AS861" s="1976">
        <f>Forrajes!CI225*S861</f>
        <v>0</v>
      </c>
      <c r="AT861" s="668">
        <f>Forrajes!CJ225*T861</f>
        <v>0</v>
      </c>
      <c r="AU861" s="668">
        <f>Forrajes!CK225*U861</f>
        <v>0</v>
      </c>
      <c r="AV861" s="668">
        <f>Forrajes!CL225*V861</f>
        <v>0</v>
      </c>
      <c r="AW861" s="668">
        <f>Forrajes!CM225*W861</f>
        <v>0</v>
      </c>
      <c r="AX861" s="668">
        <f>Forrajes!CN225*X861</f>
        <v>0</v>
      </c>
      <c r="AY861" s="668">
        <f>Forrajes!CO225*Y861</f>
        <v>0</v>
      </c>
      <c r="AZ861" s="668">
        <f>Forrajes!CP225*Z861</f>
        <v>0</v>
      </c>
      <c r="BA861" s="668">
        <f>Forrajes!CQ225*AA861</f>
        <v>0</v>
      </c>
      <c r="BB861" s="668">
        <f>Forrajes!CR225*AB861</f>
        <v>0</v>
      </c>
      <c r="BC861" s="668">
        <f>Forrajes!CS225*AC861</f>
        <v>0</v>
      </c>
      <c r="BD861" s="1818">
        <f>Forrajes!CT225*AD861</f>
        <v>0</v>
      </c>
      <c r="BE861" s="590"/>
      <c r="BF861" s="100"/>
      <c r="BG861" s="590"/>
      <c r="BH861" s="590"/>
      <c r="BI861" s="100"/>
      <c r="BJ861" s="1975"/>
      <c r="BK861" s="590"/>
    </row>
    <row r="862" spans="3:63" s="108" customFormat="1" x14ac:dyDescent="0.2">
      <c r="C862" s="1984" t="str">
        <f t="shared" si="707"/>
        <v>Subtotal Cultivos de Verano para ReservaGanadería</v>
      </c>
      <c r="D862" s="1907" t="str">
        <f t="shared" si="708"/>
        <v>Subtotal Cultivos de Verano para Reserva</v>
      </c>
      <c r="E862" s="1908"/>
      <c r="F862" s="1909">
        <f>SUM(F856:F861)</f>
        <v>0</v>
      </c>
      <c r="G862" s="1909">
        <f t="shared" ref="G862:Q862" si="726">SUM(G856:G861)</f>
        <v>0</v>
      </c>
      <c r="H862" s="1909">
        <f t="shared" si="726"/>
        <v>0</v>
      </c>
      <c r="I862" s="1909">
        <f t="shared" si="726"/>
        <v>0</v>
      </c>
      <c r="J862" s="1909">
        <f t="shared" si="726"/>
        <v>0</v>
      </c>
      <c r="K862" s="1909">
        <f t="shared" si="726"/>
        <v>0</v>
      </c>
      <c r="L862" s="1909">
        <f t="shared" si="726"/>
        <v>0</v>
      </c>
      <c r="M862" s="1909">
        <f t="shared" si="726"/>
        <v>0</v>
      </c>
      <c r="N862" s="1909">
        <f t="shared" si="726"/>
        <v>0</v>
      </c>
      <c r="O862" s="1909">
        <f t="shared" si="726"/>
        <v>0</v>
      </c>
      <c r="P862" s="1909">
        <f t="shared" si="726"/>
        <v>0</v>
      </c>
      <c r="Q862" s="1909">
        <f t="shared" si="726"/>
        <v>0</v>
      </c>
      <c r="S862" s="1973"/>
      <c r="T862" s="1973"/>
      <c r="U862" s="1973"/>
      <c r="V862" s="1973"/>
      <c r="W862" s="1973"/>
      <c r="X862" s="1973"/>
      <c r="Y862" s="1973"/>
      <c r="Z862" s="1973"/>
      <c r="AA862" s="1973"/>
      <c r="AB862" s="1973"/>
      <c r="AC862" s="1973"/>
      <c r="AD862" s="1973"/>
      <c r="AE862" s="590"/>
      <c r="AF862" s="1973"/>
      <c r="AG862" s="1973"/>
      <c r="AH862" s="1973"/>
      <c r="AI862" s="1973"/>
      <c r="AJ862" s="1973"/>
      <c r="AK862" s="1973"/>
      <c r="AL862" s="1973"/>
      <c r="AM862" s="1973"/>
      <c r="AN862" s="1973"/>
      <c r="AO862" s="1973"/>
      <c r="AP862" s="1973"/>
      <c r="AQ862" s="1973"/>
      <c r="AR862" s="590"/>
      <c r="AS862" s="1976"/>
      <c r="AT862" s="668"/>
      <c r="AU862" s="668"/>
      <c r="AV862" s="668"/>
      <c r="AW862" s="668"/>
      <c r="AX862" s="668"/>
      <c r="AY862" s="668"/>
      <c r="AZ862" s="668"/>
      <c r="BA862" s="668"/>
      <c r="BB862" s="668"/>
      <c r="BC862" s="668"/>
      <c r="BD862" s="1818"/>
      <c r="BE862" s="590"/>
      <c r="BF862" s="100"/>
      <c r="BG862" s="590"/>
      <c r="BH862" s="590"/>
      <c r="BI862" s="100"/>
      <c r="BJ862" s="1975"/>
      <c r="BK862" s="590"/>
    </row>
    <row r="863" spans="3:63" s="108" customFormat="1" x14ac:dyDescent="0.2">
      <c r="C863" s="1984" t="str">
        <f t="shared" si="707"/>
        <v>Avena siloGanadería</v>
      </c>
      <c r="D863" s="1857" t="str">
        <f t="shared" si="708"/>
        <v>Avena silo</v>
      </c>
      <c r="E863" s="590"/>
      <c r="F863" s="1972">
        <f t="shared" ref="F863:Q863" si="727">IF($D863&lt;&gt;0,SUMIFS($C$9:$C$98,$D$9:$D$98,$D$640,G$9:G$98,$D863),0)</f>
        <v>0</v>
      </c>
      <c r="G863" s="1972">
        <f t="shared" si="727"/>
        <v>0</v>
      </c>
      <c r="H863" s="1972">
        <f t="shared" si="727"/>
        <v>0</v>
      </c>
      <c r="I863" s="1972">
        <f>IF($D863&lt;&gt;0,SUMIFS($C$9:$C$98,$D$9:$D$98,$D$640,J$9:J$98,$D863),0)</f>
        <v>0</v>
      </c>
      <c r="J863" s="1972">
        <f t="shared" si="727"/>
        <v>0</v>
      </c>
      <c r="K863" s="1972">
        <f t="shared" si="727"/>
        <v>0</v>
      </c>
      <c r="L863" s="1972">
        <f t="shared" si="727"/>
        <v>0</v>
      </c>
      <c r="M863" s="1972">
        <f t="shared" si="727"/>
        <v>0</v>
      </c>
      <c r="N863" s="1972">
        <f t="shared" si="727"/>
        <v>0</v>
      </c>
      <c r="O863" s="1972">
        <f t="shared" si="727"/>
        <v>0</v>
      </c>
      <c r="P863" s="1972">
        <f t="shared" si="727"/>
        <v>0</v>
      </c>
      <c r="Q863" s="1972">
        <f t="shared" si="727"/>
        <v>0</v>
      </c>
      <c r="S863" s="1973">
        <f>SUMIF(G$401:G$490,$C863,$S$401:$S$490)*Forrajes!BG227*G$99</f>
        <v>0</v>
      </c>
      <c r="T863" s="1973">
        <f>SUMIF(H$401:H$490,$C863,$S$401:$S$490)*Forrajes!BH227*H$99</f>
        <v>0</v>
      </c>
      <c r="U863" s="1973">
        <f>SUMIF(I$401:I$490,$C863,$S$401:$S$490)*Forrajes!BI227*I$99</f>
        <v>0</v>
      </c>
      <c r="V863" s="1973">
        <f>SUMIF(J$401:J$490,$C863,$S$401:$S$490)*Forrajes!BJ227*J$99</f>
        <v>0</v>
      </c>
      <c r="W863" s="1973">
        <f>SUMIF(K$401:K$490,$C863,$S$401:$S$490)*Forrajes!BK227*K$99</f>
        <v>0</v>
      </c>
      <c r="X863" s="1973">
        <f>SUMIF(L$401:L$490,$C863,$S$401:$S$490)*Forrajes!BL227*L$99</f>
        <v>0</v>
      </c>
      <c r="Y863" s="1973">
        <f>SUMIF(M$401:M$490,$C863,$S$401:$S$490)*Forrajes!BM227*M$99</f>
        <v>0</v>
      </c>
      <c r="Z863" s="1973">
        <f>SUMIF(N$401:N$490,$C863,$S$401:$S$490)*Forrajes!BN227*N$99</f>
        <v>0</v>
      </c>
      <c r="AA863" s="1973">
        <f>SUMIF(O$401:O$490,$C863,$S$401:$S$490)*Forrajes!BO227*O$99</f>
        <v>0</v>
      </c>
      <c r="AB863" s="1973">
        <f>SUMIF(P$401:P$490,$C863,$S$401:$S$490)*Forrajes!BP227*P$99</f>
        <v>0</v>
      </c>
      <c r="AC863" s="1973">
        <f>SUMIF(Q$401:Q$490,$C863,$S$401:$S$490)*Forrajes!BQ227*Q$99</f>
        <v>0</v>
      </c>
      <c r="AD863" s="1973">
        <f>SUMIF(R$401:R$490,$C863,$S$401:$S$490)*Forrajes!BR227*R$99</f>
        <v>0</v>
      </c>
      <c r="AE863" s="590"/>
      <c r="AF863" s="1973">
        <f>Forrajes!BU227*S863</f>
        <v>0</v>
      </c>
      <c r="AG863" s="1973">
        <f>Forrajes!BV227*T863</f>
        <v>0</v>
      </c>
      <c r="AH863" s="1973">
        <f>Forrajes!BW227*U863</f>
        <v>0</v>
      </c>
      <c r="AI863" s="1973">
        <f>Forrajes!BX227*V863</f>
        <v>0</v>
      </c>
      <c r="AJ863" s="1973">
        <f>Forrajes!BY227*W863</f>
        <v>0</v>
      </c>
      <c r="AK863" s="1973">
        <f>Forrajes!BZ227*X863</f>
        <v>0</v>
      </c>
      <c r="AL863" s="1973">
        <f>Forrajes!CA227*Y863</f>
        <v>0</v>
      </c>
      <c r="AM863" s="1973">
        <f>Forrajes!CB227*Z863</f>
        <v>0</v>
      </c>
      <c r="AN863" s="1973">
        <f>Forrajes!CC227*AA863</f>
        <v>0</v>
      </c>
      <c r="AO863" s="1973">
        <f>Forrajes!CD227*AB863</f>
        <v>0</v>
      </c>
      <c r="AP863" s="1973">
        <f>Forrajes!CE227*AC863</f>
        <v>0</v>
      </c>
      <c r="AQ863" s="1973">
        <f>Forrajes!CF227*AD863</f>
        <v>0</v>
      </c>
      <c r="AR863" s="590"/>
      <c r="AS863" s="1976">
        <f>Forrajes!CI227*S863</f>
        <v>0</v>
      </c>
      <c r="AT863" s="668">
        <f>Forrajes!CJ227*T863</f>
        <v>0</v>
      </c>
      <c r="AU863" s="668">
        <f>Forrajes!CK227*U863</f>
        <v>0</v>
      </c>
      <c r="AV863" s="668">
        <f>Forrajes!CL227*V863</f>
        <v>0</v>
      </c>
      <c r="AW863" s="668">
        <f>Forrajes!CM227*W863</f>
        <v>0</v>
      </c>
      <c r="AX863" s="668">
        <f>Forrajes!CN227*X863</f>
        <v>0</v>
      </c>
      <c r="AY863" s="668">
        <f>Forrajes!CO227*Y863</f>
        <v>0</v>
      </c>
      <c r="AZ863" s="668">
        <f>Forrajes!CP227*Z863</f>
        <v>0</v>
      </c>
      <c r="BA863" s="668">
        <f>Forrajes!CQ227*AA863</f>
        <v>0</v>
      </c>
      <c r="BB863" s="668">
        <f>Forrajes!CR227*AB863</f>
        <v>0</v>
      </c>
      <c r="BC863" s="668">
        <f>Forrajes!CS227*AC863</f>
        <v>0</v>
      </c>
      <c r="BD863" s="1818">
        <f>Forrajes!CT227*AD863</f>
        <v>0</v>
      </c>
      <c r="BE863" s="590"/>
      <c r="BF863" s="100"/>
      <c r="BG863" s="590"/>
      <c r="BH863" s="590"/>
      <c r="BI863" s="100"/>
      <c r="BJ863" s="1975"/>
      <c r="BK863" s="590"/>
    </row>
    <row r="864" spans="3:63" s="108" customFormat="1" x14ac:dyDescent="0.2">
      <c r="C864" s="1984" t="str">
        <f t="shared" si="707"/>
        <v>Raigrás SiloGanadería</v>
      </c>
      <c r="D864" s="1857" t="str">
        <f t="shared" si="708"/>
        <v>Raigrás Silo</v>
      </c>
      <c r="E864" s="590"/>
      <c r="F864" s="1972">
        <f t="shared" ref="F864:Q864" si="728">IF($D864&lt;&gt;0,SUMIFS($C$9:$C$98,$D$9:$D$98,$D$640,G$9:G$98,$D864),0)</f>
        <v>0</v>
      </c>
      <c r="G864" s="1972">
        <f t="shared" si="728"/>
        <v>0</v>
      </c>
      <c r="H864" s="1972">
        <f t="shared" si="728"/>
        <v>0</v>
      </c>
      <c r="I864" s="1972">
        <f>IF($D864&lt;&gt;0,SUMIFS($C$9:$C$98,$D$9:$D$98,$D$640,J$9:J$98,$D864),0)</f>
        <v>0</v>
      </c>
      <c r="J864" s="1972">
        <f t="shared" si="728"/>
        <v>0</v>
      </c>
      <c r="K864" s="1972">
        <f t="shared" si="728"/>
        <v>0</v>
      </c>
      <c r="L864" s="1972">
        <f t="shared" si="728"/>
        <v>0</v>
      </c>
      <c r="M864" s="1972">
        <f t="shared" si="728"/>
        <v>0</v>
      </c>
      <c r="N864" s="1972">
        <f t="shared" si="728"/>
        <v>0</v>
      </c>
      <c r="O864" s="1972">
        <f t="shared" si="728"/>
        <v>0</v>
      </c>
      <c r="P864" s="1972">
        <f t="shared" si="728"/>
        <v>0</v>
      </c>
      <c r="Q864" s="1972">
        <f t="shared" si="728"/>
        <v>0</v>
      </c>
      <c r="S864" s="1973">
        <f>SUMIF(G$401:G$490,$C864,$S$401:$S$490)*Forrajes!BG228*G$99</f>
        <v>0</v>
      </c>
      <c r="T864" s="1973">
        <f>SUMIF(H$401:H$490,$C864,$S$401:$S$490)*Forrajes!BH228*H$99</f>
        <v>0</v>
      </c>
      <c r="U864" s="1973">
        <f>SUMIF(I$401:I$490,$C864,$S$401:$S$490)*Forrajes!BI228*I$99</f>
        <v>0</v>
      </c>
      <c r="V864" s="1973">
        <f>SUMIF(J$401:J$490,$C864,$S$401:$S$490)*Forrajes!BJ228*J$99</f>
        <v>0</v>
      </c>
      <c r="W864" s="1973">
        <f>SUMIF(K$401:K$490,$C864,$S$401:$S$490)*Forrajes!BK228*K$99</f>
        <v>0</v>
      </c>
      <c r="X864" s="1973">
        <f>SUMIF(L$401:L$490,$C864,$S$401:$S$490)*Forrajes!BL228*L$99</f>
        <v>0</v>
      </c>
      <c r="Y864" s="1973">
        <f>SUMIF(M$401:M$490,$C864,$S$401:$S$490)*Forrajes!BM228*M$99</f>
        <v>0</v>
      </c>
      <c r="Z864" s="1973">
        <f>SUMIF(N$401:N$490,$C864,$S$401:$S$490)*Forrajes!BN228*N$99</f>
        <v>0</v>
      </c>
      <c r="AA864" s="1973">
        <f>SUMIF(O$401:O$490,$C864,$S$401:$S$490)*Forrajes!BO228*O$99</f>
        <v>0</v>
      </c>
      <c r="AB864" s="1973">
        <f>SUMIF(P$401:P$490,$C864,$S$401:$S$490)*Forrajes!BP228*P$99</f>
        <v>0</v>
      </c>
      <c r="AC864" s="1973">
        <f>SUMIF(Q$401:Q$490,$C864,$S$401:$S$490)*Forrajes!BQ228*Q$99</f>
        <v>0</v>
      </c>
      <c r="AD864" s="1973">
        <f>SUMIF(R$401:R$490,$C864,$S$401:$S$490)*Forrajes!BR228*R$99</f>
        <v>0</v>
      </c>
      <c r="AE864" s="590"/>
      <c r="AF864" s="1973">
        <f>Forrajes!BU228*S864</f>
        <v>0</v>
      </c>
      <c r="AG864" s="1973">
        <f>Forrajes!BV228*T864</f>
        <v>0</v>
      </c>
      <c r="AH864" s="1973">
        <f>Forrajes!BW228*U864</f>
        <v>0</v>
      </c>
      <c r="AI864" s="1973">
        <f>Forrajes!BX228*V864</f>
        <v>0</v>
      </c>
      <c r="AJ864" s="1973">
        <f>Forrajes!BY228*W864</f>
        <v>0</v>
      </c>
      <c r="AK864" s="1973">
        <f>Forrajes!BZ228*X864</f>
        <v>0</v>
      </c>
      <c r="AL864" s="1973">
        <f>Forrajes!CA228*Y864</f>
        <v>0</v>
      </c>
      <c r="AM864" s="1973">
        <f>Forrajes!CB228*Z864</f>
        <v>0</v>
      </c>
      <c r="AN864" s="1973">
        <f>Forrajes!CC228*AA864</f>
        <v>0</v>
      </c>
      <c r="AO864" s="1973">
        <f>Forrajes!CD228*AB864</f>
        <v>0</v>
      </c>
      <c r="AP864" s="1973">
        <f>Forrajes!CE228*AC864</f>
        <v>0</v>
      </c>
      <c r="AQ864" s="1973">
        <f>Forrajes!CF228*AD864</f>
        <v>0</v>
      </c>
      <c r="AR864" s="590"/>
      <c r="AS864" s="1976">
        <f>Forrajes!CI228*S864</f>
        <v>0</v>
      </c>
      <c r="AT864" s="668">
        <f>Forrajes!CJ228*T864</f>
        <v>0</v>
      </c>
      <c r="AU864" s="668">
        <f>Forrajes!CK228*U864</f>
        <v>0</v>
      </c>
      <c r="AV864" s="668">
        <f>Forrajes!CL228*V864</f>
        <v>0</v>
      </c>
      <c r="AW864" s="668">
        <f>Forrajes!CM228*W864</f>
        <v>0</v>
      </c>
      <c r="AX864" s="668">
        <f>Forrajes!CN228*X864</f>
        <v>0</v>
      </c>
      <c r="AY864" s="668">
        <f>Forrajes!CO228*Y864</f>
        <v>0</v>
      </c>
      <c r="AZ864" s="668">
        <f>Forrajes!CP228*Z864</f>
        <v>0</v>
      </c>
      <c r="BA864" s="668">
        <f>Forrajes!CQ228*AA864</f>
        <v>0</v>
      </c>
      <c r="BB864" s="668">
        <f>Forrajes!CR228*AB864</f>
        <v>0</v>
      </c>
      <c r="BC864" s="668">
        <f>Forrajes!CS228*AC864</f>
        <v>0</v>
      </c>
      <c r="BD864" s="1818">
        <f>Forrajes!CT228*AD864</f>
        <v>0</v>
      </c>
      <c r="BE864" s="590"/>
      <c r="BF864" s="100"/>
      <c r="BG864" s="590"/>
      <c r="BH864" s="590"/>
      <c r="BI864" s="100"/>
      <c r="BJ864" s="1975"/>
      <c r="BK864" s="590"/>
    </row>
    <row r="865" spans="3:63" s="108" customFormat="1" x14ac:dyDescent="0.2">
      <c r="C865" s="1984" t="str">
        <f t="shared" si="707"/>
        <v>Ra Silo Cierre AgoGanadería</v>
      </c>
      <c r="D865" s="1857" t="str">
        <f t="shared" si="708"/>
        <v>Ra Silo Cierre Ago</v>
      </c>
      <c r="E865" s="590"/>
      <c r="F865" s="1972">
        <f t="shared" ref="F865:Q865" si="729">IF($D865&lt;&gt;0,SUMIFS($C$9:$C$98,$D$9:$D$98,$D$640,G$9:G$98,$D865),0)</f>
        <v>0</v>
      </c>
      <c r="G865" s="1972">
        <f t="shared" si="729"/>
        <v>0</v>
      </c>
      <c r="H865" s="1972">
        <f t="shared" si="729"/>
        <v>0</v>
      </c>
      <c r="I865" s="1972">
        <f>IF($D865&lt;&gt;0,SUMIFS($C$9:$C$98,$D$9:$D$98,$D$640,J$9:J$98,$D865),0)</f>
        <v>0</v>
      </c>
      <c r="J865" s="1972">
        <f t="shared" si="729"/>
        <v>0</v>
      </c>
      <c r="K865" s="1972">
        <f t="shared" si="729"/>
        <v>0</v>
      </c>
      <c r="L865" s="1972">
        <f t="shared" si="729"/>
        <v>0</v>
      </c>
      <c r="M865" s="1972">
        <f t="shared" si="729"/>
        <v>0</v>
      </c>
      <c r="N865" s="1972">
        <f t="shared" si="729"/>
        <v>0</v>
      </c>
      <c r="O865" s="1972">
        <f t="shared" si="729"/>
        <v>0</v>
      </c>
      <c r="P865" s="1972">
        <f t="shared" si="729"/>
        <v>0</v>
      </c>
      <c r="Q865" s="1972">
        <f t="shared" si="729"/>
        <v>0</v>
      </c>
      <c r="S865" s="1973">
        <f>SUMIF(G$401:G$490,$C865,$S$401:$S$490)*Forrajes!BG229*G$99</f>
        <v>0</v>
      </c>
      <c r="T865" s="1973">
        <f>SUMIF(H$401:H$490,$C865,$S$401:$S$490)*Forrajes!BH229*H$99</f>
        <v>0</v>
      </c>
      <c r="U865" s="1973">
        <f>SUMIF(I$401:I$490,$C865,$S$401:$S$490)*Forrajes!BI229*I$99</f>
        <v>0</v>
      </c>
      <c r="V865" s="1973">
        <f>SUMIF(J$401:J$490,$C865,$S$401:$S$490)*Forrajes!BJ229*J$99</f>
        <v>0</v>
      </c>
      <c r="W865" s="1973">
        <f>SUMIF(K$401:K$490,$C865,$S$401:$S$490)*Forrajes!BK229*K$99</f>
        <v>0</v>
      </c>
      <c r="X865" s="1973">
        <f>SUMIF(L$401:L$490,$C865,$S$401:$S$490)*Forrajes!BL229*L$99</f>
        <v>0</v>
      </c>
      <c r="Y865" s="1973">
        <f>SUMIF(M$401:M$490,$C865,$S$401:$S$490)*Forrajes!BM229*M$99</f>
        <v>0</v>
      </c>
      <c r="Z865" s="1973">
        <f>SUMIF(N$401:N$490,$C865,$S$401:$S$490)*Forrajes!BN229*N$99</f>
        <v>0</v>
      </c>
      <c r="AA865" s="1973">
        <f>SUMIF(O$401:O$490,$C865,$S$401:$S$490)*Forrajes!BO229*O$99</f>
        <v>0</v>
      </c>
      <c r="AB865" s="1973">
        <f>SUMIF(P$401:P$490,$C865,$S$401:$S$490)*Forrajes!BP229*P$99</f>
        <v>0</v>
      </c>
      <c r="AC865" s="1973">
        <f>SUMIF(Q$401:Q$490,$C865,$S$401:$S$490)*Forrajes!BQ229*Q$99</f>
        <v>0</v>
      </c>
      <c r="AD865" s="1973">
        <f>SUMIF(R$401:R$490,$C865,$S$401:$S$490)*Forrajes!BR229*R$99</f>
        <v>0</v>
      </c>
      <c r="AE865" s="590"/>
      <c r="AF865" s="1973">
        <f>Forrajes!BU229*S865</f>
        <v>0</v>
      </c>
      <c r="AG865" s="1973">
        <f>Forrajes!BV229*T865</f>
        <v>0</v>
      </c>
      <c r="AH865" s="1973">
        <f>Forrajes!BW229*U865</f>
        <v>0</v>
      </c>
      <c r="AI865" s="1973">
        <f>Forrajes!BX229*V865</f>
        <v>0</v>
      </c>
      <c r="AJ865" s="1973">
        <f>Forrajes!BY229*W865</f>
        <v>0</v>
      </c>
      <c r="AK865" s="1973">
        <f>Forrajes!BZ229*X865</f>
        <v>0</v>
      </c>
      <c r="AL865" s="1973">
        <f>Forrajes!CA229*Y865</f>
        <v>0</v>
      </c>
      <c r="AM865" s="1973">
        <f>Forrajes!CB229*Z865</f>
        <v>0</v>
      </c>
      <c r="AN865" s="1973">
        <f>Forrajes!CC229*AA865</f>
        <v>0</v>
      </c>
      <c r="AO865" s="1973">
        <f>Forrajes!CD229*AB865</f>
        <v>0</v>
      </c>
      <c r="AP865" s="1973">
        <f>Forrajes!CE229*AC865</f>
        <v>0</v>
      </c>
      <c r="AQ865" s="1973">
        <f>Forrajes!CF229*AD865</f>
        <v>0</v>
      </c>
      <c r="AR865" s="590"/>
      <c r="AS865" s="1976">
        <f>Forrajes!CI229*S865</f>
        <v>0</v>
      </c>
      <c r="AT865" s="668">
        <f>Forrajes!CJ229*T865</f>
        <v>0</v>
      </c>
      <c r="AU865" s="668">
        <f>Forrajes!CK229*U865</f>
        <v>0</v>
      </c>
      <c r="AV865" s="668">
        <f>Forrajes!CL229*V865</f>
        <v>0</v>
      </c>
      <c r="AW865" s="668">
        <f>Forrajes!CM229*W865</f>
        <v>0</v>
      </c>
      <c r="AX865" s="668">
        <f>Forrajes!CN229*X865</f>
        <v>0</v>
      </c>
      <c r="AY865" s="668">
        <f>Forrajes!CO229*Y865</f>
        <v>0</v>
      </c>
      <c r="AZ865" s="668">
        <f>Forrajes!CP229*Z865</f>
        <v>0</v>
      </c>
      <c r="BA865" s="668">
        <f>Forrajes!CQ229*AA865</f>
        <v>0</v>
      </c>
      <c r="BB865" s="668">
        <f>Forrajes!CR229*AB865</f>
        <v>0</v>
      </c>
      <c r="BC865" s="668">
        <f>Forrajes!CS229*AC865</f>
        <v>0</v>
      </c>
      <c r="BD865" s="1818">
        <f>Forrajes!CT229*AD865</f>
        <v>0</v>
      </c>
      <c r="BE865" s="590"/>
      <c r="BF865" s="100"/>
      <c r="BG865" s="590"/>
      <c r="BH865" s="590"/>
      <c r="BI865" s="100"/>
      <c r="BJ865" s="1975"/>
      <c r="BK865" s="590"/>
    </row>
    <row r="866" spans="3:63" s="108" customFormat="1" x14ac:dyDescent="0.2">
      <c r="C866" s="1984" t="str">
        <f t="shared" si="707"/>
        <v>0Ganadería</v>
      </c>
      <c r="D866" s="1857">
        <f t="shared" si="708"/>
        <v>0</v>
      </c>
      <c r="E866" s="590"/>
      <c r="F866" s="1972">
        <f t="shared" ref="F866:Q866" si="730">IF($D866&lt;&gt;0,SUMIFS($C$9:$C$98,$D$9:$D$98,$D$640,G$9:G$98,$D866),0)</f>
        <v>0</v>
      </c>
      <c r="G866" s="1972">
        <f t="shared" si="730"/>
        <v>0</v>
      </c>
      <c r="H866" s="1972">
        <f t="shared" si="730"/>
        <v>0</v>
      </c>
      <c r="I866" s="1972">
        <f>IF($D866&lt;&gt;0,SUMIFS($C$9:$C$98,$D$9:$D$98,$D$640,J$9:J$98,$D866),0)</f>
        <v>0</v>
      </c>
      <c r="J866" s="1972">
        <f t="shared" si="730"/>
        <v>0</v>
      </c>
      <c r="K866" s="1972">
        <f t="shared" si="730"/>
        <v>0</v>
      </c>
      <c r="L866" s="1972">
        <f t="shared" si="730"/>
        <v>0</v>
      </c>
      <c r="M866" s="1972">
        <f t="shared" si="730"/>
        <v>0</v>
      </c>
      <c r="N866" s="1972">
        <f t="shared" si="730"/>
        <v>0</v>
      </c>
      <c r="O866" s="1972">
        <f t="shared" si="730"/>
        <v>0</v>
      </c>
      <c r="P866" s="1972">
        <f t="shared" si="730"/>
        <v>0</v>
      </c>
      <c r="Q866" s="1972">
        <f t="shared" si="730"/>
        <v>0</v>
      </c>
      <c r="S866" s="1973">
        <f>SUMIF(G$401:G$490,$C866,$S$401:$S$490)*Forrajes!BG230*G$99</f>
        <v>0</v>
      </c>
      <c r="T866" s="1973">
        <f>SUMIF(H$401:H$490,$C866,$S$401:$S$490)*Forrajes!BH230*H$99</f>
        <v>0</v>
      </c>
      <c r="U866" s="1973">
        <f>SUMIF(I$401:I$490,$C866,$S$401:$S$490)*Forrajes!BI230*I$99</f>
        <v>0</v>
      </c>
      <c r="V866" s="1973">
        <f>SUMIF(J$401:J$490,$C866,$S$401:$S$490)*Forrajes!BJ230*J$99</f>
        <v>0</v>
      </c>
      <c r="W866" s="1973">
        <f>SUMIF(K$401:K$490,$C866,$S$401:$S$490)*Forrajes!BK230*K$99</f>
        <v>0</v>
      </c>
      <c r="X866" s="1973">
        <f>SUMIF(L$401:L$490,$C866,$S$401:$S$490)*Forrajes!BL230*L$99</f>
        <v>0</v>
      </c>
      <c r="Y866" s="1973">
        <f>SUMIF(M$401:M$490,$C866,$S$401:$S$490)*Forrajes!BM230*M$99</f>
        <v>0</v>
      </c>
      <c r="Z866" s="1973">
        <f>SUMIF(N$401:N$490,$C866,$S$401:$S$490)*Forrajes!BN230*N$99</f>
        <v>0</v>
      </c>
      <c r="AA866" s="1973">
        <f>SUMIF(O$401:O$490,$C866,$S$401:$S$490)*Forrajes!BO230*O$99</f>
        <v>0</v>
      </c>
      <c r="AB866" s="1973">
        <f>SUMIF(P$401:P$490,$C866,$S$401:$S$490)*Forrajes!BP230*P$99</f>
        <v>0</v>
      </c>
      <c r="AC866" s="1973">
        <f>SUMIF(Q$401:Q$490,$C866,$S$401:$S$490)*Forrajes!BQ230*Q$99</f>
        <v>0</v>
      </c>
      <c r="AD866" s="1973">
        <f>SUMIF(R$401:R$490,$C866,$S$401:$S$490)*Forrajes!BR230*R$99</f>
        <v>0</v>
      </c>
      <c r="AE866" s="590"/>
      <c r="AF866" s="1973">
        <f>Forrajes!BU230*S866</f>
        <v>0</v>
      </c>
      <c r="AG866" s="1973">
        <f>Forrajes!BV230*T866</f>
        <v>0</v>
      </c>
      <c r="AH866" s="1973">
        <f>Forrajes!BW230*U866</f>
        <v>0</v>
      </c>
      <c r="AI866" s="1973">
        <f>Forrajes!BX230*V866</f>
        <v>0</v>
      </c>
      <c r="AJ866" s="1973">
        <f>Forrajes!BY230*W866</f>
        <v>0</v>
      </c>
      <c r="AK866" s="1973">
        <f>Forrajes!BZ230*X866</f>
        <v>0</v>
      </c>
      <c r="AL866" s="1973">
        <f>Forrajes!CA230*Y866</f>
        <v>0</v>
      </c>
      <c r="AM866" s="1973">
        <f>Forrajes!CB230*Z866</f>
        <v>0</v>
      </c>
      <c r="AN866" s="1973">
        <f>Forrajes!CC230*AA866</f>
        <v>0</v>
      </c>
      <c r="AO866" s="1973">
        <f>Forrajes!CD230*AB866</f>
        <v>0</v>
      </c>
      <c r="AP866" s="1973">
        <f>Forrajes!CE230*AC866</f>
        <v>0</v>
      </c>
      <c r="AQ866" s="1973">
        <f>Forrajes!CF230*AD866</f>
        <v>0</v>
      </c>
      <c r="AR866" s="590"/>
      <c r="AS866" s="1976">
        <f>Forrajes!CI230*S866</f>
        <v>0</v>
      </c>
      <c r="AT866" s="668">
        <f>Forrajes!CJ230*T866</f>
        <v>0</v>
      </c>
      <c r="AU866" s="668">
        <f>Forrajes!CK230*U866</f>
        <v>0</v>
      </c>
      <c r="AV866" s="668">
        <f>Forrajes!CL230*V866</f>
        <v>0</v>
      </c>
      <c r="AW866" s="668">
        <f>Forrajes!CM230*W866</f>
        <v>0</v>
      </c>
      <c r="AX866" s="668">
        <f>Forrajes!CN230*X866</f>
        <v>0</v>
      </c>
      <c r="AY866" s="668">
        <f>Forrajes!CO230*Y866</f>
        <v>0</v>
      </c>
      <c r="AZ866" s="668">
        <f>Forrajes!CP230*Z866</f>
        <v>0</v>
      </c>
      <c r="BA866" s="668">
        <f>Forrajes!CQ230*AA866</f>
        <v>0</v>
      </c>
      <c r="BB866" s="668">
        <f>Forrajes!CR230*AB866</f>
        <v>0</v>
      </c>
      <c r="BC866" s="668">
        <f>Forrajes!CS230*AC866</f>
        <v>0</v>
      </c>
      <c r="BD866" s="1818">
        <f>Forrajes!CT230*AD866</f>
        <v>0</v>
      </c>
      <c r="BE866" s="590"/>
      <c r="BF866" s="100"/>
      <c r="BG866" s="590"/>
      <c r="BH866" s="590"/>
      <c r="BI866" s="100"/>
      <c r="BJ866" s="1975"/>
      <c r="BK866" s="590"/>
    </row>
    <row r="867" spans="3:63" s="108" customFormat="1" x14ac:dyDescent="0.2">
      <c r="C867" s="1984" t="str">
        <f t="shared" si="707"/>
        <v>0Ganadería</v>
      </c>
      <c r="D867" s="1857">
        <f t="shared" si="708"/>
        <v>0</v>
      </c>
      <c r="E867" s="590"/>
      <c r="F867" s="1972">
        <f t="shared" ref="F867:Q867" si="731">IF($D867&lt;&gt;0,SUMIFS($C$9:$C$98,$D$9:$D$98,$D$640,G$9:G$98,$D867),0)</f>
        <v>0</v>
      </c>
      <c r="G867" s="1972">
        <f t="shared" si="731"/>
        <v>0</v>
      </c>
      <c r="H867" s="1972">
        <f t="shared" si="731"/>
        <v>0</v>
      </c>
      <c r="I867" s="1972">
        <f>IF($D867&lt;&gt;0,SUMIFS($C$9:$C$98,$D$9:$D$98,$D$640,J$9:J$98,$D867),0)</f>
        <v>0</v>
      </c>
      <c r="J867" s="1972">
        <f t="shared" si="731"/>
        <v>0</v>
      </c>
      <c r="K867" s="1972">
        <f t="shared" si="731"/>
        <v>0</v>
      </c>
      <c r="L867" s="1972">
        <f t="shared" si="731"/>
        <v>0</v>
      </c>
      <c r="M867" s="1972">
        <f t="shared" si="731"/>
        <v>0</v>
      </c>
      <c r="N867" s="1972">
        <f t="shared" si="731"/>
        <v>0</v>
      </c>
      <c r="O867" s="1972">
        <f t="shared" si="731"/>
        <v>0</v>
      </c>
      <c r="P867" s="1972">
        <f t="shared" si="731"/>
        <v>0</v>
      </c>
      <c r="Q867" s="1972">
        <f t="shared" si="731"/>
        <v>0</v>
      </c>
      <c r="S867" s="1973">
        <f>SUMIF(G$401:G$490,$C867,$S$401:$S$490)*Forrajes!BG231*G$99</f>
        <v>0</v>
      </c>
      <c r="T867" s="1973">
        <f>SUMIF(H$401:H$490,$C867,$S$401:$S$490)*Forrajes!BH231*H$99</f>
        <v>0</v>
      </c>
      <c r="U867" s="1973">
        <f>SUMIF(I$401:I$490,$C867,$S$401:$S$490)*Forrajes!BI231*I$99</f>
        <v>0</v>
      </c>
      <c r="V867" s="1973">
        <f>SUMIF(J$401:J$490,$C867,$S$401:$S$490)*Forrajes!BJ231*J$99</f>
        <v>0</v>
      </c>
      <c r="W867" s="1973">
        <f>SUMIF(K$401:K$490,$C867,$S$401:$S$490)*Forrajes!BK231*K$99</f>
        <v>0</v>
      </c>
      <c r="X867" s="1973">
        <f>SUMIF(L$401:L$490,$C867,$S$401:$S$490)*Forrajes!BL231*L$99</f>
        <v>0</v>
      </c>
      <c r="Y867" s="1973">
        <f>SUMIF(M$401:M$490,$C867,$S$401:$S$490)*Forrajes!BM231*M$99</f>
        <v>0</v>
      </c>
      <c r="Z867" s="1973">
        <f>SUMIF(N$401:N$490,$C867,$S$401:$S$490)*Forrajes!BN231*N$99</f>
        <v>0</v>
      </c>
      <c r="AA867" s="1973">
        <f>SUMIF(O$401:O$490,$C867,$S$401:$S$490)*Forrajes!BO231*O$99</f>
        <v>0</v>
      </c>
      <c r="AB867" s="1973">
        <f>SUMIF(P$401:P$490,$C867,$S$401:$S$490)*Forrajes!BP231*P$99</f>
        <v>0</v>
      </c>
      <c r="AC867" s="1973">
        <f>SUMIF(Q$401:Q$490,$C867,$S$401:$S$490)*Forrajes!BQ231*Q$99</f>
        <v>0</v>
      </c>
      <c r="AD867" s="1973">
        <f>SUMIF(R$401:R$490,$C867,$S$401:$S$490)*Forrajes!BR231*R$99</f>
        <v>0</v>
      </c>
      <c r="AE867" s="590"/>
      <c r="AF867" s="1973">
        <f>Forrajes!BU231*S867</f>
        <v>0</v>
      </c>
      <c r="AG867" s="1973">
        <f>Forrajes!BV231*T867</f>
        <v>0</v>
      </c>
      <c r="AH867" s="1973">
        <f>Forrajes!BW231*U867</f>
        <v>0</v>
      </c>
      <c r="AI867" s="1973">
        <f>Forrajes!BX231*V867</f>
        <v>0</v>
      </c>
      <c r="AJ867" s="1973">
        <f>Forrajes!BY231*W867</f>
        <v>0</v>
      </c>
      <c r="AK867" s="1973">
        <f>Forrajes!BZ231*X867</f>
        <v>0</v>
      </c>
      <c r="AL867" s="1973">
        <f>Forrajes!CA231*Y867</f>
        <v>0</v>
      </c>
      <c r="AM867" s="1973">
        <f>Forrajes!CB231*Z867</f>
        <v>0</v>
      </c>
      <c r="AN867" s="1973">
        <f>Forrajes!CC231*AA867</f>
        <v>0</v>
      </c>
      <c r="AO867" s="1973">
        <f>Forrajes!CD231*AB867</f>
        <v>0</v>
      </c>
      <c r="AP867" s="1973">
        <f>Forrajes!CE231*AC867</f>
        <v>0</v>
      </c>
      <c r="AQ867" s="1973">
        <f>Forrajes!CF231*AD867</f>
        <v>0</v>
      </c>
      <c r="AR867" s="590"/>
      <c r="AS867" s="1976">
        <f>Forrajes!CI231*S867</f>
        <v>0</v>
      </c>
      <c r="AT867" s="668">
        <f>Forrajes!CJ231*T867</f>
        <v>0</v>
      </c>
      <c r="AU867" s="668">
        <f>Forrajes!CK231*U867</f>
        <v>0</v>
      </c>
      <c r="AV867" s="668">
        <f>Forrajes!CL231*V867</f>
        <v>0</v>
      </c>
      <c r="AW867" s="668">
        <f>Forrajes!CM231*W867</f>
        <v>0</v>
      </c>
      <c r="AX867" s="668">
        <f>Forrajes!CN231*X867</f>
        <v>0</v>
      </c>
      <c r="AY867" s="668">
        <f>Forrajes!CO231*Y867</f>
        <v>0</v>
      </c>
      <c r="AZ867" s="668">
        <f>Forrajes!CP231*Z867</f>
        <v>0</v>
      </c>
      <c r="BA867" s="668">
        <f>Forrajes!CQ231*AA867</f>
        <v>0</v>
      </c>
      <c r="BB867" s="668">
        <f>Forrajes!CR231*AB867</f>
        <v>0</v>
      </c>
      <c r="BC867" s="668">
        <f>Forrajes!CS231*AC867</f>
        <v>0</v>
      </c>
      <c r="BD867" s="1818">
        <f>Forrajes!CT231*AD867</f>
        <v>0</v>
      </c>
      <c r="BE867" s="590"/>
      <c r="BF867" s="100"/>
      <c r="BG867" s="590"/>
      <c r="BH867" s="590"/>
      <c r="BI867" s="100"/>
      <c r="BJ867" s="1975"/>
      <c r="BK867" s="590"/>
    </row>
    <row r="868" spans="3:63" s="108" customFormat="1" x14ac:dyDescent="0.2">
      <c r="C868" s="590" t="str">
        <f t="shared" si="707"/>
        <v>Subtotal Cultivos de Invierno para ReservaGanadería</v>
      </c>
      <c r="D868" s="1911" t="str">
        <f t="shared" si="708"/>
        <v>Subtotal Cultivos de Invierno para Reserva</v>
      </c>
      <c r="E868" s="1912"/>
      <c r="F868" s="1913">
        <f>SUM(F863:F867)</f>
        <v>0</v>
      </c>
      <c r="G868" s="1913">
        <f t="shared" ref="G868:Q868" si="732">SUM(G863:G867)</f>
        <v>0</v>
      </c>
      <c r="H868" s="1913">
        <f t="shared" si="732"/>
        <v>0</v>
      </c>
      <c r="I868" s="1913">
        <f t="shared" si="732"/>
        <v>0</v>
      </c>
      <c r="J868" s="1913">
        <f t="shared" si="732"/>
        <v>0</v>
      </c>
      <c r="K868" s="1913">
        <f t="shared" si="732"/>
        <v>0</v>
      </c>
      <c r="L868" s="1913">
        <f t="shared" si="732"/>
        <v>0</v>
      </c>
      <c r="M868" s="1913">
        <f t="shared" si="732"/>
        <v>0</v>
      </c>
      <c r="N868" s="1913">
        <f t="shared" si="732"/>
        <v>0</v>
      </c>
      <c r="O868" s="1913">
        <f t="shared" si="732"/>
        <v>0</v>
      </c>
      <c r="P868" s="1913">
        <f t="shared" si="732"/>
        <v>0</v>
      </c>
      <c r="Q868" s="1985">
        <f t="shared" si="732"/>
        <v>0</v>
      </c>
      <c r="R868" s="1984"/>
      <c r="S868" s="1976">
        <f>SUMIF(G$401:G$490,$C868,$S$401:$S$490)*Forrajes!BG64*G$99</f>
        <v>0</v>
      </c>
      <c r="T868" s="668">
        <f>SUMIF(H$401:H$490,$C868,$S$401:$S$490)*Forrajes!BH64*H$99</f>
        <v>0</v>
      </c>
      <c r="U868" s="668">
        <f>SUMIF(I$401:I$490,$C868,$S$401:$S$490)*Forrajes!BI64*I$99</f>
        <v>0</v>
      </c>
      <c r="V868" s="668">
        <f>SUMIF(J$401:J$490,$C868,$S$401:$S$490)*Forrajes!BJ64*J$99</f>
        <v>0</v>
      </c>
      <c r="W868" s="668">
        <f>SUMIF(K$401:K$490,$C868,$S$401:$S$490)*Forrajes!BK64*K$99</f>
        <v>0</v>
      </c>
      <c r="X868" s="668">
        <f>SUMIF(L$401:L$490,$C868,$S$401:$S$490)*Forrajes!BL64*L$99</f>
        <v>0</v>
      </c>
      <c r="Y868" s="668">
        <f>SUMIF(M$401:M$490,$C868,$S$401:$S$490)*Forrajes!BM64*M$99</f>
        <v>0</v>
      </c>
      <c r="Z868" s="668">
        <f>SUMIF(N$401:N$490,$C868,$S$401:$S$490)*Forrajes!BN64*N$99</f>
        <v>0</v>
      </c>
      <c r="AA868" s="668">
        <f>SUMIF(O$401:O$490,$C868,$S$401:$S$490)*Forrajes!BO64*O$99</f>
        <v>0</v>
      </c>
      <c r="AB868" s="668">
        <f>SUMIF(P$401:P$490,$C868,$S$401:$S$490)*Forrajes!BP64*P$99</f>
        <v>0</v>
      </c>
      <c r="AC868" s="668">
        <f>SUMIF(Q$401:Q$490,$C868,$S$401:$S$490)*Forrajes!BQ64*Q$99</f>
        <v>0</v>
      </c>
      <c r="AD868" s="1977">
        <f>SUMIF(R$401:R$490,$C868,$S$401:$S$490)*Forrajes!BR64*R$99</f>
        <v>0</v>
      </c>
      <c r="AE868" s="590"/>
      <c r="AF868" s="1976">
        <f>Forrajes!BU64*S868</f>
        <v>0</v>
      </c>
      <c r="AG868" s="668">
        <f>Forrajes!BV64*T868</f>
        <v>0</v>
      </c>
      <c r="AH868" s="668">
        <f>Forrajes!BW64*U868</f>
        <v>0</v>
      </c>
      <c r="AI868" s="668">
        <f>Forrajes!BX64*V868</f>
        <v>0</v>
      </c>
      <c r="AJ868" s="668">
        <f>Forrajes!BY64*W868</f>
        <v>0</v>
      </c>
      <c r="AK868" s="668">
        <f>Forrajes!BZ64*X868</f>
        <v>0</v>
      </c>
      <c r="AL868" s="668">
        <f>Forrajes!CA64*Y868</f>
        <v>0</v>
      </c>
      <c r="AM868" s="668">
        <f>Forrajes!CB64*Z868</f>
        <v>0</v>
      </c>
      <c r="AN868" s="668">
        <f>Forrajes!CC64*AA868</f>
        <v>0</v>
      </c>
      <c r="AO868" s="668">
        <f>Forrajes!CD64*AB868</f>
        <v>0</v>
      </c>
      <c r="AP868" s="668">
        <f>Forrajes!CE64*AC868</f>
        <v>0</v>
      </c>
      <c r="AQ868" s="668">
        <f>Forrajes!CF64*AD868</f>
        <v>0</v>
      </c>
      <c r="AR868" s="590"/>
      <c r="AS868" s="1976">
        <f>Forrajes!CI64*S868</f>
        <v>0</v>
      </c>
      <c r="AT868" s="668">
        <f>Forrajes!CJ64*T868</f>
        <v>0</v>
      </c>
      <c r="AU868" s="668">
        <f>Forrajes!CK64*U868</f>
        <v>0</v>
      </c>
      <c r="AV868" s="668">
        <f>Forrajes!CL64*V868</f>
        <v>0</v>
      </c>
      <c r="AW868" s="668">
        <f>Forrajes!CM64*W868</f>
        <v>0</v>
      </c>
      <c r="AX868" s="668">
        <f>Forrajes!CN64*X868</f>
        <v>0</v>
      </c>
      <c r="AY868" s="668">
        <f>Forrajes!CO64*Y868</f>
        <v>0</v>
      </c>
      <c r="AZ868" s="668">
        <f>Forrajes!CP64*Z868</f>
        <v>0</v>
      </c>
      <c r="BA868" s="668">
        <f>Forrajes!CQ64*AA868</f>
        <v>0</v>
      </c>
      <c r="BB868" s="668">
        <f>Forrajes!CR64*AB868</f>
        <v>0</v>
      </c>
      <c r="BC868" s="668">
        <f>Forrajes!CS64*AC868</f>
        <v>0</v>
      </c>
      <c r="BD868" s="1818">
        <f>Forrajes!CT64*AD868</f>
        <v>0</v>
      </c>
      <c r="BE868" s="590"/>
      <c r="BF868" s="100"/>
      <c r="BG868" s="590"/>
      <c r="BH868" s="590"/>
      <c r="BI868" s="100"/>
      <c r="BJ868" s="1975"/>
      <c r="BK868" s="590"/>
    </row>
    <row r="869" spans="3:63" s="108" customFormat="1" x14ac:dyDescent="0.2">
      <c r="C869" s="590" t="str">
        <f t="shared" si="707"/>
        <v>Barb SPLGanadería</v>
      </c>
      <c r="D869" s="597" t="str">
        <f t="shared" si="708"/>
        <v>Barb SPL</v>
      </c>
      <c r="E869" s="597"/>
      <c r="F869" s="1972">
        <f t="shared" ref="F869:F876" si="733">IF($D869&lt;&gt;0,SUMIFS($C$9:$C$98,$D$9:$D$98,$D$640,G$9:G$98,$D869),0)</f>
        <v>0</v>
      </c>
      <c r="G869" s="1972">
        <f t="shared" ref="G869:G876" si="734">IF($D869&lt;&gt;0,SUMIFS($C$9:$C$98,$D$9:$D$98,$D$640,H$9:H$98,$D869),0)</f>
        <v>0</v>
      </c>
      <c r="H869" s="1972">
        <f t="shared" ref="H869:H876" si="735">IF($D869&lt;&gt;0,SUMIFS($C$9:$C$98,$D$9:$D$98,$D$640,I$9:I$98,$D869),0)</f>
        <v>0</v>
      </c>
      <c r="I869" s="1972">
        <f t="shared" ref="I869:I876" si="736">IF($D869&lt;&gt;0,SUMIFS($C$9:$C$98,$D$9:$D$98,$D$640,J$9:J$98,$D869),0)</f>
        <v>0</v>
      </c>
      <c r="J869" s="1972">
        <f t="shared" ref="J869:J876" si="737">IF($D869&lt;&gt;0,SUMIFS($C$9:$C$98,$D$9:$D$98,$D$640,K$9:K$98,$D869),0)</f>
        <v>0</v>
      </c>
      <c r="K869" s="1972">
        <f t="shared" ref="K869:K876" si="738">IF($D869&lt;&gt;0,SUMIFS($C$9:$C$98,$D$9:$D$98,$D$640,L$9:L$98,$D869),0)</f>
        <v>0</v>
      </c>
      <c r="L869" s="1972">
        <f t="shared" ref="L869:L876" si="739">IF($D869&lt;&gt;0,SUMIFS($C$9:$C$98,$D$9:$D$98,$D$640,M$9:M$98,$D869),0)</f>
        <v>0</v>
      </c>
      <c r="M869" s="1972">
        <f t="shared" ref="M869:M876" si="740">IF($D869&lt;&gt;0,SUMIFS($C$9:$C$98,$D$9:$D$98,$D$640,N$9:N$98,$D869),0)</f>
        <v>0</v>
      </c>
      <c r="N869" s="1972">
        <f t="shared" ref="N869:N876" si="741">IF($D869&lt;&gt;0,SUMIFS($C$9:$C$98,$D$9:$D$98,$D$640,O$9:O$98,$D869),0)</f>
        <v>0</v>
      </c>
      <c r="O869" s="1972">
        <f t="shared" ref="O869:O876" si="742">IF($D869&lt;&gt;0,SUMIFS($C$9:$C$98,$D$9:$D$98,$D$640,P$9:P$98,$D869),0)</f>
        <v>0</v>
      </c>
      <c r="P869" s="1972">
        <f t="shared" ref="P869:P876" si="743">IF($D869&lt;&gt;0,SUMIFS($C$9:$C$98,$D$9:$D$98,$D$640,Q$9:Q$98,$D869),0)</f>
        <v>0</v>
      </c>
      <c r="Q869" s="1972">
        <f t="shared" ref="Q869:Q876" si="744">IF($D869&lt;&gt;0,SUMIFS($C$9:$C$98,$D$9:$D$98,$D$640,R$9:R$98,$D869),0)</f>
        <v>0</v>
      </c>
      <c r="R869" s="1984"/>
      <c r="S869" s="1973"/>
      <c r="T869" s="787"/>
      <c r="U869" s="787"/>
      <c r="V869" s="787"/>
      <c r="W869" s="787"/>
      <c r="X869" s="787"/>
      <c r="Y869" s="787"/>
      <c r="Z869" s="787"/>
      <c r="AA869" s="787"/>
      <c r="AB869" s="787"/>
      <c r="AC869" s="787"/>
      <c r="AD869" s="780"/>
      <c r="AE869" s="590"/>
      <c r="AF869" s="1973"/>
      <c r="AG869" s="1972"/>
      <c r="AH869" s="1972"/>
      <c r="AI869" s="1972"/>
      <c r="AJ869" s="1972"/>
      <c r="AK869" s="1972"/>
      <c r="AL869" s="1972"/>
      <c r="AM869" s="1972"/>
      <c r="AN869" s="1972"/>
      <c r="AO869" s="1972"/>
      <c r="AP869" s="1972"/>
      <c r="AQ869" s="1972"/>
      <c r="AR869" s="590"/>
      <c r="AS869" s="1973"/>
      <c r="AT869" s="787"/>
      <c r="AU869" s="787"/>
      <c r="AV869" s="787"/>
      <c r="AW869" s="787"/>
      <c r="AX869" s="787"/>
      <c r="AY869" s="787"/>
      <c r="AZ869" s="787"/>
      <c r="BA869" s="787"/>
      <c r="BB869" s="787"/>
      <c r="BC869" s="787"/>
      <c r="BD869" s="780"/>
      <c r="BE869" s="590"/>
      <c r="BF869" s="100"/>
      <c r="BG869" s="590"/>
      <c r="BH869" s="590"/>
      <c r="BI869" s="100"/>
      <c r="BJ869" s="1975"/>
      <c r="BK869" s="590"/>
    </row>
    <row r="870" spans="3:63" s="108" customFormat="1" x14ac:dyDescent="0.2">
      <c r="C870" s="590" t="str">
        <f t="shared" si="707"/>
        <v>Barb AgrícolaGanadería</v>
      </c>
      <c r="D870" s="597" t="str">
        <f t="shared" ref="D870:D876" si="745">+D799</f>
        <v>Barb Agrícola</v>
      </c>
      <c r="E870" s="597"/>
      <c r="F870" s="1972">
        <f t="shared" si="733"/>
        <v>0</v>
      </c>
      <c r="G870" s="1972">
        <f t="shared" si="734"/>
        <v>0</v>
      </c>
      <c r="H870" s="1972">
        <f t="shared" si="735"/>
        <v>0</v>
      </c>
      <c r="I870" s="1972">
        <f t="shared" si="736"/>
        <v>0</v>
      </c>
      <c r="J870" s="1972">
        <f t="shared" si="737"/>
        <v>0</v>
      </c>
      <c r="K870" s="1972">
        <f t="shared" si="738"/>
        <v>0</v>
      </c>
      <c r="L870" s="1972">
        <f t="shared" si="739"/>
        <v>0</v>
      </c>
      <c r="M870" s="1972">
        <f t="shared" si="740"/>
        <v>0</v>
      </c>
      <c r="N870" s="1972">
        <f t="shared" si="741"/>
        <v>0</v>
      </c>
      <c r="O870" s="1972">
        <f t="shared" si="742"/>
        <v>0</v>
      </c>
      <c r="P870" s="1972">
        <f t="shared" si="743"/>
        <v>0</v>
      </c>
      <c r="Q870" s="1972">
        <f t="shared" si="744"/>
        <v>0</v>
      </c>
      <c r="R870" s="1984"/>
      <c r="S870" s="1973"/>
      <c r="T870" s="787"/>
      <c r="U870" s="787"/>
      <c r="V870" s="787"/>
      <c r="W870" s="787"/>
      <c r="X870" s="787"/>
      <c r="Y870" s="787"/>
      <c r="Z870" s="787"/>
      <c r="AA870" s="787"/>
      <c r="AB870" s="787"/>
      <c r="AC870" s="787"/>
      <c r="AD870" s="780"/>
      <c r="AE870" s="590"/>
      <c r="AF870" s="1973"/>
      <c r="AG870" s="1972"/>
      <c r="AH870" s="1972"/>
      <c r="AI870" s="1972"/>
      <c r="AJ870" s="1972"/>
      <c r="AK870" s="1972"/>
      <c r="AL870" s="1972"/>
      <c r="AM870" s="1972"/>
      <c r="AN870" s="1972"/>
      <c r="AO870" s="1972"/>
      <c r="AP870" s="1972"/>
      <c r="AQ870" s="1972"/>
      <c r="AR870" s="590"/>
      <c r="AS870" s="1973"/>
      <c r="AT870" s="787"/>
      <c r="AU870" s="787"/>
      <c r="AV870" s="787"/>
      <c r="AW870" s="787"/>
      <c r="AX870" s="787"/>
      <c r="AY870" s="787"/>
      <c r="AZ870" s="787"/>
      <c r="BA870" s="787"/>
      <c r="BB870" s="787"/>
      <c r="BC870" s="787"/>
      <c r="BD870" s="780"/>
      <c r="BE870" s="590"/>
      <c r="BF870" s="100"/>
      <c r="BG870" s="590"/>
      <c r="BH870" s="590"/>
      <c r="BI870" s="100"/>
      <c r="BJ870" s="1975"/>
      <c r="BK870" s="590"/>
    </row>
    <row r="871" spans="3:63" s="108" customFormat="1" x14ac:dyDescent="0.2">
      <c r="C871" s="590" t="str">
        <f t="shared" si="707"/>
        <v>Barb SPGGanadería</v>
      </c>
      <c r="D871" s="597" t="str">
        <f t="shared" si="745"/>
        <v>Barb SPG</v>
      </c>
      <c r="E871" s="597"/>
      <c r="F871" s="1972">
        <f t="shared" si="733"/>
        <v>0</v>
      </c>
      <c r="G871" s="1972">
        <f t="shared" si="734"/>
        <v>0</v>
      </c>
      <c r="H871" s="1972">
        <f t="shared" si="735"/>
        <v>0</v>
      </c>
      <c r="I871" s="1972">
        <f t="shared" si="736"/>
        <v>0</v>
      </c>
      <c r="J871" s="1972">
        <f t="shared" si="737"/>
        <v>0</v>
      </c>
      <c r="K871" s="1972">
        <f t="shared" si="738"/>
        <v>0</v>
      </c>
      <c r="L871" s="1972">
        <f t="shared" si="739"/>
        <v>0</v>
      </c>
      <c r="M871" s="1972">
        <f t="shared" si="740"/>
        <v>0</v>
      </c>
      <c r="N871" s="1972">
        <f t="shared" si="741"/>
        <v>0</v>
      </c>
      <c r="O871" s="1972">
        <f t="shared" si="742"/>
        <v>0</v>
      </c>
      <c r="P871" s="1972">
        <f t="shared" si="743"/>
        <v>0</v>
      </c>
      <c r="Q871" s="1972">
        <f t="shared" si="744"/>
        <v>0</v>
      </c>
      <c r="R871" s="1984"/>
      <c r="S871" s="1973"/>
      <c r="T871" s="787"/>
      <c r="U871" s="787"/>
      <c r="V871" s="787"/>
      <c r="W871" s="787"/>
      <c r="X871" s="787"/>
      <c r="Y871" s="787"/>
      <c r="Z871" s="787"/>
      <c r="AA871" s="787"/>
      <c r="AB871" s="787"/>
      <c r="AC871" s="787"/>
      <c r="AD871" s="780"/>
      <c r="AE871" s="590"/>
      <c r="AF871" s="1973"/>
      <c r="AG871" s="1972"/>
      <c r="AH871" s="1972"/>
      <c r="AI871" s="1972"/>
      <c r="AJ871" s="1972"/>
      <c r="AK871" s="1972"/>
      <c r="AL871" s="1972"/>
      <c r="AM871" s="1972"/>
      <c r="AN871" s="1972"/>
      <c r="AO871" s="1972"/>
      <c r="AP871" s="1972"/>
      <c r="AQ871" s="1972"/>
      <c r="AR871" s="590"/>
      <c r="AS871" s="1973"/>
      <c r="AT871" s="787"/>
      <c r="AU871" s="787"/>
      <c r="AV871" s="787"/>
      <c r="AW871" s="787"/>
      <c r="AX871" s="787"/>
      <c r="AY871" s="787"/>
      <c r="AZ871" s="787"/>
      <c r="BA871" s="787"/>
      <c r="BB871" s="787"/>
      <c r="BC871" s="787"/>
      <c r="BD871" s="780"/>
      <c r="BE871" s="590"/>
      <c r="BF871" s="100"/>
      <c r="BG871" s="590"/>
      <c r="BH871" s="590"/>
      <c r="BI871" s="100"/>
      <c r="BJ871" s="1975"/>
      <c r="BK871" s="590"/>
    </row>
    <row r="872" spans="3:63" s="108" customFormat="1" x14ac:dyDescent="0.2">
      <c r="C872" s="590" t="str">
        <f t="shared" si="707"/>
        <v>MontesGanadería</v>
      </c>
      <c r="D872" s="597" t="str">
        <f t="shared" si="745"/>
        <v>Montes</v>
      </c>
      <c r="E872" s="597"/>
      <c r="F872" s="1972">
        <f t="shared" si="733"/>
        <v>0</v>
      </c>
      <c r="G872" s="1972">
        <f t="shared" si="734"/>
        <v>0</v>
      </c>
      <c r="H872" s="1972">
        <f t="shared" si="735"/>
        <v>0</v>
      </c>
      <c r="I872" s="1972">
        <f t="shared" si="736"/>
        <v>0</v>
      </c>
      <c r="J872" s="1972">
        <f t="shared" si="737"/>
        <v>0</v>
      </c>
      <c r="K872" s="1972">
        <f t="shared" si="738"/>
        <v>0</v>
      </c>
      <c r="L872" s="1972">
        <f t="shared" si="739"/>
        <v>0</v>
      </c>
      <c r="M872" s="1972">
        <f t="shared" si="740"/>
        <v>0</v>
      </c>
      <c r="N872" s="1972">
        <f t="shared" si="741"/>
        <v>0</v>
      </c>
      <c r="O872" s="1972">
        <f t="shared" si="742"/>
        <v>0</v>
      </c>
      <c r="P872" s="1972">
        <f t="shared" si="743"/>
        <v>0</v>
      </c>
      <c r="Q872" s="1972">
        <f t="shared" si="744"/>
        <v>0</v>
      </c>
      <c r="R872" s="1984"/>
      <c r="S872" s="1973"/>
      <c r="T872" s="787"/>
      <c r="U872" s="787"/>
      <c r="V872" s="787"/>
      <c r="W872" s="787"/>
      <c r="X872" s="787"/>
      <c r="Y872" s="787"/>
      <c r="Z872" s="787"/>
      <c r="AA872" s="787"/>
      <c r="AB872" s="787"/>
      <c r="AC872" s="787"/>
      <c r="AD872" s="780"/>
      <c r="AE872" s="590"/>
      <c r="AF872" s="1973"/>
      <c r="AG872" s="1972"/>
      <c r="AH872" s="1972"/>
      <c r="AI872" s="1972"/>
      <c r="AJ872" s="1972"/>
      <c r="AK872" s="1972"/>
      <c r="AL872" s="1972"/>
      <c r="AM872" s="1972"/>
      <c r="AN872" s="1972"/>
      <c r="AO872" s="1972"/>
      <c r="AP872" s="1972"/>
      <c r="AQ872" s="1972"/>
      <c r="AR872" s="590"/>
      <c r="AS872" s="1973"/>
      <c r="AT872" s="787"/>
      <c r="AU872" s="787"/>
      <c r="AV872" s="787"/>
      <c r="AW872" s="787"/>
      <c r="AX872" s="787"/>
      <c r="AY872" s="787"/>
      <c r="AZ872" s="787"/>
      <c r="BA872" s="787"/>
      <c r="BB872" s="787"/>
      <c r="BC872" s="787"/>
      <c r="BD872" s="780"/>
      <c r="BE872" s="590"/>
      <c r="BF872" s="100"/>
      <c r="BG872" s="590"/>
      <c r="BH872" s="590"/>
      <c r="BI872" s="100"/>
      <c r="BJ872" s="1975"/>
      <c r="BK872" s="590"/>
    </row>
    <row r="873" spans="3:63" s="108" customFormat="1" x14ac:dyDescent="0.2">
      <c r="C873" s="590" t="str">
        <f t="shared" si="707"/>
        <v>Callejones, tamboGanadería</v>
      </c>
      <c r="D873" s="597" t="str">
        <f t="shared" si="745"/>
        <v>Callejones, tambo</v>
      </c>
      <c r="E873" s="597"/>
      <c r="F873" s="1972">
        <f t="shared" si="733"/>
        <v>0</v>
      </c>
      <c r="G873" s="1972">
        <f t="shared" si="734"/>
        <v>0</v>
      </c>
      <c r="H873" s="1972">
        <f t="shared" si="735"/>
        <v>0</v>
      </c>
      <c r="I873" s="1972">
        <f t="shared" si="736"/>
        <v>0</v>
      </c>
      <c r="J873" s="1972">
        <f t="shared" si="737"/>
        <v>0</v>
      </c>
      <c r="K873" s="1972">
        <f t="shared" si="738"/>
        <v>0</v>
      </c>
      <c r="L873" s="1972">
        <f t="shared" si="739"/>
        <v>0</v>
      </c>
      <c r="M873" s="1972">
        <f t="shared" si="740"/>
        <v>0</v>
      </c>
      <c r="N873" s="1972">
        <f t="shared" si="741"/>
        <v>0</v>
      </c>
      <c r="O873" s="1972">
        <f t="shared" si="742"/>
        <v>0</v>
      </c>
      <c r="P873" s="1972">
        <f t="shared" si="743"/>
        <v>0</v>
      </c>
      <c r="Q873" s="1972">
        <f t="shared" si="744"/>
        <v>0</v>
      </c>
      <c r="R873" s="1984"/>
      <c r="S873" s="1973"/>
      <c r="T873" s="787"/>
      <c r="U873" s="787"/>
      <c r="V873" s="787"/>
      <c r="W873" s="787"/>
      <c r="X873" s="787"/>
      <c r="Y873" s="787"/>
      <c r="Z873" s="787"/>
      <c r="AA873" s="787"/>
      <c r="AB873" s="787"/>
      <c r="AC873" s="787"/>
      <c r="AD873" s="780"/>
      <c r="AE873" s="590"/>
      <c r="AF873" s="1973"/>
      <c r="AG873" s="1972"/>
      <c r="AH873" s="1972"/>
      <c r="AI873" s="1972"/>
      <c r="AJ873" s="1972"/>
      <c r="AK873" s="1972"/>
      <c r="AL873" s="1972"/>
      <c r="AM873" s="1972"/>
      <c r="AN873" s="1972"/>
      <c r="AO873" s="1972"/>
      <c r="AP873" s="1972"/>
      <c r="AQ873" s="1972"/>
      <c r="AR873" s="590"/>
      <c r="AS873" s="1973"/>
      <c r="AT873" s="787"/>
      <c r="AU873" s="787"/>
      <c r="AV873" s="787"/>
      <c r="AW873" s="787"/>
      <c r="AX873" s="787"/>
      <c r="AY873" s="787"/>
      <c r="AZ873" s="787"/>
      <c r="BA873" s="787"/>
      <c r="BB873" s="787"/>
      <c r="BC873" s="787"/>
      <c r="BD873" s="780"/>
      <c r="BE873" s="590"/>
      <c r="BF873" s="100"/>
      <c r="BG873" s="590"/>
      <c r="BH873" s="590"/>
      <c r="BI873" s="100"/>
      <c r="BJ873" s="1975"/>
      <c r="BK873" s="590"/>
    </row>
    <row r="874" spans="3:63" s="108" customFormat="1" x14ac:dyDescent="0.2">
      <c r="C874" s="590" t="str">
        <f t="shared" si="707"/>
        <v>BañadoGanadería</v>
      </c>
      <c r="D874" s="597" t="str">
        <f t="shared" si="745"/>
        <v>Bañado</v>
      </c>
      <c r="E874" s="597"/>
      <c r="F874" s="1972">
        <f t="shared" si="733"/>
        <v>0</v>
      </c>
      <c r="G874" s="1972">
        <f t="shared" si="734"/>
        <v>0</v>
      </c>
      <c r="H874" s="1972">
        <f t="shared" si="735"/>
        <v>0</v>
      </c>
      <c r="I874" s="1972">
        <f t="shared" si="736"/>
        <v>0</v>
      </c>
      <c r="J874" s="1972">
        <f t="shared" si="737"/>
        <v>0</v>
      </c>
      <c r="K874" s="1972">
        <f t="shared" si="738"/>
        <v>0</v>
      </c>
      <c r="L874" s="1972">
        <f t="shared" si="739"/>
        <v>0</v>
      </c>
      <c r="M874" s="1972">
        <f t="shared" si="740"/>
        <v>0</v>
      </c>
      <c r="N874" s="1972">
        <f t="shared" si="741"/>
        <v>0</v>
      </c>
      <c r="O874" s="1972">
        <f t="shared" si="742"/>
        <v>0</v>
      </c>
      <c r="P874" s="1972">
        <f t="shared" si="743"/>
        <v>0</v>
      </c>
      <c r="Q874" s="1972">
        <f t="shared" si="744"/>
        <v>0</v>
      </c>
      <c r="R874" s="1984"/>
      <c r="S874" s="1973"/>
      <c r="T874" s="787"/>
      <c r="U874" s="787"/>
      <c r="V874" s="787"/>
      <c r="W874" s="787"/>
      <c r="X874" s="787"/>
      <c r="Y874" s="787"/>
      <c r="Z874" s="787"/>
      <c r="AA874" s="787"/>
      <c r="AB874" s="787"/>
      <c r="AC874" s="787"/>
      <c r="AD874" s="780"/>
      <c r="AE874" s="590"/>
      <c r="AF874" s="1973"/>
      <c r="AG874" s="1972"/>
      <c r="AH874" s="1972"/>
      <c r="AI874" s="1972"/>
      <c r="AJ874" s="1972"/>
      <c r="AK874" s="1972"/>
      <c r="AL874" s="1972"/>
      <c r="AM874" s="1972"/>
      <c r="AN874" s="1972"/>
      <c r="AO874" s="1972"/>
      <c r="AP874" s="1972"/>
      <c r="AQ874" s="1972"/>
      <c r="AR874" s="590"/>
      <c r="AS874" s="1973"/>
      <c r="AT874" s="787"/>
      <c r="AU874" s="787"/>
      <c r="AV874" s="787"/>
      <c r="AW874" s="787"/>
      <c r="AX874" s="787"/>
      <c r="AY874" s="787"/>
      <c r="AZ874" s="787"/>
      <c r="BA874" s="787"/>
      <c r="BB874" s="787"/>
      <c r="BC874" s="787"/>
      <c r="BD874" s="780"/>
      <c r="BE874" s="590"/>
      <c r="BF874" s="100"/>
      <c r="BG874" s="590"/>
      <c r="BH874" s="590"/>
      <c r="BI874" s="100"/>
      <c r="BJ874" s="1975"/>
      <c r="BK874" s="590"/>
    </row>
    <row r="875" spans="3:63" s="108" customFormat="1" x14ac:dyDescent="0.2">
      <c r="C875" s="590" t="str">
        <f t="shared" si="707"/>
        <v>0Ganadería</v>
      </c>
      <c r="D875" s="597">
        <f t="shared" si="745"/>
        <v>0</v>
      </c>
      <c r="E875" s="597"/>
      <c r="F875" s="1972">
        <f t="shared" si="733"/>
        <v>0</v>
      </c>
      <c r="G875" s="1972">
        <f t="shared" si="734"/>
        <v>0</v>
      </c>
      <c r="H875" s="1972">
        <f t="shared" si="735"/>
        <v>0</v>
      </c>
      <c r="I875" s="1972">
        <f t="shared" si="736"/>
        <v>0</v>
      </c>
      <c r="J875" s="1972">
        <f t="shared" si="737"/>
        <v>0</v>
      </c>
      <c r="K875" s="1972">
        <f t="shared" si="738"/>
        <v>0</v>
      </c>
      <c r="L875" s="1972">
        <f t="shared" si="739"/>
        <v>0</v>
      </c>
      <c r="M875" s="1972">
        <f t="shared" si="740"/>
        <v>0</v>
      </c>
      <c r="N875" s="1972">
        <f t="shared" si="741"/>
        <v>0</v>
      </c>
      <c r="O875" s="1972">
        <f t="shared" si="742"/>
        <v>0</v>
      </c>
      <c r="P875" s="1972">
        <f t="shared" si="743"/>
        <v>0</v>
      </c>
      <c r="Q875" s="1972">
        <f t="shared" si="744"/>
        <v>0</v>
      </c>
      <c r="R875" s="1984"/>
      <c r="S875" s="1973"/>
      <c r="T875" s="787"/>
      <c r="U875" s="787"/>
      <c r="V875" s="787"/>
      <c r="W875" s="787"/>
      <c r="X875" s="787"/>
      <c r="Y875" s="787"/>
      <c r="Z875" s="787"/>
      <c r="AA875" s="787"/>
      <c r="AB875" s="787"/>
      <c r="AC875" s="787"/>
      <c r="AD875" s="780"/>
      <c r="AE875" s="590"/>
      <c r="AF875" s="1973"/>
      <c r="AG875" s="1972"/>
      <c r="AH875" s="1972"/>
      <c r="AI875" s="1972"/>
      <c r="AJ875" s="1972"/>
      <c r="AK875" s="1972"/>
      <c r="AL875" s="1972"/>
      <c r="AM875" s="1972"/>
      <c r="AN875" s="1972"/>
      <c r="AO875" s="1972"/>
      <c r="AP875" s="1972"/>
      <c r="AQ875" s="1972"/>
      <c r="AR875" s="590"/>
      <c r="AS875" s="1973"/>
      <c r="AT875" s="787"/>
      <c r="AU875" s="787"/>
      <c r="AV875" s="787"/>
      <c r="AW875" s="787"/>
      <c r="AX875" s="787"/>
      <c r="AY875" s="787"/>
      <c r="AZ875" s="787"/>
      <c r="BA875" s="787"/>
      <c r="BB875" s="787"/>
      <c r="BC875" s="787"/>
      <c r="BD875" s="780"/>
      <c r="BE875" s="590"/>
      <c r="BF875" s="100"/>
      <c r="BG875" s="590"/>
      <c r="BH875" s="590"/>
      <c r="BI875" s="100"/>
      <c r="BJ875" s="1975"/>
      <c r="BK875" s="590"/>
    </row>
    <row r="876" spans="3:63" s="108" customFormat="1" x14ac:dyDescent="0.2">
      <c r="C876" s="590" t="str">
        <f t="shared" si="707"/>
        <v>xGanadería</v>
      </c>
      <c r="D876" s="597" t="str">
        <f t="shared" si="745"/>
        <v>x</v>
      </c>
      <c r="E876" s="597"/>
      <c r="F876" s="1972">
        <f t="shared" si="733"/>
        <v>0</v>
      </c>
      <c r="G876" s="1972">
        <f t="shared" si="734"/>
        <v>0</v>
      </c>
      <c r="H876" s="1972">
        <f t="shared" si="735"/>
        <v>0</v>
      </c>
      <c r="I876" s="1972">
        <f t="shared" si="736"/>
        <v>0</v>
      </c>
      <c r="J876" s="1972">
        <f t="shared" si="737"/>
        <v>0</v>
      </c>
      <c r="K876" s="1972">
        <f t="shared" si="738"/>
        <v>0</v>
      </c>
      <c r="L876" s="1972">
        <f t="shared" si="739"/>
        <v>0</v>
      </c>
      <c r="M876" s="1972">
        <f t="shared" si="740"/>
        <v>0</v>
      </c>
      <c r="N876" s="1972">
        <f t="shared" si="741"/>
        <v>0</v>
      </c>
      <c r="O876" s="1972">
        <f t="shared" si="742"/>
        <v>0</v>
      </c>
      <c r="P876" s="1972">
        <f t="shared" si="743"/>
        <v>0</v>
      </c>
      <c r="Q876" s="1972">
        <f t="shared" si="744"/>
        <v>0</v>
      </c>
      <c r="R876" s="1984"/>
      <c r="S876" s="1973"/>
      <c r="T876" s="787"/>
      <c r="U876" s="787"/>
      <c r="V876" s="787"/>
      <c r="W876" s="787"/>
      <c r="X876" s="787"/>
      <c r="Y876" s="787"/>
      <c r="Z876" s="787"/>
      <c r="AA876" s="787"/>
      <c r="AB876" s="787"/>
      <c r="AC876" s="787"/>
      <c r="AD876" s="780"/>
      <c r="AE876" s="590"/>
      <c r="AF876" s="1973"/>
      <c r="AG876" s="1972"/>
      <c r="AH876" s="1972"/>
      <c r="AI876" s="1972"/>
      <c r="AJ876" s="1972"/>
      <c r="AK876" s="1972"/>
      <c r="AL876" s="1972"/>
      <c r="AM876" s="1972"/>
      <c r="AN876" s="1972"/>
      <c r="AO876" s="1972"/>
      <c r="AP876" s="1972"/>
      <c r="AQ876" s="1972"/>
      <c r="AR876" s="590"/>
      <c r="AS876" s="1973"/>
      <c r="AT876" s="787"/>
      <c r="AU876" s="787"/>
      <c r="AV876" s="787"/>
      <c r="AW876" s="787"/>
      <c r="AX876" s="787"/>
      <c r="AY876" s="787"/>
      <c r="AZ876" s="787"/>
      <c r="BA876" s="787"/>
      <c r="BB876" s="787"/>
      <c r="BC876" s="787"/>
      <c r="BD876" s="780"/>
      <c r="BE876" s="590"/>
      <c r="BF876" s="100"/>
      <c r="BG876" s="590"/>
      <c r="BH876" s="590"/>
      <c r="BI876" s="100"/>
      <c r="BJ876" s="1975"/>
      <c r="BK876" s="590"/>
    </row>
    <row r="877" spans="3:63" s="108" customFormat="1" x14ac:dyDescent="0.2">
      <c r="C877" s="590"/>
      <c r="D877" s="597" t="str">
        <f>+D806</f>
        <v>Subtotal Otros no SU</v>
      </c>
      <c r="E877" s="597"/>
      <c r="F877" s="1926">
        <f>+SUM(F869:F876)</f>
        <v>0</v>
      </c>
      <c r="G877" s="1926">
        <f t="shared" ref="G877:Q877" si="746">+SUM(G869:G876)</f>
        <v>0</v>
      </c>
      <c r="H877" s="1926">
        <f t="shared" si="746"/>
        <v>0</v>
      </c>
      <c r="I877" s="1926">
        <f t="shared" si="746"/>
        <v>0</v>
      </c>
      <c r="J877" s="1926">
        <f t="shared" si="746"/>
        <v>0</v>
      </c>
      <c r="K877" s="1926">
        <f t="shared" si="746"/>
        <v>0</v>
      </c>
      <c r="L877" s="1926">
        <f t="shared" si="746"/>
        <v>0</v>
      </c>
      <c r="M877" s="1926">
        <f t="shared" si="746"/>
        <v>0</v>
      </c>
      <c r="N877" s="1926">
        <f t="shared" si="746"/>
        <v>0</v>
      </c>
      <c r="O877" s="1926">
        <f t="shared" si="746"/>
        <v>0</v>
      </c>
      <c r="P877" s="1926">
        <f t="shared" si="746"/>
        <v>0</v>
      </c>
      <c r="Q877" s="1926">
        <f t="shared" si="746"/>
        <v>0</v>
      </c>
      <c r="R877" s="1984"/>
      <c r="S877" s="1973"/>
      <c r="T877" s="787"/>
      <c r="U877" s="787"/>
      <c r="V877" s="787"/>
      <c r="W877" s="787"/>
      <c r="X877" s="787"/>
      <c r="Y877" s="787"/>
      <c r="Z877" s="787"/>
      <c r="AA877" s="787"/>
      <c r="AB877" s="787"/>
      <c r="AC877" s="787"/>
      <c r="AD877" s="780"/>
      <c r="AE877" s="590"/>
      <c r="AF877" s="1973"/>
      <c r="AG877" s="1972"/>
      <c r="AH877" s="1972"/>
      <c r="AI877" s="1972"/>
      <c r="AJ877" s="1972"/>
      <c r="AK877" s="1972"/>
      <c r="AL877" s="1972"/>
      <c r="AM877" s="1972"/>
      <c r="AN877" s="1972"/>
      <c r="AO877" s="1972"/>
      <c r="AP877" s="1972"/>
      <c r="AQ877" s="1972"/>
      <c r="AR877" s="590"/>
      <c r="AS877" s="1973"/>
      <c r="AT877" s="787"/>
      <c r="AU877" s="787"/>
      <c r="AV877" s="787"/>
      <c r="AW877" s="787"/>
      <c r="AX877" s="787"/>
      <c r="AY877" s="787"/>
      <c r="AZ877" s="787"/>
      <c r="BA877" s="787"/>
      <c r="BB877" s="787"/>
      <c r="BC877" s="787"/>
      <c r="BD877" s="780"/>
      <c r="BE877" s="590"/>
      <c r="BF877" s="100"/>
      <c r="BG877" s="590"/>
      <c r="BH877" s="590"/>
      <c r="BI877" s="100"/>
      <c r="BJ877" s="1975"/>
      <c r="BK877" s="590"/>
    </row>
    <row r="878" spans="3:63" s="108" customFormat="1" x14ac:dyDescent="0.2">
      <c r="E878" s="597"/>
      <c r="F878" s="1926"/>
      <c r="G878" s="1926"/>
      <c r="H878" s="1926"/>
      <c r="I878" s="1926"/>
      <c r="J878" s="1926"/>
      <c r="K878" s="1926"/>
      <c r="L878" s="1926"/>
      <c r="M878" s="1926"/>
      <c r="N878" s="1926"/>
      <c r="O878" s="1926"/>
      <c r="P878" s="1926"/>
      <c r="Q878" s="1926"/>
      <c r="R878" s="1986" t="s">
        <v>1457</v>
      </c>
      <c r="S878" s="1987">
        <f t="shared" ref="S878:AD878" si="747">SUM(S814:S855)</f>
        <v>0</v>
      </c>
      <c r="T878" s="1987">
        <f t="shared" si="747"/>
        <v>0</v>
      </c>
      <c r="U878" s="1987">
        <f t="shared" si="747"/>
        <v>0</v>
      </c>
      <c r="V878" s="1987">
        <f t="shared" si="747"/>
        <v>0</v>
      </c>
      <c r="W878" s="1987">
        <f t="shared" si="747"/>
        <v>0</v>
      </c>
      <c r="X878" s="1987">
        <f t="shared" si="747"/>
        <v>0</v>
      </c>
      <c r="Y878" s="1987">
        <f t="shared" si="747"/>
        <v>0</v>
      </c>
      <c r="Z878" s="1987">
        <f t="shared" si="747"/>
        <v>0</v>
      </c>
      <c r="AA878" s="1987">
        <f t="shared" si="747"/>
        <v>0</v>
      </c>
      <c r="AB878" s="1987">
        <f t="shared" si="747"/>
        <v>0</v>
      </c>
      <c r="AC878" s="1987">
        <f t="shared" si="747"/>
        <v>0</v>
      </c>
      <c r="AD878" s="1987">
        <f t="shared" si="747"/>
        <v>0</v>
      </c>
      <c r="AF878" s="1987">
        <f t="shared" ref="AF878:AQ878" si="748">SUM(AF814:AF855)</f>
        <v>0</v>
      </c>
      <c r="AG878" s="1988">
        <f t="shared" si="748"/>
        <v>0</v>
      </c>
      <c r="AH878" s="1988">
        <f t="shared" si="748"/>
        <v>0</v>
      </c>
      <c r="AI878" s="1988">
        <f t="shared" si="748"/>
        <v>0</v>
      </c>
      <c r="AJ878" s="1988">
        <f t="shared" si="748"/>
        <v>0</v>
      </c>
      <c r="AK878" s="1988">
        <f t="shared" si="748"/>
        <v>0</v>
      </c>
      <c r="AL878" s="1988">
        <f t="shared" si="748"/>
        <v>0</v>
      </c>
      <c r="AM878" s="1988">
        <f t="shared" si="748"/>
        <v>0</v>
      </c>
      <c r="AN878" s="1988">
        <f t="shared" si="748"/>
        <v>0</v>
      </c>
      <c r="AO878" s="1988">
        <f t="shared" si="748"/>
        <v>0</v>
      </c>
      <c r="AP878" s="1988">
        <f t="shared" si="748"/>
        <v>0</v>
      </c>
      <c r="AQ878" s="1988">
        <f t="shared" si="748"/>
        <v>0</v>
      </c>
      <c r="AS878" s="1987">
        <f t="shared" ref="AS878:BD878" si="749">SUM(AS814:AS855)</f>
        <v>0</v>
      </c>
      <c r="AT878" s="1987">
        <f t="shared" si="749"/>
        <v>0</v>
      </c>
      <c r="AU878" s="1987">
        <f t="shared" si="749"/>
        <v>0</v>
      </c>
      <c r="AV878" s="1987">
        <f t="shared" si="749"/>
        <v>0</v>
      </c>
      <c r="AW878" s="1987">
        <f t="shared" si="749"/>
        <v>0</v>
      </c>
      <c r="AX878" s="1987">
        <f t="shared" si="749"/>
        <v>0</v>
      </c>
      <c r="AY878" s="1987">
        <f t="shared" si="749"/>
        <v>0</v>
      </c>
      <c r="AZ878" s="1987">
        <f t="shared" si="749"/>
        <v>0</v>
      </c>
      <c r="BA878" s="1987">
        <f t="shared" si="749"/>
        <v>0</v>
      </c>
      <c r="BB878" s="1987">
        <f t="shared" si="749"/>
        <v>0</v>
      </c>
      <c r="BC878" s="1987">
        <f t="shared" si="749"/>
        <v>0</v>
      </c>
      <c r="BD878" s="1989">
        <f t="shared" si="749"/>
        <v>0</v>
      </c>
      <c r="BE878" s="590"/>
      <c r="BF878" s="590"/>
      <c r="BG878" s="590"/>
      <c r="BH878" s="590"/>
      <c r="BI878" s="1978"/>
      <c r="BJ878" s="1975"/>
      <c r="BK878" s="590"/>
    </row>
    <row r="879" spans="3:63" s="108" customFormat="1" ht="15.05" thickBot="1" x14ac:dyDescent="0.25">
      <c r="F879" s="423"/>
      <c r="G879" s="423"/>
      <c r="H879" s="423"/>
      <c r="I879" s="423"/>
      <c r="J879" s="423"/>
      <c r="K879" s="423"/>
      <c r="L879" s="423"/>
      <c r="M879" s="423"/>
      <c r="N879" s="423"/>
      <c r="O879" s="423"/>
      <c r="P879" s="423"/>
      <c r="Q879" s="423"/>
      <c r="R879" s="1990" t="s">
        <v>1458</v>
      </c>
      <c r="S879" s="1991">
        <f t="shared" ref="S879:AD879" si="750">SUM(S856:S868)</f>
        <v>0</v>
      </c>
      <c r="T879" s="1992">
        <f t="shared" si="750"/>
        <v>0</v>
      </c>
      <c r="U879" s="1992">
        <f t="shared" si="750"/>
        <v>0</v>
      </c>
      <c r="V879" s="1992">
        <f t="shared" si="750"/>
        <v>0</v>
      </c>
      <c r="W879" s="1992">
        <f t="shared" si="750"/>
        <v>0</v>
      </c>
      <c r="X879" s="1992">
        <f t="shared" si="750"/>
        <v>0</v>
      </c>
      <c r="Y879" s="1992">
        <f t="shared" si="750"/>
        <v>0</v>
      </c>
      <c r="Z879" s="1992">
        <f t="shared" si="750"/>
        <v>0</v>
      </c>
      <c r="AA879" s="1992">
        <f t="shared" si="750"/>
        <v>0</v>
      </c>
      <c r="AB879" s="1992">
        <f t="shared" si="750"/>
        <v>0</v>
      </c>
      <c r="AC879" s="1992">
        <f t="shared" si="750"/>
        <v>0</v>
      </c>
      <c r="AD879" s="1993">
        <f t="shared" si="750"/>
        <v>0</v>
      </c>
      <c r="AF879" s="1991">
        <f t="shared" ref="AF879:AQ879" si="751">SUM(AF856:AF868)</f>
        <v>0</v>
      </c>
      <c r="AG879" s="1992">
        <f t="shared" si="751"/>
        <v>0</v>
      </c>
      <c r="AH879" s="1992">
        <f t="shared" si="751"/>
        <v>0</v>
      </c>
      <c r="AI879" s="1992">
        <f t="shared" si="751"/>
        <v>0</v>
      </c>
      <c r="AJ879" s="1992">
        <f t="shared" si="751"/>
        <v>0</v>
      </c>
      <c r="AK879" s="1992">
        <f t="shared" si="751"/>
        <v>0</v>
      </c>
      <c r="AL879" s="1992">
        <f t="shared" si="751"/>
        <v>0</v>
      </c>
      <c r="AM879" s="1992">
        <f t="shared" si="751"/>
        <v>0</v>
      </c>
      <c r="AN879" s="1992">
        <f t="shared" si="751"/>
        <v>0</v>
      </c>
      <c r="AO879" s="1992">
        <f t="shared" si="751"/>
        <v>0</v>
      </c>
      <c r="AP879" s="1992">
        <f t="shared" si="751"/>
        <v>0</v>
      </c>
      <c r="AQ879" s="1992">
        <f t="shared" si="751"/>
        <v>0</v>
      </c>
      <c r="AS879" s="1991">
        <f t="shared" ref="AS879:BD879" si="752">SUM(AS856:AS868)</f>
        <v>0</v>
      </c>
      <c r="AT879" s="1992">
        <f t="shared" si="752"/>
        <v>0</v>
      </c>
      <c r="AU879" s="1992">
        <f t="shared" si="752"/>
        <v>0</v>
      </c>
      <c r="AV879" s="1992">
        <f t="shared" si="752"/>
        <v>0</v>
      </c>
      <c r="AW879" s="1992">
        <f t="shared" si="752"/>
        <v>0</v>
      </c>
      <c r="AX879" s="1992">
        <f t="shared" si="752"/>
        <v>0</v>
      </c>
      <c r="AY879" s="1992">
        <f t="shared" si="752"/>
        <v>0</v>
      </c>
      <c r="AZ879" s="1992">
        <f t="shared" si="752"/>
        <v>0</v>
      </c>
      <c r="BA879" s="1992">
        <f t="shared" si="752"/>
        <v>0</v>
      </c>
      <c r="BB879" s="1992">
        <f t="shared" si="752"/>
        <v>0</v>
      </c>
      <c r="BC879" s="1992">
        <f t="shared" si="752"/>
        <v>0</v>
      </c>
      <c r="BD879" s="1994">
        <f t="shared" si="752"/>
        <v>0</v>
      </c>
      <c r="BE879" s="590"/>
      <c r="BF879" s="590"/>
      <c r="BG879" s="590"/>
      <c r="BH879" s="590"/>
      <c r="BI879" s="1978"/>
      <c r="BJ879" s="1975"/>
      <c r="BK879" s="590"/>
    </row>
    <row r="880" spans="3:63" s="108" customFormat="1" x14ac:dyDescent="0.2">
      <c r="F880" s="423"/>
      <c r="G880" s="423"/>
      <c r="H880" s="423"/>
      <c r="I880" s="423"/>
      <c r="J880" s="423"/>
      <c r="K880" s="423"/>
      <c r="L880" s="423"/>
      <c r="M880" s="423"/>
      <c r="N880" s="423"/>
      <c r="O880" s="423"/>
      <c r="P880" s="423"/>
      <c r="Q880" s="423"/>
      <c r="R880" s="1349" t="s">
        <v>21</v>
      </c>
      <c r="S880" s="423">
        <f t="shared" ref="S880:AD880" si="753">+SUM(S878:S879)</f>
        <v>0</v>
      </c>
      <c r="T880" s="423">
        <f t="shared" si="753"/>
        <v>0</v>
      </c>
      <c r="U880" s="423">
        <f t="shared" si="753"/>
        <v>0</v>
      </c>
      <c r="V880" s="423">
        <f t="shared" si="753"/>
        <v>0</v>
      </c>
      <c r="W880" s="423">
        <f t="shared" si="753"/>
        <v>0</v>
      </c>
      <c r="X880" s="423">
        <f t="shared" si="753"/>
        <v>0</v>
      </c>
      <c r="Y880" s="423">
        <f t="shared" si="753"/>
        <v>0</v>
      </c>
      <c r="Z880" s="423">
        <f t="shared" si="753"/>
        <v>0</v>
      </c>
      <c r="AA880" s="423">
        <f t="shared" si="753"/>
        <v>0</v>
      </c>
      <c r="AB880" s="423">
        <f t="shared" si="753"/>
        <v>0</v>
      </c>
      <c r="AC880" s="423">
        <f t="shared" si="753"/>
        <v>0</v>
      </c>
      <c r="AD880" s="423">
        <f t="shared" si="753"/>
        <v>0</v>
      </c>
      <c r="AE880" s="108" t="s">
        <v>1586</v>
      </c>
      <c r="AF880" s="423">
        <f t="shared" ref="AF880:AQ880" si="754">+SUM(AF878:AF879)</f>
        <v>0</v>
      </c>
      <c r="AG880" s="423">
        <f t="shared" si="754"/>
        <v>0</v>
      </c>
      <c r="AH880" s="423">
        <f t="shared" si="754"/>
        <v>0</v>
      </c>
      <c r="AI880" s="423">
        <f t="shared" si="754"/>
        <v>0</v>
      </c>
      <c r="AJ880" s="423">
        <f t="shared" si="754"/>
        <v>0</v>
      </c>
      <c r="AK880" s="423">
        <f t="shared" si="754"/>
        <v>0</v>
      </c>
      <c r="AL880" s="423">
        <f t="shared" si="754"/>
        <v>0</v>
      </c>
      <c r="AM880" s="423">
        <f t="shared" si="754"/>
        <v>0</v>
      </c>
      <c r="AN880" s="423">
        <f t="shared" si="754"/>
        <v>0</v>
      </c>
      <c r="AO880" s="423">
        <f t="shared" si="754"/>
        <v>0</v>
      </c>
      <c r="AP880" s="423">
        <f t="shared" si="754"/>
        <v>0</v>
      </c>
      <c r="AQ880" s="423">
        <f t="shared" si="754"/>
        <v>0</v>
      </c>
      <c r="AR880" s="108" t="s">
        <v>1592</v>
      </c>
      <c r="AS880" s="423">
        <f t="shared" ref="AS880:BD880" si="755">+SUM(AS878:AS879)</f>
        <v>0</v>
      </c>
      <c r="AT880" s="423">
        <f t="shared" si="755"/>
        <v>0</v>
      </c>
      <c r="AU880" s="423">
        <f t="shared" si="755"/>
        <v>0</v>
      </c>
      <c r="AV880" s="423">
        <f t="shared" si="755"/>
        <v>0</v>
      </c>
      <c r="AW880" s="423">
        <f t="shared" si="755"/>
        <v>0</v>
      </c>
      <c r="AX880" s="423">
        <f t="shared" si="755"/>
        <v>0</v>
      </c>
      <c r="AY880" s="423">
        <f t="shared" si="755"/>
        <v>0</v>
      </c>
      <c r="AZ880" s="423">
        <f t="shared" si="755"/>
        <v>0</v>
      </c>
      <c r="BA880" s="423">
        <f t="shared" si="755"/>
        <v>0</v>
      </c>
      <c r="BB880" s="423">
        <f t="shared" si="755"/>
        <v>0</v>
      </c>
      <c r="BC880" s="423">
        <f t="shared" si="755"/>
        <v>0</v>
      </c>
      <c r="BD880" s="423">
        <f t="shared" si="755"/>
        <v>0</v>
      </c>
      <c r="BE880" s="590"/>
      <c r="BF880" s="590"/>
      <c r="BG880" s="590"/>
      <c r="BH880" s="590"/>
      <c r="BI880" s="1978"/>
      <c r="BJ880" s="1975"/>
      <c r="BK880" s="590"/>
    </row>
    <row r="881" spans="1:136" s="108" customFormat="1" x14ac:dyDescent="0.2">
      <c r="O881" s="107"/>
      <c r="P881" s="6"/>
      <c r="Q881" s="6"/>
      <c r="R881" s="1349"/>
      <c r="S881" s="423"/>
      <c r="T881" s="423"/>
      <c r="U881" s="423"/>
      <c r="V881" s="423"/>
      <c r="W881" s="423"/>
      <c r="X881" s="423"/>
      <c r="Y881" s="423"/>
      <c r="Z881" s="423"/>
      <c r="AA881" s="423"/>
      <c r="AB881" s="423"/>
      <c r="AC881" s="423"/>
      <c r="AD881" s="423"/>
      <c r="AE881" s="108" t="s">
        <v>1588</v>
      </c>
      <c r="AF881" s="593" t="e">
        <f t="shared" ref="AF881:AQ881" si="756">+AF878/S878</f>
        <v>#DIV/0!</v>
      </c>
      <c r="AG881" s="593" t="e">
        <f t="shared" si="756"/>
        <v>#DIV/0!</v>
      </c>
      <c r="AH881" s="593" t="e">
        <f t="shared" si="756"/>
        <v>#DIV/0!</v>
      </c>
      <c r="AI881" s="593" t="e">
        <f t="shared" si="756"/>
        <v>#DIV/0!</v>
      </c>
      <c r="AJ881" s="593" t="e">
        <f t="shared" si="756"/>
        <v>#DIV/0!</v>
      </c>
      <c r="AK881" s="593" t="e">
        <f t="shared" si="756"/>
        <v>#DIV/0!</v>
      </c>
      <c r="AL881" s="593" t="e">
        <f t="shared" si="756"/>
        <v>#DIV/0!</v>
      </c>
      <c r="AM881" s="593" t="e">
        <f t="shared" si="756"/>
        <v>#DIV/0!</v>
      </c>
      <c r="AN881" s="593" t="e">
        <f t="shared" si="756"/>
        <v>#DIV/0!</v>
      </c>
      <c r="AO881" s="593" t="e">
        <f t="shared" si="756"/>
        <v>#DIV/0!</v>
      </c>
      <c r="AP881" s="593" t="e">
        <f t="shared" si="756"/>
        <v>#DIV/0!</v>
      </c>
      <c r="AQ881" s="593" t="e">
        <f t="shared" si="756"/>
        <v>#DIV/0!</v>
      </c>
      <c r="AR881" s="108" t="s">
        <v>1593</v>
      </c>
      <c r="AS881" s="1997" t="e">
        <f t="shared" ref="AS881:BD881" si="757">+AS878/S878</f>
        <v>#DIV/0!</v>
      </c>
      <c r="AT881" s="1997" t="e">
        <f t="shared" si="757"/>
        <v>#DIV/0!</v>
      </c>
      <c r="AU881" s="1997" t="e">
        <f t="shared" si="757"/>
        <v>#DIV/0!</v>
      </c>
      <c r="AV881" s="1997" t="e">
        <f t="shared" si="757"/>
        <v>#DIV/0!</v>
      </c>
      <c r="AW881" s="1997" t="e">
        <f t="shared" si="757"/>
        <v>#DIV/0!</v>
      </c>
      <c r="AX881" s="1997" t="e">
        <f t="shared" si="757"/>
        <v>#DIV/0!</v>
      </c>
      <c r="AY881" s="1997" t="e">
        <f t="shared" si="757"/>
        <v>#DIV/0!</v>
      </c>
      <c r="AZ881" s="1997" t="e">
        <f t="shared" si="757"/>
        <v>#DIV/0!</v>
      </c>
      <c r="BA881" s="1997" t="e">
        <f t="shared" si="757"/>
        <v>#DIV/0!</v>
      </c>
      <c r="BB881" s="1997" t="e">
        <f t="shared" si="757"/>
        <v>#DIV/0!</v>
      </c>
      <c r="BC881" s="1997" t="e">
        <f t="shared" si="757"/>
        <v>#DIV/0!</v>
      </c>
      <c r="BD881" s="1997" t="e">
        <f t="shared" si="757"/>
        <v>#DIV/0!</v>
      </c>
      <c r="BE881" s="590"/>
      <c r="BF881" s="590"/>
      <c r="BG881" s="590"/>
      <c r="BH881" s="590"/>
      <c r="BI881" s="1978"/>
      <c r="BJ881" s="1975"/>
      <c r="BK881" s="590"/>
    </row>
    <row r="882" spans="1:136" s="108" customFormat="1" x14ac:dyDescent="0.2">
      <c r="O882" s="107"/>
      <c r="P882" s="6"/>
      <c r="Q882" s="6"/>
      <c r="R882" s="1349"/>
      <c r="S882" s="423"/>
      <c r="T882" s="423"/>
      <c r="U882" s="423"/>
      <c r="V882" s="423"/>
      <c r="W882" s="423"/>
      <c r="X882" s="423"/>
      <c r="Y882" s="423"/>
      <c r="Z882" s="423"/>
      <c r="AA882" s="423"/>
      <c r="AB882" s="423"/>
      <c r="AC882" s="423"/>
      <c r="AD882" s="423"/>
      <c r="AE882" s="108" t="s">
        <v>1589</v>
      </c>
      <c r="AF882" s="593">
        <f t="shared" ref="AF882:AQ882" si="758">IF(AF879=0,0,AF879/S879)</f>
        <v>0</v>
      </c>
      <c r="AG882" s="593">
        <f t="shared" si="758"/>
        <v>0</v>
      </c>
      <c r="AH882" s="593">
        <f t="shared" si="758"/>
        <v>0</v>
      </c>
      <c r="AI882" s="593">
        <f t="shared" si="758"/>
        <v>0</v>
      </c>
      <c r="AJ882" s="593">
        <f t="shared" si="758"/>
        <v>0</v>
      </c>
      <c r="AK882" s="593">
        <f t="shared" si="758"/>
        <v>0</v>
      </c>
      <c r="AL882" s="593">
        <f t="shared" si="758"/>
        <v>0</v>
      </c>
      <c r="AM882" s="593">
        <f t="shared" si="758"/>
        <v>0</v>
      </c>
      <c r="AN882" s="593">
        <f t="shared" si="758"/>
        <v>0</v>
      </c>
      <c r="AO882" s="593">
        <f t="shared" si="758"/>
        <v>0</v>
      </c>
      <c r="AP882" s="593">
        <f t="shared" si="758"/>
        <v>0</v>
      </c>
      <c r="AQ882" s="593">
        <f t="shared" si="758"/>
        <v>0</v>
      </c>
      <c r="AR882" s="108" t="s">
        <v>1594</v>
      </c>
      <c r="AS882" s="1997">
        <f t="shared" ref="AS882:BD883" si="759">IF(AS879=0,0,AS879/S879)</f>
        <v>0</v>
      </c>
      <c r="AT882" s="1997">
        <f t="shared" si="759"/>
        <v>0</v>
      </c>
      <c r="AU882" s="1997">
        <f t="shared" si="759"/>
        <v>0</v>
      </c>
      <c r="AV882" s="1997">
        <f t="shared" si="759"/>
        <v>0</v>
      </c>
      <c r="AW882" s="1997">
        <f t="shared" si="759"/>
        <v>0</v>
      </c>
      <c r="AX882" s="1997">
        <f t="shared" si="759"/>
        <v>0</v>
      </c>
      <c r="AY882" s="1997">
        <f t="shared" si="759"/>
        <v>0</v>
      </c>
      <c r="AZ882" s="1997">
        <f t="shared" si="759"/>
        <v>0</v>
      </c>
      <c r="BA882" s="1997">
        <f t="shared" si="759"/>
        <v>0</v>
      </c>
      <c r="BB882" s="1997">
        <f t="shared" si="759"/>
        <v>0</v>
      </c>
      <c r="BC882" s="1997">
        <f t="shared" si="759"/>
        <v>0</v>
      </c>
      <c r="BD882" s="1997">
        <f t="shared" si="759"/>
        <v>0</v>
      </c>
      <c r="BE882" s="590"/>
      <c r="BF882" s="590"/>
      <c r="BG882" s="590"/>
      <c r="BH882" s="590"/>
      <c r="BI882" s="1978"/>
      <c r="BJ882" s="1975"/>
      <c r="BK882" s="590"/>
    </row>
    <row r="883" spans="1:136" s="108" customFormat="1" x14ac:dyDescent="0.2">
      <c r="O883" s="107"/>
      <c r="P883" s="6"/>
      <c r="Q883" s="6"/>
      <c r="R883" s="1349"/>
      <c r="S883" s="423"/>
      <c r="T883" s="423"/>
      <c r="U883" s="423"/>
      <c r="V883" s="423"/>
      <c r="W883" s="423"/>
      <c r="X883" s="423"/>
      <c r="Y883" s="423"/>
      <c r="Z883" s="423"/>
      <c r="AA883" s="423"/>
      <c r="AB883" s="423"/>
      <c r="AC883" s="423"/>
      <c r="AD883" s="423"/>
      <c r="AE883" s="108" t="s">
        <v>1587</v>
      </c>
      <c r="AF883" s="593" t="e">
        <f t="shared" ref="AF883:AQ883" si="760">+AF880/S880</f>
        <v>#DIV/0!</v>
      </c>
      <c r="AG883" s="593" t="e">
        <f t="shared" si="760"/>
        <v>#DIV/0!</v>
      </c>
      <c r="AH883" s="593" t="e">
        <f t="shared" si="760"/>
        <v>#DIV/0!</v>
      </c>
      <c r="AI883" s="593" t="e">
        <f t="shared" si="760"/>
        <v>#DIV/0!</v>
      </c>
      <c r="AJ883" s="593" t="e">
        <f t="shared" si="760"/>
        <v>#DIV/0!</v>
      </c>
      <c r="AK883" s="593" t="e">
        <f t="shared" si="760"/>
        <v>#DIV/0!</v>
      </c>
      <c r="AL883" s="593" t="e">
        <f t="shared" si="760"/>
        <v>#DIV/0!</v>
      </c>
      <c r="AM883" s="593" t="e">
        <f t="shared" si="760"/>
        <v>#DIV/0!</v>
      </c>
      <c r="AN883" s="593" t="e">
        <f t="shared" si="760"/>
        <v>#DIV/0!</v>
      </c>
      <c r="AO883" s="593" t="e">
        <f t="shared" si="760"/>
        <v>#DIV/0!</v>
      </c>
      <c r="AP883" s="593" t="e">
        <f t="shared" si="760"/>
        <v>#DIV/0!</v>
      </c>
      <c r="AQ883" s="593" t="e">
        <f t="shared" si="760"/>
        <v>#DIV/0!</v>
      </c>
      <c r="AR883" s="108" t="s">
        <v>1595</v>
      </c>
      <c r="AS883" s="1997">
        <f t="shared" si="759"/>
        <v>0</v>
      </c>
      <c r="AT883" s="1997">
        <f t="shared" si="759"/>
        <v>0</v>
      </c>
      <c r="AU883" s="1997">
        <f t="shared" si="759"/>
        <v>0</v>
      </c>
      <c r="AV883" s="1997">
        <f t="shared" si="759"/>
        <v>0</v>
      </c>
      <c r="AW883" s="1997">
        <f t="shared" si="759"/>
        <v>0</v>
      </c>
      <c r="AX883" s="1997">
        <f t="shared" si="759"/>
        <v>0</v>
      </c>
      <c r="AY883" s="1997">
        <f t="shared" si="759"/>
        <v>0</v>
      </c>
      <c r="AZ883" s="1997">
        <f t="shared" si="759"/>
        <v>0</v>
      </c>
      <c r="BA883" s="1997">
        <f t="shared" si="759"/>
        <v>0</v>
      </c>
      <c r="BB883" s="1997">
        <f t="shared" si="759"/>
        <v>0</v>
      </c>
      <c r="BC883" s="1997">
        <f t="shared" si="759"/>
        <v>0</v>
      </c>
      <c r="BD883" s="1997">
        <f t="shared" si="759"/>
        <v>0</v>
      </c>
      <c r="BE883" s="590"/>
      <c r="BF883" s="590"/>
      <c r="BG883" s="590"/>
      <c r="BH883" s="590"/>
      <c r="BI883" s="590"/>
      <c r="BJ883" s="590"/>
      <c r="BK883" s="590"/>
    </row>
    <row r="884" spans="1:136" s="108" customFormat="1" x14ac:dyDescent="0.2">
      <c r="O884" s="107"/>
      <c r="P884" s="6"/>
      <c r="Q884" s="6"/>
      <c r="R884" s="1984"/>
      <c r="S884" s="1926"/>
      <c r="T884" s="1926"/>
      <c r="U884" s="1926"/>
      <c r="V884" s="1926"/>
      <c r="W884" s="1926"/>
      <c r="X884" s="1926"/>
      <c r="Y884" s="1926"/>
      <c r="Z884" s="1926"/>
      <c r="AA884" s="1926"/>
      <c r="AB884" s="1926"/>
      <c r="AC884" s="1926"/>
      <c r="AD884" s="1926"/>
      <c r="AF884" s="1926"/>
      <c r="AG884" s="1926"/>
      <c r="AH884" s="1926"/>
      <c r="AI884" s="1926"/>
      <c r="AJ884" s="1926"/>
      <c r="AK884" s="1926"/>
      <c r="AL884" s="1926"/>
      <c r="AM884" s="1926"/>
      <c r="AN884" s="1926"/>
      <c r="AO884" s="1926"/>
      <c r="AP884" s="1926"/>
      <c r="AQ884" s="1926"/>
      <c r="AS884" s="1926"/>
      <c r="AT884" s="1926"/>
      <c r="AU884" s="1926"/>
      <c r="AV884" s="1926"/>
      <c r="AW884" s="1926"/>
      <c r="AX884" s="1926"/>
      <c r="AY884" s="1926"/>
      <c r="AZ884" s="1926"/>
      <c r="BA884" s="1926"/>
      <c r="BB884" s="1926"/>
      <c r="BC884" s="1926"/>
      <c r="BD884" s="1926"/>
      <c r="BE884" s="590"/>
      <c r="BF884" s="590"/>
      <c r="BG884" s="590"/>
      <c r="BH884" s="590"/>
      <c r="BI884" s="590"/>
      <c r="BJ884" s="590"/>
      <c r="BK884" s="590"/>
    </row>
    <row r="885" spans="1:136" s="2196" customFormat="1" ht="17.7" x14ac:dyDescent="0.3">
      <c r="A885" s="2191"/>
      <c r="B885" s="2191" t="s">
        <v>1977</v>
      </c>
      <c r="C885" s="2191"/>
      <c r="D885" s="2192"/>
      <c r="E885" s="2192"/>
      <c r="F885" s="2193"/>
      <c r="G885" s="2193"/>
      <c r="H885" s="2193"/>
      <c r="I885" s="2193"/>
      <c r="J885" s="2193"/>
      <c r="K885" s="2193"/>
      <c r="L885" s="2193"/>
      <c r="M885" s="2193"/>
      <c r="N885" s="2193"/>
      <c r="O885" s="2193"/>
      <c r="P885" s="2193"/>
      <c r="Q885" s="2193"/>
      <c r="R885" s="2194"/>
      <c r="S885" s="2191"/>
      <c r="T885" s="2191"/>
      <c r="U885" s="2191"/>
      <c r="V885" s="2191"/>
      <c r="W885" s="2191"/>
      <c r="X885" s="2191"/>
      <c r="Y885" s="2191"/>
      <c r="Z885" s="2191"/>
      <c r="AA885" s="2191"/>
      <c r="AB885" s="2191"/>
      <c r="AC885" s="2191"/>
      <c r="AD885" s="2191"/>
      <c r="AE885" s="2191"/>
      <c r="AF885" s="2191"/>
      <c r="AG885" s="2191"/>
      <c r="AH885" s="2191"/>
      <c r="AI885" s="2191"/>
      <c r="AJ885" s="2191"/>
      <c r="AK885" s="2191"/>
      <c r="AL885" s="2191"/>
      <c r="AM885" s="2191"/>
      <c r="AN885" s="2191"/>
      <c r="AO885" s="2191"/>
      <c r="AP885" s="2191"/>
      <c r="AQ885" s="2191"/>
      <c r="AR885" s="2191"/>
      <c r="AS885" s="2191"/>
      <c r="AT885" s="2191"/>
      <c r="AU885" s="2191"/>
      <c r="AV885" s="2191"/>
      <c r="AW885" s="2191"/>
      <c r="AX885" s="2191"/>
      <c r="AY885" s="2191"/>
      <c r="AZ885" s="2191"/>
      <c r="BA885" s="2191"/>
      <c r="BB885" s="2191"/>
      <c r="BC885" s="2191"/>
      <c r="BD885" s="2191" t="e">
        <f>+(BD879+BD878)/(AD879+AD878)</f>
        <v>#DIV/0!</v>
      </c>
      <c r="BE885" s="2195"/>
      <c r="BF885" s="2195"/>
      <c r="BG885" s="2195"/>
      <c r="BH885" s="2195"/>
      <c r="BI885" s="2195"/>
      <c r="EF885" s="2197"/>
    </row>
    <row r="886" spans="1:136" ht="15.05" thickBot="1" x14ac:dyDescent="0.25">
      <c r="A886" s="6"/>
      <c r="O886" s="107"/>
      <c r="P886" s="6"/>
      <c r="Q886" s="6"/>
      <c r="BE886" s="100"/>
      <c r="BF886" s="100"/>
      <c r="BG886" s="100"/>
      <c r="BH886" s="100"/>
      <c r="BI886" s="100"/>
      <c r="BJ886" s="100"/>
      <c r="BK886" s="100"/>
    </row>
    <row r="887" spans="1:136" ht="15.05" thickBot="1" x14ac:dyDescent="0.25">
      <c r="A887" s="767"/>
      <c r="B887" s="102" t="s">
        <v>963</v>
      </c>
      <c r="C887" s="103"/>
      <c r="D887" s="103"/>
      <c r="E887" s="1901"/>
      <c r="F887" s="1901"/>
      <c r="G887" s="1901"/>
      <c r="H887" s="1901"/>
      <c r="I887" s="1901"/>
      <c r="J887" s="1901"/>
      <c r="K887" s="1901"/>
      <c r="L887" s="1901"/>
      <c r="M887" s="1901"/>
      <c r="N887" s="1901"/>
      <c r="O887" s="1901"/>
      <c r="P887" s="1967"/>
      <c r="S887" s="6"/>
    </row>
    <row r="888" spans="1:136" x14ac:dyDescent="0.2">
      <c r="A888" s="2188">
        <v>1034</v>
      </c>
      <c r="B888" s="1999"/>
      <c r="C888" s="1442" t="s">
        <v>879</v>
      </c>
      <c r="D888" s="100"/>
      <c r="E888" s="2000" t="str">
        <f t="shared" ref="E888:P888" si="761">+F813</f>
        <v>Ene</v>
      </c>
      <c r="F888" s="2001" t="str">
        <f t="shared" si="761"/>
        <v>Feb</v>
      </c>
      <c r="G888" s="2000" t="str">
        <f t="shared" si="761"/>
        <v>Mar</v>
      </c>
      <c r="H888" s="2000" t="str">
        <f t="shared" si="761"/>
        <v>Abr</v>
      </c>
      <c r="I888" s="2000" t="str">
        <f>+J813</f>
        <v>May</v>
      </c>
      <c r="J888" s="2000" t="str">
        <f t="shared" si="761"/>
        <v>Jun</v>
      </c>
      <c r="K888" s="2000" t="str">
        <f t="shared" si="761"/>
        <v>Jul</v>
      </c>
      <c r="L888" s="2000" t="str">
        <f t="shared" si="761"/>
        <v>Ago</v>
      </c>
      <c r="M888" s="2000" t="str">
        <f t="shared" si="761"/>
        <v>Set</v>
      </c>
      <c r="N888" s="2000" t="str">
        <f t="shared" si="761"/>
        <v>Oct</v>
      </c>
      <c r="O888" s="2000" t="str">
        <f t="shared" si="761"/>
        <v>Nov</v>
      </c>
      <c r="P888" s="2002" t="str">
        <f t="shared" si="761"/>
        <v>Dic</v>
      </c>
      <c r="S888" s="6"/>
    </row>
    <row r="889" spans="1:136" x14ac:dyDescent="0.2">
      <c r="A889" s="6"/>
      <c r="B889" s="2003"/>
      <c r="C889" s="958">
        <f t="shared" ref="C889:C920" si="762">D9</f>
        <v>0</v>
      </c>
      <c r="D889" s="104"/>
      <c r="E889" s="104" t="str">
        <f t="shared" ref="E889:E920" si="763">IF(G9&lt;&gt;F9,G9,"")</f>
        <v/>
      </c>
      <c r="F889" s="104" t="str">
        <f t="shared" ref="F889:F920" si="764">IF(H9&lt;&gt;G9,H9,"")</f>
        <v/>
      </c>
      <c r="G889" s="104" t="str">
        <f t="shared" ref="G889:G920" si="765">IF(I9&lt;&gt;H9,I9,"")</f>
        <v/>
      </c>
      <c r="H889" s="104" t="str">
        <f t="shared" ref="H889:H920" si="766">IF(J9&lt;&gt;I9,J9,"")</f>
        <v/>
      </c>
      <c r="I889" s="104" t="str">
        <f t="shared" ref="I889:I920" si="767">IF(K9&lt;&gt;J9,K9,"")</f>
        <v/>
      </c>
      <c r="J889" s="104" t="str">
        <f t="shared" ref="J889:J920" si="768">IF(L9&lt;&gt;K9,L9,"")</f>
        <v/>
      </c>
      <c r="K889" s="104" t="str">
        <f t="shared" ref="K889:K920" si="769">IF(M9&lt;&gt;L9,M9,"")</f>
        <v/>
      </c>
      <c r="L889" s="104" t="str">
        <f t="shared" ref="L889:L920" si="770">IF(N9&lt;&gt;M9,N9,"")</f>
        <v/>
      </c>
      <c r="M889" s="104" t="str">
        <f t="shared" ref="M889:M920" si="771">IF(O9&lt;&gt;N9,O9,"")</f>
        <v/>
      </c>
      <c r="N889" s="104" t="str">
        <f t="shared" ref="N889:N920" si="772">IF(P9&lt;&gt;O9,P9,"")</f>
        <v/>
      </c>
      <c r="O889" s="104" t="str">
        <f t="shared" ref="O889:O920" si="773">IF(Q9&lt;&gt;P9,Q9,"")</f>
        <v/>
      </c>
      <c r="P889" s="2004" t="str">
        <f t="shared" ref="P889:P920" si="774">IF(R9&lt;&gt;Q9,R9,"")</f>
        <v/>
      </c>
      <c r="S889" s="6"/>
    </row>
    <row r="890" spans="1:136" x14ac:dyDescent="0.2">
      <c r="A890" s="6"/>
      <c r="B890" s="2003"/>
      <c r="C890" s="958">
        <f t="shared" si="762"/>
        <v>0</v>
      </c>
      <c r="D890" s="104"/>
      <c r="E890" s="104" t="str">
        <f t="shared" si="763"/>
        <v/>
      </c>
      <c r="F890" s="104" t="str">
        <f t="shared" si="764"/>
        <v/>
      </c>
      <c r="G890" s="104" t="str">
        <f t="shared" si="765"/>
        <v/>
      </c>
      <c r="H890" s="104" t="str">
        <f t="shared" si="766"/>
        <v/>
      </c>
      <c r="I890" s="104" t="str">
        <f t="shared" si="767"/>
        <v/>
      </c>
      <c r="J890" s="104" t="str">
        <f t="shared" si="768"/>
        <v/>
      </c>
      <c r="K890" s="104" t="str">
        <f t="shared" si="769"/>
        <v/>
      </c>
      <c r="L890" s="104" t="str">
        <f t="shared" si="770"/>
        <v/>
      </c>
      <c r="M890" s="104" t="str">
        <f t="shared" si="771"/>
        <v/>
      </c>
      <c r="N890" s="104" t="str">
        <f t="shared" si="772"/>
        <v/>
      </c>
      <c r="O890" s="104" t="str">
        <f t="shared" si="773"/>
        <v/>
      </c>
      <c r="P890" s="2004" t="str">
        <f t="shared" si="774"/>
        <v/>
      </c>
      <c r="S890" s="6"/>
    </row>
    <row r="891" spans="1:136" x14ac:dyDescent="0.2">
      <c r="A891" s="6"/>
      <c r="B891" s="2003"/>
      <c r="C891" s="958">
        <f t="shared" si="762"/>
        <v>0</v>
      </c>
      <c r="D891" s="104"/>
      <c r="E891" s="104" t="str">
        <f t="shared" si="763"/>
        <v/>
      </c>
      <c r="F891" s="104" t="str">
        <f t="shared" si="764"/>
        <v/>
      </c>
      <c r="G891" s="104" t="str">
        <f t="shared" si="765"/>
        <v/>
      </c>
      <c r="H891" s="104" t="str">
        <f t="shared" si="766"/>
        <v/>
      </c>
      <c r="I891" s="104" t="str">
        <f t="shared" si="767"/>
        <v/>
      </c>
      <c r="J891" s="104" t="str">
        <f t="shared" si="768"/>
        <v/>
      </c>
      <c r="K891" s="104" t="str">
        <f t="shared" si="769"/>
        <v/>
      </c>
      <c r="L891" s="104" t="str">
        <f t="shared" si="770"/>
        <v/>
      </c>
      <c r="M891" s="104" t="str">
        <f t="shared" si="771"/>
        <v/>
      </c>
      <c r="N891" s="104" t="str">
        <f t="shared" si="772"/>
        <v/>
      </c>
      <c r="O891" s="104" t="str">
        <f t="shared" si="773"/>
        <v/>
      </c>
      <c r="P891" s="2004" t="str">
        <f t="shared" si="774"/>
        <v/>
      </c>
      <c r="S891" s="6"/>
    </row>
    <row r="892" spans="1:136" x14ac:dyDescent="0.2">
      <c r="A892" s="6"/>
      <c r="B892" s="2003"/>
      <c r="C892" s="958">
        <f t="shared" si="762"/>
        <v>0</v>
      </c>
      <c r="D892" s="104"/>
      <c r="E892" s="104" t="str">
        <f t="shared" si="763"/>
        <v/>
      </c>
      <c r="F892" s="104" t="str">
        <f t="shared" si="764"/>
        <v/>
      </c>
      <c r="G892" s="104" t="str">
        <f t="shared" si="765"/>
        <v/>
      </c>
      <c r="H892" s="104" t="str">
        <f t="shared" si="766"/>
        <v/>
      </c>
      <c r="I892" s="104" t="str">
        <f t="shared" si="767"/>
        <v/>
      </c>
      <c r="J892" s="104" t="str">
        <f t="shared" si="768"/>
        <v/>
      </c>
      <c r="K892" s="104" t="str">
        <f t="shared" si="769"/>
        <v/>
      </c>
      <c r="L892" s="104" t="str">
        <f t="shared" si="770"/>
        <v/>
      </c>
      <c r="M892" s="104" t="str">
        <f t="shared" si="771"/>
        <v/>
      </c>
      <c r="N892" s="104" t="str">
        <f t="shared" si="772"/>
        <v/>
      </c>
      <c r="O892" s="104" t="str">
        <f t="shared" si="773"/>
        <v/>
      </c>
      <c r="P892" s="2004" t="str">
        <f t="shared" si="774"/>
        <v/>
      </c>
      <c r="S892" s="6"/>
    </row>
    <row r="893" spans="1:136" x14ac:dyDescent="0.2">
      <c r="A893" s="6"/>
      <c r="B893" s="2003"/>
      <c r="C893" s="958">
        <f t="shared" si="762"/>
        <v>0</v>
      </c>
      <c r="D893" s="104"/>
      <c r="E893" s="104" t="str">
        <f t="shared" si="763"/>
        <v/>
      </c>
      <c r="F893" s="104" t="str">
        <f t="shared" si="764"/>
        <v/>
      </c>
      <c r="G893" s="104" t="str">
        <f t="shared" si="765"/>
        <v/>
      </c>
      <c r="H893" s="104" t="str">
        <f t="shared" si="766"/>
        <v/>
      </c>
      <c r="I893" s="104" t="str">
        <f t="shared" si="767"/>
        <v/>
      </c>
      <c r="J893" s="104" t="str">
        <f t="shared" si="768"/>
        <v/>
      </c>
      <c r="K893" s="104" t="str">
        <f t="shared" si="769"/>
        <v/>
      </c>
      <c r="L893" s="104" t="str">
        <f t="shared" si="770"/>
        <v/>
      </c>
      <c r="M893" s="104" t="str">
        <f t="shared" si="771"/>
        <v/>
      </c>
      <c r="N893" s="104" t="str">
        <f t="shared" si="772"/>
        <v/>
      </c>
      <c r="O893" s="104" t="str">
        <f t="shared" si="773"/>
        <v/>
      </c>
      <c r="P893" s="2004" t="str">
        <f t="shared" si="774"/>
        <v/>
      </c>
      <c r="S893" s="6"/>
    </row>
    <row r="894" spans="1:136" x14ac:dyDescent="0.2">
      <c r="A894" s="6"/>
      <c r="B894" s="2003"/>
      <c r="C894" s="958">
        <f t="shared" si="762"/>
        <v>0</v>
      </c>
      <c r="D894" s="104"/>
      <c r="E894" s="104" t="str">
        <f t="shared" si="763"/>
        <v/>
      </c>
      <c r="F894" s="104" t="str">
        <f t="shared" si="764"/>
        <v/>
      </c>
      <c r="G894" s="104" t="str">
        <f t="shared" si="765"/>
        <v/>
      </c>
      <c r="H894" s="104" t="str">
        <f t="shared" si="766"/>
        <v/>
      </c>
      <c r="I894" s="104" t="str">
        <f t="shared" si="767"/>
        <v/>
      </c>
      <c r="J894" s="104" t="str">
        <f t="shared" si="768"/>
        <v/>
      </c>
      <c r="K894" s="104" t="str">
        <f t="shared" si="769"/>
        <v/>
      </c>
      <c r="L894" s="104" t="str">
        <f t="shared" si="770"/>
        <v/>
      </c>
      <c r="M894" s="104" t="str">
        <f t="shared" si="771"/>
        <v/>
      </c>
      <c r="N894" s="104" t="str">
        <f t="shared" si="772"/>
        <v/>
      </c>
      <c r="O894" s="104" t="str">
        <f t="shared" si="773"/>
        <v/>
      </c>
      <c r="P894" s="2004" t="str">
        <f t="shared" si="774"/>
        <v/>
      </c>
      <c r="S894" s="6"/>
    </row>
    <row r="895" spans="1:136" x14ac:dyDescent="0.2">
      <c r="A895" s="6"/>
      <c r="B895" s="2003"/>
      <c r="C895" s="958">
        <f t="shared" si="762"/>
        <v>0</v>
      </c>
      <c r="D895" s="104"/>
      <c r="E895" s="104" t="str">
        <f t="shared" si="763"/>
        <v/>
      </c>
      <c r="F895" s="104" t="str">
        <f t="shared" si="764"/>
        <v/>
      </c>
      <c r="G895" s="104" t="str">
        <f t="shared" si="765"/>
        <v/>
      </c>
      <c r="H895" s="104" t="str">
        <f t="shared" si="766"/>
        <v/>
      </c>
      <c r="I895" s="104" t="str">
        <f t="shared" si="767"/>
        <v/>
      </c>
      <c r="J895" s="104" t="str">
        <f t="shared" si="768"/>
        <v/>
      </c>
      <c r="K895" s="104" t="str">
        <f t="shared" si="769"/>
        <v/>
      </c>
      <c r="L895" s="104" t="str">
        <f t="shared" si="770"/>
        <v/>
      </c>
      <c r="M895" s="104" t="str">
        <f t="shared" si="771"/>
        <v/>
      </c>
      <c r="N895" s="104" t="str">
        <f t="shared" si="772"/>
        <v/>
      </c>
      <c r="O895" s="104" t="str">
        <f t="shared" si="773"/>
        <v/>
      </c>
      <c r="P895" s="2004" t="str">
        <f t="shared" si="774"/>
        <v/>
      </c>
      <c r="S895" s="6"/>
    </row>
    <row r="896" spans="1:136" x14ac:dyDescent="0.2">
      <c r="A896" s="6"/>
      <c r="B896" s="2003"/>
      <c r="C896" s="958">
        <f t="shared" si="762"/>
        <v>0</v>
      </c>
      <c r="D896" s="104"/>
      <c r="E896" s="104" t="str">
        <f t="shared" si="763"/>
        <v/>
      </c>
      <c r="F896" s="104" t="str">
        <f t="shared" si="764"/>
        <v/>
      </c>
      <c r="G896" s="104" t="str">
        <f t="shared" si="765"/>
        <v/>
      </c>
      <c r="H896" s="104" t="str">
        <f t="shared" si="766"/>
        <v/>
      </c>
      <c r="I896" s="104" t="str">
        <f t="shared" si="767"/>
        <v/>
      </c>
      <c r="J896" s="104" t="str">
        <f t="shared" si="768"/>
        <v/>
      </c>
      <c r="K896" s="104" t="str">
        <f t="shared" si="769"/>
        <v/>
      </c>
      <c r="L896" s="104" t="str">
        <f t="shared" si="770"/>
        <v/>
      </c>
      <c r="M896" s="104" t="str">
        <f t="shared" si="771"/>
        <v/>
      </c>
      <c r="N896" s="104" t="str">
        <f t="shared" si="772"/>
        <v/>
      </c>
      <c r="O896" s="104" t="str">
        <f t="shared" si="773"/>
        <v/>
      </c>
      <c r="P896" s="2004" t="str">
        <f t="shared" si="774"/>
        <v/>
      </c>
      <c r="S896" s="6"/>
    </row>
    <row r="897" spans="1:19" x14ac:dyDescent="0.2">
      <c r="A897" s="6"/>
      <c r="B897" s="2003"/>
      <c r="C897" s="958">
        <f t="shared" si="762"/>
        <v>0</v>
      </c>
      <c r="D897" s="104"/>
      <c r="E897" s="104" t="str">
        <f t="shared" si="763"/>
        <v/>
      </c>
      <c r="F897" s="104" t="str">
        <f t="shared" si="764"/>
        <v/>
      </c>
      <c r="G897" s="104" t="str">
        <f t="shared" si="765"/>
        <v/>
      </c>
      <c r="H897" s="104" t="str">
        <f t="shared" si="766"/>
        <v/>
      </c>
      <c r="I897" s="104" t="str">
        <f t="shared" si="767"/>
        <v/>
      </c>
      <c r="J897" s="104" t="str">
        <f t="shared" si="768"/>
        <v/>
      </c>
      <c r="K897" s="104" t="str">
        <f t="shared" si="769"/>
        <v/>
      </c>
      <c r="L897" s="104" t="str">
        <f t="shared" si="770"/>
        <v/>
      </c>
      <c r="M897" s="104" t="str">
        <f t="shared" si="771"/>
        <v/>
      </c>
      <c r="N897" s="104" t="str">
        <f t="shared" si="772"/>
        <v/>
      </c>
      <c r="O897" s="104" t="str">
        <f t="shared" si="773"/>
        <v/>
      </c>
      <c r="P897" s="2004" t="str">
        <f t="shared" si="774"/>
        <v/>
      </c>
      <c r="S897" s="6"/>
    </row>
    <row r="898" spans="1:19" x14ac:dyDescent="0.2">
      <c r="A898" s="6"/>
      <c r="B898" s="2003"/>
      <c r="C898" s="958">
        <f t="shared" si="762"/>
        <v>0</v>
      </c>
      <c r="D898" s="104"/>
      <c r="E898" s="104" t="str">
        <f t="shared" si="763"/>
        <v/>
      </c>
      <c r="F898" s="104" t="str">
        <f t="shared" si="764"/>
        <v/>
      </c>
      <c r="G898" s="104" t="str">
        <f t="shared" si="765"/>
        <v/>
      </c>
      <c r="H898" s="104" t="str">
        <f t="shared" si="766"/>
        <v/>
      </c>
      <c r="I898" s="104" t="str">
        <f t="shared" si="767"/>
        <v/>
      </c>
      <c r="J898" s="104" t="str">
        <f t="shared" si="768"/>
        <v/>
      </c>
      <c r="K898" s="104" t="str">
        <f t="shared" si="769"/>
        <v/>
      </c>
      <c r="L898" s="104" t="str">
        <f t="shared" si="770"/>
        <v/>
      </c>
      <c r="M898" s="104" t="str">
        <f t="shared" si="771"/>
        <v/>
      </c>
      <c r="N898" s="104" t="str">
        <f t="shared" si="772"/>
        <v/>
      </c>
      <c r="O898" s="104" t="str">
        <f t="shared" si="773"/>
        <v/>
      </c>
      <c r="P898" s="2004" t="str">
        <f t="shared" si="774"/>
        <v/>
      </c>
      <c r="S898" s="6"/>
    </row>
    <row r="899" spans="1:19" x14ac:dyDescent="0.2">
      <c r="A899" s="6"/>
      <c r="B899" s="2003"/>
      <c r="C899" s="958">
        <f t="shared" si="762"/>
        <v>0</v>
      </c>
      <c r="D899" s="104"/>
      <c r="E899" s="104" t="str">
        <f t="shared" si="763"/>
        <v/>
      </c>
      <c r="F899" s="104" t="str">
        <f t="shared" si="764"/>
        <v/>
      </c>
      <c r="G899" s="104" t="str">
        <f t="shared" si="765"/>
        <v/>
      </c>
      <c r="H899" s="104" t="str">
        <f t="shared" si="766"/>
        <v/>
      </c>
      <c r="I899" s="104" t="str">
        <f t="shared" si="767"/>
        <v/>
      </c>
      <c r="J899" s="104" t="str">
        <f t="shared" si="768"/>
        <v/>
      </c>
      <c r="K899" s="104" t="str">
        <f t="shared" si="769"/>
        <v/>
      </c>
      <c r="L899" s="104" t="str">
        <f t="shared" si="770"/>
        <v/>
      </c>
      <c r="M899" s="104" t="str">
        <f t="shared" si="771"/>
        <v/>
      </c>
      <c r="N899" s="104" t="str">
        <f t="shared" si="772"/>
        <v/>
      </c>
      <c r="O899" s="104" t="str">
        <f t="shared" si="773"/>
        <v/>
      </c>
      <c r="P899" s="2004" t="str">
        <f t="shared" si="774"/>
        <v/>
      </c>
      <c r="S899" s="6"/>
    </row>
    <row r="900" spans="1:19" x14ac:dyDescent="0.2">
      <c r="A900" s="6"/>
      <c r="B900" s="2003"/>
      <c r="C900" s="958">
        <f t="shared" si="762"/>
        <v>0</v>
      </c>
      <c r="D900" s="104"/>
      <c r="E900" s="104" t="str">
        <f t="shared" si="763"/>
        <v/>
      </c>
      <c r="F900" s="104" t="str">
        <f t="shared" si="764"/>
        <v/>
      </c>
      <c r="G900" s="104" t="str">
        <f t="shared" si="765"/>
        <v/>
      </c>
      <c r="H900" s="104" t="str">
        <f t="shared" si="766"/>
        <v/>
      </c>
      <c r="I900" s="104" t="str">
        <f t="shared" si="767"/>
        <v/>
      </c>
      <c r="J900" s="104" t="str">
        <f t="shared" si="768"/>
        <v/>
      </c>
      <c r="K900" s="104" t="str">
        <f t="shared" si="769"/>
        <v/>
      </c>
      <c r="L900" s="104" t="str">
        <f t="shared" si="770"/>
        <v/>
      </c>
      <c r="M900" s="104" t="str">
        <f t="shared" si="771"/>
        <v/>
      </c>
      <c r="N900" s="104" t="str">
        <f t="shared" si="772"/>
        <v/>
      </c>
      <c r="O900" s="104" t="str">
        <f t="shared" si="773"/>
        <v/>
      </c>
      <c r="P900" s="2004" t="str">
        <f t="shared" si="774"/>
        <v/>
      </c>
      <c r="S900" s="6"/>
    </row>
    <row r="901" spans="1:19" x14ac:dyDescent="0.2">
      <c r="A901" s="6"/>
      <c r="B901" s="2003"/>
      <c r="C901" s="958">
        <f t="shared" si="762"/>
        <v>0</v>
      </c>
      <c r="D901" s="104"/>
      <c r="E901" s="104" t="str">
        <f t="shared" si="763"/>
        <v/>
      </c>
      <c r="F901" s="104" t="str">
        <f t="shared" si="764"/>
        <v/>
      </c>
      <c r="G901" s="104" t="str">
        <f t="shared" si="765"/>
        <v/>
      </c>
      <c r="H901" s="104" t="str">
        <f t="shared" si="766"/>
        <v/>
      </c>
      <c r="I901" s="104" t="str">
        <f t="shared" si="767"/>
        <v/>
      </c>
      <c r="J901" s="104" t="str">
        <f t="shared" si="768"/>
        <v/>
      </c>
      <c r="K901" s="104" t="str">
        <f t="shared" si="769"/>
        <v/>
      </c>
      <c r="L901" s="104" t="str">
        <f t="shared" si="770"/>
        <v/>
      </c>
      <c r="M901" s="104" t="str">
        <f t="shared" si="771"/>
        <v/>
      </c>
      <c r="N901" s="104" t="str">
        <f t="shared" si="772"/>
        <v/>
      </c>
      <c r="O901" s="104" t="str">
        <f t="shared" si="773"/>
        <v/>
      </c>
      <c r="P901" s="2004" t="str">
        <f t="shared" si="774"/>
        <v/>
      </c>
      <c r="S901" s="6"/>
    </row>
    <row r="902" spans="1:19" x14ac:dyDescent="0.2">
      <c r="A902" s="6"/>
      <c r="B902" s="2003"/>
      <c r="C902" s="958">
        <f t="shared" si="762"/>
        <v>0</v>
      </c>
      <c r="D902" s="104"/>
      <c r="E902" s="104" t="str">
        <f t="shared" si="763"/>
        <v/>
      </c>
      <c r="F902" s="104" t="str">
        <f t="shared" si="764"/>
        <v/>
      </c>
      <c r="G902" s="104" t="str">
        <f t="shared" si="765"/>
        <v/>
      </c>
      <c r="H902" s="104" t="str">
        <f t="shared" si="766"/>
        <v/>
      </c>
      <c r="I902" s="104" t="str">
        <f t="shared" si="767"/>
        <v/>
      </c>
      <c r="J902" s="104" t="str">
        <f t="shared" si="768"/>
        <v/>
      </c>
      <c r="K902" s="104" t="str">
        <f t="shared" si="769"/>
        <v/>
      </c>
      <c r="L902" s="104" t="str">
        <f t="shared" si="770"/>
        <v/>
      </c>
      <c r="M902" s="104" t="str">
        <f t="shared" si="771"/>
        <v/>
      </c>
      <c r="N902" s="104" t="str">
        <f t="shared" si="772"/>
        <v/>
      </c>
      <c r="O902" s="104" t="str">
        <f t="shared" si="773"/>
        <v/>
      </c>
      <c r="P902" s="2004" t="str">
        <f t="shared" si="774"/>
        <v/>
      </c>
      <c r="S902" s="6"/>
    </row>
    <row r="903" spans="1:19" x14ac:dyDescent="0.2">
      <c r="A903" s="6"/>
      <c r="B903" s="2003"/>
      <c r="C903" s="958">
        <f t="shared" si="762"/>
        <v>0</v>
      </c>
      <c r="D903" s="104"/>
      <c r="E903" s="104" t="str">
        <f t="shared" si="763"/>
        <v/>
      </c>
      <c r="F903" s="104" t="str">
        <f t="shared" si="764"/>
        <v/>
      </c>
      <c r="G903" s="104" t="str">
        <f t="shared" si="765"/>
        <v/>
      </c>
      <c r="H903" s="104" t="str">
        <f t="shared" si="766"/>
        <v/>
      </c>
      <c r="I903" s="104" t="str">
        <f t="shared" si="767"/>
        <v/>
      </c>
      <c r="J903" s="104" t="str">
        <f t="shared" si="768"/>
        <v/>
      </c>
      <c r="K903" s="104" t="str">
        <f t="shared" si="769"/>
        <v/>
      </c>
      <c r="L903" s="104" t="str">
        <f t="shared" si="770"/>
        <v/>
      </c>
      <c r="M903" s="104" t="str">
        <f t="shared" si="771"/>
        <v/>
      </c>
      <c r="N903" s="104" t="str">
        <f t="shared" si="772"/>
        <v/>
      </c>
      <c r="O903" s="104" t="str">
        <f t="shared" si="773"/>
        <v/>
      </c>
      <c r="P903" s="2004" t="str">
        <f t="shared" si="774"/>
        <v/>
      </c>
      <c r="S903" s="6"/>
    </row>
    <row r="904" spans="1:19" x14ac:dyDescent="0.2">
      <c r="A904" s="6"/>
      <c r="B904" s="2003"/>
      <c r="C904" s="958">
        <f t="shared" si="762"/>
        <v>0</v>
      </c>
      <c r="D904" s="104"/>
      <c r="E904" s="104" t="str">
        <f t="shared" si="763"/>
        <v/>
      </c>
      <c r="F904" s="104" t="str">
        <f t="shared" si="764"/>
        <v/>
      </c>
      <c r="G904" s="104" t="str">
        <f t="shared" si="765"/>
        <v/>
      </c>
      <c r="H904" s="104" t="str">
        <f t="shared" si="766"/>
        <v/>
      </c>
      <c r="I904" s="104" t="str">
        <f t="shared" si="767"/>
        <v/>
      </c>
      <c r="J904" s="104" t="str">
        <f t="shared" si="768"/>
        <v/>
      </c>
      <c r="K904" s="104" t="str">
        <f t="shared" si="769"/>
        <v/>
      </c>
      <c r="L904" s="104" t="str">
        <f t="shared" si="770"/>
        <v/>
      </c>
      <c r="M904" s="104" t="str">
        <f t="shared" si="771"/>
        <v/>
      </c>
      <c r="N904" s="104" t="str">
        <f t="shared" si="772"/>
        <v/>
      </c>
      <c r="O904" s="104" t="str">
        <f t="shared" si="773"/>
        <v/>
      </c>
      <c r="P904" s="2004" t="str">
        <f t="shared" si="774"/>
        <v/>
      </c>
      <c r="S904" s="6"/>
    </row>
    <row r="905" spans="1:19" x14ac:dyDescent="0.2">
      <c r="A905" s="6"/>
      <c r="B905" s="2003"/>
      <c r="C905" s="958">
        <f t="shared" si="762"/>
        <v>0</v>
      </c>
      <c r="D905" s="104"/>
      <c r="E905" s="104" t="str">
        <f t="shared" si="763"/>
        <v/>
      </c>
      <c r="F905" s="104" t="str">
        <f t="shared" si="764"/>
        <v/>
      </c>
      <c r="G905" s="104" t="str">
        <f t="shared" si="765"/>
        <v/>
      </c>
      <c r="H905" s="104" t="str">
        <f t="shared" si="766"/>
        <v/>
      </c>
      <c r="I905" s="104" t="str">
        <f t="shared" si="767"/>
        <v/>
      </c>
      <c r="J905" s="104" t="str">
        <f t="shared" si="768"/>
        <v/>
      </c>
      <c r="K905" s="104" t="str">
        <f t="shared" si="769"/>
        <v/>
      </c>
      <c r="L905" s="104" t="str">
        <f t="shared" si="770"/>
        <v/>
      </c>
      <c r="M905" s="104" t="str">
        <f t="shared" si="771"/>
        <v/>
      </c>
      <c r="N905" s="104" t="str">
        <f t="shared" si="772"/>
        <v/>
      </c>
      <c r="O905" s="104" t="str">
        <f t="shared" si="773"/>
        <v/>
      </c>
      <c r="P905" s="2004" t="str">
        <f t="shared" si="774"/>
        <v/>
      </c>
      <c r="S905" s="6"/>
    </row>
    <row r="906" spans="1:19" x14ac:dyDescent="0.2">
      <c r="A906" s="6"/>
      <c r="B906" s="2003"/>
      <c r="C906" s="958">
        <f t="shared" si="762"/>
        <v>0</v>
      </c>
      <c r="D906" s="104"/>
      <c r="E906" s="104" t="str">
        <f t="shared" si="763"/>
        <v/>
      </c>
      <c r="F906" s="104" t="str">
        <f t="shared" si="764"/>
        <v/>
      </c>
      <c r="G906" s="104" t="str">
        <f t="shared" si="765"/>
        <v/>
      </c>
      <c r="H906" s="104" t="str">
        <f t="shared" si="766"/>
        <v/>
      </c>
      <c r="I906" s="104" t="str">
        <f t="shared" si="767"/>
        <v/>
      </c>
      <c r="J906" s="104" t="str">
        <f t="shared" si="768"/>
        <v/>
      </c>
      <c r="K906" s="104" t="str">
        <f t="shared" si="769"/>
        <v/>
      </c>
      <c r="L906" s="104" t="str">
        <f t="shared" si="770"/>
        <v/>
      </c>
      <c r="M906" s="104" t="str">
        <f t="shared" si="771"/>
        <v/>
      </c>
      <c r="N906" s="104" t="str">
        <f t="shared" si="772"/>
        <v/>
      </c>
      <c r="O906" s="104" t="str">
        <f t="shared" si="773"/>
        <v/>
      </c>
      <c r="P906" s="2004" t="str">
        <f t="shared" si="774"/>
        <v/>
      </c>
      <c r="S906" s="6"/>
    </row>
    <row r="907" spans="1:19" x14ac:dyDescent="0.2">
      <c r="A907" s="6"/>
      <c r="B907" s="2003"/>
      <c r="C907" s="958">
        <f t="shared" si="762"/>
        <v>0</v>
      </c>
      <c r="D907" s="104"/>
      <c r="E907" s="104" t="str">
        <f t="shared" si="763"/>
        <v/>
      </c>
      <c r="F907" s="104" t="str">
        <f t="shared" si="764"/>
        <v/>
      </c>
      <c r="G907" s="104" t="str">
        <f t="shared" si="765"/>
        <v/>
      </c>
      <c r="H907" s="104" t="str">
        <f t="shared" si="766"/>
        <v/>
      </c>
      <c r="I907" s="104" t="str">
        <f t="shared" si="767"/>
        <v/>
      </c>
      <c r="J907" s="104" t="str">
        <f t="shared" si="768"/>
        <v/>
      </c>
      <c r="K907" s="104" t="str">
        <f t="shared" si="769"/>
        <v/>
      </c>
      <c r="L907" s="104" t="str">
        <f t="shared" si="770"/>
        <v/>
      </c>
      <c r="M907" s="104" t="str">
        <f t="shared" si="771"/>
        <v/>
      </c>
      <c r="N907" s="104" t="str">
        <f t="shared" si="772"/>
        <v/>
      </c>
      <c r="O907" s="104" t="str">
        <f t="shared" si="773"/>
        <v/>
      </c>
      <c r="P907" s="2004" t="str">
        <f t="shared" si="774"/>
        <v/>
      </c>
      <c r="S907" s="6"/>
    </row>
    <row r="908" spans="1:19" x14ac:dyDescent="0.2">
      <c r="A908" s="6"/>
      <c r="B908" s="2003"/>
      <c r="C908" s="958">
        <f t="shared" si="762"/>
        <v>0</v>
      </c>
      <c r="D908" s="104"/>
      <c r="E908" s="104" t="str">
        <f t="shared" si="763"/>
        <v/>
      </c>
      <c r="F908" s="104" t="str">
        <f t="shared" si="764"/>
        <v/>
      </c>
      <c r="G908" s="104" t="str">
        <f t="shared" si="765"/>
        <v/>
      </c>
      <c r="H908" s="104" t="str">
        <f t="shared" si="766"/>
        <v/>
      </c>
      <c r="I908" s="104" t="str">
        <f t="shared" si="767"/>
        <v/>
      </c>
      <c r="J908" s="104" t="str">
        <f t="shared" si="768"/>
        <v/>
      </c>
      <c r="K908" s="104" t="str">
        <f t="shared" si="769"/>
        <v/>
      </c>
      <c r="L908" s="104" t="str">
        <f t="shared" si="770"/>
        <v/>
      </c>
      <c r="M908" s="104" t="str">
        <f t="shared" si="771"/>
        <v/>
      </c>
      <c r="N908" s="104" t="str">
        <f t="shared" si="772"/>
        <v/>
      </c>
      <c r="O908" s="104" t="str">
        <f t="shared" si="773"/>
        <v/>
      </c>
      <c r="P908" s="2004" t="str">
        <f t="shared" si="774"/>
        <v/>
      </c>
      <c r="S908" s="6"/>
    </row>
    <row r="909" spans="1:19" x14ac:dyDescent="0.2">
      <c r="A909" s="6"/>
      <c r="B909" s="2003"/>
      <c r="C909" s="958">
        <f t="shared" si="762"/>
        <v>0</v>
      </c>
      <c r="D909" s="104"/>
      <c r="E909" s="104" t="str">
        <f t="shared" si="763"/>
        <v/>
      </c>
      <c r="F909" s="104" t="str">
        <f t="shared" si="764"/>
        <v/>
      </c>
      <c r="G909" s="104" t="str">
        <f t="shared" si="765"/>
        <v/>
      </c>
      <c r="H909" s="104" t="str">
        <f t="shared" si="766"/>
        <v/>
      </c>
      <c r="I909" s="104" t="str">
        <f t="shared" si="767"/>
        <v/>
      </c>
      <c r="J909" s="104" t="str">
        <f t="shared" si="768"/>
        <v/>
      </c>
      <c r="K909" s="104" t="str">
        <f t="shared" si="769"/>
        <v/>
      </c>
      <c r="L909" s="104" t="str">
        <f t="shared" si="770"/>
        <v/>
      </c>
      <c r="M909" s="104" t="str">
        <f t="shared" si="771"/>
        <v/>
      </c>
      <c r="N909" s="104" t="str">
        <f t="shared" si="772"/>
        <v/>
      </c>
      <c r="O909" s="104" t="str">
        <f t="shared" si="773"/>
        <v/>
      </c>
      <c r="P909" s="2004" t="str">
        <f t="shared" si="774"/>
        <v/>
      </c>
      <c r="S909" s="6"/>
    </row>
    <row r="910" spans="1:19" x14ac:dyDescent="0.2">
      <c r="A910" s="6"/>
      <c r="B910" s="2003"/>
      <c r="C910" s="958">
        <f t="shared" si="762"/>
        <v>0</v>
      </c>
      <c r="D910" s="104"/>
      <c r="E910" s="104" t="str">
        <f t="shared" si="763"/>
        <v/>
      </c>
      <c r="F910" s="104" t="str">
        <f t="shared" si="764"/>
        <v/>
      </c>
      <c r="G910" s="104" t="str">
        <f t="shared" si="765"/>
        <v/>
      </c>
      <c r="H910" s="104" t="str">
        <f t="shared" si="766"/>
        <v/>
      </c>
      <c r="I910" s="104" t="str">
        <f t="shared" si="767"/>
        <v/>
      </c>
      <c r="J910" s="104" t="str">
        <f t="shared" si="768"/>
        <v/>
      </c>
      <c r="K910" s="104" t="str">
        <f t="shared" si="769"/>
        <v/>
      </c>
      <c r="L910" s="104" t="str">
        <f t="shared" si="770"/>
        <v/>
      </c>
      <c r="M910" s="104" t="str">
        <f t="shared" si="771"/>
        <v/>
      </c>
      <c r="N910" s="104" t="str">
        <f t="shared" si="772"/>
        <v/>
      </c>
      <c r="O910" s="104" t="str">
        <f t="shared" si="773"/>
        <v/>
      </c>
      <c r="P910" s="2004" t="str">
        <f t="shared" si="774"/>
        <v/>
      </c>
      <c r="S910" s="6"/>
    </row>
    <row r="911" spans="1:19" x14ac:dyDescent="0.2">
      <c r="A911" s="6"/>
      <c r="B911" s="2003"/>
      <c r="C911" s="958">
        <f t="shared" si="762"/>
        <v>0</v>
      </c>
      <c r="D911" s="104"/>
      <c r="E911" s="104" t="str">
        <f t="shared" si="763"/>
        <v/>
      </c>
      <c r="F911" s="104" t="str">
        <f t="shared" si="764"/>
        <v/>
      </c>
      <c r="G911" s="104" t="str">
        <f t="shared" si="765"/>
        <v/>
      </c>
      <c r="H911" s="104" t="str">
        <f t="shared" si="766"/>
        <v/>
      </c>
      <c r="I911" s="104" t="str">
        <f t="shared" si="767"/>
        <v/>
      </c>
      <c r="J911" s="104" t="str">
        <f t="shared" si="768"/>
        <v/>
      </c>
      <c r="K911" s="104" t="str">
        <f t="shared" si="769"/>
        <v/>
      </c>
      <c r="L911" s="104" t="str">
        <f t="shared" si="770"/>
        <v/>
      </c>
      <c r="M911" s="104" t="str">
        <f t="shared" si="771"/>
        <v/>
      </c>
      <c r="N911" s="104" t="str">
        <f t="shared" si="772"/>
        <v/>
      </c>
      <c r="O911" s="104" t="str">
        <f t="shared" si="773"/>
        <v/>
      </c>
      <c r="P911" s="2004" t="str">
        <f t="shared" si="774"/>
        <v/>
      </c>
      <c r="S911" s="6"/>
    </row>
    <row r="912" spans="1:19" x14ac:dyDescent="0.2">
      <c r="A912" s="6"/>
      <c r="B912" s="2003"/>
      <c r="C912" s="958">
        <f t="shared" si="762"/>
        <v>0</v>
      </c>
      <c r="D912" s="104"/>
      <c r="E912" s="104" t="str">
        <f t="shared" si="763"/>
        <v/>
      </c>
      <c r="F912" s="104" t="str">
        <f t="shared" si="764"/>
        <v/>
      </c>
      <c r="G912" s="104" t="str">
        <f t="shared" si="765"/>
        <v/>
      </c>
      <c r="H912" s="104" t="str">
        <f t="shared" si="766"/>
        <v/>
      </c>
      <c r="I912" s="104" t="str">
        <f t="shared" si="767"/>
        <v/>
      </c>
      <c r="J912" s="104" t="str">
        <f t="shared" si="768"/>
        <v/>
      </c>
      <c r="K912" s="104" t="str">
        <f t="shared" si="769"/>
        <v/>
      </c>
      <c r="L912" s="104" t="str">
        <f t="shared" si="770"/>
        <v/>
      </c>
      <c r="M912" s="104" t="str">
        <f t="shared" si="771"/>
        <v/>
      </c>
      <c r="N912" s="104" t="str">
        <f t="shared" si="772"/>
        <v/>
      </c>
      <c r="O912" s="104" t="str">
        <f t="shared" si="773"/>
        <v/>
      </c>
      <c r="P912" s="2004" t="str">
        <f t="shared" si="774"/>
        <v/>
      </c>
      <c r="S912" s="6"/>
    </row>
    <row r="913" spans="1:19" x14ac:dyDescent="0.2">
      <c r="A913" s="6"/>
      <c r="B913" s="2003"/>
      <c r="C913" s="958">
        <f t="shared" si="762"/>
        <v>0</v>
      </c>
      <c r="D913" s="104"/>
      <c r="E913" s="104" t="str">
        <f t="shared" si="763"/>
        <v/>
      </c>
      <c r="F913" s="104" t="str">
        <f t="shared" si="764"/>
        <v/>
      </c>
      <c r="G913" s="104" t="str">
        <f t="shared" si="765"/>
        <v/>
      </c>
      <c r="H913" s="104" t="str">
        <f t="shared" si="766"/>
        <v/>
      </c>
      <c r="I913" s="104" t="str">
        <f t="shared" si="767"/>
        <v/>
      </c>
      <c r="J913" s="104" t="str">
        <f t="shared" si="768"/>
        <v/>
      </c>
      <c r="K913" s="104" t="str">
        <f t="shared" si="769"/>
        <v/>
      </c>
      <c r="L913" s="104" t="str">
        <f t="shared" si="770"/>
        <v/>
      </c>
      <c r="M913" s="104" t="str">
        <f t="shared" si="771"/>
        <v/>
      </c>
      <c r="N913" s="104" t="str">
        <f t="shared" si="772"/>
        <v/>
      </c>
      <c r="O913" s="104" t="str">
        <f t="shared" si="773"/>
        <v/>
      </c>
      <c r="P913" s="2004" t="str">
        <f t="shared" si="774"/>
        <v/>
      </c>
      <c r="S913" s="6"/>
    </row>
    <row r="914" spans="1:19" x14ac:dyDescent="0.2">
      <c r="A914" s="6"/>
      <c r="B914" s="2003"/>
      <c r="C914" s="958">
        <f t="shared" si="762"/>
        <v>0</v>
      </c>
      <c r="D914" s="104"/>
      <c r="E914" s="104" t="str">
        <f t="shared" si="763"/>
        <v/>
      </c>
      <c r="F914" s="104" t="str">
        <f t="shared" si="764"/>
        <v/>
      </c>
      <c r="G914" s="104" t="str">
        <f t="shared" si="765"/>
        <v/>
      </c>
      <c r="H914" s="104" t="str">
        <f t="shared" si="766"/>
        <v/>
      </c>
      <c r="I914" s="104" t="str">
        <f t="shared" si="767"/>
        <v/>
      </c>
      <c r="J914" s="104" t="str">
        <f t="shared" si="768"/>
        <v/>
      </c>
      <c r="K914" s="104" t="str">
        <f t="shared" si="769"/>
        <v/>
      </c>
      <c r="L914" s="104" t="str">
        <f t="shared" si="770"/>
        <v/>
      </c>
      <c r="M914" s="104" t="str">
        <f t="shared" si="771"/>
        <v/>
      </c>
      <c r="N914" s="104" t="str">
        <f t="shared" si="772"/>
        <v/>
      </c>
      <c r="O914" s="104" t="str">
        <f t="shared" si="773"/>
        <v/>
      </c>
      <c r="P914" s="2004" t="str">
        <f t="shared" si="774"/>
        <v/>
      </c>
      <c r="S914" s="6"/>
    </row>
    <row r="915" spans="1:19" x14ac:dyDescent="0.2">
      <c r="A915" s="6"/>
      <c r="B915" s="2003"/>
      <c r="C915" s="958">
        <f t="shared" si="762"/>
        <v>0</v>
      </c>
      <c r="D915" s="104"/>
      <c r="E915" s="104" t="str">
        <f t="shared" si="763"/>
        <v/>
      </c>
      <c r="F915" s="104" t="str">
        <f t="shared" si="764"/>
        <v/>
      </c>
      <c r="G915" s="104" t="str">
        <f t="shared" si="765"/>
        <v/>
      </c>
      <c r="H915" s="104" t="str">
        <f t="shared" si="766"/>
        <v/>
      </c>
      <c r="I915" s="104" t="str">
        <f t="shared" si="767"/>
        <v/>
      </c>
      <c r="J915" s="104" t="str">
        <f t="shared" si="768"/>
        <v/>
      </c>
      <c r="K915" s="104" t="str">
        <f t="shared" si="769"/>
        <v/>
      </c>
      <c r="L915" s="104" t="str">
        <f t="shared" si="770"/>
        <v/>
      </c>
      <c r="M915" s="104" t="str">
        <f t="shared" si="771"/>
        <v/>
      </c>
      <c r="N915" s="104" t="str">
        <f t="shared" si="772"/>
        <v/>
      </c>
      <c r="O915" s="104" t="str">
        <f t="shared" si="773"/>
        <v/>
      </c>
      <c r="P915" s="2004" t="str">
        <f t="shared" si="774"/>
        <v/>
      </c>
      <c r="S915" s="6"/>
    </row>
    <row r="916" spans="1:19" x14ac:dyDescent="0.2">
      <c r="A916" s="6"/>
      <c r="B916" s="2003"/>
      <c r="C916" s="958">
        <f t="shared" si="762"/>
        <v>0</v>
      </c>
      <c r="D916" s="104"/>
      <c r="E916" s="104" t="str">
        <f t="shared" si="763"/>
        <v/>
      </c>
      <c r="F916" s="104" t="str">
        <f t="shared" si="764"/>
        <v/>
      </c>
      <c r="G916" s="104" t="str">
        <f t="shared" si="765"/>
        <v/>
      </c>
      <c r="H916" s="104" t="str">
        <f t="shared" si="766"/>
        <v/>
      </c>
      <c r="I916" s="104" t="str">
        <f t="shared" si="767"/>
        <v/>
      </c>
      <c r="J916" s="104" t="str">
        <f t="shared" si="768"/>
        <v/>
      </c>
      <c r="K916" s="104" t="str">
        <f t="shared" si="769"/>
        <v/>
      </c>
      <c r="L916" s="104" t="str">
        <f t="shared" si="770"/>
        <v/>
      </c>
      <c r="M916" s="104" t="str">
        <f t="shared" si="771"/>
        <v/>
      </c>
      <c r="N916" s="104" t="str">
        <f t="shared" si="772"/>
        <v/>
      </c>
      <c r="O916" s="104" t="str">
        <f t="shared" si="773"/>
        <v/>
      </c>
      <c r="P916" s="2004" t="str">
        <f t="shared" si="774"/>
        <v/>
      </c>
      <c r="S916" s="6"/>
    </row>
    <row r="917" spans="1:19" x14ac:dyDescent="0.2">
      <c r="A917" s="6"/>
      <c r="B917" s="2003"/>
      <c r="C917" s="958">
        <f t="shared" si="762"/>
        <v>0</v>
      </c>
      <c r="D917" s="104"/>
      <c r="E917" s="104" t="str">
        <f t="shared" si="763"/>
        <v/>
      </c>
      <c r="F917" s="104" t="str">
        <f t="shared" si="764"/>
        <v/>
      </c>
      <c r="G917" s="104" t="str">
        <f t="shared" si="765"/>
        <v/>
      </c>
      <c r="H917" s="104" t="str">
        <f t="shared" si="766"/>
        <v/>
      </c>
      <c r="I917" s="104" t="str">
        <f t="shared" si="767"/>
        <v/>
      </c>
      <c r="J917" s="104" t="str">
        <f t="shared" si="768"/>
        <v/>
      </c>
      <c r="K917" s="104" t="str">
        <f t="shared" si="769"/>
        <v/>
      </c>
      <c r="L917" s="104" t="str">
        <f t="shared" si="770"/>
        <v/>
      </c>
      <c r="M917" s="104" t="str">
        <f t="shared" si="771"/>
        <v/>
      </c>
      <c r="N917" s="104" t="str">
        <f t="shared" si="772"/>
        <v/>
      </c>
      <c r="O917" s="104" t="str">
        <f t="shared" si="773"/>
        <v/>
      </c>
      <c r="P917" s="2004" t="str">
        <f t="shared" si="774"/>
        <v/>
      </c>
      <c r="S917" s="6"/>
    </row>
    <row r="918" spans="1:19" x14ac:dyDescent="0.2">
      <c r="A918" s="6"/>
      <c r="B918" s="2003"/>
      <c r="C918" s="958">
        <f t="shared" si="762"/>
        <v>0</v>
      </c>
      <c r="D918" s="104"/>
      <c r="E918" s="104" t="str">
        <f t="shared" si="763"/>
        <v/>
      </c>
      <c r="F918" s="104" t="str">
        <f t="shared" si="764"/>
        <v/>
      </c>
      <c r="G918" s="104" t="str">
        <f t="shared" si="765"/>
        <v/>
      </c>
      <c r="H918" s="104" t="str">
        <f t="shared" si="766"/>
        <v/>
      </c>
      <c r="I918" s="104" t="str">
        <f t="shared" si="767"/>
        <v/>
      </c>
      <c r="J918" s="104" t="str">
        <f t="shared" si="768"/>
        <v/>
      </c>
      <c r="K918" s="104" t="str">
        <f t="shared" si="769"/>
        <v/>
      </c>
      <c r="L918" s="104" t="str">
        <f t="shared" si="770"/>
        <v/>
      </c>
      <c r="M918" s="104" t="str">
        <f t="shared" si="771"/>
        <v/>
      </c>
      <c r="N918" s="104" t="str">
        <f t="shared" si="772"/>
        <v/>
      </c>
      <c r="O918" s="104" t="str">
        <f t="shared" si="773"/>
        <v/>
      </c>
      <c r="P918" s="2004" t="str">
        <f t="shared" si="774"/>
        <v/>
      </c>
      <c r="S918" s="6"/>
    </row>
    <row r="919" spans="1:19" x14ac:dyDescent="0.2">
      <c r="A919" s="6"/>
      <c r="B919" s="2003"/>
      <c r="C919" s="958">
        <f t="shared" si="762"/>
        <v>0</v>
      </c>
      <c r="D919" s="104"/>
      <c r="E919" s="104" t="str">
        <f t="shared" si="763"/>
        <v/>
      </c>
      <c r="F919" s="104" t="str">
        <f t="shared" si="764"/>
        <v/>
      </c>
      <c r="G919" s="104" t="str">
        <f t="shared" si="765"/>
        <v/>
      </c>
      <c r="H919" s="104" t="str">
        <f t="shared" si="766"/>
        <v/>
      </c>
      <c r="I919" s="104" t="str">
        <f t="shared" si="767"/>
        <v/>
      </c>
      <c r="J919" s="104" t="str">
        <f t="shared" si="768"/>
        <v/>
      </c>
      <c r="K919" s="104" t="str">
        <f t="shared" si="769"/>
        <v/>
      </c>
      <c r="L919" s="104" t="str">
        <f t="shared" si="770"/>
        <v/>
      </c>
      <c r="M919" s="104" t="str">
        <f t="shared" si="771"/>
        <v/>
      </c>
      <c r="N919" s="104" t="str">
        <f t="shared" si="772"/>
        <v/>
      </c>
      <c r="O919" s="104" t="str">
        <f t="shared" si="773"/>
        <v/>
      </c>
      <c r="P919" s="2004" t="str">
        <f t="shared" si="774"/>
        <v/>
      </c>
      <c r="S919" s="6"/>
    </row>
    <row r="920" spans="1:19" x14ac:dyDescent="0.2">
      <c r="A920" s="6"/>
      <c r="B920" s="2003"/>
      <c r="C920" s="958">
        <f t="shared" si="762"/>
        <v>0</v>
      </c>
      <c r="D920" s="104"/>
      <c r="E920" s="104" t="str">
        <f t="shared" si="763"/>
        <v/>
      </c>
      <c r="F920" s="104" t="str">
        <f t="shared" si="764"/>
        <v/>
      </c>
      <c r="G920" s="104" t="str">
        <f t="shared" si="765"/>
        <v/>
      </c>
      <c r="H920" s="104" t="str">
        <f t="shared" si="766"/>
        <v/>
      </c>
      <c r="I920" s="104" t="str">
        <f t="shared" si="767"/>
        <v/>
      </c>
      <c r="J920" s="104" t="str">
        <f t="shared" si="768"/>
        <v/>
      </c>
      <c r="K920" s="104" t="str">
        <f t="shared" si="769"/>
        <v/>
      </c>
      <c r="L920" s="104" t="str">
        <f t="shared" si="770"/>
        <v/>
      </c>
      <c r="M920" s="104" t="str">
        <f t="shared" si="771"/>
        <v/>
      </c>
      <c r="N920" s="104" t="str">
        <f t="shared" si="772"/>
        <v/>
      </c>
      <c r="O920" s="104" t="str">
        <f t="shared" si="773"/>
        <v/>
      </c>
      <c r="P920" s="2004" t="str">
        <f t="shared" si="774"/>
        <v/>
      </c>
      <c r="S920" s="6"/>
    </row>
    <row r="921" spans="1:19" x14ac:dyDescent="0.2">
      <c r="A921" s="6"/>
      <c r="B921" s="2003"/>
      <c r="C921" s="958">
        <f t="shared" ref="C921:C952" si="775">D41</f>
        <v>0</v>
      </c>
      <c r="D921" s="104"/>
      <c r="E921" s="104" t="str">
        <f t="shared" ref="E921:E952" si="776">IF(G41&lt;&gt;F41,G41,"")</f>
        <v/>
      </c>
      <c r="F921" s="104" t="str">
        <f t="shared" ref="F921:F952" si="777">IF(H41&lt;&gt;G41,H41,"")</f>
        <v/>
      </c>
      <c r="G921" s="104" t="str">
        <f t="shared" ref="G921:G952" si="778">IF(I41&lt;&gt;H41,I41,"")</f>
        <v/>
      </c>
      <c r="H921" s="104" t="str">
        <f t="shared" ref="H921:H952" si="779">IF(J41&lt;&gt;I41,J41,"")</f>
        <v/>
      </c>
      <c r="I921" s="104" t="str">
        <f t="shared" ref="I921:I952" si="780">IF(K41&lt;&gt;J41,K41,"")</f>
        <v/>
      </c>
      <c r="J921" s="104" t="str">
        <f t="shared" ref="J921:J952" si="781">IF(L41&lt;&gt;K41,L41,"")</f>
        <v/>
      </c>
      <c r="K921" s="104" t="str">
        <f t="shared" ref="K921:K952" si="782">IF(M41&lt;&gt;L41,M41,"")</f>
        <v/>
      </c>
      <c r="L921" s="104" t="str">
        <f t="shared" ref="L921:L952" si="783">IF(N41&lt;&gt;M41,N41,"")</f>
        <v/>
      </c>
      <c r="M921" s="104" t="str">
        <f t="shared" ref="M921:M952" si="784">IF(O41&lt;&gt;N41,O41,"")</f>
        <v/>
      </c>
      <c r="N921" s="104" t="str">
        <f t="shared" ref="N921:N952" si="785">IF(P41&lt;&gt;O41,P41,"")</f>
        <v/>
      </c>
      <c r="O921" s="104" t="str">
        <f t="shared" ref="O921:O952" si="786">IF(Q41&lt;&gt;P41,Q41,"")</f>
        <v/>
      </c>
      <c r="P921" s="2004" t="str">
        <f t="shared" ref="P921:P952" si="787">IF(R41&lt;&gt;Q41,R41,"")</f>
        <v/>
      </c>
      <c r="S921" s="6"/>
    </row>
    <row r="922" spans="1:19" x14ac:dyDescent="0.2">
      <c r="A922" s="6"/>
      <c r="B922" s="2003"/>
      <c r="C922" s="958">
        <f t="shared" si="775"/>
        <v>0</v>
      </c>
      <c r="D922" s="104"/>
      <c r="E922" s="104" t="str">
        <f t="shared" si="776"/>
        <v/>
      </c>
      <c r="F922" s="104" t="str">
        <f t="shared" si="777"/>
        <v/>
      </c>
      <c r="G922" s="104" t="str">
        <f t="shared" si="778"/>
        <v/>
      </c>
      <c r="H922" s="104" t="str">
        <f t="shared" si="779"/>
        <v/>
      </c>
      <c r="I922" s="104" t="str">
        <f t="shared" si="780"/>
        <v/>
      </c>
      <c r="J922" s="104" t="str">
        <f t="shared" si="781"/>
        <v/>
      </c>
      <c r="K922" s="104" t="str">
        <f t="shared" si="782"/>
        <v/>
      </c>
      <c r="L922" s="104" t="str">
        <f t="shared" si="783"/>
        <v/>
      </c>
      <c r="M922" s="104" t="str">
        <f t="shared" si="784"/>
        <v/>
      </c>
      <c r="N922" s="104" t="str">
        <f t="shared" si="785"/>
        <v/>
      </c>
      <c r="O922" s="104" t="str">
        <f t="shared" si="786"/>
        <v/>
      </c>
      <c r="P922" s="2004" t="str">
        <f t="shared" si="787"/>
        <v/>
      </c>
      <c r="S922" s="6"/>
    </row>
    <row r="923" spans="1:19" x14ac:dyDescent="0.2">
      <c r="A923" s="6"/>
      <c r="B923" s="2003"/>
      <c r="C923" s="958">
        <f t="shared" si="775"/>
        <v>0</v>
      </c>
      <c r="D923" s="104"/>
      <c r="E923" s="104" t="str">
        <f t="shared" si="776"/>
        <v/>
      </c>
      <c r="F923" s="104" t="str">
        <f t="shared" si="777"/>
        <v/>
      </c>
      <c r="G923" s="104" t="str">
        <f t="shared" si="778"/>
        <v/>
      </c>
      <c r="H923" s="104" t="str">
        <f t="shared" si="779"/>
        <v/>
      </c>
      <c r="I923" s="104" t="str">
        <f t="shared" si="780"/>
        <v/>
      </c>
      <c r="J923" s="104" t="str">
        <f t="shared" si="781"/>
        <v/>
      </c>
      <c r="K923" s="104" t="str">
        <f t="shared" si="782"/>
        <v/>
      </c>
      <c r="L923" s="104" t="str">
        <f t="shared" si="783"/>
        <v/>
      </c>
      <c r="M923" s="104" t="str">
        <f t="shared" si="784"/>
        <v/>
      </c>
      <c r="N923" s="104" t="str">
        <f t="shared" si="785"/>
        <v/>
      </c>
      <c r="O923" s="104" t="str">
        <f t="shared" si="786"/>
        <v/>
      </c>
      <c r="P923" s="2004" t="str">
        <f t="shared" si="787"/>
        <v/>
      </c>
      <c r="S923" s="6"/>
    </row>
    <row r="924" spans="1:19" x14ac:dyDescent="0.2">
      <c r="A924" s="6"/>
      <c r="B924" s="2003"/>
      <c r="C924" s="958">
        <f t="shared" si="775"/>
        <v>0</v>
      </c>
      <c r="D924" s="104"/>
      <c r="E924" s="104" t="str">
        <f t="shared" si="776"/>
        <v/>
      </c>
      <c r="F924" s="104" t="str">
        <f t="shared" si="777"/>
        <v/>
      </c>
      <c r="G924" s="104" t="str">
        <f t="shared" si="778"/>
        <v/>
      </c>
      <c r="H924" s="104" t="str">
        <f t="shared" si="779"/>
        <v/>
      </c>
      <c r="I924" s="104" t="str">
        <f t="shared" si="780"/>
        <v/>
      </c>
      <c r="J924" s="104" t="str">
        <f t="shared" si="781"/>
        <v/>
      </c>
      <c r="K924" s="104" t="str">
        <f t="shared" si="782"/>
        <v/>
      </c>
      <c r="L924" s="104" t="str">
        <f t="shared" si="783"/>
        <v/>
      </c>
      <c r="M924" s="104" t="str">
        <f t="shared" si="784"/>
        <v/>
      </c>
      <c r="N924" s="104" t="str">
        <f t="shared" si="785"/>
        <v/>
      </c>
      <c r="O924" s="104" t="str">
        <f t="shared" si="786"/>
        <v/>
      </c>
      <c r="P924" s="2004" t="str">
        <f t="shared" si="787"/>
        <v/>
      </c>
      <c r="S924" s="6"/>
    </row>
    <row r="925" spans="1:19" x14ac:dyDescent="0.2">
      <c r="A925" s="6"/>
      <c r="B925" s="2003"/>
      <c r="C925" s="958">
        <f t="shared" si="775"/>
        <v>0</v>
      </c>
      <c r="D925" s="104"/>
      <c r="E925" s="104" t="str">
        <f t="shared" si="776"/>
        <v/>
      </c>
      <c r="F925" s="104" t="str">
        <f t="shared" si="777"/>
        <v/>
      </c>
      <c r="G925" s="104" t="str">
        <f t="shared" si="778"/>
        <v/>
      </c>
      <c r="H925" s="104" t="str">
        <f t="shared" si="779"/>
        <v/>
      </c>
      <c r="I925" s="104" t="str">
        <f t="shared" si="780"/>
        <v/>
      </c>
      <c r="J925" s="104" t="str">
        <f t="shared" si="781"/>
        <v/>
      </c>
      <c r="K925" s="104" t="str">
        <f t="shared" si="782"/>
        <v/>
      </c>
      <c r="L925" s="104" t="str">
        <f t="shared" si="783"/>
        <v/>
      </c>
      <c r="M925" s="104" t="str">
        <f t="shared" si="784"/>
        <v/>
      </c>
      <c r="N925" s="104" t="str">
        <f t="shared" si="785"/>
        <v/>
      </c>
      <c r="O925" s="104" t="str">
        <f t="shared" si="786"/>
        <v/>
      </c>
      <c r="P925" s="2004" t="str">
        <f t="shared" si="787"/>
        <v/>
      </c>
      <c r="S925" s="6"/>
    </row>
    <row r="926" spans="1:19" x14ac:dyDescent="0.2">
      <c r="A926" s="6"/>
      <c r="B926" s="2003"/>
      <c r="C926" s="958">
        <f t="shared" si="775"/>
        <v>0</v>
      </c>
      <c r="D926" s="104"/>
      <c r="E926" s="104" t="str">
        <f t="shared" si="776"/>
        <v/>
      </c>
      <c r="F926" s="104" t="str">
        <f t="shared" si="777"/>
        <v/>
      </c>
      <c r="G926" s="104" t="str">
        <f t="shared" si="778"/>
        <v/>
      </c>
      <c r="H926" s="104" t="str">
        <f t="shared" si="779"/>
        <v/>
      </c>
      <c r="I926" s="104" t="str">
        <f t="shared" si="780"/>
        <v/>
      </c>
      <c r="J926" s="104" t="str">
        <f t="shared" si="781"/>
        <v/>
      </c>
      <c r="K926" s="104" t="str">
        <f t="shared" si="782"/>
        <v/>
      </c>
      <c r="L926" s="104" t="str">
        <f t="shared" si="783"/>
        <v/>
      </c>
      <c r="M926" s="104" t="str">
        <f t="shared" si="784"/>
        <v/>
      </c>
      <c r="N926" s="104" t="str">
        <f t="shared" si="785"/>
        <v/>
      </c>
      <c r="O926" s="104" t="str">
        <f t="shared" si="786"/>
        <v/>
      </c>
      <c r="P926" s="2004" t="str">
        <f t="shared" si="787"/>
        <v/>
      </c>
      <c r="S926" s="6"/>
    </row>
    <row r="927" spans="1:19" x14ac:dyDescent="0.2">
      <c r="A927" s="6"/>
      <c r="B927" s="2003"/>
      <c r="C927" s="958">
        <f t="shared" si="775"/>
        <v>0</v>
      </c>
      <c r="D927" s="104"/>
      <c r="E927" s="104" t="str">
        <f t="shared" si="776"/>
        <v/>
      </c>
      <c r="F927" s="104" t="str">
        <f t="shared" si="777"/>
        <v/>
      </c>
      <c r="G927" s="104" t="str">
        <f t="shared" si="778"/>
        <v/>
      </c>
      <c r="H927" s="104" t="str">
        <f t="shared" si="779"/>
        <v/>
      </c>
      <c r="I927" s="104" t="str">
        <f t="shared" si="780"/>
        <v/>
      </c>
      <c r="J927" s="104" t="str">
        <f t="shared" si="781"/>
        <v/>
      </c>
      <c r="K927" s="104" t="str">
        <f t="shared" si="782"/>
        <v/>
      </c>
      <c r="L927" s="104" t="str">
        <f t="shared" si="783"/>
        <v/>
      </c>
      <c r="M927" s="104" t="str">
        <f t="shared" si="784"/>
        <v/>
      </c>
      <c r="N927" s="104" t="str">
        <f t="shared" si="785"/>
        <v/>
      </c>
      <c r="O927" s="104" t="str">
        <f t="shared" si="786"/>
        <v/>
      </c>
      <c r="P927" s="2004" t="str">
        <f t="shared" si="787"/>
        <v/>
      </c>
      <c r="S927" s="6"/>
    </row>
    <row r="928" spans="1:19" x14ac:dyDescent="0.2">
      <c r="A928" s="6"/>
      <c r="B928" s="2003"/>
      <c r="C928" s="958">
        <f t="shared" si="775"/>
        <v>0</v>
      </c>
      <c r="D928" s="104"/>
      <c r="E928" s="104" t="str">
        <f t="shared" si="776"/>
        <v/>
      </c>
      <c r="F928" s="104" t="str">
        <f t="shared" si="777"/>
        <v/>
      </c>
      <c r="G928" s="104" t="str">
        <f t="shared" si="778"/>
        <v/>
      </c>
      <c r="H928" s="104" t="str">
        <f t="shared" si="779"/>
        <v/>
      </c>
      <c r="I928" s="104" t="str">
        <f t="shared" si="780"/>
        <v/>
      </c>
      <c r="J928" s="104" t="str">
        <f t="shared" si="781"/>
        <v/>
      </c>
      <c r="K928" s="104" t="str">
        <f t="shared" si="782"/>
        <v/>
      </c>
      <c r="L928" s="104" t="str">
        <f t="shared" si="783"/>
        <v/>
      </c>
      <c r="M928" s="104" t="str">
        <f t="shared" si="784"/>
        <v/>
      </c>
      <c r="N928" s="104" t="str">
        <f t="shared" si="785"/>
        <v/>
      </c>
      <c r="O928" s="104" t="str">
        <f t="shared" si="786"/>
        <v/>
      </c>
      <c r="P928" s="2004" t="str">
        <f t="shared" si="787"/>
        <v/>
      </c>
      <c r="S928" s="6"/>
    </row>
    <row r="929" spans="1:19" x14ac:dyDescent="0.2">
      <c r="A929" s="6"/>
      <c r="B929" s="2003"/>
      <c r="C929" s="958">
        <f t="shared" si="775"/>
        <v>0</v>
      </c>
      <c r="D929" s="104"/>
      <c r="E929" s="104" t="str">
        <f t="shared" si="776"/>
        <v/>
      </c>
      <c r="F929" s="104" t="str">
        <f t="shared" si="777"/>
        <v/>
      </c>
      <c r="G929" s="104" t="str">
        <f t="shared" si="778"/>
        <v/>
      </c>
      <c r="H929" s="104" t="str">
        <f t="shared" si="779"/>
        <v/>
      </c>
      <c r="I929" s="104" t="str">
        <f t="shared" si="780"/>
        <v/>
      </c>
      <c r="J929" s="104" t="str">
        <f t="shared" si="781"/>
        <v/>
      </c>
      <c r="K929" s="104" t="str">
        <f t="shared" si="782"/>
        <v/>
      </c>
      <c r="L929" s="104" t="str">
        <f t="shared" si="783"/>
        <v/>
      </c>
      <c r="M929" s="104" t="str">
        <f t="shared" si="784"/>
        <v/>
      </c>
      <c r="N929" s="104" t="str">
        <f t="shared" si="785"/>
        <v/>
      </c>
      <c r="O929" s="104" t="str">
        <f t="shared" si="786"/>
        <v/>
      </c>
      <c r="P929" s="2004" t="str">
        <f t="shared" si="787"/>
        <v/>
      </c>
      <c r="S929" s="6"/>
    </row>
    <row r="930" spans="1:19" x14ac:dyDescent="0.2">
      <c r="A930" s="6"/>
      <c r="B930" s="2003"/>
      <c r="C930" s="958">
        <f t="shared" si="775"/>
        <v>0</v>
      </c>
      <c r="D930" s="104"/>
      <c r="E930" s="104" t="str">
        <f t="shared" si="776"/>
        <v/>
      </c>
      <c r="F930" s="104" t="str">
        <f t="shared" si="777"/>
        <v/>
      </c>
      <c r="G930" s="104" t="str">
        <f t="shared" si="778"/>
        <v/>
      </c>
      <c r="H930" s="104" t="str">
        <f t="shared" si="779"/>
        <v/>
      </c>
      <c r="I930" s="104" t="str">
        <f t="shared" si="780"/>
        <v/>
      </c>
      <c r="J930" s="104" t="str">
        <f t="shared" si="781"/>
        <v/>
      </c>
      <c r="K930" s="104" t="str">
        <f t="shared" si="782"/>
        <v/>
      </c>
      <c r="L930" s="104" t="str">
        <f t="shared" si="783"/>
        <v/>
      </c>
      <c r="M930" s="104" t="str">
        <f t="shared" si="784"/>
        <v/>
      </c>
      <c r="N930" s="104" t="str">
        <f t="shared" si="785"/>
        <v/>
      </c>
      <c r="O930" s="104" t="str">
        <f t="shared" si="786"/>
        <v/>
      </c>
      <c r="P930" s="2004" t="str">
        <f t="shared" si="787"/>
        <v/>
      </c>
      <c r="S930" s="6"/>
    </row>
    <row r="931" spans="1:19" x14ac:dyDescent="0.2">
      <c r="A931" s="6"/>
      <c r="B931" s="2003"/>
      <c r="C931" s="958">
        <f t="shared" si="775"/>
        <v>0</v>
      </c>
      <c r="D931" s="104"/>
      <c r="E931" s="104" t="str">
        <f t="shared" si="776"/>
        <v/>
      </c>
      <c r="F931" s="104" t="str">
        <f t="shared" si="777"/>
        <v/>
      </c>
      <c r="G931" s="104" t="str">
        <f t="shared" si="778"/>
        <v/>
      </c>
      <c r="H931" s="104" t="str">
        <f t="shared" si="779"/>
        <v/>
      </c>
      <c r="I931" s="104" t="str">
        <f t="shared" si="780"/>
        <v/>
      </c>
      <c r="J931" s="104" t="str">
        <f t="shared" si="781"/>
        <v/>
      </c>
      <c r="K931" s="104" t="str">
        <f t="shared" si="782"/>
        <v/>
      </c>
      <c r="L931" s="104" t="str">
        <f t="shared" si="783"/>
        <v/>
      </c>
      <c r="M931" s="104" t="str">
        <f t="shared" si="784"/>
        <v/>
      </c>
      <c r="N931" s="104" t="str">
        <f t="shared" si="785"/>
        <v/>
      </c>
      <c r="O931" s="104" t="str">
        <f t="shared" si="786"/>
        <v/>
      </c>
      <c r="P931" s="2004" t="str">
        <f t="shared" si="787"/>
        <v/>
      </c>
      <c r="S931" s="6"/>
    </row>
    <row r="932" spans="1:19" x14ac:dyDescent="0.2">
      <c r="A932" s="6"/>
      <c r="B932" s="2003"/>
      <c r="C932" s="958">
        <f t="shared" si="775"/>
        <v>0</v>
      </c>
      <c r="D932" s="104"/>
      <c r="E932" s="104" t="str">
        <f t="shared" si="776"/>
        <v/>
      </c>
      <c r="F932" s="104" t="str">
        <f t="shared" si="777"/>
        <v/>
      </c>
      <c r="G932" s="104" t="str">
        <f t="shared" si="778"/>
        <v/>
      </c>
      <c r="H932" s="104" t="str">
        <f t="shared" si="779"/>
        <v/>
      </c>
      <c r="I932" s="104" t="str">
        <f t="shared" si="780"/>
        <v/>
      </c>
      <c r="J932" s="104" t="str">
        <f t="shared" si="781"/>
        <v/>
      </c>
      <c r="K932" s="104" t="str">
        <f t="shared" si="782"/>
        <v/>
      </c>
      <c r="L932" s="104" t="str">
        <f t="shared" si="783"/>
        <v/>
      </c>
      <c r="M932" s="104" t="str">
        <f t="shared" si="784"/>
        <v/>
      </c>
      <c r="N932" s="104" t="str">
        <f t="shared" si="785"/>
        <v/>
      </c>
      <c r="O932" s="104" t="str">
        <f t="shared" si="786"/>
        <v/>
      </c>
      <c r="P932" s="2004" t="str">
        <f t="shared" si="787"/>
        <v/>
      </c>
      <c r="S932" s="6"/>
    </row>
    <row r="933" spans="1:19" x14ac:dyDescent="0.2">
      <c r="A933" s="6"/>
      <c r="B933" s="2003"/>
      <c r="C933" s="958">
        <f t="shared" si="775"/>
        <v>0</v>
      </c>
      <c r="D933" s="104"/>
      <c r="E933" s="104" t="str">
        <f t="shared" si="776"/>
        <v/>
      </c>
      <c r="F933" s="104" t="str">
        <f t="shared" si="777"/>
        <v/>
      </c>
      <c r="G933" s="104" t="str">
        <f t="shared" si="778"/>
        <v/>
      </c>
      <c r="H933" s="104" t="str">
        <f t="shared" si="779"/>
        <v/>
      </c>
      <c r="I933" s="104" t="str">
        <f t="shared" si="780"/>
        <v/>
      </c>
      <c r="J933" s="104" t="str">
        <f t="shared" si="781"/>
        <v/>
      </c>
      <c r="K933" s="104" t="str">
        <f t="shared" si="782"/>
        <v/>
      </c>
      <c r="L933" s="104" t="str">
        <f t="shared" si="783"/>
        <v/>
      </c>
      <c r="M933" s="104" t="str">
        <f t="shared" si="784"/>
        <v/>
      </c>
      <c r="N933" s="104" t="str">
        <f t="shared" si="785"/>
        <v/>
      </c>
      <c r="O933" s="104" t="str">
        <f t="shared" si="786"/>
        <v/>
      </c>
      <c r="P933" s="2004" t="str">
        <f t="shared" si="787"/>
        <v/>
      </c>
      <c r="S933" s="6"/>
    </row>
    <row r="934" spans="1:19" x14ac:dyDescent="0.2">
      <c r="A934" s="6"/>
      <c r="B934" s="2003"/>
      <c r="C934" s="958">
        <f t="shared" si="775"/>
        <v>0</v>
      </c>
      <c r="D934" s="104"/>
      <c r="E934" s="104" t="str">
        <f t="shared" si="776"/>
        <v/>
      </c>
      <c r="F934" s="104" t="str">
        <f t="shared" si="777"/>
        <v/>
      </c>
      <c r="G934" s="104" t="str">
        <f t="shared" si="778"/>
        <v/>
      </c>
      <c r="H934" s="104" t="str">
        <f t="shared" si="779"/>
        <v/>
      </c>
      <c r="I934" s="104" t="str">
        <f t="shared" si="780"/>
        <v/>
      </c>
      <c r="J934" s="104" t="str">
        <f t="shared" si="781"/>
        <v/>
      </c>
      <c r="K934" s="104" t="str">
        <f t="shared" si="782"/>
        <v/>
      </c>
      <c r="L934" s="104" t="str">
        <f t="shared" si="783"/>
        <v/>
      </c>
      <c r="M934" s="104" t="str">
        <f t="shared" si="784"/>
        <v/>
      </c>
      <c r="N934" s="104" t="str">
        <f t="shared" si="785"/>
        <v/>
      </c>
      <c r="O934" s="104" t="str">
        <f t="shared" si="786"/>
        <v/>
      </c>
      <c r="P934" s="2004" t="str">
        <f t="shared" si="787"/>
        <v/>
      </c>
      <c r="S934" s="6"/>
    </row>
    <row r="935" spans="1:19" x14ac:dyDescent="0.2">
      <c r="A935" s="6"/>
      <c r="B935" s="2003"/>
      <c r="C935" s="958">
        <f t="shared" si="775"/>
        <v>0</v>
      </c>
      <c r="D935" s="104"/>
      <c r="E935" s="104" t="str">
        <f t="shared" si="776"/>
        <v/>
      </c>
      <c r="F935" s="104" t="str">
        <f t="shared" si="777"/>
        <v/>
      </c>
      <c r="G935" s="104" t="str">
        <f t="shared" si="778"/>
        <v/>
      </c>
      <c r="H935" s="104" t="str">
        <f t="shared" si="779"/>
        <v/>
      </c>
      <c r="I935" s="104" t="str">
        <f t="shared" si="780"/>
        <v/>
      </c>
      <c r="J935" s="104" t="str">
        <f t="shared" si="781"/>
        <v/>
      </c>
      <c r="K935" s="104" t="str">
        <f t="shared" si="782"/>
        <v/>
      </c>
      <c r="L935" s="104" t="str">
        <f t="shared" si="783"/>
        <v/>
      </c>
      <c r="M935" s="104" t="str">
        <f t="shared" si="784"/>
        <v/>
      </c>
      <c r="N935" s="104" t="str">
        <f t="shared" si="785"/>
        <v/>
      </c>
      <c r="O935" s="104" t="str">
        <f t="shared" si="786"/>
        <v/>
      </c>
      <c r="P935" s="2004" t="str">
        <f t="shared" si="787"/>
        <v/>
      </c>
      <c r="S935" s="6"/>
    </row>
    <row r="936" spans="1:19" x14ac:dyDescent="0.2">
      <c r="A936" s="6"/>
      <c r="B936" s="2003"/>
      <c r="C936" s="958">
        <f t="shared" si="775"/>
        <v>0</v>
      </c>
      <c r="D936" s="104"/>
      <c r="E936" s="104" t="str">
        <f t="shared" si="776"/>
        <v/>
      </c>
      <c r="F936" s="104" t="str">
        <f t="shared" si="777"/>
        <v/>
      </c>
      <c r="G936" s="104" t="str">
        <f t="shared" si="778"/>
        <v/>
      </c>
      <c r="H936" s="104" t="str">
        <f t="shared" si="779"/>
        <v/>
      </c>
      <c r="I936" s="104" t="str">
        <f t="shared" si="780"/>
        <v/>
      </c>
      <c r="J936" s="104" t="str">
        <f t="shared" si="781"/>
        <v/>
      </c>
      <c r="K936" s="104" t="str">
        <f t="shared" si="782"/>
        <v/>
      </c>
      <c r="L936" s="104" t="str">
        <f t="shared" si="783"/>
        <v/>
      </c>
      <c r="M936" s="104" t="str">
        <f t="shared" si="784"/>
        <v/>
      </c>
      <c r="N936" s="104" t="str">
        <f t="shared" si="785"/>
        <v/>
      </c>
      <c r="O936" s="104" t="str">
        <f t="shared" si="786"/>
        <v/>
      </c>
      <c r="P936" s="2004" t="str">
        <f t="shared" si="787"/>
        <v/>
      </c>
      <c r="S936" s="6"/>
    </row>
    <row r="937" spans="1:19" x14ac:dyDescent="0.2">
      <c r="A937" s="6"/>
      <c r="B937" s="2003"/>
      <c r="C937" s="958">
        <f t="shared" si="775"/>
        <v>0</v>
      </c>
      <c r="D937" s="104"/>
      <c r="E937" s="104" t="str">
        <f t="shared" si="776"/>
        <v/>
      </c>
      <c r="F937" s="104" t="str">
        <f t="shared" si="777"/>
        <v/>
      </c>
      <c r="G937" s="104" t="str">
        <f t="shared" si="778"/>
        <v/>
      </c>
      <c r="H937" s="104" t="str">
        <f t="shared" si="779"/>
        <v/>
      </c>
      <c r="I937" s="104" t="str">
        <f t="shared" si="780"/>
        <v/>
      </c>
      <c r="J937" s="104" t="str">
        <f t="shared" si="781"/>
        <v/>
      </c>
      <c r="K937" s="104" t="str">
        <f t="shared" si="782"/>
        <v/>
      </c>
      <c r="L937" s="104" t="str">
        <f t="shared" si="783"/>
        <v/>
      </c>
      <c r="M937" s="104" t="str">
        <f t="shared" si="784"/>
        <v/>
      </c>
      <c r="N937" s="104" t="str">
        <f t="shared" si="785"/>
        <v/>
      </c>
      <c r="O937" s="104" t="str">
        <f t="shared" si="786"/>
        <v/>
      </c>
      <c r="P937" s="2004" t="str">
        <f t="shared" si="787"/>
        <v/>
      </c>
      <c r="S937" s="6"/>
    </row>
    <row r="938" spans="1:19" x14ac:dyDescent="0.2">
      <c r="A938" s="6"/>
      <c r="B938" s="2003"/>
      <c r="C938" s="958">
        <f t="shared" si="775"/>
        <v>0</v>
      </c>
      <c r="D938" s="104"/>
      <c r="E938" s="104" t="str">
        <f t="shared" si="776"/>
        <v/>
      </c>
      <c r="F938" s="104" t="str">
        <f t="shared" si="777"/>
        <v/>
      </c>
      <c r="G938" s="104" t="str">
        <f t="shared" si="778"/>
        <v/>
      </c>
      <c r="H938" s="104" t="str">
        <f t="shared" si="779"/>
        <v/>
      </c>
      <c r="I938" s="104" t="str">
        <f t="shared" si="780"/>
        <v/>
      </c>
      <c r="J938" s="104" t="str">
        <f t="shared" si="781"/>
        <v/>
      </c>
      <c r="K938" s="104" t="str">
        <f t="shared" si="782"/>
        <v/>
      </c>
      <c r="L938" s="104" t="str">
        <f t="shared" si="783"/>
        <v/>
      </c>
      <c r="M938" s="104" t="str">
        <f t="shared" si="784"/>
        <v/>
      </c>
      <c r="N938" s="104" t="str">
        <f t="shared" si="785"/>
        <v/>
      </c>
      <c r="O938" s="104" t="str">
        <f t="shared" si="786"/>
        <v/>
      </c>
      <c r="P938" s="2004" t="str">
        <f t="shared" si="787"/>
        <v/>
      </c>
      <c r="S938" s="6"/>
    </row>
    <row r="939" spans="1:19" x14ac:dyDescent="0.2">
      <c r="A939" s="6"/>
      <c r="B939" s="2003"/>
      <c r="C939" s="958">
        <f t="shared" si="775"/>
        <v>0</v>
      </c>
      <c r="D939" s="104"/>
      <c r="E939" s="104" t="str">
        <f t="shared" si="776"/>
        <v/>
      </c>
      <c r="F939" s="104" t="str">
        <f t="shared" si="777"/>
        <v/>
      </c>
      <c r="G939" s="104" t="str">
        <f t="shared" si="778"/>
        <v/>
      </c>
      <c r="H939" s="104" t="str">
        <f t="shared" si="779"/>
        <v/>
      </c>
      <c r="I939" s="104" t="str">
        <f t="shared" si="780"/>
        <v/>
      </c>
      <c r="J939" s="104" t="str">
        <f t="shared" si="781"/>
        <v/>
      </c>
      <c r="K939" s="104" t="str">
        <f t="shared" si="782"/>
        <v/>
      </c>
      <c r="L939" s="104" t="str">
        <f t="shared" si="783"/>
        <v/>
      </c>
      <c r="M939" s="104" t="str">
        <f t="shared" si="784"/>
        <v/>
      </c>
      <c r="N939" s="104" t="str">
        <f t="shared" si="785"/>
        <v/>
      </c>
      <c r="O939" s="104" t="str">
        <f t="shared" si="786"/>
        <v/>
      </c>
      <c r="P939" s="2004" t="str">
        <f t="shared" si="787"/>
        <v/>
      </c>
      <c r="S939" s="6"/>
    </row>
    <row r="940" spans="1:19" x14ac:dyDescent="0.2">
      <c r="A940" s="6"/>
      <c r="B940" s="2003"/>
      <c r="C940" s="958">
        <f t="shared" si="775"/>
        <v>0</v>
      </c>
      <c r="D940" s="104"/>
      <c r="E940" s="104" t="str">
        <f t="shared" si="776"/>
        <v/>
      </c>
      <c r="F940" s="104" t="str">
        <f t="shared" si="777"/>
        <v/>
      </c>
      <c r="G940" s="104" t="str">
        <f t="shared" si="778"/>
        <v/>
      </c>
      <c r="H940" s="104" t="str">
        <f t="shared" si="779"/>
        <v/>
      </c>
      <c r="I940" s="104" t="str">
        <f t="shared" si="780"/>
        <v/>
      </c>
      <c r="J940" s="104" t="str">
        <f t="shared" si="781"/>
        <v/>
      </c>
      <c r="K940" s="104" t="str">
        <f t="shared" si="782"/>
        <v/>
      </c>
      <c r="L940" s="104" t="str">
        <f t="shared" si="783"/>
        <v/>
      </c>
      <c r="M940" s="104" t="str">
        <f t="shared" si="784"/>
        <v/>
      </c>
      <c r="N940" s="104" t="str">
        <f t="shared" si="785"/>
        <v/>
      </c>
      <c r="O940" s="104" t="str">
        <f t="shared" si="786"/>
        <v/>
      </c>
      <c r="P940" s="2004" t="str">
        <f t="shared" si="787"/>
        <v/>
      </c>
      <c r="S940" s="6"/>
    </row>
    <row r="941" spans="1:19" x14ac:dyDescent="0.2">
      <c r="A941" s="6"/>
      <c r="B941" s="2003"/>
      <c r="C941" s="958">
        <f t="shared" si="775"/>
        <v>0</v>
      </c>
      <c r="D941" s="104"/>
      <c r="E941" s="104" t="str">
        <f t="shared" si="776"/>
        <v/>
      </c>
      <c r="F941" s="104" t="str">
        <f t="shared" si="777"/>
        <v/>
      </c>
      <c r="G941" s="104" t="str">
        <f t="shared" si="778"/>
        <v/>
      </c>
      <c r="H941" s="104" t="str">
        <f t="shared" si="779"/>
        <v/>
      </c>
      <c r="I941" s="104" t="str">
        <f t="shared" si="780"/>
        <v/>
      </c>
      <c r="J941" s="104" t="str">
        <f t="shared" si="781"/>
        <v/>
      </c>
      <c r="K941" s="104" t="str">
        <f t="shared" si="782"/>
        <v/>
      </c>
      <c r="L941" s="104" t="str">
        <f t="shared" si="783"/>
        <v/>
      </c>
      <c r="M941" s="104" t="str">
        <f t="shared" si="784"/>
        <v/>
      </c>
      <c r="N941" s="104" t="str">
        <f t="shared" si="785"/>
        <v/>
      </c>
      <c r="O941" s="104" t="str">
        <f t="shared" si="786"/>
        <v/>
      </c>
      <c r="P941" s="2004" t="str">
        <f t="shared" si="787"/>
        <v/>
      </c>
      <c r="S941" s="6"/>
    </row>
    <row r="942" spans="1:19" x14ac:dyDescent="0.2">
      <c r="A942" s="6"/>
      <c r="B942" s="2003"/>
      <c r="C942" s="958">
        <f t="shared" si="775"/>
        <v>0</v>
      </c>
      <c r="D942" s="104"/>
      <c r="E942" s="104" t="str">
        <f t="shared" si="776"/>
        <v/>
      </c>
      <c r="F942" s="104" t="str">
        <f t="shared" si="777"/>
        <v/>
      </c>
      <c r="G942" s="104" t="str">
        <f t="shared" si="778"/>
        <v/>
      </c>
      <c r="H942" s="104" t="str">
        <f t="shared" si="779"/>
        <v/>
      </c>
      <c r="I942" s="104" t="str">
        <f t="shared" si="780"/>
        <v/>
      </c>
      <c r="J942" s="104" t="str">
        <f t="shared" si="781"/>
        <v/>
      </c>
      <c r="K942" s="104" t="str">
        <f t="shared" si="782"/>
        <v/>
      </c>
      <c r="L942" s="104" t="str">
        <f t="shared" si="783"/>
        <v/>
      </c>
      <c r="M942" s="104" t="str">
        <f t="shared" si="784"/>
        <v/>
      </c>
      <c r="N942" s="104" t="str">
        <f t="shared" si="785"/>
        <v/>
      </c>
      <c r="O942" s="104" t="str">
        <f t="shared" si="786"/>
        <v/>
      </c>
      <c r="P942" s="2004" t="str">
        <f t="shared" si="787"/>
        <v/>
      </c>
      <c r="S942" s="6"/>
    </row>
    <row r="943" spans="1:19" x14ac:dyDescent="0.2">
      <c r="A943" s="6"/>
      <c r="B943" s="2003"/>
      <c r="C943" s="958">
        <f t="shared" si="775"/>
        <v>0</v>
      </c>
      <c r="D943" s="104"/>
      <c r="E943" s="104" t="str">
        <f t="shared" si="776"/>
        <v/>
      </c>
      <c r="F943" s="104" t="str">
        <f t="shared" si="777"/>
        <v/>
      </c>
      <c r="G943" s="104" t="str">
        <f t="shared" si="778"/>
        <v/>
      </c>
      <c r="H943" s="104" t="str">
        <f t="shared" si="779"/>
        <v/>
      </c>
      <c r="I943" s="104" t="str">
        <f t="shared" si="780"/>
        <v/>
      </c>
      <c r="J943" s="104" t="str">
        <f t="shared" si="781"/>
        <v/>
      </c>
      <c r="K943" s="104" t="str">
        <f t="shared" si="782"/>
        <v/>
      </c>
      <c r="L943" s="104" t="str">
        <f t="shared" si="783"/>
        <v/>
      </c>
      <c r="M943" s="104" t="str">
        <f t="shared" si="784"/>
        <v/>
      </c>
      <c r="N943" s="104" t="str">
        <f t="shared" si="785"/>
        <v/>
      </c>
      <c r="O943" s="104" t="str">
        <f t="shared" si="786"/>
        <v/>
      </c>
      <c r="P943" s="2004" t="str">
        <f t="shared" si="787"/>
        <v/>
      </c>
      <c r="S943" s="6"/>
    </row>
    <row r="944" spans="1:19" x14ac:dyDescent="0.2">
      <c r="A944" s="6"/>
      <c r="B944" s="2003"/>
      <c r="C944" s="958">
        <f t="shared" si="775"/>
        <v>0</v>
      </c>
      <c r="D944" s="104"/>
      <c r="E944" s="104" t="str">
        <f t="shared" si="776"/>
        <v/>
      </c>
      <c r="F944" s="104" t="str">
        <f t="shared" si="777"/>
        <v/>
      </c>
      <c r="G944" s="104" t="str">
        <f t="shared" si="778"/>
        <v/>
      </c>
      <c r="H944" s="104" t="str">
        <f t="shared" si="779"/>
        <v/>
      </c>
      <c r="I944" s="104" t="str">
        <f t="shared" si="780"/>
        <v/>
      </c>
      <c r="J944" s="104" t="str">
        <f t="shared" si="781"/>
        <v/>
      </c>
      <c r="K944" s="104" t="str">
        <f t="shared" si="782"/>
        <v/>
      </c>
      <c r="L944" s="104" t="str">
        <f t="shared" si="783"/>
        <v/>
      </c>
      <c r="M944" s="104" t="str">
        <f t="shared" si="784"/>
        <v/>
      </c>
      <c r="N944" s="104" t="str">
        <f t="shared" si="785"/>
        <v/>
      </c>
      <c r="O944" s="104" t="str">
        <f t="shared" si="786"/>
        <v/>
      </c>
      <c r="P944" s="2004" t="str">
        <f t="shared" si="787"/>
        <v/>
      </c>
      <c r="S944" s="6"/>
    </row>
    <row r="945" spans="1:19" x14ac:dyDescent="0.2">
      <c r="A945" s="6"/>
      <c r="B945" s="2003"/>
      <c r="C945" s="958">
        <f t="shared" si="775"/>
        <v>0</v>
      </c>
      <c r="D945" s="104"/>
      <c r="E945" s="104" t="str">
        <f t="shared" si="776"/>
        <v/>
      </c>
      <c r="F945" s="104" t="str">
        <f t="shared" si="777"/>
        <v/>
      </c>
      <c r="G945" s="104" t="str">
        <f t="shared" si="778"/>
        <v/>
      </c>
      <c r="H945" s="104" t="str">
        <f t="shared" si="779"/>
        <v/>
      </c>
      <c r="I945" s="104" t="str">
        <f t="shared" si="780"/>
        <v/>
      </c>
      <c r="J945" s="104" t="str">
        <f t="shared" si="781"/>
        <v/>
      </c>
      <c r="K945" s="104" t="str">
        <f t="shared" si="782"/>
        <v/>
      </c>
      <c r="L945" s="104" t="str">
        <f t="shared" si="783"/>
        <v/>
      </c>
      <c r="M945" s="104" t="str">
        <f t="shared" si="784"/>
        <v/>
      </c>
      <c r="N945" s="104" t="str">
        <f t="shared" si="785"/>
        <v/>
      </c>
      <c r="O945" s="104" t="str">
        <f t="shared" si="786"/>
        <v/>
      </c>
      <c r="P945" s="2004" t="str">
        <f t="shared" si="787"/>
        <v/>
      </c>
      <c r="S945" s="6"/>
    </row>
    <row r="946" spans="1:19" x14ac:dyDescent="0.2">
      <c r="A946" s="6"/>
      <c r="B946" s="2003"/>
      <c r="C946" s="958">
        <f t="shared" si="775"/>
        <v>0</v>
      </c>
      <c r="D946" s="104"/>
      <c r="E946" s="104" t="str">
        <f t="shared" si="776"/>
        <v/>
      </c>
      <c r="F946" s="104" t="str">
        <f t="shared" si="777"/>
        <v/>
      </c>
      <c r="G946" s="104" t="str">
        <f t="shared" si="778"/>
        <v/>
      </c>
      <c r="H946" s="104" t="str">
        <f t="shared" si="779"/>
        <v/>
      </c>
      <c r="I946" s="104" t="str">
        <f t="shared" si="780"/>
        <v/>
      </c>
      <c r="J946" s="104" t="str">
        <f t="shared" si="781"/>
        <v/>
      </c>
      <c r="K946" s="104" t="str">
        <f t="shared" si="782"/>
        <v/>
      </c>
      <c r="L946" s="104" t="str">
        <f t="shared" si="783"/>
        <v/>
      </c>
      <c r="M946" s="104" t="str">
        <f t="shared" si="784"/>
        <v/>
      </c>
      <c r="N946" s="104" t="str">
        <f t="shared" si="785"/>
        <v/>
      </c>
      <c r="O946" s="104" t="str">
        <f t="shared" si="786"/>
        <v/>
      </c>
      <c r="P946" s="2004" t="str">
        <f t="shared" si="787"/>
        <v/>
      </c>
      <c r="S946" s="6"/>
    </row>
    <row r="947" spans="1:19" x14ac:dyDescent="0.2">
      <c r="A947" s="6"/>
      <c r="B947" s="2003"/>
      <c r="C947" s="958">
        <f t="shared" si="775"/>
        <v>0</v>
      </c>
      <c r="D947" s="104"/>
      <c r="E947" s="104" t="str">
        <f t="shared" si="776"/>
        <v/>
      </c>
      <c r="F947" s="104" t="str">
        <f t="shared" si="777"/>
        <v/>
      </c>
      <c r="G947" s="104" t="str">
        <f t="shared" si="778"/>
        <v/>
      </c>
      <c r="H947" s="104" t="str">
        <f t="shared" si="779"/>
        <v/>
      </c>
      <c r="I947" s="104" t="str">
        <f t="shared" si="780"/>
        <v/>
      </c>
      <c r="J947" s="104" t="str">
        <f t="shared" si="781"/>
        <v/>
      </c>
      <c r="K947" s="104" t="str">
        <f t="shared" si="782"/>
        <v/>
      </c>
      <c r="L947" s="104" t="str">
        <f t="shared" si="783"/>
        <v/>
      </c>
      <c r="M947" s="104" t="str">
        <f t="shared" si="784"/>
        <v/>
      </c>
      <c r="N947" s="104" t="str">
        <f t="shared" si="785"/>
        <v/>
      </c>
      <c r="O947" s="104" t="str">
        <f t="shared" si="786"/>
        <v/>
      </c>
      <c r="P947" s="2004" t="str">
        <f t="shared" si="787"/>
        <v/>
      </c>
      <c r="S947" s="6"/>
    </row>
    <row r="948" spans="1:19" x14ac:dyDescent="0.2">
      <c r="A948" s="6"/>
      <c r="B948" s="2003"/>
      <c r="C948" s="958">
        <f t="shared" si="775"/>
        <v>0</v>
      </c>
      <c r="D948" s="104"/>
      <c r="E948" s="104" t="str">
        <f t="shared" si="776"/>
        <v/>
      </c>
      <c r="F948" s="104" t="str">
        <f t="shared" si="777"/>
        <v/>
      </c>
      <c r="G948" s="104" t="str">
        <f t="shared" si="778"/>
        <v/>
      </c>
      <c r="H948" s="104" t="str">
        <f t="shared" si="779"/>
        <v/>
      </c>
      <c r="I948" s="104" t="str">
        <f t="shared" si="780"/>
        <v/>
      </c>
      <c r="J948" s="104" t="str">
        <f t="shared" si="781"/>
        <v/>
      </c>
      <c r="K948" s="104" t="str">
        <f t="shared" si="782"/>
        <v/>
      </c>
      <c r="L948" s="104" t="str">
        <f t="shared" si="783"/>
        <v/>
      </c>
      <c r="M948" s="104" t="str">
        <f t="shared" si="784"/>
        <v/>
      </c>
      <c r="N948" s="104" t="str">
        <f t="shared" si="785"/>
        <v/>
      </c>
      <c r="O948" s="104" t="str">
        <f t="shared" si="786"/>
        <v/>
      </c>
      <c r="P948" s="2004" t="str">
        <f t="shared" si="787"/>
        <v/>
      </c>
      <c r="S948" s="6"/>
    </row>
    <row r="949" spans="1:19" x14ac:dyDescent="0.2">
      <c r="A949" s="6"/>
      <c r="B949" s="2003"/>
      <c r="C949" s="958">
        <f t="shared" si="775"/>
        <v>0</v>
      </c>
      <c r="D949" s="104"/>
      <c r="E949" s="104" t="str">
        <f t="shared" si="776"/>
        <v/>
      </c>
      <c r="F949" s="104" t="str">
        <f t="shared" si="777"/>
        <v/>
      </c>
      <c r="G949" s="104" t="str">
        <f t="shared" si="778"/>
        <v/>
      </c>
      <c r="H949" s="104" t="str">
        <f t="shared" si="779"/>
        <v/>
      </c>
      <c r="I949" s="104" t="str">
        <f t="shared" si="780"/>
        <v/>
      </c>
      <c r="J949" s="104" t="str">
        <f t="shared" si="781"/>
        <v/>
      </c>
      <c r="K949" s="104" t="str">
        <f t="shared" si="782"/>
        <v/>
      </c>
      <c r="L949" s="104" t="str">
        <f t="shared" si="783"/>
        <v/>
      </c>
      <c r="M949" s="104" t="str">
        <f t="shared" si="784"/>
        <v/>
      </c>
      <c r="N949" s="104" t="str">
        <f t="shared" si="785"/>
        <v/>
      </c>
      <c r="O949" s="104" t="str">
        <f t="shared" si="786"/>
        <v/>
      </c>
      <c r="P949" s="2004" t="str">
        <f t="shared" si="787"/>
        <v/>
      </c>
      <c r="S949" s="6"/>
    </row>
    <row r="950" spans="1:19" x14ac:dyDescent="0.2">
      <c r="A950" s="6"/>
      <c r="B950" s="2003"/>
      <c r="C950" s="958">
        <f t="shared" si="775"/>
        <v>0</v>
      </c>
      <c r="D950" s="104"/>
      <c r="E950" s="104" t="str">
        <f t="shared" si="776"/>
        <v/>
      </c>
      <c r="F950" s="104" t="str">
        <f t="shared" si="777"/>
        <v/>
      </c>
      <c r="G950" s="104" t="str">
        <f t="shared" si="778"/>
        <v/>
      </c>
      <c r="H950" s="104" t="str">
        <f t="shared" si="779"/>
        <v/>
      </c>
      <c r="I950" s="104" t="str">
        <f t="shared" si="780"/>
        <v/>
      </c>
      <c r="J950" s="104" t="str">
        <f t="shared" si="781"/>
        <v/>
      </c>
      <c r="K950" s="104" t="str">
        <f t="shared" si="782"/>
        <v/>
      </c>
      <c r="L950" s="104" t="str">
        <f t="shared" si="783"/>
        <v/>
      </c>
      <c r="M950" s="104" t="str">
        <f t="shared" si="784"/>
        <v/>
      </c>
      <c r="N950" s="104" t="str">
        <f t="shared" si="785"/>
        <v/>
      </c>
      <c r="O950" s="104" t="str">
        <f t="shared" si="786"/>
        <v/>
      </c>
      <c r="P950" s="2004" t="str">
        <f t="shared" si="787"/>
        <v/>
      </c>
      <c r="S950" s="6"/>
    </row>
    <row r="951" spans="1:19" x14ac:dyDescent="0.2">
      <c r="A951" s="6"/>
      <c r="B951" s="2003"/>
      <c r="C951" s="958">
        <f t="shared" si="775"/>
        <v>0</v>
      </c>
      <c r="D951" s="104"/>
      <c r="E951" s="104" t="str">
        <f t="shared" si="776"/>
        <v/>
      </c>
      <c r="F951" s="104" t="str">
        <f t="shared" si="777"/>
        <v/>
      </c>
      <c r="G951" s="104" t="str">
        <f t="shared" si="778"/>
        <v/>
      </c>
      <c r="H951" s="104" t="str">
        <f t="shared" si="779"/>
        <v/>
      </c>
      <c r="I951" s="104" t="str">
        <f t="shared" si="780"/>
        <v/>
      </c>
      <c r="J951" s="104" t="str">
        <f t="shared" si="781"/>
        <v/>
      </c>
      <c r="K951" s="104" t="str">
        <f t="shared" si="782"/>
        <v/>
      </c>
      <c r="L951" s="104" t="str">
        <f t="shared" si="783"/>
        <v/>
      </c>
      <c r="M951" s="104" t="str">
        <f t="shared" si="784"/>
        <v/>
      </c>
      <c r="N951" s="104" t="str">
        <f t="shared" si="785"/>
        <v/>
      </c>
      <c r="O951" s="104" t="str">
        <f t="shared" si="786"/>
        <v/>
      </c>
      <c r="P951" s="2004" t="str">
        <f t="shared" si="787"/>
        <v/>
      </c>
      <c r="S951" s="6"/>
    </row>
    <row r="952" spans="1:19" x14ac:dyDescent="0.2">
      <c r="A952" s="6"/>
      <c r="B952" s="2003"/>
      <c r="C952" s="958">
        <f t="shared" si="775"/>
        <v>0</v>
      </c>
      <c r="D952" s="104"/>
      <c r="E952" s="104" t="str">
        <f t="shared" si="776"/>
        <v/>
      </c>
      <c r="F952" s="104" t="str">
        <f t="shared" si="777"/>
        <v/>
      </c>
      <c r="G952" s="104" t="str">
        <f t="shared" si="778"/>
        <v/>
      </c>
      <c r="H952" s="104" t="str">
        <f t="shared" si="779"/>
        <v/>
      </c>
      <c r="I952" s="104" t="str">
        <f t="shared" si="780"/>
        <v/>
      </c>
      <c r="J952" s="104" t="str">
        <f t="shared" si="781"/>
        <v/>
      </c>
      <c r="K952" s="104" t="str">
        <f t="shared" si="782"/>
        <v/>
      </c>
      <c r="L952" s="104" t="str">
        <f t="shared" si="783"/>
        <v/>
      </c>
      <c r="M952" s="104" t="str">
        <f t="shared" si="784"/>
        <v/>
      </c>
      <c r="N952" s="104" t="str">
        <f t="shared" si="785"/>
        <v/>
      </c>
      <c r="O952" s="104" t="str">
        <f t="shared" si="786"/>
        <v/>
      </c>
      <c r="P952" s="2004" t="str">
        <f t="shared" si="787"/>
        <v/>
      </c>
      <c r="S952" s="6"/>
    </row>
    <row r="953" spans="1:19" x14ac:dyDescent="0.2">
      <c r="A953" s="6"/>
      <c r="B953" s="2003"/>
      <c r="C953" s="958">
        <f t="shared" ref="C953:C978" si="788">D73</f>
        <v>0</v>
      </c>
      <c r="D953" s="104"/>
      <c r="E953" s="104" t="str">
        <f t="shared" ref="E953:E978" si="789">IF(G73&lt;&gt;F73,G73,"")</f>
        <v/>
      </c>
      <c r="F953" s="104" t="str">
        <f t="shared" ref="F953:F978" si="790">IF(H73&lt;&gt;G73,H73,"")</f>
        <v/>
      </c>
      <c r="G953" s="104" t="str">
        <f t="shared" ref="G953:G978" si="791">IF(I73&lt;&gt;H73,I73,"")</f>
        <v/>
      </c>
      <c r="H953" s="104" t="str">
        <f t="shared" ref="H953:H978" si="792">IF(J73&lt;&gt;I73,J73,"")</f>
        <v/>
      </c>
      <c r="I953" s="104" t="str">
        <f t="shared" ref="I953:I978" si="793">IF(K73&lt;&gt;J73,K73,"")</f>
        <v/>
      </c>
      <c r="J953" s="104" t="str">
        <f t="shared" ref="J953:J978" si="794">IF(L73&lt;&gt;K73,L73,"")</f>
        <v/>
      </c>
      <c r="K953" s="104" t="str">
        <f t="shared" ref="K953:K978" si="795">IF(M73&lt;&gt;L73,M73,"")</f>
        <v/>
      </c>
      <c r="L953" s="104" t="str">
        <f t="shared" ref="L953:L978" si="796">IF(N73&lt;&gt;M73,N73,"")</f>
        <v/>
      </c>
      <c r="M953" s="104" t="str">
        <f t="shared" ref="M953:M978" si="797">IF(O73&lt;&gt;N73,O73,"")</f>
        <v/>
      </c>
      <c r="N953" s="104" t="str">
        <f t="shared" ref="N953:N978" si="798">IF(P73&lt;&gt;O73,P73,"")</f>
        <v/>
      </c>
      <c r="O953" s="104" t="str">
        <f t="shared" ref="O953:O978" si="799">IF(Q73&lt;&gt;P73,Q73,"")</f>
        <v/>
      </c>
      <c r="P953" s="2004" t="str">
        <f t="shared" ref="P953:P978" si="800">IF(R73&lt;&gt;Q73,R73,"")</f>
        <v/>
      </c>
      <c r="S953" s="6"/>
    </row>
    <row r="954" spans="1:19" x14ac:dyDescent="0.2">
      <c r="A954" s="6"/>
      <c r="B954" s="2003"/>
      <c r="C954" s="958">
        <f t="shared" si="788"/>
        <v>0</v>
      </c>
      <c r="D954" s="104"/>
      <c r="E954" s="104" t="str">
        <f t="shared" si="789"/>
        <v/>
      </c>
      <c r="F954" s="104" t="str">
        <f t="shared" si="790"/>
        <v/>
      </c>
      <c r="G954" s="104" t="str">
        <f t="shared" si="791"/>
        <v/>
      </c>
      <c r="H954" s="104" t="str">
        <f t="shared" si="792"/>
        <v/>
      </c>
      <c r="I954" s="104" t="str">
        <f t="shared" si="793"/>
        <v/>
      </c>
      <c r="J954" s="104" t="str">
        <f t="shared" si="794"/>
        <v/>
      </c>
      <c r="K954" s="104" t="str">
        <f t="shared" si="795"/>
        <v/>
      </c>
      <c r="L954" s="104" t="str">
        <f t="shared" si="796"/>
        <v/>
      </c>
      <c r="M954" s="104" t="str">
        <f t="shared" si="797"/>
        <v/>
      </c>
      <c r="N954" s="104" t="str">
        <f t="shared" si="798"/>
        <v/>
      </c>
      <c r="O954" s="104" t="str">
        <f t="shared" si="799"/>
        <v/>
      </c>
      <c r="P954" s="2004" t="str">
        <f t="shared" si="800"/>
        <v/>
      </c>
      <c r="S954" s="6"/>
    </row>
    <row r="955" spans="1:19" x14ac:dyDescent="0.2">
      <c r="A955" s="6"/>
      <c r="B955" s="2003"/>
      <c r="C955" s="958">
        <f t="shared" si="788"/>
        <v>0</v>
      </c>
      <c r="D955" s="104"/>
      <c r="E955" s="104" t="str">
        <f t="shared" si="789"/>
        <v/>
      </c>
      <c r="F955" s="104" t="str">
        <f t="shared" si="790"/>
        <v/>
      </c>
      <c r="G955" s="104" t="str">
        <f t="shared" si="791"/>
        <v/>
      </c>
      <c r="H955" s="104" t="str">
        <f t="shared" si="792"/>
        <v/>
      </c>
      <c r="I955" s="104" t="str">
        <f t="shared" si="793"/>
        <v/>
      </c>
      <c r="J955" s="104" t="str">
        <f t="shared" si="794"/>
        <v/>
      </c>
      <c r="K955" s="104" t="str">
        <f t="shared" si="795"/>
        <v/>
      </c>
      <c r="L955" s="104" t="str">
        <f t="shared" si="796"/>
        <v/>
      </c>
      <c r="M955" s="104" t="str">
        <f t="shared" si="797"/>
        <v/>
      </c>
      <c r="N955" s="104" t="str">
        <f t="shared" si="798"/>
        <v/>
      </c>
      <c r="O955" s="104" t="str">
        <f t="shared" si="799"/>
        <v/>
      </c>
      <c r="P955" s="2004" t="str">
        <f t="shared" si="800"/>
        <v/>
      </c>
      <c r="S955" s="6"/>
    </row>
    <row r="956" spans="1:19" x14ac:dyDescent="0.2">
      <c r="A956" s="6"/>
      <c r="B956" s="2003"/>
      <c r="C956" s="958">
        <f t="shared" si="788"/>
        <v>0</v>
      </c>
      <c r="D956" s="104"/>
      <c r="E956" s="104" t="str">
        <f t="shared" si="789"/>
        <v/>
      </c>
      <c r="F956" s="104" t="str">
        <f t="shared" si="790"/>
        <v/>
      </c>
      <c r="G956" s="104" t="str">
        <f t="shared" si="791"/>
        <v/>
      </c>
      <c r="H956" s="104" t="str">
        <f t="shared" si="792"/>
        <v/>
      </c>
      <c r="I956" s="104" t="str">
        <f t="shared" si="793"/>
        <v/>
      </c>
      <c r="J956" s="104" t="str">
        <f t="shared" si="794"/>
        <v/>
      </c>
      <c r="K956" s="104" t="str">
        <f t="shared" si="795"/>
        <v/>
      </c>
      <c r="L956" s="104" t="str">
        <f t="shared" si="796"/>
        <v/>
      </c>
      <c r="M956" s="104" t="str">
        <f t="shared" si="797"/>
        <v/>
      </c>
      <c r="N956" s="104" t="str">
        <f t="shared" si="798"/>
        <v/>
      </c>
      <c r="O956" s="104" t="str">
        <f t="shared" si="799"/>
        <v/>
      </c>
      <c r="P956" s="2004" t="str">
        <f t="shared" si="800"/>
        <v/>
      </c>
      <c r="S956" s="6"/>
    </row>
    <row r="957" spans="1:19" x14ac:dyDescent="0.2">
      <c r="A957" s="6"/>
      <c r="B957" s="2003"/>
      <c r="C957" s="958">
        <f t="shared" si="788"/>
        <v>0</v>
      </c>
      <c r="D957" s="104"/>
      <c r="E957" s="104" t="str">
        <f t="shared" si="789"/>
        <v/>
      </c>
      <c r="F957" s="104" t="str">
        <f t="shared" si="790"/>
        <v/>
      </c>
      <c r="G957" s="104" t="str">
        <f t="shared" si="791"/>
        <v/>
      </c>
      <c r="H957" s="104" t="str">
        <f t="shared" si="792"/>
        <v/>
      </c>
      <c r="I957" s="104" t="str">
        <f t="shared" si="793"/>
        <v/>
      </c>
      <c r="J957" s="104" t="str">
        <f t="shared" si="794"/>
        <v/>
      </c>
      <c r="K957" s="104" t="str">
        <f t="shared" si="795"/>
        <v/>
      </c>
      <c r="L957" s="104" t="str">
        <f t="shared" si="796"/>
        <v/>
      </c>
      <c r="M957" s="104" t="str">
        <f t="shared" si="797"/>
        <v/>
      </c>
      <c r="N957" s="104" t="str">
        <f t="shared" si="798"/>
        <v/>
      </c>
      <c r="O957" s="104" t="str">
        <f t="shared" si="799"/>
        <v/>
      </c>
      <c r="P957" s="2004" t="str">
        <f t="shared" si="800"/>
        <v/>
      </c>
      <c r="S957" s="6"/>
    </row>
    <row r="958" spans="1:19" x14ac:dyDescent="0.2">
      <c r="A958" s="6"/>
      <c r="B958" s="2003"/>
      <c r="C958" s="958">
        <f t="shared" si="788"/>
        <v>0</v>
      </c>
      <c r="D958" s="104"/>
      <c r="E958" s="104" t="str">
        <f t="shared" si="789"/>
        <v/>
      </c>
      <c r="F958" s="104" t="str">
        <f t="shared" si="790"/>
        <v/>
      </c>
      <c r="G958" s="104" t="str">
        <f t="shared" si="791"/>
        <v/>
      </c>
      <c r="H958" s="104" t="str">
        <f t="shared" si="792"/>
        <v/>
      </c>
      <c r="I958" s="104" t="str">
        <f t="shared" si="793"/>
        <v/>
      </c>
      <c r="J958" s="104" t="str">
        <f t="shared" si="794"/>
        <v/>
      </c>
      <c r="K958" s="104" t="str">
        <f t="shared" si="795"/>
        <v/>
      </c>
      <c r="L958" s="104" t="str">
        <f t="shared" si="796"/>
        <v/>
      </c>
      <c r="M958" s="104" t="str">
        <f t="shared" si="797"/>
        <v/>
      </c>
      <c r="N958" s="104" t="str">
        <f t="shared" si="798"/>
        <v/>
      </c>
      <c r="O958" s="104" t="str">
        <f t="shared" si="799"/>
        <v/>
      </c>
      <c r="P958" s="2004" t="str">
        <f t="shared" si="800"/>
        <v/>
      </c>
      <c r="S958" s="6"/>
    </row>
    <row r="959" spans="1:19" x14ac:dyDescent="0.2">
      <c r="A959" s="6"/>
      <c r="B959" s="2003"/>
      <c r="C959" s="958">
        <f t="shared" si="788"/>
        <v>0</v>
      </c>
      <c r="D959" s="104"/>
      <c r="E959" s="104" t="str">
        <f t="shared" si="789"/>
        <v/>
      </c>
      <c r="F959" s="104" t="str">
        <f t="shared" si="790"/>
        <v/>
      </c>
      <c r="G959" s="104" t="str">
        <f t="shared" si="791"/>
        <v/>
      </c>
      <c r="H959" s="104" t="str">
        <f t="shared" si="792"/>
        <v/>
      </c>
      <c r="I959" s="104" t="str">
        <f t="shared" si="793"/>
        <v/>
      </c>
      <c r="J959" s="104" t="str">
        <f t="shared" si="794"/>
        <v/>
      </c>
      <c r="K959" s="104" t="str">
        <f t="shared" si="795"/>
        <v/>
      </c>
      <c r="L959" s="104" t="str">
        <f t="shared" si="796"/>
        <v/>
      </c>
      <c r="M959" s="104" t="str">
        <f t="shared" si="797"/>
        <v/>
      </c>
      <c r="N959" s="104" t="str">
        <f t="shared" si="798"/>
        <v/>
      </c>
      <c r="O959" s="104" t="str">
        <f t="shared" si="799"/>
        <v/>
      </c>
      <c r="P959" s="2004" t="str">
        <f t="shared" si="800"/>
        <v/>
      </c>
      <c r="S959" s="6"/>
    </row>
    <row r="960" spans="1:19" x14ac:dyDescent="0.2">
      <c r="A960" s="6"/>
      <c r="B960" s="2003"/>
      <c r="C960" s="958">
        <f t="shared" si="788"/>
        <v>0</v>
      </c>
      <c r="D960" s="104"/>
      <c r="E960" s="104" t="str">
        <f t="shared" si="789"/>
        <v/>
      </c>
      <c r="F960" s="104" t="str">
        <f t="shared" si="790"/>
        <v/>
      </c>
      <c r="G960" s="104" t="str">
        <f t="shared" si="791"/>
        <v/>
      </c>
      <c r="H960" s="104" t="str">
        <f t="shared" si="792"/>
        <v/>
      </c>
      <c r="I960" s="104" t="str">
        <f t="shared" si="793"/>
        <v/>
      </c>
      <c r="J960" s="104" t="str">
        <f t="shared" si="794"/>
        <v/>
      </c>
      <c r="K960" s="104" t="str">
        <f t="shared" si="795"/>
        <v/>
      </c>
      <c r="L960" s="104" t="str">
        <f t="shared" si="796"/>
        <v/>
      </c>
      <c r="M960" s="104" t="str">
        <f t="shared" si="797"/>
        <v/>
      </c>
      <c r="N960" s="104" t="str">
        <f t="shared" si="798"/>
        <v/>
      </c>
      <c r="O960" s="104" t="str">
        <f t="shared" si="799"/>
        <v/>
      </c>
      <c r="P960" s="2004" t="str">
        <f t="shared" si="800"/>
        <v/>
      </c>
      <c r="S960" s="6"/>
    </row>
    <row r="961" spans="1:19" x14ac:dyDescent="0.2">
      <c r="A961" s="6"/>
      <c r="B961" s="2003"/>
      <c r="C961" s="958">
        <f t="shared" si="788"/>
        <v>0</v>
      </c>
      <c r="D961" s="104"/>
      <c r="E961" s="104" t="str">
        <f t="shared" si="789"/>
        <v/>
      </c>
      <c r="F961" s="104" t="str">
        <f t="shared" si="790"/>
        <v/>
      </c>
      <c r="G961" s="104" t="str">
        <f t="shared" si="791"/>
        <v/>
      </c>
      <c r="H961" s="104" t="str">
        <f t="shared" si="792"/>
        <v/>
      </c>
      <c r="I961" s="104" t="str">
        <f t="shared" si="793"/>
        <v/>
      </c>
      <c r="J961" s="104" t="str">
        <f t="shared" si="794"/>
        <v/>
      </c>
      <c r="K961" s="104" t="str">
        <f t="shared" si="795"/>
        <v/>
      </c>
      <c r="L961" s="104" t="str">
        <f t="shared" si="796"/>
        <v/>
      </c>
      <c r="M961" s="104" t="str">
        <f t="shared" si="797"/>
        <v/>
      </c>
      <c r="N961" s="104" t="str">
        <f t="shared" si="798"/>
        <v/>
      </c>
      <c r="O961" s="104" t="str">
        <f t="shared" si="799"/>
        <v/>
      </c>
      <c r="P961" s="2004" t="str">
        <f t="shared" si="800"/>
        <v/>
      </c>
      <c r="S961" s="6"/>
    </row>
    <row r="962" spans="1:19" x14ac:dyDescent="0.2">
      <c r="A962" s="6"/>
      <c r="B962" s="2003"/>
      <c r="C962" s="958">
        <f t="shared" si="788"/>
        <v>0</v>
      </c>
      <c r="D962" s="104"/>
      <c r="E962" s="104" t="str">
        <f t="shared" si="789"/>
        <v/>
      </c>
      <c r="F962" s="104" t="str">
        <f t="shared" si="790"/>
        <v/>
      </c>
      <c r="G962" s="104" t="str">
        <f t="shared" si="791"/>
        <v/>
      </c>
      <c r="H962" s="104" t="str">
        <f t="shared" si="792"/>
        <v/>
      </c>
      <c r="I962" s="104" t="str">
        <f t="shared" si="793"/>
        <v/>
      </c>
      <c r="J962" s="104" t="str">
        <f t="shared" si="794"/>
        <v/>
      </c>
      <c r="K962" s="104" t="str">
        <f t="shared" si="795"/>
        <v/>
      </c>
      <c r="L962" s="104" t="str">
        <f t="shared" si="796"/>
        <v/>
      </c>
      <c r="M962" s="104" t="str">
        <f t="shared" si="797"/>
        <v/>
      </c>
      <c r="N962" s="104" t="str">
        <f t="shared" si="798"/>
        <v/>
      </c>
      <c r="O962" s="104" t="str">
        <f t="shared" si="799"/>
        <v/>
      </c>
      <c r="P962" s="2004" t="str">
        <f t="shared" si="800"/>
        <v/>
      </c>
      <c r="S962" s="6"/>
    </row>
    <row r="963" spans="1:19" x14ac:dyDescent="0.2">
      <c r="A963" s="6"/>
      <c r="B963" s="2003"/>
      <c r="C963" s="958">
        <f t="shared" si="788"/>
        <v>0</v>
      </c>
      <c r="D963" s="104"/>
      <c r="E963" s="104" t="str">
        <f t="shared" si="789"/>
        <v/>
      </c>
      <c r="F963" s="104" t="str">
        <f t="shared" si="790"/>
        <v/>
      </c>
      <c r="G963" s="104" t="str">
        <f t="shared" si="791"/>
        <v/>
      </c>
      <c r="H963" s="104" t="str">
        <f t="shared" si="792"/>
        <v/>
      </c>
      <c r="I963" s="104" t="str">
        <f t="shared" si="793"/>
        <v/>
      </c>
      <c r="J963" s="104" t="str">
        <f t="shared" si="794"/>
        <v/>
      </c>
      <c r="K963" s="104" t="str">
        <f t="shared" si="795"/>
        <v/>
      </c>
      <c r="L963" s="104" t="str">
        <f t="shared" si="796"/>
        <v/>
      </c>
      <c r="M963" s="104" t="str">
        <f t="shared" si="797"/>
        <v/>
      </c>
      <c r="N963" s="104" t="str">
        <f t="shared" si="798"/>
        <v/>
      </c>
      <c r="O963" s="104" t="str">
        <f t="shared" si="799"/>
        <v/>
      </c>
      <c r="P963" s="2004" t="str">
        <f t="shared" si="800"/>
        <v/>
      </c>
      <c r="S963" s="6"/>
    </row>
    <row r="964" spans="1:19" x14ac:dyDescent="0.2">
      <c r="A964" s="6"/>
      <c r="B964" s="2003"/>
      <c r="C964" s="958">
        <f t="shared" si="788"/>
        <v>0</v>
      </c>
      <c r="D964" s="104"/>
      <c r="E964" s="104" t="str">
        <f t="shared" si="789"/>
        <v/>
      </c>
      <c r="F964" s="104" t="str">
        <f t="shared" si="790"/>
        <v/>
      </c>
      <c r="G964" s="104" t="str">
        <f t="shared" si="791"/>
        <v/>
      </c>
      <c r="H964" s="104" t="str">
        <f t="shared" si="792"/>
        <v/>
      </c>
      <c r="I964" s="104" t="str">
        <f t="shared" si="793"/>
        <v/>
      </c>
      <c r="J964" s="104" t="str">
        <f t="shared" si="794"/>
        <v/>
      </c>
      <c r="K964" s="104" t="str">
        <f t="shared" si="795"/>
        <v/>
      </c>
      <c r="L964" s="104" t="str">
        <f t="shared" si="796"/>
        <v/>
      </c>
      <c r="M964" s="104" t="str">
        <f t="shared" si="797"/>
        <v/>
      </c>
      <c r="N964" s="104" t="str">
        <f t="shared" si="798"/>
        <v/>
      </c>
      <c r="O964" s="104" t="str">
        <f t="shared" si="799"/>
        <v/>
      </c>
      <c r="P964" s="2004" t="str">
        <f t="shared" si="800"/>
        <v/>
      </c>
      <c r="S964" s="6"/>
    </row>
    <row r="965" spans="1:19" x14ac:dyDescent="0.2">
      <c r="A965" s="6"/>
      <c r="B965" s="2003"/>
      <c r="C965" s="958">
        <f t="shared" si="788"/>
        <v>0</v>
      </c>
      <c r="D965" s="104"/>
      <c r="E965" s="104" t="str">
        <f t="shared" si="789"/>
        <v/>
      </c>
      <c r="F965" s="104" t="str">
        <f t="shared" si="790"/>
        <v/>
      </c>
      <c r="G965" s="104" t="str">
        <f t="shared" si="791"/>
        <v/>
      </c>
      <c r="H965" s="104" t="str">
        <f t="shared" si="792"/>
        <v/>
      </c>
      <c r="I965" s="104" t="str">
        <f t="shared" si="793"/>
        <v/>
      </c>
      <c r="J965" s="104" t="str">
        <f t="shared" si="794"/>
        <v/>
      </c>
      <c r="K965" s="104" t="str">
        <f t="shared" si="795"/>
        <v/>
      </c>
      <c r="L965" s="104" t="str">
        <f t="shared" si="796"/>
        <v/>
      </c>
      <c r="M965" s="104" t="str">
        <f t="shared" si="797"/>
        <v/>
      </c>
      <c r="N965" s="104" t="str">
        <f t="shared" si="798"/>
        <v/>
      </c>
      <c r="O965" s="104" t="str">
        <f t="shared" si="799"/>
        <v/>
      </c>
      <c r="P965" s="2004" t="str">
        <f t="shared" si="800"/>
        <v/>
      </c>
      <c r="S965" s="6"/>
    </row>
    <row r="966" spans="1:19" x14ac:dyDescent="0.2">
      <c r="A966" s="6"/>
      <c r="B966" s="2003"/>
      <c r="C966" s="958">
        <f t="shared" si="788"/>
        <v>0</v>
      </c>
      <c r="D966" s="104"/>
      <c r="E966" s="104" t="str">
        <f t="shared" si="789"/>
        <v/>
      </c>
      <c r="F966" s="104" t="str">
        <f t="shared" si="790"/>
        <v/>
      </c>
      <c r="G966" s="104" t="str">
        <f t="shared" si="791"/>
        <v/>
      </c>
      <c r="H966" s="104" t="str">
        <f t="shared" si="792"/>
        <v/>
      </c>
      <c r="I966" s="104" t="str">
        <f t="shared" si="793"/>
        <v/>
      </c>
      <c r="J966" s="104" t="str">
        <f t="shared" si="794"/>
        <v/>
      </c>
      <c r="K966" s="104" t="str">
        <f t="shared" si="795"/>
        <v/>
      </c>
      <c r="L966" s="104" t="str">
        <f t="shared" si="796"/>
        <v/>
      </c>
      <c r="M966" s="104" t="str">
        <f t="shared" si="797"/>
        <v/>
      </c>
      <c r="N966" s="104" t="str">
        <f t="shared" si="798"/>
        <v/>
      </c>
      <c r="O966" s="104" t="str">
        <f t="shared" si="799"/>
        <v/>
      </c>
      <c r="P966" s="2004" t="str">
        <f t="shared" si="800"/>
        <v/>
      </c>
      <c r="S966" s="6"/>
    </row>
    <row r="967" spans="1:19" x14ac:dyDescent="0.2">
      <c r="A967" s="6"/>
      <c r="B967" s="2003"/>
      <c r="C967" s="958">
        <f t="shared" si="788"/>
        <v>0</v>
      </c>
      <c r="D967" s="104"/>
      <c r="E967" s="104" t="str">
        <f t="shared" si="789"/>
        <v/>
      </c>
      <c r="F967" s="104" t="str">
        <f t="shared" si="790"/>
        <v/>
      </c>
      <c r="G967" s="104" t="str">
        <f t="shared" si="791"/>
        <v/>
      </c>
      <c r="H967" s="104" t="str">
        <f t="shared" si="792"/>
        <v/>
      </c>
      <c r="I967" s="104" t="str">
        <f t="shared" si="793"/>
        <v/>
      </c>
      <c r="J967" s="104" t="str">
        <f t="shared" si="794"/>
        <v/>
      </c>
      <c r="K967" s="104" t="str">
        <f t="shared" si="795"/>
        <v/>
      </c>
      <c r="L967" s="104" t="str">
        <f t="shared" si="796"/>
        <v/>
      </c>
      <c r="M967" s="104" t="str">
        <f t="shared" si="797"/>
        <v/>
      </c>
      <c r="N967" s="104" t="str">
        <f t="shared" si="798"/>
        <v/>
      </c>
      <c r="O967" s="104" t="str">
        <f t="shared" si="799"/>
        <v/>
      </c>
      <c r="P967" s="2004" t="str">
        <f t="shared" si="800"/>
        <v/>
      </c>
      <c r="S967" s="6"/>
    </row>
    <row r="968" spans="1:19" x14ac:dyDescent="0.2">
      <c r="A968" s="6"/>
      <c r="B968" s="2003"/>
      <c r="C968" s="958">
        <f t="shared" si="788"/>
        <v>0</v>
      </c>
      <c r="D968" s="104"/>
      <c r="E968" s="104" t="str">
        <f t="shared" si="789"/>
        <v/>
      </c>
      <c r="F968" s="104" t="str">
        <f t="shared" si="790"/>
        <v/>
      </c>
      <c r="G968" s="104" t="str">
        <f t="shared" si="791"/>
        <v/>
      </c>
      <c r="H968" s="104" t="str">
        <f t="shared" si="792"/>
        <v/>
      </c>
      <c r="I968" s="104" t="str">
        <f t="shared" si="793"/>
        <v/>
      </c>
      <c r="J968" s="104" t="str">
        <f t="shared" si="794"/>
        <v/>
      </c>
      <c r="K968" s="104" t="str">
        <f t="shared" si="795"/>
        <v/>
      </c>
      <c r="L968" s="104" t="str">
        <f t="shared" si="796"/>
        <v/>
      </c>
      <c r="M968" s="104" t="str">
        <f t="shared" si="797"/>
        <v/>
      </c>
      <c r="N968" s="104" t="str">
        <f t="shared" si="798"/>
        <v/>
      </c>
      <c r="O968" s="104" t="str">
        <f t="shared" si="799"/>
        <v/>
      </c>
      <c r="P968" s="2004" t="str">
        <f t="shared" si="800"/>
        <v/>
      </c>
      <c r="S968" s="6"/>
    </row>
    <row r="969" spans="1:19" x14ac:dyDescent="0.2">
      <c r="A969" s="6"/>
      <c r="B969" s="2003"/>
      <c r="C969" s="958">
        <f t="shared" si="788"/>
        <v>0</v>
      </c>
      <c r="D969" s="104"/>
      <c r="E969" s="104" t="str">
        <f t="shared" si="789"/>
        <v/>
      </c>
      <c r="F969" s="104" t="str">
        <f t="shared" si="790"/>
        <v/>
      </c>
      <c r="G969" s="104" t="str">
        <f t="shared" si="791"/>
        <v/>
      </c>
      <c r="H969" s="104" t="str">
        <f t="shared" si="792"/>
        <v/>
      </c>
      <c r="I969" s="104" t="str">
        <f t="shared" si="793"/>
        <v/>
      </c>
      <c r="J969" s="104" t="str">
        <f t="shared" si="794"/>
        <v/>
      </c>
      <c r="K969" s="104" t="str">
        <f t="shared" si="795"/>
        <v/>
      </c>
      <c r="L969" s="104" t="str">
        <f t="shared" si="796"/>
        <v/>
      </c>
      <c r="M969" s="104" t="str">
        <f t="shared" si="797"/>
        <v/>
      </c>
      <c r="N969" s="104" t="str">
        <f t="shared" si="798"/>
        <v/>
      </c>
      <c r="O969" s="104" t="str">
        <f t="shared" si="799"/>
        <v/>
      </c>
      <c r="P969" s="2004" t="str">
        <f t="shared" si="800"/>
        <v/>
      </c>
      <c r="S969" s="6"/>
    </row>
    <row r="970" spans="1:19" x14ac:dyDescent="0.2">
      <c r="A970" s="6"/>
      <c r="B970" s="2003"/>
      <c r="C970" s="958">
        <f t="shared" si="788"/>
        <v>0</v>
      </c>
      <c r="D970" s="104"/>
      <c r="E970" s="104" t="str">
        <f t="shared" si="789"/>
        <v/>
      </c>
      <c r="F970" s="104" t="str">
        <f t="shared" si="790"/>
        <v/>
      </c>
      <c r="G970" s="104" t="str">
        <f t="shared" si="791"/>
        <v/>
      </c>
      <c r="H970" s="104" t="str">
        <f t="shared" si="792"/>
        <v/>
      </c>
      <c r="I970" s="104" t="str">
        <f t="shared" si="793"/>
        <v/>
      </c>
      <c r="J970" s="104" t="str">
        <f t="shared" si="794"/>
        <v/>
      </c>
      <c r="K970" s="104" t="str">
        <f t="shared" si="795"/>
        <v/>
      </c>
      <c r="L970" s="104" t="str">
        <f t="shared" si="796"/>
        <v/>
      </c>
      <c r="M970" s="104" t="str">
        <f t="shared" si="797"/>
        <v/>
      </c>
      <c r="N970" s="104" t="str">
        <f t="shared" si="798"/>
        <v/>
      </c>
      <c r="O970" s="104" t="str">
        <f t="shared" si="799"/>
        <v/>
      </c>
      <c r="P970" s="2004" t="str">
        <f t="shared" si="800"/>
        <v/>
      </c>
      <c r="S970" s="6"/>
    </row>
    <row r="971" spans="1:19" x14ac:dyDescent="0.2">
      <c r="A971" s="6"/>
      <c r="B971" s="2003"/>
      <c r="C971" s="958">
        <f t="shared" si="788"/>
        <v>0</v>
      </c>
      <c r="D971" s="104"/>
      <c r="E971" s="104" t="str">
        <f t="shared" si="789"/>
        <v/>
      </c>
      <c r="F971" s="104" t="str">
        <f t="shared" si="790"/>
        <v/>
      </c>
      <c r="G971" s="104" t="str">
        <f t="shared" si="791"/>
        <v/>
      </c>
      <c r="H971" s="104" t="str">
        <f t="shared" si="792"/>
        <v/>
      </c>
      <c r="I971" s="104" t="str">
        <f t="shared" si="793"/>
        <v/>
      </c>
      <c r="J971" s="104" t="str">
        <f t="shared" si="794"/>
        <v/>
      </c>
      <c r="K971" s="104" t="str">
        <f t="shared" si="795"/>
        <v/>
      </c>
      <c r="L971" s="104" t="str">
        <f t="shared" si="796"/>
        <v/>
      </c>
      <c r="M971" s="104" t="str">
        <f t="shared" si="797"/>
        <v/>
      </c>
      <c r="N971" s="104" t="str">
        <f t="shared" si="798"/>
        <v/>
      </c>
      <c r="O971" s="104" t="str">
        <f t="shared" si="799"/>
        <v/>
      </c>
      <c r="P971" s="2004" t="str">
        <f t="shared" si="800"/>
        <v/>
      </c>
      <c r="S971" s="6"/>
    </row>
    <row r="972" spans="1:19" x14ac:dyDescent="0.2">
      <c r="A972" s="6"/>
      <c r="B972" s="2003"/>
      <c r="C972" s="958">
        <f t="shared" si="788"/>
        <v>0</v>
      </c>
      <c r="D972" s="104"/>
      <c r="E972" s="104" t="str">
        <f t="shared" si="789"/>
        <v/>
      </c>
      <c r="F972" s="104" t="str">
        <f t="shared" si="790"/>
        <v/>
      </c>
      <c r="G972" s="104" t="str">
        <f t="shared" si="791"/>
        <v/>
      </c>
      <c r="H972" s="104" t="str">
        <f t="shared" si="792"/>
        <v/>
      </c>
      <c r="I972" s="104" t="str">
        <f t="shared" si="793"/>
        <v/>
      </c>
      <c r="J972" s="104" t="str">
        <f t="shared" si="794"/>
        <v/>
      </c>
      <c r="K972" s="104" t="str">
        <f t="shared" si="795"/>
        <v/>
      </c>
      <c r="L972" s="104" t="str">
        <f t="shared" si="796"/>
        <v/>
      </c>
      <c r="M972" s="104" t="str">
        <f t="shared" si="797"/>
        <v/>
      </c>
      <c r="N972" s="104" t="str">
        <f t="shared" si="798"/>
        <v/>
      </c>
      <c r="O972" s="104" t="str">
        <f t="shared" si="799"/>
        <v/>
      </c>
      <c r="P972" s="2004" t="str">
        <f t="shared" si="800"/>
        <v/>
      </c>
      <c r="S972" s="6"/>
    </row>
    <row r="973" spans="1:19" x14ac:dyDescent="0.2">
      <c r="A973" s="6"/>
      <c r="B973" s="2003"/>
      <c r="C973" s="958">
        <f t="shared" si="788"/>
        <v>0</v>
      </c>
      <c r="D973" s="104"/>
      <c r="E973" s="104" t="str">
        <f t="shared" si="789"/>
        <v/>
      </c>
      <c r="F973" s="104" t="str">
        <f t="shared" si="790"/>
        <v/>
      </c>
      <c r="G973" s="104" t="str">
        <f t="shared" si="791"/>
        <v/>
      </c>
      <c r="H973" s="104" t="str">
        <f t="shared" si="792"/>
        <v/>
      </c>
      <c r="I973" s="104" t="str">
        <f t="shared" si="793"/>
        <v/>
      </c>
      <c r="J973" s="104" t="str">
        <f t="shared" si="794"/>
        <v/>
      </c>
      <c r="K973" s="104" t="str">
        <f t="shared" si="795"/>
        <v/>
      </c>
      <c r="L973" s="104" t="str">
        <f t="shared" si="796"/>
        <v/>
      </c>
      <c r="M973" s="104" t="str">
        <f t="shared" si="797"/>
        <v/>
      </c>
      <c r="N973" s="104" t="str">
        <f t="shared" si="798"/>
        <v/>
      </c>
      <c r="O973" s="104" t="str">
        <f t="shared" si="799"/>
        <v/>
      </c>
      <c r="P973" s="2004" t="str">
        <f t="shared" si="800"/>
        <v/>
      </c>
      <c r="S973" s="6"/>
    </row>
    <row r="974" spans="1:19" x14ac:dyDescent="0.2">
      <c r="A974" s="6"/>
      <c r="B974" s="2003"/>
      <c r="C974" s="958">
        <f t="shared" si="788"/>
        <v>0</v>
      </c>
      <c r="D974" s="104"/>
      <c r="E974" s="104" t="str">
        <f t="shared" si="789"/>
        <v/>
      </c>
      <c r="F974" s="104" t="str">
        <f t="shared" si="790"/>
        <v/>
      </c>
      <c r="G974" s="104" t="str">
        <f t="shared" si="791"/>
        <v/>
      </c>
      <c r="H974" s="104" t="str">
        <f t="shared" si="792"/>
        <v/>
      </c>
      <c r="I974" s="104" t="str">
        <f t="shared" si="793"/>
        <v/>
      </c>
      <c r="J974" s="104" t="str">
        <f t="shared" si="794"/>
        <v/>
      </c>
      <c r="K974" s="104" t="str">
        <f t="shared" si="795"/>
        <v/>
      </c>
      <c r="L974" s="104" t="str">
        <f t="shared" si="796"/>
        <v/>
      </c>
      <c r="M974" s="104" t="str">
        <f t="shared" si="797"/>
        <v/>
      </c>
      <c r="N974" s="104" t="str">
        <f t="shared" si="798"/>
        <v/>
      </c>
      <c r="O974" s="104" t="str">
        <f t="shared" si="799"/>
        <v/>
      </c>
      <c r="P974" s="2004" t="str">
        <f t="shared" si="800"/>
        <v/>
      </c>
      <c r="S974" s="6"/>
    </row>
    <row r="975" spans="1:19" x14ac:dyDescent="0.2">
      <c r="A975" s="6"/>
      <c r="B975" s="2003"/>
      <c r="C975" s="958">
        <f t="shared" si="788"/>
        <v>0</v>
      </c>
      <c r="D975" s="104"/>
      <c r="E975" s="104" t="str">
        <f t="shared" si="789"/>
        <v/>
      </c>
      <c r="F975" s="104" t="str">
        <f t="shared" si="790"/>
        <v/>
      </c>
      <c r="G975" s="104" t="str">
        <f t="shared" si="791"/>
        <v/>
      </c>
      <c r="H975" s="104" t="str">
        <f t="shared" si="792"/>
        <v/>
      </c>
      <c r="I975" s="104" t="str">
        <f t="shared" si="793"/>
        <v/>
      </c>
      <c r="J975" s="104" t="str">
        <f t="shared" si="794"/>
        <v/>
      </c>
      <c r="K975" s="104" t="str">
        <f t="shared" si="795"/>
        <v/>
      </c>
      <c r="L975" s="104" t="str">
        <f t="shared" si="796"/>
        <v/>
      </c>
      <c r="M975" s="104" t="str">
        <f t="shared" si="797"/>
        <v/>
      </c>
      <c r="N975" s="104" t="str">
        <f t="shared" si="798"/>
        <v/>
      </c>
      <c r="O975" s="104" t="str">
        <f t="shared" si="799"/>
        <v/>
      </c>
      <c r="P975" s="2004" t="str">
        <f t="shared" si="800"/>
        <v/>
      </c>
      <c r="S975" s="6"/>
    </row>
    <row r="976" spans="1:19" x14ac:dyDescent="0.2">
      <c r="A976" s="6"/>
      <c r="B976" s="2003"/>
      <c r="C976" s="958">
        <f t="shared" si="788"/>
        <v>0</v>
      </c>
      <c r="D976" s="104"/>
      <c r="E976" s="104" t="str">
        <f t="shared" si="789"/>
        <v/>
      </c>
      <c r="F976" s="104" t="str">
        <f t="shared" si="790"/>
        <v/>
      </c>
      <c r="G976" s="104" t="str">
        <f t="shared" si="791"/>
        <v/>
      </c>
      <c r="H976" s="104" t="str">
        <f t="shared" si="792"/>
        <v/>
      </c>
      <c r="I976" s="104" t="str">
        <f t="shared" si="793"/>
        <v/>
      </c>
      <c r="J976" s="104" t="str">
        <f t="shared" si="794"/>
        <v/>
      </c>
      <c r="K976" s="104" t="str">
        <f t="shared" si="795"/>
        <v/>
      </c>
      <c r="L976" s="104" t="str">
        <f t="shared" si="796"/>
        <v/>
      </c>
      <c r="M976" s="104" t="str">
        <f t="shared" si="797"/>
        <v/>
      </c>
      <c r="N976" s="104" t="str">
        <f t="shared" si="798"/>
        <v/>
      </c>
      <c r="O976" s="104" t="str">
        <f t="shared" si="799"/>
        <v/>
      </c>
      <c r="P976" s="2004" t="str">
        <f t="shared" si="800"/>
        <v/>
      </c>
      <c r="S976" s="6"/>
    </row>
    <row r="977" spans="1:44" x14ac:dyDescent="0.2">
      <c r="A977" s="6"/>
      <c r="B977" s="2003"/>
      <c r="C977" s="958">
        <f t="shared" si="788"/>
        <v>0</v>
      </c>
      <c r="D977" s="104"/>
      <c r="E977" s="104" t="str">
        <f t="shared" si="789"/>
        <v/>
      </c>
      <c r="F977" s="104" t="str">
        <f t="shared" si="790"/>
        <v/>
      </c>
      <c r="G977" s="104" t="str">
        <f t="shared" si="791"/>
        <v/>
      </c>
      <c r="H977" s="104" t="str">
        <f t="shared" si="792"/>
        <v/>
      </c>
      <c r="I977" s="104" t="str">
        <f t="shared" si="793"/>
        <v/>
      </c>
      <c r="J977" s="104" t="str">
        <f t="shared" si="794"/>
        <v/>
      </c>
      <c r="K977" s="104" t="str">
        <f t="shared" si="795"/>
        <v/>
      </c>
      <c r="L977" s="104" t="str">
        <f t="shared" si="796"/>
        <v/>
      </c>
      <c r="M977" s="104" t="str">
        <f t="shared" si="797"/>
        <v/>
      </c>
      <c r="N977" s="104" t="str">
        <f t="shared" si="798"/>
        <v/>
      </c>
      <c r="O977" s="104" t="str">
        <f t="shared" si="799"/>
        <v/>
      </c>
      <c r="P977" s="2004" t="str">
        <f t="shared" si="800"/>
        <v/>
      </c>
      <c r="S977" s="6"/>
    </row>
    <row r="978" spans="1:44" ht="15.05" thickBot="1" x14ac:dyDescent="0.25">
      <c r="A978" s="6"/>
      <c r="B978" s="2005"/>
      <c r="C978" s="2006">
        <f t="shared" si="788"/>
        <v>0</v>
      </c>
      <c r="D978" s="2006"/>
      <c r="E978" s="1942" t="str">
        <f t="shared" si="789"/>
        <v/>
      </c>
      <c r="F978" s="1942" t="str">
        <f t="shared" si="790"/>
        <v/>
      </c>
      <c r="G978" s="1942" t="str">
        <f t="shared" si="791"/>
        <v/>
      </c>
      <c r="H978" s="1942" t="str">
        <f t="shared" si="792"/>
        <v/>
      </c>
      <c r="I978" s="1942" t="str">
        <f t="shared" si="793"/>
        <v/>
      </c>
      <c r="J978" s="1942" t="str">
        <f t="shared" si="794"/>
        <v/>
      </c>
      <c r="K978" s="1942" t="str">
        <f t="shared" si="795"/>
        <v/>
      </c>
      <c r="L978" s="1942" t="str">
        <f t="shared" si="796"/>
        <v/>
      </c>
      <c r="M978" s="1942" t="str">
        <f t="shared" si="797"/>
        <v/>
      </c>
      <c r="N978" s="1942" t="str">
        <f t="shared" si="798"/>
        <v/>
      </c>
      <c r="O978" s="1942" t="str">
        <f t="shared" si="799"/>
        <v/>
      </c>
      <c r="P978" s="2007" t="str">
        <f t="shared" si="800"/>
        <v/>
      </c>
      <c r="S978" s="6"/>
    </row>
    <row r="979" spans="1:44" x14ac:dyDescent="0.2">
      <c r="A979" s="6"/>
      <c r="F979" s="105"/>
      <c r="G979" s="105"/>
      <c r="H979" s="105"/>
      <c r="I979" s="105"/>
      <c r="J979" s="105"/>
      <c r="K979" s="105"/>
      <c r="L979" s="105"/>
      <c r="M979" s="105"/>
      <c r="N979" s="105"/>
      <c r="O979" s="105"/>
      <c r="P979" s="105"/>
      <c r="Q979" s="105"/>
      <c r="X979" s="100"/>
      <c r="Y979" s="100"/>
    </row>
    <row r="980" spans="1:44" ht="15.05" thickBot="1" x14ac:dyDescent="0.25">
      <c r="A980" s="6"/>
      <c r="F980" s="105"/>
      <c r="G980" s="105"/>
      <c r="H980" s="105"/>
      <c r="I980" s="105"/>
      <c r="J980" s="105"/>
      <c r="K980" s="105"/>
      <c r="L980" s="105"/>
      <c r="M980" s="105"/>
      <c r="N980" s="105"/>
      <c r="O980" s="105"/>
      <c r="P980" s="105"/>
      <c r="Q980" s="105"/>
      <c r="X980" s="100"/>
      <c r="Y980" s="100"/>
    </row>
    <row r="981" spans="1:44" ht="15.05" thickBot="1" x14ac:dyDescent="0.25">
      <c r="A981" s="2188">
        <v>1035</v>
      </c>
      <c r="B981" s="102" t="s">
        <v>996</v>
      </c>
      <c r="C981" s="2008"/>
      <c r="D981" s="1901"/>
      <c r="E981" s="1901"/>
      <c r="F981" s="1901"/>
      <c r="G981" s="1901"/>
      <c r="H981" s="1901"/>
      <c r="I981" s="1901"/>
      <c r="J981" s="1901"/>
      <c r="K981" s="1901"/>
      <c r="L981" s="1901"/>
      <c r="M981" s="1901"/>
      <c r="N981" s="1967"/>
      <c r="P981" s="2188">
        <v>1036</v>
      </c>
      <c r="Q981" s="102" t="s">
        <v>662</v>
      </c>
      <c r="R981" s="2008"/>
      <c r="S981" s="1901"/>
      <c r="T981" s="1901"/>
      <c r="U981" s="1901"/>
      <c r="V981" s="1901"/>
      <c r="W981" s="1901"/>
      <c r="X981" s="1901"/>
      <c r="Y981" s="1901"/>
      <c r="Z981" s="1901"/>
      <c r="AA981" s="1901"/>
      <c r="AB981" s="1901"/>
      <c r="AC981" s="1967"/>
      <c r="AE981" s="2188">
        <v>1037</v>
      </c>
      <c r="AF981" s="102" t="s">
        <v>663</v>
      </c>
      <c r="AG981" s="2008"/>
      <c r="AH981" s="1901"/>
      <c r="AI981" s="1901"/>
      <c r="AJ981" s="1901"/>
      <c r="AK981" s="1901"/>
      <c r="AL981" s="1901"/>
      <c r="AM981" s="1901"/>
      <c r="AN981" s="1901"/>
      <c r="AO981" s="1901"/>
      <c r="AP981" s="1901"/>
      <c r="AQ981" s="1901"/>
      <c r="AR981" s="1967"/>
    </row>
    <row r="982" spans="1:44" ht="15.05" thickBot="1" x14ac:dyDescent="0.25">
      <c r="A982" s="6"/>
      <c r="B982" s="109"/>
      <c r="C982" s="2009" t="str">
        <f>+G4</f>
        <v>Ene</v>
      </c>
      <c r="D982" s="2009" t="str">
        <f t="shared" ref="D982:N982" si="801">+H4</f>
        <v>Feb</v>
      </c>
      <c r="E982" s="2009" t="str">
        <f t="shared" si="801"/>
        <v>Mar</v>
      </c>
      <c r="F982" s="2009" t="str">
        <f>+J4</f>
        <v>Abr</v>
      </c>
      <c r="G982" s="2009" t="str">
        <f>+K4</f>
        <v>May</v>
      </c>
      <c r="H982" s="2009" t="str">
        <f>+L4</f>
        <v>Jun</v>
      </c>
      <c r="I982" s="2009" t="str">
        <f>+M4</f>
        <v>Jul</v>
      </c>
      <c r="J982" s="2009" t="str">
        <f t="shared" si="801"/>
        <v>Ago</v>
      </c>
      <c r="K982" s="2009" t="str">
        <f t="shared" si="801"/>
        <v>Set</v>
      </c>
      <c r="L982" s="2009" t="str">
        <f t="shared" si="801"/>
        <v>Oct</v>
      </c>
      <c r="M982" s="2009" t="str">
        <f t="shared" si="801"/>
        <v>Nov</v>
      </c>
      <c r="N982" s="2009" t="str">
        <f t="shared" si="801"/>
        <v>Dic</v>
      </c>
      <c r="P982" s="6"/>
      <c r="Q982" s="2010"/>
      <c r="R982" s="2009" t="str">
        <f>+G4</f>
        <v>Ene</v>
      </c>
      <c r="S982" s="2009" t="str">
        <f>+H4</f>
        <v>Feb</v>
      </c>
      <c r="T982" s="2009" t="str">
        <f>+I4</f>
        <v>Mar</v>
      </c>
      <c r="U982" s="2009" t="str">
        <f t="shared" ref="U982:AC982" si="802">+J4</f>
        <v>Abr</v>
      </c>
      <c r="V982" s="2009" t="str">
        <f t="shared" si="802"/>
        <v>May</v>
      </c>
      <c r="W982" s="2009" t="str">
        <f t="shared" si="802"/>
        <v>Jun</v>
      </c>
      <c r="X982" s="2009" t="str">
        <f t="shared" si="802"/>
        <v>Jul</v>
      </c>
      <c r="Y982" s="2009" t="str">
        <f t="shared" si="802"/>
        <v>Ago</v>
      </c>
      <c r="Z982" s="2009" t="str">
        <f t="shared" si="802"/>
        <v>Set</v>
      </c>
      <c r="AA982" s="2009" t="str">
        <f t="shared" si="802"/>
        <v>Oct</v>
      </c>
      <c r="AB982" s="2009" t="str">
        <f t="shared" si="802"/>
        <v>Nov</v>
      </c>
      <c r="AC982" s="2009" t="str">
        <f t="shared" si="802"/>
        <v>Dic</v>
      </c>
      <c r="AF982" s="2010"/>
      <c r="AG982" s="2009" t="str">
        <f>+G4</f>
        <v>Ene</v>
      </c>
      <c r="AH982" s="2009" t="str">
        <f>+H4</f>
        <v>Feb</v>
      </c>
      <c r="AI982" s="2009" t="str">
        <f>+I4</f>
        <v>Mar</v>
      </c>
      <c r="AJ982" s="2009" t="str">
        <f t="shared" ref="AJ982:AR982" si="803">+J4</f>
        <v>Abr</v>
      </c>
      <c r="AK982" s="2009" t="str">
        <f t="shared" si="803"/>
        <v>May</v>
      </c>
      <c r="AL982" s="2009" t="str">
        <f t="shared" si="803"/>
        <v>Jun</v>
      </c>
      <c r="AM982" s="2009" t="str">
        <f t="shared" si="803"/>
        <v>Jul</v>
      </c>
      <c r="AN982" s="2009" t="str">
        <f t="shared" si="803"/>
        <v>Ago</v>
      </c>
      <c r="AO982" s="2009" t="str">
        <f t="shared" si="803"/>
        <v>Set</v>
      </c>
      <c r="AP982" s="2009" t="str">
        <f t="shared" si="803"/>
        <v>Oct</v>
      </c>
      <c r="AQ982" s="2009" t="str">
        <f t="shared" si="803"/>
        <v>Nov</v>
      </c>
      <c r="AR982" s="2009" t="str">
        <f t="shared" si="803"/>
        <v>Dic</v>
      </c>
    </row>
    <row r="983" spans="1:44" x14ac:dyDescent="0.2">
      <c r="A983" s="6"/>
      <c r="B983" s="1351" t="str">
        <f t="shared" ref="B983:B1014" si="804">AF983</f>
        <v>CN</v>
      </c>
      <c r="C983" s="2011">
        <f t="shared" ref="C983:C1014" si="805">R983+AG983</f>
        <v>0</v>
      </c>
      <c r="D983" s="2011">
        <f t="shared" ref="D983:D1014" si="806">S983+AH983</f>
        <v>0</v>
      </c>
      <c r="E983" s="2011">
        <f t="shared" ref="E983:E1014" si="807">T983+AI983</f>
        <v>0</v>
      </c>
      <c r="F983" s="2011">
        <f t="shared" ref="F983:F1014" si="808">U983+AJ983</f>
        <v>0</v>
      </c>
      <c r="G983" s="2011">
        <f t="shared" ref="G983:G1014" si="809">V983+AK983</f>
        <v>0</v>
      </c>
      <c r="H983" s="2011">
        <f t="shared" ref="H983:H1014" si="810">W983+AL983</f>
        <v>0</v>
      </c>
      <c r="I983" s="2011">
        <f t="shared" ref="I983:I1014" si="811">X983+AM983</f>
        <v>0</v>
      </c>
      <c r="J983" s="2011">
        <f t="shared" ref="J983:J1014" si="812">Y983+AN983</f>
        <v>0</v>
      </c>
      <c r="K983" s="2011">
        <f t="shared" ref="K983:K1014" si="813">Z983+AO983</f>
        <v>0</v>
      </c>
      <c r="L983" s="2011">
        <f t="shared" ref="L983:L1014" si="814">AA983+AP983</f>
        <v>0</v>
      </c>
      <c r="M983" s="2011">
        <f t="shared" ref="M983:M1014" si="815">AB983+AQ983</f>
        <v>0</v>
      </c>
      <c r="N983" s="2012">
        <f t="shared" ref="N983:N1014" si="816">AC983+AR983</f>
        <v>0</v>
      </c>
      <c r="P983" s="6"/>
      <c r="Q983" s="1857" t="str">
        <f>D814</f>
        <v>CN</v>
      </c>
      <c r="R983" s="2013">
        <f t="shared" ref="R983:R1017" si="817">IF($Q983&lt;&gt;0,SUMIFS($C$9:$C$98,$D$9:$D$98,$D$638,$E$889:$E$978,$Q983),0)</f>
        <v>0</v>
      </c>
      <c r="S983" s="2013">
        <f t="shared" ref="S983:S1017" si="818">IF($Q983&lt;&gt;0,SUMIFS($C$9:$C$98,$D$9:$D$98,$D$638,$F$889:$F$978,$Q983),0)</f>
        <v>0</v>
      </c>
      <c r="T983" s="2013">
        <f t="shared" ref="T983:T1017" si="819">IF($Q983&lt;&gt;0,SUMIFS($C$9:$C$98,$D$9:$D$98,$D$638,$G$889:$G$978,$Q983),0)</f>
        <v>0</v>
      </c>
      <c r="U983" s="2013">
        <f t="shared" ref="U983:U1017" si="820">IF($Q983&lt;&gt;0,SUMIFS($C$9:$C$98,$D$9:$D$98,$D$638,$H$889:$H$978,$Q983),0)</f>
        <v>0</v>
      </c>
      <c r="V983" s="2013">
        <f t="shared" ref="V983:V1017" si="821">IF($Q983&lt;&gt;0,SUMIFS($C$9:$C$98,$D$9:$D$98,$D$638,$I$889:$I$978,$Q983),0)</f>
        <v>0</v>
      </c>
      <c r="W983" s="2013">
        <f t="shared" ref="W983:W1017" si="822">IF($Q983&lt;&gt;0,SUMIFS($C$9:$C$98,$D$9:$D$98,$D$638,$J$889:$J$978,$Q983),0)</f>
        <v>0</v>
      </c>
      <c r="X983" s="2013">
        <f t="shared" ref="X983:X1017" si="823">IF($Q983&lt;&gt;0,SUMIFS($C$9:$C$98,$D$9:$D$98,$D$638,$K$889:$K$978,$Q983),0)</f>
        <v>0</v>
      </c>
      <c r="Y983" s="2013">
        <f t="shared" ref="Y983:Y1017" si="824">IF($Q983&lt;&gt;0,SUMIFS($C$9:$C$98,$D$9:$D$98,$D$638,$L$889:$L$978,$Q983),0)</f>
        <v>0</v>
      </c>
      <c r="Z983" s="2013">
        <f t="shared" ref="Z983:Z1017" si="825">IF($Q983&lt;&gt;0,SUMIFS($C$9:$C$98,$D$9:$D$98,$D$638,$M$889:$M$978,$Q983),0)</f>
        <v>0</v>
      </c>
      <c r="AA983" s="2013">
        <f t="shared" ref="AA983:AA1017" si="826">IF($Q983&lt;&gt;0,SUMIFS($C$9:$C$98,$D$9:$D$98,$D$638,$N$889:$N$978,$Q983),0)</f>
        <v>0</v>
      </c>
      <c r="AB983" s="2013">
        <f t="shared" ref="AB983:AB1017" si="827">IF($Q983&lt;&gt;0,SUMIFS($C$9:$C$98,$D$9:$D$98,$D$638,$O$889:$O$978,$Q983),0)</f>
        <v>0</v>
      </c>
      <c r="AC983" s="2014">
        <f t="shared" ref="AC983:AC1017" si="828">IF($Q983&lt;&gt;0,SUMIFS($C$9:$C$98,$D$9:$D$98,$D$638,$P$889:$P$978,$Q983),0)</f>
        <v>0</v>
      </c>
      <c r="AF983" s="1351" t="str">
        <f t="shared" ref="AF983:AF1014" si="829">Q983</f>
        <v>CN</v>
      </c>
      <c r="AG983" s="2011">
        <f t="shared" ref="AG983:AG1014" si="830">IF($AF983&lt;&gt;0,SUMIFS($C$9:$C$98,$D$9:$D$98,$D$639,$E$889:$E$978,$AF983),0)</f>
        <v>0</v>
      </c>
      <c r="AH983" s="2011">
        <f t="shared" ref="AH983:AH1014" si="831">IF($AF983&lt;&gt;0,SUMIFS($C$9:$C$98,$D$9:$D$98,$D$639,$F$889:$F$978,$AF983),0)</f>
        <v>0</v>
      </c>
      <c r="AI983" s="2011">
        <f t="shared" ref="AI983:AI1014" si="832">IF($AF983&lt;&gt;0,SUMIFS($C$9:$C$98,$D$9:$D$98,$D$639,$G$889:$G$978,$AF983),0)</f>
        <v>0</v>
      </c>
      <c r="AJ983" s="2011">
        <f t="shared" ref="AJ983:AJ1014" si="833">IF($AF983&lt;&gt;0,SUMIFS($C$9:$C$98,$D$9:$D$98,$D$639,$H$889:$H$978,$AF983),0)</f>
        <v>0</v>
      </c>
      <c r="AK983" s="2011">
        <f t="shared" ref="AK983:AK1014" si="834">IF($AF983&lt;&gt;0,SUMIFS($C$9:$C$98,$D$9:$D$98,$D$639,$I$889:$I$978,$AF983),0)</f>
        <v>0</v>
      </c>
      <c r="AL983" s="2013">
        <f t="shared" ref="AL983:AL1014" si="835">IF($AF983&lt;&gt;0,SUMIFS($C$9:$C$98,$D$9:$D$98,$D$639,$J$889:$J$978,$AF983),0)</f>
        <v>0</v>
      </c>
      <c r="AM983" s="2011">
        <f t="shared" ref="AM983:AM1014" si="836">IF($AF983&lt;&gt;0,SUMIFS($C$9:$C$98,$D$9:$D$98,$D$639,$K$889:$K$978,$AF983),0)</f>
        <v>0</v>
      </c>
      <c r="AN983" s="2011">
        <f>IF($AF983&lt;&gt;0,SUMIFS($C$9:$C$98,$D$9:$D$98,$D$639,L$889:$L$978,$AF983),0)</f>
        <v>0</v>
      </c>
      <c r="AO983" s="2011">
        <f t="shared" ref="AO983:AO1014" si="837">IF($AF983&lt;&gt;0,SUMIFS($C$9:$C$98,$D$9:$D$98,$D$639,$M$889:$M$978,$AF983),0)</f>
        <v>0</v>
      </c>
      <c r="AP983" s="2011">
        <f t="shared" ref="AP983:AP1014" si="838">IF($AF983&lt;&gt;0,SUMIFS($C$9:$C$98,$D$9:$D$98,$D$639,$N$889:$N$978,$AF983),0)</f>
        <v>0</v>
      </c>
      <c r="AQ983" s="2011">
        <f t="shared" ref="AQ983:AQ1014" si="839">IF($AF983&lt;&gt;0,SUMIFS($C$9:$C$98,$D$9:$D$98,$D$639,$O$889:$O$978,$AF983),0)</f>
        <v>0</v>
      </c>
      <c r="AR983" s="2012">
        <f t="shared" ref="AR983:AR1014" si="840">IF($AF983&lt;&gt;0,SUMIFS($C$9:$C$98,$D$9:$D$98,$D$639,$P$889:$P$978,$AF983),0)</f>
        <v>0</v>
      </c>
    </row>
    <row r="984" spans="1:44" x14ac:dyDescent="0.2">
      <c r="A984" s="6"/>
      <c r="B984" s="1857" t="str">
        <f t="shared" si="804"/>
        <v>CNM</v>
      </c>
      <c r="C984" s="2013">
        <f t="shared" si="805"/>
        <v>0</v>
      </c>
      <c r="D984" s="2013">
        <f t="shared" si="806"/>
        <v>0</v>
      </c>
      <c r="E984" s="2013">
        <f t="shared" si="807"/>
        <v>0</v>
      </c>
      <c r="F984" s="2013">
        <f t="shared" si="808"/>
        <v>0</v>
      </c>
      <c r="G984" s="2013">
        <f t="shared" si="809"/>
        <v>0</v>
      </c>
      <c r="H984" s="2013">
        <f t="shared" si="810"/>
        <v>0</v>
      </c>
      <c r="I984" s="2013">
        <f t="shared" si="811"/>
        <v>0</v>
      </c>
      <c r="J984" s="2013">
        <f t="shared" si="812"/>
        <v>0</v>
      </c>
      <c r="K984" s="2013">
        <f t="shared" si="813"/>
        <v>0</v>
      </c>
      <c r="L984" s="2013">
        <f t="shared" si="814"/>
        <v>0</v>
      </c>
      <c r="M984" s="2013">
        <f t="shared" si="815"/>
        <v>0</v>
      </c>
      <c r="N984" s="2014">
        <f t="shared" si="816"/>
        <v>0</v>
      </c>
      <c r="P984" s="6"/>
      <c r="Q984" s="1857" t="str">
        <f>D815</f>
        <v>CNM</v>
      </c>
      <c r="R984" s="2013">
        <f t="shared" si="817"/>
        <v>0</v>
      </c>
      <c r="S984" s="2013">
        <f t="shared" si="818"/>
        <v>0</v>
      </c>
      <c r="T984" s="2013">
        <f t="shared" si="819"/>
        <v>0</v>
      </c>
      <c r="U984" s="2013">
        <f t="shared" si="820"/>
        <v>0</v>
      </c>
      <c r="V984" s="2013">
        <f t="shared" si="821"/>
        <v>0</v>
      </c>
      <c r="W984" s="2013">
        <f t="shared" si="822"/>
        <v>0</v>
      </c>
      <c r="X984" s="2013">
        <f t="shared" si="823"/>
        <v>0</v>
      </c>
      <c r="Y984" s="2013">
        <f t="shared" si="824"/>
        <v>0</v>
      </c>
      <c r="Z984" s="2013">
        <f t="shared" si="825"/>
        <v>0</v>
      </c>
      <c r="AA984" s="2013">
        <f t="shared" si="826"/>
        <v>0</v>
      </c>
      <c r="AB984" s="2013">
        <f t="shared" si="827"/>
        <v>0</v>
      </c>
      <c r="AC984" s="2014">
        <f t="shared" si="828"/>
        <v>0</v>
      </c>
      <c r="AF984" s="1857" t="str">
        <f t="shared" si="829"/>
        <v>CNM</v>
      </c>
      <c r="AG984" s="2013">
        <f t="shared" si="830"/>
        <v>0</v>
      </c>
      <c r="AH984" s="2013">
        <f t="shared" si="831"/>
        <v>0</v>
      </c>
      <c r="AI984" s="2013">
        <f t="shared" si="832"/>
        <v>0</v>
      </c>
      <c r="AJ984" s="2013">
        <f t="shared" si="833"/>
        <v>0</v>
      </c>
      <c r="AK984" s="2013">
        <f t="shared" si="834"/>
        <v>0</v>
      </c>
      <c r="AL984" s="2013">
        <f t="shared" si="835"/>
        <v>0</v>
      </c>
      <c r="AM984" s="2013">
        <f t="shared" si="836"/>
        <v>0</v>
      </c>
      <c r="AN984" s="2013">
        <f>IF($AF984&lt;&gt;0,SUMIFS($C$9:$C$98,$D$9:$D$98,$D$639,L$889:$L$978,$AF984),0)</f>
        <v>0</v>
      </c>
      <c r="AO984" s="2013">
        <f t="shared" si="837"/>
        <v>0</v>
      </c>
      <c r="AP984" s="2013">
        <f t="shared" si="838"/>
        <v>0</v>
      </c>
      <c r="AQ984" s="2013">
        <f t="shared" si="839"/>
        <v>0</v>
      </c>
      <c r="AR984" s="2014">
        <f t="shared" si="840"/>
        <v>0</v>
      </c>
    </row>
    <row r="985" spans="1:44" x14ac:dyDescent="0.2">
      <c r="A985" s="6"/>
      <c r="B985" s="1857" t="str">
        <f t="shared" si="804"/>
        <v>CN bajo</v>
      </c>
      <c r="C985" s="2015">
        <f t="shared" si="805"/>
        <v>0</v>
      </c>
      <c r="D985" s="2015">
        <f t="shared" si="806"/>
        <v>0</v>
      </c>
      <c r="E985" s="2015">
        <f t="shared" si="807"/>
        <v>0</v>
      </c>
      <c r="F985" s="2015">
        <f t="shared" si="808"/>
        <v>0</v>
      </c>
      <c r="G985" s="2015">
        <f t="shared" si="809"/>
        <v>0</v>
      </c>
      <c r="H985" s="2015">
        <f t="shared" si="810"/>
        <v>0</v>
      </c>
      <c r="I985" s="2015">
        <f t="shared" si="811"/>
        <v>0</v>
      </c>
      <c r="J985" s="2015">
        <f t="shared" si="812"/>
        <v>0</v>
      </c>
      <c r="K985" s="2015">
        <f t="shared" si="813"/>
        <v>0</v>
      </c>
      <c r="L985" s="2015">
        <f t="shared" si="814"/>
        <v>0</v>
      </c>
      <c r="M985" s="2015">
        <f t="shared" si="815"/>
        <v>0</v>
      </c>
      <c r="N985" s="2016">
        <f t="shared" si="816"/>
        <v>0</v>
      </c>
      <c r="P985" s="6"/>
      <c r="Q985" s="1857" t="str">
        <f>D816</f>
        <v>CN bajo</v>
      </c>
      <c r="R985" s="2015">
        <f t="shared" si="817"/>
        <v>0</v>
      </c>
      <c r="S985" s="2015">
        <f t="shared" si="818"/>
        <v>0</v>
      </c>
      <c r="T985" s="2015">
        <f t="shared" si="819"/>
        <v>0</v>
      </c>
      <c r="U985" s="2015">
        <f t="shared" si="820"/>
        <v>0</v>
      </c>
      <c r="V985" s="2015">
        <f t="shared" si="821"/>
        <v>0</v>
      </c>
      <c r="W985" s="2015">
        <f t="shared" si="822"/>
        <v>0</v>
      </c>
      <c r="X985" s="2015">
        <f t="shared" si="823"/>
        <v>0</v>
      </c>
      <c r="Y985" s="2015">
        <f t="shared" si="824"/>
        <v>0</v>
      </c>
      <c r="Z985" s="2015">
        <f t="shared" si="825"/>
        <v>0</v>
      </c>
      <c r="AA985" s="2015">
        <f t="shared" si="826"/>
        <v>0</v>
      </c>
      <c r="AB985" s="2015">
        <f t="shared" si="827"/>
        <v>0</v>
      </c>
      <c r="AC985" s="2016">
        <f t="shared" si="828"/>
        <v>0</v>
      </c>
      <c r="AF985" s="1857" t="str">
        <f t="shared" si="829"/>
        <v>CN bajo</v>
      </c>
      <c r="AG985" s="2015">
        <f t="shared" si="830"/>
        <v>0</v>
      </c>
      <c r="AH985" s="2015">
        <f t="shared" si="831"/>
        <v>0</v>
      </c>
      <c r="AI985" s="2015">
        <f t="shared" si="832"/>
        <v>0</v>
      </c>
      <c r="AJ985" s="2015">
        <f t="shared" si="833"/>
        <v>0</v>
      </c>
      <c r="AK985" s="2015">
        <f t="shared" si="834"/>
        <v>0</v>
      </c>
      <c r="AL985" s="2015">
        <f t="shared" si="835"/>
        <v>0</v>
      </c>
      <c r="AM985" s="2015">
        <f t="shared" si="836"/>
        <v>0</v>
      </c>
      <c r="AN985" s="2015">
        <f>IF($AF985&lt;&gt;0,SUMIFS($C$9:$C$98,$D$9:$D$98,$D$639,L$889:$L$978,$AF985),0)</f>
        <v>0</v>
      </c>
      <c r="AO985" s="2015">
        <f t="shared" si="837"/>
        <v>0</v>
      </c>
      <c r="AP985" s="2015">
        <f t="shared" si="838"/>
        <v>0</v>
      </c>
      <c r="AQ985" s="2015">
        <f t="shared" si="839"/>
        <v>0</v>
      </c>
      <c r="AR985" s="2016">
        <f t="shared" si="840"/>
        <v>0</v>
      </c>
    </row>
    <row r="986" spans="1:44" x14ac:dyDescent="0.2">
      <c r="A986" s="6"/>
      <c r="B986" s="2017">
        <f t="shared" si="804"/>
        <v>0</v>
      </c>
      <c r="C986" s="2018">
        <f t="shared" si="805"/>
        <v>0</v>
      </c>
      <c r="D986" s="2018">
        <f t="shared" si="806"/>
        <v>0</v>
      </c>
      <c r="E986" s="2018">
        <f t="shared" si="807"/>
        <v>0</v>
      </c>
      <c r="F986" s="2018">
        <f t="shared" si="808"/>
        <v>0</v>
      </c>
      <c r="G986" s="2018">
        <f t="shared" si="809"/>
        <v>0</v>
      </c>
      <c r="H986" s="2018">
        <f t="shared" si="810"/>
        <v>0</v>
      </c>
      <c r="I986" s="2018">
        <f t="shared" si="811"/>
        <v>0</v>
      </c>
      <c r="J986" s="2018">
        <f t="shared" si="812"/>
        <v>0</v>
      </c>
      <c r="K986" s="2018">
        <f t="shared" si="813"/>
        <v>0</v>
      </c>
      <c r="L986" s="2018">
        <f t="shared" si="814"/>
        <v>0</v>
      </c>
      <c r="M986" s="2018">
        <f t="shared" si="815"/>
        <v>0</v>
      </c>
      <c r="N986" s="2019">
        <f t="shared" si="816"/>
        <v>0</v>
      </c>
      <c r="P986" s="6"/>
      <c r="Q986" s="2017"/>
      <c r="R986" s="2018">
        <f t="shared" si="817"/>
        <v>0</v>
      </c>
      <c r="S986" s="2018">
        <f t="shared" si="818"/>
        <v>0</v>
      </c>
      <c r="T986" s="2018">
        <f t="shared" si="819"/>
        <v>0</v>
      </c>
      <c r="U986" s="2018">
        <f t="shared" si="820"/>
        <v>0</v>
      </c>
      <c r="V986" s="2018">
        <f t="shared" si="821"/>
        <v>0</v>
      </c>
      <c r="W986" s="2018">
        <f t="shared" si="822"/>
        <v>0</v>
      </c>
      <c r="X986" s="2018">
        <f t="shared" si="823"/>
        <v>0</v>
      </c>
      <c r="Y986" s="2018">
        <f t="shared" si="824"/>
        <v>0</v>
      </c>
      <c r="Z986" s="2018">
        <f t="shared" si="825"/>
        <v>0</v>
      </c>
      <c r="AA986" s="2018">
        <f t="shared" si="826"/>
        <v>0</v>
      </c>
      <c r="AB986" s="2018">
        <f t="shared" si="827"/>
        <v>0</v>
      </c>
      <c r="AC986" s="2019">
        <f t="shared" si="828"/>
        <v>0</v>
      </c>
      <c r="AF986" s="2017">
        <f t="shared" si="829"/>
        <v>0</v>
      </c>
      <c r="AG986" s="2018">
        <f t="shared" si="830"/>
        <v>0</v>
      </c>
      <c r="AH986" s="2018">
        <f t="shared" si="831"/>
        <v>0</v>
      </c>
      <c r="AI986" s="2018">
        <f t="shared" si="832"/>
        <v>0</v>
      </c>
      <c r="AJ986" s="2018">
        <f t="shared" si="833"/>
        <v>0</v>
      </c>
      <c r="AK986" s="2018">
        <f t="shared" si="834"/>
        <v>0</v>
      </c>
      <c r="AL986" s="2018">
        <f t="shared" si="835"/>
        <v>0</v>
      </c>
      <c r="AM986" s="2018">
        <f t="shared" si="836"/>
        <v>0</v>
      </c>
      <c r="AN986" s="2018">
        <f>IF($AF986&lt;&gt;0,SUMIFS($C$9:$C$98,$D$9:$D$98,$D$639,L$889:$L$978,$AF986),0)</f>
        <v>0</v>
      </c>
      <c r="AO986" s="2018">
        <f t="shared" si="837"/>
        <v>0</v>
      </c>
      <c r="AP986" s="2018">
        <f t="shared" si="838"/>
        <v>0</v>
      </c>
      <c r="AQ986" s="2018">
        <f t="shared" si="839"/>
        <v>0</v>
      </c>
      <c r="AR986" s="2019">
        <f t="shared" si="840"/>
        <v>0</v>
      </c>
    </row>
    <row r="987" spans="1:44" x14ac:dyDescent="0.2">
      <c r="A987" s="6"/>
      <c r="B987" s="1857" t="str">
        <f t="shared" si="804"/>
        <v>Alfalfa 1</v>
      </c>
      <c r="C987" s="2013">
        <f t="shared" si="805"/>
        <v>0</v>
      </c>
      <c r="D987" s="2013">
        <f t="shared" si="806"/>
        <v>0</v>
      </c>
      <c r="E987" s="2013">
        <f t="shared" si="807"/>
        <v>0</v>
      </c>
      <c r="F987" s="2013">
        <f t="shared" si="808"/>
        <v>0</v>
      </c>
      <c r="G987" s="2013">
        <f t="shared" si="809"/>
        <v>0</v>
      </c>
      <c r="H987" s="2013">
        <f t="shared" si="810"/>
        <v>0</v>
      </c>
      <c r="I987" s="2013">
        <f t="shared" si="811"/>
        <v>0</v>
      </c>
      <c r="J987" s="2013">
        <f t="shared" si="812"/>
        <v>0</v>
      </c>
      <c r="K987" s="2013">
        <f t="shared" si="813"/>
        <v>0</v>
      </c>
      <c r="L987" s="2013">
        <f t="shared" si="814"/>
        <v>0</v>
      </c>
      <c r="M987" s="2013">
        <f t="shared" si="815"/>
        <v>0</v>
      </c>
      <c r="N987" s="2014">
        <f t="shared" si="816"/>
        <v>0</v>
      </c>
      <c r="P987" s="6"/>
      <c r="Q987" s="1857" t="str">
        <f t="shared" ref="Q987:Q992" si="841">D818</f>
        <v>Alfalfa 1</v>
      </c>
      <c r="R987" s="2013">
        <f t="shared" si="817"/>
        <v>0</v>
      </c>
      <c r="S987" s="2013">
        <f t="shared" si="818"/>
        <v>0</v>
      </c>
      <c r="T987" s="2013">
        <f t="shared" si="819"/>
        <v>0</v>
      </c>
      <c r="U987" s="2013">
        <f t="shared" si="820"/>
        <v>0</v>
      </c>
      <c r="V987" s="2013">
        <f t="shared" si="821"/>
        <v>0</v>
      </c>
      <c r="W987" s="2013">
        <f t="shared" si="822"/>
        <v>0</v>
      </c>
      <c r="X987" s="2013">
        <f t="shared" si="823"/>
        <v>0</v>
      </c>
      <c r="Y987" s="2013">
        <f t="shared" si="824"/>
        <v>0</v>
      </c>
      <c r="Z987" s="2013">
        <f t="shared" si="825"/>
        <v>0</v>
      </c>
      <c r="AA987" s="2013">
        <f t="shared" si="826"/>
        <v>0</v>
      </c>
      <c r="AB987" s="2013">
        <f t="shared" si="827"/>
        <v>0</v>
      </c>
      <c r="AC987" s="2014">
        <f t="shared" si="828"/>
        <v>0</v>
      </c>
      <c r="AF987" s="1857" t="str">
        <f t="shared" si="829"/>
        <v>Alfalfa 1</v>
      </c>
      <c r="AG987" s="2013">
        <f t="shared" si="830"/>
        <v>0</v>
      </c>
      <c r="AH987" s="2013">
        <f t="shared" si="831"/>
        <v>0</v>
      </c>
      <c r="AI987" s="2013">
        <f t="shared" si="832"/>
        <v>0</v>
      </c>
      <c r="AJ987" s="2013">
        <f t="shared" si="833"/>
        <v>0</v>
      </c>
      <c r="AK987" s="2013">
        <f t="shared" si="834"/>
        <v>0</v>
      </c>
      <c r="AL987" s="2013">
        <f t="shared" si="835"/>
        <v>0</v>
      </c>
      <c r="AM987" s="2013">
        <f t="shared" si="836"/>
        <v>0</v>
      </c>
      <c r="AN987" s="2013">
        <f>IF($AF987&lt;&gt;0,SUMIFS($C$9:$C$98,$D$9:$D$98,$D$639,L$889:$L$978,$AF987),0)</f>
        <v>0</v>
      </c>
      <c r="AO987" s="2013">
        <f t="shared" si="837"/>
        <v>0</v>
      </c>
      <c r="AP987" s="2013">
        <f t="shared" si="838"/>
        <v>0</v>
      </c>
      <c r="AQ987" s="2013">
        <f t="shared" si="839"/>
        <v>0</v>
      </c>
      <c r="AR987" s="2014">
        <f t="shared" si="840"/>
        <v>0</v>
      </c>
    </row>
    <row r="988" spans="1:44" x14ac:dyDescent="0.2">
      <c r="A988" s="6"/>
      <c r="B988" s="1857" t="str">
        <f t="shared" si="804"/>
        <v>PP 1</v>
      </c>
      <c r="C988" s="2013">
        <f t="shared" si="805"/>
        <v>0</v>
      </c>
      <c r="D988" s="2013">
        <f t="shared" si="806"/>
        <v>0</v>
      </c>
      <c r="E988" s="2013">
        <f t="shared" si="807"/>
        <v>0</v>
      </c>
      <c r="F988" s="2013">
        <f t="shared" si="808"/>
        <v>0</v>
      </c>
      <c r="G988" s="2013">
        <f t="shared" si="809"/>
        <v>0</v>
      </c>
      <c r="H988" s="2013">
        <f t="shared" si="810"/>
        <v>0</v>
      </c>
      <c r="I988" s="2013">
        <f t="shared" si="811"/>
        <v>0</v>
      </c>
      <c r="J988" s="2013">
        <f t="shared" si="812"/>
        <v>0</v>
      </c>
      <c r="K988" s="2013">
        <f t="shared" si="813"/>
        <v>0</v>
      </c>
      <c r="L988" s="2013">
        <f t="shared" si="814"/>
        <v>0</v>
      </c>
      <c r="M988" s="2013">
        <f t="shared" si="815"/>
        <v>0</v>
      </c>
      <c r="N988" s="2014">
        <f t="shared" si="816"/>
        <v>0</v>
      </c>
      <c r="P988" s="6"/>
      <c r="Q988" s="1857" t="str">
        <f t="shared" si="841"/>
        <v>PP 1</v>
      </c>
      <c r="R988" s="2013">
        <f t="shared" si="817"/>
        <v>0</v>
      </c>
      <c r="S988" s="2013">
        <f t="shared" si="818"/>
        <v>0</v>
      </c>
      <c r="T988" s="2013">
        <f t="shared" si="819"/>
        <v>0</v>
      </c>
      <c r="U988" s="2013">
        <f t="shared" si="820"/>
        <v>0</v>
      </c>
      <c r="V988" s="2013">
        <f t="shared" si="821"/>
        <v>0</v>
      </c>
      <c r="W988" s="2013">
        <f t="shared" si="822"/>
        <v>0</v>
      </c>
      <c r="X988" s="2013">
        <f t="shared" si="823"/>
        <v>0</v>
      </c>
      <c r="Y988" s="2013">
        <f t="shared" si="824"/>
        <v>0</v>
      </c>
      <c r="Z988" s="2013">
        <f t="shared" si="825"/>
        <v>0</v>
      </c>
      <c r="AA988" s="2013">
        <f t="shared" si="826"/>
        <v>0</v>
      </c>
      <c r="AB988" s="2013">
        <f t="shared" si="827"/>
        <v>0</v>
      </c>
      <c r="AC988" s="2014">
        <f t="shared" si="828"/>
        <v>0</v>
      </c>
      <c r="AF988" s="1857" t="str">
        <f t="shared" si="829"/>
        <v>PP 1</v>
      </c>
      <c r="AG988" s="2013">
        <f t="shared" si="830"/>
        <v>0</v>
      </c>
      <c r="AH988" s="2013">
        <f t="shared" si="831"/>
        <v>0</v>
      </c>
      <c r="AI988" s="2013">
        <f t="shared" si="832"/>
        <v>0</v>
      </c>
      <c r="AJ988" s="2013">
        <f t="shared" si="833"/>
        <v>0</v>
      </c>
      <c r="AK988" s="2013">
        <f t="shared" si="834"/>
        <v>0</v>
      </c>
      <c r="AL988" s="2013">
        <f t="shared" si="835"/>
        <v>0</v>
      </c>
      <c r="AM988" s="2013">
        <f t="shared" si="836"/>
        <v>0</v>
      </c>
      <c r="AN988" s="2013">
        <f>IF($AF988&lt;&gt;0,SUMIFS($C$9:$C$98,$D$9:$D$98,$D$639,L$889:$L$978,$AF988),0)</f>
        <v>0</v>
      </c>
      <c r="AO988" s="2013">
        <f t="shared" si="837"/>
        <v>0</v>
      </c>
      <c r="AP988" s="2013">
        <f t="shared" si="838"/>
        <v>0</v>
      </c>
      <c r="AQ988" s="2013">
        <f t="shared" si="839"/>
        <v>0</v>
      </c>
      <c r="AR988" s="2014">
        <f t="shared" si="840"/>
        <v>0</v>
      </c>
    </row>
    <row r="989" spans="1:44" x14ac:dyDescent="0.2">
      <c r="A989" s="6"/>
      <c r="B989" s="1857" t="str">
        <f t="shared" si="804"/>
        <v>Prad 1</v>
      </c>
      <c r="C989" s="2013">
        <f t="shared" si="805"/>
        <v>0</v>
      </c>
      <c r="D989" s="2013">
        <f t="shared" si="806"/>
        <v>0</v>
      </c>
      <c r="E989" s="2013">
        <f t="shared" si="807"/>
        <v>0</v>
      </c>
      <c r="F989" s="2013">
        <f t="shared" si="808"/>
        <v>0</v>
      </c>
      <c r="G989" s="2013">
        <f t="shared" si="809"/>
        <v>0</v>
      </c>
      <c r="H989" s="2013">
        <f t="shared" si="810"/>
        <v>0</v>
      </c>
      <c r="I989" s="2013">
        <f t="shared" si="811"/>
        <v>0</v>
      </c>
      <c r="J989" s="2013">
        <f t="shared" si="812"/>
        <v>0</v>
      </c>
      <c r="K989" s="2013">
        <f t="shared" si="813"/>
        <v>0</v>
      </c>
      <c r="L989" s="2013">
        <f t="shared" si="814"/>
        <v>0</v>
      </c>
      <c r="M989" s="2013">
        <f t="shared" si="815"/>
        <v>0</v>
      </c>
      <c r="N989" s="2014">
        <f t="shared" si="816"/>
        <v>0</v>
      </c>
      <c r="P989" s="6"/>
      <c r="Q989" s="1857" t="str">
        <f t="shared" si="841"/>
        <v>Prad 1</v>
      </c>
      <c r="R989" s="2013">
        <f t="shared" si="817"/>
        <v>0</v>
      </c>
      <c r="S989" s="2013">
        <f t="shared" si="818"/>
        <v>0</v>
      </c>
      <c r="T989" s="2013">
        <f t="shared" si="819"/>
        <v>0</v>
      </c>
      <c r="U989" s="2013">
        <f t="shared" si="820"/>
        <v>0</v>
      </c>
      <c r="V989" s="2013">
        <f t="shared" si="821"/>
        <v>0</v>
      </c>
      <c r="W989" s="2013">
        <f t="shared" si="822"/>
        <v>0</v>
      </c>
      <c r="X989" s="2013">
        <f t="shared" si="823"/>
        <v>0</v>
      </c>
      <c r="Y989" s="2013">
        <f t="shared" si="824"/>
        <v>0</v>
      </c>
      <c r="Z989" s="2013">
        <f t="shared" si="825"/>
        <v>0</v>
      </c>
      <c r="AA989" s="2013">
        <f t="shared" si="826"/>
        <v>0</v>
      </c>
      <c r="AB989" s="2013">
        <f t="shared" si="827"/>
        <v>0</v>
      </c>
      <c r="AC989" s="2014">
        <f t="shared" si="828"/>
        <v>0</v>
      </c>
      <c r="AF989" s="1857" t="str">
        <f t="shared" si="829"/>
        <v>Prad 1</v>
      </c>
      <c r="AG989" s="2013">
        <f t="shared" si="830"/>
        <v>0</v>
      </c>
      <c r="AH989" s="2013">
        <f t="shared" si="831"/>
        <v>0</v>
      </c>
      <c r="AI989" s="2013">
        <f t="shared" si="832"/>
        <v>0</v>
      </c>
      <c r="AJ989" s="2013">
        <f t="shared" si="833"/>
        <v>0</v>
      </c>
      <c r="AK989" s="2013">
        <f t="shared" si="834"/>
        <v>0</v>
      </c>
      <c r="AL989" s="2013">
        <f t="shared" si="835"/>
        <v>0</v>
      </c>
      <c r="AM989" s="2013">
        <f t="shared" si="836"/>
        <v>0</v>
      </c>
      <c r="AN989" s="2013">
        <f>IF($AF989&lt;&gt;0,SUMIFS($C$9:$C$98,$D$9:$D$98,$D$639,L$889:$L$978,$AF989),0)</f>
        <v>0</v>
      </c>
      <c r="AO989" s="2013">
        <f t="shared" si="837"/>
        <v>0</v>
      </c>
      <c r="AP989" s="2013">
        <f t="shared" si="838"/>
        <v>0</v>
      </c>
      <c r="AQ989" s="2013">
        <f t="shared" si="839"/>
        <v>0</v>
      </c>
      <c r="AR989" s="2014">
        <f t="shared" si="840"/>
        <v>0</v>
      </c>
    </row>
    <row r="990" spans="1:44" x14ac:dyDescent="0.2">
      <c r="A990" s="6"/>
      <c r="B990" s="1857" t="str">
        <f t="shared" si="804"/>
        <v>Trébol Rojo 1</v>
      </c>
      <c r="C990" s="2013">
        <f t="shared" si="805"/>
        <v>0</v>
      </c>
      <c r="D990" s="2013">
        <f t="shared" si="806"/>
        <v>0</v>
      </c>
      <c r="E990" s="2013">
        <f t="shared" si="807"/>
        <v>0</v>
      </c>
      <c r="F990" s="2013">
        <f t="shared" si="808"/>
        <v>0</v>
      </c>
      <c r="G990" s="2013">
        <f t="shared" si="809"/>
        <v>0</v>
      </c>
      <c r="H990" s="2013">
        <f t="shared" si="810"/>
        <v>0</v>
      </c>
      <c r="I990" s="2013">
        <f t="shared" si="811"/>
        <v>0</v>
      </c>
      <c r="J990" s="2013">
        <f t="shared" si="812"/>
        <v>0</v>
      </c>
      <c r="K990" s="2013">
        <f t="shared" si="813"/>
        <v>0</v>
      </c>
      <c r="L990" s="2013">
        <f t="shared" si="814"/>
        <v>0</v>
      </c>
      <c r="M990" s="2013">
        <f t="shared" si="815"/>
        <v>0</v>
      </c>
      <c r="N990" s="2014">
        <f t="shared" si="816"/>
        <v>0</v>
      </c>
      <c r="P990" s="6"/>
      <c r="Q990" s="1857" t="str">
        <f t="shared" si="841"/>
        <v>Trébol Rojo 1</v>
      </c>
      <c r="R990" s="2013">
        <f t="shared" si="817"/>
        <v>0</v>
      </c>
      <c r="S990" s="2013">
        <f t="shared" si="818"/>
        <v>0</v>
      </c>
      <c r="T990" s="2013">
        <f t="shared" si="819"/>
        <v>0</v>
      </c>
      <c r="U990" s="2013">
        <f t="shared" si="820"/>
        <v>0</v>
      </c>
      <c r="V990" s="2013">
        <f t="shared" si="821"/>
        <v>0</v>
      </c>
      <c r="W990" s="2013">
        <f t="shared" si="822"/>
        <v>0</v>
      </c>
      <c r="X990" s="2013">
        <f t="shared" si="823"/>
        <v>0</v>
      </c>
      <c r="Y990" s="2013">
        <f t="shared" si="824"/>
        <v>0</v>
      </c>
      <c r="Z990" s="2013">
        <f t="shared" si="825"/>
        <v>0</v>
      </c>
      <c r="AA990" s="2013">
        <f t="shared" si="826"/>
        <v>0</v>
      </c>
      <c r="AB990" s="2013">
        <f t="shared" si="827"/>
        <v>0</v>
      </c>
      <c r="AC990" s="2014">
        <f t="shared" si="828"/>
        <v>0</v>
      </c>
      <c r="AF990" s="1857" t="str">
        <f t="shared" si="829"/>
        <v>Trébol Rojo 1</v>
      </c>
      <c r="AG990" s="2013">
        <f t="shared" si="830"/>
        <v>0</v>
      </c>
      <c r="AH990" s="2013">
        <f t="shared" si="831"/>
        <v>0</v>
      </c>
      <c r="AI990" s="2013">
        <f t="shared" si="832"/>
        <v>0</v>
      </c>
      <c r="AJ990" s="2013">
        <f t="shared" si="833"/>
        <v>0</v>
      </c>
      <c r="AK990" s="2013">
        <f t="shared" si="834"/>
        <v>0</v>
      </c>
      <c r="AL990" s="2013">
        <f t="shared" si="835"/>
        <v>0</v>
      </c>
      <c r="AM990" s="2013">
        <f t="shared" si="836"/>
        <v>0</v>
      </c>
      <c r="AN990" s="2013">
        <f>IF($AF990&lt;&gt;0,SUMIFS($C$9:$C$98,$D$9:$D$98,$D$639,L$889:$L$978,$AF990),0)</f>
        <v>0</v>
      </c>
      <c r="AO990" s="2013">
        <f t="shared" si="837"/>
        <v>0</v>
      </c>
      <c r="AP990" s="2013">
        <f t="shared" si="838"/>
        <v>0</v>
      </c>
      <c r="AQ990" s="2013">
        <f t="shared" si="839"/>
        <v>0</v>
      </c>
      <c r="AR990" s="2014">
        <f t="shared" si="840"/>
        <v>0</v>
      </c>
    </row>
    <row r="991" spans="1:44" x14ac:dyDescent="0.2">
      <c r="A991" s="6"/>
      <c r="B991" s="1857">
        <f t="shared" si="804"/>
        <v>0</v>
      </c>
      <c r="C991" s="2015">
        <f t="shared" si="805"/>
        <v>0</v>
      </c>
      <c r="D991" s="2015">
        <f t="shared" si="806"/>
        <v>0</v>
      </c>
      <c r="E991" s="2015">
        <f t="shared" si="807"/>
        <v>0</v>
      </c>
      <c r="F991" s="2015">
        <f t="shared" si="808"/>
        <v>0</v>
      </c>
      <c r="G991" s="2015">
        <f t="shared" si="809"/>
        <v>0</v>
      </c>
      <c r="H991" s="2015">
        <f t="shared" si="810"/>
        <v>0</v>
      </c>
      <c r="I991" s="2015">
        <f t="shared" si="811"/>
        <v>0</v>
      </c>
      <c r="J991" s="2015">
        <f t="shared" si="812"/>
        <v>0</v>
      </c>
      <c r="K991" s="2015">
        <f t="shared" si="813"/>
        <v>0</v>
      </c>
      <c r="L991" s="2015">
        <f t="shared" si="814"/>
        <v>0</v>
      </c>
      <c r="M991" s="2015">
        <f t="shared" si="815"/>
        <v>0</v>
      </c>
      <c r="N991" s="2016">
        <f t="shared" si="816"/>
        <v>0</v>
      </c>
      <c r="P991" s="6"/>
      <c r="Q991" s="1857">
        <f t="shared" si="841"/>
        <v>0</v>
      </c>
      <c r="R991" s="2013">
        <f t="shared" si="817"/>
        <v>0</v>
      </c>
      <c r="S991" s="2013">
        <f t="shared" si="818"/>
        <v>0</v>
      </c>
      <c r="T991" s="2013">
        <f t="shared" si="819"/>
        <v>0</v>
      </c>
      <c r="U991" s="2013">
        <f t="shared" si="820"/>
        <v>0</v>
      </c>
      <c r="V991" s="2013">
        <f t="shared" si="821"/>
        <v>0</v>
      </c>
      <c r="W991" s="2013">
        <f t="shared" si="822"/>
        <v>0</v>
      </c>
      <c r="X991" s="2013">
        <f t="shared" si="823"/>
        <v>0</v>
      </c>
      <c r="Y991" s="2013">
        <f t="shared" si="824"/>
        <v>0</v>
      </c>
      <c r="Z991" s="2013">
        <f t="shared" si="825"/>
        <v>0</v>
      </c>
      <c r="AA991" s="2013">
        <f t="shared" si="826"/>
        <v>0</v>
      </c>
      <c r="AB991" s="2013">
        <f t="shared" si="827"/>
        <v>0</v>
      </c>
      <c r="AC991" s="2014">
        <f t="shared" si="828"/>
        <v>0</v>
      </c>
      <c r="AF991" s="1857">
        <f t="shared" si="829"/>
        <v>0</v>
      </c>
      <c r="AG991" s="2013">
        <f t="shared" si="830"/>
        <v>0</v>
      </c>
      <c r="AH991" s="2013">
        <f t="shared" si="831"/>
        <v>0</v>
      </c>
      <c r="AI991" s="2013">
        <f t="shared" si="832"/>
        <v>0</v>
      </c>
      <c r="AJ991" s="2013">
        <f t="shared" si="833"/>
        <v>0</v>
      </c>
      <c r="AK991" s="2013">
        <f t="shared" si="834"/>
        <v>0</v>
      </c>
      <c r="AL991" s="2013">
        <f t="shared" si="835"/>
        <v>0</v>
      </c>
      <c r="AM991" s="2013">
        <f t="shared" si="836"/>
        <v>0</v>
      </c>
      <c r="AN991" s="2013">
        <f>IF($AF991&lt;&gt;0,SUMIFS($C$9:$C$98,$D$9:$D$98,$D$639,L$889:$L$978,$AF991),0)</f>
        <v>0</v>
      </c>
      <c r="AO991" s="2013">
        <f t="shared" si="837"/>
        <v>0</v>
      </c>
      <c r="AP991" s="2013">
        <f t="shared" si="838"/>
        <v>0</v>
      </c>
      <c r="AQ991" s="2013">
        <f t="shared" si="839"/>
        <v>0</v>
      </c>
      <c r="AR991" s="2014">
        <f t="shared" si="840"/>
        <v>0</v>
      </c>
    </row>
    <row r="992" spans="1:44" x14ac:dyDescent="0.2">
      <c r="A992" s="6"/>
      <c r="B992" s="1857">
        <f t="shared" si="804"/>
        <v>0</v>
      </c>
      <c r="C992" s="2018">
        <f t="shared" si="805"/>
        <v>0</v>
      </c>
      <c r="D992" s="2018">
        <f t="shared" si="806"/>
        <v>0</v>
      </c>
      <c r="E992" s="2018">
        <f t="shared" si="807"/>
        <v>0</v>
      </c>
      <c r="F992" s="2018">
        <f t="shared" si="808"/>
        <v>0</v>
      </c>
      <c r="G992" s="2018">
        <f t="shared" si="809"/>
        <v>0</v>
      </c>
      <c r="H992" s="2018">
        <f t="shared" si="810"/>
        <v>0</v>
      </c>
      <c r="I992" s="2018">
        <f t="shared" si="811"/>
        <v>0</v>
      </c>
      <c r="J992" s="2018">
        <f t="shared" si="812"/>
        <v>0</v>
      </c>
      <c r="K992" s="2018">
        <f t="shared" si="813"/>
        <v>0</v>
      </c>
      <c r="L992" s="2018">
        <f t="shared" si="814"/>
        <v>0</v>
      </c>
      <c r="M992" s="2018">
        <f t="shared" si="815"/>
        <v>0</v>
      </c>
      <c r="N992" s="2019">
        <f t="shared" si="816"/>
        <v>0</v>
      </c>
      <c r="P992" s="6"/>
      <c r="Q992" s="1857">
        <f t="shared" si="841"/>
        <v>0</v>
      </c>
      <c r="R992" s="2015">
        <f t="shared" si="817"/>
        <v>0</v>
      </c>
      <c r="S992" s="2015">
        <f t="shared" si="818"/>
        <v>0</v>
      </c>
      <c r="T992" s="2015">
        <f t="shared" si="819"/>
        <v>0</v>
      </c>
      <c r="U992" s="2015">
        <f t="shared" si="820"/>
        <v>0</v>
      </c>
      <c r="V992" s="2015">
        <f t="shared" si="821"/>
        <v>0</v>
      </c>
      <c r="W992" s="2015">
        <f t="shared" si="822"/>
        <v>0</v>
      </c>
      <c r="X992" s="2015">
        <f t="shared" si="823"/>
        <v>0</v>
      </c>
      <c r="Y992" s="2015">
        <f t="shared" si="824"/>
        <v>0</v>
      </c>
      <c r="Z992" s="2015">
        <f t="shared" si="825"/>
        <v>0</v>
      </c>
      <c r="AA992" s="2015">
        <f t="shared" si="826"/>
        <v>0</v>
      </c>
      <c r="AB992" s="2015">
        <f t="shared" si="827"/>
        <v>0</v>
      </c>
      <c r="AC992" s="2016">
        <f t="shared" si="828"/>
        <v>0</v>
      </c>
      <c r="AF992" s="1857">
        <f t="shared" si="829"/>
        <v>0</v>
      </c>
      <c r="AG992" s="2015">
        <f t="shared" si="830"/>
        <v>0</v>
      </c>
      <c r="AH992" s="2015">
        <f t="shared" si="831"/>
        <v>0</v>
      </c>
      <c r="AI992" s="2015">
        <f t="shared" si="832"/>
        <v>0</v>
      </c>
      <c r="AJ992" s="2015">
        <f t="shared" si="833"/>
        <v>0</v>
      </c>
      <c r="AK992" s="2015">
        <f t="shared" si="834"/>
        <v>0</v>
      </c>
      <c r="AL992" s="2015">
        <f t="shared" si="835"/>
        <v>0</v>
      </c>
      <c r="AM992" s="2015">
        <f t="shared" si="836"/>
        <v>0</v>
      </c>
      <c r="AN992" s="2015">
        <f>IF($AF992&lt;&gt;0,SUMIFS($C$9:$C$98,$D$9:$D$98,$D$639,L$889:$L$978,$AF992),0)</f>
        <v>0</v>
      </c>
      <c r="AO992" s="2015">
        <f t="shared" si="837"/>
        <v>0</v>
      </c>
      <c r="AP992" s="2015">
        <f t="shared" si="838"/>
        <v>0</v>
      </c>
      <c r="AQ992" s="2015">
        <f t="shared" si="839"/>
        <v>0</v>
      </c>
      <c r="AR992" s="2016">
        <f t="shared" si="840"/>
        <v>0</v>
      </c>
    </row>
    <row r="993" spans="1:44" x14ac:dyDescent="0.2">
      <c r="A993" s="6"/>
      <c r="B993" s="2020">
        <f t="shared" si="804"/>
        <v>0</v>
      </c>
      <c r="C993" s="2013">
        <f t="shared" si="805"/>
        <v>0</v>
      </c>
      <c r="D993" s="2013">
        <f t="shared" si="806"/>
        <v>0</v>
      </c>
      <c r="E993" s="2013">
        <f t="shared" si="807"/>
        <v>0</v>
      </c>
      <c r="F993" s="2013">
        <f t="shared" si="808"/>
        <v>0</v>
      </c>
      <c r="G993" s="2013">
        <f t="shared" si="809"/>
        <v>0</v>
      </c>
      <c r="H993" s="2013">
        <f t="shared" si="810"/>
        <v>0</v>
      </c>
      <c r="I993" s="2013">
        <f t="shared" si="811"/>
        <v>0</v>
      </c>
      <c r="J993" s="2013">
        <f t="shared" si="812"/>
        <v>0</v>
      </c>
      <c r="K993" s="2013">
        <f t="shared" si="813"/>
        <v>0</v>
      </c>
      <c r="L993" s="2013">
        <f t="shared" si="814"/>
        <v>0</v>
      </c>
      <c r="M993" s="2013">
        <f t="shared" si="815"/>
        <v>0</v>
      </c>
      <c r="N993" s="2014">
        <f t="shared" si="816"/>
        <v>0</v>
      </c>
      <c r="P993" s="6"/>
      <c r="Q993" s="2017"/>
      <c r="R993" s="2018">
        <f t="shared" si="817"/>
        <v>0</v>
      </c>
      <c r="S993" s="2018">
        <f t="shared" si="818"/>
        <v>0</v>
      </c>
      <c r="T993" s="2018">
        <f t="shared" si="819"/>
        <v>0</v>
      </c>
      <c r="U993" s="2018">
        <f t="shared" si="820"/>
        <v>0</v>
      </c>
      <c r="V993" s="2018">
        <f t="shared" si="821"/>
        <v>0</v>
      </c>
      <c r="W993" s="2018">
        <f t="shared" si="822"/>
        <v>0</v>
      </c>
      <c r="X993" s="2018">
        <f t="shared" si="823"/>
        <v>0</v>
      </c>
      <c r="Y993" s="2018">
        <f t="shared" si="824"/>
        <v>0</v>
      </c>
      <c r="Z993" s="2018">
        <f t="shared" si="825"/>
        <v>0</v>
      </c>
      <c r="AA993" s="2018">
        <f t="shared" si="826"/>
        <v>0</v>
      </c>
      <c r="AB993" s="2018">
        <f t="shared" si="827"/>
        <v>0</v>
      </c>
      <c r="AC993" s="2019">
        <f t="shared" si="828"/>
        <v>0</v>
      </c>
      <c r="AF993" s="2017">
        <f t="shared" si="829"/>
        <v>0</v>
      </c>
      <c r="AG993" s="2018">
        <f t="shared" si="830"/>
        <v>0</v>
      </c>
      <c r="AH993" s="2018">
        <f t="shared" si="831"/>
        <v>0</v>
      </c>
      <c r="AI993" s="2018">
        <f t="shared" si="832"/>
        <v>0</v>
      </c>
      <c r="AJ993" s="2018">
        <f t="shared" si="833"/>
        <v>0</v>
      </c>
      <c r="AK993" s="2018">
        <f t="shared" si="834"/>
        <v>0</v>
      </c>
      <c r="AL993" s="2018">
        <f t="shared" si="835"/>
        <v>0</v>
      </c>
      <c r="AM993" s="2018">
        <f t="shared" si="836"/>
        <v>0</v>
      </c>
      <c r="AN993" s="2018">
        <f>IF($AF993&lt;&gt;0,SUMIFS($C$9:$C$98,$D$9:$D$98,$D$639,L$889:$L$978,$AF993),0)</f>
        <v>0</v>
      </c>
      <c r="AO993" s="2018">
        <f t="shared" si="837"/>
        <v>0</v>
      </c>
      <c r="AP993" s="2018">
        <f t="shared" si="838"/>
        <v>0</v>
      </c>
      <c r="AQ993" s="2018">
        <f t="shared" si="839"/>
        <v>0</v>
      </c>
      <c r="AR993" s="2019">
        <f t="shared" si="840"/>
        <v>0</v>
      </c>
    </row>
    <row r="994" spans="1:44" x14ac:dyDescent="0.2">
      <c r="A994" s="6"/>
      <c r="B994" s="1857" t="str">
        <f t="shared" si="804"/>
        <v>Alfalfa 2</v>
      </c>
      <c r="C994" s="2013">
        <f t="shared" si="805"/>
        <v>0</v>
      </c>
      <c r="D994" s="2013">
        <f t="shared" si="806"/>
        <v>0</v>
      </c>
      <c r="E994" s="2013">
        <f t="shared" si="807"/>
        <v>0</v>
      </c>
      <c r="F994" s="2013">
        <f t="shared" si="808"/>
        <v>0</v>
      </c>
      <c r="G994" s="2013">
        <f t="shared" si="809"/>
        <v>0</v>
      </c>
      <c r="H994" s="2013">
        <f t="shared" si="810"/>
        <v>0</v>
      </c>
      <c r="I994" s="2013">
        <f t="shared" si="811"/>
        <v>0</v>
      </c>
      <c r="J994" s="2013">
        <f t="shared" si="812"/>
        <v>0</v>
      </c>
      <c r="K994" s="2013">
        <f t="shared" si="813"/>
        <v>0</v>
      </c>
      <c r="L994" s="2013">
        <f t="shared" si="814"/>
        <v>0</v>
      </c>
      <c r="M994" s="2013">
        <f t="shared" si="815"/>
        <v>0</v>
      </c>
      <c r="N994" s="2014">
        <f t="shared" si="816"/>
        <v>0</v>
      </c>
      <c r="P994" s="6"/>
      <c r="Q994" s="1857" t="str">
        <f t="shared" ref="Q994:Q1007" si="842">D825</f>
        <v>Alfalfa 2</v>
      </c>
      <c r="R994" s="2013">
        <f t="shared" si="817"/>
        <v>0</v>
      </c>
      <c r="S994" s="2013">
        <f t="shared" si="818"/>
        <v>0</v>
      </c>
      <c r="T994" s="2013">
        <f t="shared" si="819"/>
        <v>0</v>
      </c>
      <c r="U994" s="2013">
        <f t="shared" si="820"/>
        <v>0</v>
      </c>
      <c r="V994" s="2013">
        <f t="shared" si="821"/>
        <v>0</v>
      </c>
      <c r="W994" s="2013">
        <f t="shared" si="822"/>
        <v>0</v>
      </c>
      <c r="X994" s="2013">
        <f t="shared" si="823"/>
        <v>0</v>
      </c>
      <c r="Y994" s="2013">
        <f t="shared" si="824"/>
        <v>0</v>
      </c>
      <c r="Z994" s="2013">
        <f t="shared" si="825"/>
        <v>0</v>
      </c>
      <c r="AA994" s="2013">
        <f t="shared" si="826"/>
        <v>0</v>
      </c>
      <c r="AB994" s="2013">
        <f t="shared" si="827"/>
        <v>0</v>
      </c>
      <c r="AC994" s="2014">
        <f t="shared" si="828"/>
        <v>0</v>
      </c>
      <c r="AF994" s="1857" t="str">
        <f t="shared" si="829"/>
        <v>Alfalfa 2</v>
      </c>
      <c r="AG994" s="2013">
        <f t="shared" si="830"/>
        <v>0</v>
      </c>
      <c r="AH994" s="2013">
        <f t="shared" si="831"/>
        <v>0</v>
      </c>
      <c r="AI994" s="2013">
        <f t="shared" si="832"/>
        <v>0</v>
      </c>
      <c r="AJ994" s="2013">
        <f t="shared" si="833"/>
        <v>0</v>
      </c>
      <c r="AK994" s="2013">
        <f t="shared" si="834"/>
        <v>0</v>
      </c>
      <c r="AL994" s="2013">
        <f t="shared" si="835"/>
        <v>0</v>
      </c>
      <c r="AM994" s="2013">
        <f t="shared" si="836"/>
        <v>0</v>
      </c>
      <c r="AN994" s="2013">
        <f>IF($AF994&lt;&gt;0,SUMIFS($C$9:$C$98,$D$9:$D$98,$D$639,L$889:$L$978,$AF994),0)</f>
        <v>0</v>
      </c>
      <c r="AO994" s="2013">
        <f t="shared" si="837"/>
        <v>0</v>
      </c>
      <c r="AP994" s="2013">
        <f t="shared" si="838"/>
        <v>0</v>
      </c>
      <c r="AQ994" s="2013">
        <f t="shared" si="839"/>
        <v>0</v>
      </c>
      <c r="AR994" s="2014">
        <f t="shared" si="840"/>
        <v>0</v>
      </c>
    </row>
    <row r="995" spans="1:44" x14ac:dyDescent="0.2">
      <c r="A995" s="6"/>
      <c r="B995" s="1857" t="str">
        <f t="shared" si="804"/>
        <v>Alfalfa 3</v>
      </c>
      <c r="C995" s="2013">
        <f t="shared" si="805"/>
        <v>0</v>
      </c>
      <c r="D995" s="2013">
        <f t="shared" si="806"/>
        <v>0</v>
      </c>
      <c r="E995" s="2013">
        <f t="shared" si="807"/>
        <v>0</v>
      </c>
      <c r="F995" s="2013">
        <f t="shared" si="808"/>
        <v>0</v>
      </c>
      <c r="G995" s="2013">
        <f t="shared" si="809"/>
        <v>0</v>
      </c>
      <c r="H995" s="2013">
        <f t="shared" si="810"/>
        <v>0</v>
      </c>
      <c r="I995" s="2013">
        <f t="shared" si="811"/>
        <v>0</v>
      </c>
      <c r="J995" s="2013">
        <f t="shared" si="812"/>
        <v>0</v>
      </c>
      <c r="K995" s="2013">
        <f t="shared" si="813"/>
        <v>0</v>
      </c>
      <c r="L995" s="2013">
        <f t="shared" si="814"/>
        <v>0</v>
      </c>
      <c r="M995" s="2013">
        <f t="shared" si="815"/>
        <v>0</v>
      </c>
      <c r="N995" s="2014">
        <f t="shared" si="816"/>
        <v>0</v>
      </c>
      <c r="P995" s="6"/>
      <c r="Q995" s="1857" t="str">
        <f t="shared" si="842"/>
        <v>Alfalfa 3</v>
      </c>
      <c r="R995" s="2013">
        <f t="shared" si="817"/>
        <v>0</v>
      </c>
      <c r="S995" s="2013">
        <f t="shared" si="818"/>
        <v>0</v>
      </c>
      <c r="T995" s="2013">
        <f t="shared" si="819"/>
        <v>0</v>
      </c>
      <c r="U995" s="2013">
        <f t="shared" si="820"/>
        <v>0</v>
      </c>
      <c r="V995" s="2013">
        <f t="shared" si="821"/>
        <v>0</v>
      </c>
      <c r="W995" s="2013">
        <f t="shared" si="822"/>
        <v>0</v>
      </c>
      <c r="X995" s="2013">
        <f t="shared" si="823"/>
        <v>0</v>
      </c>
      <c r="Y995" s="2013">
        <f t="shared" si="824"/>
        <v>0</v>
      </c>
      <c r="Z995" s="2013">
        <f t="shared" si="825"/>
        <v>0</v>
      </c>
      <c r="AA995" s="2013">
        <f t="shared" si="826"/>
        <v>0</v>
      </c>
      <c r="AB995" s="2013">
        <f t="shared" si="827"/>
        <v>0</v>
      </c>
      <c r="AC995" s="2014">
        <f t="shared" si="828"/>
        <v>0</v>
      </c>
      <c r="AF995" s="1857" t="str">
        <f t="shared" si="829"/>
        <v>Alfalfa 3</v>
      </c>
      <c r="AG995" s="2013">
        <f t="shared" si="830"/>
        <v>0</v>
      </c>
      <c r="AH995" s="2013">
        <f t="shared" si="831"/>
        <v>0</v>
      </c>
      <c r="AI995" s="2013">
        <f t="shared" si="832"/>
        <v>0</v>
      </c>
      <c r="AJ995" s="2013">
        <f t="shared" si="833"/>
        <v>0</v>
      </c>
      <c r="AK995" s="2013">
        <f t="shared" si="834"/>
        <v>0</v>
      </c>
      <c r="AL995" s="2013">
        <f t="shared" si="835"/>
        <v>0</v>
      </c>
      <c r="AM995" s="2013">
        <f t="shared" si="836"/>
        <v>0</v>
      </c>
      <c r="AN995" s="2013">
        <f>IF($AF995&lt;&gt;0,SUMIFS($C$9:$C$98,$D$9:$D$98,$D$639,L$889:$L$978,$AF995),0)</f>
        <v>0</v>
      </c>
      <c r="AO995" s="2013">
        <f t="shared" si="837"/>
        <v>0</v>
      </c>
      <c r="AP995" s="2013">
        <f t="shared" si="838"/>
        <v>0</v>
      </c>
      <c r="AQ995" s="2013">
        <f t="shared" si="839"/>
        <v>0</v>
      </c>
      <c r="AR995" s="2014">
        <f t="shared" si="840"/>
        <v>0</v>
      </c>
    </row>
    <row r="996" spans="1:44" x14ac:dyDescent="0.2">
      <c r="A996" s="6"/>
      <c r="B996" s="1857" t="str">
        <f t="shared" si="804"/>
        <v>Alfalfa 4</v>
      </c>
      <c r="C996" s="2013">
        <f t="shared" si="805"/>
        <v>0</v>
      </c>
      <c r="D996" s="2013">
        <f t="shared" si="806"/>
        <v>0</v>
      </c>
      <c r="E996" s="2013">
        <f t="shared" si="807"/>
        <v>0</v>
      </c>
      <c r="F996" s="2013">
        <f t="shared" si="808"/>
        <v>0</v>
      </c>
      <c r="G996" s="2013">
        <f t="shared" si="809"/>
        <v>0</v>
      </c>
      <c r="H996" s="2013">
        <f t="shared" si="810"/>
        <v>0</v>
      </c>
      <c r="I996" s="2013">
        <f t="shared" si="811"/>
        <v>0</v>
      </c>
      <c r="J996" s="2013">
        <f t="shared" si="812"/>
        <v>0</v>
      </c>
      <c r="K996" s="2013">
        <f t="shared" si="813"/>
        <v>0</v>
      </c>
      <c r="L996" s="2013">
        <f t="shared" si="814"/>
        <v>0</v>
      </c>
      <c r="M996" s="2013">
        <f t="shared" si="815"/>
        <v>0</v>
      </c>
      <c r="N996" s="2014">
        <f t="shared" si="816"/>
        <v>0</v>
      </c>
      <c r="P996" s="6"/>
      <c r="Q996" s="1857" t="str">
        <f t="shared" si="842"/>
        <v>Alfalfa 4</v>
      </c>
      <c r="R996" s="2013">
        <f t="shared" si="817"/>
        <v>0</v>
      </c>
      <c r="S996" s="2013">
        <f t="shared" si="818"/>
        <v>0</v>
      </c>
      <c r="T996" s="2013">
        <f t="shared" si="819"/>
        <v>0</v>
      </c>
      <c r="U996" s="2013">
        <f t="shared" si="820"/>
        <v>0</v>
      </c>
      <c r="V996" s="2013">
        <f t="shared" si="821"/>
        <v>0</v>
      </c>
      <c r="W996" s="2013">
        <f t="shared" si="822"/>
        <v>0</v>
      </c>
      <c r="X996" s="2013">
        <f t="shared" si="823"/>
        <v>0</v>
      </c>
      <c r="Y996" s="2013">
        <f t="shared" si="824"/>
        <v>0</v>
      </c>
      <c r="Z996" s="2013">
        <f t="shared" si="825"/>
        <v>0</v>
      </c>
      <c r="AA996" s="2013">
        <f t="shared" si="826"/>
        <v>0</v>
      </c>
      <c r="AB996" s="2013">
        <f t="shared" si="827"/>
        <v>0</v>
      </c>
      <c r="AC996" s="2014">
        <f t="shared" si="828"/>
        <v>0</v>
      </c>
      <c r="AF996" s="1857" t="str">
        <f t="shared" si="829"/>
        <v>Alfalfa 4</v>
      </c>
      <c r="AG996" s="2013">
        <f t="shared" si="830"/>
        <v>0</v>
      </c>
      <c r="AH996" s="2013">
        <f t="shared" si="831"/>
        <v>0</v>
      </c>
      <c r="AI996" s="2013">
        <f t="shared" si="832"/>
        <v>0</v>
      </c>
      <c r="AJ996" s="2013">
        <f t="shared" si="833"/>
        <v>0</v>
      </c>
      <c r="AK996" s="2013">
        <f t="shared" si="834"/>
        <v>0</v>
      </c>
      <c r="AL996" s="2013">
        <f t="shared" si="835"/>
        <v>0</v>
      </c>
      <c r="AM996" s="2013">
        <f t="shared" si="836"/>
        <v>0</v>
      </c>
      <c r="AN996" s="2013">
        <f>IF($AF996&lt;&gt;0,SUMIFS($C$9:$C$98,$D$9:$D$98,$D$639,L$889:$L$978,$AF996),0)</f>
        <v>0</v>
      </c>
      <c r="AO996" s="2013">
        <f t="shared" si="837"/>
        <v>0</v>
      </c>
      <c r="AP996" s="2013">
        <f t="shared" si="838"/>
        <v>0</v>
      </c>
      <c r="AQ996" s="2013">
        <f t="shared" si="839"/>
        <v>0</v>
      </c>
      <c r="AR996" s="2014">
        <f t="shared" si="840"/>
        <v>0</v>
      </c>
    </row>
    <row r="997" spans="1:44" x14ac:dyDescent="0.2">
      <c r="A997" s="6"/>
      <c r="B997" s="1857" t="str">
        <f t="shared" si="804"/>
        <v>PP 2</v>
      </c>
      <c r="C997" s="2013">
        <f t="shared" si="805"/>
        <v>0</v>
      </c>
      <c r="D997" s="2013">
        <f t="shared" si="806"/>
        <v>0</v>
      </c>
      <c r="E997" s="2013">
        <f t="shared" si="807"/>
        <v>0</v>
      </c>
      <c r="F997" s="2013">
        <f t="shared" si="808"/>
        <v>0</v>
      </c>
      <c r="G997" s="2013">
        <f t="shared" si="809"/>
        <v>0</v>
      </c>
      <c r="H997" s="2013">
        <f t="shared" si="810"/>
        <v>0</v>
      </c>
      <c r="I997" s="2013">
        <f t="shared" si="811"/>
        <v>0</v>
      </c>
      <c r="J997" s="2013">
        <f t="shared" si="812"/>
        <v>0</v>
      </c>
      <c r="K997" s="2013">
        <f t="shared" si="813"/>
        <v>0</v>
      </c>
      <c r="L997" s="2013">
        <f t="shared" si="814"/>
        <v>0</v>
      </c>
      <c r="M997" s="2013">
        <f t="shared" si="815"/>
        <v>0</v>
      </c>
      <c r="N997" s="2014">
        <f t="shared" si="816"/>
        <v>0</v>
      </c>
      <c r="P997" s="6"/>
      <c r="Q997" s="1857" t="str">
        <f t="shared" si="842"/>
        <v>PP 2</v>
      </c>
      <c r="R997" s="2013">
        <f t="shared" si="817"/>
        <v>0</v>
      </c>
      <c r="S997" s="2013">
        <f t="shared" si="818"/>
        <v>0</v>
      </c>
      <c r="T997" s="2013">
        <f t="shared" si="819"/>
        <v>0</v>
      </c>
      <c r="U997" s="2013">
        <f t="shared" si="820"/>
        <v>0</v>
      </c>
      <c r="V997" s="2013">
        <f t="shared" si="821"/>
        <v>0</v>
      </c>
      <c r="W997" s="2013">
        <f t="shared" si="822"/>
        <v>0</v>
      </c>
      <c r="X997" s="2013">
        <f t="shared" si="823"/>
        <v>0</v>
      </c>
      <c r="Y997" s="2013">
        <f t="shared" si="824"/>
        <v>0</v>
      </c>
      <c r="Z997" s="2013">
        <f t="shared" si="825"/>
        <v>0</v>
      </c>
      <c r="AA997" s="2013">
        <f t="shared" si="826"/>
        <v>0</v>
      </c>
      <c r="AB997" s="2013">
        <f t="shared" si="827"/>
        <v>0</v>
      </c>
      <c r="AC997" s="2014">
        <f t="shared" si="828"/>
        <v>0</v>
      </c>
      <c r="AF997" s="1857" t="str">
        <f t="shared" si="829"/>
        <v>PP 2</v>
      </c>
      <c r="AG997" s="2013">
        <f t="shared" si="830"/>
        <v>0</v>
      </c>
      <c r="AH997" s="2013">
        <f t="shared" si="831"/>
        <v>0</v>
      </c>
      <c r="AI997" s="2013">
        <f t="shared" si="832"/>
        <v>0</v>
      </c>
      <c r="AJ997" s="2013">
        <f t="shared" si="833"/>
        <v>0</v>
      </c>
      <c r="AK997" s="2013">
        <f t="shared" si="834"/>
        <v>0</v>
      </c>
      <c r="AL997" s="2013">
        <f t="shared" si="835"/>
        <v>0</v>
      </c>
      <c r="AM997" s="2013">
        <f t="shared" si="836"/>
        <v>0</v>
      </c>
      <c r="AN997" s="2013">
        <f>IF($AF997&lt;&gt;0,SUMIFS($C$9:$C$98,$D$9:$D$98,$D$639,L$889:$L$978,$AF997),0)</f>
        <v>0</v>
      </c>
      <c r="AO997" s="2013">
        <f t="shared" si="837"/>
        <v>0</v>
      </c>
      <c r="AP997" s="2013">
        <f t="shared" si="838"/>
        <v>0</v>
      </c>
      <c r="AQ997" s="2013">
        <f t="shared" si="839"/>
        <v>0</v>
      </c>
      <c r="AR997" s="2014">
        <f t="shared" si="840"/>
        <v>0</v>
      </c>
    </row>
    <row r="998" spans="1:44" x14ac:dyDescent="0.2">
      <c r="A998" s="6"/>
      <c r="B998" s="1857" t="str">
        <f t="shared" si="804"/>
        <v>PP 3</v>
      </c>
      <c r="C998" s="2013">
        <f t="shared" si="805"/>
        <v>0</v>
      </c>
      <c r="D998" s="2013">
        <f t="shared" si="806"/>
        <v>0</v>
      </c>
      <c r="E998" s="2013">
        <f t="shared" si="807"/>
        <v>0</v>
      </c>
      <c r="F998" s="2013">
        <f t="shared" si="808"/>
        <v>0</v>
      </c>
      <c r="G998" s="2013">
        <f t="shared" si="809"/>
        <v>0</v>
      </c>
      <c r="H998" s="2013">
        <f t="shared" si="810"/>
        <v>0</v>
      </c>
      <c r="I998" s="2013">
        <f t="shared" si="811"/>
        <v>0</v>
      </c>
      <c r="J998" s="2013">
        <f t="shared" si="812"/>
        <v>0</v>
      </c>
      <c r="K998" s="2013">
        <f t="shared" si="813"/>
        <v>0</v>
      </c>
      <c r="L998" s="2013">
        <f t="shared" si="814"/>
        <v>0</v>
      </c>
      <c r="M998" s="2013">
        <f t="shared" si="815"/>
        <v>0</v>
      </c>
      <c r="N998" s="2014">
        <f t="shared" si="816"/>
        <v>0</v>
      </c>
      <c r="P998" s="6"/>
      <c r="Q998" s="1857" t="str">
        <f t="shared" si="842"/>
        <v>PP 3</v>
      </c>
      <c r="R998" s="2013">
        <f t="shared" si="817"/>
        <v>0</v>
      </c>
      <c r="S998" s="2013">
        <f t="shared" si="818"/>
        <v>0</v>
      </c>
      <c r="T998" s="2013">
        <f t="shared" si="819"/>
        <v>0</v>
      </c>
      <c r="U998" s="2013">
        <f t="shared" si="820"/>
        <v>0</v>
      </c>
      <c r="V998" s="2013">
        <f t="shared" si="821"/>
        <v>0</v>
      </c>
      <c r="W998" s="2013">
        <f t="shared" si="822"/>
        <v>0</v>
      </c>
      <c r="X998" s="2013">
        <f t="shared" si="823"/>
        <v>0</v>
      </c>
      <c r="Y998" s="2013">
        <f t="shared" si="824"/>
        <v>0</v>
      </c>
      <c r="Z998" s="2013">
        <f t="shared" si="825"/>
        <v>0</v>
      </c>
      <c r="AA998" s="2013">
        <f t="shared" si="826"/>
        <v>0</v>
      </c>
      <c r="AB998" s="2013">
        <f t="shared" si="827"/>
        <v>0</v>
      </c>
      <c r="AC998" s="2014">
        <f t="shared" si="828"/>
        <v>0</v>
      </c>
      <c r="AF998" s="1857" t="str">
        <f t="shared" si="829"/>
        <v>PP 3</v>
      </c>
      <c r="AG998" s="2013">
        <f t="shared" si="830"/>
        <v>0</v>
      </c>
      <c r="AH998" s="2013">
        <f t="shared" si="831"/>
        <v>0</v>
      </c>
      <c r="AI998" s="2013">
        <f t="shared" si="832"/>
        <v>0</v>
      </c>
      <c r="AJ998" s="2013">
        <f t="shared" si="833"/>
        <v>0</v>
      </c>
      <c r="AK998" s="2013">
        <f t="shared" si="834"/>
        <v>0</v>
      </c>
      <c r="AL998" s="2013">
        <f t="shared" si="835"/>
        <v>0</v>
      </c>
      <c r="AM998" s="2013">
        <f t="shared" si="836"/>
        <v>0</v>
      </c>
      <c r="AN998" s="2013">
        <f>IF($AF998&lt;&gt;0,SUMIFS($C$9:$C$98,$D$9:$D$98,$D$639,L$889:$L$978,$AF998),0)</f>
        <v>0</v>
      </c>
      <c r="AO998" s="2013">
        <f t="shared" si="837"/>
        <v>0</v>
      </c>
      <c r="AP998" s="2013">
        <f t="shared" si="838"/>
        <v>0</v>
      </c>
      <c r="AQ998" s="2013">
        <f t="shared" si="839"/>
        <v>0</v>
      </c>
      <c r="AR998" s="2014">
        <f t="shared" si="840"/>
        <v>0</v>
      </c>
    </row>
    <row r="999" spans="1:44" x14ac:dyDescent="0.2">
      <c r="A999" s="6"/>
      <c r="B999" s="1857" t="str">
        <f t="shared" si="804"/>
        <v>PP 4</v>
      </c>
      <c r="C999" s="2013">
        <f t="shared" si="805"/>
        <v>0</v>
      </c>
      <c r="D999" s="2013">
        <f t="shared" si="806"/>
        <v>0</v>
      </c>
      <c r="E999" s="2013">
        <f t="shared" si="807"/>
        <v>0</v>
      </c>
      <c r="F999" s="2013">
        <f t="shared" si="808"/>
        <v>0</v>
      </c>
      <c r="G999" s="2013">
        <f t="shared" si="809"/>
        <v>0</v>
      </c>
      <c r="H999" s="2013">
        <f t="shared" si="810"/>
        <v>0</v>
      </c>
      <c r="I999" s="2013">
        <f t="shared" si="811"/>
        <v>0</v>
      </c>
      <c r="J999" s="2013">
        <f t="shared" si="812"/>
        <v>0</v>
      </c>
      <c r="K999" s="2013">
        <f t="shared" si="813"/>
        <v>0</v>
      </c>
      <c r="L999" s="2013">
        <f t="shared" si="814"/>
        <v>0</v>
      </c>
      <c r="M999" s="2013">
        <f t="shared" si="815"/>
        <v>0</v>
      </c>
      <c r="N999" s="2014">
        <f t="shared" si="816"/>
        <v>0</v>
      </c>
      <c r="P999" s="6"/>
      <c r="Q999" s="1857" t="str">
        <f t="shared" si="842"/>
        <v>PP 4</v>
      </c>
      <c r="R999" s="2013">
        <f t="shared" si="817"/>
        <v>0</v>
      </c>
      <c r="S999" s="2013">
        <f t="shared" si="818"/>
        <v>0</v>
      </c>
      <c r="T999" s="2013">
        <f t="shared" si="819"/>
        <v>0</v>
      </c>
      <c r="U999" s="2013">
        <f t="shared" si="820"/>
        <v>0</v>
      </c>
      <c r="V999" s="2013">
        <f t="shared" si="821"/>
        <v>0</v>
      </c>
      <c r="W999" s="2013">
        <f t="shared" si="822"/>
        <v>0</v>
      </c>
      <c r="X999" s="2013">
        <f t="shared" si="823"/>
        <v>0</v>
      </c>
      <c r="Y999" s="2013">
        <f t="shared" si="824"/>
        <v>0</v>
      </c>
      <c r="Z999" s="2013">
        <f t="shared" si="825"/>
        <v>0</v>
      </c>
      <c r="AA999" s="2013">
        <f t="shared" si="826"/>
        <v>0</v>
      </c>
      <c r="AB999" s="2013">
        <f t="shared" si="827"/>
        <v>0</v>
      </c>
      <c r="AC999" s="2014">
        <f t="shared" si="828"/>
        <v>0</v>
      </c>
      <c r="AF999" s="1857" t="str">
        <f t="shared" si="829"/>
        <v>PP 4</v>
      </c>
      <c r="AG999" s="2013">
        <f t="shared" si="830"/>
        <v>0</v>
      </c>
      <c r="AH999" s="2013">
        <f t="shared" si="831"/>
        <v>0</v>
      </c>
      <c r="AI999" s="2013">
        <f t="shared" si="832"/>
        <v>0</v>
      </c>
      <c r="AJ999" s="2013">
        <f t="shared" si="833"/>
        <v>0</v>
      </c>
      <c r="AK999" s="2013">
        <f t="shared" si="834"/>
        <v>0</v>
      </c>
      <c r="AL999" s="2013">
        <f t="shared" si="835"/>
        <v>0</v>
      </c>
      <c r="AM999" s="2013">
        <f t="shared" si="836"/>
        <v>0</v>
      </c>
      <c r="AN999" s="2013">
        <f>IF($AF999&lt;&gt;0,SUMIFS($C$9:$C$98,$D$9:$D$98,$D$639,L$889:$L$978,$AF999),0)</f>
        <v>0</v>
      </c>
      <c r="AO999" s="2013">
        <f t="shared" si="837"/>
        <v>0</v>
      </c>
      <c r="AP999" s="2013">
        <f t="shared" si="838"/>
        <v>0</v>
      </c>
      <c r="AQ999" s="2013">
        <f t="shared" si="839"/>
        <v>0</v>
      </c>
      <c r="AR999" s="2014">
        <f t="shared" si="840"/>
        <v>0</v>
      </c>
    </row>
    <row r="1000" spans="1:44" x14ac:dyDescent="0.2">
      <c r="A1000" s="6"/>
      <c r="B1000" s="1857" t="str">
        <f t="shared" si="804"/>
        <v>Prad 2</v>
      </c>
      <c r="C1000" s="2013">
        <f t="shared" si="805"/>
        <v>0</v>
      </c>
      <c r="D1000" s="2013">
        <f t="shared" si="806"/>
        <v>0</v>
      </c>
      <c r="E1000" s="2013">
        <f t="shared" si="807"/>
        <v>0</v>
      </c>
      <c r="F1000" s="2013">
        <f t="shared" si="808"/>
        <v>0</v>
      </c>
      <c r="G1000" s="2013">
        <f t="shared" si="809"/>
        <v>0</v>
      </c>
      <c r="H1000" s="2013">
        <f t="shared" si="810"/>
        <v>0</v>
      </c>
      <c r="I1000" s="2013">
        <f t="shared" si="811"/>
        <v>0</v>
      </c>
      <c r="J1000" s="2013">
        <f t="shared" si="812"/>
        <v>0</v>
      </c>
      <c r="K1000" s="2013">
        <f t="shared" si="813"/>
        <v>0</v>
      </c>
      <c r="L1000" s="2013">
        <f t="shared" si="814"/>
        <v>0</v>
      </c>
      <c r="M1000" s="2013">
        <f t="shared" si="815"/>
        <v>0</v>
      </c>
      <c r="N1000" s="2014">
        <f t="shared" si="816"/>
        <v>0</v>
      </c>
      <c r="P1000" s="6"/>
      <c r="Q1000" s="1857" t="str">
        <f t="shared" si="842"/>
        <v>Prad 2</v>
      </c>
      <c r="R1000" s="2013">
        <f t="shared" si="817"/>
        <v>0</v>
      </c>
      <c r="S1000" s="2013">
        <f t="shared" si="818"/>
        <v>0</v>
      </c>
      <c r="T1000" s="2013">
        <f t="shared" si="819"/>
        <v>0</v>
      </c>
      <c r="U1000" s="2013">
        <f t="shared" si="820"/>
        <v>0</v>
      </c>
      <c r="V1000" s="2013">
        <f t="shared" si="821"/>
        <v>0</v>
      </c>
      <c r="W1000" s="2013">
        <f t="shared" si="822"/>
        <v>0</v>
      </c>
      <c r="X1000" s="2013">
        <f t="shared" si="823"/>
        <v>0</v>
      </c>
      <c r="Y1000" s="2013">
        <f t="shared" si="824"/>
        <v>0</v>
      </c>
      <c r="Z1000" s="2013">
        <f t="shared" si="825"/>
        <v>0</v>
      </c>
      <c r="AA1000" s="2013">
        <f t="shared" si="826"/>
        <v>0</v>
      </c>
      <c r="AB1000" s="2013">
        <f t="shared" si="827"/>
        <v>0</v>
      </c>
      <c r="AC1000" s="2014">
        <f t="shared" si="828"/>
        <v>0</v>
      </c>
      <c r="AF1000" s="1857" t="str">
        <f t="shared" si="829"/>
        <v>Prad 2</v>
      </c>
      <c r="AG1000" s="2013">
        <f t="shared" si="830"/>
        <v>0</v>
      </c>
      <c r="AH1000" s="2013">
        <f t="shared" si="831"/>
        <v>0</v>
      </c>
      <c r="AI1000" s="2013">
        <f t="shared" si="832"/>
        <v>0</v>
      </c>
      <c r="AJ1000" s="2013">
        <f t="shared" si="833"/>
        <v>0</v>
      </c>
      <c r="AK1000" s="2013">
        <f t="shared" si="834"/>
        <v>0</v>
      </c>
      <c r="AL1000" s="2013">
        <f t="shared" si="835"/>
        <v>0</v>
      </c>
      <c r="AM1000" s="2013">
        <f t="shared" si="836"/>
        <v>0</v>
      </c>
      <c r="AN1000" s="2013">
        <f>IF($AF1000&lt;&gt;0,SUMIFS($C$9:$C$98,$D$9:$D$98,$D$639,L$889:$L$978,$AF1000),0)</f>
        <v>0</v>
      </c>
      <c r="AO1000" s="2013">
        <f t="shared" si="837"/>
        <v>0</v>
      </c>
      <c r="AP1000" s="2013">
        <f t="shared" si="838"/>
        <v>0</v>
      </c>
      <c r="AQ1000" s="2013">
        <f t="shared" si="839"/>
        <v>0</v>
      </c>
      <c r="AR1000" s="2014">
        <f t="shared" si="840"/>
        <v>0</v>
      </c>
    </row>
    <row r="1001" spans="1:44" x14ac:dyDescent="0.2">
      <c r="A1001" s="6"/>
      <c r="B1001" s="1857" t="str">
        <f t="shared" si="804"/>
        <v>Prad 3</v>
      </c>
      <c r="C1001" s="2013">
        <f t="shared" si="805"/>
        <v>0</v>
      </c>
      <c r="D1001" s="2013">
        <f t="shared" si="806"/>
        <v>0</v>
      </c>
      <c r="E1001" s="2013">
        <f t="shared" si="807"/>
        <v>0</v>
      </c>
      <c r="F1001" s="2013">
        <f t="shared" si="808"/>
        <v>0</v>
      </c>
      <c r="G1001" s="2013">
        <f t="shared" si="809"/>
        <v>0</v>
      </c>
      <c r="H1001" s="2013">
        <f t="shared" si="810"/>
        <v>0</v>
      </c>
      <c r="I1001" s="2013">
        <f t="shared" si="811"/>
        <v>0</v>
      </c>
      <c r="J1001" s="2013">
        <f t="shared" si="812"/>
        <v>0</v>
      </c>
      <c r="K1001" s="2013">
        <f t="shared" si="813"/>
        <v>0</v>
      </c>
      <c r="L1001" s="2013">
        <f t="shared" si="814"/>
        <v>0</v>
      </c>
      <c r="M1001" s="2013">
        <f t="shared" si="815"/>
        <v>0</v>
      </c>
      <c r="N1001" s="2014">
        <f t="shared" si="816"/>
        <v>0</v>
      </c>
      <c r="P1001" s="6"/>
      <c r="Q1001" s="1857" t="str">
        <f t="shared" si="842"/>
        <v>Prad 3</v>
      </c>
      <c r="R1001" s="2013">
        <f t="shared" si="817"/>
        <v>0</v>
      </c>
      <c r="S1001" s="2013">
        <f t="shared" si="818"/>
        <v>0</v>
      </c>
      <c r="T1001" s="2013">
        <f t="shared" si="819"/>
        <v>0</v>
      </c>
      <c r="U1001" s="2013">
        <f t="shared" si="820"/>
        <v>0</v>
      </c>
      <c r="V1001" s="2013">
        <f t="shared" si="821"/>
        <v>0</v>
      </c>
      <c r="W1001" s="2013">
        <f t="shared" si="822"/>
        <v>0</v>
      </c>
      <c r="X1001" s="2013">
        <f t="shared" si="823"/>
        <v>0</v>
      </c>
      <c r="Y1001" s="2013">
        <f t="shared" si="824"/>
        <v>0</v>
      </c>
      <c r="Z1001" s="2013">
        <f t="shared" si="825"/>
        <v>0</v>
      </c>
      <c r="AA1001" s="2013">
        <f t="shared" si="826"/>
        <v>0</v>
      </c>
      <c r="AB1001" s="2013">
        <f t="shared" si="827"/>
        <v>0</v>
      </c>
      <c r="AC1001" s="2014">
        <f t="shared" si="828"/>
        <v>0</v>
      </c>
      <c r="AF1001" s="1857" t="str">
        <f t="shared" si="829"/>
        <v>Prad 3</v>
      </c>
      <c r="AG1001" s="2013">
        <f t="shared" si="830"/>
        <v>0</v>
      </c>
      <c r="AH1001" s="2013">
        <f t="shared" si="831"/>
        <v>0</v>
      </c>
      <c r="AI1001" s="2013">
        <f t="shared" si="832"/>
        <v>0</v>
      </c>
      <c r="AJ1001" s="2013">
        <f t="shared" si="833"/>
        <v>0</v>
      </c>
      <c r="AK1001" s="2013">
        <f t="shared" si="834"/>
        <v>0</v>
      </c>
      <c r="AL1001" s="2013">
        <f t="shared" si="835"/>
        <v>0</v>
      </c>
      <c r="AM1001" s="2013">
        <f t="shared" si="836"/>
        <v>0</v>
      </c>
      <c r="AN1001" s="2013">
        <f>IF($AF1001&lt;&gt;0,SUMIFS($C$9:$C$98,$D$9:$D$98,$D$639,L$889:$L$978,$AF1001),0)</f>
        <v>0</v>
      </c>
      <c r="AO1001" s="2013">
        <f t="shared" si="837"/>
        <v>0</v>
      </c>
      <c r="AP1001" s="2013">
        <f t="shared" si="838"/>
        <v>0</v>
      </c>
      <c r="AQ1001" s="2013">
        <f t="shared" si="839"/>
        <v>0</v>
      </c>
      <c r="AR1001" s="2014">
        <f t="shared" si="840"/>
        <v>0</v>
      </c>
    </row>
    <row r="1002" spans="1:44" x14ac:dyDescent="0.2">
      <c r="A1002" s="6"/>
      <c r="B1002" s="1857" t="str">
        <f t="shared" si="804"/>
        <v>Prad 4</v>
      </c>
      <c r="C1002" s="2013">
        <f t="shared" si="805"/>
        <v>0</v>
      </c>
      <c r="D1002" s="2013">
        <f t="shared" si="806"/>
        <v>0</v>
      </c>
      <c r="E1002" s="2013">
        <f t="shared" si="807"/>
        <v>0</v>
      </c>
      <c r="F1002" s="2013">
        <f t="shared" si="808"/>
        <v>0</v>
      </c>
      <c r="G1002" s="2013">
        <f t="shared" si="809"/>
        <v>0</v>
      </c>
      <c r="H1002" s="2013">
        <f t="shared" si="810"/>
        <v>0</v>
      </c>
      <c r="I1002" s="2013">
        <f t="shared" si="811"/>
        <v>0</v>
      </c>
      <c r="J1002" s="2013">
        <f t="shared" si="812"/>
        <v>0</v>
      </c>
      <c r="K1002" s="2013">
        <f t="shared" si="813"/>
        <v>0</v>
      </c>
      <c r="L1002" s="2013">
        <f t="shared" si="814"/>
        <v>0</v>
      </c>
      <c r="M1002" s="2013">
        <f t="shared" si="815"/>
        <v>0</v>
      </c>
      <c r="N1002" s="2014">
        <f t="shared" si="816"/>
        <v>0</v>
      </c>
      <c r="P1002" s="6"/>
      <c r="Q1002" s="1857" t="str">
        <f t="shared" si="842"/>
        <v>Prad 4</v>
      </c>
      <c r="R1002" s="2013">
        <f t="shared" si="817"/>
        <v>0</v>
      </c>
      <c r="S1002" s="2013">
        <f t="shared" si="818"/>
        <v>0</v>
      </c>
      <c r="T1002" s="2013">
        <f t="shared" si="819"/>
        <v>0</v>
      </c>
      <c r="U1002" s="2013">
        <f t="shared" si="820"/>
        <v>0</v>
      </c>
      <c r="V1002" s="2013">
        <f t="shared" si="821"/>
        <v>0</v>
      </c>
      <c r="W1002" s="2013">
        <f t="shared" si="822"/>
        <v>0</v>
      </c>
      <c r="X1002" s="2013">
        <f t="shared" si="823"/>
        <v>0</v>
      </c>
      <c r="Y1002" s="2013">
        <f t="shared" si="824"/>
        <v>0</v>
      </c>
      <c r="Z1002" s="2013">
        <f t="shared" si="825"/>
        <v>0</v>
      </c>
      <c r="AA1002" s="2013">
        <f t="shared" si="826"/>
        <v>0</v>
      </c>
      <c r="AB1002" s="2013">
        <f t="shared" si="827"/>
        <v>0</v>
      </c>
      <c r="AC1002" s="2014">
        <f t="shared" si="828"/>
        <v>0</v>
      </c>
      <c r="AF1002" s="1857" t="str">
        <f t="shared" si="829"/>
        <v>Prad 4</v>
      </c>
      <c r="AG1002" s="2013">
        <f t="shared" si="830"/>
        <v>0</v>
      </c>
      <c r="AH1002" s="2013">
        <f t="shared" si="831"/>
        <v>0</v>
      </c>
      <c r="AI1002" s="2013">
        <f t="shared" si="832"/>
        <v>0</v>
      </c>
      <c r="AJ1002" s="2013">
        <f t="shared" si="833"/>
        <v>0</v>
      </c>
      <c r="AK1002" s="2013">
        <f t="shared" si="834"/>
        <v>0</v>
      </c>
      <c r="AL1002" s="2013">
        <f t="shared" si="835"/>
        <v>0</v>
      </c>
      <c r="AM1002" s="2013">
        <f t="shared" si="836"/>
        <v>0</v>
      </c>
      <c r="AN1002" s="2013">
        <f>IF($AF1002&lt;&gt;0,SUMIFS($C$9:$C$98,$D$9:$D$98,$D$639,L$889:$L$978,$AF1002),0)</f>
        <v>0</v>
      </c>
      <c r="AO1002" s="2013">
        <f t="shared" si="837"/>
        <v>0</v>
      </c>
      <c r="AP1002" s="2013">
        <f t="shared" si="838"/>
        <v>0</v>
      </c>
      <c r="AQ1002" s="2013">
        <f t="shared" si="839"/>
        <v>0</v>
      </c>
      <c r="AR1002" s="2014">
        <f t="shared" si="840"/>
        <v>0</v>
      </c>
    </row>
    <row r="1003" spans="1:44" x14ac:dyDescent="0.2">
      <c r="A1003" s="6"/>
      <c r="B1003" s="1857" t="str">
        <f t="shared" si="804"/>
        <v>Trébol Rojo 2</v>
      </c>
      <c r="C1003" s="2013">
        <f t="shared" si="805"/>
        <v>0</v>
      </c>
      <c r="D1003" s="2013">
        <f t="shared" si="806"/>
        <v>0</v>
      </c>
      <c r="E1003" s="2013">
        <f t="shared" si="807"/>
        <v>0</v>
      </c>
      <c r="F1003" s="2013">
        <f t="shared" si="808"/>
        <v>0</v>
      </c>
      <c r="G1003" s="2013">
        <f t="shared" si="809"/>
        <v>0</v>
      </c>
      <c r="H1003" s="2013">
        <f t="shared" si="810"/>
        <v>0</v>
      </c>
      <c r="I1003" s="2013">
        <f t="shared" si="811"/>
        <v>0</v>
      </c>
      <c r="J1003" s="2013">
        <f t="shared" si="812"/>
        <v>0</v>
      </c>
      <c r="K1003" s="2013">
        <f t="shared" si="813"/>
        <v>0</v>
      </c>
      <c r="L1003" s="2013">
        <f t="shared" si="814"/>
        <v>0</v>
      </c>
      <c r="M1003" s="2013">
        <f t="shared" si="815"/>
        <v>0</v>
      </c>
      <c r="N1003" s="2014">
        <f t="shared" si="816"/>
        <v>0</v>
      </c>
      <c r="P1003" s="6"/>
      <c r="Q1003" s="1857" t="str">
        <f t="shared" si="842"/>
        <v>Trébol Rojo 2</v>
      </c>
      <c r="R1003" s="2013">
        <f t="shared" si="817"/>
        <v>0</v>
      </c>
      <c r="S1003" s="2013">
        <f t="shared" si="818"/>
        <v>0</v>
      </c>
      <c r="T1003" s="2013">
        <f t="shared" si="819"/>
        <v>0</v>
      </c>
      <c r="U1003" s="2013">
        <f t="shared" si="820"/>
        <v>0</v>
      </c>
      <c r="V1003" s="2013">
        <f t="shared" si="821"/>
        <v>0</v>
      </c>
      <c r="W1003" s="2013">
        <f t="shared" si="822"/>
        <v>0</v>
      </c>
      <c r="X1003" s="2013">
        <f t="shared" si="823"/>
        <v>0</v>
      </c>
      <c r="Y1003" s="2013">
        <f t="shared" si="824"/>
        <v>0</v>
      </c>
      <c r="Z1003" s="2013">
        <f t="shared" si="825"/>
        <v>0</v>
      </c>
      <c r="AA1003" s="2013">
        <f t="shared" si="826"/>
        <v>0</v>
      </c>
      <c r="AB1003" s="2013">
        <f t="shared" si="827"/>
        <v>0</v>
      </c>
      <c r="AC1003" s="2014">
        <f t="shared" si="828"/>
        <v>0</v>
      </c>
      <c r="AF1003" s="1857" t="str">
        <f t="shared" si="829"/>
        <v>Trébol Rojo 2</v>
      </c>
      <c r="AG1003" s="2013">
        <f t="shared" si="830"/>
        <v>0</v>
      </c>
      <c r="AH1003" s="2013">
        <f t="shared" si="831"/>
        <v>0</v>
      </c>
      <c r="AI1003" s="2013">
        <f t="shared" si="832"/>
        <v>0</v>
      </c>
      <c r="AJ1003" s="2013">
        <f t="shared" si="833"/>
        <v>0</v>
      </c>
      <c r="AK1003" s="2013">
        <f t="shared" si="834"/>
        <v>0</v>
      </c>
      <c r="AL1003" s="2013">
        <f t="shared" si="835"/>
        <v>0</v>
      </c>
      <c r="AM1003" s="2013">
        <f t="shared" si="836"/>
        <v>0</v>
      </c>
      <c r="AN1003" s="2013">
        <f>IF($AF1003&lt;&gt;0,SUMIFS($C$9:$C$98,$D$9:$D$98,$D$639,L$889:$L$978,$AF1003),0)</f>
        <v>0</v>
      </c>
      <c r="AO1003" s="2013">
        <f t="shared" si="837"/>
        <v>0</v>
      </c>
      <c r="AP1003" s="2013">
        <f t="shared" si="838"/>
        <v>0</v>
      </c>
      <c r="AQ1003" s="2013">
        <f t="shared" si="839"/>
        <v>0</v>
      </c>
      <c r="AR1003" s="2014">
        <f t="shared" si="840"/>
        <v>0</v>
      </c>
    </row>
    <row r="1004" spans="1:44" x14ac:dyDescent="0.2">
      <c r="A1004" s="6"/>
      <c r="B1004" s="1857" t="str">
        <f t="shared" si="804"/>
        <v>Trébol Rojo 3</v>
      </c>
      <c r="C1004" s="2013">
        <f t="shared" si="805"/>
        <v>0</v>
      </c>
      <c r="D1004" s="2013">
        <f t="shared" si="806"/>
        <v>0</v>
      </c>
      <c r="E1004" s="2013">
        <f t="shared" si="807"/>
        <v>0</v>
      </c>
      <c r="F1004" s="2013">
        <f t="shared" si="808"/>
        <v>0</v>
      </c>
      <c r="G1004" s="2013">
        <f t="shared" si="809"/>
        <v>0</v>
      </c>
      <c r="H1004" s="2013">
        <f t="shared" si="810"/>
        <v>0</v>
      </c>
      <c r="I1004" s="2013">
        <f t="shared" si="811"/>
        <v>0</v>
      </c>
      <c r="J1004" s="2013">
        <f t="shared" si="812"/>
        <v>0</v>
      </c>
      <c r="K1004" s="2013">
        <f t="shared" si="813"/>
        <v>0</v>
      </c>
      <c r="L1004" s="2013">
        <f t="shared" si="814"/>
        <v>0</v>
      </c>
      <c r="M1004" s="2013">
        <f t="shared" si="815"/>
        <v>0</v>
      </c>
      <c r="N1004" s="2014">
        <f t="shared" si="816"/>
        <v>0</v>
      </c>
      <c r="P1004" s="6"/>
      <c r="Q1004" s="1857" t="str">
        <f t="shared" si="842"/>
        <v>Trébol Rojo 3</v>
      </c>
      <c r="R1004" s="2013">
        <f t="shared" si="817"/>
        <v>0</v>
      </c>
      <c r="S1004" s="2013">
        <f t="shared" si="818"/>
        <v>0</v>
      </c>
      <c r="T1004" s="2013">
        <f t="shared" si="819"/>
        <v>0</v>
      </c>
      <c r="U1004" s="2013">
        <f t="shared" si="820"/>
        <v>0</v>
      </c>
      <c r="V1004" s="2013">
        <f t="shared" si="821"/>
        <v>0</v>
      </c>
      <c r="W1004" s="2013">
        <f t="shared" si="822"/>
        <v>0</v>
      </c>
      <c r="X1004" s="2013">
        <f t="shared" si="823"/>
        <v>0</v>
      </c>
      <c r="Y1004" s="2013">
        <f t="shared" si="824"/>
        <v>0</v>
      </c>
      <c r="Z1004" s="2013">
        <f t="shared" si="825"/>
        <v>0</v>
      </c>
      <c r="AA1004" s="2013">
        <f t="shared" si="826"/>
        <v>0</v>
      </c>
      <c r="AB1004" s="2013">
        <f t="shared" si="827"/>
        <v>0</v>
      </c>
      <c r="AC1004" s="2014">
        <f t="shared" si="828"/>
        <v>0</v>
      </c>
      <c r="AF1004" s="1857" t="str">
        <f t="shared" si="829"/>
        <v>Trébol Rojo 3</v>
      </c>
      <c r="AG1004" s="2013">
        <f t="shared" si="830"/>
        <v>0</v>
      </c>
      <c r="AH1004" s="2013">
        <f t="shared" si="831"/>
        <v>0</v>
      </c>
      <c r="AI1004" s="2013">
        <f t="shared" si="832"/>
        <v>0</v>
      </c>
      <c r="AJ1004" s="2013">
        <f t="shared" si="833"/>
        <v>0</v>
      </c>
      <c r="AK1004" s="2013">
        <f t="shared" si="834"/>
        <v>0</v>
      </c>
      <c r="AL1004" s="2013">
        <f t="shared" si="835"/>
        <v>0</v>
      </c>
      <c r="AM1004" s="2013">
        <f t="shared" si="836"/>
        <v>0</v>
      </c>
      <c r="AN1004" s="2013">
        <f>IF($AF1004&lt;&gt;0,SUMIFS($C$9:$C$98,$D$9:$D$98,$D$639,L$889:$L$978,$AF1004),0)</f>
        <v>0</v>
      </c>
      <c r="AO1004" s="2013">
        <f t="shared" si="837"/>
        <v>0</v>
      </c>
      <c r="AP1004" s="2013">
        <f t="shared" si="838"/>
        <v>0</v>
      </c>
      <c r="AQ1004" s="2013">
        <f t="shared" si="839"/>
        <v>0</v>
      </c>
      <c r="AR1004" s="2014">
        <f t="shared" si="840"/>
        <v>0</v>
      </c>
    </row>
    <row r="1005" spans="1:44" x14ac:dyDescent="0.2">
      <c r="A1005" s="6"/>
      <c r="B1005" s="1857" t="str">
        <f t="shared" si="804"/>
        <v>Alfalfa 5</v>
      </c>
      <c r="C1005" s="2013">
        <f t="shared" si="805"/>
        <v>0</v>
      </c>
      <c r="D1005" s="2013">
        <f t="shared" si="806"/>
        <v>0</v>
      </c>
      <c r="E1005" s="2013">
        <f t="shared" si="807"/>
        <v>0</v>
      </c>
      <c r="F1005" s="2013">
        <f t="shared" si="808"/>
        <v>0</v>
      </c>
      <c r="G1005" s="2013">
        <f t="shared" si="809"/>
        <v>0</v>
      </c>
      <c r="H1005" s="2013">
        <f t="shared" si="810"/>
        <v>0</v>
      </c>
      <c r="I1005" s="2013">
        <f t="shared" si="811"/>
        <v>0</v>
      </c>
      <c r="J1005" s="2013">
        <f t="shared" si="812"/>
        <v>0</v>
      </c>
      <c r="K1005" s="2013">
        <f t="shared" si="813"/>
        <v>0</v>
      </c>
      <c r="L1005" s="2013">
        <f t="shared" si="814"/>
        <v>0</v>
      </c>
      <c r="M1005" s="2013">
        <f t="shared" si="815"/>
        <v>0</v>
      </c>
      <c r="N1005" s="2014">
        <f t="shared" si="816"/>
        <v>0</v>
      </c>
      <c r="P1005" s="6"/>
      <c r="Q1005" s="1857" t="str">
        <f t="shared" si="842"/>
        <v>Alfalfa 5</v>
      </c>
      <c r="R1005" s="2013">
        <f t="shared" si="817"/>
        <v>0</v>
      </c>
      <c r="S1005" s="2013">
        <f t="shared" si="818"/>
        <v>0</v>
      </c>
      <c r="T1005" s="2013">
        <f t="shared" si="819"/>
        <v>0</v>
      </c>
      <c r="U1005" s="2013">
        <f t="shared" si="820"/>
        <v>0</v>
      </c>
      <c r="V1005" s="2013">
        <f t="shared" si="821"/>
        <v>0</v>
      </c>
      <c r="W1005" s="2013">
        <f t="shared" si="822"/>
        <v>0</v>
      </c>
      <c r="X1005" s="2013">
        <f t="shared" si="823"/>
        <v>0</v>
      </c>
      <c r="Y1005" s="2013">
        <f t="shared" si="824"/>
        <v>0</v>
      </c>
      <c r="Z1005" s="2013">
        <f t="shared" si="825"/>
        <v>0</v>
      </c>
      <c r="AA1005" s="2013">
        <f t="shared" si="826"/>
        <v>0</v>
      </c>
      <c r="AB1005" s="2013">
        <f t="shared" si="827"/>
        <v>0</v>
      </c>
      <c r="AC1005" s="2014">
        <f t="shared" si="828"/>
        <v>0</v>
      </c>
      <c r="AF1005" s="1857" t="str">
        <f t="shared" si="829"/>
        <v>Alfalfa 5</v>
      </c>
      <c r="AG1005" s="2013">
        <f t="shared" si="830"/>
        <v>0</v>
      </c>
      <c r="AH1005" s="2013">
        <f t="shared" si="831"/>
        <v>0</v>
      </c>
      <c r="AI1005" s="2013">
        <f t="shared" si="832"/>
        <v>0</v>
      </c>
      <c r="AJ1005" s="2013">
        <f t="shared" si="833"/>
        <v>0</v>
      </c>
      <c r="AK1005" s="2013">
        <f t="shared" si="834"/>
        <v>0</v>
      </c>
      <c r="AL1005" s="2013">
        <f t="shared" si="835"/>
        <v>0</v>
      </c>
      <c r="AM1005" s="2013">
        <f t="shared" si="836"/>
        <v>0</v>
      </c>
      <c r="AN1005" s="2013">
        <f>IF($AF1005&lt;&gt;0,SUMIFS($C$9:$C$98,$D$9:$D$98,$D$639,L$889:$L$978,$AF1005),0)</f>
        <v>0</v>
      </c>
      <c r="AO1005" s="2013">
        <f t="shared" si="837"/>
        <v>0</v>
      </c>
      <c r="AP1005" s="2013">
        <f t="shared" si="838"/>
        <v>0</v>
      </c>
      <c r="AQ1005" s="2013">
        <f t="shared" si="839"/>
        <v>0</v>
      </c>
      <c r="AR1005" s="2014">
        <f t="shared" si="840"/>
        <v>0</v>
      </c>
    </row>
    <row r="1006" spans="1:44" x14ac:dyDescent="0.2">
      <c r="A1006" s="6"/>
      <c r="B1006" s="1857" t="str">
        <f t="shared" si="804"/>
        <v>PP 5</v>
      </c>
      <c r="C1006" s="2013">
        <f t="shared" si="805"/>
        <v>0</v>
      </c>
      <c r="D1006" s="2013">
        <f t="shared" si="806"/>
        <v>0</v>
      </c>
      <c r="E1006" s="2013">
        <f t="shared" si="807"/>
        <v>0</v>
      </c>
      <c r="F1006" s="2013">
        <f t="shared" si="808"/>
        <v>0</v>
      </c>
      <c r="G1006" s="2013">
        <f t="shared" si="809"/>
        <v>0</v>
      </c>
      <c r="H1006" s="2013">
        <f t="shared" si="810"/>
        <v>0</v>
      </c>
      <c r="I1006" s="2013">
        <f t="shared" si="811"/>
        <v>0</v>
      </c>
      <c r="J1006" s="2013">
        <f t="shared" si="812"/>
        <v>0</v>
      </c>
      <c r="K1006" s="2013">
        <f t="shared" si="813"/>
        <v>0</v>
      </c>
      <c r="L1006" s="2013">
        <f t="shared" si="814"/>
        <v>0</v>
      </c>
      <c r="M1006" s="2013">
        <f t="shared" si="815"/>
        <v>0</v>
      </c>
      <c r="N1006" s="2014">
        <f t="shared" si="816"/>
        <v>0</v>
      </c>
      <c r="P1006" s="6"/>
      <c r="Q1006" s="1857" t="str">
        <f t="shared" si="842"/>
        <v>PP 5</v>
      </c>
      <c r="R1006" s="2013">
        <f t="shared" si="817"/>
        <v>0</v>
      </c>
      <c r="S1006" s="2013">
        <f t="shared" si="818"/>
        <v>0</v>
      </c>
      <c r="T1006" s="2013">
        <f t="shared" si="819"/>
        <v>0</v>
      </c>
      <c r="U1006" s="2013">
        <f t="shared" si="820"/>
        <v>0</v>
      </c>
      <c r="V1006" s="2013">
        <f t="shared" si="821"/>
        <v>0</v>
      </c>
      <c r="W1006" s="2013">
        <f t="shared" si="822"/>
        <v>0</v>
      </c>
      <c r="X1006" s="2013">
        <f t="shared" si="823"/>
        <v>0</v>
      </c>
      <c r="Y1006" s="2013">
        <f t="shared" si="824"/>
        <v>0</v>
      </c>
      <c r="Z1006" s="2013">
        <f t="shared" si="825"/>
        <v>0</v>
      </c>
      <c r="AA1006" s="2013">
        <f t="shared" si="826"/>
        <v>0</v>
      </c>
      <c r="AB1006" s="2013">
        <f t="shared" si="827"/>
        <v>0</v>
      </c>
      <c r="AC1006" s="2014">
        <f t="shared" si="828"/>
        <v>0</v>
      </c>
      <c r="AF1006" s="1857" t="str">
        <f t="shared" si="829"/>
        <v>PP 5</v>
      </c>
      <c r="AG1006" s="2013">
        <f t="shared" si="830"/>
        <v>0</v>
      </c>
      <c r="AH1006" s="2013">
        <f t="shared" si="831"/>
        <v>0</v>
      </c>
      <c r="AI1006" s="2013">
        <f t="shared" si="832"/>
        <v>0</v>
      </c>
      <c r="AJ1006" s="2013">
        <f t="shared" si="833"/>
        <v>0</v>
      </c>
      <c r="AK1006" s="2013">
        <f t="shared" si="834"/>
        <v>0</v>
      </c>
      <c r="AL1006" s="2013">
        <f t="shared" si="835"/>
        <v>0</v>
      </c>
      <c r="AM1006" s="2013">
        <f t="shared" si="836"/>
        <v>0</v>
      </c>
      <c r="AN1006" s="2013">
        <f>IF($AF1006&lt;&gt;0,SUMIFS($C$9:$C$98,$D$9:$D$98,$D$639,L$889:$L$978,$AF1006),0)</f>
        <v>0</v>
      </c>
      <c r="AO1006" s="2013">
        <f t="shared" si="837"/>
        <v>0</v>
      </c>
      <c r="AP1006" s="2013">
        <f t="shared" si="838"/>
        <v>0</v>
      </c>
      <c r="AQ1006" s="2013">
        <f t="shared" si="839"/>
        <v>0</v>
      </c>
      <c r="AR1006" s="2014">
        <f t="shared" si="840"/>
        <v>0</v>
      </c>
    </row>
    <row r="1007" spans="1:44" x14ac:dyDescent="0.2">
      <c r="A1007" s="6"/>
      <c r="B1007" s="1857">
        <f t="shared" si="804"/>
        <v>0</v>
      </c>
      <c r="C1007" s="2013">
        <f t="shared" si="805"/>
        <v>0</v>
      </c>
      <c r="D1007" s="2013">
        <f t="shared" si="806"/>
        <v>0</v>
      </c>
      <c r="E1007" s="2013">
        <f t="shared" si="807"/>
        <v>0</v>
      </c>
      <c r="F1007" s="2013">
        <f t="shared" si="808"/>
        <v>0</v>
      </c>
      <c r="G1007" s="2013">
        <f t="shared" si="809"/>
        <v>0</v>
      </c>
      <c r="H1007" s="2013">
        <f t="shared" si="810"/>
        <v>0</v>
      </c>
      <c r="I1007" s="2013">
        <f t="shared" si="811"/>
        <v>0</v>
      </c>
      <c r="J1007" s="2013">
        <f t="shared" si="812"/>
        <v>0</v>
      </c>
      <c r="K1007" s="2013">
        <f t="shared" si="813"/>
        <v>0</v>
      </c>
      <c r="L1007" s="2013">
        <f t="shared" si="814"/>
        <v>0</v>
      </c>
      <c r="M1007" s="2013">
        <f t="shared" si="815"/>
        <v>0</v>
      </c>
      <c r="N1007" s="2014">
        <f t="shared" si="816"/>
        <v>0</v>
      </c>
      <c r="P1007" s="6"/>
      <c r="Q1007" s="1857">
        <f t="shared" si="842"/>
        <v>0</v>
      </c>
      <c r="R1007" s="2015">
        <f t="shared" si="817"/>
        <v>0</v>
      </c>
      <c r="S1007" s="2015">
        <f t="shared" si="818"/>
        <v>0</v>
      </c>
      <c r="T1007" s="2015">
        <f t="shared" si="819"/>
        <v>0</v>
      </c>
      <c r="U1007" s="2015">
        <f t="shared" si="820"/>
        <v>0</v>
      </c>
      <c r="V1007" s="2015">
        <f t="shared" si="821"/>
        <v>0</v>
      </c>
      <c r="W1007" s="2015">
        <f t="shared" si="822"/>
        <v>0</v>
      </c>
      <c r="X1007" s="2015">
        <f t="shared" si="823"/>
        <v>0</v>
      </c>
      <c r="Y1007" s="2015">
        <f t="shared" si="824"/>
        <v>0</v>
      </c>
      <c r="Z1007" s="2015">
        <f t="shared" si="825"/>
        <v>0</v>
      </c>
      <c r="AA1007" s="2015">
        <f t="shared" si="826"/>
        <v>0</v>
      </c>
      <c r="AB1007" s="2015">
        <f t="shared" si="827"/>
        <v>0</v>
      </c>
      <c r="AC1007" s="2016">
        <f t="shared" si="828"/>
        <v>0</v>
      </c>
      <c r="AF1007" s="1857">
        <f t="shared" si="829"/>
        <v>0</v>
      </c>
      <c r="AG1007" s="2013">
        <f t="shared" si="830"/>
        <v>0</v>
      </c>
      <c r="AH1007" s="2013">
        <f t="shared" si="831"/>
        <v>0</v>
      </c>
      <c r="AI1007" s="2013">
        <f t="shared" si="832"/>
        <v>0</v>
      </c>
      <c r="AJ1007" s="2013">
        <f t="shared" si="833"/>
        <v>0</v>
      </c>
      <c r="AK1007" s="2013">
        <f t="shared" si="834"/>
        <v>0</v>
      </c>
      <c r="AL1007" s="2015">
        <f t="shared" si="835"/>
        <v>0</v>
      </c>
      <c r="AM1007" s="2013">
        <f t="shared" si="836"/>
        <v>0</v>
      </c>
      <c r="AN1007" s="2013">
        <f>IF($AF1007&lt;&gt;0,SUMIFS($C$9:$C$98,$D$9:$D$98,$D$639,L$889:$L$978,$AF1007),0)</f>
        <v>0</v>
      </c>
      <c r="AO1007" s="2013">
        <f t="shared" si="837"/>
        <v>0</v>
      </c>
      <c r="AP1007" s="2013">
        <f t="shared" si="838"/>
        <v>0</v>
      </c>
      <c r="AQ1007" s="2013">
        <f t="shared" si="839"/>
        <v>0</v>
      </c>
      <c r="AR1007" s="2014">
        <f t="shared" si="840"/>
        <v>0</v>
      </c>
    </row>
    <row r="1008" spans="1:44" x14ac:dyDescent="0.2">
      <c r="A1008" s="6"/>
      <c r="B1008" s="2020">
        <f t="shared" si="804"/>
        <v>0</v>
      </c>
      <c r="C1008" s="2013">
        <f t="shared" si="805"/>
        <v>0</v>
      </c>
      <c r="D1008" s="2013">
        <f t="shared" si="806"/>
        <v>0</v>
      </c>
      <c r="E1008" s="2013">
        <f t="shared" si="807"/>
        <v>0</v>
      </c>
      <c r="F1008" s="2013">
        <f t="shared" si="808"/>
        <v>0</v>
      </c>
      <c r="G1008" s="2013">
        <f t="shared" si="809"/>
        <v>0</v>
      </c>
      <c r="H1008" s="2013">
        <f t="shared" si="810"/>
        <v>0</v>
      </c>
      <c r="I1008" s="2013">
        <f t="shared" si="811"/>
        <v>0</v>
      </c>
      <c r="J1008" s="2013">
        <f t="shared" si="812"/>
        <v>0</v>
      </c>
      <c r="K1008" s="2013">
        <f t="shared" si="813"/>
        <v>0</v>
      </c>
      <c r="L1008" s="2013">
        <f t="shared" si="814"/>
        <v>0</v>
      </c>
      <c r="M1008" s="2013">
        <f t="shared" si="815"/>
        <v>0</v>
      </c>
      <c r="N1008" s="2014">
        <f t="shared" si="816"/>
        <v>0</v>
      </c>
      <c r="P1008" s="6"/>
      <c r="Q1008" s="2017"/>
      <c r="R1008" s="2018">
        <f t="shared" si="817"/>
        <v>0</v>
      </c>
      <c r="S1008" s="2018">
        <f t="shared" si="818"/>
        <v>0</v>
      </c>
      <c r="T1008" s="2018">
        <f t="shared" si="819"/>
        <v>0</v>
      </c>
      <c r="U1008" s="2018">
        <f t="shared" si="820"/>
        <v>0</v>
      </c>
      <c r="V1008" s="2018">
        <f t="shared" si="821"/>
        <v>0</v>
      </c>
      <c r="W1008" s="2018">
        <f t="shared" si="822"/>
        <v>0</v>
      </c>
      <c r="X1008" s="2018">
        <f t="shared" si="823"/>
        <v>0</v>
      </c>
      <c r="Y1008" s="2018">
        <f t="shared" si="824"/>
        <v>0</v>
      </c>
      <c r="Z1008" s="2018">
        <f t="shared" si="825"/>
        <v>0</v>
      </c>
      <c r="AA1008" s="2018">
        <f t="shared" si="826"/>
        <v>0</v>
      </c>
      <c r="AB1008" s="2018">
        <f t="shared" si="827"/>
        <v>0</v>
      </c>
      <c r="AC1008" s="2019">
        <f t="shared" si="828"/>
        <v>0</v>
      </c>
      <c r="AF1008" s="2017">
        <f t="shared" si="829"/>
        <v>0</v>
      </c>
      <c r="AG1008" s="2018">
        <f t="shared" si="830"/>
        <v>0</v>
      </c>
      <c r="AH1008" s="2018">
        <f t="shared" si="831"/>
        <v>0</v>
      </c>
      <c r="AI1008" s="2018">
        <f t="shared" si="832"/>
        <v>0</v>
      </c>
      <c r="AJ1008" s="2018">
        <f t="shared" si="833"/>
        <v>0</v>
      </c>
      <c r="AK1008" s="2018">
        <f t="shared" si="834"/>
        <v>0</v>
      </c>
      <c r="AL1008" s="2018">
        <f t="shared" si="835"/>
        <v>0</v>
      </c>
      <c r="AM1008" s="2018">
        <f t="shared" si="836"/>
        <v>0</v>
      </c>
      <c r="AN1008" s="2018">
        <f>IF($AF1008&lt;&gt;0,SUMIFS($C$9:$C$98,$D$9:$D$98,$D$639,L$889:$L$978,$AF1008),0)</f>
        <v>0</v>
      </c>
      <c r="AO1008" s="2018">
        <f t="shared" si="837"/>
        <v>0</v>
      </c>
      <c r="AP1008" s="2018">
        <f t="shared" si="838"/>
        <v>0</v>
      </c>
      <c r="AQ1008" s="2018">
        <f t="shared" si="839"/>
        <v>0</v>
      </c>
      <c r="AR1008" s="2019">
        <f t="shared" si="840"/>
        <v>0</v>
      </c>
    </row>
    <row r="1009" spans="1:44" x14ac:dyDescent="0.2">
      <c r="A1009" s="6"/>
      <c r="B1009" s="1857" t="str">
        <f t="shared" si="804"/>
        <v>Avena</v>
      </c>
      <c r="C1009" s="2013">
        <f t="shared" si="805"/>
        <v>0</v>
      </c>
      <c r="D1009" s="2013">
        <f t="shared" si="806"/>
        <v>0</v>
      </c>
      <c r="E1009" s="2013">
        <f t="shared" si="807"/>
        <v>0</v>
      </c>
      <c r="F1009" s="2013">
        <f t="shared" si="808"/>
        <v>0</v>
      </c>
      <c r="G1009" s="2013">
        <f t="shared" si="809"/>
        <v>0</v>
      </c>
      <c r="H1009" s="2013">
        <f t="shared" si="810"/>
        <v>0</v>
      </c>
      <c r="I1009" s="2013">
        <f t="shared" si="811"/>
        <v>0</v>
      </c>
      <c r="J1009" s="2013">
        <f t="shared" si="812"/>
        <v>0</v>
      </c>
      <c r="K1009" s="2013">
        <f t="shared" si="813"/>
        <v>0</v>
      </c>
      <c r="L1009" s="2013">
        <f t="shared" si="814"/>
        <v>0</v>
      </c>
      <c r="M1009" s="2013">
        <f t="shared" si="815"/>
        <v>0</v>
      </c>
      <c r="N1009" s="2014">
        <f t="shared" si="816"/>
        <v>0</v>
      </c>
      <c r="P1009" s="6"/>
      <c r="Q1009" s="1857" t="str">
        <f t="shared" ref="Q1009:Q1037" si="843">D840</f>
        <v>Avena</v>
      </c>
      <c r="R1009" s="2013">
        <f t="shared" si="817"/>
        <v>0</v>
      </c>
      <c r="S1009" s="2013">
        <f t="shared" si="818"/>
        <v>0</v>
      </c>
      <c r="T1009" s="2013">
        <f t="shared" si="819"/>
        <v>0</v>
      </c>
      <c r="U1009" s="2013">
        <f t="shared" si="820"/>
        <v>0</v>
      </c>
      <c r="V1009" s="2013">
        <f t="shared" si="821"/>
        <v>0</v>
      </c>
      <c r="W1009" s="2013">
        <f t="shared" si="822"/>
        <v>0</v>
      </c>
      <c r="X1009" s="2013">
        <f t="shared" si="823"/>
        <v>0</v>
      </c>
      <c r="Y1009" s="2013">
        <f t="shared" si="824"/>
        <v>0</v>
      </c>
      <c r="Z1009" s="2013">
        <f t="shared" si="825"/>
        <v>0</v>
      </c>
      <c r="AA1009" s="2013">
        <f t="shared" si="826"/>
        <v>0</v>
      </c>
      <c r="AB1009" s="2013">
        <f t="shared" si="827"/>
        <v>0</v>
      </c>
      <c r="AC1009" s="2014">
        <f t="shared" si="828"/>
        <v>0</v>
      </c>
      <c r="AF1009" s="1857" t="str">
        <f t="shared" si="829"/>
        <v>Avena</v>
      </c>
      <c r="AG1009" s="2013">
        <f t="shared" si="830"/>
        <v>0</v>
      </c>
      <c r="AH1009" s="2013">
        <f t="shared" si="831"/>
        <v>0</v>
      </c>
      <c r="AI1009" s="2013">
        <f t="shared" si="832"/>
        <v>0</v>
      </c>
      <c r="AJ1009" s="2013">
        <f t="shared" si="833"/>
        <v>0</v>
      </c>
      <c r="AK1009" s="2013">
        <f t="shared" si="834"/>
        <v>0</v>
      </c>
      <c r="AL1009" s="2013">
        <f t="shared" si="835"/>
        <v>0</v>
      </c>
      <c r="AM1009" s="2013">
        <f t="shared" si="836"/>
        <v>0</v>
      </c>
      <c r="AN1009" s="2013">
        <f>IF($AF1009&lt;&gt;0,SUMIFS($C$9:$C$98,$D$9:$D$98,$D$639,L$889:$L$978,$AF1009),0)</f>
        <v>0</v>
      </c>
      <c r="AO1009" s="2013">
        <f t="shared" si="837"/>
        <v>0</v>
      </c>
      <c r="AP1009" s="2013">
        <f t="shared" si="838"/>
        <v>0</v>
      </c>
      <c r="AQ1009" s="2013">
        <f t="shared" si="839"/>
        <v>0</v>
      </c>
      <c r="AR1009" s="2014">
        <f t="shared" si="840"/>
        <v>0</v>
      </c>
    </row>
    <row r="1010" spans="1:44" x14ac:dyDescent="0.2">
      <c r="A1010" s="6"/>
      <c r="B1010" s="1857" t="str">
        <f t="shared" si="804"/>
        <v>Raigrás</v>
      </c>
      <c r="C1010" s="2013">
        <f t="shared" si="805"/>
        <v>0</v>
      </c>
      <c r="D1010" s="2013">
        <f t="shared" si="806"/>
        <v>0</v>
      </c>
      <c r="E1010" s="2013">
        <f t="shared" si="807"/>
        <v>0</v>
      </c>
      <c r="F1010" s="2013">
        <f t="shared" si="808"/>
        <v>0</v>
      </c>
      <c r="G1010" s="2013">
        <f t="shared" si="809"/>
        <v>0</v>
      </c>
      <c r="H1010" s="2013">
        <f t="shared" si="810"/>
        <v>0</v>
      </c>
      <c r="I1010" s="2013">
        <f t="shared" si="811"/>
        <v>0</v>
      </c>
      <c r="J1010" s="2013">
        <f t="shared" si="812"/>
        <v>0</v>
      </c>
      <c r="K1010" s="2013">
        <f t="shared" si="813"/>
        <v>0</v>
      </c>
      <c r="L1010" s="2013">
        <f t="shared" si="814"/>
        <v>0</v>
      </c>
      <c r="M1010" s="2013">
        <f t="shared" si="815"/>
        <v>0</v>
      </c>
      <c r="N1010" s="2014">
        <f t="shared" si="816"/>
        <v>0</v>
      </c>
      <c r="P1010" s="6"/>
      <c r="Q1010" s="1857" t="str">
        <f t="shared" si="843"/>
        <v>Raigrás</v>
      </c>
      <c r="R1010" s="2013">
        <f t="shared" si="817"/>
        <v>0</v>
      </c>
      <c r="S1010" s="2013">
        <f t="shared" si="818"/>
        <v>0</v>
      </c>
      <c r="T1010" s="2013">
        <f t="shared" si="819"/>
        <v>0</v>
      </c>
      <c r="U1010" s="2013">
        <f t="shared" si="820"/>
        <v>0</v>
      </c>
      <c r="V1010" s="2013">
        <f t="shared" si="821"/>
        <v>0</v>
      </c>
      <c r="W1010" s="2013">
        <f t="shared" si="822"/>
        <v>0</v>
      </c>
      <c r="X1010" s="2013">
        <f t="shared" si="823"/>
        <v>0</v>
      </c>
      <c r="Y1010" s="2013">
        <f t="shared" si="824"/>
        <v>0</v>
      </c>
      <c r="Z1010" s="2013">
        <f t="shared" si="825"/>
        <v>0</v>
      </c>
      <c r="AA1010" s="2013">
        <f t="shared" si="826"/>
        <v>0</v>
      </c>
      <c r="AB1010" s="2013">
        <f t="shared" si="827"/>
        <v>0</v>
      </c>
      <c r="AC1010" s="2014">
        <f t="shared" si="828"/>
        <v>0</v>
      </c>
      <c r="AF1010" s="1857" t="str">
        <f t="shared" si="829"/>
        <v>Raigrás</v>
      </c>
      <c r="AG1010" s="2013">
        <f t="shared" si="830"/>
        <v>0</v>
      </c>
      <c r="AH1010" s="2013">
        <f t="shared" si="831"/>
        <v>0</v>
      </c>
      <c r="AI1010" s="2013">
        <f t="shared" si="832"/>
        <v>0</v>
      </c>
      <c r="AJ1010" s="2013">
        <f t="shared" si="833"/>
        <v>0</v>
      </c>
      <c r="AK1010" s="2013">
        <f t="shared" si="834"/>
        <v>0</v>
      </c>
      <c r="AL1010" s="2013">
        <f t="shared" si="835"/>
        <v>0</v>
      </c>
      <c r="AM1010" s="2013">
        <f t="shared" si="836"/>
        <v>0</v>
      </c>
      <c r="AN1010" s="2013">
        <f>IF($AF1010&lt;&gt;0,SUMIFS($C$9:$C$98,$D$9:$D$98,$D$639,L$889:$L$978,$AF1010),0)</f>
        <v>0</v>
      </c>
      <c r="AO1010" s="2013">
        <f t="shared" si="837"/>
        <v>0</v>
      </c>
      <c r="AP1010" s="2013">
        <f t="shared" si="838"/>
        <v>0</v>
      </c>
      <c r="AQ1010" s="2013">
        <f t="shared" si="839"/>
        <v>0</v>
      </c>
      <c r="AR1010" s="2014">
        <f t="shared" si="840"/>
        <v>0</v>
      </c>
    </row>
    <row r="1011" spans="1:44" x14ac:dyDescent="0.2">
      <c r="A1011" s="6"/>
      <c r="B1011" s="1857" t="str">
        <f t="shared" si="804"/>
        <v>Av+Rg</v>
      </c>
      <c r="C1011" s="2013">
        <f t="shared" si="805"/>
        <v>0</v>
      </c>
      <c r="D1011" s="2013">
        <f t="shared" si="806"/>
        <v>0</v>
      </c>
      <c r="E1011" s="2013">
        <f t="shared" si="807"/>
        <v>0</v>
      </c>
      <c r="F1011" s="2013">
        <f t="shared" si="808"/>
        <v>0</v>
      </c>
      <c r="G1011" s="2013">
        <f t="shared" si="809"/>
        <v>0</v>
      </c>
      <c r="H1011" s="2013">
        <f t="shared" si="810"/>
        <v>0</v>
      </c>
      <c r="I1011" s="2013">
        <f t="shared" si="811"/>
        <v>0</v>
      </c>
      <c r="J1011" s="2013">
        <f t="shared" si="812"/>
        <v>0</v>
      </c>
      <c r="K1011" s="2013">
        <f t="shared" si="813"/>
        <v>0</v>
      </c>
      <c r="L1011" s="2013">
        <f t="shared" si="814"/>
        <v>0</v>
      </c>
      <c r="M1011" s="2013">
        <f t="shared" si="815"/>
        <v>0</v>
      </c>
      <c r="N1011" s="2014">
        <f t="shared" si="816"/>
        <v>0</v>
      </c>
      <c r="P1011" s="6"/>
      <c r="Q1011" s="1857" t="str">
        <f t="shared" si="843"/>
        <v>Av+Rg</v>
      </c>
      <c r="R1011" s="2013">
        <f t="shared" si="817"/>
        <v>0</v>
      </c>
      <c r="S1011" s="2013">
        <f t="shared" si="818"/>
        <v>0</v>
      </c>
      <c r="T1011" s="2013">
        <f t="shared" si="819"/>
        <v>0</v>
      </c>
      <c r="U1011" s="2013">
        <f t="shared" si="820"/>
        <v>0</v>
      </c>
      <c r="V1011" s="2013">
        <f t="shared" si="821"/>
        <v>0</v>
      </c>
      <c r="W1011" s="2013">
        <f t="shared" si="822"/>
        <v>0</v>
      </c>
      <c r="X1011" s="2013">
        <f t="shared" si="823"/>
        <v>0</v>
      </c>
      <c r="Y1011" s="2013">
        <f t="shared" si="824"/>
        <v>0</v>
      </c>
      <c r="Z1011" s="2013">
        <f t="shared" si="825"/>
        <v>0</v>
      </c>
      <c r="AA1011" s="2013">
        <f t="shared" si="826"/>
        <v>0</v>
      </c>
      <c r="AB1011" s="2013">
        <f t="shared" si="827"/>
        <v>0</v>
      </c>
      <c r="AC1011" s="2014">
        <f t="shared" si="828"/>
        <v>0</v>
      </c>
      <c r="AF1011" s="1857" t="str">
        <f t="shared" si="829"/>
        <v>Av+Rg</v>
      </c>
      <c r="AG1011" s="2013">
        <f t="shared" si="830"/>
        <v>0</v>
      </c>
      <c r="AH1011" s="2013">
        <f t="shared" si="831"/>
        <v>0</v>
      </c>
      <c r="AI1011" s="2013">
        <f t="shared" si="832"/>
        <v>0</v>
      </c>
      <c r="AJ1011" s="2013">
        <f t="shared" si="833"/>
        <v>0</v>
      </c>
      <c r="AK1011" s="2013">
        <f t="shared" si="834"/>
        <v>0</v>
      </c>
      <c r="AL1011" s="2013">
        <f t="shared" si="835"/>
        <v>0</v>
      </c>
      <c r="AM1011" s="2013">
        <f t="shared" si="836"/>
        <v>0</v>
      </c>
      <c r="AN1011" s="2013">
        <f>IF($AF1011&lt;&gt;0,SUMIFS($C$9:$C$98,$D$9:$D$98,$D$639,L$889:$L$978,$AF1011),0)</f>
        <v>0</v>
      </c>
      <c r="AO1011" s="2013">
        <f t="shared" si="837"/>
        <v>0</v>
      </c>
      <c r="AP1011" s="2013">
        <f t="shared" si="838"/>
        <v>0</v>
      </c>
      <c r="AQ1011" s="2013">
        <f t="shared" si="839"/>
        <v>0</v>
      </c>
      <c r="AR1011" s="2014">
        <f t="shared" si="840"/>
        <v>0</v>
      </c>
    </row>
    <row r="1012" spans="1:44" x14ac:dyDescent="0.2">
      <c r="A1012" s="6"/>
      <c r="B1012" s="1857" t="str">
        <f t="shared" si="804"/>
        <v>Rg Ciclo Largo</v>
      </c>
      <c r="C1012" s="2013">
        <f t="shared" si="805"/>
        <v>0</v>
      </c>
      <c r="D1012" s="2013">
        <f t="shared" si="806"/>
        <v>0</v>
      </c>
      <c r="E1012" s="2013">
        <f t="shared" si="807"/>
        <v>0</v>
      </c>
      <c r="F1012" s="2013">
        <f t="shared" si="808"/>
        <v>0</v>
      </c>
      <c r="G1012" s="2013">
        <f t="shared" si="809"/>
        <v>0</v>
      </c>
      <c r="H1012" s="2013">
        <f t="shared" si="810"/>
        <v>0</v>
      </c>
      <c r="I1012" s="2013">
        <f t="shared" si="811"/>
        <v>0</v>
      </c>
      <c r="J1012" s="2013">
        <f t="shared" si="812"/>
        <v>0</v>
      </c>
      <c r="K1012" s="2013">
        <f t="shared" si="813"/>
        <v>0</v>
      </c>
      <c r="L1012" s="2013">
        <f t="shared" si="814"/>
        <v>0</v>
      </c>
      <c r="M1012" s="2013">
        <f t="shared" si="815"/>
        <v>0</v>
      </c>
      <c r="N1012" s="2014">
        <f t="shared" si="816"/>
        <v>0</v>
      </c>
      <c r="P1012" s="6"/>
      <c r="Q1012" s="1857" t="str">
        <f t="shared" si="843"/>
        <v>Rg Ciclo Largo</v>
      </c>
      <c r="R1012" s="2013">
        <f t="shared" si="817"/>
        <v>0</v>
      </c>
      <c r="S1012" s="2013">
        <f t="shared" si="818"/>
        <v>0</v>
      </c>
      <c r="T1012" s="2013">
        <f t="shared" si="819"/>
        <v>0</v>
      </c>
      <c r="U1012" s="2013">
        <f t="shared" si="820"/>
        <v>0</v>
      </c>
      <c r="V1012" s="2013">
        <f t="shared" si="821"/>
        <v>0</v>
      </c>
      <c r="W1012" s="2013">
        <f t="shared" si="822"/>
        <v>0</v>
      </c>
      <c r="X1012" s="2013">
        <f t="shared" si="823"/>
        <v>0</v>
      </c>
      <c r="Y1012" s="2013">
        <f t="shared" si="824"/>
        <v>0</v>
      </c>
      <c r="Z1012" s="2013">
        <f t="shared" si="825"/>
        <v>0</v>
      </c>
      <c r="AA1012" s="2013">
        <f t="shared" si="826"/>
        <v>0</v>
      </c>
      <c r="AB1012" s="2013">
        <f t="shared" si="827"/>
        <v>0</v>
      </c>
      <c r="AC1012" s="2014">
        <f t="shared" si="828"/>
        <v>0</v>
      </c>
      <c r="AF1012" s="1857" t="str">
        <f t="shared" si="829"/>
        <v>Rg Ciclo Largo</v>
      </c>
      <c r="AG1012" s="2013">
        <f t="shared" si="830"/>
        <v>0</v>
      </c>
      <c r="AH1012" s="2013">
        <f t="shared" si="831"/>
        <v>0</v>
      </c>
      <c r="AI1012" s="2013">
        <f t="shared" si="832"/>
        <v>0</v>
      </c>
      <c r="AJ1012" s="2013">
        <f t="shared" si="833"/>
        <v>0</v>
      </c>
      <c r="AK1012" s="2013">
        <f t="shared" si="834"/>
        <v>0</v>
      </c>
      <c r="AL1012" s="2013">
        <f t="shared" si="835"/>
        <v>0</v>
      </c>
      <c r="AM1012" s="2013">
        <f t="shared" si="836"/>
        <v>0</v>
      </c>
      <c r="AN1012" s="2013">
        <f>IF($AF1012&lt;&gt;0,SUMIFS($C$9:$C$98,$D$9:$D$98,$D$639,L$889:$L$978,$AF1012),0)</f>
        <v>0</v>
      </c>
      <c r="AO1012" s="2013">
        <f t="shared" si="837"/>
        <v>0</v>
      </c>
      <c r="AP1012" s="2013">
        <f t="shared" si="838"/>
        <v>0</v>
      </c>
      <c r="AQ1012" s="2013">
        <f t="shared" si="839"/>
        <v>0</v>
      </c>
      <c r="AR1012" s="2014">
        <f t="shared" si="840"/>
        <v>0</v>
      </c>
    </row>
    <row r="1013" spans="1:44" x14ac:dyDescent="0.2">
      <c r="A1013" s="6"/>
      <c r="B1013" s="1857" t="str">
        <f t="shared" si="804"/>
        <v>Trigo pastoreo</v>
      </c>
      <c r="C1013" s="2013">
        <f t="shared" si="805"/>
        <v>0</v>
      </c>
      <c r="D1013" s="2013">
        <f t="shared" si="806"/>
        <v>0</v>
      </c>
      <c r="E1013" s="2013">
        <f t="shared" si="807"/>
        <v>0</v>
      </c>
      <c r="F1013" s="2013">
        <f t="shared" si="808"/>
        <v>0</v>
      </c>
      <c r="G1013" s="2013">
        <f t="shared" si="809"/>
        <v>0</v>
      </c>
      <c r="H1013" s="2013">
        <f t="shared" si="810"/>
        <v>0</v>
      </c>
      <c r="I1013" s="2013">
        <f t="shared" si="811"/>
        <v>0</v>
      </c>
      <c r="J1013" s="2013">
        <f t="shared" si="812"/>
        <v>0</v>
      </c>
      <c r="K1013" s="2013">
        <f t="shared" si="813"/>
        <v>0</v>
      </c>
      <c r="L1013" s="2013">
        <f t="shared" si="814"/>
        <v>0</v>
      </c>
      <c r="M1013" s="2013">
        <f t="shared" si="815"/>
        <v>0</v>
      </c>
      <c r="N1013" s="2014">
        <f t="shared" si="816"/>
        <v>0</v>
      </c>
      <c r="P1013" s="6"/>
      <c r="Q1013" s="1857" t="str">
        <f t="shared" si="843"/>
        <v>Trigo pastoreo</v>
      </c>
      <c r="R1013" s="2013">
        <f t="shared" si="817"/>
        <v>0</v>
      </c>
      <c r="S1013" s="2013">
        <f t="shared" si="818"/>
        <v>0</v>
      </c>
      <c r="T1013" s="2013">
        <f t="shared" si="819"/>
        <v>0</v>
      </c>
      <c r="U1013" s="2013">
        <f t="shared" si="820"/>
        <v>0</v>
      </c>
      <c r="V1013" s="2013">
        <f t="shared" si="821"/>
        <v>0</v>
      </c>
      <c r="W1013" s="2013">
        <f t="shared" si="822"/>
        <v>0</v>
      </c>
      <c r="X1013" s="2013">
        <f t="shared" si="823"/>
        <v>0</v>
      </c>
      <c r="Y1013" s="2013">
        <f t="shared" si="824"/>
        <v>0</v>
      </c>
      <c r="Z1013" s="2013">
        <f t="shared" si="825"/>
        <v>0</v>
      </c>
      <c r="AA1013" s="2013">
        <f t="shared" si="826"/>
        <v>0</v>
      </c>
      <c r="AB1013" s="2013">
        <f t="shared" si="827"/>
        <v>0</v>
      </c>
      <c r="AC1013" s="2014">
        <f t="shared" si="828"/>
        <v>0</v>
      </c>
      <c r="AF1013" s="1857" t="str">
        <f t="shared" si="829"/>
        <v>Trigo pastoreo</v>
      </c>
      <c r="AG1013" s="2013">
        <f t="shared" si="830"/>
        <v>0</v>
      </c>
      <c r="AH1013" s="2013">
        <f t="shared" si="831"/>
        <v>0</v>
      </c>
      <c r="AI1013" s="2013">
        <f t="shared" si="832"/>
        <v>0</v>
      </c>
      <c r="AJ1013" s="2013">
        <f t="shared" si="833"/>
        <v>0</v>
      </c>
      <c r="AK1013" s="2013">
        <f t="shared" si="834"/>
        <v>0</v>
      </c>
      <c r="AL1013" s="2013">
        <f t="shared" si="835"/>
        <v>0</v>
      </c>
      <c r="AM1013" s="2013">
        <f t="shared" si="836"/>
        <v>0</v>
      </c>
      <c r="AN1013" s="2013">
        <f>IF($AF1013&lt;&gt;0,SUMIFS($C$9:$C$98,$D$9:$D$98,$D$639,L$889:$L$978,$AF1013),0)</f>
        <v>0</v>
      </c>
      <c r="AO1013" s="2013">
        <f t="shared" si="837"/>
        <v>0</v>
      </c>
      <c r="AP1013" s="2013">
        <f t="shared" si="838"/>
        <v>0</v>
      </c>
      <c r="AQ1013" s="2013">
        <f t="shared" si="839"/>
        <v>0</v>
      </c>
      <c r="AR1013" s="2014">
        <f t="shared" si="840"/>
        <v>0</v>
      </c>
    </row>
    <row r="1014" spans="1:44" x14ac:dyDescent="0.2">
      <c r="A1014" s="6"/>
      <c r="B1014" s="1857" t="str">
        <f t="shared" si="804"/>
        <v>Cebada pastoreo</v>
      </c>
      <c r="C1014" s="2013">
        <f t="shared" si="805"/>
        <v>0</v>
      </c>
      <c r="D1014" s="2013">
        <f t="shared" si="806"/>
        <v>0</v>
      </c>
      <c r="E1014" s="2013">
        <f t="shared" si="807"/>
        <v>0</v>
      </c>
      <c r="F1014" s="2013">
        <f t="shared" si="808"/>
        <v>0</v>
      </c>
      <c r="G1014" s="2013">
        <f t="shared" si="809"/>
        <v>0</v>
      </c>
      <c r="H1014" s="2013">
        <f t="shared" si="810"/>
        <v>0</v>
      </c>
      <c r="I1014" s="2013">
        <f t="shared" si="811"/>
        <v>0</v>
      </c>
      <c r="J1014" s="2013">
        <f t="shared" si="812"/>
        <v>0</v>
      </c>
      <c r="K1014" s="2013">
        <f t="shared" si="813"/>
        <v>0</v>
      </c>
      <c r="L1014" s="2013">
        <f t="shared" si="814"/>
        <v>0</v>
      </c>
      <c r="M1014" s="2013">
        <f t="shared" si="815"/>
        <v>0</v>
      </c>
      <c r="N1014" s="2014">
        <f t="shared" si="816"/>
        <v>0</v>
      </c>
      <c r="P1014" s="6"/>
      <c r="Q1014" s="1857" t="str">
        <f t="shared" si="843"/>
        <v>Cebada pastoreo</v>
      </c>
      <c r="R1014" s="2013">
        <f t="shared" si="817"/>
        <v>0</v>
      </c>
      <c r="S1014" s="2013">
        <f t="shared" si="818"/>
        <v>0</v>
      </c>
      <c r="T1014" s="2013">
        <f t="shared" si="819"/>
        <v>0</v>
      </c>
      <c r="U1014" s="2013">
        <f t="shared" si="820"/>
        <v>0</v>
      </c>
      <c r="V1014" s="2013">
        <f t="shared" si="821"/>
        <v>0</v>
      </c>
      <c r="W1014" s="2013">
        <f t="shared" si="822"/>
        <v>0</v>
      </c>
      <c r="X1014" s="2013">
        <f t="shared" si="823"/>
        <v>0</v>
      </c>
      <c r="Y1014" s="2013">
        <f t="shared" si="824"/>
        <v>0</v>
      </c>
      <c r="Z1014" s="2013">
        <f t="shared" si="825"/>
        <v>0</v>
      </c>
      <c r="AA1014" s="2013">
        <f t="shared" si="826"/>
        <v>0</v>
      </c>
      <c r="AB1014" s="2013">
        <f t="shared" si="827"/>
        <v>0</v>
      </c>
      <c r="AC1014" s="2014">
        <f t="shared" si="828"/>
        <v>0</v>
      </c>
      <c r="AF1014" s="1857" t="str">
        <f t="shared" si="829"/>
        <v>Cebada pastoreo</v>
      </c>
      <c r="AG1014" s="2013">
        <f t="shared" si="830"/>
        <v>0</v>
      </c>
      <c r="AH1014" s="2013">
        <f t="shared" si="831"/>
        <v>0</v>
      </c>
      <c r="AI1014" s="2013">
        <f t="shared" si="832"/>
        <v>0</v>
      </c>
      <c r="AJ1014" s="2013">
        <f t="shared" si="833"/>
        <v>0</v>
      </c>
      <c r="AK1014" s="2013">
        <f t="shared" si="834"/>
        <v>0</v>
      </c>
      <c r="AL1014" s="2013">
        <f t="shared" si="835"/>
        <v>0</v>
      </c>
      <c r="AM1014" s="2013">
        <f t="shared" si="836"/>
        <v>0</v>
      </c>
      <c r="AN1014" s="2013">
        <f>IF($AF1014&lt;&gt;0,SUMIFS($C$9:$C$98,$D$9:$D$98,$D$639,L$889:$L$978,$AF1014),0)</f>
        <v>0</v>
      </c>
      <c r="AO1014" s="2013">
        <f t="shared" si="837"/>
        <v>0</v>
      </c>
      <c r="AP1014" s="2013">
        <f t="shared" si="838"/>
        <v>0</v>
      </c>
      <c r="AQ1014" s="2013">
        <f t="shared" si="839"/>
        <v>0</v>
      </c>
      <c r="AR1014" s="2014">
        <f t="shared" si="840"/>
        <v>0</v>
      </c>
    </row>
    <row r="1015" spans="1:44" x14ac:dyDescent="0.2">
      <c r="A1015" s="6"/>
      <c r="B1015" s="1857" t="str">
        <f t="shared" ref="B1015:B1049" si="844">AF1015</f>
        <v>InterS. Rg</v>
      </c>
      <c r="C1015" s="2013">
        <f t="shared" ref="C1015:C1049" si="845">R1015+AG1015</f>
        <v>0</v>
      </c>
      <c r="D1015" s="2013">
        <f t="shared" ref="D1015:D1049" si="846">S1015+AH1015</f>
        <v>0</v>
      </c>
      <c r="E1015" s="2013">
        <f t="shared" ref="E1015:E1049" si="847">T1015+AI1015</f>
        <v>0</v>
      </c>
      <c r="F1015" s="2013">
        <f t="shared" ref="F1015:F1049" si="848">U1015+AJ1015</f>
        <v>0</v>
      </c>
      <c r="G1015" s="2013">
        <f t="shared" ref="G1015:G1049" si="849">V1015+AK1015</f>
        <v>0</v>
      </c>
      <c r="H1015" s="2013">
        <f t="shared" ref="H1015:H1049" si="850">W1015+AL1015</f>
        <v>0</v>
      </c>
      <c r="I1015" s="2013">
        <f t="shared" ref="I1015:I1049" si="851">X1015+AM1015</f>
        <v>0</v>
      </c>
      <c r="J1015" s="2013">
        <f t="shared" ref="J1015:J1049" si="852">Y1015+AN1015</f>
        <v>0</v>
      </c>
      <c r="K1015" s="2013">
        <f t="shared" ref="K1015:K1049" si="853">Z1015+AO1015</f>
        <v>0</v>
      </c>
      <c r="L1015" s="2013">
        <f t="shared" ref="L1015:L1049" si="854">AA1015+AP1015</f>
        <v>0</v>
      </c>
      <c r="M1015" s="2013">
        <f t="shared" ref="M1015:M1049" si="855">AB1015+AQ1015</f>
        <v>0</v>
      </c>
      <c r="N1015" s="2014">
        <f t="shared" ref="N1015:N1049" si="856">AC1015+AR1015</f>
        <v>0</v>
      </c>
      <c r="P1015" s="6"/>
      <c r="Q1015" s="1857" t="str">
        <f t="shared" si="843"/>
        <v>InterS. Rg</v>
      </c>
      <c r="R1015" s="2013">
        <f t="shared" si="817"/>
        <v>0</v>
      </c>
      <c r="S1015" s="2013">
        <f t="shared" si="818"/>
        <v>0</v>
      </c>
      <c r="T1015" s="2013">
        <f t="shared" si="819"/>
        <v>0</v>
      </c>
      <c r="U1015" s="2013">
        <f t="shared" si="820"/>
        <v>0</v>
      </c>
      <c r="V1015" s="2013">
        <f t="shared" si="821"/>
        <v>0</v>
      </c>
      <c r="W1015" s="2013">
        <f t="shared" si="822"/>
        <v>0</v>
      </c>
      <c r="X1015" s="2013">
        <f t="shared" si="823"/>
        <v>0</v>
      </c>
      <c r="Y1015" s="2013">
        <f t="shared" si="824"/>
        <v>0</v>
      </c>
      <c r="Z1015" s="2013">
        <f t="shared" si="825"/>
        <v>0</v>
      </c>
      <c r="AA1015" s="2013">
        <f t="shared" si="826"/>
        <v>0</v>
      </c>
      <c r="AB1015" s="2013">
        <f t="shared" si="827"/>
        <v>0</v>
      </c>
      <c r="AC1015" s="2014">
        <f t="shared" si="828"/>
        <v>0</v>
      </c>
      <c r="AF1015" s="1857" t="str">
        <f t="shared" ref="AF1015:AF1049" si="857">Q1015</f>
        <v>InterS. Rg</v>
      </c>
      <c r="AG1015" s="2013">
        <f t="shared" ref="AG1015:AG1049" si="858">IF($AF1015&lt;&gt;0,SUMIFS($C$9:$C$98,$D$9:$D$98,$D$639,$E$889:$E$978,$AF1015),0)</f>
        <v>0</v>
      </c>
      <c r="AH1015" s="2013">
        <f t="shared" ref="AH1015:AH1049" si="859">IF($AF1015&lt;&gt;0,SUMIFS($C$9:$C$98,$D$9:$D$98,$D$639,$F$889:$F$978,$AF1015),0)</f>
        <v>0</v>
      </c>
      <c r="AI1015" s="2013">
        <f t="shared" ref="AI1015:AI1049" si="860">IF($AF1015&lt;&gt;0,SUMIFS($C$9:$C$98,$D$9:$D$98,$D$639,$G$889:$G$978,$AF1015),0)</f>
        <v>0</v>
      </c>
      <c r="AJ1015" s="2013">
        <f t="shared" ref="AJ1015:AJ1049" si="861">IF($AF1015&lt;&gt;0,SUMIFS($C$9:$C$98,$D$9:$D$98,$D$639,$H$889:$H$978,$AF1015),0)</f>
        <v>0</v>
      </c>
      <c r="AK1015" s="2013">
        <f t="shared" ref="AK1015:AK1049" si="862">IF($AF1015&lt;&gt;0,SUMIFS($C$9:$C$98,$D$9:$D$98,$D$639,$I$889:$I$978,$AF1015),0)</f>
        <v>0</v>
      </c>
      <c r="AL1015" s="2013">
        <f t="shared" ref="AL1015:AL1049" si="863">IF($AF1015&lt;&gt;0,SUMIFS($C$9:$C$98,$D$9:$D$98,$D$639,$J$889:$J$978,$AF1015),0)</f>
        <v>0</v>
      </c>
      <c r="AM1015" s="2013">
        <f t="shared" ref="AM1015:AM1049" si="864">IF($AF1015&lt;&gt;0,SUMIFS($C$9:$C$98,$D$9:$D$98,$D$639,$K$889:$K$978,$AF1015),0)</f>
        <v>0</v>
      </c>
      <c r="AN1015" s="2013">
        <f>IF($AF1015&lt;&gt;0,SUMIFS($C$9:$C$98,$D$9:$D$98,$D$639,L$889:$L$978,$AF1015),0)</f>
        <v>0</v>
      </c>
      <c r="AO1015" s="2013">
        <f t="shared" ref="AO1015:AO1049" si="865">IF($AF1015&lt;&gt;0,SUMIFS($C$9:$C$98,$D$9:$D$98,$D$639,$M$889:$M$978,$AF1015),0)</f>
        <v>0</v>
      </c>
      <c r="AP1015" s="2013">
        <f t="shared" ref="AP1015:AP1049" si="866">IF($AF1015&lt;&gt;0,SUMIFS($C$9:$C$98,$D$9:$D$98,$D$639,$N$889:$N$978,$AF1015),0)</f>
        <v>0</v>
      </c>
      <c r="AQ1015" s="2013">
        <f t="shared" ref="AQ1015:AQ1049" si="867">IF($AF1015&lt;&gt;0,SUMIFS($C$9:$C$98,$D$9:$D$98,$D$639,$O$889:$O$978,$AF1015),0)</f>
        <v>0</v>
      </c>
      <c r="AR1015" s="2014">
        <f t="shared" ref="AR1015:AR1049" si="868">IF($AF1015&lt;&gt;0,SUMIFS($C$9:$C$98,$D$9:$D$98,$D$639,$P$889:$P$978,$AF1015),0)</f>
        <v>0</v>
      </c>
    </row>
    <row r="1016" spans="1:44" x14ac:dyDescent="0.2">
      <c r="A1016" s="6"/>
      <c r="B1016" s="1857">
        <f t="shared" si="844"/>
        <v>0</v>
      </c>
      <c r="C1016" s="2013">
        <f t="shared" si="845"/>
        <v>0</v>
      </c>
      <c r="D1016" s="2013">
        <f t="shared" si="846"/>
        <v>0</v>
      </c>
      <c r="E1016" s="2013">
        <f t="shared" si="847"/>
        <v>0</v>
      </c>
      <c r="F1016" s="2013">
        <f t="shared" si="848"/>
        <v>0</v>
      </c>
      <c r="G1016" s="2013">
        <f t="shared" si="849"/>
        <v>0</v>
      </c>
      <c r="H1016" s="2013">
        <f t="shared" si="850"/>
        <v>0</v>
      </c>
      <c r="I1016" s="2013">
        <f t="shared" si="851"/>
        <v>0</v>
      </c>
      <c r="J1016" s="2013">
        <f t="shared" si="852"/>
        <v>0</v>
      </c>
      <c r="K1016" s="2013">
        <f t="shared" si="853"/>
        <v>0</v>
      </c>
      <c r="L1016" s="2013">
        <f t="shared" si="854"/>
        <v>0</v>
      </c>
      <c r="M1016" s="2013">
        <f t="shared" si="855"/>
        <v>0</v>
      </c>
      <c r="N1016" s="2014">
        <f t="shared" si="856"/>
        <v>0</v>
      </c>
      <c r="P1016" s="6"/>
      <c r="Q1016" s="1857">
        <f t="shared" si="843"/>
        <v>0</v>
      </c>
      <c r="R1016" s="2013">
        <f t="shared" si="817"/>
        <v>0</v>
      </c>
      <c r="S1016" s="2013">
        <f t="shared" si="818"/>
        <v>0</v>
      </c>
      <c r="T1016" s="2013">
        <f t="shared" si="819"/>
        <v>0</v>
      </c>
      <c r="U1016" s="2013">
        <f t="shared" si="820"/>
        <v>0</v>
      </c>
      <c r="V1016" s="2013">
        <f t="shared" si="821"/>
        <v>0</v>
      </c>
      <c r="W1016" s="2013">
        <f t="shared" si="822"/>
        <v>0</v>
      </c>
      <c r="X1016" s="2013">
        <f t="shared" si="823"/>
        <v>0</v>
      </c>
      <c r="Y1016" s="2013">
        <f t="shared" si="824"/>
        <v>0</v>
      </c>
      <c r="Z1016" s="2013">
        <f t="shared" si="825"/>
        <v>0</v>
      </c>
      <c r="AA1016" s="2013">
        <f t="shared" si="826"/>
        <v>0</v>
      </c>
      <c r="AB1016" s="2013">
        <f t="shared" si="827"/>
        <v>0</v>
      </c>
      <c r="AC1016" s="2014">
        <f t="shared" si="828"/>
        <v>0</v>
      </c>
      <c r="AF1016" s="1857">
        <f t="shared" si="857"/>
        <v>0</v>
      </c>
      <c r="AG1016" s="2013">
        <f t="shared" si="858"/>
        <v>0</v>
      </c>
      <c r="AH1016" s="2013">
        <f t="shared" si="859"/>
        <v>0</v>
      </c>
      <c r="AI1016" s="2013">
        <f t="shared" si="860"/>
        <v>0</v>
      </c>
      <c r="AJ1016" s="2013">
        <f t="shared" si="861"/>
        <v>0</v>
      </c>
      <c r="AK1016" s="2013">
        <f t="shared" si="862"/>
        <v>0</v>
      </c>
      <c r="AL1016" s="2013">
        <f t="shared" si="863"/>
        <v>0</v>
      </c>
      <c r="AM1016" s="2013">
        <f t="shared" si="864"/>
        <v>0</v>
      </c>
      <c r="AN1016" s="2013">
        <f>IF($AF1016&lt;&gt;0,SUMIFS($C$9:$C$98,$D$9:$D$98,$D$639,L$889:$L$978,$AF1016),0)</f>
        <v>0</v>
      </c>
      <c r="AO1016" s="2013">
        <f t="shared" si="865"/>
        <v>0</v>
      </c>
      <c r="AP1016" s="2013">
        <f t="shared" si="866"/>
        <v>0</v>
      </c>
      <c r="AQ1016" s="2013">
        <f t="shared" si="867"/>
        <v>0</v>
      </c>
      <c r="AR1016" s="2014">
        <f t="shared" si="868"/>
        <v>0</v>
      </c>
    </row>
    <row r="1017" spans="1:44" x14ac:dyDescent="0.2">
      <c r="A1017" s="6"/>
      <c r="B1017" s="1857">
        <f t="shared" si="844"/>
        <v>0</v>
      </c>
      <c r="C1017" s="2013">
        <f t="shared" si="845"/>
        <v>0</v>
      </c>
      <c r="D1017" s="2013">
        <f t="shared" si="846"/>
        <v>0</v>
      </c>
      <c r="E1017" s="2013">
        <f t="shared" si="847"/>
        <v>0</v>
      </c>
      <c r="F1017" s="2013">
        <f t="shared" si="848"/>
        <v>0</v>
      </c>
      <c r="G1017" s="2013">
        <f t="shared" si="849"/>
        <v>0</v>
      </c>
      <c r="H1017" s="2013">
        <f t="shared" si="850"/>
        <v>0</v>
      </c>
      <c r="I1017" s="2013">
        <f t="shared" si="851"/>
        <v>0</v>
      </c>
      <c r="J1017" s="2013">
        <f t="shared" si="852"/>
        <v>0</v>
      </c>
      <c r="K1017" s="2013">
        <f t="shared" si="853"/>
        <v>0</v>
      </c>
      <c r="L1017" s="2013">
        <f t="shared" si="854"/>
        <v>0</v>
      </c>
      <c r="M1017" s="2013">
        <f t="shared" si="855"/>
        <v>0</v>
      </c>
      <c r="N1017" s="2014">
        <f t="shared" si="856"/>
        <v>0</v>
      </c>
      <c r="P1017" s="6"/>
      <c r="Q1017" s="1857">
        <f t="shared" si="843"/>
        <v>0</v>
      </c>
      <c r="R1017" s="2013">
        <f t="shared" si="817"/>
        <v>0</v>
      </c>
      <c r="S1017" s="2013">
        <f t="shared" si="818"/>
        <v>0</v>
      </c>
      <c r="T1017" s="2013">
        <f t="shared" si="819"/>
        <v>0</v>
      </c>
      <c r="U1017" s="2013">
        <f t="shared" si="820"/>
        <v>0</v>
      </c>
      <c r="V1017" s="2013">
        <f t="shared" si="821"/>
        <v>0</v>
      </c>
      <c r="W1017" s="2013">
        <f t="shared" si="822"/>
        <v>0</v>
      </c>
      <c r="X1017" s="2013">
        <f t="shared" si="823"/>
        <v>0</v>
      </c>
      <c r="Y1017" s="2013">
        <f t="shared" si="824"/>
        <v>0</v>
      </c>
      <c r="Z1017" s="2013">
        <f t="shared" si="825"/>
        <v>0</v>
      </c>
      <c r="AA1017" s="2013">
        <f t="shared" si="826"/>
        <v>0</v>
      </c>
      <c r="AB1017" s="2013">
        <f t="shared" si="827"/>
        <v>0</v>
      </c>
      <c r="AC1017" s="2014">
        <f t="shared" si="828"/>
        <v>0</v>
      </c>
      <c r="AF1017" s="1857">
        <f t="shared" si="857"/>
        <v>0</v>
      </c>
      <c r="AG1017" s="2013">
        <f t="shared" si="858"/>
        <v>0</v>
      </c>
      <c r="AH1017" s="2013">
        <f t="shared" si="859"/>
        <v>0</v>
      </c>
      <c r="AI1017" s="2013">
        <f t="shared" si="860"/>
        <v>0</v>
      </c>
      <c r="AJ1017" s="2013">
        <f t="shared" si="861"/>
        <v>0</v>
      </c>
      <c r="AK1017" s="2013">
        <f t="shared" si="862"/>
        <v>0</v>
      </c>
      <c r="AL1017" s="2013">
        <f t="shared" si="863"/>
        <v>0</v>
      </c>
      <c r="AM1017" s="2013">
        <f t="shared" si="864"/>
        <v>0</v>
      </c>
      <c r="AN1017" s="2013">
        <f>IF($AF1017&lt;&gt;0,SUMIFS($C$9:$C$98,$D$9:$D$98,$D$639,L$889:$L$978,$AF1017),0)</f>
        <v>0</v>
      </c>
      <c r="AO1017" s="2013">
        <f t="shared" si="865"/>
        <v>0</v>
      </c>
      <c r="AP1017" s="2013">
        <f t="shared" si="866"/>
        <v>0</v>
      </c>
      <c r="AQ1017" s="2013">
        <f t="shared" si="867"/>
        <v>0</v>
      </c>
      <c r="AR1017" s="2014">
        <f t="shared" si="868"/>
        <v>0</v>
      </c>
    </row>
    <row r="1018" spans="1:44" x14ac:dyDescent="0.2">
      <c r="A1018" s="6"/>
      <c r="B1018" s="2020" t="str">
        <f t="shared" si="844"/>
        <v xml:space="preserve">Subtotal Verdeos de Invierno </v>
      </c>
      <c r="C1018" s="2013">
        <f t="shared" si="845"/>
        <v>0</v>
      </c>
      <c r="D1018" s="2013">
        <f t="shared" si="846"/>
        <v>0</v>
      </c>
      <c r="E1018" s="2013">
        <f t="shared" si="847"/>
        <v>0</v>
      </c>
      <c r="F1018" s="2013">
        <f t="shared" si="848"/>
        <v>0</v>
      </c>
      <c r="G1018" s="2013">
        <f t="shared" si="849"/>
        <v>0</v>
      </c>
      <c r="H1018" s="2013">
        <f t="shared" si="850"/>
        <v>0</v>
      </c>
      <c r="I1018" s="2013">
        <f t="shared" si="851"/>
        <v>0</v>
      </c>
      <c r="J1018" s="2013">
        <f t="shared" si="852"/>
        <v>0</v>
      </c>
      <c r="K1018" s="2013">
        <f t="shared" si="853"/>
        <v>0</v>
      </c>
      <c r="L1018" s="2013">
        <f t="shared" si="854"/>
        <v>0</v>
      </c>
      <c r="M1018" s="2013">
        <f t="shared" si="855"/>
        <v>0</v>
      </c>
      <c r="N1018" s="2014">
        <f t="shared" si="856"/>
        <v>0</v>
      </c>
      <c r="P1018" s="6"/>
      <c r="Q1018" s="2020" t="str">
        <f t="shared" si="843"/>
        <v xml:space="preserve">Subtotal Verdeos de Invierno </v>
      </c>
      <c r="R1018" s="2013"/>
      <c r="S1018" s="2013"/>
      <c r="T1018" s="2013"/>
      <c r="U1018" s="2013"/>
      <c r="V1018" s="2013"/>
      <c r="W1018" s="2013"/>
      <c r="X1018" s="2013"/>
      <c r="Y1018" s="2013"/>
      <c r="Z1018" s="2013"/>
      <c r="AA1018" s="2013"/>
      <c r="AB1018" s="2013"/>
      <c r="AC1018" s="2014"/>
      <c r="AF1018" s="2020" t="str">
        <f t="shared" si="857"/>
        <v xml:space="preserve">Subtotal Verdeos de Invierno </v>
      </c>
      <c r="AG1018" s="2013">
        <f t="shared" si="858"/>
        <v>0</v>
      </c>
      <c r="AH1018" s="2013">
        <f t="shared" si="859"/>
        <v>0</v>
      </c>
      <c r="AI1018" s="2013">
        <f t="shared" si="860"/>
        <v>0</v>
      </c>
      <c r="AJ1018" s="2013">
        <f t="shared" si="861"/>
        <v>0</v>
      </c>
      <c r="AK1018" s="2013">
        <f t="shared" si="862"/>
        <v>0</v>
      </c>
      <c r="AL1018" s="2013">
        <f t="shared" si="863"/>
        <v>0</v>
      </c>
      <c r="AM1018" s="2013">
        <f t="shared" si="864"/>
        <v>0</v>
      </c>
      <c r="AN1018" s="2013">
        <f>IF($AF1018&lt;&gt;0,SUMIFS($C$9:$C$98,$D$9:$D$98,$D$639,L$889:$L$978,$AF1018),0)</f>
        <v>0</v>
      </c>
      <c r="AO1018" s="2013">
        <f t="shared" si="865"/>
        <v>0</v>
      </c>
      <c r="AP1018" s="2013">
        <f t="shared" si="866"/>
        <v>0</v>
      </c>
      <c r="AQ1018" s="2013">
        <f t="shared" si="867"/>
        <v>0</v>
      </c>
      <c r="AR1018" s="2014">
        <f t="shared" si="868"/>
        <v>0</v>
      </c>
    </row>
    <row r="1019" spans="1:44" x14ac:dyDescent="0.2">
      <c r="A1019" s="6"/>
      <c r="B1019" s="1857" t="str">
        <f t="shared" si="844"/>
        <v>Sorgo Forrajero</v>
      </c>
      <c r="C1019" s="2013">
        <f t="shared" si="845"/>
        <v>0</v>
      </c>
      <c r="D1019" s="2013">
        <f t="shared" si="846"/>
        <v>0</v>
      </c>
      <c r="E1019" s="2013">
        <f t="shared" si="847"/>
        <v>0</v>
      </c>
      <c r="F1019" s="2013">
        <f t="shared" si="848"/>
        <v>0</v>
      </c>
      <c r="G1019" s="2013">
        <f t="shared" si="849"/>
        <v>0</v>
      </c>
      <c r="H1019" s="2013">
        <f t="shared" si="850"/>
        <v>0</v>
      </c>
      <c r="I1019" s="2013">
        <f t="shared" si="851"/>
        <v>0</v>
      </c>
      <c r="J1019" s="2013">
        <f t="shared" si="852"/>
        <v>0</v>
      </c>
      <c r="K1019" s="2013">
        <f t="shared" si="853"/>
        <v>0</v>
      </c>
      <c r="L1019" s="2013">
        <f t="shared" si="854"/>
        <v>0</v>
      </c>
      <c r="M1019" s="2013">
        <f t="shared" si="855"/>
        <v>0</v>
      </c>
      <c r="N1019" s="2014">
        <f t="shared" si="856"/>
        <v>0</v>
      </c>
      <c r="P1019" s="6"/>
      <c r="Q1019" s="1857" t="str">
        <f t="shared" si="843"/>
        <v>Sorgo Forrajero</v>
      </c>
      <c r="R1019" s="2013">
        <f>IF($Q1019&lt;&gt;0,SUMIFS($C$9:$C$98,$D$9:$D$98,$D$638,$E$889:$E$978,$Q1019),0)</f>
        <v>0</v>
      </c>
      <c r="S1019" s="2013">
        <f>IF($Q1019&lt;&gt;0,SUMIFS($C$9:$C$98,$D$9:$D$98,$D$638,$F$889:$F$978,$Q1019),0)</f>
        <v>0</v>
      </c>
      <c r="T1019" s="2013">
        <f>IF($Q1019&lt;&gt;0,SUMIFS($C$9:$C$98,$D$9:$D$98,$D$638,$G$889:$G$978,$Q1019),0)</f>
        <v>0</v>
      </c>
      <c r="U1019" s="2013">
        <f>IF($Q1019&lt;&gt;0,SUMIFS($C$9:$C$98,$D$9:$D$98,$D$638,$H$889:$H$978,$Q1019),0)</f>
        <v>0</v>
      </c>
      <c r="V1019" s="2013">
        <f>IF($Q1019&lt;&gt;0,SUMIFS($C$9:$C$98,$D$9:$D$98,$D$638,$I$889:$I$978,$Q1019),0)</f>
        <v>0</v>
      </c>
      <c r="W1019" s="2013">
        <f>IF($Q1019&lt;&gt;0,SUMIFS($C$9:$C$98,$D$9:$D$98,$D$638,$J$889:$J$978,$Q1019),0)</f>
        <v>0</v>
      </c>
      <c r="X1019" s="2013">
        <f>IF($Q1019&lt;&gt;0,SUMIFS($C$9:$C$98,$D$9:$D$98,$D$638,$K$889:$K$978,$Q1019),0)</f>
        <v>0</v>
      </c>
      <c r="Y1019" s="2013">
        <f>IF($Q1019&lt;&gt;0,SUMIFS($C$9:$C$98,$D$9:$D$98,$D$638,$L$889:$L$978,$Q1019),0)</f>
        <v>0</v>
      </c>
      <c r="Z1019" s="2013">
        <f>IF($Q1019&lt;&gt;0,SUMIFS($C$9:$C$98,$D$9:$D$98,$D$638,$M$889:$M$978,$Q1019),0)</f>
        <v>0</v>
      </c>
      <c r="AA1019" s="2013">
        <f>IF($Q1019&lt;&gt;0,SUMIFS($C$9:$C$98,$D$9:$D$98,$D$638,$N$889:$N$978,$Q1019),0)</f>
        <v>0</v>
      </c>
      <c r="AB1019" s="2013">
        <f>IF($Q1019&lt;&gt;0,SUMIFS($C$9:$C$98,$D$9:$D$98,$D$638,$O$889:$O$978,$Q1019),0)</f>
        <v>0</v>
      </c>
      <c r="AC1019" s="2014">
        <f>IF($Q1019&lt;&gt;0,SUMIFS($C$9:$C$98,$D$9:$D$98,$D$638,$P$889:$P$978,$Q1019),0)</f>
        <v>0</v>
      </c>
      <c r="AF1019" s="1857" t="str">
        <f t="shared" si="857"/>
        <v>Sorgo Forrajero</v>
      </c>
      <c r="AG1019" s="2013">
        <f t="shared" si="858"/>
        <v>0</v>
      </c>
      <c r="AH1019" s="2013">
        <f t="shared" si="859"/>
        <v>0</v>
      </c>
      <c r="AI1019" s="2013">
        <f t="shared" si="860"/>
        <v>0</v>
      </c>
      <c r="AJ1019" s="2013">
        <f t="shared" si="861"/>
        <v>0</v>
      </c>
      <c r="AK1019" s="2013">
        <f t="shared" si="862"/>
        <v>0</v>
      </c>
      <c r="AL1019" s="2013">
        <f t="shared" si="863"/>
        <v>0</v>
      </c>
      <c r="AM1019" s="2013">
        <f t="shared" si="864"/>
        <v>0</v>
      </c>
      <c r="AN1019" s="2013">
        <f>IF($AF1019&lt;&gt;0,SUMIFS($C$9:$C$98,$D$9:$D$98,$D$639,L$889:$L$978,$AF1019),0)</f>
        <v>0</v>
      </c>
      <c r="AO1019" s="2013">
        <f t="shared" si="865"/>
        <v>0</v>
      </c>
      <c r="AP1019" s="2013">
        <f t="shared" si="866"/>
        <v>0</v>
      </c>
      <c r="AQ1019" s="2013">
        <f t="shared" si="867"/>
        <v>0</v>
      </c>
      <c r="AR1019" s="2014">
        <f t="shared" si="868"/>
        <v>0</v>
      </c>
    </row>
    <row r="1020" spans="1:44" x14ac:dyDescent="0.2">
      <c r="A1020" s="6"/>
      <c r="B1020" s="1857" t="str">
        <f t="shared" si="844"/>
        <v xml:space="preserve">Sudan </v>
      </c>
      <c r="C1020" s="2013">
        <f t="shared" si="845"/>
        <v>0</v>
      </c>
      <c r="D1020" s="2013">
        <f t="shared" si="846"/>
        <v>0</v>
      </c>
      <c r="E1020" s="2013">
        <f t="shared" si="847"/>
        <v>0</v>
      </c>
      <c r="F1020" s="2013">
        <f t="shared" si="848"/>
        <v>0</v>
      </c>
      <c r="G1020" s="2013">
        <f t="shared" si="849"/>
        <v>0</v>
      </c>
      <c r="H1020" s="2013">
        <f t="shared" si="850"/>
        <v>0</v>
      </c>
      <c r="I1020" s="2013">
        <f t="shared" si="851"/>
        <v>0</v>
      </c>
      <c r="J1020" s="2013">
        <f t="shared" si="852"/>
        <v>0</v>
      </c>
      <c r="K1020" s="2013">
        <f t="shared" si="853"/>
        <v>0</v>
      </c>
      <c r="L1020" s="2013">
        <f t="shared" si="854"/>
        <v>0</v>
      </c>
      <c r="M1020" s="2013">
        <f t="shared" si="855"/>
        <v>0</v>
      </c>
      <c r="N1020" s="2014">
        <f t="shared" si="856"/>
        <v>0</v>
      </c>
      <c r="P1020" s="6"/>
      <c r="Q1020" s="1857" t="str">
        <f t="shared" si="843"/>
        <v xml:space="preserve">Sudan </v>
      </c>
      <c r="R1020" s="2013">
        <f>IF($Q1020&lt;&gt;0,SUMIFS($C$9:$C$98,$D$9:$D$98,$D$638,$E$889:$E$978,$Q1020),0)</f>
        <v>0</v>
      </c>
      <c r="S1020" s="2013">
        <f>IF($Q1020&lt;&gt;0,SUMIFS($C$9:$C$98,$D$9:$D$98,$D$638,$F$889:$F$978,$Q1020),0)</f>
        <v>0</v>
      </c>
      <c r="T1020" s="2013">
        <f>IF($Q1020&lt;&gt;0,SUMIFS($C$9:$C$98,$D$9:$D$98,$D$638,$G$889:$G$978,$Q1020),0)</f>
        <v>0</v>
      </c>
      <c r="U1020" s="2013">
        <f>IF($Q1020&lt;&gt;0,SUMIFS($C$9:$C$98,$D$9:$D$98,$D$638,$H$889:$H$978,$Q1020),0)</f>
        <v>0</v>
      </c>
      <c r="V1020" s="2013">
        <f>IF($Q1020&lt;&gt;0,SUMIFS($C$9:$C$98,$D$9:$D$98,$D$638,$I$889:$I$978,$Q1020),0)</f>
        <v>0</v>
      </c>
      <c r="W1020" s="2013">
        <f>IF($Q1020&lt;&gt;0,SUMIFS($C$9:$C$98,$D$9:$D$98,$D$638,$J$889:$J$978,$Q1020),0)</f>
        <v>0</v>
      </c>
      <c r="X1020" s="2013">
        <f>IF($Q1020&lt;&gt;0,SUMIFS($C$9:$C$98,$D$9:$D$98,$D$638,$K$889:$K$978,$Q1020),0)</f>
        <v>0</v>
      </c>
      <c r="Y1020" s="2013">
        <f>IF($Q1020&lt;&gt;0,SUMIFS($C$9:$C$98,$D$9:$D$98,$D$638,$L$889:$L$978,$Q1020),0)</f>
        <v>0</v>
      </c>
      <c r="Z1020" s="2013">
        <f>IF($Q1020&lt;&gt;0,SUMIFS($C$9:$C$98,$D$9:$D$98,$D$638,$M$889:$M$978,$Q1020),0)</f>
        <v>0</v>
      </c>
      <c r="AA1020" s="2013">
        <f>IF($Q1020&lt;&gt;0,SUMIFS($C$9:$C$98,$D$9:$D$98,$D$638,$N$889:$N$978,$Q1020),0)</f>
        <v>0</v>
      </c>
      <c r="AB1020" s="2013">
        <f>IF($Q1020&lt;&gt;0,SUMIFS($C$9:$C$98,$D$9:$D$98,$D$638,$O$889:$O$978,$Q1020),0)</f>
        <v>0</v>
      </c>
      <c r="AC1020" s="2014">
        <f>IF($Q1020&lt;&gt;0,SUMIFS($C$9:$C$98,$D$9:$D$98,$D$638,$P$889:$P$978,$Q1020),0)</f>
        <v>0</v>
      </c>
      <c r="AF1020" s="1857" t="str">
        <f t="shared" si="857"/>
        <v xml:space="preserve">Sudan </v>
      </c>
      <c r="AG1020" s="2013">
        <f t="shared" si="858"/>
        <v>0</v>
      </c>
      <c r="AH1020" s="2013">
        <f t="shared" si="859"/>
        <v>0</v>
      </c>
      <c r="AI1020" s="2013">
        <f t="shared" si="860"/>
        <v>0</v>
      </c>
      <c r="AJ1020" s="2013">
        <f t="shared" si="861"/>
        <v>0</v>
      </c>
      <c r="AK1020" s="2013">
        <f t="shared" si="862"/>
        <v>0</v>
      </c>
      <c r="AL1020" s="2013">
        <f t="shared" si="863"/>
        <v>0</v>
      </c>
      <c r="AM1020" s="2013">
        <f t="shared" si="864"/>
        <v>0</v>
      </c>
      <c r="AN1020" s="2013">
        <f>IF($AF1020&lt;&gt;0,SUMIFS($C$9:$C$98,$D$9:$D$98,$D$639,L$889:$L$978,$AF1020),0)</f>
        <v>0</v>
      </c>
      <c r="AO1020" s="2013">
        <f t="shared" si="865"/>
        <v>0</v>
      </c>
      <c r="AP1020" s="2013">
        <f t="shared" si="866"/>
        <v>0</v>
      </c>
      <c r="AQ1020" s="2013">
        <f t="shared" si="867"/>
        <v>0</v>
      </c>
      <c r="AR1020" s="2014">
        <f t="shared" si="868"/>
        <v>0</v>
      </c>
    </row>
    <row r="1021" spans="1:44" x14ac:dyDescent="0.2">
      <c r="A1021" s="6"/>
      <c r="B1021" s="1857">
        <f t="shared" si="844"/>
        <v>0</v>
      </c>
      <c r="C1021" s="2013">
        <f t="shared" si="845"/>
        <v>0</v>
      </c>
      <c r="D1021" s="2013">
        <f t="shared" si="846"/>
        <v>0</v>
      </c>
      <c r="E1021" s="2013">
        <f t="shared" si="847"/>
        <v>0</v>
      </c>
      <c r="F1021" s="2013">
        <f t="shared" si="848"/>
        <v>0</v>
      </c>
      <c r="G1021" s="2013">
        <f t="shared" si="849"/>
        <v>0</v>
      </c>
      <c r="H1021" s="2013">
        <f t="shared" si="850"/>
        <v>0</v>
      </c>
      <c r="I1021" s="2013">
        <f t="shared" si="851"/>
        <v>0</v>
      </c>
      <c r="J1021" s="2013">
        <f t="shared" si="852"/>
        <v>0</v>
      </c>
      <c r="K1021" s="2013">
        <f t="shared" si="853"/>
        <v>0</v>
      </c>
      <c r="L1021" s="2013">
        <f t="shared" si="854"/>
        <v>0</v>
      </c>
      <c r="M1021" s="2013">
        <f t="shared" si="855"/>
        <v>0</v>
      </c>
      <c r="N1021" s="2014">
        <f t="shared" si="856"/>
        <v>0</v>
      </c>
      <c r="P1021" s="6"/>
      <c r="Q1021" s="1857">
        <f t="shared" si="843"/>
        <v>0</v>
      </c>
      <c r="R1021" s="2013">
        <f>IF($Q1021&lt;&gt;0,SUMIFS($C$9:$C$98,$D$9:$D$98,$D$638,$E$889:$E$978,$Q1021),0)</f>
        <v>0</v>
      </c>
      <c r="S1021" s="2013">
        <f>IF($Q1021&lt;&gt;0,SUMIFS($C$9:$C$98,$D$9:$D$98,$D$638,$F$889:$F$978,$Q1021),0)</f>
        <v>0</v>
      </c>
      <c r="T1021" s="2013">
        <f>IF($Q1021&lt;&gt;0,SUMIFS($C$9:$C$98,$D$9:$D$98,$D$638,$G$889:$G$978,$Q1021),0)</f>
        <v>0</v>
      </c>
      <c r="U1021" s="2013">
        <f>IF($Q1021&lt;&gt;0,SUMIFS($C$9:$C$98,$D$9:$D$98,$D$638,$H$889:$H$978,$Q1021),0)</f>
        <v>0</v>
      </c>
      <c r="V1021" s="2013">
        <f>IF($Q1021&lt;&gt;0,SUMIFS($C$9:$C$98,$D$9:$D$98,$D$638,$I$889:$I$978,$Q1021),0)</f>
        <v>0</v>
      </c>
      <c r="W1021" s="2013">
        <f>IF($Q1021&lt;&gt;0,SUMIFS($C$9:$C$98,$D$9:$D$98,$D$638,$J$889:$J$978,$Q1021),0)</f>
        <v>0</v>
      </c>
      <c r="X1021" s="2013">
        <f>IF($Q1021&lt;&gt;0,SUMIFS($C$9:$C$98,$D$9:$D$98,$D$638,$K$889:$K$978,$Q1021),0)</f>
        <v>0</v>
      </c>
      <c r="Y1021" s="2013">
        <f>IF($Q1021&lt;&gt;0,SUMIFS($C$9:$C$98,$D$9:$D$98,$D$638,$L$889:$L$978,$Q1021),0)</f>
        <v>0</v>
      </c>
      <c r="Z1021" s="2013">
        <f>IF($Q1021&lt;&gt;0,SUMIFS($C$9:$C$98,$D$9:$D$98,$D$638,$M$889:$M$978,$Q1021),0)</f>
        <v>0</v>
      </c>
      <c r="AA1021" s="2013">
        <f>IF($Q1021&lt;&gt;0,SUMIFS($C$9:$C$98,$D$9:$D$98,$D$638,$N$889:$N$978,$Q1021),0)</f>
        <v>0</v>
      </c>
      <c r="AB1021" s="2013">
        <f>IF($Q1021&lt;&gt;0,SUMIFS($C$9:$C$98,$D$9:$D$98,$D$638,$O$889:$O$978,$Q1021),0)</f>
        <v>0</v>
      </c>
      <c r="AC1021" s="2014">
        <f>IF($Q1021&lt;&gt;0,SUMIFS($C$9:$C$98,$D$9:$D$98,$D$638,$P$889:$P$978,$Q1021),0)</f>
        <v>0</v>
      </c>
      <c r="AF1021" s="1857">
        <f t="shared" si="857"/>
        <v>0</v>
      </c>
      <c r="AG1021" s="2013">
        <f t="shared" si="858"/>
        <v>0</v>
      </c>
      <c r="AH1021" s="2013">
        <f t="shared" si="859"/>
        <v>0</v>
      </c>
      <c r="AI1021" s="2013">
        <f t="shared" si="860"/>
        <v>0</v>
      </c>
      <c r="AJ1021" s="2013">
        <f t="shared" si="861"/>
        <v>0</v>
      </c>
      <c r="AK1021" s="2013">
        <f t="shared" si="862"/>
        <v>0</v>
      </c>
      <c r="AL1021" s="2013">
        <f t="shared" si="863"/>
        <v>0</v>
      </c>
      <c r="AM1021" s="2013">
        <f t="shared" si="864"/>
        <v>0</v>
      </c>
      <c r="AN1021" s="2013">
        <f>IF($AF1021&lt;&gt;0,SUMIFS($C$9:$C$98,$D$9:$D$98,$D$639,L$889:$L$978,$AF1021),0)</f>
        <v>0</v>
      </c>
      <c r="AO1021" s="2013">
        <f t="shared" si="865"/>
        <v>0</v>
      </c>
      <c r="AP1021" s="2013">
        <f t="shared" si="866"/>
        <v>0</v>
      </c>
      <c r="AQ1021" s="2013">
        <f t="shared" si="867"/>
        <v>0</v>
      </c>
      <c r="AR1021" s="2014">
        <f t="shared" si="868"/>
        <v>0</v>
      </c>
    </row>
    <row r="1022" spans="1:44" x14ac:dyDescent="0.2">
      <c r="A1022" s="6"/>
      <c r="B1022" s="1857">
        <f t="shared" si="844"/>
        <v>0</v>
      </c>
      <c r="C1022" s="2013">
        <f t="shared" si="845"/>
        <v>0</v>
      </c>
      <c r="D1022" s="2013">
        <f t="shared" si="846"/>
        <v>0</v>
      </c>
      <c r="E1022" s="2013">
        <f t="shared" si="847"/>
        <v>0</v>
      </c>
      <c r="F1022" s="2013">
        <f t="shared" si="848"/>
        <v>0</v>
      </c>
      <c r="G1022" s="2013">
        <f t="shared" si="849"/>
        <v>0</v>
      </c>
      <c r="H1022" s="2013">
        <f t="shared" si="850"/>
        <v>0</v>
      </c>
      <c r="I1022" s="2013">
        <f t="shared" si="851"/>
        <v>0</v>
      </c>
      <c r="J1022" s="2013">
        <f t="shared" si="852"/>
        <v>0</v>
      </c>
      <c r="K1022" s="2013">
        <f t="shared" si="853"/>
        <v>0</v>
      </c>
      <c r="L1022" s="2013">
        <f t="shared" si="854"/>
        <v>0</v>
      </c>
      <c r="M1022" s="2013">
        <f t="shared" si="855"/>
        <v>0</v>
      </c>
      <c r="N1022" s="2014">
        <f t="shared" si="856"/>
        <v>0</v>
      </c>
      <c r="P1022" s="6"/>
      <c r="Q1022" s="1857">
        <f t="shared" si="843"/>
        <v>0</v>
      </c>
      <c r="R1022" s="2013">
        <f>IF($Q1022&lt;&gt;0,SUMIFS($C$9:$C$98,$D$9:$D$98,$D$638,$E$889:$E$978,$Q1022),0)</f>
        <v>0</v>
      </c>
      <c r="S1022" s="2013">
        <f>IF($Q1022&lt;&gt;0,SUMIFS($C$9:$C$98,$D$9:$D$98,$D$638,$F$889:$F$978,$Q1022),0)</f>
        <v>0</v>
      </c>
      <c r="T1022" s="2013">
        <f>IF($Q1022&lt;&gt;0,SUMIFS($C$9:$C$98,$D$9:$D$98,$D$638,$G$889:$G$978,$Q1022),0)</f>
        <v>0</v>
      </c>
      <c r="U1022" s="2013">
        <f>IF($Q1022&lt;&gt;0,SUMIFS($C$9:$C$98,$D$9:$D$98,$D$638,$H$889:$H$978,$Q1022),0)</f>
        <v>0</v>
      </c>
      <c r="V1022" s="2013">
        <f>IF($Q1022&lt;&gt;0,SUMIFS($C$9:$C$98,$D$9:$D$98,$D$638,$I$889:$I$978,$Q1022),0)</f>
        <v>0</v>
      </c>
      <c r="W1022" s="2013">
        <f>IF($Q1022&lt;&gt;0,SUMIFS($C$9:$C$98,$D$9:$D$98,$D$638,$J$889:$J$978,$Q1022),0)</f>
        <v>0</v>
      </c>
      <c r="X1022" s="2013">
        <f>IF($Q1022&lt;&gt;0,SUMIFS($C$9:$C$98,$D$9:$D$98,$D$638,$K$889:$K$978,$Q1022),0)</f>
        <v>0</v>
      </c>
      <c r="Y1022" s="2013">
        <f>IF($Q1022&lt;&gt;0,SUMIFS($C$9:$C$98,$D$9:$D$98,$D$638,$L$889:$L$978,$Q1022),0)</f>
        <v>0</v>
      </c>
      <c r="Z1022" s="2013">
        <f>IF($Q1022&lt;&gt;0,SUMIFS($C$9:$C$98,$D$9:$D$98,$D$638,$M$889:$M$978,$Q1022),0)</f>
        <v>0</v>
      </c>
      <c r="AA1022" s="2013">
        <f>IF($Q1022&lt;&gt;0,SUMIFS($C$9:$C$98,$D$9:$D$98,$D$638,$N$889:$N$978,$Q1022),0)</f>
        <v>0</v>
      </c>
      <c r="AB1022" s="2013">
        <f>IF($Q1022&lt;&gt;0,SUMIFS($C$9:$C$98,$D$9:$D$98,$D$638,$O$889:$O$978,$Q1022),0)</f>
        <v>0</v>
      </c>
      <c r="AC1022" s="2014">
        <f>IF($Q1022&lt;&gt;0,SUMIFS($C$9:$C$98,$D$9:$D$98,$D$638,$P$889:$P$978,$Q1022),0)</f>
        <v>0</v>
      </c>
      <c r="AF1022" s="1857">
        <f t="shared" si="857"/>
        <v>0</v>
      </c>
      <c r="AG1022" s="2013">
        <f t="shared" si="858"/>
        <v>0</v>
      </c>
      <c r="AH1022" s="2013">
        <f t="shared" si="859"/>
        <v>0</v>
      </c>
      <c r="AI1022" s="2013">
        <f t="shared" si="860"/>
        <v>0</v>
      </c>
      <c r="AJ1022" s="2013">
        <f t="shared" si="861"/>
        <v>0</v>
      </c>
      <c r="AK1022" s="2013">
        <f t="shared" si="862"/>
        <v>0</v>
      </c>
      <c r="AL1022" s="2013">
        <f t="shared" si="863"/>
        <v>0</v>
      </c>
      <c r="AM1022" s="2013">
        <f t="shared" si="864"/>
        <v>0</v>
      </c>
      <c r="AN1022" s="2013">
        <f>IF($AF1022&lt;&gt;0,SUMIFS($C$9:$C$98,$D$9:$D$98,$D$639,L$889:$L$978,$AF1022),0)</f>
        <v>0</v>
      </c>
      <c r="AO1022" s="2013">
        <f t="shared" si="865"/>
        <v>0</v>
      </c>
      <c r="AP1022" s="2013">
        <f t="shared" si="866"/>
        <v>0</v>
      </c>
      <c r="AQ1022" s="2013">
        <f t="shared" si="867"/>
        <v>0</v>
      </c>
      <c r="AR1022" s="2014">
        <f t="shared" si="868"/>
        <v>0</v>
      </c>
    </row>
    <row r="1023" spans="1:44" x14ac:dyDescent="0.2">
      <c r="A1023" s="6"/>
      <c r="B1023" s="1857">
        <f t="shared" si="844"/>
        <v>0</v>
      </c>
      <c r="C1023" s="2013">
        <f t="shared" si="845"/>
        <v>0</v>
      </c>
      <c r="D1023" s="2013">
        <f t="shared" si="846"/>
        <v>0</v>
      </c>
      <c r="E1023" s="2013">
        <f t="shared" si="847"/>
        <v>0</v>
      </c>
      <c r="F1023" s="2013">
        <f t="shared" si="848"/>
        <v>0</v>
      </c>
      <c r="G1023" s="2013">
        <f t="shared" si="849"/>
        <v>0</v>
      </c>
      <c r="H1023" s="2013">
        <f t="shared" si="850"/>
        <v>0</v>
      </c>
      <c r="I1023" s="2013">
        <f t="shared" si="851"/>
        <v>0</v>
      </c>
      <c r="J1023" s="2013">
        <f t="shared" si="852"/>
        <v>0</v>
      </c>
      <c r="K1023" s="2013">
        <f t="shared" si="853"/>
        <v>0</v>
      </c>
      <c r="L1023" s="2013">
        <f t="shared" si="854"/>
        <v>0</v>
      </c>
      <c r="M1023" s="2013">
        <f t="shared" si="855"/>
        <v>0</v>
      </c>
      <c r="N1023" s="2014">
        <f t="shared" si="856"/>
        <v>0</v>
      </c>
      <c r="P1023" s="6"/>
      <c r="Q1023" s="1857">
        <f t="shared" si="843"/>
        <v>0</v>
      </c>
      <c r="R1023" s="2013">
        <f>IF($Q1023&lt;&gt;0,SUMIFS($C$9:$C$98,$D$9:$D$98,$D$638,$E$889:$E$978,$Q1023),0)</f>
        <v>0</v>
      </c>
      <c r="S1023" s="2013">
        <f>IF($Q1023&lt;&gt;0,SUMIFS($C$9:$C$98,$D$9:$D$98,$D$638,$F$889:$F$978,$Q1023),0)</f>
        <v>0</v>
      </c>
      <c r="T1023" s="2013">
        <f>IF($Q1023&lt;&gt;0,SUMIFS($C$9:$C$98,$D$9:$D$98,$D$638,$G$889:$G$978,$Q1023),0)</f>
        <v>0</v>
      </c>
      <c r="U1023" s="2013">
        <f>IF($Q1023&lt;&gt;0,SUMIFS($C$9:$C$98,$D$9:$D$98,$D$638,$H$889:$H$978,$Q1023),0)</f>
        <v>0</v>
      </c>
      <c r="V1023" s="2013">
        <f>IF($Q1023&lt;&gt;0,SUMIFS($C$9:$C$98,$D$9:$D$98,$D$638,$I$889:$I$978,$Q1023),0)</f>
        <v>0</v>
      </c>
      <c r="W1023" s="2013">
        <f>IF($Q1023&lt;&gt;0,SUMIFS($C$9:$C$98,$D$9:$D$98,$D$638,$J$889:$J$978,$Q1023),0)</f>
        <v>0</v>
      </c>
      <c r="X1023" s="2013">
        <f>IF($Q1023&lt;&gt;0,SUMIFS($C$9:$C$98,$D$9:$D$98,$D$638,$K$889:$K$978,$Q1023),0)</f>
        <v>0</v>
      </c>
      <c r="Y1023" s="2013">
        <f>IF($Q1023&lt;&gt;0,SUMIFS($C$9:$C$98,$D$9:$D$98,$D$638,$L$889:$L$978,$Q1023),0)</f>
        <v>0</v>
      </c>
      <c r="Z1023" s="2013">
        <f>IF($Q1023&lt;&gt;0,SUMIFS($C$9:$C$98,$D$9:$D$98,$D$638,$M$889:$M$978,$Q1023),0)</f>
        <v>0</v>
      </c>
      <c r="AA1023" s="2013">
        <f>IF($Q1023&lt;&gt;0,SUMIFS($C$9:$C$98,$D$9:$D$98,$D$638,$N$889:$N$978,$Q1023),0)</f>
        <v>0</v>
      </c>
      <c r="AB1023" s="2013">
        <f>IF($Q1023&lt;&gt;0,SUMIFS($C$9:$C$98,$D$9:$D$98,$D$638,$O$889:$O$978,$Q1023),0)</f>
        <v>0</v>
      </c>
      <c r="AC1023" s="2014">
        <f>IF($Q1023&lt;&gt;0,SUMIFS($C$9:$C$98,$D$9:$D$98,$D$638,$P$889:$P$978,$Q1023),0)</f>
        <v>0</v>
      </c>
      <c r="AF1023" s="1857">
        <f t="shared" si="857"/>
        <v>0</v>
      </c>
      <c r="AG1023" s="2013">
        <f t="shared" si="858"/>
        <v>0</v>
      </c>
      <c r="AH1023" s="2013">
        <f t="shared" si="859"/>
        <v>0</v>
      </c>
      <c r="AI1023" s="2013">
        <f t="shared" si="860"/>
        <v>0</v>
      </c>
      <c r="AJ1023" s="2013">
        <f t="shared" si="861"/>
        <v>0</v>
      </c>
      <c r="AK1023" s="2013">
        <f t="shared" si="862"/>
        <v>0</v>
      </c>
      <c r="AL1023" s="2013">
        <f t="shared" si="863"/>
        <v>0</v>
      </c>
      <c r="AM1023" s="2013">
        <f t="shared" si="864"/>
        <v>0</v>
      </c>
      <c r="AN1023" s="2013">
        <f>IF($AF1023&lt;&gt;0,SUMIFS($C$9:$C$98,$D$9:$D$98,$D$639,L$889:$L$978,$AF1023),0)</f>
        <v>0</v>
      </c>
      <c r="AO1023" s="2013">
        <f t="shared" si="865"/>
        <v>0</v>
      </c>
      <c r="AP1023" s="2013">
        <f t="shared" si="866"/>
        <v>0</v>
      </c>
      <c r="AQ1023" s="2013">
        <f t="shared" si="867"/>
        <v>0</v>
      </c>
      <c r="AR1023" s="2014">
        <f t="shared" si="868"/>
        <v>0</v>
      </c>
    </row>
    <row r="1024" spans="1:44" x14ac:dyDescent="0.2">
      <c r="A1024" s="6"/>
      <c r="B1024" s="2020" t="str">
        <f t="shared" si="844"/>
        <v xml:space="preserve">Subtotal Verdeos de Verano </v>
      </c>
      <c r="C1024" s="2013">
        <f t="shared" si="845"/>
        <v>0</v>
      </c>
      <c r="D1024" s="2013">
        <f t="shared" si="846"/>
        <v>0</v>
      </c>
      <c r="E1024" s="2013">
        <f t="shared" si="847"/>
        <v>0</v>
      </c>
      <c r="F1024" s="2013">
        <f t="shared" si="848"/>
        <v>0</v>
      </c>
      <c r="G1024" s="2013">
        <f t="shared" si="849"/>
        <v>0</v>
      </c>
      <c r="H1024" s="2013">
        <f t="shared" si="850"/>
        <v>0</v>
      </c>
      <c r="I1024" s="2013">
        <f t="shared" si="851"/>
        <v>0</v>
      </c>
      <c r="J1024" s="2013">
        <f t="shared" si="852"/>
        <v>0</v>
      </c>
      <c r="K1024" s="2013">
        <f t="shared" si="853"/>
        <v>0</v>
      </c>
      <c r="L1024" s="2013">
        <f t="shared" si="854"/>
        <v>0</v>
      </c>
      <c r="M1024" s="2013">
        <f t="shared" si="855"/>
        <v>0</v>
      </c>
      <c r="N1024" s="2014">
        <f t="shared" si="856"/>
        <v>0</v>
      </c>
      <c r="P1024" s="6"/>
      <c r="Q1024" s="2020" t="str">
        <f t="shared" si="843"/>
        <v xml:space="preserve">Subtotal Verdeos de Verano </v>
      </c>
      <c r="R1024" s="2013"/>
      <c r="S1024" s="2013"/>
      <c r="T1024" s="2013"/>
      <c r="U1024" s="2013"/>
      <c r="V1024" s="2013"/>
      <c r="W1024" s="2013"/>
      <c r="X1024" s="2013"/>
      <c r="Y1024" s="2013"/>
      <c r="Z1024" s="2013"/>
      <c r="AA1024" s="2013"/>
      <c r="AB1024" s="2013"/>
      <c r="AC1024" s="2014"/>
      <c r="AF1024" s="2020" t="str">
        <f t="shared" si="857"/>
        <v xml:space="preserve">Subtotal Verdeos de Verano </v>
      </c>
      <c r="AG1024" s="2013">
        <f t="shared" si="858"/>
        <v>0</v>
      </c>
      <c r="AH1024" s="2013">
        <f t="shared" si="859"/>
        <v>0</v>
      </c>
      <c r="AI1024" s="2013">
        <f t="shared" si="860"/>
        <v>0</v>
      </c>
      <c r="AJ1024" s="2013">
        <f t="shared" si="861"/>
        <v>0</v>
      </c>
      <c r="AK1024" s="2013">
        <f t="shared" si="862"/>
        <v>0</v>
      </c>
      <c r="AL1024" s="2013">
        <f t="shared" si="863"/>
        <v>0</v>
      </c>
      <c r="AM1024" s="2013">
        <f t="shared" si="864"/>
        <v>0</v>
      </c>
      <c r="AN1024" s="2013">
        <f>IF($AF1024&lt;&gt;0,SUMIFS($C$9:$C$98,$D$9:$D$98,$D$639,L$889:$L$978,$AF1024),0)</f>
        <v>0</v>
      </c>
      <c r="AO1024" s="2013">
        <f t="shared" si="865"/>
        <v>0</v>
      </c>
      <c r="AP1024" s="2013">
        <f t="shared" si="866"/>
        <v>0</v>
      </c>
      <c r="AQ1024" s="2013">
        <f t="shared" si="867"/>
        <v>0</v>
      </c>
      <c r="AR1024" s="2014">
        <f t="shared" si="868"/>
        <v>0</v>
      </c>
    </row>
    <row r="1025" spans="1:44" x14ac:dyDescent="0.2">
      <c r="A1025" s="6"/>
      <c r="B1025" s="1857" t="str">
        <f t="shared" si="844"/>
        <v>Maíz Silo</v>
      </c>
      <c r="C1025" s="2013">
        <f t="shared" si="845"/>
        <v>0</v>
      </c>
      <c r="D1025" s="2013">
        <f t="shared" si="846"/>
        <v>0</v>
      </c>
      <c r="E1025" s="2013">
        <f t="shared" si="847"/>
        <v>0</v>
      </c>
      <c r="F1025" s="2013">
        <f t="shared" si="848"/>
        <v>0</v>
      </c>
      <c r="G1025" s="2013">
        <f t="shared" si="849"/>
        <v>0</v>
      </c>
      <c r="H1025" s="2013">
        <f t="shared" si="850"/>
        <v>0</v>
      </c>
      <c r="I1025" s="2013">
        <f t="shared" si="851"/>
        <v>0</v>
      </c>
      <c r="J1025" s="2013">
        <f t="shared" si="852"/>
        <v>0</v>
      </c>
      <c r="K1025" s="2013">
        <f t="shared" si="853"/>
        <v>0</v>
      </c>
      <c r="L1025" s="2013">
        <f t="shared" si="854"/>
        <v>0</v>
      </c>
      <c r="M1025" s="2013">
        <f t="shared" si="855"/>
        <v>0</v>
      </c>
      <c r="N1025" s="2014">
        <f t="shared" si="856"/>
        <v>0</v>
      </c>
      <c r="P1025" s="6"/>
      <c r="Q1025" s="1857" t="str">
        <f t="shared" si="843"/>
        <v>Maíz Silo</v>
      </c>
      <c r="R1025" s="2013">
        <f t="shared" ref="R1025:R1030" si="869">IF($Q1025&lt;&gt;0,SUMIFS($C$9:$C$98,$D$9:$D$98,$D$638,$E$889:$E$978,$Q1025),0)</f>
        <v>0</v>
      </c>
      <c r="S1025" s="2013">
        <f t="shared" ref="S1025:S1030" si="870">IF($Q1025&lt;&gt;0,SUMIFS($C$9:$C$98,$D$9:$D$98,$D$638,$F$889:$F$978,$Q1025),0)</f>
        <v>0</v>
      </c>
      <c r="T1025" s="2013">
        <f t="shared" ref="T1025:T1030" si="871">IF($Q1025&lt;&gt;0,SUMIFS($C$9:$C$98,$D$9:$D$98,$D$638,$G$889:$G$978,$Q1025),0)</f>
        <v>0</v>
      </c>
      <c r="U1025" s="2013">
        <f t="shared" ref="U1025:U1030" si="872">IF($Q1025&lt;&gt;0,SUMIFS($C$9:$C$98,$D$9:$D$98,$D$638,$H$889:$H$978,$Q1025),0)</f>
        <v>0</v>
      </c>
      <c r="V1025" s="2013">
        <f t="shared" ref="V1025:V1030" si="873">IF($Q1025&lt;&gt;0,SUMIFS($C$9:$C$98,$D$9:$D$98,$D$638,$I$889:$I$978,$Q1025),0)</f>
        <v>0</v>
      </c>
      <c r="W1025" s="2013">
        <f t="shared" ref="W1025:W1030" si="874">IF($Q1025&lt;&gt;0,SUMIFS($C$9:$C$98,$D$9:$D$98,$D$638,$J$889:$J$978,$Q1025),0)</f>
        <v>0</v>
      </c>
      <c r="X1025" s="2013">
        <f t="shared" ref="X1025:X1030" si="875">IF($Q1025&lt;&gt;0,SUMIFS($C$9:$C$98,$D$9:$D$98,$D$638,$K$889:$K$978,$Q1025),0)</f>
        <v>0</v>
      </c>
      <c r="Y1025" s="2013">
        <f t="shared" ref="Y1025:Y1030" si="876">IF($Q1025&lt;&gt;0,SUMIFS($C$9:$C$98,$D$9:$D$98,$D$638,$L$889:$L$978,$Q1025),0)</f>
        <v>0</v>
      </c>
      <c r="Z1025" s="2013">
        <f t="shared" ref="Z1025:Z1030" si="877">IF($Q1025&lt;&gt;0,SUMIFS($C$9:$C$98,$D$9:$D$98,$D$638,$M$889:$M$978,$Q1025),0)</f>
        <v>0</v>
      </c>
      <c r="AA1025" s="2013">
        <f t="shared" ref="AA1025:AA1030" si="878">IF($Q1025&lt;&gt;0,SUMIFS($C$9:$C$98,$D$9:$D$98,$D$638,$N$889:$N$978,$Q1025),0)</f>
        <v>0</v>
      </c>
      <c r="AB1025" s="2013">
        <f t="shared" ref="AB1025:AB1030" si="879">IF($Q1025&lt;&gt;0,SUMIFS($C$9:$C$98,$D$9:$D$98,$D$638,$O$889:$O$978,$Q1025),0)</f>
        <v>0</v>
      </c>
      <c r="AC1025" s="2014">
        <f t="shared" ref="AC1025:AC1030" si="880">IF($Q1025&lt;&gt;0,SUMIFS($C$9:$C$98,$D$9:$D$98,$D$638,$P$889:$P$978,$Q1025),0)</f>
        <v>0</v>
      </c>
      <c r="AF1025" s="1857" t="str">
        <f t="shared" si="857"/>
        <v>Maíz Silo</v>
      </c>
      <c r="AG1025" s="2013">
        <f t="shared" si="858"/>
        <v>0</v>
      </c>
      <c r="AH1025" s="2013">
        <f t="shared" si="859"/>
        <v>0</v>
      </c>
      <c r="AI1025" s="2013">
        <f t="shared" si="860"/>
        <v>0</v>
      </c>
      <c r="AJ1025" s="2013">
        <f t="shared" si="861"/>
        <v>0</v>
      </c>
      <c r="AK1025" s="2013">
        <f t="shared" si="862"/>
        <v>0</v>
      </c>
      <c r="AL1025" s="2013">
        <f t="shared" si="863"/>
        <v>0</v>
      </c>
      <c r="AM1025" s="2013">
        <f t="shared" si="864"/>
        <v>0</v>
      </c>
      <c r="AN1025" s="2013">
        <f>IF($AF1025&lt;&gt;0,SUMIFS($C$9:$C$98,$D$9:$D$98,$D$639,L$889:$L$978,$AF1025),0)</f>
        <v>0</v>
      </c>
      <c r="AO1025" s="2013">
        <f t="shared" si="865"/>
        <v>0</v>
      </c>
      <c r="AP1025" s="2013">
        <f t="shared" si="866"/>
        <v>0</v>
      </c>
      <c r="AQ1025" s="2013">
        <f t="shared" si="867"/>
        <v>0</v>
      </c>
      <c r="AR1025" s="2014">
        <f t="shared" si="868"/>
        <v>0</v>
      </c>
    </row>
    <row r="1026" spans="1:44" x14ac:dyDescent="0.2">
      <c r="A1026" s="6"/>
      <c r="B1026" s="1857" t="str">
        <f t="shared" si="844"/>
        <v>Sorgo silo</v>
      </c>
      <c r="C1026" s="2013">
        <f t="shared" si="845"/>
        <v>0</v>
      </c>
      <c r="D1026" s="2013">
        <f t="shared" si="846"/>
        <v>0</v>
      </c>
      <c r="E1026" s="2013">
        <f t="shared" si="847"/>
        <v>0</v>
      </c>
      <c r="F1026" s="2013">
        <f t="shared" si="848"/>
        <v>0</v>
      </c>
      <c r="G1026" s="2013">
        <f t="shared" si="849"/>
        <v>0</v>
      </c>
      <c r="H1026" s="2013">
        <f t="shared" si="850"/>
        <v>0</v>
      </c>
      <c r="I1026" s="2013">
        <f t="shared" si="851"/>
        <v>0</v>
      </c>
      <c r="J1026" s="2013">
        <f t="shared" si="852"/>
        <v>0</v>
      </c>
      <c r="K1026" s="2013">
        <f t="shared" si="853"/>
        <v>0</v>
      </c>
      <c r="L1026" s="2013">
        <f t="shared" si="854"/>
        <v>0</v>
      </c>
      <c r="M1026" s="2013">
        <f t="shared" si="855"/>
        <v>0</v>
      </c>
      <c r="N1026" s="2014">
        <f t="shared" si="856"/>
        <v>0</v>
      </c>
      <c r="P1026" s="6"/>
      <c r="Q1026" s="1857" t="str">
        <f t="shared" si="843"/>
        <v>Sorgo silo</v>
      </c>
      <c r="R1026" s="2013">
        <f t="shared" si="869"/>
        <v>0</v>
      </c>
      <c r="S1026" s="2013">
        <f t="shared" si="870"/>
        <v>0</v>
      </c>
      <c r="T1026" s="2013">
        <f t="shared" si="871"/>
        <v>0</v>
      </c>
      <c r="U1026" s="2013">
        <f t="shared" si="872"/>
        <v>0</v>
      </c>
      <c r="V1026" s="2013">
        <f t="shared" si="873"/>
        <v>0</v>
      </c>
      <c r="W1026" s="2013">
        <f t="shared" si="874"/>
        <v>0</v>
      </c>
      <c r="X1026" s="2013">
        <f t="shared" si="875"/>
        <v>0</v>
      </c>
      <c r="Y1026" s="2013">
        <f t="shared" si="876"/>
        <v>0</v>
      </c>
      <c r="Z1026" s="2013">
        <f t="shared" si="877"/>
        <v>0</v>
      </c>
      <c r="AA1026" s="2013">
        <f t="shared" si="878"/>
        <v>0</v>
      </c>
      <c r="AB1026" s="2013">
        <f t="shared" si="879"/>
        <v>0</v>
      </c>
      <c r="AC1026" s="2014">
        <f t="shared" si="880"/>
        <v>0</v>
      </c>
      <c r="AF1026" s="1857" t="str">
        <f t="shared" si="857"/>
        <v>Sorgo silo</v>
      </c>
      <c r="AG1026" s="2013">
        <f t="shared" si="858"/>
        <v>0</v>
      </c>
      <c r="AH1026" s="2013">
        <f t="shared" si="859"/>
        <v>0</v>
      </c>
      <c r="AI1026" s="2013">
        <f t="shared" si="860"/>
        <v>0</v>
      </c>
      <c r="AJ1026" s="2013">
        <f t="shared" si="861"/>
        <v>0</v>
      </c>
      <c r="AK1026" s="2013">
        <f t="shared" si="862"/>
        <v>0</v>
      </c>
      <c r="AL1026" s="2013">
        <f t="shared" si="863"/>
        <v>0</v>
      </c>
      <c r="AM1026" s="2013">
        <f t="shared" si="864"/>
        <v>0</v>
      </c>
      <c r="AN1026" s="2013">
        <f>IF($AF1026&lt;&gt;0,SUMIFS($C$9:$C$98,$D$9:$D$98,$D$639,L$889:$L$978,$AF1026),0)</f>
        <v>0</v>
      </c>
      <c r="AO1026" s="2013">
        <f t="shared" si="865"/>
        <v>0</v>
      </c>
      <c r="AP1026" s="2013">
        <f t="shared" si="866"/>
        <v>0</v>
      </c>
      <c r="AQ1026" s="2013">
        <f t="shared" si="867"/>
        <v>0</v>
      </c>
      <c r="AR1026" s="2014">
        <f t="shared" si="868"/>
        <v>0</v>
      </c>
    </row>
    <row r="1027" spans="1:44" x14ac:dyDescent="0.2">
      <c r="A1027" s="6"/>
      <c r="B1027" s="1857" t="str">
        <f t="shared" si="844"/>
        <v>Moha</v>
      </c>
      <c r="C1027" s="2013">
        <f t="shared" si="845"/>
        <v>0</v>
      </c>
      <c r="D1027" s="2013">
        <f t="shared" si="846"/>
        <v>0</v>
      </c>
      <c r="E1027" s="2013">
        <f t="shared" si="847"/>
        <v>0</v>
      </c>
      <c r="F1027" s="2013">
        <f t="shared" si="848"/>
        <v>0</v>
      </c>
      <c r="G1027" s="2013">
        <f t="shared" si="849"/>
        <v>0</v>
      </c>
      <c r="H1027" s="2013">
        <f t="shared" si="850"/>
        <v>0</v>
      </c>
      <c r="I1027" s="2013">
        <f t="shared" si="851"/>
        <v>0</v>
      </c>
      <c r="J1027" s="2013">
        <f t="shared" si="852"/>
        <v>0</v>
      </c>
      <c r="K1027" s="2013">
        <f t="shared" si="853"/>
        <v>0</v>
      </c>
      <c r="L1027" s="2013">
        <f t="shared" si="854"/>
        <v>0</v>
      </c>
      <c r="M1027" s="2013">
        <f t="shared" si="855"/>
        <v>0</v>
      </c>
      <c r="N1027" s="2014">
        <f t="shared" si="856"/>
        <v>0</v>
      </c>
      <c r="P1027" s="6"/>
      <c r="Q1027" s="1857" t="str">
        <f t="shared" si="843"/>
        <v>Moha</v>
      </c>
      <c r="R1027" s="2013">
        <f t="shared" si="869"/>
        <v>0</v>
      </c>
      <c r="S1027" s="2013">
        <f t="shared" si="870"/>
        <v>0</v>
      </c>
      <c r="T1027" s="2013">
        <f t="shared" si="871"/>
        <v>0</v>
      </c>
      <c r="U1027" s="2013">
        <f t="shared" si="872"/>
        <v>0</v>
      </c>
      <c r="V1027" s="2013">
        <f t="shared" si="873"/>
        <v>0</v>
      </c>
      <c r="W1027" s="2013">
        <f t="shared" si="874"/>
        <v>0</v>
      </c>
      <c r="X1027" s="2013">
        <f t="shared" si="875"/>
        <v>0</v>
      </c>
      <c r="Y1027" s="2013">
        <f t="shared" si="876"/>
        <v>0</v>
      </c>
      <c r="Z1027" s="2013">
        <f t="shared" si="877"/>
        <v>0</v>
      </c>
      <c r="AA1027" s="2013">
        <f t="shared" si="878"/>
        <v>0</v>
      </c>
      <c r="AB1027" s="2013">
        <f t="shared" si="879"/>
        <v>0</v>
      </c>
      <c r="AC1027" s="2014">
        <f t="shared" si="880"/>
        <v>0</v>
      </c>
      <c r="AF1027" s="1857" t="str">
        <f t="shared" si="857"/>
        <v>Moha</v>
      </c>
      <c r="AG1027" s="2013">
        <f t="shared" si="858"/>
        <v>0</v>
      </c>
      <c r="AH1027" s="2013">
        <f t="shared" si="859"/>
        <v>0</v>
      </c>
      <c r="AI1027" s="2013">
        <f t="shared" si="860"/>
        <v>0</v>
      </c>
      <c r="AJ1027" s="2013">
        <f t="shared" si="861"/>
        <v>0</v>
      </c>
      <c r="AK1027" s="2013">
        <f t="shared" si="862"/>
        <v>0</v>
      </c>
      <c r="AL1027" s="2013">
        <f t="shared" si="863"/>
        <v>0</v>
      </c>
      <c r="AM1027" s="2013">
        <f t="shared" si="864"/>
        <v>0</v>
      </c>
      <c r="AN1027" s="2013">
        <f>IF($AF1027&lt;&gt;0,SUMIFS($C$9:$C$98,$D$9:$D$98,$D$639,L$889:$L$978,$AF1027),0)</f>
        <v>0</v>
      </c>
      <c r="AO1027" s="2013">
        <f t="shared" si="865"/>
        <v>0</v>
      </c>
      <c r="AP1027" s="2013">
        <f t="shared" si="866"/>
        <v>0</v>
      </c>
      <c r="AQ1027" s="2013">
        <f t="shared" si="867"/>
        <v>0</v>
      </c>
      <c r="AR1027" s="2014">
        <f t="shared" si="868"/>
        <v>0</v>
      </c>
    </row>
    <row r="1028" spans="1:44" x14ac:dyDescent="0.2">
      <c r="A1028" s="6"/>
      <c r="B1028" s="1857" t="str">
        <f t="shared" si="844"/>
        <v>Soja reserva</v>
      </c>
      <c r="C1028" s="2013">
        <f t="shared" si="845"/>
        <v>0</v>
      </c>
      <c r="D1028" s="2013">
        <f t="shared" si="846"/>
        <v>0</v>
      </c>
      <c r="E1028" s="2013">
        <f t="shared" si="847"/>
        <v>0</v>
      </c>
      <c r="F1028" s="2013">
        <f t="shared" si="848"/>
        <v>0</v>
      </c>
      <c r="G1028" s="2013">
        <f t="shared" si="849"/>
        <v>0</v>
      </c>
      <c r="H1028" s="2013">
        <f t="shared" si="850"/>
        <v>0</v>
      </c>
      <c r="I1028" s="2013">
        <f t="shared" si="851"/>
        <v>0</v>
      </c>
      <c r="J1028" s="2013">
        <f t="shared" si="852"/>
        <v>0</v>
      </c>
      <c r="K1028" s="2013">
        <f t="shared" si="853"/>
        <v>0</v>
      </c>
      <c r="L1028" s="2013">
        <f t="shared" si="854"/>
        <v>0</v>
      </c>
      <c r="M1028" s="2013">
        <f t="shared" si="855"/>
        <v>0</v>
      </c>
      <c r="N1028" s="2014">
        <f t="shared" si="856"/>
        <v>0</v>
      </c>
      <c r="P1028" s="6"/>
      <c r="Q1028" s="1857" t="str">
        <f t="shared" si="843"/>
        <v>Soja reserva</v>
      </c>
      <c r="R1028" s="2013">
        <f t="shared" si="869"/>
        <v>0</v>
      </c>
      <c r="S1028" s="2013">
        <f t="shared" si="870"/>
        <v>0</v>
      </c>
      <c r="T1028" s="2013">
        <f t="shared" si="871"/>
        <v>0</v>
      </c>
      <c r="U1028" s="2013">
        <f t="shared" si="872"/>
        <v>0</v>
      </c>
      <c r="V1028" s="2013">
        <f t="shared" si="873"/>
        <v>0</v>
      </c>
      <c r="W1028" s="2013">
        <f t="shared" si="874"/>
        <v>0</v>
      </c>
      <c r="X1028" s="2013">
        <f t="shared" si="875"/>
        <v>0</v>
      </c>
      <c r="Y1028" s="2013">
        <f t="shared" si="876"/>
        <v>0</v>
      </c>
      <c r="Z1028" s="2013">
        <f t="shared" si="877"/>
        <v>0</v>
      </c>
      <c r="AA1028" s="2013">
        <f t="shared" si="878"/>
        <v>0</v>
      </c>
      <c r="AB1028" s="2013">
        <f t="shared" si="879"/>
        <v>0</v>
      </c>
      <c r="AC1028" s="2014">
        <f t="shared" si="880"/>
        <v>0</v>
      </c>
      <c r="AF1028" s="1857" t="str">
        <f t="shared" si="857"/>
        <v>Soja reserva</v>
      </c>
      <c r="AG1028" s="2013">
        <f t="shared" si="858"/>
        <v>0</v>
      </c>
      <c r="AH1028" s="2013">
        <f t="shared" si="859"/>
        <v>0</v>
      </c>
      <c r="AI1028" s="2013">
        <f t="shared" si="860"/>
        <v>0</v>
      </c>
      <c r="AJ1028" s="2013">
        <f t="shared" si="861"/>
        <v>0</v>
      </c>
      <c r="AK1028" s="2013">
        <f t="shared" si="862"/>
        <v>0</v>
      </c>
      <c r="AL1028" s="2013">
        <f t="shared" si="863"/>
        <v>0</v>
      </c>
      <c r="AM1028" s="2013">
        <f t="shared" si="864"/>
        <v>0</v>
      </c>
      <c r="AN1028" s="2013">
        <f>IF($AF1028&lt;&gt;0,SUMIFS($C$9:$C$98,$D$9:$D$98,$D$639,L$889:$L$978,$AF1028),0)</f>
        <v>0</v>
      </c>
      <c r="AO1028" s="2013">
        <f t="shared" si="865"/>
        <v>0</v>
      </c>
      <c r="AP1028" s="2013">
        <f t="shared" si="866"/>
        <v>0</v>
      </c>
      <c r="AQ1028" s="2013">
        <f t="shared" si="867"/>
        <v>0</v>
      </c>
      <c r="AR1028" s="2014">
        <f t="shared" si="868"/>
        <v>0</v>
      </c>
    </row>
    <row r="1029" spans="1:44" x14ac:dyDescent="0.2">
      <c r="A1029" s="6"/>
      <c r="B1029" s="1857">
        <f t="shared" si="844"/>
        <v>0</v>
      </c>
      <c r="C1029" s="2013">
        <f t="shared" si="845"/>
        <v>0</v>
      </c>
      <c r="D1029" s="2013">
        <f t="shared" si="846"/>
        <v>0</v>
      </c>
      <c r="E1029" s="2013">
        <f t="shared" si="847"/>
        <v>0</v>
      </c>
      <c r="F1029" s="2013">
        <f t="shared" si="848"/>
        <v>0</v>
      </c>
      <c r="G1029" s="2013">
        <f t="shared" si="849"/>
        <v>0</v>
      </c>
      <c r="H1029" s="2013">
        <f t="shared" si="850"/>
        <v>0</v>
      </c>
      <c r="I1029" s="2013">
        <f t="shared" si="851"/>
        <v>0</v>
      </c>
      <c r="J1029" s="2013">
        <f t="shared" si="852"/>
        <v>0</v>
      </c>
      <c r="K1029" s="2013">
        <f t="shared" si="853"/>
        <v>0</v>
      </c>
      <c r="L1029" s="2013">
        <f t="shared" si="854"/>
        <v>0</v>
      </c>
      <c r="M1029" s="2013">
        <f t="shared" si="855"/>
        <v>0</v>
      </c>
      <c r="N1029" s="2014">
        <f t="shared" si="856"/>
        <v>0</v>
      </c>
      <c r="P1029" s="6"/>
      <c r="Q1029" s="1857">
        <f t="shared" si="843"/>
        <v>0</v>
      </c>
      <c r="R1029" s="2013">
        <f t="shared" si="869"/>
        <v>0</v>
      </c>
      <c r="S1029" s="2013">
        <f t="shared" si="870"/>
        <v>0</v>
      </c>
      <c r="T1029" s="2013">
        <f t="shared" si="871"/>
        <v>0</v>
      </c>
      <c r="U1029" s="2013">
        <f t="shared" si="872"/>
        <v>0</v>
      </c>
      <c r="V1029" s="2013">
        <f t="shared" si="873"/>
        <v>0</v>
      </c>
      <c r="W1029" s="2013">
        <f t="shared" si="874"/>
        <v>0</v>
      </c>
      <c r="X1029" s="2013">
        <f t="shared" si="875"/>
        <v>0</v>
      </c>
      <c r="Y1029" s="2013">
        <f t="shared" si="876"/>
        <v>0</v>
      </c>
      <c r="Z1029" s="2013">
        <f t="shared" si="877"/>
        <v>0</v>
      </c>
      <c r="AA1029" s="2013">
        <f t="shared" si="878"/>
        <v>0</v>
      </c>
      <c r="AB1029" s="2013">
        <f t="shared" si="879"/>
        <v>0</v>
      </c>
      <c r="AC1029" s="2014">
        <f t="shared" si="880"/>
        <v>0</v>
      </c>
      <c r="AF1029" s="1857">
        <f t="shared" si="857"/>
        <v>0</v>
      </c>
      <c r="AG1029" s="2013">
        <f t="shared" si="858"/>
        <v>0</v>
      </c>
      <c r="AH1029" s="2013">
        <f t="shared" si="859"/>
        <v>0</v>
      </c>
      <c r="AI1029" s="2013">
        <f t="shared" si="860"/>
        <v>0</v>
      </c>
      <c r="AJ1029" s="2013">
        <f t="shared" si="861"/>
        <v>0</v>
      </c>
      <c r="AK1029" s="2013">
        <f t="shared" si="862"/>
        <v>0</v>
      </c>
      <c r="AL1029" s="2013">
        <f t="shared" si="863"/>
        <v>0</v>
      </c>
      <c r="AM1029" s="2013">
        <f t="shared" si="864"/>
        <v>0</v>
      </c>
      <c r="AN1029" s="2013">
        <f>IF($AF1029&lt;&gt;0,SUMIFS($C$9:$C$98,$D$9:$D$98,$D$639,L$889:$L$978,$AF1029),0)</f>
        <v>0</v>
      </c>
      <c r="AO1029" s="2013">
        <f t="shared" si="865"/>
        <v>0</v>
      </c>
      <c r="AP1029" s="2013">
        <f t="shared" si="866"/>
        <v>0</v>
      </c>
      <c r="AQ1029" s="2013">
        <f t="shared" si="867"/>
        <v>0</v>
      </c>
      <c r="AR1029" s="2014">
        <f t="shared" si="868"/>
        <v>0</v>
      </c>
    </row>
    <row r="1030" spans="1:44" x14ac:dyDescent="0.2">
      <c r="A1030" s="6"/>
      <c r="B1030" s="1857">
        <f t="shared" si="844"/>
        <v>0</v>
      </c>
      <c r="C1030" s="2013">
        <f t="shared" si="845"/>
        <v>0</v>
      </c>
      <c r="D1030" s="2013">
        <f t="shared" si="846"/>
        <v>0</v>
      </c>
      <c r="E1030" s="2013">
        <f t="shared" si="847"/>
        <v>0</v>
      </c>
      <c r="F1030" s="2013">
        <f t="shared" si="848"/>
        <v>0</v>
      </c>
      <c r="G1030" s="2013">
        <f t="shared" si="849"/>
        <v>0</v>
      </c>
      <c r="H1030" s="2013">
        <f t="shared" si="850"/>
        <v>0</v>
      </c>
      <c r="I1030" s="2013">
        <f t="shared" si="851"/>
        <v>0</v>
      </c>
      <c r="J1030" s="2013">
        <f t="shared" si="852"/>
        <v>0</v>
      </c>
      <c r="K1030" s="2013">
        <f t="shared" si="853"/>
        <v>0</v>
      </c>
      <c r="L1030" s="2013">
        <f t="shared" si="854"/>
        <v>0</v>
      </c>
      <c r="M1030" s="2013">
        <f t="shared" si="855"/>
        <v>0</v>
      </c>
      <c r="N1030" s="2014">
        <f t="shared" si="856"/>
        <v>0</v>
      </c>
      <c r="P1030" s="6"/>
      <c r="Q1030" s="1857">
        <f t="shared" si="843"/>
        <v>0</v>
      </c>
      <c r="R1030" s="2013">
        <f t="shared" si="869"/>
        <v>0</v>
      </c>
      <c r="S1030" s="2013">
        <f t="shared" si="870"/>
        <v>0</v>
      </c>
      <c r="T1030" s="2013">
        <f t="shared" si="871"/>
        <v>0</v>
      </c>
      <c r="U1030" s="2013">
        <f t="shared" si="872"/>
        <v>0</v>
      </c>
      <c r="V1030" s="2013">
        <f t="shared" si="873"/>
        <v>0</v>
      </c>
      <c r="W1030" s="2013">
        <f t="shared" si="874"/>
        <v>0</v>
      </c>
      <c r="X1030" s="2013">
        <f t="shared" si="875"/>
        <v>0</v>
      </c>
      <c r="Y1030" s="2013">
        <f t="shared" si="876"/>
        <v>0</v>
      </c>
      <c r="Z1030" s="2013">
        <f t="shared" si="877"/>
        <v>0</v>
      </c>
      <c r="AA1030" s="2013">
        <f t="shared" si="878"/>
        <v>0</v>
      </c>
      <c r="AB1030" s="2013">
        <f t="shared" si="879"/>
        <v>0</v>
      </c>
      <c r="AC1030" s="2014">
        <f t="shared" si="880"/>
        <v>0</v>
      </c>
      <c r="AF1030" s="1857">
        <f t="shared" si="857"/>
        <v>0</v>
      </c>
      <c r="AG1030" s="2013">
        <f t="shared" si="858"/>
        <v>0</v>
      </c>
      <c r="AH1030" s="2013">
        <f t="shared" si="859"/>
        <v>0</v>
      </c>
      <c r="AI1030" s="2013">
        <f t="shared" si="860"/>
        <v>0</v>
      </c>
      <c r="AJ1030" s="2013">
        <f t="shared" si="861"/>
        <v>0</v>
      </c>
      <c r="AK1030" s="2013">
        <f t="shared" si="862"/>
        <v>0</v>
      </c>
      <c r="AL1030" s="2013">
        <f t="shared" si="863"/>
        <v>0</v>
      </c>
      <c r="AM1030" s="2013">
        <f t="shared" si="864"/>
        <v>0</v>
      </c>
      <c r="AN1030" s="2013">
        <f>IF($AF1030&lt;&gt;0,SUMIFS($C$9:$C$98,$D$9:$D$98,$D$639,L$889:$L$978,$AF1030),0)</f>
        <v>0</v>
      </c>
      <c r="AO1030" s="2013">
        <f t="shared" si="865"/>
        <v>0</v>
      </c>
      <c r="AP1030" s="2013">
        <f t="shared" si="866"/>
        <v>0</v>
      </c>
      <c r="AQ1030" s="2013">
        <f t="shared" si="867"/>
        <v>0</v>
      </c>
      <c r="AR1030" s="2014">
        <f t="shared" si="868"/>
        <v>0</v>
      </c>
    </row>
    <row r="1031" spans="1:44" x14ac:dyDescent="0.2">
      <c r="A1031" s="6"/>
      <c r="B1031" s="2020" t="str">
        <f t="shared" si="844"/>
        <v>Subtotal Cultivos de Verano para Reserva</v>
      </c>
      <c r="C1031" s="2013">
        <f t="shared" si="845"/>
        <v>0</v>
      </c>
      <c r="D1031" s="2013">
        <f t="shared" si="846"/>
        <v>0</v>
      </c>
      <c r="E1031" s="2013">
        <f t="shared" si="847"/>
        <v>0</v>
      </c>
      <c r="F1031" s="2013">
        <f t="shared" si="848"/>
        <v>0</v>
      </c>
      <c r="G1031" s="2013">
        <f t="shared" si="849"/>
        <v>0</v>
      </c>
      <c r="H1031" s="2013">
        <f t="shared" si="850"/>
        <v>0</v>
      </c>
      <c r="I1031" s="2013">
        <f t="shared" si="851"/>
        <v>0</v>
      </c>
      <c r="J1031" s="2013">
        <f t="shared" si="852"/>
        <v>0</v>
      </c>
      <c r="K1031" s="2013">
        <f t="shared" si="853"/>
        <v>0</v>
      </c>
      <c r="L1031" s="2013">
        <f t="shared" si="854"/>
        <v>0</v>
      </c>
      <c r="M1031" s="2013">
        <f t="shared" si="855"/>
        <v>0</v>
      </c>
      <c r="N1031" s="2014">
        <f t="shared" si="856"/>
        <v>0</v>
      </c>
      <c r="P1031" s="6"/>
      <c r="Q1031" s="2020" t="str">
        <f t="shared" si="843"/>
        <v>Subtotal Cultivos de Verano para Reserva</v>
      </c>
      <c r="R1031" s="2013"/>
      <c r="S1031" s="2013"/>
      <c r="T1031" s="2013"/>
      <c r="U1031" s="2013"/>
      <c r="V1031" s="2013"/>
      <c r="W1031" s="2013"/>
      <c r="X1031" s="2013"/>
      <c r="Y1031" s="2013"/>
      <c r="Z1031" s="2013"/>
      <c r="AA1031" s="2013"/>
      <c r="AB1031" s="2013"/>
      <c r="AC1031" s="2014"/>
      <c r="AF1031" s="2020" t="str">
        <f t="shared" si="857"/>
        <v>Subtotal Cultivos de Verano para Reserva</v>
      </c>
      <c r="AG1031" s="2013">
        <f t="shared" si="858"/>
        <v>0</v>
      </c>
      <c r="AH1031" s="2013">
        <f t="shared" si="859"/>
        <v>0</v>
      </c>
      <c r="AI1031" s="2013">
        <f t="shared" si="860"/>
        <v>0</v>
      </c>
      <c r="AJ1031" s="2013">
        <f t="shared" si="861"/>
        <v>0</v>
      </c>
      <c r="AK1031" s="2013">
        <f t="shared" si="862"/>
        <v>0</v>
      </c>
      <c r="AL1031" s="2013">
        <f t="shared" si="863"/>
        <v>0</v>
      </c>
      <c r="AM1031" s="2013">
        <f t="shared" si="864"/>
        <v>0</v>
      </c>
      <c r="AN1031" s="2013">
        <f>IF($AF1031&lt;&gt;0,SUMIFS($C$9:$C$98,$D$9:$D$98,$D$639,L$889:$L$978,$AF1031),0)</f>
        <v>0</v>
      </c>
      <c r="AO1031" s="2013">
        <f t="shared" si="865"/>
        <v>0</v>
      </c>
      <c r="AP1031" s="2013">
        <f t="shared" si="866"/>
        <v>0</v>
      </c>
      <c r="AQ1031" s="2013">
        <f t="shared" si="867"/>
        <v>0</v>
      </c>
      <c r="AR1031" s="2014">
        <f t="shared" si="868"/>
        <v>0</v>
      </c>
    </row>
    <row r="1032" spans="1:44" x14ac:dyDescent="0.2">
      <c r="A1032" s="6"/>
      <c r="B1032" s="1857" t="str">
        <f t="shared" si="844"/>
        <v>Avena silo</v>
      </c>
      <c r="C1032" s="2013">
        <f t="shared" si="845"/>
        <v>0</v>
      </c>
      <c r="D1032" s="2013">
        <f t="shared" si="846"/>
        <v>0</v>
      </c>
      <c r="E1032" s="2013">
        <f t="shared" si="847"/>
        <v>0</v>
      </c>
      <c r="F1032" s="2013">
        <f t="shared" si="848"/>
        <v>0</v>
      </c>
      <c r="G1032" s="2013">
        <f t="shared" si="849"/>
        <v>0</v>
      </c>
      <c r="H1032" s="2013">
        <f t="shared" si="850"/>
        <v>0</v>
      </c>
      <c r="I1032" s="2013">
        <f t="shared" si="851"/>
        <v>0</v>
      </c>
      <c r="J1032" s="2013">
        <f t="shared" si="852"/>
        <v>0</v>
      </c>
      <c r="K1032" s="2013">
        <f t="shared" si="853"/>
        <v>0</v>
      </c>
      <c r="L1032" s="2013">
        <f t="shared" si="854"/>
        <v>0</v>
      </c>
      <c r="M1032" s="2013">
        <f t="shared" si="855"/>
        <v>0</v>
      </c>
      <c r="N1032" s="2014">
        <f t="shared" si="856"/>
        <v>0</v>
      </c>
      <c r="P1032" s="6"/>
      <c r="Q1032" s="1857" t="str">
        <f t="shared" si="843"/>
        <v>Avena silo</v>
      </c>
      <c r="R1032" s="2013">
        <f>IF($Q1032&lt;&gt;0,SUMIFS($C$9:$C$98,$D$9:$D$98,$D$638,$E$889:$E$978,$Q1032),0)</f>
        <v>0</v>
      </c>
      <c r="S1032" s="2013">
        <f>IF($Q1032&lt;&gt;0,SUMIFS($C$9:$C$98,$D$9:$D$98,$D$638,$F$889:$F$978,$Q1032),0)</f>
        <v>0</v>
      </c>
      <c r="T1032" s="2013">
        <f>IF($Q1032&lt;&gt;0,SUMIFS($C$9:$C$98,$D$9:$D$98,$D$638,$G$889:$G$978,$Q1032),0)</f>
        <v>0</v>
      </c>
      <c r="U1032" s="2013">
        <f>IF($Q1032&lt;&gt;0,SUMIFS($C$9:$C$98,$D$9:$D$98,$D$638,$H$889:$H$978,$Q1032),0)</f>
        <v>0</v>
      </c>
      <c r="V1032" s="2013">
        <f>IF($Q1032&lt;&gt;0,SUMIFS($C$9:$C$98,$D$9:$D$98,$D$638,$I$889:$I$978,$Q1032),0)</f>
        <v>0</v>
      </c>
      <c r="W1032" s="2013">
        <f>IF($Q1032&lt;&gt;0,SUMIFS($C$9:$C$98,$D$9:$D$98,$D$638,$J$889:$J$978,$Q1032),0)</f>
        <v>0</v>
      </c>
      <c r="X1032" s="2013">
        <f>IF($Q1032&lt;&gt;0,SUMIFS($C$9:$C$98,$D$9:$D$98,$D$638,$K$889:$K$978,$Q1032),0)</f>
        <v>0</v>
      </c>
      <c r="Y1032" s="2013">
        <f>IF($Q1032&lt;&gt;0,SUMIFS($C$9:$C$98,$D$9:$D$98,$D$638,$L$889:$L$978,$Q1032),0)</f>
        <v>0</v>
      </c>
      <c r="Z1032" s="2013">
        <f>IF($Q1032&lt;&gt;0,SUMIFS($C$9:$C$98,$D$9:$D$98,$D$638,$M$889:$M$978,$Q1032),0)</f>
        <v>0</v>
      </c>
      <c r="AA1032" s="2013">
        <f>IF($Q1032&lt;&gt;0,SUMIFS($C$9:$C$98,$D$9:$D$98,$D$638,$N$889:$N$978,$Q1032),0)</f>
        <v>0</v>
      </c>
      <c r="AB1032" s="2013">
        <f>IF($Q1032&lt;&gt;0,SUMIFS($C$9:$C$98,$D$9:$D$98,$D$638,$O$889:$O$978,$Q1032),0)</f>
        <v>0</v>
      </c>
      <c r="AC1032" s="2014">
        <f>IF($Q1032&lt;&gt;0,SUMIFS($C$9:$C$98,$D$9:$D$98,$D$638,$P$889:$P$978,$Q1032),0)</f>
        <v>0</v>
      </c>
      <c r="AF1032" s="1857" t="str">
        <f t="shared" si="857"/>
        <v>Avena silo</v>
      </c>
      <c r="AG1032" s="2013">
        <f t="shared" si="858"/>
        <v>0</v>
      </c>
      <c r="AH1032" s="2013">
        <f t="shared" si="859"/>
        <v>0</v>
      </c>
      <c r="AI1032" s="2013">
        <f t="shared" si="860"/>
        <v>0</v>
      </c>
      <c r="AJ1032" s="2013">
        <f t="shared" si="861"/>
        <v>0</v>
      </c>
      <c r="AK1032" s="2013">
        <f t="shared" si="862"/>
        <v>0</v>
      </c>
      <c r="AL1032" s="2013">
        <f t="shared" si="863"/>
        <v>0</v>
      </c>
      <c r="AM1032" s="2013">
        <f t="shared" si="864"/>
        <v>0</v>
      </c>
      <c r="AN1032" s="2013">
        <f>IF($AF1032&lt;&gt;0,SUMIFS($C$9:$C$98,$D$9:$D$98,$D$639,L$889:$L$978,$AF1032),0)</f>
        <v>0</v>
      </c>
      <c r="AO1032" s="2013">
        <f t="shared" si="865"/>
        <v>0</v>
      </c>
      <c r="AP1032" s="2013">
        <f t="shared" si="866"/>
        <v>0</v>
      </c>
      <c r="AQ1032" s="2013">
        <f t="shared" si="867"/>
        <v>0</v>
      </c>
      <c r="AR1032" s="2014">
        <f t="shared" si="868"/>
        <v>0</v>
      </c>
    </row>
    <row r="1033" spans="1:44" x14ac:dyDescent="0.2">
      <c r="A1033" s="6"/>
      <c r="B1033" s="1857" t="str">
        <f t="shared" si="844"/>
        <v>Raigrás Silo</v>
      </c>
      <c r="C1033" s="2013">
        <f t="shared" si="845"/>
        <v>0</v>
      </c>
      <c r="D1033" s="2013">
        <f t="shared" si="846"/>
        <v>0</v>
      </c>
      <c r="E1033" s="2013">
        <f t="shared" si="847"/>
        <v>0</v>
      </c>
      <c r="F1033" s="2013">
        <f t="shared" si="848"/>
        <v>0</v>
      </c>
      <c r="G1033" s="2013">
        <f t="shared" si="849"/>
        <v>0</v>
      </c>
      <c r="H1033" s="2013">
        <f t="shared" si="850"/>
        <v>0</v>
      </c>
      <c r="I1033" s="2013">
        <f t="shared" si="851"/>
        <v>0</v>
      </c>
      <c r="J1033" s="2013">
        <f t="shared" si="852"/>
        <v>0</v>
      </c>
      <c r="K1033" s="2013">
        <f t="shared" si="853"/>
        <v>0</v>
      </c>
      <c r="L1033" s="2013">
        <f t="shared" si="854"/>
        <v>0</v>
      </c>
      <c r="M1033" s="2013">
        <f t="shared" si="855"/>
        <v>0</v>
      </c>
      <c r="N1033" s="2014">
        <f t="shared" si="856"/>
        <v>0</v>
      </c>
      <c r="P1033" s="6"/>
      <c r="Q1033" s="1857" t="str">
        <f t="shared" si="843"/>
        <v>Raigrás Silo</v>
      </c>
      <c r="R1033" s="2013">
        <f>IF($Q1033&lt;&gt;0,SUMIFS($C$9:$C$98,$D$9:$D$98,$D$638,$E$889:$E$978,$Q1033),0)</f>
        <v>0</v>
      </c>
      <c r="S1033" s="2013">
        <f>IF($Q1033&lt;&gt;0,SUMIFS($C$9:$C$98,$D$9:$D$98,$D$638,$F$889:$F$978,$Q1033),0)</f>
        <v>0</v>
      </c>
      <c r="T1033" s="2013">
        <f>IF($Q1033&lt;&gt;0,SUMIFS($C$9:$C$98,$D$9:$D$98,$D$638,$G$889:$G$978,$Q1033),0)</f>
        <v>0</v>
      </c>
      <c r="U1033" s="2013">
        <f>IF($Q1033&lt;&gt;0,SUMIFS($C$9:$C$98,$D$9:$D$98,$D$638,$H$889:$H$978,$Q1033),0)</f>
        <v>0</v>
      </c>
      <c r="V1033" s="2013">
        <f>IF($Q1033&lt;&gt;0,SUMIFS($C$9:$C$98,$D$9:$D$98,$D$638,$I$889:$I$978,$Q1033),0)</f>
        <v>0</v>
      </c>
      <c r="W1033" s="2013">
        <f>IF($Q1033&lt;&gt;0,SUMIFS($C$9:$C$98,$D$9:$D$98,$D$638,$J$889:$J$978,$Q1033),0)</f>
        <v>0</v>
      </c>
      <c r="X1033" s="2013">
        <f>IF($Q1033&lt;&gt;0,SUMIFS($C$9:$C$98,$D$9:$D$98,$D$638,$K$889:$K$978,$Q1033),0)</f>
        <v>0</v>
      </c>
      <c r="Y1033" s="2013">
        <f>IF($Q1033&lt;&gt;0,SUMIFS($C$9:$C$98,$D$9:$D$98,$D$638,$L$889:$L$978,$Q1033),0)</f>
        <v>0</v>
      </c>
      <c r="Z1033" s="2013">
        <f>IF($Q1033&lt;&gt;0,SUMIFS($C$9:$C$98,$D$9:$D$98,$D$638,$M$889:$M$978,$Q1033),0)</f>
        <v>0</v>
      </c>
      <c r="AA1033" s="2013">
        <f>IF($Q1033&lt;&gt;0,SUMIFS($C$9:$C$98,$D$9:$D$98,$D$638,$N$889:$N$978,$Q1033),0)</f>
        <v>0</v>
      </c>
      <c r="AB1033" s="2013">
        <f>IF($Q1033&lt;&gt;0,SUMIFS($C$9:$C$98,$D$9:$D$98,$D$638,$O$889:$O$978,$Q1033),0)</f>
        <v>0</v>
      </c>
      <c r="AC1033" s="2014">
        <f>IF($Q1033&lt;&gt;0,SUMIFS($C$9:$C$98,$D$9:$D$98,$D$638,$P$889:$P$978,$Q1033),0)</f>
        <v>0</v>
      </c>
      <c r="AF1033" s="1857" t="str">
        <f t="shared" si="857"/>
        <v>Raigrás Silo</v>
      </c>
      <c r="AG1033" s="2013">
        <f t="shared" si="858"/>
        <v>0</v>
      </c>
      <c r="AH1033" s="2013">
        <f t="shared" si="859"/>
        <v>0</v>
      </c>
      <c r="AI1033" s="2013">
        <f t="shared" si="860"/>
        <v>0</v>
      </c>
      <c r="AJ1033" s="2013">
        <f t="shared" si="861"/>
        <v>0</v>
      </c>
      <c r="AK1033" s="2013">
        <f t="shared" si="862"/>
        <v>0</v>
      </c>
      <c r="AL1033" s="2013">
        <f t="shared" si="863"/>
        <v>0</v>
      </c>
      <c r="AM1033" s="2013">
        <f t="shared" si="864"/>
        <v>0</v>
      </c>
      <c r="AN1033" s="2013">
        <f>IF($AF1033&lt;&gt;0,SUMIFS($C$9:$C$98,$D$9:$D$98,$D$639,L$889:$L$978,$AF1033),0)</f>
        <v>0</v>
      </c>
      <c r="AO1033" s="2013">
        <f t="shared" si="865"/>
        <v>0</v>
      </c>
      <c r="AP1033" s="2013">
        <f t="shared" si="866"/>
        <v>0</v>
      </c>
      <c r="AQ1033" s="2013">
        <f t="shared" si="867"/>
        <v>0</v>
      </c>
      <c r="AR1033" s="2014">
        <f t="shared" si="868"/>
        <v>0</v>
      </c>
    </row>
    <row r="1034" spans="1:44" x14ac:dyDescent="0.2">
      <c r="A1034" s="6"/>
      <c r="B1034" s="1857" t="str">
        <f t="shared" si="844"/>
        <v>Ra Silo Cierre Ago</v>
      </c>
      <c r="C1034" s="2013">
        <f t="shared" si="845"/>
        <v>0</v>
      </c>
      <c r="D1034" s="2013">
        <f t="shared" si="846"/>
        <v>0</v>
      </c>
      <c r="E1034" s="2013">
        <f t="shared" si="847"/>
        <v>0</v>
      </c>
      <c r="F1034" s="2013">
        <f t="shared" si="848"/>
        <v>0</v>
      </c>
      <c r="G1034" s="2013">
        <f t="shared" si="849"/>
        <v>0</v>
      </c>
      <c r="H1034" s="2013">
        <f t="shared" si="850"/>
        <v>0</v>
      </c>
      <c r="I1034" s="2013">
        <f t="shared" si="851"/>
        <v>0</v>
      </c>
      <c r="J1034" s="2013">
        <f t="shared" si="852"/>
        <v>0</v>
      </c>
      <c r="K1034" s="2013">
        <f t="shared" si="853"/>
        <v>0</v>
      </c>
      <c r="L1034" s="2013">
        <f t="shared" si="854"/>
        <v>0</v>
      </c>
      <c r="M1034" s="2013">
        <f t="shared" si="855"/>
        <v>0</v>
      </c>
      <c r="N1034" s="2014">
        <f t="shared" si="856"/>
        <v>0</v>
      </c>
      <c r="P1034" s="6"/>
      <c r="Q1034" s="1857" t="str">
        <f t="shared" si="843"/>
        <v>Ra Silo Cierre Ago</v>
      </c>
      <c r="R1034" s="2013">
        <f>IF($Q1034&lt;&gt;0,SUMIFS($C$9:$C$98,$D$9:$D$98,$D$638,$E$889:$E$978,$Q1034),0)</f>
        <v>0</v>
      </c>
      <c r="S1034" s="2013">
        <f>IF($Q1034&lt;&gt;0,SUMIFS($C$9:$C$98,$D$9:$D$98,$D$638,$F$889:$F$978,$Q1034),0)</f>
        <v>0</v>
      </c>
      <c r="T1034" s="2013">
        <f>IF($Q1034&lt;&gt;0,SUMIFS($C$9:$C$98,$D$9:$D$98,$D$638,$G$889:$G$978,$Q1034),0)</f>
        <v>0</v>
      </c>
      <c r="U1034" s="2013">
        <f>IF($Q1034&lt;&gt;0,SUMIFS($C$9:$C$98,$D$9:$D$98,$D$638,$H$889:$H$978,$Q1034),0)</f>
        <v>0</v>
      </c>
      <c r="V1034" s="2013">
        <f>IF($Q1034&lt;&gt;0,SUMIFS($C$9:$C$98,$D$9:$D$98,$D$638,$I$889:$I$978,$Q1034),0)</f>
        <v>0</v>
      </c>
      <c r="W1034" s="2013">
        <f>IF($Q1034&lt;&gt;0,SUMIFS($C$9:$C$98,$D$9:$D$98,$D$638,$J$889:$J$978,$Q1034),0)</f>
        <v>0</v>
      </c>
      <c r="X1034" s="2013">
        <f>IF($Q1034&lt;&gt;0,SUMIFS($C$9:$C$98,$D$9:$D$98,$D$638,$K$889:$K$978,$Q1034),0)</f>
        <v>0</v>
      </c>
      <c r="Y1034" s="2013">
        <f>IF($Q1034&lt;&gt;0,SUMIFS($C$9:$C$98,$D$9:$D$98,$D$638,$L$889:$L$978,$Q1034),0)</f>
        <v>0</v>
      </c>
      <c r="Z1034" s="2013">
        <f>IF($Q1034&lt;&gt;0,SUMIFS($C$9:$C$98,$D$9:$D$98,$D$638,$M$889:$M$978,$Q1034),0)</f>
        <v>0</v>
      </c>
      <c r="AA1034" s="2013">
        <f>IF($Q1034&lt;&gt;0,SUMIFS($C$9:$C$98,$D$9:$D$98,$D$638,$N$889:$N$978,$Q1034),0)</f>
        <v>0</v>
      </c>
      <c r="AB1034" s="2013">
        <f>IF($Q1034&lt;&gt;0,SUMIFS($C$9:$C$98,$D$9:$D$98,$D$638,$O$889:$O$978,$Q1034),0)</f>
        <v>0</v>
      </c>
      <c r="AC1034" s="2014">
        <f>IF($Q1034&lt;&gt;0,SUMIFS($C$9:$C$98,$D$9:$D$98,$D$638,$P$889:$P$978,$Q1034),0)</f>
        <v>0</v>
      </c>
      <c r="AF1034" s="1857" t="str">
        <f t="shared" si="857"/>
        <v>Ra Silo Cierre Ago</v>
      </c>
      <c r="AG1034" s="2013">
        <f t="shared" si="858"/>
        <v>0</v>
      </c>
      <c r="AH1034" s="2013">
        <f t="shared" si="859"/>
        <v>0</v>
      </c>
      <c r="AI1034" s="2013">
        <f t="shared" si="860"/>
        <v>0</v>
      </c>
      <c r="AJ1034" s="2013">
        <f t="shared" si="861"/>
        <v>0</v>
      </c>
      <c r="AK1034" s="2013">
        <f t="shared" si="862"/>
        <v>0</v>
      </c>
      <c r="AL1034" s="2013">
        <f t="shared" si="863"/>
        <v>0</v>
      </c>
      <c r="AM1034" s="2013">
        <f t="shared" si="864"/>
        <v>0</v>
      </c>
      <c r="AN1034" s="2013">
        <f>IF($AF1034&lt;&gt;0,SUMIFS($C$9:$C$98,$D$9:$D$98,$D$639,L$889:$L$978,$AF1034),0)</f>
        <v>0</v>
      </c>
      <c r="AO1034" s="2013">
        <f t="shared" si="865"/>
        <v>0</v>
      </c>
      <c r="AP1034" s="2013">
        <f t="shared" si="866"/>
        <v>0</v>
      </c>
      <c r="AQ1034" s="2013">
        <f t="shared" si="867"/>
        <v>0</v>
      </c>
      <c r="AR1034" s="2014">
        <f t="shared" si="868"/>
        <v>0</v>
      </c>
    </row>
    <row r="1035" spans="1:44" x14ac:dyDescent="0.2">
      <c r="A1035" s="6"/>
      <c r="B1035" s="1857">
        <f t="shared" si="844"/>
        <v>0</v>
      </c>
      <c r="C1035" s="2013">
        <f t="shared" si="845"/>
        <v>0</v>
      </c>
      <c r="D1035" s="2013">
        <f t="shared" si="846"/>
        <v>0</v>
      </c>
      <c r="E1035" s="2013">
        <f t="shared" si="847"/>
        <v>0</v>
      </c>
      <c r="F1035" s="2013">
        <f t="shared" si="848"/>
        <v>0</v>
      </c>
      <c r="G1035" s="2013">
        <f t="shared" si="849"/>
        <v>0</v>
      </c>
      <c r="H1035" s="2013">
        <f t="shared" si="850"/>
        <v>0</v>
      </c>
      <c r="I1035" s="2013">
        <f t="shared" si="851"/>
        <v>0</v>
      </c>
      <c r="J1035" s="2013">
        <f t="shared" si="852"/>
        <v>0</v>
      </c>
      <c r="K1035" s="2013">
        <f t="shared" si="853"/>
        <v>0</v>
      </c>
      <c r="L1035" s="2013">
        <f t="shared" si="854"/>
        <v>0</v>
      </c>
      <c r="M1035" s="2013">
        <f t="shared" si="855"/>
        <v>0</v>
      </c>
      <c r="N1035" s="2014">
        <f t="shared" si="856"/>
        <v>0</v>
      </c>
      <c r="P1035" s="6"/>
      <c r="Q1035" s="1857">
        <f t="shared" si="843"/>
        <v>0</v>
      </c>
      <c r="R1035" s="2013">
        <f>IF($Q1035&lt;&gt;0,SUMIFS($C$9:$C$98,$D$9:$D$98,$D$638,$E$889:$E$978,$Q1035),0)</f>
        <v>0</v>
      </c>
      <c r="S1035" s="2013">
        <f>IF($Q1035&lt;&gt;0,SUMIFS($C$9:$C$98,$D$9:$D$98,$D$638,$F$889:$F$978,$Q1035),0)</f>
        <v>0</v>
      </c>
      <c r="T1035" s="2013">
        <f>IF($Q1035&lt;&gt;0,SUMIFS($C$9:$C$98,$D$9:$D$98,$D$638,$G$889:$G$978,$Q1035),0)</f>
        <v>0</v>
      </c>
      <c r="U1035" s="2013">
        <f>IF($Q1035&lt;&gt;0,SUMIFS($C$9:$C$98,$D$9:$D$98,$D$638,$H$889:$H$978,$Q1035),0)</f>
        <v>0</v>
      </c>
      <c r="V1035" s="2013">
        <f>IF($Q1035&lt;&gt;0,SUMIFS($C$9:$C$98,$D$9:$D$98,$D$638,$I$889:$I$978,$Q1035),0)</f>
        <v>0</v>
      </c>
      <c r="W1035" s="2013">
        <f>IF($Q1035&lt;&gt;0,SUMIFS($C$9:$C$98,$D$9:$D$98,$D$638,$J$889:$J$978,$Q1035),0)</f>
        <v>0</v>
      </c>
      <c r="X1035" s="2013">
        <f>IF($Q1035&lt;&gt;0,SUMIFS($C$9:$C$98,$D$9:$D$98,$D$638,$K$889:$K$978,$Q1035),0)</f>
        <v>0</v>
      </c>
      <c r="Y1035" s="2013">
        <f>IF($Q1035&lt;&gt;0,SUMIFS($C$9:$C$98,$D$9:$D$98,$D$638,$L$889:$L$978,$Q1035),0)</f>
        <v>0</v>
      </c>
      <c r="Z1035" s="2013">
        <f>IF($Q1035&lt;&gt;0,SUMIFS($C$9:$C$98,$D$9:$D$98,$D$638,$M$889:$M$978,$Q1035),0)</f>
        <v>0</v>
      </c>
      <c r="AA1035" s="2013">
        <f>IF($Q1035&lt;&gt;0,SUMIFS($C$9:$C$98,$D$9:$D$98,$D$638,$N$889:$N$978,$Q1035),0)</f>
        <v>0</v>
      </c>
      <c r="AB1035" s="2013">
        <f>IF($Q1035&lt;&gt;0,SUMIFS($C$9:$C$98,$D$9:$D$98,$D$638,$O$889:$O$978,$Q1035),0)</f>
        <v>0</v>
      </c>
      <c r="AC1035" s="2014">
        <f>IF($Q1035&lt;&gt;0,SUMIFS($C$9:$C$98,$D$9:$D$98,$D$638,$P$889:$P$978,$Q1035),0)</f>
        <v>0</v>
      </c>
      <c r="AF1035" s="1857">
        <f t="shared" si="857"/>
        <v>0</v>
      </c>
      <c r="AG1035" s="2013">
        <f t="shared" si="858"/>
        <v>0</v>
      </c>
      <c r="AH1035" s="2013">
        <f t="shared" si="859"/>
        <v>0</v>
      </c>
      <c r="AI1035" s="2013">
        <f t="shared" si="860"/>
        <v>0</v>
      </c>
      <c r="AJ1035" s="2013">
        <f t="shared" si="861"/>
        <v>0</v>
      </c>
      <c r="AK1035" s="2013">
        <f t="shared" si="862"/>
        <v>0</v>
      </c>
      <c r="AL1035" s="2013">
        <f t="shared" si="863"/>
        <v>0</v>
      </c>
      <c r="AM1035" s="2013">
        <f t="shared" si="864"/>
        <v>0</v>
      </c>
      <c r="AN1035" s="2013">
        <f>IF($AF1035&lt;&gt;0,SUMIFS($C$9:$C$98,$D$9:$D$98,$D$639,L$889:$L$978,$AF1035),0)</f>
        <v>0</v>
      </c>
      <c r="AO1035" s="2013">
        <f t="shared" si="865"/>
        <v>0</v>
      </c>
      <c r="AP1035" s="2013">
        <f t="shared" si="866"/>
        <v>0</v>
      </c>
      <c r="AQ1035" s="2013">
        <f t="shared" si="867"/>
        <v>0</v>
      </c>
      <c r="AR1035" s="2014">
        <f t="shared" si="868"/>
        <v>0</v>
      </c>
    </row>
    <row r="1036" spans="1:44" x14ac:dyDescent="0.2">
      <c r="A1036" s="6"/>
      <c r="B1036" s="1857">
        <f t="shared" si="844"/>
        <v>0</v>
      </c>
      <c r="C1036" s="2013">
        <f t="shared" si="845"/>
        <v>0</v>
      </c>
      <c r="D1036" s="2013">
        <f t="shared" si="846"/>
        <v>0</v>
      </c>
      <c r="E1036" s="2013">
        <f t="shared" si="847"/>
        <v>0</v>
      </c>
      <c r="F1036" s="2013">
        <f t="shared" si="848"/>
        <v>0</v>
      </c>
      <c r="G1036" s="2013">
        <f t="shared" si="849"/>
        <v>0</v>
      </c>
      <c r="H1036" s="2013">
        <f t="shared" si="850"/>
        <v>0</v>
      </c>
      <c r="I1036" s="2013">
        <f t="shared" si="851"/>
        <v>0</v>
      </c>
      <c r="J1036" s="2013">
        <f t="shared" si="852"/>
        <v>0</v>
      </c>
      <c r="K1036" s="2013">
        <f t="shared" si="853"/>
        <v>0</v>
      </c>
      <c r="L1036" s="2013">
        <f t="shared" si="854"/>
        <v>0</v>
      </c>
      <c r="M1036" s="2013">
        <f t="shared" si="855"/>
        <v>0</v>
      </c>
      <c r="N1036" s="2014">
        <f t="shared" si="856"/>
        <v>0</v>
      </c>
      <c r="P1036" s="6"/>
      <c r="Q1036" s="1857">
        <f t="shared" si="843"/>
        <v>0</v>
      </c>
      <c r="R1036" s="2013">
        <f>IF($Q1036&lt;&gt;0,SUMIFS($C$9:$C$98,$D$9:$D$98,$D$638,$E$889:$E$978,$Q1036),0)</f>
        <v>0</v>
      </c>
      <c r="S1036" s="2013">
        <f>IF($Q1036&lt;&gt;0,SUMIFS($C$9:$C$98,$D$9:$D$98,$D$638,$F$889:$F$978,$Q1036),0)</f>
        <v>0</v>
      </c>
      <c r="T1036" s="2013">
        <f>IF($Q1036&lt;&gt;0,SUMIFS($C$9:$C$98,$D$9:$D$98,$D$638,$G$889:$G$978,$Q1036),0)</f>
        <v>0</v>
      </c>
      <c r="U1036" s="2013">
        <f>IF($Q1036&lt;&gt;0,SUMIFS($C$9:$C$98,$D$9:$D$98,$D$638,$H$889:$H$978,$Q1036),0)</f>
        <v>0</v>
      </c>
      <c r="V1036" s="2013">
        <f>IF($Q1036&lt;&gt;0,SUMIFS($C$9:$C$98,$D$9:$D$98,$D$638,$I$889:$I$978,$Q1036),0)</f>
        <v>0</v>
      </c>
      <c r="W1036" s="2013">
        <f>IF($Q1036&lt;&gt;0,SUMIFS($C$9:$C$98,$D$9:$D$98,$D$638,$J$889:$J$978,$Q1036),0)</f>
        <v>0</v>
      </c>
      <c r="X1036" s="2013">
        <f>IF($Q1036&lt;&gt;0,SUMIFS($C$9:$C$98,$D$9:$D$98,$D$638,$K$889:$K$978,$Q1036),0)</f>
        <v>0</v>
      </c>
      <c r="Y1036" s="2013">
        <f>IF($Q1036&lt;&gt;0,SUMIFS($C$9:$C$98,$D$9:$D$98,$D$638,$L$889:$L$978,$Q1036),0)</f>
        <v>0</v>
      </c>
      <c r="Z1036" s="2013">
        <f>IF($Q1036&lt;&gt;0,SUMIFS($C$9:$C$98,$D$9:$D$98,$D$638,$M$889:$M$978,$Q1036),0)</f>
        <v>0</v>
      </c>
      <c r="AA1036" s="2013">
        <f>IF($Q1036&lt;&gt;0,SUMIFS($C$9:$C$98,$D$9:$D$98,$D$638,$N$889:$N$978,$Q1036),0)</f>
        <v>0</v>
      </c>
      <c r="AB1036" s="2013">
        <f>IF($Q1036&lt;&gt;0,SUMIFS($C$9:$C$98,$D$9:$D$98,$D$638,$O$889:$O$978,$Q1036),0)</f>
        <v>0</v>
      </c>
      <c r="AC1036" s="2014">
        <f>IF($Q1036&lt;&gt;0,SUMIFS($C$9:$C$98,$D$9:$D$98,$D$638,$P$889:$P$978,$Q1036),0)</f>
        <v>0</v>
      </c>
      <c r="AF1036" s="1857">
        <f t="shared" si="857"/>
        <v>0</v>
      </c>
      <c r="AG1036" s="2013">
        <f t="shared" si="858"/>
        <v>0</v>
      </c>
      <c r="AH1036" s="2013">
        <f t="shared" si="859"/>
        <v>0</v>
      </c>
      <c r="AI1036" s="2013">
        <f t="shared" si="860"/>
        <v>0</v>
      </c>
      <c r="AJ1036" s="2013">
        <f t="shared" si="861"/>
        <v>0</v>
      </c>
      <c r="AK1036" s="2013">
        <f t="shared" si="862"/>
        <v>0</v>
      </c>
      <c r="AL1036" s="2013">
        <f t="shared" si="863"/>
        <v>0</v>
      </c>
      <c r="AM1036" s="2013">
        <f t="shared" si="864"/>
        <v>0</v>
      </c>
      <c r="AN1036" s="2013">
        <f>IF($AF1036&lt;&gt;0,SUMIFS($C$9:$C$98,$D$9:$D$98,$D$639,L$889:$L$978,$AF1036),0)</f>
        <v>0</v>
      </c>
      <c r="AO1036" s="2013">
        <f t="shared" si="865"/>
        <v>0</v>
      </c>
      <c r="AP1036" s="2013">
        <f t="shared" si="866"/>
        <v>0</v>
      </c>
      <c r="AQ1036" s="2013">
        <f t="shared" si="867"/>
        <v>0</v>
      </c>
      <c r="AR1036" s="2014">
        <f t="shared" si="868"/>
        <v>0</v>
      </c>
    </row>
    <row r="1037" spans="1:44" x14ac:dyDescent="0.2">
      <c r="A1037" s="6"/>
      <c r="B1037" s="2020" t="str">
        <f t="shared" si="844"/>
        <v>Subtotal Cultivos de Invierno para Reserva</v>
      </c>
      <c r="C1037" s="2013">
        <f t="shared" si="845"/>
        <v>0</v>
      </c>
      <c r="D1037" s="2013">
        <f t="shared" si="846"/>
        <v>0</v>
      </c>
      <c r="E1037" s="2013">
        <f t="shared" si="847"/>
        <v>0</v>
      </c>
      <c r="F1037" s="2013">
        <f t="shared" si="848"/>
        <v>0</v>
      </c>
      <c r="G1037" s="2013">
        <f t="shared" si="849"/>
        <v>0</v>
      </c>
      <c r="H1037" s="2013">
        <f t="shared" si="850"/>
        <v>0</v>
      </c>
      <c r="I1037" s="2013">
        <f t="shared" si="851"/>
        <v>0</v>
      </c>
      <c r="J1037" s="2013">
        <f t="shared" si="852"/>
        <v>0</v>
      </c>
      <c r="K1037" s="2013">
        <f t="shared" si="853"/>
        <v>0</v>
      </c>
      <c r="L1037" s="2013">
        <f t="shared" si="854"/>
        <v>0</v>
      </c>
      <c r="M1037" s="2013">
        <f t="shared" si="855"/>
        <v>0</v>
      </c>
      <c r="N1037" s="2014">
        <f t="shared" si="856"/>
        <v>0</v>
      </c>
      <c r="P1037" s="6"/>
      <c r="Q1037" s="2020" t="str">
        <f t="shared" si="843"/>
        <v>Subtotal Cultivos de Invierno para Reserva</v>
      </c>
      <c r="R1037" s="2013"/>
      <c r="S1037" s="2013"/>
      <c r="T1037" s="2013"/>
      <c r="U1037" s="2013"/>
      <c r="V1037" s="2013"/>
      <c r="W1037" s="2013"/>
      <c r="X1037" s="2013"/>
      <c r="Y1037" s="2013"/>
      <c r="Z1037" s="2013"/>
      <c r="AA1037" s="2013"/>
      <c r="AB1037" s="2013"/>
      <c r="AC1037" s="2014"/>
      <c r="AF1037" s="2020" t="str">
        <f t="shared" si="857"/>
        <v>Subtotal Cultivos de Invierno para Reserva</v>
      </c>
      <c r="AG1037" s="2013">
        <f t="shared" si="858"/>
        <v>0</v>
      </c>
      <c r="AH1037" s="2013">
        <f t="shared" si="859"/>
        <v>0</v>
      </c>
      <c r="AI1037" s="2013">
        <f t="shared" si="860"/>
        <v>0</v>
      </c>
      <c r="AJ1037" s="2013">
        <f t="shared" si="861"/>
        <v>0</v>
      </c>
      <c r="AK1037" s="2013">
        <f t="shared" si="862"/>
        <v>0</v>
      </c>
      <c r="AL1037" s="2013">
        <f t="shared" si="863"/>
        <v>0</v>
      </c>
      <c r="AM1037" s="2013">
        <f t="shared" si="864"/>
        <v>0</v>
      </c>
      <c r="AN1037" s="2013">
        <f>IF($AF1037&lt;&gt;0,SUMIFS($C$9:$C$98,$D$9:$D$98,$D$639,L$889:$L$978,$AF1037),0)</f>
        <v>0</v>
      </c>
      <c r="AO1037" s="2013">
        <f t="shared" si="865"/>
        <v>0</v>
      </c>
      <c r="AP1037" s="2013">
        <f t="shared" si="866"/>
        <v>0</v>
      </c>
      <c r="AQ1037" s="2013">
        <f t="shared" si="867"/>
        <v>0</v>
      </c>
      <c r="AR1037" s="2014">
        <f t="shared" si="868"/>
        <v>0</v>
      </c>
    </row>
    <row r="1038" spans="1:44" x14ac:dyDescent="0.2">
      <c r="A1038" s="6"/>
      <c r="B1038" s="1857" t="str">
        <f t="shared" si="844"/>
        <v>Soja</v>
      </c>
      <c r="C1038" s="2013">
        <f t="shared" si="845"/>
        <v>0</v>
      </c>
      <c r="D1038" s="2013">
        <f t="shared" si="846"/>
        <v>0</v>
      </c>
      <c r="E1038" s="2013">
        <f t="shared" si="847"/>
        <v>0</v>
      </c>
      <c r="F1038" s="2013">
        <f t="shared" si="848"/>
        <v>0</v>
      </c>
      <c r="G1038" s="2013">
        <f t="shared" si="849"/>
        <v>0</v>
      </c>
      <c r="H1038" s="2013">
        <f t="shared" si="850"/>
        <v>0</v>
      </c>
      <c r="I1038" s="2013">
        <f t="shared" si="851"/>
        <v>0</v>
      </c>
      <c r="J1038" s="2013">
        <f t="shared" si="852"/>
        <v>0</v>
      </c>
      <c r="K1038" s="2013">
        <f t="shared" si="853"/>
        <v>0</v>
      </c>
      <c r="L1038" s="2013">
        <f t="shared" si="854"/>
        <v>0</v>
      </c>
      <c r="M1038" s="2013">
        <f t="shared" si="855"/>
        <v>0</v>
      </c>
      <c r="N1038" s="2014">
        <f t="shared" si="856"/>
        <v>0</v>
      </c>
      <c r="P1038" s="6"/>
      <c r="Q1038" s="1857" t="str">
        <f t="shared" ref="Q1038:Q1049" si="881">+D499</f>
        <v>Soja</v>
      </c>
      <c r="R1038" s="2013">
        <f t="shared" ref="R1038:R1049" si="882">IF($Q1038&lt;&gt;0,SUMIFS($C$9:$C$98,$D$9:$D$98,$D$638,$E$889:$E$978,$Q1038),0)</f>
        <v>0</v>
      </c>
      <c r="S1038" s="2013">
        <f t="shared" ref="S1038:S1049" si="883">IF($Q1038&lt;&gt;0,SUMIFS($C$9:$C$98,$D$9:$D$98,$D$638,$F$889:$F$978,$Q1038),0)</f>
        <v>0</v>
      </c>
      <c r="T1038" s="2013">
        <f t="shared" ref="T1038:T1049" si="884">IF($Q1038&lt;&gt;0,SUMIFS($C$9:$C$98,$D$9:$D$98,$D$638,$G$889:$G$978,$Q1038),0)</f>
        <v>0</v>
      </c>
      <c r="U1038" s="2013">
        <f t="shared" ref="U1038:U1049" si="885">IF($Q1038&lt;&gt;0,SUMIFS($C$9:$C$98,$D$9:$D$98,$D$638,$H$889:$H$978,$Q1038),0)</f>
        <v>0</v>
      </c>
      <c r="V1038" s="2013">
        <f t="shared" ref="V1038:V1049" si="886">IF($Q1038&lt;&gt;0,SUMIFS($C$9:$C$98,$D$9:$D$98,$D$638,$I$889:$I$978,$Q1038),0)</f>
        <v>0</v>
      </c>
      <c r="W1038" s="2013">
        <f t="shared" ref="W1038:W1049" si="887">IF($Q1038&lt;&gt;0,SUMIFS($C$9:$C$98,$D$9:$D$98,$D$638,$J$889:$J$978,$Q1038),0)</f>
        <v>0</v>
      </c>
      <c r="X1038" s="2013">
        <f t="shared" ref="X1038:X1049" si="888">IF($Q1038&lt;&gt;0,SUMIFS($C$9:$C$98,$D$9:$D$98,$D$638,$K$889:$K$978,$Q1038),0)</f>
        <v>0</v>
      </c>
      <c r="Y1038" s="2013">
        <f t="shared" ref="Y1038:Y1049" si="889">IF($Q1038&lt;&gt;0,SUMIFS($C$9:$C$98,$D$9:$D$98,$D$638,$L$889:$L$978,$Q1038),0)</f>
        <v>0</v>
      </c>
      <c r="Z1038" s="2013">
        <f t="shared" ref="Z1038:Z1049" si="890">IF($Q1038&lt;&gt;0,SUMIFS($C$9:$C$98,$D$9:$D$98,$D$638,$M$889:$M$978,$Q1038),0)</f>
        <v>0</v>
      </c>
      <c r="AA1038" s="2013">
        <f t="shared" ref="AA1038:AA1049" si="891">IF($Q1038&lt;&gt;0,SUMIFS($C$9:$C$98,$D$9:$D$98,$D$638,$N$889:$N$978,$Q1038),0)</f>
        <v>0</v>
      </c>
      <c r="AB1038" s="2013">
        <f t="shared" ref="AB1038:AB1049" si="892">IF($Q1038&lt;&gt;0,SUMIFS($C$9:$C$98,$D$9:$D$98,$D$638,$O$889:$O$978,$Q1038),0)</f>
        <v>0</v>
      </c>
      <c r="AC1038" s="2014">
        <f t="shared" ref="AC1038:AC1049" si="893">IF($Q1038&lt;&gt;0,SUMIFS($C$9:$C$98,$D$9:$D$98,$D$638,$P$889:$P$978,$Q1038),0)</f>
        <v>0</v>
      </c>
      <c r="AF1038" s="1857" t="str">
        <f t="shared" si="857"/>
        <v>Soja</v>
      </c>
      <c r="AG1038" s="2013">
        <f t="shared" si="858"/>
        <v>0</v>
      </c>
      <c r="AH1038" s="2013">
        <f t="shared" si="859"/>
        <v>0</v>
      </c>
      <c r="AI1038" s="2013">
        <f t="shared" si="860"/>
        <v>0</v>
      </c>
      <c r="AJ1038" s="2013">
        <f t="shared" si="861"/>
        <v>0</v>
      </c>
      <c r="AK1038" s="2013">
        <f t="shared" si="862"/>
        <v>0</v>
      </c>
      <c r="AL1038" s="2013">
        <f t="shared" si="863"/>
        <v>0</v>
      </c>
      <c r="AM1038" s="2013">
        <f t="shared" si="864"/>
        <v>0</v>
      </c>
      <c r="AN1038" s="2013">
        <f>IF($AF1038&lt;&gt;0,SUMIFS($C$9:$C$98,$D$9:$D$98,$D$639,L$889:$L$978,$AF1038),0)</f>
        <v>0</v>
      </c>
      <c r="AO1038" s="2013">
        <f t="shared" si="865"/>
        <v>0</v>
      </c>
      <c r="AP1038" s="2013">
        <f t="shared" si="866"/>
        <v>0</v>
      </c>
      <c r="AQ1038" s="2013">
        <f t="shared" si="867"/>
        <v>0</v>
      </c>
      <c r="AR1038" s="2014">
        <f t="shared" si="868"/>
        <v>0</v>
      </c>
    </row>
    <row r="1039" spans="1:44" x14ac:dyDescent="0.2">
      <c r="A1039" s="6"/>
      <c r="B1039" s="1857" t="str">
        <f t="shared" si="844"/>
        <v>Soja 2ª</v>
      </c>
      <c r="C1039" s="2013">
        <f t="shared" si="845"/>
        <v>0</v>
      </c>
      <c r="D1039" s="2013">
        <f t="shared" si="846"/>
        <v>0</v>
      </c>
      <c r="E1039" s="2013">
        <f t="shared" si="847"/>
        <v>0</v>
      </c>
      <c r="F1039" s="2013">
        <f t="shared" si="848"/>
        <v>0</v>
      </c>
      <c r="G1039" s="2013">
        <f t="shared" si="849"/>
        <v>0</v>
      </c>
      <c r="H1039" s="2013">
        <f t="shared" si="850"/>
        <v>0</v>
      </c>
      <c r="I1039" s="2013">
        <f t="shared" si="851"/>
        <v>0</v>
      </c>
      <c r="J1039" s="2013">
        <f t="shared" si="852"/>
        <v>0</v>
      </c>
      <c r="K1039" s="2013">
        <f t="shared" si="853"/>
        <v>0</v>
      </c>
      <c r="L1039" s="2013">
        <f t="shared" si="854"/>
        <v>0</v>
      </c>
      <c r="M1039" s="2013">
        <f t="shared" si="855"/>
        <v>0</v>
      </c>
      <c r="N1039" s="2014">
        <f t="shared" si="856"/>
        <v>0</v>
      </c>
      <c r="P1039" s="6"/>
      <c r="Q1039" s="1857" t="str">
        <f t="shared" si="881"/>
        <v>Soja 2ª</v>
      </c>
      <c r="R1039" s="2013">
        <f t="shared" si="882"/>
        <v>0</v>
      </c>
      <c r="S1039" s="2013">
        <f t="shared" si="883"/>
        <v>0</v>
      </c>
      <c r="T1039" s="2013">
        <f t="shared" si="884"/>
        <v>0</v>
      </c>
      <c r="U1039" s="2013">
        <f t="shared" si="885"/>
        <v>0</v>
      </c>
      <c r="V1039" s="2013">
        <f t="shared" si="886"/>
        <v>0</v>
      </c>
      <c r="W1039" s="2013">
        <f t="shared" si="887"/>
        <v>0</v>
      </c>
      <c r="X1039" s="2013">
        <f t="shared" si="888"/>
        <v>0</v>
      </c>
      <c r="Y1039" s="2013">
        <f t="shared" si="889"/>
        <v>0</v>
      </c>
      <c r="Z1039" s="2013">
        <f t="shared" si="890"/>
        <v>0</v>
      </c>
      <c r="AA1039" s="2013">
        <f t="shared" si="891"/>
        <v>0</v>
      </c>
      <c r="AB1039" s="2013">
        <f t="shared" si="892"/>
        <v>0</v>
      </c>
      <c r="AC1039" s="2014">
        <f t="shared" si="893"/>
        <v>0</v>
      </c>
      <c r="AF1039" s="1857" t="str">
        <f t="shared" si="857"/>
        <v>Soja 2ª</v>
      </c>
      <c r="AG1039" s="2013">
        <f t="shared" si="858"/>
        <v>0</v>
      </c>
      <c r="AH1039" s="2013">
        <f t="shared" si="859"/>
        <v>0</v>
      </c>
      <c r="AI1039" s="2013">
        <f t="shared" si="860"/>
        <v>0</v>
      </c>
      <c r="AJ1039" s="2013">
        <f t="shared" si="861"/>
        <v>0</v>
      </c>
      <c r="AK1039" s="2013">
        <f t="shared" si="862"/>
        <v>0</v>
      </c>
      <c r="AL1039" s="2013">
        <f t="shared" si="863"/>
        <v>0</v>
      </c>
      <c r="AM1039" s="2013">
        <f t="shared" si="864"/>
        <v>0</v>
      </c>
      <c r="AN1039" s="2013">
        <f>IF($AF1039&lt;&gt;0,SUMIFS($C$9:$C$98,$D$9:$D$98,$D$639,L$889:$L$978,$AF1039),0)</f>
        <v>0</v>
      </c>
      <c r="AO1039" s="2013">
        <f t="shared" si="865"/>
        <v>0</v>
      </c>
      <c r="AP1039" s="2013">
        <f t="shared" si="866"/>
        <v>0</v>
      </c>
      <c r="AQ1039" s="2013">
        <f t="shared" si="867"/>
        <v>0</v>
      </c>
      <c r="AR1039" s="2014">
        <f t="shared" si="868"/>
        <v>0</v>
      </c>
    </row>
    <row r="1040" spans="1:44" x14ac:dyDescent="0.2">
      <c r="A1040" s="6"/>
      <c r="B1040" s="1857" t="str">
        <f t="shared" si="844"/>
        <v>Maíz Grano</v>
      </c>
      <c r="C1040" s="2013">
        <f t="shared" si="845"/>
        <v>0</v>
      </c>
      <c r="D1040" s="2013">
        <f t="shared" si="846"/>
        <v>0</v>
      </c>
      <c r="E1040" s="2013">
        <f t="shared" si="847"/>
        <v>0</v>
      </c>
      <c r="F1040" s="2013">
        <f t="shared" si="848"/>
        <v>0</v>
      </c>
      <c r="G1040" s="2013">
        <f t="shared" si="849"/>
        <v>0</v>
      </c>
      <c r="H1040" s="2013">
        <f t="shared" si="850"/>
        <v>0</v>
      </c>
      <c r="I1040" s="2013">
        <f t="shared" si="851"/>
        <v>0</v>
      </c>
      <c r="J1040" s="2013">
        <f t="shared" si="852"/>
        <v>0</v>
      </c>
      <c r="K1040" s="2013">
        <f t="shared" si="853"/>
        <v>0</v>
      </c>
      <c r="L1040" s="2013">
        <f t="shared" si="854"/>
        <v>0</v>
      </c>
      <c r="M1040" s="2013">
        <f t="shared" si="855"/>
        <v>0</v>
      </c>
      <c r="N1040" s="2014">
        <f t="shared" si="856"/>
        <v>0</v>
      </c>
      <c r="P1040" s="6"/>
      <c r="Q1040" s="1857" t="str">
        <f t="shared" si="881"/>
        <v>Maíz Grano</v>
      </c>
      <c r="R1040" s="2013">
        <f t="shared" si="882"/>
        <v>0</v>
      </c>
      <c r="S1040" s="2013">
        <f t="shared" si="883"/>
        <v>0</v>
      </c>
      <c r="T1040" s="2013">
        <f t="shared" si="884"/>
        <v>0</v>
      </c>
      <c r="U1040" s="2013">
        <f t="shared" si="885"/>
        <v>0</v>
      </c>
      <c r="V1040" s="2013">
        <f t="shared" si="886"/>
        <v>0</v>
      </c>
      <c r="W1040" s="2013">
        <f t="shared" si="887"/>
        <v>0</v>
      </c>
      <c r="X1040" s="2013">
        <f t="shared" si="888"/>
        <v>0</v>
      </c>
      <c r="Y1040" s="2013">
        <f t="shared" si="889"/>
        <v>0</v>
      </c>
      <c r="Z1040" s="2013">
        <f t="shared" si="890"/>
        <v>0</v>
      </c>
      <c r="AA1040" s="2013">
        <f t="shared" si="891"/>
        <v>0</v>
      </c>
      <c r="AB1040" s="2013">
        <f t="shared" si="892"/>
        <v>0</v>
      </c>
      <c r="AC1040" s="2014">
        <f t="shared" si="893"/>
        <v>0</v>
      </c>
      <c r="AF1040" s="1857" t="str">
        <f t="shared" si="857"/>
        <v>Maíz Grano</v>
      </c>
      <c r="AG1040" s="2013">
        <f t="shared" si="858"/>
        <v>0</v>
      </c>
      <c r="AH1040" s="2013">
        <f t="shared" si="859"/>
        <v>0</v>
      </c>
      <c r="AI1040" s="2013">
        <f t="shared" si="860"/>
        <v>0</v>
      </c>
      <c r="AJ1040" s="2013">
        <f t="shared" si="861"/>
        <v>0</v>
      </c>
      <c r="AK1040" s="2013">
        <f t="shared" si="862"/>
        <v>0</v>
      </c>
      <c r="AL1040" s="2013">
        <f t="shared" si="863"/>
        <v>0</v>
      </c>
      <c r="AM1040" s="2013">
        <f t="shared" si="864"/>
        <v>0</v>
      </c>
      <c r="AN1040" s="2013">
        <f>IF($AF1040&lt;&gt;0,SUMIFS($C$9:$C$98,$D$9:$D$98,$D$639,L$889:$L$978,$AF1040),0)</f>
        <v>0</v>
      </c>
      <c r="AO1040" s="2013">
        <f t="shared" si="865"/>
        <v>0</v>
      </c>
      <c r="AP1040" s="2013">
        <f t="shared" si="866"/>
        <v>0</v>
      </c>
      <c r="AQ1040" s="2013">
        <f t="shared" si="867"/>
        <v>0</v>
      </c>
      <c r="AR1040" s="2014">
        <f t="shared" si="868"/>
        <v>0</v>
      </c>
    </row>
    <row r="1041" spans="1:123" x14ac:dyDescent="0.2">
      <c r="A1041" s="6"/>
      <c r="B1041" s="1857" t="str">
        <f t="shared" si="844"/>
        <v>Sorgo grano</v>
      </c>
      <c r="C1041" s="2013">
        <f t="shared" si="845"/>
        <v>0</v>
      </c>
      <c r="D1041" s="2013">
        <f t="shared" si="846"/>
        <v>0</v>
      </c>
      <c r="E1041" s="2013">
        <f t="shared" si="847"/>
        <v>0</v>
      </c>
      <c r="F1041" s="2013">
        <f t="shared" si="848"/>
        <v>0</v>
      </c>
      <c r="G1041" s="2013">
        <f t="shared" si="849"/>
        <v>0</v>
      </c>
      <c r="H1041" s="2013">
        <f t="shared" si="850"/>
        <v>0</v>
      </c>
      <c r="I1041" s="2013">
        <f t="shared" si="851"/>
        <v>0</v>
      </c>
      <c r="J1041" s="2013">
        <f t="shared" si="852"/>
        <v>0</v>
      </c>
      <c r="K1041" s="2013">
        <f t="shared" si="853"/>
        <v>0</v>
      </c>
      <c r="L1041" s="2013">
        <f t="shared" si="854"/>
        <v>0</v>
      </c>
      <c r="M1041" s="2013">
        <f t="shared" si="855"/>
        <v>0</v>
      </c>
      <c r="N1041" s="2014">
        <f t="shared" si="856"/>
        <v>0</v>
      </c>
      <c r="P1041" s="6"/>
      <c r="Q1041" s="1857" t="str">
        <f t="shared" si="881"/>
        <v>Sorgo grano</v>
      </c>
      <c r="R1041" s="2013">
        <f t="shared" si="882"/>
        <v>0</v>
      </c>
      <c r="S1041" s="2013">
        <f t="shared" si="883"/>
        <v>0</v>
      </c>
      <c r="T1041" s="2013">
        <f t="shared" si="884"/>
        <v>0</v>
      </c>
      <c r="U1041" s="2013">
        <f t="shared" si="885"/>
        <v>0</v>
      </c>
      <c r="V1041" s="2013">
        <f t="shared" si="886"/>
        <v>0</v>
      </c>
      <c r="W1041" s="2013">
        <f t="shared" si="887"/>
        <v>0</v>
      </c>
      <c r="X1041" s="2013">
        <f t="shared" si="888"/>
        <v>0</v>
      </c>
      <c r="Y1041" s="2013">
        <f t="shared" si="889"/>
        <v>0</v>
      </c>
      <c r="Z1041" s="2013">
        <f t="shared" si="890"/>
        <v>0</v>
      </c>
      <c r="AA1041" s="2013">
        <f t="shared" si="891"/>
        <v>0</v>
      </c>
      <c r="AB1041" s="2013">
        <f t="shared" si="892"/>
        <v>0</v>
      </c>
      <c r="AC1041" s="2014">
        <f t="shared" si="893"/>
        <v>0</v>
      </c>
      <c r="AF1041" s="1857" t="str">
        <f t="shared" si="857"/>
        <v>Sorgo grano</v>
      </c>
      <c r="AG1041" s="2013">
        <f t="shared" si="858"/>
        <v>0</v>
      </c>
      <c r="AH1041" s="2013">
        <f t="shared" si="859"/>
        <v>0</v>
      </c>
      <c r="AI1041" s="2013">
        <f t="shared" si="860"/>
        <v>0</v>
      </c>
      <c r="AJ1041" s="2013">
        <f t="shared" si="861"/>
        <v>0</v>
      </c>
      <c r="AK1041" s="2013">
        <f t="shared" si="862"/>
        <v>0</v>
      </c>
      <c r="AL1041" s="2013">
        <f t="shared" si="863"/>
        <v>0</v>
      </c>
      <c r="AM1041" s="2013">
        <f t="shared" si="864"/>
        <v>0</v>
      </c>
      <c r="AN1041" s="2013">
        <f>IF($AF1041&lt;&gt;0,SUMIFS($C$9:$C$98,$D$9:$D$98,$D$639,L$889:$L$978,$AF1041),0)</f>
        <v>0</v>
      </c>
      <c r="AO1041" s="2013">
        <f t="shared" si="865"/>
        <v>0</v>
      </c>
      <c r="AP1041" s="2013">
        <f t="shared" si="866"/>
        <v>0</v>
      </c>
      <c r="AQ1041" s="2013">
        <f t="shared" si="867"/>
        <v>0</v>
      </c>
      <c r="AR1041" s="2014">
        <f t="shared" si="868"/>
        <v>0</v>
      </c>
    </row>
    <row r="1042" spans="1:123" x14ac:dyDescent="0.2">
      <c r="A1042" s="6"/>
      <c r="B1042" s="1857" t="str">
        <f t="shared" si="844"/>
        <v>Trigo grano</v>
      </c>
      <c r="C1042" s="2013">
        <f t="shared" si="845"/>
        <v>0</v>
      </c>
      <c r="D1042" s="2013">
        <f t="shared" si="846"/>
        <v>0</v>
      </c>
      <c r="E1042" s="2013">
        <f t="shared" si="847"/>
        <v>0</v>
      </c>
      <c r="F1042" s="2013">
        <f t="shared" si="848"/>
        <v>0</v>
      </c>
      <c r="G1042" s="2013">
        <f t="shared" si="849"/>
        <v>0</v>
      </c>
      <c r="H1042" s="2013">
        <f t="shared" si="850"/>
        <v>0</v>
      </c>
      <c r="I1042" s="2013">
        <f t="shared" si="851"/>
        <v>0</v>
      </c>
      <c r="J1042" s="2013">
        <f t="shared" si="852"/>
        <v>0</v>
      </c>
      <c r="K1042" s="2013">
        <f t="shared" si="853"/>
        <v>0</v>
      </c>
      <c r="L1042" s="2013">
        <f t="shared" si="854"/>
        <v>0</v>
      </c>
      <c r="M1042" s="2013">
        <f t="shared" si="855"/>
        <v>0</v>
      </c>
      <c r="N1042" s="2014">
        <f t="shared" si="856"/>
        <v>0</v>
      </c>
      <c r="P1042" s="6"/>
      <c r="Q1042" s="1857" t="str">
        <f t="shared" si="881"/>
        <v>Trigo grano</v>
      </c>
      <c r="R1042" s="2013">
        <f t="shared" si="882"/>
        <v>0</v>
      </c>
      <c r="S1042" s="2013">
        <f t="shared" si="883"/>
        <v>0</v>
      </c>
      <c r="T1042" s="2013">
        <f t="shared" si="884"/>
        <v>0</v>
      </c>
      <c r="U1042" s="2013">
        <f t="shared" si="885"/>
        <v>0</v>
      </c>
      <c r="V1042" s="2013">
        <f t="shared" si="886"/>
        <v>0</v>
      </c>
      <c r="W1042" s="2013">
        <f t="shared" si="887"/>
        <v>0</v>
      </c>
      <c r="X1042" s="2013">
        <f t="shared" si="888"/>
        <v>0</v>
      </c>
      <c r="Y1042" s="2013">
        <f t="shared" si="889"/>
        <v>0</v>
      </c>
      <c r="Z1042" s="2013">
        <f t="shared" si="890"/>
        <v>0</v>
      </c>
      <c r="AA1042" s="2013">
        <f t="shared" si="891"/>
        <v>0</v>
      </c>
      <c r="AB1042" s="2013">
        <f t="shared" si="892"/>
        <v>0</v>
      </c>
      <c r="AC1042" s="2014">
        <f t="shared" si="893"/>
        <v>0</v>
      </c>
      <c r="AF1042" s="1857" t="str">
        <f t="shared" si="857"/>
        <v>Trigo grano</v>
      </c>
      <c r="AG1042" s="2013">
        <f t="shared" si="858"/>
        <v>0</v>
      </c>
      <c r="AH1042" s="2013">
        <f t="shared" si="859"/>
        <v>0</v>
      </c>
      <c r="AI1042" s="2013">
        <f t="shared" si="860"/>
        <v>0</v>
      </c>
      <c r="AJ1042" s="2013">
        <f t="shared" si="861"/>
        <v>0</v>
      </c>
      <c r="AK1042" s="2013">
        <f t="shared" si="862"/>
        <v>0</v>
      </c>
      <c r="AL1042" s="2013">
        <f t="shared" si="863"/>
        <v>0</v>
      </c>
      <c r="AM1042" s="2013">
        <f t="shared" si="864"/>
        <v>0</v>
      </c>
      <c r="AN1042" s="2013">
        <f>IF($AF1042&lt;&gt;0,SUMIFS($C$9:$C$98,$D$9:$D$98,$D$639,L$889:$L$978,$AF1042),0)</f>
        <v>0</v>
      </c>
      <c r="AO1042" s="2013">
        <f t="shared" si="865"/>
        <v>0</v>
      </c>
      <c r="AP1042" s="2013">
        <f t="shared" si="866"/>
        <v>0</v>
      </c>
      <c r="AQ1042" s="2013">
        <f t="shared" si="867"/>
        <v>0</v>
      </c>
      <c r="AR1042" s="2014">
        <f t="shared" si="868"/>
        <v>0</v>
      </c>
    </row>
    <row r="1043" spans="1:123" x14ac:dyDescent="0.2">
      <c r="A1043" s="6"/>
      <c r="B1043" s="1857" t="str">
        <f t="shared" si="844"/>
        <v>Cebada grano</v>
      </c>
      <c r="C1043" s="2013">
        <f t="shared" si="845"/>
        <v>0</v>
      </c>
      <c r="D1043" s="2013">
        <f t="shared" si="846"/>
        <v>0</v>
      </c>
      <c r="E1043" s="2013">
        <f t="shared" si="847"/>
        <v>0</v>
      </c>
      <c r="F1043" s="2013">
        <f t="shared" si="848"/>
        <v>0</v>
      </c>
      <c r="G1043" s="2013">
        <f t="shared" si="849"/>
        <v>0</v>
      </c>
      <c r="H1043" s="2013">
        <f t="shared" si="850"/>
        <v>0</v>
      </c>
      <c r="I1043" s="2013">
        <f t="shared" si="851"/>
        <v>0</v>
      </c>
      <c r="J1043" s="2013">
        <f t="shared" si="852"/>
        <v>0</v>
      </c>
      <c r="K1043" s="2013">
        <f t="shared" si="853"/>
        <v>0</v>
      </c>
      <c r="L1043" s="2013">
        <f t="shared" si="854"/>
        <v>0</v>
      </c>
      <c r="M1043" s="2013">
        <f t="shared" si="855"/>
        <v>0</v>
      </c>
      <c r="N1043" s="2014">
        <f t="shared" si="856"/>
        <v>0</v>
      </c>
      <c r="P1043" s="6"/>
      <c r="Q1043" s="1857" t="str">
        <f t="shared" si="881"/>
        <v>Cebada grano</v>
      </c>
      <c r="R1043" s="2013">
        <f t="shared" si="882"/>
        <v>0</v>
      </c>
      <c r="S1043" s="2013">
        <f t="shared" si="883"/>
        <v>0</v>
      </c>
      <c r="T1043" s="2013">
        <f t="shared" si="884"/>
        <v>0</v>
      </c>
      <c r="U1043" s="2013">
        <f t="shared" si="885"/>
        <v>0</v>
      </c>
      <c r="V1043" s="2013">
        <f t="shared" si="886"/>
        <v>0</v>
      </c>
      <c r="W1043" s="2013">
        <f t="shared" si="887"/>
        <v>0</v>
      </c>
      <c r="X1043" s="2013">
        <f t="shared" si="888"/>
        <v>0</v>
      </c>
      <c r="Y1043" s="2013">
        <f t="shared" si="889"/>
        <v>0</v>
      </c>
      <c r="Z1043" s="2013">
        <f t="shared" si="890"/>
        <v>0</v>
      </c>
      <c r="AA1043" s="2013">
        <f t="shared" si="891"/>
        <v>0</v>
      </c>
      <c r="AB1043" s="2013">
        <f t="shared" si="892"/>
        <v>0</v>
      </c>
      <c r="AC1043" s="2014">
        <f t="shared" si="893"/>
        <v>0</v>
      </c>
      <c r="AF1043" s="1857" t="str">
        <f t="shared" si="857"/>
        <v>Cebada grano</v>
      </c>
      <c r="AG1043" s="2013">
        <f t="shared" si="858"/>
        <v>0</v>
      </c>
      <c r="AH1043" s="2013">
        <f t="shared" si="859"/>
        <v>0</v>
      </c>
      <c r="AI1043" s="2013">
        <f t="shared" si="860"/>
        <v>0</v>
      </c>
      <c r="AJ1043" s="2013">
        <f t="shared" si="861"/>
        <v>0</v>
      </c>
      <c r="AK1043" s="2013">
        <f t="shared" si="862"/>
        <v>0</v>
      </c>
      <c r="AL1043" s="2013">
        <f t="shared" si="863"/>
        <v>0</v>
      </c>
      <c r="AM1043" s="2013">
        <f t="shared" si="864"/>
        <v>0</v>
      </c>
      <c r="AN1043" s="2013">
        <f>IF($AF1043&lt;&gt;0,SUMIFS($C$9:$C$98,$D$9:$D$98,$D$639,L$889:$L$978,$AF1043),0)</f>
        <v>0</v>
      </c>
      <c r="AO1043" s="2013">
        <f t="shared" si="865"/>
        <v>0</v>
      </c>
      <c r="AP1043" s="2013">
        <f t="shared" si="866"/>
        <v>0</v>
      </c>
      <c r="AQ1043" s="2013">
        <f t="shared" si="867"/>
        <v>0</v>
      </c>
      <c r="AR1043" s="2014">
        <f t="shared" si="868"/>
        <v>0</v>
      </c>
    </row>
    <row r="1044" spans="1:123" x14ac:dyDescent="0.2">
      <c r="A1044" s="6"/>
      <c r="B1044" s="1857" t="str">
        <f t="shared" si="844"/>
        <v>Avena grano</v>
      </c>
      <c r="C1044" s="2013">
        <f t="shared" si="845"/>
        <v>0</v>
      </c>
      <c r="D1044" s="2013">
        <f t="shared" si="846"/>
        <v>0</v>
      </c>
      <c r="E1044" s="2013">
        <f t="shared" si="847"/>
        <v>0</v>
      </c>
      <c r="F1044" s="2013">
        <f t="shared" si="848"/>
        <v>0</v>
      </c>
      <c r="G1044" s="2013">
        <f t="shared" si="849"/>
        <v>0</v>
      </c>
      <c r="H1044" s="2013">
        <f t="shared" si="850"/>
        <v>0</v>
      </c>
      <c r="I1044" s="2013">
        <f t="shared" si="851"/>
        <v>0</v>
      </c>
      <c r="J1044" s="2013">
        <f t="shared" si="852"/>
        <v>0</v>
      </c>
      <c r="K1044" s="2013">
        <f t="shared" si="853"/>
        <v>0</v>
      </c>
      <c r="L1044" s="2013">
        <f t="shared" si="854"/>
        <v>0</v>
      </c>
      <c r="M1044" s="2013">
        <f t="shared" si="855"/>
        <v>0</v>
      </c>
      <c r="N1044" s="2014">
        <f t="shared" si="856"/>
        <v>0</v>
      </c>
      <c r="P1044" s="6"/>
      <c r="Q1044" s="1857" t="str">
        <f t="shared" si="881"/>
        <v>Avena grano</v>
      </c>
      <c r="R1044" s="2013">
        <f t="shared" si="882"/>
        <v>0</v>
      </c>
      <c r="S1044" s="2013">
        <f t="shared" si="883"/>
        <v>0</v>
      </c>
      <c r="T1044" s="2013">
        <f t="shared" si="884"/>
        <v>0</v>
      </c>
      <c r="U1044" s="2013">
        <f t="shared" si="885"/>
        <v>0</v>
      </c>
      <c r="V1044" s="2013">
        <f t="shared" si="886"/>
        <v>0</v>
      </c>
      <c r="W1044" s="2013">
        <f t="shared" si="887"/>
        <v>0</v>
      </c>
      <c r="X1044" s="2013">
        <f t="shared" si="888"/>
        <v>0</v>
      </c>
      <c r="Y1044" s="2013">
        <f t="shared" si="889"/>
        <v>0</v>
      </c>
      <c r="Z1044" s="2013">
        <f t="shared" si="890"/>
        <v>0</v>
      </c>
      <c r="AA1044" s="2013">
        <f t="shared" si="891"/>
        <v>0</v>
      </c>
      <c r="AB1044" s="2013">
        <f t="shared" si="892"/>
        <v>0</v>
      </c>
      <c r="AC1044" s="2014">
        <f t="shared" si="893"/>
        <v>0</v>
      </c>
      <c r="AF1044" s="1857" t="str">
        <f t="shared" si="857"/>
        <v>Avena grano</v>
      </c>
      <c r="AG1044" s="2013">
        <f t="shared" si="858"/>
        <v>0</v>
      </c>
      <c r="AH1044" s="2013">
        <f t="shared" si="859"/>
        <v>0</v>
      </c>
      <c r="AI1044" s="2013">
        <f t="shared" si="860"/>
        <v>0</v>
      </c>
      <c r="AJ1044" s="2013">
        <f t="shared" si="861"/>
        <v>0</v>
      </c>
      <c r="AK1044" s="2013">
        <f t="shared" si="862"/>
        <v>0</v>
      </c>
      <c r="AL1044" s="2013">
        <f t="shared" si="863"/>
        <v>0</v>
      </c>
      <c r="AM1044" s="2013">
        <f t="shared" si="864"/>
        <v>0</v>
      </c>
      <c r="AN1044" s="2013">
        <f>IF($AF1044&lt;&gt;0,SUMIFS($C$9:$C$98,$D$9:$D$98,$D$639,L$889:$L$978,$AF1044),0)</f>
        <v>0</v>
      </c>
      <c r="AO1044" s="2013">
        <f t="shared" si="865"/>
        <v>0</v>
      </c>
      <c r="AP1044" s="2013">
        <f t="shared" si="866"/>
        <v>0</v>
      </c>
      <c r="AQ1044" s="2013">
        <f t="shared" si="867"/>
        <v>0</v>
      </c>
      <c r="AR1044" s="2014">
        <f t="shared" si="868"/>
        <v>0</v>
      </c>
    </row>
    <row r="1045" spans="1:123" x14ac:dyDescent="0.2">
      <c r="A1045" s="6"/>
      <c r="B1045" s="1857" t="str">
        <f t="shared" si="844"/>
        <v>Colza grano</v>
      </c>
      <c r="C1045" s="2013">
        <f t="shared" si="845"/>
        <v>0</v>
      </c>
      <c r="D1045" s="2013">
        <f t="shared" si="846"/>
        <v>0</v>
      </c>
      <c r="E1045" s="2013">
        <f t="shared" si="847"/>
        <v>0</v>
      </c>
      <c r="F1045" s="2013">
        <f t="shared" si="848"/>
        <v>0</v>
      </c>
      <c r="G1045" s="2013">
        <f t="shared" si="849"/>
        <v>0</v>
      </c>
      <c r="H1045" s="2013">
        <f t="shared" si="850"/>
        <v>0</v>
      </c>
      <c r="I1045" s="2013">
        <f t="shared" si="851"/>
        <v>0</v>
      </c>
      <c r="J1045" s="2013">
        <f t="shared" si="852"/>
        <v>0</v>
      </c>
      <c r="K1045" s="2013">
        <f t="shared" si="853"/>
        <v>0</v>
      </c>
      <c r="L1045" s="2013">
        <f t="shared" si="854"/>
        <v>0</v>
      </c>
      <c r="M1045" s="2013">
        <f t="shared" si="855"/>
        <v>0</v>
      </c>
      <c r="N1045" s="2014">
        <f t="shared" si="856"/>
        <v>0</v>
      </c>
      <c r="P1045" s="6"/>
      <c r="Q1045" s="1857" t="str">
        <f t="shared" si="881"/>
        <v>Colza grano</v>
      </c>
      <c r="R1045" s="2013">
        <f t="shared" si="882"/>
        <v>0</v>
      </c>
      <c r="S1045" s="2013">
        <f t="shared" si="883"/>
        <v>0</v>
      </c>
      <c r="T1045" s="2013">
        <f t="shared" si="884"/>
        <v>0</v>
      </c>
      <c r="U1045" s="2013">
        <f t="shared" si="885"/>
        <v>0</v>
      </c>
      <c r="V1045" s="2013">
        <f t="shared" si="886"/>
        <v>0</v>
      </c>
      <c r="W1045" s="2013">
        <f t="shared" si="887"/>
        <v>0</v>
      </c>
      <c r="X1045" s="2013">
        <f t="shared" si="888"/>
        <v>0</v>
      </c>
      <c r="Y1045" s="2013">
        <f t="shared" si="889"/>
        <v>0</v>
      </c>
      <c r="Z1045" s="2013">
        <f t="shared" si="890"/>
        <v>0</v>
      </c>
      <c r="AA1045" s="2013">
        <f t="shared" si="891"/>
        <v>0</v>
      </c>
      <c r="AB1045" s="2013">
        <f t="shared" si="892"/>
        <v>0</v>
      </c>
      <c r="AC1045" s="2014">
        <f t="shared" si="893"/>
        <v>0</v>
      </c>
      <c r="AF1045" s="1857" t="str">
        <f t="shared" si="857"/>
        <v>Colza grano</v>
      </c>
      <c r="AG1045" s="2013">
        <f t="shared" si="858"/>
        <v>0</v>
      </c>
      <c r="AH1045" s="2013">
        <f t="shared" si="859"/>
        <v>0</v>
      </c>
      <c r="AI1045" s="2013">
        <f t="shared" si="860"/>
        <v>0</v>
      </c>
      <c r="AJ1045" s="2013">
        <f t="shared" si="861"/>
        <v>0</v>
      </c>
      <c r="AK1045" s="2013">
        <f t="shared" si="862"/>
        <v>0</v>
      </c>
      <c r="AL1045" s="2013">
        <f t="shared" si="863"/>
        <v>0</v>
      </c>
      <c r="AM1045" s="2013">
        <f t="shared" si="864"/>
        <v>0</v>
      </c>
      <c r="AN1045" s="2013">
        <f>IF($AF1045&lt;&gt;0,SUMIFS($C$9:$C$98,$D$9:$D$98,$D$639,L$889:$L$978,$AF1045),0)</f>
        <v>0</v>
      </c>
      <c r="AO1045" s="2013">
        <f t="shared" si="865"/>
        <v>0</v>
      </c>
      <c r="AP1045" s="2013">
        <f t="shared" si="866"/>
        <v>0</v>
      </c>
      <c r="AQ1045" s="2013">
        <f t="shared" si="867"/>
        <v>0</v>
      </c>
      <c r="AR1045" s="2014">
        <f t="shared" si="868"/>
        <v>0</v>
      </c>
    </row>
    <row r="1046" spans="1:123" x14ac:dyDescent="0.2">
      <c r="A1046" s="6"/>
      <c r="B1046" s="1857">
        <f t="shared" si="844"/>
        <v>0</v>
      </c>
      <c r="C1046" s="2013">
        <f t="shared" si="845"/>
        <v>0</v>
      </c>
      <c r="D1046" s="2013">
        <f t="shared" si="846"/>
        <v>0</v>
      </c>
      <c r="E1046" s="2013">
        <f t="shared" si="847"/>
        <v>0</v>
      </c>
      <c r="F1046" s="2013">
        <f t="shared" si="848"/>
        <v>0</v>
      </c>
      <c r="G1046" s="2013">
        <f t="shared" si="849"/>
        <v>0</v>
      </c>
      <c r="H1046" s="2013">
        <f t="shared" si="850"/>
        <v>0</v>
      </c>
      <c r="I1046" s="2013">
        <f t="shared" si="851"/>
        <v>0</v>
      </c>
      <c r="J1046" s="2013">
        <f t="shared" si="852"/>
        <v>0</v>
      </c>
      <c r="K1046" s="2013">
        <f t="shared" si="853"/>
        <v>0</v>
      </c>
      <c r="L1046" s="2013">
        <f t="shared" si="854"/>
        <v>0</v>
      </c>
      <c r="M1046" s="2013">
        <f t="shared" si="855"/>
        <v>0</v>
      </c>
      <c r="N1046" s="2014">
        <f t="shared" si="856"/>
        <v>0</v>
      </c>
      <c r="P1046" s="6"/>
      <c r="Q1046" s="1857">
        <f t="shared" si="881"/>
        <v>0</v>
      </c>
      <c r="R1046" s="2013">
        <f t="shared" si="882"/>
        <v>0</v>
      </c>
      <c r="S1046" s="2013">
        <f t="shared" si="883"/>
        <v>0</v>
      </c>
      <c r="T1046" s="2013">
        <f t="shared" si="884"/>
        <v>0</v>
      </c>
      <c r="U1046" s="2013">
        <f t="shared" si="885"/>
        <v>0</v>
      </c>
      <c r="V1046" s="2013">
        <f t="shared" si="886"/>
        <v>0</v>
      </c>
      <c r="W1046" s="2013">
        <f t="shared" si="887"/>
        <v>0</v>
      </c>
      <c r="X1046" s="2013">
        <f t="shared" si="888"/>
        <v>0</v>
      </c>
      <c r="Y1046" s="2013">
        <f t="shared" si="889"/>
        <v>0</v>
      </c>
      <c r="Z1046" s="2013">
        <f t="shared" si="890"/>
        <v>0</v>
      </c>
      <c r="AA1046" s="2013">
        <f t="shared" si="891"/>
        <v>0</v>
      </c>
      <c r="AB1046" s="2013">
        <f t="shared" si="892"/>
        <v>0</v>
      </c>
      <c r="AC1046" s="2014">
        <f t="shared" si="893"/>
        <v>0</v>
      </c>
      <c r="AF1046" s="1857">
        <f t="shared" si="857"/>
        <v>0</v>
      </c>
      <c r="AG1046" s="2013">
        <f t="shared" si="858"/>
        <v>0</v>
      </c>
      <c r="AH1046" s="2013">
        <f t="shared" si="859"/>
        <v>0</v>
      </c>
      <c r="AI1046" s="2013">
        <f t="shared" si="860"/>
        <v>0</v>
      </c>
      <c r="AJ1046" s="2013">
        <f t="shared" si="861"/>
        <v>0</v>
      </c>
      <c r="AK1046" s="2013">
        <f t="shared" si="862"/>
        <v>0</v>
      </c>
      <c r="AL1046" s="2013">
        <f t="shared" si="863"/>
        <v>0</v>
      </c>
      <c r="AM1046" s="2013">
        <f t="shared" si="864"/>
        <v>0</v>
      </c>
      <c r="AN1046" s="2013">
        <f>IF($AF1046&lt;&gt;0,SUMIFS($C$9:$C$98,$D$9:$D$98,$D$639,L$889:$L$978,$AF1046),0)</f>
        <v>0</v>
      </c>
      <c r="AO1046" s="2013">
        <f t="shared" si="865"/>
        <v>0</v>
      </c>
      <c r="AP1046" s="2013">
        <f t="shared" si="866"/>
        <v>0</v>
      </c>
      <c r="AQ1046" s="2013">
        <f t="shared" si="867"/>
        <v>0</v>
      </c>
      <c r="AR1046" s="2014">
        <f t="shared" si="868"/>
        <v>0</v>
      </c>
    </row>
    <row r="1047" spans="1:123" x14ac:dyDescent="0.2">
      <c r="A1047" s="6"/>
      <c r="B1047" s="1857">
        <f t="shared" si="844"/>
        <v>0</v>
      </c>
      <c r="C1047" s="2013">
        <f t="shared" si="845"/>
        <v>0</v>
      </c>
      <c r="D1047" s="2013">
        <f t="shared" si="846"/>
        <v>0</v>
      </c>
      <c r="E1047" s="2013">
        <f t="shared" si="847"/>
        <v>0</v>
      </c>
      <c r="F1047" s="2013">
        <f t="shared" si="848"/>
        <v>0</v>
      </c>
      <c r="G1047" s="2013">
        <f t="shared" si="849"/>
        <v>0</v>
      </c>
      <c r="H1047" s="2013">
        <f t="shared" si="850"/>
        <v>0</v>
      </c>
      <c r="I1047" s="2013">
        <f t="shared" si="851"/>
        <v>0</v>
      </c>
      <c r="J1047" s="2013">
        <f t="shared" si="852"/>
        <v>0</v>
      </c>
      <c r="K1047" s="2013">
        <f t="shared" si="853"/>
        <v>0</v>
      </c>
      <c r="L1047" s="2013">
        <f t="shared" si="854"/>
        <v>0</v>
      </c>
      <c r="M1047" s="2013">
        <f t="shared" si="855"/>
        <v>0</v>
      </c>
      <c r="N1047" s="2014">
        <f t="shared" si="856"/>
        <v>0</v>
      </c>
      <c r="P1047" s="6"/>
      <c r="Q1047" s="1857">
        <f t="shared" si="881"/>
        <v>0</v>
      </c>
      <c r="R1047" s="2013">
        <f t="shared" si="882"/>
        <v>0</v>
      </c>
      <c r="S1047" s="2013">
        <f t="shared" si="883"/>
        <v>0</v>
      </c>
      <c r="T1047" s="2013">
        <f t="shared" si="884"/>
        <v>0</v>
      </c>
      <c r="U1047" s="2013">
        <f t="shared" si="885"/>
        <v>0</v>
      </c>
      <c r="V1047" s="2013">
        <f t="shared" si="886"/>
        <v>0</v>
      </c>
      <c r="W1047" s="2013">
        <f t="shared" si="887"/>
        <v>0</v>
      </c>
      <c r="X1047" s="2013">
        <f t="shared" si="888"/>
        <v>0</v>
      </c>
      <c r="Y1047" s="2013">
        <f t="shared" si="889"/>
        <v>0</v>
      </c>
      <c r="Z1047" s="2013">
        <f t="shared" si="890"/>
        <v>0</v>
      </c>
      <c r="AA1047" s="2013">
        <f t="shared" si="891"/>
        <v>0</v>
      </c>
      <c r="AB1047" s="2013">
        <f t="shared" si="892"/>
        <v>0</v>
      </c>
      <c r="AC1047" s="2014">
        <f t="shared" si="893"/>
        <v>0</v>
      </c>
      <c r="AF1047" s="1857">
        <f t="shared" si="857"/>
        <v>0</v>
      </c>
      <c r="AG1047" s="2013">
        <f t="shared" si="858"/>
        <v>0</v>
      </c>
      <c r="AH1047" s="2013">
        <f t="shared" si="859"/>
        <v>0</v>
      </c>
      <c r="AI1047" s="2013">
        <f t="shared" si="860"/>
        <v>0</v>
      </c>
      <c r="AJ1047" s="2013">
        <f t="shared" si="861"/>
        <v>0</v>
      </c>
      <c r="AK1047" s="2013">
        <f t="shared" si="862"/>
        <v>0</v>
      </c>
      <c r="AL1047" s="2013">
        <f t="shared" si="863"/>
        <v>0</v>
      </c>
      <c r="AM1047" s="2013">
        <f t="shared" si="864"/>
        <v>0</v>
      </c>
      <c r="AN1047" s="2013">
        <f>IF($AF1047&lt;&gt;0,SUMIFS($C$9:$C$98,$D$9:$D$98,$D$639,L$889:$L$978,$AF1047),0)</f>
        <v>0</v>
      </c>
      <c r="AO1047" s="2013">
        <f t="shared" si="865"/>
        <v>0</v>
      </c>
      <c r="AP1047" s="2013">
        <f t="shared" si="866"/>
        <v>0</v>
      </c>
      <c r="AQ1047" s="2013">
        <f t="shared" si="867"/>
        <v>0</v>
      </c>
      <c r="AR1047" s="2014">
        <f t="shared" si="868"/>
        <v>0</v>
      </c>
    </row>
    <row r="1048" spans="1:123" x14ac:dyDescent="0.2">
      <c r="A1048" s="6"/>
      <c r="B1048" s="1857">
        <f t="shared" si="844"/>
        <v>0</v>
      </c>
      <c r="C1048" s="2013">
        <f t="shared" si="845"/>
        <v>0</v>
      </c>
      <c r="D1048" s="2013">
        <f t="shared" si="846"/>
        <v>0</v>
      </c>
      <c r="E1048" s="2013">
        <f t="shared" si="847"/>
        <v>0</v>
      </c>
      <c r="F1048" s="2013">
        <f t="shared" si="848"/>
        <v>0</v>
      </c>
      <c r="G1048" s="2013">
        <f t="shared" si="849"/>
        <v>0</v>
      </c>
      <c r="H1048" s="2013">
        <f t="shared" si="850"/>
        <v>0</v>
      </c>
      <c r="I1048" s="2013">
        <f t="shared" si="851"/>
        <v>0</v>
      </c>
      <c r="J1048" s="2013">
        <f t="shared" si="852"/>
        <v>0</v>
      </c>
      <c r="K1048" s="2013">
        <f t="shared" si="853"/>
        <v>0</v>
      </c>
      <c r="L1048" s="2013">
        <f t="shared" si="854"/>
        <v>0</v>
      </c>
      <c r="M1048" s="2013">
        <f t="shared" si="855"/>
        <v>0</v>
      </c>
      <c r="N1048" s="2014">
        <f t="shared" si="856"/>
        <v>0</v>
      </c>
      <c r="P1048" s="6"/>
      <c r="Q1048" s="1857">
        <f t="shared" si="881"/>
        <v>0</v>
      </c>
      <c r="R1048" s="2013">
        <f t="shared" si="882"/>
        <v>0</v>
      </c>
      <c r="S1048" s="2013">
        <f t="shared" si="883"/>
        <v>0</v>
      </c>
      <c r="T1048" s="2013">
        <f t="shared" si="884"/>
        <v>0</v>
      </c>
      <c r="U1048" s="2013">
        <f t="shared" si="885"/>
        <v>0</v>
      </c>
      <c r="V1048" s="2013">
        <f t="shared" si="886"/>
        <v>0</v>
      </c>
      <c r="W1048" s="2013">
        <f t="shared" si="887"/>
        <v>0</v>
      </c>
      <c r="X1048" s="2013">
        <f t="shared" si="888"/>
        <v>0</v>
      </c>
      <c r="Y1048" s="2013">
        <f t="shared" si="889"/>
        <v>0</v>
      </c>
      <c r="Z1048" s="2013">
        <f t="shared" si="890"/>
        <v>0</v>
      </c>
      <c r="AA1048" s="2013">
        <f t="shared" si="891"/>
        <v>0</v>
      </c>
      <c r="AB1048" s="2013">
        <f t="shared" si="892"/>
        <v>0</v>
      </c>
      <c r="AC1048" s="2014">
        <f t="shared" si="893"/>
        <v>0</v>
      </c>
      <c r="AF1048" s="1857">
        <f t="shared" si="857"/>
        <v>0</v>
      </c>
      <c r="AG1048" s="2013">
        <f t="shared" si="858"/>
        <v>0</v>
      </c>
      <c r="AH1048" s="2013">
        <f t="shared" si="859"/>
        <v>0</v>
      </c>
      <c r="AI1048" s="2013">
        <f t="shared" si="860"/>
        <v>0</v>
      </c>
      <c r="AJ1048" s="2013">
        <f t="shared" si="861"/>
        <v>0</v>
      </c>
      <c r="AK1048" s="2013">
        <f t="shared" si="862"/>
        <v>0</v>
      </c>
      <c r="AL1048" s="2013">
        <f t="shared" si="863"/>
        <v>0</v>
      </c>
      <c r="AM1048" s="2013">
        <f t="shared" si="864"/>
        <v>0</v>
      </c>
      <c r="AN1048" s="2013">
        <f>IF($AF1048&lt;&gt;0,SUMIFS($C$9:$C$98,$D$9:$D$98,$D$639,L$889:$L$978,$AF1048),0)</f>
        <v>0</v>
      </c>
      <c r="AO1048" s="2013">
        <f t="shared" si="865"/>
        <v>0</v>
      </c>
      <c r="AP1048" s="2013">
        <f t="shared" si="866"/>
        <v>0</v>
      </c>
      <c r="AQ1048" s="2013">
        <f t="shared" si="867"/>
        <v>0</v>
      </c>
      <c r="AR1048" s="2014">
        <f t="shared" si="868"/>
        <v>0</v>
      </c>
    </row>
    <row r="1049" spans="1:123" x14ac:dyDescent="0.2">
      <c r="A1049" s="6"/>
      <c r="B1049" s="1857">
        <f t="shared" si="844"/>
        <v>0</v>
      </c>
      <c r="C1049" s="2013">
        <f t="shared" si="845"/>
        <v>0</v>
      </c>
      <c r="D1049" s="2013">
        <f t="shared" si="846"/>
        <v>0</v>
      </c>
      <c r="E1049" s="2013">
        <f t="shared" si="847"/>
        <v>0</v>
      </c>
      <c r="F1049" s="2013">
        <f t="shared" si="848"/>
        <v>0</v>
      </c>
      <c r="G1049" s="2013">
        <f t="shared" si="849"/>
        <v>0</v>
      </c>
      <c r="H1049" s="2013">
        <f t="shared" si="850"/>
        <v>0</v>
      </c>
      <c r="I1049" s="2013">
        <f t="shared" si="851"/>
        <v>0</v>
      </c>
      <c r="J1049" s="2013">
        <f t="shared" si="852"/>
        <v>0</v>
      </c>
      <c r="K1049" s="2013">
        <f t="shared" si="853"/>
        <v>0</v>
      </c>
      <c r="L1049" s="2013">
        <f t="shared" si="854"/>
        <v>0</v>
      </c>
      <c r="M1049" s="2013">
        <f t="shared" si="855"/>
        <v>0</v>
      </c>
      <c r="N1049" s="2014">
        <f t="shared" si="856"/>
        <v>0</v>
      </c>
      <c r="P1049" s="6"/>
      <c r="Q1049" s="1857">
        <f t="shared" si="881"/>
        <v>0</v>
      </c>
      <c r="R1049" s="2013">
        <f t="shared" si="882"/>
        <v>0</v>
      </c>
      <c r="S1049" s="2013">
        <f t="shared" si="883"/>
        <v>0</v>
      </c>
      <c r="T1049" s="2013">
        <f t="shared" si="884"/>
        <v>0</v>
      </c>
      <c r="U1049" s="2013">
        <f t="shared" si="885"/>
        <v>0</v>
      </c>
      <c r="V1049" s="2013">
        <f t="shared" si="886"/>
        <v>0</v>
      </c>
      <c r="W1049" s="2013">
        <f t="shared" si="887"/>
        <v>0</v>
      </c>
      <c r="X1049" s="2013">
        <f t="shared" si="888"/>
        <v>0</v>
      </c>
      <c r="Y1049" s="2013">
        <f t="shared" si="889"/>
        <v>0</v>
      </c>
      <c r="Z1049" s="2013">
        <f t="shared" si="890"/>
        <v>0</v>
      </c>
      <c r="AA1049" s="2013">
        <f t="shared" si="891"/>
        <v>0</v>
      </c>
      <c r="AB1049" s="2013">
        <f t="shared" si="892"/>
        <v>0</v>
      </c>
      <c r="AC1049" s="2014">
        <f t="shared" si="893"/>
        <v>0</v>
      </c>
      <c r="AF1049" s="1857">
        <f t="shared" si="857"/>
        <v>0</v>
      </c>
      <c r="AG1049" s="2013">
        <f t="shared" si="858"/>
        <v>0</v>
      </c>
      <c r="AH1049" s="2013">
        <f t="shared" si="859"/>
        <v>0</v>
      </c>
      <c r="AI1049" s="2013">
        <f t="shared" si="860"/>
        <v>0</v>
      </c>
      <c r="AJ1049" s="2013">
        <f t="shared" si="861"/>
        <v>0</v>
      </c>
      <c r="AK1049" s="2013">
        <f t="shared" si="862"/>
        <v>0</v>
      </c>
      <c r="AL1049" s="2013">
        <f t="shared" si="863"/>
        <v>0</v>
      </c>
      <c r="AM1049" s="2013">
        <f t="shared" si="864"/>
        <v>0</v>
      </c>
      <c r="AN1049" s="2013">
        <f>IF($AF1049&lt;&gt;0,SUMIFS($C$9:$C$98,$D$9:$D$98,$D$639,L$889:$L$978,$AF1049),0)</f>
        <v>0</v>
      </c>
      <c r="AO1049" s="2013">
        <f t="shared" si="865"/>
        <v>0</v>
      </c>
      <c r="AP1049" s="2013">
        <f t="shared" si="866"/>
        <v>0</v>
      </c>
      <c r="AQ1049" s="2013">
        <f t="shared" si="867"/>
        <v>0</v>
      </c>
      <c r="AR1049" s="2014">
        <f t="shared" si="868"/>
        <v>0</v>
      </c>
    </row>
    <row r="1050" spans="1:123" x14ac:dyDescent="0.2">
      <c r="A1050" s="6"/>
      <c r="B1050" s="590"/>
      <c r="C1050" s="590"/>
      <c r="D1050" s="590"/>
      <c r="E1050" s="590"/>
      <c r="F1050" s="590"/>
      <c r="G1050" s="590"/>
      <c r="H1050" s="590"/>
      <c r="I1050" s="590"/>
      <c r="J1050" s="590"/>
      <c r="K1050" s="590"/>
      <c r="L1050" s="590"/>
      <c r="M1050" s="590"/>
      <c r="N1050" s="590"/>
      <c r="P1050" s="6"/>
      <c r="Q1050" s="590"/>
      <c r="R1050" s="590"/>
      <c r="S1050" s="590"/>
      <c r="T1050" s="590"/>
      <c r="U1050" s="590"/>
      <c r="V1050" s="590"/>
      <c r="W1050" s="590"/>
      <c r="X1050" s="590"/>
      <c r="Y1050" s="590"/>
      <c r="Z1050" s="590"/>
      <c r="AA1050" s="590"/>
      <c r="AB1050" s="590"/>
      <c r="AC1050" s="590"/>
      <c r="AF1050" s="590"/>
      <c r="AG1050" s="590"/>
      <c r="AH1050" s="590"/>
      <c r="AI1050" s="590"/>
      <c r="AJ1050" s="590"/>
      <c r="AK1050" s="590"/>
      <c r="AL1050" s="590"/>
      <c r="AM1050" s="590"/>
      <c r="AN1050" s="590"/>
      <c r="AO1050" s="590"/>
      <c r="AP1050" s="590"/>
      <c r="AQ1050" s="590"/>
      <c r="AR1050" s="590"/>
    </row>
    <row r="1051" spans="1:123" x14ac:dyDescent="0.2">
      <c r="A1051" s="6"/>
      <c r="B1051" s="108"/>
      <c r="C1051" s="106"/>
      <c r="P1051" s="960"/>
      <c r="Q1051" s="961"/>
      <c r="R1051" s="961"/>
      <c r="S1051" s="961"/>
      <c r="T1051" s="961"/>
      <c r="U1051" s="961"/>
      <c r="V1051" s="2021" t="s">
        <v>1978</v>
      </c>
      <c r="W1051" s="961"/>
      <c r="X1051" s="961"/>
      <c r="Y1051" s="961"/>
      <c r="Z1051" s="961"/>
      <c r="AA1051" s="961"/>
      <c r="AB1051" s="961"/>
      <c r="AC1051" s="961"/>
      <c r="AD1051" s="961"/>
      <c r="AE1051" s="961"/>
      <c r="AF1051" s="961"/>
      <c r="AG1051" s="961"/>
      <c r="AH1051" s="961"/>
      <c r="AI1051" s="2021"/>
      <c r="AJ1051" s="961"/>
      <c r="AK1051" s="961"/>
      <c r="AL1051" s="961"/>
      <c r="AM1051" s="961"/>
      <c r="AN1051" s="961"/>
      <c r="AO1051" s="961"/>
      <c r="AP1051" s="961"/>
      <c r="AQ1051" s="961"/>
      <c r="AR1051" s="961"/>
      <c r="AS1051" s="961"/>
      <c r="AT1051" s="961"/>
      <c r="AU1051" s="961"/>
      <c r="AV1051" s="2021"/>
      <c r="AW1051" s="961"/>
      <c r="AX1051" s="961"/>
      <c r="AY1051" s="961"/>
      <c r="AZ1051" s="961"/>
      <c r="BA1051" s="961"/>
      <c r="BB1051" s="958"/>
      <c r="BC1051" s="958"/>
      <c r="BD1051" s="958"/>
      <c r="BE1051" s="958"/>
      <c r="BF1051" s="958"/>
      <c r="BG1051" s="958"/>
      <c r="BH1051" s="958"/>
      <c r="BI1051" s="2021"/>
      <c r="BJ1051" s="958"/>
      <c r="BK1051" s="958"/>
      <c r="BL1051" s="958"/>
      <c r="BM1051" s="958"/>
      <c r="BN1051" s="958"/>
      <c r="BO1051" s="958"/>
      <c r="BP1051" s="958"/>
      <c r="BQ1051" s="958"/>
      <c r="BR1051" s="958"/>
      <c r="BS1051" s="958"/>
      <c r="BT1051" s="958"/>
      <c r="BU1051" s="958"/>
      <c r="BV1051" s="2021"/>
      <c r="BW1051" s="958"/>
      <c r="BX1051" s="958"/>
      <c r="BY1051" s="958"/>
      <c r="BZ1051" s="958"/>
      <c r="CA1051" s="958"/>
      <c r="CB1051" s="958"/>
      <c r="CC1051" s="958"/>
      <c r="CD1051" s="958"/>
      <c r="CE1051" s="958"/>
      <c r="CF1051" s="958"/>
      <c r="CG1051" s="958"/>
      <c r="CH1051" s="958"/>
      <c r="CI1051" s="2021"/>
      <c r="CJ1051" s="958"/>
      <c r="CK1051" s="958"/>
      <c r="CL1051" s="958"/>
      <c r="CM1051" s="958"/>
      <c r="CN1051" s="958"/>
    </row>
    <row r="1052" spans="1:123" x14ac:dyDescent="0.2">
      <c r="A1052" s="6"/>
      <c r="B1052" s="2188">
        <v>1038</v>
      </c>
      <c r="C1052" s="1951" t="s">
        <v>1019</v>
      </c>
      <c r="D1052" s="958"/>
      <c r="E1052" s="958"/>
      <c r="F1052" s="958" t="s">
        <v>1020</v>
      </c>
      <c r="G1052" s="959" t="s">
        <v>1021</v>
      </c>
      <c r="H1052" s="958"/>
      <c r="I1052" s="958"/>
      <c r="J1052" s="958"/>
      <c r="K1052" s="958"/>
      <c r="L1052" s="958"/>
      <c r="M1052" s="958"/>
      <c r="N1052" s="958"/>
      <c r="O1052" s="2188">
        <v>1039</v>
      </c>
      <c r="P1052" s="1951" t="s">
        <v>1077</v>
      </c>
      <c r="Q1052" s="958"/>
      <c r="R1052" s="958"/>
      <c r="S1052" s="958"/>
      <c r="T1052" s="2022" t="s">
        <v>999</v>
      </c>
      <c r="U1052" s="959" t="s">
        <v>1022</v>
      </c>
      <c r="V1052" s="958" t="s">
        <v>1020</v>
      </c>
      <c r="W1052" s="959"/>
      <c r="X1052" s="959" t="s">
        <v>1021</v>
      </c>
      <c r="Y1052" s="958"/>
      <c r="Z1052" s="958"/>
      <c r="AA1052" s="104"/>
      <c r="AB1052" s="743"/>
      <c r="AC1052" s="2188">
        <v>1040</v>
      </c>
      <c r="AD1052" s="958"/>
      <c r="AE1052" s="958"/>
      <c r="AF1052" s="958"/>
      <c r="AG1052" s="2022" t="s">
        <v>1000</v>
      </c>
      <c r="AH1052" s="959" t="s">
        <v>1022</v>
      </c>
      <c r="AI1052" s="958" t="s">
        <v>1020</v>
      </c>
      <c r="AJ1052" s="959"/>
      <c r="AK1052" s="959" t="s">
        <v>1021</v>
      </c>
      <c r="AL1052" s="958"/>
      <c r="AM1052" s="958"/>
      <c r="AN1052" s="104"/>
      <c r="AO1052" s="2188">
        <v>1041</v>
      </c>
      <c r="AP1052" s="1951" t="s">
        <v>1077</v>
      </c>
      <c r="AQ1052" s="958"/>
      <c r="AR1052" s="958"/>
      <c r="AS1052" s="958"/>
      <c r="AT1052" s="2022" t="s">
        <v>1001</v>
      </c>
      <c r="AU1052" s="959" t="s">
        <v>1022</v>
      </c>
      <c r="AV1052" s="958" t="s">
        <v>1020</v>
      </c>
      <c r="AW1052" s="959"/>
      <c r="AX1052" s="959" t="s">
        <v>1021</v>
      </c>
      <c r="AY1052" s="958"/>
      <c r="AZ1052" s="958"/>
      <c r="BA1052" s="104"/>
      <c r="BB1052" s="2188">
        <v>1042</v>
      </c>
      <c r="BC1052" s="1951" t="s">
        <v>1077</v>
      </c>
      <c r="BD1052" s="958"/>
      <c r="BE1052" s="958"/>
      <c r="BF1052" s="958"/>
      <c r="BG1052" s="2022" t="s">
        <v>1002</v>
      </c>
      <c r="BH1052" s="959" t="s">
        <v>1022</v>
      </c>
      <c r="BI1052" s="958" t="s">
        <v>1020</v>
      </c>
      <c r="BJ1052" s="959"/>
      <c r="BK1052" s="959" t="s">
        <v>1021</v>
      </c>
      <c r="BL1052" s="958"/>
      <c r="BM1052" s="958"/>
      <c r="BN1052" s="104"/>
      <c r="BO1052" s="2188">
        <v>1043</v>
      </c>
      <c r="BP1052" s="1951" t="s">
        <v>1077</v>
      </c>
      <c r="BQ1052" s="958"/>
      <c r="BR1052" s="958"/>
      <c r="BS1052" s="958"/>
      <c r="BT1052" s="2022" t="s">
        <v>1003</v>
      </c>
      <c r="BU1052" s="959" t="s">
        <v>1022</v>
      </c>
      <c r="BV1052" s="958" t="s">
        <v>1020</v>
      </c>
      <c r="BW1052" s="959"/>
      <c r="BX1052" s="959" t="s">
        <v>1021</v>
      </c>
      <c r="BY1052" s="958"/>
      <c r="BZ1052" s="958"/>
      <c r="CA1052" s="104"/>
      <c r="CB1052" s="2188">
        <v>1044</v>
      </c>
      <c r="CC1052" s="1951" t="s">
        <v>1077</v>
      </c>
      <c r="CD1052" s="958"/>
      <c r="CE1052" s="958"/>
      <c r="CF1052" s="958"/>
      <c r="CG1052" s="2022" t="s">
        <v>1004</v>
      </c>
      <c r="CH1052" s="959" t="s">
        <v>1022</v>
      </c>
      <c r="CI1052" s="958" t="s">
        <v>1020</v>
      </c>
      <c r="CJ1052" s="959"/>
      <c r="CK1052" s="959" t="s">
        <v>1021</v>
      </c>
      <c r="CL1052" s="958"/>
      <c r="CM1052" s="958"/>
      <c r="CN1052" s="104"/>
      <c r="CO1052" s="2188">
        <v>1045</v>
      </c>
      <c r="CP1052" s="1951" t="s">
        <v>1078</v>
      </c>
      <c r="CQ1052" s="958"/>
      <c r="CR1052" s="958"/>
      <c r="CS1052" s="958"/>
      <c r="CT1052" s="958"/>
      <c r="CU1052" s="958" t="s">
        <v>1020</v>
      </c>
      <c r="CV1052" s="959"/>
      <c r="CW1052" s="959" t="s">
        <v>1021</v>
      </c>
      <c r="CX1052" s="959"/>
      <c r="CY1052" s="958"/>
      <c r="CZ1052" s="958"/>
      <c r="DA1052" s="958"/>
      <c r="DB1052" s="2023" t="s">
        <v>1016</v>
      </c>
      <c r="DC1052" s="2023" t="s">
        <v>1025</v>
      </c>
      <c r="DE1052" s="2188">
        <v>1046</v>
      </c>
      <c r="DF1052" s="1951" t="s">
        <v>1079</v>
      </c>
      <c r="DG1052" s="958"/>
      <c r="DH1052" s="958"/>
      <c r="DI1052" s="958"/>
      <c r="DJ1052" s="958"/>
      <c r="DK1052" s="958" t="s">
        <v>21</v>
      </c>
      <c r="DL1052" s="959" t="s">
        <v>1459</v>
      </c>
      <c r="DM1052" s="959"/>
      <c r="DN1052" s="959"/>
      <c r="DO1052" s="958"/>
      <c r="DP1052" s="958"/>
      <c r="DQ1052" s="104"/>
    </row>
    <row r="1053" spans="1:123" x14ac:dyDescent="0.2">
      <c r="A1053" s="6"/>
      <c r="C1053" s="668" t="str">
        <f t="shared" ref="C1053:N1053" si="894">+C982</f>
        <v>Ene</v>
      </c>
      <c r="D1053" s="668" t="str">
        <f t="shared" si="894"/>
        <v>Feb</v>
      </c>
      <c r="E1053" s="668" t="str">
        <f t="shared" si="894"/>
        <v>Mar</v>
      </c>
      <c r="F1053" s="668" t="str">
        <f t="shared" si="894"/>
        <v>Abr</v>
      </c>
      <c r="G1053" s="668" t="str">
        <f t="shared" si="894"/>
        <v>May</v>
      </c>
      <c r="H1053" s="668" t="str">
        <f t="shared" si="894"/>
        <v>Jun</v>
      </c>
      <c r="I1053" s="668" t="str">
        <f t="shared" si="894"/>
        <v>Jul</v>
      </c>
      <c r="J1053" s="668" t="str">
        <f t="shared" si="894"/>
        <v>Ago</v>
      </c>
      <c r="K1053" s="668" t="str">
        <f t="shared" si="894"/>
        <v>Set</v>
      </c>
      <c r="L1053" s="668" t="str">
        <f t="shared" si="894"/>
        <v>Oct</v>
      </c>
      <c r="M1053" s="668" t="str">
        <f t="shared" si="894"/>
        <v>Nov</v>
      </c>
      <c r="N1053" s="668" t="str">
        <f t="shared" si="894"/>
        <v>Dic</v>
      </c>
      <c r="P1053" s="668" t="str">
        <f t="shared" ref="P1053:AA1053" si="895">+C1053</f>
        <v>Ene</v>
      </c>
      <c r="Q1053" s="668" t="str">
        <f t="shared" si="895"/>
        <v>Feb</v>
      </c>
      <c r="R1053" s="668" t="str">
        <f t="shared" si="895"/>
        <v>Mar</v>
      </c>
      <c r="S1053" s="668" t="str">
        <f t="shared" si="895"/>
        <v>Abr</v>
      </c>
      <c r="T1053" s="668" t="str">
        <f t="shared" si="895"/>
        <v>May</v>
      </c>
      <c r="U1053" s="668" t="str">
        <f t="shared" si="895"/>
        <v>Jun</v>
      </c>
      <c r="V1053" s="668" t="str">
        <f t="shared" si="895"/>
        <v>Jul</v>
      </c>
      <c r="W1053" s="668" t="str">
        <f t="shared" si="895"/>
        <v>Ago</v>
      </c>
      <c r="X1053" s="668" t="str">
        <f t="shared" si="895"/>
        <v>Set</v>
      </c>
      <c r="Y1053" s="668" t="str">
        <f t="shared" si="895"/>
        <v>Oct</v>
      </c>
      <c r="Z1053" s="668" t="str">
        <f t="shared" si="895"/>
        <v>Nov</v>
      </c>
      <c r="AA1053" s="668" t="str">
        <f t="shared" si="895"/>
        <v>Dic</v>
      </c>
      <c r="AC1053" s="668"/>
      <c r="AD1053" s="668" t="str">
        <f>+Q1053</f>
        <v>Feb</v>
      </c>
      <c r="AE1053" s="668" t="str">
        <f>+R1053</f>
        <v>Mar</v>
      </c>
      <c r="AF1053" s="668" t="str">
        <f>+S1053</f>
        <v>Abr</v>
      </c>
      <c r="AG1053" s="668" t="str">
        <f t="shared" ref="AG1053:AN1053" si="896">+T1053</f>
        <v>May</v>
      </c>
      <c r="AH1053" s="668" t="str">
        <f t="shared" si="896"/>
        <v>Jun</v>
      </c>
      <c r="AI1053" s="668" t="str">
        <f t="shared" si="896"/>
        <v>Jul</v>
      </c>
      <c r="AJ1053" s="668" t="str">
        <f t="shared" si="896"/>
        <v>Ago</v>
      </c>
      <c r="AK1053" s="668" t="str">
        <f t="shared" si="896"/>
        <v>Set</v>
      </c>
      <c r="AL1053" s="668" t="str">
        <f t="shared" si="896"/>
        <v>Oct</v>
      </c>
      <c r="AM1053" s="668" t="str">
        <f t="shared" si="896"/>
        <v>Nov</v>
      </c>
      <c r="AN1053" s="668" t="str">
        <f t="shared" si="896"/>
        <v>Dic</v>
      </c>
      <c r="AP1053" s="668">
        <f>+AC1053</f>
        <v>0</v>
      </c>
      <c r="AQ1053" s="668" t="str">
        <f t="shared" ref="AQ1053:BA1053" si="897">+AD1053</f>
        <v>Feb</v>
      </c>
      <c r="AR1053" s="668" t="str">
        <f t="shared" si="897"/>
        <v>Mar</v>
      </c>
      <c r="AS1053" s="668" t="str">
        <f t="shared" si="897"/>
        <v>Abr</v>
      </c>
      <c r="AT1053" s="668" t="str">
        <f t="shared" si="897"/>
        <v>May</v>
      </c>
      <c r="AU1053" s="668" t="str">
        <f t="shared" si="897"/>
        <v>Jun</v>
      </c>
      <c r="AV1053" s="668" t="str">
        <f t="shared" si="897"/>
        <v>Jul</v>
      </c>
      <c r="AW1053" s="668" t="str">
        <f t="shared" si="897"/>
        <v>Ago</v>
      </c>
      <c r="AX1053" s="668" t="str">
        <f t="shared" si="897"/>
        <v>Set</v>
      </c>
      <c r="AY1053" s="668" t="str">
        <f t="shared" si="897"/>
        <v>Oct</v>
      </c>
      <c r="AZ1053" s="668" t="str">
        <f t="shared" si="897"/>
        <v>Nov</v>
      </c>
      <c r="BA1053" s="668" t="str">
        <f t="shared" si="897"/>
        <v>Dic</v>
      </c>
      <c r="BC1053" s="668">
        <f>+AP1053</f>
        <v>0</v>
      </c>
      <c r="BD1053" s="668" t="str">
        <f t="shared" ref="BD1053:BN1053" si="898">+AQ1053</f>
        <v>Feb</v>
      </c>
      <c r="BE1053" s="668" t="str">
        <f t="shared" si="898"/>
        <v>Mar</v>
      </c>
      <c r="BF1053" s="668" t="str">
        <f t="shared" si="898"/>
        <v>Abr</v>
      </c>
      <c r="BG1053" s="668" t="str">
        <f t="shared" si="898"/>
        <v>May</v>
      </c>
      <c r="BH1053" s="668" t="str">
        <f t="shared" si="898"/>
        <v>Jun</v>
      </c>
      <c r="BI1053" s="668" t="str">
        <f t="shared" si="898"/>
        <v>Jul</v>
      </c>
      <c r="BJ1053" s="668" t="str">
        <f t="shared" si="898"/>
        <v>Ago</v>
      </c>
      <c r="BK1053" s="668" t="str">
        <f t="shared" si="898"/>
        <v>Set</v>
      </c>
      <c r="BL1053" s="668" t="str">
        <f t="shared" si="898"/>
        <v>Oct</v>
      </c>
      <c r="BM1053" s="668" t="str">
        <f t="shared" si="898"/>
        <v>Nov</v>
      </c>
      <c r="BN1053" s="668" t="str">
        <f t="shared" si="898"/>
        <v>Dic</v>
      </c>
      <c r="BP1053" s="668">
        <f>+BC1053</f>
        <v>0</v>
      </c>
      <c r="BQ1053" s="668" t="str">
        <f t="shared" ref="BQ1053:CA1053" si="899">+BD1053</f>
        <v>Feb</v>
      </c>
      <c r="BR1053" s="668" t="str">
        <f t="shared" si="899"/>
        <v>Mar</v>
      </c>
      <c r="BS1053" s="668" t="str">
        <f t="shared" si="899"/>
        <v>Abr</v>
      </c>
      <c r="BT1053" s="668" t="str">
        <f t="shared" si="899"/>
        <v>May</v>
      </c>
      <c r="BU1053" s="668" t="str">
        <f t="shared" si="899"/>
        <v>Jun</v>
      </c>
      <c r="BV1053" s="668" t="str">
        <f t="shared" si="899"/>
        <v>Jul</v>
      </c>
      <c r="BW1053" s="668" t="str">
        <f t="shared" si="899"/>
        <v>Ago</v>
      </c>
      <c r="BX1053" s="668" t="str">
        <f t="shared" si="899"/>
        <v>Set</v>
      </c>
      <c r="BY1053" s="668" t="str">
        <f t="shared" si="899"/>
        <v>Oct</v>
      </c>
      <c r="BZ1053" s="668" t="str">
        <f t="shared" si="899"/>
        <v>Nov</v>
      </c>
      <c r="CA1053" s="668" t="str">
        <f t="shared" si="899"/>
        <v>Dic</v>
      </c>
      <c r="CC1053" s="668">
        <f>+BP1053</f>
        <v>0</v>
      </c>
      <c r="CD1053" s="668" t="str">
        <f t="shared" ref="CD1053:CN1053" si="900">+BQ1053</f>
        <v>Feb</v>
      </c>
      <c r="CE1053" s="668" t="str">
        <f t="shared" si="900"/>
        <v>Mar</v>
      </c>
      <c r="CF1053" s="668" t="str">
        <f t="shared" si="900"/>
        <v>Abr</v>
      </c>
      <c r="CG1053" s="668" t="str">
        <f t="shared" si="900"/>
        <v>May</v>
      </c>
      <c r="CH1053" s="668" t="str">
        <f t="shared" si="900"/>
        <v>Jun</v>
      </c>
      <c r="CI1053" s="668" t="str">
        <f t="shared" si="900"/>
        <v>Jul</v>
      </c>
      <c r="CJ1053" s="668" t="str">
        <f t="shared" si="900"/>
        <v>Ago</v>
      </c>
      <c r="CK1053" s="668" t="str">
        <f t="shared" si="900"/>
        <v>Set</v>
      </c>
      <c r="CL1053" s="668" t="str">
        <f t="shared" si="900"/>
        <v>Oct</v>
      </c>
      <c r="CM1053" s="668" t="str">
        <f t="shared" si="900"/>
        <v>Nov</v>
      </c>
      <c r="CN1053" s="668" t="str">
        <f t="shared" si="900"/>
        <v>Dic</v>
      </c>
      <c r="CP1053" s="668" t="str">
        <f>G8</f>
        <v>Ene</v>
      </c>
      <c r="CQ1053" s="668" t="str">
        <f>H8</f>
        <v>Feb</v>
      </c>
      <c r="CR1053" s="668" t="str">
        <f>I8</f>
        <v>Mar</v>
      </c>
      <c r="CS1053" s="668" t="str">
        <f t="shared" ref="CS1053:DA1053" si="901">J8</f>
        <v>Abr</v>
      </c>
      <c r="CT1053" s="668" t="str">
        <f t="shared" si="901"/>
        <v>May</v>
      </c>
      <c r="CU1053" s="668" t="str">
        <f t="shared" si="901"/>
        <v>Jun</v>
      </c>
      <c r="CV1053" s="668" t="str">
        <f t="shared" si="901"/>
        <v>Jul</v>
      </c>
      <c r="CW1053" s="668" t="str">
        <f t="shared" si="901"/>
        <v>Ago</v>
      </c>
      <c r="CX1053" s="668" t="str">
        <f t="shared" si="901"/>
        <v>Set</v>
      </c>
      <c r="CY1053" s="668" t="str">
        <f t="shared" si="901"/>
        <v>Oct</v>
      </c>
      <c r="CZ1053" s="668" t="str">
        <f t="shared" si="901"/>
        <v>Nov</v>
      </c>
      <c r="DA1053" s="668" t="str">
        <f t="shared" si="901"/>
        <v>Dic</v>
      </c>
      <c r="DB1053" s="1988" t="s">
        <v>1020</v>
      </c>
      <c r="DC1053" s="1905" t="s">
        <v>1015</v>
      </c>
      <c r="DE1053" s="110"/>
      <c r="DF1053" s="49" t="str">
        <f>CP1053</f>
        <v>Ene</v>
      </c>
      <c r="DG1053" s="49" t="str">
        <f t="shared" ref="DG1053:DQ1053" si="902">CQ1053</f>
        <v>Feb</v>
      </c>
      <c r="DH1053" s="49" t="str">
        <f t="shared" si="902"/>
        <v>Mar</v>
      </c>
      <c r="DI1053" s="49" t="str">
        <f t="shared" si="902"/>
        <v>Abr</v>
      </c>
      <c r="DJ1053" s="49" t="str">
        <f t="shared" si="902"/>
        <v>May</v>
      </c>
      <c r="DK1053" s="49" t="str">
        <f t="shared" si="902"/>
        <v>Jun</v>
      </c>
      <c r="DL1053" s="49" t="str">
        <f t="shared" si="902"/>
        <v>Jul</v>
      </c>
      <c r="DM1053" s="49" t="str">
        <f t="shared" si="902"/>
        <v>Ago</v>
      </c>
      <c r="DN1053" s="49" t="str">
        <f t="shared" si="902"/>
        <v>Set</v>
      </c>
      <c r="DO1053" s="49" t="str">
        <f t="shared" si="902"/>
        <v>Oct</v>
      </c>
      <c r="DP1053" s="49" t="str">
        <f t="shared" si="902"/>
        <v>Nov</v>
      </c>
      <c r="DQ1053" s="49" t="str">
        <f t="shared" si="902"/>
        <v>Dic</v>
      </c>
      <c r="DR1053" s="2024"/>
      <c r="DS1053" s="2024"/>
    </row>
    <row r="1054" spans="1:123" x14ac:dyDescent="0.2">
      <c r="A1054" s="6"/>
      <c r="B1054" s="1971" t="str">
        <f t="shared" ref="B1054:B1074" si="903">+B983</f>
        <v>CN</v>
      </c>
      <c r="C1054" s="1906" t="str">
        <f t="shared" ref="C1054:C1085" si="904">IF(C983=0,"",$C$982&amp;B983)</f>
        <v/>
      </c>
      <c r="D1054" s="1906" t="str">
        <f t="shared" ref="D1054:D1085" si="905">IF(D983=0,"",$D$982&amp;B983)</f>
        <v/>
      </c>
      <c r="E1054" s="1906" t="str">
        <f t="shared" ref="E1054:E1085" si="906">IF(E983=0,"",$E$982&amp;B983)</f>
        <v/>
      </c>
      <c r="F1054" s="1906" t="str">
        <f t="shared" ref="F1054:F1085" si="907">IF(F983=0,"",$F$982&amp;B983)</f>
        <v/>
      </c>
      <c r="G1054" s="1906" t="str">
        <f t="shared" ref="G1054:G1085" si="908">IF(G983=0,"",$G$982&amp;B983)</f>
        <v/>
      </c>
      <c r="H1054" s="1906" t="str">
        <f t="shared" ref="H1054:H1085" si="909">IF(H983=0,"",$H$982&amp;B983)</f>
        <v/>
      </c>
      <c r="I1054" s="1906" t="str">
        <f t="shared" ref="I1054:I1085" si="910">IF(I983=0,"",$I$982&amp;B983)</f>
        <v/>
      </c>
      <c r="J1054" s="1906" t="str">
        <f t="shared" ref="J1054:J1085" si="911">IF(J983=0,"",$J$982&amp;B983)</f>
        <v/>
      </c>
      <c r="K1054" s="1906" t="str">
        <f t="shared" ref="K1054:K1085" si="912">IF(K983=0,"",$K$982&amp;B983)</f>
        <v/>
      </c>
      <c r="L1054" s="1906" t="str">
        <f t="shared" ref="L1054:L1085" si="913">IF(L983=0,"",$L$982&amp;B983)</f>
        <v/>
      </c>
      <c r="M1054" s="1906" t="str">
        <f t="shared" ref="M1054:M1085" si="914">IF(M983=0,"",$M$982&amp;B983)</f>
        <v/>
      </c>
      <c r="N1054" s="1906" t="str">
        <f t="shared" ref="N1054:N1085" si="915">IF(N983=0,"",$N$982&amp;B983)</f>
        <v/>
      </c>
      <c r="O1054" s="1971"/>
      <c r="P1054" s="1906">
        <f t="shared" ref="P1054:P1085" si="916">SUMIF(C$1054:C$1120,"Ago"&amp;$B983,C$983:C$1049)</f>
        <v>0</v>
      </c>
      <c r="Q1054" s="1906">
        <f t="shared" ref="Q1054:Q1085" si="917">SUMIF(D$1054:D$1120,"Ago"&amp;$B983,D$983:D$1049)</f>
        <v>0</v>
      </c>
      <c r="R1054" s="1906">
        <f t="shared" ref="R1054:R1085" si="918">SUMIF(E$1054:E$1120,"Ago"&amp;$B983,E$983:E$1049)</f>
        <v>0</v>
      </c>
      <c r="S1054" s="1906">
        <f t="shared" ref="S1054:S1085" si="919">SUMIF(F$1054:F$1120,"Ago"&amp;$B983,F$983:F$1049)</f>
        <v>0</v>
      </c>
      <c r="T1054" s="1906">
        <f t="shared" ref="T1054:T1085" si="920">SUMIF(G$1054:G$1120,"Ago"&amp;$B983,G$983:G$1049)</f>
        <v>0</v>
      </c>
      <c r="U1054" s="1906">
        <f t="shared" ref="U1054:U1085" si="921">SUMIF(H$1054:H$1120,"Ago"&amp;$B983,H$983:H$1049)</f>
        <v>0</v>
      </c>
      <c r="V1054" s="1906">
        <f t="shared" ref="V1054:V1085" si="922">SUMIF(I$1054:I$1120,"Ago"&amp;$B983,I$983:I$1049)</f>
        <v>0</v>
      </c>
      <c r="W1054" s="1906">
        <f t="shared" ref="W1054:W1085" si="923">SUMIF(J$1054:J$1120,"Ago"&amp;$B983,J$983:J$1049)</f>
        <v>0</v>
      </c>
      <c r="X1054" s="1906">
        <f t="shared" ref="X1054:X1085" si="924">SUMIF(K$1054:K$1120,"Ago"&amp;$B983,K$983:K$1049)</f>
        <v>0</v>
      </c>
      <c r="Y1054" s="1906">
        <f t="shared" ref="Y1054:Y1085" si="925">SUMIF(L$1054:L$1120,"Ago"&amp;$B983,L$983:L$1049)</f>
        <v>0</v>
      </c>
      <c r="Z1054" s="1906">
        <f t="shared" ref="Z1054:Z1085" si="926">SUMIF(M$1054:M$1120,"Ago"&amp;$B983,M$983:M$1049)</f>
        <v>0</v>
      </c>
      <c r="AA1054" s="1906">
        <f t="shared" ref="AA1054:AA1085" si="927">SUMIF(N$1054:N$1120,"Ago"&amp;$B983,N$983:N$1049)</f>
        <v>0</v>
      </c>
      <c r="AB1054" s="1971"/>
      <c r="AC1054" s="1906"/>
      <c r="AD1054" s="1906">
        <f t="shared" ref="AD1054:AD1085" si="928">SUMIF(D$1054:D$1120,"set"&amp;$B983,D$983:D$1049)</f>
        <v>0</v>
      </c>
      <c r="AE1054" s="1906">
        <f t="shared" ref="AE1054:AE1085" si="929">SUMIF(E$1054:E$1120,"set"&amp;$B983,E$983:E$1049)</f>
        <v>0</v>
      </c>
      <c r="AF1054" s="1906">
        <f t="shared" ref="AF1054:AF1085" si="930">SUMIF(F$1054:F$1120,"set"&amp;$B983,F$983:F$1049)</f>
        <v>0</v>
      </c>
      <c r="AG1054" s="1906">
        <f t="shared" ref="AG1054:AG1085" si="931">SUMIF(G$1054:G$1120,"set"&amp;$B983,G$983:G$1049)</f>
        <v>0</v>
      </c>
      <c r="AH1054" s="1906">
        <f t="shared" ref="AH1054:AH1085" si="932">SUMIF(H$1054:H$1120,"set"&amp;$B983,H$983:H$1049)</f>
        <v>0</v>
      </c>
      <c r="AI1054" s="1906">
        <f t="shared" ref="AI1054:AI1085" si="933">SUMIF(I$1054:I$1120,"set"&amp;$B983,I$983:I$1049)</f>
        <v>0</v>
      </c>
      <c r="AJ1054" s="1906">
        <f t="shared" ref="AJ1054:AJ1085" si="934">SUMIF(J$1054:J$1120,"set"&amp;$B983,J$983:J$1049)</f>
        <v>0</v>
      </c>
      <c r="AK1054" s="1906">
        <f t="shared" ref="AK1054:AK1085" si="935">SUMIF(K$1054:K$1120,"set"&amp;$B983,K$983:K$1049)</f>
        <v>0</v>
      </c>
      <c r="AL1054" s="1906">
        <f t="shared" ref="AL1054:AL1085" si="936">SUMIF(L$1054:L$1120,"set"&amp;$B983,L$983:L$1049)</f>
        <v>0</v>
      </c>
      <c r="AM1054" s="1906">
        <f t="shared" ref="AM1054:AM1085" si="937">SUMIF(M$1054:M$1120,"set"&amp;$B983,M$983:M$1049)</f>
        <v>0</v>
      </c>
      <c r="AN1054" s="1906">
        <f t="shared" ref="AN1054:AN1085" si="938">SUMIF(N$1054:N$1120,"set"&amp;$B983,N$983:N$1049)</f>
        <v>0</v>
      </c>
      <c r="AO1054" s="1971"/>
      <c r="AP1054" s="1906">
        <f t="shared" ref="AP1054:AP1085" si="939">SUMIF(C$1054:C$1120,"oct"&amp;$B983,C$983:C$1049)</f>
        <v>0</v>
      </c>
      <c r="AQ1054" s="1906">
        <f t="shared" ref="AQ1054:AQ1085" si="940">SUMIF(D$1054:D$1120,"oct"&amp;$B983,D$983:D$1049)</f>
        <v>0</v>
      </c>
      <c r="AR1054" s="1906">
        <f t="shared" ref="AR1054:AR1085" si="941">SUMIF(E$1054:E$1120,"oct"&amp;$B983,E$983:E$1049)</f>
        <v>0</v>
      </c>
      <c r="AS1054" s="1906">
        <f t="shared" ref="AS1054:AS1085" si="942">SUMIF(F$1054:F$1120,"oct"&amp;$B983,F$983:F$1049)</f>
        <v>0</v>
      </c>
      <c r="AT1054" s="1906">
        <f t="shared" ref="AT1054:AT1085" si="943">SUMIF(G$1054:G$1120,"oct"&amp;$B983,G$983:G$1049)</f>
        <v>0</v>
      </c>
      <c r="AU1054" s="1906">
        <f t="shared" ref="AU1054:AU1085" si="944">SUMIF(H$1054:H$1120,"oct"&amp;$B983,H$983:H$1049)</f>
        <v>0</v>
      </c>
      <c r="AV1054" s="1906">
        <f t="shared" ref="AV1054:AV1085" si="945">SUMIF(I$1054:I$1120,"oct"&amp;$B983,I$983:I$1049)</f>
        <v>0</v>
      </c>
      <c r="AW1054" s="1906">
        <f t="shared" ref="AW1054:AW1085" si="946">SUMIF(J$1054:J$1120,"oct"&amp;$B983,J$983:J$1049)</f>
        <v>0</v>
      </c>
      <c r="AX1054" s="1906">
        <f t="shared" ref="AX1054:AX1085" si="947">SUMIF(K$1054:K$1120,"oct"&amp;$B983,K$983:K$1049)</f>
        <v>0</v>
      </c>
      <c r="AY1054" s="1906">
        <f t="shared" ref="AY1054:AY1085" si="948">SUMIF(L$1054:L$1120,"oct"&amp;$B983,L$983:L$1049)</f>
        <v>0</v>
      </c>
      <c r="AZ1054" s="1906">
        <f t="shared" ref="AZ1054:AZ1085" si="949">SUMIF(M$1054:M$1120,"oct"&amp;$B983,M$983:M$1049)</f>
        <v>0</v>
      </c>
      <c r="BA1054" s="1906">
        <f t="shared" ref="BA1054:BA1085" si="950">SUMIF(N$1054:N$1120,"oct"&amp;$B983,N$983:N$1049)</f>
        <v>0</v>
      </c>
      <c r="BB1054" s="1971"/>
      <c r="BC1054" s="1906">
        <f t="shared" ref="BC1054:BC1085" si="951">SUMIF(C$1054:C$1120,"nov"&amp;$B983,C$983:C$1049)</f>
        <v>0</v>
      </c>
      <c r="BD1054" s="1906">
        <f t="shared" ref="BD1054:BD1085" si="952">SUMIF(D$1054:D$1120,"nov"&amp;$B983,D$983:D$1049)</f>
        <v>0</v>
      </c>
      <c r="BE1054" s="1906">
        <f t="shared" ref="BE1054:BE1085" si="953">SUMIF(E$1054:E$1120,"nov"&amp;$B983,E$983:E$1049)</f>
        <v>0</v>
      </c>
      <c r="BF1054" s="1906">
        <f t="shared" ref="BF1054:BF1085" si="954">SUMIF(F$1054:F$1120,"nov"&amp;$B983,F$983:F$1049)</f>
        <v>0</v>
      </c>
      <c r="BG1054" s="1906">
        <f t="shared" ref="BG1054:BG1085" si="955">SUMIF(G$1054:G$1120,"nov"&amp;$B983,G$983:G$1049)</f>
        <v>0</v>
      </c>
      <c r="BH1054" s="1906">
        <f t="shared" ref="BH1054:BH1085" si="956">SUMIF(H$1054:H$1120,"nov"&amp;$B983,H$983:H$1049)</f>
        <v>0</v>
      </c>
      <c r="BI1054" s="1906">
        <f t="shared" ref="BI1054:BI1085" si="957">SUMIF(I$1054:I$1120,"nov"&amp;$B983,I$983:I$1049)</f>
        <v>0</v>
      </c>
      <c r="BJ1054" s="1906">
        <f t="shared" ref="BJ1054:BJ1085" si="958">SUMIF(J$1054:J$1120,"nov"&amp;$B983,J$983:J$1049)</f>
        <v>0</v>
      </c>
      <c r="BK1054" s="1906">
        <f t="shared" ref="BK1054:BK1085" si="959">SUMIF(K$1054:K$1120,"nov"&amp;$B983,K$983:K$1049)</f>
        <v>0</v>
      </c>
      <c r="BL1054" s="1906">
        <f t="shared" ref="BL1054:BL1085" si="960">SUMIF(L$1054:L$1120,"nov"&amp;$B983,L$983:L$1049)</f>
        <v>0</v>
      </c>
      <c r="BM1054" s="1906">
        <f t="shared" ref="BM1054:BM1085" si="961">SUMIF(M$1054:M$1120,"nov"&amp;$B983,M$983:M$1049)</f>
        <v>0</v>
      </c>
      <c r="BN1054" s="1906">
        <f t="shared" ref="BN1054:BN1085" si="962">SUMIF(N$1054:N$1120,"nov"&amp;$B983,N$983:N$1049)</f>
        <v>0</v>
      </c>
      <c r="BO1054" s="1971"/>
      <c r="BP1054" s="1906">
        <f t="shared" ref="BP1054:BP1085" si="963">SUMIF(C$1054:C$1120,"dic"&amp;$B983,C$983:C$1049)</f>
        <v>0</v>
      </c>
      <c r="BQ1054" s="1906">
        <f t="shared" ref="BQ1054:BQ1085" si="964">SUMIF(D$1054:D$1120,"dic"&amp;$B983,D$983:D$1049)</f>
        <v>0</v>
      </c>
      <c r="BR1054" s="1906">
        <f t="shared" ref="BR1054:BR1085" si="965">SUMIF(E$1054:E$1120,"dic"&amp;$B983,E$983:E$1049)</f>
        <v>0</v>
      </c>
      <c r="BS1054" s="1906">
        <f t="shared" ref="BS1054:BS1085" si="966">SUMIF(F$1054:F$1120,"dic"&amp;$B983,F$983:F$1049)</f>
        <v>0</v>
      </c>
      <c r="BT1054" s="1906">
        <f t="shared" ref="BT1054:BT1085" si="967">SUMIF(G$1054:G$1120,"dic"&amp;$B983,G$983:G$1049)</f>
        <v>0</v>
      </c>
      <c r="BU1054" s="1906">
        <f t="shared" ref="BU1054:BU1085" si="968">SUMIF(H$1054:H$1120,"dic"&amp;$B983,H$983:H$1049)</f>
        <v>0</v>
      </c>
      <c r="BV1054" s="1906">
        <f t="shared" ref="BV1054:BV1085" si="969">SUMIF(I$1054:I$1120,"dic"&amp;$B983,I$983:I$1049)</f>
        <v>0</v>
      </c>
      <c r="BW1054" s="1906">
        <f t="shared" ref="BW1054:BW1085" si="970">SUMIF(J$1054:J$1120,"dic"&amp;$B983,J$983:J$1049)</f>
        <v>0</v>
      </c>
      <c r="BX1054" s="1906">
        <f t="shared" ref="BX1054:BX1085" si="971">SUMIF(K$1054:K$1120,"dic"&amp;$B983,K$983:K$1049)</f>
        <v>0</v>
      </c>
      <c r="BY1054" s="1906">
        <f t="shared" ref="BY1054:BY1085" si="972">SUMIF(L$1054:L$1120,"dic"&amp;$B983,L$983:L$1049)</f>
        <v>0</v>
      </c>
      <c r="BZ1054" s="1906">
        <f t="shared" ref="BZ1054:BZ1085" si="973">SUMIF(M$1054:M$1120,"dic"&amp;$B983,M$983:M$1049)</f>
        <v>0</v>
      </c>
      <c r="CA1054" s="1906">
        <f t="shared" ref="CA1054:CA1085" si="974">SUMIF(N$1054:N$1120,"dic"&amp;$B983,N$983:N$1049)</f>
        <v>0</v>
      </c>
      <c r="CB1054" s="1971"/>
      <c r="CC1054" s="1906">
        <f t="shared" ref="CC1054:CC1085" si="975">SUMIF(C$1054:C$1120,"ene"&amp;$B983,C$983:C$1049)</f>
        <v>0</v>
      </c>
      <c r="CD1054" s="1906">
        <f t="shared" ref="CD1054:CD1085" si="976">SUMIF(D$1054:D$1120,"ene"&amp;$B983,D$983:D$1049)</f>
        <v>0</v>
      </c>
      <c r="CE1054" s="1906">
        <f t="shared" ref="CE1054:CE1085" si="977">SUMIF(E$1054:E$1120,"ene"&amp;$B983,E$983:E$1049)</f>
        <v>0</v>
      </c>
      <c r="CF1054" s="1906">
        <f t="shared" ref="CF1054:CF1085" si="978">SUMIF(F$1054:F$1120,"ene"&amp;$B983,F$983:F$1049)</f>
        <v>0</v>
      </c>
      <c r="CG1054" s="1906">
        <f t="shared" ref="CG1054:CG1085" si="979">SUMIF(G$1054:G$1120,"ene"&amp;$B983,G$983:G$1049)</f>
        <v>0</v>
      </c>
      <c r="CH1054" s="1906">
        <f t="shared" ref="CH1054:CH1085" si="980">SUMIF(H$1054:H$1120,"ene"&amp;$B983,H$983:H$1049)</f>
        <v>0</v>
      </c>
      <c r="CI1054" s="1906">
        <f t="shared" ref="CI1054:CI1085" si="981">SUMIF(I$1054:I$1120,"ene"&amp;$B983,I$983:I$1049)</f>
        <v>0</v>
      </c>
      <c r="CJ1054" s="1906">
        <f t="shared" ref="CJ1054:CJ1085" si="982">SUMIF(J$1054:J$1120,"ene"&amp;$B983,J$983:J$1049)</f>
        <v>0</v>
      </c>
      <c r="CK1054" s="1906">
        <f t="shared" ref="CK1054:CK1085" si="983">SUMIF(K$1054:K$1120,"ene"&amp;$B983,K$983:K$1049)</f>
        <v>0</v>
      </c>
      <c r="CL1054" s="1906">
        <f t="shared" ref="CL1054:CL1085" si="984">SUMIF(L$1054:L$1120,"ene"&amp;$B983,L$983:L$1049)</f>
        <v>0</v>
      </c>
      <c r="CM1054" s="1906">
        <f t="shared" ref="CM1054:CM1085" si="985">SUMIF(M$1054:M$1120,"ene"&amp;$B983,M$983:M$1049)</f>
        <v>0</v>
      </c>
      <c r="CN1054" s="1906">
        <f t="shared" ref="CN1054:CN1085" si="986">SUMIF(N$1054:N$1120,"ene"&amp;$B983,N$983:N$1049)</f>
        <v>0</v>
      </c>
      <c r="CO1054" s="1971" t="str">
        <f t="shared" ref="CO1054:CO1085" si="987">B983</f>
        <v>CN</v>
      </c>
      <c r="CP1054" s="1906">
        <f>+P1054+AC1054+AP1054+BC1054+BP1054+CC1054</f>
        <v>0</v>
      </c>
      <c r="CQ1054" s="1906">
        <f t="shared" ref="CQ1054:CQ1085" si="988">+Q1054+AD1054+AQ1054+BD1054+BQ1054+CD1054</f>
        <v>0</v>
      </c>
      <c r="CR1054" s="1906">
        <f t="shared" ref="CR1054:CR1085" si="989">+R1054+AE1054+AR1054+BE1054+BR1054+CE1054</f>
        <v>0</v>
      </c>
      <c r="CS1054" s="1906">
        <f t="shared" ref="CS1054:CS1085" si="990">+S1054+AF1054+AS1054+BF1054+BS1054+CF1054</f>
        <v>0</v>
      </c>
      <c r="CT1054" s="1906">
        <f t="shared" ref="CT1054:DA1069" si="991">+T1054+AG1054+AT1054+BG1054+BT1054+CG1054</f>
        <v>0</v>
      </c>
      <c r="CU1054" s="1906">
        <f t="shared" si="991"/>
        <v>0</v>
      </c>
      <c r="CV1054" s="1906">
        <f t="shared" si="991"/>
        <v>0</v>
      </c>
      <c r="CW1054" s="1906">
        <f t="shared" si="991"/>
        <v>0</v>
      </c>
      <c r="CX1054" s="1906">
        <f t="shared" si="991"/>
        <v>0</v>
      </c>
      <c r="CY1054" s="1906">
        <f t="shared" si="991"/>
        <v>0</v>
      </c>
      <c r="CZ1054" s="1906">
        <f t="shared" si="991"/>
        <v>0</v>
      </c>
      <c r="DA1054" s="1906">
        <f t="shared" si="991"/>
        <v>0</v>
      </c>
      <c r="DB1054" s="594" t="str">
        <f>CO1054</f>
        <v>CN</v>
      </c>
      <c r="DC1054" s="1348">
        <f>SUM(CP1054:DA1054)</f>
        <v>0</v>
      </c>
      <c r="DD1054" s="107"/>
      <c r="DE1054" s="111" t="str">
        <f>DB1054</f>
        <v>CN</v>
      </c>
      <c r="DF1054" s="1906">
        <f t="shared" ref="DF1054:DF1085" si="992">CP1054+DC1201</f>
        <v>0</v>
      </c>
      <c r="DG1054" s="1906">
        <f t="shared" ref="DG1054:DG1085" si="993">CQ1054+DD1201</f>
        <v>0</v>
      </c>
      <c r="DH1054" s="1906">
        <f t="shared" ref="DH1054:DH1085" si="994">CR1054+DE1201</f>
        <v>0</v>
      </c>
      <c r="DI1054" s="1906">
        <f t="shared" ref="DI1054:DI1085" si="995">CS1054+DF1201</f>
        <v>0</v>
      </c>
      <c r="DJ1054" s="1906">
        <f t="shared" ref="DJ1054:DJ1085" si="996">CT1054+DG1201</f>
        <v>0</v>
      </c>
      <c r="DK1054" s="1906">
        <f t="shared" ref="DK1054:DK1085" si="997">CU1054+DH1201</f>
        <v>0</v>
      </c>
      <c r="DL1054" s="1906">
        <f t="shared" ref="DL1054:DL1085" si="998">CV1054+DI1201</f>
        <v>0</v>
      </c>
      <c r="DM1054" s="1906">
        <f t="shared" ref="DM1054:DM1085" si="999">CW1054+DJ1201</f>
        <v>0</v>
      </c>
      <c r="DN1054" s="1906">
        <f t="shared" ref="DN1054:DN1085" si="1000">CX1054+DK1201</f>
        <v>0</v>
      </c>
      <c r="DO1054" s="1906">
        <f t="shared" ref="DO1054:DO1085" si="1001">CY1054+DL1201</f>
        <v>0</v>
      </c>
      <c r="DP1054" s="1906">
        <f t="shared" ref="DP1054:DP1085" si="1002">CZ1054+DM1201</f>
        <v>0</v>
      </c>
      <c r="DQ1054" s="1906">
        <f t="shared" ref="DQ1054:DQ1085" si="1003">DA1054+DN1201</f>
        <v>0</v>
      </c>
      <c r="DR1054" s="100"/>
      <c r="DS1054" s="100"/>
    </row>
    <row r="1055" spans="1:123" x14ac:dyDescent="0.2">
      <c r="A1055" s="6"/>
      <c r="B1055" s="1971" t="str">
        <f t="shared" si="903"/>
        <v>CNM</v>
      </c>
      <c r="C1055" s="1906" t="str">
        <f t="shared" si="904"/>
        <v/>
      </c>
      <c r="D1055" s="1906" t="str">
        <f t="shared" si="905"/>
        <v/>
      </c>
      <c r="E1055" s="1906" t="str">
        <f t="shared" si="906"/>
        <v/>
      </c>
      <c r="F1055" s="1906" t="str">
        <f t="shared" si="907"/>
        <v/>
      </c>
      <c r="G1055" s="1906" t="str">
        <f t="shared" si="908"/>
        <v/>
      </c>
      <c r="H1055" s="1906" t="str">
        <f t="shared" si="909"/>
        <v/>
      </c>
      <c r="I1055" s="1906" t="str">
        <f t="shared" si="910"/>
        <v/>
      </c>
      <c r="J1055" s="1906" t="str">
        <f t="shared" si="911"/>
        <v/>
      </c>
      <c r="K1055" s="1906" t="str">
        <f t="shared" si="912"/>
        <v/>
      </c>
      <c r="L1055" s="1906" t="str">
        <f t="shared" si="913"/>
        <v/>
      </c>
      <c r="M1055" s="1906" t="str">
        <f t="shared" si="914"/>
        <v/>
      </c>
      <c r="N1055" s="1906" t="str">
        <f t="shared" si="915"/>
        <v/>
      </c>
      <c r="O1055" s="1971"/>
      <c r="P1055" s="1906">
        <f t="shared" si="916"/>
        <v>0</v>
      </c>
      <c r="Q1055" s="1906">
        <f t="shared" si="917"/>
        <v>0</v>
      </c>
      <c r="R1055" s="1906">
        <f t="shared" si="918"/>
        <v>0</v>
      </c>
      <c r="S1055" s="1906">
        <f t="shared" si="919"/>
        <v>0</v>
      </c>
      <c r="T1055" s="1906">
        <f t="shared" si="920"/>
        <v>0</v>
      </c>
      <c r="U1055" s="1906">
        <f t="shared" si="921"/>
        <v>0</v>
      </c>
      <c r="V1055" s="1906">
        <f t="shared" si="922"/>
        <v>0</v>
      </c>
      <c r="W1055" s="1906">
        <f t="shared" si="923"/>
        <v>0</v>
      </c>
      <c r="X1055" s="1906">
        <f t="shared" si="924"/>
        <v>0</v>
      </c>
      <c r="Y1055" s="1906">
        <f t="shared" si="925"/>
        <v>0</v>
      </c>
      <c r="Z1055" s="1906">
        <f t="shared" si="926"/>
        <v>0</v>
      </c>
      <c r="AA1055" s="1906">
        <f t="shared" si="927"/>
        <v>0</v>
      </c>
      <c r="AB1055" s="1971"/>
      <c r="AC1055" s="1906"/>
      <c r="AD1055" s="1906">
        <f t="shared" si="928"/>
        <v>0</v>
      </c>
      <c r="AE1055" s="1906">
        <f t="shared" si="929"/>
        <v>0</v>
      </c>
      <c r="AF1055" s="1906">
        <f t="shared" si="930"/>
        <v>0</v>
      </c>
      <c r="AG1055" s="1906">
        <f t="shared" si="931"/>
        <v>0</v>
      </c>
      <c r="AH1055" s="1906">
        <f t="shared" si="932"/>
        <v>0</v>
      </c>
      <c r="AI1055" s="1906">
        <f t="shared" si="933"/>
        <v>0</v>
      </c>
      <c r="AJ1055" s="1906">
        <f t="shared" si="934"/>
        <v>0</v>
      </c>
      <c r="AK1055" s="1906">
        <f t="shared" si="935"/>
        <v>0</v>
      </c>
      <c r="AL1055" s="1906">
        <f t="shared" si="936"/>
        <v>0</v>
      </c>
      <c r="AM1055" s="1906">
        <f t="shared" si="937"/>
        <v>0</v>
      </c>
      <c r="AN1055" s="1906">
        <f t="shared" si="938"/>
        <v>0</v>
      </c>
      <c r="AO1055" s="1971"/>
      <c r="AP1055" s="1906">
        <f t="shared" si="939"/>
        <v>0</v>
      </c>
      <c r="AQ1055" s="1906">
        <f t="shared" si="940"/>
        <v>0</v>
      </c>
      <c r="AR1055" s="1906">
        <f t="shared" si="941"/>
        <v>0</v>
      </c>
      <c r="AS1055" s="1906">
        <f t="shared" si="942"/>
        <v>0</v>
      </c>
      <c r="AT1055" s="1906">
        <f t="shared" si="943"/>
        <v>0</v>
      </c>
      <c r="AU1055" s="1906">
        <f t="shared" si="944"/>
        <v>0</v>
      </c>
      <c r="AV1055" s="1906">
        <f t="shared" si="945"/>
        <v>0</v>
      </c>
      <c r="AW1055" s="1906">
        <f t="shared" si="946"/>
        <v>0</v>
      </c>
      <c r="AX1055" s="1906">
        <f t="shared" si="947"/>
        <v>0</v>
      </c>
      <c r="AY1055" s="1906">
        <f t="shared" si="948"/>
        <v>0</v>
      </c>
      <c r="AZ1055" s="1906">
        <f t="shared" si="949"/>
        <v>0</v>
      </c>
      <c r="BA1055" s="1906">
        <f t="shared" si="950"/>
        <v>0</v>
      </c>
      <c r="BB1055" s="1971"/>
      <c r="BC1055" s="1906">
        <f t="shared" si="951"/>
        <v>0</v>
      </c>
      <c r="BD1055" s="1906">
        <f t="shared" si="952"/>
        <v>0</v>
      </c>
      <c r="BE1055" s="1906">
        <f t="shared" si="953"/>
        <v>0</v>
      </c>
      <c r="BF1055" s="1906">
        <f t="shared" si="954"/>
        <v>0</v>
      </c>
      <c r="BG1055" s="1906">
        <f t="shared" si="955"/>
        <v>0</v>
      </c>
      <c r="BH1055" s="1906">
        <f t="shared" si="956"/>
        <v>0</v>
      </c>
      <c r="BI1055" s="1906">
        <f t="shared" si="957"/>
        <v>0</v>
      </c>
      <c r="BJ1055" s="1906">
        <f t="shared" si="958"/>
        <v>0</v>
      </c>
      <c r="BK1055" s="1906">
        <f t="shared" si="959"/>
        <v>0</v>
      </c>
      <c r="BL1055" s="1906">
        <f t="shared" si="960"/>
        <v>0</v>
      </c>
      <c r="BM1055" s="1906">
        <f t="shared" si="961"/>
        <v>0</v>
      </c>
      <c r="BN1055" s="1906">
        <f t="shared" si="962"/>
        <v>0</v>
      </c>
      <c r="BO1055" s="1971"/>
      <c r="BP1055" s="1906">
        <f t="shared" si="963"/>
        <v>0</v>
      </c>
      <c r="BQ1055" s="1906">
        <f t="shared" si="964"/>
        <v>0</v>
      </c>
      <c r="BR1055" s="1906">
        <f t="shared" si="965"/>
        <v>0</v>
      </c>
      <c r="BS1055" s="1906">
        <f t="shared" si="966"/>
        <v>0</v>
      </c>
      <c r="BT1055" s="1906">
        <f t="shared" si="967"/>
        <v>0</v>
      </c>
      <c r="BU1055" s="1906">
        <f t="shared" si="968"/>
        <v>0</v>
      </c>
      <c r="BV1055" s="1906">
        <f t="shared" si="969"/>
        <v>0</v>
      </c>
      <c r="BW1055" s="1906">
        <f t="shared" si="970"/>
        <v>0</v>
      </c>
      <c r="BX1055" s="1906">
        <f t="shared" si="971"/>
        <v>0</v>
      </c>
      <c r="BY1055" s="1906">
        <f t="shared" si="972"/>
        <v>0</v>
      </c>
      <c r="BZ1055" s="1906">
        <f t="shared" si="973"/>
        <v>0</v>
      </c>
      <c r="CA1055" s="1906">
        <f t="shared" si="974"/>
        <v>0</v>
      </c>
      <c r="CB1055" s="1971"/>
      <c r="CC1055" s="1906">
        <f t="shared" si="975"/>
        <v>0</v>
      </c>
      <c r="CD1055" s="1906">
        <f t="shared" si="976"/>
        <v>0</v>
      </c>
      <c r="CE1055" s="1906">
        <f t="shared" si="977"/>
        <v>0</v>
      </c>
      <c r="CF1055" s="1906">
        <f t="shared" si="978"/>
        <v>0</v>
      </c>
      <c r="CG1055" s="1906">
        <f t="shared" si="979"/>
        <v>0</v>
      </c>
      <c r="CH1055" s="1906">
        <f t="shared" si="980"/>
        <v>0</v>
      </c>
      <c r="CI1055" s="1906">
        <f t="shared" si="981"/>
        <v>0</v>
      </c>
      <c r="CJ1055" s="1906">
        <f t="shared" si="982"/>
        <v>0</v>
      </c>
      <c r="CK1055" s="1906">
        <f t="shared" si="983"/>
        <v>0</v>
      </c>
      <c r="CL1055" s="1906">
        <f t="shared" si="984"/>
        <v>0</v>
      </c>
      <c r="CM1055" s="1906">
        <f t="shared" si="985"/>
        <v>0</v>
      </c>
      <c r="CN1055" s="1906">
        <f t="shared" si="986"/>
        <v>0</v>
      </c>
      <c r="CO1055" s="1971" t="str">
        <f t="shared" si="987"/>
        <v>CNM</v>
      </c>
      <c r="CP1055" s="1906">
        <f t="shared" ref="CP1055:CP1085" si="1004">+P1055+AC1055+AP1055+BC1055+BP1055+CC1055</f>
        <v>0</v>
      </c>
      <c r="CQ1055" s="1906">
        <f t="shared" si="988"/>
        <v>0</v>
      </c>
      <c r="CR1055" s="1906">
        <f t="shared" si="989"/>
        <v>0</v>
      </c>
      <c r="CS1055" s="1906">
        <f t="shared" si="990"/>
        <v>0</v>
      </c>
      <c r="CT1055" s="1906">
        <f t="shared" si="991"/>
        <v>0</v>
      </c>
      <c r="CU1055" s="1906">
        <f t="shared" si="991"/>
        <v>0</v>
      </c>
      <c r="CV1055" s="1906">
        <f t="shared" si="991"/>
        <v>0</v>
      </c>
      <c r="CW1055" s="1906">
        <f t="shared" si="991"/>
        <v>0</v>
      </c>
      <c r="CX1055" s="1906">
        <f t="shared" si="991"/>
        <v>0</v>
      </c>
      <c r="CY1055" s="1906">
        <f t="shared" si="991"/>
        <v>0</v>
      </c>
      <c r="CZ1055" s="1906">
        <f t="shared" si="991"/>
        <v>0</v>
      </c>
      <c r="DA1055" s="1906">
        <f t="shared" si="991"/>
        <v>0</v>
      </c>
      <c r="DB1055" s="595" t="str">
        <f t="shared" ref="DB1055:DB1118" si="1005">CO1055</f>
        <v>CNM</v>
      </c>
      <c r="DC1055" s="1443">
        <f t="shared" ref="DC1055:DC1118" si="1006">SUM(CP1055:DA1055)</f>
        <v>0</v>
      </c>
      <c r="DD1055" s="107"/>
      <c r="DE1055" s="111" t="str">
        <f t="shared" ref="DE1055:DE1118" si="1007">DB1055</f>
        <v>CNM</v>
      </c>
      <c r="DF1055" s="1906">
        <f t="shared" si="992"/>
        <v>0</v>
      </c>
      <c r="DG1055" s="1906">
        <f t="shared" si="993"/>
        <v>0</v>
      </c>
      <c r="DH1055" s="1906">
        <f t="shared" si="994"/>
        <v>0</v>
      </c>
      <c r="DI1055" s="1906">
        <f t="shared" si="995"/>
        <v>0</v>
      </c>
      <c r="DJ1055" s="1906">
        <f t="shared" si="996"/>
        <v>0</v>
      </c>
      <c r="DK1055" s="1906">
        <f t="shared" si="997"/>
        <v>0</v>
      </c>
      <c r="DL1055" s="1906">
        <f t="shared" si="998"/>
        <v>0</v>
      </c>
      <c r="DM1055" s="1906">
        <f t="shared" si="999"/>
        <v>0</v>
      </c>
      <c r="DN1055" s="1906">
        <f t="shared" si="1000"/>
        <v>0</v>
      </c>
      <c r="DO1055" s="1906">
        <f t="shared" si="1001"/>
        <v>0</v>
      </c>
      <c r="DP1055" s="1906">
        <f t="shared" si="1002"/>
        <v>0</v>
      </c>
      <c r="DQ1055" s="1906">
        <f t="shared" si="1003"/>
        <v>0</v>
      </c>
    </row>
    <row r="1056" spans="1:123" x14ac:dyDescent="0.2">
      <c r="A1056" s="6"/>
      <c r="B1056" s="1971" t="str">
        <f t="shared" si="903"/>
        <v>CN bajo</v>
      </c>
      <c r="C1056" s="1906" t="str">
        <f t="shared" si="904"/>
        <v/>
      </c>
      <c r="D1056" s="1906" t="str">
        <f t="shared" si="905"/>
        <v/>
      </c>
      <c r="E1056" s="1906" t="str">
        <f t="shared" si="906"/>
        <v/>
      </c>
      <c r="F1056" s="1906" t="str">
        <f t="shared" si="907"/>
        <v/>
      </c>
      <c r="G1056" s="1906" t="str">
        <f t="shared" si="908"/>
        <v/>
      </c>
      <c r="H1056" s="1906" t="str">
        <f t="shared" si="909"/>
        <v/>
      </c>
      <c r="I1056" s="1906" t="str">
        <f t="shared" si="910"/>
        <v/>
      </c>
      <c r="J1056" s="1906" t="str">
        <f t="shared" si="911"/>
        <v/>
      </c>
      <c r="K1056" s="1906" t="str">
        <f t="shared" si="912"/>
        <v/>
      </c>
      <c r="L1056" s="1906" t="str">
        <f t="shared" si="913"/>
        <v/>
      </c>
      <c r="M1056" s="1906" t="str">
        <f t="shared" si="914"/>
        <v/>
      </c>
      <c r="N1056" s="1906" t="str">
        <f t="shared" si="915"/>
        <v/>
      </c>
      <c r="O1056" s="1971"/>
      <c r="P1056" s="1906">
        <f t="shared" si="916"/>
        <v>0</v>
      </c>
      <c r="Q1056" s="1906">
        <f t="shared" si="917"/>
        <v>0</v>
      </c>
      <c r="R1056" s="1906">
        <f t="shared" si="918"/>
        <v>0</v>
      </c>
      <c r="S1056" s="1906">
        <f t="shared" si="919"/>
        <v>0</v>
      </c>
      <c r="T1056" s="1906">
        <f t="shared" si="920"/>
        <v>0</v>
      </c>
      <c r="U1056" s="1906">
        <f t="shared" si="921"/>
        <v>0</v>
      </c>
      <c r="V1056" s="1906">
        <f t="shared" si="922"/>
        <v>0</v>
      </c>
      <c r="W1056" s="1906">
        <f t="shared" si="923"/>
        <v>0</v>
      </c>
      <c r="X1056" s="1906">
        <f t="shared" si="924"/>
        <v>0</v>
      </c>
      <c r="Y1056" s="1906">
        <f t="shared" si="925"/>
        <v>0</v>
      </c>
      <c r="Z1056" s="1906">
        <f t="shared" si="926"/>
        <v>0</v>
      </c>
      <c r="AA1056" s="1906">
        <f t="shared" si="927"/>
        <v>0</v>
      </c>
      <c r="AB1056" s="1971"/>
      <c r="AC1056" s="1906"/>
      <c r="AD1056" s="1906">
        <f t="shared" si="928"/>
        <v>0</v>
      </c>
      <c r="AE1056" s="1906">
        <f t="shared" si="929"/>
        <v>0</v>
      </c>
      <c r="AF1056" s="1906">
        <f t="shared" si="930"/>
        <v>0</v>
      </c>
      <c r="AG1056" s="1906">
        <f t="shared" si="931"/>
        <v>0</v>
      </c>
      <c r="AH1056" s="1906">
        <f t="shared" si="932"/>
        <v>0</v>
      </c>
      <c r="AI1056" s="1906">
        <f t="shared" si="933"/>
        <v>0</v>
      </c>
      <c r="AJ1056" s="1906">
        <f t="shared" si="934"/>
        <v>0</v>
      </c>
      <c r="AK1056" s="1906">
        <f t="shared" si="935"/>
        <v>0</v>
      </c>
      <c r="AL1056" s="1906">
        <f t="shared" si="936"/>
        <v>0</v>
      </c>
      <c r="AM1056" s="1906">
        <f t="shared" si="937"/>
        <v>0</v>
      </c>
      <c r="AN1056" s="1906">
        <f t="shared" si="938"/>
        <v>0</v>
      </c>
      <c r="AO1056" s="1971"/>
      <c r="AP1056" s="1906">
        <f t="shared" si="939"/>
        <v>0</v>
      </c>
      <c r="AQ1056" s="1906">
        <f t="shared" si="940"/>
        <v>0</v>
      </c>
      <c r="AR1056" s="1906">
        <f t="shared" si="941"/>
        <v>0</v>
      </c>
      <c r="AS1056" s="1906">
        <f t="shared" si="942"/>
        <v>0</v>
      </c>
      <c r="AT1056" s="1906">
        <f t="shared" si="943"/>
        <v>0</v>
      </c>
      <c r="AU1056" s="1906">
        <f t="shared" si="944"/>
        <v>0</v>
      </c>
      <c r="AV1056" s="1906">
        <f t="shared" si="945"/>
        <v>0</v>
      </c>
      <c r="AW1056" s="1906">
        <f t="shared" si="946"/>
        <v>0</v>
      </c>
      <c r="AX1056" s="1906">
        <f t="shared" si="947"/>
        <v>0</v>
      </c>
      <c r="AY1056" s="1906">
        <f t="shared" si="948"/>
        <v>0</v>
      </c>
      <c r="AZ1056" s="1906">
        <f t="shared" si="949"/>
        <v>0</v>
      </c>
      <c r="BA1056" s="1906">
        <f t="shared" si="950"/>
        <v>0</v>
      </c>
      <c r="BB1056" s="1971"/>
      <c r="BC1056" s="1906">
        <f t="shared" si="951"/>
        <v>0</v>
      </c>
      <c r="BD1056" s="1906">
        <f t="shared" si="952"/>
        <v>0</v>
      </c>
      <c r="BE1056" s="1906">
        <f t="shared" si="953"/>
        <v>0</v>
      </c>
      <c r="BF1056" s="1906">
        <f t="shared" si="954"/>
        <v>0</v>
      </c>
      <c r="BG1056" s="1906">
        <f t="shared" si="955"/>
        <v>0</v>
      </c>
      <c r="BH1056" s="1906">
        <f t="shared" si="956"/>
        <v>0</v>
      </c>
      <c r="BI1056" s="1906">
        <f t="shared" si="957"/>
        <v>0</v>
      </c>
      <c r="BJ1056" s="1906">
        <f t="shared" si="958"/>
        <v>0</v>
      </c>
      <c r="BK1056" s="1906">
        <f t="shared" si="959"/>
        <v>0</v>
      </c>
      <c r="BL1056" s="1906">
        <f t="shared" si="960"/>
        <v>0</v>
      </c>
      <c r="BM1056" s="1906">
        <f t="shared" si="961"/>
        <v>0</v>
      </c>
      <c r="BN1056" s="1906">
        <f t="shared" si="962"/>
        <v>0</v>
      </c>
      <c r="BO1056" s="1971"/>
      <c r="BP1056" s="1906">
        <f t="shared" si="963"/>
        <v>0</v>
      </c>
      <c r="BQ1056" s="1906">
        <f t="shared" si="964"/>
        <v>0</v>
      </c>
      <c r="BR1056" s="1906">
        <f t="shared" si="965"/>
        <v>0</v>
      </c>
      <c r="BS1056" s="1906">
        <f t="shared" si="966"/>
        <v>0</v>
      </c>
      <c r="BT1056" s="1906">
        <f t="shared" si="967"/>
        <v>0</v>
      </c>
      <c r="BU1056" s="1906">
        <f t="shared" si="968"/>
        <v>0</v>
      </c>
      <c r="BV1056" s="1906">
        <f t="shared" si="969"/>
        <v>0</v>
      </c>
      <c r="BW1056" s="1906">
        <f t="shared" si="970"/>
        <v>0</v>
      </c>
      <c r="BX1056" s="1906">
        <f t="shared" si="971"/>
        <v>0</v>
      </c>
      <c r="BY1056" s="1906">
        <f t="shared" si="972"/>
        <v>0</v>
      </c>
      <c r="BZ1056" s="1906">
        <f t="shared" si="973"/>
        <v>0</v>
      </c>
      <c r="CA1056" s="1906">
        <f t="shared" si="974"/>
        <v>0</v>
      </c>
      <c r="CB1056" s="1971"/>
      <c r="CC1056" s="1906">
        <f t="shared" si="975"/>
        <v>0</v>
      </c>
      <c r="CD1056" s="1906">
        <f t="shared" si="976"/>
        <v>0</v>
      </c>
      <c r="CE1056" s="1906">
        <f t="shared" si="977"/>
        <v>0</v>
      </c>
      <c r="CF1056" s="1906">
        <f t="shared" si="978"/>
        <v>0</v>
      </c>
      <c r="CG1056" s="1906">
        <f t="shared" si="979"/>
        <v>0</v>
      </c>
      <c r="CH1056" s="1906">
        <f t="shared" si="980"/>
        <v>0</v>
      </c>
      <c r="CI1056" s="1906">
        <f t="shared" si="981"/>
        <v>0</v>
      </c>
      <c r="CJ1056" s="1906">
        <f t="shared" si="982"/>
        <v>0</v>
      </c>
      <c r="CK1056" s="1906">
        <f t="shared" si="983"/>
        <v>0</v>
      </c>
      <c r="CL1056" s="1906">
        <f t="shared" si="984"/>
        <v>0</v>
      </c>
      <c r="CM1056" s="1906">
        <f t="shared" si="985"/>
        <v>0</v>
      </c>
      <c r="CN1056" s="1906">
        <f t="shared" si="986"/>
        <v>0</v>
      </c>
      <c r="CO1056" s="1971" t="str">
        <f t="shared" si="987"/>
        <v>CN bajo</v>
      </c>
      <c r="CP1056" s="1906">
        <f t="shared" si="1004"/>
        <v>0</v>
      </c>
      <c r="CQ1056" s="1906">
        <f t="shared" si="988"/>
        <v>0</v>
      </c>
      <c r="CR1056" s="1906">
        <f t="shared" si="989"/>
        <v>0</v>
      </c>
      <c r="CS1056" s="1906">
        <f t="shared" si="990"/>
        <v>0</v>
      </c>
      <c r="CT1056" s="1906">
        <f t="shared" si="991"/>
        <v>0</v>
      </c>
      <c r="CU1056" s="1906">
        <f t="shared" si="991"/>
        <v>0</v>
      </c>
      <c r="CV1056" s="1906">
        <f t="shared" si="991"/>
        <v>0</v>
      </c>
      <c r="CW1056" s="1906">
        <f t="shared" si="991"/>
        <v>0</v>
      </c>
      <c r="CX1056" s="1906">
        <f t="shared" si="991"/>
        <v>0</v>
      </c>
      <c r="CY1056" s="1906">
        <f t="shared" si="991"/>
        <v>0</v>
      </c>
      <c r="CZ1056" s="1906">
        <f t="shared" si="991"/>
        <v>0</v>
      </c>
      <c r="DA1056" s="1906">
        <f t="shared" si="991"/>
        <v>0</v>
      </c>
      <c r="DB1056" s="595" t="str">
        <f t="shared" si="1005"/>
        <v>CN bajo</v>
      </c>
      <c r="DC1056" s="1443">
        <f t="shared" si="1006"/>
        <v>0</v>
      </c>
      <c r="DD1056" s="107"/>
      <c r="DE1056" s="111" t="str">
        <f t="shared" si="1007"/>
        <v>CN bajo</v>
      </c>
      <c r="DF1056" s="1906">
        <f t="shared" si="992"/>
        <v>0</v>
      </c>
      <c r="DG1056" s="1906">
        <f t="shared" si="993"/>
        <v>0</v>
      </c>
      <c r="DH1056" s="1906">
        <f t="shared" si="994"/>
        <v>0</v>
      </c>
      <c r="DI1056" s="1906">
        <f t="shared" si="995"/>
        <v>0</v>
      </c>
      <c r="DJ1056" s="1906">
        <f t="shared" si="996"/>
        <v>0</v>
      </c>
      <c r="DK1056" s="1906">
        <f t="shared" si="997"/>
        <v>0</v>
      </c>
      <c r="DL1056" s="1906">
        <f t="shared" si="998"/>
        <v>0</v>
      </c>
      <c r="DM1056" s="1906">
        <f t="shared" si="999"/>
        <v>0</v>
      </c>
      <c r="DN1056" s="1906">
        <f t="shared" si="1000"/>
        <v>0</v>
      </c>
      <c r="DO1056" s="1906">
        <f t="shared" si="1001"/>
        <v>0</v>
      </c>
      <c r="DP1056" s="1906">
        <f t="shared" si="1002"/>
        <v>0</v>
      </c>
      <c r="DQ1056" s="1906">
        <f t="shared" si="1003"/>
        <v>0</v>
      </c>
    </row>
    <row r="1057" spans="1:121" x14ac:dyDescent="0.2">
      <c r="A1057" s="6"/>
      <c r="B1057" s="1971">
        <f t="shared" si="903"/>
        <v>0</v>
      </c>
      <c r="C1057" s="1906" t="str">
        <f t="shared" si="904"/>
        <v/>
      </c>
      <c r="D1057" s="1906" t="str">
        <f t="shared" si="905"/>
        <v/>
      </c>
      <c r="E1057" s="1906" t="str">
        <f t="shared" si="906"/>
        <v/>
      </c>
      <c r="F1057" s="1906" t="str">
        <f t="shared" si="907"/>
        <v/>
      </c>
      <c r="G1057" s="1906" t="str">
        <f t="shared" si="908"/>
        <v/>
      </c>
      <c r="H1057" s="1906" t="str">
        <f t="shared" si="909"/>
        <v/>
      </c>
      <c r="I1057" s="1906" t="str">
        <f t="shared" si="910"/>
        <v/>
      </c>
      <c r="J1057" s="1906" t="str">
        <f t="shared" si="911"/>
        <v/>
      </c>
      <c r="K1057" s="1906" t="str">
        <f t="shared" si="912"/>
        <v/>
      </c>
      <c r="L1057" s="1906" t="str">
        <f t="shared" si="913"/>
        <v/>
      </c>
      <c r="M1057" s="1906" t="str">
        <f t="shared" si="914"/>
        <v/>
      </c>
      <c r="N1057" s="1906" t="str">
        <f t="shared" si="915"/>
        <v/>
      </c>
      <c r="O1057" s="1971"/>
      <c r="P1057" s="1906">
        <f t="shared" si="916"/>
        <v>0</v>
      </c>
      <c r="Q1057" s="1906">
        <f t="shared" si="917"/>
        <v>0</v>
      </c>
      <c r="R1057" s="1906">
        <f t="shared" si="918"/>
        <v>0</v>
      </c>
      <c r="S1057" s="1906">
        <f t="shared" si="919"/>
        <v>0</v>
      </c>
      <c r="T1057" s="1906">
        <f t="shared" si="920"/>
        <v>0</v>
      </c>
      <c r="U1057" s="1906">
        <f t="shared" si="921"/>
        <v>0</v>
      </c>
      <c r="V1057" s="1906">
        <f t="shared" si="922"/>
        <v>0</v>
      </c>
      <c r="W1057" s="1906">
        <f t="shared" si="923"/>
        <v>0</v>
      </c>
      <c r="X1057" s="1906">
        <f t="shared" si="924"/>
        <v>0</v>
      </c>
      <c r="Y1057" s="1906">
        <f t="shared" si="925"/>
        <v>0</v>
      </c>
      <c r="Z1057" s="1906">
        <f t="shared" si="926"/>
        <v>0</v>
      </c>
      <c r="AA1057" s="1906">
        <f t="shared" si="927"/>
        <v>0</v>
      </c>
      <c r="AB1057" s="1971"/>
      <c r="AC1057" s="1906"/>
      <c r="AD1057" s="1906">
        <f t="shared" si="928"/>
        <v>0</v>
      </c>
      <c r="AE1057" s="1906">
        <f t="shared" si="929"/>
        <v>0</v>
      </c>
      <c r="AF1057" s="1906">
        <f t="shared" si="930"/>
        <v>0</v>
      </c>
      <c r="AG1057" s="1906">
        <f t="shared" si="931"/>
        <v>0</v>
      </c>
      <c r="AH1057" s="1906">
        <f t="shared" si="932"/>
        <v>0</v>
      </c>
      <c r="AI1057" s="1906">
        <f t="shared" si="933"/>
        <v>0</v>
      </c>
      <c r="AJ1057" s="1906">
        <f t="shared" si="934"/>
        <v>0</v>
      </c>
      <c r="AK1057" s="1906">
        <f t="shared" si="935"/>
        <v>0</v>
      </c>
      <c r="AL1057" s="1906">
        <f t="shared" si="936"/>
        <v>0</v>
      </c>
      <c r="AM1057" s="1906">
        <f t="shared" si="937"/>
        <v>0</v>
      </c>
      <c r="AN1057" s="1906">
        <f t="shared" si="938"/>
        <v>0</v>
      </c>
      <c r="AO1057" s="1971"/>
      <c r="AP1057" s="1906">
        <f t="shared" si="939"/>
        <v>0</v>
      </c>
      <c r="AQ1057" s="1906">
        <f t="shared" si="940"/>
        <v>0</v>
      </c>
      <c r="AR1057" s="1906">
        <f t="shared" si="941"/>
        <v>0</v>
      </c>
      <c r="AS1057" s="1906">
        <f t="shared" si="942"/>
        <v>0</v>
      </c>
      <c r="AT1057" s="1906">
        <f t="shared" si="943"/>
        <v>0</v>
      </c>
      <c r="AU1057" s="1906">
        <f t="shared" si="944"/>
        <v>0</v>
      </c>
      <c r="AV1057" s="1906">
        <f t="shared" si="945"/>
        <v>0</v>
      </c>
      <c r="AW1057" s="1906">
        <f t="shared" si="946"/>
        <v>0</v>
      </c>
      <c r="AX1057" s="1906">
        <f t="shared" si="947"/>
        <v>0</v>
      </c>
      <c r="AY1057" s="1906">
        <f t="shared" si="948"/>
        <v>0</v>
      </c>
      <c r="AZ1057" s="1906">
        <f t="shared" si="949"/>
        <v>0</v>
      </c>
      <c r="BA1057" s="1906">
        <f t="shared" si="950"/>
        <v>0</v>
      </c>
      <c r="BB1057" s="1971"/>
      <c r="BC1057" s="1906">
        <f t="shared" si="951"/>
        <v>0</v>
      </c>
      <c r="BD1057" s="1906">
        <f t="shared" si="952"/>
        <v>0</v>
      </c>
      <c r="BE1057" s="1906">
        <f t="shared" si="953"/>
        <v>0</v>
      </c>
      <c r="BF1057" s="1906">
        <f t="shared" si="954"/>
        <v>0</v>
      </c>
      <c r="BG1057" s="1906">
        <f t="shared" si="955"/>
        <v>0</v>
      </c>
      <c r="BH1057" s="1906">
        <f t="shared" si="956"/>
        <v>0</v>
      </c>
      <c r="BI1057" s="1906">
        <f t="shared" si="957"/>
        <v>0</v>
      </c>
      <c r="BJ1057" s="1906">
        <f t="shared" si="958"/>
        <v>0</v>
      </c>
      <c r="BK1057" s="1906">
        <f t="shared" si="959"/>
        <v>0</v>
      </c>
      <c r="BL1057" s="1906">
        <f t="shared" si="960"/>
        <v>0</v>
      </c>
      <c r="BM1057" s="1906">
        <f t="shared" si="961"/>
        <v>0</v>
      </c>
      <c r="BN1057" s="1906">
        <f t="shared" si="962"/>
        <v>0</v>
      </c>
      <c r="BO1057" s="1971"/>
      <c r="BP1057" s="1906">
        <f t="shared" si="963"/>
        <v>0</v>
      </c>
      <c r="BQ1057" s="1906">
        <f t="shared" si="964"/>
        <v>0</v>
      </c>
      <c r="BR1057" s="1906">
        <f t="shared" si="965"/>
        <v>0</v>
      </c>
      <c r="BS1057" s="1906">
        <f t="shared" si="966"/>
        <v>0</v>
      </c>
      <c r="BT1057" s="1906">
        <f t="shared" si="967"/>
        <v>0</v>
      </c>
      <c r="BU1057" s="1906">
        <f t="shared" si="968"/>
        <v>0</v>
      </c>
      <c r="BV1057" s="1906">
        <f t="shared" si="969"/>
        <v>0</v>
      </c>
      <c r="BW1057" s="1906">
        <f t="shared" si="970"/>
        <v>0</v>
      </c>
      <c r="BX1057" s="1906">
        <f t="shared" si="971"/>
        <v>0</v>
      </c>
      <c r="BY1057" s="1906">
        <f t="shared" si="972"/>
        <v>0</v>
      </c>
      <c r="BZ1057" s="1906">
        <f t="shared" si="973"/>
        <v>0</v>
      </c>
      <c r="CA1057" s="1906">
        <f t="shared" si="974"/>
        <v>0</v>
      </c>
      <c r="CB1057" s="1971"/>
      <c r="CC1057" s="1906">
        <f t="shared" si="975"/>
        <v>0</v>
      </c>
      <c r="CD1057" s="1906">
        <f t="shared" si="976"/>
        <v>0</v>
      </c>
      <c r="CE1057" s="1906">
        <f t="shared" si="977"/>
        <v>0</v>
      </c>
      <c r="CF1057" s="1906">
        <f t="shared" si="978"/>
        <v>0</v>
      </c>
      <c r="CG1057" s="1906">
        <f t="shared" si="979"/>
        <v>0</v>
      </c>
      <c r="CH1057" s="1906">
        <f t="shared" si="980"/>
        <v>0</v>
      </c>
      <c r="CI1057" s="1906">
        <f t="shared" si="981"/>
        <v>0</v>
      </c>
      <c r="CJ1057" s="1906">
        <f t="shared" si="982"/>
        <v>0</v>
      </c>
      <c r="CK1057" s="1906">
        <f t="shared" si="983"/>
        <v>0</v>
      </c>
      <c r="CL1057" s="1906">
        <f t="shared" si="984"/>
        <v>0</v>
      </c>
      <c r="CM1057" s="1906">
        <f t="shared" si="985"/>
        <v>0</v>
      </c>
      <c r="CN1057" s="1906">
        <f t="shared" si="986"/>
        <v>0</v>
      </c>
      <c r="CO1057" s="1971">
        <f t="shared" si="987"/>
        <v>0</v>
      </c>
      <c r="CP1057" s="1906">
        <f t="shared" si="1004"/>
        <v>0</v>
      </c>
      <c r="CQ1057" s="1906">
        <f t="shared" si="988"/>
        <v>0</v>
      </c>
      <c r="CR1057" s="1906">
        <f t="shared" si="989"/>
        <v>0</v>
      </c>
      <c r="CS1057" s="1906">
        <f t="shared" si="990"/>
        <v>0</v>
      </c>
      <c r="CT1057" s="1906">
        <f t="shared" si="991"/>
        <v>0</v>
      </c>
      <c r="CU1057" s="1906">
        <f t="shared" si="991"/>
        <v>0</v>
      </c>
      <c r="CV1057" s="1906">
        <f t="shared" si="991"/>
        <v>0</v>
      </c>
      <c r="CW1057" s="1906">
        <f t="shared" si="991"/>
        <v>0</v>
      </c>
      <c r="CX1057" s="1906">
        <f t="shared" si="991"/>
        <v>0</v>
      </c>
      <c r="CY1057" s="1906">
        <f t="shared" si="991"/>
        <v>0</v>
      </c>
      <c r="CZ1057" s="1906">
        <f t="shared" si="991"/>
        <v>0</v>
      </c>
      <c r="DA1057" s="1906">
        <f t="shared" si="991"/>
        <v>0</v>
      </c>
      <c r="DB1057" s="595">
        <f t="shared" si="1005"/>
        <v>0</v>
      </c>
      <c r="DC1057" s="1443">
        <f t="shared" si="1006"/>
        <v>0</v>
      </c>
      <c r="DD1057" s="107"/>
      <c r="DE1057" s="111">
        <f t="shared" si="1007"/>
        <v>0</v>
      </c>
      <c r="DF1057" s="1906">
        <f t="shared" si="992"/>
        <v>0</v>
      </c>
      <c r="DG1057" s="1906">
        <f t="shared" si="993"/>
        <v>0</v>
      </c>
      <c r="DH1057" s="1906">
        <f t="shared" si="994"/>
        <v>0</v>
      </c>
      <c r="DI1057" s="1906">
        <f t="shared" si="995"/>
        <v>0</v>
      </c>
      <c r="DJ1057" s="1906">
        <f t="shared" si="996"/>
        <v>0</v>
      </c>
      <c r="DK1057" s="1906">
        <f t="shared" si="997"/>
        <v>0</v>
      </c>
      <c r="DL1057" s="1906">
        <f t="shared" si="998"/>
        <v>0</v>
      </c>
      <c r="DM1057" s="1906">
        <f t="shared" si="999"/>
        <v>0</v>
      </c>
      <c r="DN1057" s="1906">
        <f t="shared" si="1000"/>
        <v>0</v>
      </c>
      <c r="DO1057" s="1906">
        <f t="shared" si="1001"/>
        <v>0</v>
      </c>
      <c r="DP1057" s="1906">
        <f t="shared" si="1002"/>
        <v>0</v>
      </c>
      <c r="DQ1057" s="1906">
        <f t="shared" si="1003"/>
        <v>0</v>
      </c>
    </row>
    <row r="1058" spans="1:121" x14ac:dyDescent="0.2">
      <c r="A1058" s="6"/>
      <c r="B1058" s="1971" t="str">
        <f t="shared" si="903"/>
        <v>Alfalfa 1</v>
      </c>
      <c r="C1058" s="1906" t="str">
        <f t="shared" si="904"/>
        <v/>
      </c>
      <c r="D1058" s="1906" t="str">
        <f t="shared" si="905"/>
        <v/>
      </c>
      <c r="E1058" s="1906" t="str">
        <f t="shared" si="906"/>
        <v/>
      </c>
      <c r="F1058" s="1906" t="str">
        <f t="shared" si="907"/>
        <v/>
      </c>
      <c r="G1058" s="1906" t="str">
        <f t="shared" si="908"/>
        <v/>
      </c>
      <c r="H1058" s="1906" t="str">
        <f t="shared" si="909"/>
        <v/>
      </c>
      <c r="I1058" s="1906" t="str">
        <f t="shared" si="910"/>
        <v/>
      </c>
      <c r="J1058" s="1906" t="str">
        <f t="shared" si="911"/>
        <v/>
      </c>
      <c r="K1058" s="1906" t="str">
        <f t="shared" si="912"/>
        <v/>
      </c>
      <c r="L1058" s="1906" t="str">
        <f t="shared" si="913"/>
        <v/>
      </c>
      <c r="M1058" s="1906" t="str">
        <f t="shared" si="914"/>
        <v/>
      </c>
      <c r="N1058" s="1906" t="str">
        <f t="shared" si="915"/>
        <v/>
      </c>
      <c r="O1058" s="1971"/>
      <c r="P1058" s="1906">
        <f t="shared" si="916"/>
        <v>0</v>
      </c>
      <c r="Q1058" s="1906">
        <f t="shared" si="917"/>
        <v>0</v>
      </c>
      <c r="R1058" s="1906">
        <f t="shared" si="918"/>
        <v>0</v>
      </c>
      <c r="S1058" s="1906">
        <f t="shared" si="919"/>
        <v>0</v>
      </c>
      <c r="T1058" s="1906">
        <f t="shared" si="920"/>
        <v>0</v>
      </c>
      <c r="U1058" s="1906">
        <f t="shared" si="921"/>
        <v>0</v>
      </c>
      <c r="V1058" s="1906">
        <f t="shared" si="922"/>
        <v>0</v>
      </c>
      <c r="W1058" s="1906">
        <f t="shared" si="923"/>
        <v>0</v>
      </c>
      <c r="X1058" s="1906">
        <f t="shared" si="924"/>
        <v>0</v>
      </c>
      <c r="Y1058" s="1906">
        <f t="shared" si="925"/>
        <v>0</v>
      </c>
      <c r="Z1058" s="1906">
        <f t="shared" si="926"/>
        <v>0</v>
      </c>
      <c r="AA1058" s="1906">
        <f t="shared" si="927"/>
        <v>0</v>
      </c>
      <c r="AB1058" s="1971"/>
      <c r="AC1058" s="1906"/>
      <c r="AD1058" s="1906">
        <f t="shared" si="928"/>
        <v>0</v>
      </c>
      <c r="AE1058" s="1906">
        <f t="shared" si="929"/>
        <v>0</v>
      </c>
      <c r="AF1058" s="1906">
        <f t="shared" si="930"/>
        <v>0</v>
      </c>
      <c r="AG1058" s="1906">
        <f t="shared" si="931"/>
        <v>0</v>
      </c>
      <c r="AH1058" s="1906">
        <f t="shared" si="932"/>
        <v>0</v>
      </c>
      <c r="AI1058" s="1906">
        <f t="shared" si="933"/>
        <v>0</v>
      </c>
      <c r="AJ1058" s="1906">
        <f t="shared" si="934"/>
        <v>0</v>
      </c>
      <c r="AK1058" s="1906">
        <f t="shared" si="935"/>
        <v>0</v>
      </c>
      <c r="AL1058" s="1906">
        <f t="shared" si="936"/>
        <v>0</v>
      </c>
      <c r="AM1058" s="1906">
        <f t="shared" si="937"/>
        <v>0</v>
      </c>
      <c r="AN1058" s="1906">
        <f t="shared" si="938"/>
        <v>0</v>
      </c>
      <c r="AO1058" s="1971"/>
      <c r="AP1058" s="1906">
        <f t="shared" si="939"/>
        <v>0</v>
      </c>
      <c r="AQ1058" s="1906">
        <f t="shared" si="940"/>
        <v>0</v>
      </c>
      <c r="AR1058" s="1906">
        <f t="shared" si="941"/>
        <v>0</v>
      </c>
      <c r="AS1058" s="1906">
        <f t="shared" si="942"/>
        <v>0</v>
      </c>
      <c r="AT1058" s="1906">
        <f t="shared" si="943"/>
        <v>0</v>
      </c>
      <c r="AU1058" s="1906">
        <f t="shared" si="944"/>
        <v>0</v>
      </c>
      <c r="AV1058" s="1906">
        <f t="shared" si="945"/>
        <v>0</v>
      </c>
      <c r="AW1058" s="1906">
        <f t="shared" si="946"/>
        <v>0</v>
      </c>
      <c r="AX1058" s="1906">
        <f t="shared" si="947"/>
        <v>0</v>
      </c>
      <c r="AY1058" s="1906">
        <f t="shared" si="948"/>
        <v>0</v>
      </c>
      <c r="AZ1058" s="1906">
        <f t="shared" si="949"/>
        <v>0</v>
      </c>
      <c r="BA1058" s="1906">
        <f t="shared" si="950"/>
        <v>0</v>
      </c>
      <c r="BB1058" s="1971"/>
      <c r="BC1058" s="1906">
        <f t="shared" si="951"/>
        <v>0</v>
      </c>
      <c r="BD1058" s="1906">
        <f t="shared" si="952"/>
        <v>0</v>
      </c>
      <c r="BE1058" s="1906">
        <f t="shared" si="953"/>
        <v>0</v>
      </c>
      <c r="BF1058" s="1906">
        <f t="shared" si="954"/>
        <v>0</v>
      </c>
      <c r="BG1058" s="1906">
        <f t="shared" si="955"/>
        <v>0</v>
      </c>
      <c r="BH1058" s="1906">
        <f t="shared" si="956"/>
        <v>0</v>
      </c>
      <c r="BI1058" s="1906">
        <f t="shared" si="957"/>
        <v>0</v>
      </c>
      <c r="BJ1058" s="1906">
        <f t="shared" si="958"/>
        <v>0</v>
      </c>
      <c r="BK1058" s="1906">
        <f t="shared" si="959"/>
        <v>0</v>
      </c>
      <c r="BL1058" s="1906">
        <f t="shared" si="960"/>
        <v>0</v>
      </c>
      <c r="BM1058" s="1906">
        <f t="shared" si="961"/>
        <v>0</v>
      </c>
      <c r="BN1058" s="1906">
        <f t="shared" si="962"/>
        <v>0</v>
      </c>
      <c r="BO1058" s="1971"/>
      <c r="BP1058" s="1906">
        <f t="shared" si="963"/>
        <v>0</v>
      </c>
      <c r="BQ1058" s="1906">
        <f t="shared" si="964"/>
        <v>0</v>
      </c>
      <c r="BR1058" s="1906">
        <f t="shared" si="965"/>
        <v>0</v>
      </c>
      <c r="BS1058" s="1906">
        <f t="shared" si="966"/>
        <v>0</v>
      </c>
      <c r="BT1058" s="1906">
        <f t="shared" si="967"/>
        <v>0</v>
      </c>
      <c r="BU1058" s="1906">
        <f t="shared" si="968"/>
        <v>0</v>
      </c>
      <c r="BV1058" s="1906">
        <f t="shared" si="969"/>
        <v>0</v>
      </c>
      <c r="BW1058" s="1906">
        <f t="shared" si="970"/>
        <v>0</v>
      </c>
      <c r="BX1058" s="1906">
        <f t="shared" si="971"/>
        <v>0</v>
      </c>
      <c r="BY1058" s="1906">
        <f t="shared" si="972"/>
        <v>0</v>
      </c>
      <c r="BZ1058" s="1906">
        <f t="shared" si="973"/>
        <v>0</v>
      </c>
      <c r="CA1058" s="1906">
        <f t="shared" si="974"/>
        <v>0</v>
      </c>
      <c r="CB1058" s="1971"/>
      <c r="CC1058" s="1906">
        <f t="shared" si="975"/>
        <v>0</v>
      </c>
      <c r="CD1058" s="1906">
        <f t="shared" si="976"/>
        <v>0</v>
      </c>
      <c r="CE1058" s="1906">
        <f t="shared" si="977"/>
        <v>0</v>
      </c>
      <c r="CF1058" s="1906">
        <f t="shared" si="978"/>
        <v>0</v>
      </c>
      <c r="CG1058" s="1906">
        <f t="shared" si="979"/>
        <v>0</v>
      </c>
      <c r="CH1058" s="1906">
        <f t="shared" si="980"/>
        <v>0</v>
      </c>
      <c r="CI1058" s="1906">
        <f t="shared" si="981"/>
        <v>0</v>
      </c>
      <c r="CJ1058" s="1906">
        <f t="shared" si="982"/>
        <v>0</v>
      </c>
      <c r="CK1058" s="1906">
        <f t="shared" si="983"/>
        <v>0</v>
      </c>
      <c r="CL1058" s="1906">
        <f t="shared" si="984"/>
        <v>0</v>
      </c>
      <c r="CM1058" s="1906">
        <f t="shared" si="985"/>
        <v>0</v>
      </c>
      <c r="CN1058" s="1906">
        <f t="shared" si="986"/>
        <v>0</v>
      </c>
      <c r="CO1058" s="1971" t="str">
        <f t="shared" si="987"/>
        <v>Alfalfa 1</v>
      </c>
      <c r="CP1058" s="1906">
        <f t="shared" si="1004"/>
        <v>0</v>
      </c>
      <c r="CQ1058" s="1906">
        <f t="shared" si="988"/>
        <v>0</v>
      </c>
      <c r="CR1058" s="1906">
        <f t="shared" si="989"/>
        <v>0</v>
      </c>
      <c r="CS1058" s="1906">
        <f t="shared" si="990"/>
        <v>0</v>
      </c>
      <c r="CT1058" s="1906">
        <f t="shared" si="991"/>
        <v>0</v>
      </c>
      <c r="CU1058" s="1906">
        <f t="shared" si="991"/>
        <v>0</v>
      </c>
      <c r="CV1058" s="1906">
        <f t="shared" si="991"/>
        <v>0</v>
      </c>
      <c r="CW1058" s="1906">
        <f t="shared" si="991"/>
        <v>0</v>
      </c>
      <c r="CX1058" s="1906">
        <f t="shared" si="991"/>
        <v>0</v>
      </c>
      <c r="CY1058" s="1906">
        <f t="shared" si="991"/>
        <v>0</v>
      </c>
      <c r="CZ1058" s="1906">
        <f t="shared" si="991"/>
        <v>0</v>
      </c>
      <c r="DA1058" s="1906">
        <f t="shared" si="991"/>
        <v>0</v>
      </c>
      <c r="DB1058" s="595" t="str">
        <f t="shared" si="1005"/>
        <v>Alfalfa 1</v>
      </c>
      <c r="DC1058" s="1443">
        <f t="shared" si="1006"/>
        <v>0</v>
      </c>
      <c r="DD1058" s="107"/>
      <c r="DE1058" s="111" t="str">
        <f t="shared" si="1007"/>
        <v>Alfalfa 1</v>
      </c>
      <c r="DF1058" s="1906">
        <f t="shared" si="992"/>
        <v>0</v>
      </c>
      <c r="DG1058" s="1906">
        <f t="shared" si="993"/>
        <v>0</v>
      </c>
      <c r="DH1058" s="1906">
        <f t="shared" si="994"/>
        <v>0</v>
      </c>
      <c r="DI1058" s="1906">
        <f t="shared" si="995"/>
        <v>0</v>
      </c>
      <c r="DJ1058" s="1906">
        <f t="shared" si="996"/>
        <v>0</v>
      </c>
      <c r="DK1058" s="1906">
        <f t="shared" si="997"/>
        <v>0</v>
      </c>
      <c r="DL1058" s="1906">
        <f t="shared" si="998"/>
        <v>0</v>
      </c>
      <c r="DM1058" s="1906">
        <f t="shared" si="999"/>
        <v>0</v>
      </c>
      <c r="DN1058" s="1906">
        <f t="shared" si="1000"/>
        <v>0</v>
      </c>
      <c r="DO1058" s="1906">
        <f t="shared" si="1001"/>
        <v>0</v>
      </c>
      <c r="DP1058" s="1906">
        <f t="shared" si="1002"/>
        <v>0</v>
      </c>
      <c r="DQ1058" s="1906">
        <f t="shared" si="1003"/>
        <v>0</v>
      </c>
    </row>
    <row r="1059" spans="1:121" x14ac:dyDescent="0.2">
      <c r="A1059" s="6"/>
      <c r="B1059" s="1971" t="str">
        <f t="shared" si="903"/>
        <v>PP 1</v>
      </c>
      <c r="C1059" s="1906" t="str">
        <f t="shared" si="904"/>
        <v/>
      </c>
      <c r="D1059" s="1906" t="str">
        <f t="shared" si="905"/>
        <v/>
      </c>
      <c r="E1059" s="1906" t="str">
        <f t="shared" si="906"/>
        <v/>
      </c>
      <c r="F1059" s="1906" t="str">
        <f t="shared" si="907"/>
        <v/>
      </c>
      <c r="G1059" s="1906" t="str">
        <f t="shared" si="908"/>
        <v/>
      </c>
      <c r="H1059" s="1906" t="str">
        <f t="shared" si="909"/>
        <v/>
      </c>
      <c r="I1059" s="1906" t="str">
        <f t="shared" si="910"/>
        <v/>
      </c>
      <c r="J1059" s="1906" t="str">
        <f t="shared" si="911"/>
        <v/>
      </c>
      <c r="K1059" s="1906" t="str">
        <f t="shared" si="912"/>
        <v/>
      </c>
      <c r="L1059" s="1906" t="str">
        <f t="shared" si="913"/>
        <v/>
      </c>
      <c r="M1059" s="1906" t="str">
        <f t="shared" si="914"/>
        <v/>
      </c>
      <c r="N1059" s="1906" t="str">
        <f t="shared" si="915"/>
        <v/>
      </c>
      <c r="O1059" s="1971"/>
      <c r="P1059" s="1906">
        <f t="shared" si="916"/>
        <v>0</v>
      </c>
      <c r="Q1059" s="1906">
        <f t="shared" si="917"/>
        <v>0</v>
      </c>
      <c r="R1059" s="1906">
        <f t="shared" si="918"/>
        <v>0</v>
      </c>
      <c r="S1059" s="1906">
        <f t="shared" si="919"/>
        <v>0</v>
      </c>
      <c r="T1059" s="1906">
        <f t="shared" si="920"/>
        <v>0</v>
      </c>
      <c r="U1059" s="1906">
        <f t="shared" si="921"/>
        <v>0</v>
      </c>
      <c r="V1059" s="1906">
        <f t="shared" si="922"/>
        <v>0</v>
      </c>
      <c r="W1059" s="1906">
        <f t="shared" si="923"/>
        <v>0</v>
      </c>
      <c r="X1059" s="1906">
        <f t="shared" si="924"/>
        <v>0</v>
      </c>
      <c r="Y1059" s="1906">
        <f t="shared" si="925"/>
        <v>0</v>
      </c>
      <c r="Z1059" s="1906">
        <f t="shared" si="926"/>
        <v>0</v>
      </c>
      <c r="AA1059" s="1906">
        <f t="shared" si="927"/>
        <v>0</v>
      </c>
      <c r="AB1059" s="1971"/>
      <c r="AC1059" s="1906"/>
      <c r="AD1059" s="1906">
        <f t="shared" si="928"/>
        <v>0</v>
      </c>
      <c r="AE1059" s="1906">
        <f t="shared" si="929"/>
        <v>0</v>
      </c>
      <c r="AF1059" s="1906">
        <f t="shared" si="930"/>
        <v>0</v>
      </c>
      <c r="AG1059" s="1906">
        <f t="shared" si="931"/>
        <v>0</v>
      </c>
      <c r="AH1059" s="1906">
        <f t="shared" si="932"/>
        <v>0</v>
      </c>
      <c r="AI1059" s="1906">
        <f t="shared" si="933"/>
        <v>0</v>
      </c>
      <c r="AJ1059" s="1906">
        <f t="shared" si="934"/>
        <v>0</v>
      </c>
      <c r="AK1059" s="1906">
        <f t="shared" si="935"/>
        <v>0</v>
      </c>
      <c r="AL1059" s="1906">
        <f t="shared" si="936"/>
        <v>0</v>
      </c>
      <c r="AM1059" s="1906">
        <f t="shared" si="937"/>
        <v>0</v>
      </c>
      <c r="AN1059" s="1906">
        <f t="shared" si="938"/>
        <v>0</v>
      </c>
      <c r="AO1059" s="1971"/>
      <c r="AP1059" s="1906">
        <f t="shared" si="939"/>
        <v>0</v>
      </c>
      <c r="AQ1059" s="1906">
        <f t="shared" si="940"/>
        <v>0</v>
      </c>
      <c r="AR1059" s="1906">
        <f t="shared" si="941"/>
        <v>0</v>
      </c>
      <c r="AS1059" s="1906">
        <f t="shared" si="942"/>
        <v>0</v>
      </c>
      <c r="AT1059" s="1906">
        <f t="shared" si="943"/>
        <v>0</v>
      </c>
      <c r="AU1059" s="1906">
        <f t="shared" si="944"/>
        <v>0</v>
      </c>
      <c r="AV1059" s="1906">
        <f t="shared" si="945"/>
        <v>0</v>
      </c>
      <c r="AW1059" s="1906">
        <f t="shared" si="946"/>
        <v>0</v>
      </c>
      <c r="AX1059" s="1906">
        <f t="shared" si="947"/>
        <v>0</v>
      </c>
      <c r="AY1059" s="1906">
        <f t="shared" si="948"/>
        <v>0</v>
      </c>
      <c r="AZ1059" s="1906">
        <f t="shared" si="949"/>
        <v>0</v>
      </c>
      <c r="BA1059" s="1906">
        <f t="shared" si="950"/>
        <v>0</v>
      </c>
      <c r="BB1059" s="1971"/>
      <c r="BC1059" s="1906">
        <f t="shared" si="951"/>
        <v>0</v>
      </c>
      <c r="BD1059" s="1906">
        <f t="shared" si="952"/>
        <v>0</v>
      </c>
      <c r="BE1059" s="1906">
        <f t="shared" si="953"/>
        <v>0</v>
      </c>
      <c r="BF1059" s="1906">
        <f t="shared" si="954"/>
        <v>0</v>
      </c>
      <c r="BG1059" s="1906">
        <f t="shared" si="955"/>
        <v>0</v>
      </c>
      <c r="BH1059" s="1906">
        <f t="shared" si="956"/>
        <v>0</v>
      </c>
      <c r="BI1059" s="1906">
        <f t="shared" si="957"/>
        <v>0</v>
      </c>
      <c r="BJ1059" s="1906">
        <f t="shared" si="958"/>
        <v>0</v>
      </c>
      <c r="BK1059" s="1906">
        <f t="shared" si="959"/>
        <v>0</v>
      </c>
      <c r="BL1059" s="1906">
        <f t="shared" si="960"/>
        <v>0</v>
      </c>
      <c r="BM1059" s="1906">
        <f t="shared" si="961"/>
        <v>0</v>
      </c>
      <c r="BN1059" s="1906">
        <f t="shared" si="962"/>
        <v>0</v>
      </c>
      <c r="BO1059" s="1971"/>
      <c r="BP1059" s="1906">
        <f t="shared" si="963"/>
        <v>0</v>
      </c>
      <c r="BQ1059" s="1906">
        <f t="shared" si="964"/>
        <v>0</v>
      </c>
      <c r="BR1059" s="1906">
        <f t="shared" si="965"/>
        <v>0</v>
      </c>
      <c r="BS1059" s="1906">
        <f t="shared" si="966"/>
        <v>0</v>
      </c>
      <c r="BT1059" s="1906">
        <f t="shared" si="967"/>
        <v>0</v>
      </c>
      <c r="BU1059" s="1906">
        <f t="shared" si="968"/>
        <v>0</v>
      </c>
      <c r="BV1059" s="1906">
        <f t="shared" si="969"/>
        <v>0</v>
      </c>
      <c r="BW1059" s="1906">
        <f t="shared" si="970"/>
        <v>0</v>
      </c>
      <c r="BX1059" s="1906">
        <f t="shared" si="971"/>
        <v>0</v>
      </c>
      <c r="BY1059" s="1906">
        <f t="shared" si="972"/>
        <v>0</v>
      </c>
      <c r="BZ1059" s="1906">
        <f t="shared" si="973"/>
        <v>0</v>
      </c>
      <c r="CA1059" s="1906">
        <f t="shared" si="974"/>
        <v>0</v>
      </c>
      <c r="CB1059" s="1971"/>
      <c r="CC1059" s="1906">
        <f t="shared" si="975"/>
        <v>0</v>
      </c>
      <c r="CD1059" s="1906">
        <f t="shared" si="976"/>
        <v>0</v>
      </c>
      <c r="CE1059" s="1906">
        <f t="shared" si="977"/>
        <v>0</v>
      </c>
      <c r="CF1059" s="1906">
        <f t="shared" si="978"/>
        <v>0</v>
      </c>
      <c r="CG1059" s="1906">
        <f t="shared" si="979"/>
        <v>0</v>
      </c>
      <c r="CH1059" s="1906">
        <f t="shared" si="980"/>
        <v>0</v>
      </c>
      <c r="CI1059" s="1906">
        <f t="shared" si="981"/>
        <v>0</v>
      </c>
      <c r="CJ1059" s="1906">
        <f t="shared" si="982"/>
        <v>0</v>
      </c>
      <c r="CK1059" s="1906">
        <f t="shared" si="983"/>
        <v>0</v>
      </c>
      <c r="CL1059" s="1906">
        <f t="shared" si="984"/>
        <v>0</v>
      </c>
      <c r="CM1059" s="1906">
        <f t="shared" si="985"/>
        <v>0</v>
      </c>
      <c r="CN1059" s="1906">
        <f t="shared" si="986"/>
        <v>0</v>
      </c>
      <c r="CO1059" s="1971" t="str">
        <f t="shared" si="987"/>
        <v>PP 1</v>
      </c>
      <c r="CP1059" s="1906">
        <f t="shared" si="1004"/>
        <v>0</v>
      </c>
      <c r="CQ1059" s="1906">
        <f t="shared" si="988"/>
        <v>0</v>
      </c>
      <c r="CR1059" s="1906">
        <f t="shared" si="989"/>
        <v>0</v>
      </c>
      <c r="CS1059" s="1906">
        <f t="shared" si="990"/>
        <v>0</v>
      </c>
      <c r="CT1059" s="1906">
        <f t="shared" si="991"/>
        <v>0</v>
      </c>
      <c r="CU1059" s="1906">
        <f t="shared" si="991"/>
        <v>0</v>
      </c>
      <c r="CV1059" s="1906">
        <f t="shared" si="991"/>
        <v>0</v>
      </c>
      <c r="CW1059" s="1906">
        <f t="shared" si="991"/>
        <v>0</v>
      </c>
      <c r="CX1059" s="1906">
        <f t="shared" si="991"/>
        <v>0</v>
      </c>
      <c r="CY1059" s="1906">
        <f t="shared" si="991"/>
        <v>0</v>
      </c>
      <c r="CZ1059" s="1906">
        <f t="shared" si="991"/>
        <v>0</v>
      </c>
      <c r="DA1059" s="1906">
        <f t="shared" si="991"/>
        <v>0</v>
      </c>
      <c r="DB1059" s="595" t="str">
        <f t="shared" si="1005"/>
        <v>PP 1</v>
      </c>
      <c r="DC1059" s="1443">
        <f t="shared" si="1006"/>
        <v>0</v>
      </c>
      <c r="DD1059" s="107"/>
      <c r="DE1059" s="111" t="str">
        <f t="shared" si="1007"/>
        <v>PP 1</v>
      </c>
      <c r="DF1059" s="1906">
        <f t="shared" si="992"/>
        <v>0</v>
      </c>
      <c r="DG1059" s="1906">
        <f t="shared" si="993"/>
        <v>0</v>
      </c>
      <c r="DH1059" s="1906">
        <f t="shared" si="994"/>
        <v>0</v>
      </c>
      <c r="DI1059" s="1906">
        <f t="shared" si="995"/>
        <v>0</v>
      </c>
      <c r="DJ1059" s="1906">
        <f t="shared" si="996"/>
        <v>0</v>
      </c>
      <c r="DK1059" s="1906">
        <f t="shared" si="997"/>
        <v>0</v>
      </c>
      <c r="DL1059" s="1906">
        <f t="shared" si="998"/>
        <v>0</v>
      </c>
      <c r="DM1059" s="1906">
        <f t="shared" si="999"/>
        <v>0</v>
      </c>
      <c r="DN1059" s="1906">
        <f t="shared" si="1000"/>
        <v>0</v>
      </c>
      <c r="DO1059" s="1906">
        <f t="shared" si="1001"/>
        <v>0</v>
      </c>
      <c r="DP1059" s="1906">
        <f t="shared" si="1002"/>
        <v>0</v>
      </c>
      <c r="DQ1059" s="1906">
        <f t="shared" si="1003"/>
        <v>0</v>
      </c>
    </row>
    <row r="1060" spans="1:121" x14ac:dyDescent="0.2">
      <c r="A1060" s="6"/>
      <c r="B1060" s="1971" t="str">
        <f t="shared" si="903"/>
        <v>Prad 1</v>
      </c>
      <c r="C1060" s="1906" t="str">
        <f t="shared" si="904"/>
        <v/>
      </c>
      <c r="D1060" s="1906" t="str">
        <f t="shared" si="905"/>
        <v/>
      </c>
      <c r="E1060" s="1906" t="str">
        <f t="shared" si="906"/>
        <v/>
      </c>
      <c r="F1060" s="1906" t="str">
        <f t="shared" si="907"/>
        <v/>
      </c>
      <c r="G1060" s="1906" t="str">
        <f t="shared" si="908"/>
        <v/>
      </c>
      <c r="H1060" s="1906" t="str">
        <f t="shared" si="909"/>
        <v/>
      </c>
      <c r="I1060" s="1906" t="str">
        <f t="shared" si="910"/>
        <v/>
      </c>
      <c r="J1060" s="1906" t="str">
        <f t="shared" si="911"/>
        <v/>
      </c>
      <c r="K1060" s="1906" t="str">
        <f t="shared" si="912"/>
        <v/>
      </c>
      <c r="L1060" s="1906" t="str">
        <f t="shared" si="913"/>
        <v/>
      </c>
      <c r="M1060" s="1906" t="str">
        <f t="shared" si="914"/>
        <v/>
      </c>
      <c r="N1060" s="1906" t="str">
        <f t="shared" si="915"/>
        <v/>
      </c>
      <c r="O1060" s="1971"/>
      <c r="P1060" s="1906">
        <f t="shared" si="916"/>
        <v>0</v>
      </c>
      <c r="Q1060" s="1906">
        <f t="shared" si="917"/>
        <v>0</v>
      </c>
      <c r="R1060" s="1906">
        <f t="shared" si="918"/>
        <v>0</v>
      </c>
      <c r="S1060" s="1906">
        <f t="shared" si="919"/>
        <v>0</v>
      </c>
      <c r="T1060" s="1906">
        <f t="shared" si="920"/>
        <v>0</v>
      </c>
      <c r="U1060" s="1906">
        <f t="shared" si="921"/>
        <v>0</v>
      </c>
      <c r="V1060" s="1906">
        <f t="shared" si="922"/>
        <v>0</v>
      </c>
      <c r="W1060" s="1906">
        <f t="shared" si="923"/>
        <v>0</v>
      </c>
      <c r="X1060" s="1906">
        <f t="shared" si="924"/>
        <v>0</v>
      </c>
      <c r="Y1060" s="1906">
        <f t="shared" si="925"/>
        <v>0</v>
      </c>
      <c r="Z1060" s="1906">
        <f t="shared" si="926"/>
        <v>0</v>
      </c>
      <c r="AA1060" s="1906">
        <f t="shared" si="927"/>
        <v>0</v>
      </c>
      <c r="AB1060" s="1971"/>
      <c r="AC1060" s="1906"/>
      <c r="AD1060" s="1906">
        <f t="shared" si="928"/>
        <v>0</v>
      </c>
      <c r="AE1060" s="1906">
        <f t="shared" si="929"/>
        <v>0</v>
      </c>
      <c r="AF1060" s="1906">
        <f t="shared" si="930"/>
        <v>0</v>
      </c>
      <c r="AG1060" s="1906">
        <f t="shared" si="931"/>
        <v>0</v>
      </c>
      <c r="AH1060" s="1906">
        <f t="shared" si="932"/>
        <v>0</v>
      </c>
      <c r="AI1060" s="1906">
        <f t="shared" si="933"/>
        <v>0</v>
      </c>
      <c r="AJ1060" s="1906">
        <f t="shared" si="934"/>
        <v>0</v>
      </c>
      <c r="AK1060" s="1906">
        <f t="shared" si="935"/>
        <v>0</v>
      </c>
      <c r="AL1060" s="1906">
        <f t="shared" si="936"/>
        <v>0</v>
      </c>
      <c r="AM1060" s="1906">
        <f t="shared" si="937"/>
        <v>0</v>
      </c>
      <c r="AN1060" s="1906">
        <f t="shared" si="938"/>
        <v>0</v>
      </c>
      <c r="AO1060" s="1971"/>
      <c r="AP1060" s="1906">
        <f t="shared" si="939"/>
        <v>0</v>
      </c>
      <c r="AQ1060" s="1906">
        <f t="shared" si="940"/>
        <v>0</v>
      </c>
      <c r="AR1060" s="1906">
        <f t="shared" si="941"/>
        <v>0</v>
      </c>
      <c r="AS1060" s="1906">
        <f t="shared" si="942"/>
        <v>0</v>
      </c>
      <c r="AT1060" s="1906">
        <f t="shared" si="943"/>
        <v>0</v>
      </c>
      <c r="AU1060" s="1906">
        <f t="shared" si="944"/>
        <v>0</v>
      </c>
      <c r="AV1060" s="1906">
        <f t="shared" si="945"/>
        <v>0</v>
      </c>
      <c r="AW1060" s="1906">
        <f t="shared" si="946"/>
        <v>0</v>
      </c>
      <c r="AX1060" s="1906">
        <f t="shared" si="947"/>
        <v>0</v>
      </c>
      <c r="AY1060" s="1906">
        <f t="shared" si="948"/>
        <v>0</v>
      </c>
      <c r="AZ1060" s="1906">
        <f t="shared" si="949"/>
        <v>0</v>
      </c>
      <c r="BA1060" s="1906">
        <f t="shared" si="950"/>
        <v>0</v>
      </c>
      <c r="BB1060" s="1971"/>
      <c r="BC1060" s="1906">
        <f t="shared" si="951"/>
        <v>0</v>
      </c>
      <c r="BD1060" s="1906">
        <f t="shared" si="952"/>
        <v>0</v>
      </c>
      <c r="BE1060" s="1906">
        <f t="shared" si="953"/>
        <v>0</v>
      </c>
      <c r="BF1060" s="1906">
        <f t="shared" si="954"/>
        <v>0</v>
      </c>
      <c r="BG1060" s="1906">
        <f t="shared" si="955"/>
        <v>0</v>
      </c>
      <c r="BH1060" s="1906">
        <f t="shared" si="956"/>
        <v>0</v>
      </c>
      <c r="BI1060" s="1906">
        <f t="shared" si="957"/>
        <v>0</v>
      </c>
      <c r="BJ1060" s="1906">
        <f t="shared" si="958"/>
        <v>0</v>
      </c>
      <c r="BK1060" s="1906">
        <f t="shared" si="959"/>
        <v>0</v>
      </c>
      <c r="BL1060" s="1906">
        <f t="shared" si="960"/>
        <v>0</v>
      </c>
      <c r="BM1060" s="1906">
        <f t="shared" si="961"/>
        <v>0</v>
      </c>
      <c r="BN1060" s="1906">
        <f t="shared" si="962"/>
        <v>0</v>
      </c>
      <c r="BO1060" s="1971"/>
      <c r="BP1060" s="1906">
        <f t="shared" si="963"/>
        <v>0</v>
      </c>
      <c r="BQ1060" s="1906">
        <f t="shared" si="964"/>
        <v>0</v>
      </c>
      <c r="BR1060" s="1906">
        <f t="shared" si="965"/>
        <v>0</v>
      </c>
      <c r="BS1060" s="1906">
        <f t="shared" si="966"/>
        <v>0</v>
      </c>
      <c r="BT1060" s="1906">
        <f t="shared" si="967"/>
        <v>0</v>
      </c>
      <c r="BU1060" s="1906">
        <f t="shared" si="968"/>
        <v>0</v>
      </c>
      <c r="BV1060" s="1906">
        <f t="shared" si="969"/>
        <v>0</v>
      </c>
      <c r="BW1060" s="1906">
        <f t="shared" si="970"/>
        <v>0</v>
      </c>
      <c r="BX1060" s="1906">
        <f t="shared" si="971"/>
        <v>0</v>
      </c>
      <c r="BY1060" s="1906">
        <f t="shared" si="972"/>
        <v>0</v>
      </c>
      <c r="BZ1060" s="1906">
        <f t="shared" si="973"/>
        <v>0</v>
      </c>
      <c r="CA1060" s="1906">
        <f t="shared" si="974"/>
        <v>0</v>
      </c>
      <c r="CB1060" s="1971"/>
      <c r="CC1060" s="1906">
        <f t="shared" si="975"/>
        <v>0</v>
      </c>
      <c r="CD1060" s="1906">
        <f t="shared" si="976"/>
        <v>0</v>
      </c>
      <c r="CE1060" s="1906">
        <f t="shared" si="977"/>
        <v>0</v>
      </c>
      <c r="CF1060" s="1906">
        <f t="shared" si="978"/>
        <v>0</v>
      </c>
      <c r="CG1060" s="1906">
        <f t="shared" si="979"/>
        <v>0</v>
      </c>
      <c r="CH1060" s="1906">
        <f t="shared" si="980"/>
        <v>0</v>
      </c>
      <c r="CI1060" s="1906">
        <f t="shared" si="981"/>
        <v>0</v>
      </c>
      <c r="CJ1060" s="1906">
        <f t="shared" si="982"/>
        <v>0</v>
      </c>
      <c r="CK1060" s="1906">
        <f t="shared" si="983"/>
        <v>0</v>
      </c>
      <c r="CL1060" s="1906">
        <f t="shared" si="984"/>
        <v>0</v>
      </c>
      <c r="CM1060" s="1906">
        <f t="shared" si="985"/>
        <v>0</v>
      </c>
      <c r="CN1060" s="1906">
        <f t="shared" si="986"/>
        <v>0</v>
      </c>
      <c r="CO1060" s="1971" t="str">
        <f t="shared" si="987"/>
        <v>Prad 1</v>
      </c>
      <c r="CP1060" s="1906">
        <f t="shared" si="1004"/>
        <v>0</v>
      </c>
      <c r="CQ1060" s="1906">
        <f t="shared" si="988"/>
        <v>0</v>
      </c>
      <c r="CR1060" s="1906">
        <f t="shared" si="989"/>
        <v>0</v>
      </c>
      <c r="CS1060" s="1906">
        <f t="shared" si="990"/>
        <v>0</v>
      </c>
      <c r="CT1060" s="1906">
        <f t="shared" si="991"/>
        <v>0</v>
      </c>
      <c r="CU1060" s="1906">
        <f t="shared" si="991"/>
        <v>0</v>
      </c>
      <c r="CV1060" s="1906">
        <f t="shared" si="991"/>
        <v>0</v>
      </c>
      <c r="CW1060" s="1906">
        <f t="shared" si="991"/>
        <v>0</v>
      </c>
      <c r="CX1060" s="1906">
        <f t="shared" si="991"/>
        <v>0</v>
      </c>
      <c r="CY1060" s="1906">
        <f t="shared" si="991"/>
        <v>0</v>
      </c>
      <c r="CZ1060" s="1906">
        <f t="shared" si="991"/>
        <v>0</v>
      </c>
      <c r="DA1060" s="1906">
        <f t="shared" si="991"/>
        <v>0</v>
      </c>
      <c r="DB1060" s="595" t="str">
        <f t="shared" si="1005"/>
        <v>Prad 1</v>
      </c>
      <c r="DC1060" s="1443">
        <f t="shared" si="1006"/>
        <v>0</v>
      </c>
      <c r="DD1060" s="107"/>
      <c r="DE1060" s="111" t="str">
        <f t="shared" si="1007"/>
        <v>Prad 1</v>
      </c>
      <c r="DF1060" s="1906">
        <f t="shared" si="992"/>
        <v>0</v>
      </c>
      <c r="DG1060" s="1906">
        <f t="shared" si="993"/>
        <v>0</v>
      </c>
      <c r="DH1060" s="1906">
        <f t="shared" si="994"/>
        <v>0</v>
      </c>
      <c r="DI1060" s="1906">
        <f t="shared" si="995"/>
        <v>0</v>
      </c>
      <c r="DJ1060" s="1906">
        <f t="shared" si="996"/>
        <v>0</v>
      </c>
      <c r="DK1060" s="1906">
        <f t="shared" si="997"/>
        <v>0</v>
      </c>
      <c r="DL1060" s="1906">
        <f t="shared" si="998"/>
        <v>0</v>
      </c>
      <c r="DM1060" s="1906">
        <f t="shared" si="999"/>
        <v>0</v>
      </c>
      <c r="DN1060" s="1906">
        <f t="shared" si="1000"/>
        <v>0</v>
      </c>
      <c r="DO1060" s="1906">
        <f t="shared" si="1001"/>
        <v>0</v>
      </c>
      <c r="DP1060" s="1906">
        <f t="shared" si="1002"/>
        <v>0</v>
      </c>
      <c r="DQ1060" s="1906">
        <f t="shared" si="1003"/>
        <v>0</v>
      </c>
    </row>
    <row r="1061" spans="1:121" x14ac:dyDescent="0.2">
      <c r="A1061" s="6"/>
      <c r="B1061" s="1971" t="str">
        <f t="shared" si="903"/>
        <v>Trébol Rojo 1</v>
      </c>
      <c r="C1061" s="1906" t="str">
        <f t="shared" si="904"/>
        <v/>
      </c>
      <c r="D1061" s="1906" t="str">
        <f t="shared" si="905"/>
        <v/>
      </c>
      <c r="E1061" s="1906" t="str">
        <f t="shared" si="906"/>
        <v/>
      </c>
      <c r="F1061" s="1906" t="str">
        <f t="shared" si="907"/>
        <v/>
      </c>
      <c r="G1061" s="1906" t="str">
        <f t="shared" si="908"/>
        <v/>
      </c>
      <c r="H1061" s="1906" t="str">
        <f t="shared" si="909"/>
        <v/>
      </c>
      <c r="I1061" s="1906" t="str">
        <f t="shared" si="910"/>
        <v/>
      </c>
      <c r="J1061" s="1906" t="str">
        <f t="shared" si="911"/>
        <v/>
      </c>
      <c r="K1061" s="1906" t="str">
        <f t="shared" si="912"/>
        <v/>
      </c>
      <c r="L1061" s="1906" t="str">
        <f t="shared" si="913"/>
        <v/>
      </c>
      <c r="M1061" s="1906" t="str">
        <f t="shared" si="914"/>
        <v/>
      </c>
      <c r="N1061" s="1906" t="str">
        <f t="shared" si="915"/>
        <v/>
      </c>
      <c r="O1061" s="1971"/>
      <c r="P1061" s="1906">
        <f t="shared" si="916"/>
        <v>0</v>
      </c>
      <c r="Q1061" s="1906">
        <f t="shared" si="917"/>
        <v>0</v>
      </c>
      <c r="R1061" s="1906">
        <f t="shared" si="918"/>
        <v>0</v>
      </c>
      <c r="S1061" s="1906">
        <f t="shared" si="919"/>
        <v>0</v>
      </c>
      <c r="T1061" s="1906">
        <f t="shared" si="920"/>
        <v>0</v>
      </c>
      <c r="U1061" s="1906">
        <f t="shared" si="921"/>
        <v>0</v>
      </c>
      <c r="V1061" s="1906">
        <f t="shared" si="922"/>
        <v>0</v>
      </c>
      <c r="W1061" s="1906">
        <f t="shared" si="923"/>
        <v>0</v>
      </c>
      <c r="X1061" s="1906">
        <f t="shared" si="924"/>
        <v>0</v>
      </c>
      <c r="Y1061" s="1906">
        <f t="shared" si="925"/>
        <v>0</v>
      </c>
      <c r="Z1061" s="1906">
        <f t="shared" si="926"/>
        <v>0</v>
      </c>
      <c r="AA1061" s="1906">
        <f t="shared" si="927"/>
        <v>0</v>
      </c>
      <c r="AB1061" s="1971"/>
      <c r="AC1061" s="1906"/>
      <c r="AD1061" s="1906">
        <f t="shared" si="928"/>
        <v>0</v>
      </c>
      <c r="AE1061" s="1906">
        <f t="shared" si="929"/>
        <v>0</v>
      </c>
      <c r="AF1061" s="1906">
        <f t="shared" si="930"/>
        <v>0</v>
      </c>
      <c r="AG1061" s="1906">
        <f t="shared" si="931"/>
        <v>0</v>
      </c>
      <c r="AH1061" s="1906">
        <f t="shared" si="932"/>
        <v>0</v>
      </c>
      <c r="AI1061" s="1906">
        <f t="shared" si="933"/>
        <v>0</v>
      </c>
      <c r="AJ1061" s="1906">
        <f t="shared" si="934"/>
        <v>0</v>
      </c>
      <c r="AK1061" s="1906">
        <f t="shared" si="935"/>
        <v>0</v>
      </c>
      <c r="AL1061" s="1906">
        <f t="shared" si="936"/>
        <v>0</v>
      </c>
      <c r="AM1061" s="1906">
        <f t="shared" si="937"/>
        <v>0</v>
      </c>
      <c r="AN1061" s="1906">
        <f t="shared" si="938"/>
        <v>0</v>
      </c>
      <c r="AO1061" s="1971"/>
      <c r="AP1061" s="1906">
        <f t="shared" si="939"/>
        <v>0</v>
      </c>
      <c r="AQ1061" s="1906">
        <f t="shared" si="940"/>
        <v>0</v>
      </c>
      <c r="AR1061" s="1906">
        <f t="shared" si="941"/>
        <v>0</v>
      </c>
      <c r="AS1061" s="1906">
        <f t="shared" si="942"/>
        <v>0</v>
      </c>
      <c r="AT1061" s="1906">
        <f t="shared" si="943"/>
        <v>0</v>
      </c>
      <c r="AU1061" s="1906">
        <f t="shared" si="944"/>
        <v>0</v>
      </c>
      <c r="AV1061" s="1906">
        <f t="shared" si="945"/>
        <v>0</v>
      </c>
      <c r="AW1061" s="1906">
        <f t="shared" si="946"/>
        <v>0</v>
      </c>
      <c r="AX1061" s="1906">
        <f t="shared" si="947"/>
        <v>0</v>
      </c>
      <c r="AY1061" s="1906">
        <f t="shared" si="948"/>
        <v>0</v>
      </c>
      <c r="AZ1061" s="1906">
        <f t="shared" si="949"/>
        <v>0</v>
      </c>
      <c r="BA1061" s="1906">
        <f t="shared" si="950"/>
        <v>0</v>
      </c>
      <c r="BB1061" s="1971"/>
      <c r="BC1061" s="1906">
        <f t="shared" si="951"/>
        <v>0</v>
      </c>
      <c r="BD1061" s="1906">
        <f t="shared" si="952"/>
        <v>0</v>
      </c>
      <c r="BE1061" s="1906">
        <f t="shared" si="953"/>
        <v>0</v>
      </c>
      <c r="BF1061" s="1906">
        <f t="shared" si="954"/>
        <v>0</v>
      </c>
      <c r="BG1061" s="1906">
        <f t="shared" si="955"/>
        <v>0</v>
      </c>
      <c r="BH1061" s="1906">
        <f t="shared" si="956"/>
        <v>0</v>
      </c>
      <c r="BI1061" s="1906">
        <f t="shared" si="957"/>
        <v>0</v>
      </c>
      <c r="BJ1061" s="1906">
        <f t="shared" si="958"/>
        <v>0</v>
      </c>
      <c r="BK1061" s="1906">
        <f t="shared" si="959"/>
        <v>0</v>
      </c>
      <c r="BL1061" s="1906">
        <f t="shared" si="960"/>
        <v>0</v>
      </c>
      <c r="BM1061" s="1906">
        <f t="shared" si="961"/>
        <v>0</v>
      </c>
      <c r="BN1061" s="1906">
        <f t="shared" si="962"/>
        <v>0</v>
      </c>
      <c r="BO1061" s="1971"/>
      <c r="BP1061" s="1906">
        <f t="shared" si="963"/>
        <v>0</v>
      </c>
      <c r="BQ1061" s="1906">
        <f t="shared" si="964"/>
        <v>0</v>
      </c>
      <c r="BR1061" s="1906">
        <f t="shared" si="965"/>
        <v>0</v>
      </c>
      <c r="BS1061" s="1906">
        <f t="shared" si="966"/>
        <v>0</v>
      </c>
      <c r="BT1061" s="1906">
        <f t="shared" si="967"/>
        <v>0</v>
      </c>
      <c r="BU1061" s="1906">
        <f t="shared" si="968"/>
        <v>0</v>
      </c>
      <c r="BV1061" s="1906">
        <f t="shared" si="969"/>
        <v>0</v>
      </c>
      <c r="BW1061" s="1906">
        <f t="shared" si="970"/>
        <v>0</v>
      </c>
      <c r="BX1061" s="1906">
        <f t="shared" si="971"/>
        <v>0</v>
      </c>
      <c r="BY1061" s="1906">
        <f t="shared" si="972"/>
        <v>0</v>
      </c>
      <c r="BZ1061" s="1906">
        <f t="shared" si="973"/>
        <v>0</v>
      </c>
      <c r="CA1061" s="1906">
        <f t="shared" si="974"/>
        <v>0</v>
      </c>
      <c r="CB1061" s="1971"/>
      <c r="CC1061" s="1906">
        <f t="shared" si="975"/>
        <v>0</v>
      </c>
      <c r="CD1061" s="1906">
        <f t="shared" si="976"/>
        <v>0</v>
      </c>
      <c r="CE1061" s="1906">
        <f t="shared" si="977"/>
        <v>0</v>
      </c>
      <c r="CF1061" s="1906">
        <f t="shared" si="978"/>
        <v>0</v>
      </c>
      <c r="CG1061" s="1906">
        <f t="shared" si="979"/>
        <v>0</v>
      </c>
      <c r="CH1061" s="1906">
        <f t="shared" si="980"/>
        <v>0</v>
      </c>
      <c r="CI1061" s="1906">
        <f t="shared" si="981"/>
        <v>0</v>
      </c>
      <c r="CJ1061" s="1906">
        <f t="shared" si="982"/>
        <v>0</v>
      </c>
      <c r="CK1061" s="1906">
        <f t="shared" si="983"/>
        <v>0</v>
      </c>
      <c r="CL1061" s="1906">
        <f t="shared" si="984"/>
        <v>0</v>
      </c>
      <c r="CM1061" s="1906">
        <f t="shared" si="985"/>
        <v>0</v>
      </c>
      <c r="CN1061" s="1906">
        <f t="shared" si="986"/>
        <v>0</v>
      </c>
      <c r="CO1061" s="1971" t="str">
        <f t="shared" si="987"/>
        <v>Trébol Rojo 1</v>
      </c>
      <c r="CP1061" s="1906">
        <f t="shared" si="1004"/>
        <v>0</v>
      </c>
      <c r="CQ1061" s="1906">
        <f t="shared" si="988"/>
        <v>0</v>
      </c>
      <c r="CR1061" s="1906">
        <f t="shared" si="989"/>
        <v>0</v>
      </c>
      <c r="CS1061" s="1906">
        <f t="shared" si="990"/>
        <v>0</v>
      </c>
      <c r="CT1061" s="1906">
        <f t="shared" si="991"/>
        <v>0</v>
      </c>
      <c r="CU1061" s="1906">
        <f t="shared" si="991"/>
        <v>0</v>
      </c>
      <c r="CV1061" s="1906">
        <f t="shared" si="991"/>
        <v>0</v>
      </c>
      <c r="CW1061" s="1906">
        <f t="shared" si="991"/>
        <v>0</v>
      </c>
      <c r="CX1061" s="1906">
        <f t="shared" si="991"/>
        <v>0</v>
      </c>
      <c r="CY1061" s="1906">
        <f t="shared" si="991"/>
        <v>0</v>
      </c>
      <c r="CZ1061" s="1906">
        <f t="shared" si="991"/>
        <v>0</v>
      </c>
      <c r="DA1061" s="1906">
        <f t="shared" si="991"/>
        <v>0</v>
      </c>
      <c r="DB1061" s="595" t="str">
        <f t="shared" si="1005"/>
        <v>Trébol Rojo 1</v>
      </c>
      <c r="DC1061" s="1443">
        <f t="shared" si="1006"/>
        <v>0</v>
      </c>
      <c r="DD1061" s="107"/>
      <c r="DE1061" s="111" t="str">
        <f t="shared" si="1007"/>
        <v>Trébol Rojo 1</v>
      </c>
      <c r="DF1061" s="1906">
        <f t="shared" si="992"/>
        <v>0</v>
      </c>
      <c r="DG1061" s="1906">
        <f t="shared" si="993"/>
        <v>0</v>
      </c>
      <c r="DH1061" s="1906">
        <f t="shared" si="994"/>
        <v>0</v>
      </c>
      <c r="DI1061" s="1906">
        <f t="shared" si="995"/>
        <v>0</v>
      </c>
      <c r="DJ1061" s="1906">
        <f t="shared" si="996"/>
        <v>0</v>
      </c>
      <c r="DK1061" s="1906">
        <f t="shared" si="997"/>
        <v>0</v>
      </c>
      <c r="DL1061" s="1906">
        <f t="shared" si="998"/>
        <v>0</v>
      </c>
      <c r="DM1061" s="1906">
        <f t="shared" si="999"/>
        <v>0</v>
      </c>
      <c r="DN1061" s="1906">
        <f t="shared" si="1000"/>
        <v>0</v>
      </c>
      <c r="DO1061" s="1906">
        <f t="shared" si="1001"/>
        <v>0</v>
      </c>
      <c r="DP1061" s="1906">
        <f t="shared" si="1002"/>
        <v>0</v>
      </c>
      <c r="DQ1061" s="1906">
        <f t="shared" si="1003"/>
        <v>0</v>
      </c>
    </row>
    <row r="1062" spans="1:121" x14ac:dyDescent="0.2">
      <c r="A1062" s="6"/>
      <c r="B1062" s="1971">
        <f t="shared" si="903"/>
        <v>0</v>
      </c>
      <c r="C1062" s="1906" t="str">
        <f t="shared" si="904"/>
        <v/>
      </c>
      <c r="D1062" s="1906" t="str">
        <f t="shared" si="905"/>
        <v/>
      </c>
      <c r="E1062" s="1906" t="str">
        <f t="shared" si="906"/>
        <v/>
      </c>
      <c r="F1062" s="1906" t="str">
        <f t="shared" si="907"/>
        <v/>
      </c>
      <c r="G1062" s="1906" t="str">
        <f t="shared" si="908"/>
        <v/>
      </c>
      <c r="H1062" s="1906" t="str">
        <f t="shared" si="909"/>
        <v/>
      </c>
      <c r="I1062" s="1906" t="str">
        <f t="shared" si="910"/>
        <v/>
      </c>
      <c r="J1062" s="1906" t="str">
        <f t="shared" si="911"/>
        <v/>
      </c>
      <c r="K1062" s="1906" t="str">
        <f t="shared" si="912"/>
        <v/>
      </c>
      <c r="L1062" s="1906" t="str">
        <f t="shared" si="913"/>
        <v/>
      </c>
      <c r="M1062" s="1906" t="str">
        <f t="shared" si="914"/>
        <v/>
      </c>
      <c r="N1062" s="1906" t="str">
        <f t="shared" si="915"/>
        <v/>
      </c>
      <c r="O1062" s="1971"/>
      <c r="P1062" s="1906">
        <f t="shared" si="916"/>
        <v>0</v>
      </c>
      <c r="Q1062" s="1906">
        <f t="shared" si="917"/>
        <v>0</v>
      </c>
      <c r="R1062" s="1906">
        <f t="shared" si="918"/>
        <v>0</v>
      </c>
      <c r="S1062" s="1906">
        <f t="shared" si="919"/>
        <v>0</v>
      </c>
      <c r="T1062" s="1906">
        <f t="shared" si="920"/>
        <v>0</v>
      </c>
      <c r="U1062" s="1906">
        <f t="shared" si="921"/>
        <v>0</v>
      </c>
      <c r="V1062" s="1906">
        <f t="shared" si="922"/>
        <v>0</v>
      </c>
      <c r="W1062" s="1906">
        <f t="shared" si="923"/>
        <v>0</v>
      </c>
      <c r="X1062" s="1906">
        <f t="shared" si="924"/>
        <v>0</v>
      </c>
      <c r="Y1062" s="1906">
        <f t="shared" si="925"/>
        <v>0</v>
      </c>
      <c r="Z1062" s="1906">
        <f t="shared" si="926"/>
        <v>0</v>
      </c>
      <c r="AA1062" s="1906">
        <f t="shared" si="927"/>
        <v>0</v>
      </c>
      <c r="AB1062" s="1971"/>
      <c r="AC1062" s="1906"/>
      <c r="AD1062" s="1906">
        <f t="shared" si="928"/>
        <v>0</v>
      </c>
      <c r="AE1062" s="1906">
        <f t="shared" si="929"/>
        <v>0</v>
      </c>
      <c r="AF1062" s="1906">
        <f t="shared" si="930"/>
        <v>0</v>
      </c>
      <c r="AG1062" s="1906">
        <f t="shared" si="931"/>
        <v>0</v>
      </c>
      <c r="AH1062" s="1906">
        <f t="shared" si="932"/>
        <v>0</v>
      </c>
      <c r="AI1062" s="1906">
        <f t="shared" si="933"/>
        <v>0</v>
      </c>
      <c r="AJ1062" s="1906">
        <f t="shared" si="934"/>
        <v>0</v>
      </c>
      <c r="AK1062" s="1906">
        <f t="shared" si="935"/>
        <v>0</v>
      </c>
      <c r="AL1062" s="1906">
        <f t="shared" si="936"/>
        <v>0</v>
      </c>
      <c r="AM1062" s="1906">
        <f t="shared" si="937"/>
        <v>0</v>
      </c>
      <c r="AN1062" s="1906">
        <f t="shared" si="938"/>
        <v>0</v>
      </c>
      <c r="AO1062" s="1971"/>
      <c r="AP1062" s="1906">
        <f t="shared" si="939"/>
        <v>0</v>
      </c>
      <c r="AQ1062" s="1906">
        <f t="shared" si="940"/>
        <v>0</v>
      </c>
      <c r="AR1062" s="1906">
        <f t="shared" si="941"/>
        <v>0</v>
      </c>
      <c r="AS1062" s="1906">
        <f t="shared" si="942"/>
        <v>0</v>
      </c>
      <c r="AT1062" s="1906">
        <f t="shared" si="943"/>
        <v>0</v>
      </c>
      <c r="AU1062" s="1906">
        <f t="shared" si="944"/>
        <v>0</v>
      </c>
      <c r="AV1062" s="1906">
        <f t="shared" si="945"/>
        <v>0</v>
      </c>
      <c r="AW1062" s="1906">
        <f t="shared" si="946"/>
        <v>0</v>
      </c>
      <c r="AX1062" s="1906">
        <f t="shared" si="947"/>
        <v>0</v>
      </c>
      <c r="AY1062" s="1906">
        <f t="shared" si="948"/>
        <v>0</v>
      </c>
      <c r="AZ1062" s="1906">
        <f t="shared" si="949"/>
        <v>0</v>
      </c>
      <c r="BA1062" s="1906">
        <f t="shared" si="950"/>
        <v>0</v>
      </c>
      <c r="BB1062" s="1971"/>
      <c r="BC1062" s="1906">
        <f t="shared" si="951"/>
        <v>0</v>
      </c>
      <c r="BD1062" s="1906">
        <f t="shared" si="952"/>
        <v>0</v>
      </c>
      <c r="BE1062" s="1906">
        <f t="shared" si="953"/>
        <v>0</v>
      </c>
      <c r="BF1062" s="1906">
        <f t="shared" si="954"/>
        <v>0</v>
      </c>
      <c r="BG1062" s="1906">
        <f t="shared" si="955"/>
        <v>0</v>
      </c>
      <c r="BH1062" s="1906">
        <f t="shared" si="956"/>
        <v>0</v>
      </c>
      <c r="BI1062" s="1906">
        <f t="shared" si="957"/>
        <v>0</v>
      </c>
      <c r="BJ1062" s="1906">
        <f t="shared" si="958"/>
        <v>0</v>
      </c>
      <c r="BK1062" s="1906">
        <f t="shared" si="959"/>
        <v>0</v>
      </c>
      <c r="BL1062" s="1906">
        <f t="shared" si="960"/>
        <v>0</v>
      </c>
      <c r="BM1062" s="1906">
        <f t="shared" si="961"/>
        <v>0</v>
      </c>
      <c r="BN1062" s="1906">
        <f t="shared" si="962"/>
        <v>0</v>
      </c>
      <c r="BO1062" s="1971"/>
      <c r="BP1062" s="1906">
        <f t="shared" si="963"/>
        <v>0</v>
      </c>
      <c r="BQ1062" s="1906">
        <f t="shared" si="964"/>
        <v>0</v>
      </c>
      <c r="BR1062" s="1906">
        <f t="shared" si="965"/>
        <v>0</v>
      </c>
      <c r="BS1062" s="1906">
        <f t="shared" si="966"/>
        <v>0</v>
      </c>
      <c r="BT1062" s="1906">
        <f t="shared" si="967"/>
        <v>0</v>
      </c>
      <c r="BU1062" s="1906">
        <f t="shared" si="968"/>
        <v>0</v>
      </c>
      <c r="BV1062" s="1906">
        <f t="shared" si="969"/>
        <v>0</v>
      </c>
      <c r="BW1062" s="1906">
        <f t="shared" si="970"/>
        <v>0</v>
      </c>
      <c r="BX1062" s="1906">
        <f t="shared" si="971"/>
        <v>0</v>
      </c>
      <c r="BY1062" s="1906">
        <f t="shared" si="972"/>
        <v>0</v>
      </c>
      <c r="BZ1062" s="1906">
        <f t="shared" si="973"/>
        <v>0</v>
      </c>
      <c r="CA1062" s="1906">
        <f t="shared" si="974"/>
        <v>0</v>
      </c>
      <c r="CB1062" s="1971"/>
      <c r="CC1062" s="1906">
        <f t="shared" si="975"/>
        <v>0</v>
      </c>
      <c r="CD1062" s="1906">
        <f t="shared" si="976"/>
        <v>0</v>
      </c>
      <c r="CE1062" s="1906">
        <f t="shared" si="977"/>
        <v>0</v>
      </c>
      <c r="CF1062" s="1906">
        <f t="shared" si="978"/>
        <v>0</v>
      </c>
      <c r="CG1062" s="1906">
        <f t="shared" si="979"/>
        <v>0</v>
      </c>
      <c r="CH1062" s="1906">
        <f t="shared" si="980"/>
        <v>0</v>
      </c>
      <c r="CI1062" s="1906">
        <f t="shared" si="981"/>
        <v>0</v>
      </c>
      <c r="CJ1062" s="1906">
        <f t="shared" si="982"/>
        <v>0</v>
      </c>
      <c r="CK1062" s="1906">
        <f t="shared" si="983"/>
        <v>0</v>
      </c>
      <c r="CL1062" s="1906">
        <f t="shared" si="984"/>
        <v>0</v>
      </c>
      <c r="CM1062" s="1906">
        <f t="shared" si="985"/>
        <v>0</v>
      </c>
      <c r="CN1062" s="1906">
        <f t="shared" si="986"/>
        <v>0</v>
      </c>
      <c r="CO1062" s="1971">
        <f t="shared" si="987"/>
        <v>0</v>
      </c>
      <c r="CP1062" s="1906">
        <f t="shared" si="1004"/>
        <v>0</v>
      </c>
      <c r="CQ1062" s="1906">
        <f t="shared" si="988"/>
        <v>0</v>
      </c>
      <c r="CR1062" s="1906">
        <f t="shared" si="989"/>
        <v>0</v>
      </c>
      <c r="CS1062" s="1906">
        <f t="shared" si="990"/>
        <v>0</v>
      </c>
      <c r="CT1062" s="1906">
        <f t="shared" si="991"/>
        <v>0</v>
      </c>
      <c r="CU1062" s="1906">
        <f t="shared" si="991"/>
        <v>0</v>
      </c>
      <c r="CV1062" s="1906">
        <f t="shared" si="991"/>
        <v>0</v>
      </c>
      <c r="CW1062" s="1906">
        <f t="shared" si="991"/>
        <v>0</v>
      </c>
      <c r="CX1062" s="1906">
        <f t="shared" si="991"/>
        <v>0</v>
      </c>
      <c r="CY1062" s="1906">
        <f t="shared" si="991"/>
        <v>0</v>
      </c>
      <c r="CZ1062" s="1906">
        <f t="shared" si="991"/>
        <v>0</v>
      </c>
      <c r="DA1062" s="1906">
        <f t="shared" si="991"/>
        <v>0</v>
      </c>
      <c r="DB1062" s="595">
        <f t="shared" si="1005"/>
        <v>0</v>
      </c>
      <c r="DC1062" s="1443">
        <f t="shared" si="1006"/>
        <v>0</v>
      </c>
      <c r="DD1062" s="107"/>
      <c r="DE1062" s="111">
        <f t="shared" si="1007"/>
        <v>0</v>
      </c>
      <c r="DF1062" s="1906">
        <f t="shared" si="992"/>
        <v>0</v>
      </c>
      <c r="DG1062" s="1906">
        <f t="shared" si="993"/>
        <v>0</v>
      </c>
      <c r="DH1062" s="1906">
        <f t="shared" si="994"/>
        <v>0</v>
      </c>
      <c r="DI1062" s="1906">
        <f t="shared" si="995"/>
        <v>0</v>
      </c>
      <c r="DJ1062" s="1906">
        <f t="shared" si="996"/>
        <v>0</v>
      </c>
      <c r="DK1062" s="1906">
        <f t="shared" si="997"/>
        <v>0</v>
      </c>
      <c r="DL1062" s="1906">
        <f t="shared" si="998"/>
        <v>0</v>
      </c>
      <c r="DM1062" s="1906">
        <f t="shared" si="999"/>
        <v>0</v>
      </c>
      <c r="DN1062" s="1906">
        <f t="shared" si="1000"/>
        <v>0</v>
      </c>
      <c r="DO1062" s="1906">
        <f t="shared" si="1001"/>
        <v>0</v>
      </c>
      <c r="DP1062" s="1906">
        <f t="shared" si="1002"/>
        <v>0</v>
      </c>
      <c r="DQ1062" s="1906">
        <f t="shared" si="1003"/>
        <v>0</v>
      </c>
    </row>
    <row r="1063" spans="1:121" x14ac:dyDescent="0.2">
      <c r="A1063" s="6"/>
      <c r="B1063" s="1971">
        <f t="shared" si="903"/>
        <v>0</v>
      </c>
      <c r="C1063" s="1906" t="str">
        <f t="shared" si="904"/>
        <v/>
      </c>
      <c r="D1063" s="1906" t="str">
        <f t="shared" si="905"/>
        <v/>
      </c>
      <c r="E1063" s="1906" t="str">
        <f t="shared" si="906"/>
        <v/>
      </c>
      <c r="F1063" s="1906" t="str">
        <f t="shared" si="907"/>
        <v/>
      </c>
      <c r="G1063" s="1906" t="str">
        <f t="shared" si="908"/>
        <v/>
      </c>
      <c r="H1063" s="1906" t="str">
        <f t="shared" si="909"/>
        <v/>
      </c>
      <c r="I1063" s="1906" t="str">
        <f t="shared" si="910"/>
        <v/>
      </c>
      <c r="J1063" s="1906" t="str">
        <f t="shared" si="911"/>
        <v/>
      </c>
      <c r="K1063" s="1906" t="str">
        <f t="shared" si="912"/>
        <v/>
      </c>
      <c r="L1063" s="1906" t="str">
        <f t="shared" si="913"/>
        <v/>
      </c>
      <c r="M1063" s="1906" t="str">
        <f t="shared" si="914"/>
        <v/>
      </c>
      <c r="N1063" s="1906" t="str">
        <f t="shared" si="915"/>
        <v/>
      </c>
      <c r="O1063" s="1971"/>
      <c r="P1063" s="1906">
        <f t="shared" si="916"/>
        <v>0</v>
      </c>
      <c r="Q1063" s="1906">
        <f t="shared" si="917"/>
        <v>0</v>
      </c>
      <c r="R1063" s="1906">
        <f t="shared" si="918"/>
        <v>0</v>
      </c>
      <c r="S1063" s="1906">
        <f t="shared" si="919"/>
        <v>0</v>
      </c>
      <c r="T1063" s="1906">
        <f t="shared" si="920"/>
        <v>0</v>
      </c>
      <c r="U1063" s="1906">
        <f t="shared" si="921"/>
        <v>0</v>
      </c>
      <c r="V1063" s="1906">
        <f t="shared" si="922"/>
        <v>0</v>
      </c>
      <c r="W1063" s="1906">
        <f t="shared" si="923"/>
        <v>0</v>
      </c>
      <c r="X1063" s="1906">
        <f t="shared" si="924"/>
        <v>0</v>
      </c>
      <c r="Y1063" s="1906">
        <f t="shared" si="925"/>
        <v>0</v>
      </c>
      <c r="Z1063" s="1906">
        <f t="shared" si="926"/>
        <v>0</v>
      </c>
      <c r="AA1063" s="1906">
        <f t="shared" si="927"/>
        <v>0</v>
      </c>
      <c r="AB1063" s="1971"/>
      <c r="AC1063" s="1906"/>
      <c r="AD1063" s="1906">
        <f t="shared" si="928"/>
        <v>0</v>
      </c>
      <c r="AE1063" s="1906">
        <f t="shared" si="929"/>
        <v>0</v>
      </c>
      <c r="AF1063" s="1906">
        <f t="shared" si="930"/>
        <v>0</v>
      </c>
      <c r="AG1063" s="1906">
        <f t="shared" si="931"/>
        <v>0</v>
      </c>
      <c r="AH1063" s="1906">
        <f t="shared" si="932"/>
        <v>0</v>
      </c>
      <c r="AI1063" s="1906">
        <f t="shared" si="933"/>
        <v>0</v>
      </c>
      <c r="AJ1063" s="1906">
        <f t="shared" si="934"/>
        <v>0</v>
      </c>
      <c r="AK1063" s="1906">
        <f t="shared" si="935"/>
        <v>0</v>
      </c>
      <c r="AL1063" s="1906">
        <f t="shared" si="936"/>
        <v>0</v>
      </c>
      <c r="AM1063" s="1906">
        <f t="shared" si="937"/>
        <v>0</v>
      </c>
      <c r="AN1063" s="1906">
        <f t="shared" si="938"/>
        <v>0</v>
      </c>
      <c r="AO1063" s="1971"/>
      <c r="AP1063" s="1906">
        <f t="shared" si="939"/>
        <v>0</v>
      </c>
      <c r="AQ1063" s="1906">
        <f t="shared" si="940"/>
        <v>0</v>
      </c>
      <c r="AR1063" s="1906">
        <f t="shared" si="941"/>
        <v>0</v>
      </c>
      <c r="AS1063" s="1906">
        <f t="shared" si="942"/>
        <v>0</v>
      </c>
      <c r="AT1063" s="1906">
        <f t="shared" si="943"/>
        <v>0</v>
      </c>
      <c r="AU1063" s="1906">
        <f t="shared" si="944"/>
        <v>0</v>
      </c>
      <c r="AV1063" s="1906">
        <f t="shared" si="945"/>
        <v>0</v>
      </c>
      <c r="AW1063" s="1906">
        <f t="shared" si="946"/>
        <v>0</v>
      </c>
      <c r="AX1063" s="1906">
        <f t="shared" si="947"/>
        <v>0</v>
      </c>
      <c r="AY1063" s="1906">
        <f t="shared" si="948"/>
        <v>0</v>
      </c>
      <c r="AZ1063" s="1906">
        <f t="shared" si="949"/>
        <v>0</v>
      </c>
      <c r="BA1063" s="1906">
        <f t="shared" si="950"/>
        <v>0</v>
      </c>
      <c r="BB1063" s="1971"/>
      <c r="BC1063" s="1906">
        <f t="shared" si="951"/>
        <v>0</v>
      </c>
      <c r="BD1063" s="1906">
        <f t="shared" si="952"/>
        <v>0</v>
      </c>
      <c r="BE1063" s="1906">
        <f t="shared" si="953"/>
        <v>0</v>
      </c>
      <c r="BF1063" s="1906">
        <f t="shared" si="954"/>
        <v>0</v>
      </c>
      <c r="BG1063" s="1906">
        <f t="shared" si="955"/>
        <v>0</v>
      </c>
      <c r="BH1063" s="1906">
        <f t="shared" si="956"/>
        <v>0</v>
      </c>
      <c r="BI1063" s="1906">
        <f t="shared" si="957"/>
        <v>0</v>
      </c>
      <c r="BJ1063" s="1906">
        <f t="shared" si="958"/>
        <v>0</v>
      </c>
      <c r="BK1063" s="1906">
        <f t="shared" si="959"/>
        <v>0</v>
      </c>
      <c r="BL1063" s="1906">
        <f t="shared" si="960"/>
        <v>0</v>
      </c>
      <c r="BM1063" s="1906">
        <f t="shared" si="961"/>
        <v>0</v>
      </c>
      <c r="BN1063" s="1906">
        <f t="shared" si="962"/>
        <v>0</v>
      </c>
      <c r="BO1063" s="1971"/>
      <c r="BP1063" s="1906">
        <f t="shared" si="963"/>
        <v>0</v>
      </c>
      <c r="BQ1063" s="1906">
        <f t="shared" si="964"/>
        <v>0</v>
      </c>
      <c r="BR1063" s="1906">
        <f t="shared" si="965"/>
        <v>0</v>
      </c>
      <c r="BS1063" s="1906">
        <f t="shared" si="966"/>
        <v>0</v>
      </c>
      <c r="BT1063" s="1906">
        <f t="shared" si="967"/>
        <v>0</v>
      </c>
      <c r="BU1063" s="1906">
        <f t="shared" si="968"/>
        <v>0</v>
      </c>
      <c r="BV1063" s="1906">
        <f t="shared" si="969"/>
        <v>0</v>
      </c>
      <c r="BW1063" s="1906">
        <f t="shared" si="970"/>
        <v>0</v>
      </c>
      <c r="BX1063" s="1906">
        <f t="shared" si="971"/>
        <v>0</v>
      </c>
      <c r="BY1063" s="1906">
        <f t="shared" si="972"/>
        <v>0</v>
      </c>
      <c r="BZ1063" s="1906">
        <f t="shared" si="973"/>
        <v>0</v>
      </c>
      <c r="CA1063" s="1906">
        <f t="shared" si="974"/>
        <v>0</v>
      </c>
      <c r="CB1063" s="1971"/>
      <c r="CC1063" s="1906">
        <f t="shared" si="975"/>
        <v>0</v>
      </c>
      <c r="CD1063" s="1906">
        <f t="shared" si="976"/>
        <v>0</v>
      </c>
      <c r="CE1063" s="1906">
        <f t="shared" si="977"/>
        <v>0</v>
      </c>
      <c r="CF1063" s="1906">
        <f t="shared" si="978"/>
        <v>0</v>
      </c>
      <c r="CG1063" s="1906">
        <f t="shared" si="979"/>
        <v>0</v>
      </c>
      <c r="CH1063" s="1906">
        <f t="shared" si="980"/>
        <v>0</v>
      </c>
      <c r="CI1063" s="1906">
        <f t="shared" si="981"/>
        <v>0</v>
      </c>
      <c r="CJ1063" s="1906">
        <f t="shared" si="982"/>
        <v>0</v>
      </c>
      <c r="CK1063" s="1906">
        <f t="shared" si="983"/>
        <v>0</v>
      </c>
      <c r="CL1063" s="1906">
        <f t="shared" si="984"/>
        <v>0</v>
      </c>
      <c r="CM1063" s="1906">
        <f t="shared" si="985"/>
        <v>0</v>
      </c>
      <c r="CN1063" s="1906">
        <f t="shared" si="986"/>
        <v>0</v>
      </c>
      <c r="CO1063" s="1971">
        <f t="shared" si="987"/>
        <v>0</v>
      </c>
      <c r="CP1063" s="1906">
        <f t="shared" si="1004"/>
        <v>0</v>
      </c>
      <c r="CQ1063" s="1906">
        <f t="shared" si="988"/>
        <v>0</v>
      </c>
      <c r="CR1063" s="1906">
        <f t="shared" si="989"/>
        <v>0</v>
      </c>
      <c r="CS1063" s="1906">
        <f t="shared" si="990"/>
        <v>0</v>
      </c>
      <c r="CT1063" s="1906">
        <f t="shared" si="991"/>
        <v>0</v>
      </c>
      <c r="CU1063" s="1906">
        <f t="shared" si="991"/>
        <v>0</v>
      </c>
      <c r="CV1063" s="1906">
        <f t="shared" si="991"/>
        <v>0</v>
      </c>
      <c r="CW1063" s="1906">
        <f t="shared" si="991"/>
        <v>0</v>
      </c>
      <c r="CX1063" s="1906">
        <f t="shared" si="991"/>
        <v>0</v>
      </c>
      <c r="CY1063" s="1906">
        <f t="shared" si="991"/>
        <v>0</v>
      </c>
      <c r="CZ1063" s="1906">
        <f t="shared" si="991"/>
        <v>0</v>
      </c>
      <c r="DA1063" s="1906">
        <f t="shared" si="991"/>
        <v>0</v>
      </c>
      <c r="DB1063" s="595">
        <f t="shared" si="1005"/>
        <v>0</v>
      </c>
      <c r="DC1063" s="1443">
        <f t="shared" si="1006"/>
        <v>0</v>
      </c>
      <c r="DD1063" s="107"/>
      <c r="DE1063" s="111">
        <f t="shared" si="1007"/>
        <v>0</v>
      </c>
      <c r="DF1063" s="1906">
        <f t="shared" si="992"/>
        <v>0</v>
      </c>
      <c r="DG1063" s="1906">
        <f t="shared" si="993"/>
        <v>0</v>
      </c>
      <c r="DH1063" s="1906">
        <f t="shared" si="994"/>
        <v>0</v>
      </c>
      <c r="DI1063" s="1906">
        <f t="shared" si="995"/>
        <v>0</v>
      </c>
      <c r="DJ1063" s="1906">
        <f t="shared" si="996"/>
        <v>0</v>
      </c>
      <c r="DK1063" s="1906">
        <f t="shared" si="997"/>
        <v>0</v>
      </c>
      <c r="DL1063" s="1906">
        <f t="shared" si="998"/>
        <v>0</v>
      </c>
      <c r="DM1063" s="1906">
        <f t="shared" si="999"/>
        <v>0</v>
      </c>
      <c r="DN1063" s="1906">
        <f t="shared" si="1000"/>
        <v>0</v>
      </c>
      <c r="DO1063" s="1906">
        <f t="shared" si="1001"/>
        <v>0</v>
      </c>
      <c r="DP1063" s="1906">
        <f t="shared" si="1002"/>
        <v>0</v>
      </c>
      <c r="DQ1063" s="1906">
        <f t="shared" si="1003"/>
        <v>0</v>
      </c>
    </row>
    <row r="1064" spans="1:121" x14ac:dyDescent="0.2">
      <c r="A1064" s="6"/>
      <c r="B1064" s="1971">
        <f t="shared" si="903"/>
        <v>0</v>
      </c>
      <c r="C1064" s="1906" t="str">
        <f t="shared" si="904"/>
        <v/>
      </c>
      <c r="D1064" s="1906" t="str">
        <f t="shared" si="905"/>
        <v/>
      </c>
      <c r="E1064" s="1906" t="str">
        <f t="shared" si="906"/>
        <v/>
      </c>
      <c r="F1064" s="1906" t="str">
        <f t="shared" si="907"/>
        <v/>
      </c>
      <c r="G1064" s="1906" t="str">
        <f t="shared" si="908"/>
        <v/>
      </c>
      <c r="H1064" s="1906" t="str">
        <f t="shared" si="909"/>
        <v/>
      </c>
      <c r="I1064" s="1906" t="str">
        <f t="shared" si="910"/>
        <v/>
      </c>
      <c r="J1064" s="1906" t="str">
        <f t="shared" si="911"/>
        <v/>
      </c>
      <c r="K1064" s="1906" t="str">
        <f t="shared" si="912"/>
        <v/>
      </c>
      <c r="L1064" s="1906" t="str">
        <f t="shared" si="913"/>
        <v/>
      </c>
      <c r="M1064" s="1906" t="str">
        <f t="shared" si="914"/>
        <v/>
      </c>
      <c r="N1064" s="1906" t="str">
        <f t="shared" si="915"/>
        <v/>
      </c>
      <c r="O1064" s="1971"/>
      <c r="P1064" s="1906">
        <f t="shared" si="916"/>
        <v>0</v>
      </c>
      <c r="Q1064" s="1906">
        <f t="shared" si="917"/>
        <v>0</v>
      </c>
      <c r="R1064" s="1906">
        <f t="shared" si="918"/>
        <v>0</v>
      </c>
      <c r="S1064" s="1906">
        <f t="shared" si="919"/>
        <v>0</v>
      </c>
      <c r="T1064" s="1906">
        <f t="shared" si="920"/>
        <v>0</v>
      </c>
      <c r="U1064" s="1906">
        <f t="shared" si="921"/>
        <v>0</v>
      </c>
      <c r="V1064" s="1906">
        <f t="shared" si="922"/>
        <v>0</v>
      </c>
      <c r="W1064" s="1906">
        <f t="shared" si="923"/>
        <v>0</v>
      </c>
      <c r="X1064" s="1906">
        <f t="shared" si="924"/>
        <v>0</v>
      </c>
      <c r="Y1064" s="1906">
        <f t="shared" si="925"/>
        <v>0</v>
      </c>
      <c r="Z1064" s="1906">
        <f t="shared" si="926"/>
        <v>0</v>
      </c>
      <c r="AA1064" s="1906">
        <f t="shared" si="927"/>
        <v>0</v>
      </c>
      <c r="AB1064" s="1971"/>
      <c r="AC1064" s="1906"/>
      <c r="AD1064" s="1906">
        <f t="shared" si="928"/>
        <v>0</v>
      </c>
      <c r="AE1064" s="1906">
        <f t="shared" si="929"/>
        <v>0</v>
      </c>
      <c r="AF1064" s="1906">
        <f t="shared" si="930"/>
        <v>0</v>
      </c>
      <c r="AG1064" s="1906">
        <f t="shared" si="931"/>
        <v>0</v>
      </c>
      <c r="AH1064" s="1906">
        <f t="shared" si="932"/>
        <v>0</v>
      </c>
      <c r="AI1064" s="1906">
        <f t="shared" si="933"/>
        <v>0</v>
      </c>
      <c r="AJ1064" s="1906">
        <f t="shared" si="934"/>
        <v>0</v>
      </c>
      <c r="AK1064" s="1906">
        <f t="shared" si="935"/>
        <v>0</v>
      </c>
      <c r="AL1064" s="1906">
        <f t="shared" si="936"/>
        <v>0</v>
      </c>
      <c r="AM1064" s="1906">
        <f t="shared" si="937"/>
        <v>0</v>
      </c>
      <c r="AN1064" s="1906">
        <f t="shared" si="938"/>
        <v>0</v>
      </c>
      <c r="AO1064" s="1971"/>
      <c r="AP1064" s="1906">
        <f t="shared" si="939"/>
        <v>0</v>
      </c>
      <c r="AQ1064" s="1906">
        <f t="shared" si="940"/>
        <v>0</v>
      </c>
      <c r="AR1064" s="1906">
        <f t="shared" si="941"/>
        <v>0</v>
      </c>
      <c r="AS1064" s="1906">
        <f t="shared" si="942"/>
        <v>0</v>
      </c>
      <c r="AT1064" s="1906">
        <f t="shared" si="943"/>
        <v>0</v>
      </c>
      <c r="AU1064" s="1906">
        <f t="shared" si="944"/>
        <v>0</v>
      </c>
      <c r="AV1064" s="1906">
        <f t="shared" si="945"/>
        <v>0</v>
      </c>
      <c r="AW1064" s="1906">
        <f t="shared" si="946"/>
        <v>0</v>
      </c>
      <c r="AX1064" s="1906">
        <f t="shared" si="947"/>
        <v>0</v>
      </c>
      <c r="AY1064" s="1906">
        <f t="shared" si="948"/>
        <v>0</v>
      </c>
      <c r="AZ1064" s="1906">
        <f t="shared" si="949"/>
        <v>0</v>
      </c>
      <c r="BA1064" s="1906">
        <f t="shared" si="950"/>
        <v>0</v>
      </c>
      <c r="BB1064" s="1971"/>
      <c r="BC1064" s="1906">
        <f t="shared" si="951"/>
        <v>0</v>
      </c>
      <c r="BD1064" s="1906">
        <f t="shared" si="952"/>
        <v>0</v>
      </c>
      <c r="BE1064" s="1906">
        <f t="shared" si="953"/>
        <v>0</v>
      </c>
      <c r="BF1064" s="1906">
        <f t="shared" si="954"/>
        <v>0</v>
      </c>
      <c r="BG1064" s="1906">
        <f t="shared" si="955"/>
        <v>0</v>
      </c>
      <c r="BH1064" s="1906">
        <f t="shared" si="956"/>
        <v>0</v>
      </c>
      <c r="BI1064" s="1906">
        <f t="shared" si="957"/>
        <v>0</v>
      </c>
      <c r="BJ1064" s="1906">
        <f t="shared" si="958"/>
        <v>0</v>
      </c>
      <c r="BK1064" s="1906">
        <f t="shared" si="959"/>
        <v>0</v>
      </c>
      <c r="BL1064" s="1906">
        <f t="shared" si="960"/>
        <v>0</v>
      </c>
      <c r="BM1064" s="1906">
        <f t="shared" si="961"/>
        <v>0</v>
      </c>
      <c r="BN1064" s="1906">
        <f t="shared" si="962"/>
        <v>0</v>
      </c>
      <c r="BO1064" s="1971"/>
      <c r="BP1064" s="1906">
        <f t="shared" si="963"/>
        <v>0</v>
      </c>
      <c r="BQ1064" s="1906">
        <f t="shared" si="964"/>
        <v>0</v>
      </c>
      <c r="BR1064" s="1906">
        <f t="shared" si="965"/>
        <v>0</v>
      </c>
      <c r="BS1064" s="1906">
        <f t="shared" si="966"/>
        <v>0</v>
      </c>
      <c r="BT1064" s="1906">
        <f t="shared" si="967"/>
        <v>0</v>
      </c>
      <c r="BU1064" s="1906">
        <f t="shared" si="968"/>
        <v>0</v>
      </c>
      <c r="BV1064" s="1906">
        <f t="shared" si="969"/>
        <v>0</v>
      </c>
      <c r="BW1064" s="1906">
        <f t="shared" si="970"/>
        <v>0</v>
      </c>
      <c r="BX1064" s="1906">
        <f t="shared" si="971"/>
        <v>0</v>
      </c>
      <c r="BY1064" s="1906">
        <f t="shared" si="972"/>
        <v>0</v>
      </c>
      <c r="BZ1064" s="1906">
        <f t="shared" si="973"/>
        <v>0</v>
      </c>
      <c r="CA1064" s="1906">
        <f t="shared" si="974"/>
        <v>0</v>
      </c>
      <c r="CB1064" s="1971"/>
      <c r="CC1064" s="1906">
        <f t="shared" si="975"/>
        <v>0</v>
      </c>
      <c r="CD1064" s="1906">
        <f t="shared" si="976"/>
        <v>0</v>
      </c>
      <c r="CE1064" s="1906">
        <f t="shared" si="977"/>
        <v>0</v>
      </c>
      <c r="CF1064" s="1906">
        <f t="shared" si="978"/>
        <v>0</v>
      </c>
      <c r="CG1064" s="1906">
        <f t="shared" si="979"/>
        <v>0</v>
      </c>
      <c r="CH1064" s="1906">
        <f t="shared" si="980"/>
        <v>0</v>
      </c>
      <c r="CI1064" s="1906">
        <f t="shared" si="981"/>
        <v>0</v>
      </c>
      <c r="CJ1064" s="1906">
        <f t="shared" si="982"/>
        <v>0</v>
      </c>
      <c r="CK1064" s="1906">
        <f t="shared" si="983"/>
        <v>0</v>
      </c>
      <c r="CL1064" s="1906">
        <f t="shared" si="984"/>
        <v>0</v>
      </c>
      <c r="CM1064" s="1906">
        <f t="shared" si="985"/>
        <v>0</v>
      </c>
      <c r="CN1064" s="1906">
        <f t="shared" si="986"/>
        <v>0</v>
      </c>
      <c r="CO1064" s="1971">
        <f t="shared" si="987"/>
        <v>0</v>
      </c>
      <c r="CP1064" s="1906">
        <f t="shared" si="1004"/>
        <v>0</v>
      </c>
      <c r="CQ1064" s="1906">
        <f t="shared" si="988"/>
        <v>0</v>
      </c>
      <c r="CR1064" s="1906">
        <f t="shared" si="989"/>
        <v>0</v>
      </c>
      <c r="CS1064" s="1906">
        <f t="shared" si="990"/>
        <v>0</v>
      </c>
      <c r="CT1064" s="1906">
        <f t="shared" si="991"/>
        <v>0</v>
      </c>
      <c r="CU1064" s="1906">
        <f t="shared" si="991"/>
        <v>0</v>
      </c>
      <c r="CV1064" s="1906">
        <f t="shared" si="991"/>
        <v>0</v>
      </c>
      <c r="CW1064" s="1906">
        <f t="shared" si="991"/>
        <v>0</v>
      </c>
      <c r="CX1064" s="1906">
        <f t="shared" si="991"/>
        <v>0</v>
      </c>
      <c r="CY1064" s="1906">
        <f t="shared" si="991"/>
        <v>0</v>
      </c>
      <c r="CZ1064" s="1906">
        <f t="shared" si="991"/>
        <v>0</v>
      </c>
      <c r="DA1064" s="1906">
        <f t="shared" si="991"/>
        <v>0</v>
      </c>
      <c r="DB1064" s="595">
        <f t="shared" si="1005"/>
        <v>0</v>
      </c>
      <c r="DC1064" s="1443">
        <f t="shared" si="1006"/>
        <v>0</v>
      </c>
      <c r="DD1064" s="107"/>
      <c r="DE1064" s="111">
        <f t="shared" si="1007"/>
        <v>0</v>
      </c>
      <c r="DF1064" s="1906">
        <f t="shared" si="992"/>
        <v>0</v>
      </c>
      <c r="DG1064" s="1906">
        <f t="shared" si="993"/>
        <v>0</v>
      </c>
      <c r="DH1064" s="1906">
        <f t="shared" si="994"/>
        <v>0</v>
      </c>
      <c r="DI1064" s="1906">
        <f t="shared" si="995"/>
        <v>0</v>
      </c>
      <c r="DJ1064" s="1906">
        <f t="shared" si="996"/>
        <v>0</v>
      </c>
      <c r="DK1064" s="1906">
        <f t="shared" si="997"/>
        <v>0</v>
      </c>
      <c r="DL1064" s="1906">
        <f t="shared" si="998"/>
        <v>0</v>
      </c>
      <c r="DM1064" s="1906">
        <f t="shared" si="999"/>
        <v>0</v>
      </c>
      <c r="DN1064" s="1906">
        <f t="shared" si="1000"/>
        <v>0</v>
      </c>
      <c r="DO1064" s="1906">
        <f t="shared" si="1001"/>
        <v>0</v>
      </c>
      <c r="DP1064" s="1906">
        <f t="shared" si="1002"/>
        <v>0</v>
      </c>
      <c r="DQ1064" s="1906">
        <f t="shared" si="1003"/>
        <v>0</v>
      </c>
    </row>
    <row r="1065" spans="1:121" x14ac:dyDescent="0.2">
      <c r="A1065" s="6"/>
      <c r="B1065" s="1971" t="str">
        <f t="shared" si="903"/>
        <v>Alfalfa 2</v>
      </c>
      <c r="C1065" s="1906" t="str">
        <f t="shared" si="904"/>
        <v/>
      </c>
      <c r="D1065" s="1906" t="str">
        <f t="shared" si="905"/>
        <v/>
      </c>
      <c r="E1065" s="1906" t="str">
        <f t="shared" si="906"/>
        <v/>
      </c>
      <c r="F1065" s="1906" t="str">
        <f t="shared" si="907"/>
        <v/>
      </c>
      <c r="G1065" s="1906" t="str">
        <f t="shared" si="908"/>
        <v/>
      </c>
      <c r="H1065" s="1906" t="str">
        <f t="shared" si="909"/>
        <v/>
      </c>
      <c r="I1065" s="1906" t="str">
        <f t="shared" si="910"/>
        <v/>
      </c>
      <c r="J1065" s="1906" t="str">
        <f t="shared" si="911"/>
        <v/>
      </c>
      <c r="K1065" s="1906" t="str">
        <f t="shared" si="912"/>
        <v/>
      </c>
      <c r="L1065" s="1906" t="str">
        <f t="shared" si="913"/>
        <v/>
      </c>
      <c r="M1065" s="1906" t="str">
        <f t="shared" si="914"/>
        <v/>
      </c>
      <c r="N1065" s="1906" t="str">
        <f t="shared" si="915"/>
        <v/>
      </c>
      <c r="O1065" s="1971"/>
      <c r="P1065" s="1906">
        <f t="shared" si="916"/>
        <v>0</v>
      </c>
      <c r="Q1065" s="1906">
        <f t="shared" si="917"/>
        <v>0</v>
      </c>
      <c r="R1065" s="1906">
        <f t="shared" si="918"/>
        <v>0</v>
      </c>
      <c r="S1065" s="1906">
        <f t="shared" si="919"/>
        <v>0</v>
      </c>
      <c r="T1065" s="1906">
        <f t="shared" si="920"/>
        <v>0</v>
      </c>
      <c r="U1065" s="1906">
        <f t="shared" si="921"/>
        <v>0</v>
      </c>
      <c r="V1065" s="1906">
        <f t="shared" si="922"/>
        <v>0</v>
      </c>
      <c r="W1065" s="1906">
        <f t="shared" si="923"/>
        <v>0</v>
      </c>
      <c r="X1065" s="1906">
        <f t="shared" si="924"/>
        <v>0</v>
      </c>
      <c r="Y1065" s="1906">
        <f t="shared" si="925"/>
        <v>0</v>
      </c>
      <c r="Z1065" s="1906">
        <f t="shared" si="926"/>
        <v>0</v>
      </c>
      <c r="AA1065" s="1906">
        <f t="shared" si="927"/>
        <v>0</v>
      </c>
      <c r="AB1065" s="1971"/>
      <c r="AC1065" s="1906"/>
      <c r="AD1065" s="1906">
        <f t="shared" si="928"/>
        <v>0</v>
      </c>
      <c r="AE1065" s="1906">
        <f t="shared" si="929"/>
        <v>0</v>
      </c>
      <c r="AF1065" s="1906">
        <f t="shared" si="930"/>
        <v>0</v>
      </c>
      <c r="AG1065" s="1906">
        <f t="shared" si="931"/>
        <v>0</v>
      </c>
      <c r="AH1065" s="1906">
        <f t="shared" si="932"/>
        <v>0</v>
      </c>
      <c r="AI1065" s="1906">
        <f t="shared" si="933"/>
        <v>0</v>
      </c>
      <c r="AJ1065" s="1906">
        <f t="shared" si="934"/>
        <v>0</v>
      </c>
      <c r="AK1065" s="1906">
        <f t="shared" si="935"/>
        <v>0</v>
      </c>
      <c r="AL1065" s="1906">
        <f t="shared" si="936"/>
        <v>0</v>
      </c>
      <c r="AM1065" s="1906">
        <f t="shared" si="937"/>
        <v>0</v>
      </c>
      <c r="AN1065" s="1906">
        <f t="shared" si="938"/>
        <v>0</v>
      </c>
      <c r="AO1065" s="1971"/>
      <c r="AP1065" s="1906">
        <f t="shared" si="939"/>
        <v>0</v>
      </c>
      <c r="AQ1065" s="1906">
        <f t="shared" si="940"/>
        <v>0</v>
      </c>
      <c r="AR1065" s="1906">
        <f t="shared" si="941"/>
        <v>0</v>
      </c>
      <c r="AS1065" s="1906">
        <f t="shared" si="942"/>
        <v>0</v>
      </c>
      <c r="AT1065" s="1906">
        <f t="shared" si="943"/>
        <v>0</v>
      </c>
      <c r="AU1065" s="1906">
        <f t="shared" si="944"/>
        <v>0</v>
      </c>
      <c r="AV1065" s="1906">
        <f t="shared" si="945"/>
        <v>0</v>
      </c>
      <c r="AW1065" s="1906">
        <f t="shared" si="946"/>
        <v>0</v>
      </c>
      <c r="AX1065" s="1906">
        <f t="shared" si="947"/>
        <v>0</v>
      </c>
      <c r="AY1065" s="1906">
        <f t="shared" si="948"/>
        <v>0</v>
      </c>
      <c r="AZ1065" s="1906">
        <f t="shared" si="949"/>
        <v>0</v>
      </c>
      <c r="BA1065" s="1906">
        <f t="shared" si="950"/>
        <v>0</v>
      </c>
      <c r="BB1065" s="1971"/>
      <c r="BC1065" s="1906">
        <f t="shared" si="951"/>
        <v>0</v>
      </c>
      <c r="BD1065" s="1906">
        <f t="shared" si="952"/>
        <v>0</v>
      </c>
      <c r="BE1065" s="1906">
        <f t="shared" si="953"/>
        <v>0</v>
      </c>
      <c r="BF1065" s="1906">
        <f t="shared" si="954"/>
        <v>0</v>
      </c>
      <c r="BG1065" s="1906">
        <f t="shared" si="955"/>
        <v>0</v>
      </c>
      <c r="BH1065" s="1906">
        <f t="shared" si="956"/>
        <v>0</v>
      </c>
      <c r="BI1065" s="1906">
        <f t="shared" si="957"/>
        <v>0</v>
      </c>
      <c r="BJ1065" s="1906">
        <f t="shared" si="958"/>
        <v>0</v>
      </c>
      <c r="BK1065" s="1906">
        <f t="shared" si="959"/>
        <v>0</v>
      </c>
      <c r="BL1065" s="1906">
        <f t="shared" si="960"/>
        <v>0</v>
      </c>
      <c r="BM1065" s="1906">
        <f t="shared" si="961"/>
        <v>0</v>
      </c>
      <c r="BN1065" s="1906">
        <f t="shared" si="962"/>
        <v>0</v>
      </c>
      <c r="BO1065" s="1971"/>
      <c r="BP1065" s="1906">
        <f t="shared" si="963"/>
        <v>0</v>
      </c>
      <c r="BQ1065" s="1906">
        <f t="shared" si="964"/>
        <v>0</v>
      </c>
      <c r="BR1065" s="1906">
        <f t="shared" si="965"/>
        <v>0</v>
      </c>
      <c r="BS1065" s="1906">
        <f t="shared" si="966"/>
        <v>0</v>
      </c>
      <c r="BT1065" s="1906">
        <f t="shared" si="967"/>
        <v>0</v>
      </c>
      <c r="BU1065" s="1906">
        <f t="shared" si="968"/>
        <v>0</v>
      </c>
      <c r="BV1065" s="1906">
        <f t="shared" si="969"/>
        <v>0</v>
      </c>
      <c r="BW1065" s="1906">
        <f t="shared" si="970"/>
        <v>0</v>
      </c>
      <c r="BX1065" s="1906">
        <f t="shared" si="971"/>
        <v>0</v>
      </c>
      <c r="BY1065" s="1906">
        <f t="shared" si="972"/>
        <v>0</v>
      </c>
      <c r="BZ1065" s="1906">
        <f t="shared" si="973"/>
        <v>0</v>
      </c>
      <c r="CA1065" s="1906">
        <f t="shared" si="974"/>
        <v>0</v>
      </c>
      <c r="CB1065" s="1971"/>
      <c r="CC1065" s="1906">
        <f t="shared" si="975"/>
        <v>0</v>
      </c>
      <c r="CD1065" s="1906">
        <f t="shared" si="976"/>
        <v>0</v>
      </c>
      <c r="CE1065" s="1906">
        <f t="shared" si="977"/>
        <v>0</v>
      </c>
      <c r="CF1065" s="1906">
        <f t="shared" si="978"/>
        <v>0</v>
      </c>
      <c r="CG1065" s="1906">
        <f t="shared" si="979"/>
        <v>0</v>
      </c>
      <c r="CH1065" s="1906">
        <f t="shared" si="980"/>
        <v>0</v>
      </c>
      <c r="CI1065" s="1906">
        <f t="shared" si="981"/>
        <v>0</v>
      </c>
      <c r="CJ1065" s="1906">
        <f t="shared" si="982"/>
        <v>0</v>
      </c>
      <c r="CK1065" s="1906">
        <f t="shared" si="983"/>
        <v>0</v>
      </c>
      <c r="CL1065" s="1906">
        <f t="shared" si="984"/>
        <v>0</v>
      </c>
      <c r="CM1065" s="1906">
        <f t="shared" si="985"/>
        <v>0</v>
      </c>
      <c r="CN1065" s="1906">
        <f t="shared" si="986"/>
        <v>0</v>
      </c>
      <c r="CO1065" s="1971" t="str">
        <f t="shared" si="987"/>
        <v>Alfalfa 2</v>
      </c>
      <c r="CP1065" s="1906">
        <f t="shared" si="1004"/>
        <v>0</v>
      </c>
      <c r="CQ1065" s="1906">
        <f t="shared" si="988"/>
        <v>0</v>
      </c>
      <c r="CR1065" s="1906">
        <f t="shared" si="989"/>
        <v>0</v>
      </c>
      <c r="CS1065" s="1906">
        <f t="shared" si="990"/>
        <v>0</v>
      </c>
      <c r="CT1065" s="1906">
        <f t="shared" si="991"/>
        <v>0</v>
      </c>
      <c r="CU1065" s="1906">
        <f t="shared" si="991"/>
        <v>0</v>
      </c>
      <c r="CV1065" s="1906">
        <f t="shared" si="991"/>
        <v>0</v>
      </c>
      <c r="CW1065" s="1906">
        <f t="shared" si="991"/>
        <v>0</v>
      </c>
      <c r="CX1065" s="1906">
        <f t="shared" si="991"/>
        <v>0</v>
      </c>
      <c r="CY1065" s="1906">
        <f t="shared" si="991"/>
        <v>0</v>
      </c>
      <c r="CZ1065" s="1906">
        <f t="shared" si="991"/>
        <v>0</v>
      </c>
      <c r="DA1065" s="1906">
        <f t="shared" si="991"/>
        <v>0</v>
      </c>
      <c r="DB1065" s="595" t="str">
        <f t="shared" si="1005"/>
        <v>Alfalfa 2</v>
      </c>
      <c r="DC1065" s="1443">
        <f t="shared" si="1006"/>
        <v>0</v>
      </c>
      <c r="DD1065" s="107"/>
      <c r="DE1065" s="111" t="str">
        <f t="shared" si="1007"/>
        <v>Alfalfa 2</v>
      </c>
      <c r="DF1065" s="1906">
        <f t="shared" si="992"/>
        <v>0</v>
      </c>
      <c r="DG1065" s="1906">
        <f t="shared" si="993"/>
        <v>0</v>
      </c>
      <c r="DH1065" s="1906">
        <f t="shared" si="994"/>
        <v>0</v>
      </c>
      <c r="DI1065" s="1906">
        <f t="shared" si="995"/>
        <v>0</v>
      </c>
      <c r="DJ1065" s="1906">
        <f t="shared" si="996"/>
        <v>0</v>
      </c>
      <c r="DK1065" s="1906">
        <f t="shared" si="997"/>
        <v>0</v>
      </c>
      <c r="DL1065" s="1906">
        <f t="shared" si="998"/>
        <v>0</v>
      </c>
      <c r="DM1065" s="1906">
        <f t="shared" si="999"/>
        <v>0</v>
      </c>
      <c r="DN1065" s="1906">
        <f t="shared" si="1000"/>
        <v>0</v>
      </c>
      <c r="DO1065" s="1906">
        <f t="shared" si="1001"/>
        <v>0</v>
      </c>
      <c r="DP1065" s="1906">
        <f t="shared" si="1002"/>
        <v>0</v>
      </c>
      <c r="DQ1065" s="1906">
        <f t="shared" si="1003"/>
        <v>0</v>
      </c>
    </row>
    <row r="1066" spans="1:121" x14ac:dyDescent="0.2">
      <c r="A1066" s="6"/>
      <c r="B1066" s="1971" t="str">
        <f t="shared" si="903"/>
        <v>Alfalfa 3</v>
      </c>
      <c r="C1066" s="1906" t="str">
        <f t="shared" si="904"/>
        <v/>
      </c>
      <c r="D1066" s="1906" t="str">
        <f t="shared" si="905"/>
        <v/>
      </c>
      <c r="E1066" s="1906" t="str">
        <f t="shared" si="906"/>
        <v/>
      </c>
      <c r="F1066" s="1906" t="str">
        <f t="shared" si="907"/>
        <v/>
      </c>
      <c r="G1066" s="1906" t="str">
        <f t="shared" si="908"/>
        <v/>
      </c>
      <c r="H1066" s="1906" t="str">
        <f t="shared" si="909"/>
        <v/>
      </c>
      <c r="I1066" s="1906" t="str">
        <f t="shared" si="910"/>
        <v/>
      </c>
      <c r="J1066" s="1906" t="str">
        <f t="shared" si="911"/>
        <v/>
      </c>
      <c r="K1066" s="1906" t="str">
        <f t="shared" si="912"/>
        <v/>
      </c>
      <c r="L1066" s="1906" t="str">
        <f t="shared" si="913"/>
        <v/>
      </c>
      <c r="M1066" s="1906" t="str">
        <f t="shared" si="914"/>
        <v/>
      </c>
      <c r="N1066" s="1906" t="str">
        <f t="shared" si="915"/>
        <v/>
      </c>
      <c r="O1066" s="1971"/>
      <c r="P1066" s="1906">
        <f t="shared" si="916"/>
        <v>0</v>
      </c>
      <c r="Q1066" s="1906">
        <f t="shared" si="917"/>
        <v>0</v>
      </c>
      <c r="R1066" s="1906">
        <f t="shared" si="918"/>
        <v>0</v>
      </c>
      <c r="S1066" s="1906">
        <f t="shared" si="919"/>
        <v>0</v>
      </c>
      <c r="T1066" s="1906">
        <f t="shared" si="920"/>
        <v>0</v>
      </c>
      <c r="U1066" s="1906">
        <f t="shared" si="921"/>
        <v>0</v>
      </c>
      <c r="V1066" s="1906">
        <f t="shared" si="922"/>
        <v>0</v>
      </c>
      <c r="W1066" s="1906">
        <f t="shared" si="923"/>
        <v>0</v>
      </c>
      <c r="X1066" s="1906">
        <f t="shared" si="924"/>
        <v>0</v>
      </c>
      <c r="Y1066" s="1906">
        <f t="shared" si="925"/>
        <v>0</v>
      </c>
      <c r="Z1066" s="1906">
        <f t="shared" si="926"/>
        <v>0</v>
      </c>
      <c r="AA1066" s="1906">
        <f t="shared" si="927"/>
        <v>0</v>
      </c>
      <c r="AB1066" s="1971"/>
      <c r="AC1066" s="1906"/>
      <c r="AD1066" s="1906">
        <f t="shared" si="928"/>
        <v>0</v>
      </c>
      <c r="AE1066" s="1906">
        <f t="shared" si="929"/>
        <v>0</v>
      </c>
      <c r="AF1066" s="1906">
        <f t="shared" si="930"/>
        <v>0</v>
      </c>
      <c r="AG1066" s="1906">
        <f t="shared" si="931"/>
        <v>0</v>
      </c>
      <c r="AH1066" s="1906">
        <f t="shared" si="932"/>
        <v>0</v>
      </c>
      <c r="AI1066" s="1906">
        <f t="shared" si="933"/>
        <v>0</v>
      </c>
      <c r="AJ1066" s="1906">
        <f t="shared" si="934"/>
        <v>0</v>
      </c>
      <c r="AK1066" s="1906">
        <f t="shared" si="935"/>
        <v>0</v>
      </c>
      <c r="AL1066" s="1906">
        <f t="shared" si="936"/>
        <v>0</v>
      </c>
      <c r="AM1066" s="1906">
        <f t="shared" si="937"/>
        <v>0</v>
      </c>
      <c r="AN1066" s="1906">
        <f t="shared" si="938"/>
        <v>0</v>
      </c>
      <c r="AO1066" s="1971"/>
      <c r="AP1066" s="1906">
        <f t="shared" si="939"/>
        <v>0</v>
      </c>
      <c r="AQ1066" s="1906">
        <f t="shared" si="940"/>
        <v>0</v>
      </c>
      <c r="AR1066" s="1906">
        <f t="shared" si="941"/>
        <v>0</v>
      </c>
      <c r="AS1066" s="1906">
        <f t="shared" si="942"/>
        <v>0</v>
      </c>
      <c r="AT1066" s="1906">
        <f t="shared" si="943"/>
        <v>0</v>
      </c>
      <c r="AU1066" s="1906">
        <f t="shared" si="944"/>
        <v>0</v>
      </c>
      <c r="AV1066" s="1906">
        <f t="shared" si="945"/>
        <v>0</v>
      </c>
      <c r="AW1066" s="1906">
        <f t="shared" si="946"/>
        <v>0</v>
      </c>
      <c r="AX1066" s="1906">
        <f t="shared" si="947"/>
        <v>0</v>
      </c>
      <c r="AY1066" s="1906">
        <f t="shared" si="948"/>
        <v>0</v>
      </c>
      <c r="AZ1066" s="1906">
        <f t="shared" si="949"/>
        <v>0</v>
      </c>
      <c r="BA1066" s="1906">
        <f t="shared" si="950"/>
        <v>0</v>
      </c>
      <c r="BB1066" s="1971"/>
      <c r="BC1066" s="1906">
        <f t="shared" si="951"/>
        <v>0</v>
      </c>
      <c r="BD1066" s="1906">
        <f t="shared" si="952"/>
        <v>0</v>
      </c>
      <c r="BE1066" s="1906">
        <f t="shared" si="953"/>
        <v>0</v>
      </c>
      <c r="BF1066" s="1906">
        <f t="shared" si="954"/>
        <v>0</v>
      </c>
      <c r="BG1066" s="1906">
        <f t="shared" si="955"/>
        <v>0</v>
      </c>
      <c r="BH1066" s="1906">
        <f t="shared" si="956"/>
        <v>0</v>
      </c>
      <c r="BI1066" s="1906">
        <f t="shared" si="957"/>
        <v>0</v>
      </c>
      <c r="BJ1066" s="1906">
        <f t="shared" si="958"/>
        <v>0</v>
      </c>
      <c r="BK1066" s="1906">
        <f t="shared" si="959"/>
        <v>0</v>
      </c>
      <c r="BL1066" s="1906">
        <f t="shared" si="960"/>
        <v>0</v>
      </c>
      <c r="BM1066" s="1906">
        <f t="shared" si="961"/>
        <v>0</v>
      </c>
      <c r="BN1066" s="1906">
        <f t="shared" si="962"/>
        <v>0</v>
      </c>
      <c r="BO1066" s="1971"/>
      <c r="BP1066" s="1906">
        <f t="shared" si="963"/>
        <v>0</v>
      </c>
      <c r="BQ1066" s="1906">
        <f t="shared" si="964"/>
        <v>0</v>
      </c>
      <c r="BR1066" s="1906">
        <f t="shared" si="965"/>
        <v>0</v>
      </c>
      <c r="BS1066" s="1906">
        <f t="shared" si="966"/>
        <v>0</v>
      </c>
      <c r="BT1066" s="1906">
        <f t="shared" si="967"/>
        <v>0</v>
      </c>
      <c r="BU1066" s="1906">
        <f t="shared" si="968"/>
        <v>0</v>
      </c>
      <c r="BV1066" s="1906">
        <f t="shared" si="969"/>
        <v>0</v>
      </c>
      <c r="BW1066" s="1906">
        <f t="shared" si="970"/>
        <v>0</v>
      </c>
      <c r="BX1066" s="1906">
        <f t="shared" si="971"/>
        <v>0</v>
      </c>
      <c r="BY1066" s="1906">
        <f t="shared" si="972"/>
        <v>0</v>
      </c>
      <c r="BZ1066" s="1906">
        <f t="shared" si="973"/>
        <v>0</v>
      </c>
      <c r="CA1066" s="1906">
        <f t="shared" si="974"/>
        <v>0</v>
      </c>
      <c r="CB1066" s="1971"/>
      <c r="CC1066" s="1906">
        <f t="shared" si="975"/>
        <v>0</v>
      </c>
      <c r="CD1066" s="1906">
        <f t="shared" si="976"/>
        <v>0</v>
      </c>
      <c r="CE1066" s="1906">
        <f t="shared" si="977"/>
        <v>0</v>
      </c>
      <c r="CF1066" s="1906">
        <f t="shared" si="978"/>
        <v>0</v>
      </c>
      <c r="CG1066" s="1906">
        <f t="shared" si="979"/>
        <v>0</v>
      </c>
      <c r="CH1066" s="1906">
        <f t="shared" si="980"/>
        <v>0</v>
      </c>
      <c r="CI1066" s="1906">
        <f t="shared" si="981"/>
        <v>0</v>
      </c>
      <c r="CJ1066" s="1906">
        <f t="shared" si="982"/>
        <v>0</v>
      </c>
      <c r="CK1066" s="1906">
        <f t="shared" si="983"/>
        <v>0</v>
      </c>
      <c r="CL1066" s="1906">
        <f t="shared" si="984"/>
        <v>0</v>
      </c>
      <c r="CM1066" s="1906">
        <f t="shared" si="985"/>
        <v>0</v>
      </c>
      <c r="CN1066" s="1906">
        <f t="shared" si="986"/>
        <v>0</v>
      </c>
      <c r="CO1066" s="1971" t="str">
        <f t="shared" si="987"/>
        <v>Alfalfa 3</v>
      </c>
      <c r="CP1066" s="1906">
        <f t="shared" si="1004"/>
        <v>0</v>
      </c>
      <c r="CQ1066" s="1906">
        <f t="shared" si="988"/>
        <v>0</v>
      </c>
      <c r="CR1066" s="1906">
        <f t="shared" si="989"/>
        <v>0</v>
      </c>
      <c r="CS1066" s="1906">
        <f t="shared" si="990"/>
        <v>0</v>
      </c>
      <c r="CT1066" s="1906">
        <f t="shared" si="991"/>
        <v>0</v>
      </c>
      <c r="CU1066" s="1906">
        <f t="shared" si="991"/>
        <v>0</v>
      </c>
      <c r="CV1066" s="1906">
        <f t="shared" si="991"/>
        <v>0</v>
      </c>
      <c r="CW1066" s="1906">
        <f t="shared" si="991"/>
        <v>0</v>
      </c>
      <c r="CX1066" s="1906">
        <f t="shared" si="991"/>
        <v>0</v>
      </c>
      <c r="CY1066" s="1906">
        <f t="shared" si="991"/>
        <v>0</v>
      </c>
      <c r="CZ1066" s="1906">
        <f t="shared" si="991"/>
        <v>0</v>
      </c>
      <c r="DA1066" s="1906">
        <f t="shared" si="991"/>
        <v>0</v>
      </c>
      <c r="DB1066" s="595" t="str">
        <f t="shared" si="1005"/>
        <v>Alfalfa 3</v>
      </c>
      <c r="DC1066" s="1443">
        <f t="shared" si="1006"/>
        <v>0</v>
      </c>
      <c r="DD1066" s="107"/>
      <c r="DE1066" s="111" t="str">
        <f t="shared" si="1007"/>
        <v>Alfalfa 3</v>
      </c>
      <c r="DF1066" s="1906">
        <f t="shared" si="992"/>
        <v>0</v>
      </c>
      <c r="DG1066" s="1906">
        <f t="shared" si="993"/>
        <v>0</v>
      </c>
      <c r="DH1066" s="1906">
        <f t="shared" si="994"/>
        <v>0</v>
      </c>
      <c r="DI1066" s="1906">
        <f t="shared" si="995"/>
        <v>0</v>
      </c>
      <c r="DJ1066" s="1906">
        <f t="shared" si="996"/>
        <v>0</v>
      </c>
      <c r="DK1066" s="1906">
        <f t="shared" si="997"/>
        <v>0</v>
      </c>
      <c r="DL1066" s="1906">
        <f t="shared" si="998"/>
        <v>0</v>
      </c>
      <c r="DM1066" s="1906">
        <f t="shared" si="999"/>
        <v>0</v>
      </c>
      <c r="DN1066" s="1906">
        <f t="shared" si="1000"/>
        <v>0</v>
      </c>
      <c r="DO1066" s="1906">
        <f t="shared" si="1001"/>
        <v>0</v>
      </c>
      <c r="DP1066" s="1906">
        <f t="shared" si="1002"/>
        <v>0</v>
      </c>
      <c r="DQ1066" s="1906">
        <f t="shared" si="1003"/>
        <v>0</v>
      </c>
    </row>
    <row r="1067" spans="1:121" x14ac:dyDescent="0.2">
      <c r="A1067" s="6"/>
      <c r="B1067" s="1971" t="str">
        <f t="shared" si="903"/>
        <v>Alfalfa 4</v>
      </c>
      <c r="C1067" s="1906" t="str">
        <f t="shared" si="904"/>
        <v/>
      </c>
      <c r="D1067" s="1906" t="str">
        <f t="shared" si="905"/>
        <v/>
      </c>
      <c r="E1067" s="1906" t="str">
        <f t="shared" si="906"/>
        <v/>
      </c>
      <c r="F1067" s="1906" t="str">
        <f t="shared" si="907"/>
        <v/>
      </c>
      <c r="G1067" s="1906" t="str">
        <f t="shared" si="908"/>
        <v/>
      </c>
      <c r="H1067" s="1906" t="str">
        <f t="shared" si="909"/>
        <v/>
      </c>
      <c r="I1067" s="1906" t="str">
        <f t="shared" si="910"/>
        <v/>
      </c>
      <c r="J1067" s="1906" t="str">
        <f t="shared" si="911"/>
        <v/>
      </c>
      <c r="K1067" s="1906" t="str">
        <f t="shared" si="912"/>
        <v/>
      </c>
      <c r="L1067" s="1906" t="str">
        <f t="shared" si="913"/>
        <v/>
      </c>
      <c r="M1067" s="1906" t="str">
        <f t="shared" si="914"/>
        <v/>
      </c>
      <c r="N1067" s="1906" t="str">
        <f t="shared" si="915"/>
        <v/>
      </c>
      <c r="O1067" s="1971"/>
      <c r="P1067" s="1906">
        <f t="shared" si="916"/>
        <v>0</v>
      </c>
      <c r="Q1067" s="1906">
        <f t="shared" si="917"/>
        <v>0</v>
      </c>
      <c r="R1067" s="1906">
        <f t="shared" si="918"/>
        <v>0</v>
      </c>
      <c r="S1067" s="1906">
        <f t="shared" si="919"/>
        <v>0</v>
      </c>
      <c r="T1067" s="1906">
        <f t="shared" si="920"/>
        <v>0</v>
      </c>
      <c r="U1067" s="1906">
        <f t="shared" si="921"/>
        <v>0</v>
      </c>
      <c r="V1067" s="1906">
        <f t="shared" si="922"/>
        <v>0</v>
      </c>
      <c r="W1067" s="1906">
        <f t="shared" si="923"/>
        <v>0</v>
      </c>
      <c r="X1067" s="1906">
        <f t="shared" si="924"/>
        <v>0</v>
      </c>
      <c r="Y1067" s="1906">
        <f t="shared" si="925"/>
        <v>0</v>
      </c>
      <c r="Z1067" s="1906">
        <f t="shared" si="926"/>
        <v>0</v>
      </c>
      <c r="AA1067" s="1906">
        <f t="shared" si="927"/>
        <v>0</v>
      </c>
      <c r="AB1067" s="1971"/>
      <c r="AC1067" s="1906"/>
      <c r="AD1067" s="1906">
        <f t="shared" si="928"/>
        <v>0</v>
      </c>
      <c r="AE1067" s="1906">
        <f t="shared" si="929"/>
        <v>0</v>
      </c>
      <c r="AF1067" s="1906">
        <f t="shared" si="930"/>
        <v>0</v>
      </c>
      <c r="AG1067" s="1906">
        <f t="shared" si="931"/>
        <v>0</v>
      </c>
      <c r="AH1067" s="1906">
        <f t="shared" si="932"/>
        <v>0</v>
      </c>
      <c r="AI1067" s="1906">
        <f t="shared" si="933"/>
        <v>0</v>
      </c>
      <c r="AJ1067" s="1906">
        <f t="shared" si="934"/>
        <v>0</v>
      </c>
      <c r="AK1067" s="1906">
        <f t="shared" si="935"/>
        <v>0</v>
      </c>
      <c r="AL1067" s="1906">
        <f t="shared" si="936"/>
        <v>0</v>
      </c>
      <c r="AM1067" s="1906">
        <f t="shared" si="937"/>
        <v>0</v>
      </c>
      <c r="AN1067" s="1906">
        <f t="shared" si="938"/>
        <v>0</v>
      </c>
      <c r="AO1067" s="1971"/>
      <c r="AP1067" s="1906">
        <f t="shared" si="939"/>
        <v>0</v>
      </c>
      <c r="AQ1067" s="1906">
        <f t="shared" si="940"/>
        <v>0</v>
      </c>
      <c r="AR1067" s="1906">
        <f t="shared" si="941"/>
        <v>0</v>
      </c>
      <c r="AS1067" s="1906">
        <f t="shared" si="942"/>
        <v>0</v>
      </c>
      <c r="AT1067" s="1906">
        <f t="shared" si="943"/>
        <v>0</v>
      </c>
      <c r="AU1067" s="1906">
        <f t="shared" si="944"/>
        <v>0</v>
      </c>
      <c r="AV1067" s="1906">
        <f t="shared" si="945"/>
        <v>0</v>
      </c>
      <c r="AW1067" s="1906">
        <f t="shared" si="946"/>
        <v>0</v>
      </c>
      <c r="AX1067" s="1906">
        <f t="shared" si="947"/>
        <v>0</v>
      </c>
      <c r="AY1067" s="1906">
        <f t="shared" si="948"/>
        <v>0</v>
      </c>
      <c r="AZ1067" s="1906">
        <f t="shared" si="949"/>
        <v>0</v>
      </c>
      <c r="BA1067" s="1906">
        <f t="shared" si="950"/>
        <v>0</v>
      </c>
      <c r="BB1067" s="1971"/>
      <c r="BC1067" s="1906">
        <f t="shared" si="951"/>
        <v>0</v>
      </c>
      <c r="BD1067" s="1906">
        <f t="shared" si="952"/>
        <v>0</v>
      </c>
      <c r="BE1067" s="1906">
        <f t="shared" si="953"/>
        <v>0</v>
      </c>
      <c r="BF1067" s="1906">
        <f t="shared" si="954"/>
        <v>0</v>
      </c>
      <c r="BG1067" s="1906">
        <f t="shared" si="955"/>
        <v>0</v>
      </c>
      <c r="BH1067" s="1906">
        <f t="shared" si="956"/>
        <v>0</v>
      </c>
      <c r="BI1067" s="1906">
        <f t="shared" si="957"/>
        <v>0</v>
      </c>
      <c r="BJ1067" s="1906">
        <f t="shared" si="958"/>
        <v>0</v>
      </c>
      <c r="BK1067" s="1906">
        <f t="shared" si="959"/>
        <v>0</v>
      </c>
      <c r="BL1067" s="1906">
        <f t="shared" si="960"/>
        <v>0</v>
      </c>
      <c r="BM1067" s="1906">
        <f t="shared" si="961"/>
        <v>0</v>
      </c>
      <c r="BN1067" s="1906">
        <f t="shared" si="962"/>
        <v>0</v>
      </c>
      <c r="BO1067" s="1971"/>
      <c r="BP1067" s="1906">
        <f t="shared" si="963"/>
        <v>0</v>
      </c>
      <c r="BQ1067" s="1906">
        <f t="shared" si="964"/>
        <v>0</v>
      </c>
      <c r="BR1067" s="1906">
        <f t="shared" si="965"/>
        <v>0</v>
      </c>
      <c r="BS1067" s="1906">
        <f t="shared" si="966"/>
        <v>0</v>
      </c>
      <c r="BT1067" s="1906">
        <f t="shared" si="967"/>
        <v>0</v>
      </c>
      <c r="BU1067" s="1906">
        <f t="shared" si="968"/>
        <v>0</v>
      </c>
      <c r="BV1067" s="1906">
        <f t="shared" si="969"/>
        <v>0</v>
      </c>
      <c r="BW1067" s="1906">
        <f t="shared" si="970"/>
        <v>0</v>
      </c>
      <c r="BX1067" s="1906">
        <f t="shared" si="971"/>
        <v>0</v>
      </c>
      <c r="BY1067" s="1906">
        <f t="shared" si="972"/>
        <v>0</v>
      </c>
      <c r="BZ1067" s="1906">
        <f t="shared" si="973"/>
        <v>0</v>
      </c>
      <c r="CA1067" s="1906">
        <f t="shared" si="974"/>
        <v>0</v>
      </c>
      <c r="CB1067" s="1971"/>
      <c r="CC1067" s="1906">
        <f t="shared" si="975"/>
        <v>0</v>
      </c>
      <c r="CD1067" s="1906">
        <f t="shared" si="976"/>
        <v>0</v>
      </c>
      <c r="CE1067" s="1906">
        <f t="shared" si="977"/>
        <v>0</v>
      </c>
      <c r="CF1067" s="1906">
        <f t="shared" si="978"/>
        <v>0</v>
      </c>
      <c r="CG1067" s="1906">
        <f t="shared" si="979"/>
        <v>0</v>
      </c>
      <c r="CH1067" s="1906">
        <f t="shared" si="980"/>
        <v>0</v>
      </c>
      <c r="CI1067" s="1906">
        <f t="shared" si="981"/>
        <v>0</v>
      </c>
      <c r="CJ1067" s="1906">
        <f t="shared" si="982"/>
        <v>0</v>
      </c>
      <c r="CK1067" s="1906">
        <f t="shared" si="983"/>
        <v>0</v>
      </c>
      <c r="CL1067" s="1906">
        <f t="shared" si="984"/>
        <v>0</v>
      </c>
      <c r="CM1067" s="1906">
        <f t="shared" si="985"/>
        <v>0</v>
      </c>
      <c r="CN1067" s="1906">
        <f t="shared" si="986"/>
        <v>0</v>
      </c>
      <c r="CO1067" s="1971" t="str">
        <f t="shared" si="987"/>
        <v>Alfalfa 4</v>
      </c>
      <c r="CP1067" s="1906">
        <f t="shared" si="1004"/>
        <v>0</v>
      </c>
      <c r="CQ1067" s="1906">
        <f t="shared" si="988"/>
        <v>0</v>
      </c>
      <c r="CR1067" s="1906">
        <f t="shared" si="989"/>
        <v>0</v>
      </c>
      <c r="CS1067" s="1906">
        <f t="shared" si="990"/>
        <v>0</v>
      </c>
      <c r="CT1067" s="1906">
        <f t="shared" si="991"/>
        <v>0</v>
      </c>
      <c r="CU1067" s="1906">
        <f t="shared" si="991"/>
        <v>0</v>
      </c>
      <c r="CV1067" s="1906">
        <f t="shared" si="991"/>
        <v>0</v>
      </c>
      <c r="CW1067" s="1906">
        <f t="shared" si="991"/>
        <v>0</v>
      </c>
      <c r="CX1067" s="1906">
        <f t="shared" si="991"/>
        <v>0</v>
      </c>
      <c r="CY1067" s="1906">
        <f t="shared" si="991"/>
        <v>0</v>
      </c>
      <c r="CZ1067" s="1906">
        <f t="shared" si="991"/>
        <v>0</v>
      </c>
      <c r="DA1067" s="1906">
        <f t="shared" si="991"/>
        <v>0</v>
      </c>
      <c r="DB1067" s="595" t="str">
        <f t="shared" si="1005"/>
        <v>Alfalfa 4</v>
      </c>
      <c r="DC1067" s="1443">
        <f t="shared" si="1006"/>
        <v>0</v>
      </c>
      <c r="DD1067" s="107"/>
      <c r="DE1067" s="111" t="str">
        <f t="shared" si="1007"/>
        <v>Alfalfa 4</v>
      </c>
      <c r="DF1067" s="1906">
        <f t="shared" si="992"/>
        <v>0</v>
      </c>
      <c r="DG1067" s="1906">
        <f t="shared" si="993"/>
        <v>0</v>
      </c>
      <c r="DH1067" s="1906">
        <f t="shared" si="994"/>
        <v>0</v>
      </c>
      <c r="DI1067" s="1906">
        <f t="shared" si="995"/>
        <v>0</v>
      </c>
      <c r="DJ1067" s="1906">
        <f t="shared" si="996"/>
        <v>0</v>
      </c>
      <c r="DK1067" s="1906">
        <f t="shared" si="997"/>
        <v>0</v>
      </c>
      <c r="DL1067" s="1906">
        <f t="shared" si="998"/>
        <v>0</v>
      </c>
      <c r="DM1067" s="1906">
        <f t="shared" si="999"/>
        <v>0</v>
      </c>
      <c r="DN1067" s="1906">
        <f t="shared" si="1000"/>
        <v>0</v>
      </c>
      <c r="DO1067" s="1906">
        <f t="shared" si="1001"/>
        <v>0</v>
      </c>
      <c r="DP1067" s="1906">
        <f t="shared" si="1002"/>
        <v>0</v>
      </c>
      <c r="DQ1067" s="1906">
        <f t="shared" si="1003"/>
        <v>0</v>
      </c>
    </row>
    <row r="1068" spans="1:121" x14ac:dyDescent="0.2">
      <c r="A1068" s="6"/>
      <c r="B1068" s="1971" t="str">
        <f t="shared" si="903"/>
        <v>PP 2</v>
      </c>
      <c r="C1068" s="1906" t="str">
        <f t="shared" si="904"/>
        <v/>
      </c>
      <c r="D1068" s="1906" t="str">
        <f t="shared" si="905"/>
        <v/>
      </c>
      <c r="E1068" s="1906" t="str">
        <f t="shared" si="906"/>
        <v/>
      </c>
      <c r="F1068" s="1906" t="str">
        <f t="shared" si="907"/>
        <v/>
      </c>
      <c r="G1068" s="1906" t="str">
        <f t="shared" si="908"/>
        <v/>
      </c>
      <c r="H1068" s="1906" t="str">
        <f t="shared" si="909"/>
        <v/>
      </c>
      <c r="I1068" s="1906" t="str">
        <f t="shared" si="910"/>
        <v/>
      </c>
      <c r="J1068" s="1906" t="str">
        <f t="shared" si="911"/>
        <v/>
      </c>
      <c r="K1068" s="1906" t="str">
        <f t="shared" si="912"/>
        <v/>
      </c>
      <c r="L1068" s="1906" t="str">
        <f t="shared" si="913"/>
        <v/>
      </c>
      <c r="M1068" s="1906" t="str">
        <f t="shared" si="914"/>
        <v/>
      </c>
      <c r="N1068" s="1906" t="str">
        <f t="shared" si="915"/>
        <v/>
      </c>
      <c r="O1068" s="1971"/>
      <c r="P1068" s="1906">
        <f t="shared" si="916"/>
        <v>0</v>
      </c>
      <c r="Q1068" s="1906">
        <f t="shared" si="917"/>
        <v>0</v>
      </c>
      <c r="R1068" s="1906">
        <f t="shared" si="918"/>
        <v>0</v>
      </c>
      <c r="S1068" s="1906">
        <f t="shared" si="919"/>
        <v>0</v>
      </c>
      <c r="T1068" s="1906">
        <f t="shared" si="920"/>
        <v>0</v>
      </c>
      <c r="U1068" s="1906">
        <f t="shared" si="921"/>
        <v>0</v>
      </c>
      <c r="V1068" s="1906">
        <f t="shared" si="922"/>
        <v>0</v>
      </c>
      <c r="W1068" s="1906">
        <f t="shared" si="923"/>
        <v>0</v>
      </c>
      <c r="X1068" s="1906">
        <f t="shared" si="924"/>
        <v>0</v>
      </c>
      <c r="Y1068" s="1906">
        <f t="shared" si="925"/>
        <v>0</v>
      </c>
      <c r="Z1068" s="1906">
        <f t="shared" si="926"/>
        <v>0</v>
      </c>
      <c r="AA1068" s="1906">
        <f t="shared" si="927"/>
        <v>0</v>
      </c>
      <c r="AB1068" s="1971"/>
      <c r="AC1068" s="1906"/>
      <c r="AD1068" s="1906">
        <f t="shared" si="928"/>
        <v>0</v>
      </c>
      <c r="AE1068" s="1906">
        <f t="shared" si="929"/>
        <v>0</v>
      </c>
      <c r="AF1068" s="1906">
        <f t="shared" si="930"/>
        <v>0</v>
      </c>
      <c r="AG1068" s="1906">
        <f t="shared" si="931"/>
        <v>0</v>
      </c>
      <c r="AH1068" s="1906">
        <f t="shared" si="932"/>
        <v>0</v>
      </c>
      <c r="AI1068" s="1906">
        <f t="shared" si="933"/>
        <v>0</v>
      </c>
      <c r="AJ1068" s="1906">
        <f t="shared" si="934"/>
        <v>0</v>
      </c>
      <c r="AK1068" s="1906">
        <f t="shared" si="935"/>
        <v>0</v>
      </c>
      <c r="AL1068" s="1906">
        <f t="shared" si="936"/>
        <v>0</v>
      </c>
      <c r="AM1068" s="1906">
        <f t="shared" si="937"/>
        <v>0</v>
      </c>
      <c r="AN1068" s="1906">
        <f t="shared" si="938"/>
        <v>0</v>
      </c>
      <c r="AO1068" s="1971"/>
      <c r="AP1068" s="1906">
        <f t="shared" si="939"/>
        <v>0</v>
      </c>
      <c r="AQ1068" s="1906">
        <f t="shared" si="940"/>
        <v>0</v>
      </c>
      <c r="AR1068" s="1906">
        <f t="shared" si="941"/>
        <v>0</v>
      </c>
      <c r="AS1068" s="1906">
        <f t="shared" si="942"/>
        <v>0</v>
      </c>
      <c r="AT1068" s="1906">
        <f t="shared" si="943"/>
        <v>0</v>
      </c>
      <c r="AU1068" s="1906">
        <f t="shared" si="944"/>
        <v>0</v>
      </c>
      <c r="AV1068" s="1906">
        <f t="shared" si="945"/>
        <v>0</v>
      </c>
      <c r="AW1068" s="1906">
        <f t="shared" si="946"/>
        <v>0</v>
      </c>
      <c r="AX1068" s="1906">
        <f t="shared" si="947"/>
        <v>0</v>
      </c>
      <c r="AY1068" s="1906">
        <f t="shared" si="948"/>
        <v>0</v>
      </c>
      <c r="AZ1068" s="1906">
        <f t="shared" si="949"/>
        <v>0</v>
      </c>
      <c r="BA1068" s="1906">
        <f t="shared" si="950"/>
        <v>0</v>
      </c>
      <c r="BB1068" s="1971"/>
      <c r="BC1068" s="1906">
        <f t="shared" si="951"/>
        <v>0</v>
      </c>
      <c r="BD1068" s="1906">
        <f t="shared" si="952"/>
        <v>0</v>
      </c>
      <c r="BE1068" s="1906">
        <f t="shared" si="953"/>
        <v>0</v>
      </c>
      <c r="BF1068" s="1906">
        <f t="shared" si="954"/>
        <v>0</v>
      </c>
      <c r="BG1068" s="1906">
        <f t="shared" si="955"/>
        <v>0</v>
      </c>
      <c r="BH1068" s="1906">
        <f t="shared" si="956"/>
        <v>0</v>
      </c>
      <c r="BI1068" s="1906">
        <f t="shared" si="957"/>
        <v>0</v>
      </c>
      <c r="BJ1068" s="1906">
        <f t="shared" si="958"/>
        <v>0</v>
      </c>
      <c r="BK1068" s="1906">
        <f t="shared" si="959"/>
        <v>0</v>
      </c>
      <c r="BL1068" s="1906">
        <f t="shared" si="960"/>
        <v>0</v>
      </c>
      <c r="BM1068" s="1906">
        <f t="shared" si="961"/>
        <v>0</v>
      </c>
      <c r="BN1068" s="1906">
        <f t="shared" si="962"/>
        <v>0</v>
      </c>
      <c r="BO1068" s="1971"/>
      <c r="BP1068" s="1906">
        <f t="shared" si="963"/>
        <v>0</v>
      </c>
      <c r="BQ1068" s="1906">
        <f t="shared" si="964"/>
        <v>0</v>
      </c>
      <c r="BR1068" s="1906">
        <f t="shared" si="965"/>
        <v>0</v>
      </c>
      <c r="BS1068" s="1906">
        <f t="shared" si="966"/>
        <v>0</v>
      </c>
      <c r="BT1068" s="1906">
        <f t="shared" si="967"/>
        <v>0</v>
      </c>
      <c r="BU1068" s="1906">
        <f t="shared" si="968"/>
        <v>0</v>
      </c>
      <c r="BV1068" s="1906">
        <f t="shared" si="969"/>
        <v>0</v>
      </c>
      <c r="BW1068" s="1906">
        <f t="shared" si="970"/>
        <v>0</v>
      </c>
      <c r="BX1068" s="1906">
        <f t="shared" si="971"/>
        <v>0</v>
      </c>
      <c r="BY1068" s="1906">
        <f t="shared" si="972"/>
        <v>0</v>
      </c>
      <c r="BZ1068" s="1906">
        <f t="shared" si="973"/>
        <v>0</v>
      </c>
      <c r="CA1068" s="1906">
        <f t="shared" si="974"/>
        <v>0</v>
      </c>
      <c r="CB1068" s="1971"/>
      <c r="CC1068" s="1906">
        <f t="shared" si="975"/>
        <v>0</v>
      </c>
      <c r="CD1068" s="1906">
        <f t="shared" si="976"/>
        <v>0</v>
      </c>
      <c r="CE1068" s="1906">
        <f t="shared" si="977"/>
        <v>0</v>
      </c>
      <c r="CF1068" s="1906">
        <f t="shared" si="978"/>
        <v>0</v>
      </c>
      <c r="CG1068" s="1906">
        <f t="shared" si="979"/>
        <v>0</v>
      </c>
      <c r="CH1068" s="1906">
        <f t="shared" si="980"/>
        <v>0</v>
      </c>
      <c r="CI1068" s="1906">
        <f t="shared" si="981"/>
        <v>0</v>
      </c>
      <c r="CJ1068" s="1906">
        <f t="shared" si="982"/>
        <v>0</v>
      </c>
      <c r="CK1068" s="1906">
        <f t="shared" si="983"/>
        <v>0</v>
      </c>
      <c r="CL1068" s="1906">
        <f t="shared" si="984"/>
        <v>0</v>
      </c>
      <c r="CM1068" s="1906">
        <f t="shared" si="985"/>
        <v>0</v>
      </c>
      <c r="CN1068" s="1906">
        <f t="shared" si="986"/>
        <v>0</v>
      </c>
      <c r="CO1068" s="1971" t="str">
        <f t="shared" si="987"/>
        <v>PP 2</v>
      </c>
      <c r="CP1068" s="1906">
        <f t="shared" si="1004"/>
        <v>0</v>
      </c>
      <c r="CQ1068" s="1906">
        <f t="shared" si="988"/>
        <v>0</v>
      </c>
      <c r="CR1068" s="1906">
        <f t="shared" si="989"/>
        <v>0</v>
      </c>
      <c r="CS1068" s="1906">
        <f t="shared" si="990"/>
        <v>0</v>
      </c>
      <c r="CT1068" s="1906">
        <f t="shared" si="991"/>
        <v>0</v>
      </c>
      <c r="CU1068" s="1906">
        <f t="shared" si="991"/>
        <v>0</v>
      </c>
      <c r="CV1068" s="1906">
        <f t="shared" si="991"/>
        <v>0</v>
      </c>
      <c r="CW1068" s="1906">
        <f t="shared" si="991"/>
        <v>0</v>
      </c>
      <c r="CX1068" s="1906">
        <f t="shared" si="991"/>
        <v>0</v>
      </c>
      <c r="CY1068" s="1906">
        <f t="shared" si="991"/>
        <v>0</v>
      </c>
      <c r="CZ1068" s="1906">
        <f t="shared" si="991"/>
        <v>0</v>
      </c>
      <c r="DA1068" s="1906">
        <f t="shared" si="991"/>
        <v>0</v>
      </c>
      <c r="DB1068" s="595" t="str">
        <f t="shared" si="1005"/>
        <v>PP 2</v>
      </c>
      <c r="DC1068" s="1443">
        <f t="shared" si="1006"/>
        <v>0</v>
      </c>
      <c r="DD1068" s="107"/>
      <c r="DE1068" s="111" t="str">
        <f t="shared" si="1007"/>
        <v>PP 2</v>
      </c>
      <c r="DF1068" s="1906">
        <f t="shared" si="992"/>
        <v>0</v>
      </c>
      <c r="DG1068" s="1906">
        <f t="shared" si="993"/>
        <v>0</v>
      </c>
      <c r="DH1068" s="1906">
        <f t="shared" si="994"/>
        <v>0</v>
      </c>
      <c r="DI1068" s="1906">
        <f t="shared" si="995"/>
        <v>0</v>
      </c>
      <c r="DJ1068" s="1906">
        <f t="shared" si="996"/>
        <v>0</v>
      </c>
      <c r="DK1068" s="1906">
        <f t="shared" si="997"/>
        <v>0</v>
      </c>
      <c r="DL1068" s="1906">
        <f t="shared" si="998"/>
        <v>0</v>
      </c>
      <c r="DM1068" s="1906">
        <f t="shared" si="999"/>
        <v>0</v>
      </c>
      <c r="DN1068" s="1906">
        <f t="shared" si="1000"/>
        <v>0</v>
      </c>
      <c r="DO1068" s="1906">
        <f t="shared" si="1001"/>
        <v>0</v>
      </c>
      <c r="DP1068" s="1906">
        <f t="shared" si="1002"/>
        <v>0</v>
      </c>
      <c r="DQ1068" s="1906">
        <f t="shared" si="1003"/>
        <v>0</v>
      </c>
    </row>
    <row r="1069" spans="1:121" x14ac:dyDescent="0.2">
      <c r="A1069" s="6"/>
      <c r="B1069" s="1971" t="str">
        <f t="shared" si="903"/>
        <v>PP 3</v>
      </c>
      <c r="C1069" s="1906" t="str">
        <f t="shared" si="904"/>
        <v/>
      </c>
      <c r="D1069" s="1906" t="str">
        <f t="shared" si="905"/>
        <v/>
      </c>
      <c r="E1069" s="1906" t="str">
        <f t="shared" si="906"/>
        <v/>
      </c>
      <c r="F1069" s="1906" t="str">
        <f t="shared" si="907"/>
        <v/>
      </c>
      <c r="G1069" s="1906" t="str">
        <f t="shared" si="908"/>
        <v/>
      </c>
      <c r="H1069" s="1906" t="str">
        <f t="shared" si="909"/>
        <v/>
      </c>
      <c r="I1069" s="1906" t="str">
        <f t="shared" si="910"/>
        <v/>
      </c>
      <c r="J1069" s="1906" t="str">
        <f t="shared" si="911"/>
        <v/>
      </c>
      <c r="K1069" s="1906" t="str">
        <f t="shared" si="912"/>
        <v/>
      </c>
      <c r="L1069" s="1906" t="str">
        <f t="shared" si="913"/>
        <v/>
      </c>
      <c r="M1069" s="1906" t="str">
        <f t="shared" si="914"/>
        <v/>
      </c>
      <c r="N1069" s="1906" t="str">
        <f t="shared" si="915"/>
        <v/>
      </c>
      <c r="O1069" s="1971"/>
      <c r="P1069" s="1906">
        <f t="shared" si="916"/>
        <v>0</v>
      </c>
      <c r="Q1069" s="1906">
        <f t="shared" si="917"/>
        <v>0</v>
      </c>
      <c r="R1069" s="1906">
        <f t="shared" si="918"/>
        <v>0</v>
      </c>
      <c r="S1069" s="1906">
        <f t="shared" si="919"/>
        <v>0</v>
      </c>
      <c r="T1069" s="1906">
        <f t="shared" si="920"/>
        <v>0</v>
      </c>
      <c r="U1069" s="1906">
        <f t="shared" si="921"/>
        <v>0</v>
      </c>
      <c r="V1069" s="1906">
        <f t="shared" si="922"/>
        <v>0</v>
      </c>
      <c r="W1069" s="1906">
        <f t="shared" si="923"/>
        <v>0</v>
      </c>
      <c r="X1069" s="1906">
        <f t="shared" si="924"/>
        <v>0</v>
      </c>
      <c r="Y1069" s="1906">
        <f t="shared" si="925"/>
        <v>0</v>
      </c>
      <c r="Z1069" s="1906">
        <f t="shared" si="926"/>
        <v>0</v>
      </c>
      <c r="AA1069" s="1906">
        <f t="shared" si="927"/>
        <v>0</v>
      </c>
      <c r="AB1069" s="1971"/>
      <c r="AC1069" s="1906"/>
      <c r="AD1069" s="1906">
        <f t="shared" si="928"/>
        <v>0</v>
      </c>
      <c r="AE1069" s="1906">
        <f t="shared" si="929"/>
        <v>0</v>
      </c>
      <c r="AF1069" s="1906">
        <f t="shared" si="930"/>
        <v>0</v>
      </c>
      <c r="AG1069" s="1906">
        <f t="shared" si="931"/>
        <v>0</v>
      </c>
      <c r="AH1069" s="1906">
        <f t="shared" si="932"/>
        <v>0</v>
      </c>
      <c r="AI1069" s="1906">
        <f t="shared" si="933"/>
        <v>0</v>
      </c>
      <c r="AJ1069" s="1906">
        <f t="shared" si="934"/>
        <v>0</v>
      </c>
      <c r="AK1069" s="1906">
        <f t="shared" si="935"/>
        <v>0</v>
      </c>
      <c r="AL1069" s="1906">
        <f t="shared" si="936"/>
        <v>0</v>
      </c>
      <c r="AM1069" s="1906">
        <f t="shared" si="937"/>
        <v>0</v>
      </c>
      <c r="AN1069" s="1906">
        <f t="shared" si="938"/>
        <v>0</v>
      </c>
      <c r="AO1069" s="1971"/>
      <c r="AP1069" s="1906">
        <f t="shared" si="939"/>
        <v>0</v>
      </c>
      <c r="AQ1069" s="1906">
        <f t="shared" si="940"/>
        <v>0</v>
      </c>
      <c r="AR1069" s="1906">
        <f t="shared" si="941"/>
        <v>0</v>
      </c>
      <c r="AS1069" s="1906">
        <f t="shared" si="942"/>
        <v>0</v>
      </c>
      <c r="AT1069" s="1906">
        <f t="shared" si="943"/>
        <v>0</v>
      </c>
      <c r="AU1069" s="1906">
        <f t="shared" si="944"/>
        <v>0</v>
      </c>
      <c r="AV1069" s="1906">
        <f t="shared" si="945"/>
        <v>0</v>
      </c>
      <c r="AW1069" s="1906">
        <f t="shared" si="946"/>
        <v>0</v>
      </c>
      <c r="AX1069" s="1906">
        <f t="shared" si="947"/>
        <v>0</v>
      </c>
      <c r="AY1069" s="1906">
        <f t="shared" si="948"/>
        <v>0</v>
      </c>
      <c r="AZ1069" s="1906">
        <f t="shared" si="949"/>
        <v>0</v>
      </c>
      <c r="BA1069" s="1906">
        <f t="shared" si="950"/>
        <v>0</v>
      </c>
      <c r="BB1069" s="1971"/>
      <c r="BC1069" s="1906">
        <f t="shared" si="951"/>
        <v>0</v>
      </c>
      <c r="BD1069" s="1906">
        <f t="shared" si="952"/>
        <v>0</v>
      </c>
      <c r="BE1069" s="1906">
        <f t="shared" si="953"/>
        <v>0</v>
      </c>
      <c r="BF1069" s="1906">
        <f t="shared" si="954"/>
        <v>0</v>
      </c>
      <c r="BG1069" s="1906">
        <f t="shared" si="955"/>
        <v>0</v>
      </c>
      <c r="BH1069" s="1906">
        <f t="shared" si="956"/>
        <v>0</v>
      </c>
      <c r="BI1069" s="1906">
        <f t="shared" si="957"/>
        <v>0</v>
      </c>
      <c r="BJ1069" s="1906">
        <f t="shared" si="958"/>
        <v>0</v>
      </c>
      <c r="BK1069" s="1906">
        <f t="shared" si="959"/>
        <v>0</v>
      </c>
      <c r="BL1069" s="1906">
        <f t="shared" si="960"/>
        <v>0</v>
      </c>
      <c r="BM1069" s="1906">
        <f t="shared" si="961"/>
        <v>0</v>
      </c>
      <c r="BN1069" s="1906">
        <f t="shared" si="962"/>
        <v>0</v>
      </c>
      <c r="BO1069" s="1971"/>
      <c r="BP1069" s="1906">
        <f t="shared" si="963"/>
        <v>0</v>
      </c>
      <c r="BQ1069" s="1906">
        <f t="shared" si="964"/>
        <v>0</v>
      </c>
      <c r="BR1069" s="1906">
        <f t="shared" si="965"/>
        <v>0</v>
      </c>
      <c r="BS1069" s="1906">
        <f t="shared" si="966"/>
        <v>0</v>
      </c>
      <c r="BT1069" s="1906">
        <f t="shared" si="967"/>
        <v>0</v>
      </c>
      <c r="BU1069" s="1906">
        <f t="shared" si="968"/>
        <v>0</v>
      </c>
      <c r="BV1069" s="1906">
        <f t="shared" si="969"/>
        <v>0</v>
      </c>
      <c r="BW1069" s="1906">
        <f t="shared" si="970"/>
        <v>0</v>
      </c>
      <c r="BX1069" s="1906">
        <f t="shared" si="971"/>
        <v>0</v>
      </c>
      <c r="BY1069" s="1906">
        <f t="shared" si="972"/>
        <v>0</v>
      </c>
      <c r="BZ1069" s="1906">
        <f t="shared" si="973"/>
        <v>0</v>
      </c>
      <c r="CA1069" s="1906">
        <f t="shared" si="974"/>
        <v>0</v>
      </c>
      <c r="CB1069" s="1971"/>
      <c r="CC1069" s="1906">
        <f t="shared" si="975"/>
        <v>0</v>
      </c>
      <c r="CD1069" s="1906">
        <f t="shared" si="976"/>
        <v>0</v>
      </c>
      <c r="CE1069" s="1906">
        <f t="shared" si="977"/>
        <v>0</v>
      </c>
      <c r="CF1069" s="1906">
        <f t="shared" si="978"/>
        <v>0</v>
      </c>
      <c r="CG1069" s="1906">
        <f t="shared" si="979"/>
        <v>0</v>
      </c>
      <c r="CH1069" s="1906">
        <f t="shared" si="980"/>
        <v>0</v>
      </c>
      <c r="CI1069" s="1906">
        <f t="shared" si="981"/>
        <v>0</v>
      </c>
      <c r="CJ1069" s="1906">
        <f t="shared" si="982"/>
        <v>0</v>
      </c>
      <c r="CK1069" s="1906">
        <f t="shared" si="983"/>
        <v>0</v>
      </c>
      <c r="CL1069" s="1906">
        <f t="shared" si="984"/>
        <v>0</v>
      </c>
      <c r="CM1069" s="1906">
        <f t="shared" si="985"/>
        <v>0</v>
      </c>
      <c r="CN1069" s="1906">
        <f t="shared" si="986"/>
        <v>0</v>
      </c>
      <c r="CO1069" s="1971" t="str">
        <f t="shared" si="987"/>
        <v>PP 3</v>
      </c>
      <c r="CP1069" s="1906">
        <f t="shared" si="1004"/>
        <v>0</v>
      </c>
      <c r="CQ1069" s="1906">
        <f t="shared" si="988"/>
        <v>0</v>
      </c>
      <c r="CR1069" s="1906">
        <f t="shared" si="989"/>
        <v>0</v>
      </c>
      <c r="CS1069" s="1906">
        <f t="shared" si="990"/>
        <v>0</v>
      </c>
      <c r="CT1069" s="1906">
        <f t="shared" si="991"/>
        <v>0</v>
      </c>
      <c r="CU1069" s="1906">
        <f t="shared" si="991"/>
        <v>0</v>
      </c>
      <c r="CV1069" s="1906">
        <f t="shared" si="991"/>
        <v>0</v>
      </c>
      <c r="CW1069" s="1906">
        <f t="shared" si="991"/>
        <v>0</v>
      </c>
      <c r="CX1069" s="1906">
        <f t="shared" si="991"/>
        <v>0</v>
      </c>
      <c r="CY1069" s="1906">
        <f t="shared" si="991"/>
        <v>0</v>
      </c>
      <c r="CZ1069" s="1906">
        <f t="shared" si="991"/>
        <v>0</v>
      </c>
      <c r="DA1069" s="1906">
        <f t="shared" si="991"/>
        <v>0</v>
      </c>
      <c r="DB1069" s="595" t="str">
        <f t="shared" si="1005"/>
        <v>PP 3</v>
      </c>
      <c r="DC1069" s="1443">
        <f t="shared" si="1006"/>
        <v>0</v>
      </c>
      <c r="DD1069" s="107"/>
      <c r="DE1069" s="111" t="str">
        <f t="shared" si="1007"/>
        <v>PP 3</v>
      </c>
      <c r="DF1069" s="1906">
        <f t="shared" si="992"/>
        <v>0</v>
      </c>
      <c r="DG1069" s="1906">
        <f t="shared" si="993"/>
        <v>0</v>
      </c>
      <c r="DH1069" s="1906">
        <f t="shared" si="994"/>
        <v>0</v>
      </c>
      <c r="DI1069" s="1906">
        <f t="shared" si="995"/>
        <v>0</v>
      </c>
      <c r="DJ1069" s="1906">
        <f t="shared" si="996"/>
        <v>0</v>
      </c>
      <c r="DK1069" s="1906">
        <f t="shared" si="997"/>
        <v>0</v>
      </c>
      <c r="DL1069" s="1906">
        <f t="shared" si="998"/>
        <v>0</v>
      </c>
      <c r="DM1069" s="1906">
        <f t="shared" si="999"/>
        <v>0</v>
      </c>
      <c r="DN1069" s="1906">
        <f t="shared" si="1000"/>
        <v>0</v>
      </c>
      <c r="DO1069" s="1906">
        <f t="shared" si="1001"/>
        <v>0</v>
      </c>
      <c r="DP1069" s="1906">
        <f t="shared" si="1002"/>
        <v>0</v>
      </c>
      <c r="DQ1069" s="1906">
        <f t="shared" si="1003"/>
        <v>0</v>
      </c>
    </row>
    <row r="1070" spans="1:121" x14ac:dyDescent="0.2">
      <c r="A1070" s="6"/>
      <c r="B1070" s="1971" t="str">
        <f t="shared" si="903"/>
        <v>PP 4</v>
      </c>
      <c r="C1070" s="1906" t="str">
        <f t="shared" si="904"/>
        <v/>
      </c>
      <c r="D1070" s="1906" t="str">
        <f t="shared" si="905"/>
        <v/>
      </c>
      <c r="E1070" s="1906" t="str">
        <f t="shared" si="906"/>
        <v/>
      </c>
      <c r="F1070" s="1906" t="str">
        <f t="shared" si="907"/>
        <v/>
      </c>
      <c r="G1070" s="1906" t="str">
        <f t="shared" si="908"/>
        <v/>
      </c>
      <c r="H1070" s="1906" t="str">
        <f t="shared" si="909"/>
        <v/>
      </c>
      <c r="I1070" s="1906" t="str">
        <f t="shared" si="910"/>
        <v/>
      </c>
      <c r="J1070" s="1906" t="str">
        <f t="shared" si="911"/>
        <v/>
      </c>
      <c r="K1070" s="1906" t="str">
        <f t="shared" si="912"/>
        <v/>
      </c>
      <c r="L1070" s="1906" t="str">
        <f t="shared" si="913"/>
        <v/>
      </c>
      <c r="M1070" s="1906" t="str">
        <f t="shared" si="914"/>
        <v/>
      </c>
      <c r="N1070" s="1906" t="str">
        <f t="shared" si="915"/>
        <v/>
      </c>
      <c r="O1070" s="1971"/>
      <c r="P1070" s="1906">
        <f t="shared" si="916"/>
        <v>0</v>
      </c>
      <c r="Q1070" s="1906">
        <f t="shared" si="917"/>
        <v>0</v>
      </c>
      <c r="R1070" s="1906">
        <f t="shared" si="918"/>
        <v>0</v>
      </c>
      <c r="S1070" s="1906">
        <f t="shared" si="919"/>
        <v>0</v>
      </c>
      <c r="T1070" s="1906">
        <f t="shared" si="920"/>
        <v>0</v>
      </c>
      <c r="U1070" s="1906">
        <f t="shared" si="921"/>
        <v>0</v>
      </c>
      <c r="V1070" s="1906">
        <f t="shared" si="922"/>
        <v>0</v>
      </c>
      <c r="W1070" s="1906">
        <f t="shared" si="923"/>
        <v>0</v>
      </c>
      <c r="X1070" s="1906">
        <f t="shared" si="924"/>
        <v>0</v>
      </c>
      <c r="Y1070" s="1906">
        <f t="shared" si="925"/>
        <v>0</v>
      </c>
      <c r="Z1070" s="1906">
        <f t="shared" si="926"/>
        <v>0</v>
      </c>
      <c r="AA1070" s="1906">
        <f t="shared" si="927"/>
        <v>0</v>
      </c>
      <c r="AB1070" s="1971"/>
      <c r="AC1070" s="1906"/>
      <c r="AD1070" s="1906">
        <f t="shared" si="928"/>
        <v>0</v>
      </c>
      <c r="AE1070" s="1906">
        <f t="shared" si="929"/>
        <v>0</v>
      </c>
      <c r="AF1070" s="1906">
        <f t="shared" si="930"/>
        <v>0</v>
      </c>
      <c r="AG1070" s="1906">
        <f t="shared" si="931"/>
        <v>0</v>
      </c>
      <c r="AH1070" s="1906">
        <f t="shared" si="932"/>
        <v>0</v>
      </c>
      <c r="AI1070" s="1906">
        <f t="shared" si="933"/>
        <v>0</v>
      </c>
      <c r="AJ1070" s="1906">
        <f t="shared" si="934"/>
        <v>0</v>
      </c>
      <c r="AK1070" s="1906">
        <f t="shared" si="935"/>
        <v>0</v>
      </c>
      <c r="AL1070" s="1906">
        <f t="shared" si="936"/>
        <v>0</v>
      </c>
      <c r="AM1070" s="1906">
        <f t="shared" si="937"/>
        <v>0</v>
      </c>
      <c r="AN1070" s="1906">
        <f t="shared" si="938"/>
        <v>0</v>
      </c>
      <c r="AO1070" s="1971"/>
      <c r="AP1070" s="1906">
        <f t="shared" si="939"/>
        <v>0</v>
      </c>
      <c r="AQ1070" s="1906">
        <f t="shared" si="940"/>
        <v>0</v>
      </c>
      <c r="AR1070" s="1906">
        <f t="shared" si="941"/>
        <v>0</v>
      </c>
      <c r="AS1070" s="1906">
        <f t="shared" si="942"/>
        <v>0</v>
      </c>
      <c r="AT1070" s="1906">
        <f t="shared" si="943"/>
        <v>0</v>
      </c>
      <c r="AU1070" s="1906">
        <f t="shared" si="944"/>
        <v>0</v>
      </c>
      <c r="AV1070" s="1906">
        <f t="shared" si="945"/>
        <v>0</v>
      </c>
      <c r="AW1070" s="1906">
        <f t="shared" si="946"/>
        <v>0</v>
      </c>
      <c r="AX1070" s="1906">
        <f t="shared" si="947"/>
        <v>0</v>
      </c>
      <c r="AY1070" s="1906">
        <f t="shared" si="948"/>
        <v>0</v>
      </c>
      <c r="AZ1070" s="1906">
        <f t="shared" si="949"/>
        <v>0</v>
      </c>
      <c r="BA1070" s="1906">
        <f t="shared" si="950"/>
        <v>0</v>
      </c>
      <c r="BB1070" s="1971"/>
      <c r="BC1070" s="1906">
        <f t="shared" si="951"/>
        <v>0</v>
      </c>
      <c r="BD1070" s="1906">
        <f t="shared" si="952"/>
        <v>0</v>
      </c>
      <c r="BE1070" s="1906">
        <f t="shared" si="953"/>
        <v>0</v>
      </c>
      <c r="BF1070" s="1906">
        <f t="shared" si="954"/>
        <v>0</v>
      </c>
      <c r="BG1070" s="1906">
        <f t="shared" si="955"/>
        <v>0</v>
      </c>
      <c r="BH1070" s="1906">
        <f t="shared" si="956"/>
        <v>0</v>
      </c>
      <c r="BI1070" s="1906">
        <f t="shared" si="957"/>
        <v>0</v>
      </c>
      <c r="BJ1070" s="1906">
        <f t="shared" si="958"/>
        <v>0</v>
      </c>
      <c r="BK1070" s="1906">
        <f t="shared" si="959"/>
        <v>0</v>
      </c>
      <c r="BL1070" s="1906">
        <f t="shared" si="960"/>
        <v>0</v>
      </c>
      <c r="BM1070" s="1906">
        <f t="shared" si="961"/>
        <v>0</v>
      </c>
      <c r="BN1070" s="1906">
        <f t="shared" si="962"/>
        <v>0</v>
      </c>
      <c r="BO1070" s="1971"/>
      <c r="BP1070" s="1906">
        <f t="shared" si="963"/>
        <v>0</v>
      </c>
      <c r="BQ1070" s="1906">
        <f t="shared" si="964"/>
        <v>0</v>
      </c>
      <c r="BR1070" s="1906">
        <f t="shared" si="965"/>
        <v>0</v>
      </c>
      <c r="BS1070" s="1906">
        <f t="shared" si="966"/>
        <v>0</v>
      </c>
      <c r="BT1070" s="1906">
        <f t="shared" si="967"/>
        <v>0</v>
      </c>
      <c r="BU1070" s="1906">
        <f t="shared" si="968"/>
        <v>0</v>
      </c>
      <c r="BV1070" s="1906">
        <f t="shared" si="969"/>
        <v>0</v>
      </c>
      <c r="BW1070" s="1906">
        <f t="shared" si="970"/>
        <v>0</v>
      </c>
      <c r="BX1070" s="1906">
        <f t="shared" si="971"/>
        <v>0</v>
      </c>
      <c r="BY1070" s="1906">
        <f t="shared" si="972"/>
        <v>0</v>
      </c>
      <c r="BZ1070" s="1906">
        <f t="shared" si="973"/>
        <v>0</v>
      </c>
      <c r="CA1070" s="1906">
        <f t="shared" si="974"/>
        <v>0</v>
      </c>
      <c r="CB1070" s="1971"/>
      <c r="CC1070" s="1906">
        <f t="shared" si="975"/>
        <v>0</v>
      </c>
      <c r="CD1070" s="1906">
        <f t="shared" si="976"/>
        <v>0</v>
      </c>
      <c r="CE1070" s="1906">
        <f t="shared" si="977"/>
        <v>0</v>
      </c>
      <c r="CF1070" s="1906">
        <f t="shared" si="978"/>
        <v>0</v>
      </c>
      <c r="CG1070" s="1906">
        <f t="shared" si="979"/>
        <v>0</v>
      </c>
      <c r="CH1070" s="1906">
        <f t="shared" si="980"/>
        <v>0</v>
      </c>
      <c r="CI1070" s="1906">
        <f t="shared" si="981"/>
        <v>0</v>
      </c>
      <c r="CJ1070" s="1906">
        <f t="shared" si="982"/>
        <v>0</v>
      </c>
      <c r="CK1070" s="1906">
        <f t="shared" si="983"/>
        <v>0</v>
      </c>
      <c r="CL1070" s="1906">
        <f t="shared" si="984"/>
        <v>0</v>
      </c>
      <c r="CM1070" s="1906">
        <f t="shared" si="985"/>
        <v>0</v>
      </c>
      <c r="CN1070" s="1906">
        <f t="shared" si="986"/>
        <v>0</v>
      </c>
      <c r="CO1070" s="1971" t="str">
        <f t="shared" si="987"/>
        <v>PP 4</v>
      </c>
      <c r="CP1070" s="1906">
        <f t="shared" si="1004"/>
        <v>0</v>
      </c>
      <c r="CQ1070" s="1906">
        <f t="shared" si="988"/>
        <v>0</v>
      </c>
      <c r="CR1070" s="1906">
        <f t="shared" si="989"/>
        <v>0</v>
      </c>
      <c r="CS1070" s="1906">
        <f t="shared" si="990"/>
        <v>0</v>
      </c>
      <c r="CT1070" s="1906">
        <f t="shared" ref="CT1070:DA1092" si="1008">+T1070+AG1070+AT1070+BG1070+BT1070+CG1070</f>
        <v>0</v>
      </c>
      <c r="CU1070" s="1906">
        <f t="shared" si="1008"/>
        <v>0</v>
      </c>
      <c r="CV1070" s="1906">
        <f t="shared" si="1008"/>
        <v>0</v>
      </c>
      <c r="CW1070" s="1906">
        <f t="shared" si="1008"/>
        <v>0</v>
      </c>
      <c r="CX1070" s="1906">
        <f t="shared" si="1008"/>
        <v>0</v>
      </c>
      <c r="CY1070" s="1906">
        <f t="shared" si="1008"/>
        <v>0</v>
      </c>
      <c r="CZ1070" s="1906">
        <f t="shared" si="1008"/>
        <v>0</v>
      </c>
      <c r="DA1070" s="1906">
        <f t="shared" si="1008"/>
        <v>0</v>
      </c>
      <c r="DB1070" s="595" t="str">
        <f t="shared" si="1005"/>
        <v>PP 4</v>
      </c>
      <c r="DC1070" s="1443">
        <f t="shared" si="1006"/>
        <v>0</v>
      </c>
      <c r="DD1070" s="107"/>
      <c r="DE1070" s="111" t="str">
        <f t="shared" si="1007"/>
        <v>PP 4</v>
      </c>
      <c r="DF1070" s="1906">
        <f t="shared" si="992"/>
        <v>0</v>
      </c>
      <c r="DG1070" s="1906">
        <f t="shared" si="993"/>
        <v>0</v>
      </c>
      <c r="DH1070" s="1906">
        <f t="shared" si="994"/>
        <v>0</v>
      </c>
      <c r="DI1070" s="1906">
        <f t="shared" si="995"/>
        <v>0</v>
      </c>
      <c r="DJ1070" s="1906">
        <f t="shared" si="996"/>
        <v>0</v>
      </c>
      <c r="DK1070" s="1906">
        <f t="shared" si="997"/>
        <v>0</v>
      </c>
      <c r="DL1070" s="1906">
        <f t="shared" si="998"/>
        <v>0</v>
      </c>
      <c r="DM1070" s="1906">
        <f t="shared" si="999"/>
        <v>0</v>
      </c>
      <c r="DN1070" s="1906">
        <f t="shared" si="1000"/>
        <v>0</v>
      </c>
      <c r="DO1070" s="1906">
        <f t="shared" si="1001"/>
        <v>0</v>
      </c>
      <c r="DP1070" s="1906">
        <f t="shared" si="1002"/>
        <v>0</v>
      </c>
      <c r="DQ1070" s="1906">
        <f t="shared" si="1003"/>
        <v>0</v>
      </c>
    </row>
    <row r="1071" spans="1:121" x14ac:dyDescent="0.2">
      <c r="A1071" s="6"/>
      <c r="B1071" s="1971" t="str">
        <f t="shared" si="903"/>
        <v>Prad 2</v>
      </c>
      <c r="C1071" s="1906" t="str">
        <f t="shared" si="904"/>
        <v/>
      </c>
      <c r="D1071" s="1906" t="str">
        <f t="shared" si="905"/>
        <v/>
      </c>
      <c r="E1071" s="1906" t="str">
        <f t="shared" si="906"/>
        <v/>
      </c>
      <c r="F1071" s="1906" t="str">
        <f t="shared" si="907"/>
        <v/>
      </c>
      <c r="G1071" s="1906" t="str">
        <f t="shared" si="908"/>
        <v/>
      </c>
      <c r="H1071" s="1906" t="str">
        <f t="shared" si="909"/>
        <v/>
      </c>
      <c r="I1071" s="1906" t="str">
        <f t="shared" si="910"/>
        <v/>
      </c>
      <c r="J1071" s="1906" t="str">
        <f t="shared" si="911"/>
        <v/>
      </c>
      <c r="K1071" s="1906" t="str">
        <f t="shared" si="912"/>
        <v/>
      </c>
      <c r="L1071" s="1906" t="str">
        <f t="shared" si="913"/>
        <v/>
      </c>
      <c r="M1071" s="1906" t="str">
        <f t="shared" si="914"/>
        <v/>
      </c>
      <c r="N1071" s="1906" t="str">
        <f t="shared" si="915"/>
        <v/>
      </c>
      <c r="O1071" s="1971"/>
      <c r="P1071" s="1906">
        <f t="shared" si="916"/>
        <v>0</v>
      </c>
      <c r="Q1071" s="1906">
        <f t="shared" si="917"/>
        <v>0</v>
      </c>
      <c r="R1071" s="1906">
        <f t="shared" si="918"/>
        <v>0</v>
      </c>
      <c r="S1071" s="1906">
        <f t="shared" si="919"/>
        <v>0</v>
      </c>
      <c r="T1071" s="1906">
        <f t="shared" si="920"/>
        <v>0</v>
      </c>
      <c r="U1071" s="1906">
        <f t="shared" si="921"/>
        <v>0</v>
      </c>
      <c r="V1071" s="1906">
        <f t="shared" si="922"/>
        <v>0</v>
      </c>
      <c r="W1071" s="1906">
        <f t="shared" si="923"/>
        <v>0</v>
      </c>
      <c r="X1071" s="1906">
        <f t="shared" si="924"/>
        <v>0</v>
      </c>
      <c r="Y1071" s="1906">
        <f t="shared" si="925"/>
        <v>0</v>
      </c>
      <c r="Z1071" s="1906">
        <f t="shared" si="926"/>
        <v>0</v>
      </c>
      <c r="AA1071" s="1906">
        <f t="shared" si="927"/>
        <v>0</v>
      </c>
      <c r="AB1071" s="1971"/>
      <c r="AC1071" s="1906"/>
      <c r="AD1071" s="1906">
        <f t="shared" si="928"/>
        <v>0</v>
      </c>
      <c r="AE1071" s="1906">
        <f t="shared" si="929"/>
        <v>0</v>
      </c>
      <c r="AF1071" s="1906">
        <f t="shared" si="930"/>
        <v>0</v>
      </c>
      <c r="AG1071" s="1906">
        <f t="shared" si="931"/>
        <v>0</v>
      </c>
      <c r="AH1071" s="1906">
        <f t="shared" si="932"/>
        <v>0</v>
      </c>
      <c r="AI1071" s="1906">
        <f t="shared" si="933"/>
        <v>0</v>
      </c>
      <c r="AJ1071" s="1906">
        <f t="shared" si="934"/>
        <v>0</v>
      </c>
      <c r="AK1071" s="1906">
        <f t="shared" si="935"/>
        <v>0</v>
      </c>
      <c r="AL1071" s="1906">
        <f t="shared" si="936"/>
        <v>0</v>
      </c>
      <c r="AM1071" s="1906">
        <f t="shared" si="937"/>
        <v>0</v>
      </c>
      <c r="AN1071" s="1906">
        <f t="shared" si="938"/>
        <v>0</v>
      </c>
      <c r="AO1071" s="1971"/>
      <c r="AP1071" s="1906">
        <f t="shared" si="939"/>
        <v>0</v>
      </c>
      <c r="AQ1071" s="1906">
        <f t="shared" si="940"/>
        <v>0</v>
      </c>
      <c r="AR1071" s="1906">
        <f t="shared" si="941"/>
        <v>0</v>
      </c>
      <c r="AS1071" s="1906">
        <f t="shared" si="942"/>
        <v>0</v>
      </c>
      <c r="AT1071" s="1906">
        <f t="shared" si="943"/>
        <v>0</v>
      </c>
      <c r="AU1071" s="1906">
        <f t="shared" si="944"/>
        <v>0</v>
      </c>
      <c r="AV1071" s="1906">
        <f t="shared" si="945"/>
        <v>0</v>
      </c>
      <c r="AW1071" s="1906">
        <f t="shared" si="946"/>
        <v>0</v>
      </c>
      <c r="AX1071" s="1906">
        <f t="shared" si="947"/>
        <v>0</v>
      </c>
      <c r="AY1071" s="1906">
        <f t="shared" si="948"/>
        <v>0</v>
      </c>
      <c r="AZ1071" s="1906">
        <f t="shared" si="949"/>
        <v>0</v>
      </c>
      <c r="BA1071" s="1906">
        <f t="shared" si="950"/>
        <v>0</v>
      </c>
      <c r="BB1071" s="1971"/>
      <c r="BC1071" s="1906">
        <f t="shared" si="951"/>
        <v>0</v>
      </c>
      <c r="BD1071" s="1906">
        <f t="shared" si="952"/>
        <v>0</v>
      </c>
      <c r="BE1071" s="1906">
        <f t="shared" si="953"/>
        <v>0</v>
      </c>
      <c r="BF1071" s="1906">
        <f t="shared" si="954"/>
        <v>0</v>
      </c>
      <c r="BG1071" s="1906">
        <f t="shared" si="955"/>
        <v>0</v>
      </c>
      <c r="BH1071" s="1906">
        <f t="shared" si="956"/>
        <v>0</v>
      </c>
      <c r="BI1071" s="1906">
        <f t="shared" si="957"/>
        <v>0</v>
      </c>
      <c r="BJ1071" s="1906">
        <f t="shared" si="958"/>
        <v>0</v>
      </c>
      <c r="BK1071" s="1906">
        <f t="shared" si="959"/>
        <v>0</v>
      </c>
      <c r="BL1071" s="1906">
        <f t="shared" si="960"/>
        <v>0</v>
      </c>
      <c r="BM1071" s="1906">
        <f t="shared" si="961"/>
        <v>0</v>
      </c>
      <c r="BN1071" s="1906">
        <f t="shared" si="962"/>
        <v>0</v>
      </c>
      <c r="BO1071" s="1971"/>
      <c r="BP1071" s="1906">
        <f t="shared" si="963"/>
        <v>0</v>
      </c>
      <c r="BQ1071" s="1906">
        <f t="shared" si="964"/>
        <v>0</v>
      </c>
      <c r="BR1071" s="1906">
        <f t="shared" si="965"/>
        <v>0</v>
      </c>
      <c r="BS1071" s="1906">
        <f t="shared" si="966"/>
        <v>0</v>
      </c>
      <c r="BT1071" s="1906">
        <f t="shared" si="967"/>
        <v>0</v>
      </c>
      <c r="BU1071" s="1906">
        <f t="shared" si="968"/>
        <v>0</v>
      </c>
      <c r="BV1071" s="1906">
        <f t="shared" si="969"/>
        <v>0</v>
      </c>
      <c r="BW1071" s="1906">
        <f t="shared" si="970"/>
        <v>0</v>
      </c>
      <c r="BX1071" s="1906">
        <f t="shared" si="971"/>
        <v>0</v>
      </c>
      <c r="BY1071" s="1906">
        <f t="shared" si="972"/>
        <v>0</v>
      </c>
      <c r="BZ1071" s="1906">
        <f t="shared" si="973"/>
        <v>0</v>
      </c>
      <c r="CA1071" s="1906">
        <f t="shared" si="974"/>
        <v>0</v>
      </c>
      <c r="CB1071" s="1971"/>
      <c r="CC1071" s="1906">
        <f t="shared" si="975"/>
        <v>0</v>
      </c>
      <c r="CD1071" s="1906">
        <f t="shared" si="976"/>
        <v>0</v>
      </c>
      <c r="CE1071" s="1906">
        <f t="shared" si="977"/>
        <v>0</v>
      </c>
      <c r="CF1071" s="1906">
        <f t="shared" si="978"/>
        <v>0</v>
      </c>
      <c r="CG1071" s="1906">
        <f t="shared" si="979"/>
        <v>0</v>
      </c>
      <c r="CH1071" s="1906">
        <f t="shared" si="980"/>
        <v>0</v>
      </c>
      <c r="CI1071" s="1906">
        <f t="shared" si="981"/>
        <v>0</v>
      </c>
      <c r="CJ1071" s="1906">
        <f t="shared" si="982"/>
        <v>0</v>
      </c>
      <c r="CK1071" s="1906">
        <f t="shared" si="983"/>
        <v>0</v>
      </c>
      <c r="CL1071" s="1906">
        <f t="shared" si="984"/>
        <v>0</v>
      </c>
      <c r="CM1071" s="1906">
        <f t="shared" si="985"/>
        <v>0</v>
      </c>
      <c r="CN1071" s="1906">
        <f t="shared" si="986"/>
        <v>0</v>
      </c>
      <c r="CO1071" s="1971" t="str">
        <f t="shared" si="987"/>
        <v>Prad 2</v>
      </c>
      <c r="CP1071" s="1906">
        <f t="shared" si="1004"/>
        <v>0</v>
      </c>
      <c r="CQ1071" s="1906">
        <f t="shared" si="988"/>
        <v>0</v>
      </c>
      <c r="CR1071" s="1906">
        <f t="shared" si="989"/>
        <v>0</v>
      </c>
      <c r="CS1071" s="1906">
        <f t="shared" si="990"/>
        <v>0</v>
      </c>
      <c r="CT1071" s="1906">
        <f t="shared" si="1008"/>
        <v>0</v>
      </c>
      <c r="CU1071" s="1906">
        <f t="shared" si="1008"/>
        <v>0</v>
      </c>
      <c r="CV1071" s="1906">
        <f t="shared" si="1008"/>
        <v>0</v>
      </c>
      <c r="CW1071" s="1906">
        <f t="shared" si="1008"/>
        <v>0</v>
      </c>
      <c r="CX1071" s="1906">
        <f t="shared" si="1008"/>
        <v>0</v>
      </c>
      <c r="CY1071" s="1906">
        <f t="shared" si="1008"/>
        <v>0</v>
      </c>
      <c r="CZ1071" s="1906">
        <f t="shared" si="1008"/>
        <v>0</v>
      </c>
      <c r="DA1071" s="1906">
        <f t="shared" si="1008"/>
        <v>0</v>
      </c>
      <c r="DB1071" s="595" t="str">
        <f t="shared" si="1005"/>
        <v>Prad 2</v>
      </c>
      <c r="DC1071" s="1443">
        <f t="shared" si="1006"/>
        <v>0</v>
      </c>
      <c r="DD1071" s="107"/>
      <c r="DE1071" s="111" t="str">
        <f t="shared" si="1007"/>
        <v>Prad 2</v>
      </c>
      <c r="DF1071" s="1906">
        <f t="shared" si="992"/>
        <v>0</v>
      </c>
      <c r="DG1071" s="1906">
        <f t="shared" si="993"/>
        <v>0</v>
      </c>
      <c r="DH1071" s="1906">
        <f t="shared" si="994"/>
        <v>0</v>
      </c>
      <c r="DI1071" s="1906">
        <f t="shared" si="995"/>
        <v>0</v>
      </c>
      <c r="DJ1071" s="1906">
        <f t="shared" si="996"/>
        <v>0</v>
      </c>
      <c r="DK1071" s="1906">
        <f t="shared" si="997"/>
        <v>0</v>
      </c>
      <c r="DL1071" s="1906">
        <f t="shared" si="998"/>
        <v>0</v>
      </c>
      <c r="DM1071" s="1906">
        <f t="shared" si="999"/>
        <v>0</v>
      </c>
      <c r="DN1071" s="1906">
        <f t="shared" si="1000"/>
        <v>0</v>
      </c>
      <c r="DO1071" s="1906">
        <f t="shared" si="1001"/>
        <v>0</v>
      </c>
      <c r="DP1071" s="1906">
        <f t="shared" si="1002"/>
        <v>0</v>
      </c>
      <c r="DQ1071" s="1906">
        <f t="shared" si="1003"/>
        <v>0</v>
      </c>
    </row>
    <row r="1072" spans="1:121" x14ac:dyDescent="0.2">
      <c r="A1072" s="6"/>
      <c r="B1072" s="1971" t="str">
        <f t="shared" si="903"/>
        <v>Prad 3</v>
      </c>
      <c r="C1072" s="1906" t="str">
        <f t="shared" si="904"/>
        <v/>
      </c>
      <c r="D1072" s="1906" t="str">
        <f t="shared" si="905"/>
        <v/>
      </c>
      <c r="E1072" s="1906" t="str">
        <f t="shared" si="906"/>
        <v/>
      </c>
      <c r="F1072" s="1906" t="str">
        <f t="shared" si="907"/>
        <v/>
      </c>
      <c r="G1072" s="1906" t="str">
        <f t="shared" si="908"/>
        <v/>
      </c>
      <c r="H1072" s="1906" t="str">
        <f t="shared" si="909"/>
        <v/>
      </c>
      <c r="I1072" s="1906" t="str">
        <f t="shared" si="910"/>
        <v/>
      </c>
      <c r="J1072" s="1906" t="str">
        <f t="shared" si="911"/>
        <v/>
      </c>
      <c r="K1072" s="1906" t="str">
        <f t="shared" si="912"/>
        <v/>
      </c>
      <c r="L1072" s="1906" t="str">
        <f t="shared" si="913"/>
        <v/>
      </c>
      <c r="M1072" s="1906" t="str">
        <f t="shared" si="914"/>
        <v/>
      </c>
      <c r="N1072" s="1906" t="str">
        <f t="shared" si="915"/>
        <v/>
      </c>
      <c r="O1072" s="1971"/>
      <c r="P1072" s="1906">
        <f t="shared" si="916"/>
        <v>0</v>
      </c>
      <c r="Q1072" s="1906">
        <f t="shared" si="917"/>
        <v>0</v>
      </c>
      <c r="R1072" s="1906">
        <f t="shared" si="918"/>
        <v>0</v>
      </c>
      <c r="S1072" s="1906">
        <f t="shared" si="919"/>
        <v>0</v>
      </c>
      <c r="T1072" s="1906">
        <f t="shared" si="920"/>
        <v>0</v>
      </c>
      <c r="U1072" s="1906">
        <f t="shared" si="921"/>
        <v>0</v>
      </c>
      <c r="V1072" s="1906">
        <f t="shared" si="922"/>
        <v>0</v>
      </c>
      <c r="W1072" s="1906">
        <f t="shared" si="923"/>
        <v>0</v>
      </c>
      <c r="X1072" s="1906">
        <f t="shared" si="924"/>
        <v>0</v>
      </c>
      <c r="Y1072" s="1906">
        <f t="shared" si="925"/>
        <v>0</v>
      </c>
      <c r="Z1072" s="1906">
        <f t="shared" si="926"/>
        <v>0</v>
      </c>
      <c r="AA1072" s="1906">
        <f t="shared" si="927"/>
        <v>0</v>
      </c>
      <c r="AB1072" s="1971"/>
      <c r="AC1072" s="1906"/>
      <c r="AD1072" s="1906">
        <f t="shared" si="928"/>
        <v>0</v>
      </c>
      <c r="AE1072" s="1906">
        <f t="shared" si="929"/>
        <v>0</v>
      </c>
      <c r="AF1072" s="1906">
        <f t="shared" si="930"/>
        <v>0</v>
      </c>
      <c r="AG1072" s="1906">
        <f t="shared" si="931"/>
        <v>0</v>
      </c>
      <c r="AH1072" s="1906">
        <f t="shared" si="932"/>
        <v>0</v>
      </c>
      <c r="AI1072" s="1906">
        <f t="shared" si="933"/>
        <v>0</v>
      </c>
      <c r="AJ1072" s="1906">
        <f t="shared" si="934"/>
        <v>0</v>
      </c>
      <c r="AK1072" s="1906">
        <f t="shared" si="935"/>
        <v>0</v>
      </c>
      <c r="AL1072" s="1906">
        <f t="shared" si="936"/>
        <v>0</v>
      </c>
      <c r="AM1072" s="1906">
        <f t="shared" si="937"/>
        <v>0</v>
      </c>
      <c r="AN1072" s="1906">
        <f t="shared" si="938"/>
        <v>0</v>
      </c>
      <c r="AO1072" s="1971"/>
      <c r="AP1072" s="1906">
        <f t="shared" si="939"/>
        <v>0</v>
      </c>
      <c r="AQ1072" s="1906">
        <f t="shared" si="940"/>
        <v>0</v>
      </c>
      <c r="AR1072" s="1906">
        <f t="shared" si="941"/>
        <v>0</v>
      </c>
      <c r="AS1072" s="1906">
        <f t="shared" si="942"/>
        <v>0</v>
      </c>
      <c r="AT1072" s="1906">
        <f t="shared" si="943"/>
        <v>0</v>
      </c>
      <c r="AU1072" s="1906">
        <f t="shared" si="944"/>
        <v>0</v>
      </c>
      <c r="AV1072" s="1906">
        <f t="shared" si="945"/>
        <v>0</v>
      </c>
      <c r="AW1072" s="1906">
        <f t="shared" si="946"/>
        <v>0</v>
      </c>
      <c r="AX1072" s="1906">
        <f t="shared" si="947"/>
        <v>0</v>
      </c>
      <c r="AY1072" s="1906">
        <f t="shared" si="948"/>
        <v>0</v>
      </c>
      <c r="AZ1072" s="1906">
        <f t="shared" si="949"/>
        <v>0</v>
      </c>
      <c r="BA1072" s="1906">
        <f t="shared" si="950"/>
        <v>0</v>
      </c>
      <c r="BB1072" s="1971"/>
      <c r="BC1072" s="1906">
        <f t="shared" si="951"/>
        <v>0</v>
      </c>
      <c r="BD1072" s="1906">
        <f t="shared" si="952"/>
        <v>0</v>
      </c>
      <c r="BE1072" s="1906">
        <f t="shared" si="953"/>
        <v>0</v>
      </c>
      <c r="BF1072" s="1906">
        <f t="shared" si="954"/>
        <v>0</v>
      </c>
      <c r="BG1072" s="1906">
        <f t="shared" si="955"/>
        <v>0</v>
      </c>
      <c r="BH1072" s="1906">
        <f t="shared" si="956"/>
        <v>0</v>
      </c>
      <c r="BI1072" s="1906">
        <f t="shared" si="957"/>
        <v>0</v>
      </c>
      <c r="BJ1072" s="1906">
        <f t="shared" si="958"/>
        <v>0</v>
      </c>
      <c r="BK1072" s="1906">
        <f t="shared" si="959"/>
        <v>0</v>
      </c>
      <c r="BL1072" s="1906">
        <f t="shared" si="960"/>
        <v>0</v>
      </c>
      <c r="BM1072" s="1906">
        <f t="shared" si="961"/>
        <v>0</v>
      </c>
      <c r="BN1072" s="1906">
        <f t="shared" si="962"/>
        <v>0</v>
      </c>
      <c r="BO1072" s="1971"/>
      <c r="BP1072" s="1906">
        <f t="shared" si="963"/>
        <v>0</v>
      </c>
      <c r="BQ1072" s="1906">
        <f t="shared" si="964"/>
        <v>0</v>
      </c>
      <c r="BR1072" s="1906">
        <f t="shared" si="965"/>
        <v>0</v>
      </c>
      <c r="BS1072" s="1906">
        <f t="shared" si="966"/>
        <v>0</v>
      </c>
      <c r="BT1072" s="1906">
        <f t="shared" si="967"/>
        <v>0</v>
      </c>
      <c r="BU1072" s="1906">
        <f t="shared" si="968"/>
        <v>0</v>
      </c>
      <c r="BV1072" s="1906">
        <f t="shared" si="969"/>
        <v>0</v>
      </c>
      <c r="BW1072" s="1906">
        <f t="shared" si="970"/>
        <v>0</v>
      </c>
      <c r="BX1072" s="1906">
        <f t="shared" si="971"/>
        <v>0</v>
      </c>
      <c r="BY1072" s="1906">
        <f t="shared" si="972"/>
        <v>0</v>
      </c>
      <c r="BZ1072" s="1906">
        <f t="shared" si="973"/>
        <v>0</v>
      </c>
      <c r="CA1072" s="1906">
        <f t="shared" si="974"/>
        <v>0</v>
      </c>
      <c r="CB1072" s="1971"/>
      <c r="CC1072" s="1906">
        <f t="shared" si="975"/>
        <v>0</v>
      </c>
      <c r="CD1072" s="1906">
        <f t="shared" si="976"/>
        <v>0</v>
      </c>
      <c r="CE1072" s="1906">
        <f t="shared" si="977"/>
        <v>0</v>
      </c>
      <c r="CF1072" s="1906">
        <f t="shared" si="978"/>
        <v>0</v>
      </c>
      <c r="CG1072" s="1906">
        <f t="shared" si="979"/>
        <v>0</v>
      </c>
      <c r="CH1072" s="1906">
        <f t="shared" si="980"/>
        <v>0</v>
      </c>
      <c r="CI1072" s="1906">
        <f t="shared" si="981"/>
        <v>0</v>
      </c>
      <c r="CJ1072" s="1906">
        <f t="shared" si="982"/>
        <v>0</v>
      </c>
      <c r="CK1072" s="1906">
        <f t="shared" si="983"/>
        <v>0</v>
      </c>
      <c r="CL1072" s="1906">
        <f t="shared" si="984"/>
        <v>0</v>
      </c>
      <c r="CM1072" s="1906">
        <f t="shared" si="985"/>
        <v>0</v>
      </c>
      <c r="CN1072" s="1906">
        <f t="shared" si="986"/>
        <v>0</v>
      </c>
      <c r="CO1072" s="1971" t="str">
        <f t="shared" si="987"/>
        <v>Prad 3</v>
      </c>
      <c r="CP1072" s="1906">
        <f t="shared" si="1004"/>
        <v>0</v>
      </c>
      <c r="CQ1072" s="1906">
        <f t="shared" si="988"/>
        <v>0</v>
      </c>
      <c r="CR1072" s="1906">
        <f t="shared" si="989"/>
        <v>0</v>
      </c>
      <c r="CS1072" s="1906">
        <f t="shared" si="990"/>
        <v>0</v>
      </c>
      <c r="CT1072" s="1906">
        <f t="shared" si="1008"/>
        <v>0</v>
      </c>
      <c r="CU1072" s="1906">
        <f t="shared" si="1008"/>
        <v>0</v>
      </c>
      <c r="CV1072" s="1906">
        <f t="shared" si="1008"/>
        <v>0</v>
      </c>
      <c r="CW1072" s="1906">
        <f t="shared" si="1008"/>
        <v>0</v>
      </c>
      <c r="CX1072" s="1906">
        <f t="shared" si="1008"/>
        <v>0</v>
      </c>
      <c r="CY1072" s="1906">
        <f t="shared" si="1008"/>
        <v>0</v>
      </c>
      <c r="CZ1072" s="1906">
        <f t="shared" si="1008"/>
        <v>0</v>
      </c>
      <c r="DA1072" s="1906">
        <f t="shared" si="1008"/>
        <v>0</v>
      </c>
      <c r="DB1072" s="595" t="str">
        <f t="shared" si="1005"/>
        <v>Prad 3</v>
      </c>
      <c r="DC1072" s="1443">
        <f t="shared" si="1006"/>
        <v>0</v>
      </c>
      <c r="DD1072" s="107"/>
      <c r="DE1072" s="111" t="str">
        <f t="shared" si="1007"/>
        <v>Prad 3</v>
      </c>
      <c r="DF1072" s="1906">
        <f t="shared" si="992"/>
        <v>0</v>
      </c>
      <c r="DG1072" s="1906">
        <f t="shared" si="993"/>
        <v>0</v>
      </c>
      <c r="DH1072" s="1906">
        <f t="shared" si="994"/>
        <v>0</v>
      </c>
      <c r="DI1072" s="1906">
        <f t="shared" si="995"/>
        <v>0</v>
      </c>
      <c r="DJ1072" s="1906">
        <f t="shared" si="996"/>
        <v>0</v>
      </c>
      <c r="DK1072" s="1906">
        <f t="shared" si="997"/>
        <v>0</v>
      </c>
      <c r="DL1072" s="1906">
        <f t="shared" si="998"/>
        <v>0</v>
      </c>
      <c r="DM1072" s="1906">
        <f t="shared" si="999"/>
        <v>0</v>
      </c>
      <c r="DN1072" s="1906">
        <f t="shared" si="1000"/>
        <v>0</v>
      </c>
      <c r="DO1072" s="1906">
        <f t="shared" si="1001"/>
        <v>0</v>
      </c>
      <c r="DP1072" s="1906">
        <f t="shared" si="1002"/>
        <v>0</v>
      </c>
      <c r="DQ1072" s="1906">
        <f t="shared" si="1003"/>
        <v>0</v>
      </c>
    </row>
    <row r="1073" spans="1:121" x14ac:dyDescent="0.2">
      <c r="A1073" s="6"/>
      <c r="B1073" s="1971" t="str">
        <f t="shared" si="903"/>
        <v>Prad 4</v>
      </c>
      <c r="C1073" s="1906" t="str">
        <f t="shared" si="904"/>
        <v/>
      </c>
      <c r="D1073" s="1906" t="str">
        <f t="shared" si="905"/>
        <v/>
      </c>
      <c r="E1073" s="1906" t="str">
        <f t="shared" si="906"/>
        <v/>
      </c>
      <c r="F1073" s="1906" t="str">
        <f t="shared" si="907"/>
        <v/>
      </c>
      <c r="G1073" s="1906" t="str">
        <f t="shared" si="908"/>
        <v/>
      </c>
      <c r="H1073" s="1906" t="str">
        <f t="shared" si="909"/>
        <v/>
      </c>
      <c r="I1073" s="1906" t="str">
        <f t="shared" si="910"/>
        <v/>
      </c>
      <c r="J1073" s="1906" t="str">
        <f t="shared" si="911"/>
        <v/>
      </c>
      <c r="K1073" s="1906" t="str">
        <f t="shared" si="912"/>
        <v/>
      </c>
      <c r="L1073" s="1906" t="str">
        <f t="shared" si="913"/>
        <v/>
      </c>
      <c r="M1073" s="1906" t="str">
        <f t="shared" si="914"/>
        <v/>
      </c>
      <c r="N1073" s="1906" t="str">
        <f t="shared" si="915"/>
        <v/>
      </c>
      <c r="O1073" s="1971"/>
      <c r="P1073" s="1906">
        <f t="shared" si="916"/>
        <v>0</v>
      </c>
      <c r="Q1073" s="1906">
        <f t="shared" si="917"/>
        <v>0</v>
      </c>
      <c r="R1073" s="1906">
        <f t="shared" si="918"/>
        <v>0</v>
      </c>
      <c r="S1073" s="1906">
        <f t="shared" si="919"/>
        <v>0</v>
      </c>
      <c r="T1073" s="1906">
        <f t="shared" si="920"/>
        <v>0</v>
      </c>
      <c r="U1073" s="1906">
        <f t="shared" si="921"/>
        <v>0</v>
      </c>
      <c r="V1073" s="1906">
        <f t="shared" si="922"/>
        <v>0</v>
      </c>
      <c r="W1073" s="1906">
        <f t="shared" si="923"/>
        <v>0</v>
      </c>
      <c r="X1073" s="1906">
        <f t="shared" si="924"/>
        <v>0</v>
      </c>
      <c r="Y1073" s="1906">
        <f t="shared" si="925"/>
        <v>0</v>
      </c>
      <c r="Z1073" s="1906">
        <f t="shared" si="926"/>
        <v>0</v>
      </c>
      <c r="AA1073" s="1906">
        <f t="shared" si="927"/>
        <v>0</v>
      </c>
      <c r="AB1073" s="1971"/>
      <c r="AC1073" s="1906"/>
      <c r="AD1073" s="1906">
        <f t="shared" si="928"/>
        <v>0</v>
      </c>
      <c r="AE1073" s="1906">
        <f t="shared" si="929"/>
        <v>0</v>
      </c>
      <c r="AF1073" s="1906">
        <f t="shared" si="930"/>
        <v>0</v>
      </c>
      <c r="AG1073" s="1906">
        <f t="shared" si="931"/>
        <v>0</v>
      </c>
      <c r="AH1073" s="1906">
        <f t="shared" si="932"/>
        <v>0</v>
      </c>
      <c r="AI1073" s="1906">
        <f t="shared" si="933"/>
        <v>0</v>
      </c>
      <c r="AJ1073" s="1906">
        <f t="shared" si="934"/>
        <v>0</v>
      </c>
      <c r="AK1073" s="1906">
        <f t="shared" si="935"/>
        <v>0</v>
      </c>
      <c r="AL1073" s="1906">
        <f t="shared" si="936"/>
        <v>0</v>
      </c>
      <c r="AM1073" s="1906">
        <f t="shared" si="937"/>
        <v>0</v>
      </c>
      <c r="AN1073" s="1906">
        <f t="shared" si="938"/>
        <v>0</v>
      </c>
      <c r="AO1073" s="1971"/>
      <c r="AP1073" s="1906">
        <f t="shared" si="939"/>
        <v>0</v>
      </c>
      <c r="AQ1073" s="1906">
        <f t="shared" si="940"/>
        <v>0</v>
      </c>
      <c r="AR1073" s="1906">
        <f t="shared" si="941"/>
        <v>0</v>
      </c>
      <c r="AS1073" s="1906">
        <f t="shared" si="942"/>
        <v>0</v>
      </c>
      <c r="AT1073" s="1906">
        <f t="shared" si="943"/>
        <v>0</v>
      </c>
      <c r="AU1073" s="1906">
        <f t="shared" si="944"/>
        <v>0</v>
      </c>
      <c r="AV1073" s="1906">
        <f t="shared" si="945"/>
        <v>0</v>
      </c>
      <c r="AW1073" s="1906">
        <f t="shared" si="946"/>
        <v>0</v>
      </c>
      <c r="AX1073" s="1906">
        <f t="shared" si="947"/>
        <v>0</v>
      </c>
      <c r="AY1073" s="1906">
        <f t="shared" si="948"/>
        <v>0</v>
      </c>
      <c r="AZ1073" s="1906">
        <f t="shared" si="949"/>
        <v>0</v>
      </c>
      <c r="BA1073" s="1906">
        <f t="shared" si="950"/>
        <v>0</v>
      </c>
      <c r="BB1073" s="1971"/>
      <c r="BC1073" s="1906">
        <f t="shared" si="951"/>
        <v>0</v>
      </c>
      <c r="BD1073" s="1906">
        <f t="shared" si="952"/>
        <v>0</v>
      </c>
      <c r="BE1073" s="1906">
        <f t="shared" si="953"/>
        <v>0</v>
      </c>
      <c r="BF1073" s="1906">
        <f t="shared" si="954"/>
        <v>0</v>
      </c>
      <c r="BG1073" s="1906">
        <f t="shared" si="955"/>
        <v>0</v>
      </c>
      <c r="BH1073" s="1906">
        <f t="shared" si="956"/>
        <v>0</v>
      </c>
      <c r="BI1073" s="1906">
        <f t="shared" si="957"/>
        <v>0</v>
      </c>
      <c r="BJ1073" s="1906">
        <f t="shared" si="958"/>
        <v>0</v>
      </c>
      <c r="BK1073" s="1906">
        <f t="shared" si="959"/>
        <v>0</v>
      </c>
      <c r="BL1073" s="1906">
        <f t="shared" si="960"/>
        <v>0</v>
      </c>
      <c r="BM1073" s="1906">
        <f t="shared" si="961"/>
        <v>0</v>
      </c>
      <c r="BN1073" s="1906">
        <f t="shared" si="962"/>
        <v>0</v>
      </c>
      <c r="BO1073" s="1971"/>
      <c r="BP1073" s="1906">
        <f t="shared" si="963"/>
        <v>0</v>
      </c>
      <c r="BQ1073" s="1906">
        <f t="shared" si="964"/>
        <v>0</v>
      </c>
      <c r="BR1073" s="1906">
        <f t="shared" si="965"/>
        <v>0</v>
      </c>
      <c r="BS1073" s="1906">
        <f t="shared" si="966"/>
        <v>0</v>
      </c>
      <c r="BT1073" s="1906">
        <f t="shared" si="967"/>
        <v>0</v>
      </c>
      <c r="BU1073" s="1906">
        <f t="shared" si="968"/>
        <v>0</v>
      </c>
      <c r="BV1073" s="1906">
        <f t="shared" si="969"/>
        <v>0</v>
      </c>
      <c r="BW1073" s="1906">
        <f t="shared" si="970"/>
        <v>0</v>
      </c>
      <c r="BX1073" s="1906">
        <f t="shared" si="971"/>
        <v>0</v>
      </c>
      <c r="BY1073" s="1906">
        <f t="shared" si="972"/>
        <v>0</v>
      </c>
      <c r="BZ1073" s="1906">
        <f t="shared" si="973"/>
        <v>0</v>
      </c>
      <c r="CA1073" s="1906">
        <f t="shared" si="974"/>
        <v>0</v>
      </c>
      <c r="CB1073" s="1971"/>
      <c r="CC1073" s="1906">
        <f t="shared" si="975"/>
        <v>0</v>
      </c>
      <c r="CD1073" s="1906">
        <f t="shared" si="976"/>
        <v>0</v>
      </c>
      <c r="CE1073" s="1906">
        <f t="shared" si="977"/>
        <v>0</v>
      </c>
      <c r="CF1073" s="1906">
        <f t="shared" si="978"/>
        <v>0</v>
      </c>
      <c r="CG1073" s="1906">
        <f t="shared" si="979"/>
        <v>0</v>
      </c>
      <c r="CH1073" s="1906">
        <f t="shared" si="980"/>
        <v>0</v>
      </c>
      <c r="CI1073" s="1906">
        <f t="shared" si="981"/>
        <v>0</v>
      </c>
      <c r="CJ1073" s="1906">
        <f t="shared" si="982"/>
        <v>0</v>
      </c>
      <c r="CK1073" s="1906">
        <f t="shared" si="983"/>
        <v>0</v>
      </c>
      <c r="CL1073" s="1906">
        <f t="shared" si="984"/>
        <v>0</v>
      </c>
      <c r="CM1073" s="1906">
        <f t="shared" si="985"/>
        <v>0</v>
      </c>
      <c r="CN1073" s="1906">
        <f t="shared" si="986"/>
        <v>0</v>
      </c>
      <c r="CO1073" s="1971" t="str">
        <f t="shared" si="987"/>
        <v>Prad 4</v>
      </c>
      <c r="CP1073" s="1906">
        <f t="shared" si="1004"/>
        <v>0</v>
      </c>
      <c r="CQ1073" s="1906">
        <f t="shared" si="988"/>
        <v>0</v>
      </c>
      <c r="CR1073" s="1906">
        <f t="shared" si="989"/>
        <v>0</v>
      </c>
      <c r="CS1073" s="1906">
        <f t="shared" si="990"/>
        <v>0</v>
      </c>
      <c r="CT1073" s="1906">
        <f t="shared" si="1008"/>
        <v>0</v>
      </c>
      <c r="CU1073" s="1906">
        <f t="shared" si="1008"/>
        <v>0</v>
      </c>
      <c r="CV1073" s="1906">
        <f t="shared" si="1008"/>
        <v>0</v>
      </c>
      <c r="CW1073" s="1906">
        <f t="shared" si="1008"/>
        <v>0</v>
      </c>
      <c r="CX1073" s="1906">
        <f t="shared" si="1008"/>
        <v>0</v>
      </c>
      <c r="CY1073" s="1906">
        <f t="shared" si="1008"/>
        <v>0</v>
      </c>
      <c r="CZ1073" s="1906">
        <f t="shared" si="1008"/>
        <v>0</v>
      </c>
      <c r="DA1073" s="1906">
        <f t="shared" si="1008"/>
        <v>0</v>
      </c>
      <c r="DB1073" s="595" t="str">
        <f t="shared" si="1005"/>
        <v>Prad 4</v>
      </c>
      <c r="DC1073" s="1443">
        <f t="shared" si="1006"/>
        <v>0</v>
      </c>
      <c r="DD1073" s="107"/>
      <c r="DE1073" s="111" t="str">
        <f t="shared" si="1007"/>
        <v>Prad 4</v>
      </c>
      <c r="DF1073" s="1906">
        <f t="shared" si="992"/>
        <v>0</v>
      </c>
      <c r="DG1073" s="1906">
        <f t="shared" si="993"/>
        <v>0</v>
      </c>
      <c r="DH1073" s="1906">
        <f t="shared" si="994"/>
        <v>0</v>
      </c>
      <c r="DI1073" s="1906">
        <f t="shared" si="995"/>
        <v>0</v>
      </c>
      <c r="DJ1073" s="1906">
        <f t="shared" si="996"/>
        <v>0</v>
      </c>
      <c r="DK1073" s="1906">
        <f t="shared" si="997"/>
        <v>0</v>
      </c>
      <c r="DL1073" s="1906">
        <f t="shared" si="998"/>
        <v>0</v>
      </c>
      <c r="DM1073" s="1906">
        <f t="shared" si="999"/>
        <v>0</v>
      </c>
      <c r="DN1073" s="1906">
        <f t="shared" si="1000"/>
        <v>0</v>
      </c>
      <c r="DO1073" s="1906">
        <f t="shared" si="1001"/>
        <v>0</v>
      </c>
      <c r="DP1073" s="1906">
        <f t="shared" si="1002"/>
        <v>0</v>
      </c>
      <c r="DQ1073" s="1906">
        <f t="shared" si="1003"/>
        <v>0</v>
      </c>
    </row>
    <row r="1074" spans="1:121" x14ac:dyDescent="0.2">
      <c r="A1074" s="6"/>
      <c r="B1074" s="1971" t="str">
        <f t="shared" si="903"/>
        <v>Trébol Rojo 2</v>
      </c>
      <c r="C1074" s="1906" t="str">
        <f t="shared" si="904"/>
        <v/>
      </c>
      <c r="D1074" s="1906" t="str">
        <f t="shared" si="905"/>
        <v/>
      </c>
      <c r="E1074" s="1906" t="str">
        <f t="shared" si="906"/>
        <v/>
      </c>
      <c r="F1074" s="1906" t="str">
        <f t="shared" si="907"/>
        <v/>
      </c>
      <c r="G1074" s="1906" t="str">
        <f t="shared" si="908"/>
        <v/>
      </c>
      <c r="H1074" s="1906" t="str">
        <f t="shared" si="909"/>
        <v/>
      </c>
      <c r="I1074" s="1906" t="str">
        <f t="shared" si="910"/>
        <v/>
      </c>
      <c r="J1074" s="1906" t="str">
        <f t="shared" si="911"/>
        <v/>
      </c>
      <c r="K1074" s="1906" t="str">
        <f t="shared" si="912"/>
        <v/>
      </c>
      <c r="L1074" s="1906" t="str">
        <f t="shared" si="913"/>
        <v/>
      </c>
      <c r="M1074" s="1906" t="str">
        <f t="shared" si="914"/>
        <v/>
      </c>
      <c r="N1074" s="1906" t="str">
        <f t="shared" si="915"/>
        <v/>
      </c>
      <c r="O1074" s="1971"/>
      <c r="P1074" s="1906">
        <f t="shared" si="916"/>
        <v>0</v>
      </c>
      <c r="Q1074" s="1906">
        <f t="shared" si="917"/>
        <v>0</v>
      </c>
      <c r="R1074" s="1906">
        <f t="shared" si="918"/>
        <v>0</v>
      </c>
      <c r="S1074" s="1906">
        <f t="shared" si="919"/>
        <v>0</v>
      </c>
      <c r="T1074" s="1906">
        <f t="shared" si="920"/>
        <v>0</v>
      </c>
      <c r="U1074" s="1906">
        <f t="shared" si="921"/>
        <v>0</v>
      </c>
      <c r="V1074" s="1906">
        <f t="shared" si="922"/>
        <v>0</v>
      </c>
      <c r="W1074" s="1906">
        <f t="shared" si="923"/>
        <v>0</v>
      </c>
      <c r="X1074" s="1906">
        <f t="shared" si="924"/>
        <v>0</v>
      </c>
      <c r="Y1074" s="1906">
        <f t="shared" si="925"/>
        <v>0</v>
      </c>
      <c r="Z1074" s="1906">
        <f t="shared" si="926"/>
        <v>0</v>
      </c>
      <c r="AA1074" s="1906">
        <f t="shared" si="927"/>
        <v>0</v>
      </c>
      <c r="AB1074" s="1971"/>
      <c r="AC1074" s="1906"/>
      <c r="AD1074" s="1906">
        <f t="shared" si="928"/>
        <v>0</v>
      </c>
      <c r="AE1074" s="1906">
        <f t="shared" si="929"/>
        <v>0</v>
      </c>
      <c r="AF1074" s="1906">
        <f t="shared" si="930"/>
        <v>0</v>
      </c>
      <c r="AG1074" s="1906">
        <f t="shared" si="931"/>
        <v>0</v>
      </c>
      <c r="AH1074" s="1906">
        <f t="shared" si="932"/>
        <v>0</v>
      </c>
      <c r="AI1074" s="1906">
        <f t="shared" si="933"/>
        <v>0</v>
      </c>
      <c r="AJ1074" s="1906">
        <f t="shared" si="934"/>
        <v>0</v>
      </c>
      <c r="AK1074" s="1906">
        <f t="shared" si="935"/>
        <v>0</v>
      </c>
      <c r="AL1074" s="1906">
        <f t="shared" si="936"/>
        <v>0</v>
      </c>
      <c r="AM1074" s="1906">
        <f t="shared" si="937"/>
        <v>0</v>
      </c>
      <c r="AN1074" s="1906">
        <f t="shared" si="938"/>
        <v>0</v>
      </c>
      <c r="AO1074" s="1971"/>
      <c r="AP1074" s="1906">
        <f t="shared" si="939"/>
        <v>0</v>
      </c>
      <c r="AQ1074" s="1906">
        <f t="shared" si="940"/>
        <v>0</v>
      </c>
      <c r="AR1074" s="1906">
        <f t="shared" si="941"/>
        <v>0</v>
      </c>
      <c r="AS1074" s="1906">
        <f t="shared" si="942"/>
        <v>0</v>
      </c>
      <c r="AT1074" s="1906">
        <f t="shared" si="943"/>
        <v>0</v>
      </c>
      <c r="AU1074" s="1906">
        <f t="shared" si="944"/>
        <v>0</v>
      </c>
      <c r="AV1074" s="1906">
        <f t="shared" si="945"/>
        <v>0</v>
      </c>
      <c r="AW1074" s="1906">
        <f t="shared" si="946"/>
        <v>0</v>
      </c>
      <c r="AX1074" s="1906">
        <f t="shared" si="947"/>
        <v>0</v>
      </c>
      <c r="AY1074" s="1906">
        <f t="shared" si="948"/>
        <v>0</v>
      </c>
      <c r="AZ1074" s="1906">
        <f t="shared" si="949"/>
        <v>0</v>
      </c>
      <c r="BA1074" s="1906">
        <f t="shared" si="950"/>
        <v>0</v>
      </c>
      <c r="BB1074" s="1971"/>
      <c r="BC1074" s="1906">
        <f t="shared" si="951"/>
        <v>0</v>
      </c>
      <c r="BD1074" s="1906">
        <f t="shared" si="952"/>
        <v>0</v>
      </c>
      <c r="BE1074" s="1906">
        <f t="shared" si="953"/>
        <v>0</v>
      </c>
      <c r="BF1074" s="1906">
        <f t="shared" si="954"/>
        <v>0</v>
      </c>
      <c r="BG1074" s="1906">
        <f t="shared" si="955"/>
        <v>0</v>
      </c>
      <c r="BH1074" s="1906">
        <f t="shared" si="956"/>
        <v>0</v>
      </c>
      <c r="BI1074" s="1906">
        <f t="shared" si="957"/>
        <v>0</v>
      </c>
      <c r="BJ1074" s="1906">
        <f t="shared" si="958"/>
        <v>0</v>
      </c>
      <c r="BK1074" s="1906">
        <f t="shared" si="959"/>
        <v>0</v>
      </c>
      <c r="BL1074" s="1906">
        <f t="shared" si="960"/>
        <v>0</v>
      </c>
      <c r="BM1074" s="1906">
        <f t="shared" si="961"/>
        <v>0</v>
      </c>
      <c r="BN1074" s="1906">
        <f t="shared" si="962"/>
        <v>0</v>
      </c>
      <c r="BO1074" s="1971"/>
      <c r="BP1074" s="1906">
        <f t="shared" si="963"/>
        <v>0</v>
      </c>
      <c r="BQ1074" s="1906">
        <f t="shared" si="964"/>
        <v>0</v>
      </c>
      <c r="BR1074" s="1906">
        <f t="shared" si="965"/>
        <v>0</v>
      </c>
      <c r="BS1074" s="1906">
        <f t="shared" si="966"/>
        <v>0</v>
      </c>
      <c r="BT1074" s="1906">
        <f t="shared" si="967"/>
        <v>0</v>
      </c>
      <c r="BU1074" s="1906">
        <f t="shared" si="968"/>
        <v>0</v>
      </c>
      <c r="BV1074" s="1906">
        <f t="shared" si="969"/>
        <v>0</v>
      </c>
      <c r="BW1074" s="1906">
        <f t="shared" si="970"/>
        <v>0</v>
      </c>
      <c r="BX1074" s="1906">
        <f t="shared" si="971"/>
        <v>0</v>
      </c>
      <c r="BY1074" s="1906">
        <f t="shared" si="972"/>
        <v>0</v>
      </c>
      <c r="BZ1074" s="1906">
        <f t="shared" si="973"/>
        <v>0</v>
      </c>
      <c r="CA1074" s="1906">
        <f t="shared" si="974"/>
        <v>0</v>
      </c>
      <c r="CB1074" s="1971"/>
      <c r="CC1074" s="1906">
        <f t="shared" si="975"/>
        <v>0</v>
      </c>
      <c r="CD1074" s="1906">
        <f t="shared" si="976"/>
        <v>0</v>
      </c>
      <c r="CE1074" s="1906">
        <f t="shared" si="977"/>
        <v>0</v>
      </c>
      <c r="CF1074" s="1906">
        <f t="shared" si="978"/>
        <v>0</v>
      </c>
      <c r="CG1074" s="1906">
        <f t="shared" si="979"/>
        <v>0</v>
      </c>
      <c r="CH1074" s="1906">
        <f t="shared" si="980"/>
        <v>0</v>
      </c>
      <c r="CI1074" s="1906">
        <f t="shared" si="981"/>
        <v>0</v>
      </c>
      <c r="CJ1074" s="1906">
        <f t="shared" si="982"/>
        <v>0</v>
      </c>
      <c r="CK1074" s="1906">
        <f t="shared" si="983"/>
        <v>0</v>
      </c>
      <c r="CL1074" s="1906">
        <f t="shared" si="984"/>
        <v>0</v>
      </c>
      <c r="CM1074" s="1906">
        <f t="shared" si="985"/>
        <v>0</v>
      </c>
      <c r="CN1074" s="1906">
        <f t="shared" si="986"/>
        <v>0</v>
      </c>
      <c r="CO1074" s="1971" t="str">
        <f t="shared" si="987"/>
        <v>Trébol Rojo 2</v>
      </c>
      <c r="CP1074" s="1906">
        <f t="shared" si="1004"/>
        <v>0</v>
      </c>
      <c r="CQ1074" s="1906">
        <f t="shared" si="988"/>
        <v>0</v>
      </c>
      <c r="CR1074" s="1906">
        <f t="shared" si="989"/>
        <v>0</v>
      </c>
      <c r="CS1074" s="1906">
        <f t="shared" si="990"/>
        <v>0</v>
      </c>
      <c r="CT1074" s="1906">
        <f t="shared" si="1008"/>
        <v>0</v>
      </c>
      <c r="CU1074" s="1906">
        <f t="shared" si="1008"/>
        <v>0</v>
      </c>
      <c r="CV1074" s="1906">
        <f t="shared" si="1008"/>
        <v>0</v>
      </c>
      <c r="CW1074" s="1906">
        <f t="shared" si="1008"/>
        <v>0</v>
      </c>
      <c r="CX1074" s="1906">
        <f t="shared" si="1008"/>
        <v>0</v>
      </c>
      <c r="CY1074" s="1906">
        <f t="shared" si="1008"/>
        <v>0</v>
      </c>
      <c r="CZ1074" s="1906">
        <f t="shared" si="1008"/>
        <v>0</v>
      </c>
      <c r="DA1074" s="1906">
        <f t="shared" si="1008"/>
        <v>0</v>
      </c>
      <c r="DB1074" s="595" t="str">
        <f t="shared" si="1005"/>
        <v>Trébol Rojo 2</v>
      </c>
      <c r="DC1074" s="1443">
        <f t="shared" si="1006"/>
        <v>0</v>
      </c>
      <c r="DD1074" s="107"/>
      <c r="DE1074" s="111" t="str">
        <f t="shared" si="1007"/>
        <v>Trébol Rojo 2</v>
      </c>
      <c r="DF1074" s="1906">
        <f t="shared" si="992"/>
        <v>0</v>
      </c>
      <c r="DG1074" s="1906">
        <f t="shared" si="993"/>
        <v>0</v>
      </c>
      <c r="DH1074" s="1906">
        <f t="shared" si="994"/>
        <v>0</v>
      </c>
      <c r="DI1074" s="1906">
        <f t="shared" si="995"/>
        <v>0</v>
      </c>
      <c r="DJ1074" s="1906">
        <f t="shared" si="996"/>
        <v>0</v>
      </c>
      <c r="DK1074" s="1906">
        <f t="shared" si="997"/>
        <v>0</v>
      </c>
      <c r="DL1074" s="1906">
        <f t="shared" si="998"/>
        <v>0</v>
      </c>
      <c r="DM1074" s="1906">
        <f t="shared" si="999"/>
        <v>0</v>
      </c>
      <c r="DN1074" s="1906">
        <f t="shared" si="1000"/>
        <v>0</v>
      </c>
      <c r="DO1074" s="1906">
        <f t="shared" si="1001"/>
        <v>0</v>
      </c>
      <c r="DP1074" s="1906">
        <f t="shared" si="1002"/>
        <v>0</v>
      </c>
      <c r="DQ1074" s="1906">
        <f t="shared" si="1003"/>
        <v>0</v>
      </c>
    </row>
    <row r="1075" spans="1:121" x14ac:dyDescent="0.2">
      <c r="A1075" s="6"/>
      <c r="C1075" s="1906" t="str">
        <f t="shared" si="904"/>
        <v/>
      </c>
      <c r="D1075" s="1906" t="str">
        <f t="shared" si="905"/>
        <v/>
      </c>
      <c r="E1075" s="1906" t="str">
        <f t="shared" si="906"/>
        <v/>
      </c>
      <c r="F1075" s="1906" t="str">
        <f t="shared" si="907"/>
        <v/>
      </c>
      <c r="G1075" s="1906" t="str">
        <f t="shared" si="908"/>
        <v/>
      </c>
      <c r="H1075" s="1906" t="str">
        <f t="shared" si="909"/>
        <v/>
      </c>
      <c r="I1075" s="1906" t="str">
        <f t="shared" si="910"/>
        <v/>
      </c>
      <c r="J1075" s="1906" t="str">
        <f t="shared" si="911"/>
        <v/>
      </c>
      <c r="K1075" s="1906" t="str">
        <f t="shared" si="912"/>
        <v/>
      </c>
      <c r="L1075" s="1906" t="str">
        <f t="shared" si="913"/>
        <v/>
      </c>
      <c r="M1075" s="1906" t="str">
        <f t="shared" si="914"/>
        <v/>
      </c>
      <c r="N1075" s="1906" t="str">
        <f t="shared" si="915"/>
        <v/>
      </c>
      <c r="P1075" s="1906">
        <f t="shared" si="916"/>
        <v>0</v>
      </c>
      <c r="Q1075" s="1906">
        <f t="shared" si="917"/>
        <v>0</v>
      </c>
      <c r="R1075" s="1906">
        <f t="shared" si="918"/>
        <v>0</v>
      </c>
      <c r="S1075" s="1906">
        <f t="shared" si="919"/>
        <v>0</v>
      </c>
      <c r="T1075" s="1906">
        <f t="shared" si="920"/>
        <v>0</v>
      </c>
      <c r="U1075" s="1906">
        <f t="shared" si="921"/>
        <v>0</v>
      </c>
      <c r="V1075" s="1906">
        <f t="shared" si="922"/>
        <v>0</v>
      </c>
      <c r="W1075" s="1906">
        <f t="shared" si="923"/>
        <v>0</v>
      </c>
      <c r="X1075" s="1906">
        <f t="shared" si="924"/>
        <v>0</v>
      </c>
      <c r="Y1075" s="1906">
        <f t="shared" si="925"/>
        <v>0</v>
      </c>
      <c r="Z1075" s="1906">
        <f t="shared" si="926"/>
        <v>0</v>
      </c>
      <c r="AA1075" s="1906">
        <f t="shared" si="927"/>
        <v>0</v>
      </c>
      <c r="AC1075" s="1906"/>
      <c r="AD1075" s="1906">
        <f t="shared" si="928"/>
        <v>0</v>
      </c>
      <c r="AE1075" s="1906">
        <f t="shared" si="929"/>
        <v>0</v>
      </c>
      <c r="AF1075" s="1906">
        <f t="shared" si="930"/>
        <v>0</v>
      </c>
      <c r="AG1075" s="1906">
        <f t="shared" si="931"/>
        <v>0</v>
      </c>
      <c r="AH1075" s="1906">
        <f t="shared" si="932"/>
        <v>0</v>
      </c>
      <c r="AI1075" s="1906">
        <f t="shared" si="933"/>
        <v>0</v>
      </c>
      <c r="AJ1075" s="1906">
        <f t="shared" si="934"/>
        <v>0</v>
      </c>
      <c r="AK1075" s="1906">
        <f t="shared" si="935"/>
        <v>0</v>
      </c>
      <c r="AL1075" s="1906">
        <f t="shared" si="936"/>
        <v>0</v>
      </c>
      <c r="AM1075" s="1906">
        <f t="shared" si="937"/>
        <v>0</v>
      </c>
      <c r="AN1075" s="1906">
        <f t="shared" si="938"/>
        <v>0</v>
      </c>
      <c r="AP1075" s="1906">
        <f t="shared" si="939"/>
        <v>0</v>
      </c>
      <c r="AQ1075" s="1906">
        <f t="shared" si="940"/>
        <v>0</v>
      </c>
      <c r="AR1075" s="1906">
        <f t="shared" si="941"/>
        <v>0</v>
      </c>
      <c r="AS1075" s="1906">
        <f t="shared" si="942"/>
        <v>0</v>
      </c>
      <c r="AT1075" s="1906">
        <f t="shared" si="943"/>
        <v>0</v>
      </c>
      <c r="AU1075" s="1906">
        <f t="shared" si="944"/>
        <v>0</v>
      </c>
      <c r="AV1075" s="1906">
        <f t="shared" si="945"/>
        <v>0</v>
      </c>
      <c r="AW1075" s="1906">
        <f t="shared" si="946"/>
        <v>0</v>
      </c>
      <c r="AX1075" s="1906">
        <f t="shared" si="947"/>
        <v>0</v>
      </c>
      <c r="AY1075" s="1906">
        <f t="shared" si="948"/>
        <v>0</v>
      </c>
      <c r="AZ1075" s="1906">
        <f t="shared" si="949"/>
        <v>0</v>
      </c>
      <c r="BA1075" s="1906">
        <f t="shared" si="950"/>
        <v>0</v>
      </c>
      <c r="BC1075" s="1906">
        <f t="shared" si="951"/>
        <v>0</v>
      </c>
      <c r="BD1075" s="1906">
        <f t="shared" si="952"/>
        <v>0</v>
      </c>
      <c r="BE1075" s="1906">
        <f t="shared" si="953"/>
        <v>0</v>
      </c>
      <c r="BF1075" s="1906">
        <f t="shared" si="954"/>
        <v>0</v>
      </c>
      <c r="BG1075" s="1906">
        <f t="shared" si="955"/>
        <v>0</v>
      </c>
      <c r="BH1075" s="1906">
        <f t="shared" si="956"/>
        <v>0</v>
      </c>
      <c r="BI1075" s="1906">
        <f t="shared" si="957"/>
        <v>0</v>
      </c>
      <c r="BJ1075" s="1906">
        <f t="shared" si="958"/>
        <v>0</v>
      </c>
      <c r="BK1075" s="1906">
        <f t="shared" si="959"/>
        <v>0</v>
      </c>
      <c r="BL1075" s="1906">
        <f t="shared" si="960"/>
        <v>0</v>
      </c>
      <c r="BM1075" s="1906">
        <f t="shared" si="961"/>
        <v>0</v>
      </c>
      <c r="BN1075" s="1906">
        <f t="shared" si="962"/>
        <v>0</v>
      </c>
      <c r="BP1075" s="1906">
        <f t="shared" si="963"/>
        <v>0</v>
      </c>
      <c r="BQ1075" s="1906">
        <f t="shared" si="964"/>
        <v>0</v>
      </c>
      <c r="BR1075" s="1906">
        <f t="shared" si="965"/>
        <v>0</v>
      </c>
      <c r="BS1075" s="1906">
        <f t="shared" si="966"/>
        <v>0</v>
      </c>
      <c r="BT1075" s="1906">
        <f t="shared" si="967"/>
        <v>0</v>
      </c>
      <c r="BU1075" s="1906">
        <f t="shared" si="968"/>
        <v>0</v>
      </c>
      <c r="BV1075" s="1906">
        <f t="shared" si="969"/>
        <v>0</v>
      </c>
      <c r="BW1075" s="1906">
        <f t="shared" si="970"/>
        <v>0</v>
      </c>
      <c r="BX1075" s="1906">
        <f t="shared" si="971"/>
        <v>0</v>
      </c>
      <c r="BY1075" s="1906">
        <f t="shared" si="972"/>
        <v>0</v>
      </c>
      <c r="BZ1075" s="1906">
        <f t="shared" si="973"/>
        <v>0</v>
      </c>
      <c r="CA1075" s="1906">
        <f t="shared" si="974"/>
        <v>0</v>
      </c>
      <c r="CC1075" s="1906">
        <f t="shared" si="975"/>
        <v>0</v>
      </c>
      <c r="CD1075" s="1906">
        <f t="shared" si="976"/>
        <v>0</v>
      </c>
      <c r="CE1075" s="1906">
        <f t="shared" si="977"/>
        <v>0</v>
      </c>
      <c r="CF1075" s="1906">
        <f t="shared" si="978"/>
        <v>0</v>
      </c>
      <c r="CG1075" s="1906">
        <f t="shared" si="979"/>
        <v>0</v>
      </c>
      <c r="CH1075" s="1906">
        <f t="shared" si="980"/>
        <v>0</v>
      </c>
      <c r="CI1075" s="1906">
        <f t="shared" si="981"/>
        <v>0</v>
      </c>
      <c r="CJ1075" s="1906">
        <f t="shared" si="982"/>
        <v>0</v>
      </c>
      <c r="CK1075" s="1906">
        <f t="shared" si="983"/>
        <v>0</v>
      </c>
      <c r="CL1075" s="1906">
        <f t="shared" si="984"/>
        <v>0</v>
      </c>
      <c r="CM1075" s="1906">
        <f t="shared" si="985"/>
        <v>0</v>
      </c>
      <c r="CN1075" s="1906">
        <f t="shared" si="986"/>
        <v>0</v>
      </c>
      <c r="CO1075" s="6" t="str">
        <f t="shared" si="987"/>
        <v>Trébol Rojo 3</v>
      </c>
      <c r="CP1075" s="1906">
        <f t="shared" si="1004"/>
        <v>0</v>
      </c>
      <c r="CQ1075" s="1906">
        <f t="shared" si="988"/>
        <v>0</v>
      </c>
      <c r="CR1075" s="1906">
        <f t="shared" si="989"/>
        <v>0</v>
      </c>
      <c r="CS1075" s="1906">
        <f t="shared" si="990"/>
        <v>0</v>
      </c>
      <c r="CT1075" s="1906">
        <f t="shared" si="1008"/>
        <v>0</v>
      </c>
      <c r="CU1075" s="1906">
        <f t="shared" si="1008"/>
        <v>0</v>
      </c>
      <c r="CV1075" s="1906">
        <f t="shared" si="1008"/>
        <v>0</v>
      </c>
      <c r="CW1075" s="1906">
        <f t="shared" si="1008"/>
        <v>0</v>
      </c>
      <c r="CX1075" s="1906">
        <f t="shared" si="1008"/>
        <v>0</v>
      </c>
      <c r="CY1075" s="1906">
        <f t="shared" si="1008"/>
        <v>0</v>
      </c>
      <c r="CZ1075" s="1906">
        <f t="shared" si="1008"/>
        <v>0</v>
      </c>
      <c r="DA1075" s="1906">
        <f t="shared" si="1008"/>
        <v>0</v>
      </c>
      <c r="DB1075" s="595" t="str">
        <f t="shared" si="1005"/>
        <v>Trébol Rojo 3</v>
      </c>
      <c r="DC1075" s="1443">
        <f t="shared" si="1006"/>
        <v>0</v>
      </c>
      <c r="DD1075" s="107"/>
      <c r="DE1075" s="111" t="str">
        <f t="shared" si="1007"/>
        <v>Trébol Rojo 3</v>
      </c>
      <c r="DF1075" s="1906">
        <f t="shared" si="992"/>
        <v>0</v>
      </c>
      <c r="DG1075" s="1906">
        <f t="shared" si="993"/>
        <v>0</v>
      </c>
      <c r="DH1075" s="1906">
        <f t="shared" si="994"/>
        <v>0</v>
      </c>
      <c r="DI1075" s="1906">
        <f t="shared" si="995"/>
        <v>0</v>
      </c>
      <c r="DJ1075" s="1906">
        <f t="shared" si="996"/>
        <v>0</v>
      </c>
      <c r="DK1075" s="1906">
        <f t="shared" si="997"/>
        <v>0</v>
      </c>
      <c r="DL1075" s="1906">
        <f t="shared" si="998"/>
        <v>0</v>
      </c>
      <c r="DM1075" s="1906">
        <f t="shared" si="999"/>
        <v>0</v>
      </c>
      <c r="DN1075" s="1906">
        <f t="shared" si="1000"/>
        <v>0</v>
      </c>
      <c r="DO1075" s="1906">
        <f t="shared" si="1001"/>
        <v>0</v>
      </c>
      <c r="DP1075" s="1906">
        <f t="shared" si="1002"/>
        <v>0</v>
      </c>
      <c r="DQ1075" s="1906">
        <f t="shared" si="1003"/>
        <v>0</v>
      </c>
    </row>
    <row r="1076" spans="1:121" x14ac:dyDescent="0.2">
      <c r="A1076" s="6"/>
      <c r="C1076" s="1906" t="str">
        <f t="shared" si="904"/>
        <v/>
      </c>
      <c r="D1076" s="1906" t="str">
        <f t="shared" si="905"/>
        <v/>
      </c>
      <c r="E1076" s="1906" t="str">
        <f t="shared" si="906"/>
        <v/>
      </c>
      <c r="F1076" s="1906" t="str">
        <f t="shared" si="907"/>
        <v/>
      </c>
      <c r="G1076" s="1906" t="str">
        <f t="shared" si="908"/>
        <v/>
      </c>
      <c r="H1076" s="1906" t="str">
        <f t="shared" si="909"/>
        <v/>
      </c>
      <c r="I1076" s="1906" t="str">
        <f t="shared" si="910"/>
        <v/>
      </c>
      <c r="J1076" s="1906" t="str">
        <f t="shared" si="911"/>
        <v/>
      </c>
      <c r="K1076" s="1906" t="str">
        <f t="shared" si="912"/>
        <v/>
      </c>
      <c r="L1076" s="1906" t="str">
        <f t="shared" si="913"/>
        <v/>
      </c>
      <c r="M1076" s="1906" t="str">
        <f t="shared" si="914"/>
        <v/>
      </c>
      <c r="N1076" s="1906" t="str">
        <f t="shared" si="915"/>
        <v/>
      </c>
      <c r="P1076" s="1906">
        <f t="shared" si="916"/>
        <v>0</v>
      </c>
      <c r="Q1076" s="1906">
        <f t="shared" si="917"/>
        <v>0</v>
      </c>
      <c r="R1076" s="1906">
        <f t="shared" si="918"/>
        <v>0</v>
      </c>
      <c r="S1076" s="1906">
        <f t="shared" si="919"/>
        <v>0</v>
      </c>
      <c r="T1076" s="1906">
        <f t="shared" si="920"/>
        <v>0</v>
      </c>
      <c r="U1076" s="1906">
        <f t="shared" si="921"/>
        <v>0</v>
      </c>
      <c r="V1076" s="1906">
        <f t="shared" si="922"/>
        <v>0</v>
      </c>
      <c r="W1076" s="1906">
        <f t="shared" si="923"/>
        <v>0</v>
      </c>
      <c r="X1076" s="1906">
        <f t="shared" si="924"/>
        <v>0</v>
      </c>
      <c r="Y1076" s="1906">
        <f t="shared" si="925"/>
        <v>0</v>
      </c>
      <c r="Z1076" s="1906">
        <f t="shared" si="926"/>
        <v>0</v>
      </c>
      <c r="AA1076" s="1906">
        <f t="shared" si="927"/>
        <v>0</v>
      </c>
      <c r="AC1076" s="1906"/>
      <c r="AD1076" s="1906">
        <f t="shared" si="928"/>
        <v>0</v>
      </c>
      <c r="AE1076" s="1906">
        <f t="shared" si="929"/>
        <v>0</v>
      </c>
      <c r="AF1076" s="1906">
        <f t="shared" si="930"/>
        <v>0</v>
      </c>
      <c r="AG1076" s="1906">
        <f t="shared" si="931"/>
        <v>0</v>
      </c>
      <c r="AH1076" s="1906">
        <f t="shared" si="932"/>
        <v>0</v>
      </c>
      <c r="AI1076" s="1906">
        <f t="shared" si="933"/>
        <v>0</v>
      </c>
      <c r="AJ1076" s="1906">
        <f t="shared" si="934"/>
        <v>0</v>
      </c>
      <c r="AK1076" s="1906">
        <f t="shared" si="935"/>
        <v>0</v>
      </c>
      <c r="AL1076" s="1906">
        <f t="shared" si="936"/>
        <v>0</v>
      </c>
      <c r="AM1076" s="1906">
        <f t="shared" si="937"/>
        <v>0</v>
      </c>
      <c r="AN1076" s="1906">
        <f t="shared" si="938"/>
        <v>0</v>
      </c>
      <c r="AP1076" s="1906">
        <f t="shared" si="939"/>
        <v>0</v>
      </c>
      <c r="AQ1076" s="1906">
        <f t="shared" si="940"/>
        <v>0</v>
      </c>
      <c r="AR1076" s="1906">
        <f t="shared" si="941"/>
        <v>0</v>
      </c>
      <c r="AS1076" s="1906">
        <f t="shared" si="942"/>
        <v>0</v>
      </c>
      <c r="AT1076" s="1906">
        <f t="shared" si="943"/>
        <v>0</v>
      </c>
      <c r="AU1076" s="1906">
        <f t="shared" si="944"/>
        <v>0</v>
      </c>
      <c r="AV1076" s="1906">
        <f t="shared" si="945"/>
        <v>0</v>
      </c>
      <c r="AW1076" s="1906">
        <f t="shared" si="946"/>
        <v>0</v>
      </c>
      <c r="AX1076" s="1906">
        <f t="shared" si="947"/>
        <v>0</v>
      </c>
      <c r="AY1076" s="1906">
        <f t="shared" si="948"/>
        <v>0</v>
      </c>
      <c r="AZ1076" s="1906">
        <f t="shared" si="949"/>
        <v>0</v>
      </c>
      <c r="BA1076" s="1906">
        <f t="shared" si="950"/>
        <v>0</v>
      </c>
      <c r="BC1076" s="1906">
        <f t="shared" si="951"/>
        <v>0</v>
      </c>
      <c r="BD1076" s="1906">
        <f t="shared" si="952"/>
        <v>0</v>
      </c>
      <c r="BE1076" s="1906">
        <f t="shared" si="953"/>
        <v>0</v>
      </c>
      <c r="BF1076" s="1906">
        <f t="shared" si="954"/>
        <v>0</v>
      </c>
      <c r="BG1076" s="1906">
        <f t="shared" si="955"/>
        <v>0</v>
      </c>
      <c r="BH1076" s="1906">
        <f t="shared" si="956"/>
        <v>0</v>
      </c>
      <c r="BI1076" s="1906">
        <f t="shared" si="957"/>
        <v>0</v>
      </c>
      <c r="BJ1076" s="1906">
        <f t="shared" si="958"/>
        <v>0</v>
      </c>
      <c r="BK1076" s="1906">
        <f t="shared" si="959"/>
        <v>0</v>
      </c>
      <c r="BL1076" s="1906">
        <f t="shared" si="960"/>
        <v>0</v>
      </c>
      <c r="BM1076" s="1906">
        <f t="shared" si="961"/>
        <v>0</v>
      </c>
      <c r="BN1076" s="1906">
        <f t="shared" si="962"/>
        <v>0</v>
      </c>
      <c r="BP1076" s="1906">
        <f t="shared" si="963"/>
        <v>0</v>
      </c>
      <c r="BQ1076" s="1906">
        <f t="shared" si="964"/>
        <v>0</v>
      </c>
      <c r="BR1076" s="1906">
        <f t="shared" si="965"/>
        <v>0</v>
      </c>
      <c r="BS1076" s="1906">
        <f t="shared" si="966"/>
        <v>0</v>
      </c>
      <c r="BT1076" s="1906">
        <f t="shared" si="967"/>
        <v>0</v>
      </c>
      <c r="BU1076" s="1906">
        <f t="shared" si="968"/>
        <v>0</v>
      </c>
      <c r="BV1076" s="1906">
        <f t="shared" si="969"/>
        <v>0</v>
      </c>
      <c r="BW1076" s="1906">
        <f t="shared" si="970"/>
        <v>0</v>
      </c>
      <c r="BX1076" s="1906">
        <f t="shared" si="971"/>
        <v>0</v>
      </c>
      <c r="BY1076" s="1906">
        <f t="shared" si="972"/>
        <v>0</v>
      </c>
      <c r="BZ1076" s="1906">
        <f t="shared" si="973"/>
        <v>0</v>
      </c>
      <c r="CA1076" s="1906">
        <f t="shared" si="974"/>
        <v>0</v>
      </c>
      <c r="CC1076" s="1906">
        <f t="shared" si="975"/>
        <v>0</v>
      </c>
      <c r="CD1076" s="1906">
        <f t="shared" si="976"/>
        <v>0</v>
      </c>
      <c r="CE1076" s="1906">
        <f t="shared" si="977"/>
        <v>0</v>
      </c>
      <c r="CF1076" s="1906">
        <f t="shared" si="978"/>
        <v>0</v>
      </c>
      <c r="CG1076" s="1906">
        <f t="shared" si="979"/>
        <v>0</v>
      </c>
      <c r="CH1076" s="1906">
        <f t="shared" si="980"/>
        <v>0</v>
      </c>
      <c r="CI1076" s="1906">
        <f t="shared" si="981"/>
        <v>0</v>
      </c>
      <c r="CJ1076" s="1906">
        <f t="shared" si="982"/>
        <v>0</v>
      </c>
      <c r="CK1076" s="1906">
        <f t="shared" si="983"/>
        <v>0</v>
      </c>
      <c r="CL1076" s="1906">
        <f t="shared" si="984"/>
        <v>0</v>
      </c>
      <c r="CM1076" s="1906">
        <f t="shared" si="985"/>
        <v>0</v>
      </c>
      <c r="CN1076" s="1906">
        <f t="shared" si="986"/>
        <v>0</v>
      </c>
      <c r="CO1076" s="6" t="str">
        <f t="shared" si="987"/>
        <v>Alfalfa 5</v>
      </c>
      <c r="CP1076" s="1906">
        <f t="shared" si="1004"/>
        <v>0</v>
      </c>
      <c r="CQ1076" s="1906">
        <f t="shared" si="988"/>
        <v>0</v>
      </c>
      <c r="CR1076" s="1906">
        <f t="shared" si="989"/>
        <v>0</v>
      </c>
      <c r="CS1076" s="1906">
        <f t="shared" si="990"/>
        <v>0</v>
      </c>
      <c r="CT1076" s="1906">
        <f t="shared" si="1008"/>
        <v>0</v>
      </c>
      <c r="CU1076" s="1906">
        <f t="shared" si="1008"/>
        <v>0</v>
      </c>
      <c r="CV1076" s="1906">
        <f t="shared" si="1008"/>
        <v>0</v>
      </c>
      <c r="CW1076" s="1906">
        <f t="shared" si="1008"/>
        <v>0</v>
      </c>
      <c r="CX1076" s="1906">
        <f t="shared" si="1008"/>
        <v>0</v>
      </c>
      <c r="CY1076" s="1906">
        <f t="shared" si="1008"/>
        <v>0</v>
      </c>
      <c r="CZ1076" s="1906">
        <f t="shared" si="1008"/>
        <v>0</v>
      </c>
      <c r="DA1076" s="1906">
        <f t="shared" si="1008"/>
        <v>0</v>
      </c>
      <c r="DB1076" s="595" t="str">
        <f t="shared" si="1005"/>
        <v>Alfalfa 5</v>
      </c>
      <c r="DC1076" s="1443">
        <f t="shared" si="1006"/>
        <v>0</v>
      </c>
      <c r="DD1076" s="107"/>
      <c r="DE1076" s="111" t="str">
        <f t="shared" si="1007"/>
        <v>Alfalfa 5</v>
      </c>
      <c r="DF1076" s="1906">
        <f t="shared" si="992"/>
        <v>0</v>
      </c>
      <c r="DG1076" s="1906">
        <f t="shared" si="993"/>
        <v>0</v>
      </c>
      <c r="DH1076" s="1906">
        <f t="shared" si="994"/>
        <v>0</v>
      </c>
      <c r="DI1076" s="1906">
        <f t="shared" si="995"/>
        <v>0</v>
      </c>
      <c r="DJ1076" s="1906">
        <f t="shared" si="996"/>
        <v>0</v>
      </c>
      <c r="DK1076" s="1906">
        <f t="shared" si="997"/>
        <v>0</v>
      </c>
      <c r="DL1076" s="1906">
        <f t="shared" si="998"/>
        <v>0</v>
      </c>
      <c r="DM1076" s="1906">
        <f t="shared" si="999"/>
        <v>0</v>
      </c>
      <c r="DN1076" s="1906">
        <f t="shared" si="1000"/>
        <v>0</v>
      </c>
      <c r="DO1076" s="1906">
        <f t="shared" si="1001"/>
        <v>0</v>
      </c>
      <c r="DP1076" s="1906">
        <f t="shared" si="1002"/>
        <v>0</v>
      </c>
      <c r="DQ1076" s="1906">
        <f t="shared" si="1003"/>
        <v>0</v>
      </c>
    </row>
    <row r="1077" spans="1:121" x14ac:dyDescent="0.2">
      <c r="A1077" s="6"/>
      <c r="C1077" s="1906" t="str">
        <f t="shared" si="904"/>
        <v/>
      </c>
      <c r="D1077" s="1906" t="str">
        <f t="shared" si="905"/>
        <v/>
      </c>
      <c r="E1077" s="1906" t="str">
        <f t="shared" si="906"/>
        <v/>
      </c>
      <c r="F1077" s="1906" t="str">
        <f t="shared" si="907"/>
        <v/>
      </c>
      <c r="G1077" s="1906" t="str">
        <f t="shared" si="908"/>
        <v/>
      </c>
      <c r="H1077" s="1906" t="str">
        <f t="shared" si="909"/>
        <v/>
      </c>
      <c r="I1077" s="1906" t="str">
        <f t="shared" si="910"/>
        <v/>
      </c>
      <c r="J1077" s="1906" t="str">
        <f t="shared" si="911"/>
        <v/>
      </c>
      <c r="K1077" s="1906" t="str">
        <f t="shared" si="912"/>
        <v/>
      </c>
      <c r="L1077" s="1906" t="str">
        <f t="shared" si="913"/>
        <v/>
      </c>
      <c r="M1077" s="1906" t="str">
        <f t="shared" si="914"/>
        <v/>
      </c>
      <c r="N1077" s="1906" t="str">
        <f t="shared" si="915"/>
        <v/>
      </c>
      <c r="P1077" s="1906">
        <f t="shared" si="916"/>
        <v>0</v>
      </c>
      <c r="Q1077" s="1906">
        <f t="shared" si="917"/>
        <v>0</v>
      </c>
      <c r="R1077" s="1906">
        <f t="shared" si="918"/>
        <v>0</v>
      </c>
      <c r="S1077" s="1906">
        <f t="shared" si="919"/>
        <v>0</v>
      </c>
      <c r="T1077" s="1906">
        <f t="shared" si="920"/>
        <v>0</v>
      </c>
      <c r="U1077" s="1906">
        <f t="shared" si="921"/>
        <v>0</v>
      </c>
      <c r="V1077" s="1906">
        <f t="shared" si="922"/>
        <v>0</v>
      </c>
      <c r="W1077" s="1906">
        <f t="shared" si="923"/>
        <v>0</v>
      </c>
      <c r="X1077" s="1906">
        <f t="shared" si="924"/>
        <v>0</v>
      </c>
      <c r="Y1077" s="1906">
        <f t="shared" si="925"/>
        <v>0</v>
      </c>
      <c r="Z1077" s="1906">
        <f t="shared" si="926"/>
        <v>0</v>
      </c>
      <c r="AA1077" s="1906">
        <f t="shared" si="927"/>
        <v>0</v>
      </c>
      <c r="AC1077" s="1906"/>
      <c r="AD1077" s="1906">
        <f t="shared" si="928"/>
        <v>0</v>
      </c>
      <c r="AE1077" s="1906">
        <f t="shared" si="929"/>
        <v>0</v>
      </c>
      <c r="AF1077" s="1906">
        <f t="shared" si="930"/>
        <v>0</v>
      </c>
      <c r="AG1077" s="1906">
        <f t="shared" si="931"/>
        <v>0</v>
      </c>
      <c r="AH1077" s="1906">
        <f t="shared" si="932"/>
        <v>0</v>
      </c>
      <c r="AI1077" s="1906">
        <f t="shared" si="933"/>
        <v>0</v>
      </c>
      <c r="AJ1077" s="1906">
        <f t="shared" si="934"/>
        <v>0</v>
      </c>
      <c r="AK1077" s="1906">
        <f t="shared" si="935"/>
        <v>0</v>
      </c>
      <c r="AL1077" s="1906">
        <f t="shared" si="936"/>
        <v>0</v>
      </c>
      <c r="AM1077" s="1906">
        <f t="shared" si="937"/>
        <v>0</v>
      </c>
      <c r="AN1077" s="1906">
        <f t="shared" si="938"/>
        <v>0</v>
      </c>
      <c r="AP1077" s="1906">
        <f t="shared" si="939"/>
        <v>0</v>
      </c>
      <c r="AQ1077" s="1906">
        <f t="shared" si="940"/>
        <v>0</v>
      </c>
      <c r="AR1077" s="1906">
        <f t="shared" si="941"/>
        <v>0</v>
      </c>
      <c r="AS1077" s="1906">
        <f t="shared" si="942"/>
        <v>0</v>
      </c>
      <c r="AT1077" s="1906">
        <f t="shared" si="943"/>
        <v>0</v>
      </c>
      <c r="AU1077" s="1906">
        <f t="shared" si="944"/>
        <v>0</v>
      </c>
      <c r="AV1077" s="1906">
        <f t="shared" si="945"/>
        <v>0</v>
      </c>
      <c r="AW1077" s="1906">
        <f t="shared" si="946"/>
        <v>0</v>
      </c>
      <c r="AX1077" s="1906">
        <f t="shared" si="947"/>
        <v>0</v>
      </c>
      <c r="AY1077" s="1906">
        <f t="shared" si="948"/>
        <v>0</v>
      </c>
      <c r="AZ1077" s="1906">
        <f t="shared" si="949"/>
        <v>0</v>
      </c>
      <c r="BA1077" s="1906">
        <f t="shared" si="950"/>
        <v>0</v>
      </c>
      <c r="BC1077" s="1906">
        <f t="shared" si="951"/>
        <v>0</v>
      </c>
      <c r="BD1077" s="1906">
        <f t="shared" si="952"/>
        <v>0</v>
      </c>
      <c r="BE1077" s="1906">
        <f t="shared" si="953"/>
        <v>0</v>
      </c>
      <c r="BF1077" s="1906">
        <f t="shared" si="954"/>
        <v>0</v>
      </c>
      <c r="BG1077" s="1906">
        <f t="shared" si="955"/>
        <v>0</v>
      </c>
      <c r="BH1077" s="1906">
        <f t="shared" si="956"/>
        <v>0</v>
      </c>
      <c r="BI1077" s="1906">
        <f t="shared" si="957"/>
        <v>0</v>
      </c>
      <c r="BJ1077" s="1906">
        <f t="shared" si="958"/>
        <v>0</v>
      </c>
      <c r="BK1077" s="1906">
        <f t="shared" si="959"/>
        <v>0</v>
      </c>
      <c r="BL1077" s="1906">
        <f t="shared" si="960"/>
        <v>0</v>
      </c>
      <c r="BM1077" s="1906">
        <f t="shared" si="961"/>
        <v>0</v>
      </c>
      <c r="BN1077" s="1906">
        <f t="shared" si="962"/>
        <v>0</v>
      </c>
      <c r="BP1077" s="1906">
        <f t="shared" si="963"/>
        <v>0</v>
      </c>
      <c r="BQ1077" s="1906">
        <f t="shared" si="964"/>
        <v>0</v>
      </c>
      <c r="BR1077" s="1906">
        <f t="shared" si="965"/>
        <v>0</v>
      </c>
      <c r="BS1077" s="1906">
        <f t="shared" si="966"/>
        <v>0</v>
      </c>
      <c r="BT1077" s="1906">
        <f t="shared" si="967"/>
        <v>0</v>
      </c>
      <c r="BU1077" s="1906">
        <f t="shared" si="968"/>
        <v>0</v>
      </c>
      <c r="BV1077" s="1906">
        <f t="shared" si="969"/>
        <v>0</v>
      </c>
      <c r="BW1077" s="1906">
        <f t="shared" si="970"/>
        <v>0</v>
      </c>
      <c r="BX1077" s="1906">
        <f t="shared" si="971"/>
        <v>0</v>
      </c>
      <c r="BY1077" s="1906">
        <f t="shared" si="972"/>
        <v>0</v>
      </c>
      <c r="BZ1077" s="1906">
        <f t="shared" si="973"/>
        <v>0</v>
      </c>
      <c r="CA1077" s="1906">
        <f t="shared" si="974"/>
        <v>0</v>
      </c>
      <c r="CC1077" s="1906">
        <f t="shared" si="975"/>
        <v>0</v>
      </c>
      <c r="CD1077" s="1906">
        <f t="shared" si="976"/>
        <v>0</v>
      </c>
      <c r="CE1077" s="1906">
        <f t="shared" si="977"/>
        <v>0</v>
      </c>
      <c r="CF1077" s="1906">
        <f t="shared" si="978"/>
        <v>0</v>
      </c>
      <c r="CG1077" s="1906">
        <f t="shared" si="979"/>
        <v>0</v>
      </c>
      <c r="CH1077" s="1906">
        <f t="shared" si="980"/>
        <v>0</v>
      </c>
      <c r="CI1077" s="1906">
        <f t="shared" si="981"/>
        <v>0</v>
      </c>
      <c r="CJ1077" s="1906">
        <f t="shared" si="982"/>
        <v>0</v>
      </c>
      <c r="CK1077" s="1906">
        <f t="shared" si="983"/>
        <v>0</v>
      </c>
      <c r="CL1077" s="1906">
        <f t="shared" si="984"/>
        <v>0</v>
      </c>
      <c r="CM1077" s="1906">
        <f t="shared" si="985"/>
        <v>0</v>
      </c>
      <c r="CN1077" s="1906">
        <f t="shared" si="986"/>
        <v>0</v>
      </c>
      <c r="CO1077" s="6" t="str">
        <f t="shared" si="987"/>
        <v>PP 5</v>
      </c>
      <c r="CP1077" s="1906">
        <f t="shared" si="1004"/>
        <v>0</v>
      </c>
      <c r="CQ1077" s="1906">
        <f t="shared" si="988"/>
        <v>0</v>
      </c>
      <c r="CR1077" s="1906">
        <f t="shared" si="989"/>
        <v>0</v>
      </c>
      <c r="CS1077" s="1906">
        <f t="shared" si="990"/>
        <v>0</v>
      </c>
      <c r="CT1077" s="1906">
        <f t="shared" si="1008"/>
        <v>0</v>
      </c>
      <c r="CU1077" s="1906">
        <f t="shared" si="1008"/>
        <v>0</v>
      </c>
      <c r="CV1077" s="1906">
        <f t="shared" si="1008"/>
        <v>0</v>
      </c>
      <c r="CW1077" s="1906">
        <f t="shared" si="1008"/>
        <v>0</v>
      </c>
      <c r="CX1077" s="1906">
        <f t="shared" si="1008"/>
        <v>0</v>
      </c>
      <c r="CY1077" s="1906">
        <f t="shared" si="1008"/>
        <v>0</v>
      </c>
      <c r="CZ1077" s="1906">
        <f t="shared" si="1008"/>
        <v>0</v>
      </c>
      <c r="DA1077" s="1906">
        <f t="shared" si="1008"/>
        <v>0</v>
      </c>
      <c r="DB1077" s="595" t="str">
        <f t="shared" si="1005"/>
        <v>PP 5</v>
      </c>
      <c r="DC1077" s="1443">
        <f t="shared" si="1006"/>
        <v>0</v>
      </c>
      <c r="DD1077" s="107"/>
      <c r="DE1077" s="111" t="str">
        <f t="shared" si="1007"/>
        <v>PP 5</v>
      </c>
      <c r="DF1077" s="1906">
        <f t="shared" si="992"/>
        <v>0</v>
      </c>
      <c r="DG1077" s="1906">
        <f t="shared" si="993"/>
        <v>0</v>
      </c>
      <c r="DH1077" s="1906">
        <f t="shared" si="994"/>
        <v>0</v>
      </c>
      <c r="DI1077" s="1906">
        <f t="shared" si="995"/>
        <v>0</v>
      </c>
      <c r="DJ1077" s="1906">
        <f t="shared" si="996"/>
        <v>0</v>
      </c>
      <c r="DK1077" s="1906">
        <f t="shared" si="997"/>
        <v>0</v>
      </c>
      <c r="DL1077" s="1906">
        <f t="shared" si="998"/>
        <v>0</v>
      </c>
      <c r="DM1077" s="1906">
        <f t="shared" si="999"/>
        <v>0</v>
      </c>
      <c r="DN1077" s="1906">
        <f t="shared" si="1000"/>
        <v>0</v>
      </c>
      <c r="DO1077" s="1906">
        <f t="shared" si="1001"/>
        <v>0</v>
      </c>
      <c r="DP1077" s="1906">
        <f t="shared" si="1002"/>
        <v>0</v>
      </c>
      <c r="DQ1077" s="1906">
        <f t="shared" si="1003"/>
        <v>0</v>
      </c>
    </row>
    <row r="1078" spans="1:121" x14ac:dyDescent="0.2">
      <c r="A1078" s="6"/>
      <c r="C1078" s="1906" t="str">
        <f t="shared" si="904"/>
        <v/>
      </c>
      <c r="D1078" s="1906" t="str">
        <f t="shared" si="905"/>
        <v/>
      </c>
      <c r="E1078" s="1906" t="str">
        <f t="shared" si="906"/>
        <v/>
      </c>
      <c r="F1078" s="1906" t="str">
        <f t="shared" si="907"/>
        <v/>
      </c>
      <c r="G1078" s="1906" t="str">
        <f t="shared" si="908"/>
        <v/>
      </c>
      <c r="H1078" s="1906" t="str">
        <f t="shared" si="909"/>
        <v/>
      </c>
      <c r="I1078" s="1906" t="str">
        <f t="shared" si="910"/>
        <v/>
      </c>
      <c r="J1078" s="1906" t="str">
        <f t="shared" si="911"/>
        <v/>
      </c>
      <c r="K1078" s="1906" t="str">
        <f t="shared" si="912"/>
        <v/>
      </c>
      <c r="L1078" s="1906" t="str">
        <f t="shared" si="913"/>
        <v/>
      </c>
      <c r="M1078" s="1906" t="str">
        <f t="shared" si="914"/>
        <v/>
      </c>
      <c r="N1078" s="1906" t="str">
        <f t="shared" si="915"/>
        <v/>
      </c>
      <c r="P1078" s="1906">
        <f t="shared" si="916"/>
        <v>0</v>
      </c>
      <c r="Q1078" s="1906">
        <f t="shared" si="917"/>
        <v>0</v>
      </c>
      <c r="R1078" s="1906">
        <f t="shared" si="918"/>
        <v>0</v>
      </c>
      <c r="S1078" s="1906">
        <f t="shared" si="919"/>
        <v>0</v>
      </c>
      <c r="T1078" s="1906">
        <f t="shared" si="920"/>
        <v>0</v>
      </c>
      <c r="U1078" s="1906">
        <f t="shared" si="921"/>
        <v>0</v>
      </c>
      <c r="V1078" s="1906">
        <f t="shared" si="922"/>
        <v>0</v>
      </c>
      <c r="W1078" s="1906">
        <f t="shared" si="923"/>
        <v>0</v>
      </c>
      <c r="X1078" s="1906">
        <f t="shared" si="924"/>
        <v>0</v>
      </c>
      <c r="Y1078" s="1906">
        <f t="shared" si="925"/>
        <v>0</v>
      </c>
      <c r="Z1078" s="1906">
        <f t="shared" si="926"/>
        <v>0</v>
      </c>
      <c r="AA1078" s="1906">
        <f t="shared" si="927"/>
        <v>0</v>
      </c>
      <c r="AC1078" s="1906"/>
      <c r="AD1078" s="1906">
        <f t="shared" si="928"/>
        <v>0</v>
      </c>
      <c r="AE1078" s="1906">
        <f t="shared" si="929"/>
        <v>0</v>
      </c>
      <c r="AF1078" s="1906">
        <f t="shared" si="930"/>
        <v>0</v>
      </c>
      <c r="AG1078" s="1906">
        <f t="shared" si="931"/>
        <v>0</v>
      </c>
      <c r="AH1078" s="1906">
        <f t="shared" si="932"/>
        <v>0</v>
      </c>
      <c r="AI1078" s="1906">
        <f t="shared" si="933"/>
        <v>0</v>
      </c>
      <c r="AJ1078" s="1906">
        <f t="shared" si="934"/>
        <v>0</v>
      </c>
      <c r="AK1078" s="1906">
        <f t="shared" si="935"/>
        <v>0</v>
      </c>
      <c r="AL1078" s="1906">
        <f t="shared" si="936"/>
        <v>0</v>
      </c>
      <c r="AM1078" s="1906">
        <f t="shared" si="937"/>
        <v>0</v>
      </c>
      <c r="AN1078" s="1906">
        <f t="shared" si="938"/>
        <v>0</v>
      </c>
      <c r="AP1078" s="1906">
        <f t="shared" si="939"/>
        <v>0</v>
      </c>
      <c r="AQ1078" s="1906">
        <f t="shared" si="940"/>
        <v>0</v>
      </c>
      <c r="AR1078" s="1906">
        <f t="shared" si="941"/>
        <v>0</v>
      </c>
      <c r="AS1078" s="1906">
        <f t="shared" si="942"/>
        <v>0</v>
      </c>
      <c r="AT1078" s="1906">
        <f t="shared" si="943"/>
        <v>0</v>
      </c>
      <c r="AU1078" s="1906">
        <f t="shared" si="944"/>
        <v>0</v>
      </c>
      <c r="AV1078" s="1906">
        <f t="shared" si="945"/>
        <v>0</v>
      </c>
      <c r="AW1078" s="1906">
        <f t="shared" si="946"/>
        <v>0</v>
      </c>
      <c r="AX1078" s="1906">
        <f t="shared" si="947"/>
        <v>0</v>
      </c>
      <c r="AY1078" s="1906">
        <f t="shared" si="948"/>
        <v>0</v>
      </c>
      <c r="AZ1078" s="1906">
        <f t="shared" si="949"/>
        <v>0</v>
      </c>
      <c r="BA1078" s="1906">
        <f t="shared" si="950"/>
        <v>0</v>
      </c>
      <c r="BC1078" s="1906">
        <f t="shared" si="951"/>
        <v>0</v>
      </c>
      <c r="BD1078" s="1906">
        <f t="shared" si="952"/>
        <v>0</v>
      </c>
      <c r="BE1078" s="1906">
        <f t="shared" si="953"/>
        <v>0</v>
      </c>
      <c r="BF1078" s="1906">
        <f t="shared" si="954"/>
        <v>0</v>
      </c>
      <c r="BG1078" s="1906">
        <f t="shared" si="955"/>
        <v>0</v>
      </c>
      <c r="BH1078" s="1906">
        <f t="shared" si="956"/>
        <v>0</v>
      </c>
      <c r="BI1078" s="1906">
        <f t="shared" si="957"/>
        <v>0</v>
      </c>
      <c r="BJ1078" s="1906">
        <f t="shared" si="958"/>
        <v>0</v>
      </c>
      <c r="BK1078" s="1906">
        <f t="shared" si="959"/>
        <v>0</v>
      </c>
      <c r="BL1078" s="1906">
        <f t="shared" si="960"/>
        <v>0</v>
      </c>
      <c r="BM1078" s="1906">
        <f t="shared" si="961"/>
        <v>0</v>
      </c>
      <c r="BN1078" s="1906">
        <f t="shared" si="962"/>
        <v>0</v>
      </c>
      <c r="BP1078" s="1906">
        <f t="shared" si="963"/>
        <v>0</v>
      </c>
      <c r="BQ1078" s="1906">
        <f t="shared" si="964"/>
        <v>0</v>
      </c>
      <c r="BR1078" s="1906">
        <f t="shared" si="965"/>
        <v>0</v>
      </c>
      <c r="BS1078" s="1906">
        <f t="shared" si="966"/>
        <v>0</v>
      </c>
      <c r="BT1078" s="1906">
        <f t="shared" si="967"/>
        <v>0</v>
      </c>
      <c r="BU1078" s="1906">
        <f t="shared" si="968"/>
        <v>0</v>
      </c>
      <c r="BV1078" s="1906">
        <f t="shared" si="969"/>
        <v>0</v>
      </c>
      <c r="BW1078" s="1906">
        <f t="shared" si="970"/>
        <v>0</v>
      </c>
      <c r="BX1078" s="1906">
        <f t="shared" si="971"/>
        <v>0</v>
      </c>
      <c r="BY1078" s="1906">
        <f t="shared" si="972"/>
        <v>0</v>
      </c>
      <c r="BZ1078" s="1906">
        <f t="shared" si="973"/>
        <v>0</v>
      </c>
      <c r="CA1078" s="1906">
        <f t="shared" si="974"/>
        <v>0</v>
      </c>
      <c r="CC1078" s="1906">
        <f t="shared" si="975"/>
        <v>0</v>
      </c>
      <c r="CD1078" s="1906">
        <f t="shared" si="976"/>
        <v>0</v>
      </c>
      <c r="CE1078" s="1906">
        <f t="shared" si="977"/>
        <v>0</v>
      </c>
      <c r="CF1078" s="1906">
        <f t="shared" si="978"/>
        <v>0</v>
      </c>
      <c r="CG1078" s="1906">
        <f t="shared" si="979"/>
        <v>0</v>
      </c>
      <c r="CH1078" s="1906">
        <f t="shared" si="980"/>
        <v>0</v>
      </c>
      <c r="CI1078" s="1906">
        <f t="shared" si="981"/>
        <v>0</v>
      </c>
      <c r="CJ1078" s="1906">
        <f t="shared" si="982"/>
        <v>0</v>
      </c>
      <c r="CK1078" s="1906">
        <f t="shared" si="983"/>
        <v>0</v>
      </c>
      <c r="CL1078" s="1906">
        <f t="shared" si="984"/>
        <v>0</v>
      </c>
      <c r="CM1078" s="1906">
        <f t="shared" si="985"/>
        <v>0</v>
      </c>
      <c r="CN1078" s="1906">
        <f t="shared" si="986"/>
        <v>0</v>
      </c>
      <c r="CO1078" s="6">
        <f t="shared" si="987"/>
        <v>0</v>
      </c>
      <c r="CP1078" s="1906">
        <f t="shared" si="1004"/>
        <v>0</v>
      </c>
      <c r="CQ1078" s="1906">
        <f t="shared" si="988"/>
        <v>0</v>
      </c>
      <c r="CR1078" s="1906">
        <f t="shared" si="989"/>
        <v>0</v>
      </c>
      <c r="CS1078" s="1906">
        <f t="shared" si="990"/>
        <v>0</v>
      </c>
      <c r="CT1078" s="1906">
        <f t="shared" si="1008"/>
        <v>0</v>
      </c>
      <c r="CU1078" s="1906">
        <f t="shared" si="1008"/>
        <v>0</v>
      </c>
      <c r="CV1078" s="1906">
        <f t="shared" si="1008"/>
        <v>0</v>
      </c>
      <c r="CW1078" s="1906">
        <f t="shared" si="1008"/>
        <v>0</v>
      </c>
      <c r="CX1078" s="1906">
        <f t="shared" si="1008"/>
        <v>0</v>
      </c>
      <c r="CY1078" s="1906">
        <f t="shared" si="1008"/>
        <v>0</v>
      </c>
      <c r="CZ1078" s="1906">
        <f t="shared" si="1008"/>
        <v>0</v>
      </c>
      <c r="DA1078" s="1906">
        <f t="shared" si="1008"/>
        <v>0</v>
      </c>
      <c r="DB1078" s="595">
        <f t="shared" si="1005"/>
        <v>0</v>
      </c>
      <c r="DC1078" s="1443">
        <f t="shared" si="1006"/>
        <v>0</v>
      </c>
      <c r="DD1078" s="107"/>
      <c r="DE1078" s="111">
        <f t="shared" si="1007"/>
        <v>0</v>
      </c>
      <c r="DF1078" s="1906">
        <f t="shared" si="992"/>
        <v>0</v>
      </c>
      <c r="DG1078" s="1906">
        <f t="shared" si="993"/>
        <v>0</v>
      </c>
      <c r="DH1078" s="1906">
        <f t="shared" si="994"/>
        <v>0</v>
      </c>
      <c r="DI1078" s="1906">
        <f t="shared" si="995"/>
        <v>0</v>
      </c>
      <c r="DJ1078" s="1906">
        <f t="shared" si="996"/>
        <v>0</v>
      </c>
      <c r="DK1078" s="1906">
        <f t="shared" si="997"/>
        <v>0</v>
      </c>
      <c r="DL1078" s="1906">
        <f t="shared" si="998"/>
        <v>0</v>
      </c>
      <c r="DM1078" s="1906">
        <f t="shared" si="999"/>
        <v>0</v>
      </c>
      <c r="DN1078" s="1906">
        <f t="shared" si="1000"/>
        <v>0</v>
      </c>
      <c r="DO1078" s="1906">
        <f t="shared" si="1001"/>
        <v>0</v>
      </c>
      <c r="DP1078" s="1906">
        <f t="shared" si="1002"/>
        <v>0</v>
      </c>
      <c r="DQ1078" s="1906">
        <f t="shared" si="1003"/>
        <v>0</v>
      </c>
    </row>
    <row r="1079" spans="1:121" x14ac:dyDescent="0.2">
      <c r="A1079" s="6"/>
      <c r="C1079" s="1906" t="str">
        <f t="shared" si="904"/>
        <v/>
      </c>
      <c r="D1079" s="1906" t="str">
        <f t="shared" si="905"/>
        <v/>
      </c>
      <c r="E1079" s="1906" t="str">
        <f t="shared" si="906"/>
        <v/>
      </c>
      <c r="F1079" s="1906" t="str">
        <f t="shared" si="907"/>
        <v/>
      </c>
      <c r="G1079" s="1906" t="str">
        <f t="shared" si="908"/>
        <v/>
      </c>
      <c r="H1079" s="1906" t="str">
        <f t="shared" si="909"/>
        <v/>
      </c>
      <c r="I1079" s="1906" t="str">
        <f t="shared" si="910"/>
        <v/>
      </c>
      <c r="J1079" s="1906" t="str">
        <f t="shared" si="911"/>
        <v/>
      </c>
      <c r="K1079" s="1906" t="str">
        <f t="shared" si="912"/>
        <v/>
      </c>
      <c r="L1079" s="1906" t="str">
        <f t="shared" si="913"/>
        <v/>
      </c>
      <c r="M1079" s="1906" t="str">
        <f t="shared" si="914"/>
        <v/>
      </c>
      <c r="N1079" s="1906" t="str">
        <f t="shared" si="915"/>
        <v/>
      </c>
      <c r="P1079" s="1906">
        <f t="shared" si="916"/>
        <v>0</v>
      </c>
      <c r="Q1079" s="1906">
        <f t="shared" si="917"/>
        <v>0</v>
      </c>
      <c r="R1079" s="1906">
        <f t="shared" si="918"/>
        <v>0</v>
      </c>
      <c r="S1079" s="1906">
        <f t="shared" si="919"/>
        <v>0</v>
      </c>
      <c r="T1079" s="1906">
        <f t="shared" si="920"/>
        <v>0</v>
      </c>
      <c r="U1079" s="1906">
        <f t="shared" si="921"/>
        <v>0</v>
      </c>
      <c r="V1079" s="1906">
        <f t="shared" si="922"/>
        <v>0</v>
      </c>
      <c r="W1079" s="1906">
        <f t="shared" si="923"/>
        <v>0</v>
      </c>
      <c r="X1079" s="1906">
        <f t="shared" si="924"/>
        <v>0</v>
      </c>
      <c r="Y1079" s="1906">
        <f t="shared" si="925"/>
        <v>0</v>
      </c>
      <c r="Z1079" s="1906">
        <f t="shared" si="926"/>
        <v>0</v>
      </c>
      <c r="AA1079" s="1906">
        <f t="shared" si="927"/>
        <v>0</v>
      </c>
      <c r="AC1079" s="1906"/>
      <c r="AD1079" s="1906">
        <f t="shared" si="928"/>
        <v>0</v>
      </c>
      <c r="AE1079" s="1906">
        <f t="shared" si="929"/>
        <v>0</v>
      </c>
      <c r="AF1079" s="1906">
        <f t="shared" si="930"/>
        <v>0</v>
      </c>
      <c r="AG1079" s="1906">
        <f t="shared" si="931"/>
        <v>0</v>
      </c>
      <c r="AH1079" s="1906">
        <f t="shared" si="932"/>
        <v>0</v>
      </c>
      <c r="AI1079" s="1906">
        <f t="shared" si="933"/>
        <v>0</v>
      </c>
      <c r="AJ1079" s="1906">
        <f t="shared" si="934"/>
        <v>0</v>
      </c>
      <c r="AK1079" s="1906">
        <f t="shared" si="935"/>
        <v>0</v>
      </c>
      <c r="AL1079" s="1906">
        <f t="shared" si="936"/>
        <v>0</v>
      </c>
      <c r="AM1079" s="1906">
        <f t="shared" si="937"/>
        <v>0</v>
      </c>
      <c r="AN1079" s="1906">
        <f t="shared" si="938"/>
        <v>0</v>
      </c>
      <c r="AP1079" s="1906">
        <f t="shared" si="939"/>
        <v>0</v>
      </c>
      <c r="AQ1079" s="1906">
        <f t="shared" si="940"/>
        <v>0</v>
      </c>
      <c r="AR1079" s="1906">
        <f t="shared" si="941"/>
        <v>0</v>
      </c>
      <c r="AS1079" s="1906">
        <f t="shared" si="942"/>
        <v>0</v>
      </c>
      <c r="AT1079" s="1906">
        <f t="shared" si="943"/>
        <v>0</v>
      </c>
      <c r="AU1079" s="1906">
        <f t="shared" si="944"/>
        <v>0</v>
      </c>
      <c r="AV1079" s="1906">
        <f t="shared" si="945"/>
        <v>0</v>
      </c>
      <c r="AW1079" s="1906">
        <f t="shared" si="946"/>
        <v>0</v>
      </c>
      <c r="AX1079" s="1906">
        <f t="shared" si="947"/>
        <v>0</v>
      </c>
      <c r="AY1079" s="1906">
        <f t="shared" si="948"/>
        <v>0</v>
      </c>
      <c r="AZ1079" s="1906">
        <f t="shared" si="949"/>
        <v>0</v>
      </c>
      <c r="BA1079" s="1906">
        <f t="shared" si="950"/>
        <v>0</v>
      </c>
      <c r="BC1079" s="1906">
        <f t="shared" si="951"/>
        <v>0</v>
      </c>
      <c r="BD1079" s="1906">
        <f t="shared" si="952"/>
        <v>0</v>
      </c>
      <c r="BE1079" s="1906">
        <f t="shared" si="953"/>
        <v>0</v>
      </c>
      <c r="BF1079" s="1906">
        <f t="shared" si="954"/>
        <v>0</v>
      </c>
      <c r="BG1079" s="1906">
        <f t="shared" si="955"/>
        <v>0</v>
      </c>
      <c r="BH1079" s="1906">
        <f t="shared" si="956"/>
        <v>0</v>
      </c>
      <c r="BI1079" s="1906">
        <f t="shared" si="957"/>
        <v>0</v>
      </c>
      <c r="BJ1079" s="1906">
        <f t="shared" si="958"/>
        <v>0</v>
      </c>
      <c r="BK1079" s="1906">
        <f t="shared" si="959"/>
        <v>0</v>
      </c>
      <c r="BL1079" s="1906">
        <f t="shared" si="960"/>
        <v>0</v>
      </c>
      <c r="BM1079" s="1906">
        <f t="shared" si="961"/>
        <v>0</v>
      </c>
      <c r="BN1079" s="1906">
        <f t="shared" si="962"/>
        <v>0</v>
      </c>
      <c r="BP1079" s="1906">
        <f t="shared" si="963"/>
        <v>0</v>
      </c>
      <c r="BQ1079" s="1906">
        <f t="shared" si="964"/>
        <v>0</v>
      </c>
      <c r="BR1079" s="1906">
        <f t="shared" si="965"/>
        <v>0</v>
      </c>
      <c r="BS1079" s="1906">
        <f t="shared" si="966"/>
        <v>0</v>
      </c>
      <c r="BT1079" s="1906">
        <f t="shared" si="967"/>
        <v>0</v>
      </c>
      <c r="BU1079" s="1906">
        <f t="shared" si="968"/>
        <v>0</v>
      </c>
      <c r="BV1079" s="1906">
        <f t="shared" si="969"/>
        <v>0</v>
      </c>
      <c r="BW1079" s="1906">
        <f t="shared" si="970"/>
        <v>0</v>
      </c>
      <c r="BX1079" s="1906">
        <f t="shared" si="971"/>
        <v>0</v>
      </c>
      <c r="BY1079" s="1906">
        <f t="shared" si="972"/>
        <v>0</v>
      </c>
      <c r="BZ1079" s="1906">
        <f t="shared" si="973"/>
        <v>0</v>
      </c>
      <c r="CA1079" s="1906">
        <f t="shared" si="974"/>
        <v>0</v>
      </c>
      <c r="CC1079" s="1906">
        <f t="shared" si="975"/>
        <v>0</v>
      </c>
      <c r="CD1079" s="1906">
        <f t="shared" si="976"/>
        <v>0</v>
      </c>
      <c r="CE1079" s="1906">
        <f t="shared" si="977"/>
        <v>0</v>
      </c>
      <c r="CF1079" s="1906">
        <f t="shared" si="978"/>
        <v>0</v>
      </c>
      <c r="CG1079" s="1906">
        <f t="shared" si="979"/>
        <v>0</v>
      </c>
      <c r="CH1079" s="1906">
        <f t="shared" si="980"/>
        <v>0</v>
      </c>
      <c r="CI1079" s="1906">
        <f t="shared" si="981"/>
        <v>0</v>
      </c>
      <c r="CJ1079" s="1906">
        <f t="shared" si="982"/>
        <v>0</v>
      </c>
      <c r="CK1079" s="1906">
        <f t="shared" si="983"/>
        <v>0</v>
      </c>
      <c r="CL1079" s="1906">
        <f t="shared" si="984"/>
        <v>0</v>
      </c>
      <c r="CM1079" s="1906">
        <f t="shared" si="985"/>
        <v>0</v>
      </c>
      <c r="CN1079" s="1906">
        <f t="shared" si="986"/>
        <v>0</v>
      </c>
      <c r="CO1079" s="6">
        <f t="shared" si="987"/>
        <v>0</v>
      </c>
      <c r="CP1079" s="1906">
        <f t="shared" si="1004"/>
        <v>0</v>
      </c>
      <c r="CQ1079" s="1906">
        <f t="shared" si="988"/>
        <v>0</v>
      </c>
      <c r="CR1079" s="1906">
        <f t="shared" si="989"/>
        <v>0</v>
      </c>
      <c r="CS1079" s="1906">
        <f t="shared" si="990"/>
        <v>0</v>
      </c>
      <c r="CT1079" s="1906">
        <f t="shared" si="1008"/>
        <v>0</v>
      </c>
      <c r="CU1079" s="1906">
        <f t="shared" si="1008"/>
        <v>0</v>
      </c>
      <c r="CV1079" s="1906">
        <f t="shared" si="1008"/>
        <v>0</v>
      </c>
      <c r="CW1079" s="1906">
        <f t="shared" si="1008"/>
        <v>0</v>
      </c>
      <c r="CX1079" s="1906">
        <f t="shared" si="1008"/>
        <v>0</v>
      </c>
      <c r="CY1079" s="1906">
        <f t="shared" si="1008"/>
        <v>0</v>
      </c>
      <c r="CZ1079" s="1906">
        <f t="shared" si="1008"/>
        <v>0</v>
      </c>
      <c r="DA1079" s="1906">
        <f t="shared" si="1008"/>
        <v>0</v>
      </c>
      <c r="DB1079" s="595">
        <f t="shared" si="1005"/>
        <v>0</v>
      </c>
      <c r="DC1079" s="1443">
        <f t="shared" si="1006"/>
        <v>0</v>
      </c>
      <c r="DD1079" s="107"/>
      <c r="DE1079" s="111">
        <f t="shared" si="1007"/>
        <v>0</v>
      </c>
      <c r="DF1079" s="1906">
        <f t="shared" si="992"/>
        <v>0</v>
      </c>
      <c r="DG1079" s="1906">
        <f t="shared" si="993"/>
        <v>0</v>
      </c>
      <c r="DH1079" s="1906">
        <f t="shared" si="994"/>
        <v>0</v>
      </c>
      <c r="DI1079" s="1906">
        <f t="shared" si="995"/>
        <v>0</v>
      </c>
      <c r="DJ1079" s="1906">
        <f t="shared" si="996"/>
        <v>0</v>
      </c>
      <c r="DK1079" s="1906">
        <f t="shared" si="997"/>
        <v>0</v>
      </c>
      <c r="DL1079" s="1906">
        <f t="shared" si="998"/>
        <v>0</v>
      </c>
      <c r="DM1079" s="1906">
        <f t="shared" si="999"/>
        <v>0</v>
      </c>
      <c r="DN1079" s="1906">
        <f t="shared" si="1000"/>
        <v>0</v>
      </c>
      <c r="DO1079" s="1906">
        <f t="shared" si="1001"/>
        <v>0</v>
      </c>
      <c r="DP1079" s="1906">
        <f t="shared" si="1002"/>
        <v>0</v>
      </c>
      <c r="DQ1079" s="1906">
        <f t="shared" si="1003"/>
        <v>0</v>
      </c>
    </row>
    <row r="1080" spans="1:121" x14ac:dyDescent="0.2">
      <c r="A1080" s="6"/>
      <c r="C1080" s="1906" t="str">
        <f t="shared" si="904"/>
        <v/>
      </c>
      <c r="D1080" s="1906" t="str">
        <f t="shared" si="905"/>
        <v/>
      </c>
      <c r="E1080" s="1906" t="str">
        <f t="shared" si="906"/>
        <v/>
      </c>
      <c r="F1080" s="1906" t="str">
        <f t="shared" si="907"/>
        <v/>
      </c>
      <c r="G1080" s="1906" t="str">
        <f t="shared" si="908"/>
        <v/>
      </c>
      <c r="H1080" s="1906" t="str">
        <f t="shared" si="909"/>
        <v/>
      </c>
      <c r="I1080" s="1906" t="str">
        <f t="shared" si="910"/>
        <v/>
      </c>
      <c r="J1080" s="1906" t="str">
        <f t="shared" si="911"/>
        <v/>
      </c>
      <c r="K1080" s="1906" t="str">
        <f t="shared" si="912"/>
        <v/>
      </c>
      <c r="L1080" s="1906" t="str">
        <f t="shared" si="913"/>
        <v/>
      </c>
      <c r="M1080" s="1906" t="str">
        <f t="shared" si="914"/>
        <v/>
      </c>
      <c r="N1080" s="1906" t="str">
        <f t="shared" si="915"/>
        <v/>
      </c>
      <c r="P1080" s="1906">
        <f t="shared" si="916"/>
        <v>0</v>
      </c>
      <c r="Q1080" s="1906">
        <f t="shared" si="917"/>
        <v>0</v>
      </c>
      <c r="R1080" s="1906">
        <f t="shared" si="918"/>
        <v>0</v>
      </c>
      <c r="S1080" s="1906">
        <f t="shared" si="919"/>
        <v>0</v>
      </c>
      <c r="T1080" s="1906">
        <f t="shared" si="920"/>
        <v>0</v>
      </c>
      <c r="U1080" s="1906">
        <f t="shared" si="921"/>
        <v>0</v>
      </c>
      <c r="V1080" s="1906">
        <f t="shared" si="922"/>
        <v>0</v>
      </c>
      <c r="W1080" s="1906">
        <f t="shared" si="923"/>
        <v>0</v>
      </c>
      <c r="X1080" s="1906">
        <f t="shared" si="924"/>
        <v>0</v>
      </c>
      <c r="Y1080" s="1906">
        <f t="shared" si="925"/>
        <v>0</v>
      </c>
      <c r="Z1080" s="1906">
        <f t="shared" si="926"/>
        <v>0</v>
      </c>
      <c r="AA1080" s="1906">
        <f t="shared" si="927"/>
        <v>0</v>
      </c>
      <c r="AC1080" s="1906"/>
      <c r="AD1080" s="1906">
        <f t="shared" si="928"/>
        <v>0</v>
      </c>
      <c r="AE1080" s="1906">
        <f t="shared" si="929"/>
        <v>0</v>
      </c>
      <c r="AF1080" s="1906">
        <f t="shared" si="930"/>
        <v>0</v>
      </c>
      <c r="AG1080" s="1906">
        <f t="shared" si="931"/>
        <v>0</v>
      </c>
      <c r="AH1080" s="1906">
        <f t="shared" si="932"/>
        <v>0</v>
      </c>
      <c r="AI1080" s="1906">
        <f t="shared" si="933"/>
        <v>0</v>
      </c>
      <c r="AJ1080" s="1906">
        <f t="shared" si="934"/>
        <v>0</v>
      </c>
      <c r="AK1080" s="1906">
        <f t="shared" si="935"/>
        <v>0</v>
      </c>
      <c r="AL1080" s="1906">
        <f t="shared" si="936"/>
        <v>0</v>
      </c>
      <c r="AM1080" s="1906">
        <f t="shared" si="937"/>
        <v>0</v>
      </c>
      <c r="AN1080" s="1906">
        <f t="shared" si="938"/>
        <v>0</v>
      </c>
      <c r="AP1080" s="1906">
        <f t="shared" si="939"/>
        <v>0</v>
      </c>
      <c r="AQ1080" s="1906">
        <f t="shared" si="940"/>
        <v>0</v>
      </c>
      <c r="AR1080" s="1906">
        <f t="shared" si="941"/>
        <v>0</v>
      </c>
      <c r="AS1080" s="1906">
        <f t="shared" si="942"/>
        <v>0</v>
      </c>
      <c r="AT1080" s="1906">
        <f t="shared" si="943"/>
        <v>0</v>
      </c>
      <c r="AU1080" s="1906">
        <f t="shared" si="944"/>
        <v>0</v>
      </c>
      <c r="AV1080" s="1906">
        <f t="shared" si="945"/>
        <v>0</v>
      </c>
      <c r="AW1080" s="1906">
        <f t="shared" si="946"/>
        <v>0</v>
      </c>
      <c r="AX1080" s="1906">
        <f t="shared" si="947"/>
        <v>0</v>
      </c>
      <c r="AY1080" s="1906">
        <f t="shared" si="948"/>
        <v>0</v>
      </c>
      <c r="AZ1080" s="1906">
        <f t="shared" si="949"/>
        <v>0</v>
      </c>
      <c r="BA1080" s="1906">
        <f t="shared" si="950"/>
        <v>0</v>
      </c>
      <c r="BC1080" s="1906">
        <f t="shared" si="951"/>
        <v>0</v>
      </c>
      <c r="BD1080" s="1906">
        <f t="shared" si="952"/>
        <v>0</v>
      </c>
      <c r="BE1080" s="1906">
        <f t="shared" si="953"/>
        <v>0</v>
      </c>
      <c r="BF1080" s="1906">
        <f t="shared" si="954"/>
        <v>0</v>
      </c>
      <c r="BG1080" s="1906">
        <f t="shared" si="955"/>
        <v>0</v>
      </c>
      <c r="BH1080" s="1906">
        <f t="shared" si="956"/>
        <v>0</v>
      </c>
      <c r="BI1080" s="1906">
        <f t="shared" si="957"/>
        <v>0</v>
      </c>
      <c r="BJ1080" s="1906">
        <f t="shared" si="958"/>
        <v>0</v>
      </c>
      <c r="BK1080" s="1906">
        <f t="shared" si="959"/>
        <v>0</v>
      </c>
      <c r="BL1080" s="1906">
        <f t="shared" si="960"/>
        <v>0</v>
      </c>
      <c r="BM1080" s="1906">
        <f t="shared" si="961"/>
        <v>0</v>
      </c>
      <c r="BN1080" s="1906">
        <f t="shared" si="962"/>
        <v>0</v>
      </c>
      <c r="BP1080" s="1906">
        <f t="shared" si="963"/>
        <v>0</v>
      </c>
      <c r="BQ1080" s="1906">
        <f t="shared" si="964"/>
        <v>0</v>
      </c>
      <c r="BR1080" s="1906">
        <f t="shared" si="965"/>
        <v>0</v>
      </c>
      <c r="BS1080" s="1906">
        <f t="shared" si="966"/>
        <v>0</v>
      </c>
      <c r="BT1080" s="1906">
        <f t="shared" si="967"/>
        <v>0</v>
      </c>
      <c r="BU1080" s="1906">
        <f t="shared" si="968"/>
        <v>0</v>
      </c>
      <c r="BV1080" s="1906">
        <f t="shared" si="969"/>
        <v>0</v>
      </c>
      <c r="BW1080" s="1906">
        <f t="shared" si="970"/>
        <v>0</v>
      </c>
      <c r="BX1080" s="1906">
        <f t="shared" si="971"/>
        <v>0</v>
      </c>
      <c r="BY1080" s="1906">
        <f t="shared" si="972"/>
        <v>0</v>
      </c>
      <c r="BZ1080" s="1906">
        <f t="shared" si="973"/>
        <v>0</v>
      </c>
      <c r="CA1080" s="1906">
        <f t="shared" si="974"/>
        <v>0</v>
      </c>
      <c r="CC1080" s="1906">
        <f t="shared" si="975"/>
        <v>0</v>
      </c>
      <c r="CD1080" s="1906">
        <f t="shared" si="976"/>
        <v>0</v>
      </c>
      <c r="CE1080" s="1906">
        <f t="shared" si="977"/>
        <v>0</v>
      </c>
      <c r="CF1080" s="1906">
        <f t="shared" si="978"/>
        <v>0</v>
      </c>
      <c r="CG1080" s="1906">
        <f t="shared" si="979"/>
        <v>0</v>
      </c>
      <c r="CH1080" s="1906">
        <f t="shared" si="980"/>
        <v>0</v>
      </c>
      <c r="CI1080" s="1906">
        <f t="shared" si="981"/>
        <v>0</v>
      </c>
      <c r="CJ1080" s="1906">
        <f t="shared" si="982"/>
        <v>0</v>
      </c>
      <c r="CK1080" s="1906">
        <f t="shared" si="983"/>
        <v>0</v>
      </c>
      <c r="CL1080" s="1906">
        <f t="shared" si="984"/>
        <v>0</v>
      </c>
      <c r="CM1080" s="1906">
        <f t="shared" si="985"/>
        <v>0</v>
      </c>
      <c r="CN1080" s="1906">
        <f t="shared" si="986"/>
        <v>0</v>
      </c>
      <c r="CO1080" s="6" t="str">
        <f t="shared" si="987"/>
        <v>Avena</v>
      </c>
      <c r="CP1080" s="1906">
        <f t="shared" si="1004"/>
        <v>0</v>
      </c>
      <c r="CQ1080" s="1906">
        <f t="shared" si="988"/>
        <v>0</v>
      </c>
      <c r="CR1080" s="1906">
        <f t="shared" si="989"/>
        <v>0</v>
      </c>
      <c r="CS1080" s="1906">
        <f t="shared" si="990"/>
        <v>0</v>
      </c>
      <c r="CT1080" s="1906">
        <f t="shared" si="1008"/>
        <v>0</v>
      </c>
      <c r="CU1080" s="1906">
        <f t="shared" si="1008"/>
        <v>0</v>
      </c>
      <c r="CV1080" s="1906">
        <f t="shared" si="1008"/>
        <v>0</v>
      </c>
      <c r="CW1080" s="1906">
        <f t="shared" si="1008"/>
        <v>0</v>
      </c>
      <c r="CX1080" s="1906">
        <f t="shared" si="1008"/>
        <v>0</v>
      </c>
      <c r="CY1080" s="1906">
        <f t="shared" si="1008"/>
        <v>0</v>
      </c>
      <c r="CZ1080" s="1906">
        <f t="shared" si="1008"/>
        <v>0</v>
      </c>
      <c r="DA1080" s="1906">
        <f t="shared" si="1008"/>
        <v>0</v>
      </c>
      <c r="DB1080" s="595" t="str">
        <f t="shared" si="1005"/>
        <v>Avena</v>
      </c>
      <c r="DC1080" s="1443">
        <f t="shared" si="1006"/>
        <v>0</v>
      </c>
      <c r="DD1080" s="107"/>
      <c r="DE1080" s="111" t="str">
        <f t="shared" si="1007"/>
        <v>Avena</v>
      </c>
      <c r="DF1080" s="1906">
        <f t="shared" si="992"/>
        <v>0</v>
      </c>
      <c r="DG1080" s="1906">
        <f t="shared" si="993"/>
        <v>0</v>
      </c>
      <c r="DH1080" s="1906">
        <f t="shared" si="994"/>
        <v>0</v>
      </c>
      <c r="DI1080" s="1906">
        <f t="shared" si="995"/>
        <v>0</v>
      </c>
      <c r="DJ1080" s="1906">
        <f t="shared" si="996"/>
        <v>0</v>
      </c>
      <c r="DK1080" s="1906">
        <f t="shared" si="997"/>
        <v>0</v>
      </c>
      <c r="DL1080" s="1906">
        <f t="shared" si="998"/>
        <v>0</v>
      </c>
      <c r="DM1080" s="1906">
        <f t="shared" si="999"/>
        <v>0</v>
      </c>
      <c r="DN1080" s="1906">
        <f t="shared" si="1000"/>
        <v>0</v>
      </c>
      <c r="DO1080" s="1906">
        <f t="shared" si="1001"/>
        <v>0</v>
      </c>
      <c r="DP1080" s="1906">
        <f t="shared" si="1002"/>
        <v>0</v>
      </c>
      <c r="DQ1080" s="1906">
        <f t="shared" si="1003"/>
        <v>0</v>
      </c>
    </row>
    <row r="1081" spans="1:121" x14ac:dyDescent="0.2">
      <c r="A1081" s="6"/>
      <c r="C1081" s="1906" t="str">
        <f t="shared" si="904"/>
        <v/>
      </c>
      <c r="D1081" s="1906" t="str">
        <f t="shared" si="905"/>
        <v/>
      </c>
      <c r="E1081" s="1906" t="str">
        <f t="shared" si="906"/>
        <v/>
      </c>
      <c r="F1081" s="1906" t="str">
        <f t="shared" si="907"/>
        <v/>
      </c>
      <c r="G1081" s="1906" t="str">
        <f t="shared" si="908"/>
        <v/>
      </c>
      <c r="H1081" s="1906" t="str">
        <f t="shared" si="909"/>
        <v/>
      </c>
      <c r="I1081" s="1906" t="str">
        <f t="shared" si="910"/>
        <v/>
      </c>
      <c r="J1081" s="1906" t="str">
        <f t="shared" si="911"/>
        <v/>
      </c>
      <c r="K1081" s="1906" t="str">
        <f t="shared" si="912"/>
        <v/>
      </c>
      <c r="L1081" s="1906" t="str">
        <f t="shared" si="913"/>
        <v/>
      </c>
      <c r="M1081" s="1906" t="str">
        <f t="shared" si="914"/>
        <v/>
      </c>
      <c r="N1081" s="1906" t="str">
        <f t="shared" si="915"/>
        <v/>
      </c>
      <c r="P1081" s="1906">
        <f t="shared" si="916"/>
        <v>0</v>
      </c>
      <c r="Q1081" s="1906">
        <f t="shared" si="917"/>
        <v>0</v>
      </c>
      <c r="R1081" s="1906">
        <f t="shared" si="918"/>
        <v>0</v>
      </c>
      <c r="S1081" s="1906">
        <f t="shared" si="919"/>
        <v>0</v>
      </c>
      <c r="T1081" s="1906">
        <f t="shared" si="920"/>
        <v>0</v>
      </c>
      <c r="U1081" s="1906">
        <f t="shared" si="921"/>
        <v>0</v>
      </c>
      <c r="V1081" s="1906">
        <f t="shared" si="922"/>
        <v>0</v>
      </c>
      <c r="W1081" s="1906">
        <f t="shared" si="923"/>
        <v>0</v>
      </c>
      <c r="X1081" s="1906">
        <f t="shared" si="924"/>
        <v>0</v>
      </c>
      <c r="Y1081" s="1906">
        <f t="shared" si="925"/>
        <v>0</v>
      </c>
      <c r="Z1081" s="1906">
        <f t="shared" si="926"/>
        <v>0</v>
      </c>
      <c r="AA1081" s="1906">
        <f t="shared" si="927"/>
        <v>0</v>
      </c>
      <c r="AC1081" s="1906"/>
      <c r="AD1081" s="1906">
        <f t="shared" si="928"/>
        <v>0</v>
      </c>
      <c r="AE1081" s="1906">
        <f t="shared" si="929"/>
        <v>0</v>
      </c>
      <c r="AF1081" s="1906">
        <f t="shared" si="930"/>
        <v>0</v>
      </c>
      <c r="AG1081" s="1906">
        <f t="shared" si="931"/>
        <v>0</v>
      </c>
      <c r="AH1081" s="1906">
        <f t="shared" si="932"/>
        <v>0</v>
      </c>
      <c r="AI1081" s="1906">
        <f t="shared" si="933"/>
        <v>0</v>
      </c>
      <c r="AJ1081" s="1906">
        <f t="shared" si="934"/>
        <v>0</v>
      </c>
      <c r="AK1081" s="1906">
        <f t="shared" si="935"/>
        <v>0</v>
      </c>
      <c r="AL1081" s="1906">
        <f t="shared" si="936"/>
        <v>0</v>
      </c>
      <c r="AM1081" s="1906">
        <f t="shared" si="937"/>
        <v>0</v>
      </c>
      <c r="AN1081" s="1906">
        <f t="shared" si="938"/>
        <v>0</v>
      </c>
      <c r="AP1081" s="1906">
        <f t="shared" si="939"/>
        <v>0</v>
      </c>
      <c r="AQ1081" s="1906">
        <f t="shared" si="940"/>
        <v>0</v>
      </c>
      <c r="AR1081" s="1906">
        <f t="shared" si="941"/>
        <v>0</v>
      </c>
      <c r="AS1081" s="1906">
        <f t="shared" si="942"/>
        <v>0</v>
      </c>
      <c r="AT1081" s="1906">
        <f t="shared" si="943"/>
        <v>0</v>
      </c>
      <c r="AU1081" s="1906">
        <f t="shared" si="944"/>
        <v>0</v>
      </c>
      <c r="AV1081" s="1906">
        <f t="shared" si="945"/>
        <v>0</v>
      </c>
      <c r="AW1081" s="1906">
        <f t="shared" si="946"/>
        <v>0</v>
      </c>
      <c r="AX1081" s="1906">
        <f t="shared" si="947"/>
        <v>0</v>
      </c>
      <c r="AY1081" s="1906">
        <f t="shared" si="948"/>
        <v>0</v>
      </c>
      <c r="AZ1081" s="1906">
        <f t="shared" si="949"/>
        <v>0</v>
      </c>
      <c r="BA1081" s="1906">
        <f t="shared" si="950"/>
        <v>0</v>
      </c>
      <c r="BC1081" s="1906">
        <f t="shared" si="951"/>
        <v>0</v>
      </c>
      <c r="BD1081" s="1906">
        <f t="shared" si="952"/>
        <v>0</v>
      </c>
      <c r="BE1081" s="1906">
        <f t="shared" si="953"/>
        <v>0</v>
      </c>
      <c r="BF1081" s="1906">
        <f t="shared" si="954"/>
        <v>0</v>
      </c>
      <c r="BG1081" s="1906">
        <f t="shared" si="955"/>
        <v>0</v>
      </c>
      <c r="BH1081" s="1906">
        <f t="shared" si="956"/>
        <v>0</v>
      </c>
      <c r="BI1081" s="1906">
        <f t="shared" si="957"/>
        <v>0</v>
      </c>
      <c r="BJ1081" s="1906">
        <f t="shared" si="958"/>
        <v>0</v>
      </c>
      <c r="BK1081" s="1906">
        <f t="shared" si="959"/>
        <v>0</v>
      </c>
      <c r="BL1081" s="1906">
        <f t="shared" si="960"/>
        <v>0</v>
      </c>
      <c r="BM1081" s="1906">
        <f t="shared" si="961"/>
        <v>0</v>
      </c>
      <c r="BN1081" s="1906">
        <f t="shared" si="962"/>
        <v>0</v>
      </c>
      <c r="BP1081" s="1906">
        <f t="shared" si="963"/>
        <v>0</v>
      </c>
      <c r="BQ1081" s="1906">
        <f t="shared" si="964"/>
        <v>0</v>
      </c>
      <c r="BR1081" s="1906">
        <f t="shared" si="965"/>
        <v>0</v>
      </c>
      <c r="BS1081" s="1906">
        <f t="shared" si="966"/>
        <v>0</v>
      </c>
      <c r="BT1081" s="1906">
        <f t="shared" si="967"/>
        <v>0</v>
      </c>
      <c r="BU1081" s="1906">
        <f t="shared" si="968"/>
        <v>0</v>
      </c>
      <c r="BV1081" s="1906">
        <f t="shared" si="969"/>
        <v>0</v>
      </c>
      <c r="BW1081" s="1906">
        <f t="shared" si="970"/>
        <v>0</v>
      </c>
      <c r="BX1081" s="1906">
        <f t="shared" si="971"/>
        <v>0</v>
      </c>
      <c r="BY1081" s="1906">
        <f t="shared" si="972"/>
        <v>0</v>
      </c>
      <c r="BZ1081" s="1906">
        <f t="shared" si="973"/>
        <v>0</v>
      </c>
      <c r="CA1081" s="1906">
        <f t="shared" si="974"/>
        <v>0</v>
      </c>
      <c r="CC1081" s="1906">
        <f t="shared" si="975"/>
        <v>0</v>
      </c>
      <c r="CD1081" s="1906">
        <f t="shared" si="976"/>
        <v>0</v>
      </c>
      <c r="CE1081" s="1906">
        <f t="shared" si="977"/>
        <v>0</v>
      </c>
      <c r="CF1081" s="1906">
        <f t="shared" si="978"/>
        <v>0</v>
      </c>
      <c r="CG1081" s="1906">
        <f t="shared" si="979"/>
        <v>0</v>
      </c>
      <c r="CH1081" s="1906">
        <f t="shared" si="980"/>
        <v>0</v>
      </c>
      <c r="CI1081" s="1906">
        <f t="shared" si="981"/>
        <v>0</v>
      </c>
      <c r="CJ1081" s="1906">
        <f t="shared" si="982"/>
        <v>0</v>
      </c>
      <c r="CK1081" s="1906">
        <f t="shared" si="983"/>
        <v>0</v>
      </c>
      <c r="CL1081" s="1906">
        <f t="shared" si="984"/>
        <v>0</v>
      </c>
      <c r="CM1081" s="1906">
        <f t="shared" si="985"/>
        <v>0</v>
      </c>
      <c r="CN1081" s="1906">
        <f t="shared" si="986"/>
        <v>0</v>
      </c>
      <c r="CO1081" s="6" t="str">
        <f t="shared" si="987"/>
        <v>Raigrás</v>
      </c>
      <c r="CP1081" s="1906">
        <f t="shared" si="1004"/>
        <v>0</v>
      </c>
      <c r="CQ1081" s="1906">
        <f t="shared" si="988"/>
        <v>0</v>
      </c>
      <c r="CR1081" s="1906">
        <f t="shared" si="989"/>
        <v>0</v>
      </c>
      <c r="CS1081" s="1906">
        <f t="shared" si="990"/>
        <v>0</v>
      </c>
      <c r="CT1081" s="1906">
        <f t="shared" si="1008"/>
        <v>0</v>
      </c>
      <c r="CU1081" s="1906">
        <f t="shared" si="1008"/>
        <v>0</v>
      </c>
      <c r="CV1081" s="1906">
        <f t="shared" si="1008"/>
        <v>0</v>
      </c>
      <c r="CW1081" s="1906">
        <f t="shared" si="1008"/>
        <v>0</v>
      </c>
      <c r="CX1081" s="1906">
        <f t="shared" si="1008"/>
        <v>0</v>
      </c>
      <c r="CY1081" s="1906">
        <f t="shared" si="1008"/>
        <v>0</v>
      </c>
      <c r="CZ1081" s="1906">
        <f t="shared" si="1008"/>
        <v>0</v>
      </c>
      <c r="DA1081" s="1906">
        <f t="shared" si="1008"/>
        <v>0</v>
      </c>
      <c r="DB1081" s="595" t="str">
        <f t="shared" si="1005"/>
        <v>Raigrás</v>
      </c>
      <c r="DC1081" s="1443">
        <f t="shared" si="1006"/>
        <v>0</v>
      </c>
      <c r="DD1081" s="107"/>
      <c r="DE1081" s="111" t="str">
        <f t="shared" si="1007"/>
        <v>Raigrás</v>
      </c>
      <c r="DF1081" s="1906">
        <f t="shared" si="992"/>
        <v>0</v>
      </c>
      <c r="DG1081" s="1906">
        <f t="shared" si="993"/>
        <v>0</v>
      </c>
      <c r="DH1081" s="1906">
        <f t="shared" si="994"/>
        <v>0</v>
      </c>
      <c r="DI1081" s="1906">
        <f t="shared" si="995"/>
        <v>0</v>
      </c>
      <c r="DJ1081" s="1906">
        <f t="shared" si="996"/>
        <v>0</v>
      </c>
      <c r="DK1081" s="1906">
        <f t="shared" si="997"/>
        <v>0</v>
      </c>
      <c r="DL1081" s="1906">
        <f t="shared" si="998"/>
        <v>0</v>
      </c>
      <c r="DM1081" s="1906">
        <f t="shared" si="999"/>
        <v>0</v>
      </c>
      <c r="DN1081" s="1906">
        <f t="shared" si="1000"/>
        <v>0</v>
      </c>
      <c r="DO1081" s="1906">
        <f t="shared" si="1001"/>
        <v>0</v>
      </c>
      <c r="DP1081" s="1906">
        <f t="shared" si="1002"/>
        <v>0</v>
      </c>
      <c r="DQ1081" s="1906">
        <f t="shared" si="1003"/>
        <v>0</v>
      </c>
    </row>
    <row r="1082" spans="1:121" x14ac:dyDescent="0.2">
      <c r="A1082" s="6"/>
      <c r="C1082" s="1906" t="str">
        <f t="shared" si="904"/>
        <v/>
      </c>
      <c r="D1082" s="1906" t="str">
        <f t="shared" si="905"/>
        <v/>
      </c>
      <c r="E1082" s="1906" t="str">
        <f t="shared" si="906"/>
        <v/>
      </c>
      <c r="F1082" s="1906" t="str">
        <f t="shared" si="907"/>
        <v/>
      </c>
      <c r="G1082" s="1906" t="str">
        <f t="shared" si="908"/>
        <v/>
      </c>
      <c r="H1082" s="1906" t="str">
        <f t="shared" si="909"/>
        <v/>
      </c>
      <c r="I1082" s="1906" t="str">
        <f t="shared" si="910"/>
        <v/>
      </c>
      <c r="J1082" s="1906" t="str">
        <f t="shared" si="911"/>
        <v/>
      </c>
      <c r="K1082" s="1906" t="str">
        <f t="shared" si="912"/>
        <v/>
      </c>
      <c r="L1082" s="1906" t="str">
        <f t="shared" si="913"/>
        <v/>
      </c>
      <c r="M1082" s="1906" t="str">
        <f t="shared" si="914"/>
        <v/>
      </c>
      <c r="N1082" s="1906" t="str">
        <f t="shared" si="915"/>
        <v/>
      </c>
      <c r="P1082" s="1906">
        <f t="shared" si="916"/>
        <v>0</v>
      </c>
      <c r="Q1082" s="1906">
        <f t="shared" si="917"/>
        <v>0</v>
      </c>
      <c r="R1082" s="1906">
        <f t="shared" si="918"/>
        <v>0</v>
      </c>
      <c r="S1082" s="1906">
        <f t="shared" si="919"/>
        <v>0</v>
      </c>
      <c r="T1082" s="1906">
        <f t="shared" si="920"/>
        <v>0</v>
      </c>
      <c r="U1082" s="1906">
        <f t="shared" si="921"/>
        <v>0</v>
      </c>
      <c r="V1082" s="1906">
        <f t="shared" si="922"/>
        <v>0</v>
      </c>
      <c r="W1082" s="1906">
        <f t="shared" si="923"/>
        <v>0</v>
      </c>
      <c r="X1082" s="1906">
        <f t="shared" si="924"/>
        <v>0</v>
      </c>
      <c r="Y1082" s="1906">
        <f t="shared" si="925"/>
        <v>0</v>
      </c>
      <c r="Z1082" s="1906">
        <f t="shared" si="926"/>
        <v>0</v>
      </c>
      <c r="AA1082" s="1906">
        <f t="shared" si="927"/>
        <v>0</v>
      </c>
      <c r="AC1082" s="1906"/>
      <c r="AD1082" s="1906">
        <f t="shared" si="928"/>
        <v>0</v>
      </c>
      <c r="AE1082" s="1906">
        <f t="shared" si="929"/>
        <v>0</v>
      </c>
      <c r="AF1082" s="1906">
        <f t="shared" si="930"/>
        <v>0</v>
      </c>
      <c r="AG1082" s="1906">
        <f t="shared" si="931"/>
        <v>0</v>
      </c>
      <c r="AH1082" s="1906">
        <f t="shared" si="932"/>
        <v>0</v>
      </c>
      <c r="AI1082" s="1906">
        <f t="shared" si="933"/>
        <v>0</v>
      </c>
      <c r="AJ1082" s="1906">
        <f t="shared" si="934"/>
        <v>0</v>
      </c>
      <c r="AK1082" s="1906">
        <f t="shared" si="935"/>
        <v>0</v>
      </c>
      <c r="AL1082" s="1906">
        <f t="shared" si="936"/>
        <v>0</v>
      </c>
      <c r="AM1082" s="1906">
        <f t="shared" si="937"/>
        <v>0</v>
      </c>
      <c r="AN1082" s="1906">
        <f t="shared" si="938"/>
        <v>0</v>
      </c>
      <c r="AP1082" s="1906">
        <f t="shared" si="939"/>
        <v>0</v>
      </c>
      <c r="AQ1082" s="1906">
        <f t="shared" si="940"/>
        <v>0</v>
      </c>
      <c r="AR1082" s="1906">
        <f t="shared" si="941"/>
        <v>0</v>
      </c>
      <c r="AS1082" s="1906">
        <f t="shared" si="942"/>
        <v>0</v>
      </c>
      <c r="AT1082" s="1906">
        <f t="shared" si="943"/>
        <v>0</v>
      </c>
      <c r="AU1082" s="1906">
        <f t="shared" si="944"/>
        <v>0</v>
      </c>
      <c r="AV1082" s="1906">
        <f t="shared" si="945"/>
        <v>0</v>
      </c>
      <c r="AW1082" s="1906">
        <f t="shared" si="946"/>
        <v>0</v>
      </c>
      <c r="AX1082" s="1906">
        <f t="shared" si="947"/>
        <v>0</v>
      </c>
      <c r="AY1082" s="1906">
        <f t="shared" si="948"/>
        <v>0</v>
      </c>
      <c r="AZ1082" s="1906">
        <f t="shared" si="949"/>
        <v>0</v>
      </c>
      <c r="BA1082" s="1906">
        <f t="shared" si="950"/>
        <v>0</v>
      </c>
      <c r="BC1082" s="1906">
        <f t="shared" si="951"/>
        <v>0</v>
      </c>
      <c r="BD1082" s="1906">
        <f t="shared" si="952"/>
        <v>0</v>
      </c>
      <c r="BE1082" s="1906">
        <f t="shared" si="953"/>
        <v>0</v>
      </c>
      <c r="BF1082" s="1906">
        <f t="shared" si="954"/>
        <v>0</v>
      </c>
      <c r="BG1082" s="1906">
        <f t="shared" si="955"/>
        <v>0</v>
      </c>
      <c r="BH1082" s="1906">
        <f t="shared" si="956"/>
        <v>0</v>
      </c>
      <c r="BI1082" s="1906">
        <f t="shared" si="957"/>
        <v>0</v>
      </c>
      <c r="BJ1082" s="1906">
        <f t="shared" si="958"/>
        <v>0</v>
      </c>
      <c r="BK1082" s="1906">
        <f t="shared" si="959"/>
        <v>0</v>
      </c>
      <c r="BL1082" s="1906">
        <f t="shared" si="960"/>
        <v>0</v>
      </c>
      <c r="BM1082" s="1906">
        <f t="shared" si="961"/>
        <v>0</v>
      </c>
      <c r="BN1082" s="1906">
        <f t="shared" si="962"/>
        <v>0</v>
      </c>
      <c r="BP1082" s="1906">
        <f t="shared" si="963"/>
        <v>0</v>
      </c>
      <c r="BQ1082" s="1906">
        <f t="shared" si="964"/>
        <v>0</v>
      </c>
      <c r="BR1082" s="1906">
        <f t="shared" si="965"/>
        <v>0</v>
      </c>
      <c r="BS1082" s="1906">
        <f t="shared" si="966"/>
        <v>0</v>
      </c>
      <c r="BT1082" s="1906">
        <f t="shared" si="967"/>
        <v>0</v>
      </c>
      <c r="BU1082" s="1906">
        <f t="shared" si="968"/>
        <v>0</v>
      </c>
      <c r="BV1082" s="1906">
        <f t="shared" si="969"/>
        <v>0</v>
      </c>
      <c r="BW1082" s="1906">
        <f t="shared" si="970"/>
        <v>0</v>
      </c>
      <c r="BX1082" s="1906">
        <f t="shared" si="971"/>
        <v>0</v>
      </c>
      <c r="BY1082" s="1906">
        <f t="shared" si="972"/>
        <v>0</v>
      </c>
      <c r="BZ1082" s="1906">
        <f t="shared" si="973"/>
        <v>0</v>
      </c>
      <c r="CA1082" s="1906">
        <f t="shared" si="974"/>
        <v>0</v>
      </c>
      <c r="CC1082" s="1906">
        <f t="shared" si="975"/>
        <v>0</v>
      </c>
      <c r="CD1082" s="1906">
        <f t="shared" si="976"/>
        <v>0</v>
      </c>
      <c r="CE1082" s="1906">
        <f t="shared" si="977"/>
        <v>0</v>
      </c>
      <c r="CF1082" s="1906">
        <f t="shared" si="978"/>
        <v>0</v>
      </c>
      <c r="CG1082" s="1906">
        <f t="shared" si="979"/>
        <v>0</v>
      </c>
      <c r="CH1082" s="1906">
        <f t="shared" si="980"/>
        <v>0</v>
      </c>
      <c r="CI1082" s="1906">
        <f t="shared" si="981"/>
        <v>0</v>
      </c>
      <c r="CJ1082" s="1906">
        <f t="shared" si="982"/>
        <v>0</v>
      </c>
      <c r="CK1082" s="1906">
        <f t="shared" si="983"/>
        <v>0</v>
      </c>
      <c r="CL1082" s="1906">
        <f t="shared" si="984"/>
        <v>0</v>
      </c>
      <c r="CM1082" s="1906">
        <f t="shared" si="985"/>
        <v>0</v>
      </c>
      <c r="CN1082" s="1906">
        <f t="shared" si="986"/>
        <v>0</v>
      </c>
      <c r="CO1082" s="6" t="str">
        <f t="shared" si="987"/>
        <v>Av+Rg</v>
      </c>
      <c r="CP1082" s="1906">
        <f t="shared" si="1004"/>
        <v>0</v>
      </c>
      <c r="CQ1082" s="1906">
        <f t="shared" si="988"/>
        <v>0</v>
      </c>
      <c r="CR1082" s="1906">
        <f t="shared" si="989"/>
        <v>0</v>
      </c>
      <c r="CS1082" s="1906">
        <f t="shared" si="990"/>
        <v>0</v>
      </c>
      <c r="CT1082" s="1906">
        <f t="shared" si="1008"/>
        <v>0</v>
      </c>
      <c r="CU1082" s="1906">
        <f t="shared" si="1008"/>
        <v>0</v>
      </c>
      <c r="CV1082" s="1906">
        <f t="shared" si="1008"/>
        <v>0</v>
      </c>
      <c r="CW1082" s="1906">
        <f t="shared" si="1008"/>
        <v>0</v>
      </c>
      <c r="CX1082" s="1906">
        <f t="shared" si="1008"/>
        <v>0</v>
      </c>
      <c r="CY1082" s="1906">
        <f t="shared" si="1008"/>
        <v>0</v>
      </c>
      <c r="CZ1082" s="1906">
        <f t="shared" si="1008"/>
        <v>0</v>
      </c>
      <c r="DA1082" s="1906">
        <f t="shared" si="1008"/>
        <v>0</v>
      </c>
      <c r="DB1082" s="595" t="str">
        <f t="shared" si="1005"/>
        <v>Av+Rg</v>
      </c>
      <c r="DC1082" s="1443">
        <f t="shared" si="1006"/>
        <v>0</v>
      </c>
      <c r="DD1082" s="107"/>
      <c r="DE1082" s="111" t="str">
        <f t="shared" si="1007"/>
        <v>Av+Rg</v>
      </c>
      <c r="DF1082" s="1906">
        <f t="shared" si="992"/>
        <v>0</v>
      </c>
      <c r="DG1082" s="1906">
        <f t="shared" si="993"/>
        <v>0</v>
      </c>
      <c r="DH1082" s="1906">
        <f t="shared" si="994"/>
        <v>0</v>
      </c>
      <c r="DI1082" s="1906">
        <f t="shared" si="995"/>
        <v>0</v>
      </c>
      <c r="DJ1082" s="1906">
        <f t="shared" si="996"/>
        <v>0</v>
      </c>
      <c r="DK1082" s="1906">
        <f t="shared" si="997"/>
        <v>0</v>
      </c>
      <c r="DL1082" s="1906">
        <f t="shared" si="998"/>
        <v>0</v>
      </c>
      <c r="DM1082" s="1906">
        <f t="shared" si="999"/>
        <v>0</v>
      </c>
      <c r="DN1082" s="1906">
        <f t="shared" si="1000"/>
        <v>0</v>
      </c>
      <c r="DO1082" s="1906">
        <f t="shared" si="1001"/>
        <v>0</v>
      </c>
      <c r="DP1082" s="1906">
        <f t="shared" si="1002"/>
        <v>0</v>
      </c>
      <c r="DQ1082" s="1906">
        <f t="shared" si="1003"/>
        <v>0</v>
      </c>
    </row>
    <row r="1083" spans="1:121" x14ac:dyDescent="0.2">
      <c r="A1083" s="6"/>
      <c r="C1083" s="1906" t="str">
        <f t="shared" si="904"/>
        <v/>
      </c>
      <c r="D1083" s="1906" t="str">
        <f t="shared" si="905"/>
        <v/>
      </c>
      <c r="E1083" s="1906" t="str">
        <f t="shared" si="906"/>
        <v/>
      </c>
      <c r="F1083" s="1906" t="str">
        <f t="shared" si="907"/>
        <v/>
      </c>
      <c r="G1083" s="1906" t="str">
        <f t="shared" si="908"/>
        <v/>
      </c>
      <c r="H1083" s="1906" t="str">
        <f t="shared" si="909"/>
        <v/>
      </c>
      <c r="I1083" s="1906" t="str">
        <f t="shared" si="910"/>
        <v/>
      </c>
      <c r="J1083" s="1906" t="str">
        <f t="shared" si="911"/>
        <v/>
      </c>
      <c r="K1083" s="1906" t="str">
        <f t="shared" si="912"/>
        <v/>
      </c>
      <c r="L1083" s="1906" t="str">
        <f t="shared" si="913"/>
        <v/>
      </c>
      <c r="M1083" s="1906" t="str">
        <f t="shared" si="914"/>
        <v/>
      </c>
      <c r="N1083" s="1906" t="str">
        <f t="shared" si="915"/>
        <v/>
      </c>
      <c r="P1083" s="1906">
        <f t="shared" si="916"/>
        <v>0</v>
      </c>
      <c r="Q1083" s="1906">
        <f t="shared" si="917"/>
        <v>0</v>
      </c>
      <c r="R1083" s="1906">
        <f t="shared" si="918"/>
        <v>0</v>
      </c>
      <c r="S1083" s="1906">
        <f t="shared" si="919"/>
        <v>0</v>
      </c>
      <c r="T1083" s="1906">
        <f t="shared" si="920"/>
        <v>0</v>
      </c>
      <c r="U1083" s="1906">
        <f t="shared" si="921"/>
        <v>0</v>
      </c>
      <c r="V1083" s="1906">
        <f t="shared" si="922"/>
        <v>0</v>
      </c>
      <c r="W1083" s="1906">
        <f t="shared" si="923"/>
        <v>0</v>
      </c>
      <c r="X1083" s="1906">
        <f t="shared" si="924"/>
        <v>0</v>
      </c>
      <c r="Y1083" s="1906">
        <f t="shared" si="925"/>
        <v>0</v>
      </c>
      <c r="Z1083" s="1906">
        <f t="shared" si="926"/>
        <v>0</v>
      </c>
      <c r="AA1083" s="1906">
        <f t="shared" si="927"/>
        <v>0</v>
      </c>
      <c r="AC1083" s="1906"/>
      <c r="AD1083" s="1906">
        <f t="shared" si="928"/>
        <v>0</v>
      </c>
      <c r="AE1083" s="1906">
        <f t="shared" si="929"/>
        <v>0</v>
      </c>
      <c r="AF1083" s="1906">
        <f t="shared" si="930"/>
        <v>0</v>
      </c>
      <c r="AG1083" s="1906">
        <f t="shared" si="931"/>
        <v>0</v>
      </c>
      <c r="AH1083" s="1906">
        <f t="shared" si="932"/>
        <v>0</v>
      </c>
      <c r="AI1083" s="1906">
        <f t="shared" si="933"/>
        <v>0</v>
      </c>
      <c r="AJ1083" s="1906">
        <f t="shared" si="934"/>
        <v>0</v>
      </c>
      <c r="AK1083" s="1906">
        <f t="shared" si="935"/>
        <v>0</v>
      </c>
      <c r="AL1083" s="1906">
        <f t="shared" si="936"/>
        <v>0</v>
      </c>
      <c r="AM1083" s="1906">
        <f t="shared" si="937"/>
        <v>0</v>
      </c>
      <c r="AN1083" s="1906">
        <f t="shared" si="938"/>
        <v>0</v>
      </c>
      <c r="AP1083" s="1906">
        <f t="shared" si="939"/>
        <v>0</v>
      </c>
      <c r="AQ1083" s="1906">
        <f t="shared" si="940"/>
        <v>0</v>
      </c>
      <c r="AR1083" s="1906">
        <f t="shared" si="941"/>
        <v>0</v>
      </c>
      <c r="AS1083" s="1906">
        <f t="shared" si="942"/>
        <v>0</v>
      </c>
      <c r="AT1083" s="1906">
        <f t="shared" si="943"/>
        <v>0</v>
      </c>
      <c r="AU1083" s="1906">
        <f t="shared" si="944"/>
        <v>0</v>
      </c>
      <c r="AV1083" s="1906">
        <f t="shared" si="945"/>
        <v>0</v>
      </c>
      <c r="AW1083" s="1906">
        <f t="shared" si="946"/>
        <v>0</v>
      </c>
      <c r="AX1083" s="1906">
        <f t="shared" si="947"/>
        <v>0</v>
      </c>
      <c r="AY1083" s="1906">
        <f t="shared" si="948"/>
        <v>0</v>
      </c>
      <c r="AZ1083" s="1906">
        <f t="shared" si="949"/>
        <v>0</v>
      </c>
      <c r="BA1083" s="1906">
        <f t="shared" si="950"/>
        <v>0</v>
      </c>
      <c r="BC1083" s="1906">
        <f t="shared" si="951"/>
        <v>0</v>
      </c>
      <c r="BD1083" s="1906">
        <f t="shared" si="952"/>
        <v>0</v>
      </c>
      <c r="BE1083" s="1906">
        <f t="shared" si="953"/>
        <v>0</v>
      </c>
      <c r="BF1083" s="1906">
        <f t="shared" si="954"/>
        <v>0</v>
      </c>
      <c r="BG1083" s="1906">
        <f t="shared" si="955"/>
        <v>0</v>
      </c>
      <c r="BH1083" s="1906">
        <f t="shared" si="956"/>
        <v>0</v>
      </c>
      <c r="BI1083" s="1906">
        <f t="shared" si="957"/>
        <v>0</v>
      </c>
      <c r="BJ1083" s="1906">
        <f t="shared" si="958"/>
        <v>0</v>
      </c>
      <c r="BK1083" s="1906">
        <f t="shared" si="959"/>
        <v>0</v>
      </c>
      <c r="BL1083" s="1906">
        <f t="shared" si="960"/>
        <v>0</v>
      </c>
      <c r="BM1083" s="1906">
        <f t="shared" si="961"/>
        <v>0</v>
      </c>
      <c r="BN1083" s="1906">
        <f t="shared" si="962"/>
        <v>0</v>
      </c>
      <c r="BP1083" s="1906">
        <f t="shared" si="963"/>
        <v>0</v>
      </c>
      <c r="BQ1083" s="1906">
        <f t="shared" si="964"/>
        <v>0</v>
      </c>
      <c r="BR1083" s="1906">
        <f t="shared" si="965"/>
        <v>0</v>
      </c>
      <c r="BS1083" s="1906">
        <f t="shared" si="966"/>
        <v>0</v>
      </c>
      <c r="BT1083" s="1906">
        <f t="shared" si="967"/>
        <v>0</v>
      </c>
      <c r="BU1083" s="1906">
        <f t="shared" si="968"/>
        <v>0</v>
      </c>
      <c r="BV1083" s="1906">
        <f t="shared" si="969"/>
        <v>0</v>
      </c>
      <c r="BW1083" s="1906">
        <f t="shared" si="970"/>
        <v>0</v>
      </c>
      <c r="BX1083" s="1906">
        <f t="shared" si="971"/>
        <v>0</v>
      </c>
      <c r="BY1083" s="1906">
        <f t="shared" si="972"/>
        <v>0</v>
      </c>
      <c r="BZ1083" s="1906">
        <f t="shared" si="973"/>
        <v>0</v>
      </c>
      <c r="CA1083" s="1906">
        <f t="shared" si="974"/>
        <v>0</v>
      </c>
      <c r="CC1083" s="1906">
        <f t="shared" si="975"/>
        <v>0</v>
      </c>
      <c r="CD1083" s="1906">
        <f t="shared" si="976"/>
        <v>0</v>
      </c>
      <c r="CE1083" s="1906">
        <f t="shared" si="977"/>
        <v>0</v>
      </c>
      <c r="CF1083" s="1906">
        <f t="shared" si="978"/>
        <v>0</v>
      </c>
      <c r="CG1083" s="1906">
        <f t="shared" si="979"/>
        <v>0</v>
      </c>
      <c r="CH1083" s="1906">
        <f t="shared" si="980"/>
        <v>0</v>
      </c>
      <c r="CI1083" s="1906">
        <f t="shared" si="981"/>
        <v>0</v>
      </c>
      <c r="CJ1083" s="1906">
        <f t="shared" si="982"/>
        <v>0</v>
      </c>
      <c r="CK1083" s="1906">
        <f t="shared" si="983"/>
        <v>0</v>
      </c>
      <c r="CL1083" s="1906">
        <f t="shared" si="984"/>
        <v>0</v>
      </c>
      <c r="CM1083" s="1906">
        <f t="shared" si="985"/>
        <v>0</v>
      </c>
      <c r="CN1083" s="1906">
        <f t="shared" si="986"/>
        <v>0</v>
      </c>
      <c r="CO1083" s="6" t="str">
        <f t="shared" si="987"/>
        <v>Rg Ciclo Largo</v>
      </c>
      <c r="CP1083" s="1906">
        <f t="shared" si="1004"/>
        <v>0</v>
      </c>
      <c r="CQ1083" s="1906">
        <f t="shared" si="988"/>
        <v>0</v>
      </c>
      <c r="CR1083" s="1906">
        <f t="shared" si="989"/>
        <v>0</v>
      </c>
      <c r="CS1083" s="1906">
        <f t="shared" si="990"/>
        <v>0</v>
      </c>
      <c r="CT1083" s="1906">
        <f t="shared" si="1008"/>
        <v>0</v>
      </c>
      <c r="CU1083" s="1906">
        <f t="shared" si="1008"/>
        <v>0</v>
      </c>
      <c r="CV1083" s="1906">
        <f t="shared" si="1008"/>
        <v>0</v>
      </c>
      <c r="CW1083" s="1906">
        <f t="shared" si="1008"/>
        <v>0</v>
      </c>
      <c r="CX1083" s="1906">
        <f t="shared" si="1008"/>
        <v>0</v>
      </c>
      <c r="CY1083" s="1906">
        <f t="shared" si="1008"/>
        <v>0</v>
      </c>
      <c r="CZ1083" s="1906">
        <f t="shared" si="1008"/>
        <v>0</v>
      </c>
      <c r="DA1083" s="1906">
        <f t="shared" si="1008"/>
        <v>0</v>
      </c>
      <c r="DB1083" s="595" t="str">
        <f t="shared" si="1005"/>
        <v>Rg Ciclo Largo</v>
      </c>
      <c r="DC1083" s="1443">
        <f t="shared" si="1006"/>
        <v>0</v>
      </c>
      <c r="DD1083" s="107"/>
      <c r="DE1083" s="111" t="str">
        <f t="shared" si="1007"/>
        <v>Rg Ciclo Largo</v>
      </c>
      <c r="DF1083" s="1906">
        <f t="shared" si="992"/>
        <v>0</v>
      </c>
      <c r="DG1083" s="1906">
        <f t="shared" si="993"/>
        <v>0</v>
      </c>
      <c r="DH1083" s="1906">
        <f t="shared" si="994"/>
        <v>0</v>
      </c>
      <c r="DI1083" s="1906">
        <f t="shared" si="995"/>
        <v>0</v>
      </c>
      <c r="DJ1083" s="1906">
        <f t="shared" si="996"/>
        <v>0</v>
      </c>
      <c r="DK1083" s="1906">
        <f t="shared" si="997"/>
        <v>0</v>
      </c>
      <c r="DL1083" s="1906">
        <f t="shared" si="998"/>
        <v>0</v>
      </c>
      <c r="DM1083" s="1906">
        <f t="shared" si="999"/>
        <v>0</v>
      </c>
      <c r="DN1083" s="1906">
        <f t="shared" si="1000"/>
        <v>0</v>
      </c>
      <c r="DO1083" s="1906">
        <f t="shared" si="1001"/>
        <v>0</v>
      </c>
      <c r="DP1083" s="1906">
        <f t="shared" si="1002"/>
        <v>0</v>
      </c>
      <c r="DQ1083" s="1906">
        <f t="shared" si="1003"/>
        <v>0</v>
      </c>
    </row>
    <row r="1084" spans="1:121" x14ac:dyDescent="0.2">
      <c r="A1084" s="6"/>
      <c r="C1084" s="1906" t="str">
        <f t="shared" si="904"/>
        <v/>
      </c>
      <c r="D1084" s="1906" t="str">
        <f t="shared" si="905"/>
        <v/>
      </c>
      <c r="E1084" s="1906" t="str">
        <f t="shared" si="906"/>
        <v/>
      </c>
      <c r="F1084" s="1906" t="str">
        <f t="shared" si="907"/>
        <v/>
      </c>
      <c r="G1084" s="1906" t="str">
        <f t="shared" si="908"/>
        <v/>
      </c>
      <c r="H1084" s="1906" t="str">
        <f t="shared" si="909"/>
        <v/>
      </c>
      <c r="I1084" s="1906" t="str">
        <f t="shared" si="910"/>
        <v/>
      </c>
      <c r="J1084" s="1906" t="str">
        <f t="shared" si="911"/>
        <v/>
      </c>
      <c r="K1084" s="1906" t="str">
        <f t="shared" si="912"/>
        <v/>
      </c>
      <c r="L1084" s="1906" t="str">
        <f t="shared" si="913"/>
        <v/>
      </c>
      <c r="M1084" s="1906" t="str">
        <f t="shared" si="914"/>
        <v/>
      </c>
      <c r="N1084" s="1906" t="str">
        <f t="shared" si="915"/>
        <v/>
      </c>
      <c r="P1084" s="1906">
        <f t="shared" si="916"/>
        <v>0</v>
      </c>
      <c r="Q1084" s="1906">
        <f t="shared" si="917"/>
        <v>0</v>
      </c>
      <c r="R1084" s="1906">
        <f t="shared" si="918"/>
        <v>0</v>
      </c>
      <c r="S1084" s="1906">
        <f t="shared" si="919"/>
        <v>0</v>
      </c>
      <c r="T1084" s="1906">
        <f t="shared" si="920"/>
        <v>0</v>
      </c>
      <c r="U1084" s="1906">
        <f t="shared" si="921"/>
        <v>0</v>
      </c>
      <c r="V1084" s="1906">
        <f t="shared" si="922"/>
        <v>0</v>
      </c>
      <c r="W1084" s="1906">
        <f t="shared" si="923"/>
        <v>0</v>
      </c>
      <c r="X1084" s="1906">
        <f t="shared" si="924"/>
        <v>0</v>
      </c>
      <c r="Y1084" s="1906">
        <f t="shared" si="925"/>
        <v>0</v>
      </c>
      <c r="Z1084" s="1906">
        <f t="shared" si="926"/>
        <v>0</v>
      </c>
      <c r="AA1084" s="1906">
        <f t="shared" si="927"/>
        <v>0</v>
      </c>
      <c r="AC1084" s="1906"/>
      <c r="AD1084" s="1906">
        <f t="shared" si="928"/>
        <v>0</v>
      </c>
      <c r="AE1084" s="1906">
        <f t="shared" si="929"/>
        <v>0</v>
      </c>
      <c r="AF1084" s="1906">
        <f t="shared" si="930"/>
        <v>0</v>
      </c>
      <c r="AG1084" s="1906">
        <f t="shared" si="931"/>
        <v>0</v>
      </c>
      <c r="AH1084" s="1906">
        <f t="shared" si="932"/>
        <v>0</v>
      </c>
      <c r="AI1084" s="1906">
        <f t="shared" si="933"/>
        <v>0</v>
      </c>
      <c r="AJ1084" s="1906">
        <f t="shared" si="934"/>
        <v>0</v>
      </c>
      <c r="AK1084" s="1906">
        <f t="shared" si="935"/>
        <v>0</v>
      </c>
      <c r="AL1084" s="1906">
        <f t="shared" si="936"/>
        <v>0</v>
      </c>
      <c r="AM1084" s="1906">
        <f t="shared" si="937"/>
        <v>0</v>
      </c>
      <c r="AN1084" s="1906">
        <f t="shared" si="938"/>
        <v>0</v>
      </c>
      <c r="AP1084" s="1906">
        <f t="shared" si="939"/>
        <v>0</v>
      </c>
      <c r="AQ1084" s="1906">
        <f t="shared" si="940"/>
        <v>0</v>
      </c>
      <c r="AR1084" s="1906">
        <f t="shared" si="941"/>
        <v>0</v>
      </c>
      <c r="AS1084" s="1906">
        <f t="shared" si="942"/>
        <v>0</v>
      </c>
      <c r="AT1084" s="1906">
        <f t="shared" si="943"/>
        <v>0</v>
      </c>
      <c r="AU1084" s="1906">
        <f t="shared" si="944"/>
        <v>0</v>
      </c>
      <c r="AV1084" s="1906">
        <f t="shared" si="945"/>
        <v>0</v>
      </c>
      <c r="AW1084" s="1906">
        <f t="shared" si="946"/>
        <v>0</v>
      </c>
      <c r="AX1084" s="1906">
        <f t="shared" si="947"/>
        <v>0</v>
      </c>
      <c r="AY1084" s="1906">
        <f t="shared" si="948"/>
        <v>0</v>
      </c>
      <c r="AZ1084" s="1906">
        <f t="shared" si="949"/>
        <v>0</v>
      </c>
      <c r="BA1084" s="1906">
        <f t="shared" si="950"/>
        <v>0</v>
      </c>
      <c r="BC1084" s="1906">
        <f t="shared" si="951"/>
        <v>0</v>
      </c>
      <c r="BD1084" s="1906">
        <f t="shared" si="952"/>
        <v>0</v>
      </c>
      <c r="BE1084" s="1906">
        <f t="shared" si="953"/>
        <v>0</v>
      </c>
      <c r="BF1084" s="1906">
        <f t="shared" si="954"/>
        <v>0</v>
      </c>
      <c r="BG1084" s="1906">
        <f t="shared" si="955"/>
        <v>0</v>
      </c>
      <c r="BH1084" s="1906">
        <f t="shared" si="956"/>
        <v>0</v>
      </c>
      <c r="BI1084" s="1906">
        <f t="shared" si="957"/>
        <v>0</v>
      </c>
      <c r="BJ1084" s="1906">
        <f t="shared" si="958"/>
        <v>0</v>
      </c>
      <c r="BK1084" s="1906">
        <f t="shared" si="959"/>
        <v>0</v>
      </c>
      <c r="BL1084" s="1906">
        <f t="shared" si="960"/>
        <v>0</v>
      </c>
      <c r="BM1084" s="1906">
        <f t="shared" si="961"/>
        <v>0</v>
      </c>
      <c r="BN1084" s="1906">
        <f t="shared" si="962"/>
        <v>0</v>
      </c>
      <c r="BP1084" s="1906">
        <f t="shared" si="963"/>
        <v>0</v>
      </c>
      <c r="BQ1084" s="1906">
        <f t="shared" si="964"/>
        <v>0</v>
      </c>
      <c r="BR1084" s="1906">
        <f t="shared" si="965"/>
        <v>0</v>
      </c>
      <c r="BS1084" s="1906">
        <f t="shared" si="966"/>
        <v>0</v>
      </c>
      <c r="BT1084" s="1906">
        <f t="shared" si="967"/>
        <v>0</v>
      </c>
      <c r="BU1084" s="1906">
        <f t="shared" si="968"/>
        <v>0</v>
      </c>
      <c r="BV1084" s="1906">
        <f t="shared" si="969"/>
        <v>0</v>
      </c>
      <c r="BW1084" s="1906">
        <f t="shared" si="970"/>
        <v>0</v>
      </c>
      <c r="BX1084" s="1906">
        <f t="shared" si="971"/>
        <v>0</v>
      </c>
      <c r="BY1084" s="1906">
        <f t="shared" si="972"/>
        <v>0</v>
      </c>
      <c r="BZ1084" s="1906">
        <f t="shared" si="973"/>
        <v>0</v>
      </c>
      <c r="CA1084" s="1906">
        <f t="shared" si="974"/>
        <v>0</v>
      </c>
      <c r="CC1084" s="1906">
        <f t="shared" si="975"/>
        <v>0</v>
      </c>
      <c r="CD1084" s="1906">
        <f t="shared" si="976"/>
        <v>0</v>
      </c>
      <c r="CE1084" s="1906">
        <f t="shared" si="977"/>
        <v>0</v>
      </c>
      <c r="CF1084" s="1906">
        <f t="shared" si="978"/>
        <v>0</v>
      </c>
      <c r="CG1084" s="1906">
        <f t="shared" si="979"/>
        <v>0</v>
      </c>
      <c r="CH1084" s="1906">
        <f t="shared" si="980"/>
        <v>0</v>
      </c>
      <c r="CI1084" s="1906">
        <f t="shared" si="981"/>
        <v>0</v>
      </c>
      <c r="CJ1084" s="1906">
        <f t="shared" si="982"/>
        <v>0</v>
      </c>
      <c r="CK1084" s="1906">
        <f t="shared" si="983"/>
        <v>0</v>
      </c>
      <c r="CL1084" s="1906">
        <f t="shared" si="984"/>
        <v>0</v>
      </c>
      <c r="CM1084" s="1906">
        <f t="shared" si="985"/>
        <v>0</v>
      </c>
      <c r="CN1084" s="1906">
        <f t="shared" si="986"/>
        <v>0</v>
      </c>
      <c r="CO1084" s="6" t="str">
        <f t="shared" si="987"/>
        <v>Trigo pastoreo</v>
      </c>
      <c r="CP1084" s="1906">
        <f t="shared" si="1004"/>
        <v>0</v>
      </c>
      <c r="CQ1084" s="1906">
        <f t="shared" si="988"/>
        <v>0</v>
      </c>
      <c r="CR1084" s="1906">
        <f t="shared" si="989"/>
        <v>0</v>
      </c>
      <c r="CS1084" s="1906">
        <f t="shared" si="990"/>
        <v>0</v>
      </c>
      <c r="CT1084" s="1906">
        <f t="shared" si="1008"/>
        <v>0</v>
      </c>
      <c r="CU1084" s="1906">
        <f t="shared" si="1008"/>
        <v>0</v>
      </c>
      <c r="CV1084" s="1906">
        <f t="shared" si="1008"/>
        <v>0</v>
      </c>
      <c r="CW1084" s="1906">
        <f t="shared" si="1008"/>
        <v>0</v>
      </c>
      <c r="CX1084" s="1906">
        <f t="shared" si="1008"/>
        <v>0</v>
      </c>
      <c r="CY1084" s="1906">
        <f t="shared" si="1008"/>
        <v>0</v>
      </c>
      <c r="CZ1084" s="1906">
        <f t="shared" si="1008"/>
        <v>0</v>
      </c>
      <c r="DA1084" s="1906">
        <f t="shared" si="1008"/>
        <v>0</v>
      </c>
      <c r="DB1084" s="595" t="str">
        <f t="shared" si="1005"/>
        <v>Trigo pastoreo</v>
      </c>
      <c r="DC1084" s="1443">
        <f t="shared" si="1006"/>
        <v>0</v>
      </c>
      <c r="DD1084" s="107"/>
      <c r="DE1084" s="111" t="str">
        <f t="shared" si="1007"/>
        <v>Trigo pastoreo</v>
      </c>
      <c r="DF1084" s="1906">
        <f t="shared" si="992"/>
        <v>0</v>
      </c>
      <c r="DG1084" s="1906">
        <f t="shared" si="993"/>
        <v>0</v>
      </c>
      <c r="DH1084" s="1906">
        <f t="shared" si="994"/>
        <v>0</v>
      </c>
      <c r="DI1084" s="1906">
        <f t="shared" si="995"/>
        <v>0</v>
      </c>
      <c r="DJ1084" s="1906">
        <f t="shared" si="996"/>
        <v>0</v>
      </c>
      <c r="DK1084" s="1906">
        <f t="shared" si="997"/>
        <v>0</v>
      </c>
      <c r="DL1084" s="1906">
        <f t="shared" si="998"/>
        <v>0</v>
      </c>
      <c r="DM1084" s="1906">
        <f t="shared" si="999"/>
        <v>0</v>
      </c>
      <c r="DN1084" s="1906">
        <f t="shared" si="1000"/>
        <v>0</v>
      </c>
      <c r="DO1084" s="1906">
        <f t="shared" si="1001"/>
        <v>0</v>
      </c>
      <c r="DP1084" s="1906">
        <f t="shared" si="1002"/>
        <v>0</v>
      </c>
      <c r="DQ1084" s="1906">
        <f t="shared" si="1003"/>
        <v>0</v>
      </c>
    </row>
    <row r="1085" spans="1:121" x14ac:dyDescent="0.2">
      <c r="A1085" s="6"/>
      <c r="C1085" s="1906" t="str">
        <f t="shared" si="904"/>
        <v/>
      </c>
      <c r="D1085" s="1906" t="str">
        <f t="shared" si="905"/>
        <v/>
      </c>
      <c r="E1085" s="1906" t="str">
        <f t="shared" si="906"/>
        <v/>
      </c>
      <c r="F1085" s="1906" t="str">
        <f t="shared" si="907"/>
        <v/>
      </c>
      <c r="G1085" s="1906" t="str">
        <f t="shared" si="908"/>
        <v/>
      </c>
      <c r="H1085" s="1906" t="str">
        <f t="shared" si="909"/>
        <v/>
      </c>
      <c r="I1085" s="1906" t="str">
        <f t="shared" si="910"/>
        <v/>
      </c>
      <c r="J1085" s="1906" t="str">
        <f t="shared" si="911"/>
        <v/>
      </c>
      <c r="K1085" s="1906" t="str">
        <f t="shared" si="912"/>
        <v/>
      </c>
      <c r="L1085" s="1906" t="str">
        <f t="shared" si="913"/>
        <v/>
      </c>
      <c r="M1085" s="1906" t="str">
        <f t="shared" si="914"/>
        <v/>
      </c>
      <c r="N1085" s="1906" t="str">
        <f t="shared" si="915"/>
        <v/>
      </c>
      <c r="P1085" s="1906">
        <f t="shared" si="916"/>
        <v>0</v>
      </c>
      <c r="Q1085" s="1906">
        <f t="shared" si="917"/>
        <v>0</v>
      </c>
      <c r="R1085" s="1906">
        <f t="shared" si="918"/>
        <v>0</v>
      </c>
      <c r="S1085" s="1906">
        <f t="shared" si="919"/>
        <v>0</v>
      </c>
      <c r="T1085" s="1906">
        <f t="shared" si="920"/>
        <v>0</v>
      </c>
      <c r="U1085" s="1906">
        <f t="shared" si="921"/>
        <v>0</v>
      </c>
      <c r="V1085" s="1906">
        <f t="shared" si="922"/>
        <v>0</v>
      </c>
      <c r="W1085" s="1906">
        <f t="shared" si="923"/>
        <v>0</v>
      </c>
      <c r="X1085" s="1906">
        <f t="shared" si="924"/>
        <v>0</v>
      </c>
      <c r="Y1085" s="1906">
        <f t="shared" si="925"/>
        <v>0</v>
      </c>
      <c r="Z1085" s="1906">
        <f t="shared" si="926"/>
        <v>0</v>
      </c>
      <c r="AA1085" s="1906">
        <f t="shared" si="927"/>
        <v>0</v>
      </c>
      <c r="AC1085" s="1906"/>
      <c r="AD1085" s="1906">
        <f t="shared" si="928"/>
        <v>0</v>
      </c>
      <c r="AE1085" s="1906">
        <f t="shared" si="929"/>
        <v>0</v>
      </c>
      <c r="AF1085" s="1906">
        <f t="shared" si="930"/>
        <v>0</v>
      </c>
      <c r="AG1085" s="1906">
        <f t="shared" si="931"/>
        <v>0</v>
      </c>
      <c r="AH1085" s="1906">
        <f t="shared" si="932"/>
        <v>0</v>
      </c>
      <c r="AI1085" s="1906">
        <f t="shared" si="933"/>
        <v>0</v>
      </c>
      <c r="AJ1085" s="1906">
        <f t="shared" si="934"/>
        <v>0</v>
      </c>
      <c r="AK1085" s="1906">
        <f t="shared" si="935"/>
        <v>0</v>
      </c>
      <c r="AL1085" s="1906">
        <f t="shared" si="936"/>
        <v>0</v>
      </c>
      <c r="AM1085" s="1906">
        <f t="shared" si="937"/>
        <v>0</v>
      </c>
      <c r="AN1085" s="1906">
        <f t="shared" si="938"/>
        <v>0</v>
      </c>
      <c r="AP1085" s="1906">
        <f t="shared" si="939"/>
        <v>0</v>
      </c>
      <c r="AQ1085" s="1906">
        <f t="shared" si="940"/>
        <v>0</v>
      </c>
      <c r="AR1085" s="1906">
        <f t="shared" si="941"/>
        <v>0</v>
      </c>
      <c r="AS1085" s="1906">
        <f t="shared" si="942"/>
        <v>0</v>
      </c>
      <c r="AT1085" s="1906">
        <f t="shared" si="943"/>
        <v>0</v>
      </c>
      <c r="AU1085" s="1906">
        <f t="shared" si="944"/>
        <v>0</v>
      </c>
      <c r="AV1085" s="1906">
        <f t="shared" si="945"/>
        <v>0</v>
      </c>
      <c r="AW1085" s="1906">
        <f t="shared" si="946"/>
        <v>0</v>
      </c>
      <c r="AX1085" s="1906">
        <f t="shared" si="947"/>
        <v>0</v>
      </c>
      <c r="AY1085" s="1906">
        <f t="shared" si="948"/>
        <v>0</v>
      </c>
      <c r="AZ1085" s="1906">
        <f t="shared" si="949"/>
        <v>0</v>
      </c>
      <c r="BA1085" s="1906">
        <f t="shared" si="950"/>
        <v>0</v>
      </c>
      <c r="BC1085" s="1906">
        <f t="shared" si="951"/>
        <v>0</v>
      </c>
      <c r="BD1085" s="1906">
        <f t="shared" si="952"/>
        <v>0</v>
      </c>
      <c r="BE1085" s="1906">
        <f t="shared" si="953"/>
        <v>0</v>
      </c>
      <c r="BF1085" s="1906">
        <f t="shared" si="954"/>
        <v>0</v>
      </c>
      <c r="BG1085" s="1906">
        <f t="shared" si="955"/>
        <v>0</v>
      </c>
      <c r="BH1085" s="1906">
        <f t="shared" si="956"/>
        <v>0</v>
      </c>
      <c r="BI1085" s="1906">
        <f t="shared" si="957"/>
        <v>0</v>
      </c>
      <c r="BJ1085" s="1906">
        <f t="shared" si="958"/>
        <v>0</v>
      </c>
      <c r="BK1085" s="1906">
        <f t="shared" si="959"/>
        <v>0</v>
      </c>
      <c r="BL1085" s="1906">
        <f t="shared" si="960"/>
        <v>0</v>
      </c>
      <c r="BM1085" s="1906">
        <f t="shared" si="961"/>
        <v>0</v>
      </c>
      <c r="BN1085" s="1906">
        <f t="shared" si="962"/>
        <v>0</v>
      </c>
      <c r="BP1085" s="1906">
        <f t="shared" si="963"/>
        <v>0</v>
      </c>
      <c r="BQ1085" s="1906">
        <f t="shared" si="964"/>
        <v>0</v>
      </c>
      <c r="BR1085" s="1906">
        <f t="shared" si="965"/>
        <v>0</v>
      </c>
      <c r="BS1085" s="1906">
        <f t="shared" si="966"/>
        <v>0</v>
      </c>
      <c r="BT1085" s="1906">
        <f t="shared" si="967"/>
        <v>0</v>
      </c>
      <c r="BU1085" s="1906">
        <f t="shared" si="968"/>
        <v>0</v>
      </c>
      <c r="BV1085" s="1906">
        <f t="shared" si="969"/>
        <v>0</v>
      </c>
      <c r="BW1085" s="1906">
        <f t="shared" si="970"/>
        <v>0</v>
      </c>
      <c r="BX1085" s="1906">
        <f t="shared" si="971"/>
        <v>0</v>
      </c>
      <c r="BY1085" s="1906">
        <f t="shared" si="972"/>
        <v>0</v>
      </c>
      <c r="BZ1085" s="1906">
        <f t="shared" si="973"/>
        <v>0</v>
      </c>
      <c r="CA1085" s="1906">
        <f t="shared" si="974"/>
        <v>0</v>
      </c>
      <c r="CC1085" s="1906">
        <f t="shared" si="975"/>
        <v>0</v>
      </c>
      <c r="CD1085" s="1906">
        <f t="shared" si="976"/>
        <v>0</v>
      </c>
      <c r="CE1085" s="1906">
        <f t="shared" si="977"/>
        <v>0</v>
      </c>
      <c r="CF1085" s="1906">
        <f t="shared" si="978"/>
        <v>0</v>
      </c>
      <c r="CG1085" s="1906">
        <f t="shared" si="979"/>
        <v>0</v>
      </c>
      <c r="CH1085" s="1906">
        <f t="shared" si="980"/>
        <v>0</v>
      </c>
      <c r="CI1085" s="1906">
        <f t="shared" si="981"/>
        <v>0</v>
      </c>
      <c r="CJ1085" s="1906">
        <f t="shared" si="982"/>
        <v>0</v>
      </c>
      <c r="CK1085" s="1906">
        <f t="shared" si="983"/>
        <v>0</v>
      </c>
      <c r="CL1085" s="1906">
        <f t="shared" si="984"/>
        <v>0</v>
      </c>
      <c r="CM1085" s="1906">
        <f t="shared" si="985"/>
        <v>0</v>
      </c>
      <c r="CN1085" s="1906">
        <f t="shared" si="986"/>
        <v>0</v>
      </c>
      <c r="CO1085" s="6" t="str">
        <f t="shared" si="987"/>
        <v>Cebada pastoreo</v>
      </c>
      <c r="CP1085" s="1906">
        <f t="shared" si="1004"/>
        <v>0</v>
      </c>
      <c r="CQ1085" s="1906">
        <f t="shared" si="988"/>
        <v>0</v>
      </c>
      <c r="CR1085" s="1906">
        <f t="shared" si="989"/>
        <v>0</v>
      </c>
      <c r="CS1085" s="1906">
        <f t="shared" si="990"/>
        <v>0</v>
      </c>
      <c r="CT1085" s="1906">
        <f t="shared" si="1008"/>
        <v>0</v>
      </c>
      <c r="CU1085" s="1906">
        <f t="shared" si="1008"/>
        <v>0</v>
      </c>
      <c r="CV1085" s="1906">
        <f t="shared" si="1008"/>
        <v>0</v>
      </c>
      <c r="CW1085" s="1906">
        <f t="shared" si="1008"/>
        <v>0</v>
      </c>
      <c r="CX1085" s="1906">
        <f t="shared" si="1008"/>
        <v>0</v>
      </c>
      <c r="CY1085" s="1906">
        <f t="shared" si="1008"/>
        <v>0</v>
      </c>
      <c r="CZ1085" s="1906">
        <f t="shared" si="1008"/>
        <v>0</v>
      </c>
      <c r="DA1085" s="1906">
        <f t="shared" si="1008"/>
        <v>0</v>
      </c>
      <c r="DB1085" s="595" t="str">
        <f t="shared" si="1005"/>
        <v>Cebada pastoreo</v>
      </c>
      <c r="DC1085" s="1443">
        <f t="shared" si="1006"/>
        <v>0</v>
      </c>
      <c r="DD1085" s="107"/>
      <c r="DE1085" s="111" t="str">
        <f t="shared" si="1007"/>
        <v>Cebada pastoreo</v>
      </c>
      <c r="DF1085" s="1906">
        <f t="shared" si="992"/>
        <v>0</v>
      </c>
      <c r="DG1085" s="1906">
        <f t="shared" si="993"/>
        <v>0</v>
      </c>
      <c r="DH1085" s="1906">
        <f t="shared" si="994"/>
        <v>0</v>
      </c>
      <c r="DI1085" s="1906">
        <f t="shared" si="995"/>
        <v>0</v>
      </c>
      <c r="DJ1085" s="1906">
        <f t="shared" si="996"/>
        <v>0</v>
      </c>
      <c r="DK1085" s="1906">
        <f t="shared" si="997"/>
        <v>0</v>
      </c>
      <c r="DL1085" s="1906">
        <f t="shared" si="998"/>
        <v>0</v>
      </c>
      <c r="DM1085" s="1906">
        <f t="shared" si="999"/>
        <v>0</v>
      </c>
      <c r="DN1085" s="1906">
        <f t="shared" si="1000"/>
        <v>0</v>
      </c>
      <c r="DO1085" s="1906">
        <f t="shared" si="1001"/>
        <v>0</v>
      </c>
      <c r="DP1085" s="1906">
        <f t="shared" si="1002"/>
        <v>0</v>
      </c>
      <c r="DQ1085" s="1906">
        <f t="shared" si="1003"/>
        <v>0</v>
      </c>
    </row>
    <row r="1086" spans="1:121" x14ac:dyDescent="0.2">
      <c r="A1086" s="6"/>
      <c r="C1086" s="1906" t="str">
        <f t="shared" ref="C1086:C1117" si="1009">IF(C1015=0,"",$C$982&amp;B1015)</f>
        <v/>
      </c>
      <c r="D1086" s="1906" t="str">
        <f t="shared" ref="D1086:D1117" si="1010">IF(D1015=0,"",$D$982&amp;B1015)</f>
        <v/>
      </c>
      <c r="E1086" s="1906" t="str">
        <f t="shared" ref="E1086:E1117" si="1011">IF(E1015=0,"",$E$982&amp;B1015)</f>
        <v/>
      </c>
      <c r="F1086" s="1906" t="str">
        <f t="shared" ref="F1086:F1117" si="1012">IF(F1015=0,"",$F$982&amp;B1015)</f>
        <v/>
      </c>
      <c r="G1086" s="1906" t="str">
        <f t="shared" ref="G1086:G1117" si="1013">IF(G1015=0,"",$G$982&amp;B1015)</f>
        <v/>
      </c>
      <c r="H1086" s="1906" t="str">
        <f t="shared" ref="H1086:H1117" si="1014">IF(H1015=0,"",$H$982&amp;B1015)</f>
        <v/>
      </c>
      <c r="I1086" s="1906" t="str">
        <f t="shared" ref="I1086:I1117" si="1015">IF(I1015=0,"",$I$982&amp;B1015)</f>
        <v/>
      </c>
      <c r="J1086" s="1906" t="str">
        <f t="shared" ref="J1086:J1117" si="1016">IF(J1015=0,"",$J$982&amp;B1015)</f>
        <v/>
      </c>
      <c r="K1086" s="1906" t="str">
        <f t="shared" ref="K1086:K1117" si="1017">IF(K1015=0,"",$K$982&amp;B1015)</f>
        <v/>
      </c>
      <c r="L1086" s="1906" t="str">
        <f t="shared" ref="L1086:L1117" si="1018">IF(L1015=0,"",$L$982&amp;B1015)</f>
        <v/>
      </c>
      <c r="M1086" s="1906" t="str">
        <f t="shared" ref="M1086:M1117" si="1019">IF(M1015=0,"",$M$982&amp;B1015)</f>
        <v/>
      </c>
      <c r="N1086" s="1906" t="str">
        <f t="shared" ref="N1086:N1117" si="1020">IF(N1015=0,"",$N$982&amp;B1015)</f>
        <v/>
      </c>
      <c r="P1086" s="1906">
        <f t="shared" ref="P1086:P1117" si="1021">SUMIF(C$1054:C$1120,"Ago"&amp;$B1015,C$983:C$1049)</f>
        <v>0</v>
      </c>
      <c r="Q1086" s="1906">
        <f t="shared" ref="Q1086:Q1117" si="1022">SUMIF(D$1054:D$1120,"Ago"&amp;$B1015,D$983:D$1049)</f>
        <v>0</v>
      </c>
      <c r="R1086" s="1906">
        <f t="shared" ref="R1086:R1117" si="1023">SUMIF(E$1054:E$1120,"Ago"&amp;$B1015,E$983:E$1049)</f>
        <v>0</v>
      </c>
      <c r="S1086" s="1906">
        <f t="shared" ref="S1086:S1117" si="1024">SUMIF(F$1054:F$1120,"Ago"&amp;$B1015,F$983:F$1049)</f>
        <v>0</v>
      </c>
      <c r="T1086" s="1906">
        <f t="shared" ref="T1086:T1117" si="1025">SUMIF(G$1054:G$1120,"Ago"&amp;$B1015,G$983:G$1049)</f>
        <v>0</v>
      </c>
      <c r="U1086" s="1906">
        <f t="shared" ref="U1086:U1117" si="1026">SUMIF(H$1054:H$1120,"Ago"&amp;$B1015,H$983:H$1049)</f>
        <v>0</v>
      </c>
      <c r="V1086" s="1906">
        <f t="shared" ref="V1086:V1117" si="1027">SUMIF(I$1054:I$1120,"Ago"&amp;$B1015,I$983:I$1049)</f>
        <v>0</v>
      </c>
      <c r="W1086" s="1906">
        <f t="shared" ref="W1086:W1117" si="1028">SUMIF(J$1054:J$1120,"Ago"&amp;$B1015,J$983:J$1049)</f>
        <v>0</v>
      </c>
      <c r="X1086" s="1906">
        <f t="shared" ref="X1086:X1117" si="1029">SUMIF(K$1054:K$1120,"Ago"&amp;$B1015,K$983:K$1049)</f>
        <v>0</v>
      </c>
      <c r="Y1086" s="1906">
        <f t="shared" ref="Y1086:Y1117" si="1030">SUMIF(L$1054:L$1120,"Ago"&amp;$B1015,L$983:L$1049)</f>
        <v>0</v>
      </c>
      <c r="Z1086" s="1906">
        <f t="shared" ref="Z1086:Z1117" si="1031">SUMIF(M$1054:M$1120,"Ago"&amp;$B1015,M$983:M$1049)</f>
        <v>0</v>
      </c>
      <c r="AA1086" s="1906">
        <f t="shared" ref="AA1086:AA1117" si="1032">SUMIF(N$1054:N$1120,"Ago"&amp;$B1015,N$983:N$1049)</f>
        <v>0</v>
      </c>
      <c r="AC1086" s="1906"/>
      <c r="AD1086" s="1906">
        <f t="shared" ref="AD1086:AD1117" si="1033">SUMIF(D$1054:D$1120,"set"&amp;$B1015,D$983:D$1049)</f>
        <v>0</v>
      </c>
      <c r="AE1086" s="1906">
        <f t="shared" ref="AE1086:AE1117" si="1034">SUMIF(E$1054:E$1120,"set"&amp;$B1015,E$983:E$1049)</f>
        <v>0</v>
      </c>
      <c r="AF1086" s="1906">
        <f t="shared" ref="AF1086:AF1117" si="1035">SUMIF(F$1054:F$1120,"set"&amp;$B1015,F$983:F$1049)</f>
        <v>0</v>
      </c>
      <c r="AG1086" s="1906">
        <f t="shared" ref="AG1086:AG1117" si="1036">SUMIF(G$1054:G$1120,"set"&amp;$B1015,G$983:G$1049)</f>
        <v>0</v>
      </c>
      <c r="AH1086" s="1906">
        <f t="shared" ref="AH1086:AH1117" si="1037">SUMIF(H$1054:H$1120,"set"&amp;$B1015,H$983:H$1049)</f>
        <v>0</v>
      </c>
      <c r="AI1086" s="1906">
        <f t="shared" ref="AI1086:AI1117" si="1038">SUMIF(I$1054:I$1120,"set"&amp;$B1015,I$983:I$1049)</f>
        <v>0</v>
      </c>
      <c r="AJ1086" s="1906">
        <f t="shared" ref="AJ1086:AJ1117" si="1039">SUMIF(J$1054:J$1120,"set"&amp;$B1015,J$983:J$1049)</f>
        <v>0</v>
      </c>
      <c r="AK1086" s="1906">
        <f t="shared" ref="AK1086:AK1117" si="1040">SUMIF(K$1054:K$1120,"set"&amp;$B1015,K$983:K$1049)</f>
        <v>0</v>
      </c>
      <c r="AL1086" s="1906">
        <f t="shared" ref="AL1086:AL1117" si="1041">SUMIF(L$1054:L$1120,"set"&amp;$B1015,L$983:L$1049)</f>
        <v>0</v>
      </c>
      <c r="AM1086" s="1906">
        <f t="shared" ref="AM1086:AM1117" si="1042">SUMIF(M$1054:M$1120,"set"&amp;$B1015,M$983:M$1049)</f>
        <v>0</v>
      </c>
      <c r="AN1086" s="1906">
        <f t="shared" ref="AN1086:AN1117" si="1043">SUMIF(N$1054:N$1120,"set"&amp;$B1015,N$983:N$1049)</f>
        <v>0</v>
      </c>
      <c r="AP1086" s="1906">
        <f t="shared" ref="AP1086:AP1117" si="1044">SUMIF(C$1054:C$1120,"oct"&amp;$B1015,C$983:C$1049)</f>
        <v>0</v>
      </c>
      <c r="AQ1086" s="1906">
        <f t="shared" ref="AQ1086:AQ1117" si="1045">SUMIF(D$1054:D$1120,"oct"&amp;$B1015,D$983:D$1049)</f>
        <v>0</v>
      </c>
      <c r="AR1086" s="1906">
        <f t="shared" ref="AR1086:AR1117" si="1046">SUMIF(E$1054:E$1120,"oct"&amp;$B1015,E$983:E$1049)</f>
        <v>0</v>
      </c>
      <c r="AS1086" s="1906">
        <f t="shared" ref="AS1086:AS1117" si="1047">SUMIF(F$1054:F$1120,"oct"&amp;$B1015,F$983:F$1049)</f>
        <v>0</v>
      </c>
      <c r="AT1086" s="1906">
        <f t="shared" ref="AT1086:AT1117" si="1048">SUMIF(G$1054:G$1120,"oct"&amp;$B1015,G$983:G$1049)</f>
        <v>0</v>
      </c>
      <c r="AU1086" s="1906">
        <f t="shared" ref="AU1086:AU1117" si="1049">SUMIF(H$1054:H$1120,"oct"&amp;$B1015,H$983:H$1049)</f>
        <v>0</v>
      </c>
      <c r="AV1086" s="1906">
        <f t="shared" ref="AV1086:AV1117" si="1050">SUMIF(I$1054:I$1120,"oct"&amp;$B1015,I$983:I$1049)</f>
        <v>0</v>
      </c>
      <c r="AW1086" s="1906">
        <f t="shared" ref="AW1086:AW1117" si="1051">SUMIF(J$1054:J$1120,"oct"&amp;$B1015,J$983:J$1049)</f>
        <v>0</v>
      </c>
      <c r="AX1086" s="1906">
        <f t="shared" ref="AX1086:AX1117" si="1052">SUMIF(K$1054:K$1120,"oct"&amp;$B1015,K$983:K$1049)</f>
        <v>0</v>
      </c>
      <c r="AY1086" s="1906">
        <f t="shared" ref="AY1086:AY1117" si="1053">SUMIF(L$1054:L$1120,"oct"&amp;$B1015,L$983:L$1049)</f>
        <v>0</v>
      </c>
      <c r="AZ1086" s="1906">
        <f t="shared" ref="AZ1086:AZ1117" si="1054">SUMIF(M$1054:M$1120,"oct"&amp;$B1015,M$983:M$1049)</f>
        <v>0</v>
      </c>
      <c r="BA1086" s="1906">
        <f t="shared" ref="BA1086:BA1117" si="1055">SUMIF(N$1054:N$1120,"oct"&amp;$B1015,N$983:N$1049)</f>
        <v>0</v>
      </c>
      <c r="BC1086" s="1906">
        <f t="shared" ref="BC1086:BC1117" si="1056">SUMIF(C$1054:C$1120,"nov"&amp;$B1015,C$983:C$1049)</f>
        <v>0</v>
      </c>
      <c r="BD1086" s="1906">
        <f t="shared" ref="BD1086:BD1117" si="1057">SUMIF(D$1054:D$1120,"nov"&amp;$B1015,D$983:D$1049)</f>
        <v>0</v>
      </c>
      <c r="BE1086" s="1906">
        <f t="shared" ref="BE1086:BE1117" si="1058">SUMIF(E$1054:E$1120,"nov"&amp;$B1015,E$983:E$1049)</f>
        <v>0</v>
      </c>
      <c r="BF1086" s="1906">
        <f t="shared" ref="BF1086:BF1117" si="1059">SUMIF(F$1054:F$1120,"nov"&amp;$B1015,F$983:F$1049)</f>
        <v>0</v>
      </c>
      <c r="BG1086" s="1906">
        <f t="shared" ref="BG1086:BG1117" si="1060">SUMIF(G$1054:G$1120,"nov"&amp;$B1015,G$983:G$1049)</f>
        <v>0</v>
      </c>
      <c r="BH1086" s="1906">
        <f t="shared" ref="BH1086:BH1117" si="1061">SUMIF(H$1054:H$1120,"nov"&amp;$B1015,H$983:H$1049)</f>
        <v>0</v>
      </c>
      <c r="BI1086" s="1906">
        <f t="shared" ref="BI1086:BI1117" si="1062">SUMIF(I$1054:I$1120,"nov"&amp;$B1015,I$983:I$1049)</f>
        <v>0</v>
      </c>
      <c r="BJ1086" s="1906">
        <f t="shared" ref="BJ1086:BJ1117" si="1063">SUMIF(J$1054:J$1120,"nov"&amp;$B1015,J$983:J$1049)</f>
        <v>0</v>
      </c>
      <c r="BK1086" s="1906">
        <f t="shared" ref="BK1086:BK1117" si="1064">SUMIF(K$1054:K$1120,"nov"&amp;$B1015,K$983:K$1049)</f>
        <v>0</v>
      </c>
      <c r="BL1086" s="1906">
        <f t="shared" ref="BL1086:BL1117" si="1065">SUMIF(L$1054:L$1120,"nov"&amp;$B1015,L$983:L$1049)</f>
        <v>0</v>
      </c>
      <c r="BM1086" s="1906">
        <f t="shared" ref="BM1086:BM1117" si="1066">SUMIF(M$1054:M$1120,"nov"&amp;$B1015,M$983:M$1049)</f>
        <v>0</v>
      </c>
      <c r="BN1086" s="1906">
        <f t="shared" ref="BN1086:BN1117" si="1067">SUMIF(N$1054:N$1120,"nov"&amp;$B1015,N$983:N$1049)</f>
        <v>0</v>
      </c>
      <c r="BP1086" s="1906">
        <f t="shared" ref="BP1086:BP1117" si="1068">SUMIF(C$1054:C$1120,"dic"&amp;$B1015,C$983:C$1049)</f>
        <v>0</v>
      </c>
      <c r="BQ1086" s="1906">
        <f t="shared" ref="BQ1086:BQ1117" si="1069">SUMIF(D$1054:D$1120,"dic"&amp;$B1015,D$983:D$1049)</f>
        <v>0</v>
      </c>
      <c r="BR1086" s="1906">
        <f t="shared" ref="BR1086:BR1117" si="1070">SUMIF(E$1054:E$1120,"dic"&amp;$B1015,E$983:E$1049)</f>
        <v>0</v>
      </c>
      <c r="BS1086" s="1906">
        <f t="shared" ref="BS1086:BS1117" si="1071">SUMIF(F$1054:F$1120,"dic"&amp;$B1015,F$983:F$1049)</f>
        <v>0</v>
      </c>
      <c r="BT1086" s="1906">
        <f t="shared" ref="BT1086:BT1117" si="1072">SUMIF(G$1054:G$1120,"dic"&amp;$B1015,G$983:G$1049)</f>
        <v>0</v>
      </c>
      <c r="BU1086" s="1906">
        <f t="shared" ref="BU1086:BU1117" si="1073">SUMIF(H$1054:H$1120,"dic"&amp;$B1015,H$983:H$1049)</f>
        <v>0</v>
      </c>
      <c r="BV1086" s="1906">
        <f t="shared" ref="BV1086:BV1117" si="1074">SUMIF(I$1054:I$1120,"dic"&amp;$B1015,I$983:I$1049)</f>
        <v>0</v>
      </c>
      <c r="BW1086" s="1906">
        <f t="shared" ref="BW1086:BW1117" si="1075">SUMIF(J$1054:J$1120,"dic"&amp;$B1015,J$983:J$1049)</f>
        <v>0</v>
      </c>
      <c r="BX1086" s="1906">
        <f t="shared" ref="BX1086:BX1117" si="1076">SUMIF(K$1054:K$1120,"dic"&amp;$B1015,K$983:K$1049)</f>
        <v>0</v>
      </c>
      <c r="BY1086" s="1906">
        <f t="shared" ref="BY1086:BY1117" si="1077">SUMIF(L$1054:L$1120,"dic"&amp;$B1015,L$983:L$1049)</f>
        <v>0</v>
      </c>
      <c r="BZ1086" s="1906">
        <f t="shared" ref="BZ1086:BZ1117" si="1078">SUMIF(M$1054:M$1120,"dic"&amp;$B1015,M$983:M$1049)</f>
        <v>0</v>
      </c>
      <c r="CA1086" s="1906">
        <f t="shared" ref="CA1086:CA1117" si="1079">SUMIF(N$1054:N$1120,"dic"&amp;$B1015,N$983:N$1049)</f>
        <v>0</v>
      </c>
      <c r="CC1086" s="1906">
        <f t="shared" ref="CC1086:CC1117" si="1080">SUMIF(C$1054:C$1120,"ene"&amp;$B1015,C$983:C$1049)</f>
        <v>0</v>
      </c>
      <c r="CD1086" s="1906">
        <f t="shared" ref="CD1086:CD1117" si="1081">SUMIF(D$1054:D$1120,"ene"&amp;$B1015,D$983:D$1049)</f>
        <v>0</v>
      </c>
      <c r="CE1086" s="1906">
        <f t="shared" ref="CE1086:CE1117" si="1082">SUMIF(E$1054:E$1120,"ene"&amp;$B1015,E$983:E$1049)</f>
        <v>0</v>
      </c>
      <c r="CF1086" s="1906">
        <f t="shared" ref="CF1086:CF1117" si="1083">SUMIF(F$1054:F$1120,"ene"&amp;$B1015,F$983:F$1049)</f>
        <v>0</v>
      </c>
      <c r="CG1086" s="1906">
        <f t="shared" ref="CG1086:CG1117" si="1084">SUMIF(G$1054:G$1120,"ene"&amp;$B1015,G$983:G$1049)</f>
        <v>0</v>
      </c>
      <c r="CH1086" s="1906">
        <f t="shared" ref="CH1086:CH1117" si="1085">SUMIF(H$1054:H$1120,"ene"&amp;$B1015,H$983:H$1049)</f>
        <v>0</v>
      </c>
      <c r="CI1086" s="1906">
        <f t="shared" ref="CI1086:CI1117" si="1086">SUMIF(I$1054:I$1120,"ene"&amp;$B1015,I$983:I$1049)</f>
        <v>0</v>
      </c>
      <c r="CJ1086" s="1906">
        <f t="shared" ref="CJ1086:CJ1117" si="1087">SUMIF(J$1054:J$1120,"ene"&amp;$B1015,J$983:J$1049)</f>
        <v>0</v>
      </c>
      <c r="CK1086" s="1906">
        <f t="shared" ref="CK1086:CK1117" si="1088">SUMIF(K$1054:K$1120,"ene"&amp;$B1015,K$983:K$1049)</f>
        <v>0</v>
      </c>
      <c r="CL1086" s="1906">
        <f t="shared" ref="CL1086:CL1117" si="1089">SUMIF(L$1054:L$1120,"ene"&amp;$B1015,L$983:L$1049)</f>
        <v>0</v>
      </c>
      <c r="CM1086" s="1906">
        <f t="shared" ref="CM1086:CM1117" si="1090">SUMIF(M$1054:M$1120,"ene"&amp;$B1015,M$983:M$1049)</f>
        <v>0</v>
      </c>
      <c r="CN1086" s="1906">
        <f t="shared" ref="CN1086:CN1117" si="1091">SUMIF(N$1054:N$1120,"ene"&amp;$B1015,N$983:N$1049)</f>
        <v>0</v>
      </c>
      <c r="CO1086" s="6" t="str">
        <f t="shared" ref="CO1086:CO1117" si="1092">B1015</f>
        <v>InterS. Rg</v>
      </c>
      <c r="CP1086" s="1906">
        <f t="shared" ref="CP1086:CP1120" si="1093">+P1086+AC1086+AP1086+BC1086+BP1086+CC1086</f>
        <v>0</v>
      </c>
      <c r="CQ1086" s="1906">
        <f t="shared" ref="CQ1086:CQ1120" si="1094">+Q1086+AD1086+AQ1086+BD1086+BQ1086+CD1086</f>
        <v>0</v>
      </c>
      <c r="CR1086" s="1906">
        <f t="shared" ref="CR1086:CR1120" si="1095">+R1086+AE1086+AR1086+BE1086+BR1086+CE1086</f>
        <v>0</v>
      </c>
      <c r="CS1086" s="1906">
        <f t="shared" ref="CS1086:CS1120" si="1096">+S1086+AF1086+AS1086+BF1086+BS1086+CF1086</f>
        <v>0</v>
      </c>
      <c r="CT1086" s="1906">
        <f t="shared" si="1008"/>
        <v>0</v>
      </c>
      <c r="CU1086" s="1906">
        <f t="shared" si="1008"/>
        <v>0</v>
      </c>
      <c r="CV1086" s="1906">
        <f t="shared" si="1008"/>
        <v>0</v>
      </c>
      <c r="CW1086" s="1906">
        <f t="shared" si="1008"/>
        <v>0</v>
      </c>
      <c r="CX1086" s="1906">
        <f t="shared" si="1008"/>
        <v>0</v>
      </c>
      <c r="CY1086" s="1906">
        <f t="shared" si="1008"/>
        <v>0</v>
      </c>
      <c r="CZ1086" s="1906">
        <f t="shared" si="1008"/>
        <v>0</v>
      </c>
      <c r="DA1086" s="1906">
        <f t="shared" si="1008"/>
        <v>0</v>
      </c>
      <c r="DB1086" s="595" t="str">
        <f t="shared" si="1005"/>
        <v>InterS. Rg</v>
      </c>
      <c r="DC1086" s="1443">
        <f t="shared" si="1006"/>
        <v>0</v>
      </c>
      <c r="DD1086" s="107"/>
      <c r="DE1086" s="111" t="str">
        <f t="shared" si="1007"/>
        <v>InterS. Rg</v>
      </c>
      <c r="DF1086" s="1906">
        <f t="shared" ref="DF1086:DF1117" si="1097">CP1086+DC1233</f>
        <v>0</v>
      </c>
      <c r="DG1086" s="1906">
        <f t="shared" ref="DG1086:DG1117" si="1098">CQ1086+DD1233</f>
        <v>0</v>
      </c>
      <c r="DH1086" s="1906">
        <f t="shared" ref="DH1086:DH1117" si="1099">CR1086+DE1233</f>
        <v>0</v>
      </c>
      <c r="DI1086" s="1906">
        <f t="shared" ref="DI1086:DI1117" si="1100">CS1086+DF1233</f>
        <v>0</v>
      </c>
      <c r="DJ1086" s="1906">
        <f t="shared" ref="DJ1086:DJ1117" si="1101">CT1086+DG1233</f>
        <v>0</v>
      </c>
      <c r="DK1086" s="1906">
        <f t="shared" ref="DK1086:DK1117" si="1102">CU1086+DH1233</f>
        <v>0</v>
      </c>
      <c r="DL1086" s="1906">
        <f t="shared" ref="DL1086:DL1117" si="1103">CV1086+DI1233</f>
        <v>0</v>
      </c>
      <c r="DM1086" s="1906">
        <f t="shared" ref="DM1086:DM1117" si="1104">CW1086+DJ1233</f>
        <v>0</v>
      </c>
      <c r="DN1086" s="1906">
        <f t="shared" ref="DN1086:DN1117" si="1105">CX1086+DK1233</f>
        <v>0</v>
      </c>
      <c r="DO1086" s="1906">
        <f t="shared" ref="DO1086:DO1117" si="1106">CY1086+DL1233</f>
        <v>0</v>
      </c>
      <c r="DP1086" s="1906">
        <f t="shared" ref="DP1086:DP1117" si="1107">CZ1086+DM1233</f>
        <v>0</v>
      </c>
      <c r="DQ1086" s="1906">
        <f t="shared" ref="DQ1086:DQ1117" si="1108">DA1086+DN1233</f>
        <v>0</v>
      </c>
    </row>
    <row r="1087" spans="1:121" x14ac:dyDescent="0.2">
      <c r="A1087" s="6"/>
      <c r="C1087" s="1906" t="str">
        <f t="shared" si="1009"/>
        <v/>
      </c>
      <c r="D1087" s="1906" t="str">
        <f t="shared" si="1010"/>
        <v/>
      </c>
      <c r="E1087" s="1906" t="str">
        <f t="shared" si="1011"/>
        <v/>
      </c>
      <c r="F1087" s="1906" t="str">
        <f t="shared" si="1012"/>
        <v/>
      </c>
      <c r="G1087" s="1906" t="str">
        <f t="shared" si="1013"/>
        <v/>
      </c>
      <c r="H1087" s="1906" t="str">
        <f t="shared" si="1014"/>
        <v/>
      </c>
      <c r="I1087" s="1906" t="str">
        <f t="shared" si="1015"/>
        <v/>
      </c>
      <c r="J1087" s="1906" t="str">
        <f t="shared" si="1016"/>
        <v/>
      </c>
      <c r="K1087" s="1906" t="str">
        <f t="shared" si="1017"/>
        <v/>
      </c>
      <c r="L1087" s="1906" t="str">
        <f t="shared" si="1018"/>
        <v/>
      </c>
      <c r="M1087" s="1906" t="str">
        <f t="shared" si="1019"/>
        <v/>
      </c>
      <c r="N1087" s="1906" t="str">
        <f t="shared" si="1020"/>
        <v/>
      </c>
      <c r="P1087" s="1906">
        <f t="shared" si="1021"/>
        <v>0</v>
      </c>
      <c r="Q1087" s="1906">
        <f t="shared" si="1022"/>
        <v>0</v>
      </c>
      <c r="R1087" s="1906">
        <f t="shared" si="1023"/>
        <v>0</v>
      </c>
      <c r="S1087" s="1906">
        <f t="shared" si="1024"/>
        <v>0</v>
      </c>
      <c r="T1087" s="1906">
        <f t="shared" si="1025"/>
        <v>0</v>
      </c>
      <c r="U1087" s="1906">
        <f t="shared" si="1026"/>
        <v>0</v>
      </c>
      <c r="V1087" s="1906">
        <f t="shared" si="1027"/>
        <v>0</v>
      </c>
      <c r="W1087" s="1906">
        <f t="shared" si="1028"/>
        <v>0</v>
      </c>
      <c r="X1087" s="1906">
        <f t="shared" si="1029"/>
        <v>0</v>
      </c>
      <c r="Y1087" s="1906">
        <f t="shared" si="1030"/>
        <v>0</v>
      </c>
      <c r="Z1087" s="1906">
        <f t="shared" si="1031"/>
        <v>0</v>
      </c>
      <c r="AA1087" s="1906">
        <f t="shared" si="1032"/>
        <v>0</v>
      </c>
      <c r="AC1087" s="1906"/>
      <c r="AD1087" s="1906">
        <f t="shared" si="1033"/>
        <v>0</v>
      </c>
      <c r="AE1087" s="1906">
        <f t="shared" si="1034"/>
        <v>0</v>
      </c>
      <c r="AF1087" s="1906">
        <f t="shared" si="1035"/>
        <v>0</v>
      </c>
      <c r="AG1087" s="1906">
        <f t="shared" si="1036"/>
        <v>0</v>
      </c>
      <c r="AH1087" s="1906">
        <f t="shared" si="1037"/>
        <v>0</v>
      </c>
      <c r="AI1087" s="1906">
        <f t="shared" si="1038"/>
        <v>0</v>
      </c>
      <c r="AJ1087" s="1906">
        <f t="shared" si="1039"/>
        <v>0</v>
      </c>
      <c r="AK1087" s="1906">
        <f t="shared" si="1040"/>
        <v>0</v>
      </c>
      <c r="AL1087" s="1906">
        <f t="shared" si="1041"/>
        <v>0</v>
      </c>
      <c r="AM1087" s="1906">
        <f t="shared" si="1042"/>
        <v>0</v>
      </c>
      <c r="AN1087" s="1906">
        <f t="shared" si="1043"/>
        <v>0</v>
      </c>
      <c r="AP1087" s="1906">
        <f t="shared" si="1044"/>
        <v>0</v>
      </c>
      <c r="AQ1087" s="1906">
        <f t="shared" si="1045"/>
        <v>0</v>
      </c>
      <c r="AR1087" s="1906">
        <f t="shared" si="1046"/>
        <v>0</v>
      </c>
      <c r="AS1087" s="1906">
        <f t="shared" si="1047"/>
        <v>0</v>
      </c>
      <c r="AT1087" s="1906">
        <f t="shared" si="1048"/>
        <v>0</v>
      </c>
      <c r="AU1087" s="1906">
        <f t="shared" si="1049"/>
        <v>0</v>
      </c>
      <c r="AV1087" s="1906">
        <f t="shared" si="1050"/>
        <v>0</v>
      </c>
      <c r="AW1087" s="1906">
        <f t="shared" si="1051"/>
        <v>0</v>
      </c>
      <c r="AX1087" s="1906">
        <f t="shared" si="1052"/>
        <v>0</v>
      </c>
      <c r="AY1087" s="1906">
        <f t="shared" si="1053"/>
        <v>0</v>
      </c>
      <c r="AZ1087" s="1906">
        <f t="shared" si="1054"/>
        <v>0</v>
      </c>
      <c r="BA1087" s="1906">
        <f t="shared" si="1055"/>
        <v>0</v>
      </c>
      <c r="BC1087" s="1906">
        <f t="shared" si="1056"/>
        <v>0</v>
      </c>
      <c r="BD1087" s="1906">
        <f t="shared" si="1057"/>
        <v>0</v>
      </c>
      <c r="BE1087" s="1906">
        <f t="shared" si="1058"/>
        <v>0</v>
      </c>
      <c r="BF1087" s="1906">
        <f t="shared" si="1059"/>
        <v>0</v>
      </c>
      <c r="BG1087" s="1906">
        <f t="shared" si="1060"/>
        <v>0</v>
      </c>
      <c r="BH1087" s="1906">
        <f t="shared" si="1061"/>
        <v>0</v>
      </c>
      <c r="BI1087" s="1906">
        <f t="shared" si="1062"/>
        <v>0</v>
      </c>
      <c r="BJ1087" s="1906">
        <f t="shared" si="1063"/>
        <v>0</v>
      </c>
      <c r="BK1087" s="1906">
        <f t="shared" si="1064"/>
        <v>0</v>
      </c>
      <c r="BL1087" s="1906">
        <f t="shared" si="1065"/>
        <v>0</v>
      </c>
      <c r="BM1087" s="1906">
        <f t="shared" si="1066"/>
        <v>0</v>
      </c>
      <c r="BN1087" s="1906">
        <f t="shared" si="1067"/>
        <v>0</v>
      </c>
      <c r="BP1087" s="1906">
        <f t="shared" si="1068"/>
        <v>0</v>
      </c>
      <c r="BQ1087" s="1906">
        <f t="shared" si="1069"/>
        <v>0</v>
      </c>
      <c r="BR1087" s="1906">
        <f t="shared" si="1070"/>
        <v>0</v>
      </c>
      <c r="BS1087" s="1906">
        <f t="shared" si="1071"/>
        <v>0</v>
      </c>
      <c r="BT1087" s="1906">
        <f t="shared" si="1072"/>
        <v>0</v>
      </c>
      <c r="BU1087" s="1906">
        <f t="shared" si="1073"/>
        <v>0</v>
      </c>
      <c r="BV1087" s="1906">
        <f t="shared" si="1074"/>
        <v>0</v>
      </c>
      <c r="BW1087" s="1906">
        <f t="shared" si="1075"/>
        <v>0</v>
      </c>
      <c r="BX1087" s="1906">
        <f t="shared" si="1076"/>
        <v>0</v>
      </c>
      <c r="BY1087" s="1906">
        <f t="shared" si="1077"/>
        <v>0</v>
      </c>
      <c r="BZ1087" s="1906">
        <f t="shared" si="1078"/>
        <v>0</v>
      </c>
      <c r="CA1087" s="1906">
        <f t="shared" si="1079"/>
        <v>0</v>
      </c>
      <c r="CC1087" s="1906">
        <f t="shared" si="1080"/>
        <v>0</v>
      </c>
      <c r="CD1087" s="1906">
        <f t="shared" si="1081"/>
        <v>0</v>
      </c>
      <c r="CE1087" s="1906">
        <f t="shared" si="1082"/>
        <v>0</v>
      </c>
      <c r="CF1087" s="1906">
        <f t="shared" si="1083"/>
        <v>0</v>
      </c>
      <c r="CG1087" s="1906">
        <f t="shared" si="1084"/>
        <v>0</v>
      </c>
      <c r="CH1087" s="1906">
        <f t="shared" si="1085"/>
        <v>0</v>
      </c>
      <c r="CI1087" s="1906">
        <f t="shared" si="1086"/>
        <v>0</v>
      </c>
      <c r="CJ1087" s="1906">
        <f t="shared" si="1087"/>
        <v>0</v>
      </c>
      <c r="CK1087" s="1906">
        <f t="shared" si="1088"/>
        <v>0</v>
      </c>
      <c r="CL1087" s="1906">
        <f t="shared" si="1089"/>
        <v>0</v>
      </c>
      <c r="CM1087" s="1906">
        <f t="shared" si="1090"/>
        <v>0</v>
      </c>
      <c r="CN1087" s="1906">
        <f t="shared" si="1091"/>
        <v>0</v>
      </c>
      <c r="CO1087" s="6">
        <f t="shared" si="1092"/>
        <v>0</v>
      </c>
      <c r="CP1087" s="1906">
        <f t="shared" si="1093"/>
        <v>0</v>
      </c>
      <c r="CQ1087" s="1906">
        <f t="shared" si="1094"/>
        <v>0</v>
      </c>
      <c r="CR1087" s="1906">
        <f t="shared" si="1095"/>
        <v>0</v>
      </c>
      <c r="CS1087" s="1906">
        <f t="shared" si="1096"/>
        <v>0</v>
      </c>
      <c r="CT1087" s="1906">
        <f t="shared" si="1008"/>
        <v>0</v>
      </c>
      <c r="CU1087" s="1906">
        <f t="shared" si="1008"/>
        <v>0</v>
      </c>
      <c r="CV1087" s="1906">
        <f t="shared" si="1008"/>
        <v>0</v>
      </c>
      <c r="CW1087" s="1906">
        <f t="shared" si="1008"/>
        <v>0</v>
      </c>
      <c r="CX1087" s="1906">
        <f t="shared" si="1008"/>
        <v>0</v>
      </c>
      <c r="CY1087" s="1906">
        <f t="shared" si="1008"/>
        <v>0</v>
      </c>
      <c r="CZ1087" s="1906">
        <f t="shared" si="1008"/>
        <v>0</v>
      </c>
      <c r="DA1087" s="1906">
        <f t="shared" si="1008"/>
        <v>0</v>
      </c>
      <c r="DB1087" s="595">
        <f t="shared" si="1005"/>
        <v>0</v>
      </c>
      <c r="DC1087" s="1443">
        <f t="shared" si="1006"/>
        <v>0</v>
      </c>
      <c r="DD1087" s="107"/>
      <c r="DE1087" s="111">
        <f t="shared" si="1007"/>
        <v>0</v>
      </c>
      <c r="DF1087" s="1906">
        <f t="shared" si="1097"/>
        <v>0</v>
      </c>
      <c r="DG1087" s="1906">
        <f t="shared" si="1098"/>
        <v>0</v>
      </c>
      <c r="DH1087" s="1906">
        <f t="shared" si="1099"/>
        <v>0</v>
      </c>
      <c r="DI1087" s="1906">
        <f t="shared" si="1100"/>
        <v>0</v>
      </c>
      <c r="DJ1087" s="1906">
        <f t="shared" si="1101"/>
        <v>0</v>
      </c>
      <c r="DK1087" s="1906">
        <f t="shared" si="1102"/>
        <v>0</v>
      </c>
      <c r="DL1087" s="1906">
        <f t="shared" si="1103"/>
        <v>0</v>
      </c>
      <c r="DM1087" s="1906">
        <f t="shared" si="1104"/>
        <v>0</v>
      </c>
      <c r="DN1087" s="1906">
        <f t="shared" si="1105"/>
        <v>0</v>
      </c>
      <c r="DO1087" s="1906">
        <f t="shared" si="1106"/>
        <v>0</v>
      </c>
      <c r="DP1087" s="1906">
        <f t="shared" si="1107"/>
        <v>0</v>
      </c>
      <c r="DQ1087" s="1906">
        <f t="shared" si="1108"/>
        <v>0</v>
      </c>
    </row>
    <row r="1088" spans="1:121" x14ac:dyDescent="0.2">
      <c r="A1088" s="6"/>
      <c r="C1088" s="1906" t="str">
        <f t="shared" si="1009"/>
        <v/>
      </c>
      <c r="D1088" s="1906" t="str">
        <f t="shared" si="1010"/>
        <v/>
      </c>
      <c r="E1088" s="1906" t="str">
        <f t="shared" si="1011"/>
        <v/>
      </c>
      <c r="F1088" s="1906" t="str">
        <f t="shared" si="1012"/>
        <v/>
      </c>
      <c r="G1088" s="1906" t="str">
        <f t="shared" si="1013"/>
        <v/>
      </c>
      <c r="H1088" s="1906" t="str">
        <f t="shared" si="1014"/>
        <v/>
      </c>
      <c r="I1088" s="1906" t="str">
        <f t="shared" si="1015"/>
        <v/>
      </c>
      <c r="J1088" s="1906" t="str">
        <f t="shared" si="1016"/>
        <v/>
      </c>
      <c r="K1088" s="1906" t="str">
        <f t="shared" si="1017"/>
        <v/>
      </c>
      <c r="L1088" s="1906" t="str">
        <f t="shared" si="1018"/>
        <v/>
      </c>
      <c r="M1088" s="1906" t="str">
        <f t="shared" si="1019"/>
        <v/>
      </c>
      <c r="N1088" s="1906" t="str">
        <f t="shared" si="1020"/>
        <v/>
      </c>
      <c r="P1088" s="1906">
        <f t="shared" si="1021"/>
        <v>0</v>
      </c>
      <c r="Q1088" s="1906">
        <f t="shared" si="1022"/>
        <v>0</v>
      </c>
      <c r="R1088" s="1906">
        <f t="shared" si="1023"/>
        <v>0</v>
      </c>
      <c r="S1088" s="1906">
        <f t="shared" si="1024"/>
        <v>0</v>
      </c>
      <c r="T1088" s="1906">
        <f t="shared" si="1025"/>
        <v>0</v>
      </c>
      <c r="U1088" s="1906">
        <f t="shared" si="1026"/>
        <v>0</v>
      </c>
      <c r="V1088" s="1906">
        <f t="shared" si="1027"/>
        <v>0</v>
      </c>
      <c r="W1088" s="1906">
        <f t="shared" si="1028"/>
        <v>0</v>
      </c>
      <c r="X1088" s="1906">
        <f t="shared" si="1029"/>
        <v>0</v>
      </c>
      <c r="Y1088" s="1906">
        <f t="shared" si="1030"/>
        <v>0</v>
      </c>
      <c r="Z1088" s="1906">
        <f t="shared" si="1031"/>
        <v>0</v>
      </c>
      <c r="AA1088" s="1906">
        <f t="shared" si="1032"/>
        <v>0</v>
      </c>
      <c r="AC1088" s="1906"/>
      <c r="AD1088" s="1906">
        <f t="shared" si="1033"/>
        <v>0</v>
      </c>
      <c r="AE1088" s="1906">
        <f t="shared" si="1034"/>
        <v>0</v>
      </c>
      <c r="AF1088" s="1906">
        <f t="shared" si="1035"/>
        <v>0</v>
      </c>
      <c r="AG1088" s="1906">
        <f t="shared" si="1036"/>
        <v>0</v>
      </c>
      <c r="AH1088" s="1906">
        <f t="shared" si="1037"/>
        <v>0</v>
      </c>
      <c r="AI1088" s="1906">
        <f t="shared" si="1038"/>
        <v>0</v>
      </c>
      <c r="AJ1088" s="1906">
        <f t="shared" si="1039"/>
        <v>0</v>
      </c>
      <c r="AK1088" s="1906">
        <f t="shared" si="1040"/>
        <v>0</v>
      </c>
      <c r="AL1088" s="1906">
        <f t="shared" si="1041"/>
        <v>0</v>
      </c>
      <c r="AM1088" s="1906">
        <f t="shared" si="1042"/>
        <v>0</v>
      </c>
      <c r="AN1088" s="1906">
        <f t="shared" si="1043"/>
        <v>0</v>
      </c>
      <c r="AP1088" s="1906">
        <f t="shared" si="1044"/>
        <v>0</v>
      </c>
      <c r="AQ1088" s="1906">
        <f t="shared" si="1045"/>
        <v>0</v>
      </c>
      <c r="AR1088" s="1906">
        <f t="shared" si="1046"/>
        <v>0</v>
      </c>
      <c r="AS1088" s="1906">
        <f t="shared" si="1047"/>
        <v>0</v>
      </c>
      <c r="AT1088" s="1906">
        <f t="shared" si="1048"/>
        <v>0</v>
      </c>
      <c r="AU1088" s="1906">
        <f t="shared" si="1049"/>
        <v>0</v>
      </c>
      <c r="AV1088" s="1906">
        <f t="shared" si="1050"/>
        <v>0</v>
      </c>
      <c r="AW1088" s="1906">
        <f t="shared" si="1051"/>
        <v>0</v>
      </c>
      <c r="AX1088" s="1906">
        <f t="shared" si="1052"/>
        <v>0</v>
      </c>
      <c r="AY1088" s="1906">
        <f t="shared" si="1053"/>
        <v>0</v>
      </c>
      <c r="AZ1088" s="1906">
        <f t="shared" si="1054"/>
        <v>0</v>
      </c>
      <c r="BA1088" s="1906">
        <f t="shared" si="1055"/>
        <v>0</v>
      </c>
      <c r="BC1088" s="1906">
        <f t="shared" si="1056"/>
        <v>0</v>
      </c>
      <c r="BD1088" s="1906">
        <f t="shared" si="1057"/>
        <v>0</v>
      </c>
      <c r="BE1088" s="1906">
        <f t="shared" si="1058"/>
        <v>0</v>
      </c>
      <c r="BF1088" s="1906">
        <f t="shared" si="1059"/>
        <v>0</v>
      </c>
      <c r="BG1088" s="1906">
        <f t="shared" si="1060"/>
        <v>0</v>
      </c>
      <c r="BH1088" s="1906">
        <f t="shared" si="1061"/>
        <v>0</v>
      </c>
      <c r="BI1088" s="1906">
        <f t="shared" si="1062"/>
        <v>0</v>
      </c>
      <c r="BJ1088" s="1906">
        <f t="shared" si="1063"/>
        <v>0</v>
      </c>
      <c r="BK1088" s="1906">
        <f t="shared" si="1064"/>
        <v>0</v>
      </c>
      <c r="BL1088" s="1906">
        <f t="shared" si="1065"/>
        <v>0</v>
      </c>
      <c r="BM1088" s="1906">
        <f t="shared" si="1066"/>
        <v>0</v>
      </c>
      <c r="BN1088" s="1906">
        <f t="shared" si="1067"/>
        <v>0</v>
      </c>
      <c r="BP1088" s="1906">
        <f t="shared" si="1068"/>
        <v>0</v>
      </c>
      <c r="BQ1088" s="1906">
        <f t="shared" si="1069"/>
        <v>0</v>
      </c>
      <c r="BR1088" s="1906">
        <f t="shared" si="1070"/>
        <v>0</v>
      </c>
      <c r="BS1088" s="1906">
        <f t="shared" si="1071"/>
        <v>0</v>
      </c>
      <c r="BT1088" s="1906">
        <f t="shared" si="1072"/>
        <v>0</v>
      </c>
      <c r="BU1088" s="1906">
        <f t="shared" si="1073"/>
        <v>0</v>
      </c>
      <c r="BV1088" s="1906">
        <f t="shared" si="1074"/>
        <v>0</v>
      </c>
      <c r="BW1088" s="1906">
        <f t="shared" si="1075"/>
        <v>0</v>
      </c>
      <c r="BX1088" s="1906">
        <f t="shared" si="1076"/>
        <v>0</v>
      </c>
      <c r="BY1088" s="1906">
        <f t="shared" si="1077"/>
        <v>0</v>
      </c>
      <c r="BZ1088" s="1906">
        <f t="shared" si="1078"/>
        <v>0</v>
      </c>
      <c r="CA1088" s="1906">
        <f t="shared" si="1079"/>
        <v>0</v>
      </c>
      <c r="CC1088" s="1906">
        <f t="shared" si="1080"/>
        <v>0</v>
      </c>
      <c r="CD1088" s="1906">
        <f t="shared" si="1081"/>
        <v>0</v>
      </c>
      <c r="CE1088" s="1906">
        <f t="shared" si="1082"/>
        <v>0</v>
      </c>
      <c r="CF1088" s="1906">
        <f t="shared" si="1083"/>
        <v>0</v>
      </c>
      <c r="CG1088" s="1906">
        <f t="shared" si="1084"/>
        <v>0</v>
      </c>
      <c r="CH1088" s="1906">
        <f t="shared" si="1085"/>
        <v>0</v>
      </c>
      <c r="CI1088" s="1906">
        <f t="shared" si="1086"/>
        <v>0</v>
      </c>
      <c r="CJ1088" s="1906">
        <f t="shared" si="1087"/>
        <v>0</v>
      </c>
      <c r="CK1088" s="1906">
        <f t="shared" si="1088"/>
        <v>0</v>
      </c>
      <c r="CL1088" s="1906">
        <f t="shared" si="1089"/>
        <v>0</v>
      </c>
      <c r="CM1088" s="1906">
        <f t="shared" si="1090"/>
        <v>0</v>
      </c>
      <c r="CN1088" s="1906">
        <f t="shared" si="1091"/>
        <v>0</v>
      </c>
      <c r="CO1088" s="6">
        <f t="shared" si="1092"/>
        <v>0</v>
      </c>
      <c r="CP1088" s="1906">
        <f t="shared" si="1093"/>
        <v>0</v>
      </c>
      <c r="CQ1088" s="1906">
        <f t="shared" si="1094"/>
        <v>0</v>
      </c>
      <c r="CR1088" s="1906">
        <f t="shared" si="1095"/>
        <v>0</v>
      </c>
      <c r="CS1088" s="1906">
        <f t="shared" si="1096"/>
        <v>0</v>
      </c>
      <c r="CT1088" s="1906">
        <f t="shared" si="1008"/>
        <v>0</v>
      </c>
      <c r="CU1088" s="1906">
        <f t="shared" si="1008"/>
        <v>0</v>
      </c>
      <c r="CV1088" s="1906">
        <f t="shared" si="1008"/>
        <v>0</v>
      </c>
      <c r="CW1088" s="1906">
        <f t="shared" si="1008"/>
        <v>0</v>
      </c>
      <c r="CX1088" s="1906">
        <f t="shared" si="1008"/>
        <v>0</v>
      </c>
      <c r="CY1088" s="1906">
        <f t="shared" si="1008"/>
        <v>0</v>
      </c>
      <c r="CZ1088" s="1906">
        <f t="shared" si="1008"/>
        <v>0</v>
      </c>
      <c r="DA1088" s="1906">
        <f t="shared" si="1008"/>
        <v>0</v>
      </c>
      <c r="DB1088" s="595">
        <f t="shared" si="1005"/>
        <v>0</v>
      </c>
      <c r="DC1088" s="1443">
        <f t="shared" si="1006"/>
        <v>0</v>
      </c>
      <c r="DD1088" s="107"/>
      <c r="DE1088" s="111">
        <f t="shared" si="1007"/>
        <v>0</v>
      </c>
      <c r="DF1088" s="1906">
        <f t="shared" si="1097"/>
        <v>0</v>
      </c>
      <c r="DG1088" s="1906">
        <f t="shared" si="1098"/>
        <v>0</v>
      </c>
      <c r="DH1088" s="1906">
        <f t="shared" si="1099"/>
        <v>0</v>
      </c>
      <c r="DI1088" s="1906">
        <f t="shared" si="1100"/>
        <v>0</v>
      </c>
      <c r="DJ1088" s="1906">
        <f t="shared" si="1101"/>
        <v>0</v>
      </c>
      <c r="DK1088" s="1906">
        <f t="shared" si="1102"/>
        <v>0</v>
      </c>
      <c r="DL1088" s="1906">
        <f t="shared" si="1103"/>
        <v>0</v>
      </c>
      <c r="DM1088" s="1906">
        <f t="shared" si="1104"/>
        <v>0</v>
      </c>
      <c r="DN1088" s="1906">
        <f t="shared" si="1105"/>
        <v>0</v>
      </c>
      <c r="DO1088" s="1906">
        <f t="shared" si="1106"/>
        <v>0</v>
      </c>
      <c r="DP1088" s="1906">
        <f t="shared" si="1107"/>
        <v>0</v>
      </c>
      <c r="DQ1088" s="1906">
        <f t="shared" si="1108"/>
        <v>0</v>
      </c>
    </row>
    <row r="1089" spans="1:121" x14ac:dyDescent="0.2">
      <c r="A1089" s="6"/>
      <c r="C1089" s="1906" t="str">
        <f t="shared" si="1009"/>
        <v/>
      </c>
      <c r="D1089" s="1906" t="str">
        <f t="shared" si="1010"/>
        <v/>
      </c>
      <c r="E1089" s="1906" t="str">
        <f t="shared" si="1011"/>
        <v/>
      </c>
      <c r="F1089" s="1906" t="str">
        <f t="shared" si="1012"/>
        <v/>
      </c>
      <c r="G1089" s="1906" t="str">
        <f t="shared" si="1013"/>
        <v/>
      </c>
      <c r="H1089" s="1906" t="str">
        <f t="shared" si="1014"/>
        <v/>
      </c>
      <c r="I1089" s="1906" t="str">
        <f t="shared" si="1015"/>
        <v/>
      </c>
      <c r="J1089" s="1906" t="str">
        <f t="shared" si="1016"/>
        <v/>
      </c>
      <c r="K1089" s="1906" t="str">
        <f t="shared" si="1017"/>
        <v/>
      </c>
      <c r="L1089" s="1906" t="str">
        <f t="shared" si="1018"/>
        <v/>
      </c>
      <c r="M1089" s="1906" t="str">
        <f t="shared" si="1019"/>
        <v/>
      </c>
      <c r="N1089" s="1906" t="str">
        <f t="shared" si="1020"/>
        <v/>
      </c>
      <c r="P1089" s="1906">
        <f t="shared" si="1021"/>
        <v>0</v>
      </c>
      <c r="Q1089" s="1906">
        <f t="shared" si="1022"/>
        <v>0</v>
      </c>
      <c r="R1089" s="1906">
        <f t="shared" si="1023"/>
        <v>0</v>
      </c>
      <c r="S1089" s="1906">
        <f t="shared" si="1024"/>
        <v>0</v>
      </c>
      <c r="T1089" s="1906">
        <f t="shared" si="1025"/>
        <v>0</v>
      </c>
      <c r="U1089" s="1906">
        <f t="shared" si="1026"/>
        <v>0</v>
      </c>
      <c r="V1089" s="1906">
        <f t="shared" si="1027"/>
        <v>0</v>
      </c>
      <c r="W1089" s="1906">
        <f t="shared" si="1028"/>
        <v>0</v>
      </c>
      <c r="X1089" s="1906">
        <f t="shared" si="1029"/>
        <v>0</v>
      </c>
      <c r="Y1089" s="1906">
        <f t="shared" si="1030"/>
        <v>0</v>
      </c>
      <c r="Z1089" s="1906">
        <f t="shared" si="1031"/>
        <v>0</v>
      </c>
      <c r="AA1089" s="1906">
        <f t="shared" si="1032"/>
        <v>0</v>
      </c>
      <c r="AC1089" s="1906"/>
      <c r="AD1089" s="1906">
        <f t="shared" si="1033"/>
        <v>0</v>
      </c>
      <c r="AE1089" s="1906">
        <f t="shared" si="1034"/>
        <v>0</v>
      </c>
      <c r="AF1089" s="1906">
        <f t="shared" si="1035"/>
        <v>0</v>
      </c>
      <c r="AG1089" s="1906">
        <f t="shared" si="1036"/>
        <v>0</v>
      </c>
      <c r="AH1089" s="1906">
        <f t="shared" si="1037"/>
        <v>0</v>
      </c>
      <c r="AI1089" s="1906">
        <f t="shared" si="1038"/>
        <v>0</v>
      </c>
      <c r="AJ1089" s="1906">
        <f t="shared" si="1039"/>
        <v>0</v>
      </c>
      <c r="AK1089" s="1906">
        <f t="shared" si="1040"/>
        <v>0</v>
      </c>
      <c r="AL1089" s="1906">
        <f t="shared" si="1041"/>
        <v>0</v>
      </c>
      <c r="AM1089" s="1906">
        <f t="shared" si="1042"/>
        <v>0</v>
      </c>
      <c r="AN1089" s="1906">
        <f t="shared" si="1043"/>
        <v>0</v>
      </c>
      <c r="AP1089" s="1906">
        <f t="shared" si="1044"/>
        <v>0</v>
      </c>
      <c r="AQ1089" s="1906">
        <f t="shared" si="1045"/>
        <v>0</v>
      </c>
      <c r="AR1089" s="1906">
        <f t="shared" si="1046"/>
        <v>0</v>
      </c>
      <c r="AS1089" s="1906">
        <f t="shared" si="1047"/>
        <v>0</v>
      </c>
      <c r="AT1089" s="1906">
        <f t="shared" si="1048"/>
        <v>0</v>
      </c>
      <c r="AU1089" s="1906">
        <f t="shared" si="1049"/>
        <v>0</v>
      </c>
      <c r="AV1089" s="1906">
        <f t="shared" si="1050"/>
        <v>0</v>
      </c>
      <c r="AW1089" s="1906">
        <f t="shared" si="1051"/>
        <v>0</v>
      </c>
      <c r="AX1089" s="1906">
        <f t="shared" si="1052"/>
        <v>0</v>
      </c>
      <c r="AY1089" s="1906">
        <f t="shared" si="1053"/>
        <v>0</v>
      </c>
      <c r="AZ1089" s="1906">
        <f t="shared" si="1054"/>
        <v>0</v>
      </c>
      <c r="BA1089" s="1906">
        <f t="shared" si="1055"/>
        <v>0</v>
      </c>
      <c r="BC1089" s="1906">
        <f t="shared" si="1056"/>
        <v>0</v>
      </c>
      <c r="BD1089" s="1906">
        <f t="shared" si="1057"/>
        <v>0</v>
      </c>
      <c r="BE1089" s="1906">
        <f t="shared" si="1058"/>
        <v>0</v>
      </c>
      <c r="BF1089" s="1906">
        <f t="shared" si="1059"/>
        <v>0</v>
      </c>
      <c r="BG1089" s="1906">
        <f t="shared" si="1060"/>
        <v>0</v>
      </c>
      <c r="BH1089" s="1906">
        <f t="shared" si="1061"/>
        <v>0</v>
      </c>
      <c r="BI1089" s="1906">
        <f t="shared" si="1062"/>
        <v>0</v>
      </c>
      <c r="BJ1089" s="1906">
        <f t="shared" si="1063"/>
        <v>0</v>
      </c>
      <c r="BK1089" s="1906">
        <f t="shared" si="1064"/>
        <v>0</v>
      </c>
      <c r="BL1089" s="1906">
        <f t="shared" si="1065"/>
        <v>0</v>
      </c>
      <c r="BM1089" s="1906">
        <f t="shared" si="1066"/>
        <v>0</v>
      </c>
      <c r="BN1089" s="1906">
        <f t="shared" si="1067"/>
        <v>0</v>
      </c>
      <c r="BP1089" s="1906">
        <f t="shared" si="1068"/>
        <v>0</v>
      </c>
      <c r="BQ1089" s="1906">
        <f t="shared" si="1069"/>
        <v>0</v>
      </c>
      <c r="BR1089" s="1906">
        <f t="shared" si="1070"/>
        <v>0</v>
      </c>
      <c r="BS1089" s="1906">
        <f t="shared" si="1071"/>
        <v>0</v>
      </c>
      <c r="BT1089" s="1906">
        <f t="shared" si="1072"/>
        <v>0</v>
      </c>
      <c r="BU1089" s="1906">
        <f t="shared" si="1073"/>
        <v>0</v>
      </c>
      <c r="BV1089" s="1906">
        <f t="shared" si="1074"/>
        <v>0</v>
      </c>
      <c r="BW1089" s="1906">
        <f t="shared" si="1075"/>
        <v>0</v>
      </c>
      <c r="BX1089" s="1906">
        <f t="shared" si="1076"/>
        <v>0</v>
      </c>
      <c r="BY1089" s="1906">
        <f t="shared" si="1077"/>
        <v>0</v>
      </c>
      <c r="BZ1089" s="1906">
        <f t="shared" si="1078"/>
        <v>0</v>
      </c>
      <c r="CA1089" s="1906">
        <f t="shared" si="1079"/>
        <v>0</v>
      </c>
      <c r="CC1089" s="1906">
        <f t="shared" si="1080"/>
        <v>0</v>
      </c>
      <c r="CD1089" s="1906">
        <f t="shared" si="1081"/>
        <v>0</v>
      </c>
      <c r="CE1089" s="1906">
        <f t="shared" si="1082"/>
        <v>0</v>
      </c>
      <c r="CF1089" s="1906">
        <f t="shared" si="1083"/>
        <v>0</v>
      </c>
      <c r="CG1089" s="1906">
        <f t="shared" si="1084"/>
        <v>0</v>
      </c>
      <c r="CH1089" s="1906">
        <f t="shared" si="1085"/>
        <v>0</v>
      </c>
      <c r="CI1089" s="1906">
        <f t="shared" si="1086"/>
        <v>0</v>
      </c>
      <c r="CJ1089" s="1906">
        <f t="shared" si="1087"/>
        <v>0</v>
      </c>
      <c r="CK1089" s="1906">
        <f t="shared" si="1088"/>
        <v>0</v>
      </c>
      <c r="CL1089" s="1906">
        <f t="shared" si="1089"/>
        <v>0</v>
      </c>
      <c r="CM1089" s="1906">
        <f t="shared" si="1090"/>
        <v>0</v>
      </c>
      <c r="CN1089" s="1906">
        <f t="shared" si="1091"/>
        <v>0</v>
      </c>
      <c r="CO1089" s="6" t="str">
        <f t="shared" si="1092"/>
        <v xml:space="preserve">Subtotal Verdeos de Invierno </v>
      </c>
      <c r="CP1089" s="1906">
        <f t="shared" si="1093"/>
        <v>0</v>
      </c>
      <c r="CQ1089" s="1906">
        <f t="shared" si="1094"/>
        <v>0</v>
      </c>
      <c r="CR1089" s="1906">
        <f t="shared" si="1095"/>
        <v>0</v>
      </c>
      <c r="CS1089" s="1906">
        <f t="shared" si="1096"/>
        <v>0</v>
      </c>
      <c r="CT1089" s="1906">
        <f t="shared" si="1008"/>
        <v>0</v>
      </c>
      <c r="CU1089" s="1906">
        <f t="shared" si="1008"/>
        <v>0</v>
      </c>
      <c r="CV1089" s="1906">
        <f t="shared" si="1008"/>
        <v>0</v>
      </c>
      <c r="CW1089" s="1906">
        <f t="shared" si="1008"/>
        <v>0</v>
      </c>
      <c r="CX1089" s="1906">
        <f t="shared" si="1008"/>
        <v>0</v>
      </c>
      <c r="CY1089" s="1906">
        <f t="shared" si="1008"/>
        <v>0</v>
      </c>
      <c r="CZ1089" s="1906">
        <f t="shared" si="1008"/>
        <v>0</v>
      </c>
      <c r="DA1089" s="1906">
        <f t="shared" si="1008"/>
        <v>0</v>
      </c>
      <c r="DB1089" s="595" t="str">
        <f t="shared" si="1005"/>
        <v xml:space="preserve">Subtotal Verdeos de Invierno </v>
      </c>
      <c r="DC1089" s="1443">
        <f t="shared" si="1006"/>
        <v>0</v>
      </c>
      <c r="DD1089" s="107"/>
      <c r="DE1089" s="111" t="str">
        <f t="shared" si="1007"/>
        <v xml:space="preserve">Subtotal Verdeos de Invierno </v>
      </c>
      <c r="DF1089" s="1906">
        <f t="shared" si="1097"/>
        <v>0</v>
      </c>
      <c r="DG1089" s="1906">
        <f t="shared" si="1098"/>
        <v>0</v>
      </c>
      <c r="DH1089" s="1906">
        <f t="shared" si="1099"/>
        <v>0</v>
      </c>
      <c r="DI1089" s="1906">
        <f t="shared" si="1100"/>
        <v>0</v>
      </c>
      <c r="DJ1089" s="1906">
        <f t="shared" si="1101"/>
        <v>0</v>
      </c>
      <c r="DK1089" s="1906">
        <f t="shared" si="1102"/>
        <v>0</v>
      </c>
      <c r="DL1089" s="1906">
        <f t="shared" si="1103"/>
        <v>0</v>
      </c>
      <c r="DM1089" s="1906">
        <f t="shared" si="1104"/>
        <v>0</v>
      </c>
      <c r="DN1089" s="1906">
        <f t="shared" si="1105"/>
        <v>0</v>
      </c>
      <c r="DO1089" s="1906">
        <f t="shared" si="1106"/>
        <v>0</v>
      </c>
      <c r="DP1089" s="1906">
        <f t="shared" si="1107"/>
        <v>0</v>
      </c>
      <c r="DQ1089" s="1906">
        <f t="shared" si="1108"/>
        <v>0</v>
      </c>
    </row>
    <row r="1090" spans="1:121" x14ac:dyDescent="0.2">
      <c r="A1090" s="6"/>
      <c r="C1090" s="1906" t="str">
        <f t="shared" si="1009"/>
        <v/>
      </c>
      <c r="D1090" s="1906" t="str">
        <f t="shared" si="1010"/>
        <v/>
      </c>
      <c r="E1090" s="1906" t="str">
        <f t="shared" si="1011"/>
        <v/>
      </c>
      <c r="F1090" s="1906" t="str">
        <f t="shared" si="1012"/>
        <v/>
      </c>
      <c r="G1090" s="1906" t="str">
        <f t="shared" si="1013"/>
        <v/>
      </c>
      <c r="H1090" s="1906" t="str">
        <f t="shared" si="1014"/>
        <v/>
      </c>
      <c r="I1090" s="1906" t="str">
        <f t="shared" si="1015"/>
        <v/>
      </c>
      <c r="J1090" s="1906" t="str">
        <f t="shared" si="1016"/>
        <v/>
      </c>
      <c r="K1090" s="1906" t="str">
        <f t="shared" si="1017"/>
        <v/>
      </c>
      <c r="L1090" s="1906" t="str">
        <f t="shared" si="1018"/>
        <v/>
      </c>
      <c r="M1090" s="1906" t="str">
        <f t="shared" si="1019"/>
        <v/>
      </c>
      <c r="N1090" s="1906" t="str">
        <f t="shared" si="1020"/>
        <v/>
      </c>
      <c r="P1090" s="1906">
        <f t="shared" si="1021"/>
        <v>0</v>
      </c>
      <c r="Q1090" s="1906">
        <f t="shared" si="1022"/>
        <v>0</v>
      </c>
      <c r="R1090" s="1906">
        <f t="shared" si="1023"/>
        <v>0</v>
      </c>
      <c r="S1090" s="1906">
        <f t="shared" si="1024"/>
        <v>0</v>
      </c>
      <c r="T1090" s="1906">
        <f t="shared" si="1025"/>
        <v>0</v>
      </c>
      <c r="U1090" s="1906">
        <f t="shared" si="1026"/>
        <v>0</v>
      </c>
      <c r="V1090" s="1906">
        <f t="shared" si="1027"/>
        <v>0</v>
      </c>
      <c r="W1090" s="1906">
        <f t="shared" si="1028"/>
        <v>0</v>
      </c>
      <c r="X1090" s="1906">
        <f t="shared" si="1029"/>
        <v>0</v>
      </c>
      <c r="Y1090" s="1906">
        <f t="shared" si="1030"/>
        <v>0</v>
      </c>
      <c r="Z1090" s="1906">
        <f t="shared" si="1031"/>
        <v>0</v>
      </c>
      <c r="AA1090" s="1906">
        <f t="shared" si="1032"/>
        <v>0</v>
      </c>
      <c r="AC1090" s="1906"/>
      <c r="AD1090" s="1906">
        <f t="shared" si="1033"/>
        <v>0</v>
      </c>
      <c r="AE1090" s="1906">
        <f t="shared" si="1034"/>
        <v>0</v>
      </c>
      <c r="AF1090" s="1906">
        <f t="shared" si="1035"/>
        <v>0</v>
      </c>
      <c r="AG1090" s="1906">
        <f t="shared" si="1036"/>
        <v>0</v>
      </c>
      <c r="AH1090" s="1906">
        <f t="shared" si="1037"/>
        <v>0</v>
      </c>
      <c r="AI1090" s="1906">
        <f t="shared" si="1038"/>
        <v>0</v>
      </c>
      <c r="AJ1090" s="1906">
        <f t="shared" si="1039"/>
        <v>0</v>
      </c>
      <c r="AK1090" s="1906">
        <f t="shared" si="1040"/>
        <v>0</v>
      </c>
      <c r="AL1090" s="1906">
        <f t="shared" si="1041"/>
        <v>0</v>
      </c>
      <c r="AM1090" s="1906">
        <f t="shared" si="1042"/>
        <v>0</v>
      </c>
      <c r="AN1090" s="1906">
        <f t="shared" si="1043"/>
        <v>0</v>
      </c>
      <c r="AP1090" s="1906">
        <f t="shared" si="1044"/>
        <v>0</v>
      </c>
      <c r="AQ1090" s="1906">
        <f t="shared" si="1045"/>
        <v>0</v>
      </c>
      <c r="AR1090" s="1906">
        <f t="shared" si="1046"/>
        <v>0</v>
      </c>
      <c r="AS1090" s="1906">
        <f t="shared" si="1047"/>
        <v>0</v>
      </c>
      <c r="AT1090" s="1906">
        <f t="shared" si="1048"/>
        <v>0</v>
      </c>
      <c r="AU1090" s="1906">
        <f t="shared" si="1049"/>
        <v>0</v>
      </c>
      <c r="AV1090" s="1906">
        <f t="shared" si="1050"/>
        <v>0</v>
      </c>
      <c r="AW1090" s="1906">
        <f t="shared" si="1051"/>
        <v>0</v>
      </c>
      <c r="AX1090" s="1906">
        <f t="shared" si="1052"/>
        <v>0</v>
      </c>
      <c r="AY1090" s="1906">
        <f t="shared" si="1053"/>
        <v>0</v>
      </c>
      <c r="AZ1090" s="1906">
        <f t="shared" si="1054"/>
        <v>0</v>
      </c>
      <c r="BA1090" s="1906">
        <f t="shared" si="1055"/>
        <v>0</v>
      </c>
      <c r="BC1090" s="1906">
        <f t="shared" si="1056"/>
        <v>0</v>
      </c>
      <c r="BD1090" s="1906">
        <f t="shared" si="1057"/>
        <v>0</v>
      </c>
      <c r="BE1090" s="1906">
        <f t="shared" si="1058"/>
        <v>0</v>
      </c>
      <c r="BF1090" s="1906">
        <f t="shared" si="1059"/>
        <v>0</v>
      </c>
      <c r="BG1090" s="1906">
        <f t="shared" si="1060"/>
        <v>0</v>
      </c>
      <c r="BH1090" s="1906">
        <f t="shared" si="1061"/>
        <v>0</v>
      </c>
      <c r="BI1090" s="1906">
        <f t="shared" si="1062"/>
        <v>0</v>
      </c>
      <c r="BJ1090" s="1906">
        <f t="shared" si="1063"/>
        <v>0</v>
      </c>
      <c r="BK1090" s="1906">
        <f t="shared" si="1064"/>
        <v>0</v>
      </c>
      <c r="BL1090" s="1906">
        <f t="shared" si="1065"/>
        <v>0</v>
      </c>
      <c r="BM1090" s="1906">
        <f t="shared" si="1066"/>
        <v>0</v>
      </c>
      <c r="BN1090" s="1906">
        <f t="shared" si="1067"/>
        <v>0</v>
      </c>
      <c r="BP1090" s="1906">
        <f t="shared" si="1068"/>
        <v>0</v>
      </c>
      <c r="BQ1090" s="1906">
        <f t="shared" si="1069"/>
        <v>0</v>
      </c>
      <c r="BR1090" s="1906">
        <f t="shared" si="1070"/>
        <v>0</v>
      </c>
      <c r="BS1090" s="1906">
        <f t="shared" si="1071"/>
        <v>0</v>
      </c>
      <c r="BT1090" s="1906">
        <f t="shared" si="1072"/>
        <v>0</v>
      </c>
      <c r="BU1090" s="1906">
        <f t="shared" si="1073"/>
        <v>0</v>
      </c>
      <c r="BV1090" s="1906">
        <f t="shared" si="1074"/>
        <v>0</v>
      </c>
      <c r="BW1090" s="1906">
        <f t="shared" si="1075"/>
        <v>0</v>
      </c>
      <c r="BX1090" s="1906">
        <f t="shared" si="1076"/>
        <v>0</v>
      </c>
      <c r="BY1090" s="1906">
        <f t="shared" si="1077"/>
        <v>0</v>
      </c>
      <c r="BZ1090" s="1906">
        <f t="shared" si="1078"/>
        <v>0</v>
      </c>
      <c r="CA1090" s="1906">
        <f t="shared" si="1079"/>
        <v>0</v>
      </c>
      <c r="CC1090" s="1906">
        <f t="shared" si="1080"/>
        <v>0</v>
      </c>
      <c r="CD1090" s="1906">
        <f t="shared" si="1081"/>
        <v>0</v>
      </c>
      <c r="CE1090" s="1906">
        <f t="shared" si="1082"/>
        <v>0</v>
      </c>
      <c r="CF1090" s="1906">
        <f t="shared" si="1083"/>
        <v>0</v>
      </c>
      <c r="CG1090" s="1906">
        <f t="shared" si="1084"/>
        <v>0</v>
      </c>
      <c r="CH1090" s="1906">
        <f t="shared" si="1085"/>
        <v>0</v>
      </c>
      <c r="CI1090" s="1906">
        <f t="shared" si="1086"/>
        <v>0</v>
      </c>
      <c r="CJ1090" s="1906">
        <f t="shared" si="1087"/>
        <v>0</v>
      </c>
      <c r="CK1090" s="1906">
        <f t="shared" si="1088"/>
        <v>0</v>
      </c>
      <c r="CL1090" s="1906">
        <f t="shared" si="1089"/>
        <v>0</v>
      </c>
      <c r="CM1090" s="1906">
        <f t="shared" si="1090"/>
        <v>0</v>
      </c>
      <c r="CN1090" s="1906">
        <f t="shared" si="1091"/>
        <v>0</v>
      </c>
      <c r="CO1090" s="6" t="str">
        <f t="shared" si="1092"/>
        <v>Sorgo Forrajero</v>
      </c>
      <c r="CP1090" s="1906">
        <f t="shared" si="1093"/>
        <v>0</v>
      </c>
      <c r="CQ1090" s="1906">
        <f t="shared" si="1094"/>
        <v>0</v>
      </c>
      <c r="CR1090" s="1906">
        <f t="shared" si="1095"/>
        <v>0</v>
      </c>
      <c r="CS1090" s="1906">
        <f t="shared" si="1096"/>
        <v>0</v>
      </c>
      <c r="CT1090" s="1906">
        <f t="shared" si="1008"/>
        <v>0</v>
      </c>
      <c r="CU1090" s="1906">
        <f t="shared" si="1008"/>
        <v>0</v>
      </c>
      <c r="CV1090" s="1906">
        <f t="shared" si="1008"/>
        <v>0</v>
      </c>
      <c r="CW1090" s="1906">
        <f t="shared" si="1008"/>
        <v>0</v>
      </c>
      <c r="CX1090" s="1906">
        <f t="shared" si="1008"/>
        <v>0</v>
      </c>
      <c r="CY1090" s="1906">
        <f t="shared" si="1008"/>
        <v>0</v>
      </c>
      <c r="CZ1090" s="1906">
        <f t="shared" si="1008"/>
        <v>0</v>
      </c>
      <c r="DA1090" s="1906">
        <f t="shared" si="1008"/>
        <v>0</v>
      </c>
      <c r="DB1090" s="595" t="str">
        <f t="shared" si="1005"/>
        <v>Sorgo Forrajero</v>
      </c>
      <c r="DC1090" s="1443">
        <f t="shared" si="1006"/>
        <v>0</v>
      </c>
      <c r="DD1090" s="107"/>
      <c r="DE1090" s="111" t="str">
        <f t="shared" si="1007"/>
        <v>Sorgo Forrajero</v>
      </c>
      <c r="DF1090" s="1906">
        <f t="shared" si="1097"/>
        <v>0</v>
      </c>
      <c r="DG1090" s="1906">
        <f t="shared" si="1098"/>
        <v>0</v>
      </c>
      <c r="DH1090" s="1906">
        <f t="shared" si="1099"/>
        <v>0</v>
      </c>
      <c r="DI1090" s="1906">
        <f t="shared" si="1100"/>
        <v>0</v>
      </c>
      <c r="DJ1090" s="1906">
        <f t="shared" si="1101"/>
        <v>0</v>
      </c>
      <c r="DK1090" s="1906">
        <f t="shared" si="1102"/>
        <v>0</v>
      </c>
      <c r="DL1090" s="1906">
        <f t="shared" si="1103"/>
        <v>0</v>
      </c>
      <c r="DM1090" s="1906">
        <f t="shared" si="1104"/>
        <v>0</v>
      </c>
      <c r="DN1090" s="1906">
        <f t="shared" si="1105"/>
        <v>0</v>
      </c>
      <c r="DO1090" s="1906">
        <f t="shared" si="1106"/>
        <v>0</v>
      </c>
      <c r="DP1090" s="1906">
        <f t="shared" si="1107"/>
        <v>0</v>
      </c>
      <c r="DQ1090" s="1906">
        <f t="shared" si="1108"/>
        <v>0</v>
      </c>
    </row>
    <row r="1091" spans="1:121" x14ac:dyDescent="0.2">
      <c r="A1091" s="6"/>
      <c r="C1091" s="1906" t="str">
        <f t="shared" si="1009"/>
        <v/>
      </c>
      <c r="D1091" s="1906" t="str">
        <f t="shared" si="1010"/>
        <v/>
      </c>
      <c r="E1091" s="1906" t="str">
        <f t="shared" si="1011"/>
        <v/>
      </c>
      <c r="F1091" s="1906" t="str">
        <f t="shared" si="1012"/>
        <v/>
      </c>
      <c r="G1091" s="1906" t="str">
        <f t="shared" si="1013"/>
        <v/>
      </c>
      <c r="H1091" s="1906" t="str">
        <f t="shared" si="1014"/>
        <v/>
      </c>
      <c r="I1091" s="1906" t="str">
        <f t="shared" si="1015"/>
        <v/>
      </c>
      <c r="J1091" s="1906" t="str">
        <f t="shared" si="1016"/>
        <v/>
      </c>
      <c r="K1091" s="1906" t="str">
        <f t="shared" si="1017"/>
        <v/>
      </c>
      <c r="L1091" s="1906" t="str">
        <f t="shared" si="1018"/>
        <v/>
      </c>
      <c r="M1091" s="1906" t="str">
        <f t="shared" si="1019"/>
        <v/>
      </c>
      <c r="N1091" s="1906" t="str">
        <f t="shared" si="1020"/>
        <v/>
      </c>
      <c r="P1091" s="1906">
        <f t="shared" si="1021"/>
        <v>0</v>
      </c>
      <c r="Q1091" s="1906">
        <f t="shared" si="1022"/>
        <v>0</v>
      </c>
      <c r="R1091" s="1906">
        <f t="shared" si="1023"/>
        <v>0</v>
      </c>
      <c r="S1091" s="1906">
        <f t="shared" si="1024"/>
        <v>0</v>
      </c>
      <c r="T1091" s="1906">
        <f t="shared" si="1025"/>
        <v>0</v>
      </c>
      <c r="U1091" s="1906">
        <f t="shared" si="1026"/>
        <v>0</v>
      </c>
      <c r="V1091" s="1906">
        <f t="shared" si="1027"/>
        <v>0</v>
      </c>
      <c r="W1091" s="1906">
        <f t="shared" si="1028"/>
        <v>0</v>
      </c>
      <c r="X1091" s="1906">
        <f t="shared" si="1029"/>
        <v>0</v>
      </c>
      <c r="Y1091" s="1906">
        <f t="shared" si="1030"/>
        <v>0</v>
      </c>
      <c r="Z1091" s="1906">
        <f t="shared" si="1031"/>
        <v>0</v>
      </c>
      <c r="AA1091" s="1906">
        <f t="shared" si="1032"/>
        <v>0</v>
      </c>
      <c r="AC1091" s="1906"/>
      <c r="AD1091" s="1906">
        <f t="shared" si="1033"/>
        <v>0</v>
      </c>
      <c r="AE1091" s="1906">
        <f t="shared" si="1034"/>
        <v>0</v>
      </c>
      <c r="AF1091" s="1906">
        <f t="shared" si="1035"/>
        <v>0</v>
      </c>
      <c r="AG1091" s="1906">
        <f t="shared" si="1036"/>
        <v>0</v>
      </c>
      <c r="AH1091" s="1906">
        <f t="shared" si="1037"/>
        <v>0</v>
      </c>
      <c r="AI1091" s="1906">
        <f t="shared" si="1038"/>
        <v>0</v>
      </c>
      <c r="AJ1091" s="1906">
        <f t="shared" si="1039"/>
        <v>0</v>
      </c>
      <c r="AK1091" s="1906">
        <f t="shared" si="1040"/>
        <v>0</v>
      </c>
      <c r="AL1091" s="1906">
        <f t="shared" si="1041"/>
        <v>0</v>
      </c>
      <c r="AM1091" s="1906">
        <f t="shared" si="1042"/>
        <v>0</v>
      </c>
      <c r="AN1091" s="1906">
        <f t="shared" si="1043"/>
        <v>0</v>
      </c>
      <c r="AP1091" s="1906">
        <f t="shared" si="1044"/>
        <v>0</v>
      </c>
      <c r="AQ1091" s="1906">
        <f t="shared" si="1045"/>
        <v>0</v>
      </c>
      <c r="AR1091" s="1906">
        <f t="shared" si="1046"/>
        <v>0</v>
      </c>
      <c r="AS1091" s="1906">
        <f t="shared" si="1047"/>
        <v>0</v>
      </c>
      <c r="AT1091" s="1906">
        <f t="shared" si="1048"/>
        <v>0</v>
      </c>
      <c r="AU1091" s="1906">
        <f t="shared" si="1049"/>
        <v>0</v>
      </c>
      <c r="AV1091" s="1906">
        <f t="shared" si="1050"/>
        <v>0</v>
      </c>
      <c r="AW1091" s="1906">
        <f t="shared" si="1051"/>
        <v>0</v>
      </c>
      <c r="AX1091" s="1906">
        <f t="shared" si="1052"/>
        <v>0</v>
      </c>
      <c r="AY1091" s="1906">
        <f t="shared" si="1053"/>
        <v>0</v>
      </c>
      <c r="AZ1091" s="1906">
        <f t="shared" si="1054"/>
        <v>0</v>
      </c>
      <c r="BA1091" s="1906">
        <f t="shared" si="1055"/>
        <v>0</v>
      </c>
      <c r="BC1091" s="1906">
        <f t="shared" si="1056"/>
        <v>0</v>
      </c>
      <c r="BD1091" s="1906">
        <f t="shared" si="1057"/>
        <v>0</v>
      </c>
      <c r="BE1091" s="1906">
        <f t="shared" si="1058"/>
        <v>0</v>
      </c>
      <c r="BF1091" s="1906">
        <f t="shared" si="1059"/>
        <v>0</v>
      </c>
      <c r="BG1091" s="1906">
        <f t="shared" si="1060"/>
        <v>0</v>
      </c>
      <c r="BH1091" s="1906">
        <f t="shared" si="1061"/>
        <v>0</v>
      </c>
      <c r="BI1091" s="1906">
        <f t="shared" si="1062"/>
        <v>0</v>
      </c>
      <c r="BJ1091" s="1906">
        <f t="shared" si="1063"/>
        <v>0</v>
      </c>
      <c r="BK1091" s="1906">
        <f t="shared" si="1064"/>
        <v>0</v>
      </c>
      <c r="BL1091" s="1906">
        <f t="shared" si="1065"/>
        <v>0</v>
      </c>
      <c r="BM1091" s="1906">
        <f t="shared" si="1066"/>
        <v>0</v>
      </c>
      <c r="BN1091" s="1906">
        <f t="shared" si="1067"/>
        <v>0</v>
      </c>
      <c r="BP1091" s="1906">
        <f t="shared" si="1068"/>
        <v>0</v>
      </c>
      <c r="BQ1091" s="1906">
        <f t="shared" si="1069"/>
        <v>0</v>
      </c>
      <c r="BR1091" s="1906">
        <f t="shared" si="1070"/>
        <v>0</v>
      </c>
      <c r="BS1091" s="1906">
        <f t="shared" si="1071"/>
        <v>0</v>
      </c>
      <c r="BT1091" s="1906">
        <f t="shared" si="1072"/>
        <v>0</v>
      </c>
      <c r="BU1091" s="1906">
        <f t="shared" si="1073"/>
        <v>0</v>
      </c>
      <c r="BV1091" s="1906">
        <f t="shared" si="1074"/>
        <v>0</v>
      </c>
      <c r="BW1091" s="1906">
        <f t="shared" si="1075"/>
        <v>0</v>
      </c>
      <c r="BX1091" s="1906">
        <f t="shared" si="1076"/>
        <v>0</v>
      </c>
      <c r="BY1091" s="1906">
        <f t="shared" si="1077"/>
        <v>0</v>
      </c>
      <c r="BZ1091" s="1906">
        <f t="shared" si="1078"/>
        <v>0</v>
      </c>
      <c r="CA1091" s="1906">
        <f t="shared" si="1079"/>
        <v>0</v>
      </c>
      <c r="CC1091" s="1906">
        <f t="shared" si="1080"/>
        <v>0</v>
      </c>
      <c r="CD1091" s="1906">
        <f t="shared" si="1081"/>
        <v>0</v>
      </c>
      <c r="CE1091" s="1906">
        <f t="shared" si="1082"/>
        <v>0</v>
      </c>
      <c r="CF1091" s="1906">
        <f t="shared" si="1083"/>
        <v>0</v>
      </c>
      <c r="CG1091" s="1906">
        <f t="shared" si="1084"/>
        <v>0</v>
      </c>
      <c r="CH1091" s="1906">
        <f t="shared" si="1085"/>
        <v>0</v>
      </c>
      <c r="CI1091" s="1906">
        <f t="shared" si="1086"/>
        <v>0</v>
      </c>
      <c r="CJ1091" s="1906">
        <f t="shared" si="1087"/>
        <v>0</v>
      </c>
      <c r="CK1091" s="1906">
        <f t="shared" si="1088"/>
        <v>0</v>
      </c>
      <c r="CL1091" s="1906">
        <f t="shared" si="1089"/>
        <v>0</v>
      </c>
      <c r="CM1091" s="1906">
        <f t="shared" si="1090"/>
        <v>0</v>
      </c>
      <c r="CN1091" s="1906">
        <f t="shared" si="1091"/>
        <v>0</v>
      </c>
      <c r="CO1091" s="6" t="str">
        <f t="shared" si="1092"/>
        <v xml:space="preserve">Sudan </v>
      </c>
      <c r="CP1091" s="1906">
        <f t="shared" si="1093"/>
        <v>0</v>
      </c>
      <c r="CQ1091" s="1906">
        <f t="shared" si="1094"/>
        <v>0</v>
      </c>
      <c r="CR1091" s="1906">
        <f t="shared" si="1095"/>
        <v>0</v>
      </c>
      <c r="CS1091" s="1906">
        <f t="shared" si="1096"/>
        <v>0</v>
      </c>
      <c r="CT1091" s="1906">
        <f t="shared" si="1008"/>
        <v>0</v>
      </c>
      <c r="CU1091" s="1906">
        <f t="shared" si="1008"/>
        <v>0</v>
      </c>
      <c r="CV1091" s="1906">
        <f t="shared" si="1008"/>
        <v>0</v>
      </c>
      <c r="CW1091" s="1906">
        <f t="shared" si="1008"/>
        <v>0</v>
      </c>
      <c r="CX1091" s="1906">
        <f t="shared" si="1008"/>
        <v>0</v>
      </c>
      <c r="CY1091" s="1906">
        <f t="shared" si="1008"/>
        <v>0</v>
      </c>
      <c r="CZ1091" s="1906">
        <f t="shared" si="1008"/>
        <v>0</v>
      </c>
      <c r="DA1091" s="1906">
        <f t="shared" si="1008"/>
        <v>0</v>
      </c>
      <c r="DB1091" s="595" t="str">
        <f t="shared" si="1005"/>
        <v xml:space="preserve">Sudan </v>
      </c>
      <c r="DC1091" s="1443">
        <f t="shared" si="1006"/>
        <v>0</v>
      </c>
      <c r="DD1091" s="107"/>
      <c r="DE1091" s="111" t="str">
        <f t="shared" si="1007"/>
        <v xml:space="preserve">Sudan </v>
      </c>
      <c r="DF1091" s="1906">
        <f t="shared" si="1097"/>
        <v>0</v>
      </c>
      <c r="DG1091" s="1906">
        <f t="shared" si="1098"/>
        <v>0</v>
      </c>
      <c r="DH1091" s="1906">
        <f t="shared" si="1099"/>
        <v>0</v>
      </c>
      <c r="DI1091" s="1906">
        <f t="shared" si="1100"/>
        <v>0</v>
      </c>
      <c r="DJ1091" s="1906">
        <f t="shared" si="1101"/>
        <v>0</v>
      </c>
      <c r="DK1091" s="1906">
        <f t="shared" si="1102"/>
        <v>0</v>
      </c>
      <c r="DL1091" s="1906">
        <f t="shared" si="1103"/>
        <v>0</v>
      </c>
      <c r="DM1091" s="1906">
        <f t="shared" si="1104"/>
        <v>0</v>
      </c>
      <c r="DN1091" s="1906">
        <f t="shared" si="1105"/>
        <v>0</v>
      </c>
      <c r="DO1091" s="1906">
        <f t="shared" si="1106"/>
        <v>0</v>
      </c>
      <c r="DP1091" s="1906">
        <f t="shared" si="1107"/>
        <v>0</v>
      </c>
      <c r="DQ1091" s="1906">
        <f t="shared" si="1108"/>
        <v>0</v>
      </c>
    </row>
    <row r="1092" spans="1:121" x14ac:dyDescent="0.2">
      <c r="A1092" s="6"/>
      <c r="C1092" s="1906" t="str">
        <f t="shared" si="1009"/>
        <v/>
      </c>
      <c r="D1092" s="1906" t="str">
        <f t="shared" si="1010"/>
        <v/>
      </c>
      <c r="E1092" s="1906" t="str">
        <f t="shared" si="1011"/>
        <v/>
      </c>
      <c r="F1092" s="1906" t="str">
        <f t="shared" si="1012"/>
        <v/>
      </c>
      <c r="G1092" s="1906" t="str">
        <f t="shared" si="1013"/>
        <v/>
      </c>
      <c r="H1092" s="1906" t="str">
        <f t="shared" si="1014"/>
        <v/>
      </c>
      <c r="I1092" s="1906" t="str">
        <f t="shared" si="1015"/>
        <v/>
      </c>
      <c r="J1092" s="1906" t="str">
        <f t="shared" si="1016"/>
        <v/>
      </c>
      <c r="K1092" s="1906" t="str">
        <f t="shared" si="1017"/>
        <v/>
      </c>
      <c r="L1092" s="1906" t="str">
        <f t="shared" si="1018"/>
        <v/>
      </c>
      <c r="M1092" s="1906" t="str">
        <f t="shared" si="1019"/>
        <v/>
      </c>
      <c r="N1092" s="1906" t="str">
        <f t="shared" si="1020"/>
        <v/>
      </c>
      <c r="P1092" s="1906">
        <f t="shared" si="1021"/>
        <v>0</v>
      </c>
      <c r="Q1092" s="1906">
        <f t="shared" si="1022"/>
        <v>0</v>
      </c>
      <c r="R1092" s="1906">
        <f t="shared" si="1023"/>
        <v>0</v>
      </c>
      <c r="S1092" s="1906">
        <f t="shared" si="1024"/>
        <v>0</v>
      </c>
      <c r="T1092" s="1906">
        <f t="shared" si="1025"/>
        <v>0</v>
      </c>
      <c r="U1092" s="1906">
        <f t="shared" si="1026"/>
        <v>0</v>
      </c>
      <c r="V1092" s="1906">
        <f t="shared" si="1027"/>
        <v>0</v>
      </c>
      <c r="W1092" s="1906">
        <f t="shared" si="1028"/>
        <v>0</v>
      </c>
      <c r="X1092" s="1906">
        <f t="shared" si="1029"/>
        <v>0</v>
      </c>
      <c r="Y1092" s="1906">
        <f t="shared" si="1030"/>
        <v>0</v>
      </c>
      <c r="Z1092" s="1906">
        <f t="shared" si="1031"/>
        <v>0</v>
      </c>
      <c r="AA1092" s="1906">
        <f t="shared" si="1032"/>
        <v>0</v>
      </c>
      <c r="AC1092" s="1906"/>
      <c r="AD1092" s="1906">
        <f t="shared" si="1033"/>
        <v>0</v>
      </c>
      <c r="AE1092" s="1906">
        <f t="shared" si="1034"/>
        <v>0</v>
      </c>
      <c r="AF1092" s="1906">
        <f t="shared" si="1035"/>
        <v>0</v>
      </c>
      <c r="AG1092" s="1906">
        <f t="shared" si="1036"/>
        <v>0</v>
      </c>
      <c r="AH1092" s="1906">
        <f t="shared" si="1037"/>
        <v>0</v>
      </c>
      <c r="AI1092" s="1906">
        <f t="shared" si="1038"/>
        <v>0</v>
      </c>
      <c r="AJ1092" s="1906">
        <f t="shared" si="1039"/>
        <v>0</v>
      </c>
      <c r="AK1092" s="1906">
        <f t="shared" si="1040"/>
        <v>0</v>
      </c>
      <c r="AL1092" s="1906">
        <f t="shared" si="1041"/>
        <v>0</v>
      </c>
      <c r="AM1092" s="1906">
        <f t="shared" si="1042"/>
        <v>0</v>
      </c>
      <c r="AN1092" s="1906">
        <f t="shared" si="1043"/>
        <v>0</v>
      </c>
      <c r="AP1092" s="1906">
        <f t="shared" si="1044"/>
        <v>0</v>
      </c>
      <c r="AQ1092" s="1906">
        <f t="shared" si="1045"/>
        <v>0</v>
      </c>
      <c r="AR1092" s="1906">
        <f t="shared" si="1046"/>
        <v>0</v>
      </c>
      <c r="AS1092" s="1906">
        <f t="shared" si="1047"/>
        <v>0</v>
      </c>
      <c r="AT1092" s="1906">
        <f t="shared" si="1048"/>
        <v>0</v>
      </c>
      <c r="AU1092" s="1906">
        <f t="shared" si="1049"/>
        <v>0</v>
      </c>
      <c r="AV1092" s="1906">
        <f t="shared" si="1050"/>
        <v>0</v>
      </c>
      <c r="AW1092" s="1906">
        <f t="shared" si="1051"/>
        <v>0</v>
      </c>
      <c r="AX1092" s="1906">
        <f t="shared" si="1052"/>
        <v>0</v>
      </c>
      <c r="AY1092" s="1906">
        <f t="shared" si="1053"/>
        <v>0</v>
      </c>
      <c r="AZ1092" s="1906">
        <f t="shared" si="1054"/>
        <v>0</v>
      </c>
      <c r="BA1092" s="1906">
        <f t="shared" si="1055"/>
        <v>0</v>
      </c>
      <c r="BC1092" s="1906">
        <f t="shared" si="1056"/>
        <v>0</v>
      </c>
      <c r="BD1092" s="1906">
        <f t="shared" si="1057"/>
        <v>0</v>
      </c>
      <c r="BE1092" s="1906">
        <f t="shared" si="1058"/>
        <v>0</v>
      </c>
      <c r="BF1092" s="1906">
        <f t="shared" si="1059"/>
        <v>0</v>
      </c>
      <c r="BG1092" s="1906">
        <f t="shared" si="1060"/>
        <v>0</v>
      </c>
      <c r="BH1092" s="1906">
        <f t="shared" si="1061"/>
        <v>0</v>
      </c>
      <c r="BI1092" s="1906">
        <f t="shared" si="1062"/>
        <v>0</v>
      </c>
      <c r="BJ1092" s="1906">
        <f t="shared" si="1063"/>
        <v>0</v>
      </c>
      <c r="BK1092" s="1906">
        <f t="shared" si="1064"/>
        <v>0</v>
      </c>
      <c r="BL1092" s="1906">
        <f t="shared" si="1065"/>
        <v>0</v>
      </c>
      <c r="BM1092" s="1906">
        <f t="shared" si="1066"/>
        <v>0</v>
      </c>
      <c r="BN1092" s="1906">
        <f t="shared" si="1067"/>
        <v>0</v>
      </c>
      <c r="BP1092" s="1906">
        <f t="shared" si="1068"/>
        <v>0</v>
      </c>
      <c r="BQ1092" s="1906">
        <f t="shared" si="1069"/>
        <v>0</v>
      </c>
      <c r="BR1092" s="1906">
        <f t="shared" si="1070"/>
        <v>0</v>
      </c>
      <c r="BS1092" s="1906">
        <f t="shared" si="1071"/>
        <v>0</v>
      </c>
      <c r="BT1092" s="1906">
        <f t="shared" si="1072"/>
        <v>0</v>
      </c>
      <c r="BU1092" s="1906">
        <f t="shared" si="1073"/>
        <v>0</v>
      </c>
      <c r="BV1092" s="1906">
        <f t="shared" si="1074"/>
        <v>0</v>
      </c>
      <c r="BW1092" s="1906">
        <f t="shared" si="1075"/>
        <v>0</v>
      </c>
      <c r="BX1092" s="1906">
        <f t="shared" si="1076"/>
        <v>0</v>
      </c>
      <c r="BY1092" s="1906">
        <f t="shared" si="1077"/>
        <v>0</v>
      </c>
      <c r="BZ1092" s="1906">
        <f t="shared" si="1078"/>
        <v>0</v>
      </c>
      <c r="CA1092" s="1906">
        <f t="shared" si="1079"/>
        <v>0</v>
      </c>
      <c r="CC1092" s="1906">
        <f t="shared" si="1080"/>
        <v>0</v>
      </c>
      <c r="CD1092" s="1906">
        <f t="shared" si="1081"/>
        <v>0</v>
      </c>
      <c r="CE1092" s="1906">
        <f t="shared" si="1082"/>
        <v>0</v>
      </c>
      <c r="CF1092" s="1906">
        <f t="shared" si="1083"/>
        <v>0</v>
      </c>
      <c r="CG1092" s="1906">
        <f t="shared" si="1084"/>
        <v>0</v>
      </c>
      <c r="CH1092" s="1906">
        <f t="shared" si="1085"/>
        <v>0</v>
      </c>
      <c r="CI1092" s="1906">
        <f t="shared" si="1086"/>
        <v>0</v>
      </c>
      <c r="CJ1092" s="1906">
        <f t="shared" si="1087"/>
        <v>0</v>
      </c>
      <c r="CK1092" s="1906">
        <f t="shared" si="1088"/>
        <v>0</v>
      </c>
      <c r="CL1092" s="1906">
        <f t="shared" si="1089"/>
        <v>0</v>
      </c>
      <c r="CM1092" s="1906">
        <f t="shared" si="1090"/>
        <v>0</v>
      </c>
      <c r="CN1092" s="1906">
        <f t="shared" si="1091"/>
        <v>0</v>
      </c>
      <c r="CO1092" s="6">
        <f t="shared" si="1092"/>
        <v>0</v>
      </c>
      <c r="CP1092" s="1906">
        <f t="shared" si="1093"/>
        <v>0</v>
      </c>
      <c r="CQ1092" s="1906">
        <f t="shared" si="1094"/>
        <v>0</v>
      </c>
      <c r="CR1092" s="1906">
        <f t="shared" si="1095"/>
        <v>0</v>
      </c>
      <c r="CS1092" s="1906">
        <f t="shared" si="1096"/>
        <v>0</v>
      </c>
      <c r="CT1092" s="1906">
        <f t="shared" si="1008"/>
        <v>0</v>
      </c>
      <c r="CU1092" s="1906">
        <f t="shared" si="1008"/>
        <v>0</v>
      </c>
      <c r="CV1092" s="1906">
        <f t="shared" si="1008"/>
        <v>0</v>
      </c>
      <c r="CW1092" s="1906">
        <f t="shared" si="1008"/>
        <v>0</v>
      </c>
      <c r="CX1092" s="1906">
        <f t="shared" si="1008"/>
        <v>0</v>
      </c>
      <c r="CY1092" s="1906">
        <f t="shared" si="1008"/>
        <v>0</v>
      </c>
      <c r="CZ1092" s="1906">
        <f t="shared" si="1008"/>
        <v>0</v>
      </c>
      <c r="DA1092" s="1906">
        <f t="shared" si="1008"/>
        <v>0</v>
      </c>
      <c r="DB1092" s="595">
        <f t="shared" si="1005"/>
        <v>0</v>
      </c>
      <c r="DC1092" s="1443">
        <f t="shared" si="1006"/>
        <v>0</v>
      </c>
      <c r="DD1092" s="107"/>
      <c r="DE1092" s="111">
        <f t="shared" si="1007"/>
        <v>0</v>
      </c>
      <c r="DF1092" s="1906">
        <f t="shared" si="1097"/>
        <v>0</v>
      </c>
      <c r="DG1092" s="1906">
        <f t="shared" si="1098"/>
        <v>0</v>
      </c>
      <c r="DH1092" s="1906">
        <f t="shared" si="1099"/>
        <v>0</v>
      </c>
      <c r="DI1092" s="1906">
        <f t="shared" si="1100"/>
        <v>0</v>
      </c>
      <c r="DJ1092" s="1906">
        <f t="shared" si="1101"/>
        <v>0</v>
      </c>
      <c r="DK1092" s="1906">
        <f t="shared" si="1102"/>
        <v>0</v>
      </c>
      <c r="DL1092" s="1906">
        <f t="shared" si="1103"/>
        <v>0</v>
      </c>
      <c r="DM1092" s="1906">
        <f t="shared" si="1104"/>
        <v>0</v>
      </c>
      <c r="DN1092" s="1906">
        <f t="shared" si="1105"/>
        <v>0</v>
      </c>
      <c r="DO1092" s="1906">
        <f t="shared" si="1106"/>
        <v>0</v>
      </c>
      <c r="DP1092" s="1906">
        <f t="shared" si="1107"/>
        <v>0</v>
      </c>
      <c r="DQ1092" s="1906">
        <f t="shared" si="1108"/>
        <v>0</v>
      </c>
    </row>
    <row r="1093" spans="1:121" x14ac:dyDescent="0.2">
      <c r="A1093" s="6"/>
      <c r="C1093" s="1906" t="str">
        <f t="shared" si="1009"/>
        <v/>
      </c>
      <c r="D1093" s="1906" t="str">
        <f t="shared" si="1010"/>
        <v/>
      </c>
      <c r="E1093" s="1906" t="str">
        <f t="shared" si="1011"/>
        <v/>
      </c>
      <c r="F1093" s="1906" t="str">
        <f t="shared" si="1012"/>
        <v/>
      </c>
      <c r="G1093" s="1906" t="str">
        <f t="shared" si="1013"/>
        <v/>
      </c>
      <c r="H1093" s="1906" t="str">
        <f t="shared" si="1014"/>
        <v/>
      </c>
      <c r="I1093" s="1906" t="str">
        <f t="shared" si="1015"/>
        <v/>
      </c>
      <c r="J1093" s="1906" t="str">
        <f t="shared" si="1016"/>
        <v/>
      </c>
      <c r="K1093" s="1906" t="str">
        <f t="shared" si="1017"/>
        <v/>
      </c>
      <c r="L1093" s="1906" t="str">
        <f t="shared" si="1018"/>
        <v/>
      </c>
      <c r="M1093" s="1906" t="str">
        <f t="shared" si="1019"/>
        <v/>
      </c>
      <c r="N1093" s="1906" t="str">
        <f t="shared" si="1020"/>
        <v/>
      </c>
      <c r="P1093" s="1906">
        <f t="shared" si="1021"/>
        <v>0</v>
      </c>
      <c r="Q1093" s="1906">
        <f t="shared" si="1022"/>
        <v>0</v>
      </c>
      <c r="R1093" s="1906">
        <f t="shared" si="1023"/>
        <v>0</v>
      </c>
      <c r="S1093" s="1906">
        <f t="shared" si="1024"/>
        <v>0</v>
      </c>
      <c r="T1093" s="1906">
        <f t="shared" si="1025"/>
        <v>0</v>
      </c>
      <c r="U1093" s="1906">
        <f t="shared" si="1026"/>
        <v>0</v>
      </c>
      <c r="V1093" s="1906">
        <f t="shared" si="1027"/>
        <v>0</v>
      </c>
      <c r="W1093" s="1906">
        <f t="shared" si="1028"/>
        <v>0</v>
      </c>
      <c r="X1093" s="1906">
        <f t="shared" si="1029"/>
        <v>0</v>
      </c>
      <c r="Y1093" s="1906">
        <f t="shared" si="1030"/>
        <v>0</v>
      </c>
      <c r="Z1093" s="1906">
        <f t="shared" si="1031"/>
        <v>0</v>
      </c>
      <c r="AA1093" s="1906">
        <f t="shared" si="1032"/>
        <v>0</v>
      </c>
      <c r="AC1093" s="1906"/>
      <c r="AD1093" s="1906">
        <f t="shared" si="1033"/>
        <v>0</v>
      </c>
      <c r="AE1093" s="1906">
        <f t="shared" si="1034"/>
        <v>0</v>
      </c>
      <c r="AF1093" s="1906">
        <f t="shared" si="1035"/>
        <v>0</v>
      </c>
      <c r="AG1093" s="1906">
        <f t="shared" si="1036"/>
        <v>0</v>
      </c>
      <c r="AH1093" s="1906">
        <f t="shared" si="1037"/>
        <v>0</v>
      </c>
      <c r="AI1093" s="1906">
        <f t="shared" si="1038"/>
        <v>0</v>
      </c>
      <c r="AJ1093" s="1906">
        <f t="shared" si="1039"/>
        <v>0</v>
      </c>
      <c r="AK1093" s="1906">
        <f t="shared" si="1040"/>
        <v>0</v>
      </c>
      <c r="AL1093" s="1906">
        <f t="shared" si="1041"/>
        <v>0</v>
      </c>
      <c r="AM1093" s="1906">
        <f t="shared" si="1042"/>
        <v>0</v>
      </c>
      <c r="AN1093" s="1906">
        <f t="shared" si="1043"/>
        <v>0</v>
      </c>
      <c r="AP1093" s="1906">
        <f t="shared" si="1044"/>
        <v>0</v>
      </c>
      <c r="AQ1093" s="1906">
        <f t="shared" si="1045"/>
        <v>0</v>
      </c>
      <c r="AR1093" s="1906">
        <f t="shared" si="1046"/>
        <v>0</v>
      </c>
      <c r="AS1093" s="1906">
        <f t="shared" si="1047"/>
        <v>0</v>
      </c>
      <c r="AT1093" s="1906">
        <f t="shared" si="1048"/>
        <v>0</v>
      </c>
      <c r="AU1093" s="1906">
        <f t="shared" si="1049"/>
        <v>0</v>
      </c>
      <c r="AV1093" s="1906">
        <f t="shared" si="1050"/>
        <v>0</v>
      </c>
      <c r="AW1093" s="1906">
        <f t="shared" si="1051"/>
        <v>0</v>
      </c>
      <c r="AX1093" s="1906">
        <f t="shared" si="1052"/>
        <v>0</v>
      </c>
      <c r="AY1093" s="1906">
        <f t="shared" si="1053"/>
        <v>0</v>
      </c>
      <c r="AZ1093" s="1906">
        <f t="shared" si="1054"/>
        <v>0</v>
      </c>
      <c r="BA1093" s="1906">
        <f t="shared" si="1055"/>
        <v>0</v>
      </c>
      <c r="BC1093" s="1906">
        <f t="shared" si="1056"/>
        <v>0</v>
      </c>
      <c r="BD1093" s="1906">
        <f t="shared" si="1057"/>
        <v>0</v>
      </c>
      <c r="BE1093" s="1906">
        <f t="shared" si="1058"/>
        <v>0</v>
      </c>
      <c r="BF1093" s="1906">
        <f t="shared" si="1059"/>
        <v>0</v>
      </c>
      <c r="BG1093" s="1906">
        <f t="shared" si="1060"/>
        <v>0</v>
      </c>
      <c r="BH1093" s="1906">
        <f t="shared" si="1061"/>
        <v>0</v>
      </c>
      <c r="BI1093" s="1906">
        <f t="shared" si="1062"/>
        <v>0</v>
      </c>
      <c r="BJ1093" s="1906">
        <f t="shared" si="1063"/>
        <v>0</v>
      </c>
      <c r="BK1093" s="1906">
        <f t="shared" si="1064"/>
        <v>0</v>
      </c>
      <c r="BL1093" s="1906">
        <f t="shared" si="1065"/>
        <v>0</v>
      </c>
      <c r="BM1093" s="1906">
        <f t="shared" si="1066"/>
        <v>0</v>
      </c>
      <c r="BN1093" s="1906">
        <f t="shared" si="1067"/>
        <v>0</v>
      </c>
      <c r="BP1093" s="1906">
        <f t="shared" si="1068"/>
        <v>0</v>
      </c>
      <c r="BQ1093" s="1906">
        <f t="shared" si="1069"/>
        <v>0</v>
      </c>
      <c r="BR1093" s="1906">
        <f t="shared" si="1070"/>
        <v>0</v>
      </c>
      <c r="BS1093" s="1906">
        <f t="shared" si="1071"/>
        <v>0</v>
      </c>
      <c r="BT1093" s="1906">
        <f t="shared" si="1072"/>
        <v>0</v>
      </c>
      <c r="BU1093" s="1906">
        <f t="shared" si="1073"/>
        <v>0</v>
      </c>
      <c r="BV1093" s="1906">
        <f t="shared" si="1074"/>
        <v>0</v>
      </c>
      <c r="BW1093" s="1906">
        <f t="shared" si="1075"/>
        <v>0</v>
      </c>
      <c r="BX1093" s="1906">
        <f t="shared" si="1076"/>
        <v>0</v>
      </c>
      <c r="BY1093" s="1906">
        <f t="shared" si="1077"/>
        <v>0</v>
      </c>
      <c r="BZ1093" s="1906">
        <f t="shared" si="1078"/>
        <v>0</v>
      </c>
      <c r="CA1093" s="1906">
        <f t="shared" si="1079"/>
        <v>0</v>
      </c>
      <c r="CC1093" s="1906">
        <f t="shared" si="1080"/>
        <v>0</v>
      </c>
      <c r="CD1093" s="1906">
        <f t="shared" si="1081"/>
        <v>0</v>
      </c>
      <c r="CE1093" s="1906">
        <f t="shared" si="1082"/>
        <v>0</v>
      </c>
      <c r="CF1093" s="1906">
        <f t="shared" si="1083"/>
        <v>0</v>
      </c>
      <c r="CG1093" s="1906">
        <f t="shared" si="1084"/>
        <v>0</v>
      </c>
      <c r="CH1093" s="1906">
        <f t="shared" si="1085"/>
        <v>0</v>
      </c>
      <c r="CI1093" s="1906">
        <f t="shared" si="1086"/>
        <v>0</v>
      </c>
      <c r="CJ1093" s="1906">
        <f t="shared" si="1087"/>
        <v>0</v>
      </c>
      <c r="CK1093" s="1906">
        <f t="shared" si="1088"/>
        <v>0</v>
      </c>
      <c r="CL1093" s="1906">
        <f t="shared" si="1089"/>
        <v>0</v>
      </c>
      <c r="CM1093" s="1906">
        <f t="shared" si="1090"/>
        <v>0</v>
      </c>
      <c r="CN1093" s="1906">
        <f t="shared" si="1091"/>
        <v>0</v>
      </c>
      <c r="CO1093" s="6">
        <f t="shared" si="1092"/>
        <v>0</v>
      </c>
      <c r="CP1093" s="1906">
        <f t="shared" si="1093"/>
        <v>0</v>
      </c>
      <c r="CQ1093" s="1906">
        <f t="shared" si="1094"/>
        <v>0</v>
      </c>
      <c r="CR1093" s="1906">
        <f t="shared" si="1095"/>
        <v>0</v>
      </c>
      <c r="CS1093" s="1906">
        <f t="shared" si="1096"/>
        <v>0</v>
      </c>
      <c r="CT1093" s="1906">
        <f t="shared" ref="CT1093:DA1116" si="1109">+T1093+AG1093+AT1093+BG1093+BT1093+CG1093</f>
        <v>0</v>
      </c>
      <c r="CU1093" s="1906">
        <f t="shared" si="1109"/>
        <v>0</v>
      </c>
      <c r="CV1093" s="1906">
        <f t="shared" si="1109"/>
        <v>0</v>
      </c>
      <c r="CW1093" s="1906">
        <f t="shared" si="1109"/>
        <v>0</v>
      </c>
      <c r="CX1093" s="1906">
        <f t="shared" si="1109"/>
        <v>0</v>
      </c>
      <c r="CY1093" s="1906">
        <f t="shared" si="1109"/>
        <v>0</v>
      </c>
      <c r="CZ1093" s="1906">
        <f t="shared" si="1109"/>
        <v>0</v>
      </c>
      <c r="DA1093" s="1906">
        <f t="shared" si="1109"/>
        <v>0</v>
      </c>
      <c r="DB1093" s="595">
        <f t="shared" si="1005"/>
        <v>0</v>
      </c>
      <c r="DC1093" s="1443">
        <f t="shared" si="1006"/>
        <v>0</v>
      </c>
      <c r="DD1093" s="107"/>
      <c r="DE1093" s="111">
        <f t="shared" si="1007"/>
        <v>0</v>
      </c>
      <c r="DF1093" s="1906">
        <f t="shared" si="1097"/>
        <v>0</v>
      </c>
      <c r="DG1093" s="1906">
        <f t="shared" si="1098"/>
        <v>0</v>
      </c>
      <c r="DH1093" s="1906">
        <f t="shared" si="1099"/>
        <v>0</v>
      </c>
      <c r="DI1093" s="1906">
        <f t="shared" si="1100"/>
        <v>0</v>
      </c>
      <c r="DJ1093" s="1906">
        <f t="shared" si="1101"/>
        <v>0</v>
      </c>
      <c r="DK1093" s="1906">
        <f t="shared" si="1102"/>
        <v>0</v>
      </c>
      <c r="DL1093" s="1906">
        <f t="shared" si="1103"/>
        <v>0</v>
      </c>
      <c r="DM1093" s="1906">
        <f t="shared" si="1104"/>
        <v>0</v>
      </c>
      <c r="DN1093" s="1906">
        <f t="shared" si="1105"/>
        <v>0</v>
      </c>
      <c r="DO1093" s="1906">
        <f t="shared" si="1106"/>
        <v>0</v>
      </c>
      <c r="DP1093" s="1906">
        <f t="shared" si="1107"/>
        <v>0</v>
      </c>
      <c r="DQ1093" s="1906">
        <f t="shared" si="1108"/>
        <v>0</v>
      </c>
    </row>
    <row r="1094" spans="1:121" x14ac:dyDescent="0.2">
      <c r="A1094" s="6"/>
      <c r="C1094" s="1906" t="str">
        <f t="shared" si="1009"/>
        <v/>
      </c>
      <c r="D1094" s="1906" t="str">
        <f t="shared" si="1010"/>
        <v/>
      </c>
      <c r="E1094" s="1906" t="str">
        <f t="shared" si="1011"/>
        <v/>
      </c>
      <c r="F1094" s="1906" t="str">
        <f t="shared" si="1012"/>
        <v/>
      </c>
      <c r="G1094" s="1906" t="str">
        <f t="shared" si="1013"/>
        <v/>
      </c>
      <c r="H1094" s="1906" t="str">
        <f t="shared" si="1014"/>
        <v/>
      </c>
      <c r="I1094" s="1906" t="str">
        <f t="shared" si="1015"/>
        <v/>
      </c>
      <c r="J1094" s="1906" t="str">
        <f t="shared" si="1016"/>
        <v/>
      </c>
      <c r="K1094" s="1906" t="str">
        <f t="shared" si="1017"/>
        <v/>
      </c>
      <c r="L1094" s="1906" t="str">
        <f t="shared" si="1018"/>
        <v/>
      </c>
      <c r="M1094" s="1906" t="str">
        <f t="shared" si="1019"/>
        <v/>
      </c>
      <c r="N1094" s="1906" t="str">
        <f t="shared" si="1020"/>
        <v/>
      </c>
      <c r="P1094" s="1906">
        <f t="shared" si="1021"/>
        <v>0</v>
      </c>
      <c r="Q1094" s="1906">
        <f t="shared" si="1022"/>
        <v>0</v>
      </c>
      <c r="R1094" s="1906">
        <f t="shared" si="1023"/>
        <v>0</v>
      </c>
      <c r="S1094" s="1906">
        <f t="shared" si="1024"/>
        <v>0</v>
      </c>
      <c r="T1094" s="1906">
        <f t="shared" si="1025"/>
        <v>0</v>
      </c>
      <c r="U1094" s="1906">
        <f t="shared" si="1026"/>
        <v>0</v>
      </c>
      <c r="V1094" s="1906">
        <f t="shared" si="1027"/>
        <v>0</v>
      </c>
      <c r="W1094" s="1906">
        <f t="shared" si="1028"/>
        <v>0</v>
      </c>
      <c r="X1094" s="1906">
        <f t="shared" si="1029"/>
        <v>0</v>
      </c>
      <c r="Y1094" s="1906">
        <f t="shared" si="1030"/>
        <v>0</v>
      </c>
      <c r="Z1094" s="1906">
        <f t="shared" si="1031"/>
        <v>0</v>
      </c>
      <c r="AA1094" s="1906">
        <f t="shared" si="1032"/>
        <v>0</v>
      </c>
      <c r="AC1094" s="1906"/>
      <c r="AD1094" s="1906">
        <f t="shared" si="1033"/>
        <v>0</v>
      </c>
      <c r="AE1094" s="1906">
        <f t="shared" si="1034"/>
        <v>0</v>
      </c>
      <c r="AF1094" s="1906">
        <f t="shared" si="1035"/>
        <v>0</v>
      </c>
      <c r="AG1094" s="1906">
        <f t="shared" si="1036"/>
        <v>0</v>
      </c>
      <c r="AH1094" s="1906">
        <f t="shared" si="1037"/>
        <v>0</v>
      </c>
      <c r="AI1094" s="1906">
        <f t="shared" si="1038"/>
        <v>0</v>
      </c>
      <c r="AJ1094" s="1906">
        <f t="shared" si="1039"/>
        <v>0</v>
      </c>
      <c r="AK1094" s="1906">
        <f t="shared" si="1040"/>
        <v>0</v>
      </c>
      <c r="AL1094" s="1906">
        <f t="shared" si="1041"/>
        <v>0</v>
      </c>
      <c r="AM1094" s="1906">
        <f t="shared" si="1042"/>
        <v>0</v>
      </c>
      <c r="AN1094" s="1906">
        <f t="shared" si="1043"/>
        <v>0</v>
      </c>
      <c r="AP1094" s="1906">
        <f t="shared" si="1044"/>
        <v>0</v>
      </c>
      <c r="AQ1094" s="1906">
        <f t="shared" si="1045"/>
        <v>0</v>
      </c>
      <c r="AR1094" s="1906">
        <f t="shared" si="1046"/>
        <v>0</v>
      </c>
      <c r="AS1094" s="1906">
        <f t="shared" si="1047"/>
        <v>0</v>
      </c>
      <c r="AT1094" s="1906">
        <f t="shared" si="1048"/>
        <v>0</v>
      </c>
      <c r="AU1094" s="1906">
        <f t="shared" si="1049"/>
        <v>0</v>
      </c>
      <c r="AV1094" s="1906">
        <f t="shared" si="1050"/>
        <v>0</v>
      </c>
      <c r="AW1094" s="1906">
        <f t="shared" si="1051"/>
        <v>0</v>
      </c>
      <c r="AX1094" s="1906">
        <f t="shared" si="1052"/>
        <v>0</v>
      </c>
      <c r="AY1094" s="1906">
        <f t="shared" si="1053"/>
        <v>0</v>
      </c>
      <c r="AZ1094" s="1906">
        <f t="shared" si="1054"/>
        <v>0</v>
      </c>
      <c r="BA1094" s="1906">
        <f t="shared" si="1055"/>
        <v>0</v>
      </c>
      <c r="BC1094" s="1906">
        <f t="shared" si="1056"/>
        <v>0</v>
      </c>
      <c r="BD1094" s="1906">
        <f t="shared" si="1057"/>
        <v>0</v>
      </c>
      <c r="BE1094" s="1906">
        <f t="shared" si="1058"/>
        <v>0</v>
      </c>
      <c r="BF1094" s="1906">
        <f t="shared" si="1059"/>
        <v>0</v>
      </c>
      <c r="BG1094" s="1906">
        <f t="shared" si="1060"/>
        <v>0</v>
      </c>
      <c r="BH1094" s="1906">
        <f t="shared" si="1061"/>
        <v>0</v>
      </c>
      <c r="BI1094" s="1906">
        <f t="shared" si="1062"/>
        <v>0</v>
      </c>
      <c r="BJ1094" s="1906">
        <f t="shared" si="1063"/>
        <v>0</v>
      </c>
      <c r="BK1094" s="1906">
        <f t="shared" si="1064"/>
        <v>0</v>
      </c>
      <c r="BL1094" s="1906">
        <f t="shared" si="1065"/>
        <v>0</v>
      </c>
      <c r="BM1094" s="1906">
        <f t="shared" si="1066"/>
        <v>0</v>
      </c>
      <c r="BN1094" s="1906">
        <f t="shared" si="1067"/>
        <v>0</v>
      </c>
      <c r="BP1094" s="1906">
        <f t="shared" si="1068"/>
        <v>0</v>
      </c>
      <c r="BQ1094" s="1906">
        <f t="shared" si="1069"/>
        <v>0</v>
      </c>
      <c r="BR1094" s="1906">
        <f t="shared" si="1070"/>
        <v>0</v>
      </c>
      <c r="BS1094" s="1906">
        <f t="shared" si="1071"/>
        <v>0</v>
      </c>
      <c r="BT1094" s="1906">
        <f t="shared" si="1072"/>
        <v>0</v>
      </c>
      <c r="BU1094" s="1906">
        <f t="shared" si="1073"/>
        <v>0</v>
      </c>
      <c r="BV1094" s="1906">
        <f t="shared" si="1074"/>
        <v>0</v>
      </c>
      <c r="BW1094" s="1906">
        <f t="shared" si="1075"/>
        <v>0</v>
      </c>
      <c r="BX1094" s="1906">
        <f t="shared" si="1076"/>
        <v>0</v>
      </c>
      <c r="BY1094" s="1906">
        <f t="shared" si="1077"/>
        <v>0</v>
      </c>
      <c r="BZ1094" s="1906">
        <f t="shared" si="1078"/>
        <v>0</v>
      </c>
      <c r="CA1094" s="1906">
        <f t="shared" si="1079"/>
        <v>0</v>
      </c>
      <c r="CC1094" s="1906">
        <f t="shared" si="1080"/>
        <v>0</v>
      </c>
      <c r="CD1094" s="1906">
        <f t="shared" si="1081"/>
        <v>0</v>
      </c>
      <c r="CE1094" s="1906">
        <f t="shared" si="1082"/>
        <v>0</v>
      </c>
      <c r="CF1094" s="1906">
        <f t="shared" si="1083"/>
        <v>0</v>
      </c>
      <c r="CG1094" s="1906">
        <f t="shared" si="1084"/>
        <v>0</v>
      </c>
      <c r="CH1094" s="1906">
        <f t="shared" si="1085"/>
        <v>0</v>
      </c>
      <c r="CI1094" s="1906">
        <f t="shared" si="1086"/>
        <v>0</v>
      </c>
      <c r="CJ1094" s="1906">
        <f t="shared" si="1087"/>
        <v>0</v>
      </c>
      <c r="CK1094" s="1906">
        <f t="shared" si="1088"/>
        <v>0</v>
      </c>
      <c r="CL1094" s="1906">
        <f t="shared" si="1089"/>
        <v>0</v>
      </c>
      <c r="CM1094" s="1906">
        <f t="shared" si="1090"/>
        <v>0</v>
      </c>
      <c r="CN1094" s="1906">
        <f t="shared" si="1091"/>
        <v>0</v>
      </c>
      <c r="CO1094" s="6">
        <f t="shared" si="1092"/>
        <v>0</v>
      </c>
      <c r="CP1094" s="1906">
        <f t="shared" si="1093"/>
        <v>0</v>
      </c>
      <c r="CQ1094" s="1906">
        <f t="shared" si="1094"/>
        <v>0</v>
      </c>
      <c r="CR1094" s="1906">
        <f t="shared" si="1095"/>
        <v>0</v>
      </c>
      <c r="CS1094" s="1906">
        <f t="shared" si="1096"/>
        <v>0</v>
      </c>
      <c r="CT1094" s="1906">
        <f t="shared" si="1109"/>
        <v>0</v>
      </c>
      <c r="CU1094" s="1906">
        <f t="shared" si="1109"/>
        <v>0</v>
      </c>
      <c r="CV1094" s="1906">
        <f t="shared" si="1109"/>
        <v>0</v>
      </c>
      <c r="CW1094" s="1906">
        <f t="shared" si="1109"/>
        <v>0</v>
      </c>
      <c r="CX1094" s="1906">
        <f t="shared" si="1109"/>
        <v>0</v>
      </c>
      <c r="CY1094" s="1906">
        <f t="shared" si="1109"/>
        <v>0</v>
      </c>
      <c r="CZ1094" s="1906">
        <f t="shared" si="1109"/>
        <v>0</v>
      </c>
      <c r="DA1094" s="1906">
        <f t="shared" si="1109"/>
        <v>0</v>
      </c>
      <c r="DB1094" s="595">
        <f t="shared" si="1005"/>
        <v>0</v>
      </c>
      <c r="DC1094" s="1443">
        <f t="shared" si="1006"/>
        <v>0</v>
      </c>
      <c r="DD1094" s="107"/>
      <c r="DE1094" s="111">
        <f t="shared" si="1007"/>
        <v>0</v>
      </c>
      <c r="DF1094" s="1906">
        <f t="shared" si="1097"/>
        <v>0</v>
      </c>
      <c r="DG1094" s="1906">
        <f t="shared" si="1098"/>
        <v>0</v>
      </c>
      <c r="DH1094" s="1906">
        <f t="shared" si="1099"/>
        <v>0</v>
      </c>
      <c r="DI1094" s="1906">
        <f t="shared" si="1100"/>
        <v>0</v>
      </c>
      <c r="DJ1094" s="1906">
        <f t="shared" si="1101"/>
        <v>0</v>
      </c>
      <c r="DK1094" s="1906">
        <f t="shared" si="1102"/>
        <v>0</v>
      </c>
      <c r="DL1094" s="1906">
        <f t="shared" si="1103"/>
        <v>0</v>
      </c>
      <c r="DM1094" s="1906">
        <f t="shared" si="1104"/>
        <v>0</v>
      </c>
      <c r="DN1094" s="1906">
        <f t="shared" si="1105"/>
        <v>0</v>
      </c>
      <c r="DO1094" s="1906">
        <f t="shared" si="1106"/>
        <v>0</v>
      </c>
      <c r="DP1094" s="1906">
        <f t="shared" si="1107"/>
        <v>0</v>
      </c>
      <c r="DQ1094" s="1906">
        <f t="shared" si="1108"/>
        <v>0</v>
      </c>
    </row>
    <row r="1095" spans="1:121" x14ac:dyDescent="0.2">
      <c r="A1095" s="6"/>
      <c r="C1095" s="1906" t="str">
        <f t="shared" si="1009"/>
        <v/>
      </c>
      <c r="D1095" s="1906" t="str">
        <f t="shared" si="1010"/>
        <v/>
      </c>
      <c r="E1095" s="1906" t="str">
        <f t="shared" si="1011"/>
        <v/>
      </c>
      <c r="F1095" s="1906" t="str">
        <f t="shared" si="1012"/>
        <v/>
      </c>
      <c r="G1095" s="1906" t="str">
        <f t="shared" si="1013"/>
        <v/>
      </c>
      <c r="H1095" s="1906" t="str">
        <f t="shared" si="1014"/>
        <v/>
      </c>
      <c r="I1095" s="1906" t="str">
        <f t="shared" si="1015"/>
        <v/>
      </c>
      <c r="J1095" s="1906" t="str">
        <f t="shared" si="1016"/>
        <v/>
      </c>
      <c r="K1095" s="1906" t="str">
        <f t="shared" si="1017"/>
        <v/>
      </c>
      <c r="L1095" s="1906" t="str">
        <f t="shared" si="1018"/>
        <v/>
      </c>
      <c r="M1095" s="1906" t="str">
        <f t="shared" si="1019"/>
        <v/>
      </c>
      <c r="N1095" s="1906" t="str">
        <f t="shared" si="1020"/>
        <v/>
      </c>
      <c r="P1095" s="1906">
        <f t="shared" si="1021"/>
        <v>0</v>
      </c>
      <c r="Q1095" s="1906">
        <f t="shared" si="1022"/>
        <v>0</v>
      </c>
      <c r="R1095" s="1906">
        <f t="shared" si="1023"/>
        <v>0</v>
      </c>
      <c r="S1095" s="1906">
        <f t="shared" si="1024"/>
        <v>0</v>
      </c>
      <c r="T1095" s="1906">
        <f t="shared" si="1025"/>
        <v>0</v>
      </c>
      <c r="U1095" s="1906">
        <f t="shared" si="1026"/>
        <v>0</v>
      </c>
      <c r="V1095" s="1906">
        <f t="shared" si="1027"/>
        <v>0</v>
      </c>
      <c r="W1095" s="1906">
        <f t="shared" si="1028"/>
        <v>0</v>
      </c>
      <c r="X1095" s="1906">
        <f t="shared" si="1029"/>
        <v>0</v>
      </c>
      <c r="Y1095" s="1906">
        <f t="shared" si="1030"/>
        <v>0</v>
      </c>
      <c r="Z1095" s="1906">
        <f t="shared" si="1031"/>
        <v>0</v>
      </c>
      <c r="AA1095" s="1906">
        <f t="shared" si="1032"/>
        <v>0</v>
      </c>
      <c r="AC1095" s="1906"/>
      <c r="AD1095" s="1906">
        <f t="shared" si="1033"/>
        <v>0</v>
      </c>
      <c r="AE1095" s="1906">
        <f t="shared" si="1034"/>
        <v>0</v>
      </c>
      <c r="AF1095" s="1906">
        <f t="shared" si="1035"/>
        <v>0</v>
      </c>
      <c r="AG1095" s="1906">
        <f t="shared" si="1036"/>
        <v>0</v>
      </c>
      <c r="AH1095" s="1906">
        <f t="shared" si="1037"/>
        <v>0</v>
      </c>
      <c r="AI1095" s="1906">
        <f t="shared" si="1038"/>
        <v>0</v>
      </c>
      <c r="AJ1095" s="1906">
        <f t="shared" si="1039"/>
        <v>0</v>
      </c>
      <c r="AK1095" s="1906">
        <f t="shared" si="1040"/>
        <v>0</v>
      </c>
      <c r="AL1095" s="1906">
        <f t="shared" si="1041"/>
        <v>0</v>
      </c>
      <c r="AM1095" s="1906">
        <f t="shared" si="1042"/>
        <v>0</v>
      </c>
      <c r="AN1095" s="1906">
        <f t="shared" si="1043"/>
        <v>0</v>
      </c>
      <c r="AP1095" s="1906">
        <f t="shared" si="1044"/>
        <v>0</v>
      </c>
      <c r="AQ1095" s="1906">
        <f t="shared" si="1045"/>
        <v>0</v>
      </c>
      <c r="AR1095" s="1906">
        <f t="shared" si="1046"/>
        <v>0</v>
      </c>
      <c r="AS1095" s="1906">
        <f t="shared" si="1047"/>
        <v>0</v>
      </c>
      <c r="AT1095" s="1906">
        <f t="shared" si="1048"/>
        <v>0</v>
      </c>
      <c r="AU1095" s="1906">
        <f t="shared" si="1049"/>
        <v>0</v>
      </c>
      <c r="AV1095" s="1906">
        <f t="shared" si="1050"/>
        <v>0</v>
      </c>
      <c r="AW1095" s="1906">
        <f t="shared" si="1051"/>
        <v>0</v>
      </c>
      <c r="AX1095" s="1906">
        <f t="shared" si="1052"/>
        <v>0</v>
      </c>
      <c r="AY1095" s="1906">
        <f t="shared" si="1053"/>
        <v>0</v>
      </c>
      <c r="AZ1095" s="1906">
        <f t="shared" si="1054"/>
        <v>0</v>
      </c>
      <c r="BA1095" s="1906">
        <f t="shared" si="1055"/>
        <v>0</v>
      </c>
      <c r="BC1095" s="1906">
        <f t="shared" si="1056"/>
        <v>0</v>
      </c>
      <c r="BD1095" s="1906">
        <f t="shared" si="1057"/>
        <v>0</v>
      </c>
      <c r="BE1095" s="1906">
        <f t="shared" si="1058"/>
        <v>0</v>
      </c>
      <c r="BF1095" s="1906">
        <f t="shared" si="1059"/>
        <v>0</v>
      </c>
      <c r="BG1095" s="1906">
        <f t="shared" si="1060"/>
        <v>0</v>
      </c>
      <c r="BH1095" s="1906">
        <f t="shared" si="1061"/>
        <v>0</v>
      </c>
      <c r="BI1095" s="1906">
        <f t="shared" si="1062"/>
        <v>0</v>
      </c>
      <c r="BJ1095" s="1906">
        <f t="shared" si="1063"/>
        <v>0</v>
      </c>
      <c r="BK1095" s="1906">
        <f t="shared" si="1064"/>
        <v>0</v>
      </c>
      <c r="BL1095" s="1906">
        <f t="shared" si="1065"/>
        <v>0</v>
      </c>
      <c r="BM1095" s="1906">
        <f t="shared" si="1066"/>
        <v>0</v>
      </c>
      <c r="BN1095" s="1906">
        <f t="shared" si="1067"/>
        <v>0</v>
      </c>
      <c r="BP1095" s="1906">
        <f t="shared" si="1068"/>
        <v>0</v>
      </c>
      <c r="BQ1095" s="1906">
        <f t="shared" si="1069"/>
        <v>0</v>
      </c>
      <c r="BR1095" s="1906">
        <f t="shared" si="1070"/>
        <v>0</v>
      </c>
      <c r="BS1095" s="1906">
        <f t="shared" si="1071"/>
        <v>0</v>
      </c>
      <c r="BT1095" s="1906">
        <f t="shared" si="1072"/>
        <v>0</v>
      </c>
      <c r="BU1095" s="1906">
        <f t="shared" si="1073"/>
        <v>0</v>
      </c>
      <c r="BV1095" s="1906">
        <f t="shared" si="1074"/>
        <v>0</v>
      </c>
      <c r="BW1095" s="1906">
        <f t="shared" si="1075"/>
        <v>0</v>
      </c>
      <c r="BX1095" s="1906">
        <f t="shared" si="1076"/>
        <v>0</v>
      </c>
      <c r="BY1095" s="1906">
        <f t="shared" si="1077"/>
        <v>0</v>
      </c>
      <c r="BZ1095" s="1906">
        <f t="shared" si="1078"/>
        <v>0</v>
      </c>
      <c r="CA1095" s="1906">
        <f t="shared" si="1079"/>
        <v>0</v>
      </c>
      <c r="CC1095" s="1906">
        <f t="shared" si="1080"/>
        <v>0</v>
      </c>
      <c r="CD1095" s="1906">
        <f t="shared" si="1081"/>
        <v>0</v>
      </c>
      <c r="CE1095" s="1906">
        <f t="shared" si="1082"/>
        <v>0</v>
      </c>
      <c r="CF1095" s="1906">
        <f t="shared" si="1083"/>
        <v>0</v>
      </c>
      <c r="CG1095" s="1906">
        <f t="shared" si="1084"/>
        <v>0</v>
      </c>
      <c r="CH1095" s="1906">
        <f t="shared" si="1085"/>
        <v>0</v>
      </c>
      <c r="CI1095" s="1906">
        <f t="shared" si="1086"/>
        <v>0</v>
      </c>
      <c r="CJ1095" s="1906">
        <f t="shared" si="1087"/>
        <v>0</v>
      </c>
      <c r="CK1095" s="1906">
        <f t="shared" si="1088"/>
        <v>0</v>
      </c>
      <c r="CL1095" s="1906">
        <f t="shared" si="1089"/>
        <v>0</v>
      </c>
      <c r="CM1095" s="1906">
        <f t="shared" si="1090"/>
        <v>0</v>
      </c>
      <c r="CN1095" s="1906">
        <f t="shared" si="1091"/>
        <v>0</v>
      </c>
      <c r="CO1095" s="6" t="str">
        <f t="shared" si="1092"/>
        <v xml:space="preserve">Subtotal Verdeos de Verano </v>
      </c>
      <c r="CP1095" s="1906">
        <f t="shared" si="1093"/>
        <v>0</v>
      </c>
      <c r="CQ1095" s="1906">
        <f t="shared" si="1094"/>
        <v>0</v>
      </c>
      <c r="CR1095" s="1906">
        <f t="shared" si="1095"/>
        <v>0</v>
      </c>
      <c r="CS1095" s="1906">
        <f t="shared" si="1096"/>
        <v>0</v>
      </c>
      <c r="CT1095" s="1906">
        <f t="shared" si="1109"/>
        <v>0</v>
      </c>
      <c r="CU1095" s="1906">
        <f t="shared" si="1109"/>
        <v>0</v>
      </c>
      <c r="CV1095" s="1906">
        <f t="shared" si="1109"/>
        <v>0</v>
      </c>
      <c r="CW1095" s="1906">
        <f t="shared" si="1109"/>
        <v>0</v>
      </c>
      <c r="CX1095" s="1906">
        <f t="shared" si="1109"/>
        <v>0</v>
      </c>
      <c r="CY1095" s="1906">
        <f t="shared" si="1109"/>
        <v>0</v>
      </c>
      <c r="CZ1095" s="1906">
        <f t="shared" si="1109"/>
        <v>0</v>
      </c>
      <c r="DA1095" s="1906">
        <f t="shared" si="1109"/>
        <v>0</v>
      </c>
      <c r="DB1095" s="595" t="str">
        <f t="shared" si="1005"/>
        <v xml:space="preserve">Subtotal Verdeos de Verano </v>
      </c>
      <c r="DC1095" s="1443">
        <f t="shared" si="1006"/>
        <v>0</v>
      </c>
      <c r="DD1095" s="107"/>
      <c r="DE1095" s="111" t="str">
        <f t="shared" si="1007"/>
        <v xml:space="preserve">Subtotal Verdeos de Verano </v>
      </c>
      <c r="DF1095" s="1906">
        <f t="shared" si="1097"/>
        <v>0</v>
      </c>
      <c r="DG1095" s="1906">
        <f t="shared" si="1098"/>
        <v>0</v>
      </c>
      <c r="DH1095" s="1906">
        <f t="shared" si="1099"/>
        <v>0</v>
      </c>
      <c r="DI1095" s="1906">
        <f t="shared" si="1100"/>
        <v>0</v>
      </c>
      <c r="DJ1095" s="1906">
        <f t="shared" si="1101"/>
        <v>0</v>
      </c>
      <c r="DK1095" s="1906">
        <f t="shared" si="1102"/>
        <v>0</v>
      </c>
      <c r="DL1095" s="1906">
        <f t="shared" si="1103"/>
        <v>0</v>
      </c>
      <c r="DM1095" s="1906">
        <f t="shared" si="1104"/>
        <v>0</v>
      </c>
      <c r="DN1095" s="1906">
        <f t="shared" si="1105"/>
        <v>0</v>
      </c>
      <c r="DO1095" s="1906">
        <f t="shared" si="1106"/>
        <v>0</v>
      </c>
      <c r="DP1095" s="1906">
        <f t="shared" si="1107"/>
        <v>0</v>
      </c>
      <c r="DQ1095" s="1906">
        <f t="shared" si="1108"/>
        <v>0</v>
      </c>
    </row>
    <row r="1096" spans="1:121" x14ac:dyDescent="0.2">
      <c r="A1096" s="6"/>
      <c r="C1096" s="1906" t="str">
        <f t="shared" si="1009"/>
        <v/>
      </c>
      <c r="D1096" s="1906" t="str">
        <f t="shared" si="1010"/>
        <v/>
      </c>
      <c r="E1096" s="1906" t="str">
        <f t="shared" si="1011"/>
        <v/>
      </c>
      <c r="F1096" s="1906" t="str">
        <f t="shared" si="1012"/>
        <v/>
      </c>
      <c r="G1096" s="1906" t="str">
        <f t="shared" si="1013"/>
        <v/>
      </c>
      <c r="H1096" s="1906" t="str">
        <f t="shared" si="1014"/>
        <v/>
      </c>
      <c r="I1096" s="1906" t="str">
        <f t="shared" si="1015"/>
        <v/>
      </c>
      <c r="J1096" s="1906" t="str">
        <f t="shared" si="1016"/>
        <v/>
      </c>
      <c r="K1096" s="1906" t="str">
        <f t="shared" si="1017"/>
        <v/>
      </c>
      <c r="L1096" s="1906" t="str">
        <f t="shared" si="1018"/>
        <v/>
      </c>
      <c r="M1096" s="1906" t="str">
        <f t="shared" si="1019"/>
        <v/>
      </c>
      <c r="N1096" s="1906" t="str">
        <f t="shared" si="1020"/>
        <v/>
      </c>
      <c r="P1096" s="1906">
        <f t="shared" si="1021"/>
        <v>0</v>
      </c>
      <c r="Q1096" s="1906">
        <f t="shared" si="1022"/>
        <v>0</v>
      </c>
      <c r="R1096" s="1906">
        <f t="shared" si="1023"/>
        <v>0</v>
      </c>
      <c r="S1096" s="1906">
        <f t="shared" si="1024"/>
        <v>0</v>
      </c>
      <c r="T1096" s="1906">
        <f t="shared" si="1025"/>
        <v>0</v>
      </c>
      <c r="U1096" s="1906">
        <f t="shared" si="1026"/>
        <v>0</v>
      </c>
      <c r="V1096" s="1906">
        <f t="shared" si="1027"/>
        <v>0</v>
      </c>
      <c r="W1096" s="1906">
        <f t="shared" si="1028"/>
        <v>0</v>
      </c>
      <c r="X1096" s="1906">
        <f t="shared" si="1029"/>
        <v>0</v>
      </c>
      <c r="Y1096" s="1906">
        <f t="shared" si="1030"/>
        <v>0</v>
      </c>
      <c r="Z1096" s="1906">
        <f t="shared" si="1031"/>
        <v>0</v>
      </c>
      <c r="AA1096" s="1906">
        <f t="shared" si="1032"/>
        <v>0</v>
      </c>
      <c r="AC1096" s="1906"/>
      <c r="AD1096" s="1906">
        <f t="shared" si="1033"/>
        <v>0</v>
      </c>
      <c r="AE1096" s="1906">
        <f t="shared" si="1034"/>
        <v>0</v>
      </c>
      <c r="AF1096" s="1906">
        <f t="shared" si="1035"/>
        <v>0</v>
      </c>
      <c r="AG1096" s="1906">
        <f t="shared" si="1036"/>
        <v>0</v>
      </c>
      <c r="AH1096" s="1906">
        <f t="shared" si="1037"/>
        <v>0</v>
      </c>
      <c r="AI1096" s="1906">
        <f t="shared" si="1038"/>
        <v>0</v>
      </c>
      <c r="AJ1096" s="1906">
        <f t="shared" si="1039"/>
        <v>0</v>
      </c>
      <c r="AK1096" s="1906">
        <f t="shared" si="1040"/>
        <v>0</v>
      </c>
      <c r="AL1096" s="1906">
        <f t="shared" si="1041"/>
        <v>0</v>
      </c>
      <c r="AM1096" s="1906">
        <f t="shared" si="1042"/>
        <v>0</v>
      </c>
      <c r="AN1096" s="1906">
        <f t="shared" si="1043"/>
        <v>0</v>
      </c>
      <c r="AP1096" s="1906">
        <f t="shared" si="1044"/>
        <v>0</v>
      </c>
      <c r="AQ1096" s="1906">
        <f t="shared" si="1045"/>
        <v>0</v>
      </c>
      <c r="AR1096" s="1906">
        <f t="shared" si="1046"/>
        <v>0</v>
      </c>
      <c r="AS1096" s="1906">
        <f t="shared" si="1047"/>
        <v>0</v>
      </c>
      <c r="AT1096" s="1906">
        <f t="shared" si="1048"/>
        <v>0</v>
      </c>
      <c r="AU1096" s="1906">
        <f t="shared" si="1049"/>
        <v>0</v>
      </c>
      <c r="AV1096" s="1906">
        <f t="shared" si="1050"/>
        <v>0</v>
      </c>
      <c r="AW1096" s="1906">
        <f t="shared" si="1051"/>
        <v>0</v>
      </c>
      <c r="AX1096" s="1906">
        <f t="shared" si="1052"/>
        <v>0</v>
      </c>
      <c r="AY1096" s="1906">
        <f t="shared" si="1053"/>
        <v>0</v>
      </c>
      <c r="AZ1096" s="1906">
        <f t="shared" si="1054"/>
        <v>0</v>
      </c>
      <c r="BA1096" s="1906">
        <f t="shared" si="1055"/>
        <v>0</v>
      </c>
      <c r="BC1096" s="1906">
        <f t="shared" si="1056"/>
        <v>0</v>
      </c>
      <c r="BD1096" s="1906">
        <f t="shared" si="1057"/>
        <v>0</v>
      </c>
      <c r="BE1096" s="1906">
        <f t="shared" si="1058"/>
        <v>0</v>
      </c>
      <c r="BF1096" s="1906">
        <f t="shared" si="1059"/>
        <v>0</v>
      </c>
      <c r="BG1096" s="1906">
        <f t="shared" si="1060"/>
        <v>0</v>
      </c>
      <c r="BH1096" s="1906">
        <f t="shared" si="1061"/>
        <v>0</v>
      </c>
      <c r="BI1096" s="1906">
        <f t="shared" si="1062"/>
        <v>0</v>
      </c>
      <c r="BJ1096" s="1906">
        <f t="shared" si="1063"/>
        <v>0</v>
      </c>
      <c r="BK1096" s="1906">
        <f t="shared" si="1064"/>
        <v>0</v>
      </c>
      <c r="BL1096" s="1906">
        <f t="shared" si="1065"/>
        <v>0</v>
      </c>
      <c r="BM1096" s="1906">
        <f t="shared" si="1066"/>
        <v>0</v>
      </c>
      <c r="BN1096" s="1906">
        <f t="shared" si="1067"/>
        <v>0</v>
      </c>
      <c r="BP1096" s="1906">
        <f t="shared" si="1068"/>
        <v>0</v>
      </c>
      <c r="BQ1096" s="1906">
        <f t="shared" si="1069"/>
        <v>0</v>
      </c>
      <c r="BR1096" s="1906">
        <f t="shared" si="1070"/>
        <v>0</v>
      </c>
      <c r="BS1096" s="1906">
        <f t="shared" si="1071"/>
        <v>0</v>
      </c>
      <c r="BT1096" s="1906">
        <f t="shared" si="1072"/>
        <v>0</v>
      </c>
      <c r="BU1096" s="1906">
        <f t="shared" si="1073"/>
        <v>0</v>
      </c>
      <c r="BV1096" s="1906">
        <f t="shared" si="1074"/>
        <v>0</v>
      </c>
      <c r="BW1096" s="1906">
        <f t="shared" si="1075"/>
        <v>0</v>
      </c>
      <c r="BX1096" s="1906">
        <f t="shared" si="1076"/>
        <v>0</v>
      </c>
      <c r="BY1096" s="1906">
        <f t="shared" si="1077"/>
        <v>0</v>
      </c>
      <c r="BZ1096" s="1906">
        <f t="shared" si="1078"/>
        <v>0</v>
      </c>
      <c r="CA1096" s="1906">
        <f t="shared" si="1079"/>
        <v>0</v>
      </c>
      <c r="CC1096" s="1906">
        <f t="shared" si="1080"/>
        <v>0</v>
      </c>
      <c r="CD1096" s="1906">
        <f t="shared" si="1081"/>
        <v>0</v>
      </c>
      <c r="CE1096" s="1906">
        <f t="shared" si="1082"/>
        <v>0</v>
      </c>
      <c r="CF1096" s="1906">
        <f t="shared" si="1083"/>
        <v>0</v>
      </c>
      <c r="CG1096" s="1906">
        <f t="shared" si="1084"/>
        <v>0</v>
      </c>
      <c r="CH1096" s="1906">
        <f t="shared" si="1085"/>
        <v>0</v>
      </c>
      <c r="CI1096" s="1906">
        <f t="shared" si="1086"/>
        <v>0</v>
      </c>
      <c r="CJ1096" s="1906">
        <f t="shared" si="1087"/>
        <v>0</v>
      </c>
      <c r="CK1096" s="1906">
        <f t="shared" si="1088"/>
        <v>0</v>
      </c>
      <c r="CL1096" s="1906">
        <f t="shared" si="1089"/>
        <v>0</v>
      </c>
      <c r="CM1096" s="1906">
        <f t="shared" si="1090"/>
        <v>0</v>
      </c>
      <c r="CN1096" s="1906">
        <f t="shared" si="1091"/>
        <v>0</v>
      </c>
      <c r="CO1096" s="6" t="str">
        <f t="shared" si="1092"/>
        <v>Maíz Silo</v>
      </c>
      <c r="CP1096" s="1906">
        <f>+P1096+AC1096+AP1096+BC1096+BP1096+CC1096</f>
        <v>0</v>
      </c>
      <c r="CQ1096" s="1906">
        <f t="shared" si="1094"/>
        <v>0</v>
      </c>
      <c r="CR1096" s="1906">
        <f t="shared" si="1095"/>
        <v>0</v>
      </c>
      <c r="CS1096" s="1906">
        <f t="shared" si="1096"/>
        <v>0</v>
      </c>
      <c r="CT1096" s="1906">
        <f t="shared" si="1109"/>
        <v>0</v>
      </c>
      <c r="CU1096" s="1906">
        <f t="shared" si="1109"/>
        <v>0</v>
      </c>
      <c r="CV1096" s="1906">
        <f t="shared" si="1109"/>
        <v>0</v>
      </c>
      <c r="CW1096" s="1906">
        <f t="shared" si="1109"/>
        <v>0</v>
      </c>
      <c r="CX1096" s="1906">
        <f t="shared" si="1109"/>
        <v>0</v>
      </c>
      <c r="CY1096" s="1906">
        <f t="shared" si="1109"/>
        <v>0</v>
      </c>
      <c r="CZ1096" s="1906">
        <f t="shared" si="1109"/>
        <v>0</v>
      </c>
      <c r="DA1096" s="1906">
        <f t="shared" si="1109"/>
        <v>0</v>
      </c>
      <c r="DB1096" s="595" t="str">
        <f t="shared" si="1005"/>
        <v>Maíz Silo</v>
      </c>
      <c r="DC1096" s="1443">
        <f t="shared" si="1006"/>
        <v>0</v>
      </c>
      <c r="DD1096" s="107"/>
      <c r="DE1096" s="111" t="str">
        <f t="shared" si="1007"/>
        <v>Maíz Silo</v>
      </c>
      <c r="DF1096" s="1906">
        <f t="shared" si="1097"/>
        <v>0</v>
      </c>
      <c r="DG1096" s="1906">
        <f t="shared" si="1098"/>
        <v>0</v>
      </c>
      <c r="DH1096" s="1906">
        <f t="shared" si="1099"/>
        <v>0</v>
      </c>
      <c r="DI1096" s="1906">
        <f t="shared" si="1100"/>
        <v>0</v>
      </c>
      <c r="DJ1096" s="1906">
        <f t="shared" si="1101"/>
        <v>0</v>
      </c>
      <c r="DK1096" s="1906">
        <f t="shared" si="1102"/>
        <v>0</v>
      </c>
      <c r="DL1096" s="1906">
        <f t="shared" si="1103"/>
        <v>0</v>
      </c>
      <c r="DM1096" s="1906">
        <f t="shared" si="1104"/>
        <v>0</v>
      </c>
      <c r="DN1096" s="1906">
        <f t="shared" si="1105"/>
        <v>0</v>
      </c>
      <c r="DO1096" s="1906">
        <f t="shared" si="1106"/>
        <v>0</v>
      </c>
      <c r="DP1096" s="1906">
        <f t="shared" si="1107"/>
        <v>0</v>
      </c>
      <c r="DQ1096" s="1906">
        <f t="shared" si="1108"/>
        <v>0</v>
      </c>
    </row>
    <row r="1097" spans="1:121" x14ac:dyDescent="0.2">
      <c r="A1097" s="6"/>
      <c r="C1097" s="1906" t="str">
        <f t="shared" si="1009"/>
        <v/>
      </c>
      <c r="D1097" s="1906" t="str">
        <f t="shared" si="1010"/>
        <v/>
      </c>
      <c r="E1097" s="1906" t="str">
        <f t="shared" si="1011"/>
        <v/>
      </c>
      <c r="F1097" s="1906" t="str">
        <f t="shared" si="1012"/>
        <v/>
      </c>
      <c r="G1097" s="1906" t="str">
        <f t="shared" si="1013"/>
        <v/>
      </c>
      <c r="H1097" s="1906" t="str">
        <f t="shared" si="1014"/>
        <v/>
      </c>
      <c r="I1097" s="1906" t="str">
        <f t="shared" si="1015"/>
        <v/>
      </c>
      <c r="J1097" s="1906" t="str">
        <f t="shared" si="1016"/>
        <v/>
      </c>
      <c r="K1097" s="1906" t="str">
        <f t="shared" si="1017"/>
        <v/>
      </c>
      <c r="L1097" s="1906" t="str">
        <f t="shared" si="1018"/>
        <v/>
      </c>
      <c r="M1097" s="1906" t="str">
        <f t="shared" si="1019"/>
        <v/>
      </c>
      <c r="N1097" s="1906" t="str">
        <f t="shared" si="1020"/>
        <v/>
      </c>
      <c r="P1097" s="1906">
        <f t="shared" si="1021"/>
        <v>0</v>
      </c>
      <c r="Q1097" s="1906">
        <f t="shared" si="1022"/>
        <v>0</v>
      </c>
      <c r="R1097" s="1906">
        <f t="shared" si="1023"/>
        <v>0</v>
      </c>
      <c r="S1097" s="1906">
        <f t="shared" si="1024"/>
        <v>0</v>
      </c>
      <c r="T1097" s="1906">
        <f t="shared" si="1025"/>
        <v>0</v>
      </c>
      <c r="U1097" s="1906">
        <f t="shared" si="1026"/>
        <v>0</v>
      </c>
      <c r="V1097" s="1906">
        <f t="shared" si="1027"/>
        <v>0</v>
      </c>
      <c r="W1097" s="1906">
        <f t="shared" si="1028"/>
        <v>0</v>
      </c>
      <c r="X1097" s="1906">
        <f t="shared" si="1029"/>
        <v>0</v>
      </c>
      <c r="Y1097" s="1906">
        <f t="shared" si="1030"/>
        <v>0</v>
      </c>
      <c r="Z1097" s="1906">
        <f t="shared" si="1031"/>
        <v>0</v>
      </c>
      <c r="AA1097" s="1906">
        <f t="shared" si="1032"/>
        <v>0</v>
      </c>
      <c r="AC1097" s="1906"/>
      <c r="AD1097" s="1906">
        <f t="shared" si="1033"/>
        <v>0</v>
      </c>
      <c r="AE1097" s="1906">
        <f t="shared" si="1034"/>
        <v>0</v>
      </c>
      <c r="AF1097" s="1906">
        <f t="shared" si="1035"/>
        <v>0</v>
      </c>
      <c r="AG1097" s="1906">
        <f t="shared" si="1036"/>
        <v>0</v>
      </c>
      <c r="AH1097" s="1906">
        <f t="shared" si="1037"/>
        <v>0</v>
      </c>
      <c r="AI1097" s="1906">
        <f t="shared" si="1038"/>
        <v>0</v>
      </c>
      <c r="AJ1097" s="1906">
        <f t="shared" si="1039"/>
        <v>0</v>
      </c>
      <c r="AK1097" s="1906">
        <f t="shared" si="1040"/>
        <v>0</v>
      </c>
      <c r="AL1097" s="1906">
        <f t="shared" si="1041"/>
        <v>0</v>
      </c>
      <c r="AM1097" s="1906">
        <f t="shared" si="1042"/>
        <v>0</v>
      </c>
      <c r="AN1097" s="1906">
        <f t="shared" si="1043"/>
        <v>0</v>
      </c>
      <c r="AP1097" s="1906">
        <f t="shared" si="1044"/>
        <v>0</v>
      </c>
      <c r="AQ1097" s="1906">
        <f t="shared" si="1045"/>
        <v>0</v>
      </c>
      <c r="AR1097" s="1906">
        <f t="shared" si="1046"/>
        <v>0</v>
      </c>
      <c r="AS1097" s="1906">
        <f t="shared" si="1047"/>
        <v>0</v>
      </c>
      <c r="AT1097" s="1906">
        <f t="shared" si="1048"/>
        <v>0</v>
      </c>
      <c r="AU1097" s="1906">
        <f t="shared" si="1049"/>
        <v>0</v>
      </c>
      <c r="AV1097" s="1906">
        <f t="shared" si="1050"/>
        <v>0</v>
      </c>
      <c r="AW1097" s="1906">
        <f t="shared" si="1051"/>
        <v>0</v>
      </c>
      <c r="AX1097" s="1906">
        <f t="shared" si="1052"/>
        <v>0</v>
      </c>
      <c r="AY1097" s="1906">
        <f t="shared" si="1053"/>
        <v>0</v>
      </c>
      <c r="AZ1097" s="1906">
        <f t="shared" si="1054"/>
        <v>0</v>
      </c>
      <c r="BA1097" s="1906">
        <f t="shared" si="1055"/>
        <v>0</v>
      </c>
      <c r="BC1097" s="1906">
        <f t="shared" si="1056"/>
        <v>0</v>
      </c>
      <c r="BD1097" s="1906">
        <f t="shared" si="1057"/>
        <v>0</v>
      </c>
      <c r="BE1097" s="1906">
        <f t="shared" si="1058"/>
        <v>0</v>
      </c>
      <c r="BF1097" s="1906">
        <f t="shared" si="1059"/>
        <v>0</v>
      </c>
      <c r="BG1097" s="1906">
        <f t="shared" si="1060"/>
        <v>0</v>
      </c>
      <c r="BH1097" s="1906">
        <f t="shared" si="1061"/>
        <v>0</v>
      </c>
      <c r="BI1097" s="1906">
        <f t="shared" si="1062"/>
        <v>0</v>
      </c>
      <c r="BJ1097" s="1906">
        <f t="shared" si="1063"/>
        <v>0</v>
      </c>
      <c r="BK1097" s="1906">
        <f t="shared" si="1064"/>
        <v>0</v>
      </c>
      <c r="BL1097" s="1906">
        <f t="shared" si="1065"/>
        <v>0</v>
      </c>
      <c r="BM1097" s="1906">
        <f t="shared" si="1066"/>
        <v>0</v>
      </c>
      <c r="BN1097" s="1906">
        <f t="shared" si="1067"/>
        <v>0</v>
      </c>
      <c r="BP1097" s="1906">
        <f t="shared" si="1068"/>
        <v>0</v>
      </c>
      <c r="BQ1097" s="1906">
        <f t="shared" si="1069"/>
        <v>0</v>
      </c>
      <c r="BR1097" s="1906">
        <f t="shared" si="1070"/>
        <v>0</v>
      </c>
      <c r="BS1097" s="1906">
        <f t="shared" si="1071"/>
        <v>0</v>
      </c>
      <c r="BT1097" s="1906">
        <f t="shared" si="1072"/>
        <v>0</v>
      </c>
      <c r="BU1097" s="1906">
        <f t="shared" si="1073"/>
        <v>0</v>
      </c>
      <c r="BV1097" s="1906">
        <f t="shared" si="1074"/>
        <v>0</v>
      </c>
      <c r="BW1097" s="1906">
        <f t="shared" si="1075"/>
        <v>0</v>
      </c>
      <c r="BX1097" s="1906">
        <f t="shared" si="1076"/>
        <v>0</v>
      </c>
      <c r="BY1097" s="1906">
        <f t="shared" si="1077"/>
        <v>0</v>
      </c>
      <c r="BZ1097" s="1906">
        <f t="shared" si="1078"/>
        <v>0</v>
      </c>
      <c r="CA1097" s="1906">
        <f t="shared" si="1079"/>
        <v>0</v>
      </c>
      <c r="CC1097" s="1906">
        <f t="shared" si="1080"/>
        <v>0</v>
      </c>
      <c r="CD1097" s="1906">
        <f t="shared" si="1081"/>
        <v>0</v>
      </c>
      <c r="CE1097" s="1906">
        <f t="shared" si="1082"/>
        <v>0</v>
      </c>
      <c r="CF1097" s="1906">
        <f t="shared" si="1083"/>
        <v>0</v>
      </c>
      <c r="CG1097" s="1906">
        <f t="shared" si="1084"/>
        <v>0</v>
      </c>
      <c r="CH1097" s="1906">
        <f t="shared" si="1085"/>
        <v>0</v>
      </c>
      <c r="CI1097" s="1906">
        <f t="shared" si="1086"/>
        <v>0</v>
      </c>
      <c r="CJ1097" s="1906">
        <f t="shared" si="1087"/>
        <v>0</v>
      </c>
      <c r="CK1097" s="1906">
        <f t="shared" si="1088"/>
        <v>0</v>
      </c>
      <c r="CL1097" s="1906">
        <f t="shared" si="1089"/>
        <v>0</v>
      </c>
      <c r="CM1097" s="1906">
        <f t="shared" si="1090"/>
        <v>0</v>
      </c>
      <c r="CN1097" s="1906">
        <f t="shared" si="1091"/>
        <v>0</v>
      </c>
      <c r="CO1097" s="6" t="str">
        <f t="shared" si="1092"/>
        <v>Sorgo silo</v>
      </c>
      <c r="CP1097" s="1906">
        <f t="shared" si="1093"/>
        <v>0</v>
      </c>
      <c r="CQ1097" s="1906">
        <f t="shared" si="1094"/>
        <v>0</v>
      </c>
      <c r="CR1097" s="1906">
        <f t="shared" si="1095"/>
        <v>0</v>
      </c>
      <c r="CS1097" s="1906">
        <f t="shared" si="1096"/>
        <v>0</v>
      </c>
      <c r="CT1097" s="1906">
        <f t="shared" si="1109"/>
        <v>0</v>
      </c>
      <c r="CU1097" s="1906">
        <f t="shared" si="1109"/>
        <v>0</v>
      </c>
      <c r="CV1097" s="1906">
        <f t="shared" si="1109"/>
        <v>0</v>
      </c>
      <c r="CW1097" s="1906">
        <f t="shared" si="1109"/>
        <v>0</v>
      </c>
      <c r="CX1097" s="1906">
        <f t="shared" si="1109"/>
        <v>0</v>
      </c>
      <c r="CY1097" s="1906">
        <f t="shared" si="1109"/>
        <v>0</v>
      </c>
      <c r="CZ1097" s="1906">
        <f t="shared" si="1109"/>
        <v>0</v>
      </c>
      <c r="DA1097" s="1906">
        <f t="shared" si="1109"/>
        <v>0</v>
      </c>
      <c r="DB1097" s="595" t="str">
        <f t="shared" si="1005"/>
        <v>Sorgo silo</v>
      </c>
      <c r="DC1097" s="1443">
        <f t="shared" si="1006"/>
        <v>0</v>
      </c>
      <c r="DD1097" s="107"/>
      <c r="DE1097" s="111" t="str">
        <f t="shared" si="1007"/>
        <v>Sorgo silo</v>
      </c>
      <c r="DF1097" s="1906">
        <f t="shared" si="1097"/>
        <v>0</v>
      </c>
      <c r="DG1097" s="1906">
        <f t="shared" si="1098"/>
        <v>0</v>
      </c>
      <c r="DH1097" s="1906">
        <f t="shared" si="1099"/>
        <v>0</v>
      </c>
      <c r="DI1097" s="1906">
        <f t="shared" si="1100"/>
        <v>0</v>
      </c>
      <c r="DJ1097" s="1906">
        <f t="shared" si="1101"/>
        <v>0</v>
      </c>
      <c r="DK1097" s="1906">
        <f t="shared" si="1102"/>
        <v>0</v>
      </c>
      <c r="DL1097" s="1906">
        <f t="shared" si="1103"/>
        <v>0</v>
      </c>
      <c r="DM1097" s="1906">
        <f t="shared" si="1104"/>
        <v>0</v>
      </c>
      <c r="DN1097" s="1906">
        <f t="shared" si="1105"/>
        <v>0</v>
      </c>
      <c r="DO1097" s="1906">
        <f t="shared" si="1106"/>
        <v>0</v>
      </c>
      <c r="DP1097" s="1906">
        <f t="shared" si="1107"/>
        <v>0</v>
      </c>
      <c r="DQ1097" s="1906">
        <f t="shared" si="1108"/>
        <v>0</v>
      </c>
    </row>
    <row r="1098" spans="1:121" x14ac:dyDescent="0.2">
      <c r="A1098" s="6"/>
      <c r="C1098" s="1906" t="str">
        <f t="shared" si="1009"/>
        <v/>
      </c>
      <c r="D1098" s="1906" t="str">
        <f t="shared" si="1010"/>
        <v/>
      </c>
      <c r="E1098" s="1906" t="str">
        <f t="shared" si="1011"/>
        <v/>
      </c>
      <c r="F1098" s="1906" t="str">
        <f t="shared" si="1012"/>
        <v/>
      </c>
      <c r="G1098" s="1906" t="str">
        <f t="shared" si="1013"/>
        <v/>
      </c>
      <c r="H1098" s="1906" t="str">
        <f t="shared" si="1014"/>
        <v/>
      </c>
      <c r="I1098" s="1906" t="str">
        <f t="shared" si="1015"/>
        <v/>
      </c>
      <c r="J1098" s="1906" t="str">
        <f t="shared" si="1016"/>
        <v/>
      </c>
      <c r="K1098" s="1906" t="str">
        <f t="shared" si="1017"/>
        <v/>
      </c>
      <c r="L1098" s="1906" t="str">
        <f t="shared" si="1018"/>
        <v/>
      </c>
      <c r="M1098" s="1906" t="str">
        <f t="shared" si="1019"/>
        <v/>
      </c>
      <c r="N1098" s="1906" t="str">
        <f t="shared" si="1020"/>
        <v/>
      </c>
      <c r="P1098" s="1906">
        <f t="shared" si="1021"/>
        <v>0</v>
      </c>
      <c r="Q1098" s="1906">
        <f t="shared" si="1022"/>
        <v>0</v>
      </c>
      <c r="R1098" s="1906">
        <f t="shared" si="1023"/>
        <v>0</v>
      </c>
      <c r="S1098" s="1906">
        <f t="shared" si="1024"/>
        <v>0</v>
      </c>
      <c r="T1098" s="1906">
        <f t="shared" si="1025"/>
        <v>0</v>
      </c>
      <c r="U1098" s="1906">
        <f t="shared" si="1026"/>
        <v>0</v>
      </c>
      <c r="V1098" s="1906">
        <f t="shared" si="1027"/>
        <v>0</v>
      </c>
      <c r="W1098" s="1906">
        <f t="shared" si="1028"/>
        <v>0</v>
      </c>
      <c r="X1098" s="1906">
        <f t="shared" si="1029"/>
        <v>0</v>
      </c>
      <c r="Y1098" s="1906">
        <f t="shared" si="1030"/>
        <v>0</v>
      </c>
      <c r="Z1098" s="1906">
        <f t="shared" si="1031"/>
        <v>0</v>
      </c>
      <c r="AA1098" s="1906">
        <f t="shared" si="1032"/>
        <v>0</v>
      </c>
      <c r="AC1098" s="1906"/>
      <c r="AD1098" s="1906">
        <f t="shared" si="1033"/>
        <v>0</v>
      </c>
      <c r="AE1098" s="1906">
        <f t="shared" si="1034"/>
        <v>0</v>
      </c>
      <c r="AF1098" s="1906">
        <f t="shared" si="1035"/>
        <v>0</v>
      </c>
      <c r="AG1098" s="1906">
        <f t="shared" si="1036"/>
        <v>0</v>
      </c>
      <c r="AH1098" s="1906">
        <f t="shared" si="1037"/>
        <v>0</v>
      </c>
      <c r="AI1098" s="1906">
        <f t="shared" si="1038"/>
        <v>0</v>
      </c>
      <c r="AJ1098" s="1906">
        <f t="shared" si="1039"/>
        <v>0</v>
      </c>
      <c r="AK1098" s="1906">
        <f t="shared" si="1040"/>
        <v>0</v>
      </c>
      <c r="AL1098" s="1906">
        <f t="shared" si="1041"/>
        <v>0</v>
      </c>
      <c r="AM1098" s="1906">
        <f t="shared" si="1042"/>
        <v>0</v>
      </c>
      <c r="AN1098" s="1906">
        <f t="shared" si="1043"/>
        <v>0</v>
      </c>
      <c r="AP1098" s="1906">
        <f t="shared" si="1044"/>
        <v>0</v>
      </c>
      <c r="AQ1098" s="1906">
        <f t="shared" si="1045"/>
        <v>0</v>
      </c>
      <c r="AR1098" s="1906">
        <f t="shared" si="1046"/>
        <v>0</v>
      </c>
      <c r="AS1098" s="1906">
        <f t="shared" si="1047"/>
        <v>0</v>
      </c>
      <c r="AT1098" s="1906">
        <f t="shared" si="1048"/>
        <v>0</v>
      </c>
      <c r="AU1098" s="1906">
        <f t="shared" si="1049"/>
        <v>0</v>
      </c>
      <c r="AV1098" s="1906">
        <f t="shared" si="1050"/>
        <v>0</v>
      </c>
      <c r="AW1098" s="1906">
        <f t="shared" si="1051"/>
        <v>0</v>
      </c>
      <c r="AX1098" s="1906">
        <f t="shared" si="1052"/>
        <v>0</v>
      </c>
      <c r="AY1098" s="1906">
        <f t="shared" si="1053"/>
        <v>0</v>
      </c>
      <c r="AZ1098" s="1906">
        <f t="shared" si="1054"/>
        <v>0</v>
      </c>
      <c r="BA1098" s="1906">
        <f t="shared" si="1055"/>
        <v>0</v>
      </c>
      <c r="BC1098" s="1906">
        <f t="shared" si="1056"/>
        <v>0</v>
      </c>
      <c r="BD1098" s="1906">
        <f t="shared" si="1057"/>
        <v>0</v>
      </c>
      <c r="BE1098" s="1906">
        <f t="shared" si="1058"/>
        <v>0</v>
      </c>
      <c r="BF1098" s="1906">
        <f t="shared" si="1059"/>
        <v>0</v>
      </c>
      <c r="BG1098" s="1906">
        <f t="shared" si="1060"/>
        <v>0</v>
      </c>
      <c r="BH1098" s="1906">
        <f t="shared" si="1061"/>
        <v>0</v>
      </c>
      <c r="BI1098" s="1906">
        <f t="shared" si="1062"/>
        <v>0</v>
      </c>
      <c r="BJ1098" s="1906">
        <f t="shared" si="1063"/>
        <v>0</v>
      </c>
      <c r="BK1098" s="1906">
        <f t="shared" si="1064"/>
        <v>0</v>
      </c>
      <c r="BL1098" s="1906">
        <f t="shared" si="1065"/>
        <v>0</v>
      </c>
      <c r="BM1098" s="1906">
        <f t="shared" si="1066"/>
        <v>0</v>
      </c>
      <c r="BN1098" s="1906">
        <f t="shared" si="1067"/>
        <v>0</v>
      </c>
      <c r="BP1098" s="1906">
        <f t="shared" si="1068"/>
        <v>0</v>
      </c>
      <c r="BQ1098" s="1906">
        <f t="shared" si="1069"/>
        <v>0</v>
      </c>
      <c r="BR1098" s="1906">
        <f t="shared" si="1070"/>
        <v>0</v>
      </c>
      <c r="BS1098" s="1906">
        <f t="shared" si="1071"/>
        <v>0</v>
      </c>
      <c r="BT1098" s="1906">
        <f t="shared" si="1072"/>
        <v>0</v>
      </c>
      <c r="BU1098" s="1906">
        <f t="shared" si="1073"/>
        <v>0</v>
      </c>
      <c r="BV1098" s="1906">
        <f t="shared" si="1074"/>
        <v>0</v>
      </c>
      <c r="BW1098" s="1906">
        <f t="shared" si="1075"/>
        <v>0</v>
      </c>
      <c r="BX1098" s="1906">
        <f t="shared" si="1076"/>
        <v>0</v>
      </c>
      <c r="BY1098" s="1906">
        <f t="shared" si="1077"/>
        <v>0</v>
      </c>
      <c r="BZ1098" s="1906">
        <f t="shared" si="1078"/>
        <v>0</v>
      </c>
      <c r="CA1098" s="1906">
        <f t="shared" si="1079"/>
        <v>0</v>
      </c>
      <c r="CC1098" s="1906">
        <f t="shared" si="1080"/>
        <v>0</v>
      </c>
      <c r="CD1098" s="1906">
        <f t="shared" si="1081"/>
        <v>0</v>
      </c>
      <c r="CE1098" s="1906">
        <f t="shared" si="1082"/>
        <v>0</v>
      </c>
      <c r="CF1098" s="1906">
        <f t="shared" si="1083"/>
        <v>0</v>
      </c>
      <c r="CG1098" s="1906">
        <f t="shared" si="1084"/>
        <v>0</v>
      </c>
      <c r="CH1098" s="1906">
        <f t="shared" si="1085"/>
        <v>0</v>
      </c>
      <c r="CI1098" s="1906">
        <f t="shared" si="1086"/>
        <v>0</v>
      </c>
      <c r="CJ1098" s="1906">
        <f t="shared" si="1087"/>
        <v>0</v>
      </c>
      <c r="CK1098" s="1906">
        <f t="shared" si="1088"/>
        <v>0</v>
      </c>
      <c r="CL1098" s="1906">
        <f t="shared" si="1089"/>
        <v>0</v>
      </c>
      <c r="CM1098" s="1906">
        <f t="shared" si="1090"/>
        <v>0</v>
      </c>
      <c r="CN1098" s="1906">
        <f t="shared" si="1091"/>
        <v>0</v>
      </c>
      <c r="CO1098" s="6" t="str">
        <f t="shared" si="1092"/>
        <v>Moha</v>
      </c>
      <c r="CP1098" s="1906">
        <f t="shared" si="1093"/>
        <v>0</v>
      </c>
      <c r="CQ1098" s="1906">
        <f t="shared" si="1094"/>
        <v>0</v>
      </c>
      <c r="CR1098" s="1906">
        <f t="shared" si="1095"/>
        <v>0</v>
      </c>
      <c r="CS1098" s="1906">
        <f t="shared" si="1096"/>
        <v>0</v>
      </c>
      <c r="CT1098" s="1906">
        <f t="shared" si="1109"/>
        <v>0</v>
      </c>
      <c r="CU1098" s="1906">
        <f t="shared" si="1109"/>
        <v>0</v>
      </c>
      <c r="CV1098" s="1906">
        <f t="shared" si="1109"/>
        <v>0</v>
      </c>
      <c r="CW1098" s="1906">
        <f t="shared" si="1109"/>
        <v>0</v>
      </c>
      <c r="CX1098" s="1906">
        <f t="shared" si="1109"/>
        <v>0</v>
      </c>
      <c r="CY1098" s="1906">
        <f t="shared" si="1109"/>
        <v>0</v>
      </c>
      <c r="CZ1098" s="1906">
        <f t="shared" si="1109"/>
        <v>0</v>
      </c>
      <c r="DA1098" s="1906">
        <f t="shared" si="1109"/>
        <v>0</v>
      </c>
      <c r="DB1098" s="595" t="str">
        <f t="shared" si="1005"/>
        <v>Moha</v>
      </c>
      <c r="DC1098" s="1443">
        <f t="shared" si="1006"/>
        <v>0</v>
      </c>
      <c r="DD1098" s="107"/>
      <c r="DE1098" s="111" t="str">
        <f t="shared" si="1007"/>
        <v>Moha</v>
      </c>
      <c r="DF1098" s="1906">
        <f t="shared" si="1097"/>
        <v>0</v>
      </c>
      <c r="DG1098" s="1906">
        <f t="shared" si="1098"/>
        <v>0</v>
      </c>
      <c r="DH1098" s="1906">
        <f t="shared" si="1099"/>
        <v>0</v>
      </c>
      <c r="DI1098" s="1906">
        <f t="shared" si="1100"/>
        <v>0</v>
      </c>
      <c r="DJ1098" s="1906">
        <f t="shared" si="1101"/>
        <v>0</v>
      </c>
      <c r="DK1098" s="1906">
        <f t="shared" si="1102"/>
        <v>0</v>
      </c>
      <c r="DL1098" s="1906">
        <f t="shared" si="1103"/>
        <v>0</v>
      </c>
      <c r="DM1098" s="1906">
        <f t="shared" si="1104"/>
        <v>0</v>
      </c>
      <c r="DN1098" s="1906">
        <f t="shared" si="1105"/>
        <v>0</v>
      </c>
      <c r="DO1098" s="1906">
        <f t="shared" si="1106"/>
        <v>0</v>
      </c>
      <c r="DP1098" s="1906">
        <f t="shared" si="1107"/>
        <v>0</v>
      </c>
      <c r="DQ1098" s="1906">
        <f t="shared" si="1108"/>
        <v>0</v>
      </c>
    </row>
    <row r="1099" spans="1:121" x14ac:dyDescent="0.2">
      <c r="A1099" s="6"/>
      <c r="C1099" s="1906" t="str">
        <f t="shared" si="1009"/>
        <v/>
      </c>
      <c r="D1099" s="1906" t="str">
        <f t="shared" si="1010"/>
        <v/>
      </c>
      <c r="E1099" s="1906" t="str">
        <f t="shared" si="1011"/>
        <v/>
      </c>
      <c r="F1099" s="1906" t="str">
        <f t="shared" si="1012"/>
        <v/>
      </c>
      <c r="G1099" s="1906" t="str">
        <f t="shared" si="1013"/>
        <v/>
      </c>
      <c r="H1099" s="1906" t="str">
        <f t="shared" si="1014"/>
        <v/>
      </c>
      <c r="I1099" s="1906" t="str">
        <f t="shared" si="1015"/>
        <v/>
      </c>
      <c r="J1099" s="1906" t="str">
        <f t="shared" si="1016"/>
        <v/>
      </c>
      <c r="K1099" s="1906" t="str">
        <f t="shared" si="1017"/>
        <v/>
      </c>
      <c r="L1099" s="1906" t="str">
        <f t="shared" si="1018"/>
        <v/>
      </c>
      <c r="M1099" s="1906" t="str">
        <f t="shared" si="1019"/>
        <v/>
      </c>
      <c r="N1099" s="1906" t="str">
        <f t="shared" si="1020"/>
        <v/>
      </c>
      <c r="P1099" s="1906">
        <f t="shared" si="1021"/>
        <v>0</v>
      </c>
      <c r="Q1099" s="1906">
        <f t="shared" si="1022"/>
        <v>0</v>
      </c>
      <c r="R1099" s="1906">
        <f t="shared" si="1023"/>
        <v>0</v>
      </c>
      <c r="S1099" s="1906">
        <f t="shared" si="1024"/>
        <v>0</v>
      </c>
      <c r="T1099" s="1906">
        <f t="shared" si="1025"/>
        <v>0</v>
      </c>
      <c r="U1099" s="1906">
        <f t="shared" si="1026"/>
        <v>0</v>
      </c>
      <c r="V1099" s="1906">
        <f t="shared" si="1027"/>
        <v>0</v>
      </c>
      <c r="W1099" s="1906">
        <f t="shared" si="1028"/>
        <v>0</v>
      </c>
      <c r="X1099" s="1906">
        <f t="shared" si="1029"/>
        <v>0</v>
      </c>
      <c r="Y1099" s="1906">
        <f t="shared" si="1030"/>
        <v>0</v>
      </c>
      <c r="Z1099" s="1906">
        <f t="shared" si="1031"/>
        <v>0</v>
      </c>
      <c r="AA1099" s="1906">
        <f t="shared" si="1032"/>
        <v>0</v>
      </c>
      <c r="AC1099" s="1906"/>
      <c r="AD1099" s="1906">
        <f t="shared" si="1033"/>
        <v>0</v>
      </c>
      <c r="AE1099" s="1906">
        <f t="shared" si="1034"/>
        <v>0</v>
      </c>
      <c r="AF1099" s="1906">
        <f t="shared" si="1035"/>
        <v>0</v>
      </c>
      <c r="AG1099" s="1906">
        <f t="shared" si="1036"/>
        <v>0</v>
      </c>
      <c r="AH1099" s="1906">
        <f t="shared" si="1037"/>
        <v>0</v>
      </c>
      <c r="AI1099" s="1906">
        <f t="shared" si="1038"/>
        <v>0</v>
      </c>
      <c r="AJ1099" s="1906">
        <f t="shared" si="1039"/>
        <v>0</v>
      </c>
      <c r="AK1099" s="1906">
        <f t="shared" si="1040"/>
        <v>0</v>
      </c>
      <c r="AL1099" s="1906">
        <f t="shared" si="1041"/>
        <v>0</v>
      </c>
      <c r="AM1099" s="1906">
        <f t="shared" si="1042"/>
        <v>0</v>
      </c>
      <c r="AN1099" s="1906">
        <f t="shared" si="1043"/>
        <v>0</v>
      </c>
      <c r="AP1099" s="1906">
        <f t="shared" si="1044"/>
        <v>0</v>
      </c>
      <c r="AQ1099" s="1906">
        <f t="shared" si="1045"/>
        <v>0</v>
      </c>
      <c r="AR1099" s="1906">
        <f t="shared" si="1046"/>
        <v>0</v>
      </c>
      <c r="AS1099" s="1906">
        <f t="shared" si="1047"/>
        <v>0</v>
      </c>
      <c r="AT1099" s="1906">
        <f t="shared" si="1048"/>
        <v>0</v>
      </c>
      <c r="AU1099" s="1906">
        <f t="shared" si="1049"/>
        <v>0</v>
      </c>
      <c r="AV1099" s="1906">
        <f t="shared" si="1050"/>
        <v>0</v>
      </c>
      <c r="AW1099" s="1906">
        <f t="shared" si="1051"/>
        <v>0</v>
      </c>
      <c r="AX1099" s="1906">
        <f t="shared" si="1052"/>
        <v>0</v>
      </c>
      <c r="AY1099" s="1906">
        <f t="shared" si="1053"/>
        <v>0</v>
      </c>
      <c r="AZ1099" s="1906">
        <f t="shared" si="1054"/>
        <v>0</v>
      </c>
      <c r="BA1099" s="1906">
        <f t="shared" si="1055"/>
        <v>0</v>
      </c>
      <c r="BC1099" s="1906">
        <f t="shared" si="1056"/>
        <v>0</v>
      </c>
      <c r="BD1099" s="1906">
        <f t="shared" si="1057"/>
        <v>0</v>
      </c>
      <c r="BE1099" s="1906">
        <f t="shared" si="1058"/>
        <v>0</v>
      </c>
      <c r="BF1099" s="1906">
        <f t="shared" si="1059"/>
        <v>0</v>
      </c>
      <c r="BG1099" s="1906">
        <f t="shared" si="1060"/>
        <v>0</v>
      </c>
      <c r="BH1099" s="1906">
        <f t="shared" si="1061"/>
        <v>0</v>
      </c>
      <c r="BI1099" s="1906">
        <f t="shared" si="1062"/>
        <v>0</v>
      </c>
      <c r="BJ1099" s="1906">
        <f t="shared" si="1063"/>
        <v>0</v>
      </c>
      <c r="BK1099" s="1906">
        <f t="shared" si="1064"/>
        <v>0</v>
      </c>
      <c r="BL1099" s="1906">
        <f t="shared" si="1065"/>
        <v>0</v>
      </c>
      <c r="BM1099" s="1906">
        <f t="shared" si="1066"/>
        <v>0</v>
      </c>
      <c r="BN1099" s="1906">
        <f t="shared" si="1067"/>
        <v>0</v>
      </c>
      <c r="BP1099" s="1906">
        <f t="shared" si="1068"/>
        <v>0</v>
      </c>
      <c r="BQ1099" s="1906">
        <f t="shared" si="1069"/>
        <v>0</v>
      </c>
      <c r="BR1099" s="1906">
        <f t="shared" si="1070"/>
        <v>0</v>
      </c>
      <c r="BS1099" s="1906">
        <f t="shared" si="1071"/>
        <v>0</v>
      </c>
      <c r="BT1099" s="1906">
        <f t="shared" si="1072"/>
        <v>0</v>
      </c>
      <c r="BU1099" s="1906">
        <f t="shared" si="1073"/>
        <v>0</v>
      </c>
      <c r="BV1099" s="1906">
        <f t="shared" si="1074"/>
        <v>0</v>
      </c>
      <c r="BW1099" s="1906">
        <f t="shared" si="1075"/>
        <v>0</v>
      </c>
      <c r="BX1099" s="1906">
        <f t="shared" si="1076"/>
        <v>0</v>
      </c>
      <c r="BY1099" s="1906">
        <f t="shared" si="1077"/>
        <v>0</v>
      </c>
      <c r="BZ1099" s="1906">
        <f t="shared" si="1078"/>
        <v>0</v>
      </c>
      <c r="CA1099" s="1906">
        <f t="shared" si="1079"/>
        <v>0</v>
      </c>
      <c r="CC1099" s="1906">
        <f t="shared" si="1080"/>
        <v>0</v>
      </c>
      <c r="CD1099" s="1906">
        <f t="shared" si="1081"/>
        <v>0</v>
      </c>
      <c r="CE1099" s="1906">
        <f t="shared" si="1082"/>
        <v>0</v>
      </c>
      <c r="CF1099" s="1906">
        <f t="shared" si="1083"/>
        <v>0</v>
      </c>
      <c r="CG1099" s="1906">
        <f t="shared" si="1084"/>
        <v>0</v>
      </c>
      <c r="CH1099" s="1906">
        <f t="shared" si="1085"/>
        <v>0</v>
      </c>
      <c r="CI1099" s="1906">
        <f t="shared" si="1086"/>
        <v>0</v>
      </c>
      <c r="CJ1099" s="1906">
        <f t="shared" si="1087"/>
        <v>0</v>
      </c>
      <c r="CK1099" s="1906">
        <f t="shared" si="1088"/>
        <v>0</v>
      </c>
      <c r="CL1099" s="1906">
        <f t="shared" si="1089"/>
        <v>0</v>
      </c>
      <c r="CM1099" s="1906">
        <f t="shared" si="1090"/>
        <v>0</v>
      </c>
      <c r="CN1099" s="1906">
        <f t="shared" si="1091"/>
        <v>0</v>
      </c>
      <c r="CO1099" s="6" t="str">
        <f t="shared" si="1092"/>
        <v>Soja reserva</v>
      </c>
      <c r="CP1099" s="1906">
        <f t="shared" si="1093"/>
        <v>0</v>
      </c>
      <c r="CQ1099" s="1906">
        <f t="shared" si="1094"/>
        <v>0</v>
      </c>
      <c r="CR1099" s="1906">
        <f t="shared" si="1095"/>
        <v>0</v>
      </c>
      <c r="CS1099" s="1906">
        <f t="shared" si="1096"/>
        <v>0</v>
      </c>
      <c r="CT1099" s="1906">
        <f t="shared" si="1109"/>
        <v>0</v>
      </c>
      <c r="CU1099" s="1906">
        <f t="shared" si="1109"/>
        <v>0</v>
      </c>
      <c r="CV1099" s="1906">
        <f t="shared" si="1109"/>
        <v>0</v>
      </c>
      <c r="CW1099" s="1906">
        <f t="shared" si="1109"/>
        <v>0</v>
      </c>
      <c r="CX1099" s="1906">
        <f t="shared" si="1109"/>
        <v>0</v>
      </c>
      <c r="CY1099" s="1906">
        <f t="shared" si="1109"/>
        <v>0</v>
      </c>
      <c r="CZ1099" s="1906">
        <f t="shared" si="1109"/>
        <v>0</v>
      </c>
      <c r="DA1099" s="1906">
        <f t="shared" si="1109"/>
        <v>0</v>
      </c>
      <c r="DB1099" s="595" t="str">
        <f t="shared" si="1005"/>
        <v>Soja reserva</v>
      </c>
      <c r="DC1099" s="1443">
        <f t="shared" si="1006"/>
        <v>0</v>
      </c>
      <c r="DD1099" s="107"/>
      <c r="DE1099" s="111" t="str">
        <f t="shared" si="1007"/>
        <v>Soja reserva</v>
      </c>
      <c r="DF1099" s="1906">
        <f t="shared" si="1097"/>
        <v>0</v>
      </c>
      <c r="DG1099" s="1906">
        <f t="shared" si="1098"/>
        <v>0</v>
      </c>
      <c r="DH1099" s="1906">
        <f t="shared" si="1099"/>
        <v>0</v>
      </c>
      <c r="DI1099" s="1906">
        <f t="shared" si="1100"/>
        <v>0</v>
      </c>
      <c r="DJ1099" s="1906">
        <f t="shared" si="1101"/>
        <v>0</v>
      </c>
      <c r="DK1099" s="1906">
        <f t="shared" si="1102"/>
        <v>0</v>
      </c>
      <c r="DL1099" s="1906">
        <f t="shared" si="1103"/>
        <v>0</v>
      </c>
      <c r="DM1099" s="1906">
        <f t="shared" si="1104"/>
        <v>0</v>
      </c>
      <c r="DN1099" s="1906">
        <f t="shared" si="1105"/>
        <v>0</v>
      </c>
      <c r="DO1099" s="1906">
        <f t="shared" si="1106"/>
        <v>0</v>
      </c>
      <c r="DP1099" s="1906">
        <f t="shared" si="1107"/>
        <v>0</v>
      </c>
      <c r="DQ1099" s="1906">
        <f t="shared" si="1108"/>
        <v>0</v>
      </c>
    </row>
    <row r="1100" spans="1:121" x14ac:dyDescent="0.2">
      <c r="A1100" s="6"/>
      <c r="C1100" s="1906" t="str">
        <f t="shared" si="1009"/>
        <v/>
      </c>
      <c r="D1100" s="1906" t="str">
        <f t="shared" si="1010"/>
        <v/>
      </c>
      <c r="E1100" s="1906" t="str">
        <f t="shared" si="1011"/>
        <v/>
      </c>
      <c r="F1100" s="1906" t="str">
        <f t="shared" si="1012"/>
        <v/>
      </c>
      <c r="G1100" s="1906" t="str">
        <f t="shared" si="1013"/>
        <v/>
      </c>
      <c r="H1100" s="1906" t="str">
        <f t="shared" si="1014"/>
        <v/>
      </c>
      <c r="I1100" s="1906" t="str">
        <f t="shared" si="1015"/>
        <v/>
      </c>
      <c r="J1100" s="1906" t="str">
        <f t="shared" si="1016"/>
        <v/>
      </c>
      <c r="K1100" s="1906" t="str">
        <f t="shared" si="1017"/>
        <v/>
      </c>
      <c r="L1100" s="1906" t="str">
        <f t="shared" si="1018"/>
        <v/>
      </c>
      <c r="M1100" s="1906" t="str">
        <f t="shared" si="1019"/>
        <v/>
      </c>
      <c r="N1100" s="1906" t="str">
        <f t="shared" si="1020"/>
        <v/>
      </c>
      <c r="P1100" s="1906">
        <f t="shared" si="1021"/>
        <v>0</v>
      </c>
      <c r="Q1100" s="1906">
        <f t="shared" si="1022"/>
        <v>0</v>
      </c>
      <c r="R1100" s="1906">
        <f t="shared" si="1023"/>
        <v>0</v>
      </c>
      <c r="S1100" s="1906">
        <f t="shared" si="1024"/>
        <v>0</v>
      </c>
      <c r="T1100" s="1906">
        <f t="shared" si="1025"/>
        <v>0</v>
      </c>
      <c r="U1100" s="1906">
        <f t="shared" si="1026"/>
        <v>0</v>
      </c>
      <c r="V1100" s="1906">
        <f t="shared" si="1027"/>
        <v>0</v>
      </c>
      <c r="W1100" s="1906">
        <f t="shared" si="1028"/>
        <v>0</v>
      </c>
      <c r="X1100" s="1906">
        <f t="shared" si="1029"/>
        <v>0</v>
      </c>
      <c r="Y1100" s="1906">
        <f t="shared" si="1030"/>
        <v>0</v>
      </c>
      <c r="Z1100" s="1906">
        <f t="shared" si="1031"/>
        <v>0</v>
      </c>
      <c r="AA1100" s="1906">
        <f t="shared" si="1032"/>
        <v>0</v>
      </c>
      <c r="AC1100" s="1906"/>
      <c r="AD1100" s="1906">
        <f t="shared" si="1033"/>
        <v>0</v>
      </c>
      <c r="AE1100" s="1906">
        <f t="shared" si="1034"/>
        <v>0</v>
      </c>
      <c r="AF1100" s="1906">
        <f t="shared" si="1035"/>
        <v>0</v>
      </c>
      <c r="AG1100" s="1906">
        <f t="shared" si="1036"/>
        <v>0</v>
      </c>
      <c r="AH1100" s="1906">
        <f t="shared" si="1037"/>
        <v>0</v>
      </c>
      <c r="AI1100" s="1906">
        <f t="shared" si="1038"/>
        <v>0</v>
      </c>
      <c r="AJ1100" s="1906">
        <f t="shared" si="1039"/>
        <v>0</v>
      </c>
      <c r="AK1100" s="1906">
        <f t="shared" si="1040"/>
        <v>0</v>
      </c>
      <c r="AL1100" s="1906">
        <f t="shared" si="1041"/>
        <v>0</v>
      </c>
      <c r="AM1100" s="1906">
        <f t="shared" si="1042"/>
        <v>0</v>
      </c>
      <c r="AN1100" s="1906">
        <f t="shared" si="1043"/>
        <v>0</v>
      </c>
      <c r="AP1100" s="1906">
        <f t="shared" si="1044"/>
        <v>0</v>
      </c>
      <c r="AQ1100" s="1906">
        <f t="shared" si="1045"/>
        <v>0</v>
      </c>
      <c r="AR1100" s="1906">
        <f t="shared" si="1046"/>
        <v>0</v>
      </c>
      <c r="AS1100" s="1906">
        <f t="shared" si="1047"/>
        <v>0</v>
      </c>
      <c r="AT1100" s="1906">
        <f t="shared" si="1048"/>
        <v>0</v>
      </c>
      <c r="AU1100" s="1906">
        <f t="shared" si="1049"/>
        <v>0</v>
      </c>
      <c r="AV1100" s="1906">
        <f t="shared" si="1050"/>
        <v>0</v>
      </c>
      <c r="AW1100" s="1906">
        <f t="shared" si="1051"/>
        <v>0</v>
      </c>
      <c r="AX1100" s="1906">
        <f t="shared" si="1052"/>
        <v>0</v>
      </c>
      <c r="AY1100" s="1906">
        <f t="shared" si="1053"/>
        <v>0</v>
      </c>
      <c r="AZ1100" s="1906">
        <f t="shared" si="1054"/>
        <v>0</v>
      </c>
      <c r="BA1100" s="1906">
        <f t="shared" si="1055"/>
        <v>0</v>
      </c>
      <c r="BC1100" s="1906">
        <f t="shared" si="1056"/>
        <v>0</v>
      </c>
      <c r="BD1100" s="1906">
        <f t="shared" si="1057"/>
        <v>0</v>
      </c>
      <c r="BE1100" s="1906">
        <f t="shared" si="1058"/>
        <v>0</v>
      </c>
      <c r="BF1100" s="1906">
        <f t="shared" si="1059"/>
        <v>0</v>
      </c>
      <c r="BG1100" s="1906">
        <f t="shared" si="1060"/>
        <v>0</v>
      </c>
      <c r="BH1100" s="1906">
        <f t="shared" si="1061"/>
        <v>0</v>
      </c>
      <c r="BI1100" s="1906">
        <f t="shared" si="1062"/>
        <v>0</v>
      </c>
      <c r="BJ1100" s="1906">
        <f t="shared" si="1063"/>
        <v>0</v>
      </c>
      <c r="BK1100" s="1906">
        <f t="shared" si="1064"/>
        <v>0</v>
      </c>
      <c r="BL1100" s="1906">
        <f t="shared" si="1065"/>
        <v>0</v>
      </c>
      <c r="BM1100" s="1906">
        <f t="shared" si="1066"/>
        <v>0</v>
      </c>
      <c r="BN1100" s="1906">
        <f t="shared" si="1067"/>
        <v>0</v>
      </c>
      <c r="BP1100" s="1906">
        <f t="shared" si="1068"/>
        <v>0</v>
      </c>
      <c r="BQ1100" s="1906">
        <f t="shared" si="1069"/>
        <v>0</v>
      </c>
      <c r="BR1100" s="1906">
        <f t="shared" si="1070"/>
        <v>0</v>
      </c>
      <c r="BS1100" s="1906">
        <f t="shared" si="1071"/>
        <v>0</v>
      </c>
      <c r="BT1100" s="1906">
        <f t="shared" si="1072"/>
        <v>0</v>
      </c>
      <c r="BU1100" s="1906">
        <f t="shared" si="1073"/>
        <v>0</v>
      </c>
      <c r="BV1100" s="1906">
        <f t="shared" si="1074"/>
        <v>0</v>
      </c>
      <c r="BW1100" s="1906">
        <f t="shared" si="1075"/>
        <v>0</v>
      </c>
      <c r="BX1100" s="1906">
        <f t="shared" si="1076"/>
        <v>0</v>
      </c>
      <c r="BY1100" s="1906">
        <f t="shared" si="1077"/>
        <v>0</v>
      </c>
      <c r="BZ1100" s="1906">
        <f t="shared" si="1078"/>
        <v>0</v>
      </c>
      <c r="CA1100" s="1906">
        <f t="shared" si="1079"/>
        <v>0</v>
      </c>
      <c r="CC1100" s="1906">
        <f t="shared" si="1080"/>
        <v>0</v>
      </c>
      <c r="CD1100" s="1906">
        <f t="shared" si="1081"/>
        <v>0</v>
      </c>
      <c r="CE1100" s="1906">
        <f t="shared" si="1082"/>
        <v>0</v>
      </c>
      <c r="CF1100" s="1906">
        <f t="shared" si="1083"/>
        <v>0</v>
      </c>
      <c r="CG1100" s="1906">
        <f t="shared" si="1084"/>
        <v>0</v>
      </c>
      <c r="CH1100" s="1906">
        <f t="shared" si="1085"/>
        <v>0</v>
      </c>
      <c r="CI1100" s="1906">
        <f t="shared" si="1086"/>
        <v>0</v>
      </c>
      <c r="CJ1100" s="1906">
        <f t="shared" si="1087"/>
        <v>0</v>
      </c>
      <c r="CK1100" s="1906">
        <f t="shared" si="1088"/>
        <v>0</v>
      </c>
      <c r="CL1100" s="1906">
        <f t="shared" si="1089"/>
        <v>0</v>
      </c>
      <c r="CM1100" s="1906">
        <f t="shared" si="1090"/>
        <v>0</v>
      </c>
      <c r="CN1100" s="1906">
        <f t="shared" si="1091"/>
        <v>0</v>
      </c>
      <c r="CO1100" s="6">
        <f t="shared" si="1092"/>
        <v>0</v>
      </c>
      <c r="CP1100" s="1906">
        <f t="shared" si="1093"/>
        <v>0</v>
      </c>
      <c r="CQ1100" s="1906">
        <f t="shared" si="1094"/>
        <v>0</v>
      </c>
      <c r="CR1100" s="1906">
        <f t="shared" si="1095"/>
        <v>0</v>
      </c>
      <c r="CS1100" s="1906">
        <f t="shared" si="1096"/>
        <v>0</v>
      </c>
      <c r="CT1100" s="1906">
        <f t="shared" si="1109"/>
        <v>0</v>
      </c>
      <c r="CU1100" s="1906">
        <f t="shared" si="1109"/>
        <v>0</v>
      </c>
      <c r="CV1100" s="1906">
        <f t="shared" si="1109"/>
        <v>0</v>
      </c>
      <c r="CW1100" s="1906">
        <f t="shared" si="1109"/>
        <v>0</v>
      </c>
      <c r="CX1100" s="1906">
        <f t="shared" si="1109"/>
        <v>0</v>
      </c>
      <c r="CY1100" s="1906">
        <f t="shared" si="1109"/>
        <v>0</v>
      </c>
      <c r="CZ1100" s="1906">
        <f t="shared" si="1109"/>
        <v>0</v>
      </c>
      <c r="DA1100" s="1906">
        <f t="shared" si="1109"/>
        <v>0</v>
      </c>
      <c r="DB1100" s="595">
        <f t="shared" si="1005"/>
        <v>0</v>
      </c>
      <c r="DC1100" s="1443">
        <f t="shared" si="1006"/>
        <v>0</v>
      </c>
      <c r="DD1100" s="107"/>
      <c r="DE1100" s="111">
        <f t="shared" si="1007"/>
        <v>0</v>
      </c>
      <c r="DF1100" s="1906">
        <f t="shared" si="1097"/>
        <v>0</v>
      </c>
      <c r="DG1100" s="1906">
        <f t="shared" si="1098"/>
        <v>0</v>
      </c>
      <c r="DH1100" s="1906">
        <f t="shared" si="1099"/>
        <v>0</v>
      </c>
      <c r="DI1100" s="1906">
        <f t="shared" si="1100"/>
        <v>0</v>
      </c>
      <c r="DJ1100" s="1906">
        <f t="shared" si="1101"/>
        <v>0</v>
      </c>
      <c r="DK1100" s="1906">
        <f t="shared" si="1102"/>
        <v>0</v>
      </c>
      <c r="DL1100" s="1906">
        <f t="shared" si="1103"/>
        <v>0</v>
      </c>
      <c r="DM1100" s="1906">
        <f t="shared" si="1104"/>
        <v>0</v>
      </c>
      <c r="DN1100" s="1906">
        <f t="shared" si="1105"/>
        <v>0</v>
      </c>
      <c r="DO1100" s="1906">
        <f t="shared" si="1106"/>
        <v>0</v>
      </c>
      <c r="DP1100" s="1906">
        <f t="shared" si="1107"/>
        <v>0</v>
      </c>
      <c r="DQ1100" s="1906">
        <f t="shared" si="1108"/>
        <v>0</v>
      </c>
    </row>
    <row r="1101" spans="1:121" x14ac:dyDescent="0.2">
      <c r="A1101" s="6"/>
      <c r="C1101" s="1906" t="str">
        <f t="shared" si="1009"/>
        <v/>
      </c>
      <c r="D1101" s="1906" t="str">
        <f t="shared" si="1010"/>
        <v/>
      </c>
      <c r="E1101" s="1906" t="str">
        <f t="shared" si="1011"/>
        <v/>
      </c>
      <c r="F1101" s="1906" t="str">
        <f t="shared" si="1012"/>
        <v/>
      </c>
      <c r="G1101" s="1906" t="str">
        <f t="shared" si="1013"/>
        <v/>
      </c>
      <c r="H1101" s="1906" t="str">
        <f t="shared" si="1014"/>
        <v/>
      </c>
      <c r="I1101" s="1906" t="str">
        <f t="shared" si="1015"/>
        <v/>
      </c>
      <c r="J1101" s="1906" t="str">
        <f t="shared" si="1016"/>
        <v/>
      </c>
      <c r="K1101" s="1906" t="str">
        <f t="shared" si="1017"/>
        <v/>
      </c>
      <c r="L1101" s="1906" t="str">
        <f t="shared" si="1018"/>
        <v/>
      </c>
      <c r="M1101" s="1906" t="str">
        <f t="shared" si="1019"/>
        <v/>
      </c>
      <c r="N1101" s="1906" t="str">
        <f t="shared" si="1020"/>
        <v/>
      </c>
      <c r="P1101" s="1906">
        <f t="shared" si="1021"/>
        <v>0</v>
      </c>
      <c r="Q1101" s="1906">
        <f t="shared" si="1022"/>
        <v>0</v>
      </c>
      <c r="R1101" s="1906">
        <f t="shared" si="1023"/>
        <v>0</v>
      </c>
      <c r="S1101" s="1906">
        <f t="shared" si="1024"/>
        <v>0</v>
      </c>
      <c r="T1101" s="1906">
        <f t="shared" si="1025"/>
        <v>0</v>
      </c>
      <c r="U1101" s="1906">
        <f t="shared" si="1026"/>
        <v>0</v>
      </c>
      <c r="V1101" s="1906">
        <f t="shared" si="1027"/>
        <v>0</v>
      </c>
      <c r="W1101" s="1906">
        <f t="shared" si="1028"/>
        <v>0</v>
      </c>
      <c r="X1101" s="1906">
        <f t="shared" si="1029"/>
        <v>0</v>
      </c>
      <c r="Y1101" s="1906">
        <f t="shared" si="1030"/>
        <v>0</v>
      </c>
      <c r="Z1101" s="1906">
        <f t="shared" si="1031"/>
        <v>0</v>
      </c>
      <c r="AA1101" s="1906">
        <f t="shared" si="1032"/>
        <v>0</v>
      </c>
      <c r="AC1101" s="1906"/>
      <c r="AD1101" s="1906">
        <f t="shared" si="1033"/>
        <v>0</v>
      </c>
      <c r="AE1101" s="1906">
        <f t="shared" si="1034"/>
        <v>0</v>
      </c>
      <c r="AF1101" s="1906">
        <f t="shared" si="1035"/>
        <v>0</v>
      </c>
      <c r="AG1101" s="1906">
        <f t="shared" si="1036"/>
        <v>0</v>
      </c>
      <c r="AH1101" s="1906">
        <f t="shared" si="1037"/>
        <v>0</v>
      </c>
      <c r="AI1101" s="1906">
        <f t="shared" si="1038"/>
        <v>0</v>
      </c>
      <c r="AJ1101" s="1906">
        <f t="shared" si="1039"/>
        <v>0</v>
      </c>
      <c r="AK1101" s="1906">
        <f t="shared" si="1040"/>
        <v>0</v>
      </c>
      <c r="AL1101" s="1906">
        <f t="shared" si="1041"/>
        <v>0</v>
      </c>
      <c r="AM1101" s="1906">
        <f t="shared" si="1042"/>
        <v>0</v>
      </c>
      <c r="AN1101" s="1906">
        <f t="shared" si="1043"/>
        <v>0</v>
      </c>
      <c r="AP1101" s="1906">
        <f t="shared" si="1044"/>
        <v>0</v>
      </c>
      <c r="AQ1101" s="1906">
        <f t="shared" si="1045"/>
        <v>0</v>
      </c>
      <c r="AR1101" s="1906">
        <f t="shared" si="1046"/>
        <v>0</v>
      </c>
      <c r="AS1101" s="1906">
        <f t="shared" si="1047"/>
        <v>0</v>
      </c>
      <c r="AT1101" s="1906">
        <f t="shared" si="1048"/>
        <v>0</v>
      </c>
      <c r="AU1101" s="1906">
        <f t="shared" si="1049"/>
        <v>0</v>
      </c>
      <c r="AV1101" s="1906">
        <f t="shared" si="1050"/>
        <v>0</v>
      </c>
      <c r="AW1101" s="1906">
        <f t="shared" si="1051"/>
        <v>0</v>
      </c>
      <c r="AX1101" s="1906">
        <f t="shared" si="1052"/>
        <v>0</v>
      </c>
      <c r="AY1101" s="1906">
        <f t="shared" si="1053"/>
        <v>0</v>
      </c>
      <c r="AZ1101" s="1906">
        <f t="shared" si="1054"/>
        <v>0</v>
      </c>
      <c r="BA1101" s="1906">
        <f t="shared" si="1055"/>
        <v>0</v>
      </c>
      <c r="BC1101" s="1906">
        <f t="shared" si="1056"/>
        <v>0</v>
      </c>
      <c r="BD1101" s="1906">
        <f t="shared" si="1057"/>
        <v>0</v>
      </c>
      <c r="BE1101" s="1906">
        <f t="shared" si="1058"/>
        <v>0</v>
      </c>
      <c r="BF1101" s="1906">
        <f t="shared" si="1059"/>
        <v>0</v>
      </c>
      <c r="BG1101" s="1906">
        <f t="shared" si="1060"/>
        <v>0</v>
      </c>
      <c r="BH1101" s="1906">
        <f t="shared" si="1061"/>
        <v>0</v>
      </c>
      <c r="BI1101" s="1906">
        <f t="shared" si="1062"/>
        <v>0</v>
      </c>
      <c r="BJ1101" s="1906">
        <f t="shared" si="1063"/>
        <v>0</v>
      </c>
      <c r="BK1101" s="1906">
        <f t="shared" si="1064"/>
        <v>0</v>
      </c>
      <c r="BL1101" s="1906">
        <f t="shared" si="1065"/>
        <v>0</v>
      </c>
      <c r="BM1101" s="1906">
        <f t="shared" si="1066"/>
        <v>0</v>
      </c>
      <c r="BN1101" s="1906">
        <f t="shared" si="1067"/>
        <v>0</v>
      </c>
      <c r="BP1101" s="1906">
        <f t="shared" si="1068"/>
        <v>0</v>
      </c>
      <c r="BQ1101" s="1906">
        <f t="shared" si="1069"/>
        <v>0</v>
      </c>
      <c r="BR1101" s="1906">
        <f t="shared" si="1070"/>
        <v>0</v>
      </c>
      <c r="BS1101" s="1906">
        <f t="shared" si="1071"/>
        <v>0</v>
      </c>
      <c r="BT1101" s="1906">
        <f t="shared" si="1072"/>
        <v>0</v>
      </c>
      <c r="BU1101" s="1906">
        <f t="shared" si="1073"/>
        <v>0</v>
      </c>
      <c r="BV1101" s="1906">
        <f t="shared" si="1074"/>
        <v>0</v>
      </c>
      <c r="BW1101" s="1906">
        <f t="shared" si="1075"/>
        <v>0</v>
      </c>
      <c r="BX1101" s="1906">
        <f t="shared" si="1076"/>
        <v>0</v>
      </c>
      <c r="BY1101" s="1906">
        <f t="shared" si="1077"/>
        <v>0</v>
      </c>
      <c r="BZ1101" s="1906">
        <f t="shared" si="1078"/>
        <v>0</v>
      </c>
      <c r="CA1101" s="1906">
        <f t="shared" si="1079"/>
        <v>0</v>
      </c>
      <c r="CC1101" s="1906">
        <f t="shared" si="1080"/>
        <v>0</v>
      </c>
      <c r="CD1101" s="1906">
        <f t="shared" si="1081"/>
        <v>0</v>
      </c>
      <c r="CE1101" s="1906">
        <f t="shared" si="1082"/>
        <v>0</v>
      </c>
      <c r="CF1101" s="1906">
        <f t="shared" si="1083"/>
        <v>0</v>
      </c>
      <c r="CG1101" s="1906">
        <f t="shared" si="1084"/>
        <v>0</v>
      </c>
      <c r="CH1101" s="1906">
        <f t="shared" si="1085"/>
        <v>0</v>
      </c>
      <c r="CI1101" s="1906">
        <f t="shared" si="1086"/>
        <v>0</v>
      </c>
      <c r="CJ1101" s="1906">
        <f t="shared" si="1087"/>
        <v>0</v>
      </c>
      <c r="CK1101" s="1906">
        <f t="shared" si="1088"/>
        <v>0</v>
      </c>
      <c r="CL1101" s="1906">
        <f t="shared" si="1089"/>
        <v>0</v>
      </c>
      <c r="CM1101" s="1906">
        <f t="shared" si="1090"/>
        <v>0</v>
      </c>
      <c r="CN1101" s="1906">
        <f t="shared" si="1091"/>
        <v>0</v>
      </c>
      <c r="CO1101" s="6">
        <f t="shared" si="1092"/>
        <v>0</v>
      </c>
      <c r="CP1101" s="1906">
        <f t="shared" si="1093"/>
        <v>0</v>
      </c>
      <c r="CQ1101" s="1906">
        <f t="shared" si="1094"/>
        <v>0</v>
      </c>
      <c r="CR1101" s="1906">
        <f t="shared" si="1095"/>
        <v>0</v>
      </c>
      <c r="CS1101" s="1906">
        <f t="shared" si="1096"/>
        <v>0</v>
      </c>
      <c r="CT1101" s="1906">
        <f t="shared" si="1109"/>
        <v>0</v>
      </c>
      <c r="CU1101" s="1906">
        <f t="shared" si="1109"/>
        <v>0</v>
      </c>
      <c r="CV1101" s="1906">
        <f t="shared" si="1109"/>
        <v>0</v>
      </c>
      <c r="CW1101" s="1906">
        <f t="shared" si="1109"/>
        <v>0</v>
      </c>
      <c r="CX1101" s="1906">
        <f t="shared" si="1109"/>
        <v>0</v>
      </c>
      <c r="CY1101" s="1906">
        <f t="shared" si="1109"/>
        <v>0</v>
      </c>
      <c r="CZ1101" s="1906">
        <f t="shared" si="1109"/>
        <v>0</v>
      </c>
      <c r="DA1101" s="1906">
        <f t="shared" si="1109"/>
        <v>0</v>
      </c>
      <c r="DB1101" s="595">
        <f t="shared" si="1005"/>
        <v>0</v>
      </c>
      <c r="DC1101" s="1443">
        <f t="shared" si="1006"/>
        <v>0</v>
      </c>
      <c r="DD1101" s="107"/>
      <c r="DE1101" s="111">
        <f t="shared" si="1007"/>
        <v>0</v>
      </c>
      <c r="DF1101" s="1906">
        <f t="shared" si="1097"/>
        <v>0</v>
      </c>
      <c r="DG1101" s="1906">
        <f t="shared" si="1098"/>
        <v>0</v>
      </c>
      <c r="DH1101" s="1906">
        <f t="shared" si="1099"/>
        <v>0</v>
      </c>
      <c r="DI1101" s="1906">
        <f t="shared" si="1100"/>
        <v>0</v>
      </c>
      <c r="DJ1101" s="1906">
        <f t="shared" si="1101"/>
        <v>0</v>
      </c>
      <c r="DK1101" s="1906">
        <f t="shared" si="1102"/>
        <v>0</v>
      </c>
      <c r="DL1101" s="1906">
        <f t="shared" si="1103"/>
        <v>0</v>
      </c>
      <c r="DM1101" s="1906">
        <f t="shared" si="1104"/>
        <v>0</v>
      </c>
      <c r="DN1101" s="1906">
        <f t="shared" si="1105"/>
        <v>0</v>
      </c>
      <c r="DO1101" s="1906">
        <f t="shared" si="1106"/>
        <v>0</v>
      </c>
      <c r="DP1101" s="1906">
        <f t="shared" si="1107"/>
        <v>0</v>
      </c>
      <c r="DQ1101" s="1906">
        <f t="shared" si="1108"/>
        <v>0</v>
      </c>
    </row>
    <row r="1102" spans="1:121" x14ac:dyDescent="0.2">
      <c r="A1102" s="6"/>
      <c r="C1102" s="1906" t="str">
        <f t="shared" si="1009"/>
        <v/>
      </c>
      <c r="D1102" s="1906" t="str">
        <f t="shared" si="1010"/>
        <v/>
      </c>
      <c r="E1102" s="1906" t="str">
        <f t="shared" si="1011"/>
        <v/>
      </c>
      <c r="F1102" s="1906" t="str">
        <f t="shared" si="1012"/>
        <v/>
      </c>
      <c r="G1102" s="1906" t="str">
        <f t="shared" si="1013"/>
        <v/>
      </c>
      <c r="H1102" s="1906" t="str">
        <f t="shared" si="1014"/>
        <v/>
      </c>
      <c r="I1102" s="1906" t="str">
        <f t="shared" si="1015"/>
        <v/>
      </c>
      <c r="J1102" s="1906" t="str">
        <f t="shared" si="1016"/>
        <v/>
      </c>
      <c r="K1102" s="1906" t="str">
        <f t="shared" si="1017"/>
        <v/>
      </c>
      <c r="L1102" s="1906" t="str">
        <f t="shared" si="1018"/>
        <v/>
      </c>
      <c r="M1102" s="1906" t="str">
        <f t="shared" si="1019"/>
        <v/>
      </c>
      <c r="N1102" s="1906" t="str">
        <f t="shared" si="1020"/>
        <v/>
      </c>
      <c r="P1102" s="1906">
        <f t="shared" si="1021"/>
        <v>0</v>
      </c>
      <c r="Q1102" s="1906">
        <f t="shared" si="1022"/>
        <v>0</v>
      </c>
      <c r="R1102" s="1906">
        <f t="shared" si="1023"/>
        <v>0</v>
      </c>
      <c r="S1102" s="1906">
        <f t="shared" si="1024"/>
        <v>0</v>
      </c>
      <c r="T1102" s="1906">
        <f t="shared" si="1025"/>
        <v>0</v>
      </c>
      <c r="U1102" s="1906">
        <f t="shared" si="1026"/>
        <v>0</v>
      </c>
      <c r="V1102" s="1906">
        <f t="shared" si="1027"/>
        <v>0</v>
      </c>
      <c r="W1102" s="1906">
        <f t="shared" si="1028"/>
        <v>0</v>
      </c>
      <c r="X1102" s="1906">
        <f t="shared" si="1029"/>
        <v>0</v>
      </c>
      <c r="Y1102" s="1906">
        <f t="shared" si="1030"/>
        <v>0</v>
      </c>
      <c r="Z1102" s="1906">
        <f t="shared" si="1031"/>
        <v>0</v>
      </c>
      <c r="AA1102" s="1906">
        <f t="shared" si="1032"/>
        <v>0</v>
      </c>
      <c r="AC1102" s="1906"/>
      <c r="AD1102" s="1906">
        <f t="shared" si="1033"/>
        <v>0</v>
      </c>
      <c r="AE1102" s="1906">
        <f t="shared" si="1034"/>
        <v>0</v>
      </c>
      <c r="AF1102" s="1906">
        <f t="shared" si="1035"/>
        <v>0</v>
      </c>
      <c r="AG1102" s="1906">
        <f t="shared" si="1036"/>
        <v>0</v>
      </c>
      <c r="AH1102" s="1906">
        <f t="shared" si="1037"/>
        <v>0</v>
      </c>
      <c r="AI1102" s="1906">
        <f t="shared" si="1038"/>
        <v>0</v>
      </c>
      <c r="AJ1102" s="1906">
        <f t="shared" si="1039"/>
        <v>0</v>
      </c>
      <c r="AK1102" s="1906">
        <f t="shared" si="1040"/>
        <v>0</v>
      </c>
      <c r="AL1102" s="1906">
        <f t="shared" si="1041"/>
        <v>0</v>
      </c>
      <c r="AM1102" s="1906">
        <f t="shared" si="1042"/>
        <v>0</v>
      </c>
      <c r="AN1102" s="1906">
        <f t="shared" si="1043"/>
        <v>0</v>
      </c>
      <c r="AP1102" s="1906">
        <f t="shared" si="1044"/>
        <v>0</v>
      </c>
      <c r="AQ1102" s="1906">
        <f t="shared" si="1045"/>
        <v>0</v>
      </c>
      <c r="AR1102" s="1906">
        <f t="shared" si="1046"/>
        <v>0</v>
      </c>
      <c r="AS1102" s="1906">
        <f t="shared" si="1047"/>
        <v>0</v>
      </c>
      <c r="AT1102" s="1906">
        <f t="shared" si="1048"/>
        <v>0</v>
      </c>
      <c r="AU1102" s="1906">
        <f t="shared" si="1049"/>
        <v>0</v>
      </c>
      <c r="AV1102" s="1906">
        <f t="shared" si="1050"/>
        <v>0</v>
      </c>
      <c r="AW1102" s="1906">
        <f t="shared" si="1051"/>
        <v>0</v>
      </c>
      <c r="AX1102" s="1906">
        <f t="shared" si="1052"/>
        <v>0</v>
      </c>
      <c r="AY1102" s="1906">
        <f t="shared" si="1053"/>
        <v>0</v>
      </c>
      <c r="AZ1102" s="1906">
        <f t="shared" si="1054"/>
        <v>0</v>
      </c>
      <c r="BA1102" s="1906">
        <f t="shared" si="1055"/>
        <v>0</v>
      </c>
      <c r="BC1102" s="1906">
        <f t="shared" si="1056"/>
        <v>0</v>
      </c>
      <c r="BD1102" s="1906">
        <f t="shared" si="1057"/>
        <v>0</v>
      </c>
      <c r="BE1102" s="1906">
        <f t="shared" si="1058"/>
        <v>0</v>
      </c>
      <c r="BF1102" s="1906">
        <f t="shared" si="1059"/>
        <v>0</v>
      </c>
      <c r="BG1102" s="1906">
        <f t="shared" si="1060"/>
        <v>0</v>
      </c>
      <c r="BH1102" s="1906">
        <f t="shared" si="1061"/>
        <v>0</v>
      </c>
      <c r="BI1102" s="1906">
        <f t="shared" si="1062"/>
        <v>0</v>
      </c>
      <c r="BJ1102" s="1906">
        <f t="shared" si="1063"/>
        <v>0</v>
      </c>
      <c r="BK1102" s="1906">
        <f t="shared" si="1064"/>
        <v>0</v>
      </c>
      <c r="BL1102" s="1906">
        <f t="shared" si="1065"/>
        <v>0</v>
      </c>
      <c r="BM1102" s="1906">
        <f t="shared" si="1066"/>
        <v>0</v>
      </c>
      <c r="BN1102" s="1906">
        <f t="shared" si="1067"/>
        <v>0</v>
      </c>
      <c r="BP1102" s="1906">
        <f t="shared" si="1068"/>
        <v>0</v>
      </c>
      <c r="BQ1102" s="1906">
        <f t="shared" si="1069"/>
        <v>0</v>
      </c>
      <c r="BR1102" s="1906">
        <f t="shared" si="1070"/>
        <v>0</v>
      </c>
      <c r="BS1102" s="1906">
        <f t="shared" si="1071"/>
        <v>0</v>
      </c>
      <c r="BT1102" s="1906">
        <f t="shared" si="1072"/>
        <v>0</v>
      </c>
      <c r="BU1102" s="1906">
        <f t="shared" si="1073"/>
        <v>0</v>
      </c>
      <c r="BV1102" s="1906">
        <f t="shared" si="1074"/>
        <v>0</v>
      </c>
      <c r="BW1102" s="1906">
        <f t="shared" si="1075"/>
        <v>0</v>
      </c>
      <c r="BX1102" s="1906">
        <f t="shared" si="1076"/>
        <v>0</v>
      </c>
      <c r="BY1102" s="1906">
        <f t="shared" si="1077"/>
        <v>0</v>
      </c>
      <c r="BZ1102" s="1906">
        <f t="shared" si="1078"/>
        <v>0</v>
      </c>
      <c r="CA1102" s="1906">
        <f t="shared" si="1079"/>
        <v>0</v>
      </c>
      <c r="CC1102" s="1906">
        <f t="shared" si="1080"/>
        <v>0</v>
      </c>
      <c r="CD1102" s="1906">
        <f t="shared" si="1081"/>
        <v>0</v>
      </c>
      <c r="CE1102" s="1906">
        <f t="shared" si="1082"/>
        <v>0</v>
      </c>
      <c r="CF1102" s="1906">
        <f t="shared" si="1083"/>
        <v>0</v>
      </c>
      <c r="CG1102" s="1906">
        <f t="shared" si="1084"/>
        <v>0</v>
      </c>
      <c r="CH1102" s="1906">
        <f t="shared" si="1085"/>
        <v>0</v>
      </c>
      <c r="CI1102" s="1906">
        <f t="shared" si="1086"/>
        <v>0</v>
      </c>
      <c r="CJ1102" s="1906">
        <f t="shared" si="1087"/>
        <v>0</v>
      </c>
      <c r="CK1102" s="1906">
        <f t="shared" si="1088"/>
        <v>0</v>
      </c>
      <c r="CL1102" s="1906">
        <f t="shared" si="1089"/>
        <v>0</v>
      </c>
      <c r="CM1102" s="1906">
        <f t="shared" si="1090"/>
        <v>0</v>
      </c>
      <c r="CN1102" s="1906">
        <f t="shared" si="1091"/>
        <v>0</v>
      </c>
      <c r="CO1102" s="6" t="str">
        <f t="shared" si="1092"/>
        <v>Subtotal Cultivos de Verano para Reserva</v>
      </c>
      <c r="CP1102" s="1906">
        <f t="shared" si="1093"/>
        <v>0</v>
      </c>
      <c r="CQ1102" s="1906">
        <f t="shared" si="1094"/>
        <v>0</v>
      </c>
      <c r="CR1102" s="1906">
        <f t="shared" si="1095"/>
        <v>0</v>
      </c>
      <c r="CS1102" s="1906">
        <f t="shared" si="1096"/>
        <v>0</v>
      </c>
      <c r="CT1102" s="1906">
        <f t="shared" si="1109"/>
        <v>0</v>
      </c>
      <c r="CU1102" s="1906">
        <f t="shared" si="1109"/>
        <v>0</v>
      </c>
      <c r="CV1102" s="1906">
        <f t="shared" si="1109"/>
        <v>0</v>
      </c>
      <c r="CW1102" s="1906">
        <f t="shared" si="1109"/>
        <v>0</v>
      </c>
      <c r="CX1102" s="1906">
        <f t="shared" si="1109"/>
        <v>0</v>
      </c>
      <c r="CY1102" s="1906">
        <f t="shared" si="1109"/>
        <v>0</v>
      </c>
      <c r="CZ1102" s="1906">
        <f t="shared" si="1109"/>
        <v>0</v>
      </c>
      <c r="DA1102" s="1906">
        <f t="shared" si="1109"/>
        <v>0</v>
      </c>
      <c r="DB1102" s="595" t="str">
        <f t="shared" si="1005"/>
        <v>Subtotal Cultivos de Verano para Reserva</v>
      </c>
      <c r="DC1102" s="1443">
        <f t="shared" si="1006"/>
        <v>0</v>
      </c>
      <c r="DD1102" s="107"/>
      <c r="DE1102" s="111" t="str">
        <f t="shared" si="1007"/>
        <v>Subtotal Cultivos de Verano para Reserva</v>
      </c>
      <c r="DF1102" s="1906">
        <f t="shared" si="1097"/>
        <v>0</v>
      </c>
      <c r="DG1102" s="1906">
        <f t="shared" si="1098"/>
        <v>0</v>
      </c>
      <c r="DH1102" s="1906">
        <f t="shared" si="1099"/>
        <v>0</v>
      </c>
      <c r="DI1102" s="1906">
        <f t="shared" si="1100"/>
        <v>0</v>
      </c>
      <c r="DJ1102" s="1906">
        <f t="shared" si="1101"/>
        <v>0</v>
      </c>
      <c r="DK1102" s="1906">
        <f t="shared" si="1102"/>
        <v>0</v>
      </c>
      <c r="DL1102" s="1906">
        <f t="shared" si="1103"/>
        <v>0</v>
      </c>
      <c r="DM1102" s="1906">
        <f t="shared" si="1104"/>
        <v>0</v>
      </c>
      <c r="DN1102" s="1906">
        <f t="shared" si="1105"/>
        <v>0</v>
      </c>
      <c r="DO1102" s="1906">
        <f t="shared" si="1106"/>
        <v>0</v>
      </c>
      <c r="DP1102" s="1906">
        <f t="shared" si="1107"/>
        <v>0</v>
      </c>
      <c r="DQ1102" s="1906">
        <f t="shared" si="1108"/>
        <v>0</v>
      </c>
    </row>
    <row r="1103" spans="1:121" x14ac:dyDescent="0.2">
      <c r="A1103" s="6"/>
      <c r="C1103" s="1906" t="str">
        <f t="shared" si="1009"/>
        <v/>
      </c>
      <c r="D1103" s="1906" t="str">
        <f t="shared" si="1010"/>
        <v/>
      </c>
      <c r="E1103" s="1906" t="str">
        <f t="shared" si="1011"/>
        <v/>
      </c>
      <c r="F1103" s="1906" t="str">
        <f t="shared" si="1012"/>
        <v/>
      </c>
      <c r="G1103" s="1906" t="str">
        <f t="shared" si="1013"/>
        <v/>
      </c>
      <c r="H1103" s="1906" t="str">
        <f t="shared" si="1014"/>
        <v/>
      </c>
      <c r="I1103" s="1906" t="str">
        <f t="shared" si="1015"/>
        <v/>
      </c>
      <c r="J1103" s="1906" t="str">
        <f t="shared" si="1016"/>
        <v/>
      </c>
      <c r="K1103" s="1906" t="str">
        <f t="shared" si="1017"/>
        <v/>
      </c>
      <c r="L1103" s="1906" t="str">
        <f t="shared" si="1018"/>
        <v/>
      </c>
      <c r="M1103" s="1906" t="str">
        <f t="shared" si="1019"/>
        <v/>
      </c>
      <c r="N1103" s="1906" t="str">
        <f t="shared" si="1020"/>
        <v/>
      </c>
      <c r="P1103" s="1906">
        <f t="shared" si="1021"/>
        <v>0</v>
      </c>
      <c r="Q1103" s="1906">
        <f t="shared" si="1022"/>
        <v>0</v>
      </c>
      <c r="R1103" s="1906">
        <f t="shared" si="1023"/>
        <v>0</v>
      </c>
      <c r="S1103" s="1906">
        <f t="shared" si="1024"/>
        <v>0</v>
      </c>
      <c r="T1103" s="1906">
        <f t="shared" si="1025"/>
        <v>0</v>
      </c>
      <c r="U1103" s="1906">
        <f t="shared" si="1026"/>
        <v>0</v>
      </c>
      <c r="V1103" s="1906">
        <f t="shared" si="1027"/>
        <v>0</v>
      </c>
      <c r="W1103" s="1906">
        <f t="shared" si="1028"/>
        <v>0</v>
      </c>
      <c r="X1103" s="1906">
        <f t="shared" si="1029"/>
        <v>0</v>
      </c>
      <c r="Y1103" s="1906">
        <f t="shared" si="1030"/>
        <v>0</v>
      </c>
      <c r="Z1103" s="1906">
        <f t="shared" si="1031"/>
        <v>0</v>
      </c>
      <c r="AA1103" s="1906">
        <f t="shared" si="1032"/>
        <v>0</v>
      </c>
      <c r="AC1103" s="1906"/>
      <c r="AD1103" s="1906">
        <f t="shared" si="1033"/>
        <v>0</v>
      </c>
      <c r="AE1103" s="1906">
        <f t="shared" si="1034"/>
        <v>0</v>
      </c>
      <c r="AF1103" s="1906">
        <f t="shared" si="1035"/>
        <v>0</v>
      </c>
      <c r="AG1103" s="1906">
        <f t="shared" si="1036"/>
        <v>0</v>
      </c>
      <c r="AH1103" s="1906">
        <f t="shared" si="1037"/>
        <v>0</v>
      </c>
      <c r="AI1103" s="1906">
        <f t="shared" si="1038"/>
        <v>0</v>
      </c>
      <c r="AJ1103" s="1906">
        <f t="shared" si="1039"/>
        <v>0</v>
      </c>
      <c r="AK1103" s="1906">
        <f t="shared" si="1040"/>
        <v>0</v>
      </c>
      <c r="AL1103" s="1906">
        <f t="shared" si="1041"/>
        <v>0</v>
      </c>
      <c r="AM1103" s="1906">
        <f t="shared" si="1042"/>
        <v>0</v>
      </c>
      <c r="AN1103" s="1906">
        <f t="shared" si="1043"/>
        <v>0</v>
      </c>
      <c r="AP1103" s="1906">
        <f t="shared" si="1044"/>
        <v>0</v>
      </c>
      <c r="AQ1103" s="1906">
        <f t="shared" si="1045"/>
        <v>0</v>
      </c>
      <c r="AR1103" s="1906">
        <f t="shared" si="1046"/>
        <v>0</v>
      </c>
      <c r="AS1103" s="1906">
        <f t="shared" si="1047"/>
        <v>0</v>
      </c>
      <c r="AT1103" s="1906">
        <f t="shared" si="1048"/>
        <v>0</v>
      </c>
      <c r="AU1103" s="1906">
        <f t="shared" si="1049"/>
        <v>0</v>
      </c>
      <c r="AV1103" s="1906">
        <f t="shared" si="1050"/>
        <v>0</v>
      </c>
      <c r="AW1103" s="1906">
        <f t="shared" si="1051"/>
        <v>0</v>
      </c>
      <c r="AX1103" s="1906">
        <f t="shared" si="1052"/>
        <v>0</v>
      </c>
      <c r="AY1103" s="1906">
        <f t="shared" si="1053"/>
        <v>0</v>
      </c>
      <c r="AZ1103" s="1906">
        <f t="shared" si="1054"/>
        <v>0</v>
      </c>
      <c r="BA1103" s="1906">
        <f t="shared" si="1055"/>
        <v>0</v>
      </c>
      <c r="BC1103" s="1906">
        <f t="shared" si="1056"/>
        <v>0</v>
      </c>
      <c r="BD1103" s="1906">
        <f t="shared" si="1057"/>
        <v>0</v>
      </c>
      <c r="BE1103" s="1906">
        <f t="shared" si="1058"/>
        <v>0</v>
      </c>
      <c r="BF1103" s="1906">
        <f t="shared" si="1059"/>
        <v>0</v>
      </c>
      <c r="BG1103" s="1906">
        <f t="shared" si="1060"/>
        <v>0</v>
      </c>
      <c r="BH1103" s="1906">
        <f t="shared" si="1061"/>
        <v>0</v>
      </c>
      <c r="BI1103" s="1906">
        <f t="shared" si="1062"/>
        <v>0</v>
      </c>
      <c r="BJ1103" s="1906">
        <f t="shared" si="1063"/>
        <v>0</v>
      </c>
      <c r="BK1103" s="1906">
        <f t="shared" si="1064"/>
        <v>0</v>
      </c>
      <c r="BL1103" s="1906">
        <f t="shared" si="1065"/>
        <v>0</v>
      </c>
      <c r="BM1103" s="1906">
        <f t="shared" si="1066"/>
        <v>0</v>
      </c>
      <c r="BN1103" s="1906">
        <f t="shared" si="1067"/>
        <v>0</v>
      </c>
      <c r="BP1103" s="1906">
        <f t="shared" si="1068"/>
        <v>0</v>
      </c>
      <c r="BQ1103" s="1906">
        <f t="shared" si="1069"/>
        <v>0</v>
      </c>
      <c r="BR1103" s="1906">
        <f t="shared" si="1070"/>
        <v>0</v>
      </c>
      <c r="BS1103" s="1906">
        <f t="shared" si="1071"/>
        <v>0</v>
      </c>
      <c r="BT1103" s="1906">
        <f t="shared" si="1072"/>
        <v>0</v>
      </c>
      <c r="BU1103" s="1906">
        <f t="shared" si="1073"/>
        <v>0</v>
      </c>
      <c r="BV1103" s="1906">
        <f t="shared" si="1074"/>
        <v>0</v>
      </c>
      <c r="BW1103" s="1906">
        <f t="shared" si="1075"/>
        <v>0</v>
      </c>
      <c r="BX1103" s="1906">
        <f t="shared" si="1076"/>
        <v>0</v>
      </c>
      <c r="BY1103" s="1906">
        <f t="shared" si="1077"/>
        <v>0</v>
      </c>
      <c r="BZ1103" s="1906">
        <f t="shared" si="1078"/>
        <v>0</v>
      </c>
      <c r="CA1103" s="1906">
        <f t="shared" si="1079"/>
        <v>0</v>
      </c>
      <c r="CC1103" s="1906">
        <f t="shared" si="1080"/>
        <v>0</v>
      </c>
      <c r="CD1103" s="1906">
        <f t="shared" si="1081"/>
        <v>0</v>
      </c>
      <c r="CE1103" s="1906">
        <f t="shared" si="1082"/>
        <v>0</v>
      </c>
      <c r="CF1103" s="1906">
        <f t="shared" si="1083"/>
        <v>0</v>
      </c>
      <c r="CG1103" s="1906">
        <f t="shared" si="1084"/>
        <v>0</v>
      </c>
      <c r="CH1103" s="1906">
        <f t="shared" si="1085"/>
        <v>0</v>
      </c>
      <c r="CI1103" s="1906">
        <f t="shared" si="1086"/>
        <v>0</v>
      </c>
      <c r="CJ1103" s="1906">
        <f t="shared" si="1087"/>
        <v>0</v>
      </c>
      <c r="CK1103" s="1906">
        <f t="shared" si="1088"/>
        <v>0</v>
      </c>
      <c r="CL1103" s="1906">
        <f t="shared" si="1089"/>
        <v>0</v>
      </c>
      <c r="CM1103" s="1906">
        <f t="shared" si="1090"/>
        <v>0</v>
      </c>
      <c r="CN1103" s="1906">
        <f t="shared" si="1091"/>
        <v>0</v>
      </c>
      <c r="CO1103" s="6" t="str">
        <f t="shared" si="1092"/>
        <v>Avena silo</v>
      </c>
      <c r="CP1103" s="1906">
        <f t="shared" si="1093"/>
        <v>0</v>
      </c>
      <c r="CQ1103" s="1906">
        <f t="shared" si="1094"/>
        <v>0</v>
      </c>
      <c r="CR1103" s="1906">
        <f t="shared" si="1095"/>
        <v>0</v>
      </c>
      <c r="CS1103" s="1906">
        <f t="shared" si="1096"/>
        <v>0</v>
      </c>
      <c r="CT1103" s="1906">
        <f t="shared" si="1109"/>
        <v>0</v>
      </c>
      <c r="CU1103" s="1906">
        <f t="shared" si="1109"/>
        <v>0</v>
      </c>
      <c r="CV1103" s="1906">
        <f t="shared" si="1109"/>
        <v>0</v>
      </c>
      <c r="CW1103" s="1906">
        <f t="shared" si="1109"/>
        <v>0</v>
      </c>
      <c r="CX1103" s="1906">
        <f t="shared" si="1109"/>
        <v>0</v>
      </c>
      <c r="CY1103" s="1906">
        <f t="shared" si="1109"/>
        <v>0</v>
      </c>
      <c r="CZ1103" s="1906">
        <f t="shared" si="1109"/>
        <v>0</v>
      </c>
      <c r="DA1103" s="1906">
        <f t="shared" si="1109"/>
        <v>0</v>
      </c>
      <c r="DB1103" s="595" t="str">
        <f t="shared" si="1005"/>
        <v>Avena silo</v>
      </c>
      <c r="DC1103" s="1443">
        <f t="shared" si="1006"/>
        <v>0</v>
      </c>
      <c r="DD1103" s="107"/>
      <c r="DE1103" s="111" t="str">
        <f t="shared" si="1007"/>
        <v>Avena silo</v>
      </c>
      <c r="DF1103" s="1906">
        <f t="shared" si="1097"/>
        <v>0</v>
      </c>
      <c r="DG1103" s="1906">
        <f t="shared" si="1098"/>
        <v>0</v>
      </c>
      <c r="DH1103" s="1906">
        <f t="shared" si="1099"/>
        <v>0</v>
      </c>
      <c r="DI1103" s="1906">
        <f t="shared" si="1100"/>
        <v>0</v>
      </c>
      <c r="DJ1103" s="1906">
        <f t="shared" si="1101"/>
        <v>0</v>
      </c>
      <c r="DK1103" s="1906">
        <f t="shared" si="1102"/>
        <v>0</v>
      </c>
      <c r="DL1103" s="1906">
        <f t="shared" si="1103"/>
        <v>0</v>
      </c>
      <c r="DM1103" s="1906">
        <f t="shared" si="1104"/>
        <v>0</v>
      </c>
      <c r="DN1103" s="1906">
        <f t="shared" si="1105"/>
        <v>0</v>
      </c>
      <c r="DO1103" s="1906">
        <f t="shared" si="1106"/>
        <v>0</v>
      </c>
      <c r="DP1103" s="1906">
        <f t="shared" si="1107"/>
        <v>0</v>
      </c>
      <c r="DQ1103" s="1906">
        <f t="shared" si="1108"/>
        <v>0</v>
      </c>
    </row>
    <row r="1104" spans="1:121" x14ac:dyDescent="0.2">
      <c r="A1104" s="6"/>
      <c r="C1104" s="1906" t="str">
        <f t="shared" si="1009"/>
        <v/>
      </c>
      <c r="D1104" s="1906" t="str">
        <f t="shared" si="1010"/>
        <v/>
      </c>
      <c r="E1104" s="1906" t="str">
        <f t="shared" si="1011"/>
        <v/>
      </c>
      <c r="F1104" s="1906" t="str">
        <f t="shared" si="1012"/>
        <v/>
      </c>
      <c r="G1104" s="1906" t="str">
        <f t="shared" si="1013"/>
        <v/>
      </c>
      <c r="H1104" s="1906" t="str">
        <f t="shared" si="1014"/>
        <v/>
      </c>
      <c r="I1104" s="1906" t="str">
        <f t="shared" si="1015"/>
        <v/>
      </c>
      <c r="J1104" s="1906" t="str">
        <f t="shared" si="1016"/>
        <v/>
      </c>
      <c r="K1104" s="1906" t="str">
        <f t="shared" si="1017"/>
        <v/>
      </c>
      <c r="L1104" s="1906" t="str">
        <f t="shared" si="1018"/>
        <v/>
      </c>
      <c r="M1104" s="1906" t="str">
        <f t="shared" si="1019"/>
        <v/>
      </c>
      <c r="N1104" s="1906" t="str">
        <f t="shared" si="1020"/>
        <v/>
      </c>
      <c r="P1104" s="1906">
        <f t="shared" si="1021"/>
        <v>0</v>
      </c>
      <c r="Q1104" s="1906">
        <f t="shared" si="1022"/>
        <v>0</v>
      </c>
      <c r="R1104" s="1906">
        <f t="shared" si="1023"/>
        <v>0</v>
      </c>
      <c r="S1104" s="1906">
        <f t="shared" si="1024"/>
        <v>0</v>
      </c>
      <c r="T1104" s="1906">
        <f t="shared" si="1025"/>
        <v>0</v>
      </c>
      <c r="U1104" s="1906">
        <f t="shared" si="1026"/>
        <v>0</v>
      </c>
      <c r="V1104" s="1906">
        <f t="shared" si="1027"/>
        <v>0</v>
      </c>
      <c r="W1104" s="1906">
        <f t="shared" si="1028"/>
        <v>0</v>
      </c>
      <c r="X1104" s="1906">
        <f t="shared" si="1029"/>
        <v>0</v>
      </c>
      <c r="Y1104" s="1906">
        <f t="shared" si="1030"/>
        <v>0</v>
      </c>
      <c r="Z1104" s="1906">
        <f t="shared" si="1031"/>
        <v>0</v>
      </c>
      <c r="AA1104" s="1906">
        <f t="shared" si="1032"/>
        <v>0</v>
      </c>
      <c r="AC1104" s="1906"/>
      <c r="AD1104" s="1906">
        <f t="shared" si="1033"/>
        <v>0</v>
      </c>
      <c r="AE1104" s="1906">
        <f t="shared" si="1034"/>
        <v>0</v>
      </c>
      <c r="AF1104" s="1906">
        <f t="shared" si="1035"/>
        <v>0</v>
      </c>
      <c r="AG1104" s="1906">
        <f t="shared" si="1036"/>
        <v>0</v>
      </c>
      <c r="AH1104" s="1906">
        <f t="shared" si="1037"/>
        <v>0</v>
      </c>
      <c r="AI1104" s="1906">
        <f t="shared" si="1038"/>
        <v>0</v>
      </c>
      <c r="AJ1104" s="1906">
        <f t="shared" si="1039"/>
        <v>0</v>
      </c>
      <c r="AK1104" s="1906">
        <f t="shared" si="1040"/>
        <v>0</v>
      </c>
      <c r="AL1104" s="1906">
        <f t="shared" si="1041"/>
        <v>0</v>
      </c>
      <c r="AM1104" s="1906">
        <f t="shared" si="1042"/>
        <v>0</v>
      </c>
      <c r="AN1104" s="1906">
        <f t="shared" si="1043"/>
        <v>0</v>
      </c>
      <c r="AP1104" s="1906">
        <f t="shared" si="1044"/>
        <v>0</v>
      </c>
      <c r="AQ1104" s="1906">
        <f t="shared" si="1045"/>
        <v>0</v>
      </c>
      <c r="AR1104" s="1906">
        <f t="shared" si="1046"/>
        <v>0</v>
      </c>
      <c r="AS1104" s="1906">
        <f t="shared" si="1047"/>
        <v>0</v>
      </c>
      <c r="AT1104" s="1906">
        <f t="shared" si="1048"/>
        <v>0</v>
      </c>
      <c r="AU1104" s="1906">
        <f t="shared" si="1049"/>
        <v>0</v>
      </c>
      <c r="AV1104" s="1906">
        <f t="shared" si="1050"/>
        <v>0</v>
      </c>
      <c r="AW1104" s="1906">
        <f t="shared" si="1051"/>
        <v>0</v>
      </c>
      <c r="AX1104" s="1906">
        <f t="shared" si="1052"/>
        <v>0</v>
      </c>
      <c r="AY1104" s="1906">
        <f t="shared" si="1053"/>
        <v>0</v>
      </c>
      <c r="AZ1104" s="1906">
        <f t="shared" si="1054"/>
        <v>0</v>
      </c>
      <c r="BA1104" s="1906">
        <f t="shared" si="1055"/>
        <v>0</v>
      </c>
      <c r="BC1104" s="1906">
        <f t="shared" si="1056"/>
        <v>0</v>
      </c>
      <c r="BD1104" s="1906">
        <f t="shared" si="1057"/>
        <v>0</v>
      </c>
      <c r="BE1104" s="1906">
        <f t="shared" si="1058"/>
        <v>0</v>
      </c>
      <c r="BF1104" s="1906">
        <f t="shared" si="1059"/>
        <v>0</v>
      </c>
      <c r="BG1104" s="1906">
        <f t="shared" si="1060"/>
        <v>0</v>
      </c>
      <c r="BH1104" s="1906">
        <f t="shared" si="1061"/>
        <v>0</v>
      </c>
      <c r="BI1104" s="1906">
        <f t="shared" si="1062"/>
        <v>0</v>
      </c>
      <c r="BJ1104" s="1906">
        <f t="shared" si="1063"/>
        <v>0</v>
      </c>
      <c r="BK1104" s="1906">
        <f t="shared" si="1064"/>
        <v>0</v>
      </c>
      <c r="BL1104" s="1906">
        <f t="shared" si="1065"/>
        <v>0</v>
      </c>
      <c r="BM1104" s="1906">
        <f t="shared" si="1066"/>
        <v>0</v>
      </c>
      <c r="BN1104" s="1906">
        <f t="shared" si="1067"/>
        <v>0</v>
      </c>
      <c r="BP1104" s="1906">
        <f t="shared" si="1068"/>
        <v>0</v>
      </c>
      <c r="BQ1104" s="1906">
        <f t="shared" si="1069"/>
        <v>0</v>
      </c>
      <c r="BR1104" s="1906">
        <f t="shared" si="1070"/>
        <v>0</v>
      </c>
      <c r="BS1104" s="1906">
        <f t="shared" si="1071"/>
        <v>0</v>
      </c>
      <c r="BT1104" s="1906">
        <f t="shared" si="1072"/>
        <v>0</v>
      </c>
      <c r="BU1104" s="1906">
        <f t="shared" si="1073"/>
        <v>0</v>
      </c>
      <c r="BV1104" s="1906">
        <f t="shared" si="1074"/>
        <v>0</v>
      </c>
      <c r="BW1104" s="1906">
        <f t="shared" si="1075"/>
        <v>0</v>
      </c>
      <c r="BX1104" s="1906">
        <f t="shared" si="1076"/>
        <v>0</v>
      </c>
      <c r="BY1104" s="1906">
        <f t="shared" si="1077"/>
        <v>0</v>
      </c>
      <c r="BZ1104" s="1906">
        <f t="shared" si="1078"/>
        <v>0</v>
      </c>
      <c r="CA1104" s="1906">
        <f t="shared" si="1079"/>
        <v>0</v>
      </c>
      <c r="CC1104" s="1906">
        <f t="shared" si="1080"/>
        <v>0</v>
      </c>
      <c r="CD1104" s="1906">
        <f t="shared" si="1081"/>
        <v>0</v>
      </c>
      <c r="CE1104" s="1906">
        <f t="shared" si="1082"/>
        <v>0</v>
      </c>
      <c r="CF1104" s="1906">
        <f t="shared" si="1083"/>
        <v>0</v>
      </c>
      <c r="CG1104" s="1906">
        <f t="shared" si="1084"/>
        <v>0</v>
      </c>
      <c r="CH1104" s="1906">
        <f t="shared" si="1085"/>
        <v>0</v>
      </c>
      <c r="CI1104" s="1906">
        <f t="shared" si="1086"/>
        <v>0</v>
      </c>
      <c r="CJ1104" s="1906">
        <f t="shared" si="1087"/>
        <v>0</v>
      </c>
      <c r="CK1104" s="1906">
        <f t="shared" si="1088"/>
        <v>0</v>
      </c>
      <c r="CL1104" s="1906">
        <f t="shared" si="1089"/>
        <v>0</v>
      </c>
      <c r="CM1104" s="1906">
        <f t="shared" si="1090"/>
        <v>0</v>
      </c>
      <c r="CN1104" s="1906">
        <f t="shared" si="1091"/>
        <v>0</v>
      </c>
      <c r="CO1104" s="6" t="str">
        <f t="shared" si="1092"/>
        <v>Raigrás Silo</v>
      </c>
      <c r="CP1104" s="1906">
        <f t="shared" si="1093"/>
        <v>0</v>
      </c>
      <c r="CQ1104" s="1906">
        <f t="shared" si="1094"/>
        <v>0</v>
      </c>
      <c r="CR1104" s="1906">
        <f t="shared" si="1095"/>
        <v>0</v>
      </c>
      <c r="CS1104" s="1906">
        <f t="shared" si="1096"/>
        <v>0</v>
      </c>
      <c r="CT1104" s="1906">
        <f t="shared" si="1109"/>
        <v>0</v>
      </c>
      <c r="CU1104" s="1906">
        <f t="shared" si="1109"/>
        <v>0</v>
      </c>
      <c r="CV1104" s="1906">
        <f t="shared" si="1109"/>
        <v>0</v>
      </c>
      <c r="CW1104" s="1906">
        <f t="shared" si="1109"/>
        <v>0</v>
      </c>
      <c r="CX1104" s="1906">
        <f t="shared" si="1109"/>
        <v>0</v>
      </c>
      <c r="CY1104" s="1906">
        <f t="shared" si="1109"/>
        <v>0</v>
      </c>
      <c r="CZ1104" s="1906">
        <f t="shared" si="1109"/>
        <v>0</v>
      </c>
      <c r="DA1104" s="1906">
        <f t="shared" si="1109"/>
        <v>0</v>
      </c>
      <c r="DB1104" s="595" t="str">
        <f t="shared" si="1005"/>
        <v>Raigrás Silo</v>
      </c>
      <c r="DC1104" s="1443">
        <f t="shared" si="1006"/>
        <v>0</v>
      </c>
      <c r="DD1104" s="107"/>
      <c r="DE1104" s="111" t="str">
        <f t="shared" si="1007"/>
        <v>Raigrás Silo</v>
      </c>
      <c r="DF1104" s="1906">
        <f t="shared" si="1097"/>
        <v>0</v>
      </c>
      <c r="DG1104" s="1906">
        <f t="shared" si="1098"/>
        <v>0</v>
      </c>
      <c r="DH1104" s="1906">
        <f t="shared" si="1099"/>
        <v>0</v>
      </c>
      <c r="DI1104" s="1906">
        <f t="shared" si="1100"/>
        <v>0</v>
      </c>
      <c r="DJ1104" s="1906">
        <f t="shared" si="1101"/>
        <v>0</v>
      </c>
      <c r="DK1104" s="1906">
        <f t="shared" si="1102"/>
        <v>0</v>
      </c>
      <c r="DL1104" s="1906">
        <f t="shared" si="1103"/>
        <v>0</v>
      </c>
      <c r="DM1104" s="1906">
        <f t="shared" si="1104"/>
        <v>0</v>
      </c>
      <c r="DN1104" s="1906">
        <f t="shared" si="1105"/>
        <v>0</v>
      </c>
      <c r="DO1104" s="1906">
        <f t="shared" si="1106"/>
        <v>0</v>
      </c>
      <c r="DP1104" s="1906">
        <f t="shared" si="1107"/>
        <v>0</v>
      </c>
      <c r="DQ1104" s="1906">
        <f t="shared" si="1108"/>
        <v>0</v>
      </c>
    </row>
    <row r="1105" spans="1:121" x14ac:dyDescent="0.2">
      <c r="A1105" s="6"/>
      <c r="C1105" s="1906" t="str">
        <f t="shared" si="1009"/>
        <v/>
      </c>
      <c r="D1105" s="1906" t="str">
        <f t="shared" si="1010"/>
        <v/>
      </c>
      <c r="E1105" s="1906" t="str">
        <f t="shared" si="1011"/>
        <v/>
      </c>
      <c r="F1105" s="1906" t="str">
        <f t="shared" si="1012"/>
        <v/>
      </c>
      <c r="G1105" s="1906" t="str">
        <f t="shared" si="1013"/>
        <v/>
      </c>
      <c r="H1105" s="1906" t="str">
        <f t="shared" si="1014"/>
        <v/>
      </c>
      <c r="I1105" s="1906" t="str">
        <f t="shared" si="1015"/>
        <v/>
      </c>
      <c r="J1105" s="1906" t="str">
        <f t="shared" si="1016"/>
        <v/>
      </c>
      <c r="K1105" s="1906" t="str">
        <f t="shared" si="1017"/>
        <v/>
      </c>
      <c r="L1105" s="1906" t="str">
        <f t="shared" si="1018"/>
        <v/>
      </c>
      <c r="M1105" s="1906" t="str">
        <f t="shared" si="1019"/>
        <v/>
      </c>
      <c r="N1105" s="1906" t="str">
        <f t="shared" si="1020"/>
        <v/>
      </c>
      <c r="P1105" s="1906">
        <f t="shared" si="1021"/>
        <v>0</v>
      </c>
      <c r="Q1105" s="1906">
        <f t="shared" si="1022"/>
        <v>0</v>
      </c>
      <c r="R1105" s="1906">
        <f t="shared" si="1023"/>
        <v>0</v>
      </c>
      <c r="S1105" s="1906">
        <f t="shared" si="1024"/>
        <v>0</v>
      </c>
      <c r="T1105" s="1906">
        <f t="shared" si="1025"/>
        <v>0</v>
      </c>
      <c r="U1105" s="1906">
        <f t="shared" si="1026"/>
        <v>0</v>
      </c>
      <c r="V1105" s="1906">
        <f t="shared" si="1027"/>
        <v>0</v>
      </c>
      <c r="W1105" s="1906">
        <f t="shared" si="1028"/>
        <v>0</v>
      </c>
      <c r="X1105" s="1906">
        <f t="shared" si="1029"/>
        <v>0</v>
      </c>
      <c r="Y1105" s="1906">
        <f t="shared" si="1030"/>
        <v>0</v>
      </c>
      <c r="Z1105" s="1906">
        <f t="shared" si="1031"/>
        <v>0</v>
      </c>
      <c r="AA1105" s="1906">
        <f t="shared" si="1032"/>
        <v>0</v>
      </c>
      <c r="AC1105" s="1906"/>
      <c r="AD1105" s="1906">
        <f t="shared" si="1033"/>
        <v>0</v>
      </c>
      <c r="AE1105" s="1906">
        <f t="shared" si="1034"/>
        <v>0</v>
      </c>
      <c r="AF1105" s="1906">
        <f t="shared" si="1035"/>
        <v>0</v>
      </c>
      <c r="AG1105" s="1906">
        <f t="shared" si="1036"/>
        <v>0</v>
      </c>
      <c r="AH1105" s="1906">
        <f t="shared" si="1037"/>
        <v>0</v>
      </c>
      <c r="AI1105" s="1906">
        <f t="shared" si="1038"/>
        <v>0</v>
      </c>
      <c r="AJ1105" s="1906">
        <f t="shared" si="1039"/>
        <v>0</v>
      </c>
      <c r="AK1105" s="1906">
        <f t="shared" si="1040"/>
        <v>0</v>
      </c>
      <c r="AL1105" s="1906">
        <f t="shared" si="1041"/>
        <v>0</v>
      </c>
      <c r="AM1105" s="1906">
        <f t="shared" si="1042"/>
        <v>0</v>
      </c>
      <c r="AN1105" s="1906">
        <f t="shared" si="1043"/>
        <v>0</v>
      </c>
      <c r="AP1105" s="1906">
        <f t="shared" si="1044"/>
        <v>0</v>
      </c>
      <c r="AQ1105" s="1906">
        <f t="shared" si="1045"/>
        <v>0</v>
      </c>
      <c r="AR1105" s="1906">
        <f t="shared" si="1046"/>
        <v>0</v>
      </c>
      <c r="AS1105" s="1906">
        <f t="shared" si="1047"/>
        <v>0</v>
      </c>
      <c r="AT1105" s="1906">
        <f t="shared" si="1048"/>
        <v>0</v>
      </c>
      <c r="AU1105" s="1906">
        <f t="shared" si="1049"/>
        <v>0</v>
      </c>
      <c r="AV1105" s="1906">
        <f t="shared" si="1050"/>
        <v>0</v>
      </c>
      <c r="AW1105" s="1906">
        <f t="shared" si="1051"/>
        <v>0</v>
      </c>
      <c r="AX1105" s="1906">
        <f t="shared" si="1052"/>
        <v>0</v>
      </c>
      <c r="AY1105" s="1906">
        <f t="shared" si="1053"/>
        <v>0</v>
      </c>
      <c r="AZ1105" s="1906">
        <f t="shared" si="1054"/>
        <v>0</v>
      </c>
      <c r="BA1105" s="1906">
        <f t="shared" si="1055"/>
        <v>0</v>
      </c>
      <c r="BC1105" s="1906">
        <f t="shared" si="1056"/>
        <v>0</v>
      </c>
      <c r="BD1105" s="1906">
        <f t="shared" si="1057"/>
        <v>0</v>
      </c>
      <c r="BE1105" s="1906">
        <f t="shared" si="1058"/>
        <v>0</v>
      </c>
      <c r="BF1105" s="1906">
        <f t="shared" si="1059"/>
        <v>0</v>
      </c>
      <c r="BG1105" s="1906">
        <f t="shared" si="1060"/>
        <v>0</v>
      </c>
      <c r="BH1105" s="1906">
        <f t="shared" si="1061"/>
        <v>0</v>
      </c>
      <c r="BI1105" s="1906">
        <f t="shared" si="1062"/>
        <v>0</v>
      </c>
      <c r="BJ1105" s="1906">
        <f t="shared" si="1063"/>
        <v>0</v>
      </c>
      <c r="BK1105" s="1906">
        <f t="shared" si="1064"/>
        <v>0</v>
      </c>
      <c r="BL1105" s="1906">
        <f t="shared" si="1065"/>
        <v>0</v>
      </c>
      <c r="BM1105" s="1906">
        <f t="shared" si="1066"/>
        <v>0</v>
      </c>
      <c r="BN1105" s="1906">
        <f t="shared" si="1067"/>
        <v>0</v>
      </c>
      <c r="BP1105" s="1906">
        <f t="shared" si="1068"/>
        <v>0</v>
      </c>
      <c r="BQ1105" s="1906">
        <f t="shared" si="1069"/>
        <v>0</v>
      </c>
      <c r="BR1105" s="1906">
        <f t="shared" si="1070"/>
        <v>0</v>
      </c>
      <c r="BS1105" s="1906">
        <f t="shared" si="1071"/>
        <v>0</v>
      </c>
      <c r="BT1105" s="1906">
        <f t="shared" si="1072"/>
        <v>0</v>
      </c>
      <c r="BU1105" s="1906">
        <f t="shared" si="1073"/>
        <v>0</v>
      </c>
      <c r="BV1105" s="1906">
        <f t="shared" si="1074"/>
        <v>0</v>
      </c>
      <c r="BW1105" s="1906">
        <f t="shared" si="1075"/>
        <v>0</v>
      </c>
      <c r="BX1105" s="1906">
        <f t="shared" si="1076"/>
        <v>0</v>
      </c>
      <c r="BY1105" s="1906">
        <f t="shared" si="1077"/>
        <v>0</v>
      </c>
      <c r="BZ1105" s="1906">
        <f t="shared" si="1078"/>
        <v>0</v>
      </c>
      <c r="CA1105" s="1906">
        <f t="shared" si="1079"/>
        <v>0</v>
      </c>
      <c r="CC1105" s="1906">
        <f t="shared" si="1080"/>
        <v>0</v>
      </c>
      <c r="CD1105" s="1906">
        <f t="shared" si="1081"/>
        <v>0</v>
      </c>
      <c r="CE1105" s="1906">
        <f t="shared" si="1082"/>
        <v>0</v>
      </c>
      <c r="CF1105" s="1906">
        <f t="shared" si="1083"/>
        <v>0</v>
      </c>
      <c r="CG1105" s="1906">
        <f t="shared" si="1084"/>
        <v>0</v>
      </c>
      <c r="CH1105" s="1906">
        <f t="shared" si="1085"/>
        <v>0</v>
      </c>
      <c r="CI1105" s="1906">
        <f t="shared" si="1086"/>
        <v>0</v>
      </c>
      <c r="CJ1105" s="1906">
        <f t="shared" si="1087"/>
        <v>0</v>
      </c>
      <c r="CK1105" s="1906">
        <f t="shared" si="1088"/>
        <v>0</v>
      </c>
      <c r="CL1105" s="1906">
        <f t="shared" si="1089"/>
        <v>0</v>
      </c>
      <c r="CM1105" s="1906">
        <f t="shared" si="1090"/>
        <v>0</v>
      </c>
      <c r="CN1105" s="1906">
        <f t="shared" si="1091"/>
        <v>0</v>
      </c>
      <c r="CO1105" s="6" t="str">
        <f t="shared" si="1092"/>
        <v>Ra Silo Cierre Ago</v>
      </c>
      <c r="CP1105" s="1906">
        <f t="shared" si="1093"/>
        <v>0</v>
      </c>
      <c r="CQ1105" s="1906">
        <f t="shared" si="1094"/>
        <v>0</v>
      </c>
      <c r="CR1105" s="1906">
        <f t="shared" si="1095"/>
        <v>0</v>
      </c>
      <c r="CS1105" s="1906">
        <f t="shared" si="1096"/>
        <v>0</v>
      </c>
      <c r="CT1105" s="1906">
        <f t="shared" si="1109"/>
        <v>0</v>
      </c>
      <c r="CU1105" s="1906">
        <f t="shared" si="1109"/>
        <v>0</v>
      </c>
      <c r="CV1105" s="1906">
        <f t="shared" si="1109"/>
        <v>0</v>
      </c>
      <c r="CW1105" s="1906">
        <f t="shared" si="1109"/>
        <v>0</v>
      </c>
      <c r="CX1105" s="1906">
        <f t="shared" si="1109"/>
        <v>0</v>
      </c>
      <c r="CY1105" s="1906">
        <f t="shared" si="1109"/>
        <v>0</v>
      </c>
      <c r="CZ1105" s="1906">
        <f t="shared" si="1109"/>
        <v>0</v>
      </c>
      <c r="DA1105" s="1906">
        <f t="shared" si="1109"/>
        <v>0</v>
      </c>
      <c r="DB1105" s="595" t="str">
        <f t="shared" si="1005"/>
        <v>Ra Silo Cierre Ago</v>
      </c>
      <c r="DC1105" s="1443">
        <f t="shared" si="1006"/>
        <v>0</v>
      </c>
      <c r="DD1105" s="107"/>
      <c r="DE1105" s="111" t="str">
        <f t="shared" si="1007"/>
        <v>Ra Silo Cierre Ago</v>
      </c>
      <c r="DF1105" s="1906">
        <f t="shared" si="1097"/>
        <v>0</v>
      </c>
      <c r="DG1105" s="1906">
        <f t="shared" si="1098"/>
        <v>0</v>
      </c>
      <c r="DH1105" s="1906">
        <f t="shared" si="1099"/>
        <v>0</v>
      </c>
      <c r="DI1105" s="1906">
        <f t="shared" si="1100"/>
        <v>0</v>
      </c>
      <c r="DJ1105" s="1906">
        <f t="shared" si="1101"/>
        <v>0</v>
      </c>
      <c r="DK1105" s="1906">
        <f t="shared" si="1102"/>
        <v>0</v>
      </c>
      <c r="DL1105" s="1906">
        <f t="shared" si="1103"/>
        <v>0</v>
      </c>
      <c r="DM1105" s="1906">
        <f t="shared" si="1104"/>
        <v>0</v>
      </c>
      <c r="DN1105" s="1906">
        <f t="shared" si="1105"/>
        <v>0</v>
      </c>
      <c r="DO1105" s="1906">
        <f t="shared" si="1106"/>
        <v>0</v>
      </c>
      <c r="DP1105" s="1906">
        <f t="shared" si="1107"/>
        <v>0</v>
      </c>
      <c r="DQ1105" s="1906">
        <f t="shared" si="1108"/>
        <v>0</v>
      </c>
    </row>
    <row r="1106" spans="1:121" x14ac:dyDescent="0.2">
      <c r="A1106" s="6"/>
      <c r="C1106" s="1906" t="str">
        <f t="shared" si="1009"/>
        <v/>
      </c>
      <c r="D1106" s="1906" t="str">
        <f t="shared" si="1010"/>
        <v/>
      </c>
      <c r="E1106" s="1906" t="str">
        <f t="shared" si="1011"/>
        <v/>
      </c>
      <c r="F1106" s="1906" t="str">
        <f t="shared" si="1012"/>
        <v/>
      </c>
      <c r="G1106" s="1906" t="str">
        <f t="shared" si="1013"/>
        <v/>
      </c>
      <c r="H1106" s="1906" t="str">
        <f t="shared" si="1014"/>
        <v/>
      </c>
      <c r="I1106" s="1906" t="str">
        <f t="shared" si="1015"/>
        <v/>
      </c>
      <c r="J1106" s="1906" t="str">
        <f t="shared" si="1016"/>
        <v/>
      </c>
      <c r="K1106" s="1906" t="str">
        <f t="shared" si="1017"/>
        <v/>
      </c>
      <c r="L1106" s="1906" t="str">
        <f t="shared" si="1018"/>
        <v/>
      </c>
      <c r="M1106" s="1906" t="str">
        <f t="shared" si="1019"/>
        <v/>
      </c>
      <c r="N1106" s="1906" t="str">
        <f t="shared" si="1020"/>
        <v/>
      </c>
      <c r="P1106" s="1906">
        <f t="shared" si="1021"/>
        <v>0</v>
      </c>
      <c r="Q1106" s="1906">
        <f t="shared" si="1022"/>
        <v>0</v>
      </c>
      <c r="R1106" s="1906">
        <f t="shared" si="1023"/>
        <v>0</v>
      </c>
      <c r="S1106" s="1906">
        <f t="shared" si="1024"/>
        <v>0</v>
      </c>
      <c r="T1106" s="1906">
        <f t="shared" si="1025"/>
        <v>0</v>
      </c>
      <c r="U1106" s="1906">
        <f t="shared" si="1026"/>
        <v>0</v>
      </c>
      <c r="V1106" s="1906">
        <f t="shared" si="1027"/>
        <v>0</v>
      </c>
      <c r="W1106" s="1906">
        <f t="shared" si="1028"/>
        <v>0</v>
      </c>
      <c r="X1106" s="1906">
        <f t="shared" si="1029"/>
        <v>0</v>
      </c>
      <c r="Y1106" s="1906">
        <f t="shared" si="1030"/>
        <v>0</v>
      </c>
      <c r="Z1106" s="1906">
        <f t="shared" si="1031"/>
        <v>0</v>
      </c>
      <c r="AA1106" s="1906">
        <f t="shared" si="1032"/>
        <v>0</v>
      </c>
      <c r="AC1106" s="1906"/>
      <c r="AD1106" s="1906">
        <f t="shared" si="1033"/>
        <v>0</v>
      </c>
      <c r="AE1106" s="1906">
        <f t="shared" si="1034"/>
        <v>0</v>
      </c>
      <c r="AF1106" s="1906">
        <f t="shared" si="1035"/>
        <v>0</v>
      </c>
      <c r="AG1106" s="1906">
        <f t="shared" si="1036"/>
        <v>0</v>
      </c>
      <c r="AH1106" s="1906">
        <f t="shared" si="1037"/>
        <v>0</v>
      </c>
      <c r="AI1106" s="1906">
        <f t="shared" si="1038"/>
        <v>0</v>
      </c>
      <c r="AJ1106" s="1906">
        <f t="shared" si="1039"/>
        <v>0</v>
      </c>
      <c r="AK1106" s="1906">
        <f t="shared" si="1040"/>
        <v>0</v>
      </c>
      <c r="AL1106" s="1906">
        <f t="shared" si="1041"/>
        <v>0</v>
      </c>
      <c r="AM1106" s="1906">
        <f t="shared" si="1042"/>
        <v>0</v>
      </c>
      <c r="AN1106" s="1906">
        <f t="shared" si="1043"/>
        <v>0</v>
      </c>
      <c r="AP1106" s="1906">
        <f t="shared" si="1044"/>
        <v>0</v>
      </c>
      <c r="AQ1106" s="1906">
        <f t="shared" si="1045"/>
        <v>0</v>
      </c>
      <c r="AR1106" s="1906">
        <f t="shared" si="1046"/>
        <v>0</v>
      </c>
      <c r="AS1106" s="1906">
        <f t="shared" si="1047"/>
        <v>0</v>
      </c>
      <c r="AT1106" s="1906">
        <f t="shared" si="1048"/>
        <v>0</v>
      </c>
      <c r="AU1106" s="1906">
        <f t="shared" si="1049"/>
        <v>0</v>
      </c>
      <c r="AV1106" s="1906">
        <f t="shared" si="1050"/>
        <v>0</v>
      </c>
      <c r="AW1106" s="1906">
        <f t="shared" si="1051"/>
        <v>0</v>
      </c>
      <c r="AX1106" s="1906">
        <f t="shared" si="1052"/>
        <v>0</v>
      </c>
      <c r="AY1106" s="1906">
        <f t="shared" si="1053"/>
        <v>0</v>
      </c>
      <c r="AZ1106" s="1906">
        <f t="shared" si="1054"/>
        <v>0</v>
      </c>
      <c r="BA1106" s="1906">
        <f t="shared" si="1055"/>
        <v>0</v>
      </c>
      <c r="BC1106" s="1906">
        <f t="shared" si="1056"/>
        <v>0</v>
      </c>
      <c r="BD1106" s="1906">
        <f t="shared" si="1057"/>
        <v>0</v>
      </c>
      <c r="BE1106" s="1906">
        <f t="shared" si="1058"/>
        <v>0</v>
      </c>
      <c r="BF1106" s="1906">
        <f t="shared" si="1059"/>
        <v>0</v>
      </c>
      <c r="BG1106" s="1906">
        <f t="shared" si="1060"/>
        <v>0</v>
      </c>
      <c r="BH1106" s="1906">
        <f t="shared" si="1061"/>
        <v>0</v>
      </c>
      <c r="BI1106" s="1906">
        <f t="shared" si="1062"/>
        <v>0</v>
      </c>
      <c r="BJ1106" s="1906">
        <f t="shared" si="1063"/>
        <v>0</v>
      </c>
      <c r="BK1106" s="1906">
        <f t="shared" si="1064"/>
        <v>0</v>
      </c>
      <c r="BL1106" s="1906">
        <f t="shared" si="1065"/>
        <v>0</v>
      </c>
      <c r="BM1106" s="1906">
        <f t="shared" si="1066"/>
        <v>0</v>
      </c>
      <c r="BN1106" s="1906">
        <f t="shared" si="1067"/>
        <v>0</v>
      </c>
      <c r="BP1106" s="1906">
        <f t="shared" si="1068"/>
        <v>0</v>
      </c>
      <c r="BQ1106" s="1906">
        <f t="shared" si="1069"/>
        <v>0</v>
      </c>
      <c r="BR1106" s="1906">
        <f t="shared" si="1070"/>
        <v>0</v>
      </c>
      <c r="BS1106" s="1906">
        <f t="shared" si="1071"/>
        <v>0</v>
      </c>
      <c r="BT1106" s="1906">
        <f t="shared" si="1072"/>
        <v>0</v>
      </c>
      <c r="BU1106" s="1906">
        <f t="shared" si="1073"/>
        <v>0</v>
      </c>
      <c r="BV1106" s="1906">
        <f t="shared" si="1074"/>
        <v>0</v>
      </c>
      <c r="BW1106" s="1906">
        <f t="shared" si="1075"/>
        <v>0</v>
      </c>
      <c r="BX1106" s="1906">
        <f t="shared" si="1076"/>
        <v>0</v>
      </c>
      <c r="BY1106" s="1906">
        <f t="shared" si="1077"/>
        <v>0</v>
      </c>
      <c r="BZ1106" s="1906">
        <f t="shared" si="1078"/>
        <v>0</v>
      </c>
      <c r="CA1106" s="1906">
        <f t="shared" si="1079"/>
        <v>0</v>
      </c>
      <c r="CC1106" s="1906">
        <f t="shared" si="1080"/>
        <v>0</v>
      </c>
      <c r="CD1106" s="1906">
        <f t="shared" si="1081"/>
        <v>0</v>
      </c>
      <c r="CE1106" s="1906">
        <f t="shared" si="1082"/>
        <v>0</v>
      </c>
      <c r="CF1106" s="1906">
        <f t="shared" si="1083"/>
        <v>0</v>
      </c>
      <c r="CG1106" s="1906">
        <f t="shared" si="1084"/>
        <v>0</v>
      </c>
      <c r="CH1106" s="1906">
        <f t="shared" si="1085"/>
        <v>0</v>
      </c>
      <c r="CI1106" s="1906">
        <f t="shared" si="1086"/>
        <v>0</v>
      </c>
      <c r="CJ1106" s="1906">
        <f t="shared" si="1087"/>
        <v>0</v>
      </c>
      <c r="CK1106" s="1906">
        <f t="shared" si="1088"/>
        <v>0</v>
      </c>
      <c r="CL1106" s="1906">
        <f t="shared" si="1089"/>
        <v>0</v>
      </c>
      <c r="CM1106" s="1906">
        <f t="shared" si="1090"/>
        <v>0</v>
      </c>
      <c r="CN1106" s="1906">
        <f t="shared" si="1091"/>
        <v>0</v>
      </c>
      <c r="CO1106" s="6">
        <f t="shared" si="1092"/>
        <v>0</v>
      </c>
      <c r="CP1106" s="1906">
        <f t="shared" si="1093"/>
        <v>0</v>
      </c>
      <c r="CQ1106" s="1906">
        <f t="shared" si="1094"/>
        <v>0</v>
      </c>
      <c r="CR1106" s="1906">
        <f t="shared" si="1095"/>
        <v>0</v>
      </c>
      <c r="CS1106" s="1906">
        <f t="shared" si="1096"/>
        <v>0</v>
      </c>
      <c r="CT1106" s="1906">
        <f t="shared" si="1109"/>
        <v>0</v>
      </c>
      <c r="CU1106" s="1906">
        <f t="shared" si="1109"/>
        <v>0</v>
      </c>
      <c r="CV1106" s="1906">
        <f t="shared" si="1109"/>
        <v>0</v>
      </c>
      <c r="CW1106" s="1906">
        <f t="shared" si="1109"/>
        <v>0</v>
      </c>
      <c r="CX1106" s="1906">
        <f t="shared" si="1109"/>
        <v>0</v>
      </c>
      <c r="CY1106" s="1906">
        <f t="shared" si="1109"/>
        <v>0</v>
      </c>
      <c r="CZ1106" s="1906">
        <f t="shared" si="1109"/>
        <v>0</v>
      </c>
      <c r="DA1106" s="1906">
        <f t="shared" si="1109"/>
        <v>0</v>
      </c>
      <c r="DB1106" s="595">
        <f t="shared" si="1005"/>
        <v>0</v>
      </c>
      <c r="DC1106" s="1443">
        <f t="shared" si="1006"/>
        <v>0</v>
      </c>
      <c r="DD1106" s="107"/>
      <c r="DE1106" s="111">
        <f t="shared" si="1007"/>
        <v>0</v>
      </c>
      <c r="DF1106" s="1906">
        <f t="shared" si="1097"/>
        <v>0</v>
      </c>
      <c r="DG1106" s="1906">
        <f t="shared" si="1098"/>
        <v>0</v>
      </c>
      <c r="DH1106" s="1906">
        <f t="shared" si="1099"/>
        <v>0</v>
      </c>
      <c r="DI1106" s="1906">
        <f t="shared" si="1100"/>
        <v>0</v>
      </c>
      <c r="DJ1106" s="1906">
        <f t="shared" si="1101"/>
        <v>0</v>
      </c>
      <c r="DK1106" s="1906">
        <f t="shared" si="1102"/>
        <v>0</v>
      </c>
      <c r="DL1106" s="1906">
        <f t="shared" si="1103"/>
        <v>0</v>
      </c>
      <c r="DM1106" s="1906">
        <f t="shared" si="1104"/>
        <v>0</v>
      </c>
      <c r="DN1106" s="1906">
        <f t="shared" si="1105"/>
        <v>0</v>
      </c>
      <c r="DO1106" s="1906">
        <f t="shared" si="1106"/>
        <v>0</v>
      </c>
      <c r="DP1106" s="1906">
        <f t="shared" si="1107"/>
        <v>0</v>
      </c>
      <c r="DQ1106" s="1906">
        <f t="shared" si="1108"/>
        <v>0</v>
      </c>
    </row>
    <row r="1107" spans="1:121" x14ac:dyDescent="0.2">
      <c r="A1107" s="6"/>
      <c r="C1107" s="1906" t="str">
        <f t="shared" si="1009"/>
        <v/>
      </c>
      <c r="D1107" s="1906" t="str">
        <f t="shared" si="1010"/>
        <v/>
      </c>
      <c r="E1107" s="1906" t="str">
        <f t="shared" si="1011"/>
        <v/>
      </c>
      <c r="F1107" s="1906" t="str">
        <f t="shared" si="1012"/>
        <v/>
      </c>
      <c r="G1107" s="1906" t="str">
        <f t="shared" si="1013"/>
        <v/>
      </c>
      <c r="H1107" s="1906" t="str">
        <f t="shared" si="1014"/>
        <v/>
      </c>
      <c r="I1107" s="1906" t="str">
        <f t="shared" si="1015"/>
        <v/>
      </c>
      <c r="J1107" s="1906" t="str">
        <f t="shared" si="1016"/>
        <v/>
      </c>
      <c r="K1107" s="1906" t="str">
        <f t="shared" si="1017"/>
        <v/>
      </c>
      <c r="L1107" s="1906" t="str">
        <f t="shared" si="1018"/>
        <v/>
      </c>
      <c r="M1107" s="1906" t="str">
        <f t="shared" si="1019"/>
        <v/>
      </c>
      <c r="N1107" s="1906" t="str">
        <f t="shared" si="1020"/>
        <v/>
      </c>
      <c r="P1107" s="1906">
        <f t="shared" si="1021"/>
        <v>0</v>
      </c>
      <c r="Q1107" s="1906">
        <f t="shared" si="1022"/>
        <v>0</v>
      </c>
      <c r="R1107" s="1906">
        <f t="shared" si="1023"/>
        <v>0</v>
      </c>
      <c r="S1107" s="1906">
        <f t="shared" si="1024"/>
        <v>0</v>
      </c>
      <c r="T1107" s="1906">
        <f t="shared" si="1025"/>
        <v>0</v>
      </c>
      <c r="U1107" s="1906">
        <f t="shared" si="1026"/>
        <v>0</v>
      </c>
      <c r="V1107" s="1906">
        <f t="shared" si="1027"/>
        <v>0</v>
      </c>
      <c r="W1107" s="1906">
        <f t="shared" si="1028"/>
        <v>0</v>
      </c>
      <c r="X1107" s="1906">
        <f t="shared" si="1029"/>
        <v>0</v>
      </c>
      <c r="Y1107" s="1906">
        <f t="shared" si="1030"/>
        <v>0</v>
      </c>
      <c r="Z1107" s="1906">
        <f t="shared" si="1031"/>
        <v>0</v>
      </c>
      <c r="AA1107" s="1906">
        <f t="shared" si="1032"/>
        <v>0</v>
      </c>
      <c r="AC1107" s="1906"/>
      <c r="AD1107" s="1906">
        <f t="shared" si="1033"/>
        <v>0</v>
      </c>
      <c r="AE1107" s="1906">
        <f t="shared" si="1034"/>
        <v>0</v>
      </c>
      <c r="AF1107" s="1906">
        <f t="shared" si="1035"/>
        <v>0</v>
      </c>
      <c r="AG1107" s="1906">
        <f t="shared" si="1036"/>
        <v>0</v>
      </c>
      <c r="AH1107" s="1906">
        <f t="shared" si="1037"/>
        <v>0</v>
      </c>
      <c r="AI1107" s="1906">
        <f t="shared" si="1038"/>
        <v>0</v>
      </c>
      <c r="AJ1107" s="1906">
        <f t="shared" si="1039"/>
        <v>0</v>
      </c>
      <c r="AK1107" s="1906">
        <f t="shared" si="1040"/>
        <v>0</v>
      </c>
      <c r="AL1107" s="1906">
        <f t="shared" si="1041"/>
        <v>0</v>
      </c>
      <c r="AM1107" s="1906">
        <f t="shared" si="1042"/>
        <v>0</v>
      </c>
      <c r="AN1107" s="1906">
        <f t="shared" si="1043"/>
        <v>0</v>
      </c>
      <c r="AP1107" s="1906">
        <f t="shared" si="1044"/>
        <v>0</v>
      </c>
      <c r="AQ1107" s="1906">
        <f t="shared" si="1045"/>
        <v>0</v>
      </c>
      <c r="AR1107" s="1906">
        <f t="shared" si="1046"/>
        <v>0</v>
      </c>
      <c r="AS1107" s="1906">
        <f t="shared" si="1047"/>
        <v>0</v>
      </c>
      <c r="AT1107" s="1906">
        <f t="shared" si="1048"/>
        <v>0</v>
      </c>
      <c r="AU1107" s="1906">
        <f t="shared" si="1049"/>
        <v>0</v>
      </c>
      <c r="AV1107" s="1906">
        <f t="shared" si="1050"/>
        <v>0</v>
      </c>
      <c r="AW1107" s="1906">
        <f t="shared" si="1051"/>
        <v>0</v>
      </c>
      <c r="AX1107" s="1906">
        <f t="shared" si="1052"/>
        <v>0</v>
      </c>
      <c r="AY1107" s="1906">
        <f t="shared" si="1053"/>
        <v>0</v>
      </c>
      <c r="AZ1107" s="1906">
        <f t="shared" si="1054"/>
        <v>0</v>
      </c>
      <c r="BA1107" s="1906">
        <f t="shared" si="1055"/>
        <v>0</v>
      </c>
      <c r="BC1107" s="1906">
        <f t="shared" si="1056"/>
        <v>0</v>
      </c>
      <c r="BD1107" s="1906">
        <f t="shared" si="1057"/>
        <v>0</v>
      </c>
      <c r="BE1107" s="1906">
        <f t="shared" si="1058"/>
        <v>0</v>
      </c>
      <c r="BF1107" s="1906">
        <f t="shared" si="1059"/>
        <v>0</v>
      </c>
      <c r="BG1107" s="1906">
        <f t="shared" si="1060"/>
        <v>0</v>
      </c>
      <c r="BH1107" s="1906">
        <f t="shared" si="1061"/>
        <v>0</v>
      </c>
      <c r="BI1107" s="1906">
        <f t="shared" si="1062"/>
        <v>0</v>
      </c>
      <c r="BJ1107" s="1906">
        <f t="shared" si="1063"/>
        <v>0</v>
      </c>
      <c r="BK1107" s="1906">
        <f t="shared" si="1064"/>
        <v>0</v>
      </c>
      <c r="BL1107" s="1906">
        <f t="shared" si="1065"/>
        <v>0</v>
      </c>
      <c r="BM1107" s="1906">
        <f t="shared" si="1066"/>
        <v>0</v>
      </c>
      <c r="BN1107" s="1906">
        <f t="shared" si="1067"/>
        <v>0</v>
      </c>
      <c r="BP1107" s="1906">
        <f t="shared" si="1068"/>
        <v>0</v>
      </c>
      <c r="BQ1107" s="1906">
        <f t="shared" si="1069"/>
        <v>0</v>
      </c>
      <c r="BR1107" s="1906">
        <f t="shared" si="1070"/>
        <v>0</v>
      </c>
      <c r="BS1107" s="1906">
        <f t="shared" si="1071"/>
        <v>0</v>
      </c>
      <c r="BT1107" s="1906">
        <f t="shared" si="1072"/>
        <v>0</v>
      </c>
      <c r="BU1107" s="1906">
        <f t="shared" si="1073"/>
        <v>0</v>
      </c>
      <c r="BV1107" s="1906">
        <f t="shared" si="1074"/>
        <v>0</v>
      </c>
      <c r="BW1107" s="1906">
        <f t="shared" si="1075"/>
        <v>0</v>
      </c>
      <c r="BX1107" s="1906">
        <f t="shared" si="1076"/>
        <v>0</v>
      </c>
      <c r="BY1107" s="1906">
        <f t="shared" si="1077"/>
        <v>0</v>
      </c>
      <c r="BZ1107" s="1906">
        <f t="shared" si="1078"/>
        <v>0</v>
      </c>
      <c r="CA1107" s="1906">
        <f t="shared" si="1079"/>
        <v>0</v>
      </c>
      <c r="CC1107" s="1906">
        <f t="shared" si="1080"/>
        <v>0</v>
      </c>
      <c r="CD1107" s="1906">
        <f t="shared" si="1081"/>
        <v>0</v>
      </c>
      <c r="CE1107" s="1906">
        <f t="shared" si="1082"/>
        <v>0</v>
      </c>
      <c r="CF1107" s="1906">
        <f t="shared" si="1083"/>
        <v>0</v>
      </c>
      <c r="CG1107" s="1906">
        <f t="shared" si="1084"/>
        <v>0</v>
      </c>
      <c r="CH1107" s="1906">
        <f t="shared" si="1085"/>
        <v>0</v>
      </c>
      <c r="CI1107" s="1906">
        <f t="shared" si="1086"/>
        <v>0</v>
      </c>
      <c r="CJ1107" s="1906">
        <f t="shared" si="1087"/>
        <v>0</v>
      </c>
      <c r="CK1107" s="1906">
        <f t="shared" si="1088"/>
        <v>0</v>
      </c>
      <c r="CL1107" s="1906">
        <f t="shared" si="1089"/>
        <v>0</v>
      </c>
      <c r="CM1107" s="1906">
        <f t="shared" si="1090"/>
        <v>0</v>
      </c>
      <c r="CN1107" s="1906">
        <f t="shared" si="1091"/>
        <v>0</v>
      </c>
      <c r="CO1107" s="6">
        <f t="shared" si="1092"/>
        <v>0</v>
      </c>
      <c r="CP1107" s="1906">
        <f t="shared" si="1093"/>
        <v>0</v>
      </c>
      <c r="CQ1107" s="1906">
        <f t="shared" si="1094"/>
        <v>0</v>
      </c>
      <c r="CR1107" s="1906">
        <f t="shared" si="1095"/>
        <v>0</v>
      </c>
      <c r="CS1107" s="1906">
        <f t="shared" si="1096"/>
        <v>0</v>
      </c>
      <c r="CT1107" s="1906">
        <f t="shared" si="1109"/>
        <v>0</v>
      </c>
      <c r="CU1107" s="1906">
        <f t="shared" si="1109"/>
        <v>0</v>
      </c>
      <c r="CV1107" s="1906">
        <f t="shared" si="1109"/>
        <v>0</v>
      </c>
      <c r="CW1107" s="1906">
        <f t="shared" si="1109"/>
        <v>0</v>
      </c>
      <c r="CX1107" s="1906">
        <f t="shared" si="1109"/>
        <v>0</v>
      </c>
      <c r="CY1107" s="1906">
        <f t="shared" si="1109"/>
        <v>0</v>
      </c>
      <c r="CZ1107" s="1906">
        <f t="shared" si="1109"/>
        <v>0</v>
      </c>
      <c r="DA1107" s="1906">
        <f t="shared" si="1109"/>
        <v>0</v>
      </c>
      <c r="DB1107" s="595">
        <f t="shared" si="1005"/>
        <v>0</v>
      </c>
      <c r="DC1107" s="1443">
        <f t="shared" si="1006"/>
        <v>0</v>
      </c>
      <c r="DD1107" s="107"/>
      <c r="DE1107" s="111">
        <f t="shared" si="1007"/>
        <v>0</v>
      </c>
      <c r="DF1107" s="1906">
        <f t="shared" si="1097"/>
        <v>0</v>
      </c>
      <c r="DG1107" s="1906">
        <f t="shared" si="1098"/>
        <v>0</v>
      </c>
      <c r="DH1107" s="1906">
        <f t="shared" si="1099"/>
        <v>0</v>
      </c>
      <c r="DI1107" s="1906">
        <f t="shared" si="1100"/>
        <v>0</v>
      </c>
      <c r="DJ1107" s="1906">
        <f t="shared" si="1101"/>
        <v>0</v>
      </c>
      <c r="DK1107" s="1906">
        <f t="shared" si="1102"/>
        <v>0</v>
      </c>
      <c r="DL1107" s="1906">
        <f t="shared" si="1103"/>
        <v>0</v>
      </c>
      <c r="DM1107" s="1906">
        <f t="shared" si="1104"/>
        <v>0</v>
      </c>
      <c r="DN1107" s="1906">
        <f t="shared" si="1105"/>
        <v>0</v>
      </c>
      <c r="DO1107" s="1906">
        <f t="shared" si="1106"/>
        <v>0</v>
      </c>
      <c r="DP1107" s="1906">
        <f t="shared" si="1107"/>
        <v>0</v>
      </c>
      <c r="DQ1107" s="1906">
        <f t="shared" si="1108"/>
        <v>0</v>
      </c>
    </row>
    <row r="1108" spans="1:121" x14ac:dyDescent="0.2">
      <c r="A1108" s="6"/>
      <c r="C1108" s="1906" t="str">
        <f t="shared" si="1009"/>
        <v/>
      </c>
      <c r="D1108" s="1906" t="str">
        <f t="shared" si="1010"/>
        <v/>
      </c>
      <c r="E1108" s="1906" t="str">
        <f t="shared" si="1011"/>
        <v/>
      </c>
      <c r="F1108" s="1906" t="str">
        <f t="shared" si="1012"/>
        <v/>
      </c>
      <c r="G1108" s="1906" t="str">
        <f t="shared" si="1013"/>
        <v/>
      </c>
      <c r="H1108" s="1906" t="str">
        <f t="shared" si="1014"/>
        <v/>
      </c>
      <c r="I1108" s="1906" t="str">
        <f t="shared" si="1015"/>
        <v/>
      </c>
      <c r="J1108" s="1906" t="str">
        <f t="shared" si="1016"/>
        <v/>
      </c>
      <c r="K1108" s="1906" t="str">
        <f t="shared" si="1017"/>
        <v/>
      </c>
      <c r="L1108" s="1906" t="str">
        <f t="shared" si="1018"/>
        <v/>
      </c>
      <c r="M1108" s="1906" t="str">
        <f t="shared" si="1019"/>
        <v/>
      </c>
      <c r="N1108" s="1906" t="str">
        <f t="shared" si="1020"/>
        <v/>
      </c>
      <c r="P1108" s="1906">
        <f t="shared" si="1021"/>
        <v>0</v>
      </c>
      <c r="Q1108" s="1906">
        <f t="shared" si="1022"/>
        <v>0</v>
      </c>
      <c r="R1108" s="1906">
        <f t="shared" si="1023"/>
        <v>0</v>
      </c>
      <c r="S1108" s="1906">
        <f t="shared" si="1024"/>
        <v>0</v>
      </c>
      <c r="T1108" s="1906">
        <f t="shared" si="1025"/>
        <v>0</v>
      </c>
      <c r="U1108" s="1906">
        <f t="shared" si="1026"/>
        <v>0</v>
      </c>
      <c r="V1108" s="1906">
        <f t="shared" si="1027"/>
        <v>0</v>
      </c>
      <c r="W1108" s="1906">
        <f t="shared" si="1028"/>
        <v>0</v>
      </c>
      <c r="X1108" s="1906">
        <f t="shared" si="1029"/>
        <v>0</v>
      </c>
      <c r="Y1108" s="1906">
        <f t="shared" si="1030"/>
        <v>0</v>
      </c>
      <c r="Z1108" s="1906">
        <f t="shared" si="1031"/>
        <v>0</v>
      </c>
      <c r="AA1108" s="1906">
        <f t="shared" si="1032"/>
        <v>0</v>
      </c>
      <c r="AC1108" s="1906"/>
      <c r="AD1108" s="1906">
        <f t="shared" si="1033"/>
        <v>0</v>
      </c>
      <c r="AE1108" s="1906">
        <f t="shared" si="1034"/>
        <v>0</v>
      </c>
      <c r="AF1108" s="1906">
        <f t="shared" si="1035"/>
        <v>0</v>
      </c>
      <c r="AG1108" s="1906">
        <f t="shared" si="1036"/>
        <v>0</v>
      </c>
      <c r="AH1108" s="1906">
        <f t="shared" si="1037"/>
        <v>0</v>
      </c>
      <c r="AI1108" s="1906">
        <f t="shared" si="1038"/>
        <v>0</v>
      </c>
      <c r="AJ1108" s="1906">
        <f t="shared" si="1039"/>
        <v>0</v>
      </c>
      <c r="AK1108" s="1906">
        <f t="shared" si="1040"/>
        <v>0</v>
      </c>
      <c r="AL1108" s="1906">
        <f t="shared" si="1041"/>
        <v>0</v>
      </c>
      <c r="AM1108" s="1906">
        <f t="shared" si="1042"/>
        <v>0</v>
      </c>
      <c r="AN1108" s="1906">
        <f t="shared" si="1043"/>
        <v>0</v>
      </c>
      <c r="AP1108" s="1906">
        <f t="shared" si="1044"/>
        <v>0</v>
      </c>
      <c r="AQ1108" s="1906">
        <f t="shared" si="1045"/>
        <v>0</v>
      </c>
      <c r="AR1108" s="1906">
        <f t="shared" si="1046"/>
        <v>0</v>
      </c>
      <c r="AS1108" s="1906">
        <f t="shared" si="1047"/>
        <v>0</v>
      </c>
      <c r="AT1108" s="1906">
        <f t="shared" si="1048"/>
        <v>0</v>
      </c>
      <c r="AU1108" s="1906">
        <f t="shared" si="1049"/>
        <v>0</v>
      </c>
      <c r="AV1108" s="1906">
        <f t="shared" si="1050"/>
        <v>0</v>
      </c>
      <c r="AW1108" s="1906">
        <f t="shared" si="1051"/>
        <v>0</v>
      </c>
      <c r="AX1108" s="1906">
        <f t="shared" si="1052"/>
        <v>0</v>
      </c>
      <c r="AY1108" s="1906">
        <f t="shared" si="1053"/>
        <v>0</v>
      </c>
      <c r="AZ1108" s="1906">
        <f t="shared" si="1054"/>
        <v>0</v>
      </c>
      <c r="BA1108" s="1906">
        <f t="shared" si="1055"/>
        <v>0</v>
      </c>
      <c r="BC1108" s="1906">
        <f t="shared" si="1056"/>
        <v>0</v>
      </c>
      <c r="BD1108" s="1906">
        <f t="shared" si="1057"/>
        <v>0</v>
      </c>
      <c r="BE1108" s="1906">
        <f t="shared" si="1058"/>
        <v>0</v>
      </c>
      <c r="BF1108" s="1906">
        <f t="shared" si="1059"/>
        <v>0</v>
      </c>
      <c r="BG1108" s="1906">
        <f t="shared" si="1060"/>
        <v>0</v>
      </c>
      <c r="BH1108" s="1906">
        <f t="shared" si="1061"/>
        <v>0</v>
      </c>
      <c r="BI1108" s="1906">
        <f t="shared" si="1062"/>
        <v>0</v>
      </c>
      <c r="BJ1108" s="1906">
        <f t="shared" si="1063"/>
        <v>0</v>
      </c>
      <c r="BK1108" s="1906">
        <f t="shared" si="1064"/>
        <v>0</v>
      </c>
      <c r="BL1108" s="1906">
        <f t="shared" si="1065"/>
        <v>0</v>
      </c>
      <c r="BM1108" s="1906">
        <f t="shared" si="1066"/>
        <v>0</v>
      </c>
      <c r="BN1108" s="1906">
        <f t="shared" si="1067"/>
        <v>0</v>
      </c>
      <c r="BP1108" s="1906">
        <f t="shared" si="1068"/>
        <v>0</v>
      </c>
      <c r="BQ1108" s="1906">
        <f t="shared" si="1069"/>
        <v>0</v>
      </c>
      <c r="BR1108" s="1906">
        <f t="shared" si="1070"/>
        <v>0</v>
      </c>
      <c r="BS1108" s="1906">
        <f t="shared" si="1071"/>
        <v>0</v>
      </c>
      <c r="BT1108" s="1906">
        <f t="shared" si="1072"/>
        <v>0</v>
      </c>
      <c r="BU1108" s="1906">
        <f t="shared" si="1073"/>
        <v>0</v>
      </c>
      <c r="BV1108" s="1906">
        <f t="shared" si="1074"/>
        <v>0</v>
      </c>
      <c r="BW1108" s="1906">
        <f t="shared" si="1075"/>
        <v>0</v>
      </c>
      <c r="BX1108" s="1906">
        <f t="shared" si="1076"/>
        <v>0</v>
      </c>
      <c r="BY1108" s="1906">
        <f t="shared" si="1077"/>
        <v>0</v>
      </c>
      <c r="BZ1108" s="1906">
        <f t="shared" si="1078"/>
        <v>0</v>
      </c>
      <c r="CA1108" s="1906">
        <f t="shared" si="1079"/>
        <v>0</v>
      </c>
      <c r="CC1108" s="1906">
        <f t="shared" si="1080"/>
        <v>0</v>
      </c>
      <c r="CD1108" s="1906">
        <f t="shared" si="1081"/>
        <v>0</v>
      </c>
      <c r="CE1108" s="1906">
        <f t="shared" si="1082"/>
        <v>0</v>
      </c>
      <c r="CF1108" s="1906">
        <f t="shared" si="1083"/>
        <v>0</v>
      </c>
      <c r="CG1108" s="1906">
        <f t="shared" si="1084"/>
        <v>0</v>
      </c>
      <c r="CH1108" s="1906">
        <f t="shared" si="1085"/>
        <v>0</v>
      </c>
      <c r="CI1108" s="1906">
        <f t="shared" si="1086"/>
        <v>0</v>
      </c>
      <c r="CJ1108" s="1906">
        <f t="shared" si="1087"/>
        <v>0</v>
      </c>
      <c r="CK1108" s="1906">
        <f t="shared" si="1088"/>
        <v>0</v>
      </c>
      <c r="CL1108" s="1906">
        <f t="shared" si="1089"/>
        <v>0</v>
      </c>
      <c r="CM1108" s="1906">
        <f t="shared" si="1090"/>
        <v>0</v>
      </c>
      <c r="CN1108" s="1906">
        <f t="shared" si="1091"/>
        <v>0</v>
      </c>
      <c r="CO1108" s="6" t="str">
        <f t="shared" si="1092"/>
        <v>Subtotal Cultivos de Invierno para Reserva</v>
      </c>
      <c r="CP1108" s="1906">
        <f t="shared" si="1093"/>
        <v>0</v>
      </c>
      <c r="CQ1108" s="1906">
        <f t="shared" si="1094"/>
        <v>0</v>
      </c>
      <c r="CR1108" s="1906">
        <f t="shared" si="1095"/>
        <v>0</v>
      </c>
      <c r="CS1108" s="1906">
        <f t="shared" si="1096"/>
        <v>0</v>
      </c>
      <c r="CT1108" s="1906">
        <f t="shared" si="1109"/>
        <v>0</v>
      </c>
      <c r="CU1108" s="1906">
        <f t="shared" si="1109"/>
        <v>0</v>
      </c>
      <c r="CV1108" s="1906">
        <f t="shared" si="1109"/>
        <v>0</v>
      </c>
      <c r="CW1108" s="1906">
        <f t="shared" si="1109"/>
        <v>0</v>
      </c>
      <c r="CX1108" s="1906">
        <f t="shared" si="1109"/>
        <v>0</v>
      </c>
      <c r="CY1108" s="1906">
        <f t="shared" si="1109"/>
        <v>0</v>
      </c>
      <c r="CZ1108" s="1906">
        <f t="shared" si="1109"/>
        <v>0</v>
      </c>
      <c r="DA1108" s="1906">
        <f t="shared" si="1109"/>
        <v>0</v>
      </c>
      <c r="DB1108" s="595" t="str">
        <f t="shared" si="1005"/>
        <v>Subtotal Cultivos de Invierno para Reserva</v>
      </c>
      <c r="DC1108" s="1443">
        <f t="shared" si="1006"/>
        <v>0</v>
      </c>
      <c r="DD1108" s="107"/>
      <c r="DE1108" s="111" t="str">
        <f t="shared" si="1007"/>
        <v>Subtotal Cultivos de Invierno para Reserva</v>
      </c>
      <c r="DF1108" s="1906">
        <f t="shared" si="1097"/>
        <v>0</v>
      </c>
      <c r="DG1108" s="1906">
        <f t="shared" si="1098"/>
        <v>0</v>
      </c>
      <c r="DH1108" s="1906">
        <f t="shared" si="1099"/>
        <v>0</v>
      </c>
      <c r="DI1108" s="1906">
        <f t="shared" si="1100"/>
        <v>0</v>
      </c>
      <c r="DJ1108" s="1906">
        <f t="shared" si="1101"/>
        <v>0</v>
      </c>
      <c r="DK1108" s="1906">
        <f t="shared" si="1102"/>
        <v>0</v>
      </c>
      <c r="DL1108" s="1906">
        <f t="shared" si="1103"/>
        <v>0</v>
      </c>
      <c r="DM1108" s="1906">
        <f t="shared" si="1104"/>
        <v>0</v>
      </c>
      <c r="DN1108" s="1906">
        <f t="shared" si="1105"/>
        <v>0</v>
      </c>
      <c r="DO1108" s="1906">
        <f t="shared" si="1106"/>
        <v>0</v>
      </c>
      <c r="DP1108" s="1906">
        <f t="shared" si="1107"/>
        <v>0</v>
      </c>
      <c r="DQ1108" s="1906">
        <f t="shared" si="1108"/>
        <v>0</v>
      </c>
    </row>
    <row r="1109" spans="1:121" x14ac:dyDescent="0.2">
      <c r="A1109" s="6"/>
      <c r="C1109" s="1906" t="str">
        <f t="shared" si="1009"/>
        <v/>
      </c>
      <c r="D1109" s="1906" t="str">
        <f t="shared" si="1010"/>
        <v/>
      </c>
      <c r="E1109" s="1906" t="str">
        <f t="shared" si="1011"/>
        <v/>
      </c>
      <c r="F1109" s="1906" t="str">
        <f t="shared" si="1012"/>
        <v/>
      </c>
      <c r="G1109" s="1906" t="str">
        <f t="shared" si="1013"/>
        <v/>
      </c>
      <c r="H1109" s="1906" t="str">
        <f t="shared" si="1014"/>
        <v/>
      </c>
      <c r="I1109" s="1906" t="str">
        <f t="shared" si="1015"/>
        <v/>
      </c>
      <c r="J1109" s="1906" t="str">
        <f t="shared" si="1016"/>
        <v/>
      </c>
      <c r="K1109" s="1906" t="str">
        <f t="shared" si="1017"/>
        <v/>
      </c>
      <c r="L1109" s="1906" t="str">
        <f t="shared" si="1018"/>
        <v/>
      </c>
      <c r="M1109" s="1906" t="str">
        <f t="shared" si="1019"/>
        <v/>
      </c>
      <c r="N1109" s="1906" t="str">
        <f t="shared" si="1020"/>
        <v/>
      </c>
      <c r="P1109" s="1906">
        <f t="shared" si="1021"/>
        <v>0</v>
      </c>
      <c r="Q1109" s="1906">
        <f t="shared" si="1022"/>
        <v>0</v>
      </c>
      <c r="R1109" s="1906">
        <f t="shared" si="1023"/>
        <v>0</v>
      </c>
      <c r="S1109" s="1906">
        <f t="shared" si="1024"/>
        <v>0</v>
      </c>
      <c r="T1109" s="1906">
        <f t="shared" si="1025"/>
        <v>0</v>
      </c>
      <c r="U1109" s="1906">
        <f t="shared" si="1026"/>
        <v>0</v>
      </c>
      <c r="V1109" s="1906">
        <f t="shared" si="1027"/>
        <v>0</v>
      </c>
      <c r="W1109" s="1906">
        <f t="shared" si="1028"/>
        <v>0</v>
      </c>
      <c r="X1109" s="1906">
        <f t="shared" si="1029"/>
        <v>0</v>
      </c>
      <c r="Y1109" s="1906">
        <f t="shared" si="1030"/>
        <v>0</v>
      </c>
      <c r="Z1109" s="1906">
        <f t="shared" si="1031"/>
        <v>0</v>
      </c>
      <c r="AA1109" s="1906">
        <f t="shared" si="1032"/>
        <v>0</v>
      </c>
      <c r="AC1109" s="1906"/>
      <c r="AD1109" s="1906">
        <f t="shared" si="1033"/>
        <v>0</v>
      </c>
      <c r="AE1109" s="1906">
        <f t="shared" si="1034"/>
        <v>0</v>
      </c>
      <c r="AF1109" s="1906">
        <f t="shared" si="1035"/>
        <v>0</v>
      </c>
      <c r="AG1109" s="1906">
        <f t="shared" si="1036"/>
        <v>0</v>
      </c>
      <c r="AH1109" s="1906">
        <f t="shared" si="1037"/>
        <v>0</v>
      </c>
      <c r="AI1109" s="1906">
        <f t="shared" si="1038"/>
        <v>0</v>
      </c>
      <c r="AJ1109" s="1906">
        <f t="shared" si="1039"/>
        <v>0</v>
      </c>
      <c r="AK1109" s="1906">
        <f t="shared" si="1040"/>
        <v>0</v>
      </c>
      <c r="AL1109" s="1906">
        <f t="shared" si="1041"/>
        <v>0</v>
      </c>
      <c r="AM1109" s="1906">
        <f t="shared" si="1042"/>
        <v>0</v>
      </c>
      <c r="AN1109" s="1906">
        <f t="shared" si="1043"/>
        <v>0</v>
      </c>
      <c r="AP1109" s="1906">
        <f t="shared" si="1044"/>
        <v>0</v>
      </c>
      <c r="AQ1109" s="1906">
        <f t="shared" si="1045"/>
        <v>0</v>
      </c>
      <c r="AR1109" s="1906">
        <f t="shared" si="1046"/>
        <v>0</v>
      </c>
      <c r="AS1109" s="1906">
        <f t="shared" si="1047"/>
        <v>0</v>
      </c>
      <c r="AT1109" s="1906">
        <f t="shared" si="1048"/>
        <v>0</v>
      </c>
      <c r="AU1109" s="1906">
        <f t="shared" si="1049"/>
        <v>0</v>
      </c>
      <c r="AV1109" s="1906">
        <f t="shared" si="1050"/>
        <v>0</v>
      </c>
      <c r="AW1109" s="1906">
        <f t="shared" si="1051"/>
        <v>0</v>
      </c>
      <c r="AX1109" s="1906">
        <f t="shared" si="1052"/>
        <v>0</v>
      </c>
      <c r="AY1109" s="1906">
        <f t="shared" si="1053"/>
        <v>0</v>
      </c>
      <c r="AZ1109" s="1906">
        <f t="shared" si="1054"/>
        <v>0</v>
      </c>
      <c r="BA1109" s="1906">
        <f t="shared" si="1055"/>
        <v>0</v>
      </c>
      <c r="BC1109" s="1906">
        <f t="shared" si="1056"/>
        <v>0</v>
      </c>
      <c r="BD1109" s="1906">
        <f t="shared" si="1057"/>
        <v>0</v>
      </c>
      <c r="BE1109" s="1906">
        <f t="shared" si="1058"/>
        <v>0</v>
      </c>
      <c r="BF1109" s="1906">
        <f t="shared" si="1059"/>
        <v>0</v>
      </c>
      <c r="BG1109" s="1906">
        <f t="shared" si="1060"/>
        <v>0</v>
      </c>
      <c r="BH1109" s="1906">
        <f t="shared" si="1061"/>
        <v>0</v>
      </c>
      <c r="BI1109" s="1906">
        <f t="shared" si="1062"/>
        <v>0</v>
      </c>
      <c r="BJ1109" s="1906">
        <f t="shared" si="1063"/>
        <v>0</v>
      </c>
      <c r="BK1109" s="1906">
        <f t="shared" si="1064"/>
        <v>0</v>
      </c>
      <c r="BL1109" s="1906">
        <f t="shared" si="1065"/>
        <v>0</v>
      </c>
      <c r="BM1109" s="1906">
        <f t="shared" si="1066"/>
        <v>0</v>
      </c>
      <c r="BN1109" s="1906">
        <f t="shared" si="1067"/>
        <v>0</v>
      </c>
      <c r="BP1109" s="1906">
        <f t="shared" si="1068"/>
        <v>0</v>
      </c>
      <c r="BQ1109" s="1906">
        <f t="shared" si="1069"/>
        <v>0</v>
      </c>
      <c r="BR1109" s="1906">
        <f t="shared" si="1070"/>
        <v>0</v>
      </c>
      <c r="BS1109" s="1906">
        <f t="shared" si="1071"/>
        <v>0</v>
      </c>
      <c r="BT1109" s="1906">
        <f t="shared" si="1072"/>
        <v>0</v>
      </c>
      <c r="BU1109" s="1906">
        <f t="shared" si="1073"/>
        <v>0</v>
      </c>
      <c r="BV1109" s="1906">
        <f t="shared" si="1074"/>
        <v>0</v>
      </c>
      <c r="BW1109" s="1906">
        <f t="shared" si="1075"/>
        <v>0</v>
      </c>
      <c r="BX1109" s="1906">
        <f t="shared" si="1076"/>
        <v>0</v>
      </c>
      <c r="BY1109" s="1906">
        <f t="shared" si="1077"/>
        <v>0</v>
      </c>
      <c r="BZ1109" s="1906">
        <f t="shared" si="1078"/>
        <v>0</v>
      </c>
      <c r="CA1109" s="1906">
        <f t="shared" si="1079"/>
        <v>0</v>
      </c>
      <c r="CC1109" s="1906">
        <f t="shared" si="1080"/>
        <v>0</v>
      </c>
      <c r="CD1109" s="1906">
        <f t="shared" si="1081"/>
        <v>0</v>
      </c>
      <c r="CE1109" s="1906">
        <f t="shared" si="1082"/>
        <v>0</v>
      </c>
      <c r="CF1109" s="1906">
        <f t="shared" si="1083"/>
        <v>0</v>
      </c>
      <c r="CG1109" s="1906">
        <f t="shared" si="1084"/>
        <v>0</v>
      </c>
      <c r="CH1109" s="1906">
        <f t="shared" si="1085"/>
        <v>0</v>
      </c>
      <c r="CI1109" s="1906">
        <f t="shared" si="1086"/>
        <v>0</v>
      </c>
      <c r="CJ1109" s="1906">
        <f t="shared" si="1087"/>
        <v>0</v>
      </c>
      <c r="CK1109" s="1906">
        <f t="shared" si="1088"/>
        <v>0</v>
      </c>
      <c r="CL1109" s="1906">
        <f t="shared" si="1089"/>
        <v>0</v>
      </c>
      <c r="CM1109" s="1906">
        <f t="shared" si="1090"/>
        <v>0</v>
      </c>
      <c r="CN1109" s="1906">
        <f t="shared" si="1091"/>
        <v>0</v>
      </c>
      <c r="CO1109" s="6" t="str">
        <f t="shared" si="1092"/>
        <v>Soja</v>
      </c>
      <c r="CP1109" s="1906">
        <f t="shared" si="1093"/>
        <v>0</v>
      </c>
      <c r="CQ1109" s="1906">
        <f t="shared" si="1094"/>
        <v>0</v>
      </c>
      <c r="CR1109" s="1906">
        <f t="shared" si="1095"/>
        <v>0</v>
      </c>
      <c r="CS1109" s="1906">
        <f t="shared" si="1096"/>
        <v>0</v>
      </c>
      <c r="CT1109" s="1906">
        <f t="shared" si="1109"/>
        <v>0</v>
      </c>
      <c r="CU1109" s="1906">
        <f t="shared" si="1109"/>
        <v>0</v>
      </c>
      <c r="CV1109" s="1906">
        <f t="shared" si="1109"/>
        <v>0</v>
      </c>
      <c r="CW1109" s="1906">
        <f t="shared" si="1109"/>
        <v>0</v>
      </c>
      <c r="CX1109" s="1906">
        <f t="shared" si="1109"/>
        <v>0</v>
      </c>
      <c r="CY1109" s="1906">
        <f t="shared" si="1109"/>
        <v>0</v>
      </c>
      <c r="CZ1109" s="1906">
        <f t="shared" si="1109"/>
        <v>0</v>
      </c>
      <c r="DA1109" s="1906">
        <f t="shared" si="1109"/>
        <v>0</v>
      </c>
      <c r="DB1109" s="595" t="str">
        <f t="shared" si="1005"/>
        <v>Soja</v>
      </c>
      <c r="DC1109" s="1443">
        <f t="shared" si="1006"/>
        <v>0</v>
      </c>
      <c r="DD1109" s="107"/>
      <c r="DE1109" s="111" t="str">
        <f t="shared" si="1007"/>
        <v>Soja</v>
      </c>
      <c r="DF1109" s="1906">
        <f t="shared" si="1097"/>
        <v>0</v>
      </c>
      <c r="DG1109" s="1906">
        <f t="shared" si="1098"/>
        <v>0</v>
      </c>
      <c r="DH1109" s="1906">
        <f t="shared" si="1099"/>
        <v>0</v>
      </c>
      <c r="DI1109" s="1906">
        <f t="shared" si="1100"/>
        <v>0</v>
      </c>
      <c r="DJ1109" s="1906">
        <f t="shared" si="1101"/>
        <v>0</v>
      </c>
      <c r="DK1109" s="1906">
        <f t="shared" si="1102"/>
        <v>0</v>
      </c>
      <c r="DL1109" s="1906">
        <f t="shared" si="1103"/>
        <v>0</v>
      </c>
      <c r="DM1109" s="1906">
        <f t="shared" si="1104"/>
        <v>0</v>
      </c>
      <c r="DN1109" s="1906">
        <f t="shared" si="1105"/>
        <v>0</v>
      </c>
      <c r="DO1109" s="1906">
        <f t="shared" si="1106"/>
        <v>0</v>
      </c>
      <c r="DP1109" s="1906">
        <f t="shared" si="1107"/>
        <v>0</v>
      </c>
      <c r="DQ1109" s="1906">
        <f t="shared" si="1108"/>
        <v>0</v>
      </c>
    </row>
    <row r="1110" spans="1:121" x14ac:dyDescent="0.2">
      <c r="A1110" s="6"/>
      <c r="C1110" s="1906" t="str">
        <f t="shared" si="1009"/>
        <v/>
      </c>
      <c r="D1110" s="1906" t="str">
        <f t="shared" si="1010"/>
        <v/>
      </c>
      <c r="E1110" s="1906" t="str">
        <f t="shared" si="1011"/>
        <v/>
      </c>
      <c r="F1110" s="1906" t="str">
        <f t="shared" si="1012"/>
        <v/>
      </c>
      <c r="G1110" s="1906" t="str">
        <f t="shared" si="1013"/>
        <v/>
      </c>
      <c r="H1110" s="1906" t="str">
        <f t="shared" si="1014"/>
        <v/>
      </c>
      <c r="I1110" s="1906" t="str">
        <f t="shared" si="1015"/>
        <v/>
      </c>
      <c r="J1110" s="1906" t="str">
        <f t="shared" si="1016"/>
        <v/>
      </c>
      <c r="K1110" s="1906" t="str">
        <f t="shared" si="1017"/>
        <v/>
      </c>
      <c r="L1110" s="1906" t="str">
        <f t="shared" si="1018"/>
        <v/>
      </c>
      <c r="M1110" s="1906" t="str">
        <f t="shared" si="1019"/>
        <v/>
      </c>
      <c r="N1110" s="1906" t="str">
        <f t="shared" si="1020"/>
        <v/>
      </c>
      <c r="P1110" s="1906">
        <f t="shared" si="1021"/>
        <v>0</v>
      </c>
      <c r="Q1110" s="1906">
        <f t="shared" si="1022"/>
        <v>0</v>
      </c>
      <c r="R1110" s="1906">
        <f t="shared" si="1023"/>
        <v>0</v>
      </c>
      <c r="S1110" s="1906">
        <f t="shared" si="1024"/>
        <v>0</v>
      </c>
      <c r="T1110" s="1906">
        <f t="shared" si="1025"/>
        <v>0</v>
      </c>
      <c r="U1110" s="1906">
        <f t="shared" si="1026"/>
        <v>0</v>
      </c>
      <c r="V1110" s="1906">
        <f t="shared" si="1027"/>
        <v>0</v>
      </c>
      <c r="W1110" s="1906">
        <f t="shared" si="1028"/>
        <v>0</v>
      </c>
      <c r="X1110" s="1906">
        <f t="shared" si="1029"/>
        <v>0</v>
      </c>
      <c r="Y1110" s="1906">
        <f t="shared" si="1030"/>
        <v>0</v>
      </c>
      <c r="Z1110" s="1906">
        <f t="shared" si="1031"/>
        <v>0</v>
      </c>
      <c r="AA1110" s="1906">
        <f t="shared" si="1032"/>
        <v>0</v>
      </c>
      <c r="AC1110" s="1906"/>
      <c r="AD1110" s="1906">
        <f t="shared" si="1033"/>
        <v>0</v>
      </c>
      <c r="AE1110" s="1906">
        <f t="shared" si="1034"/>
        <v>0</v>
      </c>
      <c r="AF1110" s="1906">
        <f t="shared" si="1035"/>
        <v>0</v>
      </c>
      <c r="AG1110" s="1906">
        <f t="shared" si="1036"/>
        <v>0</v>
      </c>
      <c r="AH1110" s="1906">
        <f t="shared" si="1037"/>
        <v>0</v>
      </c>
      <c r="AI1110" s="1906">
        <f t="shared" si="1038"/>
        <v>0</v>
      </c>
      <c r="AJ1110" s="1906">
        <f t="shared" si="1039"/>
        <v>0</v>
      </c>
      <c r="AK1110" s="1906">
        <f t="shared" si="1040"/>
        <v>0</v>
      </c>
      <c r="AL1110" s="1906">
        <f t="shared" si="1041"/>
        <v>0</v>
      </c>
      <c r="AM1110" s="1906">
        <f t="shared" si="1042"/>
        <v>0</v>
      </c>
      <c r="AN1110" s="1906">
        <f t="shared" si="1043"/>
        <v>0</v>
      </c>
      <c r="AP1110" s="1906">
        <f t="shared" si="1044"/>
        <v>0</v>
      </c>
      <c r="AQ1110" s="1906">
        <f t="shared" si="1045"/>
        <v>0</v>
      </c>
      <c r="AR1110" s="1906">
        <f t="shared" si="1046"/>
        <v>0</v>
      </c>
      <c r="AS1110" s="1906">
        <f t="shared" si="1047"/>
        <v>0</v>
      </c>
      <c r="AT1110" s="1906">
        <f t="shared" si="1048"/>
        <v>0</v>
      </c>
      <c r="AU1110" s="1906">
        <f t="shared" si="1049"/>
        <v>0</v>
      </c>
      <c r="AV1110" s="1906">
        <f t="shared" si="1050"/>
        <v>0</v>
      </c>
      <c r="AW1110" s="1906">
        <f t="shared" si="1051"/>
        <v>0</v>
      </c>
      <c r="AX1110" s="1906">
        <f t="shared" si="1052"/>
        <v>0</v>
      </c>
      <c r="AY1110" s="1906">
        <f t="shared" si="1053"/>
        <v>0</v>
      </c>
      <c r="AZ1110" s="1906">
        <f t="shared" si="1054"/>
        <v>0</v>
      </c>
      <c r="BA1110" s="1906">
        <f t="shared" si="1055"/>
        <v>0</v>
      </c>
      <c r="BC1110" s="1906">
        <f t="shared" si="1056"/>
        <v>0</v>
      </c>
      <c r="BD1110" s="1906">
        <f t="shared" si="1057"/>
        <v>0</v>
      </c>
      <c r="BE1110" s="1906">
        <f t="shared" si="1058"/>
        <v>0</v>
      </c>
      <c r="BF1110" s="1906">
        <f t="shared" si="1059"/>
        <v>0</v>
      </c>
      <c r="BG1110" s="1906">
        <f t="shared" si="1060"/>
        <v>0</v>
      </c>
      <c r="BH1110" s="1906">
        <f t="shared" si="1061"/>
        <v>0</v>
      </c>
      <c r="BI1110" s="1906">
        <f t="shared" si="1062"/>
        <v>0</v>
      </c>
      <c r="BJ1110" s="1906">
        <f t="shared" si="1063"/>
        <v>0</v>
      </c>
      <c r="BK1110" s="1906">
        <f t="shared" si="1064"/>
        <v>0</v>
      </c>
      <c r="BL1110" s="1906">
        <f t="shared" si="1065"/>
        <v>0</v>
      </c>
      <c r="BM1110" s="1906">
        <f t="shared" si="1066"/>
        <v>0</v>
      </c>
      <c r="BN1110" s="1906">
        <f t="shared" si="1067"/>
        <v>0</v>
      </c>
      <c r="BP1110" s="1906">
        <f t="shared" si="1068"/>
        <v>0</v>
      </c>
      <c r="BQ1110" s="1906">
        <f t="shared" si="1069"/>
        <v>0</v>
      </c>
      <c r="BR1110" s="1906">
        <f t="shared" si="1070"/>
        <v>0</v>
      </c>
      <c r="BS1110" s="1906">
        <f t="shared" si="1071"/>
        <v>0</v>
      </c>
      <c r="BT1110" s="1906">
        <f t="shared" si="1072"/>
        <v>0</v>
      </c>
      <c r="BU1110" s="1906">
        <f t="shared" si="1073"/>
        <v>0</v>
      </c>
      <c r="BV1110" s="1906">
        <f t="shared" si="1074"/>
        <v>0</v>
      </c>
      <c r="BW1110" s="1906">
        <f t="shared" si="1075"/>
        <v>0</v>
      </c>
      <c r="BX1110" s="1906">
        <f t="shared" si="1076"/>
        <v>0</v>
      </c>
      <c r="BY1110" s="1906">
        <f t="shared" si="1077"/>
        <v>0</v>
      </c>
      <c r="BZ1110" s="1906">
        <f t="shared" si="1078"/>
        <v>0</v>
      </c>
      <c r="CA1110" s="1906">
        <f t="shared" si="1079"/>
        <v>0</v>
      </c>
      <c r="CC1110" s="1906">
        <f t="shared" si="1080"/>
        <v>0</v>
      </c>
      <c r="CD1110" s="1906">
        <f t="shared" si="1081"/>
        <v>0</v>
      </c>
      <c r="CE1110" s="1906">
        <f t="shared" si="1082"/>
        <v>0</v>
      </c>
      <c r="CF1110" s="1906">
        <f t="shared" si="1083"/>
        <v>0</v>
      </c>
      <c r="CG1110" s="1906">
        <f t="shared" si="1084"/>
        <v>0</v>
      </c>
      <c r="CH1110" s="1906">
        <f t="shared" si="1085"/>
        <v>0</v>
      </c>
      <c r="CI1110" s="1906">
        <f t="shared" si="1086"/>
        <v>0</v>
      </c>
      <c r="CJ1110" s="1906">
        <f t="shared" si="1087"/>
        <v>0</v>
      </c>
      <c r="CK1110" s="1906">
        <f t="shared" si="1088"/>
        <v>0</v>
      </c>
      <c r="CL1110" s="1906">
        <f t="shared" si="1089"/>
        <v>0</v>
      </c>
      <c r="CM1110" s="1906">
        <f t="shared" si="1090"/>
        <v>0</v>
      </c>
      <c r="CN1110" s="1906">
        <f t="shared" si="1091"/>
        <v>0</v>
      </c>
      <c r="CO1110" s="6" t="str">
        <f t="shared" si="1092"/>
        <v>Soja 2ª</v>
      </c>
      <c r="CP1110" s="1906">
        <f t="shared" si="1093"/>
        <v>0</v>
      </c>
      <c r="CQ1110" s="1906">
        <f t="shared" si="1094"/>
        <v>0</v>
      </c>
      <c r="CR1110" s="1906">
        <f t="shared" si="1095"/>
        <v>0</v>
      </c>
      <c r="CS1110" s="1906">
        <f t="shared" si="1096"/>
        <v>0</v>
      </c>
      <c r="CT1110" s="1906">
        <f t="shared" si="1109"/>
        <v>0</v>
      </c>
      <c r="CU1110" s="1906">
        <f t="shared" si="1109"/>
        <v>0</v>
      </c>
      <c r="CV1110" s="1906">
        <f t="shared" si="1109"/>
        <v>0</v>
      </c>
      <c r="CW1110" s="1906">
        <f t="shared" si="1109"/>
        <v>0</v>
      </c>
      <c r="CX1110" s="1906">
        <f t="shared" si="1109"/>
        <v>0</v>
      </c>
      <c r="CY1110" s="1906">
        <f t="shared" si="1109"/>
        <v>0</v>
      </c>
      <c r="CZ1110" s="1906">
        <f t="shared" si="1109"/>
        <v>0</v>
      </c>
      <c r="DA1110" s="1906">
        <f t="shared" si="1109"/>
        <v>0</v>
      </c>
      <c r="DB1110" s="595" t="str">
        <f t="shared" si="1005"/>
        <v>Soja 2ª</v>
      </c>
      <c r="DC1110" s="1443">
        <f t="shared" si="1006"/>
        <v>0</v>
      </c>
      <c r="DD1110" s="107"/>
      <c r="DE1110" s="111" t="str">
        <f t="shared" si="1007"/>
        <v>Soja 2ª</v>
      </c>
      <c r="DF1110" s="1906">
        <f t="shared" si="1097"/>
        <v>0</v>
      </c>
      <c r="DG1110" s="1906">
        <f t="shared" si="1098"/>
        <v>0</v>
      </c>
      <c r="DH1110" s="1906">
        <f t="shared" si="1099"/>
        <v>0</v>
      </c>
      <c r="DI1110" s="1906">
        <f t="shared" si="1100"/>
        <v>0</v>
      </c>
      <c r="DJ1110" s="1906">
        <f t="shared" si="1101"/>
        <v>0</v>
      </c>
      <c r="DK1110" s="1906">
        <f t="shared" si="1102"/>
        <v>0</v>
      </c>
      <c r="DL1110" s="1906">
        <f t="shared" si="1103"/>
        <v>0</v>
      </c>
      <c r="DM1110" s="1906">
        <f t="shared" si="1104"/>
        <v>0</v>
      </c>
      <c r="DN1110" s="1906">
        <f t="shared" si="1105"/>
        <v>0</v>
      </c>
      <c r="DO1110" s="1906">
        <f t="shared" si="1106"/>
        <v>0</v>
      </c>
      <c r="DP1110" s="1906">
        <f t="shared" si="1107"/>
        <v>0</v>
      </c>
      <c r="DQ1110" s="1906">
        <f t="shared" si="1108"/>
        <v>0</v>
      </c>
    </row>
    <row r="1111" spans="1:121" x14ac:dyDescent="0.2">
      <c r="A1111" s="6"/>
      <c r="C1111" s="1906" t="str">
        <f t="shared" si="1009"/>
        <v/>
      </c>
      <c r="D1111" s="1906" t="str">
        <f t="shared" si="1010"/>
        <v/>
      </c>
      <c r="E1111" s="1906" t="str">
        <f t="shared" si="1011"/>
        <v/>
      </c>
      <c r="F1111" s="1906" t="str">
        <f t="shared" si="1012"/>
        <v/>
      </c>
      <c r="G1111" s="1906" t="str">
        <f t="shared" si="1013"/>
        <v/>
      </c>
      <c r="H1111" s="1906" t="str">
        <f t="shared" si="1014"/>
        <v/>
      </c>
      <c r="I1111" s="1906" t="str">
        <f t="shared" si="1015"/>
        <v/>
      </c>
      <c r="J1111" s="1906" t="str">
        <f t="shared" si="1016"/>
        <v/>
      </c>
      <c r="K1111" s="1906" t="str">
        <f t="shared" si="1017"/>
        <v/>
      </c>
      <c r="L1111" s="1906" t="str">
        <f t="shared" si="1018"/>
        <v/>
      </c>
      <c r="M1111" s="1906" t="str">
        <f t="shared" si="1019"/>
        <v/>
      </c>
      <c r="N1111" s="1906" t="str">
        <f t="shared" si="1020"/>
        <v/>
      </c>
      <c r="P1111" s="1906">
        <f t="shared" si="1021"/>
        <v>0</v>
      </c>
      <c r="Q1111" s="1906">
        <f t="shared" si="1022"/>
        <v>0</v>
      </c>
      <c r="R1111" s="1906">
        <f t="shared" si="1023"/>
        <v>0</v>
      </c>
      <c r="S1111" s="1906">
        <f t="shared" si="1024"/>
        <v>0</v>
      </c>
      <c r="T1111" s="1906">
        <f t="shared" si="1025"/>
        <v>0</v>
      </c>
      <c r="U1111" s="1906">
        <f t="shared" si="1026"/>
        <v>0</v>
      </c>
      <c r="V1111" s="1906">
        <f t="shared" si="1027"/>
        <v>0</v>
      </c>
      <c r="W1111" s="1906">
        <f t="shared" si="1028"/>
        <v>0</v>
      </c>
      <c r="X1111" s="1906">
        <f t="shared" si="1029"/>
        <v>0</v>
      </c>
      <c r="Y1111" s="1906">
        <f t="shared" si="1030"/>
        <v>0</v>
      </c>
      <c r="Z1111" s="1906">
        <f t="shared" si="1031"/>
        <v>0</v>
      </c>
      <c r="AA1111" s="1906">
        <f t="shared" si="1032"/>
        <v>0</v>
      </c>
      <c r="AC1111" s="1906"/>
      <c r="AD1111" s="1906">
        <f t="shared" si="1033"/>
        <v>0</v>
      </c>
      <c r="AE1111" s="1906">
        <f t="shared" si="1034"/>
        <v>0</v>
      </c>
      <c r="AF1111" s="1906">
        <f t="shared" si="1035"/>
        <v>0</v>
      </c>
      <c r="AG1111" s="1906">
        <f t="shared" si="1036"/>
        <v>0</v>
      </c>
      <c r="AH1111" s="1906">
        <f t="shared" si="1037"/>
        <v>0</v>
      </c>
      <c r="AI1111" s="1906">
        <f t="shared" si="1038"/>
        <v>0</v>
      </c>
      <c r="AJ1111" s="1906">
        <f t="shared" si="1039"/>
        <v>0</v>
      </c>
      <c r="AK1111" s="1906">
        <f t="shared" si="1040"/>
        <v>0</v>
      </c>
      <c r="AL1111" s="1906">
        <f t="shared" si="1041"/>
        <v>0</v>
      </c>
      <c r="AM1111" s="1906">
        <f t="shared" si="1042"/>
        <v>0</v>
      </c>
      <c r="AN1111" s="1906">
        <f t="shared" si="1043"/>
        <v>0</v>
      </c>
      <c r="AP1111" s="1906">
        <f t="shared" si="1044"/>
        <v>0</v>
      </c>
      <c r="AQ1111" s="1906">
        <f t="shared" si="1045"/>
        <v>0</v>
      </c>
      <c r="AR1111" s="1906">
        <f t="shared" si="1046"/>
        <v>0</v>
      </c>
      <c r="AS1111" s="1906">
        <f t="shared" si="1047"/>
        <v>0</v>
      </c>
      <c r="AT1111" s="1906">
        <f t="shared" si="1048"/>
        <v>0</v>
      </c>
      <c r="AU1111" s="1906">
        <f t="shared" si="1049"/>
        <v>0</v>
      </c>
      <c r="AV1111" s="1906">
        <f t="shared" si="1050"/>
        <v>0</v>
      </c>
      <c r="AW1111" s="1906">
        <f t="shared" si="1051"/>
        <v>0</v>
      </c>
      <c r="AX1111" s="1906">
        <f t="shared" si="1052"/>
        <v>0</v>
      </c>
      <c r="AY1111" s="1906">
        <f t="shared" si="1053"/>
        <v>0</v>
      </c>
      <c r="AZ1111" s="1906">
        <f t="shared" si="1054"/>
        <v>0</v>
      </c>
      <c r="BA1111" s="1906">
        <f t="shared" si="1055"/>
        <v>0</v>
      </c>
      <c r="BC1111" s="1906">
        <f t="shared" si="1056"/>
        <v>0</v>
      </c>
      <c r="BD1111" s="1906">
        <f t="shared" si="1057"/>
        <v>0</v>
      </c>
      <c r="BE1111" s="1906">
        <f t="shared" si="1058"/>
        <v>0</v>
      </c>
      <c r="BF1111" s="1906">
        <f t="shared" si="1059"/>
        <v>0</v>
      </c>
      <c r="BG1111" s="1906">
        <f t="shared" si="1060"/>
        <v>0</v>
      </c>
      <c r="BH1111" s="1906">
        <f t="shared" si="1061"/>
        <v>0</v>
      </c>
      <c r="BI1111" s="1906">
        <f t="shared" si="1062"/>
        <v>0</v>
      </c>
      <c r="BJ1111" s="1906">
        <f t="shared" si="1063"/>
        <v>0</v>
      </c>
      <c r="BK1111" s="1906">
        <f t="shared" si="1064"/>
        <v>0</v>
      </c>
      <c r="BL1111" s="1906">
        <f t="shared" si="1065"/>
        <v>0</v>
      </c>
      <c r="BM1111" s="1906">
        <f t="shared" si="1066"/>
        <v>0</v>
      </c>
      <c r="BN1111" s="1906">
        <f t="shared" si="1067"/>
        <v>0</v>
      </c>
      <c r="BP1111" s="1906">
        <f t="shared" si="1068"/>
        <v>0</v>
      </c>
      <c r="BQ1111" s="1906">
        <f t="shared" si="1069"/>
        <v>0</v>
      </c>
      <c r="BR1111" s="1906">
        <f t="shared" si="1070"/>
        <v>0</v>
      </c>
      <c r="BS1111" s="1906">
        <f t="shared" si="1071"/>
        <v>0</v>
      </c>
      <c r="BT1111" s="1906">
        <f t="shared" si="1072"/>
        <v>0</v>
      </c>
      <c r="BU1111" s="1906">
        <f t="shared" si="1073"/>
        <v>0</v>
      </c>
      <c r="BV1111" s="1906">
        <f t="shared" si="1074"/>
        <v>0</v>
      </c>
      <c r="BW1111" s="1906">
        <f t="shared" si="1075"/>
        <v>0</v>
      </c>
      <c r="BX1111" s="1906">
        <f t="shared" si="1076"/>
        <v>0</v>
      </c>
      <c r="BY1111" s="1906">
        <f t="shared" si="1077"/>
        <v>0</v>
      </c>
      <c r="BZ1111" s="1906">
        <f t="shared" si="1078"/>
        <v>0</v>
      </c>
      <c r="CA1111" s="1906">
        <f t="shared" si="1079"/>
        <v>0</v>
      </c>
      <c r="CC1111" s="1906">
        <f t="shared" si="1080"/>
        <v>0</v>
      </c>
      <c r="CD1111" s="1906">
        <f t="shared" si="1081"/>
        <v>0</v>
      </c>
      <c r="CE1111" s="1906">
        <f t="shared" si="1082"/>
        <v>0</v>
      </c>
      <c r="CF1111" s="1906">
        <f t="shared" si="1083"/>
        <v>0</v>
      </c>
      <c r="CG1111" s="1906">
        <f t="shared" si="1084"/>
        <v>0</v>
      </c>
      <c r="CH1111" s="1906">
        <f t="shared" si="1085"/>
        <v>0</v>
      </c>
      <c r="CI1111" s="1906">
        <f t="shared" si="1086"/>
        <v>0</v>
      </c>
      <c r="CJ1111" s="1906">
        <f t="shared" si="1087"/>
        <v>0</v>
      </c>
      <c r="CK1111" s="1906">
        <f t="shared" si="1088"/>
        <v>0</v>
      </c>
      <c r="CL1111" s="1906">
        <f t="shared" si="1089"/>
        <v>0</v>
      </c>
      <c r="CM1111" s="1906">
        <f t="shared" si="1090"/>
        <v>0</v>
      </c>
      <c r="CN1111" s="1906">
        <f t="shared" si="1091"/>
        <v>0</v>
      </c>
      <c r="CO1111" s="6" t="str">
        <f t="shared" si="1092"/>
        <v>Maíz Grano</v>
      </c>
      <c r="CP1111" s="1906">
        <f t="shared" si="1093"/>
        <v>0</v>
      </c>
      <c r="CQ1111" s="1906">
        <f t="shared" si="1094"/>
        <v>0</v>
      </c>
      <c r="CR1111" s="1906">
        <f t="shared" si="1095"/>
        <v>0</v>
      </c>
      <c r="CS1111" s="1906">
        <f t="shared" si="1096"/>
        <v>0</v>
      </c>
      <c r="CT1111" s="1906">
        <f t="shared" si="1109"/>
        <v>0</v>
      </c>
      <c r="CU1111" s="1906">
        <f t="shared" si="1109"/>
        <v>0</v>
      </c>
      <c r="CV1111" s="1906">
        <f t="shared" si="1109"/>
        <v>0</v>
      </c>
      <c r="CW1111" s="1906">
        <f t="shared" si="1109"/>
        <v>0</v>
      </c>
      <c r="CX1111" s="1906">
        <f t="shared" si="1109"/>
        <v>0</v>
      </c>
      <c r="CY1111" s="1906">
        <f t="shared" si="1109"/>
        <v>0</v>
      </c>
      <c r="CZ1111" s="1906">
        <f t="shared" si="1109"/>
        <v>0</v>
      </c>
      <c r="DA1111" s="1906">
        <f t="shared" si="1109"/>
        <v>0</v>
      </c>
      <c r="DB1111" s="595" t="str">
        <f t="shared" si="1005"/>
        <v>Maíz Grano</v>
      </c>
      <c r="DC1111" s="1443">
        <f t="shared" si="1006"/>
        <v>0</v>
      </c>
      <c r="DD1111" s="107"/>
      <c r="DE1111" s="111" t="str">
        <f t="shared" si="1007"/>
        <v>Maíz Grano</v>
      </c>
      <c r="DF1111" s="1906">
        <f t="shared" si="1097"/>
        <v>0</v>
      </c>
      <c r="DG1111" s="1906">
        <f t="shared" si="1098"/>
        <v>0</v>
      </c>
      <c r="DH1111" s="1906">
        <f t="shared" si="1099"/>
        <v>0</v>
      </c>
      <c r="DI1111" s="1906">
        <f t="shared" si="1100"/>
        <v>0</v>
      </c>
      <c r="DJ1111" s="1906">
        <f t="shared" si="1101"/>
        <v>0</v>
      </c>
      <c r="DK1111" s="1906">
        <f t="shared" si="1102"/>
        <v>0</v>
      </c>
      <c r="DL1111" s="1906">
        <f t="shared" si="1103"/>
        <v>0</v>
      </c>
      <c r="DM1111" s="1906">
        <f t="shared" si="1104"/>
        <v>0</v>
      </c>
      <c r="DN1111" s="1906">
        <f t="shared" si="1105"/>
        <v>0</v>
      </c>
      <c r="DO1111" s="1906">
        <f t="shared" si="1106"/>
        <v>0</v>
      </c>
      <c r="DP1111" s="1906">
        <f t="shared" si="1107"/>
        <v>0</v>
      </c>
      <c r="DQ1111" s="1906">
        <f t="shared" si="1108"/>
        <v>0</v>
      </c>
    </row>
    <row r="1112" spans="1:121" x14ac:dyDescent="0.2">
      <c r="A1112" s="6"/>
      <c r="C1112" s="1906" t="str">
        <f t="shared" si="1009"/>
        <v/>
      </c>
      <c r="D1112" s="1906" t="str">
        <f t="shared" si="1010"/>
        <v/>
      </c>
      <c r="E1112" s="1906" t="str">
        <f t="shared" si="1011"/>
        <v/>
      </c>
      <c r="F1112" s="1906" t="str">
        <f t="shared" si="1012"/>
        <v/>
      </c>
      <c r="G1112" s="1906" t="str">
        <f t="shared" si="1013"/>
        <v/>
      </c>
      <c r="H1112" s="1906" t="str">
        <f t="shared" si="1014"/>
        <v/>
      </c>
      <c r="I1112" s="1906" t="str">
        <f t="shared" si="1015"/>
        <v/>
      </c>
      <c r="J1112" s="1906" t="str">
        <f t="shared" si="1016"/>
        <v/>
      </c>
      <c r="K1112" s="1906" t="str">
        <f t="shared" si="1017"/>
        <v/>
      </c>
      <c r="L1112" s="1906" t="str">
        <f t="shared" si="1018"/>
        <v/>
      </c>
      <c r="M1112" s="1906" t="str">
        <f t="shared" si="1019"/>
        <v/>
      </c>
      <c r="N1112" s="1906" t="str">
        <f t="shared" si="1020"/>
        <v/>
      </c>
      <c r="P1112" s="1906">
        <f t="shared" si="1021"/>
        <v>0</v>
      </c>
      <c r="Q1112" s="1906">
        <f t="shared" si="1022"/>
        <v>0</v>
      </c>
      <c r="R1112" s="1906">
        <f t="shared" si="1023"/>
        <v>0</v>
      </c>
      <c r="S1112" s="1906">
        <f t="shared" si="1024"/>
        <v>0</v>
      </c>
      <c r="T1112" s="1906">
        <f t="shared" si="1025"/>
        <v>0</v>
      </c>
      <c r="U1112" s="1906">
        <f t="shared" si="1026"/>
        <v>0</v>
      </c>
      <c r="V1112" s="1906">
        <f t="shared" si="1027"/>
        <v>0</v>
      </c>
      <c r="W1112" s="1906">
        <f t="shared" si="1028"/>
        <v>0</v>
      </c>
      <c r="X1112" s="1906">
        <f t="shared" si="1029"/>
        <v>0</v>
      </c>
      <c r="Y1112" s="1906">
        <f t="shared" si="1030"/>
        <v>0</v>
      </c>
      <c r="Z1112" s="1906">
        <f t="shared" si="1031"/>
        <v>0</v>
      </c>
      <c r="AA1112" s="1906">
        <f t="shared" si="1032"/>
        <v>0</v>
      </c>
      <c r="AC1112" s="1906"/>
      <c r="AD1112" s="1906">
        <f t="shared" si="1033"/>
        <v>0</v>
      </c>
      <c r="AE1112" s="1906">
        <f t="shared" si="1034"/>
        <v>0</v>
      </c>
      <c r="AF1112" s="1906">
        <f t="shared" si="1035"/>
        <v>0</v>
      </c>
      <c r="AG1112" s="1906">
        <f t="shared" si="1036"/>
        <v>0</v>
      </c>
      <c r="AH1112" s="1906">
        <f t="shared" si="1037"/>
        <v>0</v>
      </c>
      <c r="AI1112" s="1906">
        <f t="shared" si="1038"/>
        <v>0</v>
      </c>
      <c r="AJ1112" s="1906">
        <f t="shared" si="1039"/>
        <v>0</v>
      </c>
      <c r="AK1112" s="1906">
        <f t="shared" si="1040"/>
        <v>0</v>
      </c>
      <c r="AL1112" s="1906">
        <f t="shared" si="1041"/>
        <v>0</v>
      </c>
      <c r="AM1112" s="1906">
        <f t="shared" si="1042"/>
        <v>0</v>
      </c>
      <c r="AN1112" s="1906">
        <f t="shared" si="1043"/>
        <v>0</v>
      </c>
      <c r="AP1112" s="1906">
        <f t="shared" si="1044"/>
        <v>0</v>
      </c>
      <c r="AQ1112" s="1906">
        <f t="shared" si="1045"/>
        <v>0</v>
      </c>
      <c r="AR1112" s="1906">
        <f t="shared" si="1046"/>
        <v>0</v>
      </c>
      <c r="AS1112" s="1906">
        <f t="shared" si="1047"/>
        <v>0</v>
      </c>
      <c r="AT1112" s="1906">
        <f t="shared" si="1048"/>
        <v>0</v>
      </c>
      <c r="AU1112" s="1906">
        <f t="shared" si="1049"/>
        <v>0</v>
      </c>
      <c r="AV1112" s="1906">
        <f t="shared" si="1050"/>
        <v>0</v>
      </c>
      <c r="AW1112" s="1906">
        <f t="shared" si="1051"/>
        <v>0</v>
      </c>
      <c r="AX1112" s="1906">
        <f t="shared" si="1052"/>
        <v>0</v>
      </c>
      <c r="AY1112" s="1906">
        <f t="shared" si="1053"/>
        <v>0</v>
      </c>
      <c r="AZ1112" s="1906">
        <f t="shared" si="1054"/>
        <v>0</v>
      </c>
      <c r="BA1112" s="1906">
        <f t="shared" si="1055"/>
        <v>0</v>
      </c>
      <c r="BC1112" s="1906">
        <f t="shared" si="1056"/>
        <v>0</v>
      </c>
      <c r="BD1112" s="1906">
        <f t="shared" si="1057"/>
        <v>0</v>
      </c>
      <c r="BE1112" s="1906">
        <f t="shared" si="1058"/>
        <v>0</v>
      </c>
      <c r="BF1112" s="1906">
        <f t="shared" si="1059"/>
        <v>0</v>
      </c>
      <c r="BG1112" s="1906">
        <f t="shared" si="1060"/>
        <v>0</v>
      </c>
      <c r="BH1112" s="1906">
        <f t="shared" si="1061"/>
        <v>0</v>
      </c>
      <c r="BI1112" s="1906">
        <f t="shared" si="1062"/>
        <v>0</v>
      </c>
      <c r="BJ1112" s="1906">
        <f t="shared" si="1063"/>
        <v>0</v>
      </c>
      <c r="BK1112" s="1906">
        <f t="shared" si="1064"/>
        <v>0</v>
      </c>
      <c r="BL1112" s="1906">
        <f t="shared" si="1065"/>
        <v>0</v>
      </c>
      <c r="BM1112" s="1906">
        <f t="shared" si="1066"/>
        <v>0</v>
      </c>
      <c r="BN1112" s="1906">
        <f t="shared" si="1067"/>
        <v>0</v>
      </c>
      <c r="BP1112" s="1906">
        <f t="shared" si="1068"/>
        <v>0</v>
      </c>
      <c r="BQ1112" s="1906">
        <f t="shared" si="1069"/>
        <v>0</v>
      </c>
      <c r="BR1112" s="1906">
        <f t="shared" si="1070"/>
        <v>0</v>
      </c>
      <c r="BS1112" s="1906">
        <f t="shared" si="1071"/>
        <v>0</v>
      </c>
      <c r="BT1112" s="1906">
        <f t="shared" si="1072"/>
        <v>0</v>
      </c>
      <c r="BU1112" s="1906">
        <f t="shared" si="1073"/>
        <v>0</v>
      </c>
      <c r="BV1112" s="1906">
        <f t="shared" si="1074"/>
        <v>0</v>
      </c>
      <c r="BW1112" s="1906">
        <f t="shared" si="1075"/>
        <v>0</v>
      </c>
      <c r="BX1112" s="1906">
        <f t="shared" si="1076"/>
        <v>0</v>
      </c>
      <c r="BY1112" s="1906">
        <f t="shared" si="1077"/>
        <v>0</v>
      </c>
      <c r="BZ1112" s="1906">
        <f t="shared" si="1078"/>
        <v>0</v>
      </c>
      <c r="CA1112" s="1906">
        <f t="shared" si="1079"/>
        <v>0</v>
      </c>
      <c r="CC1112" s="1906">
        <f t="shared" si="1080"/>
        <v>0</v>
      </c>
      <c r="CD1112" s="1906">
        <f t="shared" si="1081"/>
        <v>0</v>
      </c>
      <c r="CE1112" s="1906">
        <f t="shared" si="1082"/>
        <v>0</v>
      </c>
      <c r="CF1112" s="1906">
        <f t="shared" si="1083"/>
        <v>0</v>
      </c>
      <c r="CG1112" s="1906">
        <f t="shared" si="1084"/>
        <v>0</v>
      </c>
      <c r="CH1112" s="1906">
        <f t="shared" si="1085"/>
        <v>0</v>
      </c>
      <c r="CI1112" s="1906">
        <f t="shared" si="1086"/>
        <v>0</v>
      </c>
      <c r="CJ1112" s="1906">
        <f t="shared" si="1087"/>
        <v>0</v>
      </c>
      <c r="CK1112" s="1906">
        <f t="shared" si="1088"/>
        <v>0</v>
      </c>
      <c r="CL1112" s="1906">
        <f t="shared" si="1089"/>
        <v>0</v>
      </c>
      <c r="CM1112" s="1906">
        <f t="shared" si="1090"/>
        <v>0</v>
      </c>
      <c r="CN1112" s="1906">
        <f t="shared" si="1091"/>
        <v>0</v>
      </c>
      <c r="CO1112" s="6" t="str">
        <f t="shared" si="1092"/>
        <v>Sorgo grano</v>
      </c>
      <c r="CP1112" s="1906">
        <f t="shared" si="1093"/>
        <v>0</v>
      </c>
      <c r="CQ1112" s="1906">
        <f t="shared" si="1094"/>
        <v>0</v>
      </c>
      <c r="CR1112" s="1906">
        <f t="shared" si="1095"/>
        <v>0</v>
      </c>
      <c r="CS1112" s="1906">
        <f t="shared" si="1096"/>
        <v>0</v>
      </c>
      <c r="CT1112" s="1906">
        <f t="shared" si="1109"/>
        <v>0</v>
      </c>
      <c r="CU1112" s="1906">
        <f t="shared" si="1109"/>
        <v>0</v>
      </c>
      <c r="CV1112" s="1906">
        <f t="shared" si="1109"/>
        <v>0</v>
      </c>
      <c r="CW1112" s="1906">
        <f t="shared" si="1109"/>
        <v>0</v>
      </c>
      <c r="CX1112" s="1906">
        <f t="shared" si="1109"/>
        <v>0</v>
      </c>
      <c r="CY1112" s="1906">
        <f t="shared" si="1109"/>
        <v>0</v>
      </c>
      <c r="CZ1112" s="1906">
        <f t="shared" si="1109"/>
        <v>0</v>
      </c>
      <c r="DA1112" s="1906">
        <f t="shared" si="1109"/>
        <v>0</v>
      </c>
      <c r="DB1112" s="595" t="str">
        <f t="shared" si="1005"/>
        <v>Sorgo grano</v>
      </c>
      <c r="DC1112" s="1443">
        <f t="shared" si="1006"/>
        <v>0</v>
      </c>
      <c r="DD1112" s="107"/>
      <c r="DE1112" s="111" t="str">
        <f t="shared" si="1007"/>
        <v>Sorgo grano</v>
      </c>
      <c r="DF1112" s="1906">
        <f t="shared" si="1097"/>
        <v>0</v>
      </c>
      <c r="DG1112" s="1906">
        <f t="shared" si="1098"/>
        <v>0</v>
      </c>
      <c r="DH1112" s="1906">
        <f t="shared" si="1099"/>
        <v>0</v>
      </c>
      <c r="DI1112" s="1906">
        <f t="shared" si="1100"/>
        <v>0</v>
      </c>
      <c r="DJ1112" s="1906">
        <f t="shared" si="1101"/>
        <v>0</v>
      </c>
      <c r="DK1112" s="1906">
        <f t="shared" si="1102"/>
        <v>0</v>
      </c>
      <c r="DL1112" s="1906">
        <f t="shared" si="1103"/>
        <v>0</v>
      </c>
      <c r="DM1112" s="1906">
        <f t="shared" si="1104"/>
        <v>0</v>
      </c>
      <c r="DN1112" s="1906">
        <f t="shared" si="1105"/>
        <v>0</v>
      </c>
      <c r="DO1112" s="1906">
        <f t="shared" si="1106"/>
        <v>0</v>
      </c>
      <c r="DP1112" s="1906">
        <f t="shared" si="1107"/>
        <v>0</v>
      </c>
      <c r="DQ1112" s="1906">
        <f t="shared" si="1108"/>
        <v>0</v>
      </c>
    </row>
    <row r="1113" spans="1:121" x14ac:dyDescent="0.2">
      <c r="A1113" s="6"/>
      <c r="C1113" s="1906" t="str">
        <f t="shared" si="1009"/>
        <v/>
      </c>
      <c r="D1113" s="1906" t="str">
        <f t="shared" si="1010"/>
        <v/>
      </c>
      <c r="E1113" s="1906" t="str">
        <f t="shared" si="1011"/>
        <v/>
      </c>
      <c r="F1113" s="1906" t="str">
        <f t="shared" si="1012"/>
        <v/>
      </c>
      <c r="G1113" s="1906" t="str">
        <f t="shared" si="1013"/>
        <v/>
      </c>
      <c r="H1113" s="1906" t="str">
        <f t="shared" si="1014"/>
        <v/>
      </c>
      <c r="I1113" s="1906" t="str">
        <f t="shared" si="1015"/>
        <v/>
      </c>
      <c r="J1113" s="1906" t="str">
        <f t="shared" si="1016"/>
        <v/>
      </c>
      <c r="K1113" s="1906" t="str">
        <f t="shared" si="1017"/>
        <v/>
      </c>
      <c r="L1113" s="1906" t="str">
        <f t="shared" si="1018"/>
        <v/>
      </c>
      <c r="M1113" s="1906" t="str">
        <f t="shared" si="1019"/>
        <v/>
      </c>
      <c r="N1113" s="1906" t="str">
        <f t="shared" si="1020"/>
        <v/>
      </c>
      <c r="P1113" s="1906">
        <f t="shared" si="1021"/>
        <v>0</v>
      </c>
      <c r="Q1113" s="1906">
        <f t="shared" si="1022"/>
        <v>0</v>
      </c>
      <c r="R1113" s="1906">
        <f t="shared" si="1023"/>
        <v>0</v>
      </c>
      <c r="S1113" s="1906">
        <f t="shared" si="1024"/>
        <v>0</v>
      </c>
      <c r="T1113" s="1906">
        <f t="shared" si="1025"/>
        <v>0</v>
      </c>
      <c r="U1113" s="1906">
        <f t="shared" si="1026"/>
        <v>0</v>
      </c>
      <c r="V1113" s="1906">
        <f t="shared" si="1027"/>
        <v>0</v>
      </c>
      <c r="W1113" s="1906">
        <f t="shared" si="1028"/>
        <v>0</v>
      </c>
      <c r="X1113" s="1906">
        <f t="shared" si="1029"/>
        <v>0</v>
      </c>
      <c r="Y1113" s="1906">
        <f t="shared" si="1030"/>
        <v>0</v>
      </c>
      <c r="Z1113" s="1906">
        <f t="shared" si="1031"/>
        <v>0</v>
      </c>
      <c r="AA1113" s="1906">
        <f t="shared" si="1032"/>
        <v>0</v>
      </c>
      <c r="AC1113" s="1906"/>
      <c r="AD1113" s="1906">
        <f t="shared" si="1033"/>
        <v>0</v>
      </c>
      <c r="AE1113" s="1906">
        <f t="shared" si="1034"/>
        <v>0</v>
      </c>
      <c r="AF1113" s="1906">
        <f t="shared" si="1035"/>
        <v>0</v>
      </c>
      <c r="AG1113" s="1906">
        <f t="shared" si="1036"/>
        <v>0</v>
      </c>
      <c r="AH1113" s="1906">
        <f t="shared" si="1037"/>
        <v>0</v>
      </c>
      <c r="AI1113" s="1906">
        <f t="shared" si="1038"/>
        <v>0</v>
      </c>
      <c r="AJ1113" s="1906">
        <f t="shared" si="1039"/>
        <v>0</v>
      </c>
      <c r="AK1113" s="1906">
        <f t="shared" si="1040"/>
        <v>0</v>
      </c>
      <c r="AL1113" s="1906">
        <f t="shared" si="1041"/>
        <v>0</v>
      </c>
      <c r="AM1113" s="1906">
        <f t="shared" si="1042"/>
        <v>0</v>
      </c>
      <c r="AN1113" s="1906">
        <f t="shared" si="1043"/>
        <v>0</v>
      </c>
      <c r="AP1113" s="1906">
        <f t="shared" si="1044"/>
        <v>0</v>
      </c>
      <c r="AQ1113" s="1906">
        <f t="shared" si="1045"/>
        <v>0</v>
      </c>
      <c r="AR1113" s="1906">
        <f t="shared" si="1046"/>
        <v>0</v>
      </c>
      <c r="AS1113" s="1906">
        <f t="shared" si="1047"/>
        <v>0</v>
      </c>
      <c r="AT1113" s="1906">
        <f t="shared" si="1048"/>
        <v>0</v>
      </c>
      <c r="AU1113" s="1906">
        <f t="shared" si="1049"/>
        <v>0</v>
      </c>
      <c r="AV1113" s="1906">
        <f t="shared" si="1050"/>
        <v>0</v>
      </c>
      <c r="AW1113" s="1906">
        <f t="shared" si="1051"/>
        <v>0</v>
      </c>
      <c r="AX1113" s="1906">
        <f t="shared" si="1052"/>
        <v>0</v>
      </c>
      <c r="AY1113" s="1906">
        <f t="shared" si="1053"/>
        <v>0</v>
      </c>
      <c r="AZ1113" s="1906">
        <f t="shared" si="1054"/>
        <v>0</v>
      </c>
      <c r="BA1113" s="1906">
        <f t="shared" si="1055"/>
        <v>0</v>
      </c>
      <c r="BC1113" s="1906">
        <f t="shared" si="1056"/>
        <v>0</v>
      </c>
      <c r="BD1113" s="1906">
        <f t="shared" si="1057"/>
        <v>0</v>
      </c>
      <c r="BE1113" s="1906">
        <f t="shared" si="1058"/>
        <v>0</v>
      </c>
      <c r="BF1113" s="1906">
        <f t="shared" si="1059"/>
        <v>0</v>
      </c>
      <c r="BG1113" s="1906">
        <f t="shared" si="1060"/>
        <v>0</v>
      </c>
      <c r="BH1113" s="1906">
        <f t="shared" si="1061"/>
        <v>0</v>
      </c>
      <c r="BI1113" s="1906">
        <f t="shared" si="1062"/>
        <v>0</v>
      </c>
      <c r="BJ1113" s="1906">
        <f t="shared" si="1063"/>
        <v>0</v>
      </c>
      <c r="BK1113" s="1906">
        <f t="shared" si="1064"/>
        <v>0</v>
      </c>
      <c r="BL1113" s="1906">
        <f t="shared" si="1065"/>
        <v>0</v>
      </c>
      <c r="BM1113" s="1906">
        <f t="shared" si="1066"/>
        <v>0</v>
      </c>
      <c r="BN1113" s="1906">
        <f t="shared" si="1067"/>
        <v>0</v>
      </c>
      <c r="BP1113" s="1906">
        <f t="shared" si="1068"/>
        <v>0</v>
      </c>
      <c r="BQ1113" s="1906">
        <f t="shared" si="1069"/>
        <v>0</v>
      </c>
      <c r="BR1113" s="1906">
        <f t="shared" si="1070"/>
        <v>0</v>
      </c>
      <c r="BS1113" s="1906">
        <f t="shared" si="1071"/>
        <v>0</v>
      </c>
      <c r="BT1113" s="1906">
        <f t="shared" si="1072"/>
        <v>0</v>
      </c>
      <c r="BU1113" s="1906">
        <f t="shared" si="1073"/>
        <v>0</v>
      </c>
      <c r="BV1113" s="1906">
        <f t="shared" si="1074"/>
        <v>0</v>
      </c>
      <c r="BW1113" s="1906">
        <f t="shared" si="1075"/>
        <v>0</v>
      </c>
      <c r="BX1113" s="1906">
        <f t="shared" si="1076"/>
        <v>0</v>
      </c>
      <c r="BY1113" s="1906">
        <f t="shared" si="1077"/>
        <v>0</v>
      </c>
      <c r="BZ1113" s="1906">
        <f t="shared" si="1078"/>
        <v>0</v>
      </c>
      <c r="CA1113" s="1906">
        <f t="shared" si="1079"/>
        <v>0</v>
      </c>
      <c r="CC1113" s="1906">
        <f t="shared" si="1080"/>
        <v>0</v>
      </c>
      <c r="CD1113" s="1906">
        <f t="shared" si="1081"/>
        <v>0</v>
      </c>
      <c r="CE1113" s="1906">
        <f t="shared" si="1082"/>
        <v>0</v>
      </c>
      <c r="CF1113" s="1906">
        <f t="shared" si="1083"/>
        <v>0</v>
      </c>
      <c r="CG1113" s="1906">
        <f t="shared" si="1084"/>
        <v>0</v>
      </c>
      <c r="CH1113" s="1906">
        <f t="shared" si="1085"/>
        <v>0</v>
      </c>
      <c r="CI1113" s="1906">
        <f t="shared" si="1086"/>
        <v>0</v>
      </c>
      <c r="CJ1113" s="1906">
        <f t="shared" si="1087"/>
        <v>0</v>
      </c>
      <c r="CK1113" s="1906">
        <f t="shared" si="1088"/>
        <v>0</v>
      </c>
      <c r="CL1113" s="1906">
        <f t="shared" si="1089"/>
        <v>0</v>
      </c>
      <c r="CM1113" s="1906">
        <f t="shared" si="1090"/>
        <v>0</v>
      </c>
      <c r="CN1113" s="1906">
        <f t="shared" si="1091"/>
        <v>0</v>
      </c>
      <c r="CO1113" s="6" t="str">
        <f t="shared" si="1092"/>
        <v>Trigo grano</v>
      </c>
      <c r="CP1113" s="1906">
        <f t="shared" si="1093"/>
        <v>0</v>
      </c>
      <c r="CQ1113" s="1906">
        <f t="shared" si="1094"/>
        <v>0</v>
      </c>
      <c r="CR1113" s="1906">
        <f t="shared" si="1095"/>
        <v>0</v>
      </c>
      <c r="CS1113" s="1906">
        <f t="shared" si="1096"/>
        <v>0</v>
      </c>
      <c r="CT1113" s="1906">
        <f t="shared" si="1109"/>
        <v>0</v>
      </c>
      <c r="CU1113" s="1906">
        <f t="shared" si="1109"/>
        <v>0</v>
      </c>
      <c r="CV1113" s="1906">
        <f t="shared" si="1109"/>
        <v>0</v>
      </c>
      <c r="CW1113" s="1906">
        <f t="shared" si="1109"/>
        <v>0</v>
      </c>
      <c r="CX1113" s="1906">
        <f t="shared" si="1109"/>
        <v>0</v>
      </c>
      <c r="CY1113" s="1906">
        <f t="shared" si="1109"/>
        <v>0</v>
      </c>
      <c r="CZ1113" s="1906">
        <f t="shared" si="1109"/>
        <v>0</v>
      </c>
      <c r="DA1113" s="1906">
        <f t="shared" si="1109"/>
        <v>0</v>
      </c>
      <c r="DB1113" s="595" t="str">
        <f t="shared" si="1005"/>
        <v>Trigo grano</v>
      </c>
      <c r="DC1113" s="1443">
        <f t="shared" si="1006"/>
        <v>0</v>
      </c>
      <c r="DD1113" s="107"/>
      <c r="DE1113" s="111" t="str">
        <f t="shared" si="1007"/>
        <v>Trigo grano</v>
      </c>
      <c r="DF1113" s="1906">
        <f t="shared" si="1097"/>
        <v>0</v>
      </c>
      <c r="DG1113" s="1906">
        <f t="shared" si="1098"/>
        <v>0</v>
      </c>
      <c r="DH1113" s="1906">
        <f t="shared" si="1099"/>
        <v>0</v>
      </c>
      <c r="DI1113" s="1906">
        <f t="shared" si="1100"/>
        <v>0</v>
      </c>
      <c r="DJ1113" s="1906">
        <f t="shared" si="1101"/>
        <v>0</v>
      </c>
      <c r="DK1113" s="1906">
        <f t="shared" si="1102"/>
        <v>0</v>
      </c>
      <c r="DL1113" s="1906">
        <f t="shared" si="1103"/>
        <v>0</v>
      </c>
      <c r="DM1113" s="1906">
        <f t="shared" si="1104"/>
        <v>0</v>
      </c>
      <c r="DN1113" s="1906">
        <f t="shared" si="1105"/>
        <v>0</v>
      </c>
      <c r="DO1113" s="1906">
        <f t="shared" si="1106"/>
        <v>0</v>
      </c>
      <c r="DP1113" s="1906">
        <f t="shared" si="1107"/>
        <v>0</v>
      </c>
      <c r="DQ1113" s="1906">
        <f t="shared" si="1108"/>
        <v>0</v>
      </c>
    </row>
    <row r="1114" spans="1:121" x14ac:dyDescent="0.2">
      <c r="A1114" s="6"/>
      <c r="C1114" s="1906" t="str">
        <f t="shared" si="1009"/>
        <v/>
      </c>
      <c r="D1114" s="1906" t="str">
        <f t="shared" si="1010"/>
        <v/>
      </c>
      <c r="E1114" s="1906" t="str">
        <f t="shared" si="1011"/>
        <v/>
      </c>
      <c r="F1114" s="1906" t="str">
        <f t="shared" si="1012"/>
        <v/>
      </c>
      <c r="G1114" s="1906" t="str">
        <f t="shared" si="1013"/>
        <v/>
      </c>
      <c r="H1114" s="1906" t="str">
        <f t="shared" si="1014"/>
        <v/>
      </c>
      <c r="I1114" s="1906" t="str">
        <f t="shared" si="1015"/>
        <v/>
      </c>
      <c r="J1114" s="1906" t="str">
        <f t="shared" si="1016"/>
        <v/>
      </c>
      <c r="K1114" s="1906" t="str">
        <f t="shared" si="1017"/>
        <v/>
      </c>
      <c r="L1114" s="1906" t="str">
        <f t="shared" si="1018"/>
        <v/>
      </c>
      <c r="M1114" s="1906" t="str">
        <f t="shared" si="1019"/>
        <v/>
      </c>
      <c r="N1114" s="1906" t="str">
        <f t="shared" si="1020"/>
        <v/>
      </c>
      <c r="P1114" s="1906">
        <f t="shared" si="1021"/>
        <v>0</v>
      </c>
      <c r="Q1114" s="1906">
        <f t="shared" si="1022"/>
        <v>0</v>
      </c>
      <c r="R1114" s="1906">
        <f t="shared" si="1023"/>
        <v>0</v>
      </c>
      <c r="S1114" s="1906">
        <f t="shared" si="1024"/>
        <v>0</v>
      </c>
      <c r="T1114" s="1906">
        <f t="shared" si="1025"/>
        <v>0</v>
      </c>
      <c r="U1114" s="1906">
        <f t="shared" si="1026"/>
        <v>0</v>
      </c>
      <c r="V1114" s="1906">
        <f t="shared" si="1027"/>
        <v>0</v>
      </c>
      <c r="W1114" s="1906">
        <f t="shared" si="1028"/>
        <v>0</v>
      </c>
      <c r="X1114" s="1906">
        <f t="shared" si="1029"/>
        <v>0</v>
      </c>
      <c r="Y1114" s="1906">
        <f t="shared" si="1030"/>
        <v>0</v>
      </c>
      <c r="Z1114" s="1906">
        <f t="shared" si="1031"/>
        <v>0</v>
      </c>
      <c r="AA1114" s="1906">
        <f t="shared" si="1032"/>
        <v>0</v>
      </c>
      <c r="AC1114" s="1906"/>
      <c r="AD1114" s="1906">
        <f t="shared" si="1033"/>
        <v>0</v>
      </c>
      <c r="AE1114" s="1906">
        <f t="shared" si="1034"/>
        <v>0</v>
      </c>
      <c r="AF1114" s="1906">
        <f t="shared" si="1035"/>
        <v>0</v>
      </c>
      <c r="AG1114" s="1906">
        <f t="shared" si="1036"/>
        <v>0</v>
      </c>
      <c r="AH1114" s="1906">
        <f t="shared" si="1037"/>
        <v>0</v>
      </c>
      <c r="AI1114" s="1906">
        <f t="shared" si="1038"/>
        <v>0</v>
      </c>
      <c r="AJ1114" s="1906">
        <f t="shared" si="1039"/>
        <v>0</v>
      </c>
      <c r="AK1114" s="1906">
        <f t="shared" si="1040"/>
        <v>0</v>
      </c>
      <c r="AL1114" s="1906">
        <f t="shared" si="1041"/>
        <v>0</v>
      </c>
      <c r="AM1114" s="1906">
        <f t="shared" si="1042"/>
        <v>0</v>
      </c>
      <c r="AN1114" s="1906">
        <f t="shared" si="1043"/>
        <v>0</v>
      </c>
      <c r="AP1114" s="1906">
        <f t="shared" si="1044"/>
        <v>0</v>
      </c>
      <c r="AQ1114" s="1906">
        <f t="shared" si="1045"/>
        <v>0</v>
      </c>
      <c r="AR1114" s="1906">
        <f t="shared" si="1046"/>
        <v>0</v>
      </c>
      <c r="AS1114" s="1906">
        <f t="shared" si="1047"/>
        <v>0</v>
      </c>
      <c r="AT1114" s="1906">
        <f t="shared" si="1048"/>
        <v>0</v>
      </c>
      <c r="AU1114" s="1906">
        <f t="shared" si="1049"/>
        <v>0</v>
      </c>
      <c r="AV1114" s="1906">
        <f t="shared" si="1050"/>
        <v>0</v>
      </c>
      <c r="AW1114" s="1906">
        <f t="shared" si="1051"/>
        <v>0</v>
      </c>
      <c r="AX1114" s="1906">
        <f t="shared" si="1052"/>
        <v>0</v>
      </c>
      <c r="AY1114" s="1906">
        <f t="shared" si="1053"/>
        <v>0</v>
      </c>
      <c r="AZ1114" s="1906">
        <f t="shared" si="1054"/>
        <v>0</v>
      </c>
      <c r="BA1114" s="1906">
        <f t="shared" si="1055"/>
        <v>0</v>
      </c>
      <c r="BC1114" s="1906">
        <f t="shared" si="1056"/>
        <v>0</v>
      </c>
      <c r="BD1114" s="1906">
        <f t="shared" si="1057"/>
        <v>0</v>
      </c>
      <c r="BE1114" s="1906">
        <f t="shared" si="1058"/>
        <v>0</v>
      </c>
      <c r="BF1114" s="1906">
        <f t="shared" si="1059"/>
        <v>0</v>
      </c>
      <c r="BG1114" s="1906">
        <f t="shared" si="1060"/>
        <v>0</v>
      </c>
      <c r="BH1114" s="1906">
        <f t="shared" si="1061"/>
        <v>0</v>
      </c>
      <c r="BI1114" s="1906">
        <f t="shared" si="1062"/>
        <v>0</v>
      </c>
      <c r="BJ1114" s="1906">
        <f t="shared" si="1063"/>
        <v>0</v>
      </c>
      <c r="BK1114" s="1906">
        <f t="shared" si="1064"/>
        <v>0</v>
      </c>
      <c r="BL1114" s="1906">
        <f t="shared" si="1065"/>
        <v>0</v>
      </c>
      <c r="BM1114" s="1906">
        <f t="shared" si="1066"/>
        <v>0</v>
      </c>
      <c r="BN1114" s="1906">
        <f t="shared" si="1067"/>
        <v>0</v>
      </c>
      <c r="BP1114" s="1906">
        <f t="shared" si="1068"/>
        <v>0</v>
      </c>
      <c r="BQ1114" s="1906">
        <f t="shared" si="1069"/>
        <v>0</v>
      </c>
      <c r="BR1114" s="1906">
        <f t="shared" si="1070"/>
        <v>0</v>
      </c>
      <c r="BS1114" s="1906">
        <f t="shared" si="1071"/>
        <v>0</v>
      </c>
      <c r="BT1114" s="1906">
        <f t="shared" si="1072"/>
        <v>0</v>
      </c>
      <c r="BU1114" s="1906">
        <f t="shared" si="1073"/>
        <v>0</v>
      </c>
      <c r="BV1114" s="1906">
        <f t="shared" si="1074"/>
        <v>0</v>
      </c>
      <c r="BW1114" s="1906">
        <f t="shared" si="1075"/>
        <v>0</v>
      </c>
      <c r="BX1114" s="1906">
        <f t="shared" si="1076"/>
        <v>0</v>
      </c>
      <c r="BY1114" s="1906">
        <f t="shared" si="1077"/>
        <v>0</v>
      </c>
      <c r="BZ1114" s="1906">
        <f t="shared" si="1078"/>
        <v>0</v>
      </c>
      <c r="CA1114" s="1906">
        <f t="shared" si="1079"/>
        <v>0</v>
      </c>
      <c r="CC1114" s="1906">
        <f t="shared" si="1080"/>
        <v>0</v>
      </c>
      <c r="CD1114" s="1906">
        <f t="shared" si="1081"/>
        <v>0</v>
      </c>
      <c r="CE1114" s="1906">
        <f t="shared" si="1082"/>
        <v>0</v>
      </c>
      <c r="CF1114" s="1906">
        <f t="shared" si="1083"/>
        <v>0</v>
      </c>
      <c r="CG1114" s="1906">
        <f t="shared" si="1084"/>
        <v>0</v>
      </c>
      <c r="CH1114" s="1906">
        <f t="shared" si="1085"/>
        <v>0</v>
      </c>
      <c r="CI1114" s="1906">
        <f t="shared" si="1086"/>
        <v>0</v>
      </c>
      <c r="CJ1114" s="1906">
        <f t="shared" si="1087"/>
        <v>0</v>
      </c>
      <c r="CK1114" s="1906">
        <f t="shared" si="1088"/>
        <v>0</v>
      </c>
      <c r="CL1114" s="1906">
        <f t="shared" si="1089"/>
        <v>0</v>
      </c>
      <c r="CM1114" s="1906">
        <f t="shared" si="1090"/>
        <v>0</v>
      </c>
      <c r="CN1114" s="1906">
        <f t="shared" si="1091"/>
        <v>0</v>
      </c>
      <c r="CO1114" s="6" t="str">
        <f t="shared" si="1092"/>
        <v>Cebada grano</v>
      </c>
      <c r="CP1114" s="1906">
        <f t="shared" si="1093"/>
        <v>0</v>
      </c>
      <c r="CQ1114" s="1906">
        <f t="shared" si="1094"/>
        <v>0</v>
      </c>
      <c r="CR1114" s="1906">
        <f t="shared" si="1095"/>
        <v>0</v>
      </c>
      <c r="CS1114" s="1906">
        <f t="shared" si="1096"/>
        <v>0</v>
      </c>
      <c r="CT1114" s="1906">
        <f t="shared" si="1109"/>
        <v>0</v>
      </c>
      <c r="CU1114" s="1906">
        <f t="shared" si="1109"/>
        <v>0</v>
      </c>
      <c r="CV1114" s="1906">
        <f t="shared" si="1109"/>
        <v>0</v>
      </c>
      <c r="CW1114" s="1906">
        <f t="shared" si="1109"/>
        <v>0</v>
      </c>
      <c r="CX1114" s="1906">
        <f t="shared" si="1109"/>
        <v>0</v>
      </c>
      <c r="CY1114" s="1906">
        <f t="shared" si="1109"/>
        <v>0</v>
      </c>
      <c r="CZ1114" s="1906">
        <f t="shared" si="1109"/>
        <v>0</v>
      </c>
      <c r="DA1114" s="1906">
        <f t="shared" si="1109"/>
        <v>0</v>
      </c>
      <c r="DB1114" s="595" t="str">
        <f t="shared" si="1005"/>
        <v>Cebada grano</v>
      </c>
      <c r="DC1114" s="1443">
        <f t="shared" si="1006"/>
        <v>0</v>
      </c>
      <c r="DD1114" s="107"/>
      <c r="DE1114" s="111" t="str">
        <f t="shared" si="1007"/>
        <v>Cebada grano</v>
      </c>
      <c r="DF1114" s="1906">
        <f t="shared" si="1097"/>
        <v>0</v>
      </c>
      <c r="DG1114" s="1906">
        <f t="shared" si="1098"/>
        <v>0</v>
      </c>
      <c r="DH1114" s="1906">
        <f t="shared" si="1099"/>
        <v>0</v>
      </c>
      <c r="DI1114" s="1906">
        <f t="shared" si="1100"/>
        <v>0</v>
      </c>
      <c r="DJ1114" s="1906">
        <f t="shared" si="1101"/>
        <v>0</v>
      </c>
      <c r="DK1114" s="1906">
        <f t="shared" si="1102"/>
        <v>0</v>
      </c>
      <c r="DL1114" s="1906">
        <f t="shared" si="1103"/>
        <v>0</v>
      </c>
      <c r="DM1114" s="1906">
        <f t="shared" si="1104"/>
        <v>0</v>
      </c>
      <c r="DN1114" s="1906">
        <f t="shared" si="1105"/>
        <v>0</v>
      </c>
      <c r="DO1114" s="1906">
        <f t="shared" si="1106"/>
        <v>0</v>
      </c>
      <c r="DP1114" s="1906">
        <f t="shared" si="1107"/>
        <v>0</v>
      </c>
      <c r="DQ1114" s="1906">
        <f t="shared" si="1108"/>
        <v>0</v>
      </c>
    </row>
    <row r="1115" spans="1:121" x14ac:dyDescent="0.2">
      <c r="A1115" s="6"/>
      <c r="C1115" s="1906" t="str">
        <f t="shared" si="1009"/>
        <v/>
      </c>
      <c r="D1115" s="1906" t="str">
        <f t="shared" si="1010"/>
        <v/>
      </c>
      <c r="E1115" s="1906" t="str">
        <f t="shared" si="1011"/>
        <v/>
      </c>
      <c r="F1115" s="1906" t="str">
        <f t="shared" si="1012"/>
        <v/>
      </c>
      <c r="G1115" s="1906" t="str">
        <f t="shared" si="1013"/>
        <v/>
      </c>
      <c r="H1115" s="1906" t="str">
        <f t="shared" si="1014"/>
        <v/>
      </c>
      <c r="I1115" s="1906" t="str">
        <f t="shared" si="1015"/>
        <v/>
      </c>
      <c r="J1115" s="1906" t="str">
        <f t="shared" si="1016"/>
        <v/>
      </c>
      <c r="K1115" s="1906" t="str">
        <f t="shared" si="1017"/>
        <v/>
      </c>
      <c r="L1115" s="1906" t="str">
        <f t="shared" si="1018"/>
        <v/>
      </c>
      <c r="M1115" s="1906" t="str">
        <f t="shared" si="1019"/>
        <v/>
      </c>
      <c r="N1115" s="1906" t="str">
        <f t="shared" si="1020"/>
        <v/>
      </c>
      <c r="P1115" s="1906">
        <f t="shared" si="1021"/>
        <v>0</v>
      </c>
      <c r="Q1115" s="1906">
        <f t="shared" si="1022"/>
        <v>0</v>
      </c>
      <c r="R1115" s="1906">
        <f t="shared" si="1023"/>
        <v>0</v>
      </c>
      <c r="S1115" s="1906">
        <f t="shared" si="1024"/>
        <v>0</v>
      </c>
      <c r="T1115" s="1906">
        <f t="shared" si="1025"/>
        <v>0</v>
      </c>
      <c r="U1115" s="1906">
        <f t="shared" si="1026"/>
        <v>0</v>
      </c>
      <c r="V1115" s="1906">
        <f t="shared" si="1027"/>
        <v>0</v>
      </c>
      <c r="W1115" s="1906">
        <f t="shared" si="1028"/>
        <v>0</v>
      </c>
      <c r="X1115" s="1906">
        <f t="shared" si="1029"/>
        <v>0</v>
      </c>
      <c r="Y1115" s="1906">
        <f t="shared" si="1030"/>
        <v>0</v>
      </c>
      <c r="Z1115" s="1906">
        <f t="shared" si="1031"/>
        <v>0</v>
      </c>
      <c r="AA1115" s="1906">
        <f t="shared" si="1032"/>
        <v>0</v>
      </c>
      <c r="AC1115" s="1906"/>
      <c r="AD1115" s="1906">
        <f t="shared" si="1033"/>
        <v>0</v>
      </c>
      <c r="AE1115" s="1906">
        <f t="shared" si="1034"/>
        <v>0</v>
      </c>
      <c r="AF1115" s="1906">
        <f t="shared" si="1035"/>
        <v>0</v>
      </c>
      <c r="AG1115" s="1906">
        <f t="shared" si="1036"/>
        <v>0</v>
      </c>
      <c r="AH1115" s="1906">
        <f t="shared" si="1037"/>
        <v>0</v>
      </c>
      <c r="AI1115" s="1906">
        <f t="shared" si="1038"/>
        <v>0</v>
      </c>
      <c r="AJ1115" s="1906">
        <f t="shared" si="1039"/>
        <v>0</v>
      </c>
      <c r="AK1115" s="1906">
        <f t="shared" si="1040"/>
        <v>0</v>
      </c>
      <c r="AL1115" s="1906">
        <f t="shared" si="1041"/>
        <v>0</v>
      </c>
      <c r="AM1115" s="1906">
        <f t="shared" si="1042"/>
        <v>0</v>
      </c>
      <c r="AN1115" s="1906">
        <f t="shared" si="1043"/>
        <v>0</v>
      </c>
      <c r="AP1115" s="1906">
        <f t="shared" si="1044"/>
        <v>0</v>
      </c>
      <c r="AQ1115" s="1906">
        <f t="shared" si="1045"/>
        <v>0</v>
      </c>
      <c r="AR1115" s="1906">
        <f t="shared" si="1046"/>
        <v>0</v>
      </c>
      <c r="AS1115" s="1906">
        <f t="shared" si="1047"/>
        <v>0</v>
      </c>
      <c r="AT1115" s="1906">
        <f t="shared" si="1048"/>
        <v>0</v>
      </c>
      <c r="AU1115" s="1906">
        <f t="shared" si="1049"/>
        <v>0</v>
      </c>
      <c r="AV1115" s="1906">
        <f t="shared" si="1050"/>
        <v>0</v>
      </c>
      <c r="AW1115" s="1906">
        <f t="shared" si="1051"/>
        <v>0</v>
      </c>
      <c r="AX1115" s="1906">
        <f t="shared" si="1052"/>
        <v>0</v>
      </c>
      <c r="AY1115" s="1906">
        <f t="shared" si="1053"/>
        <v>0</v>
      </c>
      <c r="AZ1115" s="1906">
        <f t="shared" si="1054"/>
        <v>0</v>
      </c>
      <c r="BA1115" s="1906">
        <f t="shared" si="1055"/>
        <v>0</v>
      </c>
      <c r="BC1115" s="1906">
        <f t="shared" si="1056"/>
        <v>0</v>
      </c>
      <c r="BD1115" s="1906">
        <f t="shared" si="1057"/>
        <v>0</v>
      </c>
      <c r="BE1115" s="1906">
        <f t="shared" si="1058"/>
        <v>0</v>
      </c>
      <c r="BF1115" s="1906">
        <f t="shared" si="1059"/>
        <v>0</v>
      </c>
      <c r="BG1115" s="1906">
        <f t="shared" si="1060"/>
        <v>0</v>
      </c>
      <c r="BH1115" s="1906">
        <f t="shared" si="1061"/>
        <v>0</v>
      </c>
      <c r="BI1115" s="1906">
        <f t="shared" si="1062"/>
        <v>0</v>
      </c>
      <c r="BJ1115" s="1906">
        <f t="shared" si="1063"/>
        <v>0</v>
      </c>
      <c r="BK1115" s="1906">
        <f t="shared" si="1064"/>
        <v>0</v>
      </c>
      <c r="BL1115" s="1906">
        <f t="shared" si="1065"/>
        <v>0</v>
      </c>
      <c r="BM1115" s="1906">
        <f t="shared" si="1066"/>
        <v>0</v>
      </c>
      <c r="BN1115" s="1906">
        <f t="shared" si="1067"/>
        <v>0</v>
      </c>
      <c r="BP1115" s="1906">
        <f t="shared" si="1068"/>
        <v>0</v>
      </c>
      <c r="BQ1115" s="1906">
        <f t="shared" si="1069"/>
        <v>0</v>
      </c>
      <c r="BR1115" s="1906">
        <f t="shared" si="1070"/>
        <v>0</v>
      </c>
      <c r="BS1115" s="1906">
        <f t="shared" si="1071"/>
        <v>0</v>
      </c>
      <c r="BT1115" s="1906">
        <f t="shared" si="1072"/>
        <v>0</v>
      </c>
      <c r="BU1115" s="1906">
        <f t="shared" si="1073"/>
        <v>0</v>
      </c>
      <c r="BV1115" s="1906">
        <f t="shared" si="1074"/>
        <v>0</v>
      </c>
      <c r="BW1115" s="1906">
        <f t="shared" si="1075"/>
        <v>0</v>
      </c>
      <c r="BX1115" s="1906">
        <f t="shared" si="1076"/>
        <v>0</v>
      </c>
      <c r="BY1115" s="1906">
        <f t="shared" si="1077"/>
        <v>0</v>
      </c>
      <c r="BZ1115" s="1906">
        <f t="shared" si="1078"/>
        <v>0</v>
      </c>
      <c r="CA1115" s="1906">
        <f t="shared" si="1079"/>
        <v>0</v>
      </c>
      <c r="CC1115" s="1906">
        <f t="shared" si="1080"/>
        <v>0</v>
      </c>
      <c r="CD1115" s="1906">
        <f t="shared" si="1081"/>
        <v>0</v>
      </c>
      <c r="CE1115" s="1906">
        <f t="shared" si="1082"/>
        <v>0</v>
      </c>
      <c r="CF1115" s="1906">
        <f t="shared" si="1083"/>
        <v>0</v>
      </c>
      <c r="CG1115" s="1906">
        <f t="shared" si="1084"/>
        <v>0</v>
      </c>
      <c r="CH1115" s="1906">
        <f t="shared" si="1085"/>
        <v>0</v>
      </c>
      <c r="CI1115" s="1906">
        <f t="shared" si="1086"/>
        <v>0</v>
      </c>
      <c r="CJ1115" s="1906">
        <f t="shared" si="1087"/>
        <v>0</v>
      </c>
      <c r="CK1115" s="1906">
        <f t="shared" si="1088"/>
        <v>0</v>
      </c>
      <c r="CL1115" s="1906">
        <f t="shared" si="1089"/>
        <v>0</v>
      </c>
      <c r="CM1115" s="1906">
        <f t="shared" si="1090"/>
        <v>0</v>
      </c>
      <c r="CN1115" s="1906">
        <f t="shared" si="1091"/>
        <v>0</v>
      </c>
      <c r="CO1115" s="6" t="str">
        <f t="shared" si="1092"/>
        <v>Avena grano</v>
      </c>
      <c r="CP1115" s="1906">
        <f t="shared" si="1093"/>
        <v>0</v>
      </c>
      <c r="CQ1115" s="1906">
        <f t="shared" si="1094"/>
        <v>0</v>
      </c>
      <c r="CR1115" s="1906">
        <f t="shared" si="1095"/>
        <v>0</v>
      </c>
      <c r="CS1115" s="1906">
        <f t="shared" si="1096"/>
        <v>0</v>
      </c>
      <c r="CT1115" s="1906">
        <f t="shared" si="1109"/>
        <v>0</v>
      </c>
      <c r="CU1115" s="1906">
        <f t="shared" si="1109"/>
        <v>0</v>
      </c>
      <c r="CV1115" s="1906">
        <f t="shared" si="1109"/>
        <v>0</v>
      </c>
      <c r="CW1115" s="1906">
        <f t="shared" si="1109"/>
        <v>0</v>
      </c>
      <c r="CX1115" s="1906">
        <f t="shared" si="1109"/>
        <v>0</v>
      </c>
      <c r="CY1115" s="1906">
        <f t="shared" si="1109"/>
        <v>0</v>
      </c>
      <c r="CZ1115" s="1906">
        <f t="shared" si="1109"/>
        <v>0</v>
      </c>
      <c r="DA1115" s="1906">
        <f t="shared" si="1109"/>
        <v>0</v>
      </c>
      <c r="DB1115" s="595" t="str">
        <f t="shared" si="1005"/>
        <v>Avena grano</v>
      </c>
      <c r="DC1115" s="1443">
        <f t="shared" si="1006"/>
        <v>0</v>
      </c>
      <c r="DD1115" s="107"/>
      <c r="DE1115" s="111" t="str">
        <f t="shared" si="1007"/>
        <v>Avena grano</v>
      </c>
      <c r="DF1115" s="1906">
        <f t="shared" si="1097"/>
        <v>0</v>
      </c>
      <c r="DG1115" s="1906">
        <f t="shared" si="1098"/>
        <v>0</v>
      </c>
      <c r="DH1115" s="1906">
        <f t="shared" si="1099"/>
        <v>0</v>
      </c>
      <c r="DI1115" s="1906">
        <f t="shared" si="1100"/>
        <v>0</v>
      </c>
      <c r="DJ1115" s="1906">
        <f t="shared" si="1101"/>
        <v>0</v>
      </c>
      <c r="DK1115" s="1906">
        <f t="shared" si="1102"/>
        <v>0</v>
      </c>
      <c r="DL1115" s="1906">
        <f t="shared" si="1103"/>
        <v>0</v>
      </c>
      <c r="DM1115" s="1906">
        <f t="shared" si="1104"/>
        <v>0</v>
      </c>
      <c r="DN1115" s="1906">
        <f t="shared" si="1105"/>
        <v>0</v>
      </c>
      <c r="DO1115" s="1906">
        <f t="shared" si="1106"/>
        <v>0</v>
      </c>
      <c r="DP1115" s="1906">
        <f t="shared" si="1107"/>
        <v>0</v>
      </c>
      <c r="DQ1115" s="1906">
        <f t="shared" si="1108"/>
        <v>0</v>
      </c>
    </row>
    <row r="1116" spans="1:121" x14ac:dyDescent="0.2">
      <c r="A1116" s="6"/>
      <c r="C1116" s="1906" t="str">
        <f t="shared" si="1009"/>
        <v/>
      </c>
      <c r="D1116" s="1906" t="str">
        <f t="shared" si="1010"/>
        <v/>
      </c>
      <c r="E1116" s="1906" t="str">
        <f t="shared" si="1011"/>
        <v/>
      </c>
      <c r="F1116" s="1906" t="str">
        <f t="shared" si="1012"/>
        <v/>
      </c>
      <c r="G1116" s="1906" t="str">
        <f t="shared" si="1013"/>
        <v/>
      </c>
      <c r="H1116" s="1906" t="str">
        <f t="shared" si="1014"/>
        <v/>
      </c>
      <c r="I1116" s="1906" t="str">
        <f t="shared" si="1015"/>
        <v/>
      </c>
      <c r="J1116" s="1906" t="str">
        <f t="shared" si="1016"/>
        <v/>
      </c>
      <c r="K1116" s="1906" t="str">
        <f t="shared" si="1017"/>
        <v/>
      </c>
      <c r="L1116" s="1906" t="str">
        <f t="shared" si="1018"/>
        <v/>
      </c>
      <c r="M1116" s="1906" t="str">
        <f t="shared" si="1019"/>
        <v/>
      </c>
      <c r="N1116" s="1906" t="str">
        <f t="shared" si="1020"/>
        <v/>
      </c>
      <c r="P1116" s="1906">
        <f t="shared" si="1021"/>
        <v>0</v>
      </c>
      <c r="Q1116" s="1906">
        <f t="shared" si="1022"/>
        <v>0</v>
      </c>
      <c r="R1116" s="1906">
        <f t="shared" si="1023"/>
        <v>0</v>
      </c>
      <c r="S1116" s="1906">
        <f t="shared" si="1024"/>
        <v>0</v>
      </c>
      <c r="T1116" s="1906">
        <f t="shared" si="1025"/>
        <v>0</v>
      </c>
      <c r="U1116" s="1906">
        <f t="shared" si="1026"/>
        <v>0</v>
      </c>
      <c r="V1116" s="1906">
        <f t="shared" si="1027"/>
        <v>0</v>
      </c>
      <c r="W1116" s="1906">
        <f t="shared" si="1028"/>
        <v>0</v>
      </c>
      <c r="X1116" s="1906">
        <f t="shared" si="1029"/>
        <v>0</v>
      </c>
      <c r="Y1116" s="1906">
        <f t="shared" si="1030"/>
        <v>0</v>
      </c>
      <c r="Z1116" s="1906">
        <f t="shared" si="1031"/>
        <v>0</v>
      </c>
      <c r="AA1116" s="1906">
        <f t="shared" si="1032"/>
        <v>0</v>
      </c>
      <c r="AC1116" s="1906"/>
      <c r="AD1116" s="1906">
        <f t="shared" si="1033"/>
        <v>0</v>
      </c>
      <c r="AE1116" s="1906">
        <f t="shared" si="1034"/>
        <v>0</v>
      </c>
      <c r="AF1116" s="1906">
        <f t="shared" si="1035"/>
        <v>0</v>
      </c>
      <c r="AG1116" s="1906">
        <f t="shared" si="1036"/>
        <v>0</v>
      </c>
      <c r="AH1116" s="1906">
        <f t="shared" si="1037"/>
        <v>0</v>
      </c>
      <c r="AI1116" s="1906">
        <f t="shared" si="1038"/>
        <v>0</v>
      </c>
      <c r="AJ1116" s="1906">
        <f t="shared" si="1039"/>
        <v>0</v>
      </c>
      <c r="AK1116" s="1906">
        <f t="shared" si="1040"/>
        <v>0</v>
      </c>
      <c r="AL1116" s="1906">
        <f t="shared" si="1041"/>
        <v>0</v>
      </c>
      <c r="AM1116" s="1906">
        <f t="shared" si="1042"/>
        <v>0</v>
      </c>
      <c r="AN1116" s="1906">
        <f t="shared" si="1043"/>
        <v>0</v>
      </c>
      <c r="AP1116" s="1906">
        <f t="shared" si="1044"/>
        <v>0</v>
      </c>
      <c r="AQ1116" s="1906">
        <f t="shared" si="1045"/>
        <v>0</v>
      </c>
      <c r="AR1116" s="1906">
        <f t="shared" si="1046"/>
        <v>0</v>
      </c>
      <c r="AS1116" s="1906">
        <f t="shared" si="1047"/>
        <v>0</v>
      </c>
      <c r="AT1116" s="1906">
        <f t="shared" si="1048"/>
        <v>0</v>
      </c>
      <c r="AU1116" s="1906">
        <f t="shared" si="1049"/>
        <v>0</v>
      </c>
      <c r="AV1116" s="1906">
        <f t="shared" si="1050"/>
        <v>0</v>
      </c>
      <c r="AW1116" s="1906">
        <f t="shared" si="1051"/>
        <v>0</v>
      </c>
      <c r="AX1116" s="1906">
        <f t="shared" si="1052"/>
        <v>0</v>
      </c>
      <c r="AY1116" s="1906">
        <f t="shared" si="1053"/>
        <v>0</v>
      </c>
      <c r="AZ1116" s="1906">
        <f t="shared" si="1054"/>
        <v>0</v>
      </c>
      <c r="BA1116" s="1906">
        <f t="shared" si="1055"/>
        <v>0</v>
      </c>
      <c r="BC1116" s="1906">
        <f t="shared" si="1056"/>
        <v>0</v>
      </c>
      <c r="BD1116" s="1906">
        <f t="shared" si="1057"/>
        <v>0</v>
      </c>
      <c r="BE1116" s="1906">
        <f t="shared" si="1058"/>
        <v>0</v>
      </c>
      <c r="BF1116" s="1906">
        <f t="shared" si="1059"/>
        <v>0</v>
      </c>
      <c r="BG1116" s="1906">
        <f t="shared" si="1060"/>
        <v>0</v>
      </c>
      <c r="BH1116" s="1906">
        <f t="shared" si="1061"/>
        <v>0</v>
      </c>
      <c r="BI1116" s="1906">
        <f t="shared" si="1062"/>
        <v>0</v>
      </c>
      <c r="BJ1116" s="1906">
        <f t="shared" si="1063"/>
        <v>0</v>
      </c>
      <c r="BK1116" s="1906">
        <f t="shared" si="1064"/>
        <v>0</v>
      </c>
      <c r="BL1116" s="1906">
        <f t="shared" si="1065"/>
        <v>0</v>
      </c>
      <c r="BM1116" s="1906">
        <f t="shared" si="1066"/>
        <v>0</v>
      </c>
      <c r="BN1116" s="1906">
        <f t="shared" si="1067"/>
        <v>0</v>
      </c>
      <c r="BP1116" s="1906">
        <f t="shared" si="1068"/>
        <v>0</v>
      </c>
      <c r="BQ1116" s="1906">
        <f t="shared" si="1069"/>
        <v>0</v>
      </c>
      <c r="BR1116" s="1906">
        <f t="shared" si="1070"/>
        <v>0</v>
      </c>
      <c r="BS1116" s="1906">
        <f t="shared" si="1071"/>
        <v>0</v>
      </c>
      <c r="BT1116" s="1906">
        <f t="shared" si="1072"/>
        <v>0</v>
      </c>
      <c r="BU1116" s="1906">
        <f t="shared" si="1073"/>
        <v>0</v>
      </c>
      <c r="BV1116" s="1906">
        <f t="shared" si="1074"/>
        <v>0</v>
      </c>
      <c r="BW1116" s="1906">
        <f t="shared" si="1075"/>
        <v>0</v>
      </c>
      <c r="BX1116" s="1906">
        <f t="shared" si="1076"/>
        <v>0</v>
      </c>
      <c r="BY1116" s="1906">
        <f t="shared" si="1077"/>
        <v>0</v>
      </c>
      <c r="BZ1116" s="1906">
        <f t="shared" si="1078"/>
        <v>0</v>
      </c>
      <c r="CA1116" s="1906">
        <f t="shared" si="1079"/>
        <v>0</v>
      </c>
      <c r="CC1116" s="1906">
        <f t="shared" si="1080"/>
        <v>0</v>
      </c>
      <c r="CD1116" s="1906">
        <f t="shared" si="1081"/>
        <v>0</v>
      </c>
      <c r="CE1116" s="1906">
        <f t="shared" si="1082"/>
        <v>0</v>
      </c>
      <c r="CF1116" s="1906">
        <f t="shared" si="1083"/>
        <v>0</v>
      </c>
      <c r="CG1116" s="1906">
        <f t="shared" si="1084"/>
        <v>0</v>
      </c>
      <c r="CH1116" s="1906">
        <f t="shared" si="1085"/>
        <v>0</v>
      </c>
      <c r="CI1116" s="1906">
        <f t="shared" si="1086"/>
        <v>0</v>
      </c>
      <c r="CJ1116" s="1906">
        <f t="shared" si="1087"/>
        <v>0</v>
      </c>
      <c r="CK1116" s="1906">
        <f t="shared" si="1088"/>
        <v>0</v>
      </c>
      <c r="CL1116" s="1906">
        <f t="shared" si="1089"/>
        <v>0</v>
      </c>
      <c r="CM1116" s="1906">
        <f t="shared" si="1090"/>
        <v>0</v>
      </c>
      <c r="CN1116" s="1906">
        <f t="shared" si="1091"/>
        <v>0</v>
      </c>
      <c r="CO1116" s="6" t="str">
        <f t="shared" si="1092"/>
        <v>Colza grano</v>
      </c>
      <c r="CP1116" s="1906">
        <f t="shared" si="1093"/>
        <v>0</v>
      </c>
      <c r="CQ1116" s="1906">
        <f t="shared" si="1094"/>
        <v>0</v>
      </c>
      <c r="CR1116" s="1906">
        <f t="shared" si="1095"/>
        <v>0</v>
      </c>
      <c r="CS1116" s="1906">
        <f t="shared" si="1096"/>
        <v>0</v>
      </c>
      <c r="CT1116" s="1906">
        <f t="shared" si="1109"/>
        <v>0</v>
      </c>
      <c r="CU1116" s="1906">
        <f t="shared" ref="CT1116:DA1120" si="1110">+U1116+AH1116+AU1116+BH1116+BU1116+CH1116</f>
        <v>0</v>
      </c>
      <c r="CV1116" s="1906">
        <f t="shared" si="1110"/>
        <v>0</v>
      </c>
      <c r="CW1116" s="1906">
        <f t="shared" si="1110"/>
        <v>0</v>
      </c>
      <c r="CX1116" s="1906">
        <f t="shared" si="1110"/>
        <v>0</v>
      </c>
      <c r="CY1116" s="1906">
        <f t="shared" si="1110"/>
        <v>0</v>
      </c>
      <c r="CZ1116" s="1906">
        <f t="shared" si="1110"/>
        <v>0</v>
      </c>
      <c r="DA1116" s="1906">
        <f t="shared" si="1110"/>
        <v>0</v>
      </c>
      <c r="DB1116" s="595" t="str">
        <f t="shared" si="1005"/>
        <v>Colza grano</v>
      </c>
      <c r="DC1116" s="1443">
        <f t="shared" si="1006"/>
        <v>0</v>
      </c>
      <c r="DD1116" s="107"/>
      <c r="DE1116" s="111" t="str">
        <f t="shared" si="1007"/>
        <v>Colza grano</v>
      </c>
      <c r="DF1116" s="1906">
        <f t="shared" si="1097"/>
        <v>0</v>
      </c>
      <c r="DG1116" s="1906">
        <f t="shared" si="1098"/>
        <v>0</v>
      </c>
      <c r="DH1116" s="1906">
        <f t="shared" si="1099"/>
        <v>0</v>
      </c>
      <c r="DI1116" s="1906">
        <f t="shared" si="1100"/>
        <v>0</v>
      </c>
      <c r="DJ1116" s="1906">
        <f t="shared" si="1101"/>
        <v>0</v>
      </c>
      <c r="DK1116" s="1906">
        <f t="shared" si="1102"/>
        <v>0</v>
      </c>
      <c r="DL1116" s="1906">
        <f t="shared" si="1103"/>
        <v>0</v>
      </c>
      <c r="DM1116" s="1906">
        <f t="shared" si="1104"/>
        <v>0</v>
      </c>
      <c r="DN1116" s="1906">
        <f t="shared" si="1105"/>
        <v>0</v>
      </c>
      <c r="DO1116" s="1906">
        <f t="shared" si="1106"/>
        <v>0</v>
      </c>
      <c r="DP1116" s="1906">
        <f t="shared" si="1107"/>
        <v>0</v>
      </c>
      <c r="DQ1116" s="1906">
        <f t="shared" si="1108"/>
        <v>0</v>
      </c>
    </row>
    <row r="1117" spans="1:121" x14ac:dyDescent="0.2">
      <c r="A1117" s="6"/>
      <c r="C1117" s="1906" t="str">
        <f t="shared" si="1009"/>
        <v/>
      </c>
      <c r="D1117" s="1906" t="str">
        <f t="shared" si="1010"/>
        <v/>
      </c>
      <c r="E1117" s="1906" t="str">
        <f t="shared" si="1011"/>
        <v/>
      </c>
      <c r="F1117" s="1906" t="str">
        <f t="shared" si="1012"/>
        <v/>
      </c>
      <c r="G1117" s="1906" t="str">
        <f t="shared" si="1013"/>
        <v/>
      </c>
      <c r="H1117" s="1906" t="str">
        <f t="shared" si="1014"/>
        <v/>
      </c>
      <c r="I1117" s="1906" t="str">
        <f t="shared" si="1015"/>
        <v/>
      </c>
      <c r="J1117" s="1906" t="str">
        <f t="shared" si="1016"/>
        <v/>
      </c>
      <c r="K1117" s="1906" t="str">
        <f t="shared" si="1017"/>
        <v/>
      </c>
      <c r="L1117" s="1906" t="str">
        <f t="shared" si="1018"/>
        <v/>
      </c>
      <c r="M1117" s="1906" t="str">
        <f t="shared" si="1019"/>
        <v/>
      </c>
      <c r="N1117" s="1906" t="str">
        <f t="shared" si="1020"/>
        <v/>
      </c>
      <c r="P1117" s="1906">
        <f t="shared" si="1021"/>
        <v>0</v>
      </c>
      <c r="Q1117" s="1906">
        <f t="shared" si="1022"/>
        <v>0</v>
      </c>
      <c r="R1117" s="1906">
        <f t="shared" si="1023"/>
        <v>0</v>
      </c>
      <c r="S1117" s="1906">
        <f t="shared" si="1024"/>
        <v>0</v>
      </c>
      <c r="T1117" s="1906">
        <f t="shared" si="1025"/>
        <v>0</v>
      </c>
      <c r="U1117" s="1906">
        <f t="shared" si="1026"/>
        <v>0</v>
      </c>
      <c r="V1117" s="1906">
        <f t="shared" si="1027"/>
        <v>0</v>
      </c>
      <c r="W1117" s="1906">
        <f t="shared" si="1028"/>
        <v>0</v>
      </c>
      <c r="X1117" s="1906">
        <f t="shared" si="1029"/>
        <v>0</v>
      </c>
      <c r="Y1117" s="1906">
        <f t="shared" si="1030"/>
        <v>0</v>
      </c>
      <c r="Z1117" s="1906">
        <f t="shared" si="1031"/>
        <v>0</v>
      </c>
      <c r="AA1117" s="1906">
        <f t="shared" si="1032"/>
        <v>0</v>
      </c>
      <c r="AC1117" s="1906"/>
      <c r="AD1117" s="1906">
        <f t="shared" si="1033"/>
        <v>0</v>
      </c>
      <c r="AE1117" s="1906">
        <f t="shared" si="1034"/>
        <v>0</v>
      </c>
      <c r="AF1117" s="1906">
        <f t="shared" si="1035"/>
        <v>0</v>
      </c>
      <c r="AG1117" s="1906">
        <f t="shared" si="1036"/>
        <v>0</v>
      </c>
      <c r="AH1117" s="1906">
        <f t="shared" si="1037"/>
        <v>0</v>
      </c>
      <c r="AI1117" s="1906">
        <f t="shared" si="1038"/>
        <v>0</v>
      </c>
      <c r="AJ1117" s="1906">
        <f t="shared" si="1039"/>
        <v>0</v>
      </c>
      <c r="AK1117" s="1906">
        <f t="shared" si="1040"/>
        <v>0</v>
      </c>
      <c r="AL1117" s="1906">
        <f t="shared" si="1041"/>
        <v>0</v>
      </c>
      <c r="AM1117" s="1906">
        <f t="shared" si="1042"/>
        <v>0</v>
      </c>
      <c r="AN1117" s="1906">
        <f t="shared" si="1043"/>
        <v>0</v>
      </c>
      <c r="AP1117" s="1906">
        <f t="shared" si="1044"/>
        <v>0</v>
      </c>
      <c r="AQ1117" s="1906">
        <f t="shared" si="1045"/>
        <v>0</v>
      </c>
      <c r="AR1117" s="1906">
        <f t="shared" si="1046"/>
        <v>0</v>
      </c>
      <c r="AS1117" s="1906">
        <f t="shared" si="1047"/>
        <v>0</v>
      </c>
      <c r="AT1117" s="1906">
        <f t="shared" si="1048"/>
        <v>0</v>
      </c>
      <c r="AU1117" s="1906">
        <f t="shared" si="1049"/>
        <v>0</v>
      </c>
      <c r="AV1117" s="1906">
        <f t="shared" si="1050"/>
        <v>0</v>
      </c>
      <c r="AW1117" s="1906">
        <f t="shared" si="1051"/>
        <v>0</v>
      </c>
      <c r="AX1117" s="1906">
        <f t="shared" si="1052"/>
        <v>0</v>
      </c>
      <c r="AY1117" s="1906">
        <f t="shared" si="1053"/>
        <v>0</v>
      </c>
      <c r="AZ1117" s="1906">
        <f t="shared" si="1054"/>
        <v>0</v>
      </c>
      <c r="BA1117" s="1906">
        <f t="shared" si="1055"/>
        <v>0</v>
      </c>
      <c r="BC1117" s="1906">
        <f t="shared" si="1056"/>
        <v>0</v>
      </c>
      <c r="BD1117" s="1906">
        <f t="shared" si="1057"/>
        <v>0</v>
      </c>
      <c r="BE1117" s="1906">
        <f t="shared" si="1058"/>
        <v>0</v>
      </c>
      <c r="BF1117" s="1906">
        <f t="shared" si="1059"/>
        <v>0</v>
      </c>
      <c r="BG1117" s="1906">
        <f t="shared" si="1060"/>
        <v>0</v>
      </c>
      <c r="BH1117" s="1906">
        <f t="shared" si="1061"/>
        <v>0</v>
      </c>
      <c r="BI1117" s="1906">
        <f t="shared" si="1062"/>
        <v>0</v>
      </c>
      <c r="BJ1117" s="1906">
        <f t="shared" si="1063"/>
        <v>0</v>
      </c>
      <c r="BK1117" s="1906">
        <f t="shared" si="1064"/>
        <v>0</v>
      </c>
      <c r="BL1117" s="1906">
        <f t="shared" si="1065"/>
        <v>0</v>
      </c>
      <c r="BM1117" s="1906">
        <f t="shared" si="1066"/>
        <v>0</v>
      </c>
      <c r="BN1117" s="1906">
        <f t="shared" si="1067"/>
        <v>0</v>
      </c>
      <c r="BP1117" s="1906">
        <f t="shared" si="1068"/>
        <v>0</v>
      </c>
      <c r="BQ1117" s="1906">
        <f t="shared" si="1069"/>
        <v>0</v>
      </c>
      <c r="BR1117" s="1906">
        <f t="shared" si="1070"/>
        <v>0</v>
      </c>
      <c r="BS1117" s="1906">
        <f t="shared" si="1071"/>
        <v>0</v>
      </c>
      <c r="BT1117" s="1906">
        <f t="shared" si="1072"/>
        <v>0</v>
      </c>
      <c r="BU1117" s="1906">
        <f t="shared" si="1073"/>
        <v>0</v>
      </c>
      <c r="BV1117" s="1906">
        <f t="shared" si="1074"/>
        <v>0</v>
      </c>
      <c r="BW1117" s="1906">
        <f t="shared" si="1075"/>
        <v>0</v>
      </c>
      <c r="BX1117" s="1906">
        <f t="shared" si="1076"/>
        <v>0</v>
      </c>
      <c r="BY1117" s="1906">
        <f t="shared" si="1077"/>
        <v>0</v>
      </c>
      <c r="BZ1117" s="1906">
        <f t="shared" si="1078"/>
        <v>0</v>
      </c>
      <c r="CA1117" s="1906">
        <f t="shared" si="1079"/>
        <v>0</v>
      </c>
      <c r="CC1117" s="1906">
        <f t="shared" si="1080"/>
        <v>0</v>
      </c>
      <c r="CD1117" s="1906">
        <f t="shared" si="1081"/>
        <v>0</v>
      </c>
      <c r="CE1117" s="1906">
        <f t="shared" si="1082"/>
        <v>0</v>
      </c>
      <c r="CF1117" s="1906">
        <f t="shared" si="1083"/>
        <v>0</v>
      </c>
      <c r="CG1117" s="1906">
        <f t="shared" si="1084"/>
        <v>0</v>
      </c>
      <c r="CH1117" s="1906">
        <f t="shared" si="1085"/>
        <v>0</v>
      </c>
      <c r="CI1117" s="1906">
        <f t="shared" si="1086"/>
        <v>0</v>
      </c>
      <c r="CJ1117" s="1906">
        <f t="shared" si="1087"/>
        <v>0</v>
      </c>
      <c r="CK1117" s="1906">
        <f t="shared" si="1088"/>
        <v>0</v>
      </c>
      <c r="CL1117" s="1906">
        <f t="shared" si="1089"/>
        <v>0</v>
      </c>
      <c r="CM1117" s="1906">
        <f t="shared" si="1090"/>
        <v>0</v>
      </c>
      <c r="CN1117" s="1906">
        <f t="shared" si="1091"/>
        <v>0</v>
      </c>
      <c r="CO1117" s="6">
        <f t="shared" si="1092"/>
        <v>0</v>
      </c>
      <c r="CP1117" s="1906">
        <f t="shared" si="1093"/>
        <v>0</v>
      </c>
      <c r="CQ1117" s="1906">
        <f t="shared" si="1094"/>
        <v>0</v>
      </c>
      <c r="CR1117" s="1906">
        <f t="shared" si="1095"/>
        <v>0</v>
      </c>
      <c r="CS1117" s="1906">
        <f t="shared" si="1096"/>
        <v>0</v>
      </c>
      <c r="CT1117" s="1906">
        <f t="shared" si="1110"/>
        <v>0</v>
      </c>
      <c r="CU1117" s="1906">
        <f t="shared" si="1110"/>
        <v>0</v>
      </c>
      <c r="CV1117" s="1906">
        <f t="shared" si="1110"/>
        <v>0</v>
      </c>
      <c r="CW1117" s="1906">
        <f t="shared" si="1110"/>
        <v>0</v>
      </c>
      <c r="CX1117" s="1906">
        <f t="shared" si="1110"/>
        <v>0</v>
      </c>
      <c r="CY1117" s="1906">
        <f t="shared" si="1110"/>
        <v>0</v>
      </c>
      <c r="CZ1117" s="1906">
        <f t="shared" si="1110"/>
        <v>0</v>
      </c>
      <c r="DA1117" s="1906">
        <f t="shared" si="1110"/>
        <v>0</v>
      </c>
      <c r="DB1117" s="595">
        <f t="shared" si="1005"/>
        <v>0</v>
      </c>
      <c r="DC1117" s="1443">
        <f t="shared" si="1006"/>
        <v>0</v>
      </c>
      <c r="DD1117" s="107"/>
      <c r="DE1117" s="111">
        <f t="shared" si="1007"/>
        <v>0</v>
      </c>
      <c r="DF1117" s="1906">
        <f t="shared" si="1097"/>
        <v>0</v>
      </c>
      <c r="DG1117" s="1906">
        <f t="shared" si="1098"/>
        <v>0</v>
      </c>
      <c r="DH1117" s="1906">
        <f t="shared" si="1099"/>
        <v>0</v>
      </c>
      <c r="DI1117" s="1906">
        <f t="shared" si="1100"/>
        <v>0</v>
      </c>
      <c r="DJ1117" s="1906">
        <f t="shared" si="1101"/>
        <v>0</v>
      </c>
      <c r="DK1117" s="1906">
        <f t="shared" si="1102"/>
        <v>0</v>
      </c>
      <c r="DL1117" s="1906">
        <f t="shared" si="1103"/>
        <v>0</v>
      </c>
      <c r="DM1117" s="1906">
        <f t="shared" si="1104"/>
        <v>0</v>
      </c>
      <c r="DN1117" s="1906">
        <f t="shared" si="1105"/>
        <v>0</v>
      </c>
      <c r="DO1117" s="1906">
        <f t="shared" si="1106"/>
        <v>0</v>
      </c>
      <c r="DP1117" s="1906">
        <f t="shared" si="1107"/>
        <v>0</v>
      </c>
      <c r="DQ1117" s="1906">
        <f t="shared" si="1108"/>
        <v>0</v>
      </c>
    </row>
    <row r="1118" spans="1:121" x14ac:dyDescent="0.2">
      <c r="A1118" s="6"/>
      <c r="C1118" s="1906" t="str">
        <f>IF(C1047=0,"",$C$982&amp;B1047)</f>
        <v/>
      </c>
      <c r="D1118" s="1906" t="str">
        <f>IF(D1047=0,"",$D$982&amp;B1047)</f>
        <v/>
      </c>
      <c r="E1118" s="1906" t="str">
        <f>IF(E1047=0,"",$E$982&amp;B1047)</f>
        <v/>
      </c>
      <c r="F1118" s="1906" t="str">
        <f>IF(F1047=0,"",$F$982&amp;B1047)</f>
        <v/>
      </c>
      <c r="G1118" s="1906" t="str">
        <f>IF(G1047=0,"",$G$982&amp;B1047)</f>
        <v/>
      </c>
      <c r="H1118" s="1906" t="str">
        <f>IF(H1047=0,"",$H$982&amp;B1047)</f>
        <v/>
      </c>
      <c r="I1118" s="1906" t="str">
        <f>IF(I1047=0,"",$I$982&amp;B1047)</f>
        <v/>
      </c>
      <c r="J1118" s="1906" t="str">
        <f>IF(J1047=0,"",$J$982&amp;B1047)</f>
        <v/>
      </c>
      <c r="K1118" s="1906" t="str">
        <f>IF(K1047=0,"",$K$982&amp;B1047)</f>
        <v/>
      </c>
      <c r="L1118" s="1906" t="str">
        <f>IF(L1047=0,"",$L$982&amp;B1047)</f>
        <v/>
      </c>
      <c r="M1118" s="1906" t="str">
        <f>IF(M1047=0,"",$M$982&amp;B1047)</f>
        <v/>
      </c>
      <c r="N1118" s="1906" t="str">
        <f>IF(N1047=0,"",$N$982&amp;B1047)</f>
        <v/>
      </c>
      <c r="P1118" s="1906">
        <f t="shared" ref="P1118:V1120" si="1111">SUMIF(C$1054:C$1120,"Ago"&amp;$B1047,C$983:C$1049)</f>
        <v>0</v>
      </c>
      <c r="Q1118" s="1906">
        <f t="shared" si="1111"/>
        <v>0</v>
      </c>
      <c r="R1118" s="1906">
        <f t="shared" si="1111"/>
        <v>0</v>
      </c>
      <c r="S1118" s="1906">
        <f t="shared" si="1111"/>
        <v>0</v>
      </c>
      <c r="T1118" s="1906">
        <f t="shared" si="1111"/>
        <v>0</v>
      </c>
      <c r="U1118" s="1906">
        <f t="shared" si="1111"/>
        <v>0</v>
      </c>
      <c r="V1118" s="1906">
        <f t="shared" si="1111"/>
        <v>0</v>
      </c>
      <c r="W1118" s="1906">
        <f t="shared" ref="W1118:AA1120" si="1112">SUMIF(J$1054:J$1120,"Ago"&amp;$B1047,J$983:J$1049)</f>
        <v>0</v>
      </c>
      <c r="X1118" s="1906">
        <f t="shared" si="1112"/>
        <v>0</v>
      </c>
      <c r="Y1118" s="1906">
        <f t="shared" si="1112"/>
        <v>0</v>
      </c>
      <c r="Z1118" s="1906">
        <f t="shared" si="1112"/>
        <v>0</v>
      </c>
      <c r="AA1118" s="1906">
        <f t="shared" si="1112"/>
        <v>0</v>
      </c>
      <c r="AC1118" s="1906"/>
      <c r="AD1118" s="1906">
        <f t="shared" ref="AD1118:AI1120" si="1113">SUMIF(D$1054:D$1120,"set"&amp;$B1047,D$983:D$1049)</f>
        <v>0</v>
      </c>
      <c r="AE1118" s="1906">
        <f t="shared" si="1113"/>
        <v>0</v>
      </c>
      <c r="AF1118" s="1906">
        <f t="shared" si="1113"/>
        <v>0</v>
      </c>
      <c r="AG1118" s="1906">
        <f t="shared" si="1113"/>
        <v>0</v>
      </c>
      <c r="AH1118" s="1906">
        <f t="shared" si="1113"/>
        <v>0</v>
      </c>
      <c r="AI1118" s="1906">
        <f t="shared" si="1113"/>
        <v>0</v>
      </c>
      <c r="AJ1118" s="1906">
        <f t="shared" ref="AJ1118:AN1120" si="1114">SUMIF(J$1054:J$1120,"set"&amp;$B1047,J$983:J$1049)</f>
        <v>0</v>
      </c>
      <c r="AK1118" s="1906">
        <f t="shared" si="1114"/>
        <v>0</v>
      </c>
      <c r="AL1118" s="1906">
        <f t="shared" si="1114"/>
        <v>0</v>
      </c>
      <c r="AM1118" s="1906">
        <f t="shared" si="1114"/>
        <v>0</v>
      </c>
      <c r="AN1118" s="1906">
        <f t="shared" si="1114"/>
        <v>0</v>
      </c>
      <c r="AP1118" s="1906">
        <f t="shared" ref="AP1118:AV1120" si="1115">SUMIF(C$1054:C$1120,"oct"&amp;$B1047,C$983:C$1049)</f>
        <v>0</v>
      </c>
      <c r="AQ1118" s="1906">
        <f t="shared" si="1115"/>
        <v>0</v>
      </c>
      <c r="AR1118" s="1906">
        <f t="shared" si="1115"/>
        <v>0</v>
      </c>
      <c r="AS1118" s="1906">
        <f t="shared" si="1115"/>
        <v>0</v>
      </c>
      <c r="AT1118" s="1906">
        <f t="shared" si="1115"/>
        <v>0</v>
      </c>
      <c r="AU1118" s="1906">
        <f t="shared" si="1115"/>
        <v>0</v>
      </c>
      <c r="AV1118" s="1906">
        <f t="shared" si="1115"/>
        <v>0</v>
      </c>
      <c r="AW1118" s="1906">
        <f t="shared" ref="AW1118:BA1120" si="1116">SUMIF(J$1054:J$1120,"oct"&amp;$B1047,J$983:J$1049)</f>
        <v>0</v>
      </c>
      <c r="AX1118" s="1906">
        <f t="shared" si="1116"/>
        <v>0</v>
      </c>
      <c r="AY1118" s="1906">
        <f t="shared" si="1116"/>
        <v>0</v>
      </c>
      <c r="AZ1118" s="1906">
        <f t="shared" si="1116"/>
        <v>0</v>
      </c>
      <c r="BA1118" s="1906">
        <f t="shared" si="1116"/>
        <v>0</v>
      </c>
      <c r="BC1118" s="1906">
        <f t="shared" ref="BC1118:BI1120" si="1117">SUMIF(C$1054:C$1120,"nov"&amp;$B1047,C$983:C$1049)</f>
        <v>0</v>
      </c>
      <c r="BD1118" s="1906">
        <f t="shared" si="1117"/>
        <v>0</v>
      </c>
      <c r="BE1118" s="1906">
        <f t="shared" si="1117"/>
        <v>0</v>
      </c>
      <c r="BF1118" s="1906">
        <f t="shared" si="1117"/>
        <v>0</v>
      </c>
      <c r="BG1118" s="1906">
        <f t="shared" si="1117"/>
        <v>0</v>
      </c>
      <c r="BH1118" s="1906">
        <f t="shared" si="1117"/>
        <v>0</v>
      </c>
      <c r="BI1118" s="1906">
        <f t="shared" si="1117"/>
        <v>0</v>
      </c>
      <c r="BJ1118" s="1906">
        <f t="shared" ref="BJ1118:BN1120" si="1118">SUMIF(J$1054:J$1120,"nov"&amp;$B1047,J$983:J$1049)</f>
        <v>0</v>
      </c>
      <c r="BK1118" s="1906">
        <f t="shared" si="1118"/>
        <v>0</v>
      </c>
      <c r="BL1118" s="1906">
        <f t="shared" si="1118"/>
        <v>0</v>
      </c>
      <c r="BM1118" s="1906">
        <f t="shared" si="1118"/>
        <v>0</v>
      </c>
      <c r="BN1118" s="1906">
        <f t="shared" si="1118"/>
        <v>0</v>
      </c>
      <c r="BP1118" s="1906">
        <f t="shared" ref="BP1118:BV1120" si="1119">SUMIF(C$1054:C$1120,"dic"&amp;$B1047,C$983:C$1049)</f>
        <v>0</v>
      </c>
      <c r="BQ1118" s="1906">
        <f t="shared" si="1119"/>
        <v>0</v>
      </c>
      <c r="BR1118" s="1906">
        <f t="shared" si="1119"/>
        <v>0</v>
      </c>
      <c r="BS1118" s="1906">
        <f t="shared" si="1119"/>
        <v>0</v>
      </c>
      <c r="BT1118" s="1906">
        <f t="shared" si="1119"/>
        <v>0</v>
      </c>
      <c r="BU1118" s="1906">
        <f t="shared" si="1119"/>
        <v>0</v>
      </c>
      <c r="BV1118" s="1906">
        <f t="shared" si="1119"/>
        <v>0</v>
      </c>
      <c r="BW1118" s="1906">
        <f t="shared" ref="BW1118:CA1120" si="1120">SUMIF(J$1054:J$1120,"dic"&amp;$B1047,J$983:J$1049)</f>
        <v>0</v>
      </c>
      <c r="BX1118" s="1906">
        <f t="shared" si="1120"/>
        <v>0</v>
      </c>
      <c r="BY1118" s="1906">
        <f t="shared" si="1120"/>
        <v>0</v>
      </c>
      <c r="BZ1118" s="1906">
        <f t="shared" si="1120"/>
        <v>0</v>
      </c>
      <c r="CA1118" s="1906">
        <f t="shared" si="1120"/>
        <v>0</v>
      </c>
      <c r="CC1118" s="1906">
        <f t="shared" ref="CC1118:CI1120" si="1121">SUMIF(C$1054:C$1120,"ene"&amp;$B1047,C$983:C$1049)</f>
        <v>0</v>
      </c>
      <c r="CD1118" s="1906">
        <f t="shared" si="1121"/>
        <v>0</v>
      </c>
      <c r="CE1118" s="1906">
        <f t="shared" si="1121"/>
        <v>0</v>
      </c>
      <c r="CF1118" s="1906">
        <f t="shared" si="1121"/>
        <v>0</v>
      </c>
      <c r="CG1118" s="1906">
        <f t="shared" si="1121"/>
        <v>0</v>
      </c>
      <c r="CH1118" s="1906">
        <f t="shared" si="1121"/>
        <v>0</v>
      </c>
      <c r="CI1118" s="1906">
        <f t="shared" si="1121"/>
        <v>0</v>
      </c>
      <c r="CJ1118" s="1906">
        <f t="shared" ref="CJ1118:CN1120" si="1122">SUMIF(J$1054:J$1120,"ene"&amp;$B1047,J$983:J$1049)</f>
        <v>0</v>
      </c>
      <c r="CK1118" s="1906">
        <f t="shared" si="1122"/>
        <v>0</v>
      </c>
      <c r="CL1118" s="1906">
        <f t="shared" si="1122"/>
        <v>0</v>
      </c>
      <c r="CM1118" s="1906">
        <f t="shared" si="1122"/>
        <v>0</v>
      </c>
      <c r="CN1118" s="1906">
        <f t="shared" si="1122"/>
        <v>0</v>
      </c>
      <c r="CO1118" s="6">
        <f>B1047</f>
        <v>0</v>
      </c>
      <c r="CP1118" s="1906">
        <f t="shared" si="1093"/>
        <v>0</v>
      </c>
      <c r="CQ1118" s="1906">
        <f t="shared" si="1094"/>
        <v>0</v>
      </c>
      <c r="CR1118" s="1906">
        <f t="shared" si="1095"/>
        <v>0</v>
      </c>
      <c r="CS1118" s="1906">
        <f t="shared" si="1096"/>
        <v>0</v>
      </c>
      <c r="CT1118" s="1906">
        <f t="shared" si="1110"/>
        <v>0</v>
      </c>
      <c r="CU1118" s="1906">
        <f t="shared" si="1110"/>
        <v>0</v>
      </c>
      <c r="CV1118" s="1906">
        <f t="shared" si="1110"/>
        <v>0</v>
      </c>
      <c r="CW1118" s="1906">
        <f t="shared" si="1110"/>
        <v>0</v>
      </c>
      <c r="CX1118" s="1906">
        <f t="shared" si="1110"/>
        <v>0</v>
      </c>
      <c r="CY1118" s="1906">
        <f t="shared" si="1110"/>
        <v>0</v>
      </c>
      <c r="CZ1118" s="1906">
        <f t="shared" si="1110"/>
        <v>0</v>
      </c>
      <c r="DA1118" s="1906">
        <f t="shared" si="1110"/>
        <v>0</v>
      </c>
      <c r="DB1118" s="595">
        <f t="shared" si="1005"/>
        <v>0</v>
      </c>
      <c r="DC1118" s="1443">
        <f t="shared" si="1006"/>
        <v>0</v>
      </c>
      <c r="DD1118" s="107"/>
      <c r="DE1118" s="111">
        <f t="shared" si="1007"/>
        <v>0</v>
      </c>
      <c r="DF1118" s="1906">
        <f t="shared" ref="DF1118:DQ1120" si="1123">CP1118+DC1265</f>
        <v>0</v>
      </c>
      <c r="DG1118" s="1906">
        <f t="shared" si="1123"/>
        <v>0</v>
      </c>
      <c r="DH1118" s="1906">
        <f t="shared" si="1123"/>
        <v>0</v>
      </c>
      <c r="DI1118" s="1906">
        <f t="shared" si="1123"/>
        <v>0</v>
      </c>
      <c r="DJ1118" s="1906">
        <f t="shared" si="1123"/>
        <v>0</v>
      </c>
      <c r="DK1118" s="1906">
        <f t="shared" si="1123"/>
        <v>0</v>
      </c>
      <c r="DL1118" s="1906">
        <f t="shared" si="1123"/>
        <v>0</v>
      </c>
      <c r="DM1118" s="1906">
        <f t="shared" si="1123"/>
        <v>0</v>
      </c>
      <c r="DN1118" s="1906">
        <f t="shared" si="1123"/>
        <v>0</v>
      </c>
      <c r="DO1118" s="1906">
        <f t="shared" si="1123"/>
        <v>0</v>
      </c>
      <c r="DP1118" s="1906">
        <f t="shared" si="1123"/>
        <v>0</v>
      </c>
      <c r="DQ1118" s="1906">
        <f t="shared" si="1123"/>
        <v>0</v>
      </c>
    </row>
    <row r="1119" spans="1:121" x14ac:dyDescent="0.2">
      <c r="A1119" s="6"/>
      <c r="C1119" s="1906" t="str">
        <f>IF(C1048=0,"",$C$982&amp;B1048)</f>
        <v/>
      </c>
      <c r="D1119" s="1906" t="str">
        <f>IF(D1048=0,"",$D$982&amp;B1048)</f>
        <v/>
      </c>
      <c r="E1119" s="1906" t="str">
        <f>IF(E1048=0,"",$E$982&amp;B1048)</f>
        <v/>
      </c>
      <c r="F1119" s="1906" t="str">
        <f>IF(F1048=0,"",$F$982&amp;B1048)</f>
        <v/>
      </c>
      <c r="G1119" s="1906" t="str">
        <f>IF(G1048=0,"",$G$982&amp;B1048)</f>
        <v/>
      </c>
      <c r="H1119" s="1906" t="str">
        <f>IF(H1048=0,"",$H$982&amp;B1048)</f>
        <v/>
      </c>
      <c r="I1119" s="1906" t="str">
        <f>IF(I1048=0,"",$I$982&amp;B1048)</f>
        <v/>
      </c>
      <c r="J1119" s="1906" t="str">
        <f>IF(J1048=0,"",$J$982&amp;B1048)</f>
        <v/>
      </c>
      <c r="K1119" s="1906" t="str">
        <f>IF(K1048=0,"",$K$982&amp;B1048)</f>
        <v/>
      </c>
      <c r="L1119" s="1906" t="str">
        <f>IF(L1048=0,"",$L$982&amp;B1048)</f>
        <v/>
      </c>
      <c r="M1119" s="1906" t="str">
        <f>IF(M1048=0,"",$M$982&amp;B1048)</f>
        <v/>
      </c>
      <c r="N1119" s="1906" t="str">
        <f>IF(N1048=0,"",$N$982&amp;B1048)</f>
        <v/>
      </c>
      <c r="P1119" s="1906">
        <f t="shared" si="1111"/>
        <v>0</v>
      </c>
      <c r="Q1119" s="1906">
        <f t="shared" si="1111"/>
        <v>0</v>
      </c>
      <c r="R1119" s="1906">
        <f t="shared" si="1111"/>
        <v>0</v>
      </c>
      <c r="S1119" s="1906">
        <f t="shared" si="1111"/>
        <v>0</v>
      </c>
      <c r="T1119" s="1906">
        <f t="shared" si="1111"/>
        <v>0</v>
      </c>
      <c r="U1119" s="1906">
        <f t="shared" si="1111"/>
        <v>0</v>
      </c>
      <c r="V1119" s="1906">
        <f t="shared" si="1111"/>
        <v>0</v>
      </c>
      <c r="W1119" s="1906">
        <f t="shared" si="1112"/>
        <v>0</v>
      </c>
      <c r="X1119" s="1906">
        <f t="shared" si="1112"/>
        <v>0</v>
      </c>
      <c r="Y1119" s="1906">
        <f t="shared" si="1112"/>
        <v>0</v>
      </c>
      <c r="Z1119" s="1906">
        <f t="shared" si="1112"/>
        <v>0</v>
      </c>
      <c r="AA1119" s="1906">
        <f t="shared" si="1112"/>
        <v>0</v>
      </c>
      <c r="AC1119" s="1906"/>
      <c r="AD1119" s="1906">
        <f t="shared" si="1113"/>
        <v>0</v>
      </c>
      <c r="AE1119" s="1906">
        <f t="shared" si="1113"/>
        <v>0</v>
      </c>
      <c r="AF1119" s="1906">
        <f t="shared" si="1113"/>
        <v>0</v>
      </c>
      <c r="AG1119" s="1906">
        <f t="shared" si="1113"/>
        <v>0</v>
      </c>
      <c r="AH1119" s="1906">
        <f t="shared" si="1113"/>
        <v>0</v>
      </c>
      <c r="AI1119" s="1906">
        <f t="shared" si="1113"/>
        <v>0</v>
      </c>
      <c r="AJ1119" s="1906">
        <f t="shared" si="1114"/>
        <v>0</v>
      </c>
      <c r="AK1119" s="1906">
        <f t="shared" si="1114"/>
        <v>0</v>
      </c>
      <c r="AL1119" s="1906">
        <f t="shared" si="1114"/>
        <v>0</v>
      </c>
      <c r="AM1119" s="1906">
        <f t="shared" si="1114"/>
        <v>0</v>
      </c>
      <c r="AN1119" s="1906">
        <f t="shared" si="1114"/>
        <v>0</v>
      </c>
      <c r="AP1119" s="1906">
        <f t="shared" si="1115"/>
        <v>0</v>
      </c>
      <c r="AQ1119" s="1906">
        <f t="shared" si="1115"/>
        <v>0</v>
      </c>
      <c r="AR1119" s="1906">
        <f t="shared" si="1115"/>
        <v>0</v>
      </c>
      <c r="AS1119" s="1906">
        <f t="shared" si="1115"/>
        <v>0</v>
      </c>
      <c r="AT1119" s="1906">
        <f t="shared" si="1115"/>
        <v>0</v>
      </c>
      <c r="AU1119" s="1906">
        <f t="shared" si="1115"/>
        <v>0</v>
      </c>
      <c r="AV1119" s="1906">
        <f t="shared" si="1115"/>
        <v>0</v>
      </c>
      <c r="AW1119" s="1906">
        <f t="shared" si="1116"/>
        <v>0</v>
      </c>
      <c r="AX1119" s="1906">
        <f t="shared" si="1116"/>
        <v>0</v>
      </c>
      <c r="AY1119" s="1906">
        <f t="shared" si="1116"/>
        <v>0</v>
      </c>
      <c r="AZ1119" s="1906">
        <f t="shared" si="1116"/>
        <v>0</v>
      </c>
      <c r="BA1119" s="1906">
        <f t="shared" si="1116"/>
        <v>0</v>
      </c>
      <c r="BC1119" s="1906">
        <f t="shared" si="1117"/>
        <v>0</v>
      </c>
      <c r="BD1119" s="1906">
        <f t="shared" si="1117"/>
        <v>0</v>
      </c>
      <c r="BE1119" s="1906">
        <f t="shared" si="1117"/>
        <v>0</v>
      </c>
      <c r="BF1119" s="1906">
        <f t="shared" si="1117"/>
        <v>0</v>
      </c>
      <c r="BG1119" s="1906">
        <f t="shared" si="1117"/>
        <v>0</v>
      </c>
      <c r="BH1119" s="1906">
        <f t="shared" si="1117"/>
        <v>0</v>
      </c>
      <c r="BI1119" s="1906">
        <f t="shared" si="1117"/>
        <v>0</v>
      </c>
      <c r="BJ1119" s="1906">
        <f t="shared" si="1118"/>
        <v>0</v>
      </c>
      <c r="BK1119" s="1906">
        <f t="shared" si="1118"/>
        <v>0</v>
      </c>
      <c r="BL1119" s="1906">
        <f t="shared" si="1118"/>
        <v>0</v>
      </c>
      <c r="BM1119" s="1906">
        <f t="shared" si="1118"/>
        <v>0</v>
      </c>
      <c r="BN1119" s="1906">
        <f t="shared" si="1118"/>
        <v>0</v>
      </c>
      <c r="BP1119" s="1906">
        <f t="shared" si="1119"/>
        <v>0</v>
      </c>
      <c r="BQ1119" s="1906">
        <f t="shared" si="1119"/>
        <v>0</v>
      </c>
      <c r="BR1119" s="1906">
        <f t="shared" si="1119"/>
        <v>0</v>
      </c>
      <c r="BS1119" s="1906">
        <f t="shared" si="1119"/>
        <v>0</v>
      </c>
      <c r="BT1119" s="1906">
        <f t="shared" si="1119"/>
        <v>0</v>
      </c>
      <c r="BU1119" s="1906">
        <f t="shared" si="1119"/>
        <v>0</v>
      </c>
      <c r="BV1119" s="1906">
        <f t="shared" si="1119"/>
        <v>0</v>
      </c>
      <c r="BW1119" s="1906">
        <f t="shared" si="1120"/>
        <v>0</v>
      </c>
      <c r="BX1119" s="1906">
        <f t="shared" si="1120"/>
        <v>0</v>
      </c>
      <c r="BY1119" s="1906">
        <f t="shared" si="1120"/>
        <v>0</v>
      </c>
      <c r="BZ1119" s="1906">
        <f t="shared" si="1120"/>
        <v>0</v>
      </c>
      <c r="CA1119" s="1906">
        <f t="shared" si="1120"/>
        <v>0</v>
      </c>
      <c r="CC1119" s="1906">
        <f t="shared" si="1121"/>
        <v>0</v>
      </c>
      <c r="CD1119" s="1906">
        <f t="shared" si="1121"/>
        <v>0</v>
      </c>
      <c r="CE1119" s="1906">
        <f t="shared" si="1121"/>
        <v>0</v>
      </c>
      <c r="CF1119" s="1906">
        <f t="shared" si="1121"/>
        <v>0</v>
      </c>
      <c r="CG1119" s="1906">
        <f t="shared" si="1121"/>
        <v>0</v>
      </c>
      <c r="CH1119" s="1906">
        <f t="shared" si="1121"/>
        <v>0</v>
      </c>
      <c r="CI1119" s="1906">
        <f t="shared" si="1121"/>
        <v>0</v>
      </c>
      <c r="CJ1119" s="1906">
        <f t="shared" si="1122"/>
        <v>0</v>
      </c>
      <c r="CK1119" s="1906">
        <f t="shared" si="1122"/>
        <v>0</v>
      </c>
      <c r="CL1119" s="1906">
        <f t="shared" si="1122"/>
        <v>0</v>
      </c>
      <c r="CM1119" s="1906">
        <f t="shared" si="1122"/>
        <v>0</v>
      </c>
      <c r="CN1119" s="1906">
        <f t="shared" si="1122"/>
        <v>0</v>
      </c>
      <c r="CO1119" s="6">
        <f>B1048</f>
        <v>0</v>
      </c>
      <c r="CP1119" s="1906">
        <f t="shared" si="1093"/>
        <v>0</v>
      </c>
      <c r="CQ1119" s="1906">
        <f t="shared" si="1094"/>
        <v>0</v>
      </c>
      <c r="CR1119" s="1906">
        <f t="shared" si="1095"/>
        <v>0</v>
      </c>
      <c r="CS1119" s="1906">
        <f t="shared" si="1096"/>
        <v>0</v>
      </c>
      <c r="CT1119" s="1906">
        <f t="shared" si="1110"/>
        <v>0</v>
      </c>
      <c r="CU1119" s="1906">
        <f t="shared" si="1110"/>
        <v>0</v>
      </c>
      <c r="CV1119" s="1906">
        <f t="shared" si="1110"/>
        <v>0</v>
      </c>
      <c r="CW1119" s="1906">
        <f t="shared" si="1110"/>
        <v>0</v>
      </c>
      <c r="CX1119" s="1906">
        <f t="shared" si="1110"/>
        <v>0</v>
      </c>
      <c r="CY1119" s="1906">
        <f t="shared" si="1110"/>
        <v>0</v>
      </c>
      <c r="CZ1119" s="1906">
        <f t="shared" si="1110"/>
        <v>0</v>
      </c>
      <c r="DA1119" s="1906">
        <f t="shared" si="1110"/>
        <v>0</v>
      </c>
      <c r="DB1119" s="595">
        <f>CO1119</f>
        <v>0</v>
      </c>
      <c r="DC1119" s="1443">
        <f>SUM(CP1119:DA1119)</f>
        <v>0</v>
      </c>
      <c r="DD1119" s="107"/>
      <c r="DE1119" s="111">
        <f>DB1119</f>
        <v>0</v>
      </c>
      <c r="DF1119" s="1906">
        <f t="shared" si="1123"/>
        <v>0</v>
      </c>
      <c r="DG1119" s="1906">
        <f t="shared" si="1123"/>
        <v>0</v>
      </c>
      <c r="DH1119" s="1906">
        <f t="shared" si="1123"/>
        <v>0</v>
      </c>
      <c r="DI1119" s="1906">
        <f t="shared" si="1123"/>
        <v>0</v>
      </c>
      <c r="DJ1119" s="1906">
        <f t="shared" si="1123"/>
        <v>0</v>
      </c>
      <c r="DK1119" s="1906">
        <f t="shared" si="1123"/>
        <v>0</v>
      </c>
      <c r="DL1119" s="1906">
        <f t="shared" si="1123"/>
        <v>0</v>
      </c>
      <c r="DM1119" s="1906">
        <f t="shared" si="1123"/>
        <v>0</v>
      </c>
      <c r="DN1119" s="1906">
        <f t="shared" si="1123"/>
        <v>0</v>
      </c>
      <c r="DO1119" s="1906">
        <f t="shared" si="1123"/>
        <v>0</v>
      </c>
      <c r="DP1119" s="1906">
        <f t="shared" si="1123"/>
        <v>0</v>
      </c>
      <c r="DQ1119" s="1906">
        <f t="shared" si="1123"/>
        <v>0</v>
      </c>
    </row>
    <row r="1120" spans="1:121" x14ac:dyDescent="0.2">
      <c r="A1120" s="6"/>
      <c r="C1120" s="1906" t="str">
        <f>IF(C1049=0,"",$C$982&amp;B1049)</f>
        <v/>
      </c>
      <c r="D1120" s="1906" t="str">
        <f>IF(D1049=0,"",$D$982&amp;B1049)</f>
        <v/>
      </c>
      <c r="E1120" s="1906" t="str">
        <f>IF(E1049=0,"",$E$982&amp;B1049)</f>
        <v/>
      </c>
      <c r="F1120" s="1906" t="str">
        <f>IF(F1049=0,"",$F$982&amp;B1049)</f>
        <v/>
      </c>
      <c r="G1120" s="1906" t="str">
        <f>IF(G1049=0,"",$G$982&amp;B1049)</f>
        <v/>
      </c>
      <c r="H1120" s="1906" t="str">
        <f>IF(H1049=0,"",$H$982&amp;B1049)</f>
        <v/>
      </c>
      <c r="I1120" s="1906" t="str">
        <f>IF(I1049=0,"",$I$982&amp;B1049)</f>
        <v/>
      </c>
      <c r="J1120" s="1906" t="str">
        <f>IF(J1049=0,"",$J$982&amp;B1049)</f>
        <v/>
      </c>
      <c r="K1120" s="1906" t="str">
        <f>IF(K1049=0,"",$K$982&amp;B1049)</f>
        <v/>
      </c>
      <c r="L1120" s="1906" t="str">
        <f>IF(L1049=0,"",$L$982&amp;B1049)</f>
        <v/>
      </c>
      <c r="M1120" s="1906" t="str">
        <f>IF(M1049=0,"",$M$982&amp;B1049)</f>
        <v/>
      </c>
      <c r="N1120" s="1906" t="str">
        <f>IF(N1049=0,"",$N$982&amp;B1049)</f>
        <v/>
      </c>
      <c r="P1120" s="1906">
        <f t="shared" si="1111"/>
        <v>0</v>
      </c>
      <c r="Q1120" s="1906">
        <f t="shared" si="1111"/>
        <v>0</v>
      </c>
      <c r="R1120" s="1906">
        <f t="shared" si="1111"/>
        <v>0</v>
      </c>
      <c r="S1120" s="1906">
        <f t="shared" si="1111"/>
        <v>0</v>
      </c>
      <c r="T1120" s="1906">
        <f t="shared" si="1111"/>
        <v>0</v>
      </c>
      <c r="U1120" s="1906">
        <f t="shared" si="1111"/>
        <v>0</v>
      </c>
      <c r="V1120" s="1906">
        <f t="shared" si="1111"/>
        <v>0</v>
      </c>
      <c r="W1120" s="1906">
        <f t="shared" si="1112"/>
        <v>0</v>
      </c>
      <c r="X1120" s="1906">
        <f t="shared" si="1112"/>
        <v>0</v>
      </c>
      <c r="Y1120" s="1906">
        <f t="shared" si="1112"/>
        <v>0</v>
      </c>
      <c r="Z1120" s="1906">
        <f t="shared" si="1112"/>
        <v>0</v>
      </c>
      <c r="AA1120" s="1906">
        <f t="shared" si="1112"/>
        <v>0</v>
      </c>
      <c r="AC1120" s="1906"/>
      <c r="AD1120" s="1906">
        <f t="shared" si="1113"/>
        <v>0</v>
      </c>
      <c r="AE1120" s="1906">
        <f t="shared" si="1113"/>
        <v>0</v>
      </c>
      <c r="AF1120" s="1906">
        <f t="shared" si="1113"/>
        <v>0</v>
      </c>
      <c r="AG1120" s="1906">
        <f t="shared" si="1113"/>
        <v>0</v>
      </c>
      <c r="AH1120" s="1906">
        <f t="shared" si="1113"/>
        <v>0</v>
      </c>
      <c r="AI1120" s="1906">
        <f t="shared" si="1113"/>
        <v>0</v>
      </c>
      <c r="AJ1120" s="1906">
        <f t="shared" si="1114"/>
        <v>0</v>
      </c>
      <c r="AK1120" s="1906">
        <f t="shared" si="1114"/>
        <v>0</v>
      </c>
      <c r="AL1120" s="1906">
        <f t="shared" si="1114"/>
        <v>0</v>
      </c>
      <c r="AM1120" s="1906">
        <f t="shared" si="1114"/>
        <v>0</v>
      </c>
      <c r="AN1120" s="1906">
        <f t="shared" si="1114"/>
        <v>0</v>
      </c>
      <c r="AP1120" s="1906">
        <f t="shared" si="1115"/>
        <v>0</v>
      </c>
      <c r="AQ1120" s="1906">
        <f t="shared" si="1115"/>
        <v>0</v>
      </c>
      <c r="AR1120" s="1906">
        <f t="shared" si="1115"/>
        <v>0</v>
      </c>
      <c r="AS1120" s="1906">
        <f t="shared" si="1115"/>
        <v>0</v>
      </c>
      <c r="AT1120" s="1906">
        <f t="shared" si="1115"/>
        <v>0</v>
      </c>
      <c r="AU1120" s="1906">
        <f t="shared" si="1115"/>
        <v>0</v>
      </c>
      <c r="AV1120" s="1906">
        <f t="shared" si="1115"/>
        <v>0</v>
      </c>
      <c r="AW1120" s="1906">
        <f t="shared" si="1116"/>
        <v>0</v>
      </c>
      <c r="AX1120" s="1906">
        <f t="shared" si="1116"/>
        <v>0</v>
      </c>
      <c r="AY1120" s="1906">
        <f t="shared" si="1116"/>
        <v>0</v>
      </c>
      <c r="AZ1120" s="1906">
        <f t="shared" si="1116"/>
        <v>0</v>
      </c>
      <c r="BA1120" s="1906">
        <f t="shared" si="1116"/>
        <v>0</v>
      </c>
      <c r="BC1120" s="1906">
        <f t="shared" si="1117"/>
        <v>0</v>
      </c>
      <c r="BD1120" s="1906">
        <f t="shared" si="1117"/>
        <v>0</v>
      </c>
      <c r="BE1120" s="1906">
        <f t="shared" si="1117"/>
        <v>0</v>
      </c>
      <c r="BF1120" s="1906">
        <f t="shared" si="1117"/>
        <v>0</v>
      </c>
      <c r="BG1120" s="1906">
        <f t="shared" si="1117"/>
        <v>0</v>
      </c>
      <c r="BH1120" s="1906">
        <f t="shared" si="1117"/>
        <v>0</v>
      </c>
      <c r="BI1120" s="1906">
        <f t="shared" si="1117"/>
        <v>0</v>
      </c>
      <c r="BJ1120" s="1906">
        <f t="shared" si="1118"/>
        <v>0</v>
      </c>
      <c r="BK1120" s="1906">
        <f t="shared" si="1118"/>
        <v>0</v>
      </c>
      <c r="BL1120" s="1906">
        <f t="shared" si="1118"/>
        <v>0</v>
      </c>
      <c r="BM1120" s="1906">
        <f t="shared" si="1118"/>
        <v>0</v>
      </c>
      <c r="BN1120" s="1906">
        <f t="shared" si="1118"/>
        <v>0</v>
      </c>
      <c r="BP1120" s="1906">
        <f t="shared" si="1119"/>
        <v>0</v>
      </c>
      <c r="BQ1120" s="1906">
        <f t="shared" si="1119"/>
        <v>0</v>
      </c>
      <c r="BR1120" s="1906">
        <f t="shared" si="1119"/>
        <v>0</v>
      </c>
      <c r="BS1120" s="1906">
        <f t="shared" si="1119"/>
        <v>0</v>
      </c>
      <c r="BT1120" s="1906">
        <f t="shared" si="1119"/>
        <v>0</v>
      </c>
      <c r="BU1120" s="1906">
        <f t="shared" si="1119"/>
        <v>0</v>
      </c>
      <c r="BV1120" s="1906">
        <f t="shared" si="1119"/>
        <v>0</v>
      </c>
      <c r="BW1120" s="1906">
        <f t="shared" si="1120"/>
        <v>0</v>
      </c>
      <c r="BX1120" s="1906">
        <f t="shared" si="1120"/>
        <v>0</v>
      </c>
      <c r="BY1120" s="1906">
        <f t="shared" si="1120"/>
        <v>0</v>
      </c>
      <c r="BZ1120" s="1906">
        <f t="shared" si="1120"/>
        <v>0</v>
      </c>
      <c r="CA1120" s="1906">
        <f t="shared" si="1120"/>
        <v>0</v>
      </c>
      <c r="CC1120" s="1906">
        <f t="shared" si="1121"/>
        <v>0</v>
      </c>
      <c r="CD1120" s="1906">
        <f t="shared" si="1121"/>
        <v>0</v>
      </c>
      <c r="CE1120" s="1906">
        <f t="shared" si="1121"/>
        <v>0</v>
      </c>
      <c r="CF1120" s="1906">
        <f t="shared" si="1121"/>
        <v>0</v>
      </c>
      <c r="CG1120" s="1906">
        <f t="shared" si="1121"/>
        <v>0</v>
      </c>
      <c r="CH1120" s="1906">
        <f t="shared" si="1121"/>
        <v>0</v>
      </c>
      <c r="CI1120" s="1906">
        <f t="shared" si="1121"/>
        <v>0</v>
      </c>
      <c r="CJ1120" s="1906">
        <f t="shared" si="1122"/>
        <v>0</v>
      </c>
      <c r="CK1120" s="1906">
        <f t="shared" si="1122"/>
        <v>0</v>
      </c>
      <c r="CL1120" s="1906">
        <f t="shared" si="1122"/>
        <v>0</v>
      </c>
      <c r="CM1120" s="1906">
        <f t="shared" si="1122"/>
        <v>0</v>
      </c>
      <c r="CN1120" s="1906">
        <f t="shared" si="1122"/>
        <v>0</v>
      </c>
      <c r="CO1120" s="6">
        <f>B1049</f>
        <v>0</v>
      </c>
      <c r="CP1120" s="1906">
        <f t="shared" si="1093"/>
        <v>0</v>
      </c>
      <c r="CQ1120" s="1906">
        <f t="shared" si="1094"/>
        <v>0</v>
      </c>
      <c r="CR1120" s="1906">
        <f t="shared" si="1095"/>
        <v>0</v>
      </c>
      <c r="CS1120" s="1906">
        <f t="shared" si="1096"/>
        <v>0</v>
      </c>
      <c r="CT1120" s="1906">
        <f t="shared" si="1110"/>
        <v>0</v>
      </c>
      <c r="CU1120" s="1906">
        <f t="shared" si="1110"/>
        <v>0</v>
      </c>
      <c r="CV1120" s="1906">
        <f t="shared" si="1110"/>
        <v>0</v>
      </c>
      <c r="CW1120" s="1906">
        <f t="shared" si="1110"/>
        <v>0</v>
      </c>
      <c r="CX1120" s="1906">
        <f t="shared" si="1110"/>
        <v>0</v>
      </c>
      <c r="CY1120" s="1906">
        <f t="shared" si="1110"/>
        <v>0</v>
      </c>
      <c r="CZ1120" s="1906">
        <f t="shared" si="1110"/>
        <v>0</v>
      </c>
      <c r="DA1120" s="1906">
        <f t="shared" si="1110"/>
        <v>0</v>
      </c>
      <c r="DB1120" s="595">
        <f>CO1120</f>
        <v>0</v>
      </c>
      <c r="DC1120" s="1443">
        <f>SUM(CP1120:DA1120)</f>
        <v>0</v>
      </c>
      <c r="DD1120" s="107"/>
      <c r="DE1120" s="111">
        <f>DB1120</f>
        <v>0</v>
      </c>
      <c r="DF1120" s="1906">
        <f t="shared" si="1123"/>
        <v>0</v>
      </c>
      <c r="DG1120" s="1906">
        <f t="shared" si="1123"/>
        <v>0</v>
      </c>
      <c r="DH1120" s="1906">
        <f t="shared" si="1123"/>
        <v>0</v>
      </c>
      <c r="DI1120" s="1906">
        <f t="shared" si="1123"/>
        <v>0</v>
      </c>
      <c r="DJ1120" s="1906">
        <f t="shared" si="1123"/>
        <v>0</v>
      </c>
      <c r="DK1120" s="1906">
        <f t="shared" si="1123"/>
        <v>0</v>
      </c>
      <c r="DL1120" s="1906">
        <f t="shared" si="1123"/>
        <v>0</v>
      </c>
      <c r="DM1120" s="1906">
        <f t="shared" si="1123"/>
        <v>0</v>
      </c>
      <c r="DN1120" s="1906">
        <f t="shared" si="1123"/>
        <v>0</v>
      </c>
      <c r="DO1120" s="1906">
        <f t="shared" si="1123"/>
        <v>0</v>
      </c>
      <c r="DP1120" s="1906">
        <f t="shared" si="1123"/>
        <v>0</v>
      </c>
      <c r="DQ1120" s="1906">
        <f t="shared" si="1123"/>
        <v>0</v>
      </c>
    </row>
    <row r="1121" spans="1:119" x14ac:dyDescent="0.2">
      <c r="A1121" s="6"/>
      <c r="P1121" s="6"/>
      <c r="Q1121" s="6"/>
      <c r="S1121" s="6"/>
      <c r="DN1121" s="6">
        <v>118</v>
      </c>
      <c r="DO1121" s="6">
        <f>SUM(CP1054:DA1120)</f>
        <v>0</v>
      </c>
    </row>
    <row r="1122" spans="1:119" x14ac:dyDescent="0.2">
      <c r="A1122" s="6"/>
      <c r="P1122" s="6"/>
      <c r="Q1122" s="6"/>
      <c r="S1122" s="6"/>
    </row>
    <row r="1123" spans="1:119" x14ac:dyDescent="0.2">
      <c r="A1123" s="6"/>
      <c r="B1123" s="960"/>
      <c r="C1123" s="961"/>
      <c r="D1123" s="961"/>
      <c r="E1123" s="961"/>
      <c r="F1123" s="961"/>
      <c r="G1123" s="961"/>
      <c r="H1123" s="2021" t="s">
        <v>1023</v>
      </c>
      <c r="I1123" s="961"/>
      <c r="J1123" s="961"/>
      <c r="K1123" s="961"/>
      <c r="L1123" s="961"/>
      <c r="M1123" s="961"/>
      <c r="N1123" s="961"/>
      <c r="O1123" s="961"/>
      <c r="P1123" s="961"/>
      <c r="Q1123" s="961"/>
      <c r="R1123" s="961"/>
      <c r="S1123" s="961"/>
      <c r="T1123" s="961"/>
      <c r="U1123" s="2021" t="s">
        <v>1023</v>
      </c>
      <c r="V1123" s="961"/>
      <c r="W1123" s="961"/>
      <c r="X1123" s="961"/>
      <c r="Y1123" s="961"/>
      <c r="Z1123" s="961"/>
      <c r="AA1123" s="961"/>
      <c r="AB1123" s="961"/>
      <c r="AC1123" s="961"/>
      <c r="AD1123" s="961"/>
      <c r="AE1123" s="961"/>
      <c r="AF1123" s="961"/>
      <c r="AG1123" s="961"/>
      <c r="AH1123" s="2021" t="s">
        <v>1023</v>
      </c>
      <c r="AI1123" s="961"/>
      <c r="AJ1123" s="961"/>
      <c r="AK1123" s="961"/>
      <c r="AL1123" s="961"/>
      <c r="AM1123" s="961"/>
      <c r="AN1123" s="958"/>
      <c r="AO1123" s="958"/>
      <c r="AP1123" s="958"/>
      <c r="AQ1123" s="958"/>
      <c r="AR1123" s="958"/>
      <c r="AS1123" s="958"/>
      <c r="AT1123" s="958"/>
      <c r="AU1123" s="2021" t="s">
        <v>1023</v>
      </c>
      <c r="AV1123" s="958"/>
      <c r="AW1123" s="958"/>
      <c r="AX1123" s="958"/>
      <c r="AY1123" s="958"/>
      <c r="AZ1123" s="958"/>
      <c r="BA1123" s="958"/>
      <c r="BB1123" s="958"/>
      <c r="BC1123" s="958"/>
      <c r="BD1123" s="958"/>
      <c r="BE1123" s="958"/>
      <c r="BF1123" s="958"/>
      <c r="BG1123" s="958"/>
      <c r="BH1123" s="2021" t="s">
        <v>1023</v>
      </c>
      <c r="BI1123" s="958"/>
      <c r="BJ1123" s="958"/>
      <c r="BK1123" s="958"/>
      <c r="BL1123" s="958"/>
      <c r="BM1123" s="958"/>
      <c r="BN1123" s="958"/>
      <c r="BO1123" s="958"/>
      <c r="BP1123" s="958"/>
      <c r="BQ1123" s="958"/>
      <c r="BR1123" s="958"/>
      <c r="BS1123" s="958"/>
      <c r="BT1123" s="958"/>
      <c r="BU1123" s="2021" t="s">
        <v>1023</v>
      </c>
      <c r="BV1123" s="958"/>
      <c r="BW1123" s="958"/>
      <c r="BX1123" s="958"/>
      <c r="BY1123" s="958"/>
      <c r="BZ1123" s="958"/>
      <c r="CN1123" s="1982"/>
      <c r="CO1123" s="2025" t="s">
        <v>11</v>
      </c>
    </row>
    <row r="1124" spans="1:119" x14ac:dyDescent="0.2">
      <c r="A1124" s="6"/>
      <c r="B1124" s="2026" t="s">
        <v>667</v>
      </c>
      <c r="C1124" s="2026" t="s">
        <v>1017</v>
      </c>
      <c r="D1124" s="2026"/>
      <c r="E1124" s="2026"/>
      <c r="F1124" s="100" t="s">
        <v>1005</v>
      </c>
      <c r="G1124" s="2026"/>
      <c r="H1124" s="2026"/>
      <c r="I1124" s="2026"/>
      <c r="J1124" s="2026"/>
      <c r="K1124" s="2026"/>
      <c r="L1124" s="2026"/>
      <c r="M1124" s="2026"/>
      <c r="N1124" s="100"/>
      <c r="O1124" s="2026"/>
      <c r="P1124" s="2026"/>
      <c r="Q1124" s="2026"/>
      <c r="R1124" s="2026"/>
      <c r="S1124" s="100" t="s">
        <v>1005</v>
      </c>
      <c r="T1124" s="2026"/>
      <c r="U1124" s="2026"/>
      <c r="V1124" s="2026"/>
      <c r="W1124" s="2026"/>
      <c r="X1124" s="2026"/>
      <c r="Y1124" s="2026"/>
      <c r="Z1124" s="2026"/>
      <c r="AB1124" s="2026"/>
      <c r="AC1124" s="2026"/>
      <c r="AD1124" s="2026"/>
      <c r="AE1124" s="2026"/>
      <c r="AF1124" s="100" t="s">
        <v>1005</v>
      </c>
      <c r="AG1124" s="2026"/>
      <c r="AH1124" s="2026"/>
      <c r="AI1124" s="2026"/>
      <c r="AJ1124" s="2026"/>
      <c r="AK1124" s="2026"/>
      <c r="AL1124" s="2026"/>
      <c r="AM1124" s="2026"/>
      <c r="AO1124" s="2026"/>
      <c r="AP1124" s="2026"/>
      <c r="AQ1124" s="2026"/>
      <c r="AR1124" s="2026"/>
      <c r="AS1124" s="100" t="s">
        <v>1005</v>
      </c>
      <c r="AT1124" s="2026"/>
      <c r="AU1124" s="2026"/>
      <c r="AV1124" s="2026"/>
      <c r="AW1124" s="2026"/>
      <c r="AX1124" s="2026"/>
      <c r="AY1124" s="2026"/>
      <c r="AZ1124" s="2026"/>
      <c r="BB1124" s="2026"/>
      <c r="BC1124" s="2026"/>
      <c r="BD1124" s="2026"/>
      <c r="BE1124" s="2026"/>
      <c r="BF1124" s="100" t="s">
        <v>1005</v>
      </c>
      <c r="BG1124" s="2026"/>
      <c r="BH1124" s="2026"/>
      <c r="BI1124" s="2026"/>
      <c r="BJ1124" s="2026"/>
      <c r="BK1124" s="2026"/>
      <c r="BL1124" s="2026"/>
      <c r="BM1124" s="2026"/>
      <c r="BO1124" s="2026"/>
      <c r="BP1124" s="2026"/>
      <c r="BQ1124" s="2026"/>
      <c r="BR1124" s="2026"/>
      <c r="BS1124" s="100" t="s">
        <v>1005</v>
      </c>
      <c r="BT1124" s="2026"/>
      <c r="BU1124" s="2026"/>
      <c r="BV1124" s="2026"/>
      <c r="BW1124" s="2026"/>
      <c r="BX1124" s="2026"/>
      <c r="BY1124" s="2026"/>
      <c r="BZ1124" s="2026"/>
      <c r="CB1124" s="1350" t="s">
        <v>1013</v>
      </c>
      <c r="CC1124" s="1350"/>
      <c r="CD1124" s="1350" t="s">
        <v>1018</v>
      </c>
      <c r="CF1124" s="6" t="s">
        <v>1005</v>
      </c>
      <c r="CN1124" s="2023" t="s">
        <v>893</v>
      </c>
      <c r="CO1124" s="2027" t="s">
        <v>1014</v>
      </c>
      <c r="CR1124" s="6" t="s">
        <v>668</v>
      </c>
      <c r="CV1124" s="6" t="s">
        <v>473</v>
      </c>
      <c r="CW1124" s="6" t="s">
        <v>690</v>
      </c>
    </row>
    <row r="1125" spans="1:119" x14ac:dyDescent="0.2">
      <c r="A1125" s="2188">
        <v>1047</v>
      </c>
      <c r="B1125" s="1951" t="s">
        <v>1080</v>
      </c>
      <c r="C1125" s="958"/>
      <c r="D1125" s="958"/>
      <c r="E1125" s="958"/>
      <c r="F1125" s="2022" t="s">
        <v>1007</v>
      </c>
      <c r="G1125" s="959" t="s">
        <v>1022</v>
      </c>
      <c r="H1125" s="958" t="s">
        <v>1020</v>
      </c>
      <c r="I1125" s="959"/>
      <c r="J1125" s="959" t="s">
        <v>1021</v>
      </c>
      <c r="K1125" s="958"/>
      <c r="L1125" s="958"/>
      <c r="M1125" s="104"/>
      <c r="N1125" s="2188">
        <v>1048</v>
      </c>
      <c r="O1125" s="1951"/>
      <c r="P1125" s="958"/>
      <c r="Q1125" s="958"/>
      <c r="R1125" s="958"/>
      <c r="S1125" s="2022" t="s">
        <v>1008</v>
      </c>
      <c r="T1125" s="959" t="s">
        <v>1022</v>
      </c>
      <c r="U1125" s="958" t="s">
        <v>1020</v>
      </c>
      <c r="V1125" s="959"/>
      <c r="W1125" s="959" t="s">
        <v>1021</v>
      </c>
      <c r="X1125" s="958"/>
      <c r="Y1125" s="958"/>
      <c r="Z1125" s="104"/>
      <c r="AA1125" s="2188">
        <v>1049</v>
      </c>
      <c r="AB1125" s="1951" t="s">
        <v>1080</v>
      </c>
      <c r="AC1125" s="958"/>
      <c r="AD1125" s="958"/>
      <c r="AE1125" s="958"/>
      <c r="AF1125" s="2022" t="s">
        <v>1009</v>
      </c>
      <c r="AG1125" s="959" t="s">
        <v>1022</v>
      </c>
      <c r="AH1125" s="958" t="s">
        <v>1020</v>
      </c>
      <c r="AI1125" s="959"/>
      <c r="AJ1125" s="959" t="s">
        <v>1021</v>
      </c>
      <c r="AK1125" s="958"/>
      <c r="AL1125" s="958"/>
      <c r="AM1125" s="104"/>
      <c r="AN1125" s="2188">
        <v>1050</v>
      </c>
      <c r="AO1125" s="1951" t="s">
        <v>1080</v>
      </c>
      <c r="AP1125" s="958"/>
      <c r="AQ1125" s="958"/>
      <c r="AR1125" s="958"/>
      <c r="AS1125" s="2022" t="s">
        <v>1010</v>
      </c>
      <c r="AT1125" s="959" t="s">
        <v>1022</v>
      </c>
      <c r="AU1125" s="958" t="s">
        <v>1020</v>
      </c>
      <c r="AV1125" s="959"/>
      <c r="AW1125" s="959" t="s">
        <v>1021</v>
      </c>
      <c r="AX1125" s="958"/>
      <c r="AY1125" s="958"/>
      <c r="AZ1125" s="104"/>
      <c r="BA1125" s="2188">
        <v>1051</v>
      </c>
      <c r="BB1125" s="1951" t="s">
        <v>1080</v>
      </c>
      <c r="BC1125" s="958"/>
      <c r="BD1125" s="958"/>
      <c r="BE1125" s="958"/>
      <c r="BF1125" s="2022" t="s">
        <v>1011</v>
      </c>
      <c r="BG1125" s="959" t="s">
        <v>1022</v>
      </c>
      <c r="BH1125" s="958" t="s">
        <v>1020</v>
      </c>
      <c r="BI1125" s="959"/>
      <c r="BJ1125" s="959" t="s">
        <v>1021</v>
      </c>
      <c r="BK1125" s="958"/>
      <c r="BL1125" s="958"/>
      <c r="BM1125" s="104"/>
      <c r="BN1125" s="2188">
        <v>1052</v>
      </c>
      <c r="BO1125" s="1951" t="s">
        <v>1080</v>
      </c>
      <c r="BP1125" s="958"/>
      <c r="BQ1125" s="958"/>
      <c r="BR1125" s="958"/>
      <c r="BS1125" s="2022" t="s">
        <v>1012</v>
      </c>
      <c r="BT1125" s="959" t="s">
        <v>1022</v>
      </c>
      <c r="BU1125" s="958" t="s">
        <v>1020</v>
      </c>
      <c r="BV1125" s="959"/>
      <c r="BW1125" s="959" t="s">
        <v>1021</v>
      </c>
      <c r="BX1125" s="958"/>
      <c r="BY1125" s="958"/>
      <c r="BZ1125" s="104"/>
      <c r="CA1125" s="2188">
        <v>1053</v>
      </c>
      <c r="CB1125" s="1951" t="s">
        <v>1081</v>
      </c>
      <c r="CC1125" s="958"/>
      <c r="CD1125" s="958"/>
      <c r="CE1125" s="958"/>
      <c r="CF1125" s="958"/>
      <c r="CG1125" s="958" t="s">
        <v>1020</v>
      </c>
      <c r="CH1125" s="959"/>
      <c r="CI1125" s="959" t="s">
        <v>1021</v>
      </c>
      <c r="CJ1125" s="959"/>
      <c r="CK1125" s="958"/>
      <c r="CL1125" s="958"/>
      <c r="CM1125" s="958"/>
      <c r="CN1125" s="2023" t="s">
        <v>1016</v>
      </c>
      <c r="CO1125" s="2023" t="s">
        <v>1024</v>
      </c>
      <c r="CQ1125" s="2188">
        <v>1054</v>
      </c>
      <c r="CR1125" s="1951" t="s">
        <v>1082</v>
      </c>
      <c r="CS1125" s="958"/>
      <c r="CT1125" s="958"/>
      <c r="CU1125" s="958"/>
      <c r="CV1125" s="958"/>
      <c r="CW1125" s="958" t="s">
        <v>21</v>
      </c>
      <c r="CX1125" s="959" t="s">
        <v>1459</v>
      </c>
      <c r="CY1125" s="959"/>
      <c r="CZ1125" s="959"/>
      <c r="DA1125" s="958"/>
      <c r="DB1125" s="958"/>
      <c r="DC1125" s="104"/>
    </row>
    <row r="1126" spans="1:119" x14ac:dyDescent="0.2">
      <c r="A1126" s="6"/>
      <c r="B1126" s="1972" t="str">
        <f t="shared" ref="B1126:M1126" si="1124">+P1053</f>
        <v>Ene</v>
      </c>
      <c r="C1126" s="1972" t="str">
        <f t="shared" si="1124"/>
        <v>Feb</v>
      </c>
      <c r="D1126" s="1972" t="str">
        <f t="shared" si="1124"/>
        <v>Mar</v>
      </c>
      <c r="E1126" s="1972" t="str">
        <f t="shared" si="1124"/>
        <v>Abr</v>
      </c>
      <c r="F1126" s="1972" t="str">
        <f t="shared" si="1124"/>
        <v>May</v>
      </c>
      <c r="G1126" s="1972" t="str">
        <f t="shared" si="1124"/>
        <v>Jun</v>
      </c>
      <c r="H1126" s="1972" t="str">
        <f t="shared" si="1124"/>
        <v>Jul</v>
      </c>
      <c r="I1126" s="1972" t="str">
        <f t="shared" si="1124"/>
        <v>Ago</v>
      </c>
      <c r="J1126" s="1972" t="str">
        <f t="shared" si="1124"/>
        <v>Set</v>
      </c>
      <c r="K1126" s="1972" t="str">
        <f t="shared" si="1124"/>
        <v>Oct</v>
      </c>
      <c r="L1126" s="1972" t="str">
        <f t="shared" si="1124"/>
        <v>Nov</v>
      </c>
      <c r="M1126" s="1972" t="str">
        <f t="shared" si="1124"/>
        <v>Dic</v>
      </c>
      <c r="O1126" s="1972"/>
      <c r="P1126" s="1972" t="str">
        <f t="shared" ref="P1126:Z1126" si="1125">+AD1053</f>
        <v>Feb</v>
      </c>
      <c r="Q1126" s="1972" t="str">
        <f t="shared" si="1125"/>
        <v>Mar</v>
      </c>
      <c r="R1126" s="1972" t="str">
        <f t="shared" si="1125"/>
        <v>Abr</v>
      </c>
      <c r="S1126" s="1972" t="str">
        <f t="shared" si="1125"/>
        <v>May</v>
      </c>
      <c r="T1126" s="1972" t="str">
        <f t="shared" si="1125"/>
        <v>Jun</v>
      </c>
      <c r="U1126" s="1972" t="str">
        <f t="shared" si="1125"/>
        <v>Jul</v>
      </c>
      <c r="V1126" s="1972" t="str">
        <f t="shared" si="1125"/>
        <v>Ago</v>
      </c>
      <c r="W1126" s="1972" t="str">
        <f t="shared" si="1125"/>
        <v>Set</v>
      </c>
      <c r="X1126" s="1972" t="str">
        <f t="shared" si="1125"/>
        <v>Oct</v>
      </c>
      <c r="Y1126" s="1972" t="str">
        <f t="shared" si="1125"/>
        <v>Nov</v>
      </c>
      <c r="Z1126" s="1972" t="str">
        <f t="shared" si="1125"/>
        <v>Dic</v>
      </c>
      <c r="AB1126" s="1972">
        <f t="shared" ref="AB1126:AM1126" si="1126">+AP1053</f>
        <v>0</v>
      </c>
      <c r="AC1126" s="1972" t="str">
        <f t="shared" si="1126"/>
        <v>Feb</v>
      </c>
      <c r="AD1126" s="1972" t="str">
        <f t="shared" si="1126"/>
        <v>Mar</v>
      </c>
      <c r="AE1126" s="1972" t="str">
        <f t="shared" si="1126"/>
        <v>Abr</v>
      </c>
      <c r="AF1126" s="1972" t="str">
        <f t="shared" si="1126"/>
        <v>May</v>
      </c>
      <c r="AG1126" s="1972" t="str">
        <f t="shared" si="1126"/>
        <v>Jun</v>
      </c>
      <c r="AH1126" s="1972" t="str">
        <f t="shared" si="1126"/>
        <v>Jul</v>
      </c>
      <c r="AI1126" s="1972" t="str">
        <f t="shared" si="1126"/>
        <v>Ago</v>
      </c>
      <c r="AJ1126" s="1972" t="str">
        <f t="shared" si="1126"/>
        <v>Set</v>
      </c>
      <c r="AK1126" s="1972" t="str">
        <f t="shared" si="1126"/>
        <v>Oct</v>
      </c>
      <c r="AL1126" s="1972" t="str">
        <f t="shared" si="1126"/>
        <v>Nov</v>
      </c>
      <c r="AM1126" s="1972" t="str">
        <f t="shared" si="1126"/>
        <v>Dic</v>
      </c>
      <c r="AO1126" s="1972">
        <f t="shared" ref="AO1126:AZ1126" si="1127">+BC1053</f>
        <v>0</v>
      </c>
      <c r="AP1126" s="1972" t="str">
        <f t="shared" si="1127"/>
        <v>Feb</v>
      </c>
      <c r="AQ1126" s="1972" t="str">
        <f t="shared" si="1127"/>
        <v>Mar</v>
      </c>
      <c r="AR1126" s="1972" t="str">
        <f t="shared" si="1127"/>
        <v>Abr</v>
      </c>
      <c r="AS1126" s="1972" t="str">
        <f t="shared" si="1127"/>
        <v>May</v>
      </c>
      <c r="AT1126" s="1972" t="str">
        <f t="shared" si="1127"/>
        <v>Jun</v>
      </c>
      <c r="AU1126" s="1972" t="str">
        <f t="shared" si="1127"/>
        <v>Jul</v>
      </c>
      <c r="AV1126" s="1972" t="str">
        <f t="shared" si="1127"/>
        <v>Ago</v>
      </c>
      <c r="AW1126" s="1972" t="str">
        <f t="shared" si="1127"/>
        <v>Set</v>
      </c>
      <c r="AX1126" s="1972" t="str">
        <f t="shared" si="1127"/>
        <v>Oct</v>
      </c>
      <c r="AY1126" s="1972" t="str">
        <f t="shared" si="1127"/>
        <v>Nov</v>
      </c>
      <c r="AZ1126" s="1972" t="str">
        <f t="shared" si="1127"/>
        <v>Dic</v>
      </c>
      <c r="BB1126" s="1972">
        <f t="shared" ref="BB1126:BM1126" si="1128">+BP1053</f>
        <v>0</v>
      </c>
      <c r="BC1126" s="1972" t="str">
        <f t="shared" si="1128"/>
        <v>Feb</v>
      </c>
      <c r="BD1126" s="1972" t="str">
        <f t="shared" si="1128"/>
        <v>Mar</v>
      </c>
      <c r="BE1126" s="1972" t="str">
        <f t="shared" si="1128"/>
        <v>Abr</v>
      </c>
      <c r="BF1126" s="1972" t="str">
        <f t="shared" si="1128"/>
        <v>May</v>
      </c>
      <c r="BG1126" s="1972" t="str">
        <f t="shared" si="1128"/>
        <v>Jun</v>
      </c>
      <c r="BH1126" s="1972" t="str">
        <f t="shared" si="1128"/>
        <v>Jul</v>
      </c>
      <c r="BI1126" s="1972" t="str">
        <f t="shared" si="1128"/>
        <v>Ago</v>
      </c>
      <c r="BJ1126" s="1972" t="str">
        <f t="shared" si="1128"/>
        <v>Set</v>
      </c>
      <c r="BK1126" s="1972" t="str">
        <f t="shared" si="1128"/>
        <v>Oct</v>
      </c>
      <c r="BL1126" s="1972" t="str">
        <f t="shared" si="1128"/>
        <v>Nov</v>
      </c>
      <c r="BM1126" s="1972" t="str">
        <f t="shared" si="1128"/>
        <v>Dic</v>
      </c>
      <c r="BO1126" s="1972">
        <f t="shared" ref="BO1126:BZ1126" si="1129">+CC1053</f>
        <v>0</v>
      </c>
      <c r="BP1126" s="1972" t="str">
        <f t="shared" si="1129"/>
        <v>Feb</v>
      </c>
      <c r="BQ1126" s="1972" t="str">
        <f t="shared" si="1129"/>
        <v>Mar</v>
      </c>
      <c r="BR1126" s="1972" t="str">
        <f t="shared" si="1129"/>
        <v>Abr</v>
      </c>
      <c r="BS1126" s="1972" t="str">
        <f t="shared" si="1129"/>
        <v>May</v>
      </c>
      <c r="BT1126" s="1972" t="str">
        <f t="shared" si="1129"/>
        <v>Jun</v>
      </c>
      <c r="BU1126" s="1972" t="str">
        <f t="shared" si="1129"/>
        <v>Jul</v>
      </c>
      <c r="BV1126" s="1972" t="str">
        <f t="shared" si="1129"/>
        <v>Ago</v>
      </c>
      <c r="BW1126" s="1972" t="str">
        <f t="shared" si="1129"/>
        <v>Set</v>
      </c>
      <c r="BX1126" s="1972" t="str">
        <f t="shared" si="1129"/>
        <v>Oct</v>
      </c>
      <c r="BY1126" s="1972" t="str">
        <f t="shared" si="1129"/>
        <v>Nov</v>
      </c>
      <c r="BZ1126" s="1972" t="str">
        <f t="shared" si="1129"/>
        <v>Dic</v>
      </c>
      <c r="CA1126" s="2028"/>
      <c r="CB1126" s="49" t="str">
        <f t="shared" ref="CB1126:CM1126" si="1130">+CP1053</f>
        <v>Ene</v>
      </c>
      <c r="CC1126" s="49" t="str">
        <f t="shared" si="1130"/>
        <v>Feb</v>
      </c>
      <c r="CD1126" s="49" t="str">
        <f t="shared" si="1130"/>
        <v>Mar</v>
      </c>
      <c r="CE1126" s="49" t="str">
        <f t="shared" si="1130"/>
        <v>Abr</v>
      </c>
      <c r="CF1126" s="49" t="str">
        <f t="shared" si="1130"/>
        <v>May</v>
      </c>
      <c r="CG1126" s="49" t="str">
        <f t="shared" si="1130"/>
        <v>Jun</v>
      </c>
      <c r="CH1126" s="49" t="str">
        <f t="shared" si="1130"/>
        <v>Jul</v>
      </c>
      <c r="CI1126" s="49" t="str">
        <f t="shared" si="1130"/>
        <v>Ago</v>
      </c>
      <c r="CJ1126" s="49" t="str">
        <f t="shared" si="1130"/>
        <v>Set</v>
      </c>
      <c r="CK1126" s="49" t="str">
        <f t="shared" si="1130"/>
        <v>Oct</v>
      </c>
      <c r="CL1126" s="49" t="str">
        <f t="shared" si="1130"/>
        <v>Nov</v>
      </c>
      <c r="CM1126" s="2029" t="str">
        <f t="shared" si="1130"/>
        <v>Dic</v>
      </c>
      <c r="CN1126" s="1988" t="s">
        <v>1020</v>
      </c>
      <c r="CO1126" s="1905" t="s">
        <v>1015</v>
      </c>
      <c r="CR1126" s="2000" t="str">
        <f t="shared" ref="CR1126:DC1126" si="1131">DF1053</f>
        <v>Ene</v>
      </c>
      <c r="CS1126" s="2000" t="str">
        <f t="shared" si="1131"/>
        <v>Feb</v>
      </c>
      <c r="CT1126" s="2000" t="str">
        <f t="shared" si="1131"/>
        <v>Mar</v>
      </c>
      <c r="CU1126" s="2000" t="str">
        <f t="shared" si="1131"/>
        <v>Abr</v>
      </c>
      <c r="CV1126" s="2000" t="str">
        <f t="shared" si="1131"/>
        <v>May</v>
      </c>
      <c r="CW1126" s="2000" t="str">
        <f t="shared" si="1131"/>
        <v>Jun</v>
      </c>
      <c r="CX1126" s="2000" t="str">
        <f t="shared" si="1131"/>
        <v>Jul</v>
      </c>
      <c r="CY1126" s="2000" t="str">
        <f t="shared" si="1131"/>
        <v>Ago</v>
      </c>
      <c r="CZ1126" s="2000" t="str">
        <f t="shared" si="1131"/>
        <v>Set</v>
      </c>
      <c r="DA1126" s="2000" t="str">
        <f t="shared" si="1131"/>
        <v>Oct</v>
      </c>
      <c r="DB1126" s="2000" t="str">
        <f t="shared" si="1131"/>
        <v>Nov</v>
      </c>
      <c r="DC1126" s="2000" t="str">
        <f t="shared" si="1131"/>
        <v>Dic</v>
      </c>
    </row>
    <row r="1127" spans="1:119" x14ac:dyDescent="0.2">
      <c r="A1127" s="1971" t="str">
        <f t="shared" ref="A1127:A1158" si="1132">+CA1127</f>
        <v>CN</v>
      </c>
      <c r="B1127" s="1906">
        <f t="shared" ref="B1127:M1127" si="1133">SUMIF(C$1054:C$1120,"feb"&amp;$B983,C$983:C$1049)</f>
        <v>0</v>
      </c>
      <c r="C1127" s="1906">
        <f t="shared" si="1133"/>
        <v>0</v>
      </c>
      <c r="D1127" s="1906">
        <f t="shared" si="1133"/>
        <v>0</v>
      </c>
      <c r="E1127" s="1906">
        <f t="shared" si="1133"/>
        <v>0</v>
      </c>
      <c r="F1127" s="1906">
        <f t="shared" si="1133"/>
        <v>0</v>
      </c>
      <c r="G1127" s="1906">
        <f t="shared" si="1133"/>
        <v>0</v>
      </c>
      <c r="H1127" s="1906">
        <f t="shared" si="1133"/>
        <v>0</v>
      </c>
      <c r="I1127" s="1906">
        <f t="shared" ref="I1127:I1158" si="1134">SUMIF(J$1054:J$1120,"feb"&amp;$B983,J$983:J$1049)</f>
        <v>0</v>
      </c>
      <c r="J1127" s="1906">
        <f t="shared" si="1133"/>
        <v>0</v>
      </c>
      <c r="K1127" s="1906">
        <f t="shared" si="1133"/>
        <v>0</v>
      </c>
      <c r="L1127" s="1906">
        <f t="shared" si="1133"/>
        <v>0</v>
      </c>
      <c r="M1127" s="1906">
        <f t="shared" si="1133"/>
        <v>0</v>
      </c>
      <c r="N1127" s="107"/>
      <c r="O1127" s="1906"/>
      <c r="P1127" s="1906">
        <f t="shared" ref="P1127:P1158" si="1135">SUMIF(D$1054:D$1120,"mar"&amp;$B983,D$983:D$1049)</f>
        <v>0</v>
      </c>
      <c r="Q1127" s="1906">
        <f t="shared" ref="Q1127:Q1158" si="1136">SUMIF(E$1054:E$1120,"mar"&amp;$B983,E$983:E$1049)</f>
        <v>0</v>
      </c>
      <c r="R1127" s="1906">
        <f t="shared" ref="R1127:R1158" si="1137">SUMIF(F$1054:F$1120,"mar"&amp;$B983,F$983:F$1049)</f>
        <v>0</v>
      </c>
      <c r="S1127" s="1906">
        <f t="shared" ref="S1127:S1158" si="1138">SUMIF(G$1054:G$1120,"mar"&amp;$B983,G$983:G$1049)</f>
        <v>0</v>
      </c>
      <c r="T1127" s="1906">
        <f t="shared" ref="T1127:T1158" si="1139">SUMIF(H$1054:H$1120,"mar"&amp;$B983,H$983:H$1049)</f>
        <v>0</v>
      </c>
      <c r="U1127" s="1906">
        <f t="shared" ref="U1127:U1158" si="1140">SUMIF(I$1054:I$1120,"mar"&amp;$B983,I$983:I$1049)</f>
        <v>0</v>
      </c>
      <c r="V1127" s="1906">
        <f t="shared" ref="V1127:V1158" si="1141">SUMIF(J$1054:J$1120,"mar"&amp;$B983,J$983:J$1049)</f>
        <v>0</v>
      </c>
      <c r="W1127" s="1906">
        <f t="shared" ref="W1127:W1158" si="1142">SUMIF(K$1054:K$1120,"mar"&amp;$B983,K$983:K$1049)</f>
        <v>0</v>
      </c>
      <c r="X1127" s="1906">
        <f t="shared" ref="X1127:X1158" si="1143">SUMIF(L$1054:L$1120,"mar"&amp;$B983,L$983:L$1049)</f>
        <v>0</v>
      </c>
      <c r="Y1127" s="1906">
        <f t="shared" ref="Y1127:Y1158" si="1144">SUMIF(M$1054:M$1120,"mar"&amp;$B983,M$983:M$1049)</f>
        <v>0</v>
      </c>
      <c r="Z1127" s="1906">
        <f t="shared" ref="Z1127:Z1158" si="1145">SUMIF(N$1054:N$1120,"mar"&amp;$B983,N$983:N$1049)</f>
        <v>0</v>
      </c>
      <c r="AA1127" s="107"/>
      <c r="AB1127" s="1906">
        <f t="shared" ref="AB1127:AB1158" si="1146">SUMIF(C$1054:C$1120,"abr"&amp;$B983,C$983:C$1049)</f>
        <v>0</v>
      </c>
      <c r="AC1127" s="1906">
        <f t="shared" ref="AC1127:AC1158" si="1147">SUMIF(D$1054:D$1120,"abr"&amp;$B983,D$983:D$1049)</f>
        <v>0</v>
      </c>
      <c r="AD1127" s="1906">
        <f t="shared" ref="AD1127:AD1158" si="1148">SUMIF(E$1054:E$1120,"abr"&amp;$B983,E$983:E$1049)</f>
        <v>0</v>
      </c>
      <c r="AE1127" s="1906">
        <f t="shared" ref="AE1127:AE1158" si="1149">SUMIF(F$1054:F$1120,"abr"&amp;$B983,F$983:F$1049)</f>
        <v>0</v>
      </c>
      <c r="AF1127" s="1906">
        <f t="shared" ref="AF1127:AF1158" si="1150">SUMIF(G$1054:G$1120,"abr"&amp;$B983,G$983:G$1049)</f>
        <v>0</v>
      </c>
      <c r="AG1127" s="1906">
        <f t="shared" ref="AG1127:AG1158" si="1151">SUMIF(H$1054:H$1120,"abr"&amp;$B983,H$983:H$1049)</f>
        <v>0</v>
      </c>
      <c r="AH1127" s="1906">
        <f t="shared" ref="AH1127:AH1158" si="1152">SUMIF(I$1054:I$1120,"abr"&amp;$B983,I$983:I$1049)</f>
        <v>0</v>
      </c>
      <c r="AI1127" s="1906">
        <f t="shared" ref="AI1127:AI1158" si="1153">SUMIF(J$1054:J$1120,"abr"&amp;$B983,J$983:J$1049)</f>
        <v>0</v>
      </c>
      <c r="AJ1127" s="1906">
        <f t="shared" ref="AJ1127:AJ1158" si="1154">SUMIF(K$1054:K$1120,"abr"&amp;$B983,K$983:K$1049)</f>
        <v>0</v>
      </c>
      <c r="AK1127" s="1906">
        <f t="shared" ref="AK1127:AK1158" si="1155">SUMIF(L$1054:L$1120,"abr"&amp;$B983,L$983:L$1049)</f>
        <v>0</v>
      </c>
      <c r="AL1127" s="1906">
        <f t="shared" ref="AL1127:AL1158" si="1156">SUMIF(M$1054:M$1120,"abr"&amp;$B983,M$983:M$1049)</f>
        <v>0</v>
      </c>
      <c r="AM1127" s="1906">
        <f t="shared" ref="AM1127:AM1158" si="1157">SUMIF(N$1054:N$1120,"abr"&amp;$B983,N$983:N$1049)</f>
        <v>0</v>
      </c>
      <c r="AN1127" s="107"/>
      <c r="AO1127" s="1906">
        <f t="shared" ref="AO1127:AO1158" si="1158">SUMIF(C$1054:C$1120,"may"&amp;$B983,C$983:C$1049)</f>
        <v>0</v>
      </c>
      <c r="AP1127" s="1906">
        <f t="shared" ref="AP1127:AP1158" si="1159">SUMIF(D$1054:D$1120,"may"&amp;$B983,D$983:D$1049)</f>
        <v>0</v>
      </c>
      <c r="AQ1127" s="1906">
        <f t="shared" ref="AQ1127:AQ1158" si="1160">SUMIF(E$1054:E$1120,"may"&amp;$B983,E$983:E$1049)</f>
        <v>0</v>
      </c>
      <c r="AR1127" s="1906">
        <f t="shared" ref="AR1127:AR1158" si="1161">SUMIF(F$1054:F$1120,"may"&amp;$B983,F$983:F$1049)</f>
        <v>0</v>
      </c>
      <c r="AS1127" s="1906">
        <f t="shared" ref="AS1127:AS1158" si="1162">SUMIF(G$1054:G$1120,"may"&amp;$B983,G$983:G$1049)</f>
        <v>0</v>
      </c>
      <c r="AT1127" s="1906">
        <f t="shared" ref="AT1127:AT1158" si="1163">SUMIF(H$1054:H$1120,"may"&amp;$B983,H$983:H$1049)</f>
        <v>0</v>
      </c>
      <c r="AU1127" s="1906">
        <f t="shared" ref="AU1127:AU1158" si="1164">SUMIF(I$1054:I$1120,"may"&amp;$B983,I$983:I$1049)</f>
        <v>0</v>
      </c>
      <c r="AV1127" s="1906">
        <f t="shared" ref="AV1127:AV1158" si="1165">SUMIF(J$1054:J$1120,"may"&amp;$B983,J$983:J$1049)</f>
        <v>0</v>
      </c>
      <c r="AW1127" s="1906">
        <f t="shared" ref="AW1127:AW1158" si="1166">SUMIF(K$1054:K$1120,"may"&amp;$B983,K$983:K$1049)</f>
        <v>0</v>
      </c>
      <c r="AX1127" s="1906">
        <f t="shared" ref="AX1127:AX1158" si="1167">SUMIF(L$1054:L$1120,"may"&amp;$B983,L$983:L$1049)</f>
        <v>0</v>
      </c>
      <c r="AY1127" s="1906">
        <f t="shared" ref="AY1127:AY1158" si="1168">SUMIF(M$1054:M$1120,"may"&amp;$B983,M$983:M$1049)</f>
        <v>0</v>
      </c>
      <c r="AZ1127" s="1906">
        <f t="shared" ref="AZ1127:AZ1158" si="1169">SUMIF(N$1054:N$1120,"may"&amp;$B983,N$983:N$1049)</f>
        <v>0</v>
      </c>
      <c r="BA1127" s="107"/>
      <c r="BB1127" s="1906">
        <f t="shared" ref="BB1127:BB1158" si="1170">SUMIF(C$1054:C$1120,"jun"&amp;$B983,C$983:C$1049)</f>
        <v>0</v>
      </c>
      <c r="BC1127" s="1906">
        <f t="shared" ref="BC1127:BC1158" si="1171">SUMIF(D$1054:D$1120,"jun"&amp;$B983,D$983:D$1049)</f>
        <v>0</v>
      </c>
      <c r="BD1127" s="1906">
        <f t="shared" ref="BD1127:BD1158" si="1172">SUMIF(E$1054:E$1120,"jun"&amp;$B983,E$983:E$1049)</f>
        <v>0</v>
      </c>
      <c r="BE1127" s="1906">
        <f t="shared" ref="BE1127:BE1158" si="1173">SUMIF(F$1054:F$1120,"jun"&amp;$B983,F$983:F$1049)</f>
        <v>0</v>
      </c>
      <c r="BF1127" s="1906">
        <f t="shared" ref="BF1127:BF1158" si="1174">SUMIF(G$1054:G$1120,"jun"&amp;$B983,G$983:G$1049)</f>
        <v>0</v>
      </c>
      <c r="BG1127" s="1906">
        <f t="shared" ref="BG1127:BG1158" si="1175">SUMIF(H$1054:H$1120,"jun"&amp;$B983,H$983:H$1049)</f>
        <v>0</v>
      </c>
      <c r="BH1127" s="1906">
        <f t="shared" ref="BH1127:BH1158" si="1176">SUMIF(I$1054:I$1120,"jun"&amp;$B983,I$983:I$1049)</f>
        <v>0</v>
      </c>
      <c r="BI1127" s="1906">
        <f t="shared" ref="BI1127:BI1158" si="1177">SUMIF(J$1054:J$1120,"jun"&amp;$B983,J$983:J$1049)</f>
        <v>0</v>
      </c>
      <c r="BJ1127" s="1906">
        <f t="shared" ref="BJ1127:BJ1158" si="1178">SUMIF(K$1054:K$1120,"jun"&amp;$B983,K$983:K$1049)</f>
        <v>0</v>
      </c>
      <c r="BK1127" s="1906">
        <f t="shared" ref="BK1127:BK1158" si="1179">SUMIF(L$1054:L$1120,"jun"&amp;$B983,L$983:L$1049)</f>
        <v>0</v>
      </c>
      <c r="BL1127" s="1906">
        <f t="shared" ref="BL1127:BL1158" si="1180">SUMIF(M$1054:M$1120,"jun"&amp;$B983,M$983:M$1049)</f>
        <v>0</v>
      </c>
      <c r="BM1127" s="1906">
        <f t="shared" ref="BM1127:BM1158" si="1181">SUMIF(N$1054:N$1120,"jun"&amp;$B983,N$983:N$1049)</f>
        <v>0</v>
      </c>
      <c r="BN1127" s="107"/>
      <c r="BO1127" s="1906">
        <f t="shared" ref="BO1127:BO1158" si="1182">SUMIF(C$1054:C$1120,"jul"&amp;$B983,C$983:C$1049)</f>
        <v>0</v>
      </c>
      <c r="BP1127" s="1906">
        <f t="shared" ref="BP1127:BP1158" si="1183">SUMIF(D$1054:D$1120,"jul"&amp;$B983,D$983:D$1049)</f>
        <v>0</v>
      </c>
      <c r="BQ1127" s="1906">
        <f t="shared" ref="BQ1127:BQ1158" si="1184">SUMIF(E$1054:E$1120,"jul"&amp;$B983,E$983:E$1049)</f>
        <v>0</v>
      </c>
      <c r="BR1127" s="1906">
        <f t="shared" ref="BR1127:BR1158" si="1185">SUMIF(F$1054:F$1120,"jul"&amp;$B983,F$983:F$1049)</f>
        <v>0</v>
      </c>
      <c r="BS1127" s="1906">
        <f t="shared" ref="BS1127:BS1158" si="1186">SUMIF(G$1054:G$1120,"jul"&amp;$B983,G$983:G$1049)</f>
        <v>0</v>
      </c>
      <c r="BT1127" s="1906">
        <f t="shared" ref="BT1127:BT1158" si="1187">SUMIF(H$1054:H$1120,"jul"&amp;$B983,H$983:H$1049)</f>
        <v>0</v>
      </c>
      <c r="BU1127" s="1906">
        <f t="shared" ref="BU1127:BU1158" si="1188">SUMIF(I$1054:I$1120,"jul"&amp;$B983,I$983:I$1049)</f>
        <v>0</v>
      </c>
      <c r="BV1127" s="1906">
        <f t="shared" ref="BV1127:BV1158" si="1189">SUMIF(J$1054:J$1120,"jul"&amp;$B983,J$983:J$1049)</f>
        <v>0</v>
      </c>
      <c r="BW1127" s="1906">
        <f t="shared" ref="BW1127:BW1158" si="1190">SUMIF(K$1054:K$1120,"jul"&amp;$B983,K$983:K$1049)</f>
        <v>0</v>
      </c>
      <c r="BX1127" s="1906">
        <f t="shared" ref="BX1127:BX1158" si="1191">SUMIF(L$1054:L$1120,"jul"&amp;$B983,L$983:L$1049)</f>
        <v>0</v>
      </c>
      <c r="BY1127" s="1906">
        <f t="shared" ref="BY1127:BY1158" si="1192">SUMIF(M$1054:M$1120,"jul"&amp;$B983,M$983:M$1049)</f>
        <v>0</v>
      </c>
      <c r="BZ1127" s="1906">
        <f t="shared" ref="BZ1127:BZ1158" si="1193">SUMIF(N$1054:N$1120,"jul"&amp;$B983,N$983:N$1049)</f>
        <v>0</v>
      </c>
      <c r="CA1127" s="1971" t="str">
        <f t="shared" ref="CA1127:CA1158" si="1194">CO1054</f>
        <v>CN</v>
      </c>
      <c r="CB1127" s="1906">
        <f t="shared" ref="CB1127:CB1158" si="1195">+B1127+O1127+AB1127+AO1127+BB1127+BO1127</f>
        <v>0</v>
      </c>
      <c r="CC1127" s="1906">
        <f t="shared" ref="CC1127:CC1158" si="1196">+C1127+P1127+AC1127+AP1127+BC1127+BP1127</f>
        <v>0</v>
      </c>
      <c r="CD1127" s="1906">
        <f t="shared" ref="CD1127:CD1158" si="1197">+D1127+Q1127+AD1127+AQ1127+BD1127+BQ1127</f>
        <v>0</v>
      </c>
      <c r="CE1127" s="1906">
        <f t="shared" ref="CE1127:CE1158" si="1198">+E1127+R1127+AE1127+AR1127+BE1127+BR1127</f>
        <v>0</v>
      </c>
      <c r="CF1127" s="1906">
        <f t="shared" ref="CF1127:CF1158" si="1199">+F1127+S1127+AF1127+AS1127+BF1127+BS1127</f>
        <v>0</v>
      </c>
      <c r="CG1127" s="1906">
        <f t="shared" ref="CG1127:CG1158" si="1200">+G1127+T1127+AG1127+AT1127+BG1127+BT1127</f>
        <v>0</v>
      </c>
      <c r="CH1127" s="1906">
        <f t="shared" ref="CH1127:CH1158" si="1201">+H1127+U1127+AH1127+AU1127+BH1127+BU1127</f>
        <v>0</v>
      </c>
      <c r="CI1127" s="1906">
        <f t="shared" ref="CI1127:CI1158" si="1202">+I1127+V1127+AI1127+AV1127+BI1127+BV1127</f>
        <v>0</v>
      </c>
      <c r="CJ1127" s="1906">
        <f t="shared" ref="CJ1127:CM1132" si="1203">+J1127+W1127+AJ1127+AW1127+BJ1127+BW1127</f>
        <v>0</v>
      </c>
      <c r="CK1127" s="1906">
        <f t="shared" si="1203"/>
        <v>0</v>
      </c>
      <c r="CL1127" s="1906">
        <f t="shared" si="1203"/>
        <v>0</v>
      </c>
      <c r="CM1127" s="1906">
        <f t="shared" si="1203"/>
        <v>0</v>
      </c>
      <c r="CN1127" s="594" t="str">
        <f t="shared" ref="CN1127:CN1158" si="1204">CA1127</f>
        <v>CN</v>
      </c>
      <c r="CO1127" s="1348">
        <f>SUM(CB1127:CM1127)</f>
        <v>0</v>
      </c>
      <c r="CQ1127" s="108" t="str">
        <f t="shared" ref="CQ1127:CQ1158" si="1205">DE1054</f>
        <v>CN</v>
      </c>
      <c r="CR1127" s="1898">
        <f t="shared" ref="CR1127:CR1158" si="1206">CB1127+CC1275</f>
        <v>0</v>
      </c>
      <c r="CS1127" s="1898">
        <f t="shared" ref="CS1127:CS1158" si="1207">CC1127+CD1275</f>
        <v>0</v>
      </c>
      <c r="CT1127" s="1898">
        <f t="shared" ref="CT1127:CT1158" si="1208">CD1127+CE1275</f>
        <v>0</v>
      </c>
      <c r="CU1127" s="1898">
        <f t="shared" ref="CU1127:CU1158" si="1209">CE1127+CF1275</f>
        <v>0</v>
      </c>
      <c r="CV1127" s="1898">
        <f t="shared" ref="CV1127:CV1158" si="1210">CF1127+CG1275</f>
        <v>0</v>
      </c>
      <c r="CW1127" s="1898">
        <f t="shared" ref="CW1127:CW1158" si="1211">CG1127+CH1275</f>
        <v>0</v>
      </c>
      <c r="CX1127" s="1898">
        <f t="shared" ref="CX1127:CX1158" si="1212">CH1127+CI1275</f>
        <v>0</v>
      </c>
      <c r="CY1127" s="1898">
        <f t="shared" ref="CY1127:CY1158" si="1213">CI1127+CJ1275</f>
        <v>0</v>
      </c>
      <c r="CZ1127" s="1898">
        <f t="shared" ref="CZ1127:CZ1158" si="1214">CJ1127+CK1275</f>
        <v>0</v>
      </c>
      <c r="DA1127" s="1898">
        <f t="shared" ref="DA1127:DA1158" si="1215">CK1127+CL1275</f>
        <v>0</v>
      </c>
      <c r="DB1127" s="1898">
        <f t="shared" ref="DB1127:DB1158" si="1216">CL1127+CM1275</f>
        <v>0</v>
      </c>
      <c r="DC1127" s="1898">
        <f t="shared" ref="DC1127:DC1158" si="1217">CM1127+CN1275</f>
        <v>0</v>
      </c>
    </row>
    <row r="1128" spans="1:119" x14ac:dyDescent="0.2">
      <c r="A1128" s="1971" t="str">
        <f t="shared" si="1132"/>
        <v>CNM</v>
      </c>
      <c r="B1128" s="1906">
        <f t="shared" ref="B1128:M1128" si="1218">SUMIF(C$1054:C$1120,"feb"&amp;$B984,C$983:C$1049)</f>
        <v>0</v>
      </c>
      <c r="C1128" s="1906">
        <f t="shared" si="1218"/>
        <v>0</v>
      </c>
      <c r="D1128" s="1906">
        <f t="shared" si="1218"/>
        <v>0</v>
      </c>
      <c r="E1128" s="1906">
        <f t="shared" si="1218"/>
        <v>0</v>
      </c>
      <c r="F1128" s="1906">
        <f t="shared" si="1218"/>
        <v>0</v>
      </c>
      <c r="G1128" s="1906">
        <f t="shared" si="1218"/>
        <v>0</v>
      </c>
      <c r="H1128" s="1906">
        <f t="shared" si="1218"/>
        <v>0</v>
      </c>
      <c r="I1128" s="1906">
        <f t="shared" si="1134"/>
        <v>0</v>
      </c>
      <c r="J1128" s="1906">
        <f t="shared" si="1218"/>
        <v>0</v>
      </c>
      <c r="K1128" s="1906">
        <f t="shared" si="1218"/>
        <v>0</v>
      </c>
      <c r="L1128" s="1906">
        <f t="shared" si="1218"/>
        <v>0</v>
      </c>
      <c r="M1128" s="1906">
        <f t="shared" si="1218"/>
        <v>0</v>
      </c>
      <c r="N1128" s="107"/>
      <c r="O1128" s="1906"/>
      <c r="P1128" s="1906">
        <f t="shared" si="1135"/>
        <v>0</v>
      </c>
      <c r="Q1128" s="1906">
        <f t="shared" si="1136"/>
        <v>0</v>
      </c>
      <c r="R1128" s="1906">
        <f t="shared" si="1137"/>
        <v>0</v>
      </c>
      <c r="S1128" s="1906">
        <f t="shared" si="1138"/>
        <v>0</v>
      </c>
      <c r="T1128" s="1906">
        <f t="shared" si="1139"/>
        <v>0</v>
      </c>
      <c r="U1128" s="1906">
        <f t="shared" si="1140"/>
        <v>0</v>
      </c>
      <c r="V1128" s="1906">
        <f t="shared" si="1141"/>
        <v>0</v>
      </c>
      <c r="W1128" s="1906">
        <f t="shared" si="1142"/>
        <v>0</v>
      </c>
      <c r="X1128" s="1906">
        <f t="shared" si="1143"/>
        <v>0</v>
      </c>
      <c r="Y1128" s="1906">
        <f t="shared" si="1144"/>
        <v>0</v>
      </c>
      <c r="Z1128" s="1906">
        <f t="shared" si="1145"/>
        <v>0</v>
      </c>
      <c r="AA1128" s="107"/>
      <c r="AB1128" s="1906">
        <f t="shared" si="1146"/>
        <v>0</v>
      </c>
      <c r="AC1128" s="1906">
        <f t="shared" si="1147"/>
        <v>0</v>
      </c>
      <c r="AD1128" s="1906">
        <f t="shared" si="1148"/>
        <v>0</v>
      </c>
      <c r="AE1128" s="1906">
        <f t="shared" si="1149"/>
        <v>0</v>
      </c>
      <c r="AF1128" s="1906">
        <f t="shared" si="1150"/>
        <v>0</v>
      </c>
      <c r="AG1128" s="1906">
        <f t="shared" si="1151"/>
        <v>0</v>
      </c>
      <c r="AH1128" s="1906">
        <f t="shared" si="1152"/>
        <v>0</v>
      </c>
      <c r="AI1128" s="1906">
        <f t="shared" si="1153"/>
        <v>0</v>
      </c>
      <c r="AJ1128" s="1906">
        <f t="shared" si="1154"/>
        <v>0</v>
      </c>
      <c r="AK1128" s="1906">
        <f t="shared" si="1155"/>
        <v>0</v>
      </c>
      <c r="AL1128" s="1906">
        <f t="shared" si="1156"/>
        <v>0</v>
      </c>
      <c r="AM1128" s="1906">
        <f t="shared" si="1157"/>
        <v>0</v>
      </c>
      <c r="AN1128" s="107"/>
      <c r="AO1128" s="1906">
        <f t="shared" si="1158"/>
        <v>0</v>
      </c>
      <c r="AP1128" s="1906">
        <f t="shared" si="1159"/>
        <v>0</v>
      </c>
      <c r="AQ1128" s="1906">
        <f t="shared" si="1160"/>
        <v>0</v>
      </c>
      <c r="AR1128" s="1906">
        <f t="shared" si="1161"/>
        <v>0</v>
      </c>
      <c r="AS1128" s="1906">
        <f t="shared" si="1162"/>
        <v>0</v>
      </c>
      <c r="AT1128" s="1906">
        <f t="shared" si="1163"/>
        <v>0</v>
      </c>
      <c r="AU1128" s="1906">
        <f t="shared" si="1164"/>
        <v>0</v>
      </c>
      <c r="AV1128" s="1906">
        <f t="shared" si="1165"/>
        <v>0</v>
      </c>
      <c r="AW1128" s="1906">
        <f t="shared" si="1166"/>
        <v>0</v>
      </c>
      <c r="AX1128" s="1906">
        <f t="shared" si="1167"/>
        <v>0</v>
      </c>
      <c r="AY1128" s="1906">
        <f t="shared" si="1168"/>
        <v>0</v>
      </c>
      <c r="AZ1128" s="1906">
        <f t="shared" si="1169"/>
        <v>0</v>
      </c>
      <c r="BA1128" s="107"/>
      <c r="BB1128" s="1906">
        <f t="shared" si="1170"/>
        <v>0</v>
      </c>
      <c r="BC1128" s="1906">
        <f t="shared" si="1171"/>
        <v>0</v>
      </c>
      <c r="BD1128" s="1906">
        <f t="shared" si="1172"/>
        <v>0</v>
      </c>
      <c r="BE1128" s="1906">
        <f t="shared" si="1173"/>
        <v>0</v>
      </c>
      <c r="BF1128" s="1906">
        <f t="shared" si="1174"/>
        <v>0</v>
      </c>
      <c r="BG1128" s="1906">
        <f t="shared" si="1175"/>
        <v>0</v>
      </c>
      <c r="BH1128" s="1906">
        <f t="shared" si="1176"/>
        <v>0</v>
      </c>
      <c r="BI1128" s="1906">
        <f t="shared" si="1177"/>
        <v>0</v>
      </c>
      <c r="BJ1128" s="1906">
        <f t="shared" si="1178"/>
        <v>0</v>
      </c>
      <c r="BK1128" s="1906">
        <f t="shared" si="1179"/>
        <v>0</v>
      </c>
      <c r="BL1128" s="1906">
        <f t="shared" si="1180"/>
        <v>0</v>
      </c>
      <c r="BM1128" s="1906">
        <f t="shared" si="1181"/>
        <v>0</v>
      </c>
      <c r="BN1128" s="107"/>
      <c r="BO1128" s="1906">
        <f t="shared" si="1182"/>
        <v>0</v>
      </c>
      <c r="BP1128" s="1906">
        <f t="shared" si="1183"/>
        <v>0</v>
      </c>
      <c r="BQ1128" s="1906">
        <f t="shared" si="1184"/>
        <v>0</v>
      </c>
      <c r="BR1128" s="1906">
        <f t="shared" si="1185"/>
        <v>0</v>
      </c>
      <c r="BS1128" s="1906">
        <f t="shared" si="1186"/>
        <v>0</v>
      </c>
      <c r="BT1128" s="1906">
        <f t="shared" si="1187"/>
        <v>0</v>
      </c>
      <c r="BU1128" s="1906">
        <f t="shared" si="1188"/>
        <v>0</v>
      </c>
      <c r="BV1128" s="1906">
        <f t="shared" si="1189"/>
        <v>0</v>
      </c>
      <c r="BW1128" s="1906">
        <f t="shared" si="1190"/>
        <v>0</v>
      </c>
      <c r="BX1128" s="1906">
        <f t="shared" si="1191"/>
        <v>0</v>
      </c>
      <c r="BY1128" s="1906">
        <f t="shared" si="1192"/>
        <v>0</v>
      </c>
      <c r="BZ1128" s="1906">
        <f t="shared" si="1193"/>
        <v>0</v>
      </c>
      <c r="CA1128" s="1971" t="str">
        <f t="shared" si="1194"/>
        <v>CNM</v>
      </c>
      <c r="CB1128" s="1906">
        <f t="shared" si="1195"/>
        <v>0</v>
      </c>
      <c r="CC1128" s="1906">
        <f t="shared" si="1196"/>
        <v>0</v>
      </c>
      <c r="CD1128" s="1906">
        <f t="shared" si="1197"/>
        <v>0</v>
      </c>
      <c r="CE1128" s="1906">
        <f t="shared" si="1198"/>
        <v>0</v>
      </c>
      <c r="CF1128" s="1906">
        <f t="shared" si="1199"/>
        <v>0</v>
      </c>
      <c r="CG1128" s="1906">
        <f t="shared" si="1200"/>
        <v>0</v>
      </c>
      <c r="CH1128" s="1906">
        <f t="shared" si="1201"/>
        <v>0</v>
      </c>
      <c r="CI1128" s="1906">
        <f t="shared" si="1202"/>
        <v>0</v>
      </c>
      <c r="CJ1128" s="1906">
        <f t="shared" si="1203"/>
        <v>0</v>
      </c>
      <c r="CK1128" s="1906">
        <f t="shared" si="1203"/>
        <v>0</v>
      </c>
      <c r="CL1128" s="1906">
        <f t="shared" si="1203"/>
        <v>0</v>
      </c>
      <c r="CM1128" s="1906">
        <f t="shared" si="1203"/>
        <v>0</v>
      </c>
      <c r="CN1128" s="595" t="str">
        <f t="shared" si="1204"/>
        <v>CNM</v>
      </c>
      <c r="CO1128" s="1443">
        <f t="shared" ref="CO1128:CO1191" si="1219">SUM(CB1128:CM1128)</f>
        <v>0</v>
      </c>
      <c r="CQ1128" s="108" t="str">
        <f t="shared" si="1205"/>
        <v>CNM</v>
      </c>
      <c r="CR1128" s="1898">
        <f t="shared" si="1206"/>
        <v>0</v>
      </c>
      <c r="CS1128" s="1898">
        <f t="shared" si="1207"/>
        <v>0</v>
      </c>
      <c r="CT1128" s="1898">
        <f t="shared" si="1208"/>
        <v>0</v>
      </c>
      <c r="CU1128" s="1898">
        <f t="shared" si="1209"/>
        <v>0</v>
      </c>
      <c r="CV1128" s="1898">
        <f t="shared" si="1210"/>
        <v>0</v>
      </c>
      <c r="CW1128" s="1898">
        <f t="shared" si="1211"/>
        <v>0</v>
      </c>
      <c r="CX1128" s="1898">
        <f t="shared" si="1212"/>
        <v>0</v>
      </c>
      <c r="CY1128" s="1898">
        <f t="shared" si="1213"/>
        <v>0</v>
      </c>
      <c r="CZ1128" s="1898">
        <f t="shared" si="1214"/>
        <v>0</v>
      </c>
      <c r="DA1128" s="1898">
        <f t="shared" si="1215"/>
        <v>0</v>
      </c>
      <c r="DB1128" s="1898">
        <f t="shared" si="1216"/>
        <v>0</v>
      </c>
      <c r="DC1128" s="1898">
        <f t="shared" si="1217"/>
        <v>0</v>
      </c>
    </row>
    <row r="1129" spans="1:119" x14ac:dyDescent="0.2">
      <c r="A1129" s="1971" t="str">
        <f t="shared" si="1132"/>
        <v>CN bajo</v>
      </c>
      <c r="B1129" s="1906">
        <f t="shared" ref="B1129:M1129" si="1220">SUMIF(C$1054:C$1120,"feb"&amp;$B985,C$983:C$1049)</f>
        <v>0</v>
      </c>
      <c r="C1129" s="1906">
        <f t="shared" si="1220"/>
        <v>0</v>
      </c>
      <c r="D1129" s="1906">
        <f t="shared" si="1220"/>
        <v>0</v>
      </c>
      <c r="E1129" s="1906">
        <f t="shared" si="1220"/>
        <v>0</v>
      </c>
      <c r="F1129" s="1906">
        <f t="shared" si="1220"/>
        <v>0</v>
      </c>
      <c r="G1129" s="1906">
        <f t="shared" si="1220"/>
        <v>0</v>
      </c>
      <c r="H1129" s="1906">
        <f t="shared" si="1220"/>
        <v>0</v>
      </c>
      <c r="I1129" s="1906">
        <f t="shared" si="1134"/>
        <v>0</v>
      </c>
      <c r="J1129" s="1906">
        <f t="shared" si="1220"/>
        <v>0</v>
      </c>
      <c r="K1129" s="1906">
        <f t="shared" si="1220"/>
        <v>0</v>
      </c>
      <c r="L1129" s="1906">
        <f t="shared" si="1220"/>
        <v>0</v>
      </c>
      <c r="M1129" s="1906">
        <f t="shared" si="1220"/>
        <v>0</v>
      </c>
      <c r="N1129" s="107"/>
      <c r="O1129" s="1906"/>
      <c r="P1129" s="1906">
        <f t="shared" si="1135"/>
        <v>0</v>
      </c>
      <c r="Q1129" s="1906">
        <f t="shared" si="1136"/>
        <v>0</v>
      </c>
      <c r="R1129" s="1906">
        <f t="shared" si="1137"/>
        <v>0</v>
      </c>
      <c r="S1129" s="1906">
        <f t="shared" si="1138"/>
        <v>0</v>
      </c>
      <c r="T1129" s="1906">
        <f t="shared" si="1139"/>
        <v>0</v>
      </c>
      <c r="U1129" s="1906">
        <f t="shared" si="1140"/>
        <v>0</v>
      </c>
      <c r="V1129" s="1906">
        <f t="shared" si="1141"/>
        <v>0</v>
      </c>
      <c r="W1129" s="1906">
        <f t="shared" si="1142"/>
        <v>0</v>
      </c>
      <c r="X1129" s="1906">
        <f t="shared" si="1143"/>
        <v>0</v>
      </c>
      <c r="Y1129" s="1906">
        <f t="shared" si="1144"/>
        <v>0</v>
      </c>
      <c r="Z1129" s="1906">
        <f t="shared" si="1145"/>
        <v>0</v>
      </c>
      <c r="AA1129" s="107"/>
      <c r="AB1129" s="1906">
        <f t="shared" si="1146"/>
        <v>0</v>
      </c>
      <c r="AC1129" s="1906">
        <f t="shared" si="1147"/>
        <v>0</v>
      </c>
      <c r="AD1129" s="1906">
        <f t="shared" si="1148"/>
        <v>0</v>
      </c>
      <c r="AE1129" s="1906">
        <f t="shared" si="1149"/>
        <v>0</v>
      </c>
      <c r="AF1129" s="1906">
        <f t="shared" si="1150"/>
        <v>0</v>
      </c>
      <c r="AG1129" s="1906">
        <f t="shared" si="1151"/>
        <v>0</v>
      </c>
      <c r="AH1129" s="1906">
        <f t="shared" si="1152"/>
        <v>0</v>
      </c>
      <c r="AI1129" s="1906">
        <f t="shared" si="1153"/>
        <v>0</v>
      </c>
      <c r="AJ1129" s="1906">
        <f t="shared" si="1154"/>
        <v>0</v>
      </c>
      <c r="AK1129" s="1906">
        <f t="shared" si="1155"/>
        <v>0</v>
      </c>
      <c r="AL1129" s="1906">
        <f t="shared" si="1156"/>
        <v>0</v>
      </c>
      <c r="AM1129" s="1906">
        <f t="shared" si="1157"/>
        <v>0</v>
      </c>
      <c r="AN1129" s="107"/>
      <c r="AO1129" s="1906">
        <f t="shared" si="1158"/>
        <v>0</v>
      </c>
      <c r="AP1129" s="1906">
        <f t="shared" si="1159"/>
        <v>0</v>
      </c>
      <c r="AQ1129" s="1906">
        <f t="shared" si="1160"/>
        <v>0</v>
      </c>
      <c r="AR1129" s="1906">
        <f t="shared" si="1161"/>
        <v>0</v>
      </c>
      <c r="AS1129" s="1906">
        <f t="shared" si="1162"/>
        <v>0</v>
      </c>
      <c r="AT1129" s="1906">
        <f t="shared" si="1163"/>
        <v>0</v>
      </c>
      <c r="AU1129" s="1906">
        <f t="shared" si="1164"/>
        <v>0</v>
      </c>
      <c r="AV1129" s="1906">
        <f t="shared" si="1165"/>
        <v>0</v>
      </c>
      <c r="AW1129" s="1906">
        <f t="shared" si="1166"/>
        <v>0</v>
      </c>
      <c r="AX1129" s="1906">
        <f t="shared" si="1167"/>
        <v>0</v>
      </c>
      <c r="AY1129" s="1906">
        <f t="shared" si="1168"/>
        <v>0</v>
      </c>
      <c r="AZ1129" s="1906">
        <f t="shared" si="1169"/>
        <v>0</v>
      </c>
      <c r="BA1129" s="107"/>
      <c r="BB1129" s="1906">
        <f t="shared" si="1170"/>
        <v>0</v>
      </c>
      <c r="BC1129" s="1906">
        <f t="shared" si="1171"/>
        <v>0</v>
      </c>
      <c r="BD1129" s="1906">
        <f t="shared" si="1172"/>
        <v>0</v>
      </c>
      <c r="BE1129" s="1906">
        <f t="shared" si="1173"/>
        <v>0</v>
      </c>
      <c r="BF1129" s="1906">
        <f t="shared" si="1174"/>
        <v>0</v>
      </c>
      <c r="BG1129" s="1906">
        <f t="shared" si="1175"/>
        <v>0</v>
      </c>
      <c r="BH1129" s="1906">
        <f t="shared" si="1176"/>
        <v>0</v>
      </c>
      <c r="BI1129" s="1906">
        <f t="shared" si="1177"/>
        <v>0</v>
      </c>
      <c r="BJ1129" s="1906">
        <f t="shared" si="1178"/>
        <v>0</v>
      </c>
      <c r="BK1129" s="1906">
        <f t="shared" si="1179"/>
        <v>0</v>
      </c>
      <c r="BL1129" s="1906">
        <f t="shared" si="1180"/>
        <v>0</v>
      </c>
      <c r="BM1129" s="1906">
        <f t="shared" si="1181"/>
        <v>0</v>
      </c>
      <c r="BN1129" s="107"/>
      <c r="BO1129" s="1906">
        <f t="shared" si="1182"/>
        <v>0</v>
      </c>
      <c r="BP1129" s="1906">
        <f t="shared" si="1183"/>
        <v>0</v>
      </c>
      <c r="BQ1129" s="1906">
        <f t="shared" si="1184"/>
        <v>0</v>
      </c>
      <c r="BR1129" s="1906">
        <f t="shared" si="1185"/>
        <v>0</v>
      </c>
      <c r="BS1129" s="1906">
        <f t="shared" si="1186"/>
        <v>0</v>
      </c>
      <c r="BT1129" s="1906">
        <f t="shared" si="1187"/>
        <v>0</v>
      </c>
      <c r="BU1129" s="1906">
        <f t="shared" si="1188"/>
        <v>0</v>
      </c>
      <c r="BV1129" s="1906">
        <f t="shared" si="1189"/>
        <v>0</v>
      </c>
      <c r="BW1129" s="1906">
        <f t="shared" si="1190"/>
        <v>0</v>
      </c>
      <c r="BX1129" s="1906">
        <f t="shared" si="1191"/>
        <v>0</v>
      </c>
      <c r="BY1129" s="1906">
        <f t="shared" si="1192"/>
        <v>0</v>
      </c>
      <c r="BZ1129" s="1906">
        <f t="shared" si="1193"/>
        <v>0</v>
      </c>
      <c r="CA1129" s="1971" t="str">
        <f t="shared" si="1194"/>
        <v>CN bajo</v>
      </c>
      <c r="CB1129" s="1906">
        <f t="shared" si="1195"/>
        <v>0</v>
      </c>
      <c r="CC1129" s="1906">
        <f t="shared" si="1196"/>
        <v>0</v>
      </c>
      <c r="CD1129" s="1906">
        <f t="shared" si="1197"/>
        <v>0</v>
      </c>
      <c r="CE1129" s="1906">
        <f t="shared" si="1198"/>
        <v>0</v>
      </c>
      <c r="CF1129" s="1906">
        <f t="shared" si="1199"/>
        <v>0</v>
      </c>
      <c r="CG1129" s="1906">
        <f t="shared" si="1200"/>
        <v>0</v>
      </c>
      <c r="CH1129" s="1906">
        <f t="shared" si="1201"/>
        <v>0</v>
      </c>
      <c r="CI1129" s="1906">
        <f t="shared" si="1202"/>
        <v>0</v>
      </c>
      <c r="CJ1129" s="1906">
        <f t="shared" si="1203"/>
        <v>0</v>
      </c>
      <c r="CK1129" s="1906">
        <f t="shared" si="1203"/>
        <v>0</v>
      </c>
      <c r="CL1129" s="1906">
        <f t="shared" si="1203"/>
        <v>0</v>
      </c>
      <c r="CM1129" s="1906">
        <f t="shared" si="1203"/>
        <v>0</v>
      </c>
      <c r="CN1129" s="595" t="str">
        <f t="shared" si="1204"/>
        <v>CN bajo</v>
      </c>
      <c r="CO1129" s="1443">
        <f t="shared" si="1219"/>
        <v>0</v>
      </c>
      <c r="CQ1129" s="108" t="str">
        <f t="shared" si="1205"/>
        <v>CN bajo</v>
      </c>
      <c r="CR1129" s="1898">
        <f t="shared" si="1206"/>
        <v>0</v>
      </c>
      <c r="CS1129" s="1898">
        <f t="shared" si="1207"/>
        <v>0</v>
      </c>
      <c r="CT1129" s="1898">
        <f t="shared" si="1208"/>
        <v>0</v>
      </c>
      <c r="CU1129" s="1898">
        <f t="shared" si="1209"/>
        <v>0</v>
      </c>
      <c r="CV1129" s="1898">
        <f t="shared" si="1210"/>
        <v>0</v>
      </c>
      <c r="CW1129" s="1898">
        <f t="shared" si="1211"/>
        <v>0</v>
      </c>
      <c r="CX1129" s="1898">
        <f t="shared" si="1212"/>
        <v>0</v>
      </c>
      <c r="CY1129" s="1898">
        <f t="shared" si="1213"/>
        <v>0</v>
      </c>
      <c r="CZ1129" s="1898">
        <f t="shared" si="1214"/>
        <v>0</v>
      </c>
      <c r="DA1129" s="1898">
        <f t="shared" si="1215"/>
        <v>0</v>
      </c>
      <c r="DB1129" s="1898">
        <f t="shared" si="1216"/>
        <v>0</v>
      </c>
      <c r="DC1129" s="1898">
        <f t="shared" si="1217"/>
        <v>0</v>
      </c>
    </row>
    <row r="1130" spans="1:119" x14ac:dyDescent="0.2">
      <c r="A1130" s="1971">
        <f t="shared" si="1132"/>
        <v>0</v>
      </c>
      <c r="B1130" s="1906">
        <f t="shared" ref="B1130:M1130" si="1221">SUMIF(C$1054:C$1120,"feb"&amp;$B986,C$983:C$1049)</f>
        <v>0</v>
      </c>
      <c r="C1130" s="1906">
        <f t="shared" si="1221"/>
        <v>0</v>
      </c>
      <c r="D1130" s="1906">
        <f t="shared" si="1221"/>
        <v>0</v>
      </c>
      <c r="E1130" s="1906">
        <f t="shared" si="1221"/>
        <v>0</v>
      </c>
      <c r="F1130" s="1906">
        <f t="shared" si="1221"/>
        <v>0</v>
      </c>
      <c r="G1130" s="1906">
        <f t="shared" si="1221"/>
        <v>0</v>
      </c>
      <c r="H1130" s="1906">
        <f t="shared" si="1221"/>
        <v>0</v>
      </c>
      <c r="I1130" s="1906">
        <f t="shared" si="1134"/>
        <v>0</v>
      </c>
      <c r="J1130" s="1906">
        <f t="shared" si="1221"/>
        <v>0</v>
      </c>
      <c r="K1130" s="1906">
        <f t="shared" si="1221"/>
        <v>0</v>
      </c>
      <c r="L1130" s="1906">
        <f t="shared" si="1221"/>
        <v>0</v>
      </c>
      <c r="M1130" s="1906">
        <f t="shared" si="1221"/>
        <v>0</v>
      </c>
      <c r="N1130" s="107"/>
      <c r="O1130" s="1906"/>
      <c r="P1130" s="1906">
        <f t="shared" si="1135"/>
        <v>0</v>
      </c>
      <c r="Q1130" s="1906">
        <f t="shared" si="1136"/>
        <v>0</v>
      </c>
      <c r="R1130" s="1906">
        <f t="shared" si="1137"/>
        <v>0</v>
      </c>
      <c r="S1130" s="1906">
        <f t="shared" si="1138"/>
        <v>0</v>
      </c>
      <c r="T1130" s="1906">
        <f t="shared" si="1139"/>
        <v>0</v>
      </c>
      <c r="U1130" s="1906">
        <f t="shared" si="1140"/>
        <v>0</v>
      </c>
      <c r="V1130" s="1906">
        <f t="shared" si="1141"/>
        <v>0</v>
      </c>
      <c r="W1130" s="1906">
        <f t="shared" si="1142"/>
        <v>0</v>
      </c>
      <c r="X1130" s="1906">
        <f t="shared" si="1143"/>
        <v>0</v>
      </c>
      <c r="Y1130" s="1906">
        <f t="shared" si="1144"/>
        <v>0</v>
      </c>
      <c r="Z1130" s="1906">
        <f t="shared" si="1145"/>
        <v>0</v>
      </c>
      <c r="AA1130" s="107"/>
      <c r="AB1130" s="1906">
        <f t="shared" si="1146"/>
        <v>0</v>
      </c>
      <c r="AC1130" s="1906">
        <f t="shared" si="1147"/>
        <v>0</v>
      </c>
      <c r="AD1130" s="1906">
        <f t="shared" si="1148"/>
        <v>0</v>
      </c>
      <c r="AE1130" s="1906">
        <f t="shared" si="1149"/>
        <v>0</v>
      </c>
      <c r="AF1130" s="1906">
        <f t="shared" si="1150"/>
        <v>0</v>
      </c>
      <c r="AG1130" s="1906">
        <f t="shared" si="1151"/>
        <v>0</v>
      </c>
      <c r="AH1130" s="1906">
        <f t="shared" si="1152"/>
        <v>0</v>
      </c>
      <c r="AI1130" s="1906">
        <f t="shared" si="1153"/>
        <v>0</v>
      </c>
      <c r="AJ1130" s="1906">
        <f t="shared" si="1154"/>
        <v>0</v>
      </c>
      <c r="AK1130" s="1906">
        <f t="shared" si="1155"/>
        <v>0</v>
      </c>
      <c r="AL1130" s="1906">
        <f t="shared" si="1156"/>
        <v>0</v>
      </c>
      <c r="AM1130" s="1906">
        <f t="shared" si="1157"/>
        <v>0</v>
      </c>
      <c r="AN1130" s="107"/>
      <c r="AO1130" s="1906">
        <f t="shared" si="1158"/>
        <v>0</v>
      </c>
      <c r="AP1130" s="1906">
        <f t="shared" si="1159"/>
        <v>0</v>
      </c>
      <c r="AQ1130" s="1906">
        <f t="shared" si="1160"/>
        <v>0</v>
      </c>
      <c r="AR1130" s="1906">
        <f t="shared" si="1161"/>
        <v>0</v>
      </c>
      <c r="AS1130" s="1906">
        <f t="shared" si="1162"/>
        <v>0</v>
      </c>
      <c r="AT1130" s="1906">
        <f t="shared" si="1163"/>
        <v>0</v>
      </c>
      <c r="AU1130" s="1906">
        <f t="shared" si="1164"/>
        <v>0</v>
      </c>
      <c r="AV1130" s="1906">
        <f t="shared" si="1165"/>
        <v>0</v>
      </c>
      <c r="AW1130" s="1906">
        <f t="shared" si="1166"/>
        <v>0</v>
      </c>
      <c r="AX1130" s="1906">
        <f t="shared" si="1167"/>
        <v>0</v>
      </c>
      <c r="AY1130" s="1906">
        <f t="shared" si="1168"/>
        <v>0</v>
      </c>
      <c r="AZ1130" s="1906">
        <f t="shared" si="1169"/>
        <v>0</v>
      </c>
      <c r="BA1130" s="107"/>
      <c r="BB1130" s="1906">
        <f t="shared" si="1170"/>
        <v>0</v>
      </c>
      <c r="BC1130" s="1906">
        <f t="shared" si="1171"/>
        <v>0</v>
      </c>
      <c r="BD1130" s="1906">
        <f t="shared" si="1172"/>
        <v>0</v>
      </c>
      <c r="BE1130" s="1906">
        <f t="shared" si="1173"/>
        <v>0</v>
      </c>
      <c r="BF1130" s="1906">
        <f t="shared" si="1174"/>
        <v>0</v>
      </c>
      <c r="BG1130" s="1906">
        <f t="shared" si="1175"/>
        <v>0</v>
      </c>
      <c r="BH1130" s="1906">
        <f t="shared" si="1176"/>
        <v>0</v>
      </c>
      <c r="BI1130" s="1906">
        <f t="shared" si="1177"/>
        <v>0</v>
      </c>
      <c r="BJ1130" s="1906">
        <f t="shared" si="1178"/>
        <v>0</v>
      </c>
      <c r="BK1130" s="1906">
        <f t="shared" si="1179"/>
        <v>0</v>
      </c>
      <c r="BL1130" s="1906">
        <f t="shared" si="1180"/>
        <v>0</v>
      </c>
      <c r="BM1130" s="1906">
        <f t="shared" si="1181"/>
        <v>0</v>
      </c>
      <c r="BN1130" s="107"/>
      <c r="BO1130" s="1906">
        <f t="shared" si="1182"/>
        <v>0</v>
      </c>
      <c r="BP1130" s="1906">
        <f t="shared" si="1183"/>
        <v>0</v>
      </c>
      <c r="BQ1130" s="1906">
        <f t="shared" si="1184"/>
        <v>0</v>
      </c>
      <c r="BR1130" s="1906">
        <f t="shared" si="1185"/>
        <v>0</v>
      </c>
      <c r="BS1130" s="1906">
        <f t="shared" si="1186"/>
        <v>0</v>
      </c>
      <c r="BT1130" s="1906">
        <f t="shared" si="1187"/>
        <v>0</v>
      </c>
      <c r="BU1130" s="1906">
        <f t="shared" si="1188"/>
        <v>0</v>
      </c>
      <c r="BV1130" s="1906">
        <f t="shared" si="1189"/>
        <v>0</v>
      </c>
      <c r="BW1130" s="1906">
        <f t="shared" si="1190"/>
        <v>0</v>
      </c>
      <c r="BX1130" s="1906">
        <f t="shared" si="1191"/>
        <v>0</v>
      </c>
      <c r="BY1130" s="1906">
        <f t="shared" si="1192"/>
        <v>0</v>
      </c>
      <c r="BZ1130" s="1906">
        <f t="shared" si="1193"/>
        <v>0</v>
      </c>
      <c r="CA1130" s="1971">
        <f t="shared" si="1194"/>
        <v>0</v>
      </c>
      <c r="CB1130" s="1906">
        <f t="shared" si="1195"/>
        <v>0</v>
      </c>
      <c r="CC1130" s="1906">
        <f t="shared" si="1196"/>
        <v>0</v>
      </c>
      <c r="CD1130" s="1906">
        <f t="shared" si="1197"/>
        <v>0</v>
      </c>
      <c r="CE1130" s="1906">
        <f t="shared" si="1198"/>
        <v>0</v>
      </c>
      <c r="CF1130" s="1906">
        <f t="shared" si="1199"/>
        <v>0</v>
      </c>
      <c r="CG1130" s="1906">
        <f t="shared" si="1200"/>
        <v>0</v>
      </c>
      <c r="CH1130" s="1906">
        <f t="shared" si="1201"/>
        <v>0</v>
      </c>
      <c r="CI1130" s="1906">
        <f t="shared" si="1202"/>
        <v>0</v>
      </c>
      <c r="CJ1130" s="1906">
        <f t="shared" si="1203"/>
        <v>0</v>
      </c>
      <c r="CK1130" s="1906">
        <f t="shared" si="1203"/>
        <v>0</v>
      </c>
      <c r="CL1130" s="1906">
        <f t="shared" si="1203"/>
        <v>0</v>
      </c>
      <c r="CM1130" s="1906">
        <f t="shared" si="1203"/>
        <v>0</v>
      </c>
      <c r="CN1130" s="595">
        <f t="shared" si="1204"/>
        <v>0</v>
      </c>
      <c r="CO1130" s="1443">
        <f t="shared" si="1219"/>
        <v>0</v>
      </c>
      <c r="CQ1130" s="108">
        <f t="shared" si="1205"/>
        <v>0</v>
      </c>
      <c r="CR1130" s="1898">
        <f t="shared" si="1206"/>
        <v>0</v>
      </c>
      <c r="CS1130" s="1898">
        <f t="shared" si="1207"/>
        <v>0</v>
      </c>
      <c r="CT1130" s="1898">
        <f t="shared" si="1208"/>
        <v>0</v>
      </c>
      <c r="CU1130" s="1898">
        <f t="shared" si="1209"/>
        <v>0</v>
      </c>
      <c r="CV1130" s="1898">
        <f t="shared" si="1210"/>
        <v>0</v>
      </c>
      <c r="CW1130" s="1898">
        <f t="shared" si="1211"/>
        <v>0</v>
      </c>
      <c r="CX1130" s="1898">
        <f t="shared" si="1212"/>
        <v>0</v>
      </c>
      <c r="CY1130" s="1898">
        <f t="shared" si="1213"/>
        <v>0</v>
      </c>
      <c r="CZ1130" s="1898">
        <f t="shared" si="1214"/>
        <v>0</v>
      </c>
      <c r="DA1130" s="1898">
        <f t="shared" si="1215"/>
        <v>0</v>
      </c>
      <c r="DB1130" s="1898">
        <f t="shared" si="1216"/>
        <v>0</v>
      </c>
      <c r="DC1130" s="1898">
        <f t="shared" si="1217"/>
        <v>0</v>
      </c>
    </row>
    <row r="1131" spans="1:119" x14ac:dyDescent="0.2">
      <c r="A1131" s="1971" t="str">
        <f t="shared" si="1132"/>
        <v>Alfalfa 1</v>
      </c>
      <c r="B1131" s="1906">
        <f t="shared" ref="B1131:M1131" si="1222">SUMIF(C$1054:C$1120,"feb"&amp;$B987,C$983:C$1049)</f>
        <v>0</v>
      </c>
      <c r="C1131" s="1906">
        <f t="shared" si="1222"/>
        <v>0</v>
      </c>
      <c r="D1131" s="1906">
        <f t="shared" si="1222"/>
        <v>0</v>
      </c>
      <c r="E1131" s="1906">
        <f t="shared" si="1222"/>
        <v>0</v>
      </c>
      <c r="F1131" s="1906">
        <f t="shared" si="1222"/>
        <v>0</v>
      </c>
      <c r="G1131" s="1906">
        <f t="shared" si="1222"/>
        <v>0</v>
      </c>
      <c r="H1131" s="1906">
        <f t="shared" si="1222"/>
        <v>0</v>
      </c>
      <c r="I1131" s="1906">
        <f t="shared" si="1134"/>
        <v>0</v>
      </c>
      <c r="J1131" s="1906">
        <f t="shared" si="1222"/>
        <v>0</v>
      </c>
      <c r="K1131" s="1906">
        <f t="shared" si="1222"/>
        <v>0</v>
      </c>
      <c r="L1131" s="1906">
        <f t="shared" si="1222"/>
        <v>0</v>
      </c>
      <c r="M1131" s="1906">
        <f t="shared" si="1222"/>
        <v>0</v>
      </c>
      <c r="N1131" s="107"/>
      <c r="O1131" s="1906"/>
      <c r="P1131" s="1906">
        <f t="shared" si="1135"/>
        <v>0</v>
      </c>
      <c r="Q1131" s="1906">
        <f t="shared" si="1136"/>
        <v>0</v>
      </c>
      <c r="R1131" s="1906">
        <f t="shared" si="1137"/>
        <v>0</v>
      </c>
      <c r="S1131" s="1906">
        <f t="shared" si="1138"/>
        <v>0</v>
      </c>
      <c r="T1131" s="1906">
        <f t="shared" si="1139"/>
        <v>0</v>
      </c>
      <c r="U1131" s="1906">
        <f t="shared" si="1140"/>
        <v>0</v>
      </c>
      <c r="V1131" s="1906">
        <f t="shared" si="1141"/>
        <v>0</v>
      </c>
      <c r="W1131" s="1906">
        <f t="shared" si="1142"/>
        <v>0</v>
      </c>
      <c r="X1131" s="1906">
        <f t="shared" si="1143"/>
        <v>0</v>
      </c>
      <c r="Y1131" s="1906">
        <f t="shared" si="1144"/>
        <v>0</v>
      </c>
      <c r="Z1131" s="1906">
        <f t="shared" si="1145"/>
        <v>0</v>
      </c>
      <c r="AA1131" s="107"/>
      <c r="AB1131" s="1906">
        <f t="shared" si="1146"/>
        <v>0</v>
      </c>
      <c r="AC1131" s="1906">
        <f t="shared" si="1147"/>
        <v>0</v>
      </c>
      <c r="AD1131" s="1906">
        <f t="shared" si="1148"/>
        <v>0</v>
      </c>
      <c r="AE1131" s="1906">
        <f t="shared" si="1149"/>
        <v>0</v>
      </c>
      <c r="AF1131" s="1906">
        <f t="shared" si="1150"/>
        <v>0</v>
      </c>
      <c r="AG1131" s="1906">
        <f t="shared" si="1151"/>
        <v>0</v>
      </c>
      <c r="AH1131" s="1906">
        <f t="shared" si="1152"/>
        <v>0</v>
      </c>
      <c r="AI1131" s="1906">
        <f t="shared" si="1153"/>
        <v>0</v>
      </c>
      <c r="AJ1131" s="1906">
        <f t="shared" si="1154"/>
        <v>0</v>
      </c>
      <c r="AK1131" s="1906">
        <f t="shared" si="1155"/>
        <v>0</v>
      </c>
      <c r="AL1131" s="1906">
        <f t="shared" si="1156"/>
        <v>0</v>
      </c>
      <c r="AM1131" s="1906">
        <f t="shared" si="1157"/>
        <v>0</v>
      </c>
      <c r="AN1131" s="107"/>
      <c r="AO1131" s="1906">
        <f t="shared" si="1158"/>
        <v>0</v>
      </c>
      <c r="AP1131" s="1906">
        <f t="shared" si="1159"/>
        <v>0</v>
      </c>
      <c r="AQ1131" s="1906">
        <f t="shared" si="1160"/>
        <v>0</v>
      </c>
      <c r="AR1131" s="1906">
        <f t="shared" si="1161"/>
        <v>0</v>
      </c>
      <c r="AS1131" s="1906">
        <f t="shared" si="1162"/>
        <v>0</v>
      </c>
      <c r="AT1131" s="1906">
        <f t="shared" si="1163"/>
        <v>0</v>
      </c>
      <c r="AU1131" s="1906">
        <f t="shared" si="1164"/>
        <v>0</v>
      </c>
      <c r="AV1131" s="1906">
        <f t="shared" si="1165"/>
        <v>0</v>
      </c>
      <c r="AW1131" s="1906">
        <f t="shared" si="1166"/>
        <v>0</v>
      </c>
      <c r="AX1131" s="1906">
        <f t="shared" si="1167"/>
        <v>0</v>
      </c>
      <c r="AY1131" s="1906">
        <f t="shared" si="1168"/>
        <v>0</v>
      </c>
      <c r="AZ1131" s="1906">
        <f t="shared" si="1169"/>
        <v>0</v>
      </c>
      <c r="BA1131" s="107"/>
      <c r="BB1131" s="1906">
        <f t="shared" si="1170"/>
        <v>0</v>
      </c>
      <c r="BC1131" s="1906">
        <f t="shared" si="1171"/>
        <v>0</v>
      </c>
      <c r="BD1131" s="1906">
        <f t="shared" si="1172"/>
        <v>0</v>
      </c>
      <c r="BE1131" s="1906">
        <f t="shared" si="1173"/>
        <v>0</v>
      </c>
      <c r="BF1131" s="1906">
        <f t="shared" si="1174"/>
        <v>0</v>
      </c>
      <c r="BG1131" s="1906">
        <f t="shared" si="1175"/>
        <v>0</v>
      </c>
      <c r="BH1131" s="1906">
        <f t="shared" si="1176"/>
        <v>0</v>
      </c>
      <c r="BI1131" s="1906">
        <f t="shared" si="1177"/>
        <v>0</v>
      </c>
      <c r="BJ1131" s="1906">
        <f t="shared" si="1178"/>
        <v>0</v>
      </c>
      <c r="BK1131" s="1906">
        <f t="shared" si="1179"/>
        <v>0</v>
      </c>
      <c r="BL1131" s="1906">
        <f t="shared" si="1180"/>
        <v>0</v>
      </c>
      <c r="BM1131" s="1906">
        <f t="shared" si="1181"/>
        <v>0</v>
      </c>
      <c r="BN1131" s="107"/>
      <c r="BO1131" s="1906">
        <f t="shared" si="1182"/>
        <v>0</v>
      </c>
      <c r="BP1131" s="1906">
        <f t="shared" si="1183"/>
        <v>0</v>
      </c>
      <c r="BQ1131" s="1906">
        <f t="shared" si="1184"/>
        <v>0</v>
      </c>
      <c r="BR1131" s="1906">
        <f t="shared" si="1185"/>
        <v>0</v>
      </c>
      <c r="BS1131" s="1906">
        <f t="shared" si="1186"/>
        <v>0</v>
      </c>
      <c r="BT1131" s="1906">
        <f t="shared" si="1187"/>
        <v>0</v>
      </c>
      <c r="BU1131" s="1906">
        <f t="shared" si="1188"/>
        <v>0</v>
      </c>
      <c r="BV1131" s="1906">
        <f t="shared" si="1189"/>
        <v>0</v>
      </c>
      <c r="BW1131" s="1906">
        <f t="shared" si="1190"/>
        <v>0</v>
      </c>
      <c r="BX1131" s="1906">
        <f t="shared" si="1191"/>
        <v>0</v>
      </c>
      <c r="BY1131" s="1906">
        <f t="shared" si="1192"/>
        <v>0</v>
      </c>
      <c r="BZ1131" s="1906">
        <f t="shared" si="1193"/>
        <v>0</v>
      </c>
      <c r="CA1131" s="1971" t="str">
        <f t="shared" si="1194"/>
        <v>Alfalfa 1</v>
      </c>
      <c r="CB1131" s="1906">
        <f t="shared" si="1195"/>
        <v>0</v>
      </c>
      <c r="CC1131" s="1906">
        <f t="shared" si="1196"/>
        <v>0</v>
      </c>
      <c r="CD1131" s="1906">
        <f t="shared" si="1197"/>
        <v>0</v>
      </c>
      <c r="CE1131" s="1906">
        <f t="shared" si="1198"/>
        <v>0</v>
      </c>
      <c r="CF1131" s="1906">
        <f t="shared" si="1199"/>
        <v>0</v>
      </c>
      <c r="CG1131" s="1906">
        <f t="shared" si="1200"/>
        <v>0</v>
      </c>
      <c r="CH1131" s="1906">
        <f t="shared" si="1201"/>
        <v>0</v>
      </c>
      <c r="CI1131" s="1906">
        <f t="shared" si="1202"/>
        <v>0</v>
      </c>
      <c r="CJ1131" s="1906">
        <f t="shared" si="1203"/>
        <v>0</v>
      </c>
      <c r="CK1131" s="1906">
        <f t="shared" si="1203"/>
        <v>0</v>
      </c>
      <c r="CL1131" s="1906">
        <f t="shared" si="1203"/>
        <v>0</v>
      </c>
      <c r="CM1131" s="1906">
        <f t="shared" si="1203"/>
        <v>0</v>
      </c>
      <c r="CN1131" s="595" t="str">
        <f t="shared" si="1204"/>
        <v>Alfalfa 1</v>
      </c>
      <c r="CO1131" s="1443">
        <f t="shared" si="1219"/>
        <v>0</v>
      </c>
      <c r="CQ1131" s="108" t="str">
        <f t="shared" si="1205"/>
        <v>Alfalfa 1</v>
      </c>
      <c r="CR1131" s="1898">
        <f t="shared" si="1206"/>
        <v>0</v>
      </c>
      <c r="CS1131" s="1898">
        <f t="shared" si="1207"/>
        <v>0</v>
      </c>
      <c r="CT1131" s="1898">
        <f t="shared" si="1208"/>
        <v>0</v>
      </c>
      <c r="CU1131" s="1898">
        <f t="shared" si="1209"/>
        <v>0</v>
      </c>
      <c r="CV1131" s="1898">
        <f t="shared" si="1210"/>
        <v>0</v>
      </c>
      <c r="CW1131" s="1898">
        <f t="shared" si="1211"/>
        <v>0</v>
      </c>
      <c r="CX1131" s="1898">
        <f t="shared" si="1212"/>
        <v>0</v>
      </c>
      <c r="CY1131" s="1898">
        <f t="shared" si="1213"/>
        <v>0</v>
      </c>
      <c r="CZ1131" s="1898">
        <f t="shared" si="1214"/>
        <v>0</v>
      </c>
      <c r="DA1131" s="1898">
        <f t="shared" si="1215"/>
        <v>0</v>
      </c>
      <c r="DB1131" s="1898">
        <f t="shared" si="1216"/>
        <v>0</v>
      </c>
      <c r="DC1131" s="1898">
        <f t="shared" si="1217"/>
        <v>0</v>
      </c>
    </row>
    <row r="1132" spans="1:119" x14ac:dyDescent="0.2">
      <c r="A1132" s="1971" t="str">
        <f t="shared" si="1132"/>
        <v>PP 1</v>
      </c>
      <c r="B1132" s="1906">
        <f t="shared" ref="B1132:M1132" si="1223">SUMIF(C$1054:C$1120,"feb"&amp;$B988,C$983:C$1049)</f>
        <v>0</v>
      </c>
      <c r="C1132" s="1906">
        <f t="shared" si="1223"/>
        <v>0</v>
      </c>
      <c r="D1132" s="1906">
        <f t="shared" si="1223"/>
        <v>0</v>
      </c>
      <c r="E1132" s="1906">
        <f t="shared" si="1223"/>
        <v>0</v>
      </c>
      <c r="F1132" s="1906">
        <f t="shared" si="1223"/>
        <v>0</v>
      </c>
      <c r="G1132" s="1906">
        <f t="shared" si="1223"/>
        <v>0</v>
      </c>
      <c r="H1132" s="1906">
        <f t="shared" si="1223"/>
        <v>0</v>
      </c>
      <c r="I1132" s="1906">
        <f t="shared" si="1134"/>
        <v>0</v>
      </c>
      <c r="J1132" s="1906">
        <f t="shared" si="1223"/>
        <v>0</v>
      </c>
      <c r="K1132" s="1906">
        <f t="shared" si="1223"/>
        <v>0</v>
      </c>
      <c r="L1132" s="1906">
        <f t="shared" si="1223"/>
        <v>0</v>
      </c>
      <c r="M1132" s="1906">
        <f t="shared" si="1223"/>
        <v>0</v>
      </c>
      <c r="N1132" s="107"/>
      <c r="O1132" s="1906"/>
      <c r="P1132" s="1906">
        <f t="shared" si="1135"/>
        <v>0</v>
      </c>
      <c r="Q1132" s="1906">
        <f t="shared" si="1136"/>
        <v>0</v>
      </c>
      <c r="R1132" s="1906">
        <f t="shared" si="1137"/>
        <v>0</v>
      </c>
      <c r="S1132" s="1906">
        <f t="shared" si="1138"/>
        <v>0</v>
      </c>
      <c r="T1132" s="1906">
        <f t="shared" si="1139"/>
        <v>0</v>
      </c>
      <c r="U1132" s="1906">
        <f t="shared" si="1140"/>
        <v>0</v>
      </c>
      <c r="V1132" s="1906">
        <f t="shared" si="1141"/>
        <v>0</v>
      </c>
      <c r="W1132" s="1906">
        <f t="shared" si="1142"/>
        <v>0</v>
      </c>
      <c r="X1132" s="1906">
        <f t="shared" si="1143"/>
        <v>0</v>
      </c>
      <c r="Y1132" s="1906">
        <f t="shared" si="1144"/>
        <v>0</v>
      </c>
      <c r="Z1132" s="1906">
        <f t="shared" si="1145"/>
        <v>0</v>
      </c>
      <c r="AA1132" s="107"/>
      <c r="AB1132" s="1906">
        <f t="shared" si="1146"/>
        <v>0</v>
      </c>
      <c r="AC1132" s="1906">
        <f t="shared" si="1147"/>
        <v>0</v>
      </c>
      <c r="AD1132" s="1906">
        <f t="shared" si="1148"/>
        <v>0</v>
      </c>
      <c r="AE1132" s="1906">
        <f t="shared" si="1149"/>
        <v>0</v>
      </c>
      <c r="AF1132" s="1906">
        <f t="shared" si="1150"/>
        <v>0</v>
      </c>
      <c r="AG1132" s="1906">
        <f t="shared" si="1151"/>
        <v>0</v>
      </c>
      <c r="AH1132" s="1906">
        <f t="shared" si="1152"/>
        <v>0</v>
      </c>
      <c r="AI1132" s="1906">
        <f t="shared" si="1153"/>
        <v>0</v>
      </c>
      <c r="AJ1132" s="1906">
        <f t="shared" si="1154"/>
        <v>0</v>
      </c>
      <c r="AK1132" s="1906">
        <f t="shared" si="1155"/>
        <v>0</v>
      </c>
      <c r="AL1132" s="1906">
        <f t="shared" si="1156"/>
        <v>0</v>
      </c>
      <c r="AM1132" s="1906">
        <f t="shared" si="1157"/>
        <v>0</v>
      </c>
      <c r="AN1132" s="107"/>
      <c r="AO1132" s="1906">
        <f t="shared" si="1158"/>
        <v>0</v>
      </c>
      <c r="AP1132" s="1906">
        <f t="shared" si="1159"/>
        <v>0</v>
      </c>
      <c r="AQ1132" s="1906">
        <f t="shared" si="1160"/>
        <v>0</v>
      </c>
      <c r="AR1132" s="1906">
        <f t="shared" si="1161"/>
        <v>0</v>
      </c>
      <c r="AS1132" s="1906">
        <f t="shared" si="1162"/>
        <v>0</v>
      </c>
      <c r="AT1132" s="1906">
        <f t="shared" si="1163"/>
        <v>0</v>
      </c>
      <c r="AU1132" s="1906">
        <f t="shared" si="1164"/>
        <v>0</v>
      </c>
      <c r="AV1132" s="1906">
        <f t="shared" si="1165"/>
        <v>0</v>
      </c>
      <c r="AW1132" s="1906">
        <f t="shared" si="1166"/>
        <v>0</v>
      </c>
      <c r="AX1132" s="1906">
        <f t="shared" si="1167"/>
        <v>0</v>
      </c>
      <c r="AY1132" s="1906">
        <f t="shared" si="1168"/>
        <v>0</v>
      </c>
      <c r="AZ1132" s="1906">
        <f t="shared" si="1169"/>
        <v>0</v>
      </c>
      <c r="BA1132" s="107"/>
      <c r="BB1132" s="1906">
        <f t="shared" si="1170"/>
        <v>0</v>
      </c>
      <c r="BC1132" s="1906">
        <f t="shared" si="1171"/>
        <v>0</v>
      </c>
      <c r="BD1132" s="1906">
        <f t="shared" si="1172"/>
        <v>0</v>
      </c>
      <c r="BE1132" s="1906">
        <f t="shared" si="1173"/>
        <v>0</v>
      </c>
      <c r="BF1132" s="1906">
        <f t="shared" si="1174"/>
        <v>0</v>
      </c>
      <c r="BG1132" s="1906">
        <f t="shared" si="1175"/>
        <v>0</v>
      </c>
      <c r="BH1132" s="1906">
        <f t="shared" si="1176"/>
        <v>0</v>
      </c>
      <c r="BI1132" s="1906">
        <f t="shared" si="1177"/>
        <v>0</v>
      </c>
      <c r="BJ1132" s="1906">
        <f t="shared" si="1178"/>
        <v>0</v>
      </c>
      <c r="BK1132" s="1906">
        <f t="shared" si="1179"/>
        <v>0</v>
      </c>
      <c r="BL1132" s="1906">
        <f t="shared" si="1180"/>
        <v>0</v>
      </c>
      <c r="BM1132" s="1906">
        <f t="shared" si="1181"/>
        <v>0</v>
      </c>
      <c r="BN1132" s="107"/>
      <c r="BO1132" s="1906">
        <f t="shared" si="1182"/>
        <v>0</v>
      </c>
      <c r="BP1132" s="1906">
        <f t="shared" si="1183"/>
        <v>0</v>
      </c>
      <c r="BQ1132" s="1906">
        <f t="shared" si="1184"/>
        <v>0</v>
      </c>
      <c r="BR1132" s="1906">
        <f t="shared" si="1185"/>
        <v>0</v>
      </c>
      <c r="BS1132" s="1906">
        <f t="shared" si="1186"/>
        <v>0</v>
      </c>
      <c r="BT1132" s="1906">
        <f t="shared" si="1187"/>
        <v>0</v>
      </c>
      <c r="BU1132" s="1906">
        <f t="shared" si="1188"/>
        <v>0</v>
      </c>
      <c r="BV1132" s="1906">
        <f t="shared" si="1189"/>
        <v>0</v>
      </c>
      <c r="BW1132" s="1906">
        <f t="shared" si="1190"/>
        <v>0</v>
      </c>
      <c r="BX1132" s="1906">
        <f t="shared" si="1191"/>
        <v>0</v>
      </c>
      <c r="BY1132" s="1906">
        <f t="shared" si="1192"/>
        <v>0</v>
      </c>
      <c r="BZ1132" s="1906">
        <f t="shared" si="1193"/>
        <v>0</v>
      </c>
      <c r="CA1132" s="1971" t="str">
        <f t="shared" si="1194"/>
        <v>PP 1</v>
      </c>
      <c r="CB1132" s="1906">
        <f t="shared" si="1195"/>
        <v>0</v>
      </c>
      <c r="CC1132" s="1906">
        <f t="shared" si="1196"/>
        <v>0</v>
      </c>
      <c r="CD1132" s="1906">
        <f t="shared" si="1197"/>
        <v>0</v>
      </c>
      <c r="CE1132" s="1906">
        <f t="shared" si="1198"/>
        <v>0</v>
      </c>
      <c r="CF1132" s="1906">
        <f t="shared" si="1199"/>
        <v>0</v>
      </c>
      <c r="CG1132" s="1906">
        <f t="shared" si="1200"/>
        <v>0</v>
      </c>
      <c r="CH1132" s="1906">
        <f t="shared" si="1201"/>
        <v>0</v>
      </c>
      <c r="CI1132" s="1906">
        <f t="shared" si="1202"/>
        <v>0</v>
      </c>
      <c r="CJ1132" s="1906">
        <f t="shared" si="1203"/>
        <v>0</v>
      </c>
      <c r="CK1132" s="1906">
        <f t="shared" si="1203"/>
        <v>0</v>
      </c>
      <c r="CL1132" s="1906">
        <f t="shared" si="1203"/>
        <v>0</v>
      </c>
      <c r="CM1132" s="1906">
        <f t="shared" si="1203"/>
        <v>0</v>
      </c>
      <c r="CN1132" s="595" t="str">
        <f t="shared" si="1204"/>
        <v>PP 1</v>
      </c>
      <c r="CO1132" s="1443">
        <f t="shared" si="1219"/>
        <v>0</v>
      </c>
      <c r="CQ1132" s="108" t="str">
        <f t="shared" si="1205"/>
        <v>PP 1</v>
      </c>
      <c r="CR1132" s="1898">
        <f t="shared" si="1206"/>
        <v>0</v>
      </c>
      <c r="CS1132" s="1898">
        <f t="shared" si="1207"/>
        <v>0</v>
      </c>
      <c r="CT1132" s="1898">
        <f t="shared" si="1208"/>
        <v>0</v>
      </c>
      <c r="CU1132" s="1898">
        <f t="shared" si="1209"/>
        <v>0</v>
      </c>
      <c r="CV1132" s="1898">
        <f t="shared" si="1210"/>
        <v>0</v>
      </c>
      <c r="CW1132" s="1898">
        <f t="shared" si="1211"/>
        <v>0</v>
      </c>
      <c r="CX1132" s="1898">
        <f t="shared" si="1212"/>
        <v>0</v>
      </c>
      <c r="CY1132" s="1898">
        <f t="shared" si="1213"/>
        <v>0</v>
      </c>
      <c r="CZ1132" s="1898">
        <f t="shared" si="1214"/>
        <v>0</v>
      </c>
      <c r="DA1132" s="1898">
        <f t="shared" si="1215"/>
        <v>0</v>
      </c>
      <c r="DB1132" s="1898">
        <f t="shared" si="1216"/>
        <v>0</v>
      </c>
      <c r="DC1132" s="1898">
        <f t="shared" si="1217"/>
        <v>0</v>
      </c>
    </row>
    <row r="1133" spans="1:119" x14ac:dyDescent="0.2">
      <c r="A1133" s="1971" t="str">
        <f t="shared" si="1132"/>
        <v>Prad 1</v>
      </c>
      <c r="B1133" s="1906">
        <f t="shared" ref="B1133:M1133" si="1224">SUMIF(C$1054:C$1120,"feb"&amp;$B989,C$983:C$1049)</f>
        <v>0</v>
      </c>
      <c r="C1133" s="1906">
        <f t="shared" si="1224"/>
        <v>0</v>
      </c>
      <c r="D1133" s="1906">
        <f t="shared" si="1224"/>
        <v>0</v>
      </c>
      <c r="E1133" s="1906">
        <f t="shared" si="1224"/>
        <v>0</v>
      </c>
      <c r="F1133" s="1906">
        <f t="shared" si="1224"/>
        <v>0</v>
      </c>
      <c r="G1133" s="1906">
        <f t="shared" si="1224"/>
        <v>0</v>
      </c>
      <c r="H1133" s="1906">
        <f t="shared" si="1224"/>
        <v>0</v>
      </c>
      <c r="I1133" s="1906">
        <f t="shared" si="1134"/>
        <v>0</v>
      </c>
      <c r="J1133" s="1906">
        <f t="shared" si="1224"/>
        <v>0</v>
      </c>
      <c r="K1133" s="1906">
        <f t="shared" si="1224"/>
        <v>0</v>
      </c>
      <c r="L1133" s="1906">
        <f t="shared" si="1224"/>
        <v>0</v>
      </c>
      <c r="M1133" s="1906">
        <f t="shared" si="1224"/>
        <v>0</v>
      </c>
      <c r="N1133" s="107"/>
      <c r="O1133" s="1906"/>
      <c r="P1133" s="1906">
        <f t="shared" si="1135"/>
        <v>0</v>
      </c>
      <c r="Q1133" s="1906">
        <f t="shared" si="1136"/>
        <v>0</v>
      </c>
      <c r="R1133" s="1906">
        <f t="shared" si="1137"/>
        <v>0</v>
      </c>
      <c r="S1133" s="1906">
        <f t="shared" si="1138"/>
        <v>0</v>
      </c>
      <c r="T1133" s="1906">
        <f t="shared" si="1139"/>
        <v>0</v>
      </c>
      <c r="U1133" s="1906">
        <f t="shared" si="1140"/>
        <v>0</v>
      </c>
      <c r="V1133" s="1906">
        <f t="shared" si="1141"/>
        <v>0</v>
      </c>
      <c r="W1133" s="1906">
        <f t="shared" si="1142"/>
        <v>0</v>
      </c>
      <c r="X1133" s="1906">
        <f t="shared" si="1143"/>
        <v>0</v>
      </c>
      <c r="Y1133" s="1906">
        <f t="shared" si="1144"/>
        <v>0</v>
      </c>
      <c r="Z1133" s="1906">
        <f t="shared" si="1145"/>
        <v>0</v>
      </c>
      <c r="AA1133" s="107"/>
      <c r="AB1133" s="1906">
        <f t="shared" si="1146"/>
        <v>0</v>
      </c>
      <c r="AC1133" s="1906">
        <f t="shared" si="1147"/>
        <v>0</v>
      </c>
      <c r="AD1133" s="1906">
        <f t="shared" si="1148"/>
        <v>0</v>
      </c>
      <c r="AE1133" s="1906">
        <f t="shared" si="1149"/>
        <v>0</v>
      </c>
      <c r="AF1133" s="1906">
        <f t="shared" si="1150"/>
        <v>0</v>
      </c>
      <c r="AG1133" s="1906">
        <f t="shared" si="1151"/>
        <v>0</v>
      </c>
      <c r="AH1133" s="1906">
        <f t="shared" si="1152"/>
        <v>0</v>
      </c>
      <c r="AI1133" s="1906">
        <f t="shared" si="1153"/>
        <v>0</v>
      </c>
      <c r="AJ1133" s="1906">
        <f t="shared" si="1154"/>
        <v>0</v>
      </c>
      <c r="AK1133" s="1906">
        <f t="shared" si="1155"/>
        <v>0</v>
      </c>
      <c r="AL1133" s="1906">
        <f t="shared" si="1156"/>
        <v>0</v>
      </c>
      <c r="AM1133" s="1906">
        <f t="shared" si="1157"/>
        <v>0</v>
      </c>
      <c r="AN1133" s="107"/>
      <c r="AO1133" s="1906">
        <f t="shared" si="1158"/>
        <v>0</v>
      </c>
      <c r="AP1133" s="1906">
        <f t="shared" si="1159"/>
        <v>0</v>
      </c>
      <c r="AQ1133" s="1906">
        <f t="shared" si="1160"/>
        <v>0</v>
      </c>
      <c r="AR1133" s="1906">
        <f t="shared" si="1161"/>
        <v>0</v>
      </c>
      <c r="AS1133" s="1906">
        <f t="shared" si="1162"/>
        <v>0</v>
      </c>
      <c r="AT1133" s="1906">
        <f t="shared" si="1163"/>
        <v>0</v>
      </c>
      <c r="AU1133" s="1906">
        <f t="shared" si="1164"/>
        <v>0</v>
      </c>
      <c r="AV1133" s="1906">
        <f t="shared" si="1165"/>
        <v>0</v>
      </c>
      <c r="AW1133" s="1906">
        <f t="shared" si="1166"/>
        <v>0</v>
      </c>
      <c r="AX1133" s="1906">
        <f t="shared" si="1167"/>
        <v>0</v>
      </c>
      <c r="AY1133" s="1906">
        <f t="shared" si="1168"/>
        <v>0</v>
      </c>
      <c r="AZ1133" s="1906">
        <f t="shared" si="1169"/>
        <v>0</v>
      </c>
      <c r="BA1133" s="107"/>
      <c r="BB1133" s="1906">
        <f t="shared" si="1170"/>
        <v>0</v>
      </c>
      <c r="BC1133" s="1906">
        <f t="shared" si="1171"/>
        <v>0</v>
      </c>
      <c r="BD1133" s="1906">
        <f t="shared" si="1172"/>
        <v>0</v>
      </c>
      <c r="BE1133" s="1906">
        <f t="shared" si="1173"/>
        <v>0</v>
      </c>
      <c r="BF1133" s="1906">
        <f t="shared" si="1174"/>
        <v>0</v>
      </c>
      <c r="BG1133" s="1906">
        <f t="shared" si="1175"/>
        <v>0</v>
      </c>
      <c r="BH1133" s="1906">
        <f t="shared" si="1176"/>
        <v>0</v>
      </c>
      <c r="BI1133" s="1906">
        <f t="shared" si="1177"/>
        <v>0</v>
      </c>
      <c r="BJ1133" s="1906">
        <f t="shared" si="1178"/>
        <v>0</v>
      </c>
      <c r="BK1133" s="1906">
        <f t="shared" si="1179"/>
        <v>0</v>
      </c>
      <c r="BL1133" s="1906">
        <f t="shared" si="1180"/>
        <v>0</v>
      </c>
      <c r="BM1133" s="1906">
        <f t="shared" si="1181"/>
        <v>0</v>
      </c>
      <c r="BN1133" s="107"/>
      <c r="BO1133" s="1906">
        <f t="shared" si="1182"/>
        <v>0</v>
      </c>
      <c r="BP1133" s="1906">
        <f t="shared" si="1183"/>
        <v>0</v>
      </c>
      <c r="BQ1133" s="1906">
        <f t="shared" si="1184"/>
        <v>0</v>
      </c>
      <c r="BR1133" s="1906">
        <f t="shared" si="1185"/>
        <v>0</v>
      </c>
      <c r="BS1133" s="1906">
        <f t="shared" si="1186"/>
        <v>0</v>
      </c>
      <c r="BT1133" s="1906">
        <f t="shared" si="1187"/>
        <v>0</v>
      </c>
      <c r="BU1133" s="1906">
        <f t="shared" si="1188"/>
        <v>0</v>
      </c>
      <c r="BV1133" s="1906">
        <f t="shared" si="1189"/>
        <v>0</v>
      </c>
      <c r="BW1133" s="1906">
        <f t="shared" si="1190"/>
        <v>0</v>
      </c>
      <c r="BX1133" s="1906">
        <f t="shared" si="1191"/>
        <v>0</v>
      </c>
      <c r="BY1133" s="1906">
        <f t="shared" si="1192"/>
        <v>0</v>
      </c>
      <c r="BZ1133" s="1906">
        <f t="shared" si="1193"/>
        <v>0</v>
      </c>
      <c r="CA1133" s="1971" t="str">
        <f t="shared" si="1194"/>
        <v>Prad 1</v>
      </c>
      <c r="CB1133" s="1906">
        <f t="shared" si="1195"/>
        <v>0</v>
      </c>
      <c r="CC1133" s="1906">
        <f t="shared" si="1196"/>
        <v>0</v>
      </c>
      <c r="CD1133" s="1906">
        <f t="shared" si="1197"/>
        <v>0</v>
      </c>
      <c r="CE1133" s="1906">
        <f t="shared" si="1198"/>
        <v>0</v>
      </c>
      <c r="CF1133" s="1906">
        <f t="shared" si="1199"/>
        <v>0</v>
      </c>
      <c r="CG1133" s="1906">
        <f t="shared" si="1200"/>
        <v>0</v>
      </c>
      <c r="CH1133" s="1906">
        <f t="shared" si="1201"/>
        <v>0</v>
      </c>
      <c r="CI1133" s="1906">
        <f t="shared" si="1202"/>
        <v>0</v>
      </c>
      <c r="CJ1133" s="1906">
        <f t="shared" ref="CJ1133:CJ1194" si="1225">+J1133+W1133+AJ1133+AW1133+BJ1133+BW1133</f>
        <v>0</v>
      </c>
      <c r="CK1133" s="1906">
        <f t="shared" ref="CK1133:CK1194" si="1226">+K1133+X1133+AK1133+AX1133+BK1133+BX1133</f>
        <v>0</v>
      </c>
      <c r="CL1133" s="1906">
        <f t="shared" ref="CL1133:CL1194" si="1227">+L1133+Y1133+AL1133+AY1133+BL1133+BY1133</f>
        <v>0</v>
      </c>
      <c r="CM1133" s="1906">
        <f t="shared" ref="CM1133:CM1194" si="1228">+M1133+Z1133+AM1133+AZ1133+BM1133+BZ1133</f>
        <v>0</v>
      </c>
      <c r="CN1133" s="595" t="str">
        <f t="shared" si="1204"/>
        <v>Prad 1</v>
      </c>
      <c r="CO1133" s="1443">
        <f t="shared" si="1219"/>
        <v>0</v>
      </c>
      <c r="CQ1133" s="108" t="str">
        <f t="shared" si="1205"/>
        <v>Prad 1</v>
      </c>
      <c r="CR1133" s="1898">
        <f t="shared" si="1206"/>
        <v>0</v>
      </c>
      <c r="CS1133" s="1898">
        <f t="shared" si="1207"/>
        <v>0</v>
      </c>
      <c r="CT1133" s="1898">
        <f t="shared" si="1208"/>
        <v>0</v>
      </c>
      <c r="CU1133" s="1898">
        <f t="shared" si="1209"/>
        <v>0</v>
      </c>
      <c r="CV1133" s="1898">
        <f t="shared" si="1210"/>
        <v>0</v>
      </c>
      <c r="CW1133" s="1898">
        <f t="shared" si="1211"/>
        <v>0</v>
      </c>
      <c r="CX1133" s="1898">
        <f t="shared" si="1212"/>
        <v>0</v>
      </c>
      <c r="CY1133" s="1898">
        <f t="shared" si="1213"/>
        <v>0</v>
      </c>
      <c r="CZ1133" s="1898">
        <f t="shared" si="1214"/>
        <v>0</v>
      </c>
      <c r="DA1133" s="1898">
        <f t="shared" si="1215"/>
        <v>0</v>
      </c>
      <c r="DB1133" s="1898">
        <f t="shared" si="1216"/>
        <v>0</v>
      </c>
      <c r="DC1133" s="1898">
        <f t="shared" si="1217"/>
        <v>0</v>
      </c>
    </row>
    <row r="1134" spans="1:119" x14ac:dyDescent="0.2">
      <c r="A1134" s="1971" t="str">
        <f t="shared" si="1132"/>
        <v>Trébol Rojo 1</v>
      </c>
      <c r="B1134" s="1906">
        <f t="shared" ref="B1134:M1134" si="1229">SUMIF(C$1054:C$1120,"feb"&amp;$B990,C$983:C$1049)</f>
        <v>0</v>
      </c>
      <c r="C1134" s="1906">
        <f t="shared" si="1229"/>
        <v>0</v>
      </c>
      <c r="D1134" s="1906">
        <f t="shared" si="1229"/>
        <v>0</v>
      </c>
      <c r="E1134" s="1906">
        <f t="shared" si="1229"/>
        <v>0</v>
      </c>
      <c r="F1134" s="1906">
        <f t="shared" si="1229"/>
        <v>0</v>
      </c>
      <c r="G1134" s="1906">
        <f t="shared" si="1229"/>
        <v>0</v>
      </c>
      <c r="H1134" s="1906">
        <f t="shared" si="1229"/>
        <v>0</v>
      </c>
      <c r="I1134" s="1906">
        <f t="shared" si="1134"/>
        <v>0</v>
      </c>
      <c r="J1134" s="1906">
        <f t="shared" si="1229"/>
        <v>0</v>
      </c>
      <c r="K1134" s="1906">
        <f t="shared" si="1229"/>
        <v>0</v>
      </c>
      <c r="L1134" s="1906">
        <f t="shared" si="1229"/>
        <v>0</v>
      </c>
      <c r="M1134" s="1906">
        <f t="shared" si="1229"/>
        <v>0</v>
      </c>
      <c r="N1134" s="107"/>
      <c r="O1134" s="1906"/>
      <c r="P1134" s="1906">
        <f t="shared" si="1135"/>
        <v>0</v>
      </c>
      <c r="Q1134" s="1906">
        <f t="shared" si="1136"/>
        <v>0</v>
      </c>
      <c r="R1134" s="1906">
        <f t="shared" si="1137"/>
        <v>0</v>
      </c>
      <c r="S1134" s="1906">
        <f t="shared" si="1138"/>
        <v>0</v>
      </c>
      <c r="T1134" s="1906">
        <f t="shared" si="1139"/>
        <v>0</v>
      </c>
      <c r="U1134" s="1906">
        <f t="shared" si="1140"/>
        <v>0</v>
      </c>
      <c r="V1134" s="1906">
        <f t="shared" si="1141"/>
        <v>0</v>
      </c>
      <c r="W1134" s="1906">
        <f t="shared" si="1142"/>
        <v>0</v>
      </c>
      <c r="X1134" s="1906">
        <f t="shared" si="1143"/>
        <v>0</v>
      </c>
      <c r="Y1134" s="1906">
        <f t="shared" si="1144"/>
        <v>0</v>
      </c>
      <c r="Z1134" s="1906">
        <f t="shared" si="1145"/>
        <v>0</v>
      </c>
      <c r="AA1134" s="107"/>
      <c r="AB1134" s="1906">
        <f t="shared" si="1146"/>
        <v>0</v>
      </c>
      <c r="AC1134" s="1906">
        <f t="shared" si="1147"/>
        <v>0</v>
      </c>
      <c r="AD1134" s="1906">
        <f t="shared" si="1148"/>
        <v>0</v>
      </c>
      <c r="AE1134" s="1906">
        <f t="shared" si="1149"/>
        <v>0</v>
      </c>
      <c r="AF1134" s="1906">
        <f t="shared" si="1150"/>
        <v>0</v>
      </c>
      <c r="AG1134" s="1906">
        <f t="shared" si="1151"/>
        <v>0</v>
      </c>
      <c r="AH1134" s="1906">
        <f t="shared" si="1152"/>
        <v>0</v>
      </c>
      <c r="AI1134" s="1906">
        <f t="shared" si="1153"/>
        <v>0</v>
      </c>
      <c r="AJ1134" s="1906">
        <f t="shared" si="1154"/>
        <v>0</v>
      </c>
      <c r="AK1134" s="1906">
        <f t="shared" si="1155"/>
        <v>0</v>
      </c>
      <c r="AL1134" s="1906">
        <f t="shared" si="1156"/>
        <v>0</v>
      </c>
      <c r="AM1134" s="1906">
        <f t="shared" si="1157"/>
        <v>0</v>
      </c>
      <c r="AN1134" s="107"/>
      <c r="AO1134" s="1906">
        <f t="shared" si="1158"/>
        <v>0</v>
      </c>
      <c r="AP1134" s="1906">
        <f t="shared" si="1159"/>
        <v>0</v>
      </c>
      <c r="AQ1134" s="1906">
        <f t="shared" si="1160"/>
        <v>0</v>
      </c>
      <c r="AR1134" s="1906">
        <f t="shared" si="1161"/>
        <v>0</v>
      </c>
      <c r="AS1134" s="1906">
        <f t="shared" si="1162"/>
        <v>0</v>
      </c>
      <c r="AT1134" s="1906">
        <f t="shared" si="1163"/>
        <v>0</v>
      </c>
      <c r="AU1134" s="1906">
        <f t="shared" si="1164"/>
        <v>0</v>
      </c>
      <c r="AV1134" s="1906">
        <f t="shared" si="1165"/>
        <v>0</v>
      </c>
      <c r="AW1134" s="1906">
        <f t="shared" si="1166"/>
        <v>0</v>
      </c>
      <c r="AX1134" s="1906">
        <f t="shared" si="1167"/>
        <v>0</v>
      </c>
      <c r="AY1134" s="1906">
        <f t="shared" si="1168"/>
        <v>0</v>
      </c>
      <c r="AZ1134" s="1906">
        <f t="shared" si="1169"/>
        <v>0</v>
      </c>
      <c r="BA1134" s="107"/>
      <c r="BB1134" s="1906">
        <f t="shared" si="1170"/>
        <v>0</v>
      </c>
      <c r="BC1134" s="1906">
        <f t="shared" si="1171"/>
        <v>0</v>
      </c>
      <c r="BD1134" s="1906">
        <f t="shared" si="1172"/>
        <v>0</v>
      </c>
      <c r="BE1134" s="1906">
        <f t="shared" si="1173"/>
        <v>0</v>
      </c>
      <c r="BF1134" s="1906">
        <f t="shared" si="1174"/>
        <v>0</v>
      </c>
      <c r="BG1134" s="1906">
        <f t="shared" si="1175"/>
        <v>0</v>
      </c>
      <c r="BH1134" s="1906">
        <f t="shared" si="1176"/>
        <v>0</v>
      </c>
      <c r="BI1134" s="1906">
        <f t="shared" si="1177"/>
        <v>0</v>
      </c>
      <c r="BJ1134" s="1906">
        <f t="shared" si="1178"/>
        <v>0</v>
      </c>
      <c r="BK1134" s="1906">
        <f t="shared" si="1179"/>
        <v>0</v>
      </c>
      <c r="BL1134" s="1906">
        <f t="shared" si="1180"/>
        <v>0</v>
      </c>
      <c r="BM1134" s="1906">
        <f t="shared" si="1181"/>
        <v>0</v>
      </c>
      <c r="BN1134" s="107"/>
      <c r="BO1134" s="1906">
        <f t="shared" si="1182"/>
        <v>0</v>
      </c>
      <c r="BP1134" s="1906">
        <f t="shared" si="1183"/>
        <v>0</v>
      </c>
      <c r="BQ1134" s="1906">
        <f t="shared" si="1184"/>
        <v>0</v>
      </c>
      <c r="BR1134" s="1906">
        <f t="shared" si="1185"/>
        <v>0</v>
      </c>
      <c r="BS1134" s="1906">
        <f t="shared" si="1186"/>
        <v>0</v>
      </c>
      <c r="BT1134" s="1906">
        <f t="shared" si="1187"/>
        <v>0</v>
      </c>
      <c r="BU1134" s="1906">
        <f t="shared" si="1188"/>
        <v>0</v>
      </c>
      <c r="BV1134" s="1906">
        <f t="shared" si="1189"/>
        <v>0</v>
      </c>
      <c r="BW1134" s="1906">
        <f t="shared" si="1190"/>
        <v>0</v>
      </c>
      <c r="BX1134" s="1906">
        <f t="shared" si="1191"/>
        <v>0</v>
      </c>
      <c r="BY1134" s="1906">
        <f t="shared" si="1192"/>
        <v>0</v>
      </c>
      <c r="BZ1134" s="1906">
        <f t="shared" si="1193"/>
        <v>0</v>
      </c>
      <c r="CA1134" s="1971" t="str">
        <f t="shared" si="1194"/>
        <v>Trébol Rojo 1</v>
      </c>
      <c r="CB1134" s="1906">
        <f t="shared" si="1195"/>
        <v>0</v>
      </c>
      <c r="CC1134" s="1906">
        <f t="shared" si="1196"/>
        <v>0</v>
      </c>
      <c r="CD1134" s="1906">
        <f t="shared" si="1197"/>
        <v>0</v>
      </c>
      <c r="CE1134" s="1906">
        <f t="shared" si="1198"/>
        <v>0</v>
      </c>
      <c r="CF1134" s="1906">
        <f t="shared" si="1199"/>
        <v>0</v>
      </c>
      <c r="CG1134" s="1906">
        <f t="shared" si="1200"/>
        <v>0</v>
      </c>
      <c r="CH1134" s="1906">
        <f t="shared" si="1201"/>
        <v>0</v>
      </c>
      <c r="CI1134" s="1906">
        <f t="shared" si="1202"/>
        <v>0</v>
      </c>
      <c r="CJ1134" s="1906">
        <f t="shared" si="1225"/>
        <v>0</v>
      </c>
      <c r="CK1134" s="1906">
        <f t="shared" si="1226"/>
        <v>0</v>
      </c>
      <c r="CL1134" s="1906">
        <f t="shared" si="1227"/>
        <v>0</v>
      </c>
      <c r="CM1134" s="1906">
        <f t="shared" si="1228"/>
        <v>0</v>
      </c>
      <c r="CN1134" s="595" t="str">
        <f t="shared" si="1204"/>
        <v>Trébol Rojo 1</v>
      </c>
      <c r="CO1134" s="1443">
        <f t="shared" si="1219"/>
        <v>0</v>
      </c>
      <c r="CQ1134" s="108" t="str">
        <f t="shared" si="1205"/>
        <v>Trébol Rojo 1</v>
      </c>
      <c r="CR1134" s="1898">
        <f t="shared" si="1206"/>
        <v>0</v>
      </c>
      <c r="CS1134" s="1898">
        <f t="shared" si="1207"/>
        <v>0</v>
      </c>
      <c r="CT1134" s="1898">
        <f t="shared" si="1208"/>
        <v>0</v>
      </c>
      <c r="CU1134" s="1898">
        <f t="shared" si="1209"/>
        <v>0</v>
      </c>
      <c r="CV1134" s="1898">
        <f t="shared" si="1210"/>
        <v>0</v>
      </c>
      <c r="CW1134" s="1898">
        <f t="shared" si="1211"/>
        <v>0</v>
      </c>
      <c r="CX1134" s="1898">
        <f t="shared" si="1212"/>
        <v>0</v>
      </c>
      <c r="CY1134" s="1898">
        <f t="shared" si="1213"/>
        <v>0</v>
      </c>
      <c r="CZ1134" s="1898">
        <f t="shared" si="1214"/>
        <v>0</v>
      </c>
      <c r="DA1134" s="1898">
        <f t="shared" si="1215"/>
        <v>0</v>
      </c>
      <c r="DB1134" s="1898">
        <f t="shared" si="1216"/>
        <v>0</v>
      </c>
      <c r="DC1134" s="1898">
        <f t="shared" si="1217"/>
        <v>0</v>
      </c>
    </row>
    <row r="1135" spans="1:119" x14ac:dyDescent="0.2">
      <c r="A1135" s="1971">
        <f t="shared" si="1132"/>
        <v>0</v>
      </c>
      <c r="B1135" s="1906">
        <f t="shared" ref="B1135:M1135" si="1230">SUMIF(C$1054:C$1120,"feb"&amp;$B991,C$983:C$1049)</f>
        <v>0</v>
      </c>
      <c r="C1135" s="1906">
        <f t="shared" si="1230"/>
        <v>0</v>
      </c>
      <c r="D1135" s="1906">
        <f t="shared" si="1230"/>
        <v>0</v>
      </c>
      <c r="E1135" s="1906">
        <f t="shared" si="1230"/>
        <v>0</v>
      </c>
      <c r="F1135" s="1906">
        <f t="shared" si="1230"/>
        <v>0</v>
      </c>
      <c r="G1135" s="1906">
        <f t="shared" si="1230"/>
        <v>0</v>
      </c>
      <c r="H1135" s="1906">
        <f t="shared" si="1230"/>
        <v>0</v>
      </c>
      <c r="I1135" s="1906">
        <f t="shared" si="1134"/>
        <v>0</v>
      </c>
      <c r="J1135" s="1906">
        <f t="shared" si="1230"/>
        <v>0</v>
      </c>
      <c r="K1135" s="1906">
        <f t="shared" si="1230"/>
        <v>0</v>
      </c>
      <c r="L1135" s="1906">
        <f t="shared" si="1230"/>
        <v>0</v>
      </c>
      <c r="M1135" s="1906">
        <f t="shared" si="1230"/>
        <v>0</v>
      </c>
      <c r="N1135" s="107"/>
      <c r="O1135" s="1906"/>
      <c r="P1135" s="1906">
        <f t="shared" si="1135"/>
        <v>0</v>
      </c>
      <c r="Q1135" s="1906">
        <f t="shared" si="1136"/>
        <v>0</v>
      </c>
      <c r="R1135" s="1906">
        <f t="shared" si="1137"/>
        <v>0</v>
      </c>
      <c r="S1135" s="1906">
        <f t="shared" si="1138"/>
        <v>0</v>
      </c>
      <c r="T1135" s="1906">
        <f t="shared" si="1139"/>
        <v>0</v>
      </c>
      <c r="U1135" s="1906">
        <f t="shared" si="1140"/>
        <v>0</v>
      </c>
      <c r="V1135" s="1906">
        <f t="shared" si="1141"/>
        <v>0</v>
      </c>
      <c r="W1135" s="1906">
        <f t="shared" si="1142"/>
        <v>0</v>
      </c>
      <c r="X1135" s="1906">
        <f t="shared" si="1143"/>
        <v>0</v>
      </c>
      <c r="Y1135" s="1906">
        <f t="shared" si="1144"/>
        <v>0</v>
      </c>
      <c r="Z1135" s="1906">
        <f t="shared" si="1145"/>
        <v>0</v>
      </c>
      <c r="AA1135" s="107"/>
      <c r="AB1135" s="1906">
        <f t="shared" si="1146"/>
        <v>0</v>
      </c>
      <c r="AC1135" s="1906">
        <f t="shared" si="1147"/>
        <v>0</v>
      </c>
      <c r="AD1135" s="1906">
        <f t="shared" si="1148"/>
        <v>0</v>
      </c>
      <c r="AE1135" s="1906">
        <f t="shared" si="1149"/>
        <v>0</v>
      </c>
      <c r="AF1135" s="1906">
        <f t="shared" si="1150"/>
        <v>0</v>
      </c>
      <c r="AG1135" s="1906">
        <f t="shared" si="1151"/>
        <v>0</v>
      </c>
      <c r="AH1135" s="1906">
        <f t="shared" si="1152"/>
        <v>0</v>
      </c>
      <c r="AI1135" s="1906">
        <f t="shared" si="1153"/>
        <v>0</v>
      </c>
      <c r="AJ1135" s="1906">
        <f t="shared" si="1154"/>
        <v>0</v>
      </c>
      <c r="AK1135" s="1906">
        <f t="shared" si="1155"/>
        <v>0</v>
      </c>
      <c r="AL1135" s="1906">
        <f t="shared" si="1156"/>
        <v>0</v>
      </c>
      <c r="AM1135" s="1906">
        <f t="shared" si="1157"/>
        <v>0</v>
      </c>
      <c r="AN1135" s="107"/>
      <c r="AO1135" s="1906">
        <f t="shared" si="1158"/>
        <v>0</v>
      </c>
      <c r="AP1135" s="1906">
        <f t="shared" si="1159"/>
        <v>0</v>
      </c>
      <c r="AQ1135" s="1906">
        <f t="shared" si="1160"/>
        <v>0</v>
      </c>
      <c r="AR1135" s="1906">
        <f t="shared" si="1161"/>
        <v>0</v>
      </c>
      <c r="AS1135" s="1906">
        <f t="shared" si="1162"/>
        <v>0</v>
      </c>
      <c r="AT1135" s="1906">
        <f t="shared" si="1163"/>
        <v>0</v>
      </c>
      <c r="AU1135" s="1906">
        <f t="shared" si="1164"/>
        <v>0</v>
      </c>
      <c r="AV1135" s="1906">
        <f t="shared" si="1165"/>
        <v>0</v>
      </c>
      <c r="AW1135" s="1906">
        <f t="shared" si="1166"/>
        <v>0</v>
      </c>
      <c r="AX1135" s="1906">
        <f t="shared" si="1167"/>
        <v>0</v>
      </c>
      <c r="AY1135" s="1906">
        <f t="shared" si="1168"/>
        <v>0</v>
      </c>
      <c r="AZ1135" s="1906">
        <f t="shared" si="1169"/>
        <v>0</v>
      </c>
      <c r="BA1135" s="107"/>
      <c r="BB1135" s="1906">
        <f t="shared" si="1170"/>
        <v>0</v>
      </c>
      <c r="BC1135" s="1906">
        <f t="shared" si="1171"/>
        <v>0</v>
      </c>
      <c r="BD1135" s="1906">
        <f t="shared" si="1172"/>
        <v>0</v>
      </c>
      <c r="BE1135" s="1906">
        <f t="shared" si="1173"/>
        <v>0</v>
      </c>
      <c r="BF1135" s="1906">
        <f t="shared" si="1174"/>
        <v>0</v>
      </c>
      <c r="BG1135" s="1906">
        <f t="shared" si="1175"/>
        <v>0</v>
      </c>
      <c r="BH1135" s="1906">
        <f t="shared" si="1176"/>
        <v>0</v>
      </c>
      <c r="BI1135" s="1906">
        <f t="shared" si="1177"/>
        <v>0</v>
      </c>
      <c r="BJ1135" s="1906">
        <f t="shared" si="1178"/>
        <v>0</v>
      </c>
      <c r="BK1135" s="1906">
        <f t="shared" si="1179"/>
        <v>0</v>
      </c>
      <c r="BL1135" s="1906">
        <f t="shared" si="1180"/>
        <v>0</v>
      </c>
      <c r="BM1135" s="1906">
        <f t="shared" si="1181"/>
        <v>0</v>
      </c>
      <c r="BN1135" s="107"/>
      <c r="BO1135" s="1906">
        <f t="shared" si="1182"/>
        <v>0</v>
      </c>
      <c r="BP1135" s="1906">
        <f t="shared" si="1183"/>
        <v>0</v>
      </c>
      <c r="BQ1135" s="1906">
        <f t="shared" si="1184"/>
        <v>0</v>
      </c>
      <c r="BR1135" s="1906">
        <f t="shared" si="1185"/>
        <v>0</v>
      </c>
      <c r="BS1135" s="1906">
        <f t="shared" si="1186"/>
        <v>0</v>
      </c>
      <c r="BT1135" s="1906">
        <f t="shared" si="1187"/>
        <v>0</v>
      </c>
      <c r="BU1135" s="1906">
        <f t="shared" si="1188"/>
        <v>0</v>
      </c>
      <c r="BV1135" s="1906">
        <f t="shared" si="1189"/>
        <v>0</v>
      </c>
      <c r="BW1135" s="1906">
        <f t="shared" si="1190"/>
        <v>0</v>
      </c>
      <c r="BX1135" s="1906">
        <f t="shared" si="1191"/>
        <v>0</v>
      </c>
      <c r="BY1135" s="1906">
        <f t="shared" si="1192"/>
        <v>0</v>
      </c>
      <c r="BZ1135" s="1906">
        <f t="shared" si="1193"/>
        <v>0</v>
      </c>
      <c r="CA1135" s="1971">
        <f t="shared" si="1194"/>
        <v>0</v>
      </c>
      <c r="CB1135" s="1906">
        <f t="shared" si="1195"/>
        <v>0</v>
      </c>
      <c r="CC1135" s="1906">
        <f t="shared" si="1196"/>
        <v>0</v>
      </c>
      <c r="CD1135" s="1906">
        <f t="shared" si="1197"/>
        <v>0</v>
      </c>
      <c r="CE1135" s="1906">
        <f t="shared" si="1198"/>
        <v>0</v>
      </c>
      <c r="CF1135" s="1906">
        <f t="shared" si="1199"/>
        <v>0</v>
      </c>
      <c r="CG1135" s="1906">
        <f t="shared" si="1200"/>
        <v>0</v>
      </c>
      <c r="CH1135" s="1906">
        <f t="shared" si="1201"/>
        <v>0</v>
      </c>
      <c r="CI1135" s="1906">
        <f t="shared" si="1202"/>
        <v>0</v>
      </c>
      <c r="CJ1135" s="1906">
        <f t="shared" si="1225"/>
        <v>0</v>
      </c>
      <c r="CK1135" s="1906">
        <f t="shared" si="1226"/>
        <v>0</v>
      </c>
      <c r="CL1135" s="1906">
        <f t="shared" si="1227"/>
        <v>0</v>
      </c>
      <c r="CM1135" s="1906">
        <f t="shared" si="1228"/>
        <v>0</v>
      </c>
      <c r="CN1135" s="595">
        <f t="shared" si="1204"/>
        <v>0</v>
      </c>
      <c r="CO1135" s="1443">
        <f t="shared" si="1219"/>
        <v>0</v>
      </c>
      <c r="CQ1135" s="108">
        <f t="shared" si="1205"/>
        <v>0</v>
      </c>
      <c r="CR1135" s="1898">
        <f t="shared" si="1206"/>
        <v>0</v>
      </c>
      <c r="CS1135" s="1898">
        <f t="shared" si="1207"/>
        <v>0</v>
      </c>
      <c r="CT1135" s="1898">
        <f t="shared" si="1208"/>
        <v>0</v>
      </c>
      <c r="CU1135" s="1898">
        <f t="shared" si="1209"/>
        <v>0</v>
      </c>
      <c r="CV1135" s="1898">
        <f t="shared" si="1210"/>
        <v>0</v>
      </c>
      <c r="CW1135" s="1898">
        <f t="shared" si="1211"/>
        <v>0</v>
      </c>
      <c r="CX1135" s="1898">
        <f t="shared" si="1212"/>
        <v>0</v>
      </c>
      <c r="CY1135" s="1898">
        <f t="shared" si="1213"/>
        <v>0</v>
      </c>
      <c r="CZ1135" s="1898">
        <f t="shared" si="1214"/>
        <v>0</v>
      </c>
      <c r="DA1135" s="1898">
        <f t="shared" si="1215"/>
        <v>0</v>
      </c>
      <c r="DB1135" s="1898">
        <f t="shared" si="1216"/>
        <v>0</v>
      </c>
      <c r="DC1135" s="1898">
        <f t="shared" si="1217"/>
        <v>0</v>
      </c>
    </row>
    <row r="1136" spans="1:119" x14ac:dyDescent="0.2">
      <c r="A1136" s="1971">
        <f t="shared" si="1132"/>
        <v>0</v>
      </c>
      <c r="B1136" s="1906">
        <f t="shared" ref="B1136:M1136" si="1231">SUMIF(C$1054:C$1120,"feb"&amp;$B992,C$983:C$1049)</f>
        <v>0</v>
      </c>
      <c r="C1136" s="1906">
        <f t="shared" si="1231"/>
        <v>0</v>
      </c>
      <c r="D1136" s="1906">
        <f t="shared" si="1231"/>
        <v>0</v>
      </c>
      <c r="E1136" s="1906">
        <f t="shared" si="1231"/>
        <v>0</v>
      </c>
      <c r="F1136" s="1906">
        <f t="shared" si="1231"/>
        <v>0</v>
      </c>
      <c r="G1136" s="1906">
        <f t="shared" si="1231"/>
        <v>0</v>
      </c>
      <c r="H1136" s="1906">
        <f t="shared" si="1231"/>
        <v>0</v>
      </c>
      <c r="I1136" s="1906">
        <f t="shared" si="1134"/>
        <v>0</v>
      </c>
      <c r="J1136" s="1906">
        <f t="shared" si="1231"/>
        <v>0</v>
      </c>
      <c r="K1136" s="1906">
        <f t="shared" si="1231"/>
        <v>0</v>
      </c>
      <c r="L1136" s="1906">
        <f t="shared" si="1231"/>
        <v>0</v>
      </c>
      <c r="M1136" s="1906">
        <f t="shared" si="1231"/>
        <v>0</v>
      </c>
      <c r="N1136" s="107"/>
      <c r="O1136" s="1906"/>
      <c r="P1136" s="1906">
        <f t="shared" si="1135"/>
        <v>0</v>
      </c>
      <c r="Q1136" s="1906">
        <f t="shared" si="1136"/>
        <v>0</v>
      </c>
      <c r="R1136" s="1906">
        <f t="shared" si="1137"/>
        <v>0</v>
      </c>
      <c r="S1136" s="1906">
        <f t="shared" si="1138"/>
        <v>0</v>
      </c>
      <c r="T1136" s="1906">
        <f t="shared" si="1139"/>
        <v>0</v>
      </c>
      <c r="U1136" s="1906">
        <f t="shared" si="1140"/>
        <v>0</v>
      </c>
      <c r="V1136" s="1906">
        <f t="shared" si="1141"/>
        <v>0</v>
      </c>
      <c r="W1136" s="1906">
        <f t="shared" si="1142"/>
        <v>0</v>
      </c>
      <c r="X1136" s="1906">
        <f t="shared" si="1143"/>
        <v>0</v>
      </c>
      <c r="Y1136" s="1906">
        <f t="shared" si="1144"/>
        <v>0</v>
      </c>
      <c r="Z1136" s="1906">
        <f t="shared" si="1145"/>
        <v>0</v>
      </c>
      <c r="AA1136" s="107"/>
      <c r="AB1136" s="1906">
        <f t="shared" si="1146"/>
        <v>0</v>
      </c>
      <c r="AC1136" s="1906">
        <f t="shared" si="1147"/>
        <v>0</v>
      </c>
      <c r="AD1136" s="1906">
        <f t="shared" si="1148"/>
        <v>0</v>
      </c>
      <c r="AE1136" s="1906">
        <f t="shared" si="1149"/>
        <v>0</v>
      </c>
      <c r="AF1136" s="1906">
        <f t="shared" si="1150"/>
        <v>0</v>
      </c>
      <c r="AG1136" s="1906">
        <f t="shared" si="1151"/>
        <v>0</v>
      </c>
      <c r="AH1136" s="1906">
        <f t="shared" si="1152"/>
        <v>0</v>
      </c>
      <c r="AI1136" s="1906">
        <f t="shared" si="1153"/>
        <v>0</v>
      </c>
      <c r="AJ1136" s="1906">
        <f t="shared" si="1154"/>
        <v>0</v>
      </c>
      <c r="AK1136" s="1906">
        <f t="shared" si="1155"/>
        <v>0</v>
      </c>
      <c r="AL1136" s="1906">
        <f t="shared" si="1156"/>
        <v>0</v>
      </c>
      <c r="AM1136" s="1906">
        <f t="shared" si="1157"/>
        <v>0</v>
      </c>
      <c r="AN1136" s="107"/>
      <c r="AO1136" s="1906">
        <f t="shared" si="1158"/>
        <v>0</v>
      </c>
      <c r="AP1136" s="1906">
        <f t="shared" si="1159"/>
        <v>0</v>
      </c>
      <c r="AQ1136" s="1906">
        <f t="shared" si="1160"/>
        <v>0</v>
      </c>
      <c r="AR1136" s="1906">
        <f t="shared" si="1161"/>
        <v>0</v>
      </c>
      <c r="AS1136" s="1906">
        <f t="shared" si="1162"/>
        <v>0</v>
      </c>
      <c r="AT1136" s="1906">
        <f t="shared" si="1163"/>
        <v>0</v>
      </c>
      <c r="AU1136" s="1906">
        <f t="shared" si="1164"/>
        <v>0</v>
      </c>
      <c r="AV1136" s="1906">
        <f t="shared" si="1165"/>
        <v>0</v>
      </c>
      <c r="AW1136" s="1906">
        <f t="shared" si="1166"/>
        <v>0</v>
      </c>
      <c r="AX1136" s="1906">
        <f t="shared" si="1167"/>
        <v>0</v>
      </c>
      <c r="AY1136" s="1906">
        <f t="shared" si="1168"/>
        <v>0</v>
      </c>
      <c r="AZ1136" s="1906">
        <f t="shared" si="1169"/>
        <v>0</v>
      </c>
      <c r="BA1136" s="107"/>
      <c r="BB1136" s="1906">
        <f t="shared" si="1170"/>
        <v>0</v>
      </c>
      <c r="BC1136" s="1906">
        <f t="shared" si="1171"/>
        <v>0</v>
      </c>
      <c r="BD1136" s="1906">
        <f t="shared" si="1172"/>
        <v>0</v>
      </c>
      <c r="BE1136" s="1906">
        <f t="shared" si="1173"/>
        <v>0</v>
      </c>
      <c r="BF1136" s="1906">
        <f t="shared" si="1174"/>
        <v>0</v>
      </c>
      <c r="BG1136" s="1906">
        <f t="shared" si="1175"/>
        <v>0</v>
      </c>
      <c r="BH1136" s="1906">
        <f t="shared" si="1176"/>
        <v>0</v>
      </c>
      <c r="BI1136" s="1906">
        <f t="shared" si="1177"/>
        <v>0</v>
      </c>
      <c r="BJ1136" s="1906">
        <f t="shared" si="1178"/>
        <v>0</v>
      </c>
      <c r="BK1136" s="1906">
        <f t="shared" si="1179"/>
        <v>0</v>
      </c>
      <c r="BL1136" s="1906">
        <f t="shared" si="1180"/>
        <v>0</v>
      </c>
      <c r="BM1136" s="1906">
        <f t="shared" si="1181"/>
        <v>0</v>
      </c>
      <c r="BN1136" s="107"/>
      <c r="BO1136" s="1906">
        <f t="shared" si="1182"/>
        <v>0</v>
      </c>
      <c r="BP1136" s="1906">
        <f t="shared" si="1183"/>
        <v>0</v>
      </c>
      <c r="BQ1136" s="1906">
        <f t="shared" si="1184"/>
        <v>0</v>
      </c>
      <c r="BR1136" s="1906">
        <f t="shared" si="1185"/>
        <v>0</v>
      </c>
      <c r="BS1136" s="1906">
        <f t="shared" si="1186"/>
        <v>0</v>
      </c>
      <c r="BT1136" s="1906">
        <f t="shared" si="1187"/>
        <v>0</v>
      </c>
      <c r="BU1136" s="1906">
        <f t="shared" si="1188"/>
        <v>0</v>
      </c>
      <c r="BV1136" s="1906">
        <f t="shared" si="1189"/>
        <v>0</v>
      </c>
      <c r="BW1136" s="1906">
        <f t="shared" si="1190"/>
        <v>0</v>
      </c>
      <c r="BX1136" s="1906">
        <f t="shared" si="1191"/>
        <v>0</v>
      </c>
      <c r="BY1136" s="1906">
        <f t="shared" si="1192"/>
        <v>0</v>
      </c>
      <c r="BZ1136" s="1906">
        <f t="shared" si="1193"/>
        <v>0</v>
      </c>
      <c r="CA1136" s="1971">
        <f t="shared" si="1194"/>
        <v>0</v>
      </c>
      <c r="CB1136" s="1906">
        <f t="shared" si="1195"/>
        <v>0</v>
      </c>
      <c r="CC1136" s="1906">
        <f t="shared" si="1196"/>
        <v>0</v>
      </c>
      <c r="CD1136" s="1906">
        <f t="shared" si="1197"/>
        <v>0</v>
      </c>
      <c r="CE1136" s="1906">
        <f t="shared" si="1198"/>
        <v>0</v>
      </c>
      <c r="CF1136" s="1906">
        <f t="shared" si="1199"/>
        <v>0</v>
      </c>
      <c r="CG1136" s="1906">
        <f t="shared" si="1200"/>
        <v>0</v>
      </c>
      <c r="CH1136" s="1906">
        <f t="shared" si="1201"/>
        <v>0</v>
      </c>
      <c r="CI1136" s="1906">
        <f t="shared" si="1202"/>
        <v>0</v>
      </c>
      <c r="CJ1136" s="1906">
        <f t="shared" si="1225"/>
        <v>0</v>
      </c>
      <c r="CK1136" s="1906">
        <f t="shared" si="1226"/>
        <v>0</v>
      </c>
      <c r="CL1136" s="1906">
        <f t="shared" si="1227"/>
        <v>0</v>
      </c>
      <c r="CM1136" s="1906">
        <f t="shared" si="1228"/>
        <v>0</v>
      </c>
      <c r="CN1136" s="595">
        <f t="shared" si="1204"/>
        <v>0</v>
      </c>
      <c r="CO1136" s="1443">
        <f t="shared" si="1219"/>
        <v>0</v>
      </c>
      <c r="CQ1136" s="108">
        <f t="shared" si="1205"/>
        <v>0</v>
      </c>
      <c r="CR1136" s="1898">
        <f t="shared" si="1206"/>
        <v>0</v>
      </c>
      <c r="CS1136" s="1898">
        <f t="shared" si="1207"/>
        <v>0</v>
      </c>
      <c r="CT1136" s="1898">
        <f t="shared" si="1208"/>
        <v>0</v>
      </c>
      <c r="CU1136" s="1898">
        <f t="shared" si="1209"/>
        <v>0</v>
      </c>
      <c r="CV1136" s="1898">
        <f t="shared" si="1210"/>
        <v>0</v>
      </c>
      <c r="CW1136" s="1898">
        <f t="shared" si="1211"/>
        <v>0</v>
      </c>
      <c r="CX1136" s="1898">
        <f t="shared" si="1212"/>
        <v>0</v>
      </c>
      <c r="CY1136" s="1898">
        <f t="shared" si="1213"/>
        <v>0</v>
      </c>
      <c r="CZ1136" s="1898">
        <f t="shared" si="1214"/>
        <v>0</v>
      </c>
      <c r="DA1136" s="1898">
        <f t="shared" si="1215"/>
        <v>0</v>
      </c>
      <c r="DB1136" s="1898">
        <f t="shared" si="1216"/>
        <v>0</v>
      </c>
      <c r="DC1136" s="1898">
        <f t="shared" si="1217"/>
        <v>0</v>
      </c>
    </row>
    <row r="1137" spans="1:107" x14ac:dyDescent="0.2">
      <c r="A1137" s="1971">
        <f t="shared" si="1132"/>
        <v>0</v>
      </c>
      <c r="B1137" s="1906">
        <f t="shared" ref="B1137:M1137" si="1232">SUMIF(C$1054:C$1120,"feb"&amp;$B993,C$983:C$1049)</f>
        <v>0</v>
      </c>
      <c r="C1137" s="1906">
        <f t="shared" si="1232"/>
        <v>0</v>
      </c>
      <c r="D1137" s="1906">
        <f t="shared" si="1232"/>
        <v>0</v>
      </c>
      <c r="E1137" s="1906">
        <f t="shared" si="1232"/>
        <v>0</v>
      </c>
      <c r="F1137" s="1906">
        <f t="shared" si="1232"/>
        <v>0</v>
      </c>
      <c r="G1137" s="1906">
        <f t="shared" si="1232"/>
        <v>0</v>
      </c>
      <c r="H1137" s="1906">
        <f t="shared" si="1232"/>
        <v>0</v>
      </c>
      <c r="I1137" s="1906">
        <f t="shared" si="1134"/>
        <v>0</v>
      </c>
      <c r="J1137" s="1906">
        <f t="shared" si="1232"/>
        <v>0</v>
      </c>
      <c r="K1137" s="1906">
        <f t="shared" si="1232"/>
        <v>0</v>
      </c>
      <c r="L1137" s="1906">
        <f t="shared" si="1232"/>
        <v>0</v>
      </c>
      <c r="M1137" s="1906">
        <f t="shared" si="1232"/>
        <v>0</v>
      </c>
      <c r="N1137" s="107"/>
      <c r="O1137" s="1906"/>
      <c r="P1137" s="1906">
        <f t="shared" si="1135"/>
        <v>0</v>
      </c>
      <c r="Q1137" s="1906">
        <f t="shared" si="1136"/>
        <v>0</v>
      </c>
      <c r="R1137" s="1906">
        <f t="shared" si="1137"/>
        <v>0</v>
      </c>
      <c r="S1137" s="1906">
        <f t="shared" si="1138"/>
        <v>0</v>
      </c>
      <c r="T1137" s="1906">
        <f t="shared" si="1139"/>
        <v>0</v>
      </c>
      <c r="U1137" s="1906">
        <f t="shared" si="1140"/>
        <v>0</v>
      </c>
      <c r="V1137" s="1906">
        <f t="shared" si="1141"/>
        <v>0</v>
      </c>
      <c r="W1137" s="1906">
        <f t="shared" si="1142"/>
        <v>0</v>
      </c>
      <c r="X1137" s="1906">
        <f t="shared" si="1143"/>
        <v>0</v>
      </c>
      <c r="Y1137" s="1906">
        <f t="shared" si="1144"/>
        <v>0</v>
      </c>
      <c r="Z1137" s="1906">
        <f t="shared" si="1145"/>
        <v>0</v>
      </c>
      <c r="AA1137" s="107"/>
      <c r="AB1137" s="1906">
        <f t="shared" si="1146"/>
        <v>0</v>
      </c>
      <c r="AC1137" s="1906">
        <f t="shared" si="1147"/>
        <v>0</v>
      </c>
      <c r="AD1137" s="1906">
        <f t="shared" si="1148"/>
        <v>0</v>
      </c>
      <c r="AE1137" s="1906">
        <f t="shared" si="1149"/>
        <v>0</v>
      </c>
      <c r="AF1137" s="1906">
        <f t="shared" si="1150"/>
        <v>0</v>
      </c>
      <c r="AG1137" s="1906">
        <f t="shared" si="1151"/>
        <v>0</v>
      </c>
      <c r="AH1137" s="1906">
        <f t="shared" si="1152"/>
        <v>0</v>
      </c>
      <c r="AI1137" s="1906">
        <f t="shared" si="1153"/>
        <v>0</v>
      </c>
      <c r="AJ1137" s="1906">
        <f t="shared" si="1154"/>
        <v>0</v>
      </c>
      <c r="AK1137" s="1906">
        <f t="shared" si="1155"/>
        <v>0</v>
      </c>
      <c r="AL1137" s="1906">
        <f t="shared" si="1156"/>
        <v>0</v>
      </c>
      <c r="AM1137" s="1906">
        <f t="shared" si="1157"/>
        <v>0</v>
      </c>
      <c r="AN1137" s="107"/>
      <c r="AO1137" s="1906">
        <f t="shared" si="1158"/>
        <v>0</v>
      </c>
      <c r="AP1137" s="1906">
        <f t="shared" si="1159"/>
        <v>0</v>
      </c>
      <c r="AQ1137" s="1906">
        <f t="shared" si="1160"/>
        <v>0</v>
      </c>
      <c r="AR1137" s="1906">
        <f t="shared" si="1161"/>
        <v>0</v>
      </c>
      <c r="AS1137" s="1906">
        <f t="shared" si="1162"/>
        <v>0</v>
      </c>
      <c r="AT1137" s="1906">
        <f t="shared" si="1163"/>
        <v>0</v>
      </c>
      <c r="AU1137" s="1906">
        <f t="shared" si="1164"/>
        <v>0</v>
      </c>
      <c r="AV1137" s="1906">
        <f t="shared" si="1165"/>
        <v>0</v>
      </c>
      <c r="AW1137" s="1906">
        <f t="shared" si="1166"/>
        <v>0</v>
      </c>
      <c r="AX1137" s="1906">
        <f t="shared" si="1167"/>
        <v>0</v>
      </c>
      <c r="AY1137" s="1906">
        <f t="shared" si="1168"/>
        <v>0</v>
      </c>
      <c r="AZ1137" s="1906">
        <f t="shared" si="1169"/>
        <v>0</v>
      </c>
      <c r="BA1137" s="107"/>
      <c r="BB1137" s="1906">
        <f t="shared" si="1170"/>
        <v>0</v>
      </c>
      <c r="BC1137" s="1906">
        <f t="shared" si="1171"/>
        <v>0</v>
      </c>
      <c r="BD1137" s="1906">
        <f t="shared" si="1172"/>
        <v>0</v>
      </c>
      <c r="BE1137" s="1906">
        <f t="shared" si="1173"/>
        <v>0</v>
      </c>
      <c r="BF1137" s="1906">
        <f t="shared" si="1174"/>
        <v>0</v>
      </c>
      <c r="BG1137" s="1906">
        <f t="shared" si="1175"/>
        <v>0</v>
      </c>
      <c r="BH1137" s="1906">
        <f t="shared" si="1176"/>
        <v>0</v>
      </c>
      <c r="BI1137" s="1906">
        <f t="shared" si="1177"/>
        <v>0</v>
      </c>
      <c r="BJ1137" s="1906">
        <f t="shared" si="1178"/>
        <v>0</v>
      </c>
      <c r="BK1137" s="1906">
        <f t="shared" si="1179"/>
        <v>0</v>
      </c>
      <c r="BL1137" s="1906">
        <f t="shared" si="1180"/>
        <v>0</v>
      </c>
      <c r="BM1137" s="1906">
        <f t="shared" si="1181"/>
        <v>0</v>
      </c>
      <c r="BN1137" s="107"/>
      <c r="BO1137" s="1906">
        <f t="shared" si="1182"/>
        <v>0</v>
      </c>
      <c r="BP1137" s="1906">
        <f t="shared" si="1183"/>
        <v>0</v>
      </c>
      <c r="BQ1137" s="1906">
        <f t="shared" si="1184"/>
        <v>0</v>
      </c>
      <c r="BR1137" s="1906">
        <f t="shared" si="1185"/>
        <v>0</v>
      </c>
      <c r="BS1137" s="1906">
        <f t="shared" si="1186"/>
        <v>0</v>
      </c>
      <c r="BT1137" s="1906">
        <f t="shared" si="1187"/>
        <v>0</v>
      </c>
      <c r="BU1137" s="1906">
        <f t="shared" si="1188"/>
        <v>0</v>
      </c>
      <c r="BV1137" s="1906">
        <f t="shared" si="1189"/>
        <v>0</v>
      </c>
      <c r="BW1137" s="1906">
        <f t="shared" si="1190"/>
        <v>0</v>
      </c>
      <c r="BX1137" s="1906">
        <f t="shared" si="1191"/>
        <v>0</v>
      </c>
      <c r="BY1137" s="1906">
        <f t="shared" si="1192"/>
        <v>0</v>
      </c>
      <c r="BZ1137" s="1906">
        <f t="shared" si="1193"/>
        <v>0</v>
      </c>
      <c r="CA1137" s="1971">
        <f t="shared" si="1194"/>
        <v>0</v>
      </c>
      <c r="CB1137" s="1906">
        <f t="shared" si="1195"/>
        <v>0</v>
      </c>
      <c r="CC1137" s="1906">
        <f t="shared" si="1196"/>
        <v>0</v>
      </c>
      <c r="CD1137" s="1906">
        <f t="shared" si="1197"/>
        <v>0</v>
      </c>
      <c r="CE1137" s="1906">
        <f t="shared" si="1198"/>
        <v>0</v>
      </c>
      <c r="CF1137" s="1906">
        <f t="shared" si="1199"/>
        <v>0</v>
      </c>
      <c r="CG1137" s="1906">
        <f t="shared" si="1200"/>
        <v>0</v>
      </c>
      <c r="CH1137" s="1906">
        <f t="shared" si="1201"/>
        <v>0</v>
      </c>
      <c r="CI1137" s="1906">
        <f t="shared" si="1202"/>
        <v>0</v>
      </c>
      <c r="CJ1137" s="1906">
        <f t="shared" si="1225"/>
        <v>0</v>
      </c>
      <c r="CK1137" s="1906">
        <f t="shared" si="1226"/>
        <v>0</v>
      </c>
      <c r="CL1137" s="1906">
        <f t="shared" si="1227"/>
        <v>0</v>
      </c>
      <c r="CM1137" s="1906">
        <f t="shared" si="1228"/>
        <v>0</v>
      </c>
      <c r="CN1137" s="595">
        <f t="shared" si="1204"/>
        <v>0</v>
      </c>
      <c r="CO1137" s="1443">
        <f t="shared" si="1219"/>
        <v>0</v>
      </c>
      <c r="CQ1137" s="108">
        <f t="shared" si="1205"/>
        <v>0</v>
      </c>
      <c r="CR1137" s="1898">
        <f t="shared" si="1206"/>
        <v>0</v>
      </c>
      <c r="CS1137" s="1898">
        <f t="shared" si="1207"/>
        <v>0</v>
      </c>
      <c r="CT1137" s="1898">
        <f t="shared" si="1208"/>
        <v>0</v>
      </c>
      <c r="CU1137" s="1898">
        <f t="shared" si="1209"/>
        <v>0</v>
      </c>
      <c r="CV1137" s="1898">
        <f t="shared" si="1210"/>
        <v>0</v>
      </c>
      <c r="CW1137" s="1898">
        <f t="shared" si="1211"/>
        <v>0</v>
      </c>
      <c r="CX1137" s="1898">
        <f t="shared" si="1212"/>
        <v>0</v>
      </c>
      <c r="CY1137" s="1898">
        <f t="shared" si="1213"/>
        <v>0</v>
      </c>
      <c r="CZ1137" s="1898">
        <f t="shared" si="1214"/>
        <v>0</v>
      </c>
      <c r="DA1137" s="1898">
        <f t="shared" si="1215"/>
        <v>0</v>
      </c>
      <c r="DB1137" s="1898">
        <f t="shared" si="1216"/>
        <v>0</v>
      </c>
      <c r="DC1137" s="1898">
        <f t="shared" si="1217"/>
        <v>0</v>
      </c>
    </row>
    <row r="1138" spans="1:107" x14ac:dyDescent="0.2">
      <c r="A1138" s="1971" t="str">
        <f t="shared" si="1132"/>
        <v>Alfalfa 2</v>
      </c>
      <c r="B1138" s="1906">
        <f t="shared" ref="B1138:M1138" si="1233">SUMIF(C$1054:C$1120,"feb"&amp;$B994,C$983:C$1049)</f>
        <v>0</v>
      </c>
      <c r="C1138" s="1906">
        <f t="shared" si="1233"/>
        <v>0</v>
      </c>
      <c r="D1138" s="1906">
        <f t="shared" si="1233"/>
        <v>0</v>
      </c>
      <c r="E1138" s="1906">
        <f t="shared" si="1233"/>
        <v>0</v>
      </c>
      <c r="F1138" s="1906">
        <f t="shared" si="1233"/>
        <v>0</v>
      </c>
      <c r="G1138" s="1906">
        <f t="shared" si="1233"/>
        <v>0</v>
      </c>
      <c r="H1138" s="1906">
        <f t="shared" si="1233"/>
        <v>0</v>
      </c>
      <c r="I1138" s="1906">
        <f t="shared" si="1134"/>
        <v>0</v>
      </c>
      <c r="J1138" s="1906">
        <f t="shared" si="1233"/>
        <v>0</v>
      </c>
      <c r="K1138" s="1906">
        <f t="shared" si="1233"/>
        <v>0</v>
      </c>
      <c r="L1138" s="1906">
        <f t="shared" si="1233"/>
        <v>0</v>
      </c>
      <c r="M1138" s="1906">
        <f t="shared" si="1233"/>
        <v>0</v>
      </c>
      <c r="N1138" s="107"/>
      <c r="O1138" s="1906"/>
      <c r="P1138" s="1906">
        <f t="shared" si="1135"/>
        <v>0</v>
      </c>
      <c r="Q1138" s="1906">
        <f t="shared" si="1136"/>
        <v>0</v>
      </c>
      <c r="R1138" s="1906">
        <f t="shared" si="1137"/>
        <v>0</v>
      </c>
      <c r="S1138" s="1906">
        <f t="shared" si="1138"/>
        <v>0</v>
      </c>
      <c r="T1138" s="1906">
        <f t="shared" si="1139"/>
        <v>0</v>
      </c>
      <c r="U1138" s="1906">
        <f t="shared" si="1140"/>
        <v>0</v>
      </c>
      <c r="V1138" s="1906">
        <f t="shared" si="1141"/>
        <v>0</v>
      </c>
      <c r="W1138" s="1906">
        <f t="shared" si="1142"/>
        <v>0</v>
      </c>
      <c r="X1138" s="1906">
        <f t="shared" si="1143"/>
        <v>0</v>
      </c>
      <c r="Y1138" s="1906">
        <f t="shared" si="1144"/>
        <v>0</v>
      </c>
      <c r="Z1138" s="1906">
        <f t="shared" si="1145"/>
        <v>0</v>
      </c>
      <c r="AA1138" s="107"/>
      <c r="AB1138" s="1906">
        <f t="shared" si="1146"/>
        <v>0</v>
      </c>
      <c r="AC1138" s="1906">
        <f t="shared" si="1147"/>
        <v>0</v>
      </c>
      <c r="AD1138" s="1906">
        <f t="shared" si="1148"/>
        <v>0</v>
      </c>
      <c r="AE1138" s="1906">
        <f t="shared" si="1149"/>
        <v>0</v>
      </c>
      <c r="AF1138" s="1906">
        <f t="shared" si="1150"/>
        <v>0</v>
      </c>
      <c r="AG1138" s="1906">
        <f t="shared" si="1151"/>
        <v>0</v>
      </c>
      <c r="AH1138" s="1906">
        <f t="shared" si="1152"/>
        <v>0</v>
      </c>
      <c r="AI1138" s="1906">
        <f t="shared" si="1153"/>
        <v>0</v>
      </c>
      <c r="AJ1138" s="1906">
        <f t="shared" si="1154"/>
        <v>0</v>
      </c>
      <c r="AK1138" s="1906">
        <f t="shared" si="1155"/>
        <v>0</v>
      </c>
      <c r="AL1138" s="1906">
        <f t="shared" si="1156"/>
        <v>0</v>
      </c>
      <c r="AM1138" s="1906">
        <f t="shared" si="1157"/>
        <v>0</v>
      </c>
      <c r="AN1138" s="107"/>
      <c r="AO1138" s="1906">
        <f t="shared" si="1158"/>
        <v>0</v>
      </c>
      <c r="AP1138" s="1906">
        <f t="shared" si="1159"/>
        <v>0</v>
      </c>
      <c r="AQ1138" s="1906">
        <f t="shared" si="1160"/>
        <v>0</v>
      </c>
      <c r="AR1138" s="1906">
        <f t="shared" si="1161"/>
        <v>0</v>
      </c>
      <c r="AS1138" s="1906">
        <f t="shared" si="1162"/>
        <v>0</v>
      </c>
      <c r="AT1138" s="1906">
        <f t="shared" si="1163"/>
        <v>0</v>
      </c>
      <c r="AU1138" s="1906">
        <f t="shared" si="1164"/>
        <v>0</v>
      </c>
      <c r="AV1138" s="1906">
        <f t="shared" si="1165"/>
        <v>0</v>
      </c>
      <c r="AW1138" s="1906">
        <f t="shared" si="1166"/>
        <v>0</v>
      </c>
      <c r="AX1138" s="1906">
        <f t="shared" si="1167"/>
        <v>0</v>
      </c>
      <c r="AY1138" s="1906">
        <f t="shared" si="1168"/>
        <v>0</v>
      </c>
      <c r="AZ1138" s="1906">
        <f t="shared" si="1169"/>
        <v>0</v>
      </c>
      <c r="BA1138" s="107"/>
      <c r="BB1138" s="1906">
        <f t="shared" si="1170"/>
        <v>0</v>
      </c>
      <c r="BC1138" s="1906">
        <f t="shared" si="1171"/>
        <v>0</v>
      </c>
      <c r="BD1138" s="1906">
        <f t="shared" si="1172"/>
        <v>0</v>
      </c>
      <c r="BE1138" s="1906">
        <f t="shared" si="1173"/>
        <v>0</v>
      </c>
      <c r="BF1138" s="1906">
        <f t="shared" si="1174"/>
        <v>0</v>
      </c>
      <c r="BG1138" s="1906">
        <f t="shared" si="1175"/>
        <v>0</v>
      </c>
      <c r="BH1138" s="1906">
        <f t="shared" si="1176"/>
        <v>0</v>
      </c>
      <c r="BI1138" s="1906">
        <f t="shared" si="1177"/>
        <v>0</v>
      </c>
      <c r="BJ1138" s="1906">
        <f t="shared" si="1178"/>
        <v>0</v>
      </c>
      <c r="BK1138" s="1906">
        <f t="shared" si="1179"/>
        <v>0</v>
      </c>
      <c r="BL1138" s="1906">
        <f t="shared" si="1180"/>
        <v>0</v>
      </c>
      <c r="BM1138" s="1906">
        <f t="shared" si="1181"/>
        <v>0</v>
      </c>
      <c r="BN1138" s="107"/>
      <c r="BO1138" s="1906">
        <f t="shared" si="1182"/>
        <v>0</v>
      </c>
      <c r="BP1138" s="1906">
        <f t="shared" si="1183"/>
        <v>0</v>
      </c>
      <c r="BQ1138" s="1906">
        <f t="shared" si="1184"/>
        <v>0</v>
      </c>
      <c r="BR1138" s="1906">
        <f t="shared" si="1185"/>
        <v>0</v>
      </c>
      <c r="BS1138" s="1906">
        <f t="shared" si="1186"/>
        <v>0</v>
      </c>
      <c r="BT1138" s="1906">
        <f t="shared" si="1187"/>
        <v>0</v>
      </c>
      <c r="BU1138" s="1906">
        <f t="shared" si="1188"/>
        <v>0</v>
      </c>
      <c r="BV1138" s="1906">
        <f t="shared" si="1189"/>
        <v>0</v>
      </c>
      <c r="BW1138" s="1906">
        <f t="shared" si="1190"/>
        <v>0</v>
      </c>
      <c r="BX1138" s="1906">
        <f t="shared" si="1191"/>
        <v>0</v>
      </c>
      <c r="BY1138" s="1906">
        <f t="shared" si="1192"/>
        <v>0</v>
      </c>
      <c r="BZ1138" s="1906">
        <f t="shared" si="1193"/>
        <v>0</v>
      </c>
      <c r="CA1138" s="1971" t="str">
        <f t="shared" si="1194"/>
        <v>Alfalfa 2</v>
      </c>
      <c r="CB1138" s="1906">
        <f t="shared" si="1195"/>
        <v>0</v>
      </c>
      <c r="CC1138" s="1906">
        <f t="shared" si="1196"/>
        <v>0</v>
      </c>
      <c r="CD1138" s="1906">
        <f t="shared" si="1197"/>
        <v>0</v>
      </c>
      <c r="CE1138" s="1906">
        <f t="shared" si="1198"/>
        <v>0</v>
      </c>
      <c r="CF1138" s="1906">
        <f t="shared" si="1199"/>
        <v>0</v>
      </c>
      <c r="CG1138" s="1906">
        <f t="shared" si="1200"/>
        <v>0</v>
      </c>
      <c r="CH1138" s="1906">
        <f t="shared" si="1201"/>
        <v>0</v>
      </c>
      <c r="CI1138" s="1906">
        <f t="shared" si="1202"/>
        <v>0</v>
      </c>
      <c r="CJ1138" s="1906">
        <f t="shared" si="1225"/>
        <v>0</v>
      </c>
      <c r="CK1138" s="1906">
        <f t="shared" si="1226"/>
        <v>0</v>
      </c>
      <c r="CL1138" s="1906">
        <f t="shared" si="1227"/>
        <v>0</v>
      </c>
      <c r="CM1138" s="1906">
        <f t="shared" si="1228"/>
        <v>0</v>
      </c>
      <c r="CN1138" s="595" t="str">
        <f t="shared" si="1204"/>
        <v>Alfalfa 2</v>
      </c>
      <c r="CO1138" s="1443">
        <f t="shared" si="1219"/>
        <v>0</v>
      </c>
      <c r="CQ1138" s="108" t="str">
        <f t="shared" si="1205"/>
        <v>Alfalfa 2</v>
      </c>
      <c r="CR1138" s="1898">
        <f t="shared" si="1206"/>
        <v>0</v>
      </c>
      <c r="CS1138" s="1898">
        <f t="shared" si="1207"/>
        <v>0</v>
      </c>
      <c r="CT1138" s="1898">
        <f t="shared" si="1208"/>
        <v>0</v>
      </c>
      <c r="CU1138" s="1898">
        <f t="shared" si="1209"/>
        <v>0</v>
      </c>
      <c r="CV1138" s="1898">
        <f t="shared" si="1210"/>
        <v>0</v>
      </c>
      <c r="CW1138" s="1898">
        <f t="shared" si="1211"/>
        <v>0</v>
      </c>
      <c r="CX1138" s="1898">
        <f t="shared" si="1212"/>
        <v>0</v>
      </c>
      <c r="CY1138" s="1898">
        <f t="shared" si="1213"/>
        <v>0</v>
      </c>
      <c r="CZ1138" s="1898">
        <f t="shared" si="1214"/>
        <v>0</v>
      </c>
      <c r="DA1138" s="1898">
        <f t="shared" si="1215"/>
        <v>0</v>
      </c>
      <c r="DB1138" s="1898">
        <f t="shared" si="1216"/>
        <v>0</v>
      </c>
      <c r="DC1138" s="1898">
        <f t="shared" si="1217"/>
        <v>0</v>
      </c>
    </row>
    <row r="1139" spans="1:107" x14ac:dyDescent="0.2">
      <c r="A1139" s="1971" t="str">
        <f t="shared" si="1132"/>
        <v>Alfalfa 3</v>
      </c>
      <c r="B1139" s="1906">
        <f t="shared" ref="B1139:M1139" si="1234">SUMIF(C$1054:C$1120,"feb"&amp;$B995,C$983:C$1049)</f>
        <v>0</v>
      </c>
      <c r="C1139" s="1906">
        <f t="shared" si="1234"/>
        <v>0</v>
      </c>
      <c r="D1139" s="1906">
        <f t="shared" si="1234"/>
        <v>0</v>
      </c>
      <c r="E1139" s="1906">
        <f t="shared" si="1234"/>
        <v>0</v>
      </c>
      <c r="F1139" s="1906">
        <f t="shared" si="1234"/>
        <v>0</v>
      </c>
      <c r="G1139" s="1906">
        <f t="shared" si="1234"/>
        <v>0</v>
      </c>
      <c r="H1139" s="1906">
        <f t="shared" si="1234"/>
        <v>0</v>
      </c>
      <c r="I1139" s="1906">
        <f t="shared" si="1134"/>
        <v>0</v>
      </c>
      <c r="J1139" s="1906">
        <f t="shared" si="1234"/>
        <v>0</v>
      </c>
      <c r="K1139" s="1906">
        <f t="shared" si="1234"/>
        <v>0</v>
      </c>
      <c r="L1139" s="1906">
        <f t="shared" si="1234"/>
        <v>0</v>
      </c>
      <c r="M1139" s="1906">
        <f t="shared" si="1234"/>
        <v>0</v>
      </c>
      <c r="N1139" s="107"/>
      <c r="O1139" s="1906"/>
      <c r="P1139" s="1906">
        <f t="shared" si="1135"/>
        <v>0</v>
      </c>
      <c r="Q1139" s="1906">
        <f t="shared" si="1136"/>
        <v>0</v>
      </c>
      <c r="R1139" s="1906">
        <f t="shared" si="1137"/>
        <v>0</v>
      </c>
      <c r="S1139" s="1906">
        <f t="shared" si="1138"/>
        <v>0</v>
      </c>
      <c r="T1139" s="1906">
        <f t="shared" si="1139"/>
        <v>0</v>
      </c>
      <c r="U1139" s="1906">
        <f t="shared" si="1140"/>
        <v>0</v>
      </c>
      <c r="V1139" s="1906">
        <f t="shared" si="1141"/>
        <v>0</v>
      </c>
      <c r="W1139" s="1906">
        <f t="shared" si="1142"/>
        <v>0</v>
      </c>
      <c r="X1139" s="1906">
        <f t="shared" si="1143"/>
        <v>0</v>
      </c>
      <c r="Y1139" s="1906">
        <f t="shared" si="1144"/>
        <v>0</v>
      </c>
      <c r="Z1139" s="1906">
        <f t="shared" si="1145"/>
        <v>0</v>
      </c>
      <c r="AA1139" s="107"/>
      <c r="AB1139" s="1906">
        <f t="shared" si="1146"/>
        <v>0</v>
      </c>
      <c r="AC1139" s="1906">
        <f t="shared" si="1147"/>
        <v>0</v>
      </c>
      <c r="AD1139" s="1906">
        <f t="shared" si="1148"/>
        <v>0</v>
      </c>
      <c r="AE1139" s="1906">
        <f t="shared" si="1149"/>
        <v>0</v>
      </c>
      <c r="AF1139" s="1906">
        <f t="shared" si="1150"/>
        <v>0</v>
      </c>
      <c r="AG1139" s="1906">
        <f t="shared" si="1151"/>
        <v>0</v>
      </c>
      <c r="AH1139" s="1906">
        <f t="shared" si="1152"/>
        <v>0</v>
      </c>
      <c r="AI1139" s="1906">
        <f t="shared" si="1153"/>
        <v>0</v>
      </c>
      <c r="AJ1139" s="1906">
        <f t="shared" si="1154"/>
        <v>0</v>
      </c>
      <c r="AK1139" s="1906">
        <f t="shared" si="1155"/>
        <v>0</v>
      </c>
      <c r="AL1139" s="1906">
        <f t="shared" si="1156"/>
        <v>0</v>
      </c>
      <c r="AM1139" s="1906">
        <f t="shared" si="1157"/>
        <v>0</v>
      </c>
      <c r="AN1139" s="107"/>
      <c r="AO1139" s="1906">
        <f t="shared" si="1158"/>
        <v>0</v>
      </c>
      <c r="AP1139" s="1906">
        <f t="shared" si="1159"/>
        <v>0</v>
      </c>
      <c r="AQ1139" s="1906">
        <f t="shared" si="1160"/>
        <v>0</v>
      </c>
      <c r="AR1139" s="1906">
        <f t="shared" si="1161"/>
        <v>0</v>
      </c>
      <c r="AS1139" s="1906">
        <f t="shared" si="1162"/>
        <v>0</v>
      </c>
      <c r="AT1139" s="1906">
        <f t="shared" si="1163"/>
        <v>0</v>
      </c>
      <c r="AU1139" s="1906">
        <f t="shared" si="1164"/>
        <v>0</v>
      </c>
      <c r="AV1139" s="1906">
        <f t="shared" si="1165"/>
        <v>0</v>
      </c>
      <c r="AW1139" s="1906">
        <f t="shared" si="1166"/>
        <v>0</v>
      </c>
      <c r="AX1139" s="1906">
        <f t="shared" si="1167"/>
        <v>0</v>
      </c>
      <c r="AY1139" s="1906">
        <f t="shared" si="1168"/>
        <v>0</v>
      </c>
      <c r="AZ1139" s="1906">
        <f t="shared" si="1169"/>
        <v>0</v>
      </c>
      <c r="BA1139" s="107"/>
      <c r="BB1139" s="1906">
        <f t="shared" si="1170"/>
        <v>0</v>
      </c>
      <c r="BC1139" s="1906">
        <f t="shared" si="1171"/>
        <v>0</v>
      </c>
      <c r="BD1139" s="1906">
        <f t="shared" si="1172"/>
        <v>0</v>
      </c>
      <c r="BE1139" s="1906">
        <f t="shared" si="1173"/>
        <v>0</v>
      </c>
      <c r="BF1139" s="1906">
        <f t="shared" si="1174"/>
        <v>0</v>
      </c>
      <c r="BG1139" s="1906">
        <f t="shared" si="1175"/>
        <v>0</v>
      </c>
      <c r="BH1139" s="1906">
        <f t="shared" si="1176"/>
        <v>0</v>
      </c>
      <c r="BI1139" s="1906">
        <f t="shared" si="1177"/>
        <v>0</v>
      </c>
      <c r="BJ1139" s="1906">
        <f t="shared" si="1178"/>
        <v>0</v>
      </c>
      <c r="BK1139" s="1906">
        <f t="shared" si="1179"/>
        <v>0</v>
      </c>
      <c r="BL1139" s="1906">
        <f t="shared" si="1180"/>
        <v>0</v>
      </c>
      <c r="BM1139" s="1906">
        <f t="shared" si="1181"/>
        <v>0</v>
      </c>
      <c r="BN1139" s="107"/>
      <c r="BO1139" s="1906">
        <f t="shared" si="1182"/>
        <v>0</v>
      </c>
      <c r="BP1139" s="1906">
        <f t="shared" si="1183"/>
        <v>0</v>
      </c>
      <c r="BQ1139" s="1906">
        <f t="shared" si="1184"/>
        <v>0</v>
      </c>
      <c r="BR1139" s="1906">
        <f t="shared" si="1185"/>
        <v>0</v>
      </c>
      <c r="BS1139" s="1906">
        <f t="shared" si="1186"/>
        <v>0</v>
      </c>
      <c r="BT1139" s="1906">
        <f t="shared" si="1187"/>
        <v>0</v>
      </c>
      <c r="BU1139" s="1906">
        <f t="shared" si="1188"/>
        <v>0</v>
      </c>
      <c r="BV1139" s="1906">
        <f t="shared" si="1189"/>
        <v>0</v>
      </c>
      <c r="BW1139" s="1906">
        <f t="shared" si="1190"/>
        <v>0</v>
      </c>
      <c r="BX1139" s="1906">
        <f t="shared" si="1191"/>
        <v>0</v>
      </c>
      <c r="BY1139" s="1906">
        <f t="shared" si="1192"/>
        <v>0</v>
      </c>
      <c r="BZ1139" s="1906">
        <f t="shared" si="1193"/>
        <v>0</v>
      </c>
      <c r="CA1139" s="1971" t="str">
        <f t="shared" si="1194"/>
        <v>Alfalfa 3</v>
      </c>
      <c r="CB1139" s="1906">
        <f t="shared" si="1195"/>
        <v>0</v>
      </c>
      <c r="CC1139" s="1906">
        <f t="shared" si="1196"/>
        <v>0</v>
      </c>
      <c r="CD1139" s="1906">
        <f t="shared" si="1197"/>
        <v>0</v>
      </c>
      <c r="CE1139" s="1906">
        <f t="shared" si="1198"/>
        <v>0</v>
      </c>
      <c r="CF1139" s="1906">
        <f t="shared" si="1199"/>
        <v>0</v>
      </c>
      <c r="CG1139" s="1906">
        <f t="shared" si="1200"/>
        <v>0</v>
      </c>
      <c r="CH1139" s="1906">
        <f t="shared" si="1201"/>
        <v>0</v>
      </c>
      <c r="CI1139" s="1906">
        <f t="shared" si="1202"/>
        <v>0</v>
      </c>
      <c r="CJ1139" s="1906">
        <f t="shared" si="1225"/>
        <v>0</v>
      </c>
      <c r="CK1139" s="1906">
        <f t="shared" si="1226"/>
        <v>0</v>
      </c>
      <c r="CL1139" s="1906">
        <f t="shared" si="1227"/>
        <v>0</v>
      </c>
      <c r="CM1139" s="1906">
        <f t="shared" si="1228"/>
        <v>0</v>
      </c>
      <c r="CN1139" s="595" t="str">
        <f t="shared" si="1204"/>
        <v>Alfalfa 3</v>
      </c>
      <c r="CO1139" s="1443">
        <f t="shared" si="1219"/>
        <v>0</v>
      </c>
      <c r="CQ1139" s="108" t="str">
        <f t="shared" si="1205"/>
        <v>Alfalfa 3</v>
      </c>
      <c r="CR1139" s="1898">
        <f t="shared" si="1206"/>
        <v>0</v>
      </c>
      <c r="CS1139" s="1898">
        <f t="shared" si="1207"/>
        <v>0</v>
      </c>
      <c r="CT1139" s="1898">
        <f t="shared" si="1208"/>
        <v>0</v>
      </c>
      <c r="CU1139" s="1898">
        <f t="shared" si="1209"/>
        <v>0</v>
      </c>
      <c r="CV1139" s="1898">
        <f t="shared" si="1210"/>
        <v>0</v>
      </c>
      <c r="CW1139" s="1898">
        <f t="shared" si="1211"/>
        <v>0</v>
      </c>
      <c r="CX1139" s="1898">
        <f t="shared" si="1212"/>
        <v>0</v>
      </c>
      <c r="CY1139" s="1898">
        <f t="shared" si="1213"/>
        <v>0</v>
      </c>
      <c r="CZ1139" s="1898">
        <f t="shared" si="1214"/>
        <v>0</v>
      </c>
      <c r="DA1139" s="1898">
        <f t="shared" si="1215"/>
        <v>0</v>
      </c>
      <c r="DB1139" s="1898">
        <f t="shared" si="1216"/>
        <v>0</v>
      </c>
      <c r="DC1139" s="1898">
        <f t="shared" si="1217"/>
        <v>0</v>
      </c>
    </row>
    <row r="1140" spans="1:107" x14ac:dyDescent="0.2">
      <c r="A1140" s="1971" t="str">
        <f t="shared" si="1132"/>
        <v>Alfalfa 4</v>
      </c>
      <c r="B1140" s="1906">
        <f t="shared" ref="B1140:M1140" si="1235">SUMIF(C$1054:C$1120,"feb"&amp;$B996,C$983:C$1049)</f>
        <v>0</v>
      </c>
      <c r="C1140" s="1906">
        <f t="shared" si="1235"/>
        <v>0</v>
      </c>
      <c r="D1140" s="1906">
        <f t="shared" si="1235"/>
        <v>0</v>
      </c>
      <c r="E1140" s="1906">
        <f t="shared" si="1235"/>
        <v>0</v>
      </c>
      <c r="F1140" s="1906">
        <f t="shared" si="1235"/>
        <v>0</v>
      </c>
      <c r="G1140" s="1906">
        <f t="shared" si="1235"/>
        <v>0</v>
      </c>
      <c r="H1140" s="1906">
        <f t="shared" si="1235"/>
        <v>0</v>
      </c>
      <c r="I1140" s="1906">
        <f t="shared" si="1134"/>
        <v>0</v>
      </c>
      <c r="J1140" s="1906">
        <f t="shared" si="1235"/>
        <v>0</v>
      </c>
      <c r="K1140" s="1906">
        <f t="shared" si="1235"/>
        <v>0</v>
      </c>
      <c r="L1140" s="1906">
        <f t="shared" si="1235"/>
        <v>0</v>
      </c>
      <c r="M1140" s="1906">
        <f t="shared" si="1235"/>
        <v>0</v>
      </c>
      <c r="N1140" s="107"/>
      <c r="O1140" s="1906"/>
      <c r="P1140" s="1906">
        <f t="shared" si="1135"/>
        <v>0</v>
      </c>
      <c r="Q1140" s="1906">
        <f t="shared" si="1136"/>
        <v>0</v>
      </c>
      <c r="R1140" s="1906">
        <f t="shared" si="1137"/>
        <v>0</v>
      </c>
      <c r="S1140" s="1906">
        <f t="shared" si="1138"/>
        <v>0</v>
      </c>
      <c r="T1140" s="1906">
        <f t="shared" si="1139"/>
        <v>0</v>
      </c>
      <c r="U1140" s="1906">
        <f t="shared" si="1140"/>
        <v>0</v>
      </c>
      <c r="V1140" s="1906">
        <f t="shared" si="1141"/>
        <v>0</v>
      </c>
      <c r="W1140" s="1906">
        <f t="shared" si="1142"/>
        <v>0</v>
      </c>
      <c r="X1140" s="1906">
        <f t="shared" si="1143"/>
        <v>0</v>
      </c>
      <c r="Y1140" s="1906">
        <f t="shared" si="1144"/>
        <v>0</v>
      </c>
      <c r="Z1140" s="1906">
        <f t="shared" si="1145"/>
        <v>0</v>
      </c>
      <c r="AA1140" s="107"/>
      <c r="AB1140" s="1906">
        <f t="shared" si="1146"/>
        <v>0</v>
      </c>
      <c r="AC1140" s="1906">
        <f t="shared" si="1147"/>
        <v>0</v>
      </c>
      <c r="AD1140" s="1906">
        <f t="shared" si="1148"/>
        <v>0</v>
      </c>
      <c r="AE1140" s="1906">
        <f t="shared" si="1149"/>
        <v>0</v>
      </c>
      <c r="AF1140" s="1906">
        <f t="shared" si="1150"/>
        <v>0</v>
      </c>
      <c r="AG1140" s="1906">
        <f t="shared" si="1151"/>
        <v>0</v>
      </c>
      <c r="AH1140" s="1906">
        <f t="shared" si="1152"/>
        <v>0</v>
      </c>
      <c r="AI1140" s="1906">
        <f t="shared" si="1153"/>
        <v>0</v>
      </c>
      <c r="AJ1140" s="1906">
        <f t="shared" si="1154"/>
        <v>0</v>
      </c>
      <c r="AK1140" s="1906">
        <f t="shared" si="1155"/>
        <v>0</v>
      </c>
      <c r="AL1140" s="1906">
        <f t="shared" si="1156"/>
        <v>0</v>
      </c>
      <c r="AM1140" s="1906">
        <f t="shared" si="1157"/>
        <v>0</v>
      </c>
      <c r="AN1140" s="107"/>
      <c r="AO1140" s="1906">
        <f t="shared" si="1158"/>
        <v>0</v>
      </c>
      <c r="AP1140" s="1906">
        <f t="shared" si="1159"/>
        <v>0</v>
      </c>
      <c r="AQ1140" s="1906">
        <f t="shared" si="1160"/>
        <v>0</v>
      </c>
      <c r="AR1140" s="1906">
        <f t="shared" si="1161"/>
        <v>0</v>
      </c>
      <c r="AS1140" s="1906">
        <f t="shared" si="1162"/>
        <v>0</v>
      </c>
      <c r="AT1140" s="1906">
        <f t="shared" si="1163"/>
        <v>0</v>
      </c>
      <c r="AU1140" s="1906">
        <f t="shared" si="1164"/>
        <v>0</v>
      </c>
      <c r="AV1140" s="1906">
        <f t="shared" si="1165"/>
        <v>0</v>
      </c>
      <c r="AW1140" s="1906">
        <f t="shared" si="1166"/>
        <v>0</v>
      </c>
      <c r="AX1140" s="1906">
        <f t="shared" si="1167"/>
        <v>0</v>
      </c>
      <c r="AY1140" s="1906">
        <f t="shared" si="1168"/>
        <v>0</v>
      </c>
      <c r="AZ1140" s="1906">
        <f t="shared" si="1169"/>
        <v>0</v>
      </c>
      <c r="BA1140" s="107"/>
      <c r="BB1140" s="1906">
        <f t="shared" si="1170"/>
        <v>0</v>
      </c>
      <c r="BC1140" s="1906">
        <f t="shared" si="1171"/>
        <v>0</v>
      </c>
      <c r="BD1140" s="1906">
        <f t="shared" si="1172"/>
        <v>0</v>
      </c>
      <c r="BE1140" s="1906">
        <f t="shared" si="1173"/>
        <v>0</v>
      </c>
      <c r="BF1140" s="1906">
        <f t="shared" si="1174"/>
        <v>0</v>
      </c>
      <c r="BG1140" s="1906">
        <f t="shared" si="1175"/>
        <v>0</v>
      </c>
      <c r="BH1140" s="1906">
        <f t="shared" si="1176"/>
        <v>0</v>
      </c>
      <c r="BI1140" s="1906">
        <f t="shared" si="1177"/>
        <v>0</v>
      </c>
      <c r="BJ1140" s="1906">
        <f t="shared" si="1178"/>
        <v>0</v>
      </c>
      <c r="BK1140" s="1906">
        <f t="shared" si="1179"/>
        <v>0</v>
      </c>
      <c r="BL1140" s="1906">
        <f t="shared" si="1180"/>
        <v>0</v>
      </c>
      <c r="BM1140" s="1906">
        <f t="shared" si="1181"/>
        <v>0</v>
      </c>
      <c r="BN1140" s="107"/>
      <c r="BO1140" s="1906">
        <f t="shared" si="1182"/>
        <v>0</v>
      </c>
      <c r="BP1140" s="1906">
        <f t="shared" si="1183"/>
        <v>0</v>
      </c>
      <c r="BQ1140" s="1906">
        <f t="shared" si="1184"/>
        <v>0</v>
      </c>
      <c r="BR1140" s="1906">
        <f t="shared" si="1185"/>
        <v>0</v>
      </c>
      <c r="BS1140" s="1906">
        <f t="shared" si="1186"/>
        <v>0</v>
      </c>
      <c r="BT1140" s="1906">
        <f t="shared" si="1187"/>
        <v>0</v>
      </c>
      <c r="BU1140" s="1906">
        <f t="shared" si="1188"/>
        <v>0</v>
      </c>
      <c r="BV1140" s="1906">
        <f t="shared" si="1189"/>
        <v>0</v>
      </c>
      <c r="BW1140" s="1906">
        <f t="shared" si="1190"/>
        <v>0</v>
      </c>
      <c r="BX1140" s="1906">
        <f t="shared" si="1191"/>
        <v>0</v>
      </c>
      <c r="BY1140" s="1906">
        <f t="shared" si="1192"/>
        <v>0</v>
      </c>
      <c r="BZ1140" s="1906">
        <f t="shared" si="1193"/>
        <v>0</v>
      </c>
      <c r="CA1140" s="1971" t="str">
        <f t="shared" si="1194"/>
        <v>Alfalfa 4</v>
      </c>
      <c r="CB1140" s="1906">
        <f t="shared" si="1195"/>
        <v>0</v>
      </c>
      <c r="CC1140" s="1906">
        <f t="shared" si="1196"/>
        <v>0</v>
      </c>
      <c r="CD1140" s="1906">
        <f t="shared" si="1197"/>
        <v>0</v>
      </c>
      <c r="CE1140" s="1906">
        <f t="shared" si="1198"/>
        <v>0</v>
      </c>
      <c r="CF1140" s="1906">
        <f t="shared" si="1199"/>
        <v>0</v>
      </c>
      <c r="CG1140" s="1906">
        <f t="shared" si="1200"/>
        <v>0</v>
      </c>
      <c r="CH1140" s="1906">
        <f t="shared" si="1201"/>
        <v>0</v>
      </c>
      <c r="CI1140" s="1906">
        <f t="shared" si="1202"/>
        <v>0</v>
      </c>
      <c r="CJ1140" s="1906">
        <f t="shared" si="1225"/>
        <v>0</v>
      </c>
      <c r="CK1140" s="1906">
        <f t="shared" si="1226"/>
        <v>0</v>
      </c>
      <c r="CL1140" s="1906">
        <f t="shared" si="1227"/>
        <v>0</v>
      </c>
      <c r="CM1140" s="1906">
        <f t="shared" si="1228"/>
        <v>0</v>
      </c>
      <c r="CN1140" s="595" t="str">
        <f t="shared" si="1204"/>
        <v>Alfalfa 4</v>
      </c>
      <c r="CO1140" s="1443">
        <f t="shared" si="1219"/>
        <v>0</v>
      </c>
      <c r="CQ1140" s="108" t="str">
        <f t="shared" si="1205"/>
        <v>Alfalfa 4</v>
      </c>
      <c r="CR1140" s="1898">
        <f t="shared" si="1206"/>
        <v>0</v>
      </c>
      <c r="CS1140" s="1898">
        <f t="shared" si="1207"/>
        <v>0</v>
      </c>
      <c r="CT1140" s="1898">
        <f t="shared" si="1208"/>
        <v>0</v>
      </c>
      <c r="CU1140" s="1898">
        <f t="shared" si="1209"/>
        <v>0</v>
      </c>
      <c r="CV1140" s="1898">
        <f t="shared" si="1210"/>
        <v>0</v>
      </c>
      <c r="CW1140" s="1898">
        <f t="shared" si="1211"/>
        <v>0</v>
      </c>
      <c r="CX1140" s="1898">
        <f t="shared" si="1212"/>
        <v>0</v>
      </c>
      <c r="CY1140" s="1898">
        <f t="shared" si="1213"/>
        <v>0</v>
      </c>
      <c r="CZ1140" s="1898">
        <f t="shared" si="1214"/>
        <v>0</v>
      </c>
      <c r="DA1140" s="1898">
        <f t="shared" si="1215"/>
        <v>0</v>
      </c>
      <c r="DB1140" s="1898">
        <f t="shared" si="1216"/>
        <v>0</v>
      </c>
      <c r="DC1140" s="1898">
        <f t="shared" si="1217"/>
        <v>0</v>
      </c>
    </row>
    <row r="1141" spans="1:107" x14ac:dyDescent="0.2">
      <c r="A1141" s="1971" t="str">
        <f t="shared" si="1132"/>
        <v>PP 2</v>
      </c>
      <c r="B1141" s="1906">
        <f t="shared" ref="B1141:M1141" si="1236">SUMIF(C$1054:C$1120,"feb"&amp;$B997,C$983:C$1049)</f>
        <v>0</v>
      </c>
      <c r="C1141" s="1906">
        <f t="shared" si="1236"/>
        <v>0</v>
      </c>
      <c r="D1141" s="1906">
        <f t="shared" si="1236"/>
        <v>0</v>
      </c>
      <c r="E1141" s="1906">
        <f t="shared" si="1236"/>
        <v>0</v>
      </c>
      <c r="F1141" s="1906">
        <f t="shared" si="1236"/>
        <v>0</v>
      </c>
      <c r="G1141" s="1906">
        <f t="shared" si="1236"/>
        <v>0</v>
      </c>
      <c r="H1141" s="1906">
        <f t="shared" si="1236"/>
        <v>0</v>
      </c>
      <c r="I1141" s="1906">
        <f t="shared" si="1134"/>
        <v>0</v>
      </c>
      <c r="J1141" s="1906">
        <f t="shared" si="1236"/>
        <v>0</v>
      </c>
      <c r="K1141" s="1906">
        <f t="shared" si="1236"/>
        <v>0</v>
      </c>
      <c r="L1141" s="1906">
        <f t="shared" si="1236"/>
        <v>0</v>
      </c>
      <c r="M1141" s="1906">
        <f t="shared" si="1236"/>
        <v>0</v>
      </c>
      <c r="N1141" s="107"/>
      <c r="O1141" s="1906"/>
      <c r="P1141" s="1906">
        <f t="shared" si="1135"/>
        <v>0</v>
      </c>
      <c r="Q1141" s="1906">
        <f t="shared" si="1136"/>
        <v>0</v>
      </c>
      <c r="R1141" s="1906">
        <f t="shared" si="1137"/>
        <v>0</v>
      </c>
      <c r="S1141" s="1906">
        <f t="shared" si="1138"/>
        <v>0</v>
      </c>
      <c r="T1141" s="1906">
        <f t="shared" si="1139"/>
        <v>0</v>
      </c>
      <c r="U1141" s="1906">
        <f t="shared" si="1140"/>
        <v>0</v>
      </c>
      <c r="V1141" s="1906">
        <f t="shared" si="1141"/>
        <v>0</v>
      </c>
      <c r="W1141" s="1906">
        <f t="shared" si="1142"/>
        <v>0</v>
      </c>
      <c r="X1141" s="1906">
        <f t="shared" si="1143"/>
        <v>0</v>
      </c>
      <c r="Y1141" s="1906">
        <f t="shared" si="1144"/>
        <v>0</v>
      </c>
      <c r="Z1141" s="1906">
        <f t="shared" si="1145"/>
        <v>0</v>
      </c>
      <c r="AA1141" s="107"/>
      <c r="AB1141" s="1906">
        <f t="shared" si="1146"/>
        <v>0</v>
      </c>
      <c r="AC1141" s="1906">
        <f t="shared" si="1147"/>
        <v>0</v>
      </c>
      <c r="AD1141" s="1906">
        <f t="shared" si="1148"/>
        <v>0</v>
      </c>
      <c r="AE1141" s="1906">
        <f t="shared" si="1149"/>
        <v>0</v>
      </c>
      <c r="AF1141" s="1906">
        <f t="shared" si="1150"/>
        <v>0</v>
      </c>
      <c r="AG1141" s="1906">
        <f t="shared" si="1151"/>
        <v>0</v>
      </c>
      <c r="AH1141" s="1906">
        <f t="shared" si="1152"/>
        <v>0</v>
      </c>
      <c r="AI1141" s="1906">
        <f t="shared" si="1153"/>
        <v>0</v>
      </c>
      <c r="AJ1141" s="1906">
        <f t="shared" si="1154"/>
        <v>0</v>
      </c>
      <c r="AK1141" s="1906">
        <f t="shared" si="1155"/>
        <v>0</v>
      </c>
      <c r="AL1141" s="1906">
        <f t="shared" si="1156"/>
        <v>0</v>
      </c>
      <c r="AM1141" s="1906">
        <f t="shared" si="1157"/>
        <v>0</v>
      </c>
      <c r="AN1141" s="107"/>
      <c r="AO1141" s="1906">
        <f t="shared" si="1158"/>
        <v>0</v>
      </c>
      <c r="AP1141" s="1906">
        <f t="shared" si="1159"/>
        <v>0</v>
      </c>
      <c r="AQ1141" s="1906">
        <f t="shared" si="1160"/>
        <v>0</v>
      </c>
      <c r="AR1141" s="1906">
        <f t="shared" si="1161"/>
        <v>0</v>
      </c>
      <c r="AS1141" s="1906">
        <f t="shared" si="1162"/>
        <v>0</v>
      </c>
      <c r="AT1141" s="1906">
        <f t="shared" si="1163"/>
        <v>0</v>
      </c>
      <c r="AU1141" s="1906">
        <f t="shared" si="1164"/>
        <v>0</v>
      </c>
      <c r="AV1141" s="1906">
        <f t="shared" si="1165"/>
        <v>0</v>
      </c>
      <c r="AW1141" s="1906">
        <f t="shared" si="1166"/>
        <v>0</v>
      </c>
      <c r="AX1141" s="1906">
        <f t="shared" si="1167"/>
        <v>0</v>
      </c>
      <c r="AY1141" s="1906">
        <f t="shared" si="1168"/>
        <v>0</v>
      </c>
      <c r="AZ1141" s="1906">
        <f t="shared" si="1169"/>
        <v>0</v>
      </c>
      <c r="BA1141" s="107"/>
      <c r="BB1141" s="1906">
        <f t="shared" si="1170"/>
        <v>0</v>
      </c>
      <c r="BC1141" s="1906">
        <f t="shared" si="1171"/>
        <v>0</v>
      </c>
      <c r="BD1141" s="1906">
        <f t="shared" si="1172"/>
        <v>0</v>
      </c>
      <c r="BE1141" s="1906">
        <f t="shared" si="1173"/>
        <v>0</v>
      </c>
      <c r="BF1141" s="1906">
        <f t="shared" si="1174"/>
        <v>0</v>
      </c>
      <c r="BG1141" s="1906">
        <f t="shared" si="1175"/>
        <v>0</v>
      </c>
      <c r="BH1141" s="1906">
        <f t="shared" si="1176"/>
        <v>0</v>
      </c>
      <c r="BI1141" s="1906">
        <f t="shared" si="1177"/>
        <v>0</v>
      </c>
      <c r="BJ1141" s="1906">
        <f t="shared" si="1178"/>
        <v>0</v>
      </c>
      <c r="BK1141" s="1906">
        <f t="shared" si="1179"/>
        <v>0</v>
      </c>
      <c r="BL1141" s="1906">
        <f t="shared" si="1180"/>
        <v>0</v>
      </c>
      <c r="BM1141" s="1906">
        <f t="shared" si="1181"/>
        <v>0</v>
      </c>
      <c r="BN1141" s="107"/>
      <c r="BO1141" s="1906">
        <f t="shared" si="1182"/>
        <v>0</v>
      </c>
      <c r="BP1141" s="1906">
        <f t="shared" si="1183"/>
        <v>0</v>
      </c>
      <c r="BQ1141" s="1906">
        <f t="shared" si="1184"/>
        <v>0</v>
      </c>
      <c r="BR1141" s="1906">
        <f t="shared" si="1185"/>
        <v>0</v>
      </c>
      <c r="BS1141" s="1906">
        <f t="shared" si="1186"/>
        <v>0</v>
      </c>
      <c r="BT1141" s="1906">
        <f t="shared" si="1187"/>
        <v>0</v>
      </c>
      <c r="BU1141" s="1906">
        <f t="shared" si="1188"/>
        <v>0</v>
      </c>
      <c r="BV1141" s="1906">
        <f t="shared" si="1189"/>
        <v>0</v>
      </c>
      <c r="BW1141" s="1906">
        <f t="shared" si="1190"/>
        <v>0</v>
      </c>
      <c r="BX1141" s="1906">
        <f t="shared" si="1191"/>
        <v>0</v>
      </c>
      <c r="BY1141" s="1906">
        <f t="shared" si="1192"/>
        <v>0</v>
      </c>
      <c r="BZ1141" s="1906">
        <f t="shared" si="1193"/>
        <v>0</v>
      </c>
      <c r="CA1141" s="1971" t="str">
        <f t="shared" si="1194"/>
        <v>PP 2</v>
      </c>
      <c r="CB1141" s="1906">
        <f t="shared" si="1195"/>
        <v>0</v>
      </c>
      <c r="CC1141" s="1906">
        <f t="shared" si="1196"/>
        <v>0</v>
      </c>
      <c r="CD1141" s="1906">
        <f t="shared" si="1197"/>
        <v>0</v>
      </c>
      <c r="CE1141" s="1906">
        <f t="shared" si="1198"/>
        <v>0</v>
      </c>
      <c r="CF1141" s="1906">
        <f t="shared" si="1199"/>
        <v>0</v>
      </c>
      <c r="CG1141" s="1906">
        <f t="shared" si="1200"/>
        <v>0</v>
      </c>
      <c r="CH1141" s="1906">
        <f t="shared" si="1201"/>
        <v>0</v>
      </c>
      <c r="CI1141" s="1906">
        <f t="shared" si="1202"/>
        <v>0</v>
      </c>
      <c r="CJ1141" s="1906">
        <f t="shared" si="1225"/>
        <v>0</v>
      </c>
      <c r="CK1141" s="1906">
        <f t="shared" si="1226"/>
        <v>0</v>
      </c>
      <c r="CL1141" s="1906">
        <f t="shared" si="1227"/>
        <v>0</v>
      </c>
      <c r="CM1141" s="1906">
        <f t="shared" si="1228"/>
        <v>0</v>
      </c>
      <c r="CN1141" s="595" t="str">
        <f t="shared" si="1204"/>
        <v>PP 2</v>
      </c>
      <c r="CO1141" s="1443">
        <f t="shared" si="1219"/>
        <v>0</v>
      </c>
      <c r="CQ1141" s="108" t="str">
        <f t="shared" si="1205"/>
        <v>PP 2</v>
      </c>
      <c r="CR1141" s="1898">
        <f t="shared" si="1206"/>
        <v>0</v>
      </c>
      <c r="CS1141" s="1898">
        <f t="shared" si="1207"/>
        <v>0</v>
      </c>
      <c r="CT1141" s="1898">
        <f t="shared" si="1208"/>
        <v>0</v>
      </c>
      <c r="CU1141" s="1898">
        <f t="shared" si="1209"/>
        <v>0</v>
      </c>
      <c r="CV1141" s="1898">
        <f t="shared" si="1210"/>
        <v>0</v>
      </c>
      <c r="CW1141" s="1898">
        <f t="shared" si="1211"/>
        <v>0</v>
      </c>
      <c r="CX1141" s="1898">
        <f t="shared" si="1212"/>
        <v>0</v>
      </c>
      <c r="CY1141" s="1898">
        <f t="shared" si="1213"/>
        <v>0</v>
      </c>
      <c r="CZ1141" s="1898">
        <f t="shared" si="1214"/>
        <v>0</v>
      </c>
      <c r="DA1141" s="1898">
        <f t="shared" si="1215"/>
        <v>0</v>
      </c>
      <c r="DB1141" s="1898">
        <f t="shared" si="1216"/>
        <v>0</v>
      </c>
      <c r="DC1141" s="1898">
        <f t="shared" si="1217"/>
        <v>0</v>
      </c>
    </row>
    <row r="1142" spans="1:107" x14ac:dyDescent="0.2">
      <c r="A1142" s="1971" t="str">
        <f t="shared" si="1132"/>
        <v>PP 3</v>
      </c>
      <c r="B1142" s="1906">
        <f t="shared" ref="B1142:M1142" si="1237">SUMIF(C$1054:C$1120,"feb"&amp;$B998,C$983:C$1049)</f>
        <v>0</v>
      </c>
      <c r="C1142" s="1906">
        <f t="shared" si="1237"/>
        <v>0</v>
      </c>
      <c r="D1142" s="1906">
        <f t="shared" si="1237"/>
        <v>0</v>
      </c>
      <c r="E1142" s="1906">
        <f t="shared" si="1237"/>
        <v>0</v>
      </c>
      <c r="F1142" s="1906">
        <f t="shared" si="1237"/>
        <v>0</v>
      </c>
      <c r="G1142" s="1906">
        <f t="shared" si="1237"/>
        <v>0</v>
      </c>
      <c r="H1142" s="1906">
        <f t="shared" si="1237"/>
        <v>0</v>
      </c>
      <c r="I1142" s="1906">
        <f t="shared" si="1134"/>
        <v>0</v>
      </c>
      <c r="J1142" s="1906">
        <f t="shared" si="1237"/>
        <v>0</v>
      </c>
      <c r="K1142" s="1906">
        <f t="shared" si="1237"/>
        <v>0</v>
      </c>
      <c r="L1142" s="1906">
        <f t="shared" si="1237"/>
        <v>0</v>
      </c>
      <c r="M1142" s="1906">
        <f t="shared" si="1237"/>
        <v>0</v>
      </c>
      <c r="N1142" s="107"/>
      <c r="O1142" s="1906"/>
      <c r="P1142" s="1906">
        <f t="shared" si="1135"/>
        <v>0</v>
      </c>
      <c r="Q1142" s="1906">
        <f t="shared" si="1136"/>
        <v>0</v>
      </c>
      <c r="R1142" s="1906">
        <f t="shared" si="1137"/>
        <v>0</v>
      </c>
      <c r="S1142" s="1906">
        <f t="shared" si="1138"/>
        <v>0</v>
      </c>
      <c r="T1142" s="1906">
        <f t="shared" si="1139"/>
        <v>0</v>
      </c>
      <c r="U1142" s="1906">
        <f t="shared" si="1140"/>
        <v>0</v>
      </c>
      <c r="V1142" s="1906">
        <f t="shared" si="1141"/>
        <v>0</v>
      </c>
      <c r="W1142" s="1906">
        <f t="shared" si="1142"/>
        <v>0</v>
      </c>
      <c r="X1142" s="1906">
        <f t="shared" si="1143"/>
        <v>0</v>
      </c>
      <c r="Y1142" s="1906">
        <f t="shared" si="1144"/>
        <v>0</v>
      </c>
      <c r="Z1142" s="1906">
        <f t="shared" si="1145"/>
        <v>0</v>
      </c>
      <c r="AA1142" s="107"/>
      <c r="AB1142" s="1906">
        <f t="shared" si="1146"/>
        <v>0</v>
      </c>
      <c r="AC1142" s="1906">
        <f t="shared" si="1147"/>
        <v>0</v>
      </c>
      <c r="AD1142" s="1906">
        <f t="shared" si="1148"/>
        <v>0</v>
      </c>
      <c r="AE1142" s="1906">
        <f t="shared" si="1149"/>
        <v>0</v>
      </c>
      <c r="AF1142" s="1906">
        <f t="shared" si="1150"/>
        <v>0</v>
      </c>
      <c r="AG1142" s="1906">
        <f t="shared" si="1151"/>
        <v>0</v>
      </c>
      <c r="AH1142" s="1906">
        <f t="shared" si="1152"/>
        <v>0</v>
      </c>
      <c r="AI1142" s="1906">
        <f t="shared" si="1153"/>
        <v>0</v>
      </c>
      <c r="AJ1142" s="1906">
        <f t="shared" si="1154"/>
        <v>0</v>
      </c>
      <c r="AK1142" s="1906">
        <f t="shared" si="1155"/>
        <v>0</v>
      </c>
      <c r="AL1142" s="1906">
        <f t="shared" si="1156"/>
        <v>0</v>
      </c>
      <c r="AM1142" s="1906">
        <f t="shared" si="1157"/>
        <v>0</v>
      </c>
      <c r="AN1142" s="107"/>
      <c r="AO1142" s="1906">
        <f t="shared" si="1158"/>
        <v>0</v>
      </c>
      <c r="AP1142" s="1906">
        <f t="shared" si="1159"/>
        <v>0</v>
      </c>
      <c r="AQ1142" s="1906">
        <f t="shared" si="1160"/>
        <v>0</v>
      </c>
      <c r="AR1142" s="1906">
        <f t="shared" si="1161"/>
        <v>0</v>
      </c>
      <c r="AS1142" s="1906">
        <f t="shared" si="1162"/>
        <v>0</v>
      </c>
      <c r="AT1142" s="1906">
        <f t="shared" si="1163"/>
        <v>0</v>
      </c>
      <c r="AU1142" s="1906">
        <f t="shared" si="1164"/>
        <v>0</v>
      </c>
      <c r="AV1142" s="1906">
        <f t="shared" si="1165"/>
        <v>0</v>
      </c>
      <c r="AW1142" s="1906">
        <f t="shared" si="1166"/>
        <v>0</v>
      </c>
      <c r="AX1142" s="1906">
        <f t="shared" si="1167"/>
        <v>0</v>
      </c>
      <c r="AY1142" s="1906">
        <f t="shared" si="1168"/>
        <v>0</v>
      </c>
      <c r="AZ1142" s="1906">
        <f t="shared" si="1169"/>
        <v>0</v>
      </c>
      <c r="BA1142" s="107"/>
      <c r="BB1142" s="1906">
        <f t="shared" si="1170"/>
        <v>0</v>
      </c>
      <c r="BC1142" s="1906">
        <f t="shared" si="1171"/>
        <v>0</v>
      </c>
      <c r="BD1142" s="1906">
        <f t="shared" si="1172"/>
        <v>0</v>
      </c>
      <c r="BE1142" s="1906">
        <f t="shared" si="1173"/>
        <v>0</v>
      </c>
      <c r="BF1142" s="1906">
        <f t="shared" si="1174"/>
        <v>0</v>
      </c>
      <c r="BG1142" s="1906">
        <f t="shared" si="1175"/>
        <v>0</v>
      </c>
      <c r="BH1142" s="1906">
        <f t="shared" si="1176"/>
        <v>0</v>
      </c>
      <c r="BI1142" s="1906">
        <f t="shared" si="1177"/>
        <v>0</v>
      </c>
      <c r="BJ1142" s="1906">
        <f t="shared" si="1178"/>
        <v>0</v>
      </c>
      <c r="BK1142" s="1906">
        <f t="shared" si="1179"/>
        <v>0</v>
      </c>
      <c r="BL1142" s="1906">
        <f t="shared" si="1180"/>
        <v>0</v>
      </c>
      <c r="BM1142" s="1906">
        <f t="shared" si="1181"/>
        <v>0</v>
      </c>
      <c r="BN1142" s="107"/>
      <c r="BO1142" s="1906">
        <f t="shared" si="1182"/>
        <v>0</v>
      </c>
      <c r="BP1142" s="1906">
        <f t="shared" si="1183"/>
        <v>0</v>
      </c>
      <c r="BQ1142" s="1906">
        <f t="shared" si="1184"/>
        <v>0</v>
      </c>
      <c r="BR1142" s="1906">
        <f t="shared" si="1185"/>
        <v>0</v>
      </c>
      <c r="BS1142" s="1906">
        <f t="shared" si="1186"/>
        <v>0</v>
      </c>
      <c r="BT1142" s="1906">
        <f t="shared" si="1187"/>
        <v>0</v>
      </c>
      <c r="BU1142" s="1906">
        <f t="shared" si="1188"/>
        <v>0</v>
      </c>
      <c r="BV1142" s="1906">
        <f t="shared" si="1189"/>
        <v>0</v>
      </c>
      <c r="BW1142" s="1906">
        <f t="shared" si="1190"/>
        <v>0</v>
      </c>
      <c r="BX1142" s="1906">
        <f t="shared" si="1191"/>
        <v>0</v>
      </c>
      <c r="BY1142" s="1906">
        <f t="shared" si="1192"/>
        <v>0</v>
      </c>
      <c r="BZ1142" s="1906">
        <f t="shared" si="1193"/>
        <v>0</v>
      </c>
      <c r="CA1142" s="1971" t="str">
        <f t="shared" si="1194"/>
        <v>PP 3</v>
      </c>
      <c r="CB1142" s="1906">
        <f t="shared" si="1195"/>
        <v>0</v>
      </c>
      <c r="CC1142" s="1906">
        <f t="shared" si="1196"/>
        <v>0</v>
      </c>
      <c r="CD1142" s="1906">
        <f t="shared" si="1197"/>
        <v>0</v>
      </c>
      <c r="CE1142" s="1906">
        <f t="shared" si="1198"/>
        <v>0</v>
      </c>
      <c r="CF1142" s="1906">
        <f t="shared" si="1199"/>
        <v>0</v>
      </c>
      <c r="CG1142" s="1906">
        <f t="shared" si="1200"/>
        <v>0</v>
      </c>
      <c r="CH1142" s="1906">
        <f t="shared" si="1201"/>
        <v>0</v>
      </c>
      <c r="CI1142" s="1906">
        <f t="shared" si="1202"/>
        <v>0</v>
      </c>
      <c r="CJ1142" s="1906">
        <f t="shared" si="1225"/>
        <v>0</v>
      </c>
      <c r="CK1142" s="1906">
        <f t="shared" si="1226"/>
        <v>0</v>
      </c>
      <c r="CL1142" s="1906">
        <f t="shared" si="1227"/>
        <v>0</v>
      </c>
      <c r="CM1142" s="1906">
        <f t="shared" si="1228"/>
        <v>0</v>
      </c>
      <c r="CN1142" s="595" t="str">
        <f t="shared" si="1204"/>
        <v>PP 3</v>
      </c>
      <c r="CO1142" s="1443">
        <f t="shared" si="1219"/>
        <v>0</v>
      </c>
      <c r="CQ1142" s="108" t="str">
        <f t="shared" si="1205"/>
        <v>PP 3</v>
      </c>
      <c r="CR1142" s="1898">
        <f t="shared" si="1206"/>
        <v>0</v>
      </c>
      <c r="CS1142" s="1898">
        <f t="shared" si="1207"/>
        <v>0</v>
      </c>
      <c r="CT1142" s="1898">
        <f t="shared" si="1208"/>
        <v>0</v>
      </c>
      <c r="CU1142" s="1898">
        <f t="shared" si="1209"/>
        <v>0</v>
      </c>
      <c r="CV1142" s="1898">
        <f t="shared" si="1210"/>
        <v>0</v>
      </c>
      <c r="CW1142" s="1898">
        <f t="shared" si="1211"/>
        <v>0</v>
      </c>
      <c r="CX1142" s="1898">
        <f t="shared" si="1212"/>
        <v>0</v>
      </c>
      <c r="CY1142" s="1898">
        <f t="shared" si="1213"/>
        <v>0</v>
      </c>
      <c r="CZ1142" s="1898">
        <f t="shared" si="1214"/>
        <v>0</v>
      </c>
      <c r="DA1142" s="1898">
        <f t="shared" si="1215"/>
        <v>0</v>
      </c>
      <c r="DB1142" s="1898">
        <f t="shared" si="1216"/>
        <v>0</v>
      </c>
      <c r="DC1142" s="1898">
        <f t="shared" si="1217"/>
        <v>0</v>
      </c>
    </row>
    <row r="1143" spans="1:107" x14ac:dyDescent="0.2">
      <c r="A1143" s="1971" t="str">
        <f t="shared" si="1132"/>
        <v>PP 4</v>
      </c>
      <c r="B1143" s="1906">
        <f t="shared" ref="B1143:M1143" si="1238">SUMIF(C$1054:C$1120,"feb"&amp;$B999,C$983:C$1049)</f>
        <v>0</v>
      </c>
      <c r="C1143" s="1906">
        <f t="shared" si="1238"/>
        <v>0</v>
      </c>
      <c r="D1143" s="1906">
        <f t="shared" si="1238"/>
        <v>0</v>
      </c>
      <c r="E1143" s="1906">
        <f t="shared" si="1238"/>
        <v>0</v>
      </c>
      <c r="F1143" s="1906">
        <f t="shared" si="1238"/>
        <v>0</v>
      </c>
      <c r="G1143" s="1906">
        <f t="shared" si="1238"/>
        <v>0</v>
      </c>
      <c r="H1143" s="1906">
        <f t="shared" si="1238"/>
        <v>0</v>
      </c>
      <c r="I1143" s="1906">
        <f t="shared" si="1134"/>
        <v>0</v>
      </c>
      <c r="J1143" s="1906">
        <f t="shared" si="1238"/>
        <v>0</v>
      </c>
      <c r="K1143" s="1906">
        <f t="shared" si="1238"/>
        <v>0</v>
      </c>
      <c r="L1143" s="1906">
        <f t="shared" si="1238"/>
        <v>0</v>
      </c>
      <c r="M1143" s="1906">
        <f t="shared" si="1238"/>
        <v>0</v>
      </c>
      <c r="N1143" s="107"/>
      <c r="O1143" s="1906"/>
      <c r="P1143" s="1906">
        <f t="shared" si="1135"/>
        <v>0</v>
      </c>
      <c r="Q1143" s="1906">
        <f t="shared" si="1136"/>
        <v>0</v>
      </c>
      <c r="R1143" s="1906">
        <f t="shared" si="1137"/>
        <v>0</v>
      </c>
      <c r="S1143" s="1906">
        <f t="shared" si="1138"/>
        <v>0</v>
      </c>
      <c r="T1143" s="1906">
        <f t="shared" si="1139"/>
        <v>0</v>
      </c>
      <c r="U1143" s="1906">
        <f t="shared" si="1140"/>
        <v>0</v>
      </c>
      <c r="V1143" s="1906">
        <f t="shared" si="1141"/>
        <v>0</v>
      </c>
      <c r="W1143" s="1906">
        <f t="shared" si="1142"/>
        <v>0</v>
      </c>
      <c r="X1143" s="1906">
        <f t="shared" si="1143"/>
        <v>0</v>
      </c>
      <c r="Y1143" s="1906">
        <f t="shared" si="1144"/>
        <v>0</v>
      </c>
      <c r="Z1143" s="1906">
        <f t="shared" si="1145"/>
        <v>0</v>
      </c>
      <c r="AA1143" s="107"/>
      <c r="AB1143" s="1906">
        <f t="shared" si="1146"/>
        <v>0</v>
      </c>
      <c r="AC1143" s="1906">
        <f t="shared" si="1147"/>
        <v>0</v>
      </c>
      <c r="AD1143" s="1906">
        <f t="shared" si="1148"/>
        <v>0</v>
      </c>
      <c r="AE1143" s="1906">
        <f t="shared" si="1149"/>
        <v>0</v>
      </c>
      <c r="AF1143" s="1906">
        <f t="shared" si="1150"/>
        <v>0</v>
      </c>
      <c r="AG1143" s="1906">
        <f t="shared" si="1151"/>
        <v>0</v>
      </c>
      <c r="AH1143" s="1906">
        <f t="shared" si="1152"/>
        <v>0</v>
      </c>
      <c r="AI1143" s="1906">
        <f t="shared" si="1153"/>
        <v>0</v>
      </c>
      <c r="AJ1143" s="1906">
        <f t="shared" si="1154"/>
        <v>0</v>
      </c>
      <c r="AK1143" s="1906">
        <f t="shared" si="1155"/>
        <v>0</v>
      </c>
      <c r="AL1143" s="1906">
        <f t="shared" si="1156"/>
        <v>0</v>
      </c>
      <c r="AM1143" s="1906">
        <f t="shared" si="1157"/>
        <v>0</v>
      </c>
      <c r="AN1143" s="107"/>
      <c r="AO1143" s="1906">
        <f t="shared" si="1158"/>
        <v>0</v>
      </c>
      <c r="AP1143" s="1906">
        <f t="shared" si="1159"/>
        <v>0</v>
      </c>
      <c r="AQ1143" s="1906">
        <f t="shared" si="1160"/>
        <v>0</v>
      </c>
      <c r="AR1143" s="1906">
        <f t="shared" si="1161"/>
        <v>0</v>
      </c>
      <c r="AS1143" s="1906">
        <f t="shared" si="1162"/>
        <v>0</v>
      </c>
      <c r="AT1143" s="1906">
        <f t="shared" si="1163"/>
        <v>0</v>
      </c>
      <c r="AU1143" s="1906">
        <f t="shared" si="1164"/>
        <v>0</v>
      </c>
      <c r="AV1143" s="1906">
        <f t="shared" si="1165"/>
        <v>0</v>
      </c>
      <c r="AW1143" s="1906">
        <f t="shared" si="1166"/>
        <v>0</v>
      </c>
      <c r="AX1143" s="1906">
        <f t="shared" si="1167"/>
        <v>0</v>
      </c>
      <c r="AY1143" s="1906">
        <f t="shared" si="1168"/>
        <v>0</v>
      </c>
      <c r="AZ1143" s="1906">
        <f t="shared" si="1169"/>
        <v>0</v>
      </c>
      <c r="BA1143" s="107"/>
      <c r="BB1143" s="1906">
        <f t="shared" si="1170"/>
        <v>0</v>
      </c>
      <c r="BC1143" s="1906">
        <f t="shared" si="1171"/>
        <v>0</v>
      </c>
      <c r="BD1143" s="1906">
        <f t="shared" si="1172"/>
        <v>0</v>
      </c>
      <c r="BE1143" s="1906">
        <f t="shared" si="1173"/>
        <v>0</v>
      </c>
      <c r="BF1143" s="1906">
        <f t="shared" si="1174"/>
        <v>0</v>
      </c>
      <c r="BG1143" s="1906">
        <f t="shared" si="1175"/>
        <v>0</v>
      </c>
      <c r="BH1143" s="1906">
        <f t="shared" si="1176"/>
        <v>0</v>
      </c>
      <c r="BI1143" s="1906">
        <f t="shared" si="1177"/>
        <v>0</v>
      </c>
      <c r="BJ1143" s="1906">
        <f t="shared" si="1178"/>
        <v>0</v>
      </c>
      <c r="BK1143" s="1906">
        <f t="shared" si="1179"/>
        <v>0</v>
      </c>
      <c r="BL1143" s="1906">
        <f t="shared" si="1180"/>
        <v>0</v>
      </c>
      <c r="BM1143" s="1906">
        <f t="shared" si="1181"/>
        <v>0</v>
      </c>
      <c r="BN1143" s="107"/>
      <c r="BO1143" s="1906">
        <f t="shared" si="1182"/>
        <v>0</v>
      </c>
      <c r="BP1143" s="1906">
        <f t="shared" si="1183"/>
        <v>0</v>
      </c>
      <c r="BQ1143" s="1906">
        <f t="shared" si="1184"/>
        <v>0</v>
      </c>
      <c r="BR1143" s="1906">
        <f t="shared" si="1185"/>
        <v>0</v>
      </c>
      <c r="BS1143" s="1906">
        <f t="shared" si="1186"/>
        <v>0</v>
      </c>
      <c r="BT1143" s="1906">
        <f t="shared" si="1187"/>
        <v>0</v>
      </c>
      <c r="BU1143" s="1906">
        <f t="shared" si="1188"/>
        <v>0</v>
      </c>
      <c r="BV1143" s="1906">
        <f t="shared" si="1189"/>
        <v>0</v>
      </c>
      <c r="BW1143" s="1906">
        <f t="shared" si="1190"/>
        <v>0</v>
      </c>
      <c r="BX1143" s="1906">
        <f t="shared" si="1191"/>
        <v>0</v>
      </c>
      <c r="BY1143" s="1906">
        <f t="shared" si="1192"/>
        <v>0</v>
      </c>
      <c r="BZ1143" s="1906">
        <f t="shared" si="1193"/>
        <v>0</v>
      </c>
      <c r="CA1143" s="1971" t="str">
        <f t="shared" si="1194"/>
        <v>PP 4</v>
      </c>
      <c r="CB1143" s="1906">
        <f t="shared" si="1195"/>
        <v>0</v>
      </c>
      <c r="CC1143" s="1906">
        <f t="shared" si="1196"/>
        <v>0</v>
      </c>
      <c r="CD1143" s="1906">
        <f t="shared" si="1197"/>
        <v>0</v>
      </c>
      <c r="CE1143" s="1906">
        <f t="shared" si="1198"/>
        <v>0</v>
      </c>
      <c r="CF1143" s="1906">
        <f t="shared" si="1199"/>
        <v>0</v>
      </c>
      <c r="CG1143" s="1906">
        <f t="shared" si="1200"/>
        <v>0</v>
      </c>
      <c r="CH1143" s="1906">
        <f t="shared" si="1201"/>
        <v>0</v>
      </c>
      <c r="CI1143" s="1906">
        <f t="shared" si="1202"/>
        <v>0</v>
      </c>
      <c r="CJ1143" s="1906">
        <f t="shared" si="1225"/>
        <v>0</v>
      </c>
      <c r="CK1143" s="1906">
        <f t="shared" si="1226"/>
        <v>0</v>
      </c>
      <c r="CL1143" s="1906">
        <f t="shared" si="1227"/>
        <v>0</v>
      </c>
      <c r="CM1143" s="1906">
        <f t="shared" si="1228"/>
        <v>0</v>
      </c>
      <c r="CN1143" s="595" t="str">
        <f t="shared" si="1204"/>
        <v>PP 4</v>
      </c>
      <c r="CO1143" s="1443">
        <f t="shared" si="1219"/>
        <v>0</v>
      </c>
      <c r="CQ1143" s="108" t="str">
        <f t="shared" si="1205"/>
        <v>PP 4</v>
      </c>
      <c r="CR1143" s="1898">
        <f t="shared" si="1206"/>
        <v>0</v>
      </c>
      <c r="CS1143" s="1898">
        <f t="shared" si="1207"/>
        <v>0</v>
      </c>
      <c r="CT1143" s="1898">
        <f t="shared" si="1208"/>
        <v>0</v>
      </c>
      <c r="CU1143" s="1898">
        <f t="shared" si="1209"/>
        <v>0</v>
      </c>
      <c r="CV1143" s="1898">
        <f t="shared" si="1210"/>
        <v>0</v>
      </c>
      <c r="CW1143" s="1898">
        <f t="shared" si="1211"/>
        <v>0</v>
      </c>
      <c r="CX1143" s="1898">
        <f t="shared" si="1212"/>
        <v>0</v>
      </c>
      <c r="CY1143" s="1898">
        <f t="shared" si="1213"/>
        <v>0</v>
      </c>
      <c r="CZ1143" s="1898">
        <f t="shared" si="1214"/>
        <v>0</v>
      </c>
      <c r="DA1143" s="1898">
        <f t="shared" si="1215"/>
        <v>0</v>
      </c>
      <c r="DB1143" s="1898">
        <f t="shared" si="1216"/>
        <v>0</v>
      </c>
      <c r="DC1143" s="1898">
        <f t="shared" si="1217"/>
        <v>0</v>
      </c>
    </row>
    <row r="1144" spans="1:107" x14ac:dyDescent="0.2">
      <c r="A1144" s="1971" t="str">
        <f t="shared" si="1132"/>
        <v>Prad 2</v>
      </c>
      <c r="B1144" s="1906">
        <f t="shared" ref="B1144:M1144" si="1239">SUMIF(C$1054:C$1120,"feb"&amp;$B1000,C$983:C$1049)</f>
        <v>0</v>
      </c>
      <c r="C1144" s="1906">
        <f t="shared" si="1239"/>
        <v>0</v>
      </c>
      <c r="D1144" s="1906">
        <f t="shared" si="1239"/>
        <v>0</v>
      </c>
      <c r="E1144" s="1906">
        <f t="shared" si="1239"/>
        <v>0</v>
      </c>
      <c r="F1144" s="1906">
        <f t="shared" si="1239"/>
        <v>0</v>
      </c>
      <c r="G1144" s="1906">
        <f t="shared" si="1239"/>
        <v>0</v>
      </c>
      <c r="H1144" s="1906">
        <f t="shared" si="1239"/>
        <v>0</v>
      </c>
      <c r="I1144" s="1906">
        <f t="shared" si="1134"/>
        <v>0</v>
      </c>
      <c r="J1144" s="1906">
        <f t="shared" si="1239"/>
        <v>0</v>
      </c>
      <c r="K1144" s="1906">
        <f t="shared" si="1239"/>
        <v>0</v>
      </c>
      <c r="L1144" s="1906">
        <f t="shared" si="1239"/>
        <v>0</v>
      </c>
      <c r="M1144" s="1906">
        <f t="shared" si="1239"/>
        <v>0</v>
      </c>
      <c r="N1144" s="107"/>
      <c r="O1144" s="1906"/>
      <c r="P1144" s="1906">
        <f t="shared" si="1135"/>
        <v>0</v>
      </c>
      <c r="Q1144" s="1906">
        <f t="shared" si="1136"/>
        <v>0</v>
      </c>
      <c r="R1144" s="1906">
        <f t="shared" si="1137"/>
        <v>0</v>
      </c>
      <c r="S1144" s="1906">
        <f t="shared" si="1138"/>
        <v>0</v>
      </c>
      <c r="T1144" s="1906">
        <f t="shared" si="1139"/>
        <v>0</v>
      </c>
      <c r="U1144" s="1906">
        <f t="shared" si="1140"/>
        <v>0</v>
      </c>
      <c r="V1144" s="1906">
        <f t="shared" si="1141"/>
        <v>0</v>
      </c>
      <c r="W1144" s="1906">
        <f t="shared" si="1142"/>
        <v>0</v>
      </c>
      <c r="X1144" s="1906">
        <f t="shared" si="1143"/>
        <v>0</v>
      </c>
      <c r="Y1144" s="1906">
        <f t="shared" si="1144"/>
        <v>0</v>
      </c>
      <c r="Z1144" s="1906">
        <f t="shared" si="1145"/>
        <v>0</v>
      </c>
      <c r="AA1144" s="107"/>
      <c r="AB1144" s="1906">
        <f t="shared" si="1146"/>
        <v>0</v>
      </c>
      <c r="AC1144" s="1906">
        <f t="shared" si="1147"/>
        <v>0</v>
      </c>
      <c r="AD1144" s="1906">
        <f t="shared" si="1148"/>
        <v>0</v>
      </c>
      <c r="AE1144" s="1906">
        <f t="shared" si="1149"/>
        <v>0</v>
      </c>
      <c r="AF1144" s="1906">
        <f t="shared" si="1150"/>
        <v>0</v>
      </c>
      <c r="AG1144" s="1906">
        <f t="shared" si="1151"/>
        <v>0</v>
      </c>
      <c r="AH1144" s="1906">
        <f t="shared" si="1152"/>
        <v>0</v>
      </c>
      <c r="AI1144" s="1906">
        <f t="shared" si="1153"/>
        <v>0</v>
      </c>
      <c r="AJ1144" s="1906">
        <f t="shared" si="1154"/>
        <v>0</v>
      </c>
      <c r="AK1144" s="1906">
        <f t="shared" si="1155"/>
        <v>0</v>
      </c>
      <c r="AL1144" s="1906">
        <f t="shared" si="1156"/>
        <v>0</v>
      </c>
      <c r="AM1144" s="1906">
        <f t="shared" si="1157"/>
        <v>0</v>
      </c>
      <c r="AN1144" s="107"/>
      <c r="AO1144" s="1906">
        <f t="shared" si="1158"/>
        <v>0</v>
      </c>
      <c r="AP1144" s="1906">
        <f t="shared" si="1159"/>
        <v>0</v>
      </c>
      <c r="AQ1144" s="1906">
        <f t="shared" si="1160"/>
        <v>0</v>
      </c>
      <c r="AR1144" s="1906">
        <f t="shared" si="1161"/>
        <v>0</v>
      </c>
      <c r="AS1144" s="1906">
        <f t="shared" si="1162"/>
        <v>0</v>
      </c>
      <c r="AT1144" s="1906">
        <f t="shared" si="1163"/>
        <v>0</v>
      </c>
      <c r="AU1144" s="1906">
        <f t="shared" si="1164"/>
        <v>0</v>
      </c>
      <c r="AV1144" s="1906">
        <f t="shared" si="1165"/>
        <v>0</v>
      </c>
      <c r="AW1144" s="1906">
        <f t="shared" si="1166"/>
        <v>0</v>
      </c>
      <c r="AX1144" s="1906">
        <f t="shared" si="1167"/>
        <v>0</v>
      </c>
      <c r="AY1144" s="1906">
        <f t="shared" si="1168"/>
        <v>0</v>
      </c>
      <c r="AZ1144" s="1906">
        <f t="shared" si="1169"/>
        <v>0</v>
      </c>
      <c r="BA1144" s="107"/>
      <c r="BB1144" s="1906">
        <f t="shared" si="1170"/>
        <v>0</v>
      </c>
      <c r="BC1144" s="1906">
        <f t="shared" si="1171"/>
        <v>0</v>
      </c>
      <c r="BD1144" s="1906">
        <f t="shared" si="1172"/>
        <v>0</v>
      </c>
      <c r="BE1144" s="1906">
        <f t="shared" si="1173"/>
        <v>0</v>
      </c>
      <c r="BF1144" s="1906">
        <f t="shared" si="1174"/>
        <v>0</v>
      </c>
      <c r="BG1144" s="1906">
        <f t="shared" si="1175"/>
        <v>0</v>
      </c>
      <c r="BH1144" s="1906">
        <f t="shared" si="1176"/>
        <v>0</v>
      </c>
      <c r="BI1144" s="1906">
        <f t="shared" si="1177"/>
        <v>0</v>
      </c>
      <c r="BJ1144" s="1906">
        <f t="shared" si="1178"/>
        <v>0</v>
      </c>
      <c r="BK1144" s="1906">
        <f t="shared" si="1179"/>
        <v>0</v>
      </c>
      <c r="BL1144" s="1906">
        <f t="shared" si="1180"/>
        <v>0</v>
      </c>
      <c r="BM1144" s="1906">
        <f t="shared" si="1181"/>
        <v>0</v>
      </c>
      <c r="BN1144" s="107"/>
      <c r="BO1144" s="1906">
        <f t="shared" si="1182"/>
        <v>0</v>
      </c>
      <c r="BP1144" s="1906">
        <f t="shared" si="1183"/>
        <v>0</v>
      </c>
      <c r="BQ1144" s="1906">
        <f t="shared" si="1184"/>
        <v>0</v>
      </c>
      <c r="BR1144" s="1906">
        <f t="shared" si="1185"/>
        <v>0</v>
      </c>
      <c r="BS1144" s="1906">
        <f t="shared" si="1186"/>
        <v>0</v>
      </c>
      <c r="BT1144" s="1906">
        <f t="shared" si="1187"/>
        <v>0</v>
      </c>
      <c r="BU1144" s="1906">
        <f t="shared" si="1188"/>
        <v>0</v>
      </c>
      <c r="BV1144" s="1906">
        <f t="shared" si="1189"/>
        <v>0</v>
      </c>
      <c r="BW1144" s="1906">
        <f t="shared" si="1190"/>
        <v>0</v>
      </c>
      <c r="BX1144" s="1906">
        <f t="shared" si="1191"/>
        <v>0</v>
      </c>
      <c r="BY1144" s="1906">
        <f t="shared" si="1192"/>
        <v>0</v>
      </c>
      <c r="BZ1144" s="1906">
        <f t="shared" si="1193"/>
        <v>0</v>
      </c>
      <c r="CA1144" s="1971" t="str">
        <f t="shared" si="1194"/>
        <v>Prad 2</v>
      </c>
      <c r="CB1144" s="1906">
        <f t="shared" si="1195"/>
        <v>0</v>
      </c>
      <c r="CC1144" s="1906">
        <f t="shared" si="1196"/>
        <v>0</v>
      </c>
      <c r="CD1144" s="1906">
        <f t="shared" si="1197"/>
        <v>0</v>
      </c>
      <c r="CE1144" s="1906">
        <f t="shared" si="1198"/>
        <v>0</v>
      </c>
      <c r="CF1144" s="1906">
        <f t="shared" si="1199"/>
        <v>0</v>
      </c>
      <c r="CG1144" s="1906">
        <f t="shared" si="1200"/>
        <v>0</v>
      </c>
      <c r="CH1144" s="1906">
        <f t="shared" si="1201"/>
        <v>0</v>
      </c>
      <c r="CI1144" s="1906">
        <f t="shared" si="1202"/>
        <v>0</v>
      </c>
      <c r="CJ1144" s="1906">
        <f t="shared" si="1225"/>
        <v>0</v>
      </c>
      <c r="CK1144" s="1906">
        <f t="shared" si="1226"/>
        <v>0</v>
      </c>
      <c r="CL1144" s="1906">
        <f t="shared" si="1227"/>
        <v>0</v>
      </c>
      <c r="CM1144" s="1906">
        <f t="shared" si="1228"/>
        <v>0</v>
      </c>
      <c r="CN1144" s="595" t="str">
        <f t="shared" si="1204"/>
        <v>Prad 2</v>
      </c>
      <c r="CO1144" s="1443">
        <f t="shared" si="1219"/>
        <v>0</v>
      </c>
      <c r="CQ1144" s="108" t="str">
        <f t="shared" si="1205"/>
        <v>Prad 2</v>
      </c>
      <c r="CR1144" s="1898">
        <f t="shared" si="1206"/>
        <v>0</v>
      </c>
      <c r="CS1144" s="1898">
        <f t="shared" si="1207"/>
        <v>0</v>
      </c>
      <c r="CT1144" s="1898">
        <f t="shared" si="1208"/>
        <v>0</v>
      </c>
      <c r="CU1144" s="1898">
        <f t="shared" si="1209"/>
        <v>0</v>
      </c>
      <c r="CV1144" s="1898">
        <f t="shared" si="1210"/>
        <v>0</v>
      </c>
      <c r="CW1144" s="1898">
        <f t="shared" si="1211"/>
        <v>0</v>
      </c>
      <c r="CX1144" s="1898">
        <f t="shared" si="1212"/>
        <v>0</v>
      </c>
      <c r="CY1144" s="1898">
        <f t="shared" si="1213"/>
        <v>0</v>
      </c>
      <c r="CZ1144" s="1898">
        <f t="shared" si="1214"/>
        <v>0</v>
      </c>
      <c r="DA1144" s="1898">
        <f t="shared" si="1215"/>
        <v>0</v>
      </c>
      <c r="DB1144" s="1898">
        <f t="shared" si="1216"/>
        <v>0</v>
      </c>
      <c r="DC1144" s="1898">
        <f t="shared" si="1217"/>
        <v>0</v>
      </c>
    </row>
    <row r="1145" spans="1:107" x14ac:dyDescent="0.2">
      <c r="A1145" s="1971" t="str">
        <f t="shared" si="1132"/>
        <v>Prad 3</v>
      </c>
      <c r="B1145" s="1906">
        <f t="shared" ref="B1145:M1145" si="1240">SUMIF(C$1054:C$1120,"feb"&amp;$B1001,C$983:C$1049)</f>
        <v>0</v>
      </c>
      <c r="C1145" s="1906">
        <f t="shared" si="1240"/>
        <v>0</v>
      </c>
      <c r="D1145" s="1906">
        <f t="shared" si="1240"/>
        <v>0</v>
      </c>
      <c r="E1145" s="1906">
        <f t="shared" si="1240"/>
        <v>0</v>
      </c>
      <c r="F1145" s="1906">
        <f t="shared" si="1240"/>
        <v>0</v>
      </c>
      <c r="G1145" s="1906">
        <f t="shared" si="1240"/>
        <v>0</v>
      </c>
      <c r="H1145" s="1906">
        <f t="shared" si="1240"/>
        <v>0</v>
      </c>
      <c r="I1145" s="1906">
        <f t="shared" si="1134"/>
        <v>0</v>
      </c>
      <c r="J1145" s="1906">
        <f t="shared" si="1240"/>
        <v>0</v>
      </c>
      <c r="K1145" s="1906">
        <f t="shared" si="1240"/>
        <v>0</v>
      </c>
      <c r="L1145" s="1906">
        <f t="shared" si="1240"/>
        <v>0</v>
      </c>
      <c r="M1145" s="1906">
        <f t="shared" si="1240"/>
        <v>0</v>
      </c>
      <c r="N1145" s="107"/>
      <c r="O1145" s="1906"/>
      <c r="P1145" s="1906">
        <f t="shared" si="1135"/>
        <v>0</v>
      </c>
      <c r="Q1145" s="1906">
        <f t="shared" si="1136"/>
        <v>0</v>
      </c>
      <c r="R1145" s="1906">
        <f t="shared" si="1137"/>
        <v>0</v>
      </c>
      <c r="S1145" s="1906">
        <f t="shared" si="1138"/>
        <v>0</v>
      </c>
      <c r="T1145" s="1906">
        <f t="shared" si="1139"/>
        <v>0</v>
      </c>
      <c r="U1145" s="1906">
        <f t="shared" si="1140"/>
        <v>0</v>
      </c>
      <c r="V1145" s="1906">
        <f t="shared" si="1141"/>
        <v>0</v>
      </c>
      <c r="W1145" s="1906">
        <f t="shared" si="1142"/>
        <v>0</v>
      </c>
      <c r="X1145" s="1906">
        <f t="shared" si="1143"/>
        <v>0</v>
      </c>
      <c r="Y1145" s="1906">
        <f t="shared" si="1144"/>
        <v>0</v>
      </c>
      <c r="Z1145" s="1906">
        <f t="shared" si="1145"/>
        <v>0</v>
      </c>
      <c r="AA1145" s="107"/>
      <c r="AB1145" s="1906">
        <f t="shared" si="1146"/>
        <v>0</v>
      </c>
      <c r="AC1145" s="1906">
        <f t="shared" si="1147"/>
        <v>0</v>
      </c>
      <c r="AD1145" s="1906">
        <f t="shared" si="1148"/>
        <v>0</v>
      </c>
      <c r="AE1145" s="1906">
        <f t="shared" si="1149"/>
        <v>0</v>
      </c>
      <c r="AF1145" s="1906">
        <f t="shared" si="1150"/>
        <v>0</v>
      </c>
      <c r="AG1145" s="1906">
        <f t="shared" si="1151"/>
        <v>0</v>
      </c>
      <c r="AH1145" s="1906">
        <f t="shared" si="1152"/>
        <v>0</v>
      </c>
      <c r="AI1145" s="1906">
        <f t="shared" si="1153"/>
        <v>0</v>
      </c>
      <c r="AJ1145" s="1906">
        <f t="shared" si="1154"/>
        <v>0</v>
      </c>
      <c r="AK1145" s="1906">
        <f t="shared" si="1155"/>
        <v>0</v>
      </c>
      <c r="AL1145" s="1906">
        <f t="shared" si="1156"/>
        <v>0</v>
      </c>
      <c r="AM1145" s="1906">
        <f t="shared" si="1157"/>
        <v>0</v>
      </c>
      <c r="AN1145" s="107"/>
      <c r="AO1145" s="1906">
        <f t="shared" si="1158"/>
        <v>0</v>
      </c>
      <c r="AP1145" s="1906">
        <f t="shared" si="1159"/>
        <v>0</v>
      </c>
      <c r="AQ1145" s="1906">
        <f t="shared" si="1160"/>
        <v>0</v>
      </c>
      <c r="AR1145" s="1906">
        <f t="shared" si="1161"/>
        <v>0</v>
      </c>
      <c r="AS1145" s="1906">
        <f t="shared" si="1162"/>
        <v>0</v>
      </c>
      <c r="AT1145" s="1906">
        <f t="shared" si="1163"/>
        <v>0</v>
      </c>
      <c r="AU1145" s="1906">
        <f t="shared" si="1164"/>
        <v>0</v>
      </c>
      <c r="AV1145" s="1906">
        <f t="shared" si="1165"/>
        <v>0</v>
      </c>
      <c r="AW1145" s="1906">
        <f t="shared" si="1166"/>
        <v>0</v>
      </c>
      <c r="AX1145" s="1906">
        <f t="shared" si="1167"/>
        <v>0</v>
      </c>
      <c r="AY1145" s="1906">
        <f t="shared" si="1168"/>
        <v>0</v>
      </c>
      <c r="AZ1145" s="1906">
        <f t="shared" si="1169"/>
        <v>0</v>
      </c>
      <c r="BA1145" s="107"/>
      <c r="BB1145" s="1906">
        <f t="shared" si="1170"/>
        <v>0</v>
      </c>
      <c r="BC1145" s="1906">
        <f t="shared" si="1171"/>
        <v>0</v>
      </c>
      <c r="BD1145" s="1906">
        <f t="shared" si="1172"/>
        <v>0</v>
      </c>
      <c r="BE1145" s="1906">
        <f t="shared" si="1173"/>
        <v>0</v>
      </c>
      <c r="BF1145" s="1906">
        <f t="shared" si="1174"/>
        <v>0</v>
      </c>
      <c r="BG1145" s="1906">
        <f t="shared" si="1175"/>
        <v>0</v>
      </c>
      <c r="BH1145" s="1906">
        <f t="shared" si="1176"/>
        <v>0</v>
      </c>
      <c r="BI1145" s="1906">
        <f t="shared" si="1177"/>
        <v>0</v>
      </c>
      <c r="BJ1145" s="1906">
        <f t="shared" si="1178"/>
        <v>0</v>
      </c>
      <c r="BK1145" s="1906">
        <f t="shared" si="1179"/>
        <v>0</v>
      </c>
      <c r="BL1145" s="1906">
        <f t="shared" si="1180"/>
        <v>0</v>
      </c>
      <c r="BM1145" s="1906">
        <f t="shared" si="1181"/>
        <v>0</v>
      </c>
      <c r="BN1145" s="107"/>
      <c r="BO1145" s="1906">
        <f t="shared" si="1182"/>
        <v>0</v>
      </c>
      <c r="BP1145" s="1906">
        <f t="shared" si="1183"/>
        <v>0</v>
      </c>
      <c r="BQ1145" s="1906">
        <f t="shared" si="1184"/>
        <v>0</v>
      </c>
      <c r="BR1145" s="1906">
        <f t="shared" si="1185"/>
        <v>0</v>
      </c>
      <c r="BS1145" s="1906">
        <f t="shared" si="1186"/>
        <v>0</v>
      </c>
      <c r="BT1145" s="1906">
        <f t="shared" si="1187"/>
        <v>0</v>
      </c>
      <c r="BU1145" s="1906">
        <f t="shared" si="1188"/>
        <v>0</v>
      </c>
      <c r="BV1145" s="1906">
        <f t="shared" si="1189"/>
        <v>0</v>
      </c>
      <c r="BW1145" s="1906">
        <f t="shared" si="1190"/>
        <v>0</v>
      </c>
      <c r="BX1145" s="1906">
        <f t="shared" si="1191"/>
        <v>0</v>
      </c>
      <c r="BY1145" s="1906">
        <f t="shared" si="1192"/>
        <v>0</v>
      </c>
      <c r="BZ1145" s="1906">
        <f t="shared" si="1193"/>
        <v>0</v>
      </c>
      <c r="CA1145" s="1971" t="str">
        <f t="shared" si="1194"/>
        <v>Prad 3</v>
      </c>
      <c r="CB1145" s="1906">
        <f t="shared" si="1195"/>
        <v>0</v>
      </c>
      <c r="CC1145" s="1906">
        <f t="shared" si="1196"/>
        <v>0</v>
      </c>
      <c r="CD1145" s="1906">
        <f t="shared" si="1197"/>
        <v>0</v>
      </c>
      <c r="CE1145" s="1906">
        <f t="shared" si="1198"/>
        <v>0</v>
      </c>
      <c r="CF1145" s="1906">
        <f t="shared" si="1199"/>
        <v>0</v>
      </c>
      <c r="CG1145" s="1906">
        <f t="shared" si="1200"/>
        <v>0</v>
      </c>
      <c r="CH1145" s="1906">
        <f t="shared" si="1201"/>
        <v>0</v>
      </c>
      <c r="CI1145" s="1906">
        <f t="shared" si="1202"/>
        <v>0</v>
      </c>
      <c r="CJ1145" s="1906">
        <f t="shared" si="1225"/>
        <v>0</v>
      </c>
      <c r="CK1145" s="1906">
        <f t="shared" si="1226"/>
        <v>0</v>
      </c>
      <c r="CL1145" s="1906">
        <f t="shared" si="1227"/>
        <v>0</v>
      </c>
      <c r="CM1145" s="1906">
        <f t="shared" si="1228"/>
        <v>0</v>
      </c>
      <c r="CN1145" s="595" t="str">
        <f t="shared" si="1204"/>
        <v>Prad 3</v>
      </c>
      <c r="CO1145" s="1443">
        <f t="shared" si="1219"/>
        <v>0</v>
      </c>
      <c r="CQ1145" s="108" t="str">
        <f t="shared" si="1205"/>
        <v>Prad 3</v>
      </c>
      <c r="CR1145" s="1898">
        <f t="shared" si="1206"/>
        <v>0</v>
      </c>
      <c r="CS1145" s="1898">
        <f t="shared" si="1207"/>
        <v>0</v>
      </c>
      <c r="CT1145" s="1898">
        <f t="shared" si="1208"/>
        <v>0</v>
      </c>
      <c r="CU1145" s="1898">
        <f t="shared" si="1209"/>
        <v>0</v>
      </c>
      <c r="CV1145" s="1898">
        <f t="shared" si="1210"/>
        <v>0</v>
      </c>
      <c r="CW1145" s="1898">
        <f t="shared" si="1211"/>
        <v>0</v>
      </c>
      <c r="CX1145" s="1898">
        <f t="shared" si="1212"/>
        <v>0</v>
      </c>
      <c r="CY1145" s="1898">
        <f t="shared" si="1213"/>
        <v>0</v>
      </c>
      <c r="CZ1145" s="1898">
        <f t="shared" si="1214"/>
        <v>0</v>
      </c>
      <c r="DA1145" s="1898">
        <f t="shared" si="1215"/>
        <v>0</v>
      </c>
      <c r="DB1145" s="1898">
        <f t="shared" si="1216"/>
        <v>0</v>
      </c>
      <c r="DC1145" s="1898">
        <f t="shared" si="1217"/>
        <v>0</v>
      </c>
    </row>
    <row r="1146" spans="1:107" x14ac:dyDescent="0.2">
      <c r="A1146" s="1971" t="str">
        <f t="shared" si="1132"/>
        <v>Prad 4</v>
      </c>
      <c r="B1146" s="1906">
        <f t="shared" ref="B1146:M1146" si="1241">SUMIF(C$1054:C$1120,"feb"&amp;$B1002,C$983:C$1049)</f>
        <v>0</v>
      </c>
      <c r="C1146" s="1906">
        <f t="shared" si="1241"/>
        <v>0</v>
      </c>
      <c r="D1146" s="1906">
        <f t="shared" si="1241"/>
        <v>0</v>
      </c>
      <c r="E1146" s="1906">
        <f t="shared" si="1241"/>
        <v>0</v>
      </c>
      <c r="F1146" s="1906">
        <f t="shared" si="1241"/>
        <v>0</v>
      </c>
      <c r="G1146" s="1906">
        <f t="shared" si="1241"/>
        <v>0</v>
      </c>
      <c r="H1146" s="1906">
        <f t="shared" si="1241"/>
        <v>0</v>
      </c>
      <c r="I1146" s="1906">
        <f t="shared" si="1134"/>
        <v>0</v>
      </c>
      <c r="J1146" s="1906">
        <f t="shared" si="1241"/>
        <v>0</v>
      </c>
      <c r="K1146" s="1906">
        <f t="shared" si="1241"/>
        <v>0</v>
      </c>
      <c r="L1146" s="1906">
        <f t="shared" si="1241"/>
        <v>0</v>
      </c>
      <c r="M1146" s="1906">
        <f t="shared" si="1241"/>
        <v>0</v>
      </c>
      <c r="N1146" s="107"/>
      <c r="O1146" s="1906"/>
      <c r="P1146" s="1906">
        <f t="shared" si="1135"/>
        <v>0</v>
      </c>
      <c r="Q1146" s="1906">
        <f t="shared" si="1136"/>
        <v>0</v>
      </c>
      <c r="R1146" s="1906">
        <f t="shared" si="1137"/>
        <v>0</v>
      </c>
      <c r="S1146" s="1906">
        <f t="shared" si="1138"/>
        <v>0</v>
      </c>
      <c r="T1146" s="1906">
        <f t="shared" si="1139"/>
        <v>0</v>
      </c>
      <c r="U1146" s="1906">
        <f t="shared" si="1140"/>
        <v>0</v>
      </c>
      <c r="V1146" s="1906">
        <f t="shared" si="1141"/>
        <v>0</v>
      </c>
      <c r="W1146" s="1906">
        <f t="shared" si="1142"/>
        <v>0</v>
      </c>
      <c r="X1146" s="1906">
        <f t="shared" si="1143"/>
        <v>0</v>
      </c>
      <c r="Y1146" s="1906">
        <f t="shared" si="1144"/>
        <v>0</v>
      </c>
      <c r="Z1146" s="1906">
        <f t="shared" si="1145"/>
        <v>0</v>
      </c>
      <c r="AA1146" s="107"/>
      <c r="AB1146" s="1906">
        <f t="shared" si="1146"/>
        <v>0</v>
      </c>
      <c r="AC1146" s="1906">
        <f t="shared" si="1147"/>
        <v>0</v>
      </c>
      <c r="AD1146" s="1906">
        <f t="shared" si="1148"/>
        <v>0</v>
      </c>
      <c r="AE1146" s="1906">
        <f t="shared" si="1149"/>
        <v>0</v>
      </c>
      <c r="AF1146" s="1906">
        <f t="shared" si="1150"/>
        <v>0</v>
      </c>
      <c r="AG1146" s="1906">
        <f t="shared" si="1151"/>
        <v>0</v>
      </c>
      <c r="AH1146" s="1906">
        <f t="shared" si="1152"/>
        <v>0</v>
      </c>
      <c r="AI1146" s="1906">
        <f t="shared" si="1153"/>
        <v>0</v>
      </c>
      <c r="AJ1146" s="1906">
        <f t="shared" si="1154"/>
        <v>0</v>
      </c>
      <c r="AK1146" s="1906">
        <f t="shared" si="1155"/>
        <v>0</v>
      </c>
      <c r="AL1146" s="1906">
        <f t="shared" si="1156"/>
        <v>0</v>
      </c>
      <c r="AM1146" s="1906">
        <f t="shared" si="1157"/>
        <v>0</v>
      </c>
      <c r="AN1146" s="107"/>
      <c r="AO1146" s="1906">
        <f t="shared" si="1158"/>
        <v>0</v>
      </c>
      <c r="AP1146" s="1906">
        <f t="shared" si="1159"/>
        <v>0</v>
      </c>
      <c r="AQ1146" s="1906">
        <f t="shared" si="1160"/>
        <v>0</v>
      </c>
      <c r="AR1146" s="1906">
        <f t="shared" si="1161"/>
        <v>0</v>
      </c>
      <c r="AS1146" s="1906">
        <f t="shared" si="1162"/>
        <v>0</v>
      </c>
      <c r="AT1146" s="1906">
        <f t="shared" si="1163"/>
        <v>0</v>
      </c>
      <c r="AU1146" s="1906">
        <f t="shared" si="1164"/>
        <v>0</v>
      </c>
      <c r="AV1146" s="1906">
        <f t="shared" si="1165"/>
        <v>0</v>
      </c>
      <c r="AW1146" s="1906">
        <f t="shared" si="1166"/>
        <v>0</v>
      </c>
      <c r="AX1146" s="1906">
        <f t="shared" si="1167"/>
        <v>0</v>
      </c>
      <c r="AY1146" s="1906">
        <f t="shared" si="1168"/>
        <v>0</v>
      </c>
      <c r="AZ1146" s="1906">
        <f t="shared" si="1169"/>
        <v>0</v>
      </c>
      <c r="BA1146" s="107"/>
      <c r="BB1146" s="1906">
        <f t="shared" si="1170"/>
        <v>0</v>
      </c>
      <c r="BC1146" s="1906">
        <f t="shared" si="1171"/>
        <v>0</v>
      </c>
      <c r="BD1146" s="1906">
        <f t="shared" si="1172"/>
        <v>0</v>
      </c>
      <c r="BE1146" s="1906">
        <f t="shared" si="1173"/>
        <v>0</v>
      </c>
      <c r="BF1146" s="1906">
        <f t="shared" si="1174"/>
        <v>0</v>
      </c>
      <c r="BG1146" s="1906">
        <f t="shared" si="1175"/>
        <v>0</v>
      </c>
      <c r="BH1146" s="1906">
        <f t="shared" si="1176"/>
        <v>0</v>
      </c>
      <c r="BI1146" s="1906">
        <f t="shared" si="1177"/>
        <v>0</v>
      </c>
      <c r="BJ1146" s="1906">
        <f t="shared" si="1178"/>
        <v>0</v>
      </c>
      <c r="BK1146" s="1906">
        <f t="shared" si="1179"/>
        <v>0</v>
      </c>
      <c r="BL1146" s="1906">
        <f t="shared" si="1180"/>
        <v>0</v>
      </c>
      <c r="BM1146" s="1906">
        <f t="shared" si="1181"/>
        <v>0</v>
      </c>
      <c r="BN1146" s="107"/>
      <c r="BO1146" s="1906">
        <f t="shared" si="1182"/>
        <v>0</v>
      </c>
      <c r="BP1146" s="1906">
        <f t="shared" si="1183"/>
        <v>0</v>
      </c>
      <c r="BQ1146" s="1906">
        <f t="shared" si="1184"/>
        <v>0</v>
      </c>
      <c r="BR1146" s="1906">
        <f t="shared" si="1185"/>
        <v>0</v>
      </c>
      <c r="BS1146" s="1906">
        <f t="shared" si="1186"/>
        <v>0</v>
      </c>
      <c r="BT1146" s="1906">
        <f t="shared" si="1187"/>
        <v>0</v>
      </c>
      <c r="BU1146" s="1906">
        <f t="shared" si="1188"/>
        <v>0</v>
      </c>
      <c r="BV1146" s="1906">
        <f t="shared" si="1189"/>
        <v>0</v>
      </c>
      <c r="BW1146" s="1906">
        <f t="shared" si="1190"/>
        <v>0</v>
      </c>
      <c r="BX1146" s="1906">
        <f t="shared" si="1191"/>
        <v>0</v>
      </c>
      <c r="BY1146" s="1906">
        <f t="shared" si="1192"/>
        <v>0</v>
      </c>
      <c r="BZ1146" s="1906">
        <f t="shared" si="1193"/>
        <v>0</v>
      </c>
      <c r="CA1146" s="1971" t="str">
        <f t="shared" si="1194"/>
        <v>Prad 4</v>
      </c>
      <c r="CB1146" s="1906">
        <f t="shared" si="1195"/>
        <v>0</v>
      </c>
      <c r="CC1146" s="1906">
        <f t="shared" si="1196"/>
        <v>0</v>
      </c>
      <c r="CD1146" s="1906">
        <f t="shared" si="1197"/>
        <v>0</v>
      </c>
      <c r="CE1146" s="1906">
        <f t="shared" si="1198"/>
        <v>0</v>
      </c>
      <c r="CF1146" s="1906">
        <f t="shared" si="1199"/>
        <v>0</v>
      </c>
      <c r="CG1146" s="1906">
        <f t="shared" si="1200"/>
        <v>0</v>
      </c>
      <c r="CH1146" s="1906">
        <f t="shared" si="1201"/>
        <v>0</v>
      </c>
      <c r="CI1146" s="1906">
        <f t="shared" si="1202"/>
        <v>0</v>
      </c>
      <c r="CJ1146" s="1906">
        <f t="shared" si="1225"/>
        <v>0</v>
      </c>
      <c r="CK1146" s="1906">
        <f t="shared" si="1226"/>
        <v>0</v>
      </c>
      <c r="CL1146" s="1906">
        <f t="shared" si="1227"/>
        <v>0</v>
      </c>
      <c r="CM1146" s="1906">
        <f t="shared" si="1228"/>
        <v>0</v>
      </c>
      <c r="CN1146" s="595" t="str">
        <f t="shared" si="1204"/>
        <v>Prad 4</v>
      </c>
      <c r="CO1146" s="1443">
        <f t="shared" si="1219"/>
        <v>0</v>
      </c>
      <c r="CQ1146" s="108" t="str">
        <f t="shared" si="1205"/>
        <v>Prad 4</v>
      </c>
      <c r="CR1146" s="1898">
        <f t="shared" si="1206"/>
        <v>0</v>
      </c>
      <c r="CS1146" s="1898">
        <f t="shared" si="1207"/>
        <v>0</v>
      </c>
      <c r="CT1146" s="1898">
        <f t="shared" si="1208"/>
        <v>0</v>
      </c>
      <c r="CU1146" s="1898">
        <f t="shared" si="1209"/>
        <v>0</v>
      </c>
      <c r="CV1146" s="1898">
        <f t="shared" si="1210"/>
        <v>0</v>
      </c>
      <c r="CW1146" s="1898">
        <f t="shared" si="1211"/>
        <v>0</v>
      </c>
      <c r="CX1146" s="1898">
        <f t="shared" si="1212"/>
        <v>0</v>
      </c>
      <c r="CY1146" s="1898">
        <f t="shared" si="1213"/>
        <v>0</v>
      </c>
      <c r="CZ1146" s="1898">
        <f t="shared" si="1214"/>
        <v>0</v>
      </c>
      <c r="DA1146" s="1898">
        <f t="shared" si="1215"/>
        <v>0</v>
      </c>
      <c r="DB1146" s="1898">
        <f t="shared" si="1216"/>
        <v>0</v>
      </c>
      <c r="DC1146" s="1898">
        <f t="shared" si="1217"/>
        <v>0</v>
      </c>
    </row>
    <row r="1147" spans="1:107" x14ac:dyDescent="0.2">
      <c r="A1147" s="1971" t="str">
        <f t="shared" si="1132"/>
        <v>Trébol Rojo 2</v>
      </c>
      <c r="B1147" s="1906">
        <f t="shared" ref="B1147:M1147" si="1242">SUMIF(C$1054:C$1120,"feb"&amp;$B1003,C$983:C$1049)</f>
        <v>0</v>
      </c>
      <c r="C1147" s="1906">
        <f t="shared" si="1242"/>
        <v>0</v>
      </c>
      <c r="D1147" s="1906">
        <f t="shared" si="1242"/>
        <v>0</v>
      </c>
      <c r="E1147" s="1906">
        <f t="shared" si="1242"/>
        <v>0</v>
      </c>
      <c r="F1147" s="1906">
        <f t="shared" si="1242"/>
        <v>0</v>
      </c>
      <c r="G1147" s="1906">
        <f t="shared" si="1242"/>
        <v>0</v>
      </c>
      <c r="H1147" s="1906">
        <f t="shared" si="1242"/>
        <v>0</v>
      </c>
      <c r="I1147" s="1906">
        <f t="shared" si="1134"/>
        <v>0</v>
      </c>
      <c r="J1147" s="1906">
        <f t="shared" si="1242"/>
        <v>0</v>
      </c>
      <c r="K1147" s="1906">
        <f t="shared" si="1242"/>
        <v>0</v>
      </c>
      <c r="L1147" s="1906">
        <f t="shared" si="1242"/>
        <v>0</v>
      </c>
      <c r="M1147" s="1906">
        <f t="shared" si="1242"/>
        <v>0</v>
      </c>
      <c r="N1147" s="107"/>
      <c r="O1147" s="1906"/>
      <c r="P1147" s="1906">
        <f t="shared" si="1135"/>
        <v>0</v>
      </c>
      <c r="Q1147" s="1906">
        <f t="shared" si="1136"/>
        <v>0</v>
      </c>
      <c r="R1147" s="1906">
        <f t="shared" si="1137"/>
        <v>0</v>
      </c>
      <c r="S1147" s="1906">
        <f t="shared" si="1138"/>
        <v>0</v>
      </c>
      <c r="T1147" s="1906">
        <f t="shared" si="1139"/>
        <v>0</v>
      </c>
      <c r="U1147" s="1906">
        <f t="shared" si="1140"/>
        <v>0</v>
      </c>
      <c r="V1147" s="1906">
        <f t="shared" si="1141"/>
        <v>0</v>
      </c>
      <c r="W1147" s="1906">
        <f t="shared" si="1142"/>
        <v>0</v>
      </c>
      <c r="X1147" s="1906">
        <f t="shared" si="1143"/>
        <v>0</v>
      </c>
      <c r="Y1147" s="1906">
        <f t="shared" si="1144"/>
        <v>0</v>
      </c>
      <c r="Z1147" s="1906">
        <f t="shared" si="1145"/>
        <v>0</v>
      </c>
      <c r="AA1147" s="107"/>
      <c r="AB1147" s="1906">
        <f t="shared" si="1146"/>
        <v>0</v>
      </c>
      <c r="AC1147" s="1906">
        <f t="shared" si="1147"/>
        <v>0</v>
      </c>
      <c r="AD1147" s="1906">
        <f t="shared" si="1148"/>
        <v>0</v>
      </c>
      <c r="AE1147" s="1906">
        <f t="shared" si="1149"/>
        <v>0</v>
      </c>
      <c r="AF1147" s="1906">
        <f t="shared" si="1150"/>
        <v>0</v>
      </c>
      <c r="AG1147" s="1906">
        <f t="shared" si="1151"/>
        <v>0</v>
      </c>
      <c r="AH1147" s="1906">
        <f t="shared" si="1152"/>
        <v>0</v>
      </c>
      <c r="AI1147" s="1906">
        <f t="shared" si="1153"/>
        <v>0</v>
      </c>
      <c r="AJ1147" s="1906">
        <f t="shared" si="1154"/>
        <v>0</v>
      </c>
      <c r="AK1147" s="1906">
        <f t="shared" si="1155"/>
        <v>0</v>
      </c>
      <c r="AL1147" s="1906">
        <f t="shared" si="1156"/>
        <v>0</v>
      </c>
      <c r="AM1147" s="1906">
        <f t="shared" si="1157"/>
        <v>0</v>
      </c>
      <c r="AN1147" s="107"/>
      <c r="AO1147" s="1906">
        <f t="shared" si="1158"/>
        <v>0</v>
      </c>
      <c r="AP1147" s="1906">
        <f t="shared" si="1159"/>
        <v>0</v>
      </c>
      <c r="AQ1147" s="1906">
        <f t="shared" si="1160"/>
        <v>0</v>
      </c>
      <c r="AR1147" s="1906">
        <f t="shared" si="1161"/>
        <v>0</v>
      </c>
      <c r="AS1147" s="1906">
        <f t="shared" si="1162"/>
        <v>0</v>
      </c>
      <c r="AT1147" s="1906">
        <f t="shared" si="1163"/>
        <v>0</v>
      </c>
      <c r="AU1147" s="1906">
        <f t="shared" si="1164"/>
        <v>0</v>
      </c>
      <c r="AV1147" s="1906">
        <f t="shared" si="1165"/>
        <v>0</v>
      </c>
      <c r="AW1147" s="1906">
        <f t="shared" si="1166"/>
        <v>0</v>
      </c>
      <c r="AX1147" s="1906">
        <f t="shared" si="1167"/>
        <v>0</v>
      </c>
      <c r="AY1147" s="1906">
        <f t="shared" si="1168"/>
        <v>0</v>
      </c>
      <c r="AZ1147" s="1906">
        <f t="shared" si="1169"/>
        <v>0</v>
      </c>
      <c r="BA1147" s="107"/>
      <c r="BB1147" s="1906">
        <f t="shared" si="1170"/>
        <v>0</v>
      </c>
      <c r="BC1147" s="1906">
        <f t="shared" si="1171"/>
        <v>0</v>
      </c>
      <c r="BD1147" s="1906">
        <f t="shared" si="1172"/>
        <v>0</v>
      </c>
      <c r="BE1147" s="1906">
        <f t="shared" si="1173"/>
        <v>0</v>
      </c>
      <c r="BF1147" s="1906">
        <f t="shared" si="1174"/>
        <v>0</v>
      </c>
      <c r="BG1147" s="1906">
        <f t="shared" si="1175"/>
        <v>0</v>
      </c>
      <c r="BH1147" s="1906">
        <f t="shared" si="1176"/>
        <v>0</v>
      </c>
      <c r="BI1147" s="1906">
        <f t="shared" si="1177"/>
        <v>0</v>
      </c>
      <c r="BJ1147" s="1906">
        <f t="shared" si="1178"/>
        <v>0</v>
      </c>
      <c r="BK1147" s="1906">
        <f t="shared" si="1179"/>
        <v>0</v>
      </c>
      <c r="BL1147" s="1906">
        <f t="shared" si="1180"/>
        <v>0</v>
      </c>
      <c r="BM1147" s="1906">
        <f t="shared" si="1181"/>
        <v>0</v>
      </c>
      <c r="BN1147" s="107"/>
      <c r="BO1147" s="1906">
        <f t="shared" si="1182"/>
        <v>0</v>
      </c>
      <c r="BP1147" s="1906">
        <f t="shared" si="1183"/>
        <v>0</v>
      </c>
      <c r="BQ1147" s="1906">
        <f t="shared" si="1184"/>
        <v>0</v>
      </c>
      <c r="BR1147" s="1906">
        <f t="shared" si="1185"/>
        <v>0</v>
      </c>
      <c r="BS1147" s="1906">
        <f t="shared" si="1186"/>
        <v>0</v>
      </c>
      <c r="BT1147" s="1906">
        <f t="shared" si="1187"/>
        <v>0</v>
      </c>
      <c r="BU1147" s="1906">
        <f t="shared" si="1188"/>
        <v>0</v>
      </c>
      <c r="BV1147" s="1906">
        <f t="shared" si="1189"/>
        <v>0</v>
      </c>
      <c r="BW1147" s="1906">
        <f t="shared" si="1190"/>
        <v>0</v>
      </c>
      <c r="BX1147" s="1906">
        <f t="shared" si="1191"/>
        <v>0</v>
      </c>
      <c r="BY1147" s="1906">
        <f t="shared" si="1192"/>
        <v>0</v>
      </c>
      <c r="BZ1147" s="1906">
        <f t="shared" si="1193"/>
        <v>0</v>
      </c>
      <c r="CA1147" s="1971" t="str">
        <f t="shared" si="1194"/>
        <v>Trébol Rojo 2</v>
      </c>
      <c r="CB1147" s="1906">
        <f t="shared" si="1195"/>
        <v>0</v>
      </c>
      <c r="CC1147" s="1906">
        <f t="shared" si="1196"/>
        <v>0</v>
      </c>
      <c r="CD1147" s="1906">
        <f t="shared" si="1197"/>
        <v>0</v>
      </c>
      <c r="CE1147" s="1906">
        <f t="shared" si="1198"/>
        <v>0</v>
      </c>
      <c r="CF1147" s="1906">
        <f t="shared" si="1199"/>
        <v>0</v>
      </c>
      <c r="CG1147" s="1906">
        <f t="shared" si="1200"/>
        <v>0</v>
      </c>
      <c r="CH1147" s="1906">
        <f t="shared" si="1201"/>
        <v>0</v>
      </c>
      <c r="CI1147" s="1906">
        <f t="shared" si="1202"/>
        <v>0</v>
      </c>
      <c r="CJ1147" s="1906">
        <f t="shared" si="1225"/>
        <v>0</v>
      </c>
      <c r="CK1147" s="1906">
        <f t="shared" si="1226"/>
        <v>0</v>
      </c>
      <c r="CL1147" s="1906">
        <f t="shared" si="1227"/>
        <v>0</v>
      </c>
      <c r="CM1147" s="1906">
        <f t="shared" si="1228"/>
        <v>0</v>
      </c>
      <c r="CN1147" s="595" t="str">
        <f t="shared" si="1204"/>
        <v>Trébol Rojo 2</v>
      </c>
      <c r="CO1147" s="1443">
        <f t="shared" si="1219"/>
        <v>0</v>
      </c>
      <c r="CQ1147" s="108" t="str">
        <f t="shared" si="1205"/>
        <v>Trébol Rojo 2</v>
      </c>
      <c r="CR1147" s="1898">
        <f t="shared" si="1206"/>
        <v>0</v>
      </c>
      <c r="CS1147" s="1898">
        <f t="shared" si="1207"/>
        <v>0</v>
      </c>
      <c r="CT1147" s="1898">
        <f t="shared" si="1208"/>
        <v>0</v>
      </c>
      <c r="CU1147" s="1898">
        <f t="shared" si="1209"/>
        <v>0</v>
      </c>
      <c r="CV1147" s="1898">
        <f t="shared" si="1210"/>
        <v>0</v>
      </c>
      <c r="CW1147" s="1898">
        <f t="shared" si="1211"/>
        <v>0</v>
      </c>
      <c r="CX1147" s="1898">
        <f t="shared" si="1212"/>
        <v>0</v>
      </c>
      <c r="CY1147" s="1898">
        <f t="shared" si="1213"/>
        <v>0</v>
      </c>
      <c r="CZ1147" s="1898">
        <f t="shared" si="1214"/>
        <v>0</v>
      </c>
      <c r="DA1147" s="1898">
        <f t="shared" si="1215"/>
        <v>0</v>
      </c>
      <c r="DB1147" s="1898">
        <f t="shared" si="1216"/>
        <v>0</v>
      </c>
      <c r="DC1147" s="1898">
        <f t="shared" si="1217"/>
        <v>0</v>
      </c>
    </row>
    <row r="1148" spans="1:107" x14ac:dyDescent="0.2">
      <c r="A1148" s="1971" t="str">
        <f t="shared" si="1132"/>
        <v>Trébol Rojo 3</v>
      </c>
      <c r="B1148" s="1906">
        <f t="shared" ref="B1148:M1148" si="1243">SUMIF(C$1054:C$1120,"feb"&amp;$B1004,C$983:C$1049)</f>
        <v>0</v>
      </c>
      <c r="C1148" s="1906">
        <f t="shared" si="1243"/>
        <v>0</v>
      </c>
      <c r="D1148" s="1906">
        <f t="shared" si="1243"/>
        <v>0</v>
      </c>
      <c r="E1148" s="1906">
        <f t="shared" si="1243"/>
        <v>0</v>
      </c>
      <c r="F1148" s="1906">
        <f t="shared" si="1243"/>
        <v>0</v>
      </c>
      <c r="G1148" s="1906">
        <f t="shared" si="1243"/>
        <v>0</v>
      </c>
      <c r="H1148" s="1906">
        <f t="shared" si="1243"/>
        <v>0</v>
      </c>
      <c r="I1148" s="1906">
        <f t="shared" si="1134"/>
        <v>0</v>
      </c>
      <c r="J1148" s="1906">
        <f t="shared" si="1243"/>
        <v>0</v>
      </c>
      <c r="K1148" s="1906">
        <f t="shared" si="1243"/>
        <v>0</v>
      </c>
      <c r="L1148" s="1906">
        <f t="shared" si="1243"/>
        <v>0</v>
      </c>
      <c r="M1148" s="1906">
        <f t="shared" si="1243"/>
        <v>0</v>
      </c>
      <c r="N1148" s="107"/>
      <c r="O1148" s="1906"/>
      <c r="P1148" s="1906">
        <f t="shared" si="1135"/>
        <v>0</v>
      </c>
      <c r="Q1148" s="1906">
        <f t="shared" si="1136"/>
        <v>0</v>
      </c>
      <c r="R1148" s="1906">
        <f t="shared" si="1137"/>
        <v>0</v>
      </c>
      <c r="S1148" s="1906">
        <f t="shared" si="1138"/>
        <v>0</v>
      </c>
      <c r="T1148" s="1906">
        <f t="shared" si="1139"/>
        <v>0</v>
      </c>
      <c r="U1148" s="1906">
        <f t="shared" si="1140"/>
        <v>0</v>
      </c>
      <c r="V1148" s="1906">
        <f t="shared" si="1141"/>
        <v>0</v>
      </c>
      <c r="W1148" s="1906">
        <f t="shared" si="1142"/>
        <v>0</v>
      </c>
      <c r="X1148" s="1906">
        <f t="shared" si="1143"/>
        <v>0</v>
      </c>
      <c r="Y1148" s="1906">
        <f t="shared" si="1144"/>
        <v>0</v>
      </c>
      <c r="Z1148" s="1906">
        <f t="shared" si="1145"/>
        <v>0</v>
      </c>
      <c r="AA1148" s="107"/>
      <c r="AB1148" s="1906">
        <f t="shared" si="1146"/>
        <v>0</v>
      </c>
      <c r="AC1148" s="1906">
        <f t="shared" si="1147"/>
        <v>0</v>
      </c>
      <c r="AD1148" s="1906">
        <f t="shared" si="1148"/>
        <v>0</v>
      </c>
      <c r="AE1148" s="1906">
        <f t="shared" si="1149"/>
        <v>0</v>
      </c>
      <c r="AF1148" s="1906">
        <f t="shared" si="1150"/>
        <v>0</v>
      </c>
      <c r="AG1148" s="1906">
        <f t="shared" si="1151"/>
        <v>0</v>
      </c>
      <c r="AH1148" s="1906">
        <f t="shared" si="1152"/>
        <v>0</v>
      </c>
      <c r="AI1148" s="1906">
        <f t="shared" si="1153"/>
        <v>0</v>
      </c>
      <c r="AJ1148" s="1906">
        <f t="shared" si="1154"/>
        <v>0</v>
      </c>
      <c r="AK1148" s="1906">
        <f t="shared" si="1155"/>
        <v>0</v>
      </c>
      <c r="AL1148" s="1906">
        <f t="shared" si="1156"/>
        <v>0</v>
      </c>
      <c r="AM1148" s="1906">
        <f t="shared" si="1157"/>
        <v>0</v>
      </c>
      <c r="AN1148" s="107"/>
      <c r="AO1148" s="1906">
        <f t="shared" si="1158"/>
        <v>0</v>
      </c>
      <c r="AP1148" s="1906">
        <f t="shared" si="1159"/>
        <v>0</v>
      </c>
      <c r="AQ1148" s="1906">
        <f t="shared" si="1160"/>
        <v>0</v>
      </c>
      <c r="AR1148" s="1906">
        <f t="shared" si="1161"/>
        <v>0</v>
      </c>
      <c r="AS1148" s="1906">
        <f t="shared" si="1162"/>
        <v>0</v>
      </c>
      <c r="AT1148" s="1906">
        <f t="shared" si="1163"/>
        <v>0</v>
      </c>
      <c r="AU1148" s="1906">
        <f t="shared" si="1164"/>
        <v>0</v>
      </c>
      <c r="AV1148" s="1906">
        <f t="shared" si="1165"/>
        <v>0</v>
      </c>
      <c r="AW1148" s="1906">
        <f t="shared" si="1166"/>
        <v>0</v>
      </c>
      <c r="AX1148" s="1906">
        <f t="shared" si="1167"/>
        <v>0</v>
      </c>
      <c r="AY1148" s="1906">
        <f t="shared" si="1168"/>
        <v>0</v>
      </c>
      <c r="AZ1148" s="1906">
        <f t="shared" si="1169"/>
        <v>0</v>
      </c>
      <c r="BA1148" s="107"/>
      <c r="BB1148" s="1906">
        <f t="shared" si="1170"/>
        <v>0</v>
      </c>
      <c r="BC1148" s="1906">
        <f t="shared" si="1171"/>
        <v>0</v>
      </c>
      <c r="BD1148" s="1906">
        <f t="shared" si="1172"/>
        <v>0</v>
      </c>
      <c r="BE1148" s="1906">
        <f t="shared" si="1173"/>
        <v>0</v>
      </c>
      <c r="BF1148" s="1906">
        <f t="shared" si="1174"/>
        <v>0</v>
      </c>
      <c r="BG1148" s="1906">
        <f t="shared" si="1175"/>
        <v>0</v>
      </c>
      <c r="BH1148" s="1906">
        <f t="shared" si="1176"/>
        <v>0</v>
      </c>
      <c r="BI1148" s="1906">
        <f t="shared" si="1177"/>
        <v>0</v>
      </c>
      <c r="BJ1148" s="1906">
        <f t="shared" si="1178"/>
        <v>0</v>
      </c>
      <c r="BK1148" s="1906">
        <f t="shared" si="1179"/>
        <v>0</v>
      </c>
      <c r="BL1148" s="1906">
        <f t="shared" si="1180"/>
        <v>0</v>
      </c>
      <c r="BM1148" s="1906">
        <f t="shared" si="1181"/>
        <v>0</v>
      </c>
      <c r="BN1148" s="107"/>
      <c r="BO1148" s="1906">
        <f t="shared" si="1182"/>
        <v>0</v>
      </c>
      <c r="BP1148" s="1906">
        <f t="shared" si="1183"/>
        <v>0</v>
      </c>
      <c r="BQ1148" s="1906">
        <f t="shared" si="1184"/>
        <v>0</v>
      </c>
      <c r="BR1148" s="1906">
        <f t="shared" si="1185"/>
        <v>0</v>
      </c>
      <c r="BS1148" s="1906">
        <f t="shared" si="1186"/>
        <v>0</v>
      </c>
      <c r="BT1148" s="1906">
        <f t="shared" si="1187"/>
        <v>0</v>
      </c>
      <c r="BU1148" s="1906">
        <f t="shared" si="1188"/>
        <v>0</v>
      </c>
      <c r="BV1148" s="1906">
        <f t="shared" si="1189"/>
        <v>0</v>
      </c>
      <c r="BW1148" s="1906">
        <f t="shared" si="1190"/>
        <v>0</v>
      </c>
      <c r="BX1148" s="1906">
        <f t="shared" si="1191"/>
        <v>0</v>
      </c>
      <c r="BY1148" s="1906">
        <f t="shared" si="1192"/>
        <v>0</v>
      </c>
      <c r="BZ1148" s="1906">
        <f t="shared" si="1193"/>
        <v>0</v>
      </c>
      <c r="CA1148" s="1971" t="str">
        <f t="shared" si="1194"/>
        <v>Trébol Rojo 3</v>
      </c>
      <c r="CB1148" s="1906">
        <f t="shared" si="1195"/>
        <v>0</v>
      </c>
      <c r="CC1148" s="1906">
        <f t="shared" si="1196"/>
        <v>0</v>
      </c>
      <c r="CD1148" s="1906">
        <f t="shared" si="1197"/>
        <v>0</v>
      </c>
      <c r="CE1148" s="1906">
        <f t="shared" si="1198"/>
        <v>0</v>
      </c>
      <c r="CF1148" s="1906">
        <f t="shared" si="1199"/>
        <v>0</v>
      </c>
      <c r="CG1148" s="1906">
        <f t="shared" si="1200"/>
        <v>0</v>
      </c>
      <c r="CH1148" s="1906">
        <f t="shared" si="1201"/>
        <v>0</v>
      </c>
      <c r="CI1148" s="1906">
        <f t="shared" si="1202"/>
        <v>0</v>
      </c>
      <c r="CJ1148" s="1906">
        <f t="shared" si="1225"/>
        <v>0</v>
      </c>
      <c r="CK1148" s="1906">
        <f t="shared" si="1226"/>
        <v>0</v>
      </c>
      <c r="CL1148" s="1906">
        <f t="shared" si="1227"/>
        <v>0</v>
      </c>
      <c r="CM1148" s="1906">
        <f t="shared" si="1228"/>
        <v>0</v>
      </c>
      <c r="CN1148" s="595" t="str">
        <f t="shared" si="1204"/>
        <v>Trébol Rojo 3</v>
      </c>
      <c r="CO1148" s="1443">
        <f t="shared" si="1219"/>
        <v>0</v>
      </c>
      <c r="CQ1148" s="108" t="str">
        <f t="shared" si="1205"/>
        <v>Trébol Rojo 3</v>
      </c>
      <c r="CR1148" s="1898">
        <f t="shared" si="1206"/>
        <v>0</v>
      </c>
      <c r="CS1148" s="1898">
        <f t="shared" si="1207"/>
        <v>0</v>
      </c>
      <c r="CT1148" s="1898">
        <f t="shared" si="1208"/>
        <v>0</v>
      </c>
      <c r="CU1148" s="1898">
        <f t="shared" si="1209"/>
        <v>0</v>
      </c>
      <c r="CV1148" s="1898">
        <f t="shared" si="1210"/>
        <v>0</v>
      </c>
      <c r="CW1148" s="1898">
        <f t="shared" si="1211"/>
        <v>0</v>
      </c>
      <c r="CX1148" s="1898">
        <f t="shared" si="1212"/>
        <v>0</v>
      </c>
      <c r="CY1148" s="1898">
        <f t="shared" si="1213"/>
        <v>0</v>
      </c>
      <c r="CZ1148" s="1898">
        <f t="shared" si="1214"/>
        <v>0</v>
      </c>
      <c r="DA1148" s="1898">
        <f t="shared" si="1215"/>
        <v>0</v>
      </c>
      <c r="DB1148" s="1898">
        <f t="shared" si="1216"/>
        <v>0</v>
      </c>
      <c r="DC1148" s="1898">
        <f t="shared" si="1217"/>
        <v>0</v>
      </c>
    </row>
    <row r="1149" spans="1:107" x14ac:dyDescent="0.2">
      <c r="A1149" s="1971" t="str">
        <f t="shared" si="1132"/>
        <v>Alfalfa 5</v>
      </c>
      <c r="B1149" s="1906">
        <f t="shared" ref="B1149:M1149" si="1244">SUMIF(C$1054:C$1120,"feb"&amp;$B1005,C$983:C$1049)</f>
        <v>0</v>
      </c>
      <c r="C1149" s="1906">
        <f t="shared" si="1244"/>
        <v>0</v>
      </c>
      <c r="D1149" s="1906">
        <f t="shared" si="1244"/>
        <v>0</v>
      </c>
      <c r="E1149" s="1906">
        <f t="shared" si="1244"/>
        <v>0</v>
      </c>
      <c r="F1149" s="1906">
        <f t="shared" si="1244"/>
        <v>0</v>
      </c>
      <c r="G1149" s="1906">
        <f t="shared" si="1244"/>
        <v>0</v>
      </c>
      <c r="H1149" s="1906">
        <f t="shared" si="1244"/>
        <v>0</v>
      </c>
      <c r="I1149" s="1906">
        <f t="shared" si="1134"/>
        <v>0</v>
      </c>
      <c r="J1149" s="1906">
        <f t="shared" si="1244"/>
        <v>0</v>
      </c>
      <c r="K1149" s="1906">
        <f t="shared" si="1244"/>
        <v>0</v>
      </c>
      <c r="L1149" s="1906">
        <f t="shared" si="1244"/>
        <v>0</v>
      </c>
      <c r="M1149" s="1906">
        <f t="shared" si="1244"/>
        <v>0</v>
      </c>
      <c r="N1149" s="107"/>
      <c r="O1149" s="1906"/>
      <c r="P1149" s="1906">
        <f t="shared" si="1135"/>
        <v>0</v>
      </c>
      <c r="Q1149" s="1906">
        <f t="shared" si="1136"/>
        <v>0</v>
      </c>
      <c r="R1149" s="1906">
        <f t="shared" si="1137"/>
        <v>0</v>
      </c>
      <c r="S1149" s="1906">
        <f t="shared" si="1138"/>
        <v>0</v>
      </c>
      <c r="T1149" s="1906">
        <f t="shared" si="1139"/>
        <v>0</v>
      </c>
      <c r="U1149" s="1906">
        <f t="shared" si="1140"/>
        <v>0</v>
      </c>
      <c r="V1149" s="1906">
        <f t="shared" si="1141"/>
        <v>0</v>
      </c>
      <c r="W1149" s="1906">
        <f t="shared" si="1142"/>
        <v>0</v>
      </c>
      <c r="X1149" s="1906">
        <f t="shared" si="1143"/>
        <v>0</v>
      </c>
      <c r="Y1149" s="1906">
        <f t="shared" si="1144"/>
        <v>0</v>
      </c>
      <c r="Z1149" s="1906">
        <f t="shared" si="1145"/>
        <v>0</v>
      </c>
      <c r="AA1149" s="107"/>
      <c r="AB1149" s="1906">
        <f t="shared" si="1146"/>
        <v>0</v>
      </c>
      <c r="AC1149" s="1906">
        <f t="shared" si="1147"/>
        <v>0</v>
      </c>
      <c r="AD1149" s="1906">
        <f t="shared" si="1148"/>
        <v>0</v>
      </c>
      <c r="AE1149" s="1906">
        <f t="shared" si="1149"/>
        <v>0</v>
      </c>
      <c r="AF1149" s="1906">
        <f t="shared" si="1150"/>
        <v>0</v>
      </c>
      <c r="AG1149" s="1906">
        <f t="shared" si="1151"/>
        <v>0</v>
      </c>
      <c r="AH1149" s="1906">
        <f t="shared" si="1152"/>
        <v>0</v>
      </c>
      <c r="AI1149" s="1906">
        <f t="shared" si="1153"/>
        <v>0</v>
      </c>
      <c r="AJ1149" s="1906">
        <f t="shared" si="1154"/>
        <v>0</v>
      </c>
      <c r="AK1149" s="1906">
        <f t="shared" si="1155"/>
        <v>0</v>
      </c>
      <c r="AL1149" s="1906">
        <f t="shared" si="1156"/>
        <v>0</v>
      </c>
      <c r="AM1149" s="1906">
        <f t="shared" si="1157"/>
        <v>0</v>
      </c>
      <c r="AN1149" s="107"/>
      <c r="AO1149" s="1906">
        <f t="shared" si="1158"/>
        <v>0</v>
      </c>
      <c r="AP1149" s="1906">
        <f t="shared" si="1159"/>
        <v>0</v>
      </c>
      <c r="AQ1149" s="1906">
        <f t="shared" si="1160"/>
        <v>0</v>
      </c>
      <c r="AR1149" s="1906">
        <f t="shared" si="1161"/>
        <v>0</v>
      </c>
      <c r="AS1149" s="1906">
        <f t="shared" si="1162"/>
        <v>0</v>
      </c>
      <c r="AT1149" s="1906">
        <f t="shared" si="1163"/>
        <v>0</v>
      </c>
      <c r="AU1149" s="1906">
        <f t="shared" si="1164"/>
        <v>0</v>
      </c>
      <c r="AV1149" s="1906">
        <f t="shared" si="1165"/>
        <v>0</v>
      </c>
      <c r="AW1149" s="1906">
        <f t="shared" si="1166"/>
        <v>0</v>
      </c>
      <c r="AX1149" s="1906">
        <f t="shared" si="1167"/>
        <v>0</v>
      </c>
      <c r="AY1149" s="1906">
        <f t="shared" si="1168"/>
        <v>0</v>
      </c>
      <c r="AZ1149" s="1906">
        <f t="shared" si="1169"/>
        <v>0</v>
      </c>
      <c r="BA1149" s="107"/>
      <c r="BB1149" s="1906">
        <f t="shared" si="1170"/>
        <v>0</v>
      </c>
      <c r="BC1149" s="1906">
        <f t="shared" si="1171"/>
        <v>0</v>
      </c>
      <c r="BD1149" s="1906">
        <f t="shared" si="1172"/>
        <v>0</v>
      </c>
      <c r="BE1149" s="1906">
        <f t="shared" si="1173"/>
        <v>0</v>
      </c>
      <c r="BF1149" s="1906">
        <f t="shared" si="1174"/>
        <v>0</v>
      </c>
      <c r="BG1149" s="1906">
        <f t="shared" si="1175"/>
        <v>0</v>
      </c>
      <c r="BH1149" s="1906">
        <f t="shared" si="1176"/>
        <v>0</v>
      </c>
      <c r="BI1149" s="1906">
        <f t="shared" si="1177"/>
        <v>0</v>
      </c>
      <c r="BJ1149" s="1906">
        <f t="shared" si="1178"/>
        <v>0</v>
      </c>
      <c r="BK1149" s="1906">
        <f t="shared" si="1179"/>
        <v>0</v>
      </c>
      <c r="BL1149" s="1906">
        <f t="shared" si="1180"/>
        <v>0</v>
      </c>
      <c r="BM1149" s="1906">
        <f t="shared" si="1181"/>
        <v>0</v>
      </c>
      <c r="BN1149" s="107"/>
      <c r="BO1149" s="1906">
        <f t="shared" si="1182"/>
        <v>0</v>
      </c>
      <c r="BP1149" s="1906">
        <f t="shared" si="1183"/>
        <v>0</v>
      </c>
      <c r="BQ1149" s="1906">
        <f t="shared" si="1184"/>
        <v>0</v>
      </c>
      <c r="BR1149" s="1906">
        <f t="shared" si="1185"/>
        <v>0</v>
      </c>
      <c r="BS1149" s="1906">
        <f t="shared" si="1186"/>
        <v>0</v>
      </c>
      <c r="BT1149" s="1906">
        <f t="shared" si="1187"/>
        <v>0</v>
      </c>
      <c r="BU1149" s="1906">
        <f t="shared" si="1188"/>
        <v>0</v>
      </c>
      <c r="BV1149" s="1906">
        <f t="shared" si="1189"/>
        <v>0</v>
      </c>
      <c r="BW1149" s="1906">
        <f t="shared" si="1190"/>
        <v>0</v>
      </c>
      <c r="BX1149" s="1906">
        <f t="shared" si="1191"/>
        <v>0</v>
      </c>
      <c r="BY1149" s="1906">
        <f t="shared" si="1192"/>
        <v>0</v>
      </c>
      <c r="BZ1149" s="1906">
        <f t="shared" si="1193"/>
        <v>0</v>
      </c>
      <c r="CA1149" s="1971" t="str">
        <f t="shared" si="1194"/>
        <v>Alfalfa 5</v>
      </c>
      <c r="CB1149" s="1906">
        <f t="shared" si="1195"/>
        <v>0</v>
      </c>
      <c r="CC1149" s="1906">
        <f t="shared" si="1196"/>
        <v>0</v>
      </c>
      <c r="CD1149" s="1906">
        <f t="shared" si="1197"/>
        <v>0</v>
      </c>
      <c r="CE1149" s="1906">
        <f t="shared" si="1198"/>
        <v>0</v>
      </c>
      <c r="CF1149" s="1906">
        <f t="shared" si="1199"/>
        <v>0</v>
      </c>
      <c r="CG1149" s="1906">
        <f t="shared" si="1200"/>
        <v>0</v>
      </c>
      <c r="CH1149" s="1906">
        <f t="shared" si="1201"/>
        <v>0</v>
      </c>
      <c r="CI1149" s="1906">
        <f t="shared" si="1202"/>
        <v>0</v>
      </c>
      <c r="CJ1149" s="1906">
        <f t="shared" si="1225"/>
        <v>0</v>
      </c>
      <c r="CK1149" s="1906">
        <f t="shared" si="1226"/>
        <v>0</v>
      </c>
      <c r="CL1149" s="1906">
        <f t="shared" si="1227"/>
        <v>0</v>
      </c>
      <c r="CM1149" s="1906">
        <f t="shared" si="1228"/>
        <v>0</v>
      </c>
      <c r="CN1149" s="595" t="str">
        <f t="shared" si="1204"/>
        <v>Alfalfa 5</v>
      </c>
      <c r="CO1149" s="1443">
        <f t="shared" si="1219"/>
        <v>0</v>
      </c>
      <c r="CQ1149" s="108" t="str">
        <f t="shared" si="1205"/>
        <v>Alfalfa 5</v>
      </c>
      <c r="CR1149" s="1898">
        <f t="shared" si="1206"/>
        <v>0</v>
      </c>
      <c r="CS1149" s="1898">
        <f t="shared" si="1207"/>
        <v>0</v>
      </c>
      <c r="CT1149" s="1898">
        <f t="shared" si="1208"/>
        <v>0</v>
      </c>
      <c r="CU1149" s="1898">
        <f t="shared" si="1209"/>
        <v>0</v>
      </c>
      <c r="CV1149" s="1898">
        <f t="shared" si="1210"/>
        <v>0</v>
      </c>
      <c r="CW1149" s="1898">
        <f t="shared" si="1211"/>
        <v>0</v>
      </c>
      <c r="CX1149" s="1898">
        <f t="shared" si="1212"/>
        <v>0</v>
      </c>
      <c r="CY1149" s="1898">
        <f t="shared" si="1213"/>
        <v>0</v>
      </c>
      <c r="CZ1149" s="1898">
        <f t="shared" si="1214"/>
        <v>0</v>
      </c>
      <c r="DA1149" s="1898">
        <f t="shared" si="1215"/>
        <v>0</v>
      </c>
      <c r="DB1149" s="1898">
        <f t="shared" si="1216"/>
        <v>0</v>
      </c>
      <c r="DC1149" s="1898">
        <f t="shared" si="1217"/>
        <v>0</v>
      </c>
    </row>
    <row r="1150" spans="1:107" x14ac:dyDescent="0.2">
      <c r="A1150" s="1971" t="str">
        <f t="shared" si="1132"/>
        <v>PP 5</v>
      </c>
      <c r="B1150" s="1906">
        <f t="shared" ref="B1150:M1150" si="1245">SUMIF(C$1054:C$1120,"feb"&amp;$B1006,C$983:C$1049)</f>
        <v>0</v>
      </c>
      <c r="C1150" s="1906">
        <f t="shared" si="1245"/>
        <v>0</v>
      </c>
      <c r="D1150" s="1906">
        <f t="shared" si="1245"/>
        <v>0</v>
      </c>
      <c r="E1150" s="1906">
        <f t="shared" si="1245"/>
        <v>0</v>
      </c>
      <c r="F1150" s="1906">
        <f t="shared" si="1245"/>
        <v>0</v>
      </c>
      <c r="G1150" s="1906">
        <f t="shared" si="1245"/>
        <v>0</v>
      </c>
      <c r="H1150" s="1906">
        <f t="shared" si="1245"/>
        <v>0</v>
      </c>
      <c r="I1150" s="1906">
        <f t="shared" si="1134"/>
        <v>0</v>
      </c>
      <c r="J1150" s="1906">
        <f t="shared" si="1245"/>
        <v>0</v>
      </c>
      <c r="K1150" s="1906">
        <f t="shared" si="1245"/>
        <v>0</v>
      </c>
      <c r="L1150" s="1906">
        <f t="shared" si="1245"/>
        <v>0</v>
      </c>
      <c r="M1150" s="1906">
        <f t="shared" si="1245"/>
        <v>0</v>
      </c>
      <c r="N1150" s="107"/>
      <c r="O1150" s="1906"/>
      <c r="P1150" s="1906">
        <f t="shared" si="1135"/>
        <v>0</v>
      </c>
      <c r="Q1150" s="1906">
        <f t="shared" si="1136"/>
        <v>0</v>
      </c>
      <c r="R1150" s="1906">
        <f t="shared" si="1137"/>
        <v>0</v>
      </c>
      <c r="S1150" s="1906">
        <f t="shared" si="1138"/>
        <v>0</v>
      </c>
      <c r="T1150" s="1906">
        <f t="shared" si="1139"/>
        <v>0</v>
      </c>
      <c r="U1150" s="1906">
        <f t="shared" si="1140"/>
        <v>0</v>
      </c>
      <c r="V1150" s="1906">
        <f t="shared" si="1141"/>
        <v>0</v>
      </c>
      <c r="W1150" s="1906">
        <f t="shared" si="1142"/>
        <v>0</v>
      </c>
      <c r="X1150" s="1906">
        <f t="shared" si="1143"/>
        <v>0</v>
      </c>
      <c r="Y1150" s="1906">
        <f t="shared" si="1144"/>
        <v>0</v>
      </c>
      <c r="Z1150" s="1906">
        <f t="shared" si="1145"/>
        <v>0</v>
      </c>
      <c r="AA1150" s="107"/>
      <c r="AB1150" s="1906">
        <f t="shared" si="1146"/>
        <v>0</v>
      </c>
      <c r="AC1150" s="1906">
        <f t="shared" si="1147"/>
        <v>0</v>
      </c>
      <c r="AD1150" s="1906">
        <f t="shared" si="1148"/>
        <v>0</v>
      </c>
      <c r="AE1150" s="1906">
        <f t="shared" si="1149"/>
        <v>0</v>
      </c>
      <c r="AF1150" s="1906">
        <f t="shared" si="1150"/>
        <v>0</v>
      </c>
      <c r="AG1150" s="1906">
        <f t="shared" si="1151"/>
        <v>0</v>
      </c>
      <c r="AH1150" s="1906">
        <f t="shared" si="1152"/>
        <v>0</v>
      </c>
      <c r="AI1150" s="1906">
        <f t="shared" si="1153"/>
        <v>0</v>
      </c>
      <c r="AJ1150" s="1906">
        <f t="shared" si="1154"/>
        <v>0</v>
      </c>
      <c r="AK1150" s="1906">
        <f t="shared" si="1155"/>
        <v>0</v>
      </c>
      <c r="AL1150" s="1906">
        <f t="shared" si="1156"/>
        <v>0</v>
      </c>
      <c r="AM1150" s="1906">
        <f t="shared" si="1157"/>
        <v>0</v>
      </c>
      <c r="AN1150" s="107"/>
      <c r="AO1150" s="1906">
        <f t="shared" si="1158"/>
        <v>0</v>
      </c>
      <c r="AP1150" s="1906">
        <f t="shared" si="1159"/>
        <v>0</v>
      </c>
      <c r="AQ1150" s="1906">
        <f t="shared" si="1160"/>
        <v>0</v>
      </c>
      <c r="AR1150" s="1906">
        <f t="shared" si="1161"/>
        <v>0</v>
      </c>
      <c r="AS1150" s="1906">
        <f t="shared" si="1162"/>
        <v>0</v>
      </c>
      <c r="AT1150" s="1906">
        <f t="shared" si="1163"/>
        <v>0</v>
      </c>
      <c r="AU1150" s="1906">
        <f t="shared" si="1164"/>
        <v>0</v>
      </c>
      <c r="AV1150" s="1906">
        <f t="shared" si="1165"/>
        <v>0</v>
      </c>
      <c r="AW1150" s="1906">
        <f t="shared" si="1166"/>
        <v>0</v>
      </c>
      <c r="AX1150" s="1906">
        <f t="shared" si="1167"/>
        <v>0</v>
      </c>
      <c r="AY1150" s="1906">
        <f t="shared" si="1168"/>
        <v>0</v>
      </c>
      <c r="AZ1150" s="1906">
        <f t="shared" si="1169"/>
        <v>0</v>
      </c>
      <c r="BA1150" s="107"/>
      <c r="BB1150" s="1906">
        <f t="shared" si="1170"/>
        <v>0</v>
      </c>
      <c r="BC1150" s="1906">
        <f t="shared" si="1171"/>
        <v>0</v>
      </c>
      <c r="BD1150" s="1906">
        <f t="shared" si="1172"/>
        <v>0</v>
      </c>
      <c r="BE1150" s="1906">
        <f t="shared" si="1173"/>
        <v>0</v>
      </c>
      <c r="BF1150" s="1906">
        <f t="shared" si="1174"/>
        <v>0</v>
      </c>
      <c r="BG1150" s="1906">
        <f t="shared" si="1175"/>
        <v>0</v>
      </c>
      <c r="BH1150" s="1906">
        <f t="shared" si="1176"/>
        <v>0</v>
      </c>
      <c r="BI1150" s="1906">
        <f t="shared" si="1177"/>
        <v>0</v>
      </c>
      <c r="BJ1150" s="1906">
        <f t="shared" si="1178"/>
        <v>0</v>
      </c>
      <c r="BK1150" s="1906">
        <f t="shared" si="1179"/>
        <v>0</v>
      </c>
      <c r="BL1150" s="1906">
        <f t="shared" si="1180"/>
        <v>0</v>
      </c>
      <c r="BM1150" s="1906">
        <f t="shared" si="1181"/>
        <v>0</v>
      </c>
      <c r="BN1150" s="107"/>
      <c r="BO1150" s="1906">
        <f t="shared" si="1182"/>
        <v>0</v>
      </c>
      <c r="BP1150" s="1906">
        <f t="shared" si="1183"/>
        <v>0</v>
      </c>
      <c r="BQ1150" s="1906">
        <f t="shared" si="1184"/>
        <v>0</v>
      </c>
      <c r="BR1150" s="1906">
        <f t="shared" si="1185"/>
        <v>0</v>
      </c>
      <c r="BS1150" s="1906">
        <f t="shared" si="1186"/>
        <v>0</v>
      </c>
      <c r="BT1150" s="1906">
        <f t="shared" si="1187"/>
        <v>0</v>
      </c>
      <c r="BU1150" s="1906">
        <f t="shared" si="1188"/>
        <v>0</v>
      </c>
      <c r="BV1150" s="1906">
        <f t="shared" si="1189"/>
        <v>0</v>
      </c>
      <c r="BW1150" s="1906">
        <f t="shared" si="1190"/>
        <v>0</v>
      </c>
      <c r="BX1150" s="1906">
        <f t="shared" si="1191"/>
        <v>0</v>
      </c>
      <c r="BY1150" s="1906">
        <f t="shared" si="1192"/>
        <v>0</v>
      </c>
      <c r="BZ1150" s="1906">
        <f t="shared" si="1193"/>
        <v>0</v>
      </c>
      <c r="CA1150" s="1971" t="str">
        <f t="shared" si="1194"/>
        <v>PP 5</v>
      </c>
      <c r="CB1150" s="1906">
        <f t="shared" si="1195"/>
        <v>0</v>
      </c>
      <c r="CC1150" s="1906">
        <f t="shared" si="1196"/>
        <v>0</v>
      </c>
      <c r="CD1150" s="1906">
        <f t="shared" si="1197"/>
        <v>0</v>
      </c>
      <c r="CE1150" s="1906">
        <f t="shared" si="1198"/>
        <v>0</v>
      </c>
      <c r="CF1150" s="1906">
        <f t="shared" si="1199"/>
        <v>0</v>
      </c>
      <c r="CG1150" s="1906">
        <f t="shared" si="1200"/>
        <v>0</v>
      </c>
      <c r="CH1150" s="1906">
        <f t="shared" si="1201"/>
        <v>0</v>
      </c>
      <c r="CI1150" s="1906">
        <f t="shared" si="1202"/>
        <v>0</v>
      </c>
      <c r="CJ1150" s="1906">
        <f t="shared" si="1225"/>
        <v>0</v>
      </c>
      <c r="CK1150" s="1906">
        <f t="shared" si="1226"/>
        <v>0</v>
      </c>
      <c r="CL1150" s="1906">
        <f t="shared" si="1227"/>
        <v>0</v>
      </c>
      <c r="CM1150" s="1906">
        <f t="shared" si="1228"/>
        <v>0</v>
      </c>
      <c r="CN1150" s="595" t="str">
        <f t="shared" si="1204"/>
        <v>PP 5</v>
      </c>
      <c r="CO1150" s="1443">
        <f t="shared" si="1219"/>
        <v>0</v>
      </c>
      <c r="CQ1150" s="108" t="str">
        <f t="shared" si="1205"/>
        <v>PP 5</v>
      </c>
      <c r="CR1150" s="1898">
        <f t="shared" si="1206"/>
        <v>0</v>
      </c>
      <c r="CS1150" s="1898">
        <f t="shared" si="1207"/>
        <v>0</v>
      </c>
      <c r="CT1150" s="1898">
        <f t="shared" si="1208"/>
        <v>0</v>
      </c>
      <c r="CU1150" s="1898">
        <f t="shared" si="1209"/>
        <v>0</v>
      </c>
      <c r="CV1150" s="1898">
        <f t="shared" si="1210"/>
        <v>0</v>
      </c>
      <c r="CW1150" s="1898">
        <f t="shared" si="1211"/>
        <v>0</v>
      </c>
      <c r="CX1150" s="1898">
        <f t="shared" si="1212"/>
        <v>0</v>
      </c>
      <c r="CY1150" s="1898">
        <f t="shared" si="1213"/>
        <v>0</v>
      </c>
      <c r="CZ1150" s="1898">
        <f t="shared" si="1214"/>
        <v>0</v>
      </c>
      <c r="DA1150" s="1898">
        <f t="shared" si="1215"/>
        <v>0</v>
      </c>
      <c r="DB1150" s="1898">
        <f t="shared" si="1216"/>
        <v>0</v>
      </c>
      <c r="DC1150" s="1898">
        <f t="shared" si="1217"/>
        <v>0</v>
      </c>
    </row>
    <row r="1151" spans="1:107" x14ac:dyDescent="0.2">
      <c r="A1151" s="1971">
        <f t="shared" si="1132"/>
        <v>0</v>
      </c>
      <c r="B1151" s="1906">
        <f t="shared" ref="B1151:M1151" si="1246">SUMIF(C$1054:C$1120,"feb"&amp;$B1007,C$983:C$1049)</f>
        <v>0</v>
      </c>
      <c r="C1151" s="1906">
        <f t="shared" si="1246"/>
        <v>0</v>
      </c>
      <c r="D1151" s="1906">
        <f t="shared" si="1246"/>
        <v>0</v>
      </c>
      <c r="E1151" s="1906">
        <f t="shared" si="1246"/>
        <v>0</v>
      </c>
      <c r="F1151" s="1906">
        <f t="shared" si="1246"/>
        <v>0</v>
      </c>
      <c r="G1151" s="1906">
        <f t="shared" si="1246"/>
        <v>0</v>
      </c>
      <c r="H1151" s="1906">
        <f t="shared" si="1246"/>
        <v>0</v>
      </c>
      <c r="I1151" s="1906">
        <f t="shared" si="1134"/>
        <v>0</v>
      </c>
      <c r="J1151" s="1906">
        <f t="shared" si="1246"/>
        <v>0</v>
      </c>
      <c r="K1151" s="1906">
        <f t="shared" si="1246"/>
        <v>0</v>
      </c>
      <c r="L1151" s="1906">
        <f t="shared" si="1246"/>
        <v>0</v>
      </c>
      <c r="M1151" s="1906">
        <f t="shared" si="1246"/>
        <v>0</v>
      </c>
      <c r="N1151" s="107"/>
      <c r="O1151" s="1906"/>
      <c r="P1151" s="1906">
        <f t="shared" si="1135"/>
        <v>0</v>
      </c>
      <c r="Q1151" s="1906">
        <f t="shared" si="1136"/>
        <v>0</v>
      </c>
      <c r="R1151" s="1906">
        <f t="shared" si="1137"/>
        <v>0</v>
      </c>
      <c r="S1151" s="1906">
        <f t="shared" si="1138"/>
        <v>0</v>
      </c>
      <c r="T1151" s="1906">
        <f t="shared" si="1139"/>
        <v>0</v>
      </c>
      <c r="U1151" s="1906">
        <f t="shared" si="1140"/>
        <v>0</v>
      </c>
      <c r="V1151" s="1906">
        <f t="shared" si="1141"/>
        <v>0</v>
      </c>
      <c r="W1151" s="1906">
        <f t="shared" si="1142"/>
        <v>0</v>
      </c>
      <c r="X1151" s="1906">
        <f t="shared" si="1143"/>
        <v>0</v>
      </c>
      <c r="Y1151" s="1906">
        <f t="shared" si="1144"/>
        <v>0</v>
      </c>
      <c r="Z1151" s="1906">
        <f t="shared" si="1145"/>
        <v>0</v>
      </c>
      <c r="AA1151" s="107"/>
      <c r="AB1151" s="1906">
        <f t="shared" si="1146"/>
        <v>0</v>
      </c>
      <c r="AC1151" s="1906">
        <f t="shared" si="1147"/>
        <v>0</v>
      </c>
      <c r="AD1151" s="1906">
        <f t="shared" si="1148"/>
        <v>0</v>
      </c>
      <c r="AE1151" s="1906">
        <f t="shared" si="1149"/>
        <v>0</v>
      </c>
      <c r="AF1151" s="1906">
        <f t="shared" si="1150"/>
        <v>0</v>
      </c>
      <c r="AG1151" s="1906">
        <f t="shared" si="1151"/>
        <v>0</v>
      </c>
      <c r="AH1151" s="1906">
        <f t="shared" si="1152"/>
        <v>0</v>
      </c>
      <c r="AI1151" s="1906">
        <f t="shared" si="1153"/>
        <v>0</v>
      </c>
      <c r="AJ1151" s="1906">
        <f t="shared" si="1154"/>
        <v>0</v>
      </c>
      <c r="AK1151" s="1906">
        <f t="shared" si="1155"/>
        <v>0</v>
      </c>
      <c r="AL1151" s="1906">
        <f t="shared" si="1156"/>
        <v>0</v>
      </c>
      <c r="AM1151" s="1906">
        <f t="shared" si="1157"/>
        <v>0</v>
      </c>
      <c r="AN1151" s="107"/>
      <c r="AO1151" s="1906">
        <f t="shared" si="1158"/>
        <v>0</v>
      </c>
      <c r="AP1151" s="1906">
        <f t="shared" si="1159"/>
        <v>0</v>
      </c>
      <c r="AQ1151" s="1906">
        <f t="shared" si="1160"/>
        <v>0</v>
      </c>
      <c r="AR1151" s="1906">
        <f t="shared" si="1161"/>
        <v>0</v>
      </c>
      <c r="AS1151" s="1906">
        <f t="shared" si="1162"/>
        <v>0</v>
      </c>
      <c r="AT1151" s="1906">
        <f t="shared" si="1163"/>
        <v>0</v>
      </c>
      <c r="AU1151" s="1906">
        <f t="shared" si="1164"/>
        <v>0</v>
      </c>
      <c r="AV1151" s="1906">
        <f t="shared" si="1165"/>
        <v>0</v>
      </c>
      <c r="AW1151" s="1906">
        <f t="shared" si="1166"/>
        <v>0</v>
      </c>
      <c r="AX1151" s="1906">
        <f t="shared" si="1167"/>
        <v>0</v>
      </c>
      <c r="AY1151" s="1906">
        <f t="shared" si="1168"/>
        <v>0</v>
      </c>
      <c r="AZ1151" s="1906">
        <f t="shared" si="1169"/>
        <v>0</v>
      </c>
      <c r="BA1151" s="107"/>
      <c r="BB1151" s="1906">
        <f t="shared" si="1170"/>
        <v>0</v>
      </c>
      <c r="BC1151" s="1906">
        <f t="shared" si="1171"/>
        <v>0</v>
      </c>
      <c r="BD1151" s="1906">
        <f t="shared" si="1172"/>
        <v>0</v>
      </c>
      <c r="BE1151" s="1906">
        <f t="shared" si="1173"/>
        <v>0</v>
      </c>
      <c r="BF1151" s="1906">
        <f t="shared" si="1174"/>
        <v>0</v>
      </c>
      <c r="BG1151" s="1906">
        <f t="shared" si="1175"/>
        <v>0</v>
      </c>
      <c r="BH1151" s="1906">
        <f t="shared" si="1176"/>
        <v>0</v>
      </c>
      <c r="BI1151" s="1906">
        <f t="shared" si="1177"/>
        <v>0</v>
      </c>
      <c r="BJ1151" s="1906">
        <f t="shared" si="1178"/>
        <v>0</v>
      </c>
      <c r="BK1151" s="1906">
        <f t="shared" si="1179"/>
        <v>0</v>
      </c>
      <c r="BL1151" s="1906">
        <f t="shared" si="1180"/>
        <v>0</v>
      </c>
      <c r="BM1151" s="1906">
        <f t="shared" si="1181"/>
        <v>0</v>
      </c>
      <c r="BN1151" s="107"/>
      <c r="BO1151" s="1906">
        <f t="shared" si="1182"/>
        <v>0</v>
      </c>
      <c r="BP1151" s="1906">
        <f t="shared" si="1183"/>
        <v>0</v>
      </c>
      <c r="BQ1151" s="1906">
        <f t="shared" si="1184"/>
        <v>0</v>
      </c>
      <c r="BR1151" s="1906">
        <f t="shared" si="1185"/>
        <v>0</v>
      </c>
      <c r="BS1151" s="1906">
        <f t="shared" si="1186"/>
        <v>0</v>
      </c>
      <c r="BT1151" s="1906">
        <f t="shared" si="1187"/>
        <v>0</v>
      </c>
      <c r="BU1151" s="1906">
        <f t="shared" si="1188"/>
        <v>0</v>
      </c>
      <c r="BV1151" s="1906">
        <f t="shared" si="1189"/>
        <v>0</v>
      </c>
      <c r="BW1151" s="1906">
        <f t="shared" si="1190"/>
        <v>0</v>
      </c>
      <c r="BX1151" s="1906">
        <f t="shared" si="1191"/>
        <v>0</v>
      </c>
      <c r="BY1151" s="1906">
        <f t="shared" si="1192"/>
        <v>0</v>
      </c>
      <c r="BZ1151" s="1906">
        <f t="shared" si="1193"/>
        <v>0</v>
      </c>
      <c r="CA1151" s="1971">
        <f t="shared" si="1194"/>
        <v>0</v>
      </c>
      <c r="CB1151" s="1906">
        <f t="shared" si="1195"/>
        <v>0</v>
      </c>
      <c r="CC1151" s="1906">
        <f t="shared" si="1196"/>
        <v>0</v>
      </c>
      <c r="CD1151" s="1906">
        <f t="shared" si="1197"/>
        <v>0</v>
      </c>
      <c r="CE1151" s="1906">
        <f t="shared" si="1198"/>
        <v>0</v>
      </c>
      <c r="CF1151" s="1906">
        <f t="shared" si="1199"/>
        <v>0</v>
      </c>
      <c r="CG1151" s="1906">
        <f t="shared" si="1200"/>
        <v>0</v>
      </c>
      <c r="CH1151" s="1906">
        <f t="shared" si="1201"/>
        <v>0</v>
      </c>
      <c r="CI1151" s="1906">
        <f t="shared" si="1202"/>
        <v>0</v>
      </c>
      <c r="CJ1151" s="1906">
        <f t="shared" si="1225"/>
        <v>0</v>
      </c>
      <c r="CK1151" s="1906">
        <f t="shared" si="1226"/>
        <v>0</v>
      </c>
      <c r="CL1151" s="1906">
        <f t="shared" si="1227"/>
        <v>0</v>
      </c>
      <c r="CM1151" s="1906">
        <f t="shared" si="1228"/>
        <v>0</v>
      </c>
      <c r="CN1151" s="595">
        <f t="shared" si="1204"/>
        <v>0</v>
      </c>
      <c r="CO1151" s="1443">
        <f t="shared" si="1219"/>
        <v>0</v>
      </c>
      <c r="CQ1151" s="108">
        <f t="shared" si="1205"/>
        <v>0</v>
      </c>
      <c r="CR1151" s="1898">
        <f t="shared" si="1206"/>
        <v>0</v>
      </c>
      <c r="CS1151" s="1898">
        <f t="shared" si="1207"/>
        <v>0</v>
      </c>
      <c r="CT1151" s="1898">
        <f t="shared" si="1208"/>
        <v>0</v>
      </c>
      <c r="CU1151" s="1898">
        <f t="shared" si="1209"/>
        <v>0</v>
      </c>
      <c r="CV1151" s="1898">
        <f t="shared" si="1210"/>
        <v>0</v>
      </c>
      <c r="CW1151" s="1898">
        <f t="shared" si="1211"/>
        <v>0</v>
      </c>
      <c r="CX1151" s="1898">
        <f t="shared" si="1212"/>
        <v>0</v>
      </c>
      <c r="CY1151" s="1898">
        <f t="shared" si="1213"/>
        <v>0</v>
      </c>
      <c r="CZ1151" s="1898">
        <f t="shared" si="1214"/>
        <v>0</v>
      </c>
      <c r="DA1151" s="1898">
        <f t="shared" si="1215"/>
        <v>0</v>
      </c>
      <c r="DB1151" s="1898">
        <f t="shared" si="1216"/>
        <v>0</v>
      </c>
      <c r="DC1151" s="1898">
        <f t="shared" si="1217"/>
        <v>0</v>
      </c>
    </row>
    <row r="1152" spans="1:107" x14ac:dyDescent="0.2">
      <c r="A1152" s="1971">
        <f t="shared" si="1132"/>
        <v>0</v>
      </c>
      <c r="B1152" s="1906">
        <f t="shared" ref="B1152:M1152" si="1247">SUMIF(C$1054:C$1120,"feb"&amp;$B1008,C$983:C$1049)</f>
        <v>0</v>
      </c>
      <c r="C1152" s="1906">
        <f t="shared" si="1247"/>
        <v>0</v>
      </c>
      <c r="D1152" s="1906">
        <f t="shared" si="1247"/>
        <v>0</v>
      </c>
      <c r="E1152" s="1906">
        <f t="shared" si="1247"/>
        <v>0</v>
      </c>
      <c r="F1152" s="1906">
        <f t="shared" si="1247"/>
        <v>0</v>
      </c>
      <c r="G1152" s="1906">
        <f t="shared" si="1247"/>
        <v>0</v>
      </c>
      <c r="H1152" s="1906">
        <f t="shared" si="1247"/>
        <v>0</v>
      </c>
      <c r="I1152" s="1906">
        <f t="shared" si="1134"/>
        <v>0</v>
      </c>
      <c r="J1152" s="1906">
        <f t="shared" si="1247"/>
        <v>0</v>
      </c>
      <c r="K1152" s="1906">
        <f t="shared" si="1247"/>
        <v>0</v>
      </c>
      <c r="L1152" s="1906">
        <f t="shared" si="1247"/>
        <v>0</v>
      </c>
      <c r="M1152" s="1906">
        <f t="shared" si="1247"/>
        <v>0</v>
      </c>
      <c r="N1152" s="107"/>
      <c r="O1152" s="1906"/>
      <c r="P1152" s="1906">
        <f t="shared" si="1135"/>
        <v>0</v>
      </c>
      <c r="Q1152" s="1906">
        <f t="shared" si="1136"/>
        <v>0</v>
      </c>
      <c r="R1152" s="1906">
        <f t="shared" si="1137"/>
        <v>0</v>
      </c>
      <c r="S1152" s="1906">
        <f t="shared" si="1138"/>
        <v>0</v>
      </c>
      <c r="T1152" s="1906">
        <f t="shared" si="1139"/>
        <v>0</v>
      </c>
      <c r="U1152" s="1906">
        <f t="shared" si="1140"/>
        <v>0</v>
      </c>
      <c r="V1152" s="1906">
        <f t="shared" si="1141"/>
        <v>0</v>
      </c>
      <c r="W1152" s="1906">
        <f t="shared" si="1142"/>
        <v>0</v>
      </c>
      <c r="X1152" s="1906">
        <f t="shared" si="1143"/>
        <v>0</v>
      </c>
      <c r="Y1152" s="1906">
        <f t="shared" si="1144"/>
        <v>0</v>
      </c>
      <c r="Z1152" s="1906">
        <f t="shared" si="1145"/>
        <v>0</v>
      </c>
      <c r="AA1152" s="107"/>
      <c r="AB1152" s="1906">
        <f t="shared" si="1146"/>
        <v>0</v>
      </c>
      <c r="AC1152" s="1906">
        <f t="shared" si="1147"/>
        <v>0</v>
      </c>
      <c r="AD1152" s="1906">
        <f t="shared" si="1148"/>
        <v>0</v>
      </c>
      <c r="AE1152" s="1906">
        <f t="shared" si="1149"/>
        <v>0</v>
      </c>
      <c r="AF1152" s="1906">
        <f t="shared" si="1150"/>
        <v>0</v>
      </c>
      <c r="AG1152" s="1906">
        <f t="shared" si="1151"/>
        <v>0</v>
      </c>
      <c r="AH1152" s="1906">
        <f t="shared" si="1152"/>
        <v>0</v>
      </c>
      <c r="AI1152" s="1906">
        <f t="shared" si="1153"/>
        <v>0</v>
      </c>
      <c r="AJ1152" s="1906">
        <f t="shared" si="1154"/>
        <v>0</v>
      </c>
      <c r="AK1152" s="1906">
        <f t="shared" si="1155"/>
        <v>0</v>
      </c>
      <c r="AL1152" s="1906">
        <f t="shared" si="1156"/>
        <v>0</v>
      </c>
      <c r="AM1152" s="1906">
        <f t="shared" si="1157"/>
        <v>0</v>
      </c>
      <c r="AN1152" s="107"/>
      <c r="AO1152" s="1906">
        <f t="shared" si="1158"/>
        <v>0</v>
      </c>
      <c r="AP1152" s="1906">
        <f t="shared" si="1159"/>
        <v>0</v>
      </c>
      <c r="AQ1152" s="1906">
        <f t="shared" si="1160"/>
        <v>0</v>
      </c>
      <c r="AR1152" s="1906">
        <f t="shared" si="1161"/>
        <v>0</v>
      </c>
      <c r="AS1152" s="1906">
        <f t="shared" si="1162"/>
        <v>0</v>
      </c>
      <c r="AT1152" s="1906">
        <f t="shared" si="1163"/>
        <v>0</v>
      </c>
      <c r="AU1152" s="1906">
        <f t="shared" si="1164"/>
        <v>0</v>
      </c>
      <c r="AV1152" s="1906">
        <f t="shared" si="1165"/>
        <v>0</v>
      </c>
      <c r="AW1152" s="1906">
        <f t="shared" si="1166"/>
        <v>0</v>
      </c>
      <c r="AX1152" s="1906">
        <f t="shared" si="1167"/>
        <v>0</v>
      </c>
      <c r="AY1152" s="1906">
        <f t="shared" si="1168"/>
        <v>0</v>
      </c>
      <c r="AZ1152" s="1906">
        <f t="shared" si="1169"/>
        <v>0</v>
      </c>
      <c r="BA1152" s="107"/>
      <c r="BB1152" s="1906">
        <f t="shared" si="1170"/>
        <v>0</v>
      </c>
      <c r="BC1152" s="1906">
        <f t="shared" si="1171"/>
        <v>0</v>
      </c>
      <c r="BD1152" s="1906">
        <f t="shared" si="1172"/>
        <v>0</v>
      </c>
      <c r="BE1152" s="1906">
        <f t="shared" si="1173"/>
        <v>0</v>
      </c>
      <c r="BF1152" s="1906">
        <f t="shared" si="1174"/>
        <v>0</v>
      </c>
      <c r="BG1152" s="1906">
        <f t="shared" si="1175"/>
        <v>0</v>
      </c>
      <c r="BH1152" s="1906">
        <f t="shared" si="1176"/>
        <v>0</v>
      </c>
      <c r="BI1152" s="1906">
        <f t="shared" si="1177"/>
        <v>0</v>
      </c>
      <c r="BJ1152" s="1906">
        <f t="shared" si="1178"/>
        <v>0</v>
      </c>
      <c r="BK1152" s="1906">
        <f t="shared" si="1179"/>
        <v>0</v>
      </c>
      <c r="BL1152" s="1906">
        <f t="shared" si="1180"/>
        <v>0</v>
      </c>
      <c r="BM1152" s="1906">
        <f t="shared" si="1181"/>
        <v>0</v>
      </c>
      <c r="BN1152" s="107"/>
      <c r="BO1152" s="1906">
        <f t="shared" si="1182"/>
        <v>0</v>
      </c>
      <c r="BP1152" s="1906">
        <f t="shared" si="1183"/>
        <v>0</v>
      </c>
      <c r="BQ1152" s="1906">
        <f t="shared" si="1184"/>
        <v>0</v>
      </c>
      <c r="BR1152" s="1906">
        <f t="shared" si="1185"/>
        <v>0</v>
      </c>
      <c r="BS1152" s="1906">
        <f t="shared" si="1186"/>
        <v>0</v>
      </c>
      <c r="BT1152" s="1906">
        <f t="shared" si="1187"/>
        <v>0</v>
      </c>
      <c r="BU1152" s="1906">
        <f t="shared" si="1188"/>
        <v>0</v>
      </c>
      <c r="BV1152" s="1906">
        <f t="shared" si="1189"/>
        <v>0</v>
      </c>
      <c r="BW1152" s="1906">
        <f t="shared" si="1190"/>
        <v>0</v>
      </c>
      <c r="BX1152" s="1906">
        <f t="shared" si="1191"/>
        <v>0</v>
      </c>
      <c r="BY1152" s="1906">
        <f t="shared" si="1192"/>
        <v>0</v>
      </c>
      <c r="BZ1152" s="1906">
        <f t="shared" si="1193"/>
        <v>0</v>
      </c>
      <c r="CA1152" s="1971">
        <f t="shared" si="1194"/>
        <v>0</v>
      </c>
      <c r="CB1152" s="1906">
        <f t="shared" si="1195"/>
        <v>0</v>
      </c>
      <c r="CC1152" s="1906">
        <f t="shared" si="1196"/>
        <v>0</v>
      </c>
      <c r="CD1152" s="1906">
        <f t="shared" si="1197"/>
        <v>0</v>
      </c>
      <c r="CE1152" s="1906">
        <f t="shared" si="1198"/>
        <v>0</v>
      </c>
      <c r="CF1152" s="1906">
        <f t="shared" si="1199"/>
        <v>0</v>
      </c>
      <c r="CG1152" s="1906">
        <f t="shared" si="1200"/>
        <v>0</v>
      </c>
      <c r="CH1152" s="1906">
        <f t="shared" si="1201"/>
        <v>0</v>
      </c>
      <c r="CI1152" s="1906">
        <f t="shared" si="1202"/>
        <v>0</v>
      </c>
      <c r="CJ1152" s="1906">
        <f t="shared" si="1225"/>
        <v>0</v>
      </c>
      <c r="CK1152" s="1906">
        <f t="shared" si="1226"/>
        <v>0</v>
      </c>
      <c r="CL1152" s="1906">
        <f t="shared" si="1227"/>
        <v>0</v>
      </c>
      <c r="CM1152" s="1906">
        <f t="shared" si="1228"/>
        <v>0</v>
      </c>
      <c r="CN1152" s="595">
        <f t="shared" si="1204"/>
        <v>0</v>
      </c>
      <c r="CO1152" s="1443">
        <f t="shared" si="1219"/>
        <v>0</v>
      </c>
      <c r="CQ1152" s="108">
        <f t="shared" si="1205"/>
        <v>0</v>
      </c>
      <c r="CR1152" s="1898">
        <f t="shared" si="1206"/>
        <v>0</v>
      </c>
      <c r="CS1152" s="1898">
        <f t="shared" si="1207"/>
        <v>0</v>
      </c>
      <c r="CT1152" s="1898">
        <f t="shared" si="1208"/>
        <v>0</v>
      </c>
      <c r="CU1152" s="1898">
        <f t="shared" si="1209"/>
        <v>0</v>
      </c>
      <c r="CV1152" s="1898">
        <f t="shared" si="1210"/>
        <v>0</v>
      </c>
      <c r="CW1152" s="1898">
        <f t="shared" si="1211"/>
        <v>0</v>
      </c>
      <c r="CX1152" s="1898">
        <f t="shared" si="1212"/>
        <v>0</v>
      </c>
      <c r="CY1152" s="1898">
        <f t="shared" si="1213"/>
        <v>0</v>
      </c>
      <c r="CZ1152" s="1898">
        <f t="shared" si="1214"/>
        <v>0</v>
      </c>
      <c r="DA1152" s="1898">
        <f t="shared" si="1215"/>
        <v>0</v>
      </c>
      <c r="DB1152" s="1898">
        <f t="shared" si="1216"/>
        <v>0</v>
      </c>
      <c r="DC1152" s="1898">
        <f t="shared" si="1217"/>
        <v>0</v>
      </c>
    </row>
    <row r="1153" spans="1:107" x14ac:dyDescent="0.2">
      <c r="A1153" s="1971" t="str">
        <f t="shared" si="1132"/>
        <v>Avena</v>
      </c>
      <c r="B1153" s="1906">
        <f t="shared" ref="B1153:M1153" si="1248">SUMIF(C$1054:C$1120,"feb"&amp;$B1009,C$983:C$1049)</f>
        <v>0</v>
      </c>
      <c r="C1153" s="1906">
        <f t="shared" si="1248"/>
        <v>0</v>
      </c>
      <c r="D1153" s="1906">
        <f t="shared" si="1248"/>
        <v>0</v>
      </c>
      <c r="E1153" s="1906">
        <f t="shared" si="1248"/>
        <v>0</v>
      </c>
      <c r="F1153" s="1906">
        <f t="shared" si="1248"/>
        <v>0</v>
      </c>
      <c r="G1153" s="1906">
        <f t="shared" si="1248"/>
        <v>0</v>
      </c>
      <c r="H1153" s="1906">
        <f t="shared" si="1248"/>
        <v>0</v>
      </c>
      <c r="I1153" s="1906">
        <f t="shared" si="1134"/>
        <v>0</v>
      </c>
      <c r="J1153" s="1906">
        <f t="shared" si="1248"/>
        <v>0</v>
      </c>
      <c r="K1153" s="1906">
        <f t="shared" si="1248"/>
        <v>0</v>
      </c>
      <c r="L1153" s="1906">
        <f t="shared" si="1248"/>
        <v>0</v>
      </c>
      <c r="M1153" s="1906">
        <f t="shared" si="1248"/>
        <v>0</v>
      </c>
      <c r="N1153" s="107"/>
      <c r="O1153" s="1906"/>
      <c r="P1153" s="1906">
        <f t="shared" si="1135"/>
        <v>0</v>
      </c>
      <c r="Q1153" s="1906">
        <f t="shared" si="1136"/>
        <v>0</v>
      </c>
      <c r="R1153" s="1906">
        <f t="shared" si="1137"/>
        <v>0</v>
      </c>
      <c r="S1153" s="1906">
        <f t="shared" si="1138"/>
        <v>0</v>
      </c>
      <c r="T1153" s="1906">
        <f t="shared" si="1139"/>
        <v>0</v>
      </c>
      <c r="U1153" s="1906">
        <f t="shared" si="1140"/>
        <v>0</v>
      </c>
      <c r="V1153" s="1906">
        <f t="shared" si="1141"/>
        <v>0</v>
      </c>
      <c r="W1153" s="1906">
        <f t="shared" si="1142"/>
        <v>0</v>
      </c>
      <c r="X1153" s="1906">
        <f t="shared" si="1143"/>
        <v>0</v>
      </c>
      <c r="Y1153" s="1906">
        <f t="shared" si="1144"/>
        <v>0</v>
      </c>
      <c r="Z1153" s="1906">
        <f t="shared" si="1145"/>
        <v>0</v>
      </c>
      <c r="AA1153" s="107"/>
      <c r="AB1153" s="1906">
        <f t="shared" si="1146"/>
        <v>0</v>
      </c>
      <c r="AC1153" s="1906">
        <f t="shared" si="1147"/>
        <v>0</v>
      </c>
      <c r="AD1153" s="1906">
        <f t="shared" si="1148"/>
        <v>0</v>
      </c>
      <c r="AE1153" s="1906">
        <f t="shared" si="1149"/>
        <v>0</v>
      </c>
      <c r="AF1153" s="1906">
        <f t="shared" si="1150"/>
        <v>0</v>
      </c>
      <c r="AG1153" s="1906">
        <f t="shared" si="1151"/>
        <v>0</v>
      </c>
      <c r="AH1153" s="1906">
        <f t="shared" si="1152"/>
        <v>0</v>
      </c>
      <c r="AI1153" s="1906">
        <f t="shared" si="1153"/>
        <v>0</v>
      </c>
      <c r="AJ1153" s="1906">
        <f t="shared" si="1154"/>
        <v>0</v>
      </c>
      <c r="AK1153" s="1906">
        <f t="shared" si="1155"/>
        <v>0</v>
      </c>
      <c r="AL1153" s="1906">
        <f t="shared" si="1156"/>
        <v>0</v>
      </c>
      <c r="AM1153" s="1906">
        <f t="shared" si="1157"/>
        <v>0</v>
      </c>
      <c r="AN1153" s="107"/>
      <c r="AO1153" s="1906">
        <f t="shared" si="1158"/>
        <v>0</v>
      </c>
      <c r="AP1153" s="1906">
        <f t="shared" si="1159"/>
        <v>0</v>
      </c>
      <c r="AQ1153" s="1906">
        <f t="shared" si="1160"/>
        <v>0</v>
      </c>
      <c r="AR1153" s="1906">
        <f t="shared" si="1161"/>
        <v>0</v>
      </c>
      <c r="AS1153" s="1906">
        <f t="shared" si="1162"/>
        <v>0</v>
      </c>
      <c r="AT1153" s="1906">
        <f t="shared" si="1163"/>
        <v>0</v>
      </c>
      <c r="AU1153" s="1906">
        <f t="shared" si="1164"/>
        <v>0</v>
      </c>
      <c r="AV1153" s="1906">
        <f t="shared" si="1165"/>
        <v>0</v>
      </c>
      <c r="AW1153" s="1906">
        <f t="shared" si="1166"/>
        <v>0</v>
      </c>
      <c r="AX1153" s="1906">
        <f t="shared" si="1167"/>
        <v>0</v>
      </c>
      <c r="AY1153" s="1906">
        <f t="shared" si="1168"/>
        <v>0</v>
      </c>
      <c r="AZ1153" s="1906">
        <f t="shared" si="1169"/>
        <v>0</v>
      </c>
      <c r="BA1153" s="107"/>
      <c r="BB1153" s="1906">
        <f t="shared" si="1170"/>
        <v>0</v>
      </c>
      <c r="BC1153" s="1906">
        <f t="shared" si="1171"/>
        <v>0</v>
      </c>
      <c r="BD1153" s="1906">
        <f t="shared" si="1172"/>
        <v>0</v>
      </c>
      <c r="BE1153" s="1906">
        <f t="shared" si="1173"/>
        <v>0</v>
      </c>
      <c r="BF1153" s="1906">
        <f t="shared" si="1174"/>
        <v>0</v>
      </c>
      <c r="BG1153" s="1906">
        <f t="shared" si="1175"/>
        <v>0</v>
      </c>
      <c r="BH1153" s="1906">
        <f t="shared" si="1176"/>
        <v>0</v>
      </c>
      <c r="BI1153" s="1906">
        <f t="shared" si="1177"/>
        <v>0</v>
      </c>
      <c r="BJ1153" s="1906">
        <f t="shared" si="1178"/>
        <v>0</v>
      </c>
      <c r="BK1153" s="1906">
        <f t="shared" si="1179"/>
        <v>0</v>
      </c>
      <c r="BL1153" s="1906">
        <f t="shared" si="1180"/>
        <v>0</v>
      </c>
      <c r="BM1153" s="1906">
        <f t="shared" si="1181"/>
        <v>0</v>
      </c>
      <c r="BN1153" s="107"/>
      <c r="BO1153" s="1906">
        <f t="shared" si="1182"/>
        <v>0</v>
      </c>
      <c r="BP1153" s="1906">
        <f t="shared" si="1183"/>
        <v>0</v>
      </c>
      <c r="BQ1153" s="1906">
        <f t="shared" si="1184"/>
        <v>0</v>
      </c>
      <c r="BR1153" s="1906">
        <f t="shared" si="1185"/>
        <v>0</v>
      </c>
      <c r="BS1153" s="1906">
        <f t="shared" si="1186"/>
        <v>0</v>
      </c>
      <c r="BT1153" s="1906">
        <f t="shared" si="1187"/>
        <v>0</v>
      </c>
      <c r="BU1153" s="1906">
        <f t="shared" si="1188"/>
        <v>0</v>
      </c>
      <c r="BV1153" s="1906">
        <f t="shared" si="1189"/>
        <v>0</v>
      </c>
      <c r="BW1153" s="1906">
        <f t="shared" si="1190"/>
        <v>0</v>
      </c>
      <c r="BX1153" s="1906">
        <f t="shared" si="1191"/>
        <v>0</v>
      </c>
      <c r="BY1153" s="1906">
        <f t="shared" si="1192"/>
        <v>0</v>
      </c>
      <c r="BZ1153" s="1906">
        <f t="shared" si="1193"/>
        <v>0</v>
      </c>
      <c r="CA1153" s="1971" t="str">
        <f t="shared" si="1194"/>
        <v>Avena</v>
      </c>
      <c r="CB1153" s="1906">
        <f t="shared" si="1195"/>
        <v>0</v>
      </c>
      <c r="CC1153" s="1906">
        <f t="shared" si="1196"/>
        <v>0</v>
      </c>
      <c r="CD1153" s="1906">
        <f t="shared" si="1197"/>
        <v>0</v>
      </c>
      <c r="CE1153" s="1906">
        <f t="shared" si="1198"/>
        <v>0</v>
      </c>
      <c r="CF1153" s="1906">
        <f t="shared" si="1199"/>
        <v>0</v>
      </c>
      <c r="CG1153" s="1906">
        <f t="shared" si="1200"/>
        <v>0</v>
      </c>
      <c r="CH1153" s="1906">
        <f t="shared" si="1201"/>
        <v>0</v>
      </c>
      <c r="CI1153" s="1906">
        <f t="shared" si="1202"/>
        <v>0</v>
      </c>
      <c r="CJ1153" s="1906">
        <f t="shared" si="1225"/>
        <v>0</v>
      </c>
      <c r="CK1153" s="1906">
        <f t="shared" si="1226"/>
        <v>0</v>
      </c>
      <c r="CL1153" s="1906">
        <f t="shared" si="1227"/>
        <v>0</v>
      </c>
      <c r="CM1153" s="1906">
        <f t="shared" si="1228"/>
        <v>0</v>
      </c>
      <c r="CN1153" s="595" t="str">
        <f t="shared" si="1204"/>
        <v>Avena</v>
      </c>
      <c r="CO1153" s="1443">
        <f t="shared" si="1219"/>
        <v>0</v>
      </c>
      <c r="CQ1153" s="108" t="str">
        <f t="shared" si="1205"/>
        <v>Avena</v>
      </c>
      <c r="CR1153" s="1898">
        <f t="shared" si="1206"/>
        <v>0</v>
      </c>
      <c r="CS1153" s="1898">
        <f t="shared" si="1207"/>
        <v>0</v>
      </c>
      <c r="CT1153" s="1898">
        <f t="shared" si="1208"/>
        <v>0</v>
      </c>
      <c r="CU1153" s="1898">
        <f t="shared" si="1209"/>
        <v>0</v>
      </c>
      <c r="CV1153" s="1898">
        <f t="shared" si="1210"/>
        <v>0</v>
      </c>
      <c r="CW1153" s="1898">
        <f t="shared" si="1211"/>
        <v>0</v>
      </c>
      <c r="CX1153" s="1898">
        <f t="shared" si="1212"/>
        <v>0</v>
      </c>
      <c r="CY1153" s="1898">
        <f t="shared" si="1213"/>
        <v>0</v>
      </c>
      <c r="CZ1153" s="1898">
        <f t="shared" si="1214"/>
        <v>0</v>
      </c>
      <c r="DA1153" s="1898">
        <f t="shared" si="1215"/>
        <v>0</v>
      </c>
      <c r="DB1153" s="1898">
        <f t="shared" si="1216"/>
        <v>0</v>
      </c>
      <c r="DC1153" s="1898">
        <f t="shared" si="1217"/>
        <v>0</v>
      </c>
    </row>
    <row r="1154" spans="1:107" x14ac:dyDescent="0.2">
      <c r="A1154" s="1971" t="str">
        <f t="shared" si="1132"/>
        <v>Raigrás</v>
      </c>
      <c r="B1154" s="1906">
        <f t="shared" ref="B1154:M1154" si="1249">SUMIF(C$1054:C$1120,"feb"&amp;$B1010,C$983:C$1049)</f>
        <v>0</v>
      </c>
      <c r="C1154" s="1906">
        <f t="shared" si="1249"/>
        <v>0</v>
      </c>
      <c r="D1154" s="1906">
        <f t="shared" si="1249"/>
        <v>0</v>
      </c>
      <c r="E1154" s="1906">
        <f t="shared" si="1249"/>
        <v>0</v>
      </c>
      <c r="F1154" s="1906">
        <f t="shared" si="1249"/>
        <v>0</v>
      </c>
      <c r="G1154" s="1906">
        <f t="shared" si="1249"/>
        <v>0</v>
      </c>
      <c r="H1154" s="1906">
        <f t="shared" si="1249"/>
        <v>0</v>
      </c>
      <c r="I1154" s="1906">
        <f t="shared" si="1134"/>
        <v>0</v>
      </c>
      <c r="J1154" s="1906">
        <f t="shared" si="1249"/>
        <v>0</v>
      </c>
      <c r="K1154" s="1906">
        <f t="shared" si="1249"/>
        <v>0</v>
      </c>
      <c r="L1154" s="1906">
        <f t="shared" si="1249"/>
        <v>0</v>
      </c>
      <c r="M1154" s="1906">
        <f t="shared" si="1249"/>
        <v>0</v>
      </c>
      <c r="N1154" s="107"/>
      <c r="O1154" s="1906"/>
      <c r="P1154" s="1906">
        <f t="shared" si="1135"/>
        <v>0</v>
      </c>
      <c r="Q1154" s="1906">
        <f t="shared" si="1136"/>
        <v>0</v>
      </c>
      <c r="R1154" s="1906">
        <f t="shared" si="1137"/>
        <v>0</v>
      </c>
      <c r="S1154" s="1906">
        <f t="shared" si="1138"/>
        <v>0</v>
      </c>
      <c r="T1154" s="1906">
        <f t="shared" si="1139"/>
        <v>0</v>
      </c>
      <c r="U1154" s="1906">
        <f t="shared" si="1140"/>
        <v>0</v>
      </c>
      <c r="V1154" s="1906">
        <f t="shared" si="1141"/>
        <v>0</v>
      </c>
      <c r="W1154" s="1906">
        <f t="shared" si="1142"/>
        <v>0</v>
      </c>
      <c r="X1154" s="1906">
        <f t="shared" si="1143"/>
        <v>0</v>
      </c>
      <c r="Y1154" s="1906">
        <f t="shared" si="1144"/>
        <v>0</v>
      </c>
      <c r="Z1154" s="1906">
        <f t="shared" si="1145"/>
        <v>0</v>
      </c>
      <c r="AA1154" s="107"/>
      <c r="AB1154" s="1906">
        <f t="shared" si="1146"/>
        <v>0</v>
      </c>
      <c r="AC1154" s="1906">
        <f t="shared" si="1147"/>
        <v>0</v>
      </c>
      <c r="AD1154" s="1906">
        <f t="shared" si="1148"/>
        <v>0</v>
      </c>
      <c r="AE1154" s="1906">
        <f t="shared" si="1149"/>
        <v>0</v>
      </c>
      <c r="AF1154" s="1906">
        <f t="shared" si="1150"/>
        <v>0</v>
      </c>
      <c r="AG1154" s="1906">
        <f t="shared" si="1151"/>
        <v>0</v>
      </c>
      <c r="AH1154" s="1906">
        <f t="shared" si="1152"/>
        <v>0</v>
      </c>
      <c r="AI1154" s="1906">
        <f t="shared" si="1153"/>
        <v>0</v>
      </c>
      <c r="AJ1154" s="1906">
        <f t="shared" si="1154"/>
        <v>0</v>
      </c>
      <c r="AK1154" s="1906">
        <f t="shared" si="1155"/>
        <v>0</v>
      </c>
      <c r="AL1154" s="1906">
        <f t="shared" si="1156"/>
        <v>0</v>
      </c>
      <c r="AM1154" s="1906">
        <f t="shared" si="1157"/>
        <v>0</v>
      </c>
      <c r="AN1154" s="107"/>
      <c r="AO1154" s="1906">
        <f t="shared" si="1158"/>
        <v>0</v>
      </c>
      <c r="AP1154" s="1906">
        <f t="shared" si="1159"/>
        <v>0</v>
      </c>
      <c r="AQ1154" s="1906">
        <f t="shared" si="1160"/>
        <v>0</v>
      </c>
      <c r="AR1154" s="1906">
        <f t="shared" si="1161"/>
        <v>0</v>
      </c>
      <c r="AS1154" s="1906">
        <f t="shared" si="1162"/>
        <v>0</v>
      </c>
      <c r="AT1154" s="1906">
        <f t="shared" si="1163"/>
        <v>0</v>
      </c>
      <c r="AU1154" s="1906">
        <f t="shared" si="1164"/>
        <v>0</v>
      </c>
      <c r="AV1154" s="1906">
        <f t="shared" si="1165"/>
        <v>0</v>
      </c>
      <c r="AW1154" s="1906">
        <f t="shared" si="1166"/>
        <v>0</v>
      </c>
      <c r="AX1154" s="1906">
        <f t="shared" si="1167"/>
        <v>0</v>
      </c>
      <c r="AY1154" s="1906">
        <f t="shared" si="1168"/>
        <v>0</v>
      </c>
      <c r="AZ1154" s="1906">
        <f t="shared" si="1169"/>
        <v>0</v>
      </c>
      <c r="BA1154" s="107"/>
      <c r="BB1154" s="1906">
        <f t="shared" si="1170"/>
        <v>0</v>
      </c>
      <c r="BC1154" s="1906">
        <f t="shared" si="1171"/>
        <v>0</v>
      </c>
      <c r="BD1154" s="1906">
        <f t="shared" si="1172"/>
        <v>0</v>
      </c>
      <c r="BE1154" s="1906">
        <f t="shared" si="1173"/>
        <v>0</v>
      </c>
      <c r="BF1154" s="1906">
        <f t="shared" si="1174"/>
        <v>0</v>
      </c>
      <c r="BG1154" s="1906">
        <f t="shared" si="1175"/>
        <v>0</v>
      </c>
      <c r="BH1154" s="1906">
        <f t="shared" si="1176"/>
        <v>0</v>
      </c>
      <c r="BI1154" s="1906">
        <f t="shared" si="1177"/>
        <v>0</v>
      </c>
      <c r="BJ1154" s="1906">
        <f t="shared" si="1178"/>
        <v>0</v>
      </c>
      <c r="BK1154" s="1906">
        <f t="shared" si="1179"/>
        <v>0</v>
      </c>
      <c r="BL1154" s="1906">
        <f t="shared" si="1180"/>
        <v>0</v>
      </c>
      <c r="BM1154" s="1906">
        <f t="shared" si="1181"/>
        <v>0</v>
      </c>
      <c r="BN1154" s="107"/>
      <c r="BO1154" s="1906">
        <f t="shared" si="1182"/>
        <v>0</v>
      </c>
      <c r="BP1154" s="1906">
        <f t="shared" si="1183"/>
        <v>0</v>
      </c>
      <c r="BQ1154" s="1906">
        <f t="shared" si="1184"/>
        <v>0</v>
      </c>
      <c r="BR1154" s="1906">
        <f t="shared" si="1185"/>
        <v>0</v>
      </c>
      <c r="BS1154" s="1906">
        <f t="shared" si="1186"/>
        <v>0</v>
      </c>
      <c r="BT1154" s="1906">
        <f t="shared" si="1187"/>
        <v>0</v>
      </c>
      <c r="BU1154" s="1906">
        <f t="shared" si="1188"/>
        <v>0</v>
      </c>
      <c r="BV1154" s="1906">
        <f t="shared" si="1189"/>
        <v>0</v>
      </c>
      <c r="BW1154" s="1906">
        <f t="shared" si="1190"/>
        <v>0</v>
      </c>
      <c r="BX1154" s="1906">
        <f t="shared" si="1191"/>
        <v>0</v>
      </c>
      <c r="BY1154" s="1906">
        <f t="shared" si="1192"/>
        <v>0</v>
      </c>
      <c r="BZ1154" s="1906">
        <f t="shared" si="1193"/>
        <v>0</v>
      </c>
      <c r="CA1154" s="1971" t="str">
        <f t="shared" si="1194"/>
        <v>Raigrás</v>
      </c>
      <c r="CB1154" s="1906">
        <f t="shared" si="1195"/>
        <v>0</v>
      </c>
      <c r="CC1154" s="1906">
        <f t="shared" si="1196"/>
        <v>0</v>
      </c>
      <c r="CD1154" s="1906">
        <f t="shared" si="1197"/>
        <v>0</v>
      </c>
      <c r="CE1154" s="1906">
        <f t="shared" si="1198"/>
        <v>0</v>
      </c>
      <c r="CF1154" s="1906">
        <f t="shared" si="1199"/>
        <v>0</v>
      </c>
      <c r="CG1154" s="1906">
        <f t="shared" si="1200"/>
        <v>0</v>
      </c>
      <c r="CH1154" s="1906">
        <f t="shared" si="1201"/>
        <v>0</v>
      </c>
      <c r="CI1154" s="1906">
        <f t="shared" si="1202"/>
        <v>0</v>
      </c>
      <c r="CJ1154" s="1906">
        <f t="shared" si="1225"/>
        <v>0</v>
      </c>
      <c r="CK1154" s="1906">
        <f t="shared" si="1226"/>
        <v>0</v>
      </c>
      <c r="CL1154" s="1906">
        <f t="shared" si="1227"/>
        <v>0</v>
      </c>
      <c r="CM1154" s="1906">
        <f t="shared" si="1228"/>
        <v>0</v>
      </c>
      <c r="CN1154" s="595" t="str">
        <f t="shared" si="1204"/>
        <v>Raigrás</v>
      </c>
      <c r="CO1154" s="1443">
        <f t="shared" si="1219"/>
        <v>0</v>
      </c>
      <c r="CQ1154" s="108" t="str">
        <f t="shared" si="1205"/>
        <v>Raigrás</v>
      </c>
      <c r="CR1154" s="1898">
        <f t="shared" si="1206"/>
        <v>0</v>
      </c>
      <c r="CS1154" s="1898">
        <f t="shared" si="1207"/>
        <v>0</v>
      </c>
      <c r="CT1154" s="1898">
        <f t="shared" si="1208"/>
        <v>0</v>
      </c>
      <c r="CU1154" s="1898">
        <f t="shared" si="1209"/>
        <v>0</v>
      </c>
      <c r="CV1154" s="1898">
        <f t="shared" si="1210"/>
        <v>0</v>
      </c>
      <c r="CW1154" s="1898">
        <f t="shared" si="1211"/>
        <v>0</v>
      </c>
      <c r="CX1154" s="1898">
        <f t="shared" si="1212"/>
        <v>0</v>
      </c>
      <c r="CY1154" s="1898">
        <f t="shared" si="1213"/>
        <v>0</v>
      </c>
      <c r="CZ1154" s="1898">
        <f t="shared" si="1214"/>
        <v>0</v>
      </c>
      <c r="DA1154" s="1898">
        <f t="shared" si="1215"/>
        <v>0</v>
      </c>
      <c r="DB1154" s="1898">
        <f t="shared" si="1216"/>
        <v>0</v>
      </c>
      <c r="DC1154" s="1898">
        <f t="shared" si="1217"/>
        <v>0</v>
      </c>
    </row>
    <row r="1155" spans="1:107" x14ac:dyDescent="0.2">
      <c r="A1155" s="1971" t="str">
        <f t="shared" si="1132"/>
        <v>Av+Rg</v>
      </c>
      <c r="B1155" s="1906">
        <f t="shared" ref="B1155:M1155" si="1250">SUMIF(C$1054:C$1120,"feb"&amp;$B1011,C$983:C$1049)</f>
        <v>0</v>
      </c>
      <c r="C1155" s="1906">
        <f t="shared" si="1250"/>
        <v>0</v>
      </c>
      <c r="D1155" s="1906">
        <f t="shared" si="1250"/>
        <v>0</v>
      </c>
      <c r="E1155" s="1906">
        <f t="shared" si="1250"/>
        <v>0</v>
      </c>
      <c r="F1155" s="1906">
        <f t="shared" si="1250"/>
        <v>0</v>
      </c>
      <c r="G1155" s="1906">
        <f t="shared" si="1250"/>
        <v>0</v>
      </c>
      <c r="H1155" s="1906">
        <f t="shared" si="1250"/>
        <v>0</v>
      </c>
      <c r="I1155" s="1906">
        <f t="shared" si="1134"/>
        <v>0</v>
      </c>
      <c r="J1155" s="1906">
        <f t="shared" si="1250"/>
        <v>0</v>
      </c>
      <c r="K1155" s="1906">
        <f t="shared" si="1250"/>
        <v>0</v>
      </c>
      <c r="L1155" s="1906">
        <f t="shared" si="1250"/>
        <v>0</v>
      </c>
      <c r="M1155" s="1906">
        <f t="shared" si="1250"/>
        <v>0</v>
      </c>
      <c r="N1155" s="107"/>
      <c r="O1155" s="1906"/>
      <c r="P1155" s="1906">
        <f t="shared" si="1135"/>
        <v>0</v>
      </c>
      <c r="Q1155" s="1906">
        <f t="shared" si="1136"/>
        <v>0</v>
      </c>
      <c r="R1155" s="1906">
        <f t="shared" si="1137"/>
        <v>0</v>
      </c>
      <c r="S1155" s="1906">
        <f t="shared" si="1138"/>
        <v>0</v>
      </c>
      <c r="T1155" s="1906">
        <f t="shared" si="1139"/>
        <v>0</v>
      </c>
      <c r="U1155" s="1906">
        <f t="shared" si="1140"/>
        <v>0</v>
      </c>
      <c r="V1155" s="1906">
        <f t="shared" si="1141"/>
        <v>0</v>
      </c>
      <c r="W1155" s="1906">
        <f t="shared" si="1142"/>
        <v>0</v>
      </c>
      <c r="X1155" s="1906">
        <f t="shared" si="1143"/>
        <v>0</v>
      </c>
      <c r="Y1155" s="1906">
        <f t="shared" si="1144"/>
        <v>0</v>
      </c>
      <c r="Z1155" s="1906">
        <f t="shared" si="1145"/>
        <v>0</v>
      </c>
      <c r="AA1155" s="107"/>
      <c r="AB1155" s="1906">
        <f t="shared" si="1146"/>
        <v>0</v>
      </c>
      <c r="AC1155" s="1906">
        <f t="shared" si="1147"/>
        <v>0</v>
      </c>
      <c r="AD1155" s="1906">
        <f t="shared" si="1148"/>
        <v>0</v>
      </c>
      <c r="AE1155" s="1906">
        <f t="shared" si="1149"/>
        <v>0</v>
      </c>
      <c r="AF1155" s="1906">
        <f t="shared" si="1150"/>
        <v>0</v>
      </c>
      <c r="AG1155" s="1906">
        <f t="shared" si="1151"/>
        <v>0</v>
      </c>
      <c r="AH1155" s="1906">
        <f t="shared" si="1152"/>
        <v>0</v>
      </c>
      <c r="AI1155" s="1906">
        <f t="shared" si="1153"/>
        <v>0</v>
      </c>
      <c r="AJ1155" s="1906">
        <f t="shared" si="1154"/>
        <v>0</v>
      </c>
      <c r="AK1155" s="1906">
        <f t="shared" si="1155"/>
        <v>0</v>
      </c>
      <c r="AL1155" s="1906">
        <f t="shared" si="1156"/>
        <v>0</v>
      </c>
      <c r="AM1155" s="1906">
        <f t="shared" si="1157"/>
        <v>0</v>
      </c>
      <c r="AN1155" s="107"/>
      <c r="AO1155" s="1906">
        <f t="shared" si="1158"/>
        <v>0</v>
      </c>
      <c r="AP1155" s="1906">
        <f t="shared" si="1159"/>
        <v>0</v>
      </c>
      <c r="AQ1155" s="1906">
        <f t="shared" si="1160"/>
        <v>0</v>
      </c>
      <c r="AR1155" s="1906">
        <f t="shared" si="1161"/>
        <v>0</v>
      </c>
      <c r="AS1155" s="1906">
        <f t="shared" si="1162"/>
        <v>0</v>
      </c>
      <c r="AT1155" s="1906">
        <f t="shared" si="1163"/>
        <v>0</v>
      </c>
      <c r="AU1155" s="1906">
        <f t="shared" si="1164"/>
        <v>0</v>
      </c>
      <c r="AV1155" s="1906">
        <f t="shared" si="1165"/>
        <v>0</v>
      </c>
      <c r="AW1155" s="1906">
        <f t="shared" si="1166"/>
        <v>0</v>
      </c>
      <c r="AX1155" s="1906">
        <f t="shared" si="1167"/>
        <v>0</v>
      </c>
      <c r="AY1155" s="1906">
        <f t="shared" si="1168"/>
        <v>0</v>
      </c>
      <c r="AZ1155" s="1906">
        <f t="shared" si="1169"/>
        <v>0</v>
      </c>
      <c r="BA1155" s="107"/>
      <c r="BB1155" s="1906">
        <f t="shared" si="1170"/>
        <v>0</v>
      </c>
      <c r="BC1155" s="1906">
        <f t="shared" si="1171"/>
        <v>0</v>
      </c>
      <c r="BD1155" s="1906">
        <f t="shared" si="1172"/>
        <v>0</v>
      </c>
      <c r="BE1155" s="1906">
        <f t="shared" si="1173"/>
        <v>0</v>
      </c>
      <c r="BF1155" s="1906">
        <f t="shared" si="1174"/>
        <v>0</v>
      </c>
      <c r="BG1155" s="1906">
        <f t="shared" si="1175"/>
        <v>0</v>
      </c>
      <c r="BH1155" s="1906">
        <f t="shared" si="1176"/>
        <v>0</v>
      </c>
      <c r="BI1155" s="1906">
        <f t="shared" si="1177"/>
        <v>0</v>
      </c>
      <c r="BJ1155" s="1906">
        <f t="shared" si="1178"/>
        <v>0</v>
      </c>
      <c r="BK1155" s="1906">
        <f t="shared" si="1179"/>
        <v>0</v>
      </c>
      <c r="BL1155" s="1906">
        <f t="shared" si="1180"/>
        <v>0</v>
      </c>
      <c r="BM1155" s="1906">
        <f t="shared" si="1181"/>
        <v>0</v>
      </c>
      <c r="BN1155" s="107"/>
      <c r="BO1155" s="1906">
        <f t="shared" si="1182"/>
        <v>0</v>
      </c>
      <c r="BP1155" s="1906">
        <f t="shared" si="1183"/>
        <v>0</v>
      </c>
      <c r="BQ1155" s="1906">
        <f t="shared" si="1184"/>
        <v>0</v>
      </c>
      <c r="BR1155" s="1906">
        <f t="shared" si="1185"/>
        <v>0</v>
      </c>
      <c r="BS1155" s="1906">
        <f t="shared" si="1186"/>
        <v>0</v>
      </c>
      <c r="BT1155" s="1906">
        <f t="shared" si="1187"/>
        <v>0</v>
      </c>
      <c r="BU1155" s="1906">
        <f t="shared" si="1188"/>
        <v>0</v>
      </c>
      <c r="BV1155" s="1906">
        <f t="shared" si="1189"/>
        <v>0</v>
      </c>
      <c r="BW1155" s="1906">
        <f t="shared" si="1190"/>
        <v>0</v>
      </c>
      <c r="BX1155" s="1906">
        <f t="shared" si="1191"/>
        <v>0</v>
      </c>
      <c r="BY1155" s="1906">
        <f t="shared" si="1192"/>
        <v>0</v>
      </c>
      <c r="BZ1155" s="1906">
        <f t="shared" si="1193"/>
        <v>0</v>
      </c>
      <c r="CA1155" s="1971" t="str">
        <f t="shared" si="1194"/>
        <v>Av+Rg</v>
      </c>
      <c r="CB1155" s="1906">
        <f t="shared" si="1195"/>
        <v>0</v>
      </c>
      <c r="CC1155" s="1906">
        <f t="shared" si="1196"/>
        <v>0</v>
      </c>
      <c r="CD1155" s="1906">
        <f t="shared" si="1197"/>
        <v>0</v>
      </c>
      <c r="CE1155" s="1906">
        <f t="shared" si="1198"/>
        <v>0</v>
      </c>
      <c r="CF1155" s="1906">
        <f t="shared" si="1199"/>
        <v>0</v>
      </c>
      <c r="CG1155" s="1906">
        <f t="shared" si="1200"/>
        <v>0</v>
      </c>
      <c r="CH1155" s="1906">
        <f t="shared" si="1201"/>
        <v>0</v>
      </c>
      <c r="CI1155" s="1906">
        <f t="shared" si="1202"/>
        <v>0</v>
      </c>
      <c r="CJ1155" s="1906">
        <f t="shared" si="1225"/>
        <v>0</v>
      </c>
      <c r="CK1155" s="1906">
        <f t="shared" si="1226"/>
        <v>0</v>
      </c>
      <c r="CL1155" s="1906">
        <f t="shared" si="1227"/>
        <v>0</v>
      </c>
      <c r="CM1155" s="1906">
        <f t="shared" si="1228"/>
        <v>0</v>
      </c>
      <c r="CN1155" s="595" t="str">
        <f t="shared" si="1204"/>
        <v>Av+Rg</v>
      </c>
      <c r="CO1155" s="1443">
        <f t="shared" si="1219"/>
        <v>0</v>
      </c>
      <c r="CQ1155" s="108" t="str">
        <f t="shared" si="1205"/>
        <v>Av+Rg</v>
      </c>
      <c r="CR1155" s="1898">
        <f t="shared" si="1206"/>
        <v>0</v>
      </c>
      <c r="CS1155" s="1898">
        <f t="shared" si="1207"/>
        <v>0</v>
      </c>
      <c r="CT1155" s="1898">
        <f t="shared" si="1208"/>
        <v>0</v>
      </c>
      <c r="CU1155" s="1898">
        <f t="shared" si="1209"/>
        <v>0</v>
      </c>
      <c r="CV1155" s="1898">
        <f t="shared" si="1210"/>
        <v>0</v>
      </c>
      <c r="CW1155" s="1898">
        <f t="shared" si="1211"/>
        <v>0</v>
      </c>
      <c r="CX1155" s="1898">
        <f t="shared" si="1212"/>
        <v>0</v>
      </c>
      <c r="CY1155" s="1898">
        <f t="shared" si="1213"/>
        <v>0</v>
      </c>
      <c r="CZ1155" s="1898">
        <f t="shared" si="1214"/>
        <v>0</v>
      </c>
      <c r="DA1155" s="1898">
        <f t="shared" si="1215"/>
        <v>0</v>
      </c>
      <c r="DB1155" s="1898">
        <f t="shared" si="1216"/>
        <v>0</v>
      </c>
      <c r="DC1155" s="1898">
        <f t="shared" si="1217"/>
        <v>0</v>
      </c>
    </row>
    <row r="1156" spans="1:107" x14ac:dyDescent="0.2">
      <c r="A1156" s="1971" t="str">
        <f t="shared" si="1132"/>
        <v>Rg Ciclo Largo</v>
      </c>
      <c r="B1156" s="1906">
        <f t="shared" ref="B1156:M1156" si="1251">SUMIF(C$1054:C$1120,"feb"&amp;$B1012,C$983:C$1049)</f>
        <v>0</v>
      </c>
      <c r="C1156" s="1906">
        <f t="shared" si="1251"/>
        <v>0</v>
      </c>
      <c r="D1156" s="1906">
        <f t="shared" si="1251"/>
        <v>0</v>
      </c>
      <c r="E1156" s="1906">
        <f t="shared" si="1251"/>
        <v>0</v>
      </c>
      <c r="F1156" s="1906">
        <f t="shared" si="1251"/>
        <v>0</v>
      </c>
      <c r="G1156" s="1906">
        <f t="shared" si="1251"/>
        <v>0</v>
      </c>
      <c r="H1156" s="1906">
        <f t="shared" si="1251"/>
        <v>0</v>
      </c>
      <c r="I1156" s="1906">
        <f t="shared" si="1134"/>
        <v>0</v>
      </c>
      <c r="J1156" s="1906">
        <f t="shared" si="1251"/>
        <v>0</v>
      </c>
      <c r="K1156" s="1906">
        <f t="shared" si="1251"/>
        <v>0</v>
      </c>
      <c r="L1156" s="1906">
        <f t="shared" si="1251"/>
        <v>0</v>
      </c>
      <c r="M1156" s="1906">
        <f t="shared" si="1251"/>
        <v>0</v>
      </c>
      <c r="N1156" s="107"/>
      <c r="O1156" s="1906"/>
      <c r="P1156" s="1906">
        <f t="shared" si="1135"/>
        <v>0</v>
      </c>
      <c r="Q1156" s="1906">
        <f t="shared" si="1136"/>
        <v>0</v>
      </c>
      <c r="R1156" s="1906">
        <f t="shared" si="1137"/>
        <v>0</v>
      </c>
      <c r="S1156" s="1906">
        <f t="shared" si="1138"/>
        <v>0</v>
      </c>
      <c r="T1156" s="1906">
        <f t="shared" si="1139"/>
        <v>0</v>
      </c>
      <c r="U1156" s="1906">
        <f t="shared" si="1140"/>
        <v>0</v>
      </c>
      <c r="V1156" s="1906">
        <f t="shared" si="1141"/>
        <v>0</v>
      </c>
      <c r="W1156" s="1906">
        <f t="shared" si="1142"/>
        <v>0</v>
      </c>
      <c r="X1156" s="1906">
        <f t="shared" si="1143"/>
        <v>0</v>
      </c>
      <c r="Y1156" s="1906">
        <f t="shared" si="1144"/>
        <v>0</v>
      </c>
      <c r="Z1156" s="1906">
        <f t="shared" si="1145"/>
        <v>0</v>
      </c>
      <c r="AA1156" s="107"/>
      <c r="AB1156" s="1906">
        <f t="shared" si="1146"/>
        <v>0</v>
      </c>
      <c r="AC1156" s="1906">
        <f t="shared" si="1147"/>
        <v>0</v>
      </c>
      <c r="AD1156" s="1906">
        <f t="shared" si="1148"/>
        <v>0</v>
      </c>
      <c r="AE1156" s="1906">
        <f t="shared" si="1149"/>
        <v>0</v>
      </c>
      <c r="AF1156" s="1906">
        <f t="shared" si="1150"/>
        <v>0</v>
      </c>
      <c r="AG1156" s="1906">
        <f t="shared" si="1151"/>
        <v>0</v>
      </c>
      <c r="AH1156" s="1906">
        <f t="shared" si="1152"/>
        <v>0</v>
      </c>
      <c r="AI1156" s="1906">
        <f t="shared" si="1153"/>
        <v>0</v>
      </c>
      <c r="AJ1156" s="1906">
        <f t="shared" si="1154"/>
        <v>0</v>
      </c>
      <c r="AK1156" s="1906">
        <f t="shared" si="1155"/>
        <v>0</v>
      </c>
      <c r="AL1156" s="1906">
        <f t="shared" si="1156"/>
        <v>0</v>
      </c>
      <c r="AM1156" s="1906">
        <f t="shared" si="1157"/>
        <v>0</v>
      </c>
      <c r="AN1156" s="107"/>
      <c r="AO1156" s="1906">
        <f t="shared" si="1158"/>
        <v>0</v>
      </c>
      <c r="AP1156" s="1906">
        <f t="shared" si="1159"/>
        <v>0</v>
      </c>
      <c r="AQ1156" s="1906">
        <f t="shared" si="1160"/>
        <v>0</v>
      </c>
      <c r="AR1156" s="1906">
        <f t="shared" si="1161"/>
        <v>0</v>
      </c>
      <c r="AS1156" s="1906">
        <f t="shared" si="1162"/>
        <v>0</v>
      </c>
      <c r="AT1156" s="1906">
        <f t="shared" si="1163"/>
        <v>0</v>
      </c>
      <c r="AU1156" s="1906">
        <f t="shared" si="1164"/>
        <v>0</v>
      </c>
      <c r="AV1156" s="1906">
        <f t="shared" si="1165"/>
        <v>0</v>
      </c>
      <c r="AW1156" s="1906">
        <f t="shared" si="1166"/>
        <v>0</v>
      </c>
      <c r="AX1156" s="1906">
        <f t="shared" si="1167"/>
        <v>0</v>
      </c>
      <c r="AY1156" s="1906">
        <f t="shared" si="1168"/>
        <v>0</v>
      </c>
      <c r="AZ1156" s="1906">
        <f t="shared" si="1169"/>
        <v>0</v>
      </c>
      <c r="BA1156" s="107"/>
      <c r="BB1156" s="1906">
        <f t="shared" si="1170"/>
        <v>0</v>
      </c>
      <c r="BC1156" s="1906">
        <f t="shared" si="1171"/>
        <v>0</v>
      </c>
      <c r="BD1156" s="1906">
        <f t="shared" si="1172"/>
        <v>0</v>
      </c>
      <c r="BE1156" s="1906">
        <f t="shared" si="1173"/>
        <v>0</v>
      </c>
      <c r="BF1156" s="1906">
        <f t="shared" si="1174"/>
        <v>0</v>
      </c>
      <c r="BG1156" s="1906">
        <f t="shared" si="1175"/>
        <v>0</v>
      </c>
      <c r="BH1156" s="1906">
        <f t="shared" si="1176"/>
        <v>0</v>
      </c>
      <c r="BI1156" s="1906">
        <f t="shared" si="1177"/>
        <v>0</v>
      </c>
      <c r="BJ1156" s="1906">
        <f t="shared" si="1178"/>
        <v>0</v>
      </c>
      <c r="BK1156" s="1906">
        <f t="shared" si="1179"/>
        <v>0</v>
      </c>
      <c r="BL1156" s="1906">
        <f t="shared" si="1180"/>
        <v>0</v>
      </c>
      <c r="BM1156" s="1906">
        <f t="shared" si="1181"/>
        <v>0</v>
      </c>
      <c r="BN1156" s="107"/>
      <c r="BO1156" s="1906">
        <f t="shared" si="1182"/>
        <v>0</v>
      </c>
      <c r="BP1156" s="1906">
        <f t="shared" si="1183"/>
        <v>0</v>
      </c>
      <c r="BQ1156" s="1906">
        <f t="shared" si="1184"/>
        <v>0</v>
      </c>
      <c r="BR1156" s="1906">
        <f t="shared" si="1185"/>
        <v>0</v>
      </c>
      <c r="BS1156" s="1906">
        <f t="shared" si="1186"/>
        <v>0</v>
      </c>
      <c r="BT1156" s="1906">
        <f t="shared" si="1187"/>
        <v>0</v>
      </c>
      <c r="BU1156" s="1906">
        <f t="shared" si="1188"/>
        <v>0</v>
      </c>
      <c r="BV1156" s="1906">
        <f t="shared" si="1189"/>
        <v>0</v>
      </c>
      <c r="BW1156" s="1906">
        <f t="shared" si="1190"/>
        <v>0</v>
      </c>
      <c r="BX1156" s="1906">
        <f t="shared" si="1191"/>
        <v>0</v>
      </c>
      <c r="BY1156" s="1906">
        <f t="shared" si="1192"/>
        <v>0</v>
      </c>
      <c r="BZ1156" s="1906">
        <f t="shared" si="1193"/>
        <v>0</v>
      </c>
      <c r="CA1156" s="1971" t="str">
        <f t="shared" si="1194"/>
        <v>Rg Ciclo Largo</v>
      </c>
      <c r="CB1156" s="1906">
        <f t="shared" si="1195"/>
        <v>0</v>
      </c>
      <c r="CC1156" s="1906">
        <f t="shared" si="1196"/>
        <v>0</v>
      </c>
      <c r="CD1156" s="1906">
        <f t="shared" si="1197"/>
        <v>0</v>
      </c>
      <c r="CE1156" s="1906">
        <f t="shared" si="1198"/>
        <v>0</v>
      </c>
      <c r="CF1156" s="1906">
        <f t="shared" si="1199"/>
        <v>0</v>
      </c>
      <c r="CG1156" s="1906">
        <f t="shared" si="1200"/>
        <v>0</v>
      </c>
      <c r="CH1156" s="1906">
        <f t="shared" si="1201"/>
        <v>0</v>
      </c>
      <c r="CI1156" s="1906">
        <f t="shared" si="1202"/>
        <v>0</v>
      </c>
      <c r="CJ1156" s="1906">
        <f t="shared" si="1225"/>
        <v>0</v>
      </c>
      <c r="CK1156" s="1906">
        <f t="shared" si="1226"/>
        <v>0</v>
      </c>
      <c r="CL1156" s="1906">
        <f t="shared" si="1227"/>
        <v>0</v>
      </c>
      <c r="CM1156" s="1906">
        <f t="shared" si="1228"/>
        <v>0</v>
      </c>
      <c r="CN1156" s="595" t="str">
        <f t="shared" si="1204"/>
        <v>Rg Ciclo Largo</v>
      </c>
      <c r="CO1156" s="1443">
        <f t="shared" si="1219"/>
        <v>0</v>
      </c>
      <c r="CQ1156" s="108" t="str">
        <f t="shared" si="1205"/>
        <v>Rg Ciclo Largo</v>
      </c>
      <c r="CR1156" s="1898">
        <f t="shared" si="1206"/>
        <v>0</v>
      </c>
      <c r="CS1156" s="1898">
        <f t="shared" si="1207"/>
        <v>0</v>
      </c>
      <c r="CT1156" s="1898">
        <f t="shared" si="1208"/>
        <v>0</v>
      </c>
      <c r="CU1156" s="1898">
        <f t="shared" si="1209"/>
        <v>0</v>
      </c>
      <c r="CV1156" s="1898">
        <f t="shared" si="1210"/>
        <v>0</v>
      </c>
      <c r="CW1156" s="1898">
        <f t="shared" si="1211"/>
        <v>0</v>
      </c>
      <c r="CX1156" s="1898">
        <f t="shared" si="1212"/>
        <v>0</v>
      </c>
      <c r="CY1156" s="1898">
        <f t="shared" si="1213"/>
        <v>0</v>
      </c>
      <c r="CZ1156" s="1898">
        <f t="shared" si="1214"/>
        <v>0</v>
      </c>
      <c r="DA1156" s="1898">
        <f t="shared" si="1215"/>
        <v>0</v>
      </c>
      <c r="DB1156" s="1898">
        <f t="shared" si="1216"/>
        <v>0</v>
      </c>
      <c r="DC1156" s="1898">
        <f t="shared" si="1217"/>
        <v>0</v>
      </c>
    </row>
    <row r="1157" spans="1:107" x14ac:dyDescent="0.2">
      <c r="A1157" s="1971" t="str">
        <f t="shared" si="1132"/>
        <v>Trigo pastoreo</v>
      </c>
      <c r="B1157" s="1906">
        <f t="shared" ref="B1157:M1157" si="1252">SUMIF(C$1054:C$1120,"feb"&amp;$B1013,C$983:C$1049)</f>
        <v>0</v>
      </c>
      <c r="C1157" s="1906">
        <f t="shared" si="1252"/>
        <v>0</v>
      </c>
      <c r="D1157" s="1906">
        <f t="shared" si="1252"/>
        <v>0</v>
      </c>
      <c r="E1157" s="1906">
        <f t="shared" si="1252"/>
        <v>0</v>
      </c>
      <c r="F1157" s="1906">
        <f t="shared" si="1252"/>
        <v>0</v>
      </c>
      <c r="G1157" s="1906">
        <f t="shared" si="1252"/>
        <v>0</v>
      </c>
      <c r="H1157" s="1906">
        <f t="shared" si="1252"/>
        <v>0</v>
      </c>
      <c r="I1157" s="1906">
        <f t="shared" si="1134"/>
        <v>0</v>
      </c>
      <c r="J1157" s="1906">
        <f t="shared" si="1252"/>
        <v>0</v>
      </c>
      <c r="K1157" s="1906">
        <f t="shared" si="1252"/>
        <v>0</v>
      </c>
      <c r="L1157" s="1906">
        <f t="shared" si="1252"/>
        <v>0</v>
      </c>
      <c r="M1157" s="1906">
        <f t="shared" si="1252"/>
        <v>0</v>
      </c>
      <c r="N1157" s="107"/>
      <c r="O1157" s="1906"/>
      <c r="P1157" s="1906">
        <f t="shared" si="1135"/>
        <v>0</v>
      </c>
      <c r="Q1157" s="1906">
        <f t="shared" si="1136"/>
        <v>0</v>
      </c>
      <c r="R1157" s="1906">
        <f t="shared" si="1137"/>
        <v>0</v>
      </c>
      <c r="S1157" s="1906">
        <f t="shared" si="1138"/>
        <v>0</v>
      </c>
      <c r="T1157" s="1906">
        <f t="shared" si="1139"/>
        <v>0</v>
      </c>
      <c r="U1157" s="1906">
        <f t="shared" si="1140"/>
        <v>0</v>
      </c>
      <c r="V1157" s="1906">
        <f t="shared" si="1141"/>
        <v>0</v>
      </c>
      <c r="W1157" s="1906">
        <f t="shared" si="1142"/>
        <v>0</v>
      </c>
      <c r="X1157" s="1906">
        <f t="shared" si="1143"/>
        <v>0</v>
      </c>
      <c r="Y1157" s="1906">
        <f t="shared" si="1144"/>
        <v>0</v>
      </c>
      <c r="Z1157" s="1906">
        <f t="shared" si="1145"/>
        <v>0</v>
      </c>
      <c r="AA1157" s="107"/>
      <c r="AB1157" s="1906">
        <f t="shared" si="1146"/>
        <v>0</v>
      </c>
      <c r="AC1157" s="1906">
        <f t="shared" si="1147"/>
        <v>0</v>
      </c>
      <c r="AD1157" s="1906">
        <f t="shared" si="1148"/>
        <v>0</v>
      </c>
      <c r="AE1157" s="1906">
        <f t="shared" si="1149"/>
        <v>0</v>
      </c>
      <c r="AF1157" s="1906">
        <f t="shared" si="1150"/>
        <v>0</v>
      </c>
      <c r="AG1157" s="1906">
        <f t="shared" si="1151"/>
        <v>0</v>
      </c>
      <c r="AH1157" s="1906">
        <f t="shared" si="1152"/>
        <v>0</v>
      </c>
      <c r="AI1157" s="1906">
        <f t="shared" si="1153"/>
        <v>0</v>
      </c>
      <c r="AJ1157" s="1906">
        <f t="shared" si="1154"/>
        <v>0</v>
      </c>
      <c r="AK1157" s="1906">
        <f t="shared" si="1155"/>
        <v>0</v>
      </c>
      <c r="AL1157" s="1906">
        <f t="shared" si="1156"/>
        <v>0</v>
      </c>
      <c r="AM1157" s="1906">
        <f t="shared" si="1157"/>
        <v>0</v>
      </c>
      <c r="AN1157" s="107"/>
      <c r="AO1157" s="1906">
        <f t="shared" si="1158"/>
        <v>0</v>
      </c>
      <c r="AP1157" s="1906">
        <f t="shared" si="1159"/>
        <v>0</v>
      </c>
      <c r="AQ1157" s="1906">
        <f t="shared" si="1160"/>
        <v>0</v>
      </c>
      <c r="AR1157" s="1906">
        <f t="shared" si="1161"/>
        <v>0</v>
      </c>
      <c r="AS1157" s="1906">
        <f t="shared" si="1162"/>
        <v>0</v>
      </c>
      <c r="AT1157" s="1906">
        <f t="shared" si="1163"/>
        <v>0</v>
      </c>
      <c r="AU1157" s="1906">
        <f t="shared" si="1164"/>
        <v>0</v>
      </c>
      <c r="AV1157" s="1906">
        <f t="shared" si="1165"/>
        <v>0</v>
      </c>
      <c r="AW1157" s="1906">
        <f t="shared" si="1166"/>
        <v>0</v>
      </c>
      <c r="AX1157" s="1906">
        <f t="shared" si="1167"/>
        <v>0</v>
      </c>
      <c r="AY1157" s="1906">
        <f t="shared" si="1168"/>
        <v>0</v>
      </c>
      <c r="AZ1157" s="1906">
        <f t="shared" si="1169"/>
        <v>0</v>
      </c>
      <c r="BA1157" s="107"/>
      <c r="BB1157" s="1906">
        <f t="shared" si="1170"/>
        <v>0</v>
      </c>
      <c r="BC1157" s="1906">
        <f t="shared" si="1171"/>
        <v>0</v>
      </c>
      <c r="BD1157" s="1906">
        <f t="shared" si="1172"/>
        <v>0</v>
      </c>
      <c r="BE1157" s="1906">
        <f t="shared" si="1173"/>
        <v>0</v>
      </c>
      <c r="BF1157" s="1906">
        <f t="shared" si="1174"/>
        <v>0</v>
      </c>
      <c r="BG1157" s="1906">
        <f t="shared" si="1175"/>
        <v>0</v>
      </c>
      <c r="BH1157" s="1906">
        <f t="shared" si="1176"/>
        <v>0</v>
      </c>
      <c r="BI1157" s="1906">
        <f t="shared" si="1177"/>
        <v>0</v>
      </c>
      <c r="BJ1157" s="1906">
        <f t="shared" si="1178"/>
        <v>0</v>
      </c>
      <c r="BK1157" s="1906">
        <f t="shared" si="1179"/>
        <v>0</v>
      </c>
      <c r="BL1157" s="1906">
        <f t="shared" si="1180"/>
        <v>0</v>
      </c>
      <c r="BM1157" s="1906">
        <f t="shared" si="1181"/>
        <v>0</v>
      </c>
      <c r="BN1157" s="107"/>
      <c r="BO1157" s="1906">
        <f t="shared" si="1182"/>
        <v>0</v>
      </c>
      <c r="BP1157" s="1906">
        <f t="shared" si="1183"/>
        <v>0</v>
      </c>
      <c r="BQ1157" s="1906">
        <f t="shared" si="1184"/>
        <v>0</v>
      </c>
      <c r="BR1157" s="1906">
        <f t="shared" si="1185"/>
        <v>0</v>
      </c>
      <c r="BS1157" s="1906">
        <f t="shared" si="1186"/>
        <v>0</v>
      </c>
      <c r="BT1157" s="1906">
        <f t="shared" si="1187"/>
        <v>0</v>
      </c>
      <c r="BU1157" s="1906">
        <f t="shared" si="1188"/>
        <v>0</v>
      </c>
      <c r="BV1157" s="1906">
        <f t="shared" si="1189"/>
        <v>0</v>
      </c>
      <c r="BW1157" s="1906">
        <f t="shared" si="1190"/>
        <v>0</v>
      </c>
      <c r="BX1157" s="1906">
        <f t="shared" si="1191"/>
        <v>0</v>
      </c>
      <c r="BY1157" s="1906">
        <f t="shared" si="1192"/>
        <v>0</v>
      </c>
      <c r="BZ1157" s="1906">
        <f t="shared" si="1193"/>
        <v>0</v>
      </c>
      <c r="CA1157" s="1971" t="str">
        <f t="shared" si="1194"/>
        <v>Trigo pastoreo</v>
      </c>
      <c r="CB1157" s="1906">
        <f t="shared" si="1195"/>
        <v>0</v>
      </c>
      <c r="CC1157" s="1906">
        <f t="shared" si="1196"/>
        <v>0</v>
      </c>
      <c r="CD1157" s="1906">
        <f t="shared" si="1197"/>
        <v>0</v>
      </c>
      <c r="CE1157" s="1906">
        <f t="shared" si="1198"/>
        <v>0</v>
      </c>
      <c r="CF1157" s="1906">
        <f t="shared" si="1199"/>
        <v>0</v>
      </c>
      <c r="CG1157" s="1906">
        <f t="shared" si="1200"/>
        <v>0</v>
      </c>
      <c r="CH1157" s="1906">
        <f t="shared" si="1201"/>
        <v>0</v>
      </c>
      <c r="CI1157" s="1906">
        <f t="shared" si="1202"/>
        <v>0</v>
      </c>
      <c r="CJ1157" s="1906">
        <f t="shared" si="1225"/>
        <v>0</v>
      </c>
      <c r="CK1157" s="1906">
        <f t="shared" si="1226"/>
        <v>0</v>
      </c>
      <c r="CL1157" s="1906">
        <f t="shared" si="1227"/>
        <v>0</v>
      </c>
      <c r="CM1157" s="1906">
        <f t="shared" si="1228"/>
        <v>0</v>
      </c>
      <c r="CN1157" s="595" t="str">
        <f t="shared" si="1204"/>
        <v>Trigo pastoreo</v>
      </c>
      <c r="CO1157" s="1443">
        <f t="shared" si="1219"/>
        <v>0</v>
      </c>
      <c r="CQ1157" s="108" t="str">
        <f t="shared" si="1205"/>
        <v>Trigo pastoreo</v>
      </c>
      <c r="CR1157" s="1898">
        <f t="shared" si="1206"/>
        <v>0</v>
      </c>
      <c r="CS1157" s="1898">
        <f t="shared" si="1207"/>
        <v>0</v>
      </c>
      <c r="CT1157" s="1898">
        <f t="shared" si="1208"/>
        <v>0</v>
      </c>
      <c r="CU1157" s="1898">
        <f t="shared" si="1209"/>
        <v>0</v>
      </c>
      <c r="CV1157" s="1898">
        <f t="shared" si="1210"/>
        <v>0</v>
      </c>
      <c r="CW1157" s="1898">
        <f t="shared" si="1211"/>
        <v>0</v>
      </c>
      <c r="CX1157" s="1898">
        <f t="shared" si="1212"/>
        <v>0</v>
      </c>
      <c r="CY1157" s="1898">
        <f t="shared" si="1213"/>
        <v>0</v>
      </c>
      <c r="CZ1157" s="1898">
        <f t="shared" si="1214"/>
        <v>0</v>
      </c>
      <c r="DA1157" s="1898">
        <f t="shared" si="1215"/>
        <v>0</v>
      </c>
      <c r="DB1157" s="1898">
        <f t="shared" si="1216"/>
        <v>0</v>
      </c>
      <c r="DC1157" s="1898">
        <f t="shared" si="1217"/>
        <v>0</v>
      </c>
    </row>
    <row r="1158" spans="1:107" x14ac:dyDescent="0.2">
      <c r="A1158" s="1971" t="str">
        <f t="shared" si="1132"/>
        <v>Cebada pastoreo</v>
      </c>
      <c r="B1158" s="1906">
        <f t="shared" ref="B1158:M1158" si="1253">SUMIF(C$1054:C$1120,"feb"&amp;$B1014,C$983:C$1049)</f>
        <v>0</v>
      </c>
      <c r="C1158" s="1906">
        <f t="shared" si="1253"/>
        <v>0</v>
      </c>
      <c r="D1158" s="1906">
        <f t="shared" si="1253"/>
        <v>0</v>
      </c>
      <c r="E1158" s="1906">
        <f t="shared" si="1253"/>
        <v>0</v>
      </c>
      <c r="F1158" s="1906">
        <f t="shared" si="1253"/>
        <v>0</v>
      </c>
      <c r="G1158" s="1906">
        <f t="shared" si="1253"/>
        <v>0</v>
      </c>
      <c r="H1158" s="1906">
        <f t="shared" si="1253"/>
        <v>0</v>
      </c>
      <c r="I1158" s="1906">
        <f t="shared" si="1134"/>
        <v>0</v>
      </c>
      <c r="J1158" s="1906">
        <f t="shared" si="1253"/>
        <v>0</v>
      </c>
      <c r="K1158" s="1906">
        <f t="shared" si="1253"/>
        <v>0</v>
      </c>
      <c r="L1158" s="1906">
        <f t="shared" si="1253"/>
        <v>0</v>
      </c>
      <c r="M1158" s="1906">
        <f t="shared" si="1253"/>
        <v>0</v>
      </c>
      <c r="N1158" s="107"/>
      <c r="O1158" s="1906"/>
      <c r="P1158" s="1906">
        <f t="shared" si="1135"/>
        <v>0</v>
      </c>
      <c r="Q1158" s="1906">
        <f t="shared" si="1136"/>
        <v>0</v>
      </c>
      <c r="R1158" s="1906">
        <f t="shared" si="1137"/>
        <v>0</v>
      </c>
      <c r="S1158" s="1906">
        <f t="shared" si="1138"/>
        <v>0</v>
      </c>
      <c r="T1158" s="1906">
        <f t="shared" si="1139"/>
        <v>0</v>
      </c>
      <c r="U1158" s="1906">
        <f t="shared" si="1140"/>
        <v>0</v>
      </c>
      <c r="V1158" s="1906">
        <f t="shared" si="1141"/>
        <v>0</v>
      </c>
      <c r="W1158" s="1906">
        <f t="shared" si="1142"/>
        <v>0</v>
      </c>
      <c r="X1158" s="1906">
        <f t="shared" si="1143"/>
        <v>0</v>
      </c>
      <c r="Y1158" s="1906">
        <f t="shared" si="1144"/>
        <v>0</v>
      </c>
      <c r="Z1158" s="1906">
        <f t="shared" si="1145"/>
        <v>0</v>
      </c>
      <c r="AA1158" s="107"/>
      <c r="AB1158" s="1906">
        <f t="shared" si="1146"/>
        <v>0</v>
      </c>
      <c r="AC1158" s="1906">
        <f t="shared" si="1147"/>
        <v>0</v>
      </c>
      <c r="AD1158" s="1906">
        <f t="shared" si="1148"/>
        <v>0</v>
      </c>
      <c r="AE1158" s="1906">
        <f t="shared" si="1149"/>
        <v>0</v>
      </c>
      <c r="AF1158" s="1906">
        <f t="shared" si="1150"/>
        <v>0</v>
      </c>
      <c r="AG1158" s="1906">
        <f t="shared" si="1151"/>
        <v>0</v>
      </c>
      <c r="AH1158" s="1906">
        <f t="shared" si="1152"/>
        <v>0</v>
      </c>
      <c r="AI1158" s="1906">
        <f t="shared" si="1153"/>
        <v>0</v>
      </c>
      <c r="AJ1158" s="1906">
        <f t="shared" si="1154"/>
        <v>0</v>
      </c>
      <c r="AK1158" s="1906">
        <f t="shared" si="1155"/>
        <v>0</v>
      </c>
      <c r="AL1158" s="1906">
        <f t="shared" si="1156"/>
        <v>0</v>
      </c>
      <c r="AM1158" s="1906">
        <f t="shared" si="1157"/>
        <v>0</v>
      </c>
      <c r="AN1158" s="107"/>
      <c r="AO1158" s="1906">
        <f t="shared" si="1158"/>
        <v>0</v>
      </c>
      <c r="AP1158" s="1906">
        <f t="shared" si="1159"/>
        <v>0</v>
      </c>
      <c r="AQ1158" s="1906">
        <f t="shared" si="1160"/>
        <v>0</v>
      </c>
      <c r="AR1158" s="1906">
        <f t="shared" si="1161"/>
        <v>0</v>
      </c>
      <c r="AS1158" s="1906">
        <f t="shared" si="1162"/>
        <v>0</v>
      </c>
      <c r="AT1158" s="1906">
        <f t="shared" si="1163"/>
        <v>0</v>
      </c>
      <c r="AU1158" s="1906">
        <f t="shared" si="1164"/>
        <v>0</v>
      </c>
      <c r="AV1158" s="1906">
        <f t="shared" si="1165"/>
        <v>0</v>
      </c>
      <c r="AW1158" s="1906">
        <f t="shared" si="1166"/>
        <v>0</v>
      </c>
      <c r="AX1158" s="1906">
        <f t="shared" si="1167"/>
        <v>0</v>
      </c>
      <c r="AY1158" s="1906">
        <f t="shared" si="1168"/>
        <v>0</v>
      </c>
      <c r="AZ1158" s="1906">
        <f t="shared" si="1169"/>
        <v>0</v>
      </c>
      <c r="BA1158" s="107"/>
      <c r="BB1158" s="1906">
        <f t="shared" si="1170"/>
        <v>0</v>
      </c>
      <c r="BC1158" s="1906">
        <f t="shared" si="1171"/>
        <v>0</v>
      </c>
      <c r="BD1158" s="1906">
        <f t="shared" si="1172"/>
        <v>0</v>
      </c>
      <c r="BE1158" s="1906">
        <f t="shared" si="1173"/>
        <v>0</v>
      </c>
      <c r="BF1158" s="1906">
        <f t="shared" si="1174"/>
        <v>0</v>
      </c>
      <c r="BG1158" s="1906">
        <f t="shared" si="1175"/>
        <v>0</v>
      </c>
      <c r="BH1158" s="1906">
        <f t="shared" si="1176"/>
        <v>0</v>
      </c>
      <c r="BI1158" s="1906">
        <f t="shared" si="1177"/>
        <v>0</v>
      </c>
      <c r="BJ1158" s="1906">
        <f t="shared" si="1178"/>
        <v>0</v>
      </c>
      <c r="BK1158" s="1906">
        <f t="shared" si="1179"/>
        <v>0</v>
      </c>
      <c r="BL1158" s="1906">
        <f t="shared" si="1180"/>
        <v>0</v>
      </c>
      <c r="BM1158" s="1906">
        <f t="shared" si="1181"/>
        <v>0</v>
      </c>
      <c r="BN1158" s="107"/>
      <c r="BO1158" s="1906">
        <f t="shared" si="1182"/>
        <v>0</v>
      </c>
      <c r="BP1158" s="1906">
        <f t="shared" si="1183"/>
        <v>0</v>
      </c>
      <c r="BQ1158" s="1906">
        <f t="shared" si="1184"/>
        <v>0</v>
      </c>
      <c r="BR1158" s="1906">
        <f t="shared" si="1185"/>
        <v>0</v>
      </c>
      <c r="BS1158" s="1906">
        <f t="shared" si="1186"/>
        <v>0</v>
      </c>
      <c r="BT1158" s="1906">
        <f t="shared" si="1187"/>
        <v>0</v>
      </c>
      <c r="BU1158" s="1906">
        <f t="shared" si="1188"/>
        <v>0</v>
      </c>
      <c r="BV1158" s="1906">
        <f t="shared" si="1189"/>
        <v>0</v>
      </c>
      <c r="BW1158" s="1906">
        <f t="shared" si="1190"/>
        <v>0</v>
      </c>
      <c r="BX1158" s="1906">
        <f t="shared" si="1191"/>
        <v>0</v>
      </c>
      <c r="BY1158" s="1906">
        <f t="shared" si="1192"/>
        <v>0</v>
      </c>
      <c r="BZ1158" s="1906">
        <f t="shared" si="1193"/>
        <v>0</v>
      </c>
      <c r="CA1158" s="1971" t="str">
        <f t="shared" si="1194"/>
        <v>Cebada pastoreo</v>
      </c>
      <c r="CB1158" s="1906">
        <f t="shared" si="1195"/>
        <v>0</v>
      </c>
      <c r="CC1158" s="1906">
        <f t="shared" si="1196"/>
        <v>0</v>
      </c>
      <c r="CD1158" s="1906">
        <f t="shared" si="1197"/>
        <v>0</v>
      </c>
      <c r="CE1158" s="1906">
        <f t="shared" si="1198"/>
        <v>0</v>
      </c>
      <c r="CF1158" s="1906">
        <f t="shared" si="1199"/>
        <v>0</v>
      </c>
      <c r="CG1158" s="1906">
        <f t="shared" si="1200"/>
        <v>0</v>
      </c>
      <c r="CH1158" s="1906">
        <f t="shared" si="1201"/>
        <v>0</v>
      </c>
      <c r="CI1158" s="1906">
        <f t="shared" si="1202"/>
        <v>0</v>
      </c>
      <c r="CJ1158" s="1906">
        <f t="shared" si="1225"/>
        <v>0</v>
      </c>
      <c r="CK1158" s="1906">
        <f t="shared" si="1226"/>
        <v>0</v>
      </c>
      <c r="CL1158" s="1906">
        <f t="shared" si="1227"/>
        <v>0</v>
      </c>
      <c r="CM1158" s="1906">
        <f t="shared" si="1228"/>
        <v>0</v>
      </c>
      <c r="CN1158" s="595" t="str">
        <f t="shared" si="1204"/>
        <v>Cebada pastoreo</v>
      </c>
      <c r="CO1158" s="1443">
        <f t="shared" si="1219"/>
        <v>0</v>
      </c>
      <c r="CQ1158" s="108" t="str">
        <f t="shared" si="1205"/>
        <v>Cebada pastoreo</v>
      </c>
      <c r="CR1158" s="1898">
        <f t="shared" si="1206"/>
        <v>0</v>
      </c>
      <c r="CS1158" s="1898">
        <f t="shared" si="1207"/>
        <v>0</v>
      </c>
      <c r="CT1158" s="1898">
        <f t="shared" si="1208"/>
        <v>0</v>
      </c>
      <c r="CU1158" s="1898">
        <f t="shared" si="1209"/>
        <v>0</v>
      </c>
      <c r="CV1158" s="1898">
        <f t="shared" si="1210"/>
        <v>0</v>
      </c>
      <c r="CW1158" s="1898">
        <f t="shared" si="1211"/>
        <v>0</v>
      </c>
      <c r="CX1158" s="1898">
        <f t="shared" si="1212"/>
        <v>0</v>
      </c>
      <c r="CY1158" s="1898">
        <f t="shared" si="1213"/>
        <v>0</v>
      </c>
      <c r="CZ1158" s="1898">
        <f t="shared" si="1214"/>
        <v>0</v>
      </c>
      <c r="DA1158" s="1898">
        <f t="shared" si="1215"/>
        <v>0</v>
      </c>
      <c r="DB1158" s="1898">
        <f t="shared" si="1216"/>
        <v>0</v>
      </c>
      <c r="DC1158" s="1898">
        <f t="shared" si="1217"/>
        <v>0</v>
      </c>
    </row>
    <row r="1159" spans="1:107" x14ac:dyDescent="0.2">
      <c r="A1159" s="1971" t="str">
        <f t="shared" ref="A1159:A1194" si="1254">+CA1159</f>
        <v>InterS. Rg</v>
      </c>
      <c r="B1159" s="1906">
        <f t="shared" ref="B1159:M1159" si="1255">SUMIF(C$1054:C$1120,"feb"&amp;$B1015,C$983:C$1049)</f>
        <v>0</v>
      </c>
      <c r="C1159" s="1906">
        <f t="shared" si="1255"/>
        <v>0</v>
      </c>
      <c r="D1159" s="1906">
        <f t="shared" si="1255"/>
        <v>0</v>
      </c>
      <c r="E1159" s="1906">
        <f t="shared" si="1255"/>
        <v>0</v>
      </c>
      <c r="F1159" s="1906">
        <f t="shared" si="1255"/>
        <v>0</v>
      </c>
      <c r="G1159" s="1906">
        <f t="shared" si="1255"/>
        <v>0</v>
      </c>
      <c r="H1159" s="1906">
        <f t="shared" si="1255"/>
        <v>0</v>
      </c>
      <c r="I1159" s="1906">
        <f t="shared" si="1255"/>
        <v>0</v>
      </c>
      <c r="J1159" s="1906">
        <f t="shared" si="1255"/>
        <v>0</v>
      </c>
      <c r="K1159" s="1906">
        <f t="shared" si="1255"/>
        <v>0</v>
      </c>
      <c r="L1159" s="1906">
        <f t="shared" si="1255"/>
        <v>0</v>
      </c>
      <c r="M1159" s="1906">
        <f t="shared" si="1255"/>
        <v>0</v>
      </c>
      <c r="N1159" s="107"/>
      <c r="O1159" s="1906"/>
      <c r="P1159" s="1906">
        <f t="shared" ref="P1159:P1190" si="1256">SUMIF(D$1054:D$1120,"mar"&amp;$B1015,D$983:D$1049)</f>
        <v>0</v>
      </c>
      <c r="Q1159" s="1906">
        <f t="shared" ref="Q1159:Q1190" si="1257">SUMIF(E$1054:E$1120,"mar"&amp;$B1015,E$983:E$1049)</f>
        <v>0</v>
      </c>
      <c r="R1159" s="1906">
        <f t="shared" ref="R1159:R1190" si="1258">SUMIF(F$1054:F$1120,"mar"&amp;$B1015,F$983:F$1049)</f>
        <v>0</v>
      </c>
      <c r="S1159" s="1906">
        <f t="shared" ref="S1159:S1190" si="1259">SUMIF(G$1054:G$1120,"mar"&amp;$B1015,G$983:G$1049)</f>
        <v>0</v>
      </c>
      <c r="T1159" s="1906">
        <f t="shared" ref="T1159:T1190" si="1260">SUMIF(H$1054:H$1120,"mar"&amp;$B1015,H$983:H$1049)</f>
        <v>0</v>
      </c>
      <c r="U1159" s="1906">
        <f t="shared" ref="U1159:U1190" si="1261">SUMIF(I$1054:I$1120,"mar"&amp;$B1015,I$983:I$1049)</f>
        <v>0</v>
      </c>
      <c r="V1159" s="1906">
        <f t="shared" ref="V1159:V1190" si="1262">SUMIF(J$1054:J$1120,"mar"&amp;$B1015,J$983:J$1049)</f>
        <v>0</v>
      </c>
      <c r="W1159" s="1906">
        <f t="shared" ref="W1159:W1190" si="1263">SUMIF(K$1054:K$1120,"mar"&amp;$B1015,K$983:K$1049)</f>
        <v>0</v>
      </c>
      <c r="X1159" s="1906">
        <f t="shared" ref="X1159:X1190" si="1264">SUMIF(L$1054:L$1120,"mar"&amp;$B1015,L$983:L$1049)</f>
        <v>0</v>
      </c>
      <c r="Y1159" s="1906">
        <f t="shared" ref="Y1159:Y1190" si="1265">SUMIF(M$1054:M$1120,"mar"&amp;$B1015,M$983:M$1049)</f>
        <v>0</v>
      </c>
      <c r="Z1159" s="1906">
        <f t="shared" ref="Z1159:Z1190" si="1266">SUMIF(N$1054:N$1120,"mar"&amp;$B1015,N$983:N$1049)</f>
        <v>0</v>
      </c>
      <c r="AA1159" s="107"/>
      <c r="AB1159" s="1906">
        <f t="shared" ref="AB1159:AB1190" si="1267">SUMIF(C$1054:C$1120,"abr"&amp;$B1015,C$983:C$1049)</f>
        <v>0</v>
      </c>
      <c r="AC1159" s="1906">
        <f t="shared" ref="AC1159:AC1190" si="1268">SUMIF(D$1054:D$1120,"abr"&amp;$B1015,D$983:D$1049)</f>
        <v>0</v>
      </c>
      <c r="AD1159" s="1906">
        <f t="shared" ref="AD1159:AD1190" si="1269">SUMIF(E$1054:E$1120,"abr"&amp;$B1015,E$983:E$1049)</f>
        <v>0</v>
      </c>
      <c r="AE1159" s="1906">
        <f t="shared" ref="AE1159:AE1190" si="1270">SUMIF(F$1054:F$1120,"abr"&amp;$B1015,F$983:F$1049)</f>
        <v>0</v>
      </c>
      <c r="AF1159" s="1906">
        <f t="shared" ref="AF1159:AF1190" si="1271">SUMIF(G$1054:G$1120,"abr"&amp;$B1015,G$983:G$1049)</f>
        <v>0</v>
      </c>
      <c r="AG1159" s="1906">
        <f t="shared" ref="AG1159:AG1190" si="1272">SUMIF(H$1054:H$1120,"abr"&amp;$B1015,H$983:H$1049)</f>
        <v>0</v>
      </c>
      <c r="AH1159" s="1906">
        <f t="shared" ref="AH1159:AH1190" si="1273">SUMIF(I$1054:I$1120,"abr"&amp;$B1015,I$983:I$1049)</f>
        <v>0</v>
      </c>
      <c r="AI1159" s="1906">
        <f t="shared" ref="AI1159:AI1190" si="1274">SUMIF(J$1054:J$1120,"abr"&amp;$B1015,J$983:J$1049)</f>
        <v>0</v>
      </c>
      <c r="AJ1159" s="1906">
        <f t="shared" ref="AJ1159:AJ1190" si="1275">SUMIF(K$1054:K$1120,"abr"&amp;$B1015,K$983:K$1049)</f>
        <v>0</v>
      </c>
      <c r="AK1159" s="1906">
        <f t="shared" ref="AK1159:AK1190" si="1276">SUMIF(L$1054:L$1120,"abr"&amp;$B1015,L$983:L$1049)</f>
        <v>0</v>
      </c>
      <c r="AL1159" s="1906">
        <f t="shared" ref="AL1159:AL1190" si="1277">SUMIF(M$1054:M$1120,"abr"&amp;$B1015,M$983:M$1049)</f>
        <v>0</v>
      </c>
      <c r="AM1159" s="1906">
        <f t="shared" ref="AM1159:AM1190" si="1278">SUMIF(N$1054:N$1120,"abr"&amp;$B1015,N$983:N$1049)</f>
        <v>0</v>
      </c>
      <c r="AN1159" s="107"/>
      <c r="AO1159" s="1906">
        <f t="shared" ref="AO1159:AO1190" si="1279">SUMIF(C$1054:C$1120,"may"&amp;$B1015,C$983:C$1049)</f>
        <v>0</v>
      </c>
      <c r="AP1159" s="1906">
        <f t="shared" ref="AP1159:AP1190" si="1280">SUMIF(D$1054:D$1120,"may"&amp;$B1015,D$983:D$1049)</f>
        <v>0</v>
      </c>
      <c r="AQ1159" s="1906">
        <f t="shared" ref="AQ1159:AQ1190" si="1281">SUMIF(E$1054:E$1120,"may"&amp;$B1015,E$983:E$1049)</f>
        <v>0</v>
      </c>
      <c r="AR1159" s="1906">
        <f t="shared" ref="AR1159:AR1190" si="1282">SUMIF(F$1054:F$1120,"may"&amp;$B1015,F$983:F$1049)</f>
        <v>0</v>
      </c>
      <c r="AS1159" s="1906">
        <f t="shared" ref="AS1159:AS1190" si="1283">SUMIF(G$1054:G$1120,"may"&amp;$B1015,G$983:G$1049)</f>
        <v>0</v>
      </c>
      <c r="AT1159" s="1906">
        <f t="shared" ref="AT1159:AT1190" si="1284">SUMIF(H$1054:H$1120,"may"&amp;$B1015,H$983:H$1049)</f>
        <v>0</v>
      </c>
      <c r="AU1159" s="1906">
        <f t="shared" ref="AU1159:AU1190" si="1285">SUMIF(I$1054:I$1120,"may"&amp;$B1015,I$983:I$1049)</f>
        <v>0</v>
      </c>
      <c r="AV1159" s="1906">
        <f t="shared" ref="AV1159:AV1190" si="1286">SUMIF(J$1054:J$1120,"may"&amp;$B1015,J$983:J$1049)</f>
        <v>0</v>
      </c>
      <c r="AW1159" s="1906">
        <f t="shared" ref="AW1159:AW1190" si="1287">SUMIF(K$1054:K$1120,"may"&amp;$B1015,K$983:K$1049)</f>
        <v>0</v>
      </c>
      <c r="AX1159" s="1906">
        <f t="shared" ref="AX1159:AX1190" si="1288">SUMIF(L$1054:L$1120,"may"&amp;$B1015,L$983:L$1049)</f>
        <v>0</v>
      </c>
      <c r="AY1159" s="1906">
        <f t="shared" ref="AY1159:AY1190" si="1289">SUMIF(M$1054:M$1120,"may"&amp;$B1015,M$983:M$1049)</f>
        <v>0</v>
      </c>
      <c r="AZ1159" s="1906">
        <f t="shared" ref="AZ1159:AZ1190" si="1290">SUMIF(N$1054:N$1120,"may"&amp;$B1015,N$983:N$1049)</f>
        <v>0</v>
      </c>
      <c r="BA1159" s="107"/>
      <c r="BB1159" s="1906">
        <f t="shared" ref="BB1159:BB1190" si="1291">SUMIF(C$1054:C$1120,"jun"&amp;$B1015,C$983:C$1049)</f>
        <v>0</v>
      </c>
      <c r="BC1159" s="1906">
        <f t="shared" ref="BC1159:BC1190" si="1292">SUMIF(D$1054:D$1120,"jun"&amp;$B1015,D$983:D$1049)</f>
        <v>0</v>
      </c>
      <c r="BD1159" s="1906">
        <f t="shared" ref="BD1159:BD1190" si="1293">SUMIF(E$1054:E$1120,"jun"&amp;$B1015,E$983:E$1049)</f>
        <v>0</v>
      </c>
      <c r="BE1159" s="1906">
        <f t="shared" ref="BE1159:BE1190" si="1294">SUMIF(F$1054:F$1120,"jun"&amp;$B1015,F$983:F$1049)</f>
        <v>0</v>
      </c>
      <c r="BF1159" s="1906">
        <f t="shared" ref="BF1159:BF1190" si="1295">SUMIF(G$1054:G$1120,"jun"&amp;$B1015,G$983:G$1049)</f>
        <v>0</v>
      </c>
      <c r="BG1159" s="1906">
        <f t="shared" ref="BG1159:BG1190" si="1296">SUMIF(H$1054:H$1120,"jun"&amp;$B1015,H$983:H$1049)</f>
        <v>0</v>
      </c>
      <c r="BH1159" s="1906">
        <f t="shared" ref="BH1159:BH1190" si="1297">SUMIF(I$1054:I$1120,"jun"&amp;$B1015,I$983:I$1049)</f>
        <v>0</v>
      </c>
      <c r="BI1159" s="1906">
        <f t="shared" ref="BI1159:BI1190" si="1298">SUMIF(J$1054:J$1120,"jun"&amp;$B1015,J$983:J$1049)</f>
        <v>0</v>
      </c>
      <c r="BJ1159" s="1906">
        <f t="shared" ref="BJ1159:BJ1190" si="1299">SUMIF(K$1054:K$1120,"jun"&amp;$B1015,K$983:K$1049)</f>
        <v>0</v>
      </c>
      <c r="BK1159" s="1906">
        <f t="shared" ref="BK1159:BK1190" si="1300">SUMIF(L$1054:L$1120,"jun"&amp;$B1015,L$983:L$1049)</f>
        <v>0</v>
      </c>
      <c r="BL1159" s="1906">
        <f t="shared" ref="BL1159:BL1190" si="1301">SUMIF(M$1054:M$1120,"jun"&amp;$B1015,M$983:M$1049)</f>
        <v>0</v>
      </c>
      <c r="BM1159" s="1906">
        <f t="shared" ref="BM1159:BM1190" si="1302">SUMIF(N$1054:N$1120,"jun"&amp;$B1015,N$983:N$1049)</f>
        <v>0</v>
      </c>
      <c r="BN1159" s="107"/>
      <c r="BO1159" s="1906">
        <f t="shared" ref="BO1159:BO1190" si="1303">SUMIF(C$1054:C$1120,"jul"&amp;$B1015,C$983:C$1049)</f>
        <v>0</v>
      </c>
      <c r="BP1159" s="1906">
        <f t="shared" ref="BP1159:BP1190" si="1304">SUMIF(D$1054:D$1120,"jul"&amp;$B1015,D$983:D$1049)</f>
        <v>0</v>
      </c>
      <c r="BQ1159" s="1906">
        <f t="shared" ref="BQ1159:BQ1190" si="1305">SUMIF(E$1054:E$1120,"jul"&amp;$B1015,E$983:E$1049)</f>
        <v>0</v>
      </c>
      <c r="BR1159" s="1906">
        <f t="shared" ref="BR1159:BR1190" si="1306">SUMIF(F$1054:F$1120,"jul"&amp;$B1015,F$983:F$1049)</f>
        <v>0</v>
      </c>
      <c r="BS1159" s="1906">
        <f t="shared" ref="BS1159:BS1190" si="1307">SUMIF(G$1054:G$1120,"jul"&amp;$B1015,G$983:G$1049)</f>
        <v>0</v>
      </c>
      <c r="BT1159" s="1906">
        <f t="shared" ref="BT1159:BT1190" si="1308">SUMIF(H$1054:H$1120,"jul"&amp;$B1015,H$983:H$1049)</f>
        <v>0</v>
      </c>
      <c r="BU1159" s="1906">
        <f t="shared" ref="BU1159:BU1190" si="1309">SUMIF(I$1054:I$1120,"jul"&amp;$B1015,I$983:I$1049)</f>
        <v>0</v>
      </c>
      <c r="BV1159" s="1906">
        <f t="shared" ref="BV1159:BV1190" si="1310">SUMIF(J$1054:J$1120,"jul"&amp;$B1015,J$983:J$1049)</f>
        <v>0</v>
      </c>
      <c r="BW1159" s="1906">
        <f t="shared" ref="BW1159:BW1190" si="1311">SUMIF(K$1054:K$1120,"jul"&amp;$B1015,K$983:K$1049)</f>
        <v>0</v>
      </c>
      <c r="BX1159" s="1906">
        <f t="shared" ref="BX1159:BX1190" si="1312">SUMIF(L$1054:L$1120,"jul"&amp;$B1015,L$983:L$1049)</f>
        <v>0</v>
      </c>
      <c r="BY1159" s="1906">
        <f t="shared" ref="BY1159:BY1190" si="1313">SUMIF(M$1054:M$1120,"jul"&amp;$B1015,M$983:M$1049)</f>
        <v>0</v>
      </c>
      <c r="BZ1159" s="1906">
        <f t="shared" ref="BZ1159:BZ1190" si="1314">SUMIF(N$1054:N$1120,"jul"&amp;$B1015,N$983:N$1049)</f>
        <v>0</v>
      </c>
      <c r="CA1159" s="1971" t="str">
        <f t="shared" ref="CA1159:CA1190" si="1315">CO1086</f>
        <v>InterS. Rg</v>
      </c>
      <c r="CB1159" s="1906">
        <f t="shared" ref="CB1159:CB1194" si="1316">+B1159+O1159+AB1159+AO1159+BB1159+BO1159</f>
        <v>0</v>
      </c>
      <c r="CC1159" s="1906">
        <f t="shared" ref="CC1159:CC1194" si="1317">+C1159+P1159+AC1159+AP1159+BC1159+BP1159</f>
        <v>0</v>
      </c>
      <c r="CD1159" s="1906">
        <f t="shared" ref="CD1159:CD1194" si="1318">+D1159+Q1159+AD1159+AQ1159+BD1159+BQ1159</f>
        <v>0</v>
      </c>
      <c r="CE1159" s="1906">
        <f t="shared" ref="CE1159:CE1194" si="1319">+E1159+R1159+AE1159+AR1159+BE1159+BR1159</f>
        <v>0</v>
      </c>
      <c r="CF1159" s="1906">
        <f t="shared" ref="CF1159:CF1194" si="1320">+F1159+S1159+AF1159+AS1159+BF1159+BS1159</f>
        <v>0</v>
      </c>
      <c r="CG1159" s="1906">
        <f t="shared" ref="CG1159:CG1194" si="1321">+G1159+T1159+AG1159+AT1159+BG1159+BT1159</f>
        <v>0</v>
      </c>
      <c r="CH1159" s="1906">
        <f t="shared" ref="CH1159:CH1194" si="1322">+H1159+U1159+AH1159+AU1159+BH1159+BU1159</f>
        <v>0</v>
      </c>
      <c r="CI1159" s="1906">
        <f t="shared" ref="CI1159:CI1194" si="1323">+I1159+V1159+AI1159+AV1159+BI1159+BV1159</f>
        <v>0</v>
      </c>
      <c r="CJ1159" s="1906">
        <f t="shared" si="1225"/>
        <v>0</v>
      </c>
      <c r="CK1159" s="1906">
        <f t="shared" si="1226"/>
        <v>0</v>
      </c>
      <c r="CL1159" s="1906">
        <f t="shared" si="1227"/>
        <v>0</v>
      </c>
      <c r="CM1159" s="1906">
        <f t="shared" si="1228"/>
        <v>0</v>
      </c>
      <c r="CN1159" s="595" t="str">
        <f t="shared" ref="CN1159:CN1185" si="1324">CA1159</f>
        <v>InterS. Rg</v>
      </c>
      <c r="CO1159" s="1443">
        <f t="shared" si="1219"/>
        <v>0</v>
      </c>
      <c r="CQ1159" s="108" t="str">
        <f t="shared" ref="CQ1159:CQ1190" si="1325">DE1086</f>
        <v>InterS. Rg</v>
      </c>
      <c r="CR1159" s="1898">
        <f t="shared" ref="CR1159:CR1190" si="1326">CB1159+CC1307</f>
        <v>0</v>
      </c>
      <c r="CS1159" s="1898">
        <f t="shared" ref="CS1159:CS1190" si="1327">CC1159+CD1307</f>
        <v>0</v>
      </c>
      <c r="CT1159" s="1898">
        <f t="shared" ref="CT1159:CT1190" si="1328">CD1159+CE1307</f>
        <v>0</v>
      </c>
      <c r="CU1159" s="1898">
        <f t="shared" ref="CU1159:CU1190" si="1329">CE1159+CF1307</f>
        <v>0</v>
      </c>
      <c r="CV1159" s="1898">
        <f t="shared" ref="CV1159:CV1190" si="1330">CF1159+CG1307</f>
        <v>0</v>
      </c>
      <c r="CW1159" s="1898">
        <f t="shared" ref="CW1159:CW1190" si="1331">CG1159+CH1307</f>
        <v>0</v>
      </c>
      <c r="CX1159" s="1898">
        <f t="shared" ref="CX1159:CX1190" si="1332">CH1159+CI1307</f>
        <v>0</v>
      </c>
      <c r="CY1159" s="1898">
        <f t="shared" ref="CY1159:CY1190" si="1333">CI1159+CJ1307</f>
        <v>0</v>
      </c>
      <c r="CZ1159" s="1898">
        <f t="shared" ref="CZ1159:CZ1190" si="1334">CJ1159+CK1307</f>
        <v>0</v>
      </c>
      <c r="DA1159" s="1898">
        <f t="shared" ref="DA1159:DA1190" si="1335">CK1159+CL1307</f>
        <v>0</v>
      </c>
      <c r="DB1159" s="1898">
        <f t="shared" ref="DB1159:DB1190" si="1336">CL1159+CM1307</f>
        <v>0</v>
      </c>
      <c r="DC1159" s="1898">
        <f t="shared" ref="DC1159:DC1190" si="1337">CM1159+CN1307</f>
        <v>0</v>
      </c>
    </row>
    <row r="1160" spans="1:107" x14ac:dyDescent="0.2">
      <c r="A1160" s="1971">
        <f t="shared" si="1254"/>
        <v>0</v>
      </c>
      <c r="B1160" s="1906">
        <f t="shared" ref="B1160:M1160" si="1338">SUMIF(C$1054:C$1120,"feb"&amp;$B1016,C$983:C$1049)</f>
        <v>0</v>
      </c>
      <c r="C1160" s="1906">
        <f t="shared" si="1338"/>
        <v>0</v>
      </c>
      <c r="D1160" s="1906">
        <f t="shared" si="1338"/>
        <v>0</v>
      </c>
      <c r="E1160" s="1906">
        <f t="shared" si="1338"/>
        <v>0</v>
      </c>
      <c r="F1160" s="1906">
        <f t="shared" si="1338"/>
        <v>0</v>
      </c>
      <c r="G1160" s="1906">
        <f t="shared" si="1338"/>
        <v>0</v>
      </c>
      <c r="H1160" s="1906">
        <f t="shared" si="1338"/>
        <v>0</v>
      </c>
      <c r="I1160" s="1906">
        <f t="shared" si="1338"/>
        <v>0</v>
      </c>
      <c r="J1160" s="1906">
        <f t="shared" si="1338"/>
        <v>0</v>
      </c>
      <c r="K1160" s="1906">
        <f t="shared" si="1338"/>
        <v>0</v>
      </c>
      <c r="L1160" s="1906">
        <f t="shared" si="1338"/>
        <v>0</v>
      </c>
      <c r="M1160" s="1906">
        <f t="shared" si="1338"/>
        <v>0</v>
      </c>
      <c r="N1160" s="107"/>
      <c r="O1160" s="1906"/>
      <c r="P1160" s="1906">
        <f t="shared" si="1256"/>
        <v>0</v>
      </c>
      <c r="Q1160" s="1906">
        <f t="shared" si="1257"/>
        <v>0</v>
      </c>
      <c r="R1160" s="1906">
        <f t="shared" si="1258"/>
        <v>0</v>
      </c>
      <c r="S1160" s="1906">
        <f t="shared" si="1259"/>
        <v>0</v>
      </c>
      <c r="T1160" s="1906">
        <f t="shared" si="1260"/>
        <v>0</v>
      </c>
      <c r="U1160" s="1906">
        <f t="shared" si="1261"/>
        <v>0</v>
      </c>
      <c r="V1160" s="1906">
        <f t="shared" si="1262"/>
        <v>0</v>
      </c>
      <c r="W1160" s="1906">
        <f t="shared" si="1263"/>
        <v>0</v>
      </c>
      <c r="X1160" s="1906">
        <f t="shared" si="1264"/>
        <v>0</v>
      </c>
      <c r="Y1160" s="1906">
        <f t="shared" si="1265"/>
        <v>0</v>
      </c>
      <c r="Z1160" s="1906">
        <f t="shared" si="1266"/>
        <v>0</v>
      </c>
      <c r="AA1160" s="107"/>
      <c r="AB1160" s="1906">
        <f t="shared" si="1267"/>
        <v>0</v>
      </c>
      <c r="AC1160" s="1906">
        <f t="shared" si="1268"/>
        <v>0</v>
      </c>
      <c r="AD1160" s="1906">
        <f t="shared" si="1269"/>
        <v>0</v>
      </c>
      <c r="AE1160" s="1906">
        <f t="shared" si="1270"/>
        <v>0</v>
      </c>
      <c r="AF1160" s="1906">
        <f t="shared" si="1271"/>
        <v>0</v>
      </c>
      <c r="AG1160" s="1906">
        <f t="shared" si="1272"/>
        <v>0</v>
      </c>
      <c r="AH1160" s="1906">
        <f t="shared" si="1273"/>
        <v>0</v>
      </c>
      <c r="AI1160" s="1906">
        <f t="shared" si="1274"/>
        <v>0</v>
      </c>
      <c r="AJ1160" s="1906">
        <f t="shared" si="1275"/>
        <v>0</v>
      </c>
      <c r="AK1160" s="1906">
        <f t="shared" si="1276"/>
        <v>0</v>
      </c>
      <c r="AL1160" s="1906">
        <f t="shared" si="1277"/>
        <v>0</v>
      </c>
      <c r="AM1160" s="1906">
        <f t="shared" si="1278"/>
        <v>0</v>
      </c>
      <c r="AN1160" s="107"/>
      <c r="AO1160" s="1906">
        <f t="shared" si="1279"/>
        <v>0</v>
      </c>
      <c r="AP1160" s="1906">
        <f t="shared" si="1280"/>
        <v>0</v>
      </c>
      <c r="AQ1160" s="1906">
        <f t="shared" si="1281"/>
        <v>0</v>
      </c>
      <c r="AR1160" s="1906">
        <f t="shared" si="1282"/>
        <v>0</v>
      </c>
      <c r="AS1160" s="1906">
        <f t="shared" si="1283"/>
        <v>0</v>
      </c>
      <c r="AT1160" s="1906">
        <f t="shared" si="1284"/>
        <v>0</v>
      </c>
      <c r="AU1160" s="1906">
        <f t="shared" si="1285"/>
        <v>0</v>
      </c>
      <c r="AV1160" s="1906">
        <f t="shared" si="1286"/>
        <v>0</v>
      </c>
      <c r="AW1160" s="1906">
        <f t="shared" si="1287"/>
        <v>0</v>
      </c>
      <c r="AX1160" s="1906">
        <f t="shared" si="1288"/>
        <v>0</v>
      </c>
      <c r="AY1160" s="1906">
        <f t="shared" si="1289"/>
        <v>0</v>
      </c>
      <c r="AZ1160" s="1906">
        <f t="shared" si="1290"/>
        <v>0</v>
      </c>
      <c r="BA1160" s="107"/>
      <c r="BB1160" s="1906">
        <f t="shared" si="1291"/>
        <v>0</v>
      </c>
      <c r="BC1160" s="1906">
        <f t="shared" si="1292"/>
        <v>0</v>
      </c>
      <c r="BD1160" s="1906">
        <f t="shared" si="1293"/>
        <v>0</v>
      </c>
      <c r="BE1160" s="1906">
        <f t="shared" si="1294"/>
        <v>0</v>
      </c>
      <c r="BF1160" s="1906">
        <f t="shared" si="1295"/>
        <v>0</v>
      </c>
      <c r="BG1160" s="1906">
        <f t="shared" si="1296"/>
        <v>0</v>
      </c>
      <c r="BH1160" s="1906">
        <f t="shared" si="1297"/>
        <v>0</v>
      </c>
      <c r="BI1160" s="1906">
        <f t="shared" si="1298"/>
        <v>0</v>
      </c>
      <c r="BJ1160" s="1906">
        <f t="shared" si="1299"/>
        <v>0</v>
      </c>
      <c r="BK1160" s="1906">
        <f t="shared" si="1300"/>
        <v>0</v>
      </c>
      <c r="BL1160" s="1906">
        <f t="shared" si="1301"/>
        <v>0</v>
      </c>
      <c r="BM1160" s="1906">
        <f t="shared" si="1302"/>
        <v>0</v>
      </c>
      <c r="BN1160" s="107"/>
      <c r="BO1160" s="1906">
        <f t="shared" si="1303"/>
        <v>0</v>
      </c>
      <c r="BP1160" s="1906">
        <f t="shared" si="1304"/>
        <v>0</v>
      </c>
      <c r="BQ1160" s="1906">
        <f t="shared" si="1305"/>
        <v>0</v>
      </c>
      <c r="BR1160" s="1906">
        <f t="shared" si="1306"/>
        <v>0</v>
      </c>
      <c r="BS1160" s="1906">
        <f t="shared" si="1307"/>
        <v>0</v>
      </c>
      <c r="BT1160" s="1906">
        <f t="shared" si="1308"/>
        <v>0</v>
      </c>
      <c r="BU1160" s="1906">
        <f t="shared" si="1309"/>
        <v>0</v>
      </c>
      <c r="BV1160" s="1906">
        <f t="shared" si="1310"/>
        <v>0</v>
      </c>
      <c r="BW1160" s="1906">
        <f t="shared" si="1311"/>
        <v>0</v>
      </c>
      <c r="BX1160" s="1906">
        <f t="shared" si="1312"/>
        <v>0</v>
      </c>
      <c r="BY1160" s="1906">
        <f t="shared" si="1313"/>
        <v>0</v>
      </c>
      <c r="BZ1160" s="1906">
        <f t="shared" si="1314"/>
        <v>0</v>
      </c>
      <c r="CA1160" s="1971">
        <f t="shared" si="1315"/>
        <v>0</v>
      </c>
      <c r="CB1160" s="1906">
        <f t="shared" si="1316"/>
        <v>0</v>
      </c>
      <c r="CC1160" s="1906">
        <f t="shared" si="1317"/>
        <v>0</v>
      </c>
      <c r="CD1160" s="1906">
        <f t="shared" si="1318"/>
        <v>0</v>
      </c>
      <c r="CE1160" s="1906">
        <f t="shared" si="1319"/>
        <v>0</v>
      </c>
      <c r="CF1160" s="1906">
        <f t="shared" si="1320"/>
        <v>0</v>
      </c>
      <c r="CG1160" s="1906">
        <f t="shared" si="1321"/>
        <v>0</v>
      </c>
      <c r="CH1160" s="1906">
        <f t="shared" si="1322"/>
        <v>0</v>
      </c>
      <c r="CI1160" s="1906">
        <f t="shared" si="1323"/>
        <v>0</v>
      </c>
      <c r="CJ1160" s="1906">
        <f t="shared" si="1225"/>
        <v>0</v>
      </c>
      <c r="CK1160" s="1906">
        <f t="shared" si="1226"/>
        <v>0</v>
      </c>
      <c r="CL1160" s="1906">
        <f t="shared" si="1227"/>
        <v>0</v>
      </c>
      <c r="CM1160" s="1906">
        <f t="shared" si="1228"/>
        <v>0</v>
      </c>
      <c r="CN1160" s="595">
        <f t="shared" si="1324"/>
        <v>0</v>
      </c>
      <c r="CO1160" s="1443">
        <f t="shared" si="1219"/>
        <v>0</v>
      </c>
      <c r="CQ1160" s="108">
        <f t="shared" si="1325"/>
        <v>0</v>
      </c>
      <c r="CR1160" s="1898">
        <f t="shared" si="1326"/>
        <v>0</v>
      </c>
      <c r="CS1160" s="1898">
        <f t="shared" si="1327"/>
        <v>0</v>
      </c>
      <c r="CT1160" s="1898">
        <f t="shared" si="1328"/>
        <v>0</v>
      </c>
      <c r="CU1160" s="1898">
        <f t="shared" si="1329"/>
        <v>0</v>
      </c>
      <c r="CV1160" s="1898">
        <f t="shared" si="1330"/>
        <v>0</v>
      </c>
      <c r="CW1160" s="1898">
        <f t="shared" si="1331"/>
        <v>0</v>
      </c>
      <c r="CX1160" s="1898">
        <f t="shared" si="1332"/>
        <v>0</v>
      </c>
      <c r="CY1160" s="1898">
        <f t="shared" si="1333"/>
        <v>0</v>
      </c>
      <c r="CZ1160" s="1898">
        <f t="shared" si="1334"/>
        <v>0</v>
      </c>
      <c r="DA1160" s="1898">
        <f t="shared" si="1335"/>
        <v>0</v>
      </c>
      <c r="DB1160" s="1898">
        <f t="shared" si="1336"/>
        <v>0</v>
      </c>
      <c r="DC1160" s="1898">
        <f t="shared" si="1337"/>
        <v>0</v>
      </c>
    </row>
    <row r="1161" spans="1:107" x14ac:dyDescent="0.2">
      <c r="A1161" s="1971">
        <f t="shared" si="1254"/>
        <v>0</v>
      </c>
      <c r="B1161" s="1906">
        <f t="shared" ref="B1161:M1161" si="1339">SUMIF(C$1054:C$1120,"feb"&amp;$B1017,C$983:C$1049)</f>
        <v>0</v>
      </c>
      <c r="C1161" s="1906">
        <f t="shared" si="1339"/>
        <v>0</v>
      </c>
      <c r="D1161" s="1906">
        <f t="shared" si="1339"/>
        <v>0</v>
      </c>
      <c r="E1161" s="1906">
        <f t="shared" si="1339"/>
        <v>0</v>
      </c>
      <c r="F1161" s="1906">
        <f t="shared" si="1339"/>
        <v>0</v>
      </c>
      <c r="G1161" s="1906">
        <f t="shared" si="1339"/>
        <v>0</v>
      </c>
      <c r="H1161" s="1906">
        <f t="shared" si="1339"/>
        <v>0</v>
      </c>
      <c r="I1161" s="1906">
        <f t="shared" si="1339"/>
        <v>0</v>
      </c>
      <c r="J1161" s="1906">
        <f t="shared" si="1339"/>
        <v>0</v>
      </c>
      <c r="K1161" s="1906">
        <f t="shared" si="1339"/>
        <v>0</v>
      </c>
      <c r="L1161" s="1906">
        <f t="shared" si="1339"/>
        <v>0</v>
      </c>
      <c r="M1161" s="1906">
        <f t="shared" si="1339"/>
        <v>0</v>
      </c>
      <c r="N1161" s="107"/>
      <c r="O1161" s="1906"/>
      <c r="P1161" s="1906">
        <f t="shared" si="1256"/>
        <v>0</v>
      </c>
      <c r="Q1161" s="1906">
        <f t="shared" si="1257"/>
        <v>0</v>
      </c>
      <c r="R1161" s="1906">
        <f t="shared" si="1258"/>
        <v>0</v>
      </c>
      <c r="S1161" s="1906">
        <f t="shared" si="1259"/>
        <v>0</v>
      </c>
      <c r="T1161" s="1906">
        <f t="shared" si="1260"/>
        <v>0</v>
      </c>
      <c r="U1161" s="1906">
        <f t="shared" si="1261"/>
        <v>0</v>
      </c>
      <c r="V1161" s="1906">
        <f t="shared" si="1262"/>
        <v>0</v>
      </c>
      <c r="W1161" s="1906">
        <f t="shared" si="1263"/>
        <v>0</v>
      </c>
      <c r="X1161" s="1906">
        <f t="shared" si="1264"/>
        <v>0</v>
      </c>
      <c r="Y1161" s="1906">
        <f t="shared" si="1265"/>
        <v>0</v>
      </c>
      <c r="Z1161" s="1906">
        <f t="shared" si="1266"/>
        <v>0</v>
      </c>
      <c r="AA1161" s="107"/>
      <c r="AB1161" s="1906">
        <f t="shared" si="1267"/>
        <v>0</v>
      </c>
      <c r="AC1161" s="1906">
        <f t="shared" si="1268"/>
        <v>0</v>
      </c>
      <c r="AD1161" s="1906">
        <f t="shared" si="1269"/>
        <v>0</v>
      </c>
      <c r="AE1161" s="1906">
        <f t="shared" si="1270"/>
        <v>0</v>
      </c>
      <c r="AF1161" s="1906">
        <f t="shared" si="1271"/>
        <v>0</v>
      </c>
      <c r="AG1161" s="1906">
        <f t="shared" si="1272"/>
        <v>0</v>
      </c>
      <c r="AH1161" s="1906">
        <f t="shared" si="1273"/>
        <v>0</v>
      </c>
      <c r="AI1161" s="1906">
        <f t="shared" si="1274"/>
        <v>0</v>
      </c>
      <c r="AJ1161" s="1906">
        <f t="shared" si="1275"/>
        <v>0</v>
      </c>
      <c r="AK1161" s="1906">
        <f t="shared" si="1276"/>
        <v>0</v>
      </c>
      <c r="AL1161" s="1906">
        <f t="shared" si="1277"/>
        <v>0</v>
      </c>
      <c r="AM1161" s="1906">
        <f t="shared" si="1278"/>
        <v>0</v>
      </c>
      <c r="AN1161" s="107"/>
      <c r="AO1161" s="1906">
        <f t="shared" si="1279"/>
        <v>0</v>
      </c>
      <c r="AP1161" s="1906">
        <f t="shared" si="1280"/>
        <v>0</v>
      </c>
      <c r="AQ1161" s="1906">
        <f t="shared" si="1281"/>
        <v>0</v>
      </c>
      <c r="AR1161" s="1906">
        <f t="shared" si="1282"/>
        <v>0</v>
      </c>
      <c r="AS1161" s="1906">
        <f t="shared" si="1283"/>
        <v>0</v>
      </c>
      <c r="AT1161" s="1906">
        <f t="shared" si="1284"/>
        <v>0</v>
      </c>
      <c r="AU1161" s="1906">
        <f t="shared" si="1285"/>
        <v>0</v>
      </c>
      <c r="AV1161" s="1906">
        <f t="shared" si="1286"/>
        <v>0</v>
      </c>
      <c r="AW1161" s="1906">
        <f t="shared" si="1287"/>
        <v>0</v>
      </c>
      <c r="AX1161" s="1906">
        <f t="shared" si="1288"/>
        <v>0</v>
      </c>
      <c r="AY1161" s="1906">
        <f t="shared" si="1289"/>
        <v>0</v>
      </c>
      <c r="AZ1161" s="1906">
        <f t="shared" si="1290"/>
        <v>0</v>
      </c>
      <c r="BA1161" s="107"/>
      <c r="BB1161" s="1906">
        <f t="shared" si="1291"/>
        <v>0</v>
      </c>
      <c r="BC1161" s="1906">
        <f t="shared" si="1292"/>
        <v>0</v>
      </c>
      <c r="BD1161" s="1906">
        <f t="shared" si="1293"/>
        <v>0</v>
      </c>
      <c r="BE1161" s="1906">
        <f t="shared" si="1294"/>
        <v>0</v>
      </c>
      <c r="BF1161" s="1906">
        <f t="shared" si="1295"/>
        <v>0</v>
      </c>
      <c r="BG1161" s="1906">
        <f t="shared" si="1296"/>
        <v>0</v>
      </c>
      <c r="BH1161" s="1906">
        <f t="shared" si="1297"/>
        <v>0</v>
      </c>
      <c r="BI1161" s="1906">
        <f t="shared" si="1298"/>
        <v>0</v>
      </c>
      <c r="BJ1161" s="1906">
        <f t="shared" si="1299"/>
        <v>0</v>
      </c>
      <c r="BK1161" s="1906">
        <f t="shared" si="1300"/>
        <v>0</v>
      </c>
      <c r="BL1161" s="1906">
        <f t="shared" si="1301"/>
        <v>0</v>
      </c>
      <c r="BM1161" s="1906">
        <f t="shared" si="1302"/>
        <v>0</v>
      </c>
      <c r="BN1161" s="107"/>
      <c r="BO1161" s="1906">
        <f t="shared" si="1303"/>
        <v>0</v>
      </c>
      <c r="BP1161" s="1906">
        <f t="shared" si="1304"/>
        <v>0</v>
      </c>
      <c r="BQ1161" s="1906">
        <f t="shared" si="1305"/>
        <v>0</v>
      </c>
      <c r="BR1161" s="1906">
        <f t="shared" si="1306"/>
        <v>0</v>
      </c>
      <c r="BS1161" s="1906">
        <f t="shared" si="1307"/>
        <v>0</v>
      </c>
      <c r="BT1161" s="1906">
        <f t="shared" si="1308"/>
        <v>0</v>
      </c>
      <c r="BU1161" s="1906">
        <f t="shared" si="1309"/>
        <v>0</v>
      </c>
      <c r="BV1161" s="1906">
        <f t="shared" si="1310"/>
        <v>0</v>
      </c>
      <c r="BW1161" s="1906">
        <f t="shared" si="1311"/>
        <v>0</v>
      </c>
      <c r="BX1161" s="1906">
        <f t="shared" si="1312"/>
        <v>0</v>
      </c>
      <c r="BY1161" s="1906">
        <f t="shared" si="1313"/>
        <v>0</v>
      </c>
      <c r="BZ1161" s="1906">
        <f t="shared" si="1314"/>
        <v>0</v>
      </c>
      <c r="CA1161" s="1971">
        <f t="shared" si="1315"/>
        <v>0</v>
      </c>
      <c r="CB1161" s="1906">
        <f t="shared" si="1316"/>
        <v>0</v>
      </c>
      <c r="CC1161" s="1906">
        <f t="shared" si="1317"/>
        <v>0</v>
      </c>
      <c r="CD1161" s="1906">
        <f t="shared" si="1318"/>
        <v>0</v>
      </c>
      <c r="CE1161" s="1906">
        <f t="shared" si="1319"/>
        <v>0</v>
      </c>
      <c r="CF1161" s="1906">
        <f t="shared" si="1320"/>
        <v>0</v>
      </c>
      <c r="CG1161" s="1906">
        <f t="shared" si="1321"/>
        <v>0</v>
      </c>
      <c r="CH1161" s="1906">
        <f t="shared" si="1322"/>
        <v>0</v>
      </c>
      <c r="CI1161" s="1906">
        <f t="shared" si="1323"/>
        <v>0</v>
      </c>
      <c r="CJ1161" s="1906">
        <f t="shared" si="1225"/>
        <v>0</v>
      </c>
      <c r="CK1161" s="1906">
        <f t="shared" si="1226"/>
        <v>0</v>
      </c>
      <c r="CL1161" s="1906">
        <f t="shared" si="1227"/>
        <v>0</v>
      </c>
      <c r="CM1161" s="1906">
        <f t="shared" si="1228"/>
        <v>0</v>
      </c>
      <c r="CN1161" s="595">
        <f t="shared" si="1324"/>
        <v>0</v>
      </c>
      <c r="CO1161" s="1443">
        <f t="shared" si="1219"/>
        <v>0</v>
      </c>
      <c r="CQ1161" s="108">
        <f t="shared" si="1325"/>
        <v>0</v>
      </c>
      <c r="CR1161" s="1898">
        <f t="shared" si="1326"/>
        <v>0</v>
      </c>
      <c r="CS1161" s="1898">
        <f t="shared" si="1327"/>
        <v>0</v>
      </c>
      <c r="CT1161" s="1898">
        <f t="shared" si="1328"/>
        <v>0</v>
      </c>
      <c r="CU1161" s="1898">
        <f t="shared" si="1329"/>
        <v>0</v>
      </c>
      <c r="CV1161" s="1898">
        <f t="shared" si="1330"/>
        <v>0</v>
      </c>
      <c r="CW1161" s="1898">
        <f t="shared" si="1331"/>
        <v>0</v>
      </c>
      <c r="CX1161" s="1898">
        <f t="shared" si="1332"/>
        <v>0</v>
      </c>
      <c r="CY1161" s="1898">
        <f t="shared" si="1333"/>
        <v>0</v>
      </c>
      <c r="CZ1161" s="1898">
        <f t="shared" si="1334"/>
        <v>0</v>
      </c>
      <c r="DA1161" s="1898">
        <f t="shared" si="1335"/>
        <v>0</v>
      </c>
      <c r="DB1161" s="1898">
        <f t="shared" si="1336"/>
        <v>0</v>
      </c>
      <c r="DC1161" s="1898">
        <f t="shared" si="1337"/>
        <v>0</v>
      </c>
    </row>
    <row r="1162" spans="1:107" x14ac:dyDescent="0.2">
      <c r="A1162" s="1971" t="str">
        <f t="shared" si="1254"/>
        <v xml:space="preserve">Subtotal Verdeos de Invierno </v>
      </c>
      <c r="B1162" s="1906">
        <f t="shared" ref="B1162:M1162" si="1340">SUMIF(C$1054:C$1120,"feb"&amp;$B1018,C$983:C$1049)</f>
        <v>0</v>
      </c>
      <c r="C1162" s="1906">
        <f t="shared" si="1340"/>
        <v>0</v>
      </c>
      <c r="D1162" s="1906">
        <f t="shared" si="1340"/>
        <v>0</v>
      </c>
      <c r="E1162" s="1906">
        <f t="shared" si="1340"/>
        <v>0</v>
      </c>
      <c r="F1162" s="1906">
        <f t="shared" si="1340"/>
        <v>0</v>
      </c>
      <c r="G1162" s="1906">
        <f t="shared" si="1340"/>
        <v>0</v>
      </c>
      <c r="H1162" s="1906">
        <f t="shared" si="1340"/>
        <v>0</v>
      </c>
      <c r="I1162" s="1906">
        <f t="shared" si="1340"/>
        <v>0</v>
      </c>
      <c r="J1162" s="1906">
        <f t="shared" si="1340"/>
        <v>0</v>
      </c>
      <c r="K1162" s="1906">
        <f t="shared" si="1340"/>
        <v>0</v>
      </c>
      <c r="L1162" s="1906">
        <f t="shared" si="1340"/>
        <v>0</v>
      </c>
      <c r="M1162" s="1906">
        <f t="shared" si="1340"/>
        <v>0</v>
      </c>
      <c r="N1162" s="107"/>
      <c r="O1162" s="1906"/>
      <c r="P1162" s="1906">
        <f t="shared" si="1256"/>
        <v>0</v>
      </c>
      <c r="Q1162" s="1906">
        <f t="shared" si="1257"/>
        <v>0</v>
      </c>
      <c r="R1162" s="1906">
        <f t="shared" si="1258"/>
        <v>0</v>
      </c>
      <c r="S1162" s="1906">
        <f t="shared" si="1259"/>
        <v>0</v>
      </c>
      <c r="T1162" s="1906">
        <f t="shared" si="1260"/>
        <v>0</v>
      </c>
      <c r="U1162" s="1906">
        <f t="shared" si="1261"/>
        <v>0</v>
      </c>
      <c r="V1162" s="1906">
        <f t="shared" si="1262"/>
        <v>0</v>
      </c>
      <c r="W1162" s="1906">
        <f t="shared" si="1263"/>
        <v>0</v>
      </c>
      <c r="X1162" s="1906">
        <f t="shared" si="1264"/>
        <v>0</v>
      </c>
      <c r="Y1162" s="1906">
        <f t="shared" si="1265"/>
        <v>0</v>
      </c>
      <c r="Z1162" s="1906">
        <f t="shared" si="1266"/>
        <v>0</v>
      </c>
      <c r="AA1162" s="107"/>
      <c r="AB1162" s="1906">
        <f t="shared" si="1267"/>
        <v>0</v>
      </c>
      <c r="AC1162" s="1906">
        <f t="shared" si="1268"/>
        <v>0</v>
      </c>
      <c r="AD1162" s="1906">
        <f t="shared" si="1269"/>
        <v>0</v>
      </c>
      <c r="AE1162" s="1906">
        <f t="shared" si="1270"/>
        <v>0</v>
      </c>
      <c r="AF1162" s="1906">
        <f t="shared" si="1271"/>
        <v>0</v>
      </c>
      <c r="AG1162" s="1906">
        <f t="shared" si="1272"/>
        <v>0</v>
      </c>
      <c r="AH1162" s="1906">
        <f t="shared" si="1273"/>
        <v>0</v>
      </c>
      <c r="AI1162" s="1906">
        <f t="shared" si="1274"/>
        <v>0</v>
      </c>
      <c r="AJ1162" s="1906">
        <f t="shared" si="1275"/>
        <v>0</v>
      </c>
      <c r="AK1162" s="1906">
        <f t="shared" si="1276"/>
        <v>0</v>
      </c>
      <c r="AL1162" s="1906">
        <f t="shared" si="1277"/>
        <v>0</v>
      </c>
      <c r="AM1162" s="1906">
        <f t="shared" si="1278"/>
        <v>0</v>
      </c>
      <c r="AN1162" s="107"/>
      <c r="AO1162" s="1906">
        <f t="shared" si="1279"/>
        <v>0</v>
      </c>
      <c r="AP1162" s="1906">
        <f t="shared" si="1280"/>
        <v>0</v>
      </c>
      <c r="AQ1162" s="1906">
        <f t="shared" si="1281"/>
        <v>0</v>
      </c>
      <c r="AR1162" s="1906">
        <f t="shared" si="1282"/>
        <v>0</v>
      </c>
      <c r="AS1162" s="1906">
        <f t="shared" si="1283"/>
        <v>0</v>
      </c>
      <c r="AT1162" s="1906">
        <f t="shared" si="1284"/>
        <v>0</v>
      </c>
      <c r="AU1162" s="1906">
        <f t="shared" si="1285"/>
        <v>0</v>
      </c>
      <c r="AV1162" s="1906">
        <f t="shared" si="1286"/>
        <v>0</v>
      </c>
      <c r="AW1162" s="1906">
        <f t="shared" si="1287"/>
        <v>0</v>
      </c>
      <c r="AX1162" s="1906">
        <f t="shared" si="1288"/>
        <v>0</v>
      </c>
      <c r="AY1162" s="1906">
        <f t="shared" si="1289"/>
        <v>0</v>
      </c>
      <c r="AZ1162" s="1906">
        <f t="shared" si="1290"/>
        <v>0</v>
      </c>
      <c r="BA1162" s="107"/>
      <c r="BB1162" s="1906">
        <f t="shared" si="1291"/>
        <v>0</v>
      </c>
      <c r="BC1162" s="1906">
        <f t="shared" si="1292"/>
        <v>0</v>
      </c>
      <c r="BD1162" s="1906">
        <f t="shared" si="1293"/>
        <v>0</v>
      </c>
      <c r="BE1162" s="1906">
        <f t="shared" si="1294"/>
        <v>0</v>
      </c>
      <c r="BF1162" s="1906">
        <f t="shared" si="1295"/>
        <v>0</v>
      </c>
      <c r="BG1162" s="1906">
        <f t="shared" si="1296"/>
        <v>0</v>
      </c>
      <c r="BH1162" s="1906">
        <f t="shared" si="1297"/>
        <v>0</v>
      </c>
      <c r="BI1162" s="1906">
        <f t="shared" si="1298"/>
        <v>0</v>
      </c>
      <c r="BJ1162" s="1906">
        <f t="shared" si="1299"/>
        <v>0</v>
      </c>
      <c r="BK1162" s="1906">
        <f t="shared" si="1300"/>
        <v>0</v>
      </c>
      <c r="BL1162" s="1906">
        <f t="shared" si="1301"/>
        <v>0</v>
      </c>
      <c r="BM1162" s="1906">
        <f t="shared" si="1302"/>
        <v>0</v>
      </c>
      <c r="BN1162" s="107"/>
      <c r="BO1162" s="1906">
        <f t="shared" si="1303"/>
        <v>0</v>
      </c>
      <c r="BP1162" s="1906">
        <f t="shared" si="1304"/>
        <v>0</v>
      </c>
      <c r="BQ1162" s="1906">
        <f t="shared" si="1305"/>
        <v>0</v>
      </c>
      <c r="BR1162" s="1906">
        <f t="shared" si="1306"/>
        <v>0</v>
      </c>
      <c r="BS1162" s="1906">
        <f t="shared" si="1307"/>
        <v>0</v>
      </c>
      <c r="BT1162" s="1906">
        <f t="shared" si="1308"/>
        <v>0</v>
      </c>
      <c r="BU1162" s="1906">
        <f t="shared" si="1309"/>
        <v>0</v>
      </c>
      <c r="BV1162" s="1906">
        <f t="shared" si="1310"/>
        <v>0</v>
      </c>
      <c r="BW1162" s="1906">
        <f t="shared" si="1311"/>
        <v>0</v>
      </c>
      <c r="BX1162" s="1906">
        <f t="shared" si="1312"/>
        <v>0</v>
      </c>
      <c r="BY1162" s="1906">
        <f t="shared" si="1313"/>
        <v>0</v>
      </c>
      <c r="BZ1162" s="1906">
        <f t="shared" si="1314"/>
        <v>0</v>
      </c>
      <c r="CA1162" s="1971" t="str">
        <f t="shared" si="1315"/>
        <v xml:space="preserve">Subtotal Verdeos de Invierno </v>
      </c>
      <c r="CB1162" s="1906">
        <f t="shared" si="1316"/>
        <v>0</v>
      </c>
      <c r="CC1162" s="1906">
        <f t="shared" si="1317"/>
        <v>0</v>
      </c>
      <c r="CD1162" s="1906">
        <f t="shared" si="1318"/>
        <v>0</v>
      </c>
      <c r="CE1162" s="1906">
        <f t="shared" si="1319"/>
        <v>0</v>
      </c>
      <c r="CF1162" s="1906">
        <f t="shared" si="1320"/>
        <v>0</v>
      </c>
      <c r="CG1162" s="1906">
        <f t="shared" si="1321"/>
        <v>0</v>
      </c>
      <c r="CH1162" s="1906">
        <f t="shared" si="1322"/>
        <v>0</v>
      </c>
      <c r="CI1162" s="1906">
        <f t="shared" si="1323"/>
        <v>0</v>
      </c>
      <c r="CJ1162" s="1906">
        <f t="shared" si="1225"/>
        <v>0</v>
      </c>
      <c r="CK1162" s="1906">
        <f t="shared" si="1226"/>
        <v>0</v>
      </c>
      <c r="CL1162" s="1906">
        <f t="shared" si="1227"/>
        <v>0</v>
      </c>
      <c r="CM1162" s="1906">
        <f t="shared" si="1228"/>
        <v>0</v>
      </c>
      <c r="CN1162" s="595" t="str">
        <f t="shared" si="1324"/>
        <v xml:space="preserve">Subtotal Verdeos de Invierno </v>
      </c>
      <c r="CO1162" s="1443">
        <f t="shared" si="1219"/>
        <v>0</v>
      </c>
      <c r="CQ1162" s="108" t="str">
        <f t="shared" si="1325"/>
        <v xml:space="preserve">Subtotal Verdeos de Invierno </v>
      </c>
      <c r="CR1162" s="1898">
        <f t="shared" si="1326"/>
        <v>0</v>
      </c>
      <c r="CS1162" s="1898">
        <f t="shared" si="1327"/>
        <v>0</v>
      </c>
      <c r="CT1162" s="1898">
        <f t="shared" si="1328"/>
        <v>0</v>
      </c>
      <c r="CU1162" s="1898">
        <f t="shared" si="1329"/>
        <v>0</v>
      </c>
      <c r="CV1162" s="1898">
        <f t="shared" si="1330"/>
        <v>0</v>
      </c>
      <c r="CW1162" s="1898">
        <f t="shared" si="1331"/>
        <v>0</v>
      </c>
      <c r="CX1162" s="1898">
        <f t="shared" si="1332"/>
        <v>0</v>
      </c>
      <c r="CY1162" s="1898">
        <f t="shared" si="1333"/>
        <v>0</v>
      </c>
      <c r="CZ1162" s="1898">
        <f t="shared" si="1334"/>
        <v>0</v>
      </c>
      <c r="DA1162" s="1898">
        <f t="shared" si="1335"/>
        <v>0</v>
      </c>
      <c r="DB1162" s="1898">
        <f t="shared" si="1336"/>
        <v>0</v>
      </c>
      <c r="DC1162" s="1898">
        <f t="shared" si="1337"/>
        <v>0</v>
      </c>
    </row>
    <row r="1163" spans="1:107" x14ac:dyDescent="0.2">
      <c r="A1163" s="1971" t="str">
        <f t="shared" si="1254"/>
        <v>Sorgo Forrajero</v>
      </c>
      <c r="B1163" s="1906">
        <f t="shared" ref="B1163:M1163" si="1341">SUMIF(C$1054:C$1120,"feb"&amp;$B1019,C$983:C$1049)</f>
        <v>0</v>
      </c>
      <c r="C1163" s="1906">
        <f t="shared" si="1341"/>
        <v>0</v>
      </c>
      <c r="D1163" s="1906">
        <f t="shared" si="1341"/>
        <v>0</v>
      </c>
      <c r="E1163" s="1906">
        <f t="shared" si="1341"/>
        <v>0</v>
      </c>
      <c r="F1163" s="1906">
        <f t="shared" si="1341"/>
        <v>0</v>
      </c>
      <c r="G1163" s="1906">
        <f t="shared" si="1341"/>
        <v>0</v>
      </c>
      <c r="H1163" s="1906">
        <f t="shared" si="1341"/>
        <v>0</v>
      </c>
      <c r="I1163" s="1906">
        <f t="shared" si="1341"/>
        <v>0</v>
      </c>
      <c r="J1163" s="1906">
        <f t="shared" si="1341"/>
        <v>0</v>
      </c>
      <c r="K1163" s="1906">
        <f t="shared" si="1341"/>
        <v>0</v>
      </c>
      <c r="L1163" s="1906">
        <f t="shared" si="1341"/>
        <v>0</v>
      </c>
      <c r="M1163" s="1906">
        <f t="shared" si="1341"/>
        <v>0</v>
      </c>
      <c r="N1163" s="107"/>
      <c r="O1163" s="1906"/>
      <c r="P1163" s="1906">
        <f t="shared" si="1256"/>
        <v>0</v>
      </c>
      <c r="Q1163" s="1906">
        <f t="shared" si="1257"/>
        <v>0</v>
      </c>
      <c r="R1163" s="1906">
        <f t="shared" si="1258"/>
        <v>0</v>
      </c>
      <c r="S1163" s="1906">
        <f t="shared" si="1259"/>
        <v>0</v>
      </c>
      <c r="T1163" s="1906">
        <f t="shared" si="1260"/>
        <v>0</v>
      </c>
      <c r="U1163" s="1906">
        <f t="shared" si="1261"/>
        <v>0</v>
      </c>
      <c r="V1163" s="1906">
        <f t="shared" si="1262"/>
        <v>0</v>
      </c>
      <c r="W1163" s="1906">
        <f t="shared" si="1263"/>
        <v>0</v>
      </c>
      <c r="X1163" s="1906">
        <f t="shared" si="1264"/>
        <v>0</v>
      </c>
      <c r="Y1163" s="1906">
        <f t="shared" si="1265"/>
        <v>0</v>
      </c>
      <c r="Z1163" s="1906">
        <f t="shared" si="1266"/>
        <v>0</v>
      </c>
      <c r="AA1163" s="107"/>
      <c r="AB1163" s="1906">
        <f t="shared" si="1267"/>
        <v>0</v>
      </c>
      <c r="AC1163" s="1906">
        <f t="shared" si="1268"/>
        <v>0</v>
      </c>
      <c r="AD1163" s="1906">
        <f t="shared" si="1269"/>
        <v>0</v>
      </c>
      <c r="AE1163" s="1906">
        <f t="shared" si="1270"/>
        <v>0</v>
      </c>
      <c r="AF1163" s="1906">
        <f t="shared" si="1271"/>
        <v>0</v>
      </c>
      <c r="AG1163" s="1906">
        <f t="shared" si="1272"/>
        <v>0</v>
      </c>
      <c r="AH1163" s="1906">
        <f t="shared" si="1273"/>
        <v>0</v>
      </c>
      <c r="AI1163" s="1906">
        <f t="shared" si="1274"/>
        <v>0</v>
      </c>
      <c r="AJ1163" s="1906">
        <f t="shared" si="1275"/>
        <v>0</v>
      </c>
      <c r="AK1163" s="1906">
        <f t="shared" si="1276"/>
        <v>0</v>
      </c>
      <c r="AL1163" s="1906">
        <f t="shared" si="1277"/>
        <v>0</v>
      </c>
      <c r="AM1163" s="1906">
        <f t="shared" si="1278"/>
        <v>0</v>
      </c>
      <c r="AN1163" s="107"/>
      <c r="AO1163" s="1906">
        <f t="shared" si="1279"/>
        <v>0</v>
      </c>
      <c r="AP1163" s="1906">
        <f t="shared" si="1280"/>
        <v>0</v>
      </c>
      <c r="AQ1163" s="1906">
        <f t="shared" si="1281"/>
        <v>0</v>
      </c>
      <c r="AR1163" s="1906">
        <f t="shared" si="1282"/>
        <v>0</v>
      </c>
      <c r="AS1163" s="1906">
        <f t="shared" si="1283"/>
        <v>0</v>
      </c>
      <c r="AT1163" s="1906">
        <f t="shared" si="1284"/>
        <v>0</v>
      </c>
      <c r="AU1163" s="1906">
        <f t="shared" si="1285"/>
        <v>0</v>
      </c>
      <c r="AV1163" s="1906">
        <f t="shared" si="1286"/>
        <v>0</v>
      </c>
      <c r="AW1163" s="1906">
        <f t="shared" si="1287"/>
        <v>0</v>
      </c>
      <c r="AX1163" s="1906">
        <f t="shared" si="1288"/>
        <v>0</v>
      </c>
      <c r="AY1163" s="1906">
        <f t="shared" si="1289"/>
        <v>0</v>
      </c>
      <c r="AZ1163" s="1906">
        <f t="shared" si="1290"/>
        <v>0</v>
      </c>
      <c r="BA1163" s="107"/>
      <c r="BB1163" s="1906">
        <f t="shared" si="1291"/>
        <v>0</v>
      </c>
      <c r="BC1163" s="1906">
        <f t="shared" si="1292"/>
        <v>0</v>
      </c>
      <c r="BD1163" s="1906">
        <f t="shared" si="1293"/>
        <v>0</v>
      </c>
      <c r="BE1163" s="1906">
        <f t="shared" si="1294"/>
        <v>0</v>
      </c>
      <c r="BF1163" s="1906">
        <f t="shared" si="1295"/>
        <v>0</v>
      </c>
      <c r="BG1163" s="1906">
        <f t="shared" si="1296"/>
        <v>0</v>
      </c>
      <c r="BH1163" s="1906">
        <f t="shared" si="1297"/>
        <v>0</v>
      </c>
      <c r="BI1163" s="1906">
        <f t="shared" si="1298"/>
        <v>0</v>
      </c>
      <c r="BJ1163" s="1906">
        <f t="shared" si="1299"/>
        <v>0</v>
      </c>
      <c r="BK1163" s="1906">
        <f t="shared" si="1300"/>
        <v>0</v>
      </c>
      <c r="BL1163" s="1906">
        <f t="shared" si="1301"/>
        <v>0</v>
      </c>
      <c r="BM1163" s="1906">
        <f t="shared" si="1302"/>
        <v>0</v>
      </c>
      <c r="BN1163" s="107"/>
      <c r="BO1163" s="1906">
        <f t="shared" si="1303"/>
        <v>0</v>
      </c>
      <c r="BP1163" s="1906">
        <f t="shared" si="1304"/>
        <v>0</v>
      </c>
      <c r="BQ1163" s="1906">
        <f t="shared" si="1305"/>
        <v>0</v>
      </c>
      <c r="BR1163" s="1906">
        <f t="shared" si="1306"/>
        <v>0</v>
      </c>
      <c r="BS1163" s="1906">
        <f t="shared" si="1307"/>
        <v>0</v>
      </c>
      <c r="BT1163" s="1906">
        <f t="shared" si="1308"/>
        <v>0</v>
      </c>
      <c r="BU1163" s="1906">
        <f t="shared" si="1309"/>
        <v>0</v>
      </c>
      <c r="BV1163" s="1906">
        <f t="shared" si="1310"/>
        <v>0</v>
      </c>
      <c r="BW1163" s="1906">
        <f t="shared" si="1311"/>
        <v>0</v>
      </c>
      <c r="BX1163" s="1906">
        <f t="shared" si="1312"/>
        <v>0</v>
      </c>
      <c r="BY1163" s="1906">
        <f t="shared" si="1313"/>
        <v>0</v>
      </c>
      <c r="BZ1163" s="1906">
        <f t="shared" si="1314"/>
        <v>0</v>
      </c>
      <c r="CA1163" s="1971" t="str">
        <f t="shared" si="1315"/>
        <v>Sorgo Forrajero</v>
      </c>
      <c r="CB1163" s="1906">
        <f t="shared" si="1316"/>
        <v>0</v>
      </c>
      <c r="CC1163" s="1906">
        <f t="shared" si="1317"/>
        <v>0</v>
      </c>
      <c r="CD1163" s="1906">
        <f t="shared" si="1318"/>
        <v>0</v>
      </c>
      <c r="CE1163" s="1906">
        <f t="shared" si="1319"/>
        <v>0</v>
      </c>
      <c r="CF1163" s="1906">
        <f t="shared" si="1320"/>
        <v>0</v>
      </c>
      <c r="CG1163" s="1906">
        <f t="shared" si="1321"/>
        <v>0</v>
      </c>
      <c r="CH1163" s="1906">
        <f t="shared" si="1322"/>
        <v>0</v>
      </c>
      <c r="CI1163" s="1906">
        <f t="shared" si="1323"/>
        <v>0</v>
      </c>
      <c r="CJ1163" s="1906">
        <f t="shared" si="1225"/>
        <v>0</v>
      </c>
      <c r="CK1163" s="1906">
        <f t="shared" si="1226"/>
        <v>0</v>
      </c>
      <c r="CL1163" s="1906">
        <f t="shared" si="1227"/>
        <v>0</v>
      </c>
      <c r="CM1163" s="1906">
        <f t="shared" si="1228"/>
        <v>0</v>
      </c>
      <c r="CN1163" s="595" t="str">
        <f t="shared" si="1324"/>
        <v>Sorgo Forrajero</v>
      </c>
      <c r="CO1163" s="1443">
        <f t="shared" si="1219"/>
        <v>0</v>
      </c>
      <c r="CQ1163" s="108" t="str">
        <f t="shared" si="1325"/>
        <v>Sorgo Forrajero</v>
      </c>
      <c r="CR1163" s="1898">
        <f t="shared" si="1326"/>
        <v>0</v>
      </c>
      <c r="CS1163" s="1898">
        <f t="shared" si="1327"/>
        <v>0</v>
      </c>
      <c r="CT1163" s="1898">
        <f t="shared" si="1328"/>
        <v>0</v>
      </c>
      <c r="CU1163" s="1898">
        <f t="shared" si="1329"/>
        <v>0</v>
      </c>
      <c r="CV1163" s="1898">
        <f t="shared" si="1330"/>
        <v>0</v>
      </c>
      <c r="CW1163" s="1898">
        <f t="shared" si="1331"/>
        <v>0</v>
      </c>
      <c r="CX1163" s="1898">
        <f t="shared" si="1332"/>
        <v>0</v>
      </c>
      <c r="CY1163" s="1898">
        <f t="shared" si="1333"/>
        <v>0</v>
      </c>
      <c r="CZ1163" s="1898">
        <f t="shared" si="1334"/>
        <v>0</v>
      </c>
      <c r="DA1163" s="1898">
        <f t="shared" si="1335"/>
        <v>0</v>
      </c>
      <c r="DB1163" s="1898">
        <f t="shared" si="1336"/>
        <v>0</v>
      </c>
      <c r="DC1163" s="1898">
        <f t="shared" si="1337"/>
        <v>0</v>
      </c>
    </row>
    <row r="1164" spans="1:107" x14ac:dyDescent="0.2">
      <c r="A1164" s="1971" t="str">
        <f t="shared" si="1254"/>
        <v xml:space="preserve">Sudan </v>
      </c>
      <c r="B1164" s="1906">
        <f t="shared" ref="B1164:M1164" si="1342">SUMIF(C$1054:C$1120,"feb"&amp;$B1020,C$983:C$1049)</f>
        <v>0</v>
      </c>
      <c r="C1164" s="1906">
        <f t="shared" si="1342"/>
        <v>0</v>
      </c>
      <c r="D1164" s="1906">
        <f t="shared" si="1342"/>
        <v>0</v>
      </c>
      <c r="E1164" s="1906">
        <f t="shared" si="1342"/>
        <v>0</v>
      </c>
      <c r="F1164" s="1906">
        <f t="shared" si="1342"/>
        <v>0</v>
      </c>
      <c r="G1164" s="1906">
        <f t="shared" si="1342"/>
        <v>0</v>
      </c>
      <c r="H1164" s="1906">
        <f t="shared" si="1342"/>
        <v>0</v>
      </c>
      <c r="I1164" s="1906">
        <f t="shared" si="1342"/>
        <v>0</v>
      </c>
      <c r="J1164" s="1906">
        <f t="shared" si="1342"/>
        <v>0</v>
      </c>
      <c r="K1164" s="1906">
        <f t="shared" si="1342"/>
        <v>0</v>
      </c>
      <c r="L1164" s="1906">
        <f t="shared" si="1342"/>
        <v>0</v>
      </c>
      <c r="M1164" s="1906">
        <f t="shared" si="1342"/>
        <v>0</v>
      </c>
      <c r="N1164" s="107"/>
      <c r="O1164" s="1906"/>
      <c r="P1164" s="1906">
        <f t="shared" si="1256"/>
        <v>0</v>
      </c>
      <c r="Q1164" s="1906">
        <f t="shared" si="1257"/>
        <v>0</v>
      </c>
      <c r="R1164" s="1906">
        <f t="shared" si="1258"/>
        <v>0</v>
      </c>
      <c r="S1164" s="1906">
        <f t="shared" si="1259"/>
        <v>0</v>
      </c>
      <c r="T1164" s="1906">
        <f t="shared" si="1260"/>
        <v>0</v>
      </c>
      <c r="U1164" s="1906">
        <f t="shared" si="1261"/>
        <v>0</v>
      </c>
      <c r="V1164" s="1906">
        <f t="shared" si="1262"/>
        <v>0</v>
      </c>
      <c r="W1164" s="1906">
        <f t="shared" si="1263"/>
        <v>0</v>
      </c>
      <c r="X1164" s="1906">
        <f t="shared" si="1264"/>
        <v>0</v>
      </c>
      <c r="Y1164" s="1906">
        <f t="shared" si="1265"/>
        <v>0</v>
      </c>
      <c r="Z1164" s="1906">
        <f t="shared" si="1266"/>
        <v>0</v>
      </c>
      <c r="AA1164" s="107"/>
      <c r="AB1164" s="1906">
        <f t="shared" si="1267"/>
        <v>0</v>
      </c>
      <c r="AC1164" s="1906">
        <f t="shared" si="1268"/>
        <v>0</v>
      </c>
      <c r="AD1164" s="1906">
        <f t="shared" si="1269"/>
        <v>0</v>
      </c>
      <c r="AE1164" s="1906">
        <f t="shared" si="1270"/>
        <v>0</v>
      </c>
      <c r="AF1164" s="1906">
        <f t="shared" si="1271"/>
        <v>0</v>
      </c>
      <c r="AG1164" s="1906">
        <f t="shared" si="1272"/>
        <v>0</v>
      </c>
      <c r="AH1164" s="1906">
        <f t="shared" si="1273"/>
        <v>0</v>
      </c>
      <c r="AI1164" s="1906">
        <f t="shared" si="1274"/>
        <v>0</v>
      </c>
      <c r="AJ1164" s="1906">
        <f t="shared" si="1275"/>
        <v>0</v>
      </c>
      <c r="AK1164" s="1906">
        <f t="shared" si="1276"/>
        <v>0</v>
      </c>
      <c r="AL1164" s="1906">
        <f t="shared" si="1277"/>
        <v>0</v>
      </c>
      <c r="AM1164" s="1906">
        <f t="shared" si="1278"/>
        <v>0</v>
      </c>
      <c r="AN1164" s="107"/>
      <c r="AO1164" s="1906">
        <f t="shared" si="1279"/>
        <v>0</v>
      </c>
      <c r="AP1164" s="1906">
        <f t="shared" si="1280"/>
        <v>0</v>
      </c>
      <c r="AQ1164" s="1906">
        <f t="shared" si="1281"/>
        <v>0</v>
      </c>
      <c r="AR1164" s="1906">
        <f t="shared" si="1282"/>
        <v>0</v>
      </c>
      <c r="AS1164" s="1906">
        <f t="shared" si="1283"/>
        <v>0</v>
      </c>
      <c r="AT1164" s="1906">
        <f t="shared" si="1284"/>
        <v>0</v>
      </c>
      <c r="AU1164" s="1906">
        <f t="shared" si="1285"/>
        <v>0</v>
      </c>
      <c r="AV1164" s="1906">
        <f t="shared" si="1286"/>
        <v>0</v>
      </c>
      <c r="AW1164" s="1906">
        <f t="shared" si="1287"/>
        <v>0</v>
      </c>
      <c r="AX1164" s="1906">
        <f t="shared" si="1288"/>
        <v>0</v>
      </c>
      <c r="AY1164" s="1906">
        <f t="shared" si="1289"/>
        <v>0</v>
      </c>
      <c r="AZ1164" s="1906">
        <f t="shared" si="1290"/>
        <v>0</v>
      </c>
      <c r="BA1164" s="107"/>
      <c r="BB1164" s="1906">
        <f t="shared" si="1291"/>
        <v>0</v>
      </c>
      <c r="BC1164" s="1906">
        <f t="shared" si="1292"/>
        <v>0</v>
      </c>
      <c r="BD1164" s="1906">
        <f t="shared" si="1293"/>
        <v>0</v>
      </c>
      <c r="BE1164" s="1906">
        <f t="shared" si="1294"/>
        <v>0</v>
      </c>
      <c r="BF1164" s="1906">
        <f t="shared" si="1295"/>
        <v>0</v>
      </c>
      <c r="BG1164" s="1906">
        <f t="shared" si="1296"/>
        <v>0</v>
      </c>
      <c r="BH1164" s="1906">
        <f t="shared" si="1297"/>
        <v>0</v>
      </c>
      <c r="BI1164" s="1906">
        <f t="shared" si="1298"/>
        <v>0</v>
      </c>
      <c r="BJ1164" s="1906">
        <f t="shared" si="1299"/>
        <v>0</v>
      </c>
      <c r="BK1164" s="1906">
        <f t="shared" si="1300"/>
        <v>0</v>
      </c>
      <c r="BL1164" s="1906">
        <f t="shared" si="1301"/>
        <v>0</v>
      </c>
      <c r="BM1164" s="1906">
        <f t="shared" si="1302"/>
        <v>0</v>
      </c>
      <c r="BN1164" s="107"/>
      <c r="BO1164" s="1906">
        <f t="shared" si="1303"/>
        <v>0</v>
      </c>
      <c r="BP1164" s="1906">
        <f t="shared" si="1304"/>
        <v>0</v>
      </c>
      <c r="BQ1164" s="1906">
        <f t="shared" si="1305"/>
        <v>0</v>
      </c>
      <c r="BR1164" s="1906">
        <f t="shared" si="1306"/>
        <v>0</v>
      </c>
      <c r="BS1164" s="1906">
        <f t="shared" si="1307"/>
        <v>0</v>
      </c>
      <c r="BT1164" s="1906">
        <f t="shared" si="1308"/>
        <v>0</v>
      </c>
      <c r="BU1164" s="1906">
        <f t="shared" si="1309"/>
        <v>0</v>
      </c>
      <c r="BV1164" s="1906">
        <f t="shared" si="1310"/>
        <v>0</v>
      </c>
      <c r="BW1164" s="1906">
        <f t="shared" si="1311"/>
        <v>0</v>
      </c>
      <c r="BX1164" s="1906">
        <f t="shared" si="1312"/>
        <v>0</v>
      </c>
      <c r="BY1164" s="1906">
        <f t="shared" si="1313"/>
        <v>0</v>
      </c>
      <c r="BZ1164" s="1906">
        <f t="shared" si="1314"/>
        <v>0</v>
      </c>
      <c r="CA1164" s="1971" t="str">
        <f t="shared" si="1315"/>
        <v xml:space="preserve">Sudan </v>
      </c>
      <c r="CB1164" s="1906">
        <f t="shared" si="1316"/>
        <v>0</v>
      </c>
      <c r="CC1164" s="1906">
        <f t="shared" si="1317"/>
        <v>0</v>
      </c>
      <c r="CD1164" s="1906">
        <f t="shared" si="1318"/>
        <v>0</v>
      </c>
      <c r="CE1164" s="1906">
        <f t="shared" si="1319"/>
        <v>0</v>
      </c>
      <c r="CF1164" s="1906">
        <f t="shared" si="1320"/>
        <v>0</v>
      </c>
      <c r="CG1164" s="1906">
        <f t="shared" si="1321"/>
        <v>0</v>
      </c>
      <c r="CH1164" s="1906">
        <f t="shared" si="1322"/>
        <v>0</v>
      </c>
      <c r="CI1164" s="1906">
        <f t="shared" si="1323"/>
        <v>0</v>
      </c>
      <c r="CJ1164" s="1906">
        <f t="shared" si="1225"/>
        <v>0</v>
      </c>
      <c r="CK1164" s="1906">
        <f t="shared" si="1226"/>
        <v>0</v>
      </c>
      <c r="CL1164" s="1906">
        <f t="shared" si="1227"/>
        <v>0</v>
      </c>
      <c r="CM1164" s="1906">
        <f t="shared" si="1228"/>
        <v>0</v>
      </c>
      <c r="CN1164" s="595" t="str">
        <f t="shared" si="1324"/>
        <v xml:space="preserve">Sudan </v>
      </c>
      <c r="CO1164" s="1443">
        <f t="shared" si="1219"/>
        <v>0</v>
      </c>
      <c r="CQ1164" s="108" t="str">
        <f t="shared" si="1325"/>
        <v xml:space="preserve">Sudan </v>
      </c>
      <c r="CR1164" s="1898">
        <f t="shared" si="1326"/>
        <v>0</v>
      </c>
      <c r="CS1164" s="1898">
        <f t="shared" si="1327"/>
        <v>0</v>
      </c>
      <c r="CT1164" s="1898">
        <f t="shared" si="1328"/>
        <v>0</v>
      </c>
      <c r="CU1164" s="1898">
        <f t="shared" si="1329"/>
        <v>0</v>
      </c>
      <c r="CV1164" s="1898">
        <f t="shared" si="1330"/>
        <v>0</v>
      </c>
      <c r="CW1164" s="1898">
        <f t="shared" si="1331"/>
        <v>0</v>
      </c>
      <c r="CX1164" s="1898">
        <f t="shared" si="1332"/>
        <v>0</v>
      </c>
      <c r="CY1164" s="1898">
        <f t="shared" si="1333"/>
        <v>0</v>
      </c>
      <c r="CZ1164" s="1898">
        <f t="shared" si="1334"/>
        <v>0</v>
      </c>
      <c r="DA1164" s="1898">
        <f t="shared" si="1335"/>
        <v>0</v>
      </c>
      <c r="DB1164" s="1898">
        <f t="shared" si="1336"/>
        <v>0</v>
      </c>
      <c r="DC1164" s="1898">
        <f t="shared" si="1337"/>
        <v>0</v>
      </c>
    </row>
    <row r="1165" spans="1:107" x14ac:dyDescent="0.2">
      <c r="A1165" s="1971">
        <f t="shared" si="1254"/>
        <v>0</v>
      </c>
      <c r="B1165" s="1906">
        <f t="shared" ref="B1165:M1165" si="1343">SUMIF(C$1054:C$1120,"feb"&amp;$B1021,C$983:C$1049)</f>
        <v>0</v>
      </c>
      <c r="C1165" s="1906">
        <f t="shared" si="1343"/>
        <v>0</v>
      </c>
      <c r="D1165" s="1906">
        <f t="shared" si="1343"/>
        <v>0</v>
      </c>
      <c r="E1165" s="1906">
        <f t="shared" si="1343"/>
        <v>0</v>
      </c>
      <c r="F1165" s="1906">
        <f t="shared" si="1343"/>
        <v>0</v>
      </c>
      <c r="G1165" s="1906">
        <f t="shared" si="1343"/>
        <v>0</v>
      </c>
      <c r="H1165" s="1906">
        <f t="shared" si="1343"/>
        <v>0</v>
      </c>
      <c r="I1165" s="1906">
        <f t="shared" si="1343"/>
        <v>0</v>
      </c>
      <c r="J1165" s="1906">
        <f t="shared" si="1343"/>
        <v>0</v>
      </c>
      <c r="K1165" s="1906">
        <f t="shared" si="1343"/>
        <v>0</v>
      </c>
      <c r="L1165" s="1906">
        <f t="shared" si="1343"/>
        <v>0</v>
      </c>
      <c r="M1165" s="1906">
        <f t="shared" si="1343"/>
        <v>0</v>
      </c>
      <c r="N1165" s="107"/>
      <c r="O1165" s="1906"/>
      <c r="P1165" s="1906">
        <f t="shared" si="1256"/>
        <v>0</v>
      </c>
      <c r="Q1165" s="1906">
        <f t="shared" si="1257"/>
        <v>0</v>
      </c>
      <c r="R1165" s="1906">
        <f t="shared" si="1258"/>
        <v>0</v>
      </c>
      <c r="S1165" s="1906">
        <f t="shared" si="1259"/>
        <v>0</v>
      </c>
      <c r="T1165" s="1906">
        <f t="shared" si="1260"/>
        <v>0</v>
      </c>
      <c r="U1165" s="1906">
        <f t="shared" si="1261"/>
        <v>0</v>
      </c>
      <c r="V1165" s="1906">
        <f t="shared" si="1262"/>
        <v>0</v>
      </c>
      <c r="W1165" s="1906">
        <f t="shared" si="1263"/>
        <v>0</v>
      </c>
      <c r="X1165" s="1906">
        <f t="shared" si="1264"/>
        <v>0</v>
      </c>
      <c r="Y1165" s="1906">
        <f t="shared" si="1265"/>
        <v>0</v>
      </c>
      <c r="Z1165" s="1906">
        <f t="shared" si="1266"/>
        <v>0</v>
      </c>
      <c r="AA1165" s="107"/>
      <c r="AB1165" s="1906">
        <f t="shared" si="1267"/>
        <v>0</v>
      </c>
      <c r="AC1165" s="1906">
        <f t="shared" si="1268"/>
        <v>0</v>
      </c>
      <c r="AD1165" s="1906">
        <f t="shared" si="1269"/>
        <v>0</v>
      </c>
      <c r="AE1165" s="1906">
        <f t="shared" si="1270"/>
        <v>0</v>
      </c>
      <c r="AF1165" s="1906">
        <f t="shared" si="1271"/>
        <v>0</v>
      </c>
      <c r="AG1165" s="1906">
        <f t="shared" si="1272"/>
        <v>0</v>
      </c>
      <c r="AH1165" s="1906">
        <f t="shared" si="1273"/>
        <v>0</v>
      </c>
      <c r="AI1165" s="1906">
        <f t="shared" si="1274"/>
        <v>0</v>
      </c>
      <c r="AJ1165" s="1906">
        <f t="shared" si="1275"/>
        <v>0</v>
      </c>
      <c r="AK1165" s="1906">
        <f t="shared" si="1276"/>
        <v>0</v>
      </c>
      <c r="AL1165" s="1906">
        <f t="shared" si="1277"/>
        <v>0</v>
      </c>
      <c r="AM1165" s="1906">
        <f t="shared" si="1278"/>
        <v>0</v>
      </c>
      <c r="AN1165" s="107"/>
      <c r="AO1165" s="1906">
        <f t="shared" si="1279"/>
        <v>0</v>
      </c>
      <c r="AP1165" s="1906">
        <f t="shared" si="1280"/>
        <v>0</v>
      </c>
      <c r="AQ1165" s="1906">
        <f t="shared" si="1281"/>
        <v>0</v>
      </c>
      <c r="AR1165" s="1906">
        <f t="shared" si="1282"/>
        <v>0</v>
      </c>
      <c r="AS1165" s="1906">
        <f t="shared" si="1283"/>
        <v>0</v>
      </c>
      <c r="AT1165" s="1906">
        <f t="shared" si="1284"/>
        <v>0</v>
      </c>
      <c r="AU1165" s="1906">
        <f t="shared" si="1285"/>
        <v>0</v>
      </c>
      <c r="AV1165" s="1906">
        <f t="shared" si="1286"/>
        <v>0</v>
      </c>
      <c r="AW1165" s="1906">
        <f t="shared" si="1287"/>
        <v>0</v>
      </c>
      <c r="AX1165" s="1906">
        <f t="shared" si="1288"/>
        <v>0</v>
      </c>
      <c r="AY1165" s="1906">
        <f t="shared" si="1289"/>
        <v>0</v>
      </c>
      <c r="AZ1165" s="1906">
        <f t="shared" si="1290"/>
        <v>0</v>
      </c>
      <c r="BA1165" s="107"/>
      <c r="BB1165" s="1906">
        <f t="shared" si="1291"/>
        <v>0</v>
      </c>
      <c r="BC1165" s="1906">
        <f t="shared" si="1292"/>
        <v>0</v>
      </c>
      <c r="BD1165" s="1906">
        <f t="shared" si="1293"/>
        <v>0</v>
      </c>
      <c r="BE1165" s="1906">
        <f t="shared" si="1294"/>
        <v>0</v>
      </c>
      <c r="BF1165" s="1906">
        <f t="shared" si="1295"/>
        <v>0</v>
      </c>
      <c r="BG1165" s="1906">
        <f t="shared" si="1296"/>
        <v>0</v>
      </c>
      <c r="BH1165" s="1906">
        <f t="shared" si="1297"/>
        <v>0</v>
      </c>
      <c r="BI1165" s="1906">
        <f t="shared" si="1298"/>
        <v>0</v>
      </c>
      <c r="BJ1165" s="1906">
        <f t="shared" si="1299"/>
        <v>0</v>
      </c>
      <c r="BK1165" s="1906">
        <f t="shared" si="1300"/>
        <v>0</v>
      </c>
      <c r="BL1165" s="1906">
        <f t="shared" si="1301"/>
        <v>0</v>
      </c>
      <c r="BM1165" s="1906">
        <f t="shared" si="1302"/>
        <v>0</v>
      </c>
      <c r="BN1165" s="107"/>
      <c r="BO1165" s="1906">
        <f t="shared" si="1303"/>
        <v>0</v>
      </c>
      <c r="BP1165" s="1906">
        <f t="shared" si="1304"/>
        <v>0</v>
      </c>
      <c r="BQ1165" s="1906">
        <f t="shared" si="1305"/>
        <v>0</v>
      </c>
      <c r="BR1165" s="1906">
        <f t="shared" si="1306"/>
        <v>0</v>
      </c>
      <c r="BS1165" s="1906">
        <f t="shared" si="1307"/>
        <v>0</v>
      </c>
      <c r="BT1165" s="1906">
        <f t="shared" si="1308"/>
        <v>0</v>
      </c>
      <c r="BU1165" s="1906">
        <f t="shared" si="1309"/>
        <v>0</v>
      </c>
      <c r="BV1165" s="1906">
        <f t="shared" si="1310"/>
        <v>0</v>
      </c>
      <c r="BW1165" s="1906">
        <f t="shared" si="1311"/>
        <v>0</v>
      </c>
      <c r="BX1165" s="1906">
        <f t="shared" si="1312"/>
        <v>0</v>
      </c>
      <c r="BY1165" s="1906">
        <f t="shared" si="1313"/>
        <v>0</v>
      </c>
      <c r="BZ1165" s="1906">
        <f t="shared" si="1314"/>
        <v>0</v>
      </c>
      <c r="CA1165" s="1971">
        <f t="shared" si="1315"/>
        <v>0</v>
      </c>
      <c r="CB1165" s="1906">
        <f t="shared" si="1316"/>
        <v>0</v>
      </c>
      <c r="CC1165" s="1906">
        <f t="shared" si="1317"/>
        <v>0</v>
      </c>
      <c r="CD1165" s="1906">
        <f t="shared" si="1318"/>
        <v>0</v>
      </c>
      <c r="CE1165" s="1906">
        <f t="shared" si="1319"/>
        <v>0</v>
      </c>
      <c r="CF1165" s="1906">
        <f t="shared" si="1320"/>
        <v>0</v>
      </c>
      <c r="CG1165" s="1906">
        <f t="shared" si="1321"/>
        <v>0</v>
      </c>
      <c r="CH1165" s="1906">
        <f t="shared" si="1322"/>
        <v>0</v>
      </c>
      <c r="CI1165" s="1906">
        <f t="shared" si="1323"/>
        <v>0</v>
      </c>
      <c r="CJ1165" s="1906">
        <f t="shared" si="1225"/>
        <v>0</v>
      </c>
      <c r="CK1165" s="1906">
        <f t="shared" si="1226"/>
        <v>0</v>
      </c>
      <c r="CL1165" s="1906">
        <f t="shared" si="1227"/>
        <v>0</v>
      </c>
      <c r="CM1165" s="1906">
        <f t="shared" si="1228"/>
        <v>0</v>
      </c>
      <c r="CN1165" s="595">
        <f t="shared" si="1324"/>
        <v>0</v>
      </c>
      <c r="CO1165" s="1443">
        <f t="shared" si="1219"/>
        <v>0</v>
      </c>
      <c r="CQ1165" s="108">
        <f t="shared" si="1325"/>
        <v>0</v>
      </c>
      <c r="CR1165" s="1898">
        <f t="shared" si="1326"/>
        <v>0</v>
      </c>
      <c r="CS1165" s="1898">
        <f t="shared" si="1327"/>
        <v>0</v>
      </c>
      <c r="CT1165" s="1898">
        <f t="shared" si="1328"/>
        <v>0</v>
      </c>
      <c r="CU1165" s="1898">
        <f t="shared" si="1329"/>
        <v>0</v>
      </c>
      <c r="CV1165" s="1898">
        <f t="shared" si="1330"/>
        <v>0</v>
      </c>
      <c r="CW1165" s="1898">
        <f t="shared" si="1331"/>
        <v>0</v>
      </c>
      <c r="CX1165" s="1898">
        <f t="shared" si="1332"/>
        <v>0</v>
      </c>
      <c r="CY1165" s="1898">
        <f t="shared" si="1333"/>
        <v>0</v>
      </c>
      <c r="CZ1165" s="1898">
        <f t="shared" si="1334"/>
        <v>0</v>
      </c>
      <c r="DA1165" s="1898">
        <f t="shared" si="1335"/>
        <v>0</v>
      </c>
      <c r="DB1165" s="1898">
        <f t="shared" si="1336"/>
        <v>0</v>
      </c>
      <c r="DC1165" s="1898">
        <f t="shared" si="1337"/>
        <v>0</v>
      </c>
    </row>
    <row r="1166" spans="1:107" x14ac:dyDescent="0.2">
      <c r="A1166" s="1971">
        <f t="shared" si="1254"/>
        <v>0</v>
      </c>
      <c r="B1166" s="1906">
        <f t="shared" ref="B1166:M1166" si="1344">SUMIF(C$1054:C$1120,"feb"&amp;$B1022,C$983:C$1049)</f>
        <v>0</v>
      </c>
      <c r="C1166" s="1906">
        <f t="shared" si="1344"/>
        <v>0</v>
      </c>
      <c r="D1166" s="1906">
        <f t="shared" si="1344"/>
        <v>0</v>
      </c>
      <c r="E1166" s="1906">
        <f t="shared" si="1344"/>
        <v>0</v>
      </c>
      <c r="F1166" s="1906">
        <f t="shared" si="1344"/>
        <v>0</v>
      </c>
      <c r="G1166" s="1906">
        <f t="shared" si="1344"/>
        <v>0</v>
      </c>
      <c r="H1166" s="1906">
        <f t="shared" si="1344"/>
        <v>0</v>
      </c>
      <c r="I1166" s="1906">
        <f t="shared" si="1344"/>
        <v>0</v>
      </c>
      <c r="J1166" s="1906">
        <f t="shared" si="1344"/>
        <v>0</v>
      </c>
      <c r="K1166" s="1906">
        <f t="shared" si="1344"/>
        <v>0</v>
      </c>
      <c r="L1166" s="1906">
        <f t="shared" si="1344"/>
        <v>0</v>
      </c>
      <c r="M1166" s="1906">
        <f t="shared" si="1344"/>
        <v>0</v>
      </c>
      <c r="N1166" s="107"/>
      <c r="O1166" s="1906"/>
      <c r="P1166" s="1906">
        <f t="shared" si="1256"/>
        <v>0</v>
      </c>
      <c r="Q1166" s="1906">
        <f t="shared" si="1257"/>
        <v>0</v>
      </c>
      <c r="R1166" s="1906">
        <f t="shared" si="1258"/>
        <v>0</v>
      </c>
      <c r="S1166" s="1906">
        <f t="shared" si="1259"/>
        <v>0</v>
      </c>
      <c r="T1166" s="1906">
        <f t="shared" si="1260"/>
        <v>0</v>
      </c>
      <c r="U1166" s="1906">
        <f t="shared" si="1261"/>
        <v>0</v>
      </c>
      <c r="V1166" s="1906">
        <f t="shared" si="1262"/>
        <v>0</v>
      </c>
      <c r="W1166" s="1906">
        <f t="shared" si="1263"/>
        <v>0</v>
      </c>
      <c r="X1166" s="1906">
        <f t="shared" si="1264"/>
        <v>0</v>
      </c>
      <c r="Y1166" s="1906">
        <f t="shared" si="1265"/>
        <v>0</v>
      </c>
      <c r="Z1166" s="1906">
        <f t="shared" si="1266"/>
        <v>0</v>
      </c>
      <c r="AA1166" s="107"/>
      <c r="AB1166" s="1906">
        <f t="shared" si="1267"/>
        <v>0</v>
      </c>
      <c r="AC1166" s="1906">
        <f t="shared" si="1268"/>
        <v>0</v>
      </c>
      <c r="AD1166" s="1906">
        <f t="shared" si="1269"/>
        <v>0</v>
      </c>
      <c r="AE1166" s="1906">
        <f t="shared" si="1270"/>
        <v>0</v>
      </c>
      <c r="AF1166" s="1906">
        <f t="shared" si="1271"/>
        <v>0</v>
      </c>
      <c r="AG1166" s="1906">
        <f t="shared" si="1272"/>
        <v>0</v>
      </c>
      <c r="AH1166" s="1906">
        <f t="shared" si="1273"/>
        <v>0</v>
      </c>
      <c r="AI1166" s="1906">
        <f t="shared" si="1274"/>
        <v>0</v>
      </c>
      <c r="AJ1166" s="1906">
        <f t="shared" si="1275"/>
        <v>0</v>
      </c>
      <c r="AK1166" s="1906">
        <f t="shared" si="1276"/>
        <v>0</v>
      </c>
      <c r="AL1166" s="1906">
        <f t="shared" si="1277"/>
        <v>0</v>
      </c>
      <c r="AM1166" s="1906">
        <f t="shared" si="1278"/>
        <v>0</v>
      </c>
      <c r="AN1166" s="107"/>
      <c r="AO1166" s="1906">
        <f t="shared" si="1279"/>
        <v>0</v>
      </c>
      <c r="AP1166" s="1906">
        <f t="shared" si="1280"/>
        <v>0</v>
      </c>
      <c r="AQ1166" s="1906">
        <f t="shared" si="1281"/>
        <v>0</v>
      </c>
      <c r="AR1166" s="1906">
        <f t="shared" si="1282"/>
        <v>0</v>
      </c>
      <c r="AS1166" s="1906">
        <f t="shared" si="1283"/>
        <v>0</v>
      </c>
      <c r="AT1166" s="1906">
        <f t="shared" si="1284"/>
        <v>0</v>
      </c>
      <c r="AU1166" s="1906">
        <f t="shared" si="1285"/>
        <v>0</v>
      </c>
      <c r="AV1166" s="1906">
        <f t="shared" si="1286"/>
        <v>0</v>
      </c>
      <c r="AW1166" s="1906">
        <f t="shared" si="1287"/>
        <v>0</v>
      </c>
      <c r="AX1166" s="1906">
        <f t="shared" si="1288"/>
        <v>0</v>
      </c>
      <c r="AY1166" s="1906">
        <f t="shared" si="1289"/>
        <v>0</v>
      </c>
      <c r="AZ1166" s="1906">
        <f t="shared" si="1290"/>
        <v>0</v>
      </c>
      <c r="BA1166" s="107"/>
      <c r="BB1166" s="1906">
        <f t="shared" si="1291"/>
        <v>0</v>
      </c>
      <c r="BC1166" s="1906">
        <f t="shared" si="1292"/>
        <v>0</v>
      </c>
      <c r="BD1166" s="1906">
        <f t="shared" si="1293"/>
        <v>0</v>
      </c>
      <c r="BE1166" s="1906">
        <f t="shared" si="1294"/>
        <v>0</v>
      </c>
      <c r="BF1166" s="1906">
        <f t="shared" si="1295"/>
        <v>0</v>
      </c>
      <c r="BG1166" s="1906">
        <f t="shared" si="1296"/>
        <v>0</v>
      </c>
      <c r="BH1166" s="1906">
        <f t="shared" si="1297"/>
        <v>0</v>
      </c>
      <c r="BI1166" s="1906">
        <f t="shared" si="1298"/>
        <v>0</v>
      </c>
      <c r="BJ1166" s="1906">
        <f t="shared" si="1299"/>
        <v>0</v>
      </c>
      <c r="BK1166" s="1906">
        <f t="shared" si="1300"/>
        <v>0</v>
      </c>
      <c r="BL1166" s="1906">
        <f t="shared" si="1301"/>
        <v>0</v>
      </c>
      <c r="BM1166" s="1906">
        <f t="shared" si="1302"/>
        <v>0</v>
      </c>
      <c r="BN1166" s="107"/>
      <c r="BO1166" s="1906">
        <f t="shared" si="1303"/>
        <v>0</v>
      </c>
      <c r="BP1166" s="1906">
        <f t="shared" si="1304"/>
        <v>0</v>
      </c>
      <c r="BQ1166" s="1906">
        <f t="shared" si="1305"/>
        <v>0</v>
      </c>
      <c r="BR1166" s="1906">
        <f t="shared" si="1306"/>
        <v>0</v>
      </c>
      <c r="BS1166" s="1906">
        <f t="shared" si="1307"/>
        <v>0</v>
      </c>
      <c r="BT1166" s="1906">
        <f t="shared" si="1308"/>
        <v>0</v>
      </c>
      <c r="BU1166" s="1906">
        <f t="shared" si="1309"/>
        <v>0</v>
      </c>
      <c r="BV1166" s="1906">
        <f t="shared" si="1310"/>
        <v>0</v>
      </c>
      <c r="BW1166" s="1906">
        <f t="shared" si="1311"/>
        <v>0</v>
      </c>
      <c r="BX1166" s="1906">
        <f t="shared" si="1312"/>
        <v>0</v>
      </c>
      <c r="BY1166" s="1906">
        <f t="shared" si="1313"/>
        <v>0</v>
      </c>
      <c r="BZ1166" s="1906">
        <f t="shared" si="1314"/>
        <v>0</v>
      </c>
      <c r="CA1166" s="1971">
        <f t="shared" si="1315"/>
        <v>0</v>
      </c>
      <c r="CB1166" s="1906">
        <f t="shared" si="1316"/>
        <v>0</v>
      </c>
      <c r="CC1166" s="1906">
        <f t="shared" si="1317"/>
        <v>0</v>
      </c>
      <c r="CD1166" s="1906">
        <f t="shared" si="1318"/>
        <v>0</v>
      </c>
      <c r="CE1166" s="1906">
        <f t="shared" si="1319"/>
        <v>0</v>
      </c>
      <c r="CF1166" s="1906">
        <f t="shared" si="1320"/>
        <v>0</v>
      </c>
      <c r="CG1166" s="1906">
        <f t="shared" si="1321"/>
        <v>0</v>
      </c>
      <c r="CH1166" s="1906">
        <f t="shared" si="1322"/>
        <v>0</v>
      </c>
      <c r="CI1166" s="1906">
        <f t="shared" si="1323"/>
        <v>0</v>
      </c>
      <c r="CJ1166" s="1906">
        <f t="shared" si="1225"/>
        <v>0</v>
      </c>
      <c r="CK1166" s="1906">
        <f t="shared" si="1226"/>
        <v>0</v>
      </c>
      <c r="CL1166" s="1906">
        <f t="shared" si="1227"/>
        <v>0</v>
      </c>
      <c r="CM1166" s="1906">
        <f t="shared" si="1228"/>
        <v>0</v>
      </c>
      <c r="CN1166" s="595">
        <f t="shared" si="1324"/>
        <v>0</v>
      </c>
      <c r="CO1166" s="1443">
        <f t="shared" si="1219"/>
        <v>0</v>
      </c>
      <c r="CQ1166" s="108">
        <f t="shared" si="1325"/>
        <v>0</v>
      </c>
      <c r="CR1166" s="1898">
        <f t="shared" si="1326"/>
        <v>0</v>
      </c>
      <c r="CS1166" s="1898">
        <f t="shared" si="1327"/>
        <v>0</v>
      </c>
      <c r="CT1166" s="1898">
        <f t="shared" si="1328"/>
        <v>0</v>
      </c>
      <c r="CU1166" s="1898">
        <f t="shared" si="1329"/>
        <v>0</v>
      </c>
      <c r="CV1166" s="1898">
        <f t="shared" si="1330"/>
        <v>0</v>
      </c>
      <c r="CW1166" s="1898">
        <f t="shared" si="1331"/>
        <v>0</v>
      </c>
      <c r="CX1166" s="1898">
        <f t="shared" si="1332"/>
        <v>0</v>
      </c>
      <c r="CY1166" s="1898">
        <f t="shared" si="1333"/>
        <v>0</v>
      </c>
      <c r="CZ1166" s="1898">
        <f t="shared" si="1334"/>
        <v>0</v>
      </c>
      <c r="DA1166" s="1898">
        <f t="shared" si="1335"/>
        <v>0</v>
      </c>
      <c r="DB1166" s="1898">
        <f t="shared" si="1336"/>
        <v>0</v>
      </c>
      <c r="DC1166" s="1898">
        <f t="shared" si="1337"/>
        <v>0</v>
      </c>
    </row>
    <row r="1167" spans="1:107" x14ac:dyDescent="0.2">
      <c r="A1167" s="1971">
        <f t="shared" si="1254"/>
        <v>0</v>
      </c>
      <c r="B1167" s="1906">
        <f t="shared" ref="B1167:M1167" si="1345">SUMIF(C$1054:C$1120,"feb"&amp;$B1023,C$983:C$1049)</f>
        <v>0</v>
      </c>
      <c r="C1167" s="1906">
        <f t="shared" si="1345"/>
        <v>0</v>
      </c>
      <c r="D1167" s="1906">
        <f t="shared" si="1345"/>
        <v>0</v>
      </c>
      <c r="E1167" s="1906">
        <f t="shared" si="1345"/>
        <v>0</v>
      </c>
      <c r="F1167" s="1906">
        <f t="shared" si="1345"/>
        <v>0</v>
      </c>
      <c r="G1167" s="1906">
        <f t="shared" si="1345"/>
        <v>0</v>
      </c>
      <c r="H1167" s="1906">
        <f t="shared" si="1345"/>
        <v>0</v>
      </c>
      <c r="I1167" s="1906">
        <f t="shared" si="1345"/>
        <v>0</v>
      </c>
      <c r="J1167" s="1906">
        <f t="shared" si="1345"/>
        <v>0</v>
      </c>
      <c r="K1167" s="1906">
        <f t="shared" si="1345"/>
        <v>0</v>
      </c>
      <c r="L1167" s="1906">
        <f t="shared" si="1345"/>
        <v>0</v>
      </c>
      <c r="M1167" s="1906">
        <f t="shared" si="1345"/>
        <v>0</v>
      </c>
      <c r="N1167" s="107"/>
      <c r="O1167" s="1906"/>
      <c r="P1167" s="1906">
        <f t="shared" si="1256"/>
        <v>0</v>
      </c>
      <c r="Q1167" s="1906">
        <f t="shared" si="1257"/>
        <v>0</v>
      </c>
      <c r="R1167" s="1906">
        <f t="shared" si="1258"/>
        <v>0</v>
      </c>
      <c r="S1167" s="1906">
        <f t="shared" si="1259"/>
        <v>0</v>
      </c>
      <c r="T1167" s="1906">
        <f t="shared" si="1260"/>
        <v>0</v>
      </c>
      <c r="U1167" s="1906">
        <f t="shared" si="1261"/>
        <v>0</v>
      </c>
      <c r="V1167" s="1906">
        <f t="shared" si="1262"/>
        <v>0</v>
      </c>
      <c r="W1167" s="1906">
        <f t="shared" si="1263"/>
        <v>0</v>
      </c>
      <c r="X1167" s="1906">
        <f t="shared" si="1264"/>
        <v>0</v>
      </c>
      <c r="Y1167" s="1906">
        <f t="shared" si="1265"/>
        <v>0</v>
      </c>
      <c r="Z1167" s="1906">
        <f t="shared" si="1266"/>
        <v>0</v>
      </c>
      <c r="AA1167" s="107"/>
      <c r="AB1167" s="1906">
        <f t="shared" si="1267"/>
        <v>0</v>
      </c>
      <c r="AC1167" s="1906">
        <f t="shared" si="1268"/>
        <v>0</v>
      </c>
      <c r="AD1167" s="1906">
        <f t="shared" si="1269"/>
        <v>0</v>
      </c>
      <c r="AE1167" s="1906">
        <f t="shared" si="1270"/>
        <v>0</v>
      </c>
      <c r="AF1167" s="1906">
        <f t="shared" si="1271"/>
        <v>0</v>
      </c>
      <c r="AG1167" s="1906">
        <f t="shared" si="1272"/>
        <v>0</v>
      </c>
      <c r="AH1167" s="1906">
        <f t="shared" si="1273"/>
        <v>0</v>
      </c>
      <c r="AI1167" s="1906">
        <f t="shared" si="1274"/>
        <v>0</v>
      </c>
      <c r="AJ1167" s="1906">
        <f t="shared" si="1275"/>
        <v>0</v>
      </c>
      <c r="AK1167" s="1906">
        <f t="shared" si="1276"/>
        <v>0</v>
      </c>
      <c r="AL1167" s="1906">
        <f t="shared" si="1277"/>
        <v>0</v>
      </c>
      <c r="AM1167" s="1906">
        <f t="shared" si="1278"/>
        <v>0</v>
      </c>
      <c r="AN1167" s="107"/>
      <c r="AO1167" s="1906">
        <f t="shared" si="1279"/>
        <v>0</v>
      </c>
      <c r="AP1167" s="1906">
        <f t="shared" si="1280"/>
        <v>0</v>
      </c>
      <c r="AQ1167" s="1906">
        <f t="shared" si="1281"/>
        <v>0</v>
      </c>
      <c r="AR1167" s="1906">
        <f t="shared" si="1282"/>
        <v>0</v>
      </c>
      <c r="AS1167" s="1906">
        <f t="shared" si="1283"/>
        <v>0</v>
      </c>
      <c r="AT1167" s="1906">
        <f t="shared" si="1284"/>
        <v>0</v>
      </c>
      <c r="AU1167" s="1906">
        <f t="shared" si="1285"/>
        <v>0</v>
      </c>
      <c r="AV1167" s="1906">
        <f t="shared" si="1286"/>
        <v>0</v>
      </c>
      <c r="AW1167" s="1906">
        <f t="shared" si="1287"/>
        <v>0</v>
      </c>
      <c r="AX1167" s="1906">
        <f t="shared" si="1288"/>
        <v>0</v>
      </c>
      <c r="AY1167" s="1906">
        <f t="shared" si="1289"/>
        <v>0</v>
      </c>
      <c r="AZ1167" s="1906">
        <f t="shared" si="1290"/>
        <v>0</v>
      </c>
      <c r="BA1167" s="107"/>
      <c r="BB1167" s="1906">
        <f t="shared" si="1291"/>
        <v>0</v>
      </c>
      <c r="BC1167" s="1906">
        <f t="shared" si="1292"/>
        <v>0</v>
      </c>
      <c r="BD1167" s="1906">
        <f t="shared" si="1293"/>
        <v>0</v>
      </c>
      <c r="BE1167" s="1906">
        <f t="shared" si="1294"/>
        <v>0</v>
      </c>
      <c r="BF1167" s="1906">
        <f t="shared" si="1295"/>
        <v>0</v>
      </c>
      <c r="BG1167" s="1906">
        <f t="shared" si="1296"/>
        <v>0</v>
      </c>
      <c r="BH1167" s="1906">
        <f t="shared" si="1297"/>
        <v>0</v>
      </c>
      <c r="BI1167" s="1906">
        <f t="shared" si="1298"/>
        <v>0</v>
      </c>
      <c r="BJ1167" s="1906">
        <f t="shared" si="1299"/>
        <v>0</v>
      </c>
      <c r="BK1167" s="1906">
        <f t="shared" si="1300"/>
        <v>0</v>
      </c>
      <c r="BL1167" s="1906">
        <f t="shared" si="1301"/>
        <v>0</v>
      </c>
      <c r="BM1167" s="1906">
        <f t="shared" si="1302"/>
        <v>0</v>
      </c>
      <c r="BN1167" s="107"/>
      <c r="BO1167" s="1906">
        <f t="shared" si="1303"/>
        <v>0</v>
      </c>
      <c r="BP1167" s="1906">
        <f t="shared" si="1304"/>
        <v>0</v>
      </c>
      <c r="BQ1167" s="1906">
        <f t="shared" si="1305"/>
        <v>0</v>
      </c>
      <c r="BR1167" s="1906">
        <f t="shared" si="1306"/>
        <v>0</v>
      </c>
      <c r="BS1167" s="1906">
        <f t="shared" si="1307"/>
        <v>0</v>
      </c>
      <c r="BT1167" s="1906">
        <f t="shared" si="1308"/>
        <v>0</v>
      </c>
      <c r="BU1167" s="1906">
        <f t="shared" si="1309"/>
        <v>0</v>
      </c>
      <c r="BV1167" s="1906">
        <f t="shared" si="1310"/>
        <v>0</v>
      </c>
      <c r="BW1167" s="1906">
        <f t="shared" si="1311"/>
        <v>0</v>
      </c>
      <c r="BX1167" s="1906">
        <f t="shared" si="1312"/>
        <v>0</v>
      </c>
      <c r="BY1167" s="1906">
        <f t="shared" si="1313"/>
        <v>0</v>
      </c>
      <c r="BZ1167" s="1906">
        <f t="shared" si="1314"/>
        <v>0</v>
      </c>
      <c r="CA1167" s="1971">
        <f t="shared" si="1315"/>
        <v>0</v>
      </c>
      <c r="CB1167" s="1906">
        <f t="shared" si="1316"/>
        <v>0</v>
      </c>
      <c r="CC1167" s="1906">
        <f t="shared" si="1317"/>
        <v>0</v>
      </c>
      <c r="CD1167" s="1906">
        <f t="shared" si="1318"/>
        <v>0</v>
      </c>
      <c r="CE1167" s="1906">
        <f t="shared" si="1319"/>
        <v>0</v>
      </c>
      <c r="CF1167" s="1906">
        <f t="shared" si="1320"/>
        <v>0</v>
      </c>
      <c r="CG1167" s="1906">
        <f t="shared" si="1321"/>
        <v>0</v>
      </c>
      <c r="CH1167" s="1906">
        <f t="shared" si="1322"/>
        <v>0</v>
      </c>
      <c r="CI1167" s="1906">
        <f t="shared" si="1323"/>
        <v>0</v>
      </c>
      <c r="CJ1167" s="1906">
        <f t="shared" si="1225"/>
        <v>0</v>
      </c>
      <c r="CK1167" s="1906">
        <f t="shared" si="1226"/>
        <v>0</v>
      </c>
      <c r="CL1167" s="1906">
        <f t="shared" si="1227"/>
        <v>0</v>
      </c>
      <c r="CM1167" s="1906">
        <f t="shared" si="1228"/>
        <v>0</v>
      </c>
      <c r="CN1167" s="595">
        <f t="shared" si="1324"/>
        <v>0</v>
      </c>
      <c r="CO1167" s="1443">
        <f t="shared" si="1219"/>
        <v>0</v>
      </c>
      <c r="CQ1167" s="108">
        <f t="shared" si="1325"/>
        <v>0</v>
      </c>
      <c r="CR1167" s="1898">
        <f t="shared" si="1326"/>
        <v>0</v>
      </c>
      <c r="CS1167" s="1898">
        <f t="shared" si="1327"/>
        <v>0</v>
      </c>
      <c r="CT1167" s="1898">
        <f t="shared" si="1328"/>
        <v>0</v>
      </c>
      <c r="CU1167" s="1898">
        <f t="shared" si="1329"/>
        <v>0</v>
      </c>
      <c r="CV1167" s="1898">
        <f t="shared" si="1330"/>
        <v>0</v>
      </c>
      <c r="CW1167" s="1898">
        <f t="shared" si="1331"/>
        <v>0</v>
      </c>
      <c r="CX1167" s="1898">
        <f t="shared" si="1332"/>
        <v>0</v>
      </c>
      <c r="CY1167" s="1898">
        <f t="shared" si="1333"/>
        <v>0</v>
      </c>
      <c r="CZ1167" s="1898">
        <f t="shared" si="1334"/>
        <v>0</v>
      </c>
      <c r="DA1167" s="1898">
        <f t="shared" si="1335"/>
        <v>0</v>
      </c>
      <c r="DB1167" s="1898">
        <f t="shared" si="1336"/>
        <v>0</v>
      </c>
      <c r="DC1167" s="1898">
        <f t="shared" si="1337"/>
        <v>0</v>
      </c>
    </row>
    <row r="1168" spans="1:107" x14ac:dyDescent="0.2">
      <c r="A1168" s="1971" t="str">
        <f t="shared" si="1254"/>
        <v xml:space="preserve">Subtotal Verdeos de Verano </v>
      </c>
      <c r="B1168" s="1906">
        <f t="shared" ref="B1168:M1168" si="1346">SUMIF(C$1054:C$1120,"feb"&amp;$B1024,C$983:C$1049)</f>
        <v>0</v>
      </c>
      <c r="C1168" s="1906">
        <f t="shared" si="1346"/>
        <v>0</v>
      </c>
      <c r="D1168" s="1906">
        <f t="shared" si="1346"/>
        <v>0</v>
      </c>
      <c r="E1168" s="1906">
        <f t="shared" si="1346"/>
        <v>0</v>
      </c>
      <c r="F1168" s="1906">
        <f t="shared" si="1346"/>
        <v>0</v>
      </c>
      <c r="G1168" s="1906">
        <f t="shared" si="1346"/>
        <v>0</v>
      </c>
      <c r="H1168" s="1906">
        <f t="shared" si="1346"/>
        <v>0</v>
      </c>
      <c r="I1168" s="1906">
        <f t="shared" si="1346"/>
        <v>0</v>
      </c>
      <c r="J1168" s="1906">
        <f t="shared" si="1346"/>
        <v>0</v>
      </c>
      <c r="K1168" s="1906">
        <f t="shared" si="1346"/>
        <v>0</v>
      </c>
      <c r="L1168" s="1906">
        <f t="shared" si="1346"/>
        <v>0</v>
      </c>
      <c r="M1168" s="1906">
        <f t="shared" si="1346"/>
        <v>0</v>
      </c>
      <c r="N1168" s="107"/>
      <c r="O1168" s="1906"/>
      <c r="P1168" s="1906">
        <f t="shared" si="1256"/>
        <v>0</v>
      </c>
      <c r="Q1168" s="1906">
        <f t="shared" si="1257"/>
        <v>0</v>
      </c>
      <c r="R1168" s="1906">
        <f t="shared" si="1258"/>
        <v>0</v>
      </c>
      <c r="S1168" s="1906">
        <f t="shared" si="1259"/>
        <v>0</v>
      </c>
      <c r="T1168" s="1906">
        <f t="shared" si="1260"/>
        <v>0</v>
      </c>
      <c r="U1168" s="1906">
        <f t="shared" si="1261"/>
        <v>0</v>
      </c>
      <c r="V1168" s="1906">
        <f t="shared" si="1262"/>
        <v>0</v>
      </c>
      <c r="W1168" s="1906">
        <f t="shared" si="1263"/>
        <v>0</v>
      </c>
      <c r="X1168" s="1906">
        <f t="shared" si="1264"/>
        <v>0</v>
      </c>
      <c r="Y1168" s="1906">
        <f t="shared" si="1265"/>
        <v>0</v>
      </c>
      <c r="Z1168" s="1906">
        <f t="shared" si="1266"/>
        <v>0</v>
      </c>
      <c r="AA1168" s="107"/>
      <c r="AB1168" s="1906">
        <f t="shared" si="1267"/>
        <v>0</v>
      </c>
      <c r="AC1168" s="1906">
        <f t="shared" si="1268"/>
        <v>0</v>
      </c>
      <c r="AD1168" s="1906">
        <f t="shared" si="1269"/>
        <v>0</v>
      </c>
      <c r="AE1168" s="1906">
        <f t="shared" si="1270"/>
        <v>0</v>
      </c>
      <c r="AF1168" s="1906">
        <f t="shared" si="1271"/>
        <v>0</v>
      </c>
      <c r="AG1168" s="1906">
        <f t="shared" si="1272"/>
        <v>0</v>
      </c>
      <c r="AH1168" s="1906">
        <f t="shared" si="1273"/>
        <v>0</v>
      </c>
      <c r="AI1168" s="1906">
        <f t="shared" si="1274"/>
        <v>0</v>
      </c>
      <c r="AJ1168" s="1906">
        <f t="shared" si="1275"/>
        <v>0</v>
      </c>
      <c r="AK1168" s="1906">
        <f t="shared" si="1276"/>
        <v>0</v>
      </c>
      <c r="AL1168" s="1906">
        <f t="shared" si="1277"/>
        <v>0</v>
      </c>
      <c r="AM1168" s="1906">
        <f t="shared" si="1278"/>
        <v>0</v>
      </c>
      <c r="AN1168" s="107"/>
      <c r="AO1168" s="1906">
        <f t="shared" si="1279"/>
        <v>0</v>
      </c>
      <c r="AP1168" s="1906">
        <f t="shared" si="1280"/>
        <v>0</v>
      </c>
      <c r="AQ1168" s="1906">
        <f t="shared" si="1281"/>
        <v>0</v>
      </c>
      <c r="AR1168" s="1906">
        <f t="shared" si="1282"/>
        <v>0</v>
      </c>
      <c r="AS1168" s="1906">
        <f t="shared" si="1283"/>
        <v>0</v>
      </c>
      <c r="AT1168" s="1906">
        <f t="shared" si="1284"/>
        <v>0</v>
      </c>
      <c r="AU1168" s="1906">
        <f t="shared" si="1285"/>
        <v>0</v>
      </c>
      <c r="AV1168" s="1906">
        <f t="shared" si="1286"/>
        <v>0</v>
      </c>
      <c r="AW1168" s="1906">
        <f t="shared" si="1287"/>
        <v>0</v>
      </c>
      <c r="AX1168" s="1906">
        <f t="shared" si="1288"/>
        <v>0</v>
      </c>
      <c r="AY1168" s="1906">
        <f t="shared" si="1289"/>
        <v>0</v>
      </c>
      <c r="AZ1168" s="1906">
        <f t="shared" si="1290"/>
        <v>0</v>
      </c>
      <c r="BA1168" s="107"/>
      <c r="BB1168" s="1906">
        <f t="shared" si="1291"/>
        <v>0</v>
      </c>
      <c r="BC1168" s="1906">
        <f t="shared" si="1292"/>
        <v>0</v>
      </c>
      <c r="BD1168" s="1906">
        <f t="shared" si="1293"/>
        <v>0</v>
      </c>
      <c r="BE1168" s="1906">
        <f t="shared" si="1294"/>
        <v>0</v>
      </c>
      <c r="BF1168" s="1906">
        <f t="shared" si="1295"/>
        <v>0</v>
      </c>
      <c r="BG1168" s="1906">
        <f t="shared" si="1296"/>
        <v>0</v>
      </c>
      <c r="BH1168" s="1906">
        <f t="shared" si="1297"/>
        <v>0</v>
      </c>
      <c r="BI1168" s="1906">
        <f t="shared" si="1298"/>
        <v>0</v>
      </c>
      <c r="BJ1168" s="1906">
        <f t="shared" si="1299"/>
        <v>0</v>
      </c>
      <c r="BK1168" s="1906">
        <f t="shared" si="1300"/>
        <v>0</v>
      </c>
      <c r="BL1168" s="1906">
        <f t="shared" si="1301"/>
        <v>0</v>
      </c>
      <c r="BM1168" s="1906">
        <f t="shared" si="1302"/>
        <v>0</v>
      </c>
      <c r="BN1168" s="107"/>
      <c r="BO1168" s="1906">
        <f t="shared" si="1303"/>
        <v>0</v>
      </c>
      <c r="BP1168" s="1906">
        <f t="shared" si="1304"/>
        <v>0</v>
      </c>
      <c r="BQ1168" s="1906">
        <f t="shared" si="1305"/>
        <v>0</v>
      </c>
      <c r="BR1168" s="1906">
        <f t="shared" si="1306"/>
        <v>0</v>
      </c>
      <c r="BS1168" s="1906">
        <f t="shared" si="1307"/>
        <v>0</v>
      </c>
      <c r="BT1168" s="1906">
        <f t="shared" si="1308"/>
        <v>0</v>
      </c>
      <c r="BU1168" s="1906">
        <f t="shared" si="1309"/>
        <v>0</v>
      </c>
      <c r="BV1168" s="1906">
        <f t="shared" si="1310"/>
        <v>0</v>
      </c>
      <c r="BW1168" s="1906">
        <f t="shared" si="1311"/>
        <v>0</v>
      </c>
      <c r="BX1168" s="1906">
        <f t="shared" si="1312"/>
        <v>0</v>
      </c>
      <c r="BY1168" s="1906">
        <f t="shared" si="1313"/>
        <v>0</v>
      </c>
      <c r="BZ1168" s="1906">
        <f t="shared" si="1314"/>
        <v>0</v>
      </c>
      <c r="CA1168" s="1971" t="str">
        <f t="shared" si="1315"/>
        <v xml:space="preserve">Subtotal Verdeos de Verano </v>
      </c>
      <c r="CB1168" s="1906">
        <f t="shared" si="1316"/>
        <v>0</v>
      </c>
      <c r="CC1168" s="1906">
        <f t="shared" si="1317"/>
        <v>0</v>
      </c>
      <c r="CD1168" s="1906">
        <f t="shared" si="1318"/>
        <v>0</v>
      </c>
      <c r="CE1168" s="1906">
        <f t="shared" si="1319"/>
        <v>0</v>
      </c>
      <c r="CF1168" s="1906">
        <f t="shared" si="1320"/>
        <v>0</v>
      </c>
      <c r="CG1168" s="1906">
        <f t="shared" si="1321"/>
        <v>0</v>
      </c>
      <c r="CH1168" s="1906">
        <f t="shared" si="1322"/>
        <v>0</v>
      </c>
      <c r="CI1168" s="1906">
        <f t="shared" si="1323"/>
        <v>0</v>
      </c>
      <c r="CJ1168" s="1906">
        <f t="shared" si="1225"/>
        <v>0</v>
      </c>
      <c r="CK1168" s="1906">
        <f t="shared" si="1226"/>
        <v>0</v>
      </c>
      <c r="CL1168" s="1906">
        <f t="shared" si="1227"/>
        <v>0</v>
      </c>
      <c r="CM1168" s="1906">
        <f t="shared" si="1228"/>
        <v>0</v>
      </c>
      <c r="CN1168" s="595" t="str">
        <f t="shared" si="1324"/>
        <v xml:space="preserve">Subtotal Verdeos de Verano </v>
      </c>
      <c r="CO1168" s="1443">
        <f t="shared" si="1219"/>
        <v>0</v>
      </c>
      <c r="CQ1168" s="108" t="str">
        <f t="shared" si="1325"/>
        <v xml:space="preserve">Subtotal Verdeos de Verano </v>
      </c>
      <c r="CR1168" s="1898">
        <f t="shared" si="1326"/>
        <v>0</v>
      </c>
      <c r="CS1168" s="1898">
        <f t="shared" si="1327"/>
        <v>0</v>
      </c>
      <c r="CT1168" s="1898">
        <f t="shared" si="1328"/>
        <v>0</v>
      </c>
      <c r="CU1168" s="1898">
        <f t="shared" si="1329"/>
        <v>0</v>
      </c>
      <c r="CV1168" s="1898">
        <f t="shared" si="1330"/>
        <v>0</v>
      </c>
      <c r="CW1168" s="1898">
        <f t="shared" si="1331"/>
        <v>0</v>
      </c>
      <c r="CX1168" s="1898">
        <f t="shared" si="1332"/>
        <v>0</v>
      </c>
      <c r="CY1168" s="1898">
        <f t="shared" si="1333"/>
        <v>0</v>
      </c>
      <c r="CZ1168" s="1898">
        <f t="shared" si="1334"/>
        <v>0</v>
      </c>
      <c r="DA1168" s="1898">
        <f t="shared" si="1335"/>
        <v>0</v>
      </c>
      <c r="DB1168" s="1898">
        <f t="shared" si="1336"/>
        <v>0</v>
      </c>
      <c r="DC1168" s="1898">
        <f t="shared" si="1337"/>
        <v>0</v>
      </c>
    </row>
    <row r="1169" spans="1:107" x14ac:dyDescent="0.2">
      <c r="A1169" s="1971" t="str">
        <f t="shared" si="1254"/>
        <v>Maíz Silo</v>
      </c>
      <c r="B1169" s="1906">
        <f t="shared" ref="B1169:M1169" si="1347">SUMIF(C$1054:C$1120,"feb"&amp;$B1025,C$983:C$1049)</f>
        <v>0</v>
      </c>
      <c r="C1169" s="1906">
        <f t="shared" si="1347"/>
        <v>0</v>
      </c>
      <c r="D1169" s="1906">
        <f t="shared" si="1347"/>
        <v>0</v>
      </c>
      <c r="E1169" s="1906">
        <f t="shared" si="1347"/>
        <v>0</v>
      </c>
      <c r="F1169" s="1906">
        <f t="shared" si="1347"/>
        <v>0</v>
      </c>
      <c r="G1169" s="1906">
        <f t="shared" si="1347"/>
        <v>0</v>
      </c>
      <c r="H1169" s="1906">
        <f t="shared" si="1347"/>
        <v>0</v>
      </c>
      <c r="I1169" s="1906">
        <f t="shared" si="1347"/>
        <v>0</v>
      </c>
      <c r="J1169" s="1906">
        <f t="shared" si="1347"/>
        <v>0</v>
      </c>
      <c r="K1169" s="1906">
        <f t="shared" si="1347"/>
        <v>0</v>
      </c>
      <c r="L1169" s="1906">
        <f t="shared" si="1347"/>
        <v>0</v>
      </c>
      <c r="M1169" s="1906">
        <f t="shared" si="1347"/>
        <v>0</v>
      </c>
      <c r="N1169" s="107"/>
      <c r="O1169" s="1906"/>
      <c r="P1169" s="1906">
        <f t="shared" si="1256"/>
        <v>0</v>
      </c>
      <c r="Q1169" s="1906">
        <f t="shared" si="1257"/>
        <v>0</v>
      </c>
      <c r="R1169" s="1906">
        <f t="shared" si="1258"/>
        <v>0</v>
      </c>
      <c r="S1169" s="1906">
        <f t="shared" si="1259"/>
        <v>0</v>
      </c>
      <c r="T1169" s="1906">
        <f t="shared" si="1260"/>
        <v>0</v>
      </c>
      <c r="U1169" s="1906">
        <f t="shared" si="1261"/>
        <v>0</v>
      </c>
      <c r="V1169" s="1906">
        <f t="shared" si="1262"/>
        <v>0</v>
      </c>
      <c r="W1169" s="1906">
        <f t="shared" si="1263"/>
        <v>0</v>
      </c>
      <c r="X1169" s="1906">
        <f t="shared" si="1264"/>
        <v>0</v>
      </c>
      <c r="Y1169" s="1906">
        <f t="shared" si="1265"/>
        <v>0</v>
      </c>
      <c r="Z1169" s="1906">
        <f t="shared" si="1266"/>
        <v>0</v>
      </c>
      <c r="AA1169" s="107"/>
      <c r="AB1169" s="1906">
        <f t="shared" si="1267"/>
        <v>0</v>
      </c>
      <c r="AC1169" s="1906">
        <f t="shared" si="1268"/>
        <v>0</v>
      </c>
      <c r="AD1169" s="1906">
        <f t="shared" si="1269"/>
        <v>0</v>
      </c>
      <c r="AE1169" s="1906">
        <f t="shared" si="1270"/>
        <v>0</v>
      </c>
      <c r="AF1169" s="1906">
        <f t="shared" si="1271"/>
        <v>0</v>
      </c>
      <c r="AG1169" s="1906">
        <f t="shared" si="1272"/>
        <v>0</v>
      </c>
      <c r="AH1169" s="1906">
        <f t="shared" si="1273"/>
        <v>0</v>
      </c>
      <c r="AI1169" s="1906">
        <f t="shared" si="1274"/>
        <v>0</v>
      </c>
      <c r="AJ1169" s="1906">
        <f t="shared" si="1275"/>
        <v>0</v>
      </c>
      <c r="AK1169" s="1906">
        <f t="shared" si="1276"/>
        <v>0</v>
      </c>
      <c r="AL1169" s="1906">
        <f t="shared" si="1277"/>
        <v>0</v>
      </c>
      <c r="AM1169" s="1906">
        <f t="shared" si="1278"/>
        <v>0</v>
      </c>
      <c r="AN1169" s="107"/>
      <c r="AO1169" s="1906">
        <f t="shared" si="1279"/>
        <v>0</v>
      </c>
      <c r="AP1169" s="1906">
        <f t="shared" si="1280"/>
        <v>0</v>
      </c>
      <c r="AQ1169" s="1906">
        <f t="shared" si="1281"/>
        <v>0</v>
      </c>
      <c r="AR1169" s="1906">
        <f t="shared" si="1282"/>
        <v>0</v>
      </c>
      <c r="AS1169" s="1906">
        <f t="shared" si="1283"/>
        <v>0</v>
      </c>
      <c r="AT1169" s="1906">
        <f t="shared" si="1284"/>
        <v>0</v>
      </c>
      <c r="AU1169" s="1906">
        <f t="shared" si="1285"/>
        <v>0</v>
      </c>
      <c r="AV1169" s="1906">
        <f t="shared" si="1286"/>
        <v>0</v>
      </c>
      <c r="AW1169" s="1906">
        <f t="shared" si="1287"/>
        <v>0</v>
      </c>
      <c r="AX1169" s="1906">
        <f t="shared" si="1288"/>
        <v>0</v>
      </c>
      <c r="AY1169" s="1906">
        <f t="shared" si="1289"/>
        <v>0</v>
      </c>
      <c r="AZ1169" s="1906">
        <f t="shared" si="1290"/>
        <v>0</v>
      </c>
      <c r="BA1169" s="107"/>
      <c r="BB1169" s="1906">
        <f t="shared" si="1291"/>
        <v>0</v>
      </c>
      <c r="BC1169" s="1906">
        <f t="shared" si="1292"/>
        <v>0</v>
      </c>
      <c r="BD1169" s="1906">
        <f t="shared" si="1293"/>
        <v>0</v>
      </c>
      <c r="BE1169" s="1906">
        <f t="shared" si="1294"/>
        <v>0</v>
      </c>
      <c r="BF1169" s="1906">
        <f t="shared" si="1295"/>
        <v>0</v>
      </c>
      <c r="BG1169" s="1906">
        <f t="shared" si="1296"/>
        <v>0</v>
      </c>
      <c r="BH1169" s="1906">
        <f t="shared" si="1297"/>
        <v>0</v>
      </c>
      <c r="BI1169" s="1906">
        <f t="shared" si="1298"/>
        <v>0</v>
      </c>
      <c r="BJ1169" s="1906">
        <f t="shared" si="1299"/>
        <v>0</v>
      </c>
      <c r="BK1169" s="1906">
        <f t="shared" si="1300"/>
        <v>0</v>
      </c>
      <c r="BL1169" s="1906">
        <f t="shared" si="1301"/>
        <v>0</v>
      </c>
      <c r="BM1169" s="1906">
        <f t="shared" si="1302"/>
        <v>0</v>
      </c>
      <c r="BN1169" s="107"/>
      <c r="BO1169" s="1906">
        <f t="shared" si="1303"/>
        <v>0</v>
      </c>
      <c r="BP1169" s="1906">
        <f t="shared" si="1304"/>
        <v>0</v>
      </c>
      <c r="BQ1169" s="1906">
        <f t="shared" si="1305"/>
        <v>0</v>
      </c>
      <c r="BR1169" s="1906">
        <f t="shared" si="1306"/>
        <v>0</v>
      </c>
      <c r="BS1169" s="1906">
        <f t="shared" si="1307"/>
        <v>0</v>
      </c>
      <c r="BT1169" s="1906">
        <f t="shared" si="1308"/>
        <v>0</v>
      </c>
      <c r="BU1169" s="1906">
        <f t="shared" si="1309"/>
        <v>0</v>
      </c>
      <c r="BV1169" s="1906">
        <f t="shared" si="1310"/>
        <v>0</v>
      </c>
      <c r="BW1169" s="1906">
        <f t="shared" si="1311"/>
        <v>0</v>
      </c>
      <c r="BX1169" s="1906">
        <f t="shared" si="1312"/>
        <v>0</v>
      </c>
      <c r="BY1169" s="1906">
        <f t="shared" si="1313"/>
        <v>0</v>
      </c>
      <c r="BZ1169" s="1906">
        <f t="shared" si="1314"/>
        <v>0</v>
      </c>
      <c r="CA1169" s="1971" t="str">
        <f t="shared" si="1315"/>
        <v>Maíz Silo</v>
      </c>
      <c r="CB1169" s="1906">
        <f t="shared" si="1316"/>
        <v>0</v>
      </c>
      <c r="CC1169" s="1906">
        <f t="shared" si="1317"/>
        <v>0</v>
      </c>
      <c r="CD1169" s="1906">
        <f t="shared" si="1318"/>
        <v>0</v>
      </c>
      <c r="CE1169" s="1906">
        <f t="shared" si="1319"/>
        <v>0</v>
      </c>
      <c r="CF1169" s="1906">
        <f t="shared" si="1320"/>
        <v>0</v>
      </c>
      <c r="CG1169" s="1906">
        <f t="shared" si="1321"/>
        <v>0</v>
      </c>
      <c r="CH1169" s="1906">
        <f t="shared" si="1322"/>
        <v>0</v>
      </c>
      <c r="CI1169" s="1906">
        <f t="shared" si="1323"/>
        <v>0</v>
      </c>
      <c r="CJ1169" s="1906">
        <f t="shared" si="1225"/>
        <v>0</v>
      </c>
      <c r="CK1169" s="1906">
        <f t="shared" si="1226"/>
        <v>0</v>
      </c>
      <c r="CL1169" s="1906">
        <f t="shared" si="1227"/>
        <v>0</v>
      </c>
      <c r="CM1169" s="1906">
        <f t="shared" si="1228"/>
        <v>0</v>
      </c>
      <c r="CN1169" s="595" t="str">
        <f t="shared" si="1324"/>
        <v>Maíz Silo</v>
      </c>
      <c r="CO1169" s="1443">
        <f t="shared" si="1219"/>
        <v>0</v>
      </c>
      <c r="CQ1169" s="108" t="str">
        <f t="shared" si="1325"/>
        <v>Maíz Silo</v>
      </c>
      <c r="CR1169" s="1898">
        <f t="shared" si="1326"/>
        <v>0</v>
      </c>
      <c r="CS1169" s="1898">
        <f t="shared" si="1327"/>
        <v>0</v>
      </c>
      <c r="CT1169" s="1898">
        <f t="shared" si="1328"/>
        <v>0</v>
      </c>
      <c r="CU1169" s="1898">
        <f t="shared" si="1329"/>
        <v>0</v>
      </c>
      <c r="CV1169" s="1898">
        <f t="shared" si="1330"/>
        <v>0</v>
      </c>
      <c r="CW1169" s="1898">
        <f t="shared" si="1331"/>
        <v>0</v>
      </c>
      <c r="CX1169" s="1898">
        <f t="shared" si="1332"/>
        <v>0</v>
      </c>
      <c r="CY1169" s="1898">
        <f t="shared" si="1333"/>
        <v>0</v>
      </c>
      <c r="CZ1169" s="1898">
        <f t="shared" si="1334"/>
        <v>0</v>
      </c>
      <c r="DA1169" s="1898">
        <f t="shared" si="1335"/>
        <v>0</v>
      </c>
      <c r="DB1169" s="1898">
        <f t="shared" si="1336"/>
        <v>0</v>
      </c>
      <c r="DC1169" s="1898">
        <f t="shared" si="1337"/>
        <v>0</v>
      </c>
    </row>
    <row r="1170" spans="1:107" x14ac:dyDescent="0.2">
      <c r="A1170" s="1971" t="str">
        <f t="shared" si="1254"/>
        <v>Sorgo silo</v>
      </c>
      <c r="B1170" s="1906">
        <f t="shared" ref="B1170:M1170" si="1348">SUMIF(C$1054:C$1120,"feb"&amp;$B1026,C$983:C$1049)</f>
        <v>0</v>
      </c>
      <c r="C1170" s="1906">
        <f t="shared" si="1348"/>
        <v>0</v>
      </c>
      <c r="D1170" s="1906">
        <f t="shared" si="1348"/>
        <v>0</v>
      </c>
      <c r="E1170" s="1906">
        <f t="shared" si="1348"/>
        <v>0</v>
      </c>
      <c r="F1170" s="1906">
        <f t="shared" si="1348"/>
        <v>0</v>
      </c>
      <c r="G1170" s="1906">
        <f t="shared" si="1348"/>
        <v>0</v>
      </c>
      <c r="H1170" s="1906">
        <f t="shared" si="1348"/>
        <v>0</v>
      </c>
      <c r="I1170" s="1906">
        <f t="shared" si="1348"/>
        <v>0</v>
      </c>
      <c r="J1170" s="1906">
        <f t="shared" si="1348"/>
        <v>0</v>
      </c>
      <c r="K1170" s="1906">
        <f t="shared" si="1348"/>
        <v>0</v>
      </c>
      <c r="L1170" s="1906">
        <f t="shared" si="1348"/>
        <v>0</v>
      </c>
      <c r="M1170" s="1906">
        <f t="shared" si="1348"/>
        <v>0</v>
      </c>
      <c r="N1170" s="107"/>
      <c r="O1170" s="1906"/>
      <c r="P1170" s="1906">
        <f t="shared" si="1256"/>
        <v>0</v>
      </c>
      <c r="Q1170" s="1906">
        <f t="shared" si="1257"/>
        <v>0</v>
      </c>
      <c r="R1170" s="1906">
        <f t="shared" si="1258"/>
        <v>0</v>
      </c>
      <c r="S1170" s="1906">
        <f t="shared" si="1259"/>
        <v>0</v>
      </c>
      <c r="T1170" s="1906">
        <f t="shared" si="1260"/>
        <v>0</v>
      </c>
      <c r="U1170" s="1906">
        <f t="shared" si="1261"/>
        <v>0</v>
      </c>
      <c r="V1170" s="1906">
        <f t="shared" si="1262"/>
        <v>0</v>
      </c>
      <c r="W1170" s="1906">
        <f t="shared" si="1263"/>
        <v>0</v>
      </c>
      <c r="X1170" s="1906">
        <f t="shared" si="1264"/>
        <v>0</v>
      </c>
      <c r="Y1170" s="1906">
        <f t="shared" si="1265"/>
        <v>0</v>
      </c>
      <c r="Z1170" s="1906">
        <f t="shared" si="1266"/>
        <v>0</v>
      </c>
      <c r="AA1170" s="107"/>
      <c r="AB1170" s="1906">
        <f t="shared" si="1267"/>
        <v>0</v>
      </c>
      <c r="AC1170" s="1906">
        <f t="shared" si="1268"/>
        <v>0</v>
      </c>
      <c r="AD1170" s="1906">
        <f t="shared" si="1269"/>
        <v>0</v>
      </c>
      <c r="AE1170" s="1906">
        <f t="shared" si="1270"/>
        <v>0</v>
      </c>
      <c r="AF1170" s="1906">
        <f t="shared" si="1271"/>
        <v>0</v>
      </c>
      <c r="AG1170" s="1906">
        <f t="shared" si="1272"/>
        <v>0</v>
      </c>
      <c r="AH1170" s="1906">
        <f t="shared" si="1273"/>
        <v>0</v>
      </c>
      <c r="AI1170" s="1906">
        <f t="shared" si="1274"/>
        <v>0</v>
      </c>
      <c r="AJ1170" s="1906">
        <f t="shared" si="1275"/>
        <v>0</v>
      </c>
      <c r="AK1170" s="1906">
        <f t="shared" si="1276"/>
        <v>0</v>
      </c>
      <c r="AL1170" s="1906">
        <f t="shared" si="1277"/>
        <v>0</v>
      </c>
      <c r="AM1170" s="1906">
        <f t="shared" si="1278"/>
        <v>0</v>
      </c>
      <c r="AN1170" s="107"/>
      <c r="AO1170" s="1906">
        <f t="shared" si="1279"/>
        <v>0</v>
      </c>
      <c r="AP1170" s="1906">
        <f t="shared" si="1280"/>
        <v>0</v>
      </c>
      <c r="AQ1170" s="1906">
        <f t="shared" si="1281"/>
        <v>0</v>
      </c>
      <c r="AR1170" s="1906">
        <f t="shared" si="1282"/>
        <v>0</v>
      </c>
      <c r="AS1170" s="1906">
        <f t="shared" si="1283"/>
        <v>0</v>
      </c>
      <c r="AT1170" s="1906">
        <f t="shared" si="1284"/>
        <v>0</v>
      </c>
      <c r="AU1170" s="1906">
        <f t="shared" si="1285"/>
        <v>0</v>
      </c>
      <c r="AV1170" s="1906">
        <f t="shared" si="1286"/>
        <v>0</v>
      </c>
      <c r="AW1170" s="1906">
        <f t="shared" si="1287"/>
        <v>0</v>
      </c>
      <c r="AX1170" s="1906">
        <f t="shared" si="1288"/>
        <v>0</v>
      </c>
      <c r="AY1170" s="1906">
        <f t="shared" si="1289"/>
        <v>0</v>
      </c>
      <c r="AZ1170" s="1906">
        <f t="shared" si="1290"/>
        <v>0</v>
      </c>
      <c r="BA1170" s="107"/>
      <c r="BB1170" s="1906">
        <f t="shared" si="1291"/>
        <v>0</v>
      </c>
      <c r="BC1170" s="1906">
        <f t="shared" si="1292"/>
        <v>0</v>
      </c>
      <c r="BD1170" s="1906">
        <f t="shared" si="1293"/>
        <v>0</v>
      </c>
      <c r="BE1170" s="1906">
        <f t="shared" si="1294"/>
        <v>0</v>
      </c>
      <c r="BF1170" s="1906">
        <f t="shared" si="1295"/>
        <v>0</v>
      </c>
      <c r="BG1170" s="1906">
        <f t="shared" si="1296"/>
        <v>0</v>
      </c>
      <c r="BH1170" s="1906">
        <f t="shared" si="1297"/>
        <v>0</v>
      </c>
      <c r="BI1170" s="1906">
        <f t="shared" si="1298"/>
        <v>0</v>
      </c>
      <c r="BJ1170" s="1906">
        <f t="shared" si="1299"/>
        <v>0</v>
      </c>
      <c r="BK1170" s="1906">
        <f t="shared" si="1300"/>
        <v>0</v>
      </c>
      <c r="BL1170" s="1906">
        <f t="shared" si="1301"/>
        <v>0</v>
      </c>
      <c r="BM1170" s="1906">
        <f t="shared" si="1302"/>
        <v>0</v>
      </c>
      <c r="BN1170" s="107"/>
      <c r="BO1170" s="1906">
        <f t="shared" si="1303"/>
        <v>0</v>
      </c>
      <c r="BP1170" s="1906">
        <f t="shared" si="1304"/>
        <v>0</v>
      </c>
      <c r="BQ1170" s="1906">
        <f t="shared" si="1305"/>
        <v>0</v>
      </c>
      <c r="BR1170" s="1906">
        <f t="shared" si="1306"/>
        <v>0</v>
      </c>
      <c r="BS1170" s="1906">
        <f t="shared" si="1307"/>
        <v>0</v>
      </c>
      <c r="BT1170" s="1906">
        <f t="shared" si="1308"/>
        <v>0</v>
      </c>
      <c r="BU1170" s="1906">
        <f t="shared" si="1309"/>
        <v>0</v>
      </c>
      <c r="BV1170" s="1906">
        <f t="shared" si="1310"/>
        <v>0</v>
      </c>
      <c r="BW1170" s="1906">
        <f t="shared" si="1311"/>
        <v>0</v>
      </c>
      <c r="BX1170" s="1906">
        <f t="shared" si="1312"/>
        <v>0</v>
      </c>
      <c r="BY1170" s="1906">
        <f t="shared" si="1313"/>
        <v>0</v>
      </c>
      <c r="BZ1170" s="1906">
        <f t="shared" si="1314"/>
        <v>0</v>
      </c>
      <c r="CA1170" s="1971" t="str">
        <f t="shared" si="1315"/>
        <v>Sorgo silo</v>
      </c>
      <c r="CB1170" s="1906">
        <f t="shared" si="1316"/>
        <v>0</v>
      </c>
      <c r="CC1170" s="1906">
        <f t="shared" si="1317"/>
        <v>0</v>
      </c>
      <c r="CD1170" s="1906">
        <f t="shared" si="1318"/>
        <v>0</v>
      </c>
      <c r="CE1170" s="1906">
        <f t="shared" si="1319"/>
        <v>0</v>
      </c>
      <c r="CF1170" s="1906">
        <f t="shared" si="1320"/>
        <v>0</v>
      </c>
      <c r="CG1170" s="1906">
        <f t="shared" si="1321"/>
        <v>0</v>
      </c>
      <c r="CH1170" s="1906">
        <f t="shared" si="1322"/>
        <v>0</v>
      </c>
      <c r="CI1170" s="1906">
        <f t="shared" si="1323"/>
        <v>0</v>
      </c>
      <c r="CJ1170" s="1906">
        <f t="shared" si="1225"/>
        <v>0</v>
      </c>
      <c r="CK1170" s="1906">
        <f t="shared" si="1226"/>
        <v>0</v>
      </c>
      <c r="CL1170" s="1906">
        <f t="shared" si="1227"/>
        <v>0</v>
      </c>
      <c r="CM1170" s="1906">
        <f t="shared" si="1228"/>
        <v>0</v>
      </c>
      <c r="CN1170" s="595" t="str">
        <f t="shared" si="1324"/>
        <v>Sorgo silo</v>
      </c>
      <c r="CO1170" s="1443">
        <f t="shared" si="1219"/>
        <v>0</v>
      </c>
      <c r="CQ1170" s="108" t="str">
        <f t="shared" si="1325"/>
        <v>Sorgo silo</v>
      </c>
      <c r="CR1170" s="1898">
        <f t="shared" si="1326"/>
        <v>0</v>
      </c>
      <c r="CS1170" s="1898">
        <f t="shared" si="1327"/>
        <v>0</v>
      </c>
      <c r="CT1170" s="1898">
        <f t="shared" si="1328"/>
        <v>0</v>
      </c>
      <c r="CU1170" s="1898">
        <f t="shared" si="1329"/>
        <v>0</v>
      </c>
      <c r="CV1170" s="1898">
        <f t="shared" si="1330"/>
        <v>0</v>
      </c>
      <c r="CW1170" s="1898">
        <f t="shared" si="1331"/>
        <v>0</v>
      </c>
      <c r="CX1170" s="1898">
        <f t="shared" si="1332"/>
        <v>0</v>
      </c>
      <c r="CY1170" s="1898">
        <f t="shared" si="1333"/>
        <v>0</v>
      </c>
      <c r="CZ1170" s="1898">
        <f t="shared" si="1334"/>
        <v>0</v>
      </c>
      <c r="DA1170" s="1898">
        <f t="shared" si="1335"/>
        <v>0</v>
      </c>
      <c r="DB1170" s="1898">
        <f t="shared" si="1336"/>
        <v>0</v>
      </c>
      <c r="DC1170" s="1898">
        <f t="shared" si="1337"/>
        <v>0</v>
      </c>
    </row>
    <row r="1171" spans="1:107" x14ac:dyDescent="0.2">
      <c r="A1171" s="1971" t="str">
        <f t="shared" si="1254"/>
        <v>Moha</v>
      </c>
      <c r="B1171" s="1906">
        <f t="shared" ref="B1171:M1171" si="1349">SUMIF(C$1054:C$1120,"feb"&amp;$B1027,C$983:C$1049)</f>
        <v>0</v>
      </c>
      <c r="C1171" s="1906">
        <f t="shared" si="1349"/>
        <v>0</v>
      </c>
      <c r="D1171" s="1906">
        <f t="shared" si="1349"/>
        <v>0</v>
      </c>
      <c r="E1171" s="1906">
        <f t="shared" si="1349"/>
        <v>0</v>
      </c>
      <c r="F1171" s="1906">
        <f t="shared" si="1349"/>
        <v>0</v>
      </c>
      <c r="G1171" s="1906">
        <f t="shared" si="1349"/>
        <v>0</v>
      </c>
      <c r="H1171" s="1906">
        <f t="shared" si="1349"/>
        <v>0</v>
      </c>
      <c r="I1171" s="1906">
        <f t="shared" si="1349"/>
        <v>0</v>
      </c>
      <c r="J1171" s="1906">
        <f t="shared" si="1349"/>
        <v>0</v>
      </c>
      <c r="K1171" s="1906">
        <f t="shared" si="1349"/>
        <v>0</v>
      </c>
      <c r="L1171" s="1906">
        <f t="shared" si="1349"/>
        <v>0</v>
      </c>
      <c r="M1171" s="1906">
        <f t="shared" si="1349"/>
        <v>0</v>
      </c>
      <c r="N1171" s="107"/>
      <c r="O1171" s="1906"/>
      <c r="P1171" s="1906">
        <f t="shared" si="1256"/>
        <v>0</v>
      </c>
      <c r="Q1171" s="1906">
        <f t="shared" si="1257"/>
        <v>0</v>
      </c>
      <c r="R1171" s="1906">
        <f t="shared" si="1258"/>
        <v>0</v>
      </c>
      <c r="S1171" s="1906">
        <f t="shared" si="1259"/>
        <v>0</v>
      </c>
      <c r="T1171" s="1906">
        <f t="shared" si="1260"/>
        <v>0</v>
      </c>
      <c r="U1171" s="1906">
        <f t="shared" si="1261"/>
        <v>0</v>
      </c>
      <c r="V1171" s="1906">
        <f t="shared" si="1262"/>
        <v>0</v>
      </c>
      <c r="W1171" s="1906">
        <f t="shared" si="1263"/>
        <v>0</v>
      </c>
      <c r="X1171" s="1906">
        <f t="shared" si="1264"/>
        <v>0</v>
      </c>
      <c r="Y1171" s="1906">
        <f t="shared" si="1265"/>
        <v>0</v>
      </c>
      <c r="Z1171" s="1906">
        <f t="shared" si="1266"/>
        <v>0</v>
      </c>
      <c r="AA1171" s="107"/>
      <c r="AB1171" s="1906">
        <f t="shared" si="1267"/>
        <v>0</v>
      </c>
      <c r="AC1171" s="1906">
        <f t="shared" si="1268"/>
        <v>0</v>
      </c>
      <c r="AD1171" s="1906">
        <f t="shared" si="1269"/>
        <v>0</v>
      </c>
      <c r="AE1171" s="1906">
        <f t="shared" si="1270"/>
        <v>0</v>
      </c>
      <c r="AF1171" s="1906">
        <f t="shared" si="1271"/>
        <v>0</v>
      </c>
      <c r="AG1171" s="1906">
        <f t="shared" si="1272"/>
        <v>0</v>
      </c>
      <c r="AH1171" s="1906">
        <f t="shared" si="1273"/>
        <v>0</v>
      </c>
      <c r="AI1171" s="1906">
        <f t="shared" si="1274"/>
        <v>0</v>
      </c>
      <c r="AJ1171" s="1906">
        <f t="shared" si="1275"/>
        <v>0</v>
      </c>
      <c r="AK1171" s="1906">
        <f t="shared" si="1276"/>
        <v>0</v>
      </c>
      <c r="AL1171" s="1906">
        <f t="shared" si="1277"/>
        <v>0</v>
      </c>
      <c r="AM1171" s="1906">
        <f t="shared" si="1278"/>
        <v>0</v>
      </c>
      <c r="AN1171" s="107"/>
      <c r="AO1171" s="1906">
        <f t="shared" si="1279"/>
        <v>0</v>
      </c>
      <c r="AP1171" s="1906">
        <f t="shared" si="1280"/>
        <v>0</v>
      </c>
      <c r="AQ1171" s="1906">
        <f t="shared" si="1281"/>
        <v>0</v>
      </c>
      <c r="AR1171" s="1906">
        <f t="shared" si="1282"/>
        <v>0</v>
      </c>
      <c r="AS1171" s="1906">
        <f t="shared" si="1283"/>
        <v>0</v>
      </c>
      <c r="AT1171" s="1906">
        <f t="shared" si="1284"/>
        <v>0</v>
      </c>
      <c r="AU1171" s="1906">
        <f t="shared" si="1285"/>
        <v>0</v>
      </c>
      <c r="AV1171" s="1906">
        <f t="shared" si="1286"/>
        <v>0</v>
      </c>
      <c r="AW1171" s="1906">
        <f t="shared" si="1287"/>
        <v>0</v>
      </c>
      <c r="AX1171" s="1906">
        <f t="shared" si="1288"/>
        <v>0</v>
      </c>
      <c r="AY1171" s="1906">
        <f t="shared" si="1289"/>
        <v>0</v>
      </c>
      <c r="AZ1171" s="1906">
        <f t="shared" si="1290"/>
        <v>0</v>
      </c>
      <c r="BA1171" s="107"/>
      <c r="BB1171" s="1906">
        <f t="shared" si="1291"/>
        <v>0</v>
      </c>
      <c r="BC1171" s="1906">
        <f t="shared" si="1292"/>
        <v>0</v>
      </c>
      <c r="BD1171" s="1906">
        <f t="shared" si="1293"/>
        <v>0</v>
      </c>
      <c r="BE1171" s="1906">
        <f t="shared" si="1294"/>
        <v>0</v>
      </c>
      <c r="BF1171" s="1906">
        <f t="shared" si="1295"/>
        <v>0</v>
      </c>
      <c r="BG1171" s="1906">
        <f t="shared" si="1296"/>
        <v>0</v>
      </c>
      <c r="BH1171" s="1906">
        <f t="shared" si="1297"/>
        <v>0</v>
      </c>
      <c r="BI1171" s="1906">
        <f t="shared" si="1298"/>
        <v>0</v>
      </c>
      <c r="BJ1171" s="1906">
        <f t="shared" si="1299"/>
        <v>0</v>
      </c>
      <c r="BK1171" s="1906">
        <f t="shared" si="1300"/>
        <v>0</v>
      </c>
      <c r="BL1171" s="1906">
        <f t="shared" si="1301"/>
        <v>0</v>
      </c>
      <c r="BM1171" s="1906">
        <f t="shared" si="1302"/>
        <v>0</v>
      </c>
      <c r="BN1171" s="107"/>
      <c r="BO1171" s="1906">
        <f t="shared" si="1303"/>
        <v>0</v>
      </c>
      <c r="BP1171" s="1906">
        <f t="shared" si="1304"/>
        <v>0</v>
      </c>
      <c r="BQ1171" s="1906">
        <f t="shared" si="1305"/>
        <v>0</v>
      </c>
      <c r="BR1171" s="1906">
        <f t="shared" si="1306"/>
        <v>0</v>
      </c>
      <c r="BS1171" s="1906">
        <f t="shared" si="1307"/>
        <v>0</v>
      </c>
      <c r="BT1171" s="1906">
        <f t="shared" si="1308"/>
        <v>0</v>
      </c>
      <c r="BU1171" s="1906">
        <f t="shared" si="1309"/>
        <v>0</v>
      </c>
      <c r="BV1171" s="1906">
        <f t="shared" si="1310"/>
        <v>0</v>
      </c>
      <c r="BW1171" s="1906">
        <f t="shared" si="1311"/>
        <v>0</v>
      </c>
      <c r="BX1171" s="1906">
        <f t="shared" si="1312"/>
        <v>0</v>
      </c>
      <c r="BY1171" s="1906">
        <f t="shared" si="1313"/>
        <v>0</v>
      </c>
      <c r="BZ1171" s="1906">
        <f t="shared" si="1314"/>
        <v>0</v>
      </c>
      <c r="CA1171" s="1971" t="str">
        <f t="shared" si="1315"/>
        <v>Moha</v>
      </c>
      <c r="CB1171" s="1906">
        <f t="shared" si="1316"/>
        <v>0</v>
      </c>
      <c r="CC1171" s="1906">
        <f t="shared" si="1317"/>
        <v>0</v>
      </c>
      <c r="CD1171" s="1906">
        <f t="shared" si="1318"/>
        <v>0</v>
      </c>
      <c r="CE1171" s="1906">
        <f t="shared" si="1319"/>
        <v>0</v>
      </c>
      <c r="CF1171" s="1906">
        <f t="shared" si="1320"/>
        <v>0</v>
      </c>
      <c r="CG1171" s="1906">
        <f t="shared" si="1321"/>
        <v>0</v>
      </c>
      <c r="CH1171" s="1906">
        <f t="shared" si="1322"/>
        <v>0</v>
      </c>
      <c r="CI1171" s="1906">
        <f t="shared" si="1323"/>
        <v>0</v>
      </c>
      <c r="CJ1171" s="1906">
        <f t="shared" si="1225"/>
        <v>0</v>
      </c>
      <c r="CK1171" s="1906">
        <f t="shared" si="1226"/>
        <v>0</v>
      </c>
      <c r="CL1171" s="1906">
        <f t="shared" si="1227"/>
        <v>0</v>
      </c>
      <c r="CM1171" s="1906">
        <f t="shared" si="1228"/>
        <v>0</v>
      </c>
      <c r="CN1171" s="595" t="str">
        <f t="shared" si="1324"/>
        <v>Moha</v>
      </c>
      <c r="CO1171" s="1443">
        <f t="shared" si="1219"/>
        <v>0</v>
      </c>
      <c r="CQ1171" s="108" t="str">
        <f t="shared" si="1325"/>
        <v>Moha</v>
      </c>
      <c r="CR1171" s="1898">
        <f t="shared" si="1326"/>
        <v>0</v>
      </c>
      <c r="CS1171" s="1898">
        <f t="shared" si="1327"/>
        <v>0</v>
      </c>
      <c r="CT1171" s="1898">
        <f t="shared" si="1328"/>
        <v>0</v>
      </c>
      <c r="CU1171" s="1898">
        <f t="shared" si="1329"/>
        <v>0</v>
      </c>
      <c r="CV1171" s="1898">
        <f t="shared" si="1330"/>
        <v>0</v>
      </c>
      <c r="CW1171" s="1898">
        <f t="shared" si="1331"/>
        <v>0</v>
      </c>
      <c r="CX1171" s="1898">
        <f t="shared" si="1332"/>
        <v>0</v>
      </c>
      <c r="CY1171" s="1898">
        <f t="shared" si="1333"/>
        <v>0</v>
      </c>
      <c r="CZ1171" s="1898">
        <f t="shared" si="1334"/>
        <v>0</v>
      </c>
      <c r="DA1171" s="1898">
        <f t="shared" si="1335"/>
        <v>0</v>
      </c>
      <c r="DB1171" s="1898">
        <f t="shared" si="1336"/>
        <v>0</v>
      </c>
      <c r="DC1171" s="1898">
        <f t="shared" si="1337"/>
        <v>0</v>
      </c>
    </row>
    <row r="1172" spans="1:107" x14ac:dyDescent="0.2">
      <c r="A1172" s="1971" t="str">
        <f t="shared" si="1254"/>
        <v>Soja reserva</v>
      </c>
      <c r="B1172" s="1906">
        <f t="shared" ref="B1172:M1172" si="1350">SUMIF(C$1054:C$1120,"feb"&amp;$B1028,C$983:C$1049)</f>
        <v>0</v>
      </c>
      <c r="C1172" s="1906">
        <f t="shared" si="1350"/>
        <v>0</v>
      </c>
      <c r="D1172" s="1906">
        <f t="shared" si="1350"/>
        <v>0</v>
      </c>
      <c r="E1172" s="1906">
        <f t="shared" si="1350"/>
        <v>0</v>
      </c>
      <c r="F1172" s="1906">
        <f t="shared" si="1350"/>
        <v>0</v>
      </c>
      <c r="G1172" s="1906">
        <f t="shared" si="1350"/>
        <v>0</v>
      </c>
      <c r="H1172" s="1906">
        <f t="shared" si="1350"/>
        <v>0</v>
      </c>
      <c r="I1172" s="1906">
        <f t="shared" si="1350"/>
        <v>0</v>
      </c>
      <c r="J1172" s="1906">
        <f t="shared" si="1350"/>
        <v>0</v>
      </c>
      <c r="K1172" s="1906">
        <f t="shared" si="1350"/>
        <v>0</v>
      </c>
      <c r="L1172" s="1906">
        <f t="shared" si="1350"/>
        <v>0</v>
      </c>
      <c r="M1172" s="1906">
        <f t="shared" si="1350"/>
        <v>0</v>
      </c>
      <c r="N1172" s="107"/>
      <c r="O1172" s="1906"/>
      <c r="P1172" s="1906">
        <f t="shared" si="1256"/>
        <v>0</v>
      </c>
      <c r="Q1172" s="1906">
        <f t="shared" si="1257"/>
        <v>0</v>
      </c>
      <c r="R1172" s="1906">
        <f t="shared" si="1258"/>
        <v>0</v>
      </c>
      <c r="S1172" s="1906">
        <f t="shared" si="1259"/>
        <v>0</v>
      </c>
      <c r="T1172" s="1906">
        <f t="shared" si="1260"/>
        <v>0</v>
      </c>
      <c r="U1172" s="1906">
        <f t="shared" si="1261"/>
        <v>0</v>
      </c>
      <c r="V1172" s="1906">
        <f t="shared" si="1262"/>
        <v>0</v>
      </c>
      <c r="W1172" s="1906">
        <f t="shared" si="1263"/>
        <v>0</v>
      </c>
      <c r="X1172" s="1906">
        <f t="shared" si="1264"/>
        <v>0</v>
      </c>
      <c r="Y1172" s="1906">
        <f t="shared" si="1265"/>
        <v>0</v>
      </c>
      <c r="Z1172" s="1906">
        <f t="shared" si="1266"/>
        <v>0</v>
      </c>
      <c r="AA1172" s="107"/>
      <c r="AB1172" s="1906">
        <f t="shared" si="1267"/>
        <v>0</v>
      </c>
      <c r="AC1172" s="1906">
        <f t="shared" si="1268"/>
        <v>0</v>
      </c>
      <c r="AD1172" s="1906">
        <f t="shared" si="1269"/>
        <v>0</v>
      </c>
      <c r="AE1172" s="1906">
        <f t="shared" si="1270"/>
        <v>0</v>
      </c>
      <c r="AF1172" s="1906">
        <f t="shared" si="1271"/>
        <v>0</v>
      </c>
      <c r="AG1172" s="1906">
        <f t="shared" si="1272"/>
        <v>0</v>
      </c>
      <c r="AH1172" s="1906">
        <f t="shared" si="1273"/>
        <v>0</v>
      </c>
      <c r="AI1172" s="1906">
        <f t="shared" si="1274"/>
        <v>0</v>
      </c>
      <c r="AJ1172" s="1906">
        <f t="shared" si="1275"/>
        <v>0</v>
      </c>
      <c r="AK1172" s="1906">
        <f t="shared" si="1276"/>
        <v>0</v>
      </c>
      <c r="AL1172" s="1906">
        <f t="shared" si="1277"/>
        <v>0</v>
      </c>
      <c r="AM1172" s="1906">
        <f t="shared" si="1278"/>
        <v>0</v>
      </c>
      <c r="AN1172" s="107"/>
      <c r="AO1172" s="1906">
        <f t="shared" si="1279"/>
        <v>0</v>
      </c>
      <c r="AP1172" s="1906">
        <f t="shared" si="1280"/>
        <v>0</v>
      </c>
      <c r="AQ1172" s="1906">
        <f t="shared" si="1281"/>
        <v>0</v>
      </c>
      <c r="AR1172" s="1906">
        <f t="shared" si="1282"/>
        <v>0</v>
      </c>
      <c r="AS1172" s="1906">
        <f t="shared" si="1283"/>
        <v>0</v>
      </c>
      <c r="AT1172" s="1906">
        <f t="shared" si="1284"/>
        <v>0</v>
      </c>
      <c r="AU1172" s="1906">
        <f t="shared" si="1285"/>
        <v>0</v>
      </c>
      <c r="AV1172" s="1906">
        <f t="shared" si="1286"/>
        <v>0</v>
      </c>
      <c r="AW1172" s="1906">
        <f t="shared" si="1287"/>
        <v>0</v>
      </c>
      <c r="AX1172" s="1906">
        <f t="shared" si="1288"/>
        <v>0</v>
      </c>
      <c r="AY1172" s="1906">
        <f t="shared" si="1289"/>
        <v>0</v>
      </c>
      <c r="AZ1172" s="1906">
        <f t="shared" si="1290"/>
        <v>0</v>
      </c>
      <c r="BA1172" s="107"/>
      <c r="BB1172" s="1906">
        <f t="shared" si="1291"/>
        <v>0</v>
      </c>
      <c r="BC1172" s="1906">
        <f t="shared" si="1292"/>
        <v>0</v>
      </c>
      <c r="BD1172" s="1906">
        <f t="shared" si="1293"/>
        <v>0</v>
      </c>
      <c r="BE1172" s="1906">
        <f t="shared" si="1294"/>
        <v>0</v>
      </c>
      <c r="BF1172" s="1906">
        <f t="shared" si="1295"/>
        <v>0</v>
      </c>
      <c r="BG1172" s="1906">
        <f t="shared" si="1296"/>
        <v>0</v>
      </c>
      <c r="BH1172" s="1906">
        <f t="shared" si="1297"/>
        <v>0</v>
      </c>
      <c r="BI1172" s="1906">
        <f t="shared" si="1298"/>
        <v>0</v>
      </c>
      <c r="BJ1172" s="1906">
        <f t="shared" si="1299"/>
        <v>0</v>
      </c>
      <c r="BK1172" s="1906">
        <f t="shared" si="1300"/>
        <v>0</v>
      </c>
      <c r="BL1172" s="1906">
        <f t="shared" si="1301"/>
        <v>0</v>
      </c>
      <c r="BM1172" s="1906">
        <f t="shared" si="1302"/>
        <v>0</v>
      </c>
      <c r="BN1172" s="107"/>
      <c r="BO1172" s="1906">
        <f t="shared" si="1303"/>
        <v>0</v>
      </c>
      <c r="BP1172" s="1906">
        <f t="shared" si="1304"/>
        <v>0</v>
      </c>
      <c r="BQ1172" s="1906">
        <f t="shared" si="1305"/>
        <v>0</v>
      </c>
      <c r="BR1172" s="1906">
        <f t="shared" si="1306"/>
        <v>0</v>
      </c>
      <c r="BS1172" s="1906">
        <f t="shared" si="1307"/>
        <v>0</v>
      </c>
      <c r="BT1172" s="1906">
        <f t="shared" si="1308"/>
        <v>0</v>
      </c>
      <c r="BU1172" s="1906">
        <f t="shared" si="1309"/>
        <v>0</v>
      </c>
      <c r="BV1172" s="1906">
        <f t="shared" si="1310"/>
        <v>0</v>
      </c>
      <c r="BW1172" s="1906">
        <f t="shared" si="1311"/>
        <v>0</v>
      </c>
      <c r="BX1172" s="1906">
        <f t="shared" si="1312"/>
        <v>0</v>
      </c>
      <c r="BY1172" s="1906">
        <f t="shared" si="1313"/>
        <v>0</v>
      </c>
      <c r="BZ1172" s="1906">
        <f t="shared" si="1314"/>
        <v>0</v>
      </c>
      <c r="CA1172" s="1971" t="str">
        <f t="shared" si="1315"/>
        <v>Soja reserva</v>
      </c>
      <c r="CB1172" s="1906">
        <f t="shared" si="1316"/>
        <v>0</v>
      </c>
      <c r="CC1172" s="1906">
        <f t="shared" si="1317"/>
        <v>0</v>
      </c>
      <c r="CD1172" s="1906">
        <f t="shared" si="1318"/>
        <v>0</v>
      </c>
      <c r="CE1172" s="1906">
        <f t="shared" si="1319"/>
        <v>0</v>
      </c>
      <c r="CF1172" s="1906">
        <f t="shared" si="1320"/>
        <v>0</v>
      </c>
      <c r="CG1172" s="1906">
        <f t="shared" si="1321"/>
        <v>0</v>
      </c>
      <c r="CH1172" s="1906">
        <f t="shared" si="1322"/>
        <v>0</v>
      </c>
      <c r="CI1172" s="1906">
        <f t="shared" si="1323"/>
        <v>0</v>
      </c>
      <c r="CJ1172" s="1906">
        <f t="shared" si="1225"/>
        <v>0</v>
      </c>
      <c r="CK1172" s="1906">
        <f t="shared" si="1226"/>
        <v>0</v>
      </c>
      <c r="CL1172" s="1906">
        <f t="shared" si="1227"/>
        <v>0</v>
      </c>
      <c r="CM1172" s="1906">
        <f t="shared" si="1228"/>
        <v>0</v>
      </c>
      <c r="CN1172" s="595" t="str">
        <f t="shared" si="1324"/>
        <v>Soja reserva</v>
      </c>
      <c r="CO1172" s="1443">
        <f t="shared" si="1219"/>
        <v>0</v>
      </c>
      <c r="CQ1172" s="108" t="str">
        <f t="shared" si="1325"/>
        <v>Soja reserva</v>
      </c>
      <c r="CR1172" s="1898">
        <f t="shared" si="1326"/>
        <v>0</v>
      </c>
      <c r="CS1172" s="1898">
        <f t="shared" si="1327"/>
        <v>0</v>
      </c>
      <c r="CT1172" s="1898">
        <f t="shared" si="1328"/>
        <v>0</v>
      </c>
      <c r="CU1172" s="1898">
        <f t="shared" si="1329"/>
        <v>0</v>
      </c>
      <c r="CV1172" s="1898">
        <f t="shared" si="1330"/>
        <v>0</v>
      </c>
      <c r="CW1172" s="1898">
        <f t="shared" si="1331"/>
        <v>0</v>
      </c>
      <c r="CX1172" s="1898">
        <f t="shared" si="1332"/>
        <v>0</v>
      </c>
      <c r="CY1172" s="1898">
        <f t="shared" si="1333"/>
        <v>0</v>
      </c>
      <c r="CZ1172" s="1898">
        <f t="shared" si="1334"/>
        <v>0</v>
      </c>
      <c r="DA1172" s="1898">
        <f t="shared" si="1335"/>
        <v>0</v>
      </c>
      <c r="DB1172" s="1898">
        <f t="shared" si="1336"/>
        <v>0</v>
      </c>
      <c r="DC1172" s="1898">
        <f t="shared" si="1337"/>
        <v>0</v>
      </c>
    </row>
    <row r="1173" spans="1:107" x14ac:dyDescent="0.2">
      <c r="A1173" s="1971">
        <f t="shared" si="1254"/>
        <v>0</v>
      </c>
      <c r="B1173" s="1906">
        <f t="shared" ref="B1173:M1173" si="1351">SUMIF(C$1054:C$1120,"feb"&amp;$B1029,C$983:C$1049)</f>
        <v>0</v>
      </c>
      <c r="C1173" s="1906">
        <f t="shared" si="1351"/>
        <v>0</v>
      </c>
      <c r="D1173" s="1906">
        <f t="shared" si="1351"/>
        <v>0</v>
      </c>
      <c r="E1173" s="1906">
        <f t="shared" si="1351"/>
        <v>0</v>
      </c>
      <c r="F1173" s="1906">
        <f t="shared" si="1351"/>
        <v>0</v>
      </c>
      <c r="G1173" s="1906">
        <f t="shared" si="1351"/>
        <v>0</v>
      </c>
      <c r="H1173" s="1906">
        <f t="shared" si="1351"/>
        <v>0</v>
      </c>
      <c r="I1173" s="1906">
        <f t="shared" si="1351"/>
        <v>0</v>
      </c>
      <c r="J1173" s="1906">
        <f t="shared" si="1351"/>
        <v>0</v>
      </c>
      <c r="K1173" s="1906">
        <f t="shared" si="1351"/>
        <v>0</v>
      </c>
      <c r="L1173" s="1906">
        <f t="shared" si="1351"/>
        <v>0</v>
      </c>
      <c r="M1173" s="1906">
        <f t="shared" si="1351"/>
        <v>0</v>
      </c>
      <c r="N1173" s="107"/>
      <c r="O1173" s="1906"/>
      <c r="P1173" s="1906">
        <f t="shared" si="1256"/>
        <v>0</v>
      </c>
      <c r="Q1173" s="1906">
        <f t="shared" si="1257"/>
        <v>0</v>
      </c>
      <c r="R1173" s="1906">
        <f t="shared" si="1258"/>
        <v>0</v>
      </c>
      <c r="S1173" s="1906">
        <f t="shared" si="1259"/>
        <v>0</v>
      </c>
      <c r="T1173" s="1906">
        <f t="shared" si="1260"/>
        <v>0</v>
      </c>
      <c r="U1173" s="1906">
        <f t="shared" si="1261"/>
        <v>0</v>
      </c>
      <c r="V1173" s="1906">
        <f t="shared" si="1262"/>
        <v>0</v>
      </c>
      <c r="W1173" s="1906">
        <f t="shared" si="1263"/>
        <v>0</v>
      </c>
      <c r="X1173" s="1906">
        <f t="shared" si="1264"/>
        <v>0</v>
      </c>
      <c r="Y1173" s="1906">
        <f t="shared" si="1265"/>
        <v>0</v>
      </c>
      <c r="Z1173" s="1906">
        <f t="shared" si="1266"/>
        <v>0</v>
      </c>
      <c r="AA1173" s="107"/>
      <c r="AB1173" s="1906">
        <f t="shared" si="1267"/>
        <v>0</v>
      </c>
      <c r="AC1173" s="1906">
        <f t="shared" si="1268"/>
        <v>0</v>
      </c>
      <c r="AD1173" s="1906">
        <f t="shared" si="1269"/>
        <v>0</v>
      </c>
      <c r="AE1173" s="1906">
        <f t="shared" si="1270"/>
        <v>0</v>
      </c>
      <c r="AF1173" s="1906">
        <f t="shared" si="1271"/>
        <v>0</v>
      </c>
      <c r="AG1173" s="1906">
        <f t="shared" si="1272"/>
        <v>0</v>
      </c>
      <c r="AH1173" s="1906">
        <f t="shared" si="1273"/>
        <v>0</v>
      </c>
      <c r="AI1173" s="1906">
        <f t="shared" si="1274"/>
        <v>0</v>
      </c>
      <c r="AJ1173" s="1906">
        <f t="shared" si="1275"/>
        <v>0</v>
      </c>
      <c r="AK1173" s="1906">
        <f t="shared" si="1276"/>
        <v>0</v>
      </c>
      <c r="AL1173" s="1906">
        <f t="shared" si="1277"/>
        <v>0</v>
      </c>
      <c r="AM1173" s="1906">
        <f t="shared" si="1278"/>
        <v>0</v>
      </c>
      <c r="AN1173" s="107"/>
      <c r="AO1173" s="1906">
        <f t="shared" si="1279"/>
        <v>0</v>
      </c>
      <c r="AP1173" s="1906">
        <f t="shared" si="1280"/>
        <v>0</v>
      </c>
      <c r="AQ1173" s="1906">
        <f t="shared" si="1281"/>
        <v>0</v>
      </c>
      <c r="AR1173" s="1906">
        <f t="shared" si="1282"/>
        <v>0</v>
      </c>
      <c r="AS1173" s="1906">
        <f t="shared" si="1283"/>
        <v>0</v>
      </c>
      <c r="AT1173" s="1906">
        <f t="shared" si="1284"/>
        <v>0</v>
      </c>
      <c r="AU1173" s="1906">
        <f t="shared" si="1285"/>
        <v>0</v>
      </c>
      <c r="AV1173" s="1906">
        <f t="shared" si="1286"/>
        <v>0</v>
      </c>
      <c r="AW1173" s="1906">
        <f t="shared" si="1287"/>
        <v>0</v>
      </c>
      <c r="AX1173" s="1906">
        <f t="shared" si="1288"/>
        <v>0</v>
      </c>
      <c r="AY1173" s="1906">
        <f t="shared" si="1289"/>
        <v>0</v>
      </c>
      <c r="AZ1173" s="1906">
        <f t="shared" si="1290"/>
        <v>0</v>
      </c>
      <c r="BA1173" s="107"/>
      <c r="BB1173" s="1906">
        <f t="shared" si="1291"/>
        <v>0</v>
      </c>
      <c r="BC1173" s="1906">
        <f t="shared" si="1292"/>
        <v>0</v>
      </c>
      <c r="BD1173" s="1906">
        <f t="shared" si="1293"/>
        <v>0</v>
      </c>
      <c r="BE1173" s="1906">
        <f t="shared" si="1294"/>
        <v>0</v>
      </c>
      <c r="BF1173" s="1906">
        <f t="shared" si="1295"/>
        <v>0</v>
      </c>
      <c r="BG1173" s="1906">
        <f t="shared" si="1296"/>
        <v>0</v>
      </c>
      <c r="BH1173" s="1906">
        <f t="shared" si="1297"/>
        <v>0</v>
      </c>
      <c r="BI1173" s="1906">
        <f t="shared" si="1298"/>
        <v>0</v>
      </c>
      <c r="BJ1173" s="1906">
        <f t="shared" si="1299"/>
        <v>0</v>
      </c>
      <c r="BK1173" s="1906">
        <f t="shared" si="1300"/>
        <v>0</v>
      </c>
      <c r="BL1173" s="1906">
        <f t="shared" si="1301"/>
        <v>0</v>
      </c>
      <c r="BM1173" s="1906">
        <f t="shared" si="1302"/>
        <v>0</v>
      </c>
      <c r="BN1173" s="107"/>
      <c r="BO1173" s="1906">
        <f t="shared" si="1303"/>
        <v>0</v>
      </c>
      <c r="BP1173" s="1906">
        <f t="shared" si="1304"/>
        <v>0</v>
      </c>
      <c r="BQ1173" s="1906">
        <f t="shared" si="1305"/>
        <v>0</v>
      </c>
      <c r="BR1173" s="1906">
        <f t="shared" si="1306"/>
        <v>0</v>
      </c>
      <c r="BS1173" s="1906">
        <f t="shared" si="1307"/>
        <v>0</v>
      </c>
      <c r="BT1173" s="1906">
        <f t="shared" si="1308"/>
        <v>0</v>
      </c>
      <c r="BU1173" s="1906">
        <f t="shared" si="1309"/>
        <v>0</v>
      </c>
      <c r="BV1173" s="1906">
        <f t="shared" si="1310"/>
        <v>0</v>
      </c>
      <c r="BW1173" s="1906">
        <f t="shared" si="1311"/>
        <v>0</v>
      </c>
      <c r="BX1173" s="1906">
        <f t="shared" si="1312"/>
        <v>0</v>
      </c>
      <c r="BY1173" s="1906">
        <f t="shared" si="1313"/>
        <v>0</v>
      </c>
      <c r="BZ1173" s="1906">
        <f t="shared" si="1314"/>
        <v>0</v>
      </c>
      <c r="CA1173" s="1971">
        <f t="shared" si="1315"/>
        <v>0</v>
      </c>
      <c r="CB1173" s="1906">
        <f t="shared" si="1316"/>
        <v>0</v>
      </c>
      <c r="CC1173" s="1906">
        <f t="shared" si="1317"/>
        <v>0</v>
      </c>
      <c r="CD1173" s="1906">
        <f t="shared" si="1318"/>
        <v>0</v>
      </c>
      <c r="CE1173" s="1906">
        <f t="shared" si="1319"/>
        <v>0</v>
      </c>
      <c r="CF1173" s="1906">
        <f t="shared" si="1320"/>
        <v>0</v>
      </c>
      <c r="CG1173" s="1906">
        <f t="shared" si="1321"/>
        <v>0</v>
      </c>
      <c r="CH1173" s="1906">
        <f t="shared" si="1322"/>
        <v>0</v>
      </c>
      <c r="CI1173" s="1906">
        <f t="shared" si="1323"/>
        <v>0</v>
      </c>
      <c r="CJ1173" s="1906">
        <f t="shared" si="1225"/>
        <v>0</v>
      </c>
      <c r="CK1173" s="1906">
        <f t="shared" si="1226"/>
        <v>0</v>
      </c>
      <c r="CL1173" s="1906">
        <f t="shared" si="1227"/>
        <v>0</v>
      </c>
      <c r="CM1173" s="1906">
        <f t="shared" si="1228"/>
        <v>0</v>
      </c>
      <c r="CN1173" s="595">
        <f t="shared" si="1324"/>
        <v>0</v>
      </c>
      <c r="CO1173" s="1443">
        <f t="shared" si="1219"/>
        <v>0</v>
      </c>
      <c r="CQ1173" s="108">
        <f t="shared" si="1325"/>
        <v>0</v>
      </c>
      <c r="CR1173" s="1898">
        <f t="shared" si="1326"/>
        <v>0</v>
      </c>
      <c r="CS1173" s="1898">
        <f t="shared" si="1327"/>
        <v>0</v>
      </c>
      <c r="CT1173" s="1898">
        <f t="shared" si="1328"/>
        <v>0</v>
      </c>
      <c r="CU1173" s="1898">
        <f t="shared" si="1329"/>
        <v>0</v>
      </c>
      <c r="CV1173" s="1898">
        <f t="shared" si="1330"/>
        <v>0</v>
      </c>
      <c r="CW1173" s="1898">
        <f t="shared" si="1331"/>
        <v>0</v>
      </c>
      <c r="CX1173" s="1898">
        <f t="shared" si="1332"/>
        <v>0</v>
      </c>
      <c r="CY1173" s="1898">
        <f t="shared" si="1333"/>
        <v>0</v>
      </c>
      <c r="CZ1173" s="1898">
        <f t="shared" si="1334"/>
        <v>0</v>
      </c>
      <c r="DA1173" s="1898">
        <f t="shared" si="1335"/>
        <v>0</v>
      </c>
      <c r="DB1173" s="1898">
        <f t="shared" si="1336"/>
        <v>0</v>
      </c>
      <c r="DC1173" s="1898">
        <f t="shared" si="1337"/>
        <v>0</v>
      </c>
    </row>
    <row r="1174" spans="1:107" x14ac:dyDescent="0.2">
      <c r="A1174" s="1971">
        <f t="shared" si="1254"/>
        <v>0</v>
      </c>
      <c r="B1174" s="1906">
        <f t="shared" ref="B1174:M1174" si="1352">SUMIF(C$1054:C$1120,"feb"&amp;$B1030,C$983:C$1049)</f>
        <v>0</v>
      </c>
      <c r="C1174" s="1906">
        <f t="shared" si="1352"/>
        <v>0</v>
      </c>
      <c r="D1174" s="1906">
        <f t="shared" si="1352"/>
        <v>0</v>
      </c>
      <c r="E1174" s="1906">
        <f t="shared" si="1352"/>
        <v>0</v>
      </c>
      <c r="F1174" s="1906">
        <f t="shared" si="1352"/>
        <v>0</v>
      </c>
      <c r="G1174" s="1906">
        <f t="shared" si="1352"/>
        <v>0</v>
      </c>
      <c r="H1174" s="1906">
        <f t="shared" si="1352"/>
        <v>0</v>
      </c>
      <c r="I1174" s="1906">
        <f t="shared" si="1352"/>
        <v>0</v>
      </c>
      <c r="J1174" s="1906">
        <f t="shared" si="1352"/>
        <v>0</v>
      </c>
      <c r="K1174" s="1906">
        <f t="shared" si="1352"/>
        <v>0</v>
      </c>
      <c r="L1174" s="1906">
        <f t="shared" si="1352"/>
        <v>0</v>
      </c>
      <c r="M1174" s="1906">
        <f t="shared" si="1352"/>
        <v>0</v>
      </c>
      <c r="N1174" s="107"/>
      <c r="O1174" s="1906"/>
      <c r="P1174" s="1906">
        <f t="shared" si="1256"/>
        <v>0</v>
      </c>
      <c r="Q1174" s="1906">
        <f t="shared" si="1257"/>
        <v>0</v>
      </c>
      <c r="R1174" s="1906">
        <f t="shared" si="1258"/>
        <v>0</v>
      </c>
      <c r="S1174" s="1906">
        <f t="shared" si="1259"/>
        <v>0</v>
      </c>
      <c r="T1174" s="1906">
        <f t="shared" si="1260"/>
        <v>0</v>
      </c>
      <c r="U1174" s="1906">
        <f t="shared" si="1261"/>
        <v>0</v>
      </c>
      <c r="V1174" s="1906">
        <f t="shared" si="1262"/>
        <v>0</v>
      </c>
      <c r="W1174" s="1906">
        <f t="shared" si="1263"/>
        <v>0</v>
      </c>
      <c r="X1174" s="1906">
        <f t="shared" si="1264"/>
        <v>0</v>
      </c>
      <c r="Y1174" s="1906">
        <f t="shared" si="1265"/>
        <v>0</v>
      </c>
      <c r="Z1174" s="1906">
        <f t="shared" si="1266"/>
        <v>0</v>
      </c>
      <c r="AA1174" s="107"/>
      <c r="AB1174" s="1906">
        <f t="shared" si="1267"/>
        <v>0</v>
      </c>
      <c r="AC1174" s="1906">
        <f t="shared" si="1268"/>
        <v>0</v>
      </c>
      <c r="AD1174" s="1906">
        <f t="shared" si="1269"/>
        <v>0</v>
      </c>
      <c r="AE1174" s="1906">
        <f t="shared" si="1270"/>
        <v>0</v>
      </c>
      <c r="AF1174" s="1906">
        <f t="shared" si="1271"/>
        <v>0</v>
      </c>
      <c r="AG1174" s="1906">
        <f t="shared" si="1272"/>
        <v>0</v>
      </c>
      <c r="AH1174" s="1906">
        <f t="shared" si="1273"/>
        <v>0</v>
      </c>
      <c r="AI1174" s="1906">
        <f t="shared" si="1274"/>
        <v>0</v>
      </c>
      <c r="AJ1174" s="1906">
        <f t="shared" si="1275"/>
        <v>0</v>
      </c>
      <c r="AK1174" s="1906">
        <f t="shared" si="1276"/>
        <v>0</v>
      </c>
      <c r="AL1174" s="1906">
        <f t="shared" si="1277"/>
        <v>0</v>
      </c>
      <c r="AM1174" s="1906">
        <f t="shared" si="1278"/>
        <v>0</v>
      </c>
      <c r="AN1174" s="107"/>
      <c r="AO1174" s="1906">
        <f t="shared" si="1279"/>
        <v>0</v>
      </c>
      <c r="AP1174" s="1906">
        <f t="shared" si="1280"/>
        <v>0</v>
      </c>
      <c r="AQ1174" s="1906">
        <f t="shared" si="1281"/>
        <v>0</v>
      </c>
      <c r="AR1174" s="1906">
        <f t="shared" si="1282"/>
        <v>0</v>
      </c>
      <c r="AS1174" s="1906">
        <f t="shared" si="1283"/>
        <v>0</v>
      </c>
      <c r="AT1174" s="1906">
        <f t="shared" si="1284"/>
        <v>0</v>
      </c>
      <c r="AU1174" s="1906">
        <f t="shared" si="1285"/>
        <v>0</v>
      </c>
      <c r="AV1174" s="1906">
        <f t="shared" si="1286"/>
        <v>0</v>
      </c>
      <c r="AW1174" s="1906">
        <f t="shared" si="1287"/>
        <v>0</v>
      </c>
      <c r="AX1174" s="1906">
        <f t="shared" si="1288"/>
        <v>0</v>
      </c>
      <c r="AY1174" s="1906">
        <f t="shared" si="1289"/>
        <v>0</v>
      </c>
      <c r="AZ1174" s="1906">
        <f t="shared" si="1290"/>
        <v>0</v>
      </c>
      <c r="BA1174" s="107"/>
      <c r="BB1174" s="1906">
        <f t="shared" si="1291"/>
        <v>0</v>
      </c>
      <c r="BC1174" s="1906">
        <f t="shared" si="1292"/>
        <v>0</v>
      </c>
      <c r="BD1174" s="1906">
        <f t="shared" si="1293"/>
        <v>0</v>
      </c>
      <c r="BE1174" s="1906">
        <f t="shared" si="1294"/>
        <v>0</v>
      </c>
      <c r="BF1174" s="1906">
        <f t="shared" si="1295"/>
        <v>0</v>
      </c>
      <c r="BG1174" s="1906">
        <f t="shared" si="1296"/>
        <v>0</v>
      </c>
      <c r="BH1174" s="1906">
        <f t="shared" si="1297"/>
        <v>0</v>
      </c>
      <c r="BI1174" s="1906">
        <f t="shared" si="1298"/>
        <v>0</v>
      </c>
      <c r="BJ1174" s="1906">
        <f t="shared" si="1299"/>
        <v>0</v>
      </c>
      <c r="BK1174" s="1906">
        <f t="shared" si="1300"/>
        <v>0</v>
      </c>
      <c r="BL1174" s="1906">
        <f t="shared" si="1301"/>
        <v>0</v>
      </c>
      <c r="BM1174" s="1906">
        <f t="shared" si="1302"/>
        <v>0</v>
      </c>
      <c r="BN1174" s="107"/>
      <c r="BO1174" s="1906">
        <f t="shared" si="1303"/>
        <v>0</v>
      </c>
      <c r="BP1174" s="1906">
        <f t="shared" si="1304"/>
        <v>0</v>
      </c>
      <c r="BQ1174" s="1906">
        <f t="shared" si="1305"/>
        <v>0</v>
      </c>
      <c r="BR1174" s="1906">
        <f t="shared" si="1306"/>
        <v>0</v>
      </c>
      <c r="BS1174" s="1906">
        <f t="shared" si="1307"/>
        <v>0</v>
      </c>
      <c r="BT1174" s="1906">
        <f t="shared" si="1308"/>
        <v>0</v>
      </c>
      <c r="BU1174" s="1906">
        <f t="shared" si="1309"/>
        <v>0</v>
      </c>
      <c r="BV1174" s="1906">
        <f t="shared" si="1310"/>
        <v>0</v>
      </c>
      <c r="BW1174" s="1906">
        <f t="shared" si="1311"/>
        <v>0</v>
      </c>
      <c r="BX1174" s="1906">
        <f t="shared" si="1312"/>
        <v>0</v>
      </c>
      <c r="BY1174" s="1906">
        <f t="shared" si="1313"/>
        <v>0</v>
      </c>
      <c r="BZ1174" s="1906">
        <f t="shared" si="1314"/>
        <v>0</v>
      </c>
      <c r="CA1174" s="1971">
        <f t="shared" si="1315"/>
        <v>0</v>
      </c>
      <c r="CB1174" s="1906">
        <f t="shared" si="1316"/>
        <v>0</v>
      </c>
      <c r="CC1174" s="1906">
        <f t="shared" si="1317"/>
        <v>0</v>
      </c>
      <c r="CD1174" s="1906">
        <f t="shared" si="1318"/>
        <v>0</v>
      </c>
      <c r="CE1174" s="1906">
        <f t="shared" si="1319"/>
        <v>0</v>
      </c>
      <c r="CF1174" s="1906">
        <f t="shared" si="1320"/>
        <v>0</v>
      </c>
      <c r="CG1174" s="1906">
        <f t="shared" si="1321"/>
        <v>0</v>
      </c>
      <c r="CH1174" s="1906">
        <f t="shared" si="1322"/>
        <v>0</v>
      </c>
      <c r="CI1174" s="1906">
        <f t="shared" si="1323"/>
        <v>0</v>
      </c>
      <c r="CJ1174" s="1906">
        <f t="shared" si="1225"/>
        <v>0</v>
      </c>
      <c r="CK1174" s="1906">
        <f t="shared" si="1226"/>
        <v>0</v>
      </c>
      <c r="CL1174" s="1906">
        <f t="shared" si="1227"/>
        <v>0</v>
      </c>
      <c r="CM1174" s="1906">
        <f t="shared" si="1228"/>
        <v>0</v>
      </c>
      <c r="CN1174" s="595">
        <f t="shared" si="1324"/>
        <v>0</v>
      </c>
      <c r="CO1174" s="1443">
        <f t="shared" si="1219"/>
        <v>0</v>
      </c>
      <c r="CQ1174" s="108">
        <f t="shared" si="1325"/>
        <v>0</v>
      </c>
      <c r="CR1174" s="1898">
        <f t="shared" si="1326"/>
        <v>0</v>
      </c>
      <c r="CS1174" s="1898">
        <f t="shared" si="1327"/>
        <v>0</v>
      </c>
      <c r="CT1174" s="1898">
        <f t="shared" si="1328"/>
        <v>0</v>
      </c>
      <c r="CU1174" s="1898">
        <f t="shared" si="1329"/>
        <v>0</v>
      </c>
      <c r="CV1174" s="1898">
        <f t="shared" si="1330"/>
        <v>0</v>
      </c>
      <c r="CW1174" s="1898">
        <f t="shared" si="1331"/>
        <v>0</v>
      </c>
      <c r="CX1174" s="1898">
        <f t="shared" si="1332"/>
        <v>0</v>
      </c>
      <c r="CY1174" s="1898">
        <f t="shared" si="1333"/>
        <v>0</v>
      </c>
      <c r="CZ1174" s="1898">
        <f t="shared" si="1334"/>
        <v>0</v>
      </c>
      <c r="DA1174" s="1898">
        <f t="shared" si="1335"/>
        <v>0</v>
      </c>
      <c r="DB1174" s="1898">
        <f t="shared" si="1336"/>
        <v>0</v>
      </c>
      <c r="DC1174" s="1898">
        <f t="shared" si="1337"/>
        <v>0</v>
      </c>
    </row>
    <row r="1175" spans="1:107" x14ac:dyDescent="0.2">
      <c r="A1175" s="1971" t="str">
        <f t="shared" si="1254"/>
        <v>Subtotal Cultivos de Verano para Reserva</v>
      </c>
      <c r="B1175" s="1906">
        <f t="shared" ref="B1175:M1175" si="1353">SUMIF(C$1054:C$1120,"feb"&amp;$B1031,C$983:C$1049)</f>
        <v>0</v>
      </c>
      <c r="C1175" s="1906">
        <f t="shared" si="1353"/>
        <v>0</v>
      </c>
      <c r="D1175" s="1906">
        <f t="shared" si="1353"/>
        <v>0</v>
      </c>
      <c r="E1175" s="1906">
        <f t="shared" si="1353"/>
        <v>0</v>
      </c>
      <c r="F1175" s="1906">
        <f t="shared" si="1353"/>
        <v>0</v>
      </c>
      <c r="G1175" s="1906">
        <f t="shared" si="1353"/>
        <v>0</v>
      </c>
      <c r="H1175" s="1906">
        <f t="shared" si="1353"/>
        <v>0</v>
      </c>
      <c r="I1175" s="1906">
        <f t="shared" si="1353"/>
        <v>0</v>
      </c>
      <c r="J1175" s="1906">
        <f t="shared" si="1353"/>
        <v>0</v>
      </c>
      <c r="K1175" s="1906">
        <f t="shared" si="1353"/>
        <v>0</v>
      </c>
      <c r="L1175" s="1906">
        <f t="shared" si="1353"/>
        <v>0</v>
      </c>
      <c r="M1175" s="1906">
        <f t="shared" si="1353"/>
        <v>0</v>
      </c>
      <c r="N1175" s="107"/>
      <c r="O1175" s="1906"/>
      <c r="P1175" s="1906">
        <f t="shared" si="1256"/>
        <v>0</v>
      </c>
      <c r="Q1175" s="1906">
        <f t="shared" si="1257"/>
        <v>0</v>
      </c>
      <c r="R1175" s="1906">
        <f t="shared" si="1258"/>
        <v>0</v>
      </c>
      <c r="S1175" s="1906">
        <f t="shared" si="1259"/>
        <v>0</v>
      </c>
      <c r="T1175" s="1906">
        <f t="shared" si="1260"/>
        <v>0</v>
      </c>
      <c r="U1175" s="1906">
        <f t="shared" si="1261"/>
        <v>0</v>
      </c>
      <c r="V1175" s="1906">
        <f t="shared" si="1262"/>
        <v>0</v>
      </c>
      <c r="W1175" s="1906">
        <f t="shared" si="1263"/>
        <v>0</v>
      </c>
      <c r="X1175" s="1906">
        <f t="shared" si="1264"/>
        <v>0</v>
      </c>
      <c r="Y1175" s="1906">
        <f t="shared" si="1265"/>
        <v>0</v>
      </c>
      <c r="Z1175" s="1906">
        <f t="shared" si="1266"/>
        <v>0</v>
      </c>
      <c r="AA1175" s="107"/>
      <c r="AB1175" s="1906">
        <f t="shared" si="1267"/>
        <v>0</v>
      </c>
      <c r="AC1175" s="1906">
        <f t="shared" si="1268"/>
        <v>0</v>
      </c>
      <c r="AD1175" s="1906">
        <f t="shared" si="1269"/>
        <v>0</v>
      </c>
      <c r="AE1175" s="1906">
        <f t="shared" si="1270"/>
        <v>0</v>
      </c>
      <c r="AF1175" s="1906">
        <f t="shared" si="1271"/>
        <v>0</v>
      </c>
      <c r="AG1175" s="1906">
        <f t="shared" si="1272"/>
        <v>0</v>
      </c>
      <c r="AH1175" s="1906">
        <f t="shared" si="1273"/>
        <v>0</v>
      </c>
      <c r="AI1175" s="1906">
        <f t="shared" si="1274"/>
        <v>0</v>
      </c>
      <c r="AJ1175" s="1906">
        <f t="shared" si="1275"/>
        <v>0</v>
      </c>
      <c r="AK1175" s="1906">
        <f t="shared" si="1276"/>
        <v>0</v>
      </c>
      <c r="AL1175" s="1906">
        <f t="shared" si="1277"/>
        <v>0</v>
      </c>
      <c r="AM1175" s="1906">
        <f t="shared" si="1278"/>
        <v>0</v>
      </c>
      <c r="AN1175" s="107"/>
      <c r="AO1175" s="1906">
        <f t="shared" si="1279"/>
        <v>0</v>
      </c>
      <c r="AP1175" s="1906">
        <f t="shared" si="1280"/>
        <v>0</v>
      </c>
      <c r="AQ1175" s="1906">
        <f t="shared" si="1281"/>
        <v>0</v>
      </c>
      <c r="AR1175" s="1906">
        <f t="shared" si="1282"/>
        <v>0</v>
      </c>
      <c r="AS1175" s="1906">
        <f t="shared" si="1283"/>
        <v>0</v>
      </c>
      <c r="AT1175" s="1906">
        <f t="shared" si="1284"/>
        <v>0</v>
      </c>
      <c r="AU1175" s="1906">
        <f t="shared" si="1285"/>
        <v>0</v>
      </c>
      <c r="AV1175" s="1906">
        <f t="shared" si="1286"/>
        <v>0</v>
      </c>
      <c r="AW1175" s="1906">
        <f t="shared" si="1287"/>
        <v>0</v>
      </c>
      <c r="AX1175" s="1906">
        <f t="shared" si="1288"/>
        <v>0</v>
      </c>
      <c r="AY1175" s="1906">
        <f t="shared" si="1289"/>
        <v>0</v>
      </c>
      <c r="AZ1175" s="1906">
        <f t="shared" si="1290"/>
        <v>0</v>
      </c>
      <c r="BA1175" s="107"/>
      <c r="BB1175" s="1906">
        <f t="shared" si="1291"/>
        <v>0</v>
      </c>
      <c r="BC1175" s="1906">
        <f t="shared" si="1292"/>
        <v>0</v>
      </c>
      <c r="BD1175" s="1906">
        <f t="shared" si="1293"/>
        <v>0</v>
      </c>
      <c r="BE1175" s="1906">
        <f t="shared" si="1294"/>
        <v>0</v>
      </c>
      <c r="BF1175" s="1906">
        <f t="shared" si="1295"/>
        <v>0</v>
      </c>
      <c r="BG1175" s="1906">
        <f t="shared" si="1296"/>
        <v>0</v>
      </c>
      <c r="BH1175" s="1906">
        <f t="shared" si="1297"/>
        <v>0</v>
      </c>
      <c r="BI1175" s="1906">
        <f t="shared" si="1298"/>
        <v>0</v>
      </c>
      <c r="BJ1175" s="1906">
        <f t="shared" si="1299"/>
        <v>0</v>
      </c>
      <c r="BK1175" s="1906">
        <f t="shared" si="1300"/>
        <v>0</v>
      </c>
      <c r="BL1175" s="1906">
        <f t="shared" si="1301"/>
        <v>0</v>
      </c>
      <c r="BM1175" s="1906">
        <f t="shared" si="1302"/>
        <v>0</v>
      </c>
      <c r="BN1175" s="107"/>
      <c r="BO1175" s="1906">
        <f t="shared" si="1303"/>
        <v>0</v>
      </c>
      <c r="BP1175" s="1906">
        <f t="shared" si="1304"/>
        <v>0</v>
      </c>
      <c r="BQ1175" s="1906">
        <f t="shared" si="1305"/>
        <v>0</v>
      </c>
      <c r="BR1175" s="1906">
        <f t="shared" si="1306"/>
        <v>0</v>
      </c>
      <c r="BS1175" s="1906">
        <f t="shared" si="1307"/>
        <v>0</v>
      </c>
      <c r="BT1175" s="1906">
        <f t="shared" si="1308"/>
        <v>0</v>
      </c>
      <c r="BU1175" s="1906">
        <f t="shared" si="1309"/>
        <v>0</v>
      </c>
      <c r="BV1175" s="1906">
        <f t="shared" si="1310"/>
        <v>0</v>
      </c>
      <c r="BW1175" s="1906">
        <f t="shared" si="1311"/>
        <v>0</v>
      </c>
      <c r="BX1175" s="1906">
        <f t="shared" si="1312"/>
        <v>0</v>
      </c>
      <c r="BY1175" s="1906">
        <f t="shared" si="1313"/>
        <v>0</v>
      </c>
      <c r="BZ1175" s="1906">
        <f t="shared" si="1314"/>
        <v>0</v>
      </c>
      <c r="CA1175" s="1971" t="str">
        <f t="shared" si="1315"/>
        <v>Subtotal Cultivos de Verano para Reserva</v>
      </c>
      <c r="CB1175" s="1906">
        <f t="shared" si="1316"/>
        <v>0</v>
      </c>
      <c r="CC1175" s="1906">
        <f t="shared" si="1317"/>
        <v>0</v>
      </c>
      <c r="CD1175" s="1906">
        <f t="shared" si="1318"/>
        <v>0</v>
      </c>
      <c r="CE1175" s="1906">
        <f t="shared" si="1319"/>
        <v>0</v>
      </c>
      <c r="CF1175" s="1906">
        <f t="shared" si="1320"/>
        <v>0</v>
      </c>
      <c r="CG1175" s="1906">
        <f t="shared" si="1321"/>
        <v>0</v>
      </c>
      <c r="CH1175" s="1906">
        <f t="shared" si="1322"/>
        <v>0</v>
      </c>
      <c r="CI1175" s="1906">
        <f t="shared" si="1323"/>
        <v>0</v>
      </c>
      <c r="CJ1175" s="1906">
        <f t="shared" si="1225"/>
        <v>0</v>
      </c>
      <c r="CK1175" s="1906">
        <f t="shared" si="1226"/>
        <v>0</v>
      </c>
      <c r="CL1175" s="1906">
        <f t="shared" si="1227"/>
        <v>0</v>
      </c>
      <c r="CM1175" s="1906">
        <f t="shared" si="1228"/>
        <v>0</v>
      </c>
      <c r="CN1175" s="595" t="str">
        <f t="shared" si="1324"/>
        <v>Subtotal Cultivos de Verano para Reserva</v>
      </c>
      <c r="CO1175" s="1443">
        <f t="shared" si="1219"/>
        <v>0</v>
      </c>
      <c r="CQ1175" s="108" t="str">
        <f t="shared" si="1325"/>
        <v>Subtotal Cultivos de Verano para Reserva</v>
      </c>
      <c r="CR1175" s="1898">
        <f t="shared" si="1326"/>
        <v>0</v>
      </c>
      <c r="CS1175" s="1898">
        <f t="shared" si="1327"/>
        <v>0</v>
      </c>
      <c r="CT1175" s="1898">
        <f t="shared" si="1328"/>
        <v>0</v>
      </c>
      <c r="CU1175" s="1898">
        <f t="shared" si="1329"/>
        <v>0</v>
      </c>
      <c r="CV1175" s="1898">
        <f t="shared" si="1330"/>
        <v>0</v>
      </c>
      <c r="CW1175" s="1898">
        <f t="shared" si="1331"/>
        <v>0</v>
      </c>
      <c r="CX1175" s="1898">
        <f t="shared" si="1332"/>
        <v>0</v>
      </c>
      <c r="CY1175" s="1898">
        <f t="shared" si="1333"/>
        <v>0</v>
      </c>
      <c r="CZ1175" s="1898">
        <f t="shared" si="1334"/>
        <v>0</v>
      </c>
      <c r="DA1175" s="1898">
        <f t="shared" si="1335"/>
        <v>0</v>
      </c>
      <c r="DB1175" s="1898">
        <f t="shared" si="1336"/>
        <v>0</v>
      </c>
      <c r="DC1175" s="1898">
        <f t="shared" si="1337"/>
        <v>0</v>
      </c>
    </row>
    <row r="1176" spans="1:107" x14ac:dyDescent="0.2">
      <c r="A1176" s="1971" t="str">
        <f t="shared" si="1254"/>
        <v>Avena silo</v>
      </c>
      <c r="B1176" s="1906">
        <f t="shared" ref="B1176:M1176" si="1354">SUMIF(C$1054:C$1120,"feb"&amp;$B1032,C$983:C$1049)</f>
        <v>0</v>
      </c>
      <c r="C1176" s="1906">
        <f t="shared" si="1354"/>
        <v>0</v>
      </c>
      <c r="D1176" s="1906">
        <f t="shared" si="1354"/>
        <v>0</v>
      </c>
      <c r="E1176" s="1906">
        <f t="shared" si="1354"/>
        <v>0</v>
      </c>
      <c r="F1176" s="1906">
        <f t="shared" si="1354"/>
        <v>0</v>
      </c>
      <c r="G1176" s="1906">
        <f t="shared" si="1354"/>
        <v>0</v>
      </c>
      <c r="H1176" s="1906">
        <f t="shared" si="1354"/>
        <v>0</v>
      </c>
      <c r="I1176" s="1906">
        <f t="shared" si="1354"/>
        <v>0</v>
      </c>
      <c r="J1176" s="1906">
        <f t="shared" si="1354"/>
        <v>0</v>
      </c>
      <c r="K1176" s="1906">
        <f t="shared" si="1354"/>
        <v>0</v>
      </c>
      <c r="L1176" s="1906">
        <f t="shared" si="1354"/>
        <v>0</v>
      </c>
      <c r="M1176" s="1906">
        <f t="shared" si="1354"/>
        <v>0</v>
      </c>
      <c r="N1176" s="107"/>
      <c r="O1176" s="1906"/>
      <c r="P1176" s="1906">
        <f t="shared" si="1256"/>
        <v>0</v>
      </c>
      <c r="Q1176" s="1906">
        <f t="shared" si="1257"/>
        <v>0</v>
      </c>
      <c r="R1176" s="1906">
        <f t="shared" si="1258"/>
        <v>0</v>
      </c>
      <c r="S1176" s="1906">
        <f t="shared" si="1259"/>
        <v>0</v>
      </c>
      <c r="T1176" s="1906">
        <f t="shared" si="1260"/>
        <v>0</v>
      </c>
      <c r="U1176" s="1906">
        <f t="shared" si="1261"/>
        <v>0</v>
      </c>
      <c r="V1176" s="1906">
        <f t="shared" si="1262"/>
        <v>0</v>
      </c>
      <c r="W1176" s="1906">
        <f t="shared" si="1263"/>
        <v>0</v>
      </c>
      <c r="X1176" s="1906">
        <f t="shared" si="1264"/>
        <v>0</v>
      </c>
      <c r="Y1176" s="1906">
        <f t="shared" si="1265"/>
        <v>0</v>
      </c>
      <c r="Z1176" s="1906">
        <f t="shared" si="1266"/>
        <v>0</v>
      </c>
      <c r="AA1176" s="107"/>
      <c r="AB1176" s="1906">
        <f t="shared" si="1267"/>
        <v>0</v>
      </c>
      <c r="AC1176" s="1906">
        <f t="shared" si="1268"/>
        <v>0</v>
      </c>
      <c r="AD1176" s="1906">
        <f t="shared" si="1269"/>
        <v>0</v>
      </c>
      <c r="AE1176" s="1906">
        <f t="shared" si="1270"/>
        <v>0</v>
      </c>
      <c r="AF1176" s="1906">
        <f t="shared" si="1271"/>
        <v>0</v>
      </c>
      <c r="AG1176" s="1906">
        <f t="shared" si="1272"/>
        <v>0</v>
      </c>
      <c r="AH1176" s="1906">
        <f t="shared" si="1273"/>
        <v>0</v>
      </c>
      <c r="AI1176" s="1906">
        <f t="shared" si="1274"/>
        <v>0</v>
      </c>
      <c r="AJ1176" s="1906">
        <f t="shared" si="1275"/>
        <v>0</v>
      </c>
      <c r="AK1176" s="1906">
        <f t="shared" si="1276"/>
        <v>0</v>
      </c>
      <c r="AL1176" s="1906">
        <f t="shared" si="1277"/>
        <v>0</v>
      </c>
      <c r="AM1176" s="1906">
        <f t="shared" si="1278"/>
        <v>0</v>
      </c>
      <c r="AN1176" s="107"/>
      <c r="AO1176" s="1906">
        <f t="shared" si="1279"/>
        <v>0</v>
      </c>
      <c r="AP1176" s="1906">
        <f t="shared" si="1280"/>
        <v>0</v>
      </c>
      <c r="AQ1176" s="1906">
        <f t="shared" si="1281"/>
        <v>0</v>
      </c>
      <c r="AR1176" s="1906">
        <f t="shared" si="1282"/>
        <v>0</v>
      </c>
      <c r="AS1176" s="1906">
        <f t="shared" si="1283"/>
        <v>0</v>
      </c>
      <c r="AT1176" s="1906">
        <f t="shared" si="1284"/>
        <v>0</v>
      </c>
      <c r="AU1176" s="1906">
        <f t="shared" si="1285"/>
        <v>0</v>
      </c>
      <c r="AV1176" s="1906">
        <f t="shared" si="1286"/>
        <v>0</v>
      </c>
      <c r="AW1176" s="1906">
        <f t="shared" si="1287"/>
        <v>0</v>
      </c>
      <c r="AX1176" s="1906">
        <f t="shared" si="1288"/>
        <v>0</v>
      </c>
      <c r="AY1176" s="1906">
        <f t="shared" si="1289"/>
        <v>0</v>
      </c>
      <c r="AZ1176" s="1906">
        <f t="shared" si="1290"/>
        <v>0</v>
      </c>
      <c r="BA1176" s="107"/>
      <c r="BB1176" s="1906">
        <f t="shared" si="1291"/>
        <v>0</v>
      </c>
      <c r="BC1176" s="1906">
        <f t="shared" si="1292"/>
        <v>0</v>
      </c>
      <c r="BD1176" s="1906">
        <f t="shared" si="1293"/>
        <v>0</v>
      </c>
      <c r="BE1176" s="1906">
        <f t="shared" si="1294"/>
        <v>0</v>
      </c>
      <c r="BF1176" s="1906">
        <f t="shared" si="1295"/>
        <v>0</v>
      </c>
      <c r="BG1176" s="1906">
        <f t="shared" si="1296"/>
        <v>0</v>
      </c>
      <c r="BH1176" s="1906">
        <f t="shared" si="1297"/>
        <v>0</v>
      </c>
      <c r="BI1176" s="1906">
        <f t="shared" si="1298"/>
        <v>0</v>
      </c>
      <c r="BJ1176" s="1906">
        <f t="shared" si="1299"/>
        <v>0</v>
      </c>
      <c r="BK1176" s="1906">
        <f t="shared" si="1300"/>
        <v>0</v>
      </c>
      <c r="BL1176" s="1906">
        <f t="shared" si="1301"/>
        <v>0</v>
      </c>
      <c r="BM1176" s="1906">
        <f t="shared" si="1302"/>
        <v>0</v>
      </c>
      <c r="BN1176" s="107"/>
      <c r="BO1176" s="1906">
        <f t="shared" si="1303"/>
        <v>0</v>
      </c>
      <c r="BP1176" s="1906">
        <f t="shared" si="1304"/>
        <v>0</v>
      </c>
      <c r="BQ1176" s="1906">
        <f t="shared" si="1305"/>
        <v>0</v>
      </c>
      <c r="BR1176" s="1906">
        <f t="shared" si="1306"/>
        <v>0</v>
      </c>
      <c r="BS1176" s="1906">
        <f t="shared" si="1307"/>
        <v>0</v>
      </c>
      <c r="BT1176" s="1906">
        <f t="shared" si="1308"/>
        <v>0</v>
      </c>
      <c r="BU1176" s="1906">
        <f t="shared" si="1309"/>
        <v>0</v>
      </c>
      <c r="BV1176" s="1906">
        <f t="shared" si="1310"/>
        <v>0</v>
      </c>
      <c r="BW1176" s="1906">
        <f t="shared" si="1311"/>
        <v>0</v>
      </c>
      <c r="BX1176" s="1906">
        <f t="shared" si="1312"/>
        <v>0</v>
      </c>
      <c r="BY1176" s="1906">
        <f t="shared" si="1313"/>
        <v>0</v>
      </c>
      <c r="BZ1176" s="1906">
        <f t="shared" si="1314"/>
        <v>0</v>
      </c>
      <c r="CA1176" s="1971" t="str">
        <f t="shared" si="1315"/>
        <v>Avena silo</v>
      </c>
      <c r="CB1176" s="1906">
        <f t="shared" si="1316"/>
        <v>0</v>
      </c>
      <c r="CC1176" s="1906">
        <f t="shared" si="1317"/>
        <v>0</v>
      </c>
      <c r="CD1176" s="1906">
        <f t="shared" si="1318"/>
        <v>0</v>
      </c>
      <c r="CE1176" s="1906">
        <f t="shared" si="1319"/>
        <v>0</v>
      </c>
      <c r="CF1176" s="1906">
        <f t="shared" si="1320"/>
        <v>0</v>
      </c>
      <c r="CG1176" s="1906">
        <f t="shared" si="1321"/>
        <v>0</v>
      </c>
      <c r="CH1176" s="1906">
        <f t="shared" si="1322"/>
        <v>0</v>
      </c>
      <c r="CI1176" s="1906">
        <f t="shared" si="1323"/>
        <v>0</v>
      </c>
      <c r="CJ1176" s="1906">
        <f t="shared" si="1225"/>
        <v>0</v>
      </c>
      <c r="CK1176" s="1906">
        <f t="shared" si="1226"/>
        <v>0</v>
      </c>
      <c r="CL1176" s="1906">
        <f t="shared" si="1227"/>
        <v>0</v>
      </c>
      <c r="CM1176" s="1906">
        <f t="shared" si="1228"/>
        <v>0</v>
      </c>
      <c r="CN1176" s="595" t="str">
        <f t="shared" si="1324"/>
        <v>Avena silo</v>
      </c>
      <c r="CO1176" s="1443">
        <f t="shared" si="1219"/>
        <v>0</v>
      </c>
      <c r="CQ1176" s="108" t="str">
        <f t="shared" si="1325"/>
        <v>Avena silo</v>
      </c>
      <c r="CR1176" s="1898">
        <f t="shared" si="1326"/>
        <v>0</v>
      </c>
      <c r="CS1176" s="1898">
        <f t="shared" si="1327"/>
        <v>0</v>
      </c>
      <c r="CT1176" s="1898">
        <f t="shared" si="1328"/>
        <v>0</v>
      </c>
      <c r="CU1176" s="1898">
        <f t="shared" si="1329"/>
        <v>0</v>
      </c>
      <c r="CV1176" s="1898">
        <f t="shared" si="1330"/>
        <v>0</v>
      </c>
      <c r="CW1176" s="1898">
        <f t="shared" si="1331"/>
        <v>0</v>
      </c>
      <c r="CX1176" s="1898">
        <f t="shared" si="1332"/>
        <v>0</v>
      </c>
      <c r="CY1176" s="1898">
        <f t="shared" si="1333"/>
        <v>0</v>
      </c>
      <c r="CZ1176" s="1898">
        <f t="shared" si="1334"/>
        <v>0</v>
      </c>
      <c r="DA1176" s="1898">
        <f t="shared" si="1335"/>
        <v>0</v>
      </c>
      <c r="DB1176" s="1898">
        <f t="shared" si="1336"/>
        <v>0</v>
      </c>
      <c r="DC1176" s="1898">
        <f t="shared" si="1337"/>
        <v>0</v>
      </c>
    </row>
    <row r="1177" spans="1:107" x14ac:dyDescent="0.2">
      <c r="A1177" s="1971" t="str">
        <f t="shared" si="1254"/>
        <v>Raigrás Silo</v>
      </c>
      <c r="B1177" s="1906">
        <f t="shared" ref="B1177:M1177" si="1355">SUMIF(C$1054:C$1120,"feb"&amp;$B1033,C$983:C$1049)</f>
        <v>0</v>
      </c>
      <c r="C1177" s="1906">
        <f t="shared" si="1355"/>
        <v>0</v>
      </c>
      <c r="D1177" s="1906">
        <f t="shared" si="1355"/>
        <v>0</v>
      </c>
      <c r="E1177" s="1906">
        <f t="shared" si="1355"/>
        <v>0</v>
      </c>
      <c r="F1177" s="1906">
        <f t="shared" si="1355"/>
        <v>0</v>
      </c>
      <c r="G1177" s="1906">
        <f t="shared" si="1355"/>
        <v>0</v>
      </c>
      <c r="H1177" s="1906">
        <f t="shared" si="1355"/>
        <v>0</v>
      </c>
      <c r="I1177" s="1906">
        <f t="shared" si="1355"/>
        <v>0</v>
      </c>
      <c r="J1177" s="1906">
        <f t="shared" si="1355"/>
        <v>0</v>
      </c>
      <c r="K1177" s="1906">
        <f t="shared" si="1355"/>
        <v>0</v>
      </c>
      <c r="L1177" s="1906">
        <f t="shared" si="1355"/>
        <v>0</v>
      </c>
      <c r="M1177" s="1906">
        <f t="shared" si="1355"/>
        <v>0</v>
      </c>
      <c r="N1177" s="107"/>
      <c r="O1177" s="1906"/>
      <c r="P1177" s="1906">
        <f t="shared" si="1256"/>
        <v>0</v>
      </c>
      <c r="Q1177" s="1906">
        <f t="shared" si="1257"/>
        <v>0</v>
      </c>
      <c r="R1177" s="1906">
        <f t="shared" si="1258"/>
        <v>0</v>
      </c>
      <c r="S1177" s="1906">
        <f t="shared" si="1259"/>
        <v>0</v>
      </c>
      <c r="T1177" s="1906">
        <f t="shared" si="1260"/>
        <v>0</v>
      </c>
      <c r="U1177" s="1906">
        <f t="shared" si="1261"/>
        <v>0</v>
      </c>
      <c r="V1177" s="1906">
        <f t="shared" si="1262"/>
        <v>0</v>
      </c>
      <c r="W1177" s="1906">
        <f t="shared" si="1263"/>
        <v>0</v>
      </c>
      <c r="X1177" s="1906">
        <f t="shared" si="1264"/>
        <v>0</v>
      </c>
      <c r="Y1177" s="1906">
        <f t="shared" si="1265"/>
        <v>0</v>
      </c>
      <c r="Z1177" s="1906">
        <f t="shared" si="1266"/>
        <v>0</v>
      </c>
      <c r="AA1177" s="107"/>
      <c r="AB1177" s="1906">
        <f t="shared" si="1267"/>
        <v>0</v>
      </c>
      <c r="AC1177" s="1906">
        <f t="shared" si="1268"/>
        <v>0</v>
      </c>
      <c r="AD1177" s="1906">
        <f t="shared" si="1269"/>
        <v>0</v>
      </c>
      <c r="AE1177" s="1906">
        <f t="shared" si="1270"/>
        <v>0</v>
      </c>
      <c r="AF1177" s="1906">
        <f t="shared" si="1271"/>
        <v>0</v>
      </c>
      <c r="AG1177" s="1906">
        <f t="shared" si="1272"/>
        <v>0</v>
      </c>
      <c r="AH1177" s="1906">
        <f t="shared" si="1273"/>
        <v>0</v>
      </c>
      <c r="AI1177" s="1906">
        <f t="shared" si="1274"/>
        <v>0</v>
      </c>
      <c r="AJ1177" s="1906">
        <f t="shared" si="1275"/>
        <v>0</v>
      </c>
      <c r="AK1177" s="1906">
        <f t="shared" si="1276"/>
        <v>0</v>
      </c>
      <c r="AL1177" s="1906">
        <f t="shared" si="1277"/>
        <v>0</v>
      </c>
      <c r="AM1177" s="1906">
        <f t="shared" si="1278"/>
        <v>0</v>
      </c>
      <c r="AN1177" s="107"/>
      <c r="AO1177" s="1906">
        <f t="shared" si="1279"/>
        <v>0</v>
      </c>
      <c r="AP1177" s="1906">
        <f t="shared" si="1280"/>
        <v>0</v>
      </c>
      <c r="AQ1177" s="1906">
        <f t="shared" si="1281"/>
        <v>0</v>
      </c>
      <c r="AR1177" s="1906">
        <f t="shared" si="1282"/>
        <v>0</v>
      </c>
      <c r="AS1177" s="1906">
        <f t="shared" si="1283"/>
        <v>0</v>
      </c>
      <c r="AT1177" s="1906">
        <f t="shared" si="1284"/>
        <v>0</v>
      </c>
      <c r="AU1177" s="1906">
        <f t="shared" si="1285"/>
        <v>0</v>
      </c>
      <c r="AV1177" s="1906">
        <f t="shared" si="1286"/>
        <v>0</v>
      </c>
      <c r="AW1177" s="1906">
        <f t="shared" si="1287"/>
        <v>0</v>
      </c>
      <c r="AX1177" s="1906">
        <f t="shared" si="1288"/>
        <v>0</v>
      </c>
      <c r="AY1177" s="1906">
        <f t="shared" si="1289"/>
        <v>0</v>
      </c>
      <c r="AZ1177" s="1906">
        <f t="shared" si="1290"/>
        <v>0</v>
      </c>
      <c r="BA1177" s="107"/>
      <c r="BB1177" s="1906">
        <f t="shared" si="1291"/>
        <v>0</v>
      </c>
      <c r="BC1177" s="1906">
        <f t="shared" si="1292"/>
        <v>0</v>
      </c>
      <c r="BD1177" s="1906">
        <f t="shared" si="1293"/>
        <v>0</v>
      </c>
      <c r="BE1177" s="1906">
        <f t="shared" si="1294"/>
        <v>0</v>
      </c>
      <c r="BF1177" s="1906">
        <f t="shared" si="1295"/>
        <v>0</v>
      </c>
      <c r="BG1177" s="1906">
        <f t="shared" si="1296"/>
        <v>0</v>
      </c>
      <c r="BH1177" s="1906">
        <f t="shared" si="1297"/>
        <v>0</v>
      </c>
      <c r="BI1177" s="1906">
        <f t="shared" si="1298"/>
        <v>0</v>
      </c>
      <c r="BJ1177" s="1906">
        <f t="shared" si="1299"/>
        <v>0</v>
      </c>
      <c r="BK1177" s="1906">
        <f t="shared" si="1300"/>
        <v>0</v>
      </c>
      <c r="BL1177" s="1906">
        <f t="shared" si="1301"/>
        <v>0</v>
      </c>
      <c r="BM1177" s="1906">
        <f t="shared" si="1302"/>
        <v>0</v>
      </c>
      <c r="BN1177" s="107"/>
      <c r="BO1177" s="1906">
        <f t="shared" si="1303"/>
        <v>0</v>
      </c>
      <c r="BP1177" s="1906">
        <f t="shared" si="1304"/>
        <v>0</v>
      </c>
      <c r="BQ1177" s="1906">
        <f t="shared" si="1305"/>
        <v>0</v>
      </c>
      <c r="BR1177" s="1906">
        <f t="shared" si="1306"/>
        <v>0</v>
      </c>
      <c r="BS1177" s="1906">
        <f t="shared" si="1307"/>
        <v>0</v>
      </c>
      <c r="BT1177" s="1906">
        <f t="shared" si="1308"/>
        <v>0</v>
      </c>
      <c r="BU1177" s="1906">
        <f t="shared" si="1309"/>
        <v>0</v>
      </c>
      <c r="BV1177" s="1906">
        <f t="shared" si="1310"/>
        <v>0</v>
      </c>
      <c r="BW1177" s="1906">
        <f t="shared" si="1311"/>
        <v>0</v>
      </c>
      <c r="BX1177" s="1906">
        <f t="shared" si="1312"/>
        <v>0</v>
      </c>
      <c r="BY1177" s="1906">
        <f t="shared" si="1313"/>
        <v>0</v>
      </c>
      <c r="BZ1177" s="1906">
        <f t="shared" si="1314"/>
        <v>0</v>
      </c>
      <c r="CA1177" s="1971" t="str">
        <f t="shared" si="1315"/>
        <v>Raigrás Silo</v>
      </c>
      <c r="CB1177" s="1906">
        <f t="shared" si="1316"/>
        <v>0</v>
      </c>
      <c r="CC1177" s="1906">
        <f t="shared" si="1317"/>
        <v>0</v>
      </c>
      <c r="CD1177" s="1906">
        <f t="shared" si="1318"/>
        <v>0</v>
      </c>
      <c r="CE1177" s="1906">
        <f t="shared" si="1319"/>
        <v>0</v>
      </c>
      <c r="CF1177" s="1906">
        <f t="shared" si="1320"/>
        <v>0</v>
      </c>
      <c r="CG1177" s="1906">
        <f t="shared" si="1321"/>
        <v>0</v>
      </c>
      <c r="CH1177" s="1906">
        <f t="shared" si="1322"/>
        <v>0</v>
      </c>
      <c r="CI1177" s="1906">
        <f t="shared" si="1323"/>
        <v>0</v>
      </c>
      <c r="CJ1177" s="1906">
        <f t="shared" si="1225"/>
        <v>0</v>
      </c>
      <c r="CK1177" s="1906">
        <f t="shared" si="1226"/>
        <v>0</v>
      </c>
      <c r="CL1177" s="1906">
        <f t="shared" si="1227"/>
        <v>0</v>
      </c>
      <c r="CM1177" s="1906">
        <f t="shared" si="1228"/>
        <v>0</v>
      </c>
      <c r="CN1177" s="595" t="str">
        <f t="shared" si="1324"/>
        <v>Raigrás Silo</v>
      </c>
      <c r="CO1177" s="1443">
        <f t="shared" si="1219"/>
        <v>0</v>
      </c>
      <c r="CQ1177" s="108" t="str">
        <f t="shared" si="1325"/>
        <v>Raigrás Silo</v>
      </c>
      <c r="CR1177" s="1898">
        <f t="shared" si="1326"/>
        <v>0</v>
      </c>
      <c r="CS1177" s="1898">
        <f t="shared" si="1327"/>
        <v>0</v>
      </c>
      <c r="CT1177" s="1898">
        <f t="shared" si="1328"/>
        <v>0</v>
      </c>
      <c r="CU1177" s="1898">
        <f t="shared" si="1329"/>
        <v>0</v>
      </c>
      <c r="CV1177" s="1898">
        <f t="shared" si="1330"/>
        <v>0</v>
      </c>
      <c r="CW1177" s="1898">
        <f t="shared" si="1331"/>
        <v>0</v>
      </c>
      <c r="CX1177" s="1898">
        <f t="shared" si="1332"/>
        <v>0</v>
      </c>
      <c r="CY1177" s="1898">
        <f t="shared" si="1333"/>
        <v>0</v>
      </c>
      <c r="CZ1177" s="1898">
        <f t="shared" si="1334"/>
        <v>0</v>
      </c>
      <c r="DA1177" s="1898">
        <f t="shared" si="1335"/>
        <v>0</v>
      </c>
      <c r="DB1177" s="1898">
        <f t="shared" si="1336"/>
        <v>0</v>
      </c>
      <c r="DC1177" s="1898">
        <f t="shared" si="1337"/>
        <v>0</v>
      </c>
    </row>
    <row r="1178" spans="1:107" x14ac:dyDescent="0.2">
      <c r="A1178" s="1971" t="str">
        <f t="shared" si="1254"/>
        <v>Ra Silo Cierre Ago</v>
      </c>
      <c r="B1178" s="1906">
        <f t="shared" ref="B1178:M1178" si="1356">SUMIF(C$1054:C$1120,"feb"&amp;$B1034,C$983:C$1049)</f>
        <v>0</v>
      </c>
      <c r="C1178" s="1906">
        <f t="shared" si="1356"/>
        <v>0</v>
      </c>
      <c r="D1178" s="1906">
        <f t="shared" si="1356"/>
        <v>0</v>
      </c>
      <c r="E1178" s="1906">
        <f t="shared" si="1356"/>
        <v>0</v>
      </c>
      <c r="F1178" s="1906">
        <f t="shared" si="1356"/>
        <v>0</v>
      </c>
      <c r="G1178" s="1906">
        <f t="shared" si="1356"/>
        <v>0</v>
      </c>
      <c r="H1178" s="1906">
        <f t="shared" si="1356"/>
        <v>0</v>
      </c>
      <c r="I1178" s="1906">
        <f t="shared" si="1356"/>
        <v>0</v>
      </c>
      <c r="J1178" s="1906">
        <f t="shared" si="1356"/>
        <v>0</v>
      </c>
      <c r="K1178" s="1906">
        <f t="shared" si="1356"/>
        <v>0</v>
      </c>
      <c r="L1178" s="1906">
        <f t="shared" si="1356"/>
        <v>0</v>
      </c>
      <c r="M1178" s="1906">
        <f t="shared" si="1356"/>
        <v>0</v>
      </c>
      <c r="N1178" s="107"/>
      <c r="O1178" s="1906"/>
      <c r="P1178" s="1906">
        <f t="shared" si="1256"/>
        <v>0</v>
      </c>
      <c r="Q1178" s="1906">
        <f t="shared" si="1257"/>
        <v>0</v>
      </c>
      <c r="R1178" s="1906">
        <f t="shared" si="1258"/>
        <v>0</v>
      </c>
      <c r="S1178" s="1906">
        <f t="shared" si="1259"/>
        <v>0</v>
      </c>
      <c r="T1178" s="1906">
        <f t="shared" si="1260"/>
        <v>0</v>
      </c>
      <c r="U1178" s="1906">
        <f t="shared" si="1261"/>
        <v>0</v>
      </c>
      <c r="V1178" s="1906">
        <f t="shared" si="1262"/>
        <v>0</v>
      </c>
      <c r="W1178" s="1906">
        <f t="shared" si="1263"/>
        <v>0</v>
      </c>
      <c r="X1178" s="1906">
        <f t="shared" si="1264"/>
        <v>0</v>
      </c>
      <c r="Y1178" s="1906">
        <f t="shared" si="1265"/>
        <v>0</v>
      </c>
      <c r="Z1178" s="1906">
        <f t="shared" si="1266"/>
        <v>0</v>
      </c>
      <c r="AA1178" s="107"/>
      <c r="AB1178" s="1906">
        <f t="shared" si="1267"/>
        <v>0</v>
      </c>
      <c r="AC1178" s="1906">
        <f t="shared" si="1268"/>
        <v>0</v>
      </c>
      <c r="AD1178" s="1906">
        <f t="shared" si="1269"/>
        <v>0</v>
      </c>
      <c r="AE1178" s="1906">
        <f t="shared" si="1270"/>
        <v>0</v>
      </c>
      <c r="AF1178" s="1906">
        <f t="shared" si="1271"/>
        <v>0</v>
      </c>
      <c r="AG1178" s="1906">
        <f t="shared" si="1272"/>
        <v>0</v>
      </c>
      <c r="AH1178" s="1906">
        <f t="shared" si="1273"/>
        <v>0</v>
      </c>
      <c r="AI1178" s="1906">
        <f t="shared" si="1274"/>
        <v>0</v>
      </c>
      <c r="AJ1178" s="1906">
        <f t="shared" si="1275"/>
        <v>0</v>
      </c>
      <c r="AK1178" s="1906">
        <f t="shared" si="1276"/>
        <v>0</v>
      </c>
      <c r="AL1178" s="1906">
        <f t="shared" si="1277"/>
        <v>0</v>
      </c>
      <c r="AM1178" s="1906">
        <f t="shared" si="1278"/>
        <v>0</v>
      </c>
      <c r="AN1178" s="107"/>
      <c r="AO1178" s="1906">
        <f t="shared" si="1279"/>
        <v>0</v>
      </c>
      <c r="AP1178" s="1906">
        <f t="shared" si="1280"/>
        <v>0</v>
      </c>
      <c r="AQ1178" s="1906">
        <f t="shared" si="1281"/>
        <v>0</v>
      </c>
      <c r="AR1178" s="1906">
        <f t="shared" si="1282"/>
        <v>0</v>
      </c>
      <c r="AS1178" s="1906">
        <f t="shared" si="1283"/>
        <v>0</v>
      </c>
      <c r="AT1178" s="1906">
        <f t="shared" si="1284"/>
        <v>0</v>
      </c>
      <c r="AU1178" s="1906">
        <f t="shared" si="1285"/>
        <v>0</v>
      </c>
      <c r="AV1178" s="1906">
        <f t="shared" si="1286"/>
        <v>0</v>
      </c>
      <c r="AW1178" s="1906">
        <f t="shared" si="1287"/>
        <v>0</v>
      </c>
      <c r="AX1178" s="1906">
        <f t="shared" si="1288"/>
        <v>0</v>
      </c>
      <c r="AY1178" s="1906">
        <f t="shared" si="1289"/>
        <v>0</v>
      </c>
      <c r="AZ1178" s="1906">
        <f t="shared" si="1290"/>
        <v>0</v>
      </c>
      <c r="BA1178" s="107"/>
      <c r="BB1178" s="1906">
        <f t="shared" si="1291"/>
        <v>0</v>
      </c>
      <c r="BC1178" s="1906">
        <f t="shared" si="1292"/>
        <v>0</v>
      </c>
      <c r="BD1178" s="1906">
        <f t="shared" si="1293"/>
        <v>0</v>
      </c>
      <c r="BE1178" s="1906">
        <f t="shared" si="1294"/>
        <v>0</v>
      </c>
      <c r="BF1178" s="1906">
        <f t="shared" si="1295"/>
        <v>0</v>
      </c>
      <c r="BG1178" s="1906">
        <f t="shared" si="1296"/>
        <v>0</v>
      </c>
      <c r="BH1178" s="1906">
        <f t="shared" si="1297"/>
        <v>0</v>
      </c>
      <c r="BI1178" s="1906">
        <f t="shared" si="1298"/>
        <v>0</v>
      </c>
      <c r="BJ1178" s="1906">
        <f t="shared" si="1299"/>
        <v>0</v>
      </c>
      <c r="BK1178" s="1906">
        <f t="shared" si="1300"/>
        <v>0</v>
      </c>
      <c r="BL1178" s="1906">
        <f t="shared" si="1301"/>
        <v>0</v>
      </c>
      <c r="BM1178" s="1906">
        <f t="shared" si="1302"/>
        <v>0</v>
      </c>
      <c r="BN1178" s="107"/>
      <c r="BO1178" s="1906">
        <f t="shared" si="1303"/>
        <v>0</v>
      </c>
      <c r="BP1178" s="1906">
        <f t="shared" si="1304"/>
        <v>0</v>
      </c>
      <c r="BQ1178" s="1906">
        <f t="shared" si="1305"/>
        <v>0</v>
      </c>
      <c r="BR1178" s="1906">
        <f t="shared" si="1306"/>
        <v>0</v>
      </c>
      <c r="BS1178" s="1906">
        <f t="shared" si="1307"/>
        <v>0</v>
      </c>
      <c r="BT1178" s="1906">
        <f t="shared" si="1308"/>
        <v>0</v>
      </c>
      <c r="BU1178" s="1906">
        <f t="shared" si="1309"/>
        <v>0</v>
      </c>
      <c r="BV1178" s="1906">
        <f t="shared" si="1310"/>
        <v>0</v>
      </c>
      <c r="BW1178" s="1906">
        <f t="shared" si="1311"/>
        <v>0</v>
      </c>
      <c r="BX1178" s="1906">
        <f t="shared" si="1312"/>
        <v>0</v>
      </c>
      <c r="BY1178" s="1906">
        <f t="shared" si="1313"/>
        <v>0</v>
      </c>
      <c r="BZ1178" s="1906">
        <f t="shared" si="1314"/>
        <v>0</v>
      </c>
      <c r="CA1178" s="1971" t="str">
        <f t="shared" si="1315"/>
        <v>Ra Silo Cierre Ago</v>
      </c>
      <c r="CB1178" s="1906">
        <f t="shared" si="1316"/>
        <v>0</v>
      </c>
      <c r="CC1178" s="1906">
        <f t="shared" si="1317"/>
        <v>0</v>
      </c>
      <c r="CD1178" s="1906">
        <f t="shared" si="1318"/>
        <v>0</v>
      </c>
      <c r="CE1178" s="1906">
        <f t="shared" si="1319"/>
        <v>0</v>
      </c>
      <c r="CF1178" s="1906">
        <f t="shared" si="1320"/>
        <v>0</v>
      </c>
      <c r="CG1178" s="1906">
        <f t="shared" si="1321"/>
        <v>0</v>
      </c>
      <c r="CH1178" s="1906">
        <f t="shared" si="1322"/>
        <v>0</v>
      </c>
      <c r="CI1178" s="1906">
        <f t="shared" si="1323"/>
        <v>0</v>
      </c>
      <c r="CJ1178" s="1906">
        <f t="shared" si="1225"/>
        <v>0</v>
      </c>
      <c r="CK1178" s="1906">
        <f t="shared" si="1226"/>
        <v>0</v>
      </c>
      <c r="CL1178" s="1906">
        <f t="shared" si="1227"/>
        <v>0</v>
      </c>
      <c r="CM1178" s="1906">
        <f t="shared" si="1228"/>
        <v>0</v>
      </c>
      <c r="CN1178" s="595" t="str">
        <f t="shared" si="1324"/>
        <v>Ra Silo Cierre Ago</v>
      </c>
      <c r="CO1178" s="1443">
        <f t="shared" si="1219"/>
        <v>0</v>
      </c>
      <c r="CQ1178" s="108" t="str">
        <f t="shared" si="1325"/>
        <v>Ra Silo Cierre Ago</v>
      </c>
      <c r="CR1178" s="1898">
        <f t="shared" si="1326"/>
        <v>0</v>
      </c>
      <c r="CS1178" s="1898">
        <f t="shared" si="1327"/>
        <v>0</v>
      </c>
      <c r="CT1178" s="1898">
        <f t="shared" si="1328"/>
        <v>0</v>
      </c>
      <c r="CU1178" s="1898">
        <f t="shared" si="1329"/>
        <v>0</v>
      </c>
      <c r="CV1178" s="1898">
        <f t="shared" si="1330"/>
        <v>0</v>
      </c>
      <c r="CW1178" s="1898">
        <f t="shared" si="1331"/>
        <v>0</v>
      </c>
      <c r="CX1178" s="1898">
        <f t="shared" si="1332"/>
        <v>0</v>
      </c>
      <c r="CY1178" s="1898">
        <f t="shared" si="1333"/>
        <v>0</v>
      </c>
      <c r="CZ1178" s="1898">
        <f t="shared" si="1334"/>
        <v>0</v>
      </c>
      <c r="DA1178" s="1898">
        <f t="shared" si="1335"/>
        <v>0</v>
      </c>
      <c r="DB1178" s="1898">
        <f t="shared" si="1336"/>
        <v>0</v>
      </c>
      <c r="DC1178" s="1898">
        <f t="shared" si="1337"/>
        <v>0</v>
      </c>
    </row>
    <row r="1179" spans="1:107" x14ac:dyDescent="0.2">
      <c r="A1179" s="1971">
        <f t="shared" si="1254"/>
        <v>0</v>
      </c>
      <c r="B1179" s="1906">
        <f t="shared" ref="B1179:M1179" si="1357">SUMIF(C$1054:C$1120,"feb"&amp;$B1035,C$983:C$1049)</f>
        <v>0</v>
      </c>
      <c r="C1179" s="1906">
        <f t="shared" si="1357"/>
        <v>0</v>
      </c>
      <c r="D1179" s="1906">
        <f t="shared" si="1357"/>
        <v>0</v>
      </c>
      <c r="E1179" s="1906">
        <f t="shared" si="1357"/>
        <v>0</v>
      </c>
      <c r="F1179" s="1906">
        <f t="shared" si="1357"/>
        <v>0</v>
      </c>
      <c r="G1179" s="1906">
        <f t="shared" si="1357"/>
        <v>0</v>
      </c>
      <c r="H1179" s="1906">
        <f t="shared" si="1357"/>
        <v>0</v>
      </c>
      <c r="I1179" s="1906">
        <f t="shared" si="1357"/>
        <v>0</v>
      </c>
      <c r="J1179" s="1906">
        <f t="shared" si="1357"/>
        <v>0</v>
      </c>
      <c r="K1179" s="1906">
        <f t="shared" si="1357"/>
        <v>0</v>
      </c>
      <c r="L1179" s="1906">
        <f t="shared" si="1357"/>
        <v>0</v>
      </c>
      <c r="M1179" s="1906">
        <f t="shared" si="1357"/>
        <v>0</v>
      </c>
      <c r="N1179" s="107"/>
      <c r="O1179" s="1906"/>
      <c r="P1179" s="1906">
        <f t="shared" si="1256"/>
        <v>0</v>
      </c>
      <c r="Q1179" s="1906">
        <f t="shared" si="1257"/>
        <v>0</v>
      </c>
      <c r="R1179" s="1906">
        <f t="shared" si="1258"/>
        <v>0</v>
      </c>
      <c r="S1179" s="1906">
        <f t="shared" si="1259"/>
        <v>0</v>
      </c>
      <c r="T1179" s="1906">
        <f t="shared" si="1260"/>
        <v>0</v>
      </c>
      <c r="U1179" s="1906">
        <f t="shared" si="1261"/>
        <v>0</v>
      </c>
      <c r="V1179" s="1906">
        <f t="shared" si="1262"/>
        <v>0</v>
      </c>
      <c r="W1179" s="1906">
        <f t="shared" si="1263"/>
        <v>0</v>
      </c>
      <c r="X1179" s="1906">
        <f t="shared" si="1264"/>
        <v>0</v>
      </c>
      <c r="Y1179" s="1906">
        <f t="shared" si="1265"/>
        <v>0</v>
      </c>
      <c r="Z1179" s="1906">
        <f t="shared" si="1266"/>
        <v>0</v>
      </c>
      <c r="AA1179" s="107"/>
      <c r="AB1179" s="1906">
        <f t="shared" si="1267"/>
        <v>0</v>
      </c>
      <c r="AC1179" s="1906">
        <f t="shared" si="1268"/>
        <v>0</v>
      </c>
      <c r="AD1179" s="1906">
        <f t="shared" si="1269"/>
        <v>0</v>
      </c>
      <c r="AE1179" s="1906">
        <f t="shared" si="1270"/>
        <v>0</v>
      </c>
      <c r="AF1179" s="1906">
        <f t="shared" si="1271"/>
        <v>0</v>
      </c>
      <c r="AG1179" s="1906">
        <f t="shared" si="1272"/>
        <v>0</v>
      </c>
      <c r="AH1179" s="1906">
        <f t="shared" si="1273"/>
        <v>0</v>
      </c>
      <c r="AI1179" s="1906">
        <f t="shared" si="1274"/>
        <v>0</v>
      </c>
      <c r="AJ1179" s="1906">
        <f t="shared" si="1275"/>
        <v>0</v>
      </c>
      <c r="AK1179" s="1906">
        <f t="shared" si="1276"/>
        <v>0</v>
      </c>
      <c r="AL1179" s="1906">
        <f t="shared" si="1277"/>
        <v>0</v>
      </c>
      <c r="AM1179" s="1906">
        <f t="shared" si="1278"/>
        <v>0</v>
      </c>
      <c r="AN1179" s="107"/>
      <c r="AO1179" s="1906">
        <f t="shared" si="1279"/>
        <v>0</v>
      </c>
      <c r="AP1179" s="1906">
        <f t="shared" si="1280"/>
        <v>0</v>
      </c>
      <c r="AQ1179" s="1906">
        <f t="shared" si="1281"/>
        <v>0</v>
      </c>
      <c r="AR1179" s="1906">
        <f t="shared" si="1282"/>
        <v>0</v>
      </c>
      <c r="AS1179" s="1906">
        <f t="shared" si="1283"/>
        <v>0</v>
      </c>
      <c r="AT1179" s="1906">
        <f t="shared" si="1284"/>
        <v>0</v>
      </c>
      <c r="AU1179" s="1906">
        <f t="shared" si="1285"/>
        <v>0</v>
      </c>
      <c r="AV1179" s="1906">
        <f t="shared" si="1286"/>
        <v>0</v>
      </c>
      <c r="AW1179" s="1906">
        <f t="shared" si="1287"/>
        <v>0</v>
      </c>
      <c r="AX1179" s="1906">
        <f t="shared" si="1288"/>
        <v>0</v>
      </c>
      <c r="AY1179" s="1906">
        <f t="shared" si="1289"/>
        <v>0</v>
      </c>
      <c r="AZ1179" s="1906">
        <f t="shared" si="1290"/>
        <v>0</v>
      </c>
      <c r="BA1179" s="107"/>
      <c r="BB1179" s="1906">
        <f t="shared" si="1291"/>
        <v>0</v>
      </c>
      <c r="BC1179" s="1906">
        <f t="shared" si="1292"/>
        <v>0</v>
      </c>
      <c r="BD1179" s="1906">
        <f t="shared" si="1293"/>
        <v>0</v>
      </c>
      <c r="BE1179" s="1906">
        <f t="shared" si="1294"/>
        <v>0</v>
      </c>
      <c r="BF1179" s="1906">
        <f t="shared" si="1295"/>
        <v>0</v>
      </c>
      <c r="BG1179" s="1906">
        <f t="shared" si="1296"/>
        <v>0</v>
      </c>
      <c r="BH1179" s="1906">
        <f t="shared" si="1297"/>
        <v>0</v>
      </c>
      <c r="BI1179" s="1906">
        <f t="shared" si="1298"/>
        <v>0</v>
      </c>
      <c r="BJ1179" s="1906">
        <f t="shared" si="1299"/>
        <v>0</v>
      </c>
      <c r="BK1179" s="1906">
        <f t="shared" si="1300"/>
        <v>0</v>
      </c>
      <c r="BL1179" s="1906">
        <f t="shared" si="1301"/>
        <v>0</v>
      </c>
      <c r="BM1179" s="1906">
        <f t="shared" si="1302"/>
        <v>0</v>
      </c>
      <c r="BN1179" s="107"/>
      <c r="BO1179" s="1906">
        <f t="shared" si="1303"/>
        <v>0</v>
      </c>
      <c r="BP1179" s="1906">
        <f t="shared" si="1304"/>
        <v>0</v>
      </c>
      <c r="BQ1179" s="1906">
        <f t="shared" si="1305"/>
        <v>0</v>
      </c>
      <c r="BR1179" s="1906">
        <f t="shared" si="1306"/>
        <v>0</v>
      </c>
      <c r="BS1179" s="1906">
        <f t="shared" si="1307"/>
        <v>0</v>
      </c>
      <c r="BT1179" s="1906">
        <f t="shared" si="1308"/>
        <v>0</v>
      </c>
      <c r="BU1179" s="1906">
        <f t="shared" si="1309"/>
        <v>0</v>
      </c>
      <c r="BV1179" s="1906">
        <f t="shared" si="1310"/>
        <v>0</v>
      </c>
      <c r="BW1179" s="1906">
        <f t="shared" si="1311"/>
        <v>0</v>
      </c>
      <c r="BX1179" s="1906">
        <f t="shared" si="1312"/>
        <v>0</v>
      </c>
      <c r="BY1179" s="1906">
        <f t="shared" si="1313"/>
        <v>0</v>
      </c>
      <c r="BZ1179" s="1906">
        <f t="shared" si="1314"/>
        <v>0</v>
      </c>
      <c r="CA1179" s="1971">
        <f t="shared" si="1315"/>
        <v>0</v>
      </c>
      <c r="CB1179" s="1906">
        <f t="shared" si="1316"/>
        <v>0</v>
      </c>
      <c r="CC1179" s="1906">
        <f t="shared" si="1317"/>
        <v>0</v>
      </c>
      <c r="CD1179" s="1906">
        <f t="shared" si="1318"/>
        <v>0</v>
      </c>
      <c r="CE1179" s="1906">
        <f t="shared" si="1319"/>
        <v>0</v>
      </c>
      <c r="CF1179" s="1906">
        <f t="shared" si="1320"/>
        <v>0</v>
      </c>
      <c r="CG1179" s="1906">
        <f t="shared" si="1321"/>
        <v>0</v>
      </c>
      <c r="CH1179" s="1906">
        <f t="shared" si="1322"/>
        <v>0</v>
      </c>
      <c r="CI1179" s="1906">
        <f t="shared" si="1323"/>
        <v>0</v>
      </c>
      <c r="CJ1179" s="1906">
        <f t="shared" si="1225"/>
        <v>0</v>
      </c>
      <c r="CK1179" s="1906">
        <f t="shared" si="1226"/>
        <v>0</v>
      </c>
      <c r="CL1179" s="1906">
        <f t="shared" si="1227"/>
        <v>0</v>
      </c>
      <c r="CM1179" s="1906">
        <f t="shared" si="1228"/>
        <v>0</v>
      </c>
      <c r="CN1179" s="595">
        <f t="shared" si="1324"/>
        <v>0</v>
      </c>
      <c r="CO1179" s="1443">
        <f t="shared" si="1219"/>
        <v>0</v>
      </c>
      <c r="CQ1179" s="108">
        <f t="shared" si="1325"/>
        <v>0</v>
      </c>
      <c r="CR1179" s="1898">
        <f t="shared" si="1326"/>
        <v>0</v>
      </c>
      <c r="CS1179" s="1898">
        <f t="shared" si="1327"/>
        <v>0</v>
      </c>
      <c r="CT1179" s="1898">
        <f t="shared" si="1328"/>
        <v>0</v>
      </c>
      <c r="CU1179" s="1898">
        <f t="shared" si="1329"/>
        <v>0</v>
      </c>
      <c r="CV1179" s="1898">
        <f t="shared" si="1330"/>
        <v>0</v>
      </c>
      <c r="CW1179" s="1898">
        <f t="shared" si="1331"/>
        <v>0</v>
      </c>
      <c r="CX1179" s="1898">
        <f t="shared" si="1332"/>
        <v>0</v>
      </c>
      <c r="CY1179" s="1898">
        <f t="shared" si="1333"/>
        <v>0</v>
      </c>
      <c r="CZ1179" s="1898">
        <f t="shared" si="1334"/>
        <v>0</v>
      </c>
      <c r="DA1179" s="1898">
        <f t="shared" si="1335"/>
        <v>0</v>
      </c>
      <c r="DB1179" s="1898">
        <f t="shared" si="1336"/>
        <v>0</v>
      </c>
      <c r="DC1179" s="1898">
        <f t="shared" si="1337"/>
        <v>0</v>
      </c>
    </row>
    <row r="1180" spans="1:107" x14ac:dyDescent="0.2">
      <c r="A1180" s="1971">
        <f t="shared" si="1254"/>
        <v>0</v>
      </c>
      <c r="B1180" s="1906">
        <f t="shared" ref="B1180:M1180" si="1358">SUMIF(C$1054:C$1120,"feb"&amp;$B1036,C$983:C$1049)</f>
        <v>0</v>
      </c>
      <c r="C1180" s="1906">
        <f t="shared" si="1358"/>
        <v>0</v>
      </c>
      <c r="D1180" s="1906">
        <f t="shared" si="1358"/>
        <v>0</v>
      </c>
      <c r="E1180" s="1906">
        <f t="shared" si="1358"/>
        <v>0</v>
      </c>
      <c r="F1180" s="1906">
        <f t="shared" si="1358"/>
        <v>0</v>
      </c>
      <c r="G1180" s="1906">
        <f t="shared" si="1358"/>
        <v>0</v>
      </c>
      <c r="H1180" s="1906">
        <f t="shared" si="1358"/>
        <v>0</v>
      </c>
      <c r="I1180" s="1906">
        <f t="shared" si="1358"/>
        <v>0</v>
      </c>
      <c r="J1180" s="1906">
        <f t="shared" si="1358"/>
        <v>0</v>
      </c>
      <c r="K1180" s="1906">
        <f t="shared" si="1358"/>
        <v>0</v>
      </c>
      <c r="L1180" s="1906">
        <f t="shared" si="1358"/>
        <v>0</v>
      </c>
      <c r="M1180" s="1906">
        <f t="shared" si="1358"/>
        <v>0</v>
      </c>
      <c r="N1180" s="107"/>
      <c r="O1180" s="1906"/>
      <c r="P1180" s="1906">
        <f t="shared" si="1256"/>
        <v>0</v>
      </c>
      <c r="Q1180" s="1906">
        <f t="shared" si="1257"/>
        <v>0</v>
      </c>
      <c r="R1180" s="1906">
        <f t="shared" si="1258"/>
        <v>0</v>
      </c>
      <c r="S1180" s="1906">
        <f t="shared" si="1259"/>
        <v>0</v>
      </c>
      <c r="T1180" s="1906">
        <f t="shared" si="1260"/>
        <v>0</v>
      </c>
      <c r="U1180" s="1906">
        <f t="shared" si="1261"/>
        <v>0</v>
      </c>
      <c r="V1180" s="1906">
        <f t="shared" si="1262"/>
        <v>0</v>
      </c>
      <c r="W1180" s="1906">
        <f t="shared" si="1263"/>
        <v>0</v>
      </c>
      <c r="X1180" s="1906">
        <f t="shared" si="1264"/>
        <v>0</v>
      </c>
      <c r="Y1180" s="1906">
        <f t="shared" si="1265"/>
        <v>0</v>
      </c>
      <c r="Z1180" s="1906">
        <f t="shared" si="1266"/>
        <v>0</v>
      </c>
      <c r="AA1180" s="107"/>
      <c r="AB1180" s="1906">
        <f t="shared" si="1267"/>
        <v>0</v>
      </c>
      <c r="AC1180" s="1906">
        <f t="shared" si="1268"/>
        <v>0</v>
      </c>
      <c r="AD1180" s="1906">
        <f t="shared" si="1269"/>
        <v>0</v>
      </c>
      <c r="AE1180" s="1906">
        <f t="shared" si="1270"/>
        <v>0</v>
      </c>
      <c r="AF1180" s="1906">
        <f t="shared" si="1271"/>
        <v>0</v>
      </c>
      <c r="AG1180" s="1906">
        <f t="shared" si="1272"/>
        <v>0</v>
      </c>
      <c r="AH1180" s="1906">
        <f t="shared" si="1273"/>
        <v>0</v>
      </c>
      <c r="AI1180" s="1906">
        <f t="shared" si="1274"/>
        <v>0</v>
      </c>
      <c r="AJ1180" s="1906">
        <f t="shared" si="1275"/>
        <v>0</v>
      </c>
      <c r="AK1180" s="1906">
        <f t="shared" si="1276"/>
        <v>0</v>
      </c>
      <c r="AL1180" s="1906">
        <f t="shared" si="1277"/>
        <v>0</v>
      </c>
      <c r="AM1180" s="1906">
        <f t="shared" si="1278"/>
        <v>0</v>
      </c>
      <c r="AN1180" s="107"/>
      <c r="AO1180" s="1906">
        <f t="shared" si="1279"/>
        <v>0</v>
      </c>
      <c r="AP1180" s="1906">
        <f t="shared" si="1280"/>
        <v>0</v>
      </c>
      <c r="AQ1180" s="1906">
        <f t="shared" si="1281"/>
        <v>0</v>
      </c>
      <c r="AR1180" s="1906">
        <f t="shared" si="1282"/>
        <v>0</v>
      </c>
      <c r="AS1180" s="1906">
        <f t="shared" si="1283"/>
        <v>0</v>
      </c>
      <c r="AT1180" s="1906">
        <f t="shared" si="1284"/>
        <v>0</v>
      </c>
      <c r="AU1180" s="1906">
        <f t="shared" si="1285"/>
        <v>0</v>
      </c>
      <c r="AV1180" s="1906">
        <f t="shared" si="1286"/>
        <v>0</v>
      </c>
      <c r="AW1180" s="1906">
        <f t="shared" si="1287"/>
        <v>0</v>
      </c>
      <c r="AX1180" s="1906">
        <f t="shared" si="1288"/>
        <v>0</v>
      </c>
      <c r="AY1180" s="1906">
        <f t="shared" si="1289"/>
        <v>0</v>
      </c>
      <c r="AZ1180" s="1906">
        <f t="shared" si="1290"/>
        <v>0</v>
      </c>
      <c r="BA1180" s="107"/>
      <c r="BB1180" s="1906">
        <f t="shared" si="1291"/>
        <v>0</v>
      </c>
      <c r="BC1180" s="1906">
        <f t="shared" si="1292"/>
        <v>0</v>
      </c>
      <c r="BD1180" s="1906">
        <f t="shared" si="1293"/>
        <v>0</v>
      </c>
      <c r="BE1180" s="1906">
        <f t="shared" si="1294"/>
        <v>0</v>
      </c>
      <c r="BF1180" s="1906">
        <f t="shared" si="1295"/>
        <v>0</v>
      </c>
      <c r="BG1180" s="1906">
        <f t="shared" si="1296"/>
        <v>0</v>
      </c>
      <c r="BH1180" s="1906">
        <f t="shared" si="1297"/>
        <v>0</v>
      </c>
      <c r="BI1180" s="1906">
        <f t="shared" si="1298"/>
        <v>0</v>
      </c>
      <c r="BJ1180" s="1906">
        <f t="shared" si="1299"/>
        <v>0</v>
      </c>
      <c r="BK1180" s="1906">
        <f t="shared" si="1300"/>
        <v>0</v>
      </c>
      <c r="BL1180" s="1906">
        <f t="shared" si="1301"/>
        <v>0</v>
      </c>
      <c r="BM1180" s="1906">
        <f t="shared" si="1302"/>
        <v>0</v>
      </c>
      <c r="BN1180" s="107"/>
      <c r="BO1180" s="1906">
        <f t="shared" si="1303"/>
        <v>0</v>
      </c>
      <c r="BP1180" s="1906">
        <f t="shared" si="1304"/>
        <v>0</v>
      </c>
      <c r="BQ1180" s="1906">
        <f t="shared" si="1305"/>
        <v>0</v>
      </c>
      <c r="BR1180" s="1906">
        <f t="shared" si="1306"/>
        <v>0</v>
      </c>
      <c r="BS1180" s="1906">
        <f t="shared" si="1307"/>
        <v>0</v>
      </c>
      <c r="BT1180" s="1906">
        <f t="shared" si="1308"/>
        <v>0</v>
      </c>
      <c r="BU1180" s="1906">
        <f t="shared" si="1309"/>
        <v>0</v>
      </c>
      <c r="BV1180" s="1906">
        <f t="shared" si="1310"/>
        <v>0</v>
      </c>
      <c r="BW1180" s="1906">
        <f t="shared" si="1311"/>
        <v>0</v>
      </c>
      <c r="BX1180" s="1906">
        <f t="shared" si="1312"/>
        <v>0</v>
      </c>
      <c r="BY1180" s="1906">
        <f t="shared" si="1313"/>
        <v>0</v>
      </c>
      <c r="BZ1180" s="1906">
        <f t="shared" si="1314"/>
        <v>0</v>
      </c>
      <c r="CA1180" s="1971">
        <f t="shared" si="1315"/>
        <v>0</v>
      </c>
      <c r="CB1180" s="1906">
        <f t="shared" si="1316"/>
        <v>0</v>
      </c>
      <c r="CC1180" s="1906">
        <f t="shared" si="1317"/>
        <v>0</v>
      </c>
      <c r="CD1180" s="1906">
        <f t="shared" si="1318"/>
        <v>0</v>
      </c>
      <c r="CE1180" s="1906">
        <f t="shared" si="1319"/>
        <v>0</v>
      </c>
      <c r="CF1180" s="1906">
        <f t="shared" si="1320"/>
        <v>0</v>
      </c>
      <c r="CG1180" s="1906">
        <f t="shared" si="1321"/>
        <v>0</v>
      </c>
      <c r="CH1180" s="1906">
        <f t="shared" si="1322"/>
        <v>0</v>
      </c>
      <c r="CI1180" s="1906">
        <f t="shared" si="1323"/>
        <v>0</v>
      </c>
      <c r="CJ1180" s="1906">
        <f t="shared" si="1225"/>
        <v>0</v>
      </c>
      <c r="CK1180" s="1906">
        <f t="shared" si="1226"/>
        <v>0</v>
      </c>
      <c r="CL1180" s="1906">
        <f t="shared" si="1227"/>
        <v>0</v>
      </c>
      <c r="CM1180" s="1906">
        <f t="shared" si="1228"/>
        <v>0</v>
      </c>
      <c r="CN1180" s="595">
        <f t="shared" si="1324"/>
        <v>0</v>
      </c>
      <c r="CO1180" s="1443">
        <f t="shared" si="1219"/>
        <v>0</v>
      </c>
      <c r="CQ1180" s="108">
        <f t="shared" si="1325"/>
        <v>0</v>
      </c>
      <c r="CR1180" s="1898">
        <f t="shared" si="1326"/>
        <v>0</v>
      </c>
      <c r="CS1180" s="1898">
        <f t="shared" si="1327"/>
        <v>0</v>
      </c>
      <c r="CT1180" s="1898">
        <f t="shared" si="1328"/>
        <v>0</v>
      </c>
      <c r="CU1180" s="1898">
        <f t="shared" si="1329"/>
        <v>0</v>
      </c>
      <c r="CV1180" s="1898">
        <f t="shared" si="1330"/>
        <v>0</v>
      </c>
      <c r="CW1180" s="1898">
        <f t="shared" si="1331"/>
        <v>0</v>
      </c>
      <c r="CX1180" s="1898">
        <f t="shared" si="1332"/>
        <v>0</v>
      </c>
      <c r="CY1180" s="1898">
        <f t="shared" si="1333"/>
        <v>0</v>
      </c>
      <c r="CZ1180" s="1898">
        <f t="shared" si="1334"/>
        <v>0</v>
      </c>
      <c r="DA1180" s="1898">
        <f t="shared" si="1335"/>
        <v>0</v>
      </c>
      <c r="DB1180" s="1898">
        <f t="shared" si="1336"/>
        <v>0</v>
      </c>
      <c r="DC1180" s="1898">
        <f t="shared" si="1337"/>
        <v>0</v>
      </c>
    </row>
    <row r="1181" spans="1:107" x14ac:dyDescent="0.2">
      <c r="A1181" s="1971" t="str">
        <f t="shared" si="1254"/>
        <v>Subtotal Cultivos de Invierno para Reserva</v>
      </c>
      <c r="B1181" s="1906">
        <f t="shared" ref="B1181:M1181" si="1359">SUMIF(C$1054:C$1120,"feb"&amp;$B1037,C$983:C$1049)</f>
        <v>0</v>
      </c>
      <c r="C1181" s="1906">
        <f t="shared" si="1359"/>
        <v>0</v>
      </c>
      <c r="D1181" s="1906">
        <f t="shared" si="1359"/>
        <v>0</v>
      </c>
      <c r="E1181" s="1906">
        <f t="shared" si="1359"/>
        <v>0</v>
      </c>
      <c r="F1181" s="1906">
        <f t="shared" si="1359"/>
        <v>0</v>
      </c>
      <c r="G1181" s="1906">
        <f t="shared" si="1359"/>
        <v>0</v>
      </c>
      <c r="H1181" s="1906">
        <f t="shared" si="1359"/>
        <v>0</v>
      </c>
      <c r="I1181" s="1906">
        <f t="shared" si="1359"/>
        <v>0</v>
      </c>
      <c r="J1181" s="1906">
        <f t="shared" si="1359"/>
        <v>0</v>
      </c>
      <c r="K1181" s="1906">
        <f t="shared" si="1359"/>
        <v>0</v>
      </c>
      <c r="L1181" s="1906">
        <f t="shared" si="1359"/>
        <v>0</v>
      </c>
      <c r="M1181" s="1906">
        <f t="shared" si="1359"/>
        <v>0</v>
      </c>
      <c r="N1181" s="107"/>
      <c r="O1181" s="1906"/>
      <c r="P1181" s="1906">
        <f t="shared" si="1256"/>
        <v>0</v>
      </c>
      <c r="Q1181" s="1906">
        <f t="shared" si="1257"/>
        <v>0</v>
      </c>
      <c r="R1181" s="1906">
        <f t="shared" si="1258"/>
        <v>0</v>
      </c>
      <c r="S1181" s="1906">
        <f t="shared" si="1259"/>
        <v>0</v>
      </c>
      <c r="T1181" s="1906">
        <f t="shared" si="1260"/>
        <v>0</v>
      </c>
      <c r="U1181" s="1906">
        <f t="shared" si="1261"/>
        <v>0</v>
      </c>
      <c r="V1181" s="1906">
        <f t="shared" si="1262"/>
        <v>0</v>
      </c>
      <c r="W1181" s="1906">
        <f t="shared" si="1263"/>
        <v>0</v>
      </c>
      <c r="X1181" s="1906">
        <f t="shared" si="1264"/>
        <v>0</v>
      </c>
      <c r="Y1181" s="1906">
        <f t="shared" si="1265"/>
        <v>0</v>
      </c>
      <c r="Z1181" s="1906">
        <f t="shared" si="1266"/>
        <v>0</v>
      </c>
      <c r="AA1181" s="107"/>
      <c r="AB1181" s="1906">
        <f t="shared" si="1267"/>
        <v>0</v>
      </c>
      <c r="AC1181" s="1906">
        <f t="shared" si="1268"/>
        <v>0</v>
      </c>
      <c r="AD1181" s="1906">
        <f t="shared" si="1269"/>
        <v>0</v>
      </c>
      <c r="AE1181" s="1906">
        <f t="shared" si="1270"/>
        <v>0</v>
      </c>
      <c r="AF1181" s="1906">
        <f t="shared" si="1271"/>
        <v>0</v>
      </c>
      <c r="AG1181" s="1906">
        <f t="shared" si="1272"/>
        <v>0</v>
      </c>
      <c r="AH1181" s="1906">
        <f t="shared" si="1273"/>
        <v>0</v>
      </c>
      <c r="AI1181" s="1906">
        <f t="shared" si="1274"/>
        <v>0</v>
      </c>
      <c r="AJ1181" s="1906">
        <f t="shared" si="1275"/>
        <v>0</v>
      </c>
      <c r="AK1181" s="1906">
        <f t="shared" si="1276"/>
        <v>0</v>
      </c>
      <c r="AL1181" s="1906">
        <f t="shared" si="1277"/>
        <v>0</v>
      </c>
      <c r="AM1181" s="1906">
        <f t="shared" si="1278"/>
        <v>0</v>
      </c>
      <c r="AN1181" s="107"/>
      <c r="AO1181" s="1906">
        <f t="shared" si="1279"/>
        <v>0</v>
      </c>
      <c r="AP1181" s="1906">
        <f t="shared" si="1280"/>
        <v>0</v>
      </c>
      <c r="AQ1181" s="1906">
        <f t="shared" si="1281"/>
        <v>0</v>
      </c>
      <c r="AR1181" s="1906">
        <f t="shared" si="1282"/>
        <v>0</v>
      </c>
      <c r="AS1181" s="1906">
        <f t="shared" si="1283"/>
        <v>0</v>
      </c>
      <c r="AT1181" s="1906">
        <f t="shared" si="1284"/>
        <v>0</v>
      </c>
      <c r="AU1181" s="1906">
        <f t="shared" si="1285"/>
        <v>0</v>
      </c>
      <c r="AV1181" s="1906">
        <f t="shared" si="1286"/>
        <v>0</v>
      </c>
      <c r="AW1181" s="1906">
        <f t="shared" si="1287"/>
        <v>0</v>
      </c>
      <c r="AX1181" s="1906">
        <f t="shared" si="1288"/>
        <v>0</v>
      </c>
      <c r="AY1181" s="1906">
        <f t="shared" si="1289"/>
        <v>0</v>
      </c>
      <c r="AZ1181" s="1906">
        <f t="shared" si="1290"/>
        <v>0</v>
      </c>
      <c r="BA1181" s="107"/>
      <c r="BB1181" s="1906">
        <f t="shared" si="1291"/>
        <v>0</v>
      </c>
      <c r="BC1181" s="1906">
        <f t="shared" si="1292"/>
        <v>0</v>
      </c>
      <c r="BD1181" s="1906">
        <f t="shared" si="1293"/>
        <v>0</v>
      </c>
      <c r="BE1181" s="1906">
        <f t="shared" si="1294"/>
        <v>0</v>
      </c>
      <c r="BF1181" s="1906">
        <f t="shared" si="1295"/>
        <v>0</v>
      </c>
      <c r="BG1181" s="1906">
        <f t="shared" si="1296"/>
        <v>0</v>
      </c>
      <c r="BH1181" s="1906">
        <f t="shared" si="1297"/>
        <v>0</v>
      </c>
      <c r="BI1181" s="1906">
        <f t="shared" si="1298"/>
        <v>0</v>
      </c>
      <c r="BJ1181" s="1906">
        <f t="shared" si="1299"/>
        <v>0</v>
      </c>
      <c r="BK1181" s="1906">
        <f t="shared" si="1300"/>
        <v>0</v>
      </c>
      <c r="BL1181" s="1906">
        <f t="shared" si="1301"/>
        <v>0</v>
      </c>
      <c r="BM1181" s="1906">
        <f t="shared" si="1302"/>
        <v>0</v>
      </c>
      <c r="BN1181" s="107"/>
      <c r="BO1181" s="1906">
        <f t="shared" si="1303"/>
        <v>0</v>
      </c>
      <c r="BP1181" s="1906">
        <f t="shared" si="1304"/>
        <v>0</v>
      </c>
      <c r="BQ1181" s="1906">
        <f t="shared" si="1305"/>
        <v>0</v>
      </c>
      <c r="BR1181" s="1906">
        <f t="shared" si="1306"/>
        <v>0</v>
      </c>
      <c r="BS1181" s="1906">
        <f t="shared" si="1307"/>
        <v>0</v>
      </c>
      <c r="BT1181" s="1906">
        <f t="shared" si="1308"/>
        <v>0</v>
      </c>
      <c r="BU1181" s="1906">
        <f t="shared" si="1309"/>
        <v>0</v>
      </c>
      <c r="BV1181" s="1906">
        <f t="shared" si="1310"/>
        <v>0</v>
      </c>
      <c r="BW1181" s="1906">
        <f t="shared" si="1311"/>
        <v>0</v>
      </c>
      <c r="BX1181" s="1906">
        <f t="shared" si="1312"/>
        <v>0</v>
      </c>
      <c r="BY1181" s="1906">
        <f t="shared" si="1313"/>
        <v>0</v>
      </c>
      <c r="BZ1181" s="1906">
        <f t="shared" si="1314"/>
        <v>0</v>
      </c>
      <c r="CA1181" s="1971" t="str">
        <f t="shared" si="1315"/>
        <v>Subtotal Cultivos de Invierno para Reserva</v>
      </c>
      <c r="CB1181" s="1906">
        <f t="shared" si="1316"/>
        <v>0</v>
      </c>
      <c r="CC1181" s="1906">
        <f t="shared" si="1317"/>
        <v>0</v>
      </c>
      <c r="CD1181" s="1906">
        <f t="shared" si="1318"/>
        <v>0</v>
      </c>
      <c r="CE1181" s="1906">
        <f t="shared" si="1319"/>
        <v>0</v>
      </c>
      <c r="CF1181" s="1906">
        <f t="shared" si="1320"/>
        <v>0</v>
      </c>
      <c r="CG1181" s="1906">
        <f t="shared" si="1321"/>
        <v>0</v>
      </c>
      <c r="CH1181" s="1906">
        <f t="shared" si="1322"/>
        <v>0</v>
      </c>
      <c r="CI1181" s="1906">
        <f t="shared" si="1323"/>
        <v>0</v>
      </c>
      <c r="CJ1181" s="1906">
        <f t="shared" si="1225"/>
        <v>0</v>
      </c>
      <c r="CK1181" s="1906">
        <f t="shared" si="1226"/>
        <v>0</v>
      </c>
      <c r="CL1181" s="1906">
        <f t="shared" si="1227"/>
        <v>0</v>
      </c>
      <c r="CM1181" s="1906">
        <f t="shared" si="1228"/>
        <v>0</v>
      </c>
      <c r="CN1181" s="595" t="str">
        <f t="shared" si="1324"/>
        <v>Subtotal Cultivos de Invierno para Reserva</v>
      </c>
      <c r="CO1181" s="1443">
        <f t="shared" si="1219"/>
        <v>0</v>
      </c>
      <c r="CQ1181" s="108" t="str">
        <f t="shared" si="1325"/>
        <v>Subtotal Cultivos de Invierno para Reserva</v>
      </c>
      <c r="CR1181" s="1898">
        <f t="shared" si="1326"/>
        <v>0</v>
      </c>
      <c r="CS1181" s="1898">
        <f t="shared" si="1327"/>
        <v>0</v>
      </c>
      <c r="CT1181" s="1898">
        <f t="shared" si="1328"/>
        <v>0</v>
      </c>
      <c r="CU1181" s="1898">
        <f t="shared" si="1329"/>
        <v>0</v>
      </c>
      <c r="CV1181" s="1898">
        <f t="shared" si="1330"/>
        <v>0</v>
      </c>
      <c r="CW1181" s="1898">
        <f t="shared" si="1331"/>
        <v>0</v>
      </c>
      <c r="CX1181" s="1898">
        <f t="shared" si="1332"/>
        <v>0</v>
      </c>
      <c r="CY1181" s="1898">
        <f t="shared" si="1333"/>
        <v>0</v>
      </c>
      <c r="CZ1181" s="1898">
        <f t="shared" si="1334"/>
        <v>0</v>
      </c>
      <c r="DA1181" s="1898">
        <f t="shared" si="1335"/>
        <v>0</v>
      </c>
      <c r="DB1181" s="1898">
        <f t="shared" si="1336"/>
        <v>0</v>
      </c>
      <c r="DC1181" s="1898">
        <f t="shared" si="1337"/>
        <v>0</v>
      </c>
    </row>
    <row r="1182" spans="1:107" x14ac:dyDescent="0.2">
      <c r="A1182" s="1971" t="str">
        <f t="shared" si="1254"/>
        <v>Soja</v>
      </c>
      <c r="B1182" s="1906">
        <f t="shared" ref="B1182:M1182" si="1360">SUMIF(C$1054:C$1120,"feb"&amp;$B1038,C$983:C$1049)</f>
        <v>0</v>
      </c>
      <c r="C1182" s="1906">
        <f t="shared" si="1360"/>
        <v>0</v>
      </c>
      <c r="D1182" s="1906">
        <f t="shared" si="1360"/>
        <v>0</v>
      </c>
      <c r="E1182" s="1906">
        <f t="shared" si="1360"/>
        <v>0</v>
      </c>
      <c r="F1182" s="1906">
        <f t="shared" si="1360"/>
        <v>0</v>
      </c>
      <c r="G1182" s="1906">
        <f t="shared" si="1360"/>
        <v>0</v>
      </c>
      <c r="H1182" s="1906">
        <f t="shared" si="1360"/>
        <v>0</v>
      </c>
      <c r="I1182" s="1906">
        <f t="shared" si="1360"/>
        <v>0</v>
      </c>
      <c r="J1182" s="1906">
        <f t="shared" si="1360"/>
        <v>0</v>
      </c>
      <c r="K1182" s="1906">
        <f t="shared" si="1360"/>
        <v>0</v>
      </c>
      <c r="L1182" s="1906">
        <f t="shared" si="1360"/>
        <v>0</v>
      </c>
      <c r="M1182" s="1906">
        <f t="shared" si="1360"/>
        <v>0</v>
      </c>
      <c r="N1182" s="107"/>
      <c r="O1182" s="1906"/>
      <c r="P1182" s="1906">
        <f t="shared" si="1256"/>
        <v>0</v>
      </c>
      <c r="Q1182" s="1906">
        <f t="shared" si="1257"/>
        <v>0</v>
      </c>
      <c r="R1182" s="1906">
        <f t="shared" si="1258"/>
        <v>0</v>
      </c>
      <c r="S1182" s="1906">
        <f t="shared" si="1259"/>
        <v>0</v>
      </c>
      <c r="T1182" s="1906">
        <f t="shared" si="1260"/>
        <v>0</v>
      </c>
      <c r="U1182" s="1906">
        <f t="shared" si="1261"/>
        <v>0</v>
      </c>
      <c r="V1182" s="1906">
        <f t="shared" si="1262"/>
        <v>0</v>
      </c>
      <c r="W1182" s="1906">
        <f t="shared" si="1263"/>
        <v>0</v>
      </c>
      <c r="X1182" s="1906">
        <f t="shared" si="1264"/>
        <v>0</v>
      </c>
      <c r="Y1182" s="1906">
        <f t="shared" si="1265"/>
        <v>0</v>
      </c>
      <c r="Z1182" s="1906">
        <f t="shared" si="1266"/>
        <v>0</v>
      </c>
      <c r="AA1182" s="107"/>
      <c r="AB1182" s="1906">
        <f t="shared" si="1267"/>
        <v>0</v>
      </c>
      <c r="AC1182" s="1906">
        <f t="shared" si="1268"/>
        <v>0</v>
      </c>
      <c r="AD1182" s="1906">
        <f t="shared" si="1269"/>
        <v>0</v>
      </c>
      <c r="AE1182" s="1906">
        <f t="shared" si="1270"/>
        <v>0</v>
      </c>
      <c r="AF1182" s="1906">
        <f t="shared" si="1271"/>
        <v>0</v>
      </c>
      <c r="AG1182" s="1906">
        <f t="shared" si="1272"/>
        <v>0</v>
      </c>
      <c r="AH1182" s="1906">
        <f t="shared" si="1273"/>
        <v>0</v>
      </c>
      <c r="AI1182" s="1906">
        <f t="shared" si="1274"/>
        <v>0</v>
      </c>
      <c r="AJ1182" s="1906">
        <f t="shared" si="1275"/>
        <v>0</v>
      </c>
      <c r="AK1182" s="1906">
        <f t="shared" si="1276"/>
        <v>0</v>
      </c>
      <c r="AL1182" s="1906">
        <f t="shared" si="1277"/>
        <v>0</v>
      </c>
      <c r="AM1182" s="1906">
        <f t="shared" si="1278"/>
        <v>0</v>
      </c>
      <c r="AN1182" s="107"/>
      <c r="AO1182" s="1906">
        <f t="shared" si="1279"/>
        <v>0</v>
      </c>
      <c r="AP1182" s="1906">
        <f t="shared" si="1280"/>
        <v>0</v>
      </c>
      <c r="AQ1182" s="1906">
        <f t="shared" si="1281"/>
        <v>0</v>
      </c>
      <c r="AR1182" s="1906">
        <f t="shared" si="1282"/>
        <v>0</v>
      </c>
      <c r="AS1182" s="1906">
        <f t="shared" si="1283"/>
        <v>0</v>
      </c>
      <c r="AT1182" s="1906">
        <f t="shared" si="1284"/>
        <v>0</v>
      </c>
      <c r="AU1182" s="1906">
        <f t="shared" si="1285"/>
        <v>0</v>
      </c>
      <c r="AV1182" s="1906">
        <f t="shared" si="1286"/>
        <v>0</v>
      </c>
      <c r="AW1182" s="1906">
        <f t="shared" si="1287"/>
        <v>0</v>
      </c>
      <c r="AX1182" s="1906">
        <f t="shared" si="1288"/>
        <v>0</v>
      </c>
      <c r="AY1182" s="1906">
        <f t="shared" si="1289"/>
        <v>0</v>
      </c>
      <c r="AZ1182" s="1906">
        <f t="shared" si="1290"/>
        <v>0</v>
      </c>
      <c r="BA1182" s="107"/>
      <c r="BB1182" s="1906">
        <f t="shared" si="1291"/>
        <v>0</v>
      </c>
      <c r="BC1182" s="1906">
        <f t="shared" si="1292"/>
        <v>0</v>
      </c>
      <c r="BD1182" s="1906">
        <f t="shared" si="1293"/>
        <v>0</v>
      </c>
      <c r="BE1182" s="1906">
        <f t="shared" si="1294"/>
        <v>0</v>
      </c>
      <c r="BF1182" s="1906">
        <f t="shared" si="1295"/>
        <v>0</v>
      </c>
      <c r="BG1182" s="1906">
        <f t="shared" si="1296"/>
        <v>0</v>
      </c>
      <c r="BH1182" s="1906">
        <f t="shared" si="1297"/>
        <v>0</v>
      </c>
      <c r="BI1182" s="1906">
        <f t="shared" si="1298"/>
        <v>0</v>
      </c>
      <c r="BJ1182" s="1906">
        <f t="shared" si="1299"/>
        <v>0</v>
      </c>
      <c r="BK1182" s="1906">
        <f t="shared" si="1300"/>
        <v>0</v>
      </c>
      <c r="BL1182" s="1906">
        <f t="shared" si="1301"/>
        <v>0</v>
      </c>
      <c r="BM1182" s="1906">
        <f t="shared" si="1302"/>
        <v>0</v>
      </c>
      <c r="BN1182" s="107"/>
      <c r="BO1182" s="1906">
        <f t="shared" si="1303"/>
        <v>0</v>
      </c>
      <c r="BP1182" s="1906">
        <f t="shared" si="1304"/>
        <v>0</v>
      </c>
      <c r="BQ1182" s="1906">
        <f t="shared" si="1305"/>
        <v>0</v>
      </c>
      <c r="BR1182" s="1906">
        <f t="shared" si="1306"/>
        <v>0</v>
      </c>
      <c r="BS1182" s="1906">
        <f t="shared" si="1307"/>
        <v>0</v>
      </c>
      <c r="BT1182" s="1906">
        <f t="shared" si="1308"/>
        <v>0</v>
      </c>
      <c r="BU1182" s="1906">
        <f t="shared" si="1309"/>
        <v>0</v>
      </c>
      <c r="BV1182" s="1906">
        <f t="shared" si="1310"/>
        <v>0</v>
      </c>
      <c r="BW1182" s="1906">
        <f t="shared" si="1311"/>
        <v>0</v>
      </c>
      <c r="BX1182" s="1906">
        <f t="shared" si="1312"/>
        <v>0</v>
      </c>
      <c r="BY1182" s="1906">
        <f t="shared" si="1313"/>
        <v>0</v>
      </c>
      <c r="BZ1182" s="1906">
        <f t="shared" si="1314"/>
        <v>0</v>
      </c>
      <c r="CA1182" s="1971" t="str">
        <f t="shared" si="1315"/>
        <v>Soja</v>
      </c>
      <c r="CB1182" s="1906">
        <f t="shared" si="1316"/>
        <v>0</v>
      </c>
      <c r="CC1182" s="1906">
        <f t="shared" si="1317"/>
        <v>0</v>
      </c>
      <c r="CD1182" s="1906">
        <f t="shared" si="1318"/>
        <v>0</v>
      </c>
      <c r="CE1182" s="1906">
        <f t="shared" si="1319"/>
        <v>0</v>
      </c>
      <c r="CF1182" s="1906">
        <f t="shared" si="1320"/>
        <v>0</v>
      </c>
      <c r="CG1182" s="1906">
        <f t="shared" si="1321"/>
        <v>0</v>
      </c>
      <c r="CH1182" s="1906">
        <f t="shared" si="1322"/>
        <v>0</v>
      </c>
      <c r="CI1182" s="1906">
        <f t="shared" si="1323"/>
        <v>0</v>
      </c>
      <c r="CJ1182" s="1906">
        <f t="shared" si="1225"/>
        <v>0</v>
      </c>
      <c r="CK1182" s="1906">
        <f t="shared" si="1226"/>
        <v>0</v>
      </c>
      <c r="CL1182" s="1906">
        <f t="shared" si="1227"/>
        <v>0</v>
      </c>
      <c r="CM1182" s="1906">
        <f t="shared" si="1228"/>
        <v>0</v>
      </c>
      <c r="CN1182" s="595" t="str">
        <f t="shared" si="1324"/>
        <v>Soja</v>
      </c>
      <c r="CO1182" s="1443">
        <f t="shared" si="1219"/>
        <v>0</v>
      </c>
      <c r="CQ1182" s="108" t="str">
        <f t="shared" si="1325"/>
        <v>Soja</v>
      </c>
      <c r="CR1182" s="1898">
        <f t="shared" si="1326"/>
        <v>0</v>
      </c>
      <c r="CS1182" s="1898">
        <f t="shared" si="1327"/>
        <v>0</v>
      </c>
      <c r="CT1182" s="1898">
        <f t="shared" si="1328"/>
        <v>0</v>
      </c>
      <c r="CU1182" s="1898">
        <f t="shared" si="1329"/>
        <v>0</v>
      </c>
      <c r="CV1182" s="1898">
        <f t="shared" si="1330"/>
        <v>0</v>
      </c>
      <c r="CW1182" s="1898">
        <f t="shared" si="1331"/>
        <v>0</v>
      </c>
      <c r="CX1182" s="1898">
        <f t="shared" si="1332"/>
        <v>0</v>
      </c>
      <c r="CY1182" s="1898">
        <f t="shared" si="1333"/>
        <v>0</v>
      </c>
      <c r="CZ1182" s="1898">
        <f t="shared" si="1334"/>
        <v>0</v>
      </c>
      <c r="DA1182" s="1898">
        <f t="shared" si="1335"/>
        <v>0</v>
      </c>
      <c r="DB1182" s="1898">
        <f t="shared" si="1336"/>
        <v>0</v>
      </c>
      <c r="DC1182" s="1898">
        <f t="shared" si="1337"/>
        <v>0</v>
      </c>
    </row>
    <row r="1183" spans="1:107" x14ac:dyDescent="0.2">
      <c r="A1183" s="1971" t="str">
        <f t="shared" si="1254"/>
        <v>Soja 2ª</v>
      </c>
      <c r="B1183" s="1906">
        <f t="shared" ref="B1183:M1183" si="1361">SUMIF(C$1054:C$1120,"feb"&amp;$B1039,C$983:C$1049)</f>
        <v>0</v>
      </c>
      <c r="C1183" s="1906">
        <f t="shared" si="1361"/>
        <v>0</v>
      </c>
      <c r="D1183" s="1906">
        <f t="shared" si="1361"/>
        <v>0</v>
      </c>
      <c r="E1183" s="1906">
        <f t="shared" si="1361"/>
        <v>0</v>
      </c>
      <c r="F1183" s="1906">
        <f t="shared" si="1361"/>
        <v>0</v>
      </c>
      <c r="G1183" s="1906">
        <f t="shared" si="1361"/>
        <v>0</v>
      </c>
      <c r="H1183" s="1906">
        <f t="shared" si="1361"/>
        <v>0</v>
      </c>
      <c r="I1183" s="1906">
        <f t="shared" si="1361"/>
        <v>0</v>
      </c>
      <c r="J1183" s="1906">
        <f t="shared" si="1361"/>
        <v>0</v>
      </c>
      <c r="K1183" s="1906">
        <f t="shared" si="1361"/>
        <v>0</v>
      </c>
      <c r="L1183" s="1906">
        <f t="shared" si="1361"/>
        <v>0</v>
      </c>
      <c r="M1183" s="1906">
        <f t="shared" si="1361"/>
        <v>0</v>
      </c>
      <c r="N1183" s="107"/>
      <c r="O1183" s="1906"/>
      <c r="P1183" s="1906">
        <f t="shared" si="1256"/>
        <v>0</v>
      </c>
      <c r="Q1183" s="1906">
        <f t="shared" si="1257"/>
        <v>0</v>
      </c>
      <c r="R1183" s="1906">
        <f t="shared" si="1258"/>
        <v>0</v>
      </c>
      <c r="S1183" s="1906">
        <f t="shared" si="1259"/>
        <v>0</v>
      </c>
      <c r="T1183" s="1906">
        <f t="shared" si="1260"/>
        <v>0</v>
      </c>
      <c r="U1183" s="1906">
        <f t="shared" si="1261"/>
        <v>0</v>
      </c>
      <c r="V1183" s="1906">
        <f t="shared" si="1262"/>
        <v>0</v>
      </c>
      <c r="W1183" s="1906">
        <f t="shared" si="1263"/>
        <v>0</v>
      </c>
      <c r="X1183" s="1906">
        <f t="shared" si="1264"/>
        <v>0</v>
      </c>
      <c r="Y1183" s="1906">
        <f t="shared" si="1265"/>
        <v>0</v>
      </c>
      <c r="Z1183" s="1906">
        <f t="shared" si="1266"/>
        <v>0</v>
      </c>
      <c r="AA1183" s="107"/>
      <c r="AB1183" s="1906">
        <f t="shared" si="1267"/>
        <v>0</v>
      </c>
      <c r="AC1183" s="1906">
        <f t="shared" si="1268"/>
        <v>0</v>
      </c>
      <c r="AD1183" s="1906">
        <f t="shared" si="1269"/>
        <v>0</v>
      </c>
      <c r="AE1183" s="1906">
        <f t="shared" si="1270"/>
        <v>0</v>
      </c>
      <c r="AF1183" s="1906">
        <f t="shared" si="1271"/>
        <v>0</v>
      </c>
      <c r="AG1183" s="1906">
        <f t="shared" si="1272"/>
        <v>0</v>
      </c>
      <c r="AH1183" s="1906">
        <f t="shared" si="1273"/>
        <v>0</v>
      </c>
      <c r="AI1183" s="1906">
        <f t="shared" si="1274"/>
        <v>0</v>
      </c>
      <c r="AJ1183" s="1906">
        <f t="shared" si="1275"/>
        <v>0</v>
      </c>
      <c r="AK1183" s="1906">
        <f t="shared" si="1276"/>
        <v>0</v>
      </c>
      <c r="AL1183" s="1906">
        <f t="shared" si="1277"/>
        <v>0</v>
      </c>
      <c r="AM1183" s="1906">
        <f t="shared" si="1278"/>
        <v>0</v>
      </c>
      <c r="AN1183" s="107"/>
      <c r="AO1183" s="1906">
        <f t="shared" si="1279"/>
        <v>0</v>
      </c>
      <c r="AP1183" s="1906">
        <f t="shared" si="1280"/>
        <v>0</v>
      </c>
      <c r="AQ1183" s="1906">
        <f t="shared" si="1281"/>
        <v>0</v>
      </c>
      <c r="AR1183" s="1906">
        <f t="shared" si="1282"/>
        <v>0</v>
      </c>
      <c r="AS1183" s="1906">
        <f t="shared" si="1283"/>
        <v>0</v>
      </c>
      <c r="AT1183" s="1906">
        <f t="shared" si="1284"/>
        <v>0</v>
      </c>
      <c r="AU1183" s="1906">
        <f t="shared" si="1285"/>
        <v>0</v>
      </c>
      <c r="AV1183" s="1906">
        <f t="shared" si="1286"/>
        <v>0</v>
      </c>
      <c r="AW1183" s="1906">
        <f t="shared" si="1287"/>
        <v>0</v>
      </c>
      <c r="AX1183" s="1906">
        <f t="shared" si="1288"/>
        <v>0</v>
      </c>
      <c r="AY1183" s="1906">
        <f t="shared" si="1289"/>
        <v>0</v>
      </c>
      <c r="AZ1183" s="1906">
        <f t="shared" si="1290"/>
        <v>0</v>
      </c>
      <c r="BA1183" s="107"/>
      <c r="BB1183" s="1906">
        <f t="shared" si="1291"/>
        <v>0</v>
      </c>
      <c r="BC1183" s="1906">
        <f t="shared" si="1292"/>
        <v>0</v>
      </c>
      <c r="BD1183" s="1906">
        <f t="shared" si="1293"/>
        <v>0</v>
      </c>
      <c r="BE1183" s="1906">
        <f t="shared" si="1294"/>
        <v>0</v>
      </c>
      <c r="BF1183" s="1906">
        <f t="shared" si="1295"/>
        <v>0</v>
      </c>
      <c r="BG1183" s="1906">
        <f t="shared" si="1296"/>
        <v>0</v>
      </c>
      <c r="BH1183" s="1906">
        <f t="shared" si="1297"/>
        <v>0</v>
      </c>
      <c r="BI1183" s="1906">
        <f t="shared" si="1298"/>
        <v>0</v>
      </c>
      <c r="BJ1183" s="1906">
        <f t="shared" si="1299"/>
        <v>0</v>
      </c>
      <c r="BK1183" s="1906">
        <f t="shared" si="1300"/>
        <v>0</v>
      </c>
      <c r="BL1183" s="1906">
        <f t="shared" si="1301"/>
        <v>0</v>
      </c>
      <c r="BM1183" s="1906">
        <f t="shared" si="1302"/>
        <v>0</v>
      </c>
      <c r="BN1183" s="107"/>
      <c r="BO1183" s="1906">
        <f t="shared" si="1303"/>
        <v>0</v>
      </c>
      <c r="BP1183" s="1906">
        <f t="shared" si="1304"/>
        <v>0</v>
      </c>
      <c r="BQ1183" s="1906">
        <f t="shared" si="1305"/>
        <v>0</v>
      </c>
      <c r="BR1183" s="1906">
        <f t="shared" si="1306"/>
        <v>0</v>
      </c>
      <c r="BS1183" s="1906">
        <f t="shared" si="1307"/>
        <v>0</v>
      </c>
      <c r="BT1183" s="1906">
        <f t="shared" si="1308"/>
        <v>0</v>
      </c>
      <c r="BU1183" s="1906">
        <f t="shared" si="1309"/>
        <v>0</v>
      </c>
      <c r="BV1183" s="1906">
        <f t="shared" si="1310"/>
        <v>0</v>
      </c>
      <c r="BW1183" s="1906">
        <f t="shared" si="1311"/>
        <v>0</v>
      </c>
      <c r="BX1183" s="1906">
        <f t="shared" si="1312"/>
        <v>0</v>
      </c>
      <c r="BY1183" s="1906">
        <f t="shared" si="1313"/>
        <v>0</v>
      </c>
      <c r="BZ1183" s="1906">
        <f t="shared" si="1314"/>
        <v>0</v>
      </c>
      <c r="CA1183" s="1971" t="str">
        <f t="shared" si="1315"/>
        <v>Soja 2ª</v>
      </c>
      <c r="CB1183" s="1906">
        <f t="shared" si="1316"/>
        <v>0</v>
      </c>
      <c r="CC1183" s="1906">
        <f t="shared" si="1317"/>
        <v>0</v>
      </c>
      <c r="CD1183" s="1906">
        <f t="shared" si="1318"/>
        <v>0</v>
      </c>
      <c r="CE1183" s="1906">
        <f t="shared" si="1319"/>
        <v>0</v>
      </c>
      <c r="CF1183" s="1906">
        <f t="shared" si="1320"/>
        <v>0</v>
      </c>
      <c r="CG1183" s="1906">
        <f t="shared" si="1321"/>
        <v>0</v>
      </c>
      <c r="CH1183" s="1906">
        <f t="shared" si="1322"/>
        <v>0</v>
      </c>
      <c r="CI1183" s="1906">
        <f t="shared" si="1323"/>
        <v>0</v>
      </c>
      <c r="CJ1183" s="1906">
        <f t="shared" si="1225"/>
        <v>0</v>
      </c>
      <c r="CK1183" s="1906">
        <f t="shared" si="1226"/>
        <v>0</v>
      </c>
      <c r="CL1183" s="1906">
        <f t="shared" si="1227"/>
        <v>0</v>
      </c>
      <c r="CM1183" s="1906">
        <f t="shared" si="1228"/>
        <v>0</v>
      </c>
      <c r="CN1183" s="595" t="str">
        <f t="shared" si="1324"/>
        <v>Soja 2ª</v>
      </c>
      <c r="CO1183" s="1443">
        <f t="shared" si="1219"/>
        <v>0</v>
      </c>
      <c r="CQ1183" s="108" t="str">
        <f t="shared" si="1325"/>
        <v>Soja 2ª</v>
      </c>
      <c r="CR1183" s="1898">
        <f t="shared" si="1326"/>
        <v>0</v>
      </c>
      <c r="CS1183" s="1898">
        <f t="shared" si="1327"/>
        <v>0</v>
      </c>
      <c r="CT1183" s="1898">
        <f t="shared" si="1328"/>
        <v>0</v>
      </c>
      <c r="CU1183" s="1898">
        <f t="shared" si="1329"/>
        <v>0</v>
      </c>
      <c r="CV1183" s="1898">
        <f t="shared" si="1330"/>
        <v>0</v>
      </c>
      <c r="CW1183" s="1898">
        <f t="shared" si="1331"/>
        <v>0</v>
      </c>
      <c r="CX1183" s="1898">
        <f t="shared" si="1332"/>
        <v>0</v>
      </c>
      <c r="CY1183" s="1898">
        <f t="shared" si="1333"/>
        <v>0</v>
      </c>
      <c r="CZ1183" s="1898">
        <f t="shared" si="1334"/>
        <v>0</v>
      </c>
      <c r="DA1183" s="1898">
        <f t="shared" si="1335"/>
        <v>0</v>
      </c>
      <c r="DB1183" s="1898">
        <f t="shared" si="1336"/>
        <v>0</v>
      </c>
      <c r="DC1183" s="1898">
        <f t="shared" si="1337"/>
        <v>0</v>
      </c>
    </row>
    <row r="1184" spans="1:107" x14ac:dyDescent="0.2">
      <c r="A1184" s="1971" t="str">
        <f t="shared" si="1254"/>
        <v>Maíz Grano</v>
      </c>
      <c r="B1184" s="1906">
        <f t="shared" ref="B1184:M1184" si="1362">SUMIF(C$1054:C$1120,"feb"&amp;$B1040,C$983:C$1049)</f>
        <v>0</v>
      </c>
      <c r="C1184" s="1906">
        <f t="shared" si="1362"/>
        <v>0</v>
      </c>
      <c r="D1184" s="1906">
        <f t="shared" si="1362"/>
        <v>0</v>
      </c>
      <c r="E1184" s="1906">
        <f t="shared" si="1362"/>
        <v>0</v>
      </c>
      <c r="F1184" s="1906">
        <f t="shared" si="1362"/>
        <v>0</v>
      </c>
      <c r="G1184" s="1906">
        <f t="shared" si="1362"/>
        <v>0</v>
      </c>
      <c r="H1184" s="1906">
        <f t="shared" si="1362"/>
        <v>0</v>
      </c>
      <c r="I1184" s="1906">
        <f t="shared" si="1362"/>
        <v>0</v>
      </c>
      <c r="J1184" s="1906">
        <f t="shared" si="1362"/>
        <v>0</v>
      </c>
      <c r="K1184" s="1906">
        <f t="shared" si="1362"/>
        <v>0</v>
      </c>
      <c r="L1184" s="1906">
        <f t="shared" si="1362"/>
        <v>0</v>
      </c>
      <c r="M1184" s="1906">
        <f t="shared" si="1362"/>
        <v>0</v>
      </c>
      <c r="N1184" s="107"/>
      <c r="O1184" s="1906"/>
      <c r="P1184" s="1906">
        <f t="shared" si="1256"/>
        <v>0</v>
      </c>
      <c r="Q1184" s="1906">
        <f t="shared" si="1257"/>
        <v>0</v>
      </c>
      <c r="R1184" s="1906">
        <f t="shared" si="1258"/>
        <v>0</v>
      </c>
      <c r="S1184" s="1906">
        <f t="shared" si="1259"/>
        <v>0</v>
      </c>
      <c r="T1184" s="1906">
        <f t="shared" si="1260"/>
        <v>0</v>
      </c>
      <c r="U1184" s="1906">
        <f t="shared" si="1261"/>
        <v>0</v>
      </c>
      <c r="V1184" s="1906">
        <f t="shared" si="1262"/>
        <v>0</v>
      </c>
      <c r="W1184" s="1906">
        <f t="shared" si="1263"/>
        <v>0</v>
      </c>
      <c r="X1184" s="1906">
        <f t="shared" si="1264"/>
        <v>0</v>
      </c>
      <c r="Y1184" s="1906">
        <f t="shared" si="1265"/>
        <v>0</v>
      </c>
      <c r="Z1184" s="1906">
        <f t="shared" si="1266"/>
        <v>0</v>
      </c>
      <c r="AA1184" s="107"/>
      <c r="AB1184" s="1906">
        <f t="shared" si="1267"/>
        <v>0</v>
      </c>
      <c r="AC1184" s="1906">
        <f t="shared" si="1268"/>
        <v>0</v>
      </c>
      <c r="AD1184" s="1906">
        <f t="shared" si="1269"/>
        <v>0</v>
      </c>
      <c r="AE1184" s="1906">
        <f t="shared" si="1270"/>
        <v>0</v>
      </c>
      <c r="AF1184" s="1906">
        <f t="shared" si="1271"/>
        <v>0</v>
      </c>
      <c r="AG1184" s="1906">
        <f t="shared" si="1272"/>
        <v>0</v>
      </c>
      <c r="AH1184" s="1906">
        <f t="shared" si="1273"/>
        <v>0</v>
      </c>
      <c r="AI1184" s="1906">
        <f t="shared" si="1274"/>
        <v>0</v>
      </c>
      <c r="AJ1184" s="1906">
        <f t="shared" si="1275"/>
        <v>0</v>
      </c>
      <c r="AK1184" s="1906">
        <f t="shared" si="1276"/>
        <v>0</v>
      </c>
      <c r="AL1184" s="1906">
        <f t="shared" si="1277"/>
        <v>0</v>
      </c>
      <c r="AM1184" s="1906">
        <f t="shared" si="1278"/>
        <v>0</v>
      </c>
      <c r="AN1184" s="107"/>
      <c r="AO1184" s="1906">
        <f t="shared" si="1279"/>
        <v>0</v>
      </c>
      <c r="AP1184" s="1906">
        <f t="shared" si="1280"/>
        <v>0</v>
      </c>
      <c r="AQ1184" s="1906">
        <f t="shared" si="1281"/>
        <v>0</v>
      </c>
      <c r="AR1184" s="1906">
        <f t="shared" si="1282"/>
        <v>0</v>
      </c>
      <c r="AS1184" s="1906">
        <f t="shared" si="1283"/>
        <v>0</v>
      </c>
      <c r="AT1184" s="1906">
        <f t="shared" si="1284"/>
        <v>0</v>
      </c>
      <c r="AU1184" s="1906">
        <f t="shared" si="1285"/>
        <v>0</v>
      </c>
      <c r="AV1184" s="1906">
        <f t="shared" si="1286"/>
        <v>0</v>
      </c>
      <c r="AW1184" s="1906">
        <f t="shared" si="1287"/>
        <v>0</v>
      </c>
      <c r="AX1184" s="1906">
        <f t="shared" si="1288"/>
        <v>0</v>
      </c>
      <c r="AY1184" s="1906">
        <f t="shared" si="1289"/>
        <v>0</v>
      </c>
      <c r="AZ1184" s="1906">
        <f t="shared" si="1290"/>
        <v>0</v>
      </c>
      <c r="BA1184" s="107"/>
      <c r="BB1184" s="1906">
        <f t="shared" si="1291"/>
        <v>0</v>
      </c>
      <c r="BC1184" s="1906">
        <f t="shared" si="1292"/>
        <v>0</v>
      </c>
      <c r="BD1184" s="1906">
        <f t="shared" si="1293"/>
        <v>0</v>
      </c>
      <c r="BE1184" s="1906">
        <f t="shared" si="1294"/>
        <v>0</v>
      </c>
      <c r="BF1184" s="1906">
        <f t="shared" si="1295"/>
        <v>0</v>
      </c>
      <c r="BG1184" s="1906">
        <f t="shared" si="1296"/>
        <v>0</v>
      </c>
      <c r="BH1184" s="1906">
        <f t="shared" si="1297"/>
        <v>0</v>
      </c>
      <c r="BI1184" s="1906">
        <f t="shared" si="1298"/>
        <v>0</v>
      </c>
      <c r="BJ1184" s="1906">
        <f t="shared" si="1299"/>
        <v>0</v>
      </c>
      <c r="BK1184" s="1906">
        <f t="shared" si="1300"/>
        <v>0</v>
      </c>
      <c r="BL1184" s="1906">
        <f t="shared" si="1301"/>
        <v>0</v>
      </c>
      <c r="BM1184" s="1906">
        <f t="shared" si="1302"/>
        <v>0</v>
      </c>
      <c r="BN1184" s="107"/>
      <c r="BO1184" s="1906">
        <f t="shared" si="1303"/>
        <v>0</v>
      </c>
      <c r="BP1184" s="1906">
        <f t="shared" si="1304"/>
        <v>0</v>
      </c>
      <c r="BQ1184" s="1906">
        <f t="shared" si="1305"/>
        <v>0</v>
      </c>
      <c r="BR1184" s="1906">
        <f t="shared" si="1306"/>
        <v>0</v>
      </c>
      <c r="BS1184" s="1906">
        <f t="shared" si="1307"/>
        <v>0</v>
      </c>
      <c r="BT1184" s="1906">
        <f t="shared" si="1308"/>
        <v>0</v>
      </c>
      <c r="BU1184" s="1906">
        <f t="shared" si="1309"/>
        <v>0</v>
      </c>
      <c r="BV1184" s="1906">
        <f t="shared" si="1310"/>
        <v>0</v>
      </c>
      <c r="BW1184" s="1906">
        <f t="shared" si="1311"/>
        <v>0</v>
      </c>
      <c r="BX1184" s="1906">
        <f t="shared" si="1312"/>
        <v>0</v>
      </c>
      <c r="BY1184" s="1906">
        <f t="shared" si="1313"/>
        <v>0</v>
      </c>
      <c r="BZ1184" s="1906">
        <f t="shared" si="1314"/>
        <v>0</v>
      </c>
      <c r="CA1184" s="1971" t="str">
        <f t="shared" si="1315"/>
        <v>Maíz Grano</v>
      </c>
      <c r="CB1184" s="1906">
        <f t="shared" si="1316"/>
        <v>0</v>
      </c>
      <c r="CC1184" s="1906">
        <f t="shared" si="1317"/>
        <v>0</v>
      </c>
      <c r="CD1184" s="1906">
        <f t="shared" si="1318"/>
        <v>0</v>
      </c>
      <c r="CE1184" s="1906">
        <f t="shared" si="1319"/>
        <v>0</v>
      </c>
      <c r="CF1184" s="1906">
        <f t="shared" si="1320"/>
        <v>0</v>
      </c>
      <c r="CG1184" s="1906">
        <f t="shared" si="1321"/>
        <v>0</v>
      </c>
      <c r="CH1184" s="1906">
        <f t="shared" si="1322"/>
        <v>0</v>
      </c>
      <c r="CI1184" s="1906">
        <f t="shared" si="1323"/>
        <v>0</v>
      </c>
      <c r="CJ1184" s="1906">
        <f t="shared" si="1225"/>
        <v>0</v>
      </c>
      <c r="CK1184" s="1906">
        <f t="shared" si="1226"/>
        <v>0</v>
      </c>
      <c r="CL1184" s="1906">
        <f t="shared" si="1227"/>
        <v>0</v>
      </c>
      <c r="CM1184" s="1906">
        <f t="shared" si="1228"/>
        <v>0</v>
      </c>
      <c r="CN1184" s="595" t="str">
        <f t="shared" si="1324"/>
        <v>Maíz Grano</v>
      </c>
      <c r="CO1184" s="1443">
        <f t="shared" si="1219"/>
        <v>0</v>
      </c>
      <c r="CQ1184" s="108" t="str">
        <f t="shared" si="1325"/>
        <v>Maíz Grano</v>
      </c>
      <c r="CR1184" s="1898">
        <f t="shared" si="1326"/>
        <v>0</v>
      </c>
      <c r="CS1184" s="1898">
        <f t="shared" si="1327"/>
        <v>0</v>
      </c>
      <c r="CT1184" s="1898">
        <f t="shared" si="1328"/>
        <v>0</v>
      </c>
      <c r="CU1184" s="1898">
        <f t="shared" si="1329"/>
        <v>0</v>
      </c>
      <c r="CV1184" s="1898">
        <f t="shared" si="1330"/>
        <v>0</v>
      </c>
      <c r="CW1184" s="1898">
        <f t="shared" si="1331"/>
        <v>0</v>
      </c>
      <c r="CX1184" s="1898">
        <f t="shared" si="1332"/>
        <v>0</v>
      </c>
      <c r="CY1184" s="1898">
        <f t="shared" si="1333"/>
        <v>0</v>
      </c>
      <c r="CZ1184" s="1898">
        <f t="shared" si="1334"/>
        <v>0</v>
      </c>
      <c r="DA1184" s="1898">
        <f t="shared" si="1335"/>
        <v>0</v>
      </c>
      <c r="DB1184" s="1898">
        <f t="shared" si="1336"/>
        <v>0</v>
      </c>
      <c r="DC1184" s="1898">
        <f t="shared" si="1337"/>
        <v>0</v>
      </c>
    </row>
    <row r="1185" spans="1:135" x14ac:dyDescent="0.2">
      <c r="A1185" s="1971" t="str">
        <f t="shared" si="1254"/>
        <v>Sorgo grano</v>
      </c>
      <c r="B1185" s="1906">
        <f t="shared" ref="B1185:M1185" si="1363">SUMIF(C$1054:C$1120,"feb"&amp;$B1041,C$983:C$1049)</f>
        <v>0</v>
      </c>
      <c r="C1185" s="1906">
        <f t="shared" si="1363"/>
        <v>0</v>
      </c>
      <c r="D1185" s="1906">
        <f t="shared" si="1363"/>
        <v>0</v>
      </c>
      <c r="E1185" s="1906">
        <f t="shared" si="1363"/>
        <v>0</v>
      </c>
      <c r="F1185" s="1906">
        <f t="shared" si="1363"/>
        <v>0</v>
      </c>
      <c r="G1185" s="1906">
        <f t="shared" si="1363"/>
        <v>0</v>
      </c>
      <c r="H1185" s="1906">
        <f t="shared" si="1363"/>
        <v>0</v>
      </c>
      <c r="I1185" s="1906">
        <f t="shared" si="1363"/>
        <v>0</v>
      </c>
      <c r="J1185" s="1906">
        <f t="shared" si="1363"/>
        <v>0</v>
      </c>
      <c r="K1185" s="1906">
        <f t="shared" si="1363"/>
        <v>0</v>
      </c>
      <c r="L1185" s="1906">
        <f t="shared" si="1363"/>
        <v>0</v>
      </c>
      <c r="M1185" s="1906">
        <f t="shared" si="1363"/>
        <v>0</v>
      </c>
      <c r="N1185" s="107"/>
      <c r="O1185" s="1906"/>
      <c r="P1185" s="1906">
        <f t="shared" si="1256"/>
        <v>0</v>
      </c>
      <c r="Q1185" s="1906">
        <f t="shared" si="1257"/>
        <v>0</v>
      </c>
      <c r="R1185" s="1906">
        <f t="shared" si="1258"/>
        <v>0</v>
      </c>
      <c r="S1185" s="1906">
        <f t="shared" si="1259"/>
        <v>0</v>
      </c>
      <c r="T1185" s="1906">
        <f t="shared" si="1260"/>
        <v>0</v>
      </c>
      <c r="U1185" s="1906">
        <f t="shared" si="1261"/>
        <v>0</v>
      </c>
      <c r="V1185" s="1906">
        <f t="shared" si="1262"/>
        <v>0</v>
      </c>
      <c r="W1185" s="1906">
        <f t="shared" si="1263"/>
        <v>0</v>
      </c>
      <c r="X1185" s="1906">
        <f t="shared" si="1264"/>
        <v>0</v>
      </c>
      <c r="Y1185" s="1906">
        <f t="shared" si="1265"/>
        <v>0</v>
      </c>
      <c r="Z1185" s="1906">
        <f t="shared" si="1266"/>
        <v>0</v>
      </c>
      <c r="AA1185" s="107"/>
      <c r="AB1185" s="1906">
        <f t="shared" si="1267"/>
        <v>0</v>
      </c>
      <c r="AC1185" s="1906">
        <f t="shared" si="1268"/>
        <v>0</v>
      </c>
      <c r="AD1185" s="1906">
        <f t="shared" si="1269"/>
        <v>0</v>
      </c>
      <c r="AE1185" s="1906">
        <f t="shared" si="1270"/>
        <v>0</v>
      </c>
      <c r="AF1185" s="1906">
        <f t="shared" si="1271"/>
        <v>0</v>
      </c>
      <c r="AG1185" s="1906">
        <f t="shared" si="1272"/>
        <v>0</v>
      </c>
      <c r="AH1185" s="1906">
        <f t="shared" si="1273"/>
        <v>0</v>
      </c>
      <c r="AI1185" s="1906">
        <f t="shared" si="1274"/>
        <v>0</v>
      </c>
      <c r="AJ1185" s="1906">
        <f t="shared" si="1275"/>
        <v>0</v>
      </c>
      <c r="AK1185" s="1906">
        <f t="shared" si="1276"/>
        <v>0</v>
      </c>
      <c r="AL1185" s="1906">
        <f t="shared" si="1277"/>
        <v>0</v>
      </c>
      <c r="AM1185" s="1906">
        <f t="shared" si="1278"/>
        <v>0</v>
      </c>
      <c r="AN1185" s="107"/>
      <c r="AO1185" s="1906">
        <f t="shared" si="1279"/>
        <v>0</v>
      </c>
      <c r="AP1185" s="1906">
        <f t="shared" si="1280"/>
        <v>0</v>
      </c>
      <c r="AQ1185" s="1906">
        <f t="shared" si="1281"/>
        <v>0</v>
      </c>
      <c r="AR1185" s="1906">
        <f t="shared" si="1282"/>
        <v>0</v>
      </c>
      <c r="AS1185" s="1906">
        <f t="shared" si="1283"/>
        <v>0</v>
      </c>
      <c r="AT1185" s="1906">
        <f t="shared" si="1284"/>
        <v>0</v>
      </c>
      <c r="AU1185" s="1906">
        <f t="shared" si="1285"/>
        <v>0</v>
      </c>
      <c r="AV1185" s="1906">
        <f t="shared" si="1286"/>
        <v>0</v>
      </c>
      <c r="AW1185" s="1906">
        <f t="shared" si="1287"/>
        <v>0</v>
      </c>
      <c r="AX1185" s="1906">
        <f t="shared" si="1288"/>
        <v>0</v>
      </c>
      <c r="AY1185" s="1906">
        <f t="shared" si="1289"/>
        <v>0</v>
      </c>
      <c r="AZ1185" s="1906">
        <f t="shared" si="1290"/>
        <v>0</v>
      </c>
      <c r="BA1185" s="107"/>
      <c r="BB1185" s="1906">
        <f t="shared" si="1291"/>
        <v>0</v>
      </c>
      <c r="BC1185" s="1906">
        <f t="shared" si="1292"/>
        <v>0</v>
      </c>
      <c r="BD1185" s="1906">
        <f t="shared" si="1293"/>
        <v>0</v>
      </c>
      <c r="BE1185" s="1906">
        <f t="shared" si="1294"/>
        <v>0</v>
      </c>
      <c r="BF1185" s="1906">
        <f t="shared" si="1295"/>
        <v>0</v>
      </c>
      <c r="BG1185" s="1906">
        <f t="shared" si="1296"/>
        <v>0</v>
      </c>
      <c r="BH1185" s="1906">
        <f t="shared" si="1297"/>
        <v>0</v>
      </c>
      <c r="BI1185" s="1906">
        <f t="shared" si="1298"/>
        <v>0</v>
      </c>
      <c r="BJ1185" s="1906">
        <f t="shared" si="1299"/>
        <v>0</v>
      </c>
      <c r="BK1185" s="1906">
        <f t="shared" si="1300"/>
        <v>0</v>
      </c>
      <c r="BL1185" s="1906">
        <f t="shared" si="1301"/>
        <v>0</v>
      </c>
      <c r="BM1185" s="1906">
        <f t="shared" si="1302"/>
        <v>0</v>
      </c>
      <c r="BN1185" s="107"/>
      <c r="BO1185" s="1906">
        <f t="shared" si="1303"/>
        <v>0</v>
      </c>
      <c r="BP1185" s="1906">
        <f t="shared" si="1304"/>
        <v>0</v>
      </c>
      <c r="BQ1185" s="1906">
        <f t="shared" si="1305"/>
        <v>0</v>
      </c>
      <c r="BR1185" s="1906">
        <f t="shared" si="1306"/>
        <v>0</v>
      </c>
      <c r="BS1185" s="1906">
        <f t="shared" si="1307"/>
        <v>0</v>
      </c>
      <c r="BT1185" s="1906">
        <f t="shared" si="1308"/>
        <v>0</v>
      </c>
      <c r="BU1185" s="1906">
        <f t="shared" si="1309"/>
        <v>0</v>
      </c>
      <c r="BV1185" s="1906">
        <f t="shared" si="1310"/>
        <v>0</v>
      </c>
      <c r="BW1185" s="1906">
        <f t="shared" si="1311"/>
        <v>0</v>
      </c>
      <c r="BX1185" s="1906">
        <f t="shared" si="1312"/>
        <v>0</v>
      </c>
      <c r="BY1185" s="1906">
        <f t="shared" si="1313"/>
        <v>0</v>
      </c>
      <c r="BZ1185" s="1906">
        <f t="shared" si="1314"/>
        <v>0</v>
      </c>
      <c r="CA1185" s="1971" t="str">
        <f t="shared" si="1315"/>
        <v>Sorgo grano</v>
      </c>
      <c r="CB1185" s="1906">
        <f t="shared" si="1316"/>
        <v>0</v>
      </c>
      <c r="CC1185" s="1906">
        <f t="shared" si="1317"/>
        <v>0</v>
      </c>
      <c r="CD1185" s="1906">
        <f t="shared" si="1318"/>
        <v>0</v>
      </c>
      <c r="CE1185" s="1906">
        <f t="shared" si="1319"/>
        <v>0</v>
      </c>
      <c r="CF1185" s="1906">
        <f t="shared" si="1320"/>
        <v>0</v>
      </c>
      <c r="CG1185" s="1906">
        <f t="shared" si="1321"/>
        <v>0</v>
      </c>
      <c r="CH1185" s="1906">
        <f t="shared" si="1322"/>
        <v>0</v>
      </c>
      <c r="CI1185" s="1906">
        <f t="shared" si="1323"/>
        <v>0</v>
      </c>
      <c r="CJ1185" s="1906">
        <f t="shared" si="1225"/>
        <v>0</v>
      </c>
      <c r="CK1185" s="1906">
        <f t="shared" si="1226"/>
        <v>0</v>
      </c>
      <c r="CL1185" s="1906">
        <f t="shared" si="1227"/>
        <v>0</v>
      </c>
      <c r="CM1185" s="1906">
        <f t="shared" si="1228"/>
        <v>0</v>
      </c>
      <c r="CN1185" s="595" t="str">
        <f t="shared" si="1324"/>
        <v>Sorgo grano</v>
      </c>
      <c r="CO1185" s="1443">
        <f t="shared" si="1219"/>
        <v>0</v>
      </c>
      <c r="CQ1185" s="108" t="str">
        <f t="shared" si="1325"/>
        <v>Sorgo grano</v>
      </c>
      <c r="CR1185" s="1898">
        <f t="shared" si="1326"/>
        <v>0</v>
      </c>
      <c r="CS1185" s="1898">
        <f t="shared" si="1327"/>
        <v>0</v>
      </c>
      <c r="CT1185" s="1898">
        <f t="shared" si="1328"/>
        <v>0</v>
      </c>
      <c r="CU1185" s="1898">
        <f t="shared" si="1329"/>
        <v>0</v>
      </c>
      <c r="CV1185" s="1898">
        <f t="shared" si="1330"/>
        <v>0</v>
      </c>
      <c r="CW1185" s="1898">
        <f t="shared" si="1331"/>
        <v>0</v>
      </c>
      <c r="CX1185" s="1898">
        <f t="shared" si="1332"/>
        <v>0</v>
      </c>
      <c r="CY1185" s="1898">
        <f t="shared" si="1333"/>
        <v>0</v>
      </c>
      <c r="CZ1185" s="1898">
        <f t="shared" si="1334"/>
        <v>0</v>
      </c>
      <c r="DA1185" s="1898">
        <f t="shared" si="1335"/>
        <v>0</v>
      </c>
      <c r="DB1185" s="1898">
        <f t="shared" si="1336"/>
        <v>0</v>
      </c>
      <c r="DC1185" s="1898">
        <f t="shared" si="1337"/>
        <v>0</v>
      </c>
    </row>
    <row r="1186" spans="1:135" x14ac:dyDescent="0.2">
      <c r="A1186" s="1971" t="str">
        <f t="shared" si="1254"/>
        <v>Trigo grano</v>
      </c>
      <c r="B1186" s="1906">
        <f t="shared" ref="B1186:M1186" si="1364">SUMIF(C$1054:C$1120,"feb"&amp;$B1042,C$983:C$1049)</f>
        <v>0</v>
      </c>
      <c r="C1186" s="1906">
        <f t="shared" si="1364"/>
        <v>0</v>
      </c>
      <c r="D1186" s="1906">
        <f t="shared" si="1364"/>
        <v>0</v>
      </c>
      <c r="E1186" s="1906">
        <f t="shared" si="1364"/>
        <v>0</v>
      </c>
      <c r="F1186" s="1906">
        <f t="shared" si="1364"/>
        <v>0</v>
      </c>
      <c r="G1186" s="1906">
        <f t="shared" si="1364"/>
        <v>0</v>
      </c>
      <c r="H1186" s="1906">
        <f t="shared" si="1364"/>
        <v>0</v>
      </c>
      <c r="I1186" s="1906">
        <f t="shared" si="1364"/>
        <v>0</v>
      </c>
      <c r="J1186" s="1906">
        <f t="shared" si="1364"/>
        <v>0</v>
      </c>
      <c r="K1186" s="1906">
        <f t="shared" si="1364"/>
        <v>0</v>
      </c>
      <c r="L1186" s="1906">
        <f t="shared" si="1364"/>
        <v>0</v>
      </c>
      <c r="M1186" s="1906">
        <f t="shared" si="1364"/>
        <v>0</v>
      </c>
      <c r="N1186" s="107"/>
      <c r="O1186" s="1906"/>
      <c r="P1186" s="1906">
        <f t="shared" si="1256"/>
        <v>0</v>
      </c>
      <c r="Q1186" s="1906">
        <f t="shared" si="1257"/>
        <v>0</v>
      </c>
      <c r="R1186" s="1906">
        <f t="shared" si="1258"/>
        <v>0</v>
      </c>
      <c r="S1186" s="1906">
        <f t="shared" si="1259"/>
        <v>0</v>
      </c>
      <c r="T1186" s="1906">
        <f t="shared" si="1260"/>
        <v>0</v>
      </c>
      <c r="U1186" s="1906">
        <f t="shared" si="1261"/>
        <v>0</v>
      </c>
      <c r="V1186" s="1906">
        <f t="shared" si="1262"/>
        <v>0</v>
      </c>
      <c r="W1186" s="1906">
        <f t="shared" si="1263"/>
        <v>0</v>
      </c>
      <c r="X1186" s="1906">
        <f t="shared" si="1264"/>
        <v>0</v>
      </c>
      <c r="Y1186" s="1906">
        <f t="shared" si="1265"/>
        <v>0</v>
      </c>
      <c r="Z1186" s="1906">
        <f t="shared" si="1266"/>
        <v>0</v>
      </c>
      <c r="AA1186" s="107"/>
      <c r="AB1186" s="1906">
        <f t="shared" si="1267"/>
        <v>0</v>
      </c>
      <c r="AC1186" s="1906">
        <f t="shared" si="1268"/>
        <v>0</v>
      </c>
      <c r="AD1186" s="1906">
        <f t="shared" si="1269"/>
        <v>0</v>
      </c>
      <c r="AE1186" s="1906">
        <f t="shared" si="1270"/>
        <v>0</v>
      </c>
      <c r="AF1186" s="1906">
        <f t="shared" si="1271"/>
        <v>0</v>
      </c>
      <c r="AG1186" s="1906">
        <f t="shared" si="1272"/>
        <v>0</v>
      </c>
      <c r="AH1186" s="1906">
        <f t="shared" si="1273"/>
        <v>0</v>
      </c>
      <c r="AI1186" s="1906">
        <f t="shared" si="1274"/>
        <v>0</v>
      </c>
      <c r="AJ1186" s="1906">
        <f t="shared" si="1275"/>
        <v>0</v>
      </c>
      <c r="AK1186" s="1906">
        <f t="shared" si="1276"/>
        <v>0</v>
      </c>
      <c r="AL1186" s="1906">
        <f t="shared" si="1277"/>
        <v>0</v>
      </c>
      <c r="AM1186" s="1906">
        <f t="shared" si="1278"/>
        <v>0</v>
      </c>
      <c r="AN1186" s="107"/>
      <c r="AO1186" s="1906">
        <f t="shared" si="1279"/>
        <v>0</v>
      </c>
      <c r="AP1186" s="1906">
        <f t="shared" si="1280"/>
        <v>0</v>
      </c>
      <c r="AQ1186" s="1906">
        <f t="shared" si="1281"/>
        <v>0</v>
      </c>
      <c r="AR1186" s="1906">
        <f t="shared" si="1282"/>
        <v>0</v>
      </c>
      <c r="AS1186" s="1906">
        <f t="shared" si="1283"/>
        <v>0</v>
      </c>
      <c r="AT1186" s="1906">
        <f t="shared" si="1284"/>
        <v>0</v>
      </c>
      <c r="AU1186" s="1906">
        <f t="shared" si="1285"/>
        <v>0</v>
      </c>
      <c r="AV1186" s="1906">
        <f t="shared" si="1286"/>
        <v>0</v>
      </c>
      <c r="AW1186" s="1906">
        <f t="shared" si="1287"/>
        <v>0</v>
      </c>
      <c r="AX1186" s="1906">
        <f t="shared" si="1288"/>
        <v>0</v>
      </c>
      <c r="AY1186" s="1906">
        <f t="shared" si="1289"/>
        <v>0</v>
      </c>
      <c r="AZ1186" s="1906">
        <f t="shared" si="1290"/>
        <v>0</v>
      </c>
      <c r="BA1186" s="107"/>
      <c r="BB1186" s="1906">
        <f t="shared" si="1291"/>
        <v>0</v>
      </c>
      <c r="BC1186" s="1906">
        <f t="shared" si="1292"/>
        <v>0</v>
      </c>
      <c r="BD1186" s="1906">
        <f t="shared" si="1293"/>
        <v>0</v>
      </c>
      <c r="BE1186" s="1906">
        <f t="shared" si="1294"/>
        <v>0</v>
      </c>
      <c r="BF1186" s="1906">
        <f t="shared" si="1295"/>
        <v>0</v>
      </c>
      <c r="BG1186" s="1906">
        <f t="shared" si="1296"/>
        <v>0</v>
      </c>
      <c r="BH1186" s="1906">
        <f t="shared" si="1297"/>
        <v>0</v>
      </c>
      <c r="BI1186" s="1906">
        <f t="shared" si="1298"/>
        <v>0</v>
      </c>
      <c r="BJ1186" s="1906">
        <f t="shared" si="1299"/>
        <v>0</v>
      </c>
      <c r="BK1186" s="1906">
        <f t="shared" si="1300"/>
        <v>0</v>
      </c>
      <c r="BL1186" s="1906">
        <f t="shared" si="1301"/>
        <v>0</v>
      </c>
      <c r="BM1186" s="1906">
        <f t="shared" si="1302"/>
        <v>0</v>
      </c>
      <c r="BN1186" s="107"/>
      <c r="BO1186" s="1906">
        <f t="shared" si="1303"/>
        <v>0</v>
      </c>
      <c r="BP1186" s="1906">
        <f t="shared" si="1304"/>
        <v>0</v>
      </c>
      <c r="BQ1186" s="1906">
        <f t="shared" si="1305"/>
        <v>0</v>
      </c>
      <c r="BR1186" s="1906">
        <f t="shared" si="1306"/>
        <v>0</v>
      </c>
      <c r="BS1186" s="1906">
        <f t="shared" si="1307"/>
        <v>0</v>
      </c>
      <c r="BT1186" s="1906">
        <f t="shared" si="1308"/>
        <v>0</v>
      </c>
      <c r="BU1186" s="1906">
        <f t="shared" si="1309"/>
        <v>0</v>
      </c>
      <c r="BV1186" s="1906">
        <f t="shared" si="1310"/>
        <v>0</v>
      </c>
      <c r="BW1186" s="1906">
        <f t="shared" si="1311"/>
        <v>0</v>
      </c>
      <c r="BX1186" s="1906">
        <f t="shared" si="1312"/>
        <v>0</v>
      </c>
      <c r="BY1186" s="1906">
        <f t="shared" si="1313"/>
        <v>0</v>
      </c>
      <c r="BZ1186" s="1906">
        <f t="shared" si="1314"/>
        <v>0</v>
      </c>
      <c r="CA1186" s="1971" t="str">
        <f t="shared" si="1315"/>
        <v>Trigo grano</v>
      </c>
      <c r="CB1186" s="1906">
        <f t="shared" si="1316"/>
        <v>0</v>
      </c>
      <c r="CC1186" s="1906">
        <f t="shared" si="1317"/>
        <v>0</v>
      </c>
      <c r="CD1186" s="1906">
        <f t="shared" si="1318"/>
        <v>0</v>
      </c>
      <c r="CE1186" s="1906">
        <f t="shared" si="1319"/>
        <v>0</v>
      </c>
      <c r="CF1186" s="1906">
        <f t="shared" si="1320"/>
        <v>0</v>
      </c>
      <c r="CG1186" s="1906">
        <f t="shared" si="1321"/>
        <v>0</v>
      </c>
      <c r="CH1186" s="1906">
        <f t="shared" si="1322"/>
        <v>0</v>
      </c>
      <c r="CI1186" s="1906">
        <f t="shared" si="1323"/>
        <v>0</v>
      </c>
      <c r="CJ1186" s="1906">
        <f t="shared" si="1225"/>
        <v>0</v>
      </c>
      <c r="CK1186" s="1906">
        <f t="shared" si="1226"/>
        <v>0</v>
      </c>
      <c r="CL1186" s="1906">
        <f t="shared" si="1227"/>
        <v>0</v>
      </c>
      <c r="CM1186" s="1906">
        <f t="shared" si="1228"/>
        <v>0</v>
      </c>
      <c r="CN1186" s="595" t="str">
        <f t="shared" ref="CN1186:CN1194" si="1365">CA1186</f>
        <v>Trigo grano</v>
      </c>
      <c r="CO1186" s="1443">
        <f t="shared" si="1219"/>
        <v>0</v>
      </c>
      <c r="CQ1186" s="108" t="str">
        <f t="shared" si="1325"/>
        <v>Trigo grano</v>
      </c>
      <c r="CR1186" s="1898">
        <f t="shared" si="1326"/>
        <v>0</v>
      </c>
      <c r="CS1186" s="1898">
        <f t="shared" si="1327"/>
        <v>0</v>
      </c>
      <c r="CT1186" s="1898">
        <f t="shared" si="1328"/>
        <v>0</v>
      </c>
      <c r="CU1186" s="1898">
        <f t="shared" si="1329"/>
        <v>0</v>
      </c>
      <c r="CV1186" s="1898">
        <f t="shared" si="1330"/>
        <v>0</v>
      </c>
      <c r="CW1186" s="1898">
        <f t="shared" si="1331"/>
        <v>0</v>
      </c>
      <c r="CX1186" s="1898">
        <f t="shared" si="1332"/>
        <v>0</v>
      </c>
      <c r="CY1186" s="1898">
        <f t="shared" si="1333"/>
        <v>0</v>
      </c>
      <c r="CZ1186" s="1898">
        <f t="shared" si="1334"/>
        <v>0</v>
      </c>
      <c r="DA1186" s="1898">
        <f t="shared" si="1335"/>
        <v>0</v>
      </c>
      <c r="DB1186" s="1898">
        <f t="shared" si="1336"/>
        <v>0</v>
      </c>
      <c r="DC1186" s="1898">
        <f t="shared" si="1337"/>
        <v>0</v>
      </c>
    </row>
    <row r="1187" spans="1:135" x14ac:dyDescent="0.2">
      <c r="A1187" s="1971" t="str">
        <f t="shared" si="1254"/>
        <v>Cebada grano</v>
      </c>
      <c r="B1187" s="1906">
        <f t="shared" ref="B1187:M1187" si="1366">SUMIF(C$1054:C$1120,"feb"&amp;$B1043,C$983:C$1049)</f>
        <v>0</v>
      </c>
      <c r="C1187" s="1906">
        <f t="shared" si="1366"/>
        <v>0</v>
      </c>
      <c r="D1187" s="1906">
        <f t="shared" si="1366"/>
        <v>0</v>
      </c>
      <c r="E1187" s="1906">
        <f t="shared" si="1366"/>
        <v>0</v>
      </c>
      <c r="F1187" s="1906">
        <f t="shared" si="1366"/>
        <v>0</v>
      </c>
      <c r="G1187" s="1906">
        <f t="shared" si="1366"/>
        <v>0</v>
      </c>
      <c r="H1187" s="1906">
        <f t="shared" si="1366"/>
        <v>0</v>
      </c>
      <c r="I1187" s="1906">
        <f t="shared" si="1366"/>
        <v>0</v>
      </c>
      <c r="J1187" s="1906">
        <f t="shared" si="1366"/>
        <v>0</v>
      </c>
      <c r="K1187" s="1906">
        <f t="shared" si="1366"/>
        <v>0</v>
      </c>
      <c r="L1187" s="1906">
        <f t="shared" si="1366"/>
        <v>0</v>
      </c>
      <c r="M1187" s="1906">
        <f t="shared" si="1366"/>
        <v>0</v>
      </c>
      <c r="N1187" s="107"/>
      <c r="O1187" s="1906"/>
      <c r="P1187" s="1906">
        <f t="shared" si="1256"/>
        <v>0</v>
      </c>
      <c r="Q1187" s="1906">
        <f t="shared" si="1257"/>
        <v>0</v>
      </c>
      <c r="R1187" s="1906">
        <f t="shared" si="1258"/>
        <v>0</v>
      </c>
      <c r="S1187" s="1906">
        <f t="shared" si="1259"/>
        <v>0</v>
      </c>
      <c r="T1187" s="1906">
        <f t="shared" si="1260"/>
        <v>0</v>
      </c>
      <c r="U1187" s="1906">
        <f t="shared" si="1261"/>
        <v>0</v>
      </c>
      <c r="V1187" s="1906">
        <f t="shared" si="1262"/>
        <v>0</v>
      </c>
      <c r="W1187" s="1906">
        <f t="shared" si="1263"/>
        <v>0</v>
      </c>
      <c r="X1187" s="1906">
        <f t="shared" si="1264"/>
        <v>0</v>
      </c>
      <c r="Y1187" s="1906">
        <f t="shared" si="1265"/>
        <v>0</v>
      </c>
      <c r="Z1187" s="1906">
        <f t="shared" si="1266"/>
        <v>0</v>
      </c>
      <c r="AA1187" s="107"/>
      <c r="AB1187" s="1906">
        <f t="shared" si="1267"/>
        <v>0</v>
      </c>
      <c r="AC1187" s="1906">
        <f t="shared" si="1268"/>
        <v>0</v>
      </c>
      <c r="AD1187" s="1906">
        <f t="shared" si="1269"/>
        <v>0</v>
      </c>
      <c r="AE1187" s="1906">
        <f t="shared" si="1270"/>
        <v>0</v>
      </c>
      <c r="AF1187" s="1906">
        <f t="shared" si="1271"/>
        <v>0</v>
      </c>
      <c r="AG1187" s="1906">
        <f t="shared" si="1272"/>
        <v>0</v>
      </c>
      <c r="AH1187" s="1906">
        <f t="shared" si="1273"/>
        <v>0</v>
      </c>
      <c r="AI1187" s="1906">
        <f t="shared" si="1274"/>
        <v>0</v>
      </c>
      <c r="AJ1187" s="1906">
        <f t="shared" si="1275"/>
        <v>0</v>
      </c>
      <c r="AK1187" s="1906">
        <f t="shared" si="1276"/>
        <v>0</v>
      </c>
      <c r="AL1187" s="1906">
        <f t="shared" si="1277"/>
        <v>0</v>
      </c>
      <c r="AM1187" s="1906">
        <f t="shared" si="1278"/>
        <v>0</v>
      </c>
      <c r="AN1187" s="107"/>
      <c r="AO1187" s="1906">
        <f t="shared" si="1279"/>
        <v>0</v>
      </c>
      <c r="AP1187" s="1906">
        <f t="shared" si="1280"/>
        <v>0</v>
      </c>
      <c r="AQ1187" s="1906">
        <f t="shared" si="1281"/>
        <v>0</v>
      </c>
      <c r="AR1187" s="1906">
        <f t="shared" si="1282"/>
        <v>0</v>
      </c>
      <c r="AS1187" s="1906">
        <f t="shared" si="1283"/>
        <v>0</v>
      </c>
      <c r="AT1187" s="1906">
        <f t="shared" si="1284"/>
        <v>0</v>
      </c>
      <c r="AU1187" s="1906">
        <f t="shared" si="1285"/>
        <v>0</v>
      </c>
      <c r="AV1187" s="1906">
        <f t="shared" si="1286"/>
        <v>0</v>
      </c>
      <c r="AW1187" s="1906">
        <f t="shared" si="1287"/>
        <v>0</v>
      </c>
      <c r="AX1187" s="1906">
        <f t="shared" si="1288"/>
        <v>0</v>
      </c>
      <c r="AY1187" s="1906">
        <f t="shared" si="1289"/>
        <v>0</v>
      </c>
      <c r="AZ1187" s="1906">
        <f t="shared" si="1290"/>
        <v>0</v>
      </c>
      <c r="BA1187" s="107"/>
      <c r="BB1187" s="1906">
        <f t="shared" si="1291"/>
        <v>0</v>
      </c>
      <c r="BC1187" s="1906">
        <f t="shared" si="1292"/>
        <v>0</v>
      </c>
      <c r="BD1187" s="1906">
        <f t="shared" si="1293"/>
        <v>0</v>
      </c>
      <c r="BE1187" s="1906">
        <f t="shared" si="1294"/>
        <v>0</v>
      </c>
      <c r="BF1187" s="1906">
        <f t="shared" si="1295"/>
        <v>0</v>
      </c>
      <c r="BG1187" s="1906">
        <f t="shared" si="1296"/>
        <v>0</v>
      </c>
      <c r="BH1187" s="1906">
        <f t="shared" si="1297"/>
        <v>0</v>
      </c>
      <c r="BI1187" s="1906">
        <f t="shared" si="1298"/>
        <v>0</v>
      </c>
      <c r="BJ1187" s="1906">
        <f t="shared" si="1299"/>
        <v>0</v>
      </c>
      <c r="BK1187" s="1906">
        <f t="shared" si="1300"/>
        <v>0</v>
      </c>
      <c r="BL1187" s="1906">
        <f t="shared" si="1301"/>
        <v>0</v>
      </c>
      <c r="BM1187" s="1906">
        <f t="shared" si="1302"/>
        <v>0</v>
      </c>
      <c r="BN1187" s="107"/>
      <c r="BO1187" s="1906">
        <f t="shared" si="1303"/>
        <v>0</v>
      </c>
      <c r="BP1187" s="1906">
        <f t="shared" si="1304"/>
        <v>0</v>
      </c>
      <c r="BQ1187" s="1906">
        <f t="shared" si="1305"/>
        <v>0</v>
      </c>
      <c r="BR1187" s="1906">
        <f t="shared" si="1306"/>
        <v>0</v>
      </c>
      <c r="BS1187" s="1906">
        <f t="shared" si="1307"/>
        <v>0</v>
      </c>
      <c r="BT1187" s="1906">
        <f t="shared" si="1308"/>
        <v>0</v>
      </c>
      <c r="BU1187" s="1906">
        <f t="shared" si="1309"/>
        <v>0</v>
      </c>
      <c r="BV1187" s="1906">
        <f t="shared" si="1310"/>
        <v>0</v>
      </c>
      <c r="BW1187" s="1906">
        <f t="shared" si="1311"/>
        <v>0</v>
      </c>
      <c r="BX1187" s="1906">
        <f t="shared" si="1312"/>
        <v>0</v>
      </c>
      <c r="BY1187" s="1906">
        <f t="shared" si="1313"/>
        <v>0</v>
      </c>
      <c r="BZ1187" s="1906">
        <f t="shared" si="1314"/>
        <v>0</v>
      </c>
      <c r="CA1187" s="1971" t="str">
        <f t="shared" si="1315"/>
        <v>Cebada grano</v>
      </c>
      <c r="CB1187" s="1906">
        <f t="shared" si="1316"/>
        <v>0</v>
      </c>
      <c r="CC1187" s="1906">
        <f t="shared" si="1317"/>
        <v>0</v>
      </c>
      <c r="CD1187" s="1906">
        <f t="shared" si="1318"/>
        <v>0</v>
      </c>
      <c r="CE1187" s="1906">
        <f t="shared" si="1319"/>
        <v>0</v>
      </c>
      <c r="CF1187" s="1906">
        <f t="shared" si="1320"/>
        <v>0</v>
      </c>
      <c r="CG1187" s="1906">
        <f t="shared" si="1321"/>
        <v>0</v>
      </c>
      <c r="CH1187" s="1906">
        <f t="shared" si="1322"/>
        <v>0</v>
      </c>
      <c r="CI1187" s="1906">
        <f t="shared" si="1323"/>
        <v>0</v>
      </c>
      <c r="CJ1187" s="1906">
        <f t="shared" si="1225"/>
        <v>0</v>
      </c>
      <c r="CK1187" s="1906">
        <f t="shared" si="1226"/>
        <v>0</v>
      </c>
      <c r="CL1187" s="1906">
        <f t="shared" si="1227"/>
        <v>0</v>
      </c>
      <c r="CM1187" s="1906">
        <f t="shared" si="1228"/>
        <v>0</v>
      </c>
      <c r="CN1187" s="595" t="str">
        <f t="shared" si="1365"/>
        <v>Cebada grano</v>
      </c>
      <c r="CO1187" s="1443">
        <f t="shared" si="1219"/>
        <v>0</v>
      </c>
      <c r="CQ1187" s="108" t="str">
        <f t="shared" si="1325"/>
        <v>Cebada grano</v>
      </c>
      <c r="CR1187" s="1898">
        <f t="shared" si="1326"/>
        <v>0</v>
      </c>
      <c r="CS1187" s="1898">
        <f t="shared" si="1327"/>
        <v>0</v>
      </c>
      <c r="CT1187" s="1898">
        <f t="shared" si="1328"/>
        <v>0</v>
      </c>
      <c r="CU1187" s="1898">
        <f t="shared" si="1329"/>
        <v>0</v>
      </c>
      <c r="CV1187" s="1898">
        <f t="shared" si="1330"/>
        <v>0</v>
      </c>
      <c r="CW1187" s="1898">
        <f t="shared" si="1331"/>
        <v>0</v>
      </c>
      <c r="CX1187" s="1898">
        <f t="shared" si="1332"/>
        <v>0</v>
      </c>
      <c r="CY1187" s="1898">
        <f t="shared" si="1333"/>
        <v>0</v>
      </c>
      <c r="CZ1187" s="1898">
        <f t="shared" si="1334"/>
        <v>0</v>
      </c>
      <c r="DA1187" s="1898">
        <f t="shared" si="1335"/>
        <v>0</v>
      </c>
      <c r="DB1187" s="1898">
        <f t="shared" si="1336"/>
        <v>0</v>
      </c>
      <c r="DC1187" s="1898">
        <f t="shared" si="1337"/>
        <v>0</v>
      </c>
    </row>
    <row r="1188" spans="1:135" x14ac:dyDescent="0.2">
      <c r="A1188" s="1971" t="str">
        <f t="shared" si="1254"/>
        <v>Avena grano</v>
      </c>
      <c r="B1188" s="1906">
        <f t="shared" ref="B1188:M1188" si="1367">SUMIF(C$1054:C$1120,"feb"&amp;$B1044,C$983:C$1049)</f>
        <v>0</v>
      </c>
      <c r="C1188" s="1906">
        <f t="shared" si="1367"/>
        <v>0</v>
      </c>
      <c r="D1188" s="1906">
        <f t="shared" si="1367"/>
        <v>0</v>
      </c>
      <c r="E1188" s="1906">
        <f t="shared" si="1367"/>
        <v>0</v>
      </c>
      <c r="F1188" s="1906">
        <f t="shared" si="1367"/>
        <v>0</v>
      </c>
      <c r="G1188" s="1906">
        <f t="shared" si="1367"/>
        <v>0</v>
      </c>
      <c r="H1188" s="1906">
        <f t="shared" si="1367"/>
        <v>0</v>
      </c>
      <c r="I1188" s="1906">
        <f t="shared" si="1367"/>
        <v>0</v>
      </c>
      <c r="J1188" s="1906">
        <f t="shared" si="1367"/>
        <v>0</v>
      </c>
      <c r="K1188" s="1906">
        <f t="shared" si="1367"/>
        <v>0</v>
      </c>
      <c r="L1188" s="1906">
        <f t="shared" si="1367"/>
        <v>0</v>
      </c>
      <c r="M1188" s="1906">
        <f t="shared" si="1367"/>
        <v>0</v>
      </c>
      <c r="N1188" s="107"/>
      <c r="O1188" s="1906"/>
      <c r="P1188" s="1906">
        <f t="shared" si="1256"/>
        <v>0</v>
      </c>
      <c r="Q1188" s="1906">
        <f t="shared" si="1257"/>
        <v>0</v>
      </c>
      <c r="R1188" s="1906">
        <f t="shared" si="1258"/>
        <v>0</v>
      </c>
      <c r="S1188" s="1906">
        <f t="shared" si="1259"/>
        <v>0</v>
      </c>
      <c r="T1188" s="1906">
        <f t="shared" si="1260"/>
        <v>0</v>
      </c>
      <c r="U1188" s="1906">
        <f t="shared" si="1261"/>
        <v>0</v>
      </c>
      <c r="V1188" s="1906">
        <f t="shared" si="1262"/>
        <v>0</v>
      </c>
      <c r="W1188" s="1906">
        <f t="shared" si="1263"/>
        <v>0</v>
      </c>
      <c r="X1188" s="1906">
        <f t="shared" si="1264"/>
        <v>0</v>
      </c>
      <c r="Y1188" s="1906">
        <f t="shared" si="1265"/>
        <v>0</v>
      </c>
      <c r="Z1188" s="1906">
        <f t="shared" si="1266"/>
        <v>0</v>
      </c>
      <c r="AA1188" s="107"/>
      <c r="AB1188" s="1906">
        <f t="shared" si="1267"/>
        <v>0</v>
      </c>
      <c r="AC1188" s="1906">
        <f t="shared" si="1268"/>
        <v>0</v>
      </c>
      <c r="AD1188" s="1906">
        <f t="shared" si="1269"/>
        <v>0</v>
      </c>
      <c r="AE1188" s="1906">
        <f t="shared" si="1270"/>
        <v>0</v>
      </c>
      <c r="AF1188" s="1906">
        <f t="shared" si="1271"/>
        <v>0</v>
      </c>
      <c r="AG1188" s="1906">
        <f t="shared" si="1272"/>
        <v>0</v>
      </c>
      <c r="AH1188" s="1906">
        <f t="shared" si="1273"/>
        <v>0</v>
      </c>
      <c r="AI1188" s="1906">
        <f t="shared" si="1274"/>
        <v>0</v>
      </c>
      <c r="AJ1188" s="1906">
        <f t="shared" si="1275"/>
        <v>0</v>
      </c>
      <c r="AK1188" s="1906">
        <f t="shared" si="1276"/>
        <v>0</v>
      </c>
      <c r="AL1188" s="1906">
        <f t="shared" si="1277"/>
        <v>0</v>
      </c>
      <c r="AM1188" s="1906">
        <f t="shared" si="1278"/>
        <v>0</v>
      </c>
      <c r="AN1188" s="107"/>
      <c r="AO1188" s="1906">
        <f t="shared" si="1279"/>
        <v>0</v>
      </c>
      <c r="AP1188" s="1906">
        <f t="shared" si="1280"/>
        <v>0</v>
      </c>
      <c r="AQ1188" s="1906">
        <f t="shared" si="1281"/>
        <v>0</v>
      </c>
      <c r="AR1188" s="1906">
        <f t="shared" si="1282"/>
        <v>0</v>
      </c>
      <c r="AS1188" s="1906">
        <f t="shared" si="1283"/>
        <v>0</v>
      </c>
      <c r="AT1188" s="1906">
        <f t="shared" si="1284"/>
        <v>0</v>
      </c>
      <c r="AU1188" s="1906">
        <f t="shared" si="1285"/>
        <v>0</v>
      </c>
      <c r="AV1188" s="1906">
        <f t="shared" si="1286"/>
        <v>0</v>
      </c>
      <c r="AW1188" s="1906">
        <f t="shared" si="1287"/>
        <v>0</v>
      </c>
      <c r="AX1188" s="1906">
        <f t="shared" si="1288"/>
        <v>0</v>
      </c>
      <c r="AY1188" s="1906">
        <f t="shared" si="1289"/>
        <v>0</v>
      </c>
      <c r="AZ1188" s="1906">
        <f t="shared" si="1290"/>
        <v>0</v>
      </c>
      <c r="BA1188" s="107"/>
      <c r="BB1188" s="1906">
        <f t="shared" si="1291"/>
        <v>0</v>
      </c>
      <c r="BC1188" s="1906">
        <f t="shared" si="1292"/>
        <v>0</v>
      </c>
      <c r="BD1188" s="1906">
        <f t="shared" si="1293"/>
        <v>0</v>
      </c>
      <c r="BE1188" s="1906">
        <f t="shared" si="1294"/>
        <v>0</v>
      </c>
      <c r="BF1188" s="1906">
        <f t="shared" si="1295"/>
        <v>0</v>
      </c>
      <c r="BG1188" s="1906">
        <f t="shared" si="1296"/>
        <v>0</v>
      </c>
      <c r="BH1188" s="1906">
        <f t="shared" si="1297"/>
        <v>0</v>
      </c>
      <c r="BI1188" s="1906">
        <f t="shared" si="1298"/>
        <v>0</v>
      </c>
      <c r="BJ1188" s="1906">
        <f t="shared" si="1299"/>
        <v>0</v>
      </c>
      <c r="BK1188" s="1906">
        <f t="shared" si="1300"/>
        <v>0</v>
      </c>
      <c r="BL1188" s="1906">
        <f t="shared" si="1301"/>
        <v>0</v>
      </c>
      <c r="BM1188" s="1906">
        <f t="shared" si="1302"/>
        <v>0</v>
      </c>
      <c r="BN1188" s="107"/>
      <c r="BO1188" s="1906">
        <f t="shared" si="1303"/>
        <v>0</v>
      </c>
      <c r="BP1188" s="1906">
        <f t="shared" si="1304"/>
        <v>0</v>
      </c>
      <c r="BQ1188" s="1906">
        <f t="shared" si="1305"/>
        <v>0</v>
      </c>
      <c r="BR1188" s="1906">
        <f t="shared" si="1306"/>
        <v>0</v>
      </c>
      <c r="BS1188" s="1906">
        <f t="shared" si="1307"/>
        <v>0</v>
      </c>
      <c r="BT1188" s="1906">
        <f t="shared" si="1308"/>
        <v>0</v>
      </c>
      <c r="BU1188" s="1906">
        <f t="shared" si="1309"/>
        <v>0</v>
      </c>
      <c r="BV1188" s="1906">
        <f t="shared" si="1310"/>
        <v>0</v>
      </c>
      <c r="BW1188" s="1906">
        <f t="shared" si="1311"/>
        <v>0</v>
      </c>
      <c r="BX1188" s="1906">
        <f t="shared" si="1312"/>
        <v>0</v>
      </c>
      <c r="BY1188" s="1906">
        <f t="shared" si="1313"/>
        <v>0</v>
      </c>
      <c r="BZ1188" s="1906">
        <f t="shared" si="1314"/>
        <v>0</v>
      </c>
      <c r="CA1188" s="1971" t="str">
        <f t="shared" si="1315"/>
        <v>Avena grano</v>
      </c>
      <c r="CB1188" s="1906">
        <f t="shared" si="1316"/>
        <v>0</v>
      </c>
      <c r="CC1188" s="1906">
        <f t="shared" si="1317"/>
        <v>0</v>
      </c>
      <c r="CD1188" s="1906">
        <f t="shared" si="1318"/>
        <v>0</v>
      </c>
      <c r="CE1188" s="1906">
        <f t="shared" si="1319"/>
        <v>0</v>
      </c>
      <c r="CF1188" s="1906">
        <f t="shared" si="1320"/>
        <v>0</v>
      </c>
      <c r="CG1188" s="1906">
        <f t="shared" si="1321"/>
        <v>0</v>
      </c>
      <c r="CH1188" s="1906">
        <f t="shared" si="1322"/>
        <v>0</v>
      </c>
      <c r="CI1188" s="1906">
        <f t="shared" si="1323"/>
        <v>0</v>
      </c>
      <c r="CJ1188" s="1906">
        <f t="shared" si="1225"/>
        <v>0</v>
      </c>
      <c r="CK1188" s="1906">
        <f t="shared" si="1226"/>
        <v>0</v>
      </c>
      <c r="CL1188" s="1906">
        <f t="shared" si="1227"/>
        <v>0</v>
      </c>
      <c r="CM1188" s="1906">
        <f t="shared" si="1228"/>
        <v>0</v>
      </c>
      <c r="CN1188" s="595" t="str">
        <f t="shared" si="1365"/>
        <v>Avena grano</v>
      </c>
      <c r="CO1188" s="1443">
        <f t="shared" si="1219"/>
        <v>0</v>
      </c>
      <c r="CQ1188" s="108" t="str">
        <f t="shared" si="1325"/>
        <v>Avena grano</v>
      </c>
      <c r="CR1188" s="1898">
        <f t="shared" si="1326"/>
        <v>0</v>
      </c>
      <c r="CS1188" s="1898">
        <f t="shared" si="1327"/>
        <v>0</v>
      </c>
      <c r="CT1188" s="1898">
        <f t="shared" si="1328"/>
        <v>0</v>
      </c>
      <c r="CU1188" s="1898">
        <f t="shared" si="1329"/>
        <v>0</v>
      </c>
      <c r="CV1188" s="1898">
        <f t="shared" si="1330"/>
        <v>0</v>
      </c>
      <c r="CW1188" s="1898">
        <f t="shared" si="1331"/>
        <v>0</v>
      </c>
      <c r="CX1188" s="1898">
        <f t="shared" si="1332"/>
        <v>0</v>
      </c>
      <c r="CY1188" s="1898">
        <f t="shared" si="1333"/>
        <v>0</v>
      </c>
      <c r="CZ1188" s="1898">
        <f t="shared" si="1334"/>
        <v>0</v>
      </c>
      <c r="DA1188" s="1898">
        <f t="shared" si="1335"/>
        <v>0</v>
      </c>
      <c r="DB1188" s="1898">
        <f t="shared" si="1336"/>
        <v>0</v>
      </c>
      <c r="DC1188" s="1898">
        <f t="shared" si="1337"/>
        <v>0</v>
      </c>
    </row>
    <row r="1189" spans="1:135" x14ac:dyDescent="0.2">
      <c r="A1189" s="1971" t="str">
        <f t="shared" si="1254"/>
        <v>Colza grano</v>
      </c>
      <c r="B1189" s="1906">
        <f t="shared" ref="B1189:M1189" si="1368">SUMIF(C$1054:C$1120,"feb"&amp;$B1045,C$983:C$1049)</f>
        <v>0</v>
      </c>
      <c r="C1189" s="1906">
        <f t="shared" si="1368"/>
        <v>0</v>
      </c>
      <c r="D1189" s="1906">
        <f t="shared" si="1368"/>
        <v>0</v>
      </c>
      <c r="E1189" s="1906">
        <f t="shared" si="1368"/>
        <v>0</v>
      </c>
      <c r="F1189" s="1906">
        <f t="shared" si="1368"/>
        <v>0</v>
      </c>
      <c r="G1189" s="1906">
        <f t="shared" si="1368"/>
        <v>0</v>
      </c>
      <c r="H1189" s="1906">
        <f t="shared" si="1368"/>
        <v>0</v>
      </c>
      <c r="I1189" s="1906">
        <f t="shared" si="1368"/>
        <v>0</v>
      </c>
      <c r="J1189" s="1906">
        <f t="shared" si="1368"/>
        <v>0</v>
      </c>
      <c r="K1189" s="1906">
        <f t="shared" si="1368"/>
        <v>0</v>
      </c>
      <c r="L1189" s="1906">
        <f t="shared" si="1368"/>
        <v>0</v>
      </c>
      <c r="M1189" s="1906">
        <f t="shared" si="1368"/>
        <v>0</v>
      </c>
      <c r="N1189" s="107"/>
      <c r="O1189" s="1906"/>
      <c r="P1189" s="1906">
        <f t="shared" si="1256"/>
        <v>0</v>
      </c>
      <c r="Q1189" s="1906">
        <f t="shared" si="1257"/>
        <v>0</v>
      </c>
      <c r="R1189" s="1906">
        <f t="shared" si="1258"/>
        <v>0</v>
      </c>
      <c r="S1189" s="1906">
        <f t="shared" si="1259"/>
        <v>0</v>
      </c>
      <c r="T1189" s="1906">
        <f t="shared" si="1260"/>
        <v>0</v>
      </c>
      <c r="U1189" s="1906">
        <f t="shared" si="1261"/>
        <v>0</v>
      </c>
      <c r="V1189" s="1906">
        <f t="shared" si="1262"/>
        <v>0</v>
      </c>
      <c r="W1189" s="1906">
        <f t="shared" si="1263"/>
        <v>0</v>
      </c>
      <c r="X1189" s="1906">
        <f t="shared" si="1264"/>
        <v>0</v>
      </c>
      <c r="Y1189" s="1906">
        <f t="shared" si="1265"/>
        <v>0</v>
      </c>
      <c r="Z1189" s="1906">
        <f t="shared" si="1266"/>
        <v>0</v>
      </c>
      <c r="AA1189" s="107"/>
      <c r="AB1189" s="1906">
        <f t="shared" si="1267"/>
        <v>0</v>
      </c>
      <c r="AC1189" s="1906">
        <f t="shared" si="1268"/>
        <v>0</v>
      </c>
      <c r="AD1189" s="1906">
        <f t="shared" si="1269"/>
        <v>0</v>
      </c>
      <c r="AE1189" s="1906">
        <f t="shared" si="1270"/>
        <v>0</v>
      </c>
      <c r="AF1189" s="1906">
        <f t="shared" si="1271"/>
        <v>0</v>
      </c>
      <c r="AG1189" s="1906">
        <f t="shared" si="1272"/>
        <v>0</v>
      </c>
      <c r="AH1189" s="1906">
        <f t="shared" si="1273"/>
        <v>0</v>
      </c>
      <c r="AI1189" s="1906">
        <f t="shared" si="1274"/>
        <v>0</v>
      </c>
      <c r="AJ1189" s="1906">
        <f t="shared" si="1275"/>
        <v>0</v>
      </c>
      <c r="AK1189" s="1906">
        <f t="shared" si="1276"/>
        <v>0</v>
      </c>
      <c r="AL1189" s="1906">
        <f t="shared" si="1277"/>
        <v>0</v>
      </c>
      <c r="AM1189" s="1906">
        <f t="shared" si="1278"/>
        <v>0</v>
      </c>
      <c r="AN1189" s="107"/>
      <c r="AO1189" s="1906">
        <f t="shared" si="1279"/>
        <v>0</v>
      </c>
      <c r="AP1189" s="1906">
        <f t="shared" si="1280"/>
        <v>0</v>
      </c>
      <c r="AQ1189" s="1906">
        <f t="shared" si="1281"/>
        <v>0</v>
      </c>
      <c r="AR1189" s="1906">
        <f t="shared" si="1282"/>
        <v>0</v>
      </c>
      <c r="AS1189" s="1906">
        <f t="shared" si="1283"/>
        <v>0</v>
      </c>
      <c r="AT1189" s="1906">
        <f t="shared" si="1284"/>
        <v>0</v>
      </c>
      <c r="AU1189" s="1906">
        <f t="shared" si="1285"/>
        <v>0</v>
      </c>
      <c r="AV1189" s="1906">
        <f t="shared" si="1286"/>
        <v>0</v>
      </c>
      <c r="AW1189" s="1906">
        <f t="shared" si="1287"/>
        <v>0</v>
      </c>
      <c r="AX1189" s="1906">
        <f t="shared" si="1288"/>
        <v>0</v>
      </c>
      <c r="AY1189" s="1906">
        <f t="shared" si="1289"/>
        <v>0</v>
      </c>
      <c r="AZ1189" s="1906">
        <f t="shared" si="1290"/>
        <v>0</v>
      </c>
      <c r="BA1189" s="107"/>
      <c r="BB1189" s="1906">
        <f t="shared" si="1291"/>
        <v>0</v>
      </c>
      <c r="BC1189" s="1906">
        <f t="shared" si="1292"/>
        <v>0</v>
      </c>
      <c r="BD1189" s="1906">
        <f t="shared" si="1293"/>
        <v>0</v>
      </c>
      <c r="BE1189" s="1906">
        <f t="shared" si="1294"/>
        <v>0</v>
      </c>
      <c r="BF1189" s="1906">
        <f t="shared" si="1295"/>
        <v>0</v>
      </c>
      <c r="BG1189" s="1906">
        <f t="shared" si="1296"/>
        <v>0</v>
      </c>
      <c r="BH1189" s="1906">
        <f t="shared" si="1297"/>
        <v>0</v>
      </c>
      <c r="BI1189" s="1906">
        <f t="shared" si="1298"/>
        <v>0</v>
      </c>
      <c r="BJ1189" s="1906">
        <f t="shared" si="1299"/>
        <v>0</v>
      </c>
      <c r="BK1189" s="1906">
        <f t="shared" si="1300"/>
        <v>0</v>
      </c>
      <c r="BL1189" s="1906">
        <f t="shared" si="1301"/>
        <v>0</v>
      </c>
      <c r="BM1189" s="1906">
        <f t="shared" si="1302"/>
        <v>0</v>
      </c>
      <c r="BN1189" s="107"/>
      <c r="BO1189" s="1906">
        <f t="shared" si="1303"/>
        <v>0</v>
      </c>
      <c r="BP1189" s="1906">
        <f t="shared" si="1304"/>
        <v>0</v>
      </c>
      <c r="BQ1189" s="1906">
        <f t="shared" si="1305"/>
        <v>0</v>
      </c>
      <c r="BR1189" s="1906">
        <f t="shared" si="1306"/>
        <v>0</v>
      </c>
      <c r="BS1189" s="1906">
        <f t="shared" si="1307"/>
        <v>0</v>
      </c>
      <c r="BT1189" s="1906">
        <f t="shared" si="1308"/>
        <v>0</v>
      </c>
      <c r="BU1189" s="1906">
        <f t="shared" si="1309"/>
        <v>0</v>
      </c>
      <c r="BV1189" s="1906">
        <f t="shared" si="1310"/>
        <v>0</v>
      </c>
      <c r="BW1189" s="1906">
        <f t="shared" si="1311"/>
        <v>0</v>
      </c>
      <c r="BX1189" s="1906">
        <f t="shared" si="1312"/>
        <v>0</v>
      </c>
      <c r="BY1189" s="1906">
        <f t="shared" si="1313"/>
        <v>0</v>
      </c>
      <c r="BZ1189" s="1906">
        <f t="shared" si="1314"/>
        <v>0</v>
      </c>
      <c r="CA1189" s="1971" t="str">
        <f t="shared" si="1315"/>
        <v>Colza grano</v>
      </c>
      <c r="CB1189" s="1906">
        <f t="shared" si="1316"/>
        <v>0</v>
      </c>
      <c r="CC1189" s="1906">
        <f t="shared" si="1317"/>
        <v>0</v>
      </c>
      <c r="CD1189" s="1906">
        <f t="shared" si="1318"/>
        <v>0</v>
      </c>
      <c r="CE1189" s="1906">
        <f t="shared" si="1319"/>
        <v>0</v>
      </c>
      <c r="CF1189" s="1906">
        <f t="shared" si="1320"/>
        <v>0</v>
      </c>
      <c r="CG1189" s="1906">
        <f t="shared" si="1321"/>
        <v>0</v>
      </c>
      <c r="CH1189" s="1906">
        <f t="shared" si="1322"/>
        <v>0</v>
      </c>
      <c r="CI1189" s="1906">
        <f t="shared" si="1323"/>
        <v>0</v>
      </c>
      <c r="CJ1189" s="1906">
        <f t="shared" si="1225"/>
        <v>0</v>
      </c>
      <c r="CK1189" s="1906">
        <f t="shared" si="1226"/>
        <v>0</v>
      </c>
      <c r="CL1189" s="1906">
        <f t="shared" si="1227"/>
        <v>0</v>
      </c>
      <c r="CM1189" s="1906">
        <f t="shared" si="1228"/>
        <v>0</v>
      </c>
      <c r="CN1189" s="595" t="str">
        <f t="shared" si="1365"/>
        <v>Colza grano</v>
      </c>
      <c r="CO1189" s="1443">
        <f t="shared" si="1219"/>
        <v>0</v>
      </c>
      <c r="CQ1189" s="108" t="str">
        <f t="shared" si="1325"/>
        <v>Colza grano</v>
      </c>
      <c r="CR1189" s="1898">
        <f t="shared" si="1326"/>
        <v>0</v>
      </c>
      <c r="CS1189" s="1898">
        <f t="shared" si="1327"/>
        <v>0</v>
      </c>
      <c r="CT1189" s="1898">
        <f t="shared" si="1328"/>
        <v>0</v>
      </c>
      <c r="CU1189" s="1898">
        <f t="shared" si="1329"/>
        <v>0</v>
      </c>
      <c r="CV1189" s="1898">
        <f t="shared" si="1330"/>
        <v>0</v>
      </c>
      <c r="CW1189" s="1898">
        <f t="shared" si="1331"/>
        <v>0</v>
      </c>
      <c r="CX1189" s="1898">
        <f t="shared" si="1332"/>
        <v>0</v>
      </c>
      <c r="CY1189" s="1898">
        <f t="shared" si="1333"/>
        <v>0</v>
      </c>
      <c r="CZ1189" s="1898">
        <f t="shared" si="1334"/>
        <v>0</v>
      </c>
      <c r="DA1189" s="1898">
        <f t="shared" si="1335"/>
        <v>0</v>
      </c>
      <c r="DB1189" s="1898">
        <f t="shared" si="1336"/>
        <v>0</v>
      </c>
      <c r="DC1189" s="1898">
        <f t="shared" si="1337"/>
        <v>0</v>
      </c>
    </row>
    <row r="1190" spans="1:135" x14ac:dyDescent="0.2">
      <c r="A1190" s="1971">
        <f t="shared" si="1254"/>
        <v>0</v>
      </c>
      <c r="B1190" s="1906">
        <f t="shared" ref="B1190:M1190" si="1369">SUMIF(C$1054:C$1120,"feb"&amp;$B1046,C$983:C$1049)</f>
        <v>0</v>
      </c>
      <c r="C1190" s="1906">
        <f t="shared" si="1369"/>
        <v>0</v>
      </c>
      <c r="D1190" s="1906">
        <f t="shared" si="1369"/>
        <v>0</v>
      </c>
      <c r="E1190" s="1906">
        <f t="shared" si="1369"/>
        <v>0</v>
      </c>
      <c r="F1190" s="1906">
        <f t="shared" si="1369"/>
        <v>0</v>
      </c>
      <c r="G1190" s="1906">
        <f t="shared" si="1369"/>
        <v>0</v>
      </c>
      <c r="H1190" s="1906">
        <f t="shared" si="1369"/>
        <v>0</v>
      </c>
      <c r="I1190" s="1906">
        <f t="shared" si="1369"/>
        <v>0</v>
      </c>
      <c r="J1190" s="1906">
        <f t="shared" si="1369"/>
        <v>0</v>
      </c>
      <c r="K1190" s="1906">
        <f t="shared" si="1369"/>
        <v>0</v>
      </c>
      <c r="L1190" s="1906">
        <f t="shared" si="1369"/>
        <v>0</v>
      </c>
      <c r="M1190" s="1906">
        <f t="shared" si="1369"/>
        <v>0</v>
      </c>
      <c r="N1190" s="107"/>
      <c r="O1190" s="1906"/>
      <c r="P1190" s="1906">
        <f t="shared" si="1256"/>
        <v>0</v>
      </c>
      <c r="Q1190" s="1906">
        <f t="shared" si="1257"/>
        <v>0</v>
      </c>
      <c r="R1190" s="1906">
        <f t="shared" si="1258"/>
        <v>0</v>
      </c>
      <c r="S1190" s="1906">
        <f t="shared" si="1259"/>
        <v>0</v>
      </c>
      <c r="T1190" s="1906">
        <f t="shared" si="1260"/>
        <v>0</v>
      </c>
      <c r="U1190" s="1906">
        <f t="shared" si="1261"/>
        <v>0</v>
      </c>
      <c r="V1190" s="1906">
        <f t="shared" si="1262"/>
        <v>0</v>
      </c>
      <c r="W1190" s="1906">
        <f t="shared" si="1263"/>
        <v>0</v>
      </c>
      <c r="X1190" s="1906">
        <f t="shared" si="1264"/>
        <v>0</v>
      </c>
      <c r="Y1190" s="1906">
        <f t="shared" si="1265"/>
        <v>0</v>
      </c>
      <c r="Z1190" s="1906">
        <f t="shared" si="1266"/>
        <v>0</v>
      </c>
      <c r="AA1190" s="107"/>
      <c r="AB1190" s="1906">
        <f t="shared" si="1267"/>
        <v>0</v>
      </c>
      <c r="AC1190" s="1906">
        <f t="shared" si="1268"/>
        <v>0</v>
      </c>
      <c r="AD1190" s="1906">
        <f t="shared" si="1269"/>
        <v>0</v>
      </c>
      <c r="AE1190" s="1906">
        <f t="shared" si="1270"/>
        <v>0</v>
      </c>
      <c r="AF1190" s="1906">
        <f t="shared" si="1271"/>
        <v>0</v>
      </c>
      <c r="AG1190" s="1906">
        <f t="shared" si="1272"/>
        <v>0</v>
      </c>
      <c r="AH1190" s="1906">
        <f t="shared" si="1273"/>
        <v>0</v>
      </c>
      <c r="AI1190" s="1906">
        <f t="shared" si="1274"/>
        <v>0</v>
      </c>
      <c r="AJ1190" s="1906">
        <f t="shared" si="1275"/>
        <v>0</v>
      </c>
      <c r="AK1190" s="1906">
        <f t="shared" si="1276"/>
        <v>0</v>
      </c>
      <c r="AL1190" s="1906">
        <f t="shared" si="1277"/>
        <v>0</v>
      </c>
      <c r="AM1190" s="1906">
        <f t="shared" si="1278"/>
        <v>0</v>
      </c>
      <c r="AN1190" s="107"/>
      <c r="AO1190" s="1906">
        <f t="shared" si="1279"/>
        <v>0</v>
      </c>
      <c r="AP1190" s="1906">
        <f t="shared" si="1280"/>
        <v>0</v>
      </c>
      <c r="AQ1190" s="1906">
        <f t="shared" si="1281"/>
        <v>0</v>
      </c>
      <c r="AR1190" s="1906">
        <f t="shared" si="1282"/>
        <v>0</v>
      </c>
      <c r="AS1190" s="1906">
        <f t="shared" si="1283"/>
        <v>0</v>
      </c>
      <c r="AT1190" s="1906">
        <f t="shared" si="1284"/>
        <v>0</v>
      </c>
      <c r="AU1190" s="1906">
        <f t="shared" si="1285"/>
        <v>0</v>
      </c>
      <c r="AV1190" s="1906">
        <f t="shared" si="1286"/>
        <v>0</v>
      </c>
      <c r="AW1190" s="1906">
        <f t="shared" si="1287"/>
        <v>0</v>
      </c>
      <c r="AX1190" s="1906">
        <f t="shared" si="1288"/>
        <v>0</v>
      </c>
      <c r="AY1190" s="1906">
        <f t="shared" si="1289"/>
        <v>0</v>
      </c>
      <c r="AZ1190" s="1906">
        <f t="shared" si="1290"/>
        <v>0</v>
      </c>
      <c r="BA1190" s="107"/>
      <c r="BB1190" s="1906">
        <f t="shared" si="1291"/>
        <v>0</v>
      </c>
      <c r="BC1190" s="1906">
        <f t="shared" si="1292"/>
        <v>0</v>
      </c>
      <c r="BD1190" s="1906">
        <f t="shared" si="1293"/>
        <v>0</v>
      </c>
      <c r="BE1190" s="1906">
        <f t="shared" si="1294"/>
        <v>0</v>
      </c>
      <c r="BF1190" s="1906">
        <f t="shared" si="1295"/>
        <v>0</v>
      </c>
      <c r="BG1190" s="1906">
        <f t="shared" si="1296"/>
        <v>0</v>
      </c>
      <c r="BH1190" s="1906">
        <f t="shared" si="1297"/>
        <v>0</v>
      </c>
      <c r="BI1190" s="1906">
        <f t="shared" si="1298"/>
        <v>0</v>
      </c>
      <c r="BJ1190" s="1906">
        <f t="shared" si="1299"/>
        <v>0</v>
      </c>
      <c r="BK1190" s="1906">
        <f t="shared" si="1300"/>
        <v>0</v>
      </c>
      <c r="BL1190" s="1906">
        <f t="shared" si="1301"/>
        <v>0</v>
      </c>
      <c r="BM1190" s="1906">
        <f t="shared" si="1302"/>
        <v>0</v>
      </c>
      <c r="BN1190" s="107"/>
      <c r="BO1190" s="1906">
        <f t="shared" si="1303"/>
        <v>0</v>
      </c>
      <c r="BP1190" s="1906">
        <f t="shared" si="1304"/>
        <v>0</v>
      </c>
      <c r="BQ1190" s="1906">
        <f t="shared" si="1305"/>
        <v>0</v>
      </c>
      <c r="BR1190" s="1906">
        <f t="shared" si="1306"/>
        <v>0</v>
      </c>
      <c r="BS1190" s="1906">
        <f t="shared" si="1307"/>
        <v>0</v>
      </c>
      <c r="BT1190" s="1906">
        <f t="shared" si="1308"/>
        <v>0</v>
      </c>
      <c r="BU1190" s="1906">
        <f t="shared" si="1309"/>
        <v>0</v>
      </c>
      <c r="BV1190" s="1906">
        <f t="shared" si="1310"/>
        <v>0</v>
      </c>
      <c r="BW1190" s="1906">
        <f t="shared" si="1311"/>
        <v>0</v>
      </c>
      <c r="BX1190" s="1906">
        <f t="shared" si="1312"/>
        <v>0</v>
      </c>
      <c r="BY1190" s="1906">
        <f t="shared" si="1313"/>
        <v>0</v>
      </c>
      <c r="BZ1190" s="1906">
        <f t="shared" si="1314"/>
        <v>0</v>
      </c>
      <c r="CA1190" s="1971">
        <f t="shared" si="1315"/>
        <v>0</v>
      </c>
      <c r="CB1190" s="1906">
        <f t="shared" si="1316"/>
        <v>0</v>
      </c>
      <c r="CC1190" s="1906">
        <f t="shared" si="1317"/>
        <v>0</v>
      </c>
      <c r="CD1190" s="1906">
        <f t="shared" si="1318"/>
        <v>0</v>
      </c>
      <c r="CE1190" s="1906">
        <f t="shared" si="1319"/>
        <v>0</v>
      </c>
      <c r="CF1190" s="1906">
        <f t="shared" si="1320"/>
        <v>0</v>
      </c>
      <c r="CG1190" s="1906">
        <f t="shared" si="1321"/>
        <v>0</v>
      </c>
      <c r="CH1190" s="1906">
        <f t="shared" si="1322"/>
        <v>0</v>
      </c>
      <c r="CI1190" s="1906">
        <f t="shared" si="1323"/>
        <v>0</v>
      </c>
      <c r="CJ1190" s="1906">
        <f t="shared" si="1225"/>
        <v>0</v>
      </c>
      <c r="CK1190" s="1906">
        <f t="shared" si="1226"/>
        <v>0</v>
      </c>
      <c r="CL1190" s="1906">
        <f t="shared" si="1227"/>
        <v>0</v>
      </c>
      <c r="CM1190" s="1906">
        <f t="shared" si="1228"/>
        <v>0</v>
      </c>
      <c r="CN1190" s="595">
        <f t="shared" si="1365"/>
        <v>0</v>
      </c>
      <c r="CO1190" s="1443">
        <f t="shared" si="1219"/>
        <v>0</v>
      </c>
      <c r="CQ1190" s="108">
        <f t="shared" si="1325"/>
        <v>0</v>
      </c>
      <c r="CR1190" s="1898">
        <f t="shared" si="1326"/>
        <v>0</v>
      </c>
      <c r="CS1190" s="1898">
        <f t="shared" si="1327"/>
        <v>0</v>
      </c>
      <c r="CT1190" s="1898">
        <f t="shared" si="1328"/>
        <v>0</v>
      </c>
      <c r="CU1190" s="1898">
        <f t="shared" si="1329"/>
        <v>0</v>
      </c>
      <c r="CV1190" s="1898">
        <f t="shared" si="1330"/>
        <v>0</v>
      </c>
      <c r="CW1190" s="1898">
        <f t="shared" si="1331"/>
        <v>0</v>
      </c>
      <c r="CX1190" s="1898">
        <f t="shared" si="1332"/>
        <v>0</v>
      </c>
      <c r="CY1190" s="1898">
        <f t="shared" si="1333"/>
        <v>0</v>
      </c>
      <c r="CZ1190" s="1898">
        <f t="shared" si="1334"/>
        <v>0</v>
      </c>
      <c r="DA1190" s="1898">
        <f t="shared" si="1335"/>
        <v>0</v>
      </c>
      <c r="DB1190" s="1898">
        <f t="shared" si="1336"/>
        <v>0</v>
      </c>
      <c r="DC1190" s="1898">
        <f t="shared" si="1337"/>
        <v>0</v>
      </c>
    </row>
    <row r="1191" spans="1:135" x14ac:dyDescent="0.2">
      <c r="A1191" s="1971">
        <f t="shared" si="1254"/>
        <v>0</v>
      </c>
      <c r="B1191" s="1906">
        <f t="shared" ref="B1191:M1191" si="1370">SUMIF(C$1054:C$1120,"feb"&amp;$B1047,C$983:C$1049)</f>
        <v>0</v>
      </c>
      <c r="C1191" s="1906">
        <f t="shared" si="1370"/>
        <v>0</v>
      </c>
      <c r="D1191" s="1906">
        <f t="shared" si="1370"/>
        <v>0</v>
      </c>
      <c r="E1191" s="1906">
        <f t="shared" si="1370"/>
        <v>0</v>
      </c>
      <c r="F1191" s="1906">
        <f t="shared" si="1370"/>
        <v>0</v>
      </c>
      <c r="G1191" s="1906">
        <f t="shared" si="1370"/>
        <v>0</v>
      </c>
      <c r="H1191" s="1906">
        <f t="shared" si="1370"/>
        <v>0</v>
      </c>
      <c r="I1191" s="1906">
        <f t="shared" si="1370"/>
        <v>0</v>
      </c>
      <c r="J1191" s="1906">
        <f t="shared" si="1370"/>
        <v>0</v>
      </c>
      <c r="K1191" s="1906">
        <f t="shared" si="1370"/>
        <v>0</v>
      </c>
      <c r="L1191" s="1906">
        <f t="shared" si="1370"/>
        <v>0</v>
      </c>
      <c r="M1191" s="1906">
        <f t="shared" si="1370"/>
        <v>0</v>
      </c>
      <c r="N1191" s="107"/>
      <c r="O1191" s="1906"/>
      <c r="P1191" s="1906">
        <f t="shared" ref="P1191:U1193" si="1371">SUMIF(D$1054:D$1120,"mar"&amp;$B1047,D$983:D$1049)</f>
        <v>0</v>
      </c>
      <c r="Q1191" s="1906">
        <f t="shared" si="1371"/>
        <v>0</v>
      </c>
      <c r="R1191" s="1906">
        <f t="shared" si="1371"/>
        <v>0</v>
      </c>
      <c r="S1191" s="1906">
        <f t="shared" si="1371"/>
        <v>0</v>
      </c>
      <c r="T1191" s="1906">
        <f t="shared" si="1371"/>
        <v>0</v>
      </c>
      <c r="U1191" s="1906">
        <f t="shared" si="1371"/>
        <v>0</v>
      </c>
      <c r="V1191" s="1906">
        <f t="shared" ref="V1191:Z1193" si="1372">SUMIF(J$1054:J$1120,"mar"&amp;$B1047,J$983:J$1049)</f>
        <v>0</v>
      </c>
      <c r="W1191" s="1906">
        <f t="shared" si="1372"/>
        <v>0</v>
      </c>
      <c r="X1191" s="1906">
        <f t="shared" si="1372"/>
        <v>0</v>
      </c>
      <c r="Y1191" s="1906">
        <f t="shared" si="1372"/>
        <v>0</v>
      </c>
      <c r="Z1191" s="1906">
        <f t="shared" si="1372"/>
        <v>0</v>
      </c>
      <c r="AA1191" s="107"/>
      <c r="AB1191" s="1906">
        <f t="shared" ref="AB1191:AH1193" si="1373">SUMIF(C$1054:C$1120,"abr"&amp;$B1047,C$983:C$1049)</f>
        <v>0</v>
      </c>
      <c r="AC1191" s="1906">
        <f t="shared" si="1373"/>
        <v>0</v>
      </c>
      <c r="AD1191" s="1906">
        <f t="shared" si="1373"/>
        <v>0</v>
      </c>
      <c r="AE1191" s="1906">
        <f t="shared" si="1373"/>
        <v>0</v>
      </c>
      <c r="AF1191" s="1906">
        <f t="shared" si="1373"/>
        <v>0</v>
      </c>
      <c r="AG1191" s="1906">
        <f t="shared" si="1373"/>
        <v>0</v>
      </c>
      <c r="AH1191" s="1906">
        <f t="shared" si="1373"/>
        <v>0</v>
      </c>
      <c r="AI1191" s="1906">
        <f t="shared" ref="AI1191:AM1193" si="1374">SUMIF(J$1054:J$1120,"abr"&amp;$B1047,J$983:J$1049)</f>
        <v>0</v>
      </c>
      <c r="AJ1191" s="1906">
        <f t="shared" si="1374"/>
        <v>0</v>
      </c>
      <c r="AK1191" s="1906">
        <f t="shared" si="1374"/>
        <v>0</v>
      </c>
      <c r="AL1191" s="1906">
        <f t="shared" si="1374"/>
        <v>0</v>
      </c>
      <c r="AM1191" s="1906">
        <f t="shared" si="1374"/>
        <v>0</v>
      </c>
      <c r="AN1191" s="107"/>
      <c r="AO1191" s="1906">
        <f t="shared" ref="AO1191:AU1193" si="1375">SUMIF(C$1054:C$1120,"may"&amp;$B1047,C$983:C$1049)</f>
        <v>0</v>
      </c>
      <c r="AP1191" s="1906">
        <f t="shared" si="1375"/>
        <v>0</v>
      </c>
      <c r="AQ1191" s="1906">
        <f t="shared" si="1375"/>
        <v>0</v>
      </c>
      <c r="AR1191" s="1906">
        <f t="shared" si="1375"/>
        <v>0</v>
      </c>
      <c r="AS1191" s="1906">
        <f t="shared" si="1375"/>
        <v>0</v>
      </c>
      <c r="AT1191" s="1906">
        <f t="shared" si="1375"/>
        <v>0</v>
      </c>
      <c r="AU1191" s="1906">
        <f t="shared" si="1375"/>
        <v>0</v>
      </c>
      <c r="AV1191" s="1906">
        <f t="shared" ref="AV1191:AZ1193" si="1376">SUMIF(J$1054:J$1120,"may"&amp;$B1047,J$983:J$1049)</f>
        <v>0</v>
      </c>
      <c r="AW1191" s="1906">
        <f t="shared" si="1376"/>
        <v>0</v>
      </c>
      <c r="AX1191" s="1906">
        <f t="shared" si="1376"/>
        <v>0</v>
      </c>
      <c r="AY1191" s="1906">
        <f t="shared" si="1376"/>
        <v>0</v>
      </c>
      <c r="AZ1191" s="1906">
        <f t="shared" si="1376"/>
        <v>0</v>
      </c>
      <c r="BA1191" s="107"/>
      <c r="BB1191" s="1906">
        <f t="shared" ref="BB1191:BH1193" si="1377">SUMIF(C$1054:C$1120,"jun"&amp;$B1047,C$983:C$1049)</f>
        <v>0</v>
      </c>
      <c r="BC1191" s="1906">
        <f t="shared" si="1377"/>
        <v>0</v>
      </c>
      <c r="BD1191" s="1906">
        <f t="shared" si="1377"/>
        <v>0</v>
      </c>
      <c r="BE1191" s="1906">
        <f t="shared" si="1377"/>
        <v>0</v>
      </c>
      <c r="BF1191" s="1906">
        <f t="shared" si="1377"/>
        <v>0</v>
      </c>
      <c r="BG1191" s="1906">
        <f t="shared" si="1377"/>
        <v>0</v>
      </c>
      <c r="BH1191" s="1906">
        <f t="shared" si="1377"/>
        <v>0</v>
      </c>
      <c r="BI1191" s="1906">
        <f t="shared" ref="BI1191:BM1193" si="1378">SUMIF(J$1054:J$1120,"jun"&amp;$B1047,J$983:J$1049)</f>
        <v>0</v>
      </c>
      <c r="BJ1191" s="1906">
        <f t="shared" si="1378"/>
        <v>0</v>
      </c>
      <c r="BK1191" s="1906">
        <f t="shared" si="1378"/>
        <v>0</v>
      </c>
      <c r="BL1191" s="1906">
        <f t="shared" si="1378"/>
        <v>0</v>
      </c>
      <c r="BM1191" s="1906">
        <f t="shared" si="1378"/>
        <v>0</v>
      </c>
      <c r="BN1191" s="107"/>
      <c r="BO1191" s="1906">
        <f t="shared" ref="BO1191:BU1193" si="1379">SUMIF(C$1054:C$1120,"jul"&amp;$B1047,C$983:C$1049)</f>
        <v>0</v>
      </c>
      <c r="BP1191" s="1906">
        <f t="shared" si="1379"/>
        <v>0</v>
      </c>
      <c r="BQ1191" s="1906">
        <f t="shared" si="1379"/>
        <v>0</v>
      </c>
      <c r="BR1191" s="1906">
        <f t="shared" si="1379"/>
        <v>0</v>
      </c>
      <c r="BS1191" s="1906">
        <f t="shared" si="1379"/>
        <v>0</v>
      </c>
      <c r="BT1191" s="1906">
        <f t="shared" si="1379"/>
        <v>0</v>
      </c>
      <c r="BU1191" s="1906">
        <f t="shared" si="1379"/>
        <v>0</v>
      </c>
      <c r="BV1191" s="1906">
        <f t="shared" ref="BV1191:BZ1193" si="1380">SUMIF(J$1054:J$1120,"jul"&amp;$B1047,J$983:J$1049)</f>
        <v>0</v>
      </c>
      <c r="BW1191" s="1906">
        <f t="shared" si="1380"/>
        <v>0</v>
      </c>
      <c r="BX1191" s="1906">
        <f t="shared" si="1380"/>
        <v>0</v>
      </c>
      <c r="BY1191" s="1906">
        <f t="shared" si="1380"/>
        <v>0</v>
      </c>
      <c r="BZ1191" s="1906">
        <f t="shared" si="1380"/>
        <v>0</v>
      </c>
      <c r="CA1191" s="1971">
        <f>CO1118</f>
        <v>0</v>
      </c>
      <c r="CB1191" s="1906">
        <f t="shared" si="1316"/>
        <v>0</v>
      </c>
      <c r="CC1191" s="1906">
        <f t="shared" si="1317"/>
        <v>0</v>
      </c>
      <c r="CD1191" s="1906">
        <f t="shared" si="1318"/>
        <v>0</v>
      </c>
      <c r="CE1191" s="1906">
        <f t="shared" si="1319"/>
        <v>0</v>
      </c>
      <c r="CF1191" s="1906">
        <f t="shared" si="1320"/>
        <v>0</v>
      </c>
      <c r="CG1191" s="1906">
        <f t="shared" si="1321"/>
        <v>0</v>
      </c>
      <c r="CH1191" s="1906">
        <f t="shared" si="1322"/>
        <v>0</v>
      </c>
      <c r="CI1191" s="1906">
        <f t="shared" si="1323"/>
        <v>0</v>
      </c>
      <c r="CJ1191" s="1906">
        <f t="shared" si="1225"/>
        <v>0</v>
      </c>
      <c r="CK1191" s="1906">
        <f t="shared" si="1226"/>
        <v>0</v>
      </c>
      <c r="CL1191" s="1906">
        <f t="shared" si="1227"/>
        <v>0</v>
      </c>
      <c r="CM1191" s="1906">
        <f t="shared" si="1228"/>
        <v>0</v>
      </c>
      <c r="CN1191" s="595">
        <f t="shared" si="1365"/>
        <v>0</v>
      </c>
      <c r="CO1191" s="1443">
        <f t="shared" si="1219"/>
        <v>0</v>
      </c>
      <c r="CQ1191" s="108">
        <f>DE1118</f>
        <v>0</v>
      </c>
      <c r="CR1191" s="1898">
        <f t="shared" ref="CR1191:DC1193" si="1381">CB1191+CC1339</f>
        <v>0</v>
      </c>
      <c r="CS1191" s="1898">
        <f t="shared" si="1381"/>
        <v>0</v>
      </c>
      <c r="CT1191" s="1898">
        <f t="shared" si="1381"/>
        <v>0</v>
      </c>
      <c r="CU1191" s="1898">
        <f t="shared" si="1381"/>
        <v>0</v>
      </c>
      <c r="CV1191" s="1898">
        <f t="shared" si="1381"/>
        <v>0</v>
      </c>
      <c r="CW1191" s="1898">
        <f t="shared" si="1381"/>
        <v>0</v>
      </c>
      <c r="CX1191" s="1898">
        <f t="shared" si="1381"/>
        <v>0</v>
      </c>
      <c r="CY1191" s="1898">
        <f t="shared" si="1381"/>
        <v>0</v>
      </c>
      <c r="CZ1191" s="1898">
        <f t="shared" si="1381"/>
        <v>0</v>
      </c>
      <c r="DA1191" s="1898">
        <f t="shared" si="1381"/>
        <v>0</v>
      </c>
      <c r="DB1191" s="1898">
        <f t="shared" si="1381"/>
        <v>0</v>
      </c>
      <c r="DC1191" s="1898">
        <f t="shared" si="1381"/>
        <v>0</v>
      </c>
    </row>
    <row r="1192" spans="1:135" x14ac:dyDescent="0.2">
      <c r="A1192" s="1971">
        <f t="shared" si="1254"/>
        <v>0</v>
      </c>
      <c r="B1192" s="1906">
        <f t="shared" ref="B1192:M1192" si="1382">SUMIF(C$1054:C$1120,"feb"&amp;$B1048,C$983:C$1049)</f>
        <v>0</v>
      </c>
      <c r="C1192" s="1906">
        <f t="shared" si="1382"/>
        <v>0</v>
      </c>
      <c r="D1192" s="1906">
        <f t="shared" si="1382"/>
        <v>0</v>
      </c>
      <c r="E1192" s="1906">
        <f t="shared" si="1382"/>
        <v>0</v>
      </c>
      <c r="F1192" s="1906">
        <f t="shared" si="1382"/>
        <v>0</v>
      </c>
      <c r="G1192" s="1906">
        <f t="shared" si="1382"/>
        <v>0</v>
      </c>
      <c r="H1192" s="1906">
        <f t="shared" si="1382"/>
        <v>0</v>
      </c>
      <c r="I1192" s="1906">
        <f t="shared" si="1382"/>
        <v>0</v>
      </c>
      <c r="J1192" s="1906">
        <f t="shared" si="1382"/>
        <v>0</v>
      </c>
      <c r="K1192" s="1906">
        <f t="shared" si="1382"/>
        <v>0</v>
      </c>
      <c r="L1192" s="1906">
        <f t="shared" si="1382"/>
        <v>0</v>
      </c>
      <c r="M1192" s="1906">
        <f t="shared" si="1382"/>
        <v>0</v>
      </c>
      <c r="N1192" s="107"/>
      <c r="O1192" s="1906"/>
      <c r="P1192" s="1906">
        <f t="shared" si="1371"/>
        <v>0</v>
      </c>
      <c r="Q1192" s="1906">
        <f t="shared" si="1371"/>
        <v>0</v>
      </c>
      <c r="R1192" s="1906">
        <f t="shared" si="1371"/>
        <v>0</v>
      </c>
      <c r="S1192" s="1906">
        <f t="shared" si="1371"/>
        <v>0</v>
      </c>
      <c r="T1192" s="1906">
        <f t="shared" si="1371"/>
        <v>0</v>
      </c>
      <c r="U1192" s="1906">
        <f t="shared" si="1371"/>
        <v>0</v>
      </c>
      <c r="V1192" s="1906">
        <f t="shared" si="1372"/>
        <v>0</v>
      </c>
      <c r="W1192" s="1906">
        <f t="shared" si="1372"/>
        <v>0</v>
      </c>
      <c r="X1192" s="1906">
        <f t="shared" si="1372"/>
        <v>0</v>
      </c>
      <c r="Y1192" s="1906">
        <f t="shared" si="1372"/>
        <v>0</v>
      </c>
      <c r="Z1192" s="1906">
        <f t="shared" si="1372"/>
        <v>0</v>
      </c>
      <c r="AA1192" s="107"/>
      <c r="AB1192" s="1906">
        <f t="shared" si="1373"/>
        <v>0</v>
      </c>
      <c r="AC1192" s="1906">
        <f t="shared" si="1373"/>
        <v>0</v>
      </c>
      <c r="AD1192" s="1906">
        <f t="shared" si="1373"/>
        <v>0</v>
      </c>
      <c r="AE1192" s="1906">
        <f t="shared" si="1373"/>
        <v>0</v>
      </c>
      <c r="AF1192" s="1906">
        <f t="shared" si="1373"/>
        <v>0</v>
      </c>
      <c r="AG1192" s="1906">
        <f t="shared" si="1373"/>
        <v>0</v>
      </c>
      <c r="AH1192" s="1906">
        <f t="shared" si="1373"/>
        <v>0</v>
      </c>
      <c r="AI1192" s="1906">
        <f t="shared" si="1374"/>
        <v>0</v>
      </c>
      <c r="AJ1192" s="1906">
        <f t="shared" si="1374"/>
        <v>0</v>
      </c>
      <c r="AK1192" s="1906">
        <f t="shared" si="1374"/>
        <v>0</v>
      </c>
      <c r="AL1192" s="1906">
        <f t="shared" si="1374"/>
        <v>0</v>
      </c>
      <c r="AM1192" s="1906">
        <f t="shared" si="1374"/>
        <v>0</v>
      </c>
      <c r="AN1192" s="107"/>
      <c r="AO1192" s="1906">
        <f t="shared" si="1375"/>
        <v>0</v>
      </c>
      <c r="AP1192" s="1906">
        <f t="shared" si="1375"/>
        <v>0</v>
      </c>
      <c r="AQ1192" s="1906">
        <f t="shared" si="1375"/>
        <v>0</v>
      </c>
      <c r="AR1192" s="1906">
        <f t="shared" si="1375"/>
        <v>0</v>
      </c>
      <c r="AS1192" s="1906">
        <f t="shared" si="1375"/>
        <v>0</v>
      </c>
      <c r="AT1192" s="1906">
        <f t="shared" si="1375"/>
        <v>0</v>
      </c>
      <c r="AU1192" s="1906">
        <f t="shared" si="1375"/>
        <v>0</v>
      </c>
      <c r="AV1192" s="1906">
        <f t="shared" si="1376"/>
        <v>0</v>
      </c>
      <c r="AW1192" s="1906">
        <f t="shared" si="1376"/>
        <v>0</v>
      </c>
      <c r="AX1192" s="1906">
        <f t="shared" si="1376"/>
        <v>0</v>
      </c>
      <c r="AY1192" s="1906">
        <f t="shared" si="1376"/>
        <v>0</v>
      </c>
      <c r="AZ1192" s="1906">
        <f t="shared" si="1376"/>
        <v>0</v>
      </c>
      <c r="BA1192" s="107"/>
      <c r="BB1192" s="1906">
        <f t="shared" si="1377"/>
        <v>0</v>
      </c>
      <c r="BC1192" s="1906">
        <f t="shared" si="1377"/>
        <v>0</v>
      </c>
      <c r="BD1192" s="1906">
        <f t="shared" si="1377"/>
        <v>0</v>
      </c>
      <c r="BE1192" s="1906">
        <f t="shared" si="1377"/>
        <v>0</v>
      </c>
      <c r="BF1192" s="1906">
        <f t="shared" si="1377"/>
        <v>0</v>
      </c>
      <c r="BG1192" s="1906">
        <f t="shared" si="1377"/>
        <v>0</v>
      </c>
      <c r="BH1192" s="1906">
        <f t="shared" si="1377"/>
        <v>0</v>
      </c>
      <c r="BI1192" s="1906">
        <f t="shared" si="1378"/>
        <v>0</v>
      </c>
      <c r="BJ1192" s="1906">
        <f t="shared" si="1378"/>
        <v>0</v>
      </c>
      <c r="BK1192" s="1906">
        <f t="shared" si="1378"/>
        <v>0</v>
      </c>
      <c r="BL1192" s="1906">
        <f t="shared" si="1378"/>
        <v>0</v>
      </c>
      <c r="BM1192" s="1906">
        <f t="shared" si="1378"/>
        <v>0</v>
      </c>
      <c r="BN1192" s="107"/>
      <c r="BO1192" s="1906">
        <f t="shared" si="1379"/>
        <v>0</v>
      </c>
      <c r="BP1192" s="1906">
        <f t="shared" si="1379"/>
        <v>0</v>
      </c>
      <c r="BQ1192" s="1906">
        <f t="shared" si="1379"/>
        <v>0</v>
      </c>
      <c r="BR1192" s="1906">
        <f t="shared" si="1379"/>
        <v>0</v>
      </c>
      <c r="BS1192" s="1906">
        <f t="shared" si="1379"/>
        <v>0</v>
      </c>
      <c r="BT1192" s="1906">
        <f t="shared" si="1379"/>
        <v>0</v>
      </c>
      <c r="BU1192" s="1906">
        <f t="shared" si="1379"/>
        <v>0</v>
      </c>
      <c r="BV1192" s="1906">
        <f t="shared" si="1380"/>
        <v>0</v>
      </c>
      <c r="BW1192" s="1906">
        <f t="shared" si="1380"/>
        <v>0</v>
      </c>
      <c r="BX1192" s="1906">
        <f t="shared" si="1380"/>
        <v>0</v>
      </c>
      <c r="BY1192" s="1906">
        <f t="shared" si="1380"/>
        <v>0</v>
      </c>
      <c r="BZ1192" s="1906">
        <f t="shared" si="1380"/>
        <v>0</v>
      </c>
      <c r="CA1192" s="1971">
        <f>CO1119</f>
        <v>0</v>
      </c>
      <c r="CB1192" s="1906">
        <f t="shared" si="1316"/>
        <v>0</v>
      </c>
      <c r="CC1192" s="1906">
        <f t="shared" si="1317"/>
        <v>0</v>
      </c>
      <c r="CD1192" s="1906">
        <f t="shared" si="1318"/>
        <v>0</v>
      </c>
      <c r="CE1192" s="1906">
        <f t="shared" si="1319"/>
        <v>0</v>
      </c>
      <c r="CF1192" s="1906">
        <f t="shared" si="1320"/>
        <v>0</v>
      </c>
      <c r="CG1192" s="1906">
        <f t="shared" si="1321"/>
        <v>0</v>
      </c>
      <c r="CH1192" s="1906">
        <f t="shared" si="1322"/>
        <v>0</v>
      </c>
      <c r="CI1192" s="1906">
        <f t="shared" si="1323"/>
        <v>0</v>
      </c>
      <c r="CJ1192" s="1906">
        <f t="shared" si="1225"/>
        <v>0</v>
      </c>
      <c r="CK1192" s="1906">
        <f t="shared" si="1226"/>
        <v>0</v>
      </c>
      <c r="CL1192" s="1906">
        <f t="shared" si="1227"/>
        <v>0</v>
      </c>
      <c r="CM1192" s="1906">
        <f t="shared" si="1228"/>
        <v>0</v>
      </c>
      <c r="CN1192" s="595">
        <f t="shared" si="1365"/>
        <v>0</v>
      </c>
      <c r="CO1192" s="1443">
        <f>SUM(CB1192:CM1192)</f>
        <v>0</v>
      </c>
      <c r="CQ1192" s="108">
        <f>DE1119</f>
        <v>0</v>
      </c>
      <c r="CR1192" s="1898">
        <f t="shared" si="1381"/>
        <v>0</v>
      </c>
      <c r="CS1192" s="1898">
        <f t="shared" si="1381"/>
        <v>0</v>
      </c>
      <c r="CT1192" s="1898">
        <f t="shared" si="1381"/>
        <v>0</v>
      </c>
      <c r="CU1192" s="1898">
        <f t="shared" si="1381"/>
        <v>0</v>
      </c>
      <c r="CV1192" s="1898">
        <f t="shared" si="1381"/>
        <v>0</v>
      </c>
      <c r="CW1192" s="1898">
        <f t="shared" si="1381"/>
        <v>0</v>
      </c>
      <c r="CX1192" s="1898">
        <f t="shared" si="1381"/>
        <v>0</v>
      </c>
      <c r="CY1192" s="1898">
        <f t="shared" si="1381"/>
        <v>0</v>
      </c>
      <c r="CZ1192" s="1898">
        <f t="shared" si="1381"/>
        <v>0</v>
      </c>
      <c r="DA1192" s="1898">
        <f t="shared" si="1381"/>
        <v>0</v>
      </c>
      <c r="DB1192" s="1898">
        <f t="shared" si="1381"/>
        <v>0</v>
      </c>
      <c r="DC1192" s="1898">
        <f t="shared" si="1381"/>
        <v>0</v>
      </c>
    </row>
    <row r="1193" spans="1:135" x14ac:dyDescent="0.2">
      <c r="A1193" s="1971">
        <f t="shared" si="1254"/>
        <v>0</v>
      </c>
      <c r="B1193" s="1906">
        <f t="shared" ref="B1193:M1193" si="1383">SUMIF(C$1054:C$1120,"feb"&amp;$B1049,C$983:C$1049)</f>
        <v>0</v>
      </c>
      <c r="C1193" s="1906">
        <f t="shared" si="1383"/>
        <v>0</v>
      </c>
      <c r="D1193" s="1906">
        <f t="shared" si="1383"/>
        <v>0</v>
      </c>
      <c r="E1193" s="1906">
        <f t="shared" si="1383"/>
        <v>0</v>
      </c>
      <c r="F1193" s="1906">
        <f t="shared" si="1383"/>
        <v>0</v>
      </c>
      <c r="G1193" s="1906">
        <f t="shared" si="1383"/>
        <v>0</v>
      </c>
      <c r="H1193" s="1906">
        <f t="shared" si="1383"/>
        <v>0</v>
      </c>
      <c r="I1193" s="1906">
        <f t="shared" si="1383"/>
        <v>0</v>
      </c>
      <c r="J1193" s="1906">
        <f t="shared" si="1383"/>
        <v>0</v>
      </c>
      <c r="K1193" s="1906">
        <f t="shared" si="1383"/>
        <v>0</v>
      </c>
      <c r="L1193" s="1906">
        <f t="shared" si="1383"/>
        <v>0</v>
      </c>
      <c r="M1193" s="1906">
        <f t="shared" si="1383"/>
        <v>0</v>
      </c>
      <c r="N1193" s="107"/>
      <c r="O1193" s="1906"/>
      <c r="P1193" s="1906">
        <f t="shared" si="1371"/>
        <v>0</v>
      </c>
      <c r="Q1193" s="1906">
        <f t="shared" si="1371"/>
        <v>0</v>
      </c>
      <c r="R1193" s="1906">
        <f t="shared" si="1371"/>
        <v>0</v>
      </c>
      <c r="S1193" s="1906">
        <f t="shared" si="1371"/>
        <v>0</v>
      </c>
      <c r="T1193" s="1906">
        <f t="shared" si="1371"/>
        <v>0</v>
      </c>
      <c r="U1193" s="1906">
        <f t="shared" si="1371"/>
        <v>0</v>
      </c>
      <c r="V1193" s="1906">
        <f t="shared" si="1372"/>
        <v>0</v>
      </c>
      <c r="W1193" s="1906">
        <f t="shared" si="1372"/>
        <v>0</v>
      </c>
      <c r="X1193" s="1906">
        <f t="shared" si="1372"/>
        <v>0</v>
      </c>
      <c r="Y1193" s="1906">
        <f t="shared" si="1372"/>
        <v>0</v>
      </c>
      <c r="Z1193" s="1906">
        <f t="shared" si="1372"/>
        <v>0</v>
      </c>
      <c r="AA1193" s="107"/>
      <c r="AB1193" s="1906">
        <f t="shared" si="1373"/>
        <v>0</v>
      </c>
      <c r="AC1193" s="1906">
        <f t="shared" si="1373"/>
        <v>0</v>
      </c>
      <c r="AD1193" s="1906">
        <f t="shared" si="1373"/>
        <v>0</v>
      </c>
      <c r="AE1193" s="1906">
        <f t="shared" si="1373"/>
        <v>0</v>
      </c>
      <c r="AF1193" s="1906">
        <f t="shared" si="1373"/>
        <v>0</v>
      </c>
      <c r="AG1193" s="1906">
        <f t="shared" si="1373"/>
        <v>0</v>
      </c>
      <c r="AH1193" s="1906">
        <f t="shared" si="1373"/>
        <v>0</v>
      </c>
      <c r="AI1193" s="1906">
        <f t="shared" si="1374"/>
        <v>0</v>
      </c>
      <c r="AJ1193" s="1906">
        <f t="shared" si="1374"/>
        <v>0</v>
      </c>
      <c r="AK1193" s="1906">
        <f t="shared" si="1374"/>
        <v>0</v>
      </c>
      <c r="AL1193" s="1906">
        <f t="shared" si="1374"/>
        <v>0</v>
      </c>
      <c r="AM1193" s="1906">
        <f t="shared" si="1374"/>
        <v>0</v>
      </c>
      <c r="AN1193" s="107"/>
      <c r="AO1193" s="1906">
        <f t="shared" si="1375"/>
        <v>0</v>
      </c>
      <c r="AP1193" s="1906">
        <f t="shared" si="1375"/>
        <v>0</v>
      </c>
      <c r="AQ1193" s="1906">
        <f t="shared" si="1375"/>
        <v>0</v>
      </c>
      <c r="AR1193" s="1906">
        <f t="shared" si="1375"/>
        <v>0</v>
      </c>
      <c r="AS1193" s="1906">
        <f t="shared" si="1375"/>
        <v>0</v>
      </c>
      <c r="AT1193" s="1906">
        <f t="shared" si="1375"/>
        <v>0</v>
      </c>
      <c r="AU1193" s="1906">
        <f t="shared" si="1375"/>
        <v>0</v>
      </c>
      <c r="AV1193" s="1906">
        <f t="shared" si="1376"/>
        <v>0</v>
      </c>
      <c r="AW1193" s="1906">
        <f t="shared" si="1376"/>
        <v>0</v>
      </c>
      <c r="AX1193" s="1906">
        <f t="shared" si="1376"/>
        <v>0</v>
      </c>
      <c r="AY1193" s="1906">
        <f t="shared" si="1376"/>
        <v>0</v>
      </c>
      <c r="AZ1193" s="1906">
        <f t="shared" si="1376"/>
        <v>0</v>
      </c>
      <c r="BA1193" s="107"/>
      <c r="BB1193" s="1906">
        <f t="shared" si="1377"/>
        <v>0</v>
      </c>
      <c r="BC1193" s="1906">
        <f t="shared" si="1377"/>
        <v>0</v>
      </c>
      <c r="BD1193" s="1906">
        <f t="shared" si="1377"/>
        <v>0</v>
      </c>
      <c r="BE1193" s="1906">
        <f t="shared" si="1377"/>
        <v>0</v>
      </c>
      <c r="BF1193" s="1906">
        <f t="shared" si="1377"/>
        <v>0</v>
      </c>
      <c r="BG1193" s="1906">
        <f t="shared" si="1377"/>
        <v>0</v>
      </c>
      <c r="BH1193" s="1906">
        <f t="shared" si="1377"/>
        <v>0</v>
      </c>
      <c r="BI1193" s="1906">
        <f t="shared" si="1378"/>
        <v>0</v>
      </c>
      <c r="BJ1193" s="1906">
        <f t="shared" si="1378"/>
        <v>0</v>
      </c>
      <c r="BK1193" s="1906">
        <f t="shared" si="1378"/>
        <v>0</v>
      </c>
      <c r="BL1193" s="1906">
        <f t="shared" si="1378"/>
        <v>0</v>
      </c>
      <c r="BM1193" s="1906">
        <f t="shared" si="1378"/>
        <v>0</v>
      </c>
      <c r="BN1193" s="107"/>
      <c r="BO1193" s="1906">
        <f t="shared" si="1379"/>
        <v>0</v>
      </c>
      <c r="BP1193" s="1906">
        <f t="shared" si="1379"/>
        <v>0</v>
      </c>
      <c r="BQ1193" s="1906">
        <f t="shared" si="1379"/>
        <v>0</v>
      </c>
      <c r="BR1193" s="1906">
        <f t="shared" si="1379"/>
        <v>0</v>
      </c>
      <c r="BS1193" s="1906">
        <f t="shared" si="1379"/>
        <v>0</v>
      </c>
      <c r="BT1193" s="1906">
        <f t="shared" si="1379"/>
        <v>0</v>
      </c>
      <c r="BU1193" s="1906">
        <f t="shared" si="1379"/>
        <v>0</v>
      </c>
      <c r="BV1193" s="1906">
        <f t="shared" si="1380"/>
        <v>0</v>
      </c>
      <c r="BW1193" s="1906">
        <f t="shared" si="1380"/>
        <v>0</v>
      </c>
      <c r="BX1193" s="1906">
        <f t="shared" si="1380"/>
        <v>0</v>
      </c>
      <c r="BY1193" s="1906">
        <f t="shared" si="1380"/>
        <v>0</v>
      </c>
      <c r="BZ1193" s="1906">
        <f t="shared" si="1380"/>
        <v>0</v>
      </c>
      <c r="CA1193" s="1971">
        <f>CO1120</f>
        <v>0</v>
      </c>
      <c r="CB1193" s="1906">
        <f t="shared" si="1316"/>
        <v>0</v>
      </c>
      <c r="CC1193" s="1906">
        <f t="shared" si="1317"/>
        <v>0</v>
      </c>
      <c r="CD1193" s="1906">
        <f t="shared" si="1318"/>
        <v>0</v>
      </c>
      <c r="CE1193" s="1906">
        <f t="shared" si="1319"/>
        <v>0</v>
      </c>
      <c r="CF1193" s="1906">
        <f t="shared" si="1320"/>
        <v>0</v>
      </c>
      <c r="CG1193" s="1906">
        <f t="shared" si="1321"/>
        <v>0</v>
      </c>
      <c r="CH1193" s="1906">
        <f t="shared" si="1322"/>
        <v>0</v>
      </c>
      <c r="CI1193" s="1906">
        <f t="shared" si="1323"/>
        <v>0</v>
      </c>
      <c r="CJ1193" s="1906">
        <f t="shared" si="1225"/>
        <v>0</v>
      </c>
      <c r="CK1193" s="1906">
        <f t="shared" si="1226"/>
        <v>0</v>
      </c>
      <c r="CL1193" s="1906">
        <f t="shared" si="1227"/>
        <v>0</v>
      </c>
      <c r="CM1193" s="1906">
        <f t="shared" si="1228"/>
        <v>0</v>
      </c>
      <c r="CN1193" s="595">
        <f t="shared" si="1365"/>
        <v>0</v>
      </c>
      <c r="CO1193" s="1443">
        <f>SUM(CB1193:CM1193)</f>
        <v>0</v>
      </c>
      <c r="CQ1193" s="108">
        <f>DE1120</f>
        <v>0</v>
      </c>
      <c r="CR1193" s="1898">
        <f t="shared" si="1381"/>
        <v>0</v>
      </c>
      <c r="CS1193" s="1898">
        <f t="shared" si="1381"/>
        <v>0</v>
      </c>
      <c r="CT1193" s="1898">
        <f t="shared" si="1381"/>
        <v>0</v>
      </c>
      <c r="CU1193" s="1898">
        <f t="shared" si="1381"/>
        <v>0</v>
      </c>
      <c r="CV1193" s="1898">
        <f t="shared" si="1381"/>
        <v>0</v>
      </c>
      <c r="CW1193" s="1898">
        <f t="shared" si="1381"/>
        <v>0</v>
      </c>
      <c r="CX1193" s="1898">
        <f t="shared" si="1381"/>
        <v>0</v>
      </c>
      <c r="CY1193" s="1898">
        <f t="shared" si="1381"/>
        <v>0</v>
      </c>
      <c r="CZ1193" s="1898">
        <f t="shared" si="1381"/>
        <v>0</v>
      </c>
      <c r="DA1193" s="1898">
        <f t="shared" si="1381"/>
        <v>0</v>
      </c>
      <c r="DB1193" s="1898">
        <f t="shared" si="1381"/>
        <v>0</v>
      </c>
      <c r="DC1193" s="1898">
        <f t="shared" si="1381"/>
        <v>0</v>
      </c>
    </row>
    <row r="1194" spans="1:135" x14ac:dyDescent="0.2">
      <c r="A1194" s="1971" t="e">
        <f t="shared" si="1254"/>
        <v>#REF!</v>
      </c>
      <c r="B1194" s="1906">
        <f>SUMIF(C$1054:C$1120,"feb"&amp;#REF!,C$983:C$1049)</f>
        <v>0</v>
      </c>
      <c r="C1194" s="1906">
        <f>SUMIF(D$1054:D$1120,"feb"&amp;#REF!,D$983:D$1049)</f>
        <v>0</v>
      </c>
      <c r="D1194" s="1906">
        <f>SUMIF(E$1054:E$1120,"feb"&amp;#REF!,E$983:E$1049)</f>
        <v>0</v>
      </c>
      <c r="E1194" s="1906">
        <f>SUMIF(F$1054:F$1120,"feb"&amp;#REF!,F$983:F$1049)</f>
        <v>0</v>
      </c>
      <c r="F1194" s="1906">
        <f>SUMIF(G$1054:G$1120,"feb"&amp;#REF!,G$983:G$1049)</f>
        <v>0</v>
      </c>
      <c r="G1194" s="1906">
        <f>SUMIF(H$1054:H$1120,"feb"&amp;#REF!,H$983:H$1049)</f>
        <v>0</v>
      </c>
      <c r="H1194" s="1906">
        <f>SUMIF(I$1054:I$1120,"feb"&amp;#REF!,I$983:I$1049)</f>
        <v>0</v>
      </c>
      <c r="I1194" s="1906">
        <f>SUMIF(J$1054:J$1120,"feb"&amp;#REF!,J$983:J$1049)</f>
        <v>0</v>
      </c>
      <c r="J1194" s="1906">
        <f>SUMIF(K$1054:K$1120,"feb"&amp;#REF!,K$983:K$1049)</f>
        <v>0</v>
      </c>
      <c r="K1194" s="1906">
        <f>SUMIF(L$1054:L$1120,"feb"&amp;#REF!,L$983:L$1049)</f>
        <v>0</v>
      </c>
      <c r="L1194" s="1906">
        <f>SUMIF(M$1054:M$1120,"feb"&amp;#REF!,M$983:M$1049)</f>
        <v>0</v>
      </c>
      <c r="M1194" s="1906">
        <f>SUMIF(N$1054:N$1120,"feb"&amp;#REF!,N$983:N$1049)</f>
        <v>0</v>
      </c>
      <c r="N1194" s="107"/>
      <c r="O1194" s="1906"/>
      <c r="P1194" s="1906">
        <f>SUMIF(D$1054:D$1120,"mar"&amp;#REF!,D$983:D$1049)</f>
        <v>0</v>
      </c>
      <c r="Q1194" s="1906">
        <f>SUMIF(E$1054:E$1120,"mar"&amp;#REF!,E$983:E$1049)</f>
        <v>0</v>
      </c>
      <c r="R1194" s="1906">
        <f>SUMIF(F$1054:F$1120,"mar"&amp;#REF!,F$983:F$1049)</f>
        <v>0</v>
      </c>
      <c r="S1194" s="1906">
        <f>SUMIF(G$1054:G$1120,"mar"&amp;#REF!,G$983:G$1049)</f>
        <v>0</v>
      </c>
      <c r="T1194" s="1906">
        <f>SUMIF(H$1054:H$1120,"mar"&amp;#REF!,H$983:H$1049)</f>
        <v>0</v>
      </c>
      <c r="U1194" s="1906">
        <f>SUMIF(I$1054:I$1120,"mar"&amp;#REF!,I$983:I$1049)</f>
        <v>0</v>
      </c>
      <c r="V1194" s="1906">
        <f>SUMIF(J$1054:J$1120,"mar"&amp;#REF!,J$983:J$1049)</f>
        <v>0</v>
      </c>
      <c r="W1194" s="1906">
        <f>SUMIF(K$1054:K$1120,"mar"&amp;#REF!,K$983:K$1049)</f>
        <v>0</v>
      </c>
      <c r="X1194" s="1906">
        <f>SUMIF(L$1054:L$1120,"mar"&amp;#REF!,L$983:L$1049)</f>
        <v>0</v>
      </c>
      <c r="Y1194" s="1906">
        <f>SUMIF(M$1054:M$1120,"mar"&amp;#REF!,M$983:M$1049)</f>
        <v>0</v>
      </c>
      <c r="Z1194" s="1906">
        <f>SUMIF(N$1054:N$1120,"mar"&amp;#REF!,N$983:N$1049)</f>
        <v>0</v>
      </c>
      <c r="AA1194" s="107"/>
      <c r="AB1194" s="1906">
        <f>SUMIF(C$1054:C$1120,"abr"&amp;#REF!,C$983:C$1049)</f>
        <v>0</v>
      </c>
      <c r="AC1194" s="1906">
        <f>SUMIF(D$1054:D$1120,"abr"&amp;#REF!,D$983:D$1049)</f>
        <v>0</v>
      </c>
      <c r="AD1194" s="1906">
        <f>SUMIF(E$1054:E$1120,"abr"&amp;#REF!,E$983:E$1049)</f>
        <v>0</v>
      </c>
      <c r="AE1194" s="1906">
        <f>SUMIF(F$1054:F$1120,"abr"&amp;#REF!,F$983:F$1049)</f>
        <v>0</v>
      </c>
      <c r="AF1194" s="1906">
        <f>SUMIF(G$1054:G$1120,"abr"&amp;#REF!,G$983:G$1049)</f>
        <v>0</v>
      </c>
      <c r="AG1194" s="1906">
        <f>SUMIF(H$1054:H$1120,"abr"&amp;#REF!,H$983:H$1049)</f>
        <v>0</v>
      </c>
      <c r="AH1194" s="1906">
        <f>SUMIF(I$1054:I$1120,"abr"&amp;#REF!,I$983:I$1049)</f>
        <v>0</v>
      </c>
      <c r="AI1194" s="1906">
        <f>SUMIF(J$1054:J$1120,"abr"&amp;#REF!,J$983:J$1049)</f>
        <v>0</v>
      </c>
      <c r="AJ1194" s="1906">
        <f>SUMIF(K$1054:K$1120,"abr"&amp;#REF!,K$983:K$1049)</f>
        <v>0</v>
      </c>
      <c r="AK1194" s="1906">
        <f>SUMIF(L$1054:L$1120,"abr"&amp;#REF!,L$983:L$1049)</f>
        <v>0</v>
      </c>
      <c r="AL1194" s="1906">
        <f>SUMIF(M$1054:M$1120,"abr"&amp;#REF!,M$983:M$1049)</f>
        <v>0</v>
      </c>
      <c r="AM1194" s="1906">
        <f>SUMIF(N$1054:N$1120,"abr"&amp;#REF!,N$983:N$1049)</f>
        <v>0</v>
      </c>
      <c r="AN1194" s="107"/>
      <c r="AO1194" s="1906">
        <f>SUMIF(C$1054:C$1120,"may"&amp;#REF!,C$983:C$1049)</f>
        <v>0</v>
      </c>
      <c r="AP1194" s="1906">
        <f>SUMIF(D$1054:D$1120,"may"&amp;#REF!,D$983:D$1049)</f>
        <v>0</v>
      </c>
      <c r="AQ1194" s="1906">
        <f>SUMIF(E$1054:E$1120,"may"&amp;#REF!,E$983:E$1049)</f>
        <v>0</v>
      </c>
      <c r="AR1194" s="1906">
        <f>SUMIF(F$1054:F$1120,"may"&amp;#REF!,F$983:F$1049)</f>
        <v>0</v>
      </c>
      <c r="AS1194" s="1906">
        <f>SUMIF(G$1054:G$1120,"may"&amp;#REF!,G$983:G$1049)</f>
        <v>0</v>
      </c>
      <c r="AT1194" s="1906">
        <f>SUMIF(H$1054:H$1120,"may"&amp;#REF!,H$983:H$1049)</f>
        <v>0</v>
      </c>
      <c r="AU1194" s="1906">
        <f>SUMIF(I$1054:I$1120,"may"&amp;#REF!,I$983:I$1049)</f>
        <v>0</v>
      </c>
      <c r="AV1194" s="1906">
        <f>SUMIF(J$1054:J$1120,"may"&amp;#REF!,J$983:J$1049)</f>
        <v>0</v>
      </c>
      <c r="AW1194" s="1906">
        <f>SUMIF(K$1054:K$1120,"may"&amp;#REF!,K$983:K$1049)</f>
        <v>0</v>
      </c>
      <c r="AX1194" s="1906">
        <f>SUMIF(L$1054:L$1120,"may"&amp;#REF!,L$983:L$1049)</f>
        <v>0</v>
      </c>
      <c r="AY1194" s="1906">
        <f>SUMIF(M$1054:M$1120,"may"&amp;#REF!,M$983:M$1049)</f>
        <v>0</v>
      </c>
      <c r="AZ1194" s="1906">
        <f>SUMIF(N$1054:N$1120,"may"&amp;#REF!,N$983:N$1049)</f>
        <v>0</v>
      </c>
      <c r="BA1194" s="107"/>
      <c r="BB1194" s="1906">
        <f>SUMIF(C$1054:C$1120,"jun"&amp;#REF!,C$983:C$1049)</f>
        <v>0</v>
      </c>
      <c r="BC1194" s="1906">
        <f>SUMIF(D$1054:D$1120,"jun"&amp;#REF!,D$983:D$1049)</f>
        <v>0</v>
      </c>
      <c r="BD1194" s="1906">
        <f>SUMIF(E$1054:E$1120,"jun"&amp;#REF!,E$983:E$1049)</f>
        <v>0</v>
      </c>
      <c r="BE1194" s="1906">
        <f>SUMIF(F$1054:F$1120,"jun"&amp;#REF!,F$983:F$1049)</f>
        <v>0</v>
      </c>
      <c r="BF1194" s="1906">
        <f>SUMIF(G$1054:G$1120,"jun"&amp;#REF!,G$983:G$1049)</f>
        <v>0</v>
      </c>
      <c r="BG1194" s="1906">
        <f>SUMIF(H$1054:H$1120,"jun"&amp;#REF!,H$983:H$1049)</f>
        <v>0</v>
      </c>
      <c r="BH1194" s="1906">
        <f>SUMIF(I$1054:I$1120,"jun"&amp;#REF!,I$983:I$1049)</f>
        <v>0</v>
      </c>
      <c r="BI1194" s="1906">
        <f>SUMIF(J$1054:J$1120,"jun"&amp;#REF!,J$983:J$1049)</f>
        <v>0</v>
      </c>
      <c r="BJ1194" s="1906">
        <f>SUMIF(K$1054:K$1120,"jun"&amp;#REF!,K$983:K$1049)</f>
        <v>0</v>
      </c>
      <c r="BK1194" s="1906">
        <f>SUMIF(L$1054:L$1120,"jun"&amp;#REF!,L$983:L$1049)</f>
        <v>0</v>
      </c>
      <c r="BL1194" s="1906">
        <f>SUMIF(M$1054:M$1120,"jun"&amp;#REF!,M$983:M$1049)</f>
        <v>0</v>
      </c>
      <c r="BM1194" s="1906">
        <f>SUMIF(N$1054:N$1120,"jun"&amp;#REF!,N$983:N$1049)</f>
        <v>0</v>
      </c>
      <c r="BN1194" s="107"/>
      <c r="BO1194" s="1906">
        <f>SUMIF(C$1054:C$1120,"jul"&amp;#REF!,C$983:C$1049)</f>
        <v>0</v>
      </c>
      <c r="BP1194" s="1906">
        <f>SUMIF(D$1054:D$1120,"jul"&amp;#REF!,D$983:D$1049)</f>
        <v>0</v>
      </c>
      <c r="BQ1194" s="1906">
        <f>SUMIF(E$1054:E$1120,"jul"&amp;#REF!,E$983:E$1049)</f>
        <v>0</v>
      </c>
      <c r="BR1194" s="1906">
        <f>SUMIF(F$1054:F$1120,"jul"&amp;#REF!,F$983:F$1049)</f>
        <v>0</v>
      </c>
      <c r="BS1194" s="1906">
        <f>SUMIF(G$1054:G$1120,"jul"&amp;#REF!,G$983:G$1049)</f>
        <v>0</v>
      </c>
      <c r="BT1194" s="1906">
        <f>SUMIF(H$1054:H$1120,"jul"&amp;#REF!,H$983:H$1049)</f>
        <v>0</v>
      </c>
      <c r="BU1194" s="1906">
        <f>SUMIF(I$1054:I$1120,"jul"&amp;#REF!,I$983:I$1049)</f>
        <v>0</v>
      </c>
      <c r="BV1194" s="1906">
        <f>SUMIF(J$1054:J$1120,"jul"&amp;#REF!,J$983:J$1049)</f>
        <v>0</v>
      </c>
      <c r="BW1194" s="1906">
        <f>SUMIF(K$1054:K$1120,"jul"&amp;#REF!,K$983:K$1049)</f>
        <v>0</v>
      </c>
      <c r="BX1194" s="1906">
        <f>SUMIF(L$1054:L$1120,"jul"&amp;#REF!,L$983:L$1049)</f>
        <v>0</v>
      </c>
      <c r="BY1194" s="1906">
        <f>SUMIF(M$1054:M$1120,"jul"&amp;#REF!,M$983:M$1049)</f>
        <v>0</v>
      </c>
      <c r="BZ1194" s="1906">
        <f>SUMIF(N$1054:N$1120,"jul"&amp;#REF!,N$983:N$1049)</f>
        <v>0</v>
      </c>
      <c r="CA1194" s="1971" t="e">
        <f>#REF!</f>
        <v>#REF!</v>
      </c>
      <c r="CB1194" s="1906">
        <f t="shared" si="1316"/>
        <v>0</v>
      </c>
      <c r="CC1194" s="1906">
        <f t="shared" si="1317"/>
        <v>0</v>
      </c>
      <c r="CD1194" s="1906">
        <f t="shared" si="1318"/>
        <v>0</v>
      </c>
      <c r="CE1194" s="1906">
        <f t="shared" si="1319"/>
        <v>0</v>
      </c>
      <c r="CF1194" s="1906">
        <f t="shared" si="1320"/>
        <v>0</v>
      </c>
      <c r="CG1194" s="1906">
        <f t="shared" si="1321"/>
        <v>0</v>
      </c>
      <c r="CH1194" s="1906">
        <f t="shared" si="1322"/>
        <v>0</v>
      </c>
      <c r="CI1194" s="1906">
        <f t="shared" si="1323"/>
        <v>0</v>
      </c>
      <c r="CJ1194" s="1906">
        <f t="shared" si="1225"/>
        <v>0</v>
      </c>
      <c r="CK1194" s="1906">
        <f t="shared" si="1226"/>
        <v>0</v>
      </c>
      <c r="CL1194" s="1906">
        <f t="shared" si="1227"/>
        <v>0</v>
      </c>
      <c r="CM1194" s="1906">
        <f t="shared" si="1228"/>
        <v>0</v>
      </c>
      <c r="CN1194" s="1828" t="e">
        <f t="shared" si="1365"/>
        <v>#REF!</v>
      </c>
      <c r="CO1194" s="1905">
        <f>SUM(CB1194:CM1194)</f>
        <v>0</v>
      </c>
      <c r="CQ1194" s="108" t="e">
        <f>#REF!</f>
        <v>#REF!</v>
      </c>
      <c r="CR1194" s="1898" t="e">
        <f>CB1194+#REF!</f>
        <v>#REF!</v>
      </c>
      <c r="CS1194" s="1898" t="e">
        <f>CC1194+#REF!</f>
        <v>#REF!</v>
      </c>
      <c r="CT1194" s="1898" t="e">
        <f>CD1194+#REF!</f>
        <v>#REF!</v>
      </c>
      <c r="CU1194" s="1898" t="e">
        <f>CE1194+#REF!</f>
        <v>#REF!</v>
      </c>
      <c r="CV1194" s="1898" t="e">
        <f>CF1194+#REF!</f>
        <v>#REF!</v>
      </c>
      <c r="CW1194" s="1898" t="e">
        <f>CG1194+#REF!</f>
        <v>#REF!</v>
      </c>
      <c r="CX1194" s="1898" t="e">
        <f>CH1194+#REF!</f>
        <v>#REF!</v>
      </c>
      <c r="CY1194" s="1898" t="e">
        <f>CI1194+#REF!</f>
        <v>#REF!</v>
      </c>
      <c r="CZ1194" s="1898" t="e">
        <f>CJ1194+#REF!</f>
        <v>#REF!</v>
      </c>
      <c r="DA1194" s="1898" t="e">
        <f>CK1194+#REF!</f>
        <v>#REF!</v>
      </c>
      <c r="DB1194" s="1898" t="e">
        <f>CL1194+#REF!</f>
        <v>#REF!</v>
      </c>
      <c r="DC1194" s="1898" t="e">
        <f>CM1194+#REF!</f>
        <v>#REF!</v>
      </c>
    </row>
    <row r="1195" spans="1:135" x14ac:dyDescent="0.2">
      <c r="A1195" s="6"/>
      <c r="B1195" s="107"/>
      <c r="D1195" s="106"/>
      <c r="P1195" s="6"/>
      <c r="Q1195" s="6"/>
      <c r="S1195" s="6"/>
      <c r="AQ1195" s="100"/>
      <c r="AR1195" s="100"/>
      <c r="AS1195" s="100"/>
      <c r="AT1195" s="100"/>
      <c r="AU1195" s="100"/>
      <c r="AV1195" s="100"/>
      <c r="AW1195" s="100"/>
      <c r="AX1195" s="100"/>
      <c r="AY1195" s="100"/>
      <c r="AZ1195" s="100"/>
      <c r="BA1195" s="100"/>
      <c r="BB1195" s="100"/>
      <c r="BC1195" s="100"/>
      <c r="BD1195" s="100"/>
      <c r="BE1195" s="100"/>
      <c r="BF1195" s="100"/>
      <c r="BG1195" s="100"/>
      <c r="BH1195" s="100"/>
      <c r="BI1195" s="100"/>
      <c r="BJ1195" s="100"/>
      <c r="BK1195" s="100"/>
      <c r="BL1195" s="100"/>
      <c r="BM1195" s="100"/>
      <c r="BN1195" s="100"/>
      <c r="BO1195" s="100"/>
      <c r="BP1195" s="100"/>
      <c r="BQ1195" s="100"/>
      <c r="BR1195" s="100"/>
      <c r="BS1195" s="100"/>
      <c r="BT1195" s="100"/>
      <c r="BU1195" s="100"/>
      <c r="BV1195" s="100"/>
      <c r="BW1195" s="100"/>
      <c r="BX1195" s="100"/>
      <c r="BY1195" s="100"/>
      <c r="DC1195" s="2028"/>
    </row>
    <row r="1196" spans="1:135" x14ac:dyDescent="0.2">
      <c r="A1196" s="6"/>
      <c r="B1196" s="107"/>
      <c r="D1196" s="106"/>
      <c r="P1196" s="6"/>
      <c r="Q1196" s="6"/>
      <c r="S1196" s="6"/>
      <c r="AQ1196" s="100"/>
      <c r="AR1196" s="100"/>
      <c r="AS1196" s="100"/>
      <c r="AT1196" s="100"/>
      <c r="AU1196" s="100"/>
      <c r="AV1196" s="100"/>
      <c r="AW1196" s="100"/>
      <c r="AX1196" s="100"/>
      <c r="AY1196" s="100"/>
      <c r="AZ1196" s="100"/>
      <c r="BA1196" s="100"/>
      <c r="BB1196" s="100"/>
      <c r="BC1196" s="100"/>
      <c r="BD1196" s="100"/>
      <c r="BE1196" s="100"/>
      <c r="BF1196" s="100"/>
      <c r="BG1196" s="100"/>
      <c r="BH1196" s="100"/>
      <c r="BI1196" s="100"/>
      <c r="BJ1196" s="100"/>
      <c r="BK1196" s="100"/>
      <c r="BL1196" s="100"/>
      <c r="BM1196" s="100"/>
      <c r="BN1196" s="100"/>
      <c r="BO1196" s="100"/>
      <c r="BP1196" s="100"/>
      <c r="BQ1196" s="100"/>
      <c r="BR1196" s="100"/>
      <c r="BS1196" s="100"/>
      <c r="BT1196" s="100"/>
      <c r="BU1196" s="100"/>
      <c r="BV1196" s="100"/>
      <c r="BW1196" s="100"/>
      <c r="BX1196" s="100"/>
      <c r="BY1196" s="100"/>
      <c r="DC1196" s="2028"/>
    </row>
    <row r="1197" spans="1:135" x14ac:dyDescent="0.2">
      <c r="A1197" s="6"/>
      <c r="B1197" s="107"/>
      <c r="D1197" s="106"/>
      <c r="P1197" s="6"/>
      <c r="Q1197" s="6"/>
      <c r="S1197" s="6"/>
      <c r="AD1197" s="1924"/>
      <c r="AE1197" s="958"/>
      <c r="AF1197" s="958"/>
      <c r="AG1197" s="958"/>
      <c r="AH1197" s="958"/>
      <c r="AI1197" s="958"/>
      <c r="AJ1197" s="1900" t="s">
        <v>1460</v>
      </c>
      <c r="AK1197" s="958"/>
      <c r="AL1197" s="958"/>
      <c r="AM1197" s="958"/>
      <c r="AN1197" s="958"/>
      <c r="AO1197" s="958"/>
      <c r="AP1197" s="958"/>
      <c r="AQ1197" s="1924"/>
      <c r="AR1197" s="958"/>
      <c r="AS1197" s="958"/>
      <c r="AT1197" s="958"/>
      <c r="AU1197" s="958"/>
      <c r="AV1197" s="958"/>
      <c r="AW1197" s="1900" t="s">
        <v>1460</v>
      </c>
      <c r="AX1197" s="958"/>
      <c r="AY1197" s="958"/>
      <c r="AZ1197" s="958"/>
      <c r="BA1197" s="958"/>
      <c r="BB1197" s="958"/>
      <c r="BC1197" s="958"/>
      <c r="BD1197" s="1924"/>
      <c r="BE1197" s="958"/>
      <c r="BF1197" s="958"/>
      <c r="BG1197" s="958"/>
      <c r="BH1197" s="958"/>
      <c r="BI1197" s="958"/>
      <c r="BJ1197" s="1900" t="s">
        <v>1460</v>
      </c>
      <c r="BK1197" s="958"/>
      <c r="BL1197" s="958"/>
      <c r="BM1197" s="958"/>
      <c r="BN1197" s="958"/>
      <c r="BO1197" s="958"/>
      <c r="BP1197" s="958"/>
      <c r="BQ1197" s="1924"/>
      <c r="BR1197" s="958"/>
      <c r="BS1197" s="958"/>
      <c r="BT1197" s="958"/>
      <c r="BU1197" s="958"/>
      <c r="BV1197" s="958"/>
      <c r="BW1197" s="1900" t="s">
        <v>1460</v>
      </c>
      <c r="BX1197" s="958"/>
      <c r="BY1197" s="958"/>
      <c r="BZ1197" s="958"/>
      <c r="CA1197" s="958"/>
      <c r="CB1197" s="958"/>
      <c r="CC1197" s="958"/>
      <c r="CD1197" s="1924"/>
      <c r="CE1197" s="958"/>
      <c r="CF1197" s="958"/>
      <c r="CG1197" s="958"/>
      <c r="CH1197" s="958"/>
      <c r="CI1197" s="958"/>
      <c r="CJ1197" s="1900" t="s">
        <v>1460</v>
      </c>
      <c r="CK1197" s="958"/>
      <c r="CL1197" s="958"/>
      <c r="CM1197" s="958"/>
      <c r="CN1197" s="958"/>
      <c r="CO1197" s="958"/>
      <c r="CP1197" s="958"/>
      <c r="CQ1197" s="1924"/>
      <c r="CR1197" s="958"/>
      <c r="CS1197" s="958"/>
      <c r="CT1197" s="958"/>
      <c r="CU1197" s="958"/>
      <c r="CV1197" s="958"/>
      <c r="CW1197" s="1900" t="s">
        <v>1460</v>
      </c>
      <c r="CX1197" s="958"/>
      <c r="CY1197" s="958"/>
      <c r="CZ1197" s="958"/>
      <c r="DA1197" s="958"/>
      <c r="DB1197" s="958"/>
      <c r="DC1197" s="2028"/>
      <c r="DP1197" s="1982"/>
      <c r="DQ1197" s="2025" t="s">
        <v>11</v>
      </c>
    </row>
    <row r="1198" spans="1:135" ht="15.05" thickBot="1" x14ac:dyDescent="0.25">
      <c r="A1198" s="6"/>
      <c r="C1198" s="1350"/>
      <c r="AS1198" s="6" t="s">
        <v>664</v>
      </c>
      <c r="AT1198" s="6" t="s">
        <v>665</v>
      </c>
      <c r="AW1198" s="6" t="s">
        <v>1005</v>
      </c>
      <c r="BG1198" s="6" t="s">
        <v>665</v>
      </c>
      <c r="BJ1198" s="6" t="s">
        <v>1005</v>
      </c>
      <c r="BR1198" s="100"/>
      <c r="BS1198" s="6" t="s">
        <v>664</v>
      </c>
      <c r="BT1198" s="6" t="s">
        <v>665</v>
      </c>
      <c r="BW1198" s="6" t="s">
        <v>1005</v>
      </c>
      <c r="CE1198" s="100"/>
      <c r="CF1198" s="6" t="s">
        <v>664</v>
      </c>
      <c r="CG1198" s="6" t="s">
        <v>665</v>
      </c>
      <c r="CJ1198" s="6" t="s">
        <v>1005</v>
      </c>
      <c r="CS1198" s="6" t="s">
        <v>664</v>
      </c>
      <c r="CT1198" s="6" t="s">
        <v>665</v>
      </c>
      <c r="CW1198" s="6" t="s">
        <v>1005</v>
      </c>
      <c r="DF1198" s="6" t="s">
        <v>664</v>
      </c>
      <c r="DG1198" s="6" t="s">
        <v>665</v>
      </c>
      <c r="DJ1198" s="6" t="s">
        <v>1005</v>
      </c>
      <c r="DR1198" s="2028"/>
      <c r="DS1198" s="1350" t="s">
        <v>666</v>
      </c>
      <c r="DT1198" s="1350"/>
      <c r="DU1198" s="1350" t="s">
        <v>1461</v>
      </c>
      <c r="DW1198" s="6" t="s">
        <v>1005</v>
      </c>
      <c r="EE1198" s="2023" t="s">
        <v>893</v>
      </c>
    </row>
    <row r="1199" spans="1:135" ht="15.05" thickBot="1" x14ac:dyDescent="0.25">
      <c r="A1199" s="2188">
        <v>1055</v>
      </c>
      <c r="B1199" s="102" t="s">
        <v>1462</v>
      </c>
      <c r="C1199" s="2008"/>
      <c r="D1199" s="2030"/>
      <c r="E1199" s="2030"/>
      <c r="F1199" s="2030"/>
      <c r="G1199" s="2030"/>
      <c r="H1199" s="2030"/>
      <c r="I1199" s="2030"/>
      <c r="J1199" s="2030"/>
      <c r="K1199" s="2030"/>
      <c r="L1199" s="2030"/>
      <c r="M1199" s="2030"/>
      <c r="N1199" s="2031"/>
      <c r="O1199" s="2188">
        <v>1056</v>
      </c>
      <c r="P1199" s="1951" t="s">
        <v>1019</v>
      </c>
      <c r="Q1199" s="958"/>
      <c r="R1199" s="958"/>
      <c r="S1199" s="958" t="s">
        <v>718</v>
      </c>
      <c r="T1199" s="958"/>
      <c r="U1199" s="958"/>
      <c r="V1199" s="958"/>
      <c r="W1199" s="958"/>
      <c r="X1199" s="958"/>
      <c r="Y1199" s="958"/>
      <c r="Z1199" s="958"/>
      <c r="AA1199" s="958"/>
      <c r="AB1199" s="2188">
        <v>1057</v>
      </c>
      <c r="AC1199" s="1951" t="s">
        <v>1077</v>
      </c>
      <c r="AD1199" s="958"/>
      <c r="AE1199" s="958"/>
      <c r="AF1199" s="958"/>
      <c r="AG1199" s="2022" t="s">
        <v>999</v>
      </c>
      <c r="AH1199" s="959" t="s">
        <v>1022</v>
      </c>
      <c r="AI1199" s="958" t="s">
        <v>718</v>
      </c>
      <c r="AJ1199" s="958"/>
      <c r="AK1199" s="958"/>
      <c r="AL1199" s="958"/>
      <c r="AM1199" s="958"/>
      <c r="AN1199" s="104"/>
      <c r="AO1199" s="2188">
        <v>1058</v>
      </c>
      <c r="AP1199" s="1951"/>
      <c r="AQ1199" s="958"/>
      <c r="AR1199" s="958"/>
      <c r="AS1199" s="958"/>
      <c r="AT1199" s="2022" t="s">
        <v>1026</v>
      </c>
      <c r="AU1199" s="959" t="s">
        <v>1022</v>
      </c>
      <c r="AV1199" s="958" t="s">
        <v>718</v>
      </c>
      <c r="AW1199" s="958"/>
      <c r="AX1199" s="958"/>
      <c r="AY1199" s="958"/>
      <c r="AZ1199" s="958"/>
      <c r="BA1199" s="104"/>
      <c r="BB1199" s="2188">
        <v>1059</v>
      </c>
      <c r="BC1199" s="1951" t="s">
        <v>1077</v>
      </c>
      <c r="BD1199" s="958"/>
      <c r="BE1199" s="958"/>
      <c r="BF1199" s="958"/>
      <c r="BG1199" s="2022" t="s">
        <v>1001</v>
      </c>
      <c r="BH1199" s="959" t="s">
        <v>1022</v>
      </c>
      <c r="BI1199" s="958" t="s">
        <v>718</v>
      </c>
      <c r="BJ1199" s="958"/>
      <c r="BK1199" s="958"/>
      <c r="BL1199" s="958"/>
      <c r="BM1199" s="958"/>
      <c r="BN1199" s="104"/>
      <c r="BO1199" s="2188">
        <v>1060</v>
      </c>
      <c r="BP1199" s="1951" t="s">
        <v>1077</v>
      </c>
      <c r="BQ1199" s="958"/>
      <c r="BR1199" s="958"/>
      <c r="BS1199" s="958"/>
      <c r="BT1199" s="2022" t="s">
        <v>1002</v>
      </c>
      <c r="BU1199" s="959" t="s">
        <v>1022</v>
      </c>
      <c r="BV1199" s="958" t="s">
        <v>718</v>
      </c>
      <c r="BW1199" s="958"/>
      <c r="BX1199" s="958"/>
      <c r="BY1199" s="958"/>
      <c r="BZ1199" s="958"/>
      <c r="CA1199" s="104"/>
      <c r="CB1199" s="2188">
        <v>1061</v>
      </c>
      <c r="CC1199" s="1951" t="s">
        <v>1077</v>
      </c>
      <c r="CD1199" s="958"/>
      <c r="CE1199" s="958"/>
      <c r="CF1199" s="958"/>
      <c r="CG1199" s="2022" t="s">
        <v>1003</v>
      </c>
      <c r="CH1199" s="959" t="s">
        <v>1022</v>
      </c>
      <c r="CI1199" s="958" t="s">
        <v>718</v>
      </c>
      <c r="CJ1199" s="958"/>
      <c r="CK1199" s="958"/>
      <c r="CL1199" s="958"/>
      <c r="CM1199" s="958"/>
      <c r="CN1199" s="104"/>
      <c r="CO1199" s="2188">
        <v>1062</v>
      </c>
      <c r="CP1199" s="1951" t="s">
        <v>1077</v>
      </c>
      <c r="CQ1199" s="958"/>
      <c r="CR1199" s="958"/>
      <c r="CS1199" s="958"/>
      <c r="CT1199" s="2022" t="s">
        <v>1004</v>
      </c>
      <c r="CU1199" s="959" t="s">
        <v>1022</v>
      </c>
      <c r="CV1199" s="958" t="s">
        <v>718</v>
      </c>
      <c r="CW1199" s="958"/>
      <c r="CX1199" s="958"/>
      <c r="CY1199" s="958"/>
      <c r="CZ1199" s="958"/>
      <c r="DA1199" s="104"/>
      <c r="DB1199" s="2188">
        <v>1063</v>
      </c>
      <c r="DC1199" s="1951" t="s">
        <v>1078</v>
      </c>
      <c r="DD1199" s="958"/>
      <c r="DE1199" s="958"/>
      <c r="DF1199" s="958"/>
      <c r="DG1199" s="958"/>
      <c r="DH1199" s="958" t="s">
        <v>718</v>
      </c>
      <c r="DI1199" s="958"/>
      <c r="DJ1199" s="958"/>
      <c r="DK1199" s="958"/>
      <c r="DL1199" s="958"/>
      <c r="DM1199" s="958"/>
      <c r="DN1199" s="958"/>
      <c r="DO1199" s="2023" t="s">
        <v>1016</v>
      </c>
      <c r="DP1199" s="2023" t="s">
        <v>1025</v>
      </c>
      <c r="DR1199" s="2188">
        <v>1064</v>
      </c>
    </row>
    <row r="1200" spans="1:135" ht="15.05" thickBot="1" x14ac:dyDescent="0.25">
      <c r="A1200" s="6"/>
      <c r="B1200" s="109"/>
      <c r="C1200" s="2009" t="str">
        <f t="shared" ref="C1200:N1200" si="1384">+C982</f>
        <v>Ene</v>
      </c>
      <c r="D1200" s="2009" t="str">
        <f t="shared" si="1384"/>
        <v>Feb</v>
      </c>
      <c r="E1200" s="2009" t="str">
        <f t="shared" si="1384"/>
        <v>Mar</v>
      </c>
      <c r="F1200" s="2009" t="str">
        <f t="shared" si="1384"/>
        <v>Abr</v>
      </c>
      <c r="G1200" s="2009" t="str">
        <f t="shared" si="1384"/>
        <v>May</v>
      </c>
      <c r="H1200" s="2009" t="str">
        <f t="shared" si="1384"/>
        <v>Jun</v>
      </c>
      <c r="I1200" s="2009" t="str">
        <f t="shared" si="1384"/>
        <v>Jul</v>
      </c>
      <c r="J1200" s="2009" t="str">
        <f t="shared" si="1384"/>
        <v>Ago</v>
      </c>
      <c r="K1200" s="2009" t="str">
        <f t="shared" si="1384"/>
        <v>Set</v>
      </c>
      <c r="L1200" s="2009" t="str">
        <f t="shared" si="1384"/>
        <v>Oct</v>
      </c>
      <c r="M1200" s="2009" t="str">
        <f t="shared" si="1384"/>
        <v>Nov</v>
      </c>
      <c r="N1200" s="2009" t="str">
        <f t="shared" si="1384"/>
        <v>Dic</v>
      </c>
      <c r="P1200" s="668" t="str">
        <f t="shared" ref="P1200:AA1200" si="1385">+C1053</f>
        <v>Ene</v>
      </c>
      <c r="Q1200" s="668" t="str">
        <f t="shared" si="1385"/>
        <v>Feb</v>
      </c>
      <c r="R1200" s="668" t="str">
        <f t="shared" si="1385"/>
        <v>Mar</v>
      </c>
      <c r="S1200" s="668" t="str">
        <f t="shared" si="1385"/>
        <v>Abr</v>
      </c>
      <c r="T1200" s="668" t="str">
        <f t="shared" si="1385"/>
        <v>May</v>
      </c>
      <c r="U1200" s="668" t="str">
        <f t="shared" si="1385"/>
        <v>Jun</v>
      </c>
      <c r="V1200" s="668" t="str">
        <f t="shared" si="1385"/>
        <v>Jul</v>
      </c>
      <c r="W1200" s="668" t="str">
        <f t="shared" si="1385"/>
        <v>Ago</v>
      </c>
      <c r="X1200" s="668" t="str">
        <f t="shared" si="1385"/>
        <v>Set</v>
      </c>
      <c r="Y1200" s="668" t="str">
        <f t="shared" si="1385"/>
        <v>Oct</v>
      </c>
      <c r="Z1200" s="668" t="str">
        <f t="shared" si="1385"/>
        <v>Nov</v>
      </c>
      <c r="AA1200" s="668" t="str">
        <f t="shared" si="1385"/>
        <v>Dic</v>
      </c>
      <c r="AC1200" s="668" t="str">
        <f>+P1200</f>
        <v>Ene</v>
      </c>
      <c r="AD1200" s="668" t="str">
        <f>+Q1200</f>
        <v>Feb</v>
      </c>
      <c r="AE1200" s="668" t="str">
        <f>+R1200</f>
        <v>Mar</v>
      </c>
      <c r="AF1200" s="668" t="str">
        <f>+S1200</f>
        <v>Abr</v>
      </c>
      <c r="AG1200" s="668" t="str">
        <f t="shared" ref="AG1200:AN1200" si="1386">+T1200</f>
        <v>May</v>
      </c>
      <c r="AH1200" s="668" t="str">
        <f t="shared" si="1386"/>
        <v>Jun</v>
      </c>
      <c r="AI1200" s="668" t="str">
        <f t="shared" si="1386"/>
        <v>Jul</v>
      </c>
      <c r="AJ1200" s="668" t="str">
        <f t="shared" si="1386"/>
        <v>Ago</v>
      </c>
      <c r="AK1200" s="668" t="str">
        <f t="shared" si="1386"/>
        <v>Set</v>
      </c>
      <c r="AL1200" s="668" t="str">
        <f t="shared" si="1386"/>
        <v>Oct</v>
      </c>
      <c r="AM1200" s="668" t="str">
        <f t="shared" si="1386"/>
        <v>Nov</v>
      </c>
      <c r="AN1200" s="668" t="str">
        <f t="shared" si="1386"/>
        <v>Dic</v>
      </c>
      <c r="AO1200" s="107"/>
      <c r="AP1200" s="668"/>
      <c r="AQ1200" s="668" t="str">
        <f>+AD1200</f>
        <v>Feb</v>
      </c>
      <c r="AR1200" s="668" t="str">
        <f>+AE1200</f>
        <v>Mar</v>
      </c>
      <c r="AS1200" s="668" t="str">
        <f>+AF1200</f>
        <v>Abr</v>
      </c>
      <c r="AT1200" s="668" t="str">
        <f t="shared" ref="AT1200:BA1200" si="1387">+AG1200</f>
        <v>May</v>
      </c>
      <c r="AU1200" s="668" t="str">
        <f t="shared" si="1387"/>
        <v>Jun</v>
      </c>
      <c r="AV1200" s="668" t="str">
        <f t="shared" si="1387"/>
        <v>Jul</v>
      </c>
      <c r="AW1200" s="668" t="str">
        <f t="shared" si="1387"/>
        <v>Ago</v>
      </c>
      <c r="AX1200" s="668" t="str">
        <f t="shared" si="1387"/>
        <v>Set</v>
      </c>
      <c r="AY1200" s="668" t="str">
        <f t="shared" si="1387"/>
        <v>Oct</v>
      </c>
      <c r="AZ1200" s="668" t="str">
        <f t="shared" si="1387"/>
        <v>Nov</v>
      </c>
      <c r="BA1200" s="668" t="str">
        <f t="shared" si="1387"/>
        <v>Dic</v>
      </c>
      <c r="BB1200" s="107"/>
      <c r="BC1200" s="668">
        <f t="shared" ref="BC1200:BN1200" si="1388">+AP1200</f>
        <v>0</v>
      </c>
      <c r="BD1200" s="668" t="str">
        <f t="shared" si="1388"/>
        <v>Feb</v>
      </c>
      <c r="BE1200" s="668" t="str">
        <f t="shared" si="1388"/>
        <v>Mar</v>
      </c>
      <c r="BF1200" s="668" t="str">
        <f t="shared" si="1388"/>
        <v>Abr</v>
      </c>
      <c r="BG1200" s="668" t="str">
        <f t="shared" si="1388"/>
        <v>May</v>
      </c>
      <c r="BH1200" s="668" t="str">
        <f t="shared" si="1388"/>
        <v>Jun</v>
      </c>
      <c r="BI1200" s="668" t="str">
        <f t="shared" si="1388"/>
        <v>Jul</v>
      </c>
      <c r="BJ1200" s="668" t="str">
        <f t="shared" si="1388"/>
        <v>Ago</v>
      </c>
      <c r="BK1200" s="668" t="str">
        <f t="shared" si="1388"/>
        <v>Set</v>
      </c>
      <c r="BL1200" s="668" t="str">
        <f t="shared" si="1388"/>
        <v>Oct</v>
      </c>
      <c r="BM1200" s="668" t="str">
        <f t="shared" si="1388"/>
        <v>Nov</v>
      </c>
      <c r="BN1200" s="668" t="str">
        <f t="shared" si="1388"/>
        <v>Dic</v>
      </c>
      <c r="BO1200" s="107"/>
      <c r="BP1200" s="668">
        <f t="shared" ref="BP1200:CA1200" si="1389">+BC1200</f>
        <v>0</v>
      </c>
      <c r="BQ1200" s="668" t="str">
        <f t="shared" si="1389"/>
        <v>Feb</v>
      </c>
      <c r="BR1200" s="668" t="str">
        <f t="shared" si="1389"/>
        <v>Mar</v>
      </c>
      <c r="BS1200" s="668" t="str">
        <f t="shared" si="1389"/>
        <v>Abr</v>
      </c>
      <c r="BT1200" s="668" t="str">
        <f t="shared" si="1389"/>
        <v>May</v>
      </c>
      <c r="BU1200" s="668" t="str">
        <f t="shared" si="1389"/>
        <v>Jun</v>
      </c>
      <c r="BV1200" s="668" t="str">
        <f t="shared" si="1389"/>
        <v>Jul</v>
      </c>
      <c r="BW1200" s="668" t="str">
        <f t="shared" si="1389"/>
        <v>Ago</v>
      </c>
      <c r="BX1200" s="668" t="str">
        <f t="shared" si="1389"/>
        <v>Set</v>
      </c>
      <c r="BY1200" s="668" t="str">
        <f t="shared" si="1389"/>
        <v>Oct</v>
      </c>
      <c r="BZ1200" s="668" t="str">
        <f t="shared" si="1389"/>
        <v>Nov</v>
      </c>
      <c r="CA1200" s="668" t="str">
        <f t="shared" si="1389"/>
        <v>Dic</v>
      </c>
      <c r="CB1200" s="107"/>
      <c r="CC1200" s="668">
        <f t="shared" ref="CC1200:CN1200" si="1390">+BP1200</f>
        <v>0</v>
      </c>
      <c r="CD1200" s="668" t="str">
        <f t="shared" si="1390"/>
        <v>Feb</v>
      </c>
      <c r="CE1200" s="668" t="str">
        <f t="shared" si="1390"/>
        <v>Mar</v>
      </c>
      <c r="CF1200" s="668" t="str">
        <f t="shared" si="1390"/>
        <v>Abr</v>
      </c>
      <c r="CG1200" s="668" t="str">
        <f t="shared" si="1390"/>
        <v>May</v>
      </c>
      <c r="CH1200" s="668" t="str">
        <f t="shared" si="1390"/>
        <v>Jun</v>
      </c>
      <c r="CI1200" s="668" t="str">
        <f t="shared" si="1390"/>
        <v>Jul</v>
      </c>
      <c r="CJ1200" s="668" t="str">
        <f t="shared" si="1390"/>
        <v>Ago</v>
      </c>
      <c r="CK1200" s="668" t="str">
        <f t="shared" si="1390"/>
        <v>Set</v>
      </c>
      <c r="CL1200" s="668" t="str">
        <f t="shared" si="1390"/>
        <v>Oct</v>
      </c>
      <c r="CM1200" s="668" t="str">
        <f t="shared" si="1390"/>
        <v>Nov</v>
      </c>
      <c r="CN1200" s="668" t="str">
        <f t="shared" si="1390"/>
        <v>Dic</v>
      </c>
      <c r="CO1200" s="107"/>
      <c r="CP1200" s="668">
        <f t="shared" ref="CP1200:DA1200" si="1391">+CC1200</f>
        <v>0</v>
      </c>
      <c r="CQ1200" s="668" t="str">
        <f t="shared" si="1391"/>
        <v>Feb</v>
      </c>
      <c r="CR1200" s="668" t="str">
        <f t="shared" si="1391"/>
        <v>Mar</v>
      </c>
      <c r="CS1200" s="668" t="str">
        <f t="shared" si="1391"/>
        <v>Abr</v>
      </c>
      <c r="CT1200" s="668" t="str">
        <f t="shared" si="1391"/>
        <v>May</v>
      </c>
      <c r="CU1200" s="668" t="str">
        <f t="shared" si="1391"/>
        <v>Jun</v>
      </c>
      <c r="CV1200" s="668" t="str">
        <f t="shared" si="1391"/>
        <v>Jul</v>
      </c>
      <c r="CW1200" s="1906" t="str">
        <f t="shared" si="1391"/>
        <v>Ago</v>
      </c>
      <c r="CX1200" s="668" t="str">
        <f t="shared" si="1391"/>
        <v>Set</v>
      </c>
      <c r="CY1200" s="668" t="str">
        <f t="shared" si="1391"/>
        <v>Oct</v>
      </c>
      <c r="CZ1200" s="668" t="str">
        <f t="shared" si="1391"/>
        <v>Nov</v>
      </c>
      <c r="DA1200" s="668" t="str">
        <f t="shared" si="1391"/>
        <v>Dic</v>
      </c>
      <c r="DB1200" s="107"/>
      <c r="DC1200" s="49" t="str">
        <f t="shared" ref="DC1200:DN1200" si="1392">+CP1053</f>
        <v>Ene</v>
      </c>
      <c r="DD1200" s="49" t="str">
        <f t="shared" si="1392"/>
        <v>Feb</v>
      </c>
      <c r="DE1200" s="1906" t="str">
        <f t="shared" si="1392"/>
        <v>Mar</v>
      </c>
      <c r="DF1200" s="1906" t="str">
        <f t="shared" si="1392"/>
        <v>Abr</v>
      </c>
      <c r="DG1200" s="1906" t="str">
        <f t="shared" si="1392"/>
        <v>May</v>
      </c>
      <c r="DH1200" s="1906" t="str">
        <f t="shared" si="1392"/>
        <v>Jun</v>
      </c>
      <c r="DI1200" s="1906" t="str">
        <f t="shared" si="1392"/>
        <v>Jul</v>
      </c>
      <c r="DJ1200" s="1906" t="str">
        <f t="shared" si="1392"/>
        <v>Ago</v>
      </c>
      <c r="DK1200" s="49" t="str">
        <f t="shared" si="1392"/>
        <v>Set</v>
      </c>
      <c r="DL1200" s="49" t="str">
        <f t="shared" si="1392"/>
        <v>Oct</v>
      </c>
      <c r="DM1200" s="49" t="str">
        <f t="shared" si="1392"/>
        <v>Nov</v>
      </c>
      <c r="DN1200" s="49" t="str">
        <f t="shared" si="1392"/>
        <v>Dic</v>
      </c>
      <c r="DO1200" s="1988" t="s">
        <v>718</v>
      </c>
      <c r="DP1200" s="1905" t="s">
        <v>1015</v>
      </c>
      <c r="DR1200" s="110"/>
      <c r="DS1200" s="49"/>
      <c r="DT1200" s="49"/>
      <c r="DU1200" s="49"/>
      <c r="DV1200" s="49"/>
      <c r="DW1200" s="49"/>
      <c r="DX1200" s="49"/>
      <c r="DY1200" s="49"/>
      <c r="DZ1200" s="49"/>
      <c r="EA1200" s="49"/>
      <c r="EB1200" s="49"/>
      <c r="EC1200" s="49"/>
      <c r="ED1200" s="49"/>
    </row>
    <row r="1201" spans="1:134" x14ac:dyDescent="0.2">
      <c r="A1201" s="107"/>
      <c r="B1201" s="1351" t="str">
        <f t="shared" ref="B1201:B1232" si="1393">B983</f>
        <v>CN</v>
      </c>
      <c r="C1201" s="2011">
        <f t="shared" ref="C1201:C1232" si="1394">IF($B1201&lt;&gt;0,SUMIFS($C$9:$C$98,$D$9:$D$98,$D$640,$E$889:$E$978,$B1201),0)</f>
        <v>0</v>
      </c>
      <c r="D1201" s="2011">
        <f t="shared" ref="D1201:D1232" si="1395">IF($B1201&lt;&gt;0,SUMIFS($C$9:$C$98,$D$9:$D$98,$D$640,$F$889:$F$978,$B1201),0)</f>
        <v>0</v>
      </c>
      <c r="E1201" s="2011">
        <f t="shared" ref="E1201:E1232" si="1396">IF($B1201&lt;&gt;0,SUMIFS($C$9:$C$98,$D$9:$D$98,$D$640,$G$889:$G$978,$B1201),0)</f>
        <v>0</v>
      </c>
      <c r="F1201" s="2011">
        <f t="shared" ref="F1201:F1232" si="1397">IF($B1201&lt;&gt;0,SUMIFS($C$9:$C$98,$D$9:$D$98,$D$640,$H$889:$H$978,$B1201),0)</f>
        <v>0</v>
      </c>
      <c r="G1201" s="2011">
        <f t="shared" ref="G1201:G1232" si="1398">IF($B1201&lt;&gt;0,SUMIFS($C$9:$C$98,$D$9:$D$98,$D$640,$I$889:$I$978,$B1201),0)</f>
        <v>0</v>
      </c>
      <c r="H1201" s="2011">
        <f t="shared" ref="H1201:H1232" si="1399">IF($B1201&lt;&gt;0,SUMIFS($C$9:$C$98,$D$9:$D$98,$D$640,$J$889:$J$978,$B1201),0)</f>
        <v>0</v>
      </c>
      <c r="I1201" s="2011">
        <f t="shared" ref="I1201:I1232" si="1400">IF($B1201&lt;&gt;0,SUMIFS($C$9:$C$98,$D$9:$D$98,$D$640,$K$889:$K$978,$B1201),0)</f>
        <v>0</v>
      </c>
      <c r="J1201" s="2011">
        <f t="shared" ref="J1201:J1232" si="1401">IF($B1201&lt;&gt;0,SUMIFS($C$9:$C$98,$D$9:$D$98,$D$640,$L$889:$L$978,$B1201),0)</f>
        <v>0</v>
      </c>
      <c r="K1201" s="2011">
        <f t="shared" ref="K1201:K1232" si="1402">IF($B1201&lt;&gt;0,SUMIFS($C$9:$C$98,$D$9:$D$98,$D$640,$M$889:$M$978,$B1201),0)</f>
        <v>0</v>
      </c>
      <c r="L1201" s="2011">
        <f t="shared" ref="L1201:L1232" si="1403">IF($B1201&lt;&gt;0,SUMIFS($C$9:$C$98,$D$9:$D$98,$D$640,$N$889:$N$978,$B1201),0)</f>
        <v>0</v>
      </c>
      <c r="M1201" s="2011">
        <f t="shared" ref="M1201:M1232" si="1404">IF($B1201&lt;&gt;0,SUMIFS($C$9:$C$98,$D$9:$D$98,$D$640,$O$889:$O$978,$B1201),0)</f>
        <v>0</v>
      </c>
      <c r="N1201" s="2012">
        <f t="shared" ref="N1201:N1232" si="1405">IF($B1201&lt;&gt;0,SUMIFS($C$9:$C$98,$D$9:$D$98,$D$640,$P$889:$P$978,$B1201),0)</f>
        <v>0</v>
      </c>
      <c r="P1201" s="1898" t="str">
        <f t="shared" ref="P1201:P1232" si="1406">IF(C1201=0,"",$C$982&amp;B1201)</f>
        <v/>
      </c>
      <c r="Q1201" s="1898" t="str">
        <f t="shared" ref="Q1201:Q1232" si="1407">IF(D1201=0,"",$D$982&amp;B1201)</f>
        <v/>
      </c>
      <c r="R1201" s="1898" t="str">
        <f t="shared" ref="R1201:R1232" si="1408">IF(E1201=0,"",$E$982&amp;B1201)</f>
        <v/>
      </c>
      <c r="S1201" s="1898" t="str">
        <f t="shared" ref="S1201:S1232" si="1409">IF(F1201=0,"",$F$982&amp;B1201)</f>
        <v/>
      </c>
      <c r="T1201" s="1898" t="str">
        <f t="shared" ref="T1201:T1232" si="1410">IF(G1201=0,"",$G$982&amp;B1201)</f>
        <v/>
      </c>
      <c r="U1201" s="1898" t="str">
        <f t="shared" ref="U1201:U1232" si="1411">IF(H1201=0,"",$H$982&amp;B1201)</f>
        <v/>
      </c>
      <c r="V1201" s="1898" t="str">
        <f t="shared" ref="V1201:V1232" si="1412">IF(I1201=0,"",$I$982&amp;B1201)</f>
        <v/>
      </c>
      <c r="W1201" s="1898" t="str">
        <f t="shared" ref="W1201:W1232" si="1413">IF(J1201=0,"",$J$982&amp;B1201)</f>
        <v/>
      </c>
      <c r="X1201" s="1898" t="str">
        <f t="shared" ref="X1201:X1232" si="1414">IF(K1201=0,"",$K$982&amp;B1201)</f>
        <v/>
      </c>
      <c r="Y1201" s="1898" t="str">
        <f t="shared" ref="Y1201:Y1232" si="1415">IF(L1201=0,"",$L$982&amp;B1201)</f>
        <v/>
      </c>
      <c r="Z1201" s="1898" t="str">
        <f t="shared" ref="Z1201:Z1232" si="1416">IF(M1201=0,"",$M$982&amp;B1201)</f>
        <v/>
      </c>
      <c r="AA1201" s="1898" t="str">
        <f t="shared" ref="AA1201:AA1232" si="1417">IF(N1201=0,"",$N$982&amp;B1201)</f>
        <v/>
      </c>
      <c r="AB1201" s="1971" t="str">
        <f t="shared" ref="AB1201:AB1232" si="1418">+DB1201</f>
        <v>CN</v>
      </c>
      <c r="AC1201" s="1906">
        <f t="shared" ref="AC1201:AC1232" si="1419">SUMIF(P$1201:P$1267,"Ago"&amp;$B1201,C$1201:C$1267)</f>
        <v>0</v>
      </c>
      <c r="AD1201" s="1906">
        <f t="shared" ref="AD1201:AD1232" si="1420">SUMIF(Q$1201:Q$1267,"Ago"&amp;$B1201,D$1201:D$1267)</f>
        <v>0</v>
      </c>
      <c r="AE1201" s="1906">
        <f t="shared" ref="AE1201:AE1232" si="1421">SUMIF(R$1201:R$1267,"Ago"&amp;$B1201,E$1201:E$1267)</f>
        <v>0</v>
      </c>
      <c r="AF1201" s="1906">
        <f t="shared" ref="AF1201:AF1232" si="1422">SUMIF(S$1201:S$1267,"Ago"&amp;$B1201,F$1201:F$1267)</f>
        <v>0</v>
      </c>
      <c r="AG1201" s="1906">
        <f t="shared" ref="AG1201:AG1232" si="1423">SUMIF(T$1201:T$1267,"Ago"&amp;$B1201,G$1201:G$1267)</f>
        <v>0</v>
      </c>
      <c r="AH1201" s="1906">
        <f t="shared" ref="AH1201:AH1232" si="1424">SUMIF(U$1201:U$1267,"Ago"&amp;$B1201,H$1201:H$1267)</f>
        <v>0</v>
      </c>
      <c r="AI1201" s="1906">
        <f t="shared" ref="AI1201:AI1232" si="1425">SUMIF(V$1201:V$1267,"Ago"&amp;$B1201,I$1201:I$1267)</f>
        <v>0</v>
      </c>
      <c r="AJ1201" s="1906">
        <f t="shared" ref="AJ1201:AJ1232" si="1426">SUMIF(W$1201:W$1267,"Ago"&amp;$B1201,J$1201:J$1267)</f>
        <v>0</v>
      </c>
      <c r="AK1201" s="1906">
        <f t="shared" ref="AK1201:AK1232" si="1427">SUMIF(X$1201:X$1267,"Ago"&amp;$B1201,K$1201:K$1267)</f>
        <v>0</v>
      </c>
      <c r="AL1201" s="1906">
        <f t="shared" ref="AL1201:AL1232" si="1428">SUMIF(Y$1201:Y$1267,"Ago"&amp;$B1201,L$1201:L$1267)</f>
        <v>0</v>
      </c>
      <c r="AM1201" s="1906">
        <f t="shared" ref="AM1201:AM1232" si="1429">SUMIF(Z$1201:Z$1267,"Ago"&amp;$B1201,M$1201:M$1267)</f>
        <v>0</v>
      </c>
      <c r="AN1201" s="1906">
        <f t="shared" ref="AN1201:AN1232" si="1430">SUMIF(AA$1201:AA$1267,"Ago"&amp;$B1201,N$1201:N$1267)</f>
        <v>0</v>
      </c>
      <c r="AO1201" s="107"/>
      <c r="AP1201" s="1906"/>
      <c r="AQ1201" s="1906">
        <f t="shared" ref="AQ1201:AQ1232" si="1431">SUMIF(Q$1201:Q$1267,"set"&amp;$B1201,D$1201:D$1267)</f>
        <v>0</v>
      </c>
      <c r="AR1201" s="1906">
        <f t="shared" ref="AR1201:AR1232" si="1432">SUMIF(R$1201:R$1267,"set"&amp;$B1201,E$1201:E$1267)</f>
        <v>0</v>
      </c>
      <c r="AS1201" s="1906">
        <f t="shared" ref="AS1201:AS1232" si="1433">SUMIF(S$1201:S$1267,"set"&amp;$B1201,F$1201:F$1267)</f>
        <v>0</v>
      </c>
      <c r="AT1201" s="1906">
        <f t="shared" ref="AT1201:AT1232" si="1434">SUMIF(T$1201:T$1267,"set"&amp;$B1201,G$1201:G$1267)</f>
        <v>0</v>
      </c>
      <c r="AU1201" s="1906">
        <f t="shared" ref="AU1201:AU1232" si="1435">SUMIF(U$1201:U$1267,"set"&amp;$B1201,H$1201:H$1267)</f>
        <v>0</v>
      </c>
      <c r="AV1201" s="1906">
        <f t="shared" ref="AV1201:AV1232" si="1436">SUMIF(V$1201:V$1267,"set"&amp;$B1201,I$1201:I$1267)</f>
        <v>0</v>
      </c>
      <c r="AW1201" s="1906">
        <f t="shared" ref="AW1201:AW1232" si="1437">SUMIF(W$1201:W$1267,"set"&amp;$B1201,J$1201:J$1267)</f>
        <v>0</v>
      </c>
      <c r="AX1201" s="1906">
        <f t="shared" ref="AX1201:AX1232" si="1438">SUMIF(X$1201:X$1267,"set"&amp;$B1201,K$1201:K$1267)</f>
        <v>0</v>
      </c>
      <c r="AY1201" s="1906">
        <f t="shared" ref="AY1201:AY1232" si="1439">SUMIF(Y$1201:Y$1267,"set"&amp;$B1201,L$1201:L$1267)</f>
        <v>0</v>
      </c>
      <c r="AZ1201" s="1906">
        <f t="shared" ref="AZ1201:AZ1232" si="1440">SUMIF(Z$1201:Z$1267,"set"&amp;$B1201,M$1201:M$1267)</f>
        <v>0</v>
      </c>
      <c r="BA1201" s="1906">
        <f t="shared" ref="BA1201:BA1232" si="1441">SUMIF(AA$1201:AA$1267,"set"&amp;$B1201,N$1201:N$1267)</f>
        <v>0</v>
      </c>
      <c r="BB1201" s="107"/>
      <c r="BC1201" s="1906">
        <f t="shared" ref="BC1201:BC1232" si="1442">SUMIF(P$1201:P$1267,"oct"&amp;$B1201,C$1201:C$1267)</f>
        <v>0</v>
      </c>
      <c r="BD1201" s="1906">
        <f t="shared" ref="BD1201:BD1232" si="1443">SUMIF(Q$1201:Q$1267,"oct"&amp;$B1201,D$1201:D$1267)</f>
        <v>0</v>
      </c>
      <c r="BE1201" s="1906">
        <f t="shared" ref="BE1201:BE1232" si="1444">SUMIF(R$1201:R$1267,"oct"&amp;$B1201,E$1201:E$1267)</f>
        <v>0</v>
      </c>
      <c r="BF1201" s="1906">
        <f t="shared" ref="BF1201:BF1232" si="1445">SUMIF(S$1201:S$1267,"oct"&amp;$B1201,F$1201:F$1267)</f>
        <v>0</v>
      </c>
      <c r="BG1201" s="1906">
        <f t="shared" ref="BG1201:BG1232" si="1446">SUMIF(T$1201:T$1267,"oct"&amp;$B1201,G$1201:G$1267)</f>
        <v>0</v>
      </c>
      <c r="BH1201" s="1906">
        <f t="shared" ref="BH1201:BH1232" si="1447">SUMIF(U$1201:U$1267,"oct"&amp;$B1201,H$1201:H$1267)</f>
        <v>0</v>
      </c>
      <c r="BI1201" s="1906">
        <f t="shared" ref="BI1201:BI1232" si="1448">SUMIF(V$1201:V$1267,"oct"&amp;$B1201,I$1201:I$1267)</f>
        <v>0</v>
      </c>
      <c r="BJ1201" s="1906">
        <f t="shared" ref="BJ1201:BJ1232" si="1449">SUMIF(W$1201:W$1267,"oct"&amp;$B1201,J$1201:J$1267)</f>
        <v>0</v>
      </c>
      <c r="BK1201" s="1906">
        <f t="shared" ref="BK1201:BK1232" si="1450">SUMIF(X$1201:X$1267,"oct"&amp;$B1201,K$1201:K$1267)</f>
        <v>0</v>
      </c>
      <c r="BL1201" s="1906">
        <f t="shared" ref="BL1201:BL1232" si="1451">SUMIF(Y$1201:Y$1267,"oct"&amp;$B1201,L$1201:L$1267)</f>
        <v>0</v>
      </c>
      <c r="BM1201" s="1906">
        <f t="shared" ref="BM1201:BM1232" si="1452">SUMIF(Z$1201:Z$1267,"oct"&amp;$B1201,M$1201:M$1267)</f>
        <v>0</v>
      </c>
      <c r="BN1201" s="1906">
        <f t="shared" ref="BN1201:BN1232" si="1453">SUMIF(AA$1201:AA$1267,"oct"&amp;$B1201,N$1201:N$1267)</f>
        <v>0</v>
      </c>
      <c r="BO1201" s="107"/>
      <c r="BP1201" s="1906">
        <f t="shared" ref="BP1201:BP1232" si="1454">SUMIF(P$1201:P$1267,"nov"&amp;$B1201,C$1201:C$1267)</f>
        <v>0</v>
      </c>
      <c r="BQ1201" s="1906">
        <f t="shared" ref="BQ1201:BQ1232" si="1455">SUMIF(Q$1201:Q$1267,"nov"&amp;$B1201,D$1201:D$1267)</f>
        <v>0</v>
      </c>
      <c r="BR1201" s="1906">
        <f t="shared" ref="BR1201:BR1232" si="1456">SUMIF(R$1201:R$1267,"nov"&amp;$B1201,E$1201:E$1267)</f>
        <v>0</v>
      </c>
      <c r="BS1201" s="1906">
        <f t="shared" ref="BS1201:BS1232" si="1457">SUMIF(S$1201:S$1267,"nov"&amp;$B1201,F$1201:F$1267)</f>
        <v>0</v>
      </c>
      <c r="BT1201" s="1906">
        <f t="shared" ref="BT1201:BT1232" si="1458">SUMIF(T$1201:T$1267,"nov"&amp;$B1201,G$1201:G$1267)</f>
        <v>0</v>
      </c>
      <c r="BU1201" s="1906">
        <f t="shared" ref="BU1201:BU1232" si="1459">SUMIF(U$1201:U$1267,"nov"&amp;$B1201,H$1201:H$1267)</f>
        <v>0</v>
      </c>
      <c r="BV1201" s="1906">
        <f t="shared" ref="BV1201:BV1232" si="1460">SUMIF(V$1201:V$1267,"nov"&amp;$B1201,I$1201:I$1267)</f>
        <v>0</v>
      </c>
      <c r="BW1201" s="1906">
        <f t="shared" ref="BW1201:BW1232" si="1461">SUMIF(W$1201:W$1267,"nov"&amp;$B1201,J$1201:J$1267)</f>
        <v>0</v>
      </c>
      <c r="BX1201" s="1906">
        <f t="shared" ref="BX1201:BX1232" si="1462">SUMIF(X$1201:X$1267,"nov"&amp;$B1201,K$1201:K$1267)</f>
        <v>0</v>
      </c>
      <c r="BY1201" s="1906">
        <f t="shared" ref="BY1201:BY1232" si="1463">SUMIF(Y$1201:Y$1267,"nov"&amp;$B1201,L$1201:L$1267)</f>
        <v>0</v>
      </c>
      <c r="BZ1201" s="1906">
        <f t="shared" ref="BZ1201:BZ1232" si="1464">SUMIF(Z$1201:Z$1267,"nov"&amp;$B1201,M$1201:M$1267)</f>
        <v>0</v>
      </c>
      <c r="CA1201" s="1906">
        <f t="shared" ref="CA1201:CA1232" si="1465">SUMIF(AA$1201:AA$1267,"nov"&amp;$B1201,N$1201:N$1267)</f>
        <v>0</v>
      </c>
      <c r="CB1201" s="107"/>
      <c r="CC1201" s="1906">
        <f t="shared" ref="CC1201:CC1232" si="1466">SUMIF(P$1201:P$1267,"dic"&amp;$B1201,C$1201:C$1267)</f>
        <v>0</v>
      </c>
      <c r="CD1201" s="1906">
        <f t="shared" ref="CD1201:CD1232" si="1467">SUMIF(Q$1201:Q$1267,"dic"&amp;$B1201,D$1201:D$1267)</f>
        <v>0</v>
      </c>
      <c r="CE1201" s="1906">
        <f t="shared" ref="CE1201:CE1232" si="1468">SUMIF(R$1201:R$1267,"dic"&amp;$B1201,E$1201:E$1267)</f>
        <v>0</v>
      </c>
      <c r="CF1201" s="1906">
        <f t="shared" ref="CF1201:CF1232" si="1469">SUMIF(S$1201:S$1267,"dic"&amp;$B1201,F$1201:F$1267)</f>
        <v>0</v>
      </c>
      <c r="CG1201" s="1906">
        <f t="shared" ref="CG1201:CG1232" si="1470">SUMIF(T$1201:T$1267,"dic"&amp;$B1201,G$1201:G$1267)</f>
        <v>0</v>
      </c>
      <c r="CH1201" s="1906">
        <f t="shared" ref="CH1201:CH1232" si="1471">SUMIF(U$1201:U$1267,"dic"&amp;$B1201,H$1201:H$1267)</f>
        <v>0</v>
      </c>
      <c r="CI1201" s="1906">
        <f t="shared" ref="CI1201:CI1232" si="1472">SUMIF(V$1201:V$1267,"dic"&amp;$B1201,I$1201:I$1267)</f>
        <v>0</v>
      </c>
      <c r="CJ1201" s="1906">
        <f t="shared" ref="CJ1201:CJ1232" si="1473">SUMIF(W$1201:W$1267,"dic"&amp;$B1201,J$1201:J$1267)</f>
        <v>0</v>
      </c>
      <c r="CK1201" s="1906">
        <f t="shared" ref="CK1201:CK1232" si="1474">SUMIF(X$1201:X$1267,"dic"&amp;$B1201,K$1201:K$1267)</f>
        <v>0</v>
      </c>
      <c r="CL1201" s="1906">
        <f t="shared" ref="CL1201:CL1232" si="1475">SUMIF(Y$1201:Y$1267,"dic"&amp;$B1201,L$1201:L$1267)</f>
        <v>0</v>
      </c>
      <c r="CM1201" s="1906">
        <f t="shared" ref="CM1201:CM1232" si="1476">SUMIF(Z$1201:Z$1267,"dic"&amp;$B1201,M$1201:M$1267)</f>
        <v>0</v>
      </c>
      <c r="CN1201" s="1906">
        <f t="shared" ref="CN1201:CN1232" si="1477">SUMIF(AA$1201:AA$1267,"dic"&amp;$B1201,N$1201:N$1267)</f>
        <v>0</v>
      </c>
      <c r="CO1201" s="107"/>
      <c r="CP1201" s="1906">
        <f t="shared" ref="CP1201:CP1232" si="1478">SUMIF(P$1201:P$1267,"ene"&amp;$B1201,C$1201:C$1267)</f>
        <v>0</v>
      </c>
      <c r="CQ1201" s="1906">
        <f t="shared" ref="CQ1201:CQ1232" si="1479">SUMIF(Q$1201:Q$1267,"ene"&amp;$B1201,D$1201:D$1267)</f>
        <v>0</v>
      </c>
      <c r="CR1201" s="1906">
        <f t="shared" ref="CR1201:CR1232" si="1480">SUMIF(R$1201:R$1267,"ene"&amp;$B1201,E$1201:E$1267)</f>
        <v>0</v>
      </c>
      <c r="CS1201" s="1906">
        <f t="shared" ref="CS1201:CS1232" si="1481">SUMIF(S$1201:S$1267,"ene"&amp;$B1201,F$1201:F$1267)</f>
        <v>0</v>
      </c>
      <c r="CT1201" s="1906">
        <f t="shared" ref="CT1201:CT1232" si="1482">SUMIF(T$1201:T$1267,"ene"&amp;$B1201,G$1201:G$1267)</f>
        <v>0</v>
      </c>
      <c r="CU1201" s="1906">
        <f t="shared" ref="CU1201:CU1232" si="1483">SUMIF(U$1201:U$1267,"ene"&amp;$B1201,H$1201:H$1267)</f>
        <v>0</v>
      </c>
      <c r="CV1201" s="1906">
        <f t="shared" ref="CV1201:CV1232" si="1484">SUMIF(V$1201:V$1267,"ene"&amp;$B1201,I$1201:I$1267)</f>
        <v>0</v>
      </c>
      <c r="CW1201" s="1906">
        <f t="shared" ref="CW1201:CW1232" si="1485">SUMIF(W$1201:W$1267,"ene"&amp;$B1201,J$1201:J$1267)</f>
        <v>0</v>
      </c>
      <c r="CX1201" s="1906">
        <f t="shared" ref="CX1201:CX1232" si="1486">SUMIF(X$1201:X$1267,"ene"&amp;$B1201,K$1201:K$1267)</f>
        <v>0</v>
      </c>
      <c r="CY1201" s="1906">
        <f t="shared" ref="CY1201:CY1232" si="1487">SUMIF(Y$1201:Y$1267,"ene"&amp;$B1201,L$1201:L$1267)</f>
        <v>0</v>
      </c>
      <c r="CZ1201" s="1906">
        <f t="shared" ref="CZ1201:CZ1232" si="1488">SUMIF(Z$1201:Z$1267,"ene"&amp;$B1201,M$1201:M$1267)</f>
        <v>0</v>
      </c>
      <c r="DA1201" s="1906">
        <f t="shared" ref="DA1201:DA1232" si="1489">SUMIF(AA$1201:AA$1267,"ene"&amp;$B1201,N$1201:N$1267)</f>
        <v>0</v>
      </c>
      <c r="DB1201" s="1971" t="str">
        <f t="shared" ref="DB1201:DB1232" si="1490">B1201</f>
        <v>CN</v>
      </c>
      <c r="DC1201" s="1906">
        <f t="shared" ref="DC1201:DC1232" si="1491">CP1201+CC1201+BP1201+BC1201+AP1201+AC1201</f>
        <v>0</v>
      </c>
      <c r="DD1201" s="1906">
        <f t="shared" ref="DD1201:DD1232" si="1492">CQ1201+CD1201+BQ1201+BD1201+AQ1201+AD1201</f>
        <v>0</v>
      </c>
      <c r="DE1201" s="1906">
        <f t="shared" ref="DE1201:DE1232" si="1493">CR1201+CE1201+BR1201+BE1201+AR1201+AE1201</f>
        <v>0</v>
      </c>
      <c r="DF1201" s="1906">
        <f t="shared" ref="DF1201:DF1232" si="1494">CS1201+CF1201+BS1201+BF1201+AS1201+AF1201</f>
        <v>0</v>
      </c>
      <c r="DG1201" s="1906">
        <f t="shared" ref="DG1201:DG1264" si="1495">CT1201+CG1201+BT1201+BG1201+AT1201+AG1201</f>
        <v>0</v>
      </c>
      <c r="DH1201" s="1906">
        <f t="shared" ref="DH1201:DH1264" si="1496">CU1201+CH1201+BU1201+BH1201+AU1201+AH1201</f>
        <v>0</v>
      </c>
      <c r="DI1201" s="1906">
        <f t="shared" ref="DI1201:DI1264" si="1497">CV1201+CI1201+BV1201+BI1201+AV1201+AI1201</f>
        <v>0</v>
      </c>
      <c r="DJ1201" s="1906">
        <f t="shared" ref="DJ1201:DJ1264" si="1498">CW1201+CJ1201+BW1201+BJ1201+AW1201+AJ1201</f>
        <v>0</v>
      </c>
      <c r="DK1201" s="1906">
        <f t="shared" ref="DK1201:DK1264" si="1499">CX1201+CK1201+BX1201+BK1201+AX1201+AK1201</f>
        <v>0</v>
      </c>
      <c r="DL1201" s="1906">
        <f t="shared" ref="DL1201:DL1264" si="1500">CY1201+CL1201+BY1201+BL1201+AY1201+AL1201</f>
        <v>0</v>
      </c>
      <c r="DM1201" s="1906">
        <f t="shared" ref="DM1201:DM1264" si="1501">CZ1201+CM1201+BZ1201+BM1201+AZ1201+AM1201</f>
        <v>0</v>
      </c>
      <c r="DN1201" s="1906">
        <f t="shared" ref="DN1201:DN1264" si="1502">DA1201+CN1201+CA1201+BN1201+BA1201+AN1201</f>
        <v>0</v>
      </c>
      <c r="DO1201" s="594" t="str">
        <f>DB1201</f>
        <v>CN</v>
      </c>
      <c r="DP1201" s="1348">
        <f>SUM(DC1201:DN1201)</f>
        <v>0</v>
      </c>
      <c r="DQ1201" s="107"/>
      <c r="DR1201" s="111"/>
      <c r="DS1201" s="1906"/>
      <c r="DT1201" s="1906"/>
      <c r="DU1201" s="1906"/>
      <c r="DV1201" s="1906"/>
      <c r="DW1201" s="1906"/>
      <c r="DX1201" s="1906"/>
      <c r="DY1201" s="1906"/>
      <c r="DZ1201" s="1906"/>
      <c r="EA1201" s="1906"/>
      <c r="EB1201" s="1906"/>
      <c r="EC1201" s="1906"/>
      <c r="ED1201" s="1906"/>
    </row>
    <row r="1202" spans="1:134" x14ac:dyDescent="0.2">
      <c r="A1202" s="107"/>
      <c r="B1202" s="1857" t="str">
        <f t="shared" si="1393"/>
        <v>CNM</v>
      </c>
      <c r="C1202" s="2013">
        <f t="shared" si="1394"/>
        <v>0</v>
      </c>
      <c r="D1202" s="2013">
        <f t="shared" si="1395"/>
        <v>0</v>
      </c>
      <c r="E1202" s="2013">
        <f t="shared" si="1396"/>
        <v>0</v>
      </c>
      <c r="F1202" s="2013">
        <f t="shared" si="1397"/>
        <v>0</v>
      </c>
      <c r="G1202" s="2013">
        <f t="shared" si="1398"/>
        <v>0</v>
      </c>
      <c r="H1202" s="2013">
        <f t="shared" si="1399"/>
        <v>0</v>
      </c>
      <c r="I1202" s="2013">
        <f t="shared" si="1400"/>
        <v>0</v>
      </c>
      <c r="J1202" s="2013">
        <f t="shared" si="1401"/>
        <v>0</v>
      </c>
      <c r="K1202" s="2013">
        <f t="shared" si="1402"/>
        <v>0</v>
      </c>
      <c r="L1202" s="2013">
        <f t="shared" si="1403"/>
        <v>0</v>
      </c>
      <c r="M1202" s="2013">
        <f t="shared" si="1404"/>
        <v>0</v>
      </c>
      <c r="N1202" s="2014">
        <f t="shared" si="1405"/>
        <v>0</v>
      </c>
      <c r="P1202" s="1898" t="str">
        <f t="shared" si="1406"/>
        <v/>
      </c>
      <c r="Q1202" s="1898" t="str">
        <f t="shared" si="1407"/>
        <v/>
      </c>
      <c r="R1202" s="1898" t="str">
        <f t="shared" si="1408"/>
        <v/>
      </c>
      <c r="S1202" s="1898" t="str">
        <f t="shared" si="1409"/>
        <v/>
      </c>
      <c r="T1202" s="1898" t="str">
        <f t="shared" si="1410"/>
        <v/>
      </c>
      <c r="U1202" s="1898" t="str">
        <f t="shared" si="1411"/>
        <v/>
      </c>
      <c r="V1202" s="1898" t="str">
        <f t="shared" si="1412"/>
        <v/>
      </c>
      <c r="W1202" s="1898" t="str">
        <f t="shared" si="1413"/>
        <v/>
      </c>
      <c r="X1202" s="1898" t="str">
        <f t="shared" si="1414"/>
        <v/>
      </c>
      <c r="Y1202" s="1898" t="str">
        <f t="shared" si="1415"/>
        <v/>
      </c>
      <c r="Z1202" s="1898" t="str">
        <f t="shared" si="1416"/>
        <v/>
      </c>
      <c r="AA1202" s="1898" t="str">
        <f t="shared" si="1417"/>
        <v/>
      </c>
      <c r="AB1202" s="1971" t="str">
        <f t="shared" si="1418"/>
        <v>CNM</v>
      </c>
      <c r="AC1202" s="1906">
        <f t="shared" si="1419"/>
        <v>0</v>
      </c>
      <c r="AD1202" s="1906">
        <f t="shared" si="1420"/>
        <v>0</v>
      </c>
      <c r="AE1202" s="1906">
        <f t="shared" si="1421"/>
        <v>0</v>
      </c>
      <c r="AF1202" s="1906">
        <f t="shared" si="1422"/>
        <v>0</v>
      </c>
      <c r="AG1202" s="1906">
        <f t="shared" si="1423"/>
        <v>0</v>
      </c>
      <c r="AH1202" s="1906">
        <f t="shared" si="1424"/>
        <v>0</v>
      </c>
      <c r="AI1202" s="1906">
        <f t="shared" si="1425"/>
        <v>0</v>
      </c>
      <c r="AJ1202" s="1906">
        <f t="shared" si="1426"/>
        <v>0</v>
      </c>
      <c r="AK1202" s="1906">
        <f t="shared" si="1427"/>
        <v>0</v>
      </c>
      <c r="AL1202" s="1906">
        <f t="shared" si="1428"/>
        <v>0</v>
      </c>
      <c r="AM1202" s="1906">
        <f t="shared" si="1429"/>
        <v>0</v>
      </c>
      <c r="AN1202" s="1906">
        <f t="shared" si="1430"/>
        <v>0</v>
      </c>
      <c r="AO1202" s="107"/>
      <c r="AP1202" s="1906"/>
      <c r="AQ1202" s="1906">
        <f t="shared" si="1431"/>
        <v>0</v>
      </c>
      <c r="AR1202" s="1906">
        <f t="shared" si="1432"/>
        <v>0</v>
      </c>
      <c r="AS1202" s="1906">
        <f t="shared" si="1433"/>
        <v>0</v>
      </c>
      <c r="AT1202" s="1906">
        <f t="shared" si="1434"/>
        <v>0</v>
      </c>
      <c r="AU1202" s="1906">
        <f t="shared" si="1435"/>
        <v>0</v>
      </c>
      <c r="AV1202" s="1906">
        <f t="shared" si="1436"/>
        <v>0</v>
      </c>
      <c r="AW1202" s="1906">
        <f t="shared" si="1437"/>
        <v>0</v>
      </c>
      <c r="AX1202" s="1906">
        <f t="shared" si="1438"/>
        <v>0</v>
      </c>
      <c r="AY1202" s="1906">
        <f t="shared" si="1439"/>
        <v>0</v>
      </c>
      <c r="AZ1202" s="1906">
        <f t="shared" si="1440"/>
        <v>0</v>
      </c>
      <c r="BA1202" s="1906">
        <f t="shared" si="1441"/>
        <v>0</v>
      </c>
      <c r="BB1202" s="107"/>
      <c r="BC1202" s="1906">
        <f t="shared" si="1442"/>
        <v>0</v>
      </c>
      <c r="BD1202" s="1906">
        <f t="shared" si="1443"/>
        <v>0</v>
      </c>
      <c r="BE1202" s="1906">
        <f t="shared" si="1444"/>
        <v>0</v>
      </c>
      <c r="BF1202" s="1906">
        <f t="shared" si="1445"/>
        <v>0</v>
      </c>
      <c r="BG1202" s="1906">
        <f t="shared" si="1446"/>
        <v>0</v>
      </c>
      <c r="BH1202" s="1906">
        <f t="shared" si="1447"/>
        <v>0</v>
      </c>
      <c r="BI1202" s="1906">
        <f t="shared" si="1448"/>
        <v>0</v>
      </c>
      <c r="BJ1202" s="1906">
        <f t="shared" si="1449"/>
        <v>0</v>
      </c>
      <c r="BK1202" s="1906">
        <f t="shared" si="1450"/>
        <v>0</v>
      </c>
      <c r="BL1202" s="1906">
        <f t="shared" si="1451"/>
        <v>0</v>
      </c>
      <c r="BM1202" s="1906">
        <f t="shared" si="1452"/>
        <v>0</v>
      </c>
      <c r="BN1202" s="1906">
        <f t="shared" si="1453"/>
        <v>0</v>
      </c>
      <c r="BO1202" s="107"/>
      <c r="BP1202" s="1906">
        <f t="shared" si="1454"/>
        <v>0</v>
      </c>
      <c r="BQ1202" s="1906">
        <f t="shared" si="1455"/>
        <v>0</v>
      </c>
      <c r="BR1202" s="1906">
        <f t="shared" si="1456"/>
        <v>0</v>
      </c>
      <c r="BS1202" s="1906">
        <f t="shared" si="1457"/>
        <v>0</v>
      </c>
      <c r="BT1202" s="1906">
        <f t="shared" si="1458"/>
        <v>0</v>
      </c>
      <c r="BU1202" s="1906">
        <f t="shared" si="1459"/>
        <v>0</v>
      </c>
      <c r="BV1202" s="1906">
        <f t="shared" si="1460"/>
        <v>0</v>
      </c>
      <c r="BW1202" s="1906">
        <f t="shared" si="1461"/>
        <v>0</v>
      </c>
      <c r="BX1202" s="1906">
        <f t="shared" si="1462"/>
        <v>0</v>
      </c>
      <c r="BY1202" s="1906">
        <f t="shared" si="1463"/>
        <v>0</v>
      </c>
      <c r="BZ1202" s="1906">
        <f t="shared" si="1464"/>
        <v>0</v>
      </c>
      <c r="CA1202" s="1906">
        <f t="shared" si="1465"/>
        <v>0</v>
      </c>
      <c r="CB1202" s="107"/>
      <c r="CC1202" s="1906">
        <f t="shared" si="1466"/>
        <v>0</v>
      </c>
      <c r="CD1202" s="1906">
        <f t="shared" si="1467"/>
        <v>0</v>
      </c>
      <c r="CE1202" s="1906">
        <f t="shared" si="1468"/>
        <v>0</v>
      </c>
      <c r="CF1202" s="1906">
        <f t="shared" si="1469"/>
        <v>0</v>
      </c>
      <c r="CG1202" s="1906">
        <f t="shared" si="1470"/>
        <v>0</v>
      </c>
      <c r="CH1202" s="1906">
        <f t="shared" si="1471"/>
        <v>0</v>
      </c>
      <c r="CI1202" s="1906">
        <f t="shared" si="1472"/>
        <v>0</v>
      </c>
      <c r="CJ1202" s="1906">
        <f t="shared" si="1473"/>
        <v>0</v>
      </c>
      <c r="CK1202" s="1906">
        <f t="shared" si="1474"/>
        <v>0</v>
      </c>
      <c r="CL1202" s="1906">
        <f t="shared" si="1475"/>
        <v>0</v>
      </c>
      <c r="CM1202" s="1906">
        <f t="shared" si="1476"/>
        <v>0</v>
      </c>
      <c r="CN1202" s="1906">
        <f t="shared" si="1477"/>
        <v>0</v>
      </c>
      <c r="CO1202" s="107"/>
      <c r="CP1202" s="1906">
        <f t="shared" si="1478"/>
        <v>0</v>
      </c>
      <c r="CQ1202" s="1906">
        <f t="shared" si="1479"/>
        <v>0</v>
      </c>
      <c r="CR1202" s="1906">
        <f t="shared" si="1480"/>
        <v>0</v>
      </c>
      <c r="CS1202" s="1906">
        <f t="shared" si="1481"/>
        <v>0</v>
      </c>
      <c r="CT1202" s="1906">
        <f t="shared" si="1482"/>
        <v>0</v>
      </c>
      <c r="CU1202" s="1906">
        <f t="shared" si="1483"/>
        <v>0</v>
      </c>
      <c r="CV1202" s="1906">
        <f t="shared" si="1484"/>
        <v>0</v>
      </c>
      <c r="CW1202" s="1906">
        <f t="shared" si="1485"/>
        <v>0</v>
      </c>
      <c r="CX1202" s="1906">
        <f t="shared" si="1486"/>
        <v>0</v>
      </c>
      <c r="CY1202" s="1906">
        <f t="shared" si="1487"/>
        <v>0</v>
      </c>
      <c r="CZ1202" s="1906">
        <f t="shared" si="1488"/>
        <v>0</v>
      </c>
      <c r="DA1202" s="1906">
        <f t="shared" si="1489"/>
        <v>0</v>
      </c>
      <c r="DB1202" s="1971" t="str">
        <f t="shared" si="1490"/>
        <v>CNM</v>
      </c>
      <c r="DC1202" s="1906">
        <f t="shared" si="1491"/>
        <v>0</v>
      </c>
      <c r="DD1202" s="1906">
        <f t="shared" si="1492"/>
        <v>0</v>
      </c>
      <c r="DE1202" s="1906">
        <f t="shared" si="1493"/>
        <v>0</v>
      </c>
      <c r="DF1202" s="1906">
        <f t="shared" si="1494"/>
        <v>0</v>
      </c>
      <c r="DG1202" s="1906">
        <f t="shared" si="1495"/>
        <v>0</v>
      </c>
      <c r="DH1202" s="1906">
        <f t="shared" si="1496"/>
        <v>0</v>
      </c>
      <c r="DI1202" s="1906">
        <f t="shared" si="1497"/>
        <v>0</v>
      </c>
      <c r="DJ1202" s="1906">
        <f t="shared" si="1498"/>
        <v>0</v>
      </c>
      <c r="DK1202" s="1906">
        <f t="shared" si="1499"/>
        <v>0</v>
      </c>
      <c r="DL1202" s="1906">
        <f t="shared" si="1500"/>
        <v>0</v>
      </c>
      <c r="DM1202" s="1906">
        <f t="shared" si="1501"/>
        <v>0</v>
      </c>
      <c r="DN1202" s="1906">
        <f t="shared" si="1502"/>
        <v>0</v>
      </c>
      <c r="DO1202" s="595" t="str">
        <f t="shared" ref="DO1202:DO1265" si="1503">DB1202</f>
        <v>CNM</v>
      </c>
      <c r="DP1202" s="1443">
        <f t="shared" ref="DP1202:DP1265" si="1504">SUM(DC1202:DN1202)</f>
        <v>0</v>
      </c>
      <c r="DQ1202" s="107"/>
      <c r="DR1202" s="111"/>
      <c r="DS1202" s="1906"/>
      <c r="DT1202" s="1906"/>
      <c r="DU1202" s="1906"/>
      <c r="DV1202" s="1906"/>
      <c r="DW1202" s="1906"/>
      <c r="DX1202" s="1906"/>
      <c r="DY1202" s="1906"/>
      <c r="DZ1202" s="1906"/>
      <c r="EA1202" s="1906"/>
      <c r="EB1202" s="1906"/>
      <c r="EC1202" s="1906"/>
      <c r="ED1202" s="1906"/>
    </row>
    <row r="1203" spans="1:134" ht="15.05" thickBot="1" x14ac:dyDescent="0.25">
      <c r="A1203" s="107"/>
      <c r="B1203" s="2032" t="str">
        <f t="shared" si="1393"/>
        <v>CN bajo</v>
      </c>
      <c r="C1203" s="2033">
        <f t="shared" si="1394"/>
        <v>0</v>
      </c>
      <c r="D1203" s="2033">
        <f t="shared" si="1395"/>
        <v>0</v>
      </c>
      <c r="E1203" s="2033">
        <f t="shared" si="1396"/>
        <v>0</v>
      </c>
      <c r="F1203" s="2033">
        <f t="shared" si="1397"/>
        <v>0</v>
      </c>
      <c r="G1203" s="2033">
        <f t="shared" si="1398"/>
        <v>0</v>
      </c>
      <c r="H1203" s="2033">
        <f t="shared" si="1399"/>
        <v>0</v>
      </c>
      <c r="I1203" s="2033">
        <f t="shared" si="1400"/>
        <v>0</v>
      </c>
      <c r="J1203" s="2033">
        <f t="shared" si="1401"/>
        <v>0</v>
      </c>
      <c r="K1203" s="2033">
        <f t="shared" si="1402"/>
        <v>0</v>
      </c>
      <c r="L1203" s="2033">
        <f t="shared" si="1403"/>
        <v>0</v>
      </c>
      <c r="M1203" s="2033">
        <f t="shared" si="1404"/>
        <v>0</v>
      </c>
      <c r="N1203" s="2034">
        <f t="shared" si="1405"/>
        <v>0</v>
      </c>
      <c r="P1203" s="1898" t="str">
        <f t="shared" si="1406"/>
        <v/>
      </c>
      <c r="Q1203" s="1898" t="str">
        <f t="shared" si="1407"/>
        <v/>
      </c>
      <c r="R1203" s="1898" t="str">
        <f t="shared" si="1408"/>
        <v/>
      </c>
      <c r="S1203" s="1898" t="str">
        <f t="shared" si="1409"/>
        <v/>
      </c>
      <c r="T1203" s="1898" t="str">
        <f t="shared" si="1410"/>
        <v/>
      </c>
      <c r="U1203" s="1898" t="str">
        <f t="shared" si="1411"/>
        <v/>
      </c>
      <c r="V1203" s="1898" t="str">
        <f t="shared" si="1412"/>
        <v/>
      </c>
      <c r="W1203" s="1898" t="str">
        <f t="shared" si="1413"/>
        <v/>
      </c>
      <c r="X1203" s="1898" t="str">
        <f t="shared" si="1414"/>
        <v/>
      </c>
      <c r="Y1203" s="1898" t="str">
        <f t="shared" si="1415"/>
        <v/>
      </c>
      <c r="Z1203" s="1898" t="str">
        <f t="shared" si="1416"/>
        <v/>
      </c>
      <c r="AA1203" s="1898" t="str">
        <f t="shared" si="1417"/>
        <v/>
      </c>
      <c r="AB1203" s="1971" t="str">
        <f t="shared" si="1418"/>
        <v>CN bajo</v>
      </c>
      <c r="AC1203" s="1906">
        <f t="shared" si="1419"/>
        <v>0</v>
      </c>
      <c r="AD1203" s="1906">
        <f t="shared" si="1420"/>
        <v>0</v>
      </c>
      <c r="AE1203" s="1906">
        <f t="shared" si="1421"/>
        <v>0</v>
      </c>
      <c r="AF1203" s="1906">
        <f t="shared" si="1422"/>
        <v>0</v>
      </c>
      <c r="AG1203" s="1906">
        <f t="shared" si="1423"/>
        <v>0</v>
      </c>
      <c r="AH1203" s="1906">
        <f t="shared" si="1424"/>
        <v>0</v>
      </c>
      <c r="AI1203" s="1906">
        <f t="shared" si="1425"/>
        <v>0</v>
      </c>
      <c r="AJ1203" s="1906">
        <f t="shared" si="1426"/>
        <v>0</v>
      </c>
      <c r="AK1203" s="1906">
        <f t="shared" si="1427"/>
        <v>0</v>
      </c>
      <c r="AL1203" s="1906">
        <f t="shared" si="1428"/>
        <v>0</v>
      </c>
      <c r="AM1203" s="1906">
        <f t="shared" si="1429"/>
        <v>0</v>
      </c>
      <c r="AN1203" s="1906">
        <f t="shared" si="1430"/>
        <v>0</v>
      </c>
      <c r="AO1203" s="107"/>
      <c r="AP1203" s="1906"/>
      <c r="AQ1203" s="1906">
        <f t="shared" si="1431"/>
        <v>0</v>
      </c>
      <c r="AR1203" s="1906">
        <f t="shared" si="1432"/>
        <v>0</v>
      </c>
      <c r="AS1203" s="1906">
        <f t="shared" si="1433"/>
        <v>0</v>
      </c>
      <c r="AT1203" s="1906">
        <f t="shared" si="1434"/>
        <v>0</v>
      </c>
      <c r="AU1203" s="1906">
        <f t="shared" si="1435"/>
        <v>0</v>
      </c>
      <c r="AV1203" s="1906">
        <f t="shared" si="1436"/>
        <v>0</v>
      </c>
      <c r="AW1203" s="1906">
        <f t="shared" si="1437"/>
        <v>0</v>
      </c>
      <c r="AX1203" s="1906">
        <f t="shared" si="1438"/>
        <v>0</v>
      </c>
      <c r="AY1203" s="1906">
        <f t="shared" si="1439"/>
        <v>0</v>
      </c>
      <c r="AZ1203" s="1906">
        <f t="shared" si="1440"/>
        <v>0</v>
      </c>
      <c r="BA1203" s="1906">
        <f t="shared" si="1441"/>
        <v>0</v>
      </c>
      <c r="BB1203" s="107"/>
      <c r="BC1203" s="1906">
        <f t="shared" si="1442"/>
        <v>0</v>
      </c>
      <c r="BD1203" s="1906">
        <f t="shared" si="1443"/>
        <v>0</v>
      </c>
      <c r="BE1203" s="1906">
        <f t="shared" si="1444"/>
        <v>0</v>
      </c>
      <c r="BF1203" s="1906">
        <f t="shared" si="1445"/>
        <v>0</v>
      </c>
      <c r="BG1203" s="1906">
        <f t="shared" si="1446"/>
        <v>0</v>
      </c>
      <c r="BH1203" s="1906">
        <f t="shared" si="1447"/>
        <v>0</v>
      </c>
      <c r="BI1203" s="1906">
        <f t="shared" si="1448"/>
        <v>0</v>
      </c>
      <c r="BJ1203" s="1906">
        <f t="shared" si="1449"/>
        <v>0</v>
      </c>
      <c r="BK1203" s="1906">
        <f t="shared" si="1450"/>
        <v>0</v>
      </c>
      <c r="BL1203" s="1906">
        <f t="shared" si="1451"/>
        <v>0</v>
      </c>
      <c r="BM1203" s="1906">
        <f t="shared" si="1452"/>
        <v>0</v>
      </c>
      <c r="BN1203" s="1906">
        <f t="shared" si="1453"/>
        <v>0</v>
      </c>
      <c r="BO1203" s="107"/>
      <c r="BP1203" s="1906">
        <f t="shared" si="1454"/>
        <v>0</v>
      </c>
      <c r="BQ1203" s="1906">
        <f t="shared" si="1455"/>
        <v>0</v>
      </c>
      <c r="BR1203" s="1906">
        <f t="shared" si="1456"/>
        <v>0</v>
      </c>
      <c r="BS1203" s="1906">
        <f t="shared" si="1457"/>
        <v>0</v>
      </c>
      <c r="BT1203" s="1906">
        <f t="shared" si="1458"/>
        <v>0</v>
      </c>
      <c r="BU1203" s="1906">
        <f t="shared" si="1459"/>
        <v>0</v>
      </c>
      <c r="BV1203" s="1906">
        <f t="shared" si="1460"/>
        <v>0</v>
      </c>
      <c r="BW1203" s="1906">
        <f t="shared" si="1461"/>
        <v>0</v>
      </c>
      <c r="BX1203" s="1906">
        <f t="shared" si="1462"/>
        <v>0</v>
      </c>
      <c r="BY1203" s="1906">
        <f t="shared" si="1463"/>
        <v>0</v>
      </c>
      <c r="BZ1203" s="1906">
        <f t="shared" si="1464"/>
        <v>0</v>
      </c>
      <c r="CA1203" s="1906">
        <f t="shared" si="1465"/>
        <v>0</v>
      </c>
      <c r="CB1203" s="107"/>
      <c r="CC1203" s="1906">
        <f t="shared" si="1466"/>
        <v>0</v>
      </c>
      <c r="CD1203" s="1906">
        <f t="shared" si="1467"/>
        <v>0</v>
      </c>
      <c r="CE1203" s="1906">
        <f t="shared" si="1468"/>
        <v>0</v>
      </c>
      <c r="CF1203" s="1906">
        <f t="shared" si="1469"/>
        <v>0</v>
      </c>
      <c r="CG1203" s="1906">
        <f t="shared" si="1470"/>
        <v>0</v>
      </c>
      <c r="CH1203" s="1906">
        <f t="shared" si="1471"/>
        <v>0</v>
      </c>
      <c r="CI1203" s="1906">
        <f t="shared" si="1472"/>
        <v>0</v>
      </c>
      <c r="CJ1203" s="1906">
        <f t="shared" si="1473"/>
        <v>0</v>
      </c>
      <c r="CK1203" s="1906">
        <f t="shared" si="1474"/>
        <v>0</v>
      </c>
      <c r="CL1203" s="1906">
        <f t="shared" si="1475"/>
        <v>0</v>
      </c>
      <c r="CM1203" s="1906">
        <f t="shared" si="1476"/>
        <v>0</v>
      </c>
      <c r="CN1203" s="1906">
        <f t="shared" si="1477"/>
        <v>0</v>
      </c>
      <c r="CO1203" s="107"/>
      <c r="CP1203" s="1906">
        <f t="shared" si="1478"/>
        <v>0</v>
      </c>
      <c r="CQ1203" s="1906">
        <f t="shared" si="1479"/>
        <v>0</v>
      </c>
      <c r="CR1203" s="1906">
        <f t="shared" si="1480"/>
        <v>0</v>
      </c>
      <c r="CS1203" s="1906">
        <f t="shared" si="1481"/>
        <v>0</v>
      </c>
      <c r="CT1203" s="1906">
        <f t="shared" si="1482"/>
        <v>0</v>
      </c>
      <c r="CU1203" s="1906">
        <f t="shared" si="1483"/>
        <v>0</v>
      </c>
      <c r="CV1203" s="1906">
        <f t="shared" si="1484"/>
        <v>0</v>
      </c>
      <c r="CW1203" s="1906">
        <f t="shared" si="1485"/>
        <v>0</v>
      </c>
      <c r="CX1203" s="1906">
        <f t="shared" si="1486"/>
        <v>0</v>
      </c>
      <c r="CY1203" s="1906">
        <f t="shared" si="1487"/>
        <v>0</v>
      </c>
      <c r="CZ1203" s="1906">
        <f t="shared" si="1488"/>
        <v>0</v>
      </c>
      <c r="DA1203" s="1906">
        <f t="shared" si="1489"/>
        <v>0</v>
      </c>
      <c r="DB1203" s="1971" t="str">
        <f t="shared" si="1490"/>
        <v>CN bajo</v>
      </c>
      <c r="DC1203" s="1906">
        <f t="shared" si="1491"/>
        <v>0</v>
      </c>
      <c r="DD1203" s="1906">
        <f t="shared" si="1492"/>
        <v>0</v>
      </c>
      <c r="DE1203" s="1906">
        <f t="shared" si="1493"/>
        <v>0</v>
      </c>
      <c r="DF1203" s="1906">
        <f t="shared" si="1494"/>
        <v>0</v>
      </c>
      <c r="DG1203" s="1906">
        <f t="shared" si="1495"/>
        <v>0</v>
      </c>
      <c r="DH1203" s="1906">
        <f t="shared" si="1496"/>
        <v>0</v>
      </c>
      <c r="DI1203" s="1906">
        <f t="shared" si="1497"/>
        <v>0</v>
      </c>
      <c r="DJ1203" s="1906">
        <f t="shared" si="1498"/>
        <v>0</v>
      </c>
      <c r="DK1203" s="1906">
        <f t="shared" si="1499"/>
        <v>0</v>
      </c>
      <c r="DL1203" s="1906">
        <f t="shared" si="1500"/>
        <v>0</v>
      </c>
      <c r="DM1203" s="1906">
        <f t="shared" si="1501"/>
        <v>0</v>
      </c>
      <c r="DN1203" s="1906">
        <f t="shared" si="1502"/>
        <v>0</v>
      </c>
      <c r="DO1203" s="595" t="str">
        <f t="shared" si="1503"/>
        <v>CN bajo</v>
      </c>
      <c r="DP1203" s="1443">
        <f t="shared" si="1504"/>
        <v>0</v>
      </c>
      <c r="DQ1203" s="107"/>
      <c r="DR1203" s="111"/>
      <c r="DS1203" s="1906"/>
      <c r="DT1203" s="1906"/>
      <c r="DU1203" s="1906"/>
      <c r="DV1203" s="1906"/>
      <c r="DW1203" s="1906"/>
      <c r="DX1203" s="1906"/>
      <c r="DY1203" s="1906"/>
      <c r="DZ1203" s="1906"/>
      <c r="EA1203" s="1906"/>
      <c r="EB1203" s="1906"/>
      <c r="EC1203" s="1906"/>
      <c r="ED1203" s="1906"/>
    </row>
    <row r="1204" spans="1:134" ht="15.05" thickBot="1" x14ac:dyDescent="0.25">
      <c r="A1204" s="107"/>
      <c r="B1204" s="1857">
        <f t="shared" si="1393"/>
        <v>0</v>
      </c>
      <c r="C1204" s="2015">
        <f t="shared" si="1394"/>
        <v>0</v>
      </c>
      <c r="D1204" s="2015">
        <f t="shared" si="1395"/>
        <v>0</v>
      </c>
      <c r="E1204" s="2015">
        <f t="shared" si="1396"/>
        <v>0</v>
      </c>
      <c r="F1204" s="2015">
        <f t="shared" si="1397"/>
        <v>0</v>
      </c>
      <c r="G1204" s="2015">
        <f t="shared" si="1398"/>
        <v>0</v>
      </c>
      <c r="H1204" s="2015">
        <f t="shared" si="1399"/>
        <v>0</v>
      </c>
      <c r="I1204" s="2015">
        <f t="shared" si="1400"/>
        <v>0</v>
      </c>
      <c r="J1204" s="2015">
        <f t="shared" si="1401"/>
        <v>0</v>
      </c>
      <c r="K1204" s="2015">
        <f t="shared" si="1402"/>
        <v>0</v>
      </c>
      <c r="L1204" s="2015">
        <f t="shared" si="1403"/>
        <v>0</v>
      </c>
      <c r="M1204" s="2015">
        <f t="shared" si="1404"/>
        <v>0</v>
      </c>
      <c r="N1204" s="2015">
        <f t="shared" si="1405"/>
        <v>0</v>
      </c>
      <c r="P1204" s="1898" t="str">
        <f t="shared" si="1406"/>
        <v/>
      </c>
      <c r="Q1204" s="1898" t="str">
        <f t="shared" si="1407"/>
        <v/>
      </c>
      <c r="R1204" s="1898" t="str">
        <f t="shared" si="1408"/>
        <v/>
      </c>
      <c r="S1204" s="1898" t="str">
        <f t="shared" si="1409"/>
        <v/>
      </c>
      <c r="T1204" s="1898" t="str">
        <f t="shared" si="1410"/>
        <v/>
      </c>
      <c r="U1204" s="1898" t="str">
        <f t="shared" si="1411"/>
        <v/>
      </c>
      <c r="V1204" s="1898" t="str">
        <f t="shared" si="1412"/>
        <v/>
      </c>
      <c r="W1204" s="1898" t="str">
        <f t="shared" si="1413"/>
        <v/>
      </c>
      <c r="X1204" s="1898" t="str">
        <f t="shared" si="1414"/>
        <v/>
      </c>
      <c r="Y1204" s="1898" t="str">
        <f t="shared" si="1415"/>
        <v/>
      </c>
      <c r="Z1204" s="1898" t="str">
        <f t="shared" si="1416"/>
        <v/>
      </c>
      <c r="AA1204" s="1898" t="str">
        <f t="shared" si="1417"/>
        <v/>
      </c>
      <c r="AB1204" s="1971">
        <f t="shared" si="1418"/>
        <v>0</v>
      </c>
      <c r="AC1204" s="1906">
        <f t="shared" si="1419"/>
        <v>0</v>
      </c>
      <c r="AD1204" s="1906">
        <f t="shared" si="1420"/>
        <v>0</v>
      </c>
      <c r="AE1204" s="1906">
        <f t="shared" si="1421"/>
        <v>0</v>
      </c>
      <c r="AF1204" s="1906">
        <f t="shared" si="1422"/>
        <v>0</v>
      </c>
      <c r="AG1204" s="1906">
        <f t="shared" si="1423"/>
        <v>0</v>
      </c>
      <c r="AH1204" s="1906">
        <f t="shared" si="1424"/>
        <v>0</v>
      </c>
      <c r="AI1204" s="1906">
        <f t="shared" si="1425"/>
        <v>0</v>
      </c>
      <c r="AJ1204" s="1906">
        <f t="shared" si="1426"/>
        <v>0</v>
      </c>
      <c r="AK1204" s="1906">
        <f t="shared" si="1427"/>
        <v>0</v>
      </c>
      <c r="AL1204" s="1906">
        <f t="shared" si="1428"/>
        <v>0</v>
      </c>
      <c r="AM1204" s="1906">
        <f t="shared" si="1429"/>
        <v>0</v>
      </c>
      <c r="AN1204" s="1906">
        <f t="shared" si="1430"/>
        <v>0</v>
      </c>
      <c r="AO1204" s="107"/>
      <c r="AP1204" s="1906"/>
      <c r="AQ1204" s="1906">
        <f t="shared" si="1431"/>
        <v>0</v>
      </c>
      <c r="AR1204" s="1906">
        <f t="shared" si="1432"/>
        <v>0</v>
      </c>
      <c r="AS1204" s="1906">
        <f t="shared" si="1433"/>
        <v>0</v>
      </c>
      <c r="AT1204" s="1906">
        <f t="shared" si="1434"/>
        <v>0</v>
      </c>
      <c r="AU1204" s="1906">
        <f t="shared" si="1435"/>
        <v>0</v>
      </c>
      <c r="AV1204" s="1906">
        <f t="shared" si="1436"/>
        <v>0</v>
      </c>
      <c r="AW1204" s="1906">
        <f t="shared" si="1437"/>
        <v>0</v>
      </c>
      <c r="AX1204" s="1906">
        <f t="shared" si="1438"/>
        <v>0</v>
      </c>
      <c r="AY1204" s="1906">
        <f t="shared" si="1439"/>
        <v>0</v>
      </c>
      <c r="AZ1204" s="1906">
        <f t="shared" si="1440"/>
        <v>0</v>
      </c>
      <c r="BA1204" s="1906">
        <f t="shared" si="1441"/>
        <v>0</v>
      </c>
      <c r="BB1204" s="107"/>
      <c r="BC1204" s="1906">
        <f t="shared" si="1442"/>
        <v>0</v>
      </c>
      <c r="BD1204" s="1906">
        <f t="shared" si="1443"/>
        <v>0</v>
      </c>
      <c r="BE1204" s="1906">
        <f t="shared" si="1444"/>
        <v>0</v>
      </c>
      <c r="BF1204" s="1906">
        <f t="shared" si="1445"/>
        <v>0</v>
      </c>
      <c r="BG1204" s="1906">
        <f t="shared" si="1446"/>
        <v>0</v>
      </c>
      <c r="BH1204" s="1906">
        <f t="shared" si="1447"/>
        <v>0</v>
      </c>
      <c r="BI1204" s="1906">
        <f t="shared" si="1448"/>
        <v>0</v>
      </c>
      <c r="BJ1204" s="1906">
        <f t="shared" si="1449"/>
        <v>0</v>
      </c>
      <c r="BK1204" s="1906">
        <f t="shared" si="1450"/>
        <v>0</v>
      </c>
      <c r="BL1204" s="1906">
        <f t="shared" si="1451"/>
        <v>0</v>
      </c>
      <c r="BM1204" s="1906">
        <f t="shared" si="1452"/>
        <v>0</v>
      </c>
      <c r="BN1204" s="1906">
        <f t="shared" si="1453"/>
        <v>0</v>
      </c>
      <c r="BO1204" s="107"/>
      <c r="BP1204" s="1906">
        <f t="shared" si="1454"/>
        <v>0</v>
      </c>
      <c r="BQ1204" s="1906">
        <f t="shared" si="1455"/>
        <v>0</v>
      </c>
      <c r="BR1204" s="1906">
        <f t="shared" si="1456"/>
        <v>0</v>
      </c>
      <c r="BS1204" s="1906">
        <f t="shared" si="1457"/>
        <v>0</v>
      </c>
      <c r="BT1204" s="1906">
        <f t="shared" si="1458"/>
        <v>0</v>
      </c>
      <c r="BU1204" s="1906">
        <f t="shared" si="1459"/>
        <v>0</v>
      </c>
      <c r="BV1204" s="1906">
        <f t="shared" si="1460"/>
        <v>0</v>
      </c>
      <c r="BW1204" s="1906">
        <f t="shared" si="1461"/>
        <v>0</v>
      </c>
      <c r="BX1204" s="1906">
        <f t="shared" si="1462"/>
        <v>0</v>
      </c>
      <c r="BY1204" s="1906">
        <f t="shared" si="1463"/>
        <v>0</v>
      </c>
      <c r="BZ1204" s="1906">
        <f t="shared" si="1464"/>
        <v>0</v>
      </c>
      <c r="CA1204" s="1906">
        <f t="shared" si="1465"/>
        <v>0</v>
      </c>
      <c r="CB1204" s="107"/>
      <c r="CC1204" s="1906">
        <f t="shared" si="1466"/>
        <v>0</v>
      </c>
      <c r="CD1204" s="1906">
        <f t="shared" si="1467"/>
        <v>0</v>
      </c>
      <c r="CE1204" s="1906">
        <f t="shared" si="1468"/>
        <v>0</v>
      </c>
      <c r="CF1204" s="1906">
        <f t="shared" si="1469"/>
        <v>0</v>
      </c>
      <c r="CG1204" s="1906">
        <f t="shared" si="1470"/>
        <v>0</v>
      </c>
      <c r="CH1204" s="1906">
        <f t="shared" si="1471"/>
        <v>0</v>
      </c>
      <c r="CI1204" s="1906">
        <f t="shared" si="1472"/>
        <v>0</v>
      </c>
      <c r="CJ1204" s="1906">
        <f t="shared" si="1473"/>
        <v>0</v>
      </c>
      <c r="CK1204" s="1906">
        <f t="shared" si="1474"/>
        <v>0</v>
      </c>
      <c r="CL1204" s="1906">
        <f t="shared" si="1475"/>
        <v>0</v>
      </c>
      <c r="CM1204" s="1906">
        <f t="shared" si="1476"/>
        <v>0</v>
      </c>
      <c r="CN1204" s="1906">
        <f t="shared" si="1477"/>
        <v>0</v>
      </c>
      <c r="CO1204" s="107"/>
      <c r="CP1204" s="1906">
        <f t="shared" si="1478"/>
        <v>0</v>
      </c>
      <c r="CQ1204" s="1906">
        <f t="shared" si="1479"/>
        <v>0</v>
      </c>
      <c r="CR1204" s="1906">
        <f t="shared" si="1480"/>
        <v>0</v>
      </c>
      <c r="CS1204" s="1906">
        <f t="shared" si="1481"/>
        <v>0</v>
      </c>
      <c r="CT1204" s="1906">
        <f t="shared" si="1482"/>
        <v>0</v>
      </c>
      <c r="CU1204" s="1906">
        <f t="shared" si="1483"/>
        <v>0</v>
      </c>
      <c r="CV1204" s="1906">
        <f t="shared" si="1484"/>
        <v>0</v>
      </c>
      <c r="CW1204" s="1906">
        <f t="shared" si="1485"/>
        <v>0</v>
      </c>
      <c r="CX1204" s="1906">
        <f t="shared" si="1486"/>
        <v>0</v>
      </c>
      <c r="CY1204" s="1906">
        <f t="shared" si="1487"/>
        <v>0</v>
      </c>
      <c r="CZ1204" s="1906">
        <f t="shared" si="1488"/>
        <v>0</v>
      </c>
      <c r="DA1204" s="1906">
        <f t="shared" si="1489"/>
        <v>0</v>
      </c>
      <c r="DB1204" s="1971">
        <f t="shared" si="1490"/>
        <v>0</v>
      </c>
      <c r="DC1204" s="1906">
        <f t="shared" si="1491"/>
        <v>0</v>
      </c>
      <c r="DD1204" s="1906">
        <f t="shared" si="1492"/>
        <v>0</v>
      </c>
      <c r="DE1204" s="1906">
        <f t="shared" si="1493"/>
        <v>0</v>
      </c>
      <c r="DF1204" s="1906">
        <f t="shared" si="1494"/>
        <v>0</v>
      </c>
      <c r="DG1204" s="1906">
        <f t="shared" si="1495"/>
        <v>0</v>
      </c>
      <c r="DH1204" s="1906">
        <f t="shared" si="1496"/>
        <v>0</v>
      </c>
      <c r="DI1204" s="1906">
        <f t="shared" si="1497"/>
        <v>0</v>
      </c>
      <c r="DJ1204" s="1906">
        <f t="shared" si="1498"/>
        <v>0</v>
      </c>
      <c r="DK1204" s="1906">
        <f t="shared" si="1499"/>
        <v>0</v>
      </c>
      <c r="DL1204" s="1906">
        <f t="shared" si="1500"/>
        <v>0</v>
      </c>
      <c r="DM1204" s="1906">
        <f t="shared" si="1501"/>
        <v>0</v>
      </c>
      <c r="DN1204" s="1906">
        <f t="shared" si="1502"/>
        <v>0</v>
      </c>
      <c r="DO1204" s="595">
        <f t="shared" si="1503"/>
        <v>0</v>
      </c>
      <c r="DP1204" s="1443">
        <f t="shared" si="1504"/>
        <v>0</v>
      </c>
      <c r="DQ1204" s="107"/>
      <c r="DR1204" s="111"/>
      <c r="DS1204" s="1906"/>
      <c r="DT1204" s="1906"/>
      <c r="DU1204" s="1906"/>
      <c r="DV1204" s="1906"/>
      <c r="DW1204" s="1906"/>
      <c r="DX1204" s="1906"/>
      <c r="DY1204" s="1906"/>
      <c r="DZ1204" s="1906"/>
      <c r="EA1204" s="1906"/>
      <c r="EB1204" s="1906"/>
      <c r="EC1204" s="1906"/>
      <c r="ED1204" s="1906"/>
    </row>
    <row r="1205" spans="1:134" x14ac:dyDescent="0.2">
      <c r="A1205" s="107"/>
      <c r="B1205" s="1351" t="str">
        <f t="shared" si="1393"/>
        <v>Alfalfa 1</v>
      </c>
      <c r="C1205" s="2011">
        <f t="shared" si="1394"/>
        <v>0</v>
      </c>
      <c r="D1205" s="2011">
        <f t="shared" si="1395"/>
        <v>0</v>
      </c>
      <c r="E1205" s="2011">
        <f t="shared" si="1396"/>
        <v>0</v>
      </c>
      <c r="F1205" s="2011">
        <f t="shared" si="1397"/>
        <v>0</v>
      </c>
      <c r="G1205" s="2011">
        <f t="shared" si="1398"/>
        <v>0</v>
      </c>
      <c r="H1205" s="2011">
        <f t="shared" si="1399"/>
        <v>0</v>
      </c>
      <c r="I1205" s="2011">
        <f t="shared" si="1400"/>
        <v>0</v>
      </c>
      <c r="J1205" s="2011">
        <f t="shared" si="1401"/>
        <v>0</v>
      </c>
      <c r="K1205" s="2011">
        <f t="shared" si="1402"/>
        <v>0</v>
      </c>
      <c r="L1205" s="2011">
        <f t="shared" si="1403"/>
        <v>0</v>
      </c>
      <c r="M1205" s="2011">
        <f t="shared" si="1404"/>
        <v>0</v>
      </c>
      <c r="N1205" s="2012">
        <f t="shared" si="1405"/>
        <v>0</v>
      </c>
      <c r="P1205" s="1898" t="str">
        <f t="shared" si="1406"/>
        <v/>
      </c>
      <c r="Q1205" s="1898" t="str">
        <f t="shared" si="1407"/>
        <v/>
      </c>
      <c r="R1205" s="1898" t="str">
        <f t="shared" si="1408"/>
        <v/>
      </c>
      <c r="S1205" s="1898" t="str">
        <f t="shared" si="1409"/>
        <v/>
      </c>
      <c r="T1205" s="1898" t="str">
        <f t="shared" si="1410"/>
        <v/>
      </c>
      <c r="U1205" s="1898" t="str">
        <f t="shared" si="1411"/>
        <v/>
      </c>
      <c r="V1205" s="1898" t="str">
        <f t="shared" si="1412"/>
        <v/>
      </c>
      <c r="W1205" s="1898" t="str">
        <f t="shared" si="1413"/>
        <v/>
      </c>
      <c r="X1205" s="1898" t="str">
        <f t="shared" si="1414"/>
        <v/>
      </c>
      <c r="Y1205" s="1898" t="str">
        <f t="shared" si="1415"/>
        <v/>
      </c>
      <c r="Z1205" s="1898" t="str">
        <f t="shared" si="1416"/>
        <v/>
      </c>
      <c r="AA1205" s="1898" t="str">
        <f t="shared" si="1417"/>
        <v/>
      </c>
      <c r="AB1205" s="1971" t="str">
        <f t="shared" si="1418"/>
        <v>Alfalfa 1</v>
      </c>
      <c r="AC1205" s="1906">
        <f t="shared" si="1419"/>
        <v>0</v>
      </c>
      <c r="AD1205" s="1906">
        <f t="shared" si="1420"/>
        <v>0</v>
      </c>
      <c r="AE1205" s="1906">
        <f t="shared" si="1421"/>
        <v>0</v>
      </c>
      <c r="AF1205" s="1906">
        <f t="shared" si="1422"/>
        <v>0</v>
      </c>
      <c r="AG1205" s="1906">
        <f t="shared" si="1423"/>
        <v>0</v>
      </c>
      <c r="AH1205" s="1906">
        <f t="shared" si="1424"/>
        <v>0</v>
      </c>
      <c r="AI1205" s="1906">
        <f t="shared" si="1425"/>
        <v>0</v>
      </c>
      <c r="AJ1205" s="1906">
        <f t="shared" si="1426"/>
        <v>0</v>
      </c>
      <c r="AK1205" s="1906">
        <f t="shared" si="1427"/>
        <v>0</v>
      </c>
      <c r="AL1205" s="1906">
        <f t="shared" si="1428"/>
        <v>0</v>
      </c>
      <c r="AM1205" s="1906">
        <f t="shared" si="1429"/>
        <v>0</v>
      </c>
      <c r="AN1205" s="1906">
        <f t="shared" si="1430"/>
        <v>0</v>
      </c>
      <c r="AO1205" s="107"/>
      <c r="AP1205" s="1906"/>
      <c r="AQ1205" s="1906">
        <f t="shared" si="1431"/>
        <v>0</v>
      </c>
      <c r="AR1205" s="1906">
        <f t="shared" si="1432"/>
        <v>0</v>
      </c>
      <c r="AS1205" s="1906">
        <f t="shared" si="1433"/>
        <v>0</v>
      </c>
      <c r="AT1205" s="1906">
        <f t="shared" si="1434"/>
        <v>0</v>
      </c>
      <c r="AU1205" s="1906">
        <f t="shared" si="1435"/>
        <v>0</v>
      </c>
      <c r="AV1205" s="1906">
        <f t="shared" si="1436"/>
        <v>0</v>
      </c>
      <c r="AW1205" s="1906">
        <f t="shared" si="1437"/>
        <v>0</v>
      </c>
      <c r="AX1205" s="1906">
        <f t="shared" si="1438"/>
        <v>0</v>
      </c>
      <c r="AY1205" s="1906">
        <f t="shared" si="1439"/>
        <v>0</v>
      </c>
      <c r="AZ1205" s="1906">
        <f t="shared" si="1440"/>
        <v>0</v>
      </c>
      <c r="BA1205" s="1906">
        <f t="shared" si="1441"/>
        <v>0</v>
      </c>
      <c r="BB1205" s="107"/>
      <c r="BC1205" s="1906">
        <f t="shared" si="1442"/>
        <v>0</v>
      </c>
      <c r="BD1205" s="1906">
        <f t="shared" si="1443"/>
        <v>0</v>
      </c>
      <c r="BE1205" s="1906">
        <f t="shared" si="1444"/>
        <v>0</v>
      </c>
      <c r="BF1205" s="1906">
        <f t="shared" si="1445"/>
        <v>0</v>
      </c>
      <c r="BG1205" s="1906">
        <f t="shared" si="1446"/>
        <v>0</v>
      </c>
      <c r="BH1205" s="1906">
        <f t="shared" si="1447"/>
        <v>0</v>
      </c>
      <c r="BI1205" s="1906">
        <f t="shared" si="1448"/>
        <v>0</v>
      </c>
      <c r="BJ1205" s="1906">
        <f t="shared" si="1449"/>
        <v>0</v>
      </c>
      <c r="BK1205" s="1906">
        <f t="shared" si="1450"/>
        <v>0</v>
      </c>
      <c r="BL1205" s="1906">
        <f t="shared" si="1451"/>
        <v>0</v>
      </c>
      <c r="BM1205" s="1906">
        <f t="shared" si="1452"/>
        <v>0</v>
      </c>
      <c r="BN1205" s="1906">
        <f t="shared" si="1453"/>
        <v>0</v>
      </c>
      <c r="BO1205" s="107"/>
      <c r="BP1205" s="1906">
        <f t="shared" si="1454"/>
        <v>0</v>
      </c>
      <c r="BQ1205" s="1906">
        <f t="shared" si="1455"/>
        <v>0</v>
      </c>
      <c r="BR1205" s="1906">
        <f t="shared" si="1456"/>
        <v>0</v>
      </c>
      <c r="BS1205" s="1906">
        <f t="shared" si="1457"/>
        <v>0</v>
      </c>
      <c r="BT1205" s="1906">
        <f t="shared" si="1458"/>
        <v>0</v>
      </c>
      <c r="BU1205" s="1906">
        <f t="shared" si="1459"/>
        <v>0</v>
      </c>
      <c r="BV1205" s="1906">
        <f t="shared" si="1460"/>
        <v>0</v>
      </c>
      <c r="BW1205" s="1906">
        <f t="shared" si="1461"/>
        <v>0</v>
      </c>
      <c r="BX1205" s="1906">
        <f t="shared" si="1462"/>
        <v>0</v>
      </c>
      <c r="BY1205" s="1906">
        <f t="shared" si="1463"/>
        <v>0</v>
      </c>
      <c r="BZ1205" s="1906">
        <f t="shared" si="1464"/>
        <v>0</v>
      </c>
      <c r="CA1205" s="1906">
        <f t="shared" si="1465"/>
        <v>0</v>
      </c>
      <c r="CB1205" s="107"/>
      <c r="CC1205" s="1906">
        <f t="shared" si="1466"/>
        <v>0</v>
      </c>
      <c r="CD1205" s="1906">
        <f t="shared" si="1467"/>
        <v>0</v>
      </c>
      <c r="CE1205" s="1906">
        <f t="shared" si="1468"/>
        <v>0</v>
      </c>
      <c r="CF1205" s="1906">
        <f t="shared" si="1469"/>
        <v>0</v>
      </c>
      <c r="CG1205" s="1906">
        <f t="shared" si="1470"/>
        <v>0</v>
      </c>
      <c r="CH1205" s="1906">
        <f t="shared" si="1471"/>
        <v>0</v>
      </c>
      <c r="CI1205" s="1906">
        <f t="shared" si="1472"/>
        <v>0</v>
      </c>
      <c r="CJ1205" s="1906">
        <f t="shared" si="1473"/>
        <v>0</v>
      </c>
      <c r="CK1205" s="1906">
        <f t="shared" si="1474"/>
        <v>0</v>
      </c>
      <c r="CL1205" s="1906">
        <f t="shared" si="1475"/>
        <v>0</v>
      </c>
      <c r="CM1205" s="1906">
        <f t="shared" si="1476"/>
        <v>0</v>
      </c>
      <c r="CN1205" s="1906">
        <f t="shared" si="1477"/>
        <v>0</v>
      </c>
      <c r="CO1205" s="107"/>
      <c r="CP1205" s="1906">
        <f t="shared" si="1478"/>
        <v>0</v>
      </c>
      <c r="CQ1205" s="1906">
        <f t="shared" si="1479"/>
        <v>0</v>
      </c>
      <c r="CR1205" s="1906">
        <f t="shared" si="1480"/>
        <v>0</v>
      </c>
      <c r="CS1205" s="1906">
        <f t="shared" si="1481"/>
        <v>0</v>
      </c>
      <c r="CT1205" s="1906">
        <f t="shared" si="1482"/>
        <v>0</v>
      </c>
      <c r="CU1205" s="1906">
        <f t="shared" si="1483"/>
        <v>0</v>
      </c>
      <c r="CV1205" s="1906">
        <f t="shared" si="1484"/>
        <v>0</v>
      </c>
      <c r="CW1205" s="1906">
        <f t="shared" si="1485"/>
        <v>0</v>
      </c>
      <c r="CX1205" s="1906">
        <f t="shared" si="1486"/>
        <v>0</v>
      </c>
      <c r="CY1205" s="1906">
        <f t="shared" si="1487"/>
        <v>0</v>
      </c>
      <c r="CZ1205" s="1906">
        <f t="shared" si="1488"/>
        <v>0</v>
      </c>
      <c r="DA1205" s="1906">
        <f t="shared" si="1489"/>
        <v>0</v>
      </c>
      <c r="DB1205" s="1971" t="str">
        <f t="shared" si="1490"/>
        <v>Alfalfa 1</v>
      </c>
      <c r="DC1205" s="1906">
        <f t="shared" si="1491"/>
        <v>0</v>
      </c>
      <c r="DD1205" s="1906">
        <f t="shared" si="1492"/>
        <v>0</v>
      </c>
      <c r="DE1205" s="1906">
        <f t="shared" si="1493"/>
        <v>0</v>
      </c>
      <c r="DF1205" s="1906">
        <f t="shared" si="1494"/>
        <v>0</v>
      </c>
      <c r="DG1205" s="1906">
        <f t="shared" si="1495"/>
        <v>0</v>
      </c>
      <c r="DH1205" s="1906">
        <f t="shared" si="1496"/>
        <v>0</v>
      </c>
      <c r="DI1205" s="1906">
        <f t="shared" si="1497"/>
        <v>0</v>
      </c>
      <c r="DJ1205" s="1906">
        <f t="shared" si="1498"/>
        <v>0</v>
      </c>
      <c r="DK1205" s="1906">
        <f t="shared" si="1499"/>
        <v>0</v>
      </c>
      <c r="DL1205" s="1906">
        <f t="shared" si="1500"/>
        <v>0</v>
      </c>
      <c r="DM1205" s="1906">
        <f t="shared" si="1501"/>
        <v>0</v>
      </c>
      <c r="DN1205" s="1906">
        <f t="shared" si="1502"/>
        <v>0</v>
      </c>
      <c r="DO1205" s="595" t="str">
        <f t="shared" si="1503"/>
        <v>Alfalfa 1</v>
      </c>
      <c r="DP1205" s="1443">
        <f t="shared" si="1504"/>
        <v>0</v>
      </c>
      <c r="DQ1205" s="107"/>
      <c r="DR1205" s="111"/>
      <c r="DS1205" s="1906"/>
      <c r="DT1205" s="1906"/>
      <c r="DU1205" s="1906"/>
      <c r="DV1205" s="1906"/>
      <c r="DW1205" s="1906"/>
      <c r="DX1205" s="1906"/>
      <c r="DY1205" s="1906"/>
      <c r="DZ1205" s="1906"/>
      <c r="EA1205" s="1906"/>
      <c r="EB1205" s="1906"/>
      <c r="EC1205" s="1906"/>
      <c r="ED1205" s="1906"/>
    </row>
    <row r="1206" spans="1:134" x14ac:dyDescent="0.2">
      <c r="A1206" s="107"/>
      <c r="B1206" s="1857" t="str">
        <f t="shared" si="1393"/>
        <v>PP 1</v>
      </c>
      <c r="C1206" s="2013">
        <f t="shared" si="1394"/>
        <v>0</v>
      </c>
      <c r="D1206" s="2013">
        <f t="shared" si="1395"/>
        <v>0</v>
      </c>
      <c r="E1206" s="2013">
        <f t="shared" si="1396"/>
        <v>0</v>
      </c>
      <c r="F1206" s="2013">
        <f t="shared" si="1397"/>
        <v>0</v>
      </c>
      <c r="G1206" s="2013">
        <f t="shared" si="1398"/>
        <v>0</v>
      </c>
      <c r="H1206" s="2013">
        <f t="shared" si="1399"/>
        <v>0</v>
      </c>
      <c r="I1206" s="2013">
        <f t="shared" si="1400"/>
        <v>0</v>
      </c>
      <c r="J1206" s="2013">
        <f t="shared" si="1401"/>
        <v>0</v>
      </c>
      <c r="K1206" s="2013">
        <f t="shared" si="1402"/>
        <v>0</v>
      </c>
      <c r="L1206" s="2013">
        <f t="shared" si="1403"/>
        <v>0</v>
      </c>
      <c r="M1206" s="2013">
        <f t="shared" si="1404"/>
        <v>0</v>
      </c>
      <c r="N1206" s="2014">
        <f t="shared" si="1405"/>
        <v>0</v>
      </c>
      <c r="P1206" s="1898" t="str">
        <f t="shared" si="1406"/>
        <v/>
      </c>
      <c r="Q1206" s="1898" t="str">
        <f t="shared" si="1407"/>
        <v/>
      </c>
      <c r="R1206" s="1898" t="str">
        <f t="shared" si="1408"/>
        <v/>
      </c>
      <c r="S1206" s="1898" t="str">
        <f t="shared" si="1409"/>
        <v/>
      </c>
      <c r="T1206" s="1898" t="str">
        <f t="shared" si="1410"/>
        <v/>
      </c>
      <c r="U1206" s="1898" t="str">
        <f t="shared" si="1411"/>
        <v/>
      </c>
      <c r="V1206" s="1898" t="str">
        <f t="shared" si="1412"/>
        <v/>
      </c>
      <c r="W1206" s="1898" t="str">
        <f t="shared" si="1413"/>
        <v/>
      </c>
      <c r="X1206" s="1898" t="str">
        <f t="shared" si="1414"/>
        <v/>
      </c>
      <c r="Y1206" s="1898" t="str">
        <f t="shared" si="1415"/>
        <v/>
      </c>
      <c r="Z1206" s="1898" t="str">
        <f t="shared" si="1416"/>
        <v/>
      </c>
      <c r="AA1206" s="1898" t="str">
        <f t="shared" si="1417"/>
        <v/>
      </c>
      <c r="AB1206" s="1971" t="str">
        <f t="shared" si="1418"/>
        <v>PP 1</v>
      </c>
      <c r="AC1206" s="1906">
        <f t="shared" si="1419"/>
        <v>0</v>
      </c>
      <c r="AD1206" s="1906">
        <f t="shared" si="1420"/>
        <v>0</v>
      </c>
      <c r="AE1206" s="1906">
        <f t="shared" si="1421"/>
        <v>0</v>
      </c>
      <c r="AF1206" s="1906">
        <f t="shared" si="1422"/>
        <v>0</v>
      </c>
      <c r="AG1206" s="1906">
        <f t="shared" si="1423"/>
        <v>0</v>
      </c>
      <c r="AH1206" s="1906">
        <f t="shared" si="1424"/>
        <v>0</v>
      </c>
      <c r="AI1206" s="1906">
        <f t="shared" si="1425"/>
        <v>0</v>
      </c>
      <c r="AJ1206" s="1906">
        <f t="shared" si="1426"/>
        <v>0</v>
      </c>
      <c r="AK1206" s="1906">
        <f t="shared" si="1427"/>
        <v>0</v>
      </c>
      <c r="AL1206" s="1906">
        <f t="shared" si="1428"/>
        <v>0</v>
      </c>
      <c r="AM1206" s="1906">
        <f t="shared" si="1429"/>
        <v>0</v>
      </c>
      <c r="AN1206" s="1906">
        <f t="shared" si="1430"/>
        <v>0</v>
      </c>
      <c r="AO1206" s="107"/>
      <c r="AP1206" s="1906"/>
      <c r="AQ1206" s="1906">
        <f t="shared" si="1431"/>
        <v>0</v>
      </c>
      <c r="AR1206" s="1906">
        <f t="shared" si="1432"/>
        <v>0</v>
      </c>
      <c r="AS1206" s="1906">
        <f t="shared" si="1433"/>
        <v>0</v>
      </c>
      <c r="AT1206" s="1906">
        <f t="shared" si="1434"/>
        <v>0</v>
      </c>
      <c r="AU1206" s="1906">
        <f t="shared" si="1435"/>
        <v>0</v>
      </c>
      <c r="AV1206" s="1906">
        <f t="shared" si="1436"/>
        <v>0</v>
      </c>
      <c r="AW1206" s="1906">
        <f t="shared" si="1437"/>
        <v>0</v>
      </c>
      <c r="AX1206" s="1906">
        <f t="shared" si="1438"/>
        <v>0</v>
      </c>
      <c r="AY1206" s="1906">
        <f t="shared" si="1439"/>
        <v>0</v>
      </c>
      <c r="AZ1206" s="1906">
        <f t="shared" si="1440"/>
        <v>0</v>
      </c>
      <c r="BA1206" s="1906">
        <f t="shared" si="1441"/>
        <v>0</v>
      </c>
      <c r="BB1206" s="107"/>
      <c r="BC1206" s="1906">
        <f t="shared" si="1442"/>
        <v>0</v>
      </c>
      <c r="BD1206" s="1906">
        <f t="shared" si="1443"/>
        <v>0</v>
      </c>
      <c r="BE1206" s="1906">
        <f t="shared" si="1444"/>
        <v>0</v>
      </c>
      <c r="BF1206" s="1906">
        <f t="shared" si="1445"/>
        <v>0</v>
      </c>
      <c r="BG1206" s="1906">
        <f t="shared" si="1446"/>
        <v>0</v>
      </c>
      <c r="BH1206" s="1906">
        <f t="shared" si="1447"/>
        <v>0</v>
      </c>
      <c r="BI1206" s="1906">
        <f t="shared" si="1448"/>
        <v>0</v>
      </c>
      <c r="BJ1206" s="1906">
        <f t="shared" si="1449"/>
        <v>0</v>
      </c>
      <c r="BK1206" s="1906">
        <f t="shared" si="1450"/>
        <v>0</v>
      </c>
      <c r="BL1206" s="1906">
        <f t="shared" si="1451"/>
        <v>0</v>
      </c>
      <c r="BM1206" s="1906">
        <f t="shared" si="1452"/>
        <v>0</v>
      </c>
      <c r="BN1206" s="1906">
        <f t="shared" si="1453"/>
        <v>0</v>
      </c>
      <c r="BO1206" s="107"/>
      <c r="BP1206" s="1906">
        <f t="shared" si="1454"/>
        <v>0</v>
      </c>
      <c r="BQ1206" s="1906">
        <f t="shared" si="1455"/>
        <v>0</v>
      </c>
      <c r="BR1206" s="1906">
        <f t="shared" si="1456"/>
        <v>0</v>
      </c>
      <c r="BS1206" s="1906">
        <f t="shared" si="1457"/>
        <v>0</v>
      </c>
      <c r="BT1206" s="1906">
        <f t="shared" si="1458"/>
        <v>0</v>
      </c>
      <c r="BU1206" s="1906">
        <f t="shared" si="1459"/>
        <v>0</v>
      </c>
      <c r="BV1206" s="1906">
        <f t="shared" si="1460"/>
        <v>0</v>
      </c>
      <c r="BW1206" s="1906">
        <f t="shared" si="1461"/>
        <v>0</v>
      </c>
      <c r="BX1206" s="1906">
        <f t="shared" si="1462"/>
        <v>0</v>
      </c>
      <c r="BY1206" s="1906">
        <f t="shared" si="1463"/>
        <v>0</v>
      </c>
      <c r="BZ1206" s="1906">
        <f t="shared" si="1464"/>
        <v>0</v>
      </c>
      <c r="CA1206" s="1906">
        <f t="shared" si="1465"/>
        <v>0</v>
      </c>
      <c r="CB1206" s="107"/>
      <c r="CC1206" s="1906">
        <f t="shared" si="1466"/>
        <v>0</v>
      </c>
      <c r="CD1206" s="1906">
        <f t="shared" si="1467"/>
        <v>0</v>
      </c>
      <c r="CE1206" s="1906">
        <f t="shared" si="1468"/>
        <v>0</v>
      </c>
      <c r="CF1206" s="1906">
        <f t="shared" si="1469"/>
        <v>0</v>
      </c>
      <c r="CG1206" s="1906">
        <f t="shared" si="1470"/>
        <v>0</v>
      </c>
      <c r="CH1206" s="1906">
        <f t="shared" si="1471"/>
        <v>0</v>
      </c>
      <c r="CI1206" s="1906">
        <f t="shared" si="1472"/>
        <v>0</v>
      </c>
      <c r="CJ1206" s="1906">
        <f t="shared" si="1473"/>
        <v>0</v>
      </c>
      <c r="CK1206" s="1906">
        <f t="shared" si="1474"/>
        <v>0</v>
      </c>
      <c r="CL1206" s="1906">
        <f t="shared" si="1475"/>
        <v>0</v>
      </c>
      <c r="CM1206" s="1906">
        <f t="shared" si="1476"/>
        <v>0</v>
      </c>
      <c r="CN1206" s="1906">
        <f t="shared" si="1477"/>
        <v>0</v>
      </c>
      <c r="CO1206" s="107"/>
      <c r="CP1206" s="1906">
        <f t="shared" si="1478"/>
        <v>0</v>
      </c>
      <c r="CQ1206" s="1906">
        <f t="shared" si="1479"/>
        <v>0</v>
      </c>
      <c r="CR1206" s="1906">
        <f t="shared" si="1480"/>
        <v>0</v>
      </c>
      <c r="CS1206" s="1906">
        <f t="shared" si="1481"/>
        <v>0</v>
      </c>
      <c r="CT1206" s="1906">
        <f t="shared" si="1482"/>
        <v>0</v>
      </c>
      <c r="CU1206" s="1906">
        <f t="shared" si="1483"/>
        <v>0</v>
      </c>
      <c r="CV1206" s="1906">
        <f t="shared" si="1484"/>
        <v>0</v>
      </c>
      <c r="CW1206" s="1906">
        <f t="shared" si="1485"/>
        <v>0</v>
      </c>
      <c r="CX1206" s="1906">
        <f t="shared" si="1486"/>
        <v>0</v>
      </c>
      <c r="CY1206" s="1906">
        <f t="shared" si="1487"/>
        <v>0</v>
      </c>
      <c r="CZ1206" s="1906">
        <f t="shared" si="1488"/>
        <v>0</v>
      </c>
      <c r="DA1206" s="1906">
        <f t="shared" si="1489"/>
        <v>0</v>
      </c>
      <c r="DB1206" s="1971" t="str">
        <f t="shared" si="1490"/>
        <v>PP 1</v>
      </c>
      <c r="DC1206" s="1906">
        <f t="shared" si="1491"/>
        <v>0</v>
      </c>
      <c r="DD1206" s="1906">
        <f t="shared" si="1492"/>
        <v>0</v>
      </c>
      <c r="DE1206" s="1906">
        <f t="shared" si="1493"/>
        <v>0</v>
      </c>
      <c r="DF1206" s="1906">
        <f t="shared" si="1494"/>
        <v>0</v>
      </c>
      <c r="DG1206" s="1906">
        <f t="shared" si="1495"/>
        <v>0</v>
      </c>
      <c r="DH1206" s="1906">
        <f t="shared" si="1496"/>
        <v>0</v>
      </c>
      <c r="DI1206" s="1906">
        <f t="shared" si="1497"/>
        <v>0</v>
      </c>
      <c r="DJ1206" s="1906">
        <f t="shared" si="1498"/>
        <v>0</v>
      </c>
      <c r="DK1206" s="1906">
        <f t="shared" si="1499"/>
        <v>0</v>
      </c>
      <c r="DL1206" s="1906">
        <f t="shared" si="1500"/>
        <v>0</v>
      </c>
      <c r="DM1206" s="1906">
        <f t="shared" si="1501"/>
        <v>0</v>
      </c>
      <c r="DN1206" s="1906">
        <f t="shared" si="1502"/>
        <v>0</v>
      </c>
      <c r="DO1206" s="595" t="str">
        <f t="shared" si="1503"/>
        <v>PP 1</v>
      </c>
      <c r="DP1206" s="1443">
        <f t="shared" si="1504"/>
        <v>0</v>
      </c>
      <c r="DQ1206" s="107"/>
      <c r="DR1206" s="111"/>
      <c r="DS1206" s="1906"/>
      <c r="DT1206" s="1906"/>
      <c r="DU1206" s="1906"/>
      <c r="DV1206" s="1906"/>
      <c r="DW1206" s="1906"/>
      <c r="DX1206" s="1906"/>
      <c r="DY1206" s="1906"/>
      <c r="DZ1206" s="1906"/>
      <c r="EA1206" s="1906"/>
      <c r="EB1206" s="1906"/>
      <c r="EC1206" s="1906"/>
      <c r="ED1206" s="1906"/>
    </row>
    <row r="1207" spans="1:134" x14ac:dyDescent="0.2">
      <c r="A1207" s="107"/>
      <c r="B1207" s="1857" t="str">
        <f t="shared" si="1393"/>
        <v>Prad 1</v>
      </c>
      <c r="C1207" s="2013">
        <f t="shared" si="1394"/>
        <v>0</v>
      </c>
      <c r="D1207" s="2013">
        <f t="shared" si="1395"/>
        <v>0</v>
      </c>
      <c r="E1207" s="2013">
        <f t="shared" si="1396"/>
        <v>0</v>
      </c>
      <c r="F1207" s="2013">
        <f t="shared" si="1397"/>
        <v>0</v>
      </c>
      <c r="G1207" s="2013">
        <f t="shared" si="1398"/>
        <v>0</v>
      </c>
      <c r="H1207" s="2013">
        <f t="shared" si="1399"/>
        <v>0</v>
      </c>
      <c r="I1207" s="2013">
        <f t="shared" si="1400"/>
        <v>0</v>
      </c>
      <c r="J1207" s="2013">
        <f t="shared" si="1401"/>
        <v>0</v>
      </c>
      <c r="K1207" s="2013">
        <f t="shared" si="1402"/>
        <v>0</v>
      </c>
      <c r="L1207" s="2013">
        <f t="shared" si="1403"/>
        <v>0</v>
      </c>
      <c r="M1207" s="2013">
        <f t="shared" si="1404"/>
        <v>0</v>
      </c>
      <c r="N1207" s="2014">
        <f t="shared" si="1405"/>
        <v>0</v>
      </c>
      <c r="P1207" s="1898" t="str">
        <f t="shared" si="1406"/>
        <v/>
      </c>
      <c r="Q1207" s="1898" t="str">
        <f t="shared" si="1407"/>
        <v/>
      </c>
      <c r="R1207" s="1898" t="str">
        <f t="shared" si="1408"/>
        <v/>
      </c>
      <c r="S1207" s="1898" t="str">
        <f t="shared" si="1409"/>
        <v/>
      </c>
      <c r="T1207" s="1898" t="str">
        <f t="shared" si="1410"/>
        <v/>
      </c>
      <c r="U1207" s="1898" t="str">
        <f t="shared" si="1411"/>
        <v/>
      </c>
      <c r="V1207" s="1898" t="str">
        <f t="shared" si="1412"/>
        <v/>
      </c>
      <c r="W1207" s="1898" t="str">
        <f t="shared" si="1413"/>
        <v/>
      </c>
      <c r="X1207" s="1898" t="str">
        <f t="shared" si="1414"/>
        <v/>
      </c>
      <c r="Y1207" s="1898" t="str">
        <f t="shared" si="1415"/>
        <v/>
      </c>
      <c r="Z1207" s="1898" t="str">
        <f t="shared" si="1416"/>
        <v/>
      </c>
      <c r="AA1207" s="1898" t="str">
        <f t="shared" si="1417"/>
        <v/>
      </c>
      <c r="AB1207" s="1971" t="str">
        <f t="shared" si="1418"/>
        <v>Prad 1</v>
      </c>
      <c r="AC1207" s="1906">
        <f t="shared" si="1419"/>
        <v>0</v>
      </c>
      <c r="AD1207" s="1906">
        <f t="shared" si="1420"/>
        <v>0</v>
      </c>
      <c r="AE1207" s="1906">
        <f t="shared" si="1421"/>
        <v>0</v>
      </c>
      <c r="AF1207" s="1906">
        <f t="shared" si="1422"/>
        <v>0</v>
      </c>
      <c r="AG1207" s="1906">
        <f t="shared" si="1423"/>
        <v>0</v>
      </c>
      <c r="AH1207" s="1906">
        <f t="shared" si="1424"/>
        <v>0</v>
      </c>
      <c r="AI1207" s="1906">
        <f t="shared" si="1425"/>
        <v>0</v>
      </c>
      <c r="AJ1207" s="1906">
        <f t="shared" si="1426"/>
        <v>0</v>
      </c>
      <c r="AK1207" s="1906">
        <f t="shared" si="1427"/>
        <v>0</v>
      </c>
      <c r="AL1207" s="1906">
        <f t="shared" si="1428"/>
        <v>0</v>
      </c>
      <c r="AM1207" s="1906">
        <f t="shared" si="1429"/>
        <v>0</v>
      </c>
      <c r="AN1207" s="1906">
        <f t="shared" si="1430"/>
        <v>0</v>
      </c>
      <c r="AO1207" s="107"/>
      <c r="AP1207" s="1906"/>
      <c r="AQ1207" s="1906">
        <f t="shared" si="1431"/>
        <v>0</v>
      </c>
      <c r="AR1207" s="1906">
        <f t="shared" si="1432"/>
        <v>0</v>
      </c>
      <c r="AS1207" s="1906">
        <f t="shared" si="1433"/>
        <v>0</v>
      </c>
      <c r="AT1207" s="1906">
        <f t="shared" si="1434"/>
        <v>0</v>
      </c>
      <c r="AU1207" s="1906">
        <f t="shared" si="1435"/>
        <v>0</v>
      </c>
      <c r="AV1207" s="1906">
        <f t="shared" si="1436"/>
        <v>0</v>
      </c>
      <c r="AW1207" s="1906">
        <f t="shared" si="1437"/>
        <v>0</v>
      </c>
      <c r="AX1207" s="1906">
        <f t="shared" si="1438"/>
        <v>0</v>
      </c>
      <c r="AY1207" s="1906">
        <f t="shared" si="1439"/>
        <v>0</v>
      </c>
      <c r="AZ1207" s="1906">
        <f t="shared" si="1440"/>
        <v>0</v>
      </c>
      <c r="BA1207" s="1906">
        <f t="shared" si="1441"/>
        <v>0</v>
      </c>
      <c r="BB1207" s="107"/>
      <c r="BC1207" s="1906">
        <f t="shared" si="1442"/>
        <v>0</v>
      </c>
      <c r="BD1207" s="1906">
        <f t="shared" si="1443"/>
        <v>0</v>
      </c>
      <c r="BE1207" s="1906">
        <f t="shared" si="1444"/>
        <v>0</v>
      </c>
      <c r="BF1207" s="1906">
        <f t="shared" si="1445"/>
        <v>0</v>
      </c>
      <c r="BG1207" s="1906">
        <f t="shared" si="1446"/>
        <v>0</v>
      </c>
      <c r="BH1207" s="1906">
        <f t="shared" si="1447"/>
        <v>0</v>
      </c>
      <c r="BI1207" s="1906">
        <f t="shared" si="1448"/>
        <v>0</v>
      </c>
      <c r="BJ1207" s="1906">
        <f t="shared" si="1449"/>
        <v>0</v>
      </c>
      <c r="BK1207" s="1906">
        <f t="shared" si="1450"/>
        <v>0</v>
      </c>
      <c r="BL1207" s="1906">
        <f t="shared" si="1451"/>
        <v>0</v>
      </c>
      <c r="BM1207" s="1906">
        <f t="shared" si="1452"/>
        <v>0</v>
      </c>
      <c r="BN1207" s="1906">
        <f t="shared" si="1453"/>
        <v>0</v>
      </c>
      <c r="BO1207" s="107"/>
      <c r="BP1207" s="1906">
        <f t="shared" si="1454"/>
        <v>0</v>
      </c>
      <c r="BQ1207" s="1906">
        <f t="shared" si="1455"/>
        <v>0</v>
      </c>
      <c r="BR1207" s="1906">
        <f t="shared" si="1456"/>
        <v>0</v>
      </c>
      <c r="BS1207" s="1906">
        <f t="shared" si="1457"/>
        <v>0</v>
      </c>
      <c r="BT1207" s="1906">
        <f t="shared" si="1458"/>
        <v>0</v>
      </c>
      <c r="BU1207" s="1906">
        <f t="shared" si="1459"/>
        <v>0</v>
      </c>
      <c r="BV1207" s="1906">
        <f t="shared" si="1460"/>
        <v>0</v>
      </c>
      <c r="BW1207" s="1906">
        <f t="shared" si="1461"/>
        <v>0</v>
      </c>
      <c r="BX1207" s="1906">
        <f t="shared" si="1462"/>
        <v>0</v>
      </c>
      <c r="BY1207" s="1906">
        <f t="shared" si="1463"/>
        <v>0</v>
      </c>
      <c r="BZ1207" s="1906">
        <f t="shared" si="1464"/>
        <v>0</v>
      </c>
      <c r="CA1207" s="1906">
        <f t="shared" si="1465"/>
        <v>0</v>
      </c>
      <c r="CB1207" s="107"/>
      <c r="CC1207" s="1906">
        <f t="shared" si="1466"/>
        <v>0</v>
      </c>
      <c r="CD1207" s="1906">
        <f t="shared" si="1467"/>
        <v>0</v>
      </c>
      <c r="CE1207" s="1906">
        <f t="shared" si="1468"/>
        <v>0</v>
      </c>
      <c r="CF1207" s="1906">
        <f t="shared" si="1469"/>
        <v>0</v>
      </c>
      <c r="CG1207" s="1906">
        <f t="shared" si="1470"/>
        <v>0</v>
      </c>
      <c r="CH1207" s="1906">
        <f t="shared" si="1471"/>
        <v>0</v>
      </c>
      <c r="CI1207" s="1906">
        <f t="shared" si="1472"/>
        <v>0</v>
      </c>
      <c r="CJ1207" s="1906">
        <f t="shared" si="1473"/>
        <v>0</v>
      </c>
      <c r="CK1207" s="1906">
        <f t="shared" si="1474"/>
        <v>0</v>
      </c>
      <c r="CL1207" s="1906">
        <f t="shared" si="1475"/>
        <v>0</v>
      </c>
      <c r="CM1207" s="1906">
        <f t="shared" si="1476"/>
        <v>0</v>
      </c>
      <c r="CN1207" s="1906">
        <f t="shared" si="1477"/>
        <v>0</v>
      </c>
      <c r="CO1207" s="107"/>
      <c r="CP1207" s="1906">
        <f t="shared" si="1478"/>
        <v>0</v>
      </c>
      <c r="CQ1207" s="1906">
        <f t="shared" si="1479"/>
        <v>0</v>
      </c>
      <c r="CR1207" s="1906">
        <f t="shared" si="1480"/>
        <v>0</v>
      </c>
      <c r="CS1207" s="1906">
        <f t="shared" si="1481"/>
        <v>0</v>
      </c>
      <c r="CT1207" s="1906">
        <f t="shared" si="1482"/>
        <v>0</v>
      </c>
      <c r="CU1207" s="1906">
        <f t="shared" si="1483"/>
        <v>0</v>
      </c>
      <c r="CV1207" s="1906">
        <f t="shared" si="1484"/>
        <v>0</v>
      </c>
      <c r="CW1207" s="1906">
        <f t="shared" si="1485"/>
        <v>0</v>
      </c>
      <c r="CX1207" s="1906">
        <f t="shared" si="1486"/>
        <v>0</v>
      </c>
      <c r="CY1207" s="1906">
        <f t="shared" si="1487"/>
        <v>0</v>
      </c>
      <c r="CZ1207" s="1906">
        <f t="shared" si="1488"/>
        <v>0</v>
      </c>
      <c r="DA1207" s="1906">
        <f t="shared" si="1489"/>
        <v>0</v>
      </c>
      <c r="DB1207" s="1971" t="str">
        <f t="shared" si="1490"/>
        <v>Prad 1</v>
      </c>
      <c r="DC1207" s="1906">
        <f t="shared" si="1491"/>
        <v>0</v>
      </c>
      <c r="DD1207" s="1906">
        <f t="shared" si="1492"/>
        <v>0</v>
      </c>
      <c r="DE1207" s="1906">
        <f t="shared" si="1493"/>
        <v>0</v>
      </c>
      <c r="DF1207" s="1906">
        <f t="shared" si="1494"/>
        <v>0</v>
      </c>
      <c r="DG1207" s="1906">
        <f t="shared" si="1495"/>
        <v>0</v>
      </c>
      <c r="DH1207" s="1906">
        <f t="shared" si="1496"/>
        <v>0</v>
      </c>
      <c r="DI1207" s="1906">
        <f t="shared" si="1497"/>
        <v>0</v>
      </c>
      <c r="DJ1207" s="1906">
        <f t="shared" si="1498"/>
        <v>0</v>
      </c>
      <c r="DK1207" s="1906">
        <f t="shared" si="1499"/>
        <v>0</v>
      </c>
      <c r="DL1207" s="1906">
        <f t="shared" si="1500"/>
        <v>0</v>
      </c>
      <c r="DM1207" s="1906">
        <f t="shared" si="1501"/>
        <v>0</v>
      </c>
      <c r="DN1207" s="1906">
        <f t="shared" si="1502"/>
        <v>0</v>
      </c>
      <c r="DO1207" s="595" t="str">
        <f t="shared" si="1503"/>
        <v>Prad 1</v>
      </c>
      <c r="DP1207" s="1443">
        <f t="shared" si="1504"/>
        <v>0</v>
      </c>
      <c r="DQ1207" s="107"/>
      <c r="DR1207" s="111"/>
      <c r="DS1207" s="1906"/>
      <c r="DT1207" s="1906"/>
      <c r="DU1207" s="1906"/>
      <c r="DV1207" s="1906"/>
      <c r="DW1207" s="1906"/>
      <c r="DX1207" s="1906"/>
      <c r="DY1207" s="1906"/>
      <c r="DZ1207" s="1906"/>
      <c r="EA1207" s="1906"/>
      <c r="EB1207" s="1906"/>
      <c r="EC1207" s="1906"/>
      <c r="ED1207" s="1906"/>
    </row>
    <row r="1208" spans="1:134" x14ac:dyDescent="0.2">
      <c r="A1208" s="107"/>
      <c r="B1208" s="1857" t="str">
        <f t="shared" si="1393"/>
        <v>Trébol Rojo 1</v>
      </c>
      <c r="C1208" s="2013">
        <f t="shared" si="1394"/>
        <v>0</v>
      </c>
      <c r="D1208" s="2013">
        <f t="shared" si="1395"/>
        <v>0</v>
      </c>
      <c r="E1208" s="2013">
        <f t="shared" si="1396"/>
        <v>0</v>
      </c>
      <c r="F1208" s="2013">
        <f t="shared" si="1397"/>
        <v>0</v>
      </c>
      <c r="G1208" s="2013">
        <f t="shared" si="1398"/>
        <v>0</v>
      </c>
      <c r="H1208" s="2013">
        <f t="shared" si="1399"/>
        <v>0</v>
      </c>
      <c r="I1208" s="2013">
        <f t="shared" si="1400"/>
        <v>0</v>
      </c>
      <c r="J1208" s="2013">
        <f t="shared" si="1401"/>
        <v>0</v>
      </c>
      <c r="K1208" s="2013">
        <f t="shared" si="1402"/>
        <v>0</v>
      </c>
      <c r="L1208" s="2013">
        <f t="shared" si="1403"/>
        <v>0</v>
      </c>
      <c r="M1208" s="2013">
        <f t="shared" si="1404"/>
        <v>0</v>
      </c>
      <c r="N1208" s="2014">
        <f t="shared" si="1405"/>
        <v>0</v>
      </c>
      <c r="P1208" s="1898" t="str">
        <f t="shared" si="1406"/>
        <v/>
      </c>
      <c r="Q1208" s="1898" t="str">
        <f t="shared" si="1407"/>
        <v/>
      </c>
      <c r="R1208" s="1898" t="str">
        <f t="shared" si="1408"/>
        <v/>
      </c>
      <c r="S1208" s="1898" t="str">
        <f t="shared" si="1409"/>
        <v/>
      </c>
      <c r="T1208" s="1898" t="str">
        <f t="shared" si="1410"/>
        <v/>
      </c>
      <c r="U1208" s="1898" t="str">
        <f t="shared" si="1411"/>
        <v/>
      </c>
      <c r="V1208" s="1898" t="str">
        <f t="shared" si="1412"/>
        <v/>
      </c>
      <c r="W1208" s="1898" t="str">
        <f t="shared" si="1413"/>
        <v/>
      </c>
      <c r="X1208" s="1898" t="str">
        <f t="shared" si="1414"/>
        <v/>
      </c>
      <c r="Y1208" s="1898" t="str">
        <f t="shared" si="1415"/>
        <v/>
      </c>
      <c r="Z1208" s="1898" t="str">
        <f t="shared" si="1416"/>
        <v/>
      </c>
      <c r="AA1208" s="1898" t="str">
        <f t="shared" si="1417"/>
        <v/>
      </c>
      <c r="AB1208" s="1971" t="str">
        <f t="shared" si="1418"/>
        <v>Trébol Rojo 1</v>
      </c>
      <c r="AC1208" s="1906">
        <f t="shared" si="1419"/>
        <v>0</v>
      </c>
      <c r="AD1208" s="1906">
        <f t="shared" si="1420"/>
        <v>0</v>
      </c>
      <c r="AE1208" s="1906">
        <f t="shared" si="1421"/>
        <v>0</v>
      </c>
      <c r="AF1208" s="1906">
        <f t="shared" si="1422"/>
        <v>0</v>
      </c>
      <c r="AG1208" s="1906">
        <f t="shared" si="1423"/>
        <v>0</v>
      </c>
      <c r="AH1208" s="1906">
        <f t="shared" si="1424"/>
        <v>0</v>
      </c>
      <c r="AI1208" s="1906">
        <f t="shared" si="1425"/>
        <v>0</v>
      </c>
      <c r="AJ1208" s="1906">
        <f t="shared" si="1426"/>
        <v>0</v>
      </c>
      <c r="AK1208" s="1906">
        <f t="shared" si="1427"/>
        <v>0</v>
      </c>
      <c r="AL1208" s="1906">
        <f t="shared" si="1428"/>
        <v>0</v>
      </c>
      <c r="AM1208" s="1906">
        <f t="shared" si="1429"/>
        <v>0</v>
      </c>
      <c r="AN1208" s="1906">
        <f t="shared" si="1430"/>
        <v>0</v>
      </c>
      <c r="AO1208" s="107"/>
      <c r="AP1208" s="1906"/>
      <c r="AQ1208" s="1906">
        <f t="shared" si="1431"/>
        <v>0</v>
      </c>
      <c r="AR1208" s="1906">
        <f t="shared" si="1432"/>
        <v>0</v>
      </c>
      <c r="AS1208" s="1906">
        <f t="shared" si="1433"/>
        <v>0</v>
      </c>
      <c r="AT1208" s="1906">
        <f t="shared" si="1434"/>
        <v>0</v>
      </c>
      <c r="AU1208" s="1906">
        <f t="shared" si="1435"/>
        <v>0</v>
      </c>
      <c r="AV1208" s="1906">
        <f t="shared" si="1436"/>
        <v>0</v>
      </c>
      <c r="AW1208" s="1906">
        <f t="shared" si="1437"/>
        <v>0</v>
      </c>
      <c r="AX1208" s="1906">
        <f t="shared" si="1438"/>
        <v>0</v>
      </c>
      <c r="AY1208" s="1906">
        <f t="shared" si="1439"/>
        <v>0</v>
      </c>
      <c r="AZ1208" s="1906">
        <f t="shared" si="1440"/>
        <v>0</v>
      </c>
      <c r="BA1208" s="1906">
        <f t="shared" si="1441"/>
        <v>0</v>
      </c>
      <c r="BB1208" s="107"/>
      <c r="BC1208" s="1906">
        <f t="shared" si="1442"/>
        <v>0</v>
      </c>
      <c r="BD1208" s="1906">
        <f t="shared" si="1443"/>
        <v>0</v>
      </c>
      <c r="BE1208" s="1906">
        <f t="shared" si="1444"/>
        <v>0</v>
      </c>
      <c r="BF1208" s="1906">
        <f t="shared" si="1445"/>
        <v>0</v>
      </c>
      <c r="BG1208" s="1906">
        <f t="shared" si="1446"/>
        <v>0</v>
      </c>
      <c r="BH1208" s="1906">
        <f t="shared" si="1447"/>
        <v>0</v>
      </c>
      <c r="BI1208" s="1906">
        <f t="shared" si="1448"/>
        <v>0</v>
      </c>
      <c r="BJ1208" s="1906">
        <f t="shared" si="1449"/>
        <v>0</v>
      </c>
      <c r="BK1208" s="1906">
        <f t="shared" si="1450"/>
        <v>0</v>
      </c>
      <c r="BL1208" s="1906">
        <f t="shared" si="1451"/>
        <v>0</v>
      </c>
      <c r="BM1208" s="1906">
        <f t="shared" si="1452"/>
        <v>0</v>
      </c>
      <c r="BN1208" s="1906">
        <f t="shared" si="1453"/>
        <v>0</v>
      </c>
      <c r="BO1208" s="107"/>
      <c r="BP1208" s="1906">
        <f t="shared" si="1454"/>
        <v>0</v>
      </c>
      <c r="BQ1208" s="1906">
        <f t="shared" si="1455"/>
        <v>0</v>
      </c>
      <c r="BR1208" s="1906">
        <f t="shared" si="1456"/>
        <v>0</v>
      </c>
      <c r="BS1208" s="1906">
        <f t="shared" si="1457"/>
        <v>0</v>
      </c>
      <c r="BT1208" s="1906">
        <f t="shared" si="1458"/>
        <v>0</v>
      </c>
      <c r="BU1208" s="1906">
        <f t="shared" si="1459"/>
        <v>0</v>
      </c>
      <c r="BV1208" s="1906">
        <f t="shared" si="1460"/>
        <v>0</v>
      </c>
      <c r="BW1208" s="1906">
        <f t="shared" si="1461"/>
        <v>0</v>
      </c>
      <c r="BX1208" s="1906">
        <f t="shared" si="1462"/>
        <v>0</v>
      </c>
      <c r="BY1208" s="1906">
        <f t="shared" si="1463"/>
        <v>0</v>
      </c>
      <c r="BZ1208" s="1906">
        <f t="shared" si="1464"/>
        <v>0</v>
      </c>
      <c r="CA1208" s="1906">
        <f t="shared" si="1465"/>
        <v>0</v>
      </c>
      <c r="CB1208" s="107"/>
      <c r="CC1208" s="1906">
        <f t="shared" si="1466"/>
        <v>0</v>
      </c>
      <c r="CD1208" s="1906">
        <f t="shared" si="1467"/>
        <v>0</v>
      </c>
      <c r="CE1208" s="1906">
        <f t="shared" si="1468"/>
        <v>0</v>
      </c>
      <c r="CF1208" s="1906">
        <f t="shared" si="1469"/>
        <v>0</v>
      </c>
      <c r="CG1208" s="1906">
        <f t="shared" si="1470"/>
        <v>0</v>
      </c>
      <c r="CH1208" s="1906">
        <f t="shared" si="1471"/>
        <v>0</v>
      </c>
      <c r="CI1208" s="1906">
        <f t="shared" si="1472"/>
        <v>0</v>
      </c>
      <c r="CJ1208" s="1906">
        <f t="shared" si="1473"/>
        <v>0</v>
      </c>
      <c r="CK1208" s="1906">
        <f t="shared" si="1474"/>
        <v>0</v>
      </c>
      <c r="CL1208" s="1906">
        <f t="shared" si="1475"/>
        <v>0</v>
      </c>
      <c r="CM1208" s="1906">
        <f t="shared" si="1476"/>
        <v>0</v>
      </c>
      <c r="CN1208" s="1906">
        <f t="shared" si="1477"/>
        <v>0</v>
      </c>
      <c r="CO1208" s="107"/>
      <c r="CP1208" s="1906">
        <f t="shared" si="1478"/>
        <v>0</v>
      </c>
      <c r="CQ1208" s="1906">
        <f t="shared" si="1479"/>
        <v>0</v>
      </c>
      <c r="CR1208" s="1906">
        <f t="shared" si="1480"/>
        <v>0</v>
      </c>
      <c r="CS1208" s="1906">
        <f t="shared" si="1481"/>
        <v>0</v>
      </c>
      <c r="CT1208" s="1906">
        <f t="shared" si="1482"/>
        <v>0</v>
      </c>
      <c r="CU1208" s="1906">
        <f t="shared" si="1483"/>
        <v>0</v>
      </c>
      <c r="CV1208" s="1906">
        <f t="shared" si="1484"/>
        <v>0</v>
      </c>
      <c r="CW1208" s="1906">
        <f t="shared" si="1485"/>
        <v>0</v>
      </c>
      <c r="CX1208" s="1906">
        <f t="shared" si="1486"/>
        <v>0</v>
      </c>
      <c r="CY1208" s="1906">
        <f t="shared" si="1487"/>
        <v>0</v>
      </c>
      <c r="CZ1208" s="1906">
        <f t="shared" si="1488"/>
        <v>0</v>
      </c>
      <c r="DA1208" s="1906">
        <f t="shared" si="1489"/>
        <v>0</v>
      </c>
      <c r="DB1208" s="1971" t="str">
        <f t="shared" si="1490"/>
        <v>Trébol Rojo 1</v>
      </c>
      <c r="DC1208" s="1906">
        <f t="shared" si="1491"/>
        <v>0</v>
      </c>
      <c r="DD1208" s="1906">
        <f t="shared" si="1492"/>
        <v>0</v>
      </c>
      <c r="DE1208" s="1906">
        <f t="shared" si="1493"/>
        <v>0</v>
      </c>
      <c r="DF1208" s="1906">
        <f t="shared" si="1494"/>
        <v>0</v>
      </c>
      <c r="DG1208" s="1906">
        <f t="shared" si="1495"/>
        <v>0</v>
      </c>
      <c r="DH1208" s="1906">
        <f t="shared" si="1496"/>
        <v>0</v>
      </c>
      <c r="DI1208" s="1906">
        <f t="shared" si="1497"/>
        <v>0</v>
      </c>
      <c r="DJ1208" s="1906">
        <f t="shared" si="1498"/>
        <v>0</v>
      </c>
      <c r="DK1208" s="1906">
        <f t="shared" si="1499"/>
        <v>0</v>
      </c>
      <c r="DL1208" s="1906">
        <f t="shared" si="1500"/>
        <v>0</v>
      </c>
      <c r="DM1208" s="1906">
        <f t="shared" si="1501"/>
        <v>0</v>
      </c>
      <c r="DN1208" s="1906">
        <f t="shared" si="1502"/>
        <v>0</v>
      </c>
      <c r="DO1208" s="595" t="str">
        <f t="shared" si="1503"/>
        <v>Trébol Rojo 1</v>
      </c>
      <c r="DP1208" s="1443">
        <f t="shared" si="1504"/>
        <v>0</v>
      </c>
      <c r="DQ1208" s="107"/>
      <c r="DR1208" s="111"/>
      <c r="DS1208" s="1906"/>
      <c r="DT1208" s="1906"/>
      <c r="DU1208" s="1906"/>
      <c r="DV1208" s="1906"/>
      <c r="DW1208" s="1906"/>
      <c r="DX1208" s="1906"/>
      <c r="DY1208" s="1906"/>
      <c r="DZ1208" s="1906"/>
      <c r="EA1208" s="1906"/>
      <c r="EB1208" s="1906"/>
      <c r="EC1208" s="1906"/>
      <c r="ED1208" s="1906"/>
    </row>
    <row r="1209" spans="1:134" x14ac:dyDescent="0.2">
      <c r="A1209" s="107"/>
      <c r="B1209" s="1857">
        <f t="shared" si="1393"/>
        <v>0</v>
      </c>
      <c r="C1209" s="2013">
        <f t="shared" si="1394"/>
        <v>0</v>
      </c>
      <c r="D1209" s="2013">
        <f t="shared" si="1395"/>
        <v>0</v>
      </c>
      <c r="E1209" s="2013">
        <f t="shared" si="1396"/>
        <v>0</v>
      </c>
      <c r="F1209" s="2013">
        <f t="shared" si="1397"/>
        <v>0</v>
      </c>
      <c r="G1209" s="2013">
        <f t="shared" si="1398"/>
        <v>0</v>
      </c>
      <c r="H1209" s="2013">
        <f t="shared" si="1399"/>
        <v>0</v>
      </c>
      <c r="I1209" s="2013">
        <f t="shared" si="1400"/>
        <v>0</v>
      </c>
      <c r="J1209" s="2013">
        <f t="shared" si="1401"/>
        <v>0</v>
      </c>
      <c r="K1209" s="2013">
        <f t="shared" si="1402"/>
        <v>0</v>
      </c>
      <c r="L1209" s="2013">
        <f t="shared" si="1403"/>
        <v>0</v>
      </c>
      <c r="M1209" s="2013">
        <f t="shared" si="1404"/>
        <v>0</v>
      </c>
      <c r="N1209" s="2014">
        <f t="shared" si="1405"/>
        <v>0</v>
      </c>
      <c r="P1209" s="1898" t="str">
        <f t="shared" si="1406"/>
        <v/>
      </c>
      <c r="Q1209" s="1898" t="str">
        <f t="shared" si="1407"/>
        <v/>
      </c>
      <c r="R1209" s="1898" t="str">
        <f t="shared" si="1408"/>
        <v/>
      </c>
      <c r="S1209" s="1898" t="str">
        <f t="shared" si="1409"/>
        <v/>
      </c>
      <c r="T1209" s="1898" t="str">
        <f t="shared" si="1410"/>
        <v/>
      </c>
      <c r="U1209" s="1898" t="str">
        <f t="shared" si="1411"/>
        <v/>
      </c>
      <c r="V1209" s="1898" t="str">
        <f t="shared" si="1412"/>
        <v/>
      </c>
      <c r="W1209" s="1898" t="str">
        <f t="shared" si="1413"/>
        <v/>
      </c>
      <c r="X1209" s="1898" t="str">
        <f t="shared" si="1414"/>
        <v/>
      </c>
      <c r="Y1209" s="1898" t="str">
        <f t="shared" si="1415"/>
        <v/>
      </c>
      <c r="Z1209" s="1898" t="str">
        <f t="shared" si="1416"/>
        <v/>
      </c>
      <c r="AA1209" s="1898" t="str">
        <f t="shared" si="1417"/>
        <v/>
      </c>
      <c r="AB1209" s="1971">
        <f t="shared" si="1418"/>
        <v>0</v>
      </c>
      <c r="AC1209" s="1906">
        <f t="shared" si="1419"/>
        <v>0</v>
      </c>
      <c r="AD1209" s="1906">
        <f t="shared" si="1420"/>
        <v>0</v>
      </c>
      <c r="AE1209" s="1906">
        <f t="shared" si="1421"/>
        <v>0</v>
      </c>
      <c r="AF1209" s="1906">
        <f t="shared" si="1422"/>
        <v>0</v>
      </c>
      <c r="AG1209" s="1906">
        <f t="shared" si="1423"/>
        <v>0</v>
      </c>
      <c r="AH1209" s="1906">
        <f t="shared" si="1424"/>
        <v>0</v>
      </c>
      <c r="AI1209" s="1906">
        <f t="shared" si="1425"/>
        <v>0</v>
      </c>
      <c r="AJ1209" s="1906">
        <f t="shared" si="1426"/>
        <v>0</v>
      </c>
      <c r="AK1209" s="1906">
        <f t="shared" si="1427"/>
        <v>0</v>
      </c>
      <c r="AL1209" s="1906">
        <f t="shared" si="1428"/>
        <v>0</v>
      </c>
      <c r="AM1209" s="1906">
        <f t="shared" si="1429"/>
        <v>0</v>
      </c>
      <c r="AN1209" s="1906">
        <f t="shared" si="1430"/>
        <v>0</v>
      </c>
      <c r="AO1209" s="107"/>
      <c r="AP1209" s="1906"/>
      <c r="AQ1209" s="1906">
        <f t="shared" si="1431"/>
        <v>0</v>
      </c>
      <c r="AR1209" s="1906">
        <f t="shared" si="1432"/>
        <v>0</v>
      </c>
      <c r="AS1209" s="1906">
        <f t="shared" si="1433"/>
        <v>0</v>
      </c>
      <c r="AT1209" s="1906">
        <f t="shared" si="1434"/>
        <v>0</v>
      </c>
      <c r="AU1209" s="1906">
        <f t="shared" si="1435"/>
        <v>0</v>
      </c>
      <c r="AV1209" s="1906">
        <f t="shared" si="1436"/>
        <v>0</v>
      </c>
      <c r="AW1209" s="1906">
        <f t="shared" si="1437"/>
        <v>0</v>
      </c>
      <c r="AX1209" s="1906">
        <f t="shared" si="1438"/>
        <v>0</v>
      </c>
      <c r="AY1209" s="1906">
        <f t="shared" si="1439"/>
        <v>0</v>
      </c>
      <c r="AZ1209" s="1906">
        <f t="shared" si="1440"/>
        <v>0</v>
      </c>
      <c r="BA1209" s="1906">
        <f t="shared" si="1441"/>
        <v>0</v>
      </c>
      <c r="BB1209" s="107"/>
      <c r="BC1209" s="1906">
        <f t="shared" si="1442"/>
        <v>0</v>
      </c>
      <c r="BD1209" s="1906">
        <f t="shared" si="1443"/>
        <v>0</v>
      </c>
      <c r="BE1209" s="1906">
        <f t="shared" si="1444"/>
        <v>0</v>
      </c>
      <c r="BF1209" s="1906">
        <f t="shared" si="1445"/>
        <v>0</v>
      </c>
      <c r="BG1209" s="1906">
        <f t="shared" si="1446"/>
        <v>0</v>
      </c>
      <c r="BH1209" s="1906">
        <f t="shared" si="1447"/>
        <v>0</v>
      </c>
      <c r="BI1209" s="1906">
        <f t="shared" si="1448"/>
        <v>0</v>
      </c>
      <c r="BJ1209" s="1906">
        <f t="shared" si="1449"/>
        <v>0</v>
      </c>
      <c r="BK1209" s="1906">
        <f t="shared" si="1450"/>
        <v>0</v>
      </c>
      <c r="BL1209" s="1906">
        <f t="shared" si="1451"/>
        <v>0</v>
      </c>
      <c r="BM1209" s="1906">
        <f t="shared" si="1452"/>
        <v>0</v>
      </c>
      <c r="BN1209" s="1906">
        <f t="shared" si="1453"/>
        <v>0</v>
      </c>
      <c r="BO1209" s="107"/>
      <c r="BP1209" s="1906">
        <f t="shared" si="1454"/>
        <v>0</v>
      </c>
      <c r="BQ1209" s="1906">
        <f t="shared" si="1455"/>
        <v>0</v>
      </c>
      <c r="BR1209" s="1906">
        <f t="shared" si="1456"/>
        <v>0</v>
      </c>
      <c r="BS1209" s="1906">
        <f t="shared" si="1457"/>
        <v>0</v>
      </c>
      <c r="BT1209" s="1906">
        <f t="shared" si="1458"/>
        <v>0</v>
      </c>
      <c r="BU1209" s="1906">
        <f t="shared" si="1459"/>
        <v>0</v>
      </c>
      <c r="BV1209" s="1906">
        <f t="shared" si="1460"/>
        <v>0</v>
      </c>
      <c r="BW1209" s="1906">
        <f t="shared" si="1461"/>
        <v>0</v>
      </c>
      <c r="BX1209" s="1906">
        <f t="shared" si="1462"/>
        <v>0</v>
      </c>
      <c r="BY1209" s="1906">
        <f t="shared" si="1463"/>
        <v>0</v>
      </c>
      <c r="BZ1209" s="1906">
        <f t="shared" si="1464"/>
        <v>0</v>
      </c>
      <c r="CA1209" s="1906">
        <f t="shared" si="1465"/>
        <v>0</v>
      </c>
      <c r="CB1209" s="107"/>
      <c r="CC1209" s="1906">
        <f t="shared" si="1466"/>
        <v>0</v>
      </c>
      <c r="CD1209" s="1906">
        <f t="shared" si="1467"/>
        <v>0</v>
      </c>
      <c r="CE1209" s="1906">
        <f t="shared" si="1468"/>
        <v>0</v>
      </c>
      <c r="CF1209" s="1906">
        <f t="shared" si="1469"/>
        <v>0</v>
      </c>
      <c r="CG1209" s="1906">
        <f t="shared" si="1470"/>
        <v>0</v>
      </c>
      <c r="CH1209" s="1906">
        <f t="shared" si="1471"/>
        <v>0</v>
      </c>
      <c r="CI1209" s="1906">
        <f t="shared" si="1472"/>
        <v>0</v>
      </c>
      <c r="CJ1209" s="1906">
        <f t="shared" si="1473"/>
        <v>0</v>
      </c>
      <c r="CK1209" s="1906">
        <f t="shared" si="1474"/>
        <v>0</v>
      </c>
      <c r="CL1209" s="1906">
        <f t="shared" si="1475"/>
        <v>0</v>
      </c>
      <c r="CM1209" s="1906">
        <f t="shared" si="1476"/>
        <v>0</v>
      </c>
      <c r="CN1209" s="1906">
        <f t="shared" si="1477"/>
        <v>0</v>
      </c>
      <c r="CO1209" s="107"/>
      <c r="CP1209" s="1906">
        <f t="shared" si="1478"/>
        <v>0</v>
      </c>
      <c r="CQ1209" s="1906">
        <f t="shared" si="1479"/>
        <v>0</v>
      </c>
      <c r="CR1209" s="1906">
        <f t="shared" si="1480"/>
        <v>0</v>
      </c>
      <c r="CS1209" s="1906">
        <f t="shared" si="1481"/>
        <v>0</v>
      </c>
      <c r="CT1209" s="1906">
        <f t="shared" si="1482"/>
        <v>0</v>
      </c>
      <c r="CU1209" s="1906">
        <f t="shared" si="1483"/>
        <v>0</v>
      </c>
      <c r="CV1209" s="1906">
        <f t="shared" si="1484"/>
        <v>0</v>
      </c>
      <c r="CW1209" s="1906">
        <f t="shared" si="1485"/>
        <v>0</v>
      </c>
      <c r="CX1209" s="1906">
        <f t="shared" si="1486"/>
        <v>0</v>
      </c>
      <c r="CY1209" s="1906">
        <f t="shared" si="1487"/>
        <v>0</v>
      </c>
      <c r="CZ1209" s="1906">
        <f t="shared" si="1488"/>
        <v>0</v>
      </c>
      <c r="DA1209" s="1906">
        <f t="shared" si="1489"/>
        <v>0</v>
      </c>
      <c r="DB1209" s="1971">
        <f t="shared" si="1490"/>
        <v>0</v>
      </c>
      <c r="DC1209" s="1906">
        <f t="shared" si="1491"/>
        <v>0</v>
      </c>
      <c r="DD1209" s="1906">
        <f t="shared" si="1492"/>
        <v>0</v>
      </c>
      <c r="DE1209" s="1906">
        <f t="shared" si="1493"/>
        <v>0</v>
      </c>
      <c r="DF1209" s="1906">
        <f t="shared" si="1494"/>
        <v>0</v>
      </c>
      <c r="DG1209" s="1906">
        <f t="shared" si="1495"/>
        <v>0</v>
      </c>
      <c r="DH1209" s="1906">
        <f t="shared" si="1496"/>
        <v>0</v>
      </c>
      <c r="DI1209" s="1906">
        <f t="shared" si="1497"/>
        <v>0</v>
      </c>
      <c r="DJ1209" s="1906">
        <f t="shared" si="1498"/>
        <v>0</v>
      </c>
      <c r="DK1209" s="1906">
        <f t="shared" si="1499"/>
        <v>0</v>
      </c>
      <c r="DL1209" s="1906">
        <f t="shared" si="1500"/>
        <v>0</v>
      </c>
      <c r="DM1209" s="1906">
        <f t="shared" si="1501"/>
        <v>0</v>
      </c>
      <c r="DN1209" s="1906">
        <f t="shared" si="1502"/>
        <v>0</v>
      </c>
      <c r="DO1209" s="595">
        <f t="shared" si="1503"/>
        <v>0</v>
      </c>
      <c r="DP1209" s="1443">
        <f t="shared" si="1504"/>
        <v>0</v>
      </c>
      <c r="DQ1209" s="107"/>
      <c r="DR1209" s="111"/>
      <c r="DS1209" s="1906"/>
      <c r="DT1209" s="1906"/>
      <c r="DU1209" s="1906"/>
      <c r="DV1209" s="1906"/>
      <c r="DW1209" s="1906"/>
      <c r="DX1209" s="1906"/>
      <c r="DY1209" s="1906"/>
      <c r="DZ1209" s="1906"/>
      <c r="EA1209" s="1906"/>
      <c r="EB1209" s="1906"/>
      <c r="EC1209" s="1906"/>
      <c r="ED1209" s="1906"/>
    </row>
    <row r="1210" spans="1:134" ht="15.05" thickBot="1" x14ac:dyDescent="0.25">
      <c r="A1210" s="107"/>
      <c r="B1210" s="2032">
        <f t="shared" si="1393"/>
        <v>0</v>
      </c>
      <c r="C1210" s="2033">
        <f t="shared" si="1394"/>
        <v>0</v>
      </c>
      <c r="D1210" s="2033">
        <f t="shared" si="1395"/>
        <v>0</v>
      </c>
      <c r="E1210" s="2033">
        <f t="shared" si="1396"/>
        <v>0</v>
      </c>
      <c r="F1210" s="2033">
        <f t="shared" si="1397"/>
        <v>0</v>
      </c>
      <c r="G1210" s="2033">
        <f t="shared" si="1398"/>
        <v>0</v>
      </c>
      <c r="H1210" s="2033">
        <f t="shared" si="1399"/>
        <v>0</v>
      </c>
      <c r="I1210" s="2033">
        <f t="shared" si="1400"/>
        <v>0</v>
      </c>
      <c r="J1210" s="2033">
        <f t="shared" si="1401"/>
        <v>0</v>
      </c>
      <c r="K1210" s="2033">
        <f t="shared" si="1402"/>
        <v>0</v>
      </c>
      <c r="L1210" s="2033">
        <f t="shared" si="1403"/>
        <v>0</v>
      </c>
      <c r="M1210" s="2033">
        <f t="shared" si="1404"/>
        <v>0</v>
      </c>
      <c r="N1210" s="2034">
        <f t="shared" si="1405"/>
        <v>0</v>
      </c>
      <c r="P1210" s="1898" t="str">
        <f t="shared" si="1406"/>
        <v/>
      </c>
      <c r="Q1210" s="1898" t="str">
        <f t="shared" si="1407"/>
        <v/>
      </c>
      <c r="R1210" s="1898" t="str">
        <f t="shared" si="1408"/>
        <v/>
      </c>
      <c r="S1210" s="1898" t="str">
        <f t="shared" si="1409"/>
        <v/>
      </c>
      <c r="T1210" s="1898" t="str">
        <f t="shared" si="1410"/>
        <v/>
      </c>
      <c r="U1210" s="1898" t="str">
        <f t="shared" si="1411"/>
        <v/>
      </c>
      <c r="V1210" s="1898" t="str">
        <f t="shared" si="1412"/>
        <v/>
      </c>
      <c r="W1210" s="1898" t="str">
        <f t="shared" si="1413"/>
        <v/>
      </c>
      <c r="X1210" s="1898" t="str">
        <f t="shared" si="1414"/>
        <v/>
      </c>
      <c r="Y1210" s="1898" t="str">
        <f t="shared" si="1415"/>
        <v/>
      </c>
      <c r="Z1210" s="1898" t="str">
        <f t="shared" si="1416"/>
        <v/>
      </c>
      <c r="AA1210" s="1898" t="str">
        <f t="shared" si="1417"/>
        <v/>
      </c>
      <c r="AB1210" s="1971">
        <f t="shared" si="1418"/>
        <v>0</v>
      </c>
      <c r="AC1210" s="1906">
        <f t="shared" si="1419"/>
        <v>0</v>
      </c>
      <c r="AD1210" s="1906">
        <f t="shared" si="1420"/>
        <v>0</v>
      </c>
      <c r="AE1210" s="1906">
        <f t="shared" si="1421"/>
        <v>0</v>
      </c>
      <c r="AF1210" s="1906">
        <f t="shared" si="1422"/>
        <v>0</v>
      </c>
      <c r="AG1210" s="1906">
        <f t="shared" si="1423"/>
        <v>0</v>
      </c>
      <c r="AH1210" s="1906">
        <f t="shared" si="1424"/>
        <v>0</v>
      </c>
      <c r="AI1210" s="1906">
        <f t="shared" si="1425"/>
        <v>0</v>
      </c>
      <c r="AJ1210" s="1906">
        <f t="shared" si="1426"/>
        <v>0</v>
      </c>
      <c r="AK1210" s="1906">
        <f t="shared" si="1427"/>
        <v>0</v>
      </c>
      <c r="AL1210" s="1906">
        <f t="shared" si="1428"/>
        <v>0</v>
      </c>
      <c r="AM1210" s="1906">
        <f t="shared" si="1429"/>
        <v>0</v>
      </c>
      <c r="AN1210" s="1906">
        <f t="shared" si="1430"/>
        <v>0</v>
      </c>
      <c r="AO1210" s="107"/>
      <c r="AP1210" s="1906"/>
      <c r="AQ1210" s="1906">
        <f t="shared" si="1431"/>
        <v>0</v>
      </c>
      <c r="AR1210" s="1906">
        <f t="shared" si="1432"/>
        <v>0</v>
      </c>
      <c r="AS1210" s="1906">
        <f t="shared" si="1433"/>
        <v>0</v>
      </c>
      <c r="AT1210" s="1906">
        <f t="shared" si="1434"/>
        <v>0</v>
      </c>
      <c r="AU1210" s="1906">
        <f t="shared" si="1435"/>
        <v>0</v>
      </c>
      <c r="AV1210" s="1906">
        <f t="shared" si="1436"/>
        <v>0</v>
      </c>
      <c r="AW1210" s="1906">
        <f t="shared" si="1437"/>
        <v>0</v>
      </c>
      <c r="AX1210" s="1906">
        <f t="shared" si="1438"/>
        <v>0</v>
      </c>
      <c r="AY1210" s="1906">
        <f t="shared" si="1439"/>
        <v>0</v>
      </c>
      <c r="AZ1210" s="1906">
        <f t="shared" si="1440"/>
        <v>0</v>
      </c>
      <c r="BA1210" s="1906">
        <f t="shared" si="1441"/>
        <v>0</v>
      </c>
      <c r="BB1210" s="107"/>
      <c r="BC1210" s="1906">
        <f t="shared" si="1442"/>
        <v>0</v>
      </c>
      <c r="BD1210" s="1906">
        <f t="shared" si="1443"/>
        <v>0</v>
      </c>
      <c r="BE1210" s="1906">
        <f t="shared" si="1444"/>
        <v>0</v>
      </c>
      <c r="BF1210" s="1906">
        <f t="shared" si="1445"/>
        <v>0</v>
      </c>
      <c r="BG1210" s="1906">
        <f t="shared" si="1446"/>
        <v>0</v>
      </c>
      <c r="BH1210" s="1906">
        <f t="shared" si="1447"/>
        <v>0</v>
      </c>
      <c r="BI1210" s="1906">
        <f t="shared" si="1448"/>
        <v>0</v>
      </c>
      <c r="BJ1210" s="1906">
        <f t="shared" si="1449"/>
        <v>0</v>
      </c>
      <c r="BK1210" s="1906">
        <f t="shared" si="1450"/>
        <v>0</v>
      </c>
      <c r="BL1210" s="1906">
        <f t="shared" si="1451"/>
        <v>0</v>
      </c>
      <c r="BM1210" s="1906">
        <f t="shared" si="1452"/>
        <v>0</v>
      </c>
      <c r="BN1210" s="1906">
        <f t="shared" si="1453"/>
        <v>0</v>
      </c>
      <c r="BO1210" s="107"/>
      <c r="BP1210" s="1906">
        <f t="shared" si="1454"/>
        <v>0</v>
      </c>
      <c r="BQ1210" s="1906">
        <f t="shared" si="1455"/>
        <v>0</v>
      </c>
      <c r="BR1210" s="1906">
        <f t="shared" si="1456"/>
        <v>0</v>
      </c>
      <c r="BS1210" s="1906">
        <f t="shared" si="1457"/>
        <v>0</v>
      </c>
      <c r="BT1210" s="1906">
        <f t="shared" si="1458"/>
        <v>0</v>
      </c>
      <c r="BU1210" s="1906">
        <f t="shared" si="1459"/>
        <v>0</v>
      </c>
      <c r="BV1210" s="1906">
        <f t="shared" si="1460"/>
        <v>0</v>
      </c>
      <c r="BW1210" s="1906">
        <f t="shared" si="1461"/>
        <v>0</v>
      </c>
      <c r="BX1210" s="1906">
        <f t="shared" si="1462"/>
        <v>0</v>
      </c>
      <c r="BY1210" s="1906">
        <f t="shared" si="1463"/>
        <v>0</v>
      </c>
      <c r="BZ1210" s="1906">
        <f t="shared" si="1464"/>
        <v>0</v>
      </c>
      <c r="CA1210" s="1906">
        <f t="shared" si="1465"/>
        <v>0</v>
      </c>
      <c r="CB1210" s="107"/>
      <c r="CC1210" s="1906">
        <f t="shared" si="1466"/>
        <v>0</v>
      </c>
      <c r="CD1210" s="1906">
        <f t="shared" si="1467"/>
        <v>0</v>
      </c>
      <c r="CE1210" s="1906">
        <f t="shared" si="1468"/>
        <v>0</v>
      </c>
      <c r="CF1210" s="1906">
        <f t="shared" si="1469"/>
        <v>0</v>
      </c>
      <c r="CG1210" s="1906">
        <f t="shared" si="1470"/>
        <v>0</v>
      </c>
      <c r="CH1210" s="1906">
        <f t="shared" si="1471"/>
        <v>0</v>
      </c>
      <c r="CI1210" s="1906">
        <f t="shared" si="1472"/>
        <v>0</v>
      </c>
      <c r="CJ1210" s="1906">
        <f t="shared" si="1473"/>
        <v>0</v>
      </c>
      <c r="CK1210" s="1906">
        <f t="shared" si="1474"/>
        <v>0</v>
      </c>
      <c r="CL1210" s="1906">
        <f t="shared" si="1475"/>
        <v>0</v>
      </c>
      <c r="CM1210" s="1906">
        <f t="shared" si="1476"/>
        <v>0</v>
      </c>
      <c r="CN1210" s="1906">
        <f t="shared" si="1477"/>
        <v>0</v>
      </c>
      <c r="CO1210" s="107"/>
      <c r="CP1210" s="1906">
        <f t="shared" si="1478"/>
        <v>0</v>
      </c>
      <c r="CQ1210" s="1906">
        <f t="shared" si="1479"/>
        <v>0</v>
      </c>
      <c r="CR1210" s="1906">
        <f t="shared" si="1480"/>
        <v>0</v>
      </c>
      <c r="CS1210" s="1906">
        <f t="shared" si="1481"/>
        <v>0</v>
      </c>
      <c r="CT1210" s="1906">
        <f t="shared" si="1482"/>
        <v>0</v>
      </c>
      <c r="CU1210" s="1906">
        <f t="shared" si="1483"/>
        <v>0</v>
      </c>
      <c r="CV1210" s="1906">
        <f t="shared" si="1484"/>
        <v>0</v>
      </c>
      <c r="CW1210" s="1906">
        <f t="shared" si="1485"/>
        <v>0</v>
      </c>
      <c r="CX1210" s="1906">
        <f t="shared" si="1486"/>
        <v>0</v>
      </c>
      <c r="CY1210" s="1906">
        <f t="shared" si="1487"/>
        <v>0</v>
      </c>
      <c r="CZ1210" s="1906">
        <f t="shared" si="1488"/>
        <v>0</v>
      </c>
      <c r="DA1210" s="1906">
        <f t="shared" si="1489"/>
        <v>0</v>
      </c>
      <c r="DB1210" s="1971">
        <f t="shared" si="1490"/>
        <v>0</v>
      </c>
      <c r="DC1210" s="1906">
        <f t="shared" si="1491"/>
        <v>0</v>
      </c>
      <c r="DD1210" s="1906">
        <f t="shared" si="1492"/>
        <v>0</v>
      </c>
      <c r="DE1210" s="1906">
        <f t="shared" si="1493"/>
        <v>0</v>
      </c>
      <c r="DF1210" s="1906">
        <f t="shared" si="1494"/>
        <v>0</v>
      </c>
      <c r="DG1210" s="1906">
        <f t="shared" si="1495"/>
        <v>0</v>
      </c>
      <c r="DH1210" s="1906">
        <f t="shared" si="1496"/>
        <v>0</v>
      </c>
      <c r="DI1210" s="1906">
        <f t="shared" si="1497"/>
        <v>0</v>
      </c>
      <c r="DJ1210" s="1906">
        <f t="shared" si="1498"/>
        <v>0</v>
      </c>
      <c r="DK1210" s="1906">
        <f t="shared" si="1499"/>
        <v>0</v>
      </c>
      <c r="DL1210" s="1906">
        <f t="shared" si="1500"/>
        <v>0</v>
      </c>
      <c r="DM1210" s="1906">
        <f t="shared" si="1501"/>
        <v>0</v>
      </c>
      <c r="DN1210" s="1906">
        <f t="shared" si="1502"/>
        <v>0</v>
      </c>
      <c r="DO1210" s="595">
        <f t="shared" si="1503"/>
        <v>0</v>
      </c>
      <c r="DP1210" s="1443">
        <f t="shared" si="1504"/>
        <v>0</v>
      </c>
      <c r="DQ1210" s="107"/>
      <c r="DR1210" s="111"/>
      <c r="DS1210" s="1906"/>
      <c r="DT1210" s="1906"/>
      <c r="DU1210" s="1906"/>
      <c r="DV1210" s="1906"/>
      <c r="DW1210" s="1906"/>
      <c r="DX1210" s="1906"/>
      <c r="DY1210" s="1906"/>
      <c r="DZ1210" s="1906"/>
      <c r="EA1210" s="1906"/>
      <c r="EB1210" s="1906"/>
      <c r="EC1210" s="1906"/>
      <c r="ED1210" s="1906"/>
    </row>
    <row r="1211" spans="1:134" ht="15.05" thickBot="1" x14ac:dyDescent="0.25">
      <c r="A1211" s="107"/>
      <c r="B1211" s="2032">
        <f t="shared" si="1393"/>
        <v>0</v>
      </c>
      <c r="C1211" s="2013">
        <f t="shared" si="1394"/>
        <v>0</v>
      </c>
      <c r="D1211" s="2013">
        <f t="shared" si="1395"/>
        <v>0</v>
      </c>
      <c r="E1211" s="2013">
        <f t="shared" si="1396"/>
        <v>0</v>
      </c>
      <c r="F1211" s="2013">
        <f t="shared" si="1397"/>
        <v>0</v>
      </c>
      <c r="G1211" s="2013">
        <f t="shared" si="1398"/>
        <v>0</v>
      </c>
      <c r="H1211" s="2013">
        <f t="shared" si="1399"/>
        <v>0</v>
      </c>
      <c r="I1211" s="2013">
        <f t="shared" si="1400"/>
        <v>0</v>
      </c>
      <c r="J1211" s="2013">
        <f t="shared" si="1401"/>
        <v>0</v>
      </c>
      <c r="K1211" s="2013">
        <f t="shared" si="1402"/>
        <v>0</v>
      </c>
      <c r="L1211" s="2013">
        <f t="shared" si="1403"/>
        <v>0</v>
      </c>
      <c r="M1211" s="2013">
        <f t="shared" si="1404"/>
        <v>0</v>
      </c>
      <c r="N1211" s="2013">
        <f t="shared" si="1405"/>
        <v>0</v>
      </c>
      <c r="P1211" s="1898" t="str">
        <f t="shared" si="1406"/>
        <v/>
      </c>
      <c r="Q1211" s="1898" t="str">
        <f t="shared" si="1407"/>
        <v/>
      </c>
      <c r="R1211" s="1898" t="str">
        <f t="shared" si="1408"/>
        <v/>
      </c>
      <c r="S1211" s="1898" t="str">
        <f t="shared" si="1409"/>
        <v/>
      </c>
      <c r="T1211" s="1898" t="str">
        <f t="shared" si="1410"/>
        <v/>
      </c>
      <c r="U1211" s="1898" t="str">
        <f t="shared" si="1411"/>
        <v/>
      </c>
      <c r="V1211" s="1898" t="str">
        <f t="shared" si="1412"/>
        <v/>
      </c>
      <c r="W1211" s="1898" t="str">
        <f t="shared" si="1413"/>
        <v/>
      </c>
      <c r="X1211" s="1898" t="str">
        <f t="shared" si="1414"/>
        <v/>
      </c>
      <c r="Y1211" s="1898" t="str">
        <f t="shared" si="1415"/>
        <v/>
      </c>
      <c r="Z1211" s="1898" t="str">
        <f t="shared" si="1416"/>
        <v/>
      </c>
      <c r="AA1211" s="1898" t="str">
        <f t="shared" si="1417"/>
        <v/>
      </c>
      <c r="AB1211" s="1971">
        <f t="shared" si="1418"/>
        <v>0</v>
      </c>
      <c r="AC1211" s="1906">
        <f t="shared" si="1419"/>
        <v>0</v>
      </c>
      <c r="AD1211" s="1906">
        <f t="shared" si="1420"/>
        <v>0</v>
      </c>
      <c r="AE1211" s="1906">
        <f t="shared" si="1421"/>
        <v>0</v>
      </c>
      <c r="AF1211" s="1906">
        <f t="shared" si="1422"/>
        <v>0</v>
      </c>
      <c r="AG1211" s="1906">
        <f t="shared" si="1423"/>
        <v>0</v>
      </c>
      <c r="AH1211" s="1906">
        <f t="shared" si="1424"/>
        <v>0</v>
      </c>
      <c r="AI1211" s="1906">
        <f t="shared" si="1425"/>
        <v>0</v>
      </c>
      <c r="AJ1211" s="1906">
        <f t="shared" si="1426"/>
        <v>0</v>
      </c>
      <c r="AK1211" s="1906">
        <f t="shared" si="1427"/>
        <v>0</v>
      </c>
      <c r="AL1211" s="1906">
        <f t="shared" si="1428"/>
        <v>0</v>
      </c>
      <c r="AM1211" s="1906">
        <f t="shared" si="1429"/>
        <v>0</v>
      </c>
      <c r="AN1211" s="1906">
        <f t="shared" si="1430"/>
        <v>0</v>
      </c>
      <c r="AO1211" s="107"/>
      <c r="AP1211" s="1906"/>
      <c r="AQ1211" s="1906">
        <f t="shared" si="1431"/>
        <v>0</v>
      </c>
      <c r="AR1211" s="1906">
        <f t="shared" si="1432"/>
        <v>0</v>
      </c>
      <c r="AS1211" s="1906">
        <f t="shared" si="1433"/>
        <v>0</v>
      </c>
      <c r="AT1211" s="1906">
        <f t="shared" si="1434"/>
        <v>0</v>
      </c>
      <c r="AU1211" s="1906">
        <f t="shared" si="1435"/>
        <v>0</v>
      </c>
      <c r="AV1211" s="1906">
        <f t="shared" si="1436"/>
        <v>0</v>
      </c>
      <c r="AW1211" s="1906">
        <f t="shared" si="1437"/>
        <v>0</v>
      </c>
      <c r="AX1211" s="1906">
        <f t="shared" si="1438"/>
        <v>0</v>
      </c>
      <c r="AY1211" s="1906">
        <f t="shared" si="1439"/>
        <v>0</v>
      </c>
      <c r="AZ1211" s="1906">
        <f t="shared" si="1440"/>
        <v>0</v>
      </c>
      <c r="BA1211" s="1906">
        <f t="shared" si="1441"/>
        <v>0</v>
      </c>
      <c r="BB1211" s="107"/>
      <c r="BC1211" s="1906">
        <f t="shared" si="1442"/>
        <v>0</v>
      </c>
      <c r="BD1211" s="1906">
        <f t="shared" si="1443"/>
        <v>0</v>
      </c>
      <c r="BE1211" s="1906">
        <f t="shared" si="1444"/>
        <v>0</v>
      </c>
      <c r="BF1211" s="1906">
        <f t="shared" si="1445"/>
        <v>0</v>
      </c>
      <c r="BG1211" s="1906">
        <f t="shared" si="1446"/>
        <v>0</v>
      </c>
      <c r="BH1211" s="1906">
        <f t="shared" si="1447"/>
        <v>0</v>
      </c>
      <c r="BI1211" s="1906">
        <f t="shared" si="1448"/>
        <v>0</v>
      </c>
      <c r="BJ1211" s="1906">
        <f t="shared" si="1449"/>
        <v>0</v>
      </c>
      <c r="BK1211" s="1906">
        <f t="shared" si="1450"/>
        <v>0</v>
      </c>
      <c r="BL1211" s="1906">
        <f t="shared" si="1451"/>
        <v>0</v>
      </c>
      <c r="BM1211" s="1906">
        <f t="shared" si="1452"/>
        <v>0</v>
      </c>
      <c r="BN1211" s="1906">
        <f t="shared" si="1453"/>
        <v>0</v>
      </c>
      <c r="BO1211" s="107"/>
      <c r="BP1211" s="1906">
        <f t="shared" si="1454"/>
        <v>0</v>
      </c>
      <c r="BQ1211" s="1906">
        <f t="shared" si="1455"/>
        <v>0</v>
      </c>
      <c r="BR1211" s="1906">
        <f t="shared" si="1456"/>
        <v>0</v>
      </c>
      <c r="BS1211" s="1906">
        <f t="shared" si="1457"/>
        <v>0</v>
      </c>
      <c r="BT1211" s="1906">
        <f t="shared" si="1458"/>
        <v>0</v>
      </c>
      <c r="BU1211" s="1906">
        <f t="shared" si="1459"/>
        <v>0</v>
      </c>
      <c r="BV1211" s="1906">
        <f t="shared" si="1460"/>
        <v>0</v>
      </c>
      <c r="BW1211" s="1906">
        <f t="shared" si="1461"/>
        <v>0</v>
      </c>
      <c r="BX1211" s="1906">
        <f t="shared" si="1462"/>
        <v>0</v>
      </c>
      <c r="BY1211" s="1906">
        <f t="shared" si="1463"/>
        <v>0</v>
      </c>
      <c r="BZ1211" s="1906">
        <f t="shared" si="1464"/>
        <v>0</v>
      </c>
      <c r="CA1211" s="1906">
        <f t="shared" si="1465"/>
        <v>0</v>
      </c>
      <c r="CB1211" s="107"/>
      <c r="CC1211" s="1906">
        <f t="shared" si="1466"/>
        <v>0</v>
      </c>
      <c r="CD1211" s="1906">
        <f t="shared" si="1467"/>
        <v>0</v>
      </c>
      <c r="CE1211" s="1906">
        <f t="shared" si="1468"/>
        <v>0</v>
      </c>
      <c r="CF1211" s="1906">
        <f t="shared" si="1469"/>
        <v>0</v>
      </c>
      <c r="CG1211" s="1906">
        <f t="shared" si="1470"/>
        <v>0</v>
      </c>
      <c r="CH1211" s="1906">
        <f t="shared" si="1471"/>
        <v>0</v>
      </c>
      <c r="CI1211" s="1906">
        <f t="shared" si="1472"/>
        <v>0</v>
      </c>
      <c r="CJ1211" s="1906">
        <f t="shared" si="1473"/>
        <v>0</v>
      </c>
      <c r="CK1211" s="1906">
        <f t="shared" si="1474"/>
        <v>0</v>
      </c>
      <c r="CL1211" s="1906">
        <f t="shared" si="1475"/>
        <v>0</v>
      </c>
      <c r="CM1211" s="1906">
        <f t="shared" si="1476"/>
        <v>0</v>
      </c>
      <c r="CN1211" s="1906">
        <f t="shared" si="1477"/>
        <v>0</v>
      </c>
      <c r="CO1211" s="107"/>
      <c r="CP1211" s="1906">
        <f t="shared" si="1478"/>
        <v>0</v>
      </c>
      <c r="CQ1211" s="1906">
        <f t="shared" si="1479"/>
        <v>0</v>
      </c>
      <c r="CR1211" s="1906">
        <f t="shared" si="1480"/>
        <v>0</v>
      </c>
      <c r="CS1211" s="1906">
        <f t="shared" si="1481"/>
        <v>0</v>
      </c>
      <c r="CT1211" s="1906">
        <f t="shared" si="1482"/>
        <v>0</v>
      </c>
      <c r="CU1211" s="1906">
        <f t="shared" si="1483"/>
        <v>0</v>
      </c>
      <c r="CV1211" s="1906">
        <f t="shared" si="1484"/>
        <v>0</v>
      </c>
      <c r="CW1211" s="1906">
        <f t="shared" si="1485"/>
        <v>0</v>
      </c>
      <c r="CX1211" s="1906">
        <f t="shared" si="1486"/>
        <v>0</v>
      </c>
      <c r="CY1211" s="1906">
        <f t="shared" si="1487"/>
        <v>0</v>
      </c>
      <c r="CZ1211" s="1906">
        <f t="shared" si="1488"/>
        <v>0</v>
      </c>
      <c r="DA1211" s="1906">
        <f t="shared" si="1489"/>
        <v>0</v>
      </c>
      <c r="DB1211" s="1971">
        <f t="shared" si="1490"/>
        <v>0</v>
      </c>
      <c r="DC1211" s="1906">
        <f t="shared" si="1491"/>
        <v>0</v>
      </c>
      <c r="DD1211" s="1906">
        <f t="shared" si="1492"/>
        <v>0</v>
      </c>
      <c r="DE1211" s="1906">
        <f t="shared" si="1493"/>
        <v>0</v>
      </c>
      <c r="DF1211" s="1906">
        <f t="shared" si="1494"/>
        <v>0</v>
      </c>
      <c r="DG1211" s="1906">
        <f t="shared" si="1495"/>
        <v>0</v>
      </c>
      <c r="DH1211" s="1906">
        <f t="shared" si="1496"/>
        <v>0</v>
      </c>
      <c r="DI1211" s="1906">
        <f t="shared" si="1497"/>
        <v>0</v>
      </c>
      <c r="DJ1211" s="1906">
        <f t="shared" si="1498"/>
        <v>0</v>
      </c>
      <c r="DK1211" s="1906">
        <f t="shared" si="1499"/>
        <v>0</v>
      </c>
      <c r="DL1211" s="1906">
        <f t="shared" si="1500"/>
        <v>0</v>
      </c>
      <c r="DM1211" s="1906">
        <f t="shared" si="1501"/>
        <v>0</v>
      </c>
      <c r="DN1211" s="1906">
        <f t="shared" si="1502"/>
        <v>0</v>
      </c>
      <c r="DO1211" s="595">
        <f t="shared" si="1503"/>
        <v>0</v>
      </c>
      <c r="DP1211" s="1443">
        <f t="shared" si="1504"/>
        <v>0</v>
      </c>
      <c r="DQ1211" s="107"/>
      <c r="DR1211" s="111"/>
      <c r="DS1211" s="1906"/>
      <c r="DT1211" s="1906"/>
      <c r="DU1211" s="1906"/>
      <c r="DV1211" s="1906"/>
      <c r="DW1211" s="1906"/>
      <c r="DX1211" s="1906"/>
      <c r="DY1211" s="1906"/>
      <c r="DZ1211" s="1906"/>
      <c r="EA1211" s="1906"/>
      <c r="EB1211" s="1906"/>
      <c r="EC1211" s="1906"/>
      <c r="ED1211" s="1906"/>
    </row>
    <row r="1212" spans="1:134" x14ac:dyDescent="0.2">
      <c r="A1212" s="107"/>
      <c r="B1212" s="1857" t="str">
        <f t="shared" si="1393"/>
        <v>Alfalfa 2</v>
      </c>
      <c r="C1212" s="2013">
        <f t="shared" si="1394"/>
        <v>0</v>
      </c>
      <c r="D1212" s="2013">
        <f t="shared" si="1395"/>
        <v>0</v>
      </c>
      <c r="E1212" s="2013">
        <f t="shared" si="1396"/>
        <v>0</v>
      </c>
      <c r="F1212" s="2013">
        <f t="shared" si="1397"/>
        <v>0</v>
      </c>
      <c r="G1212" s="2013">
        <f t="shared" si="1398"/>
        <v>0</v>
      </c>
      <c r="H1212" s="2013">
        <f t="shared" si="1399"/>
        <v>0</v>
      </c>
      <c r="I1212" s="2013">
        <f t="shared" si="1400"/>
        <v>0</v>
      </c>
      <c r="J1212" s="2013">
        <f t="shared" si="1401"/>
        <v>0</v>
      </c>
      <c r="K1212" s="2013">
        <f t="shared" si="1402"/>
        <v>0</v>
      </c>
      <c r="L1212" s="2013">
        <f t="shared" si="1403"/>
        <v>0</v>
      </c>
      <c r="M1212" s="2013">
        <f t="shared" si="1404"/>
        <v>0</v>
      </c>
      <c r="N1212" s="2013">
        <f t="shared" si="1405"/>
        <v>0</v>
      </c>
      <c r="P1212" s="1898" t="str">
        <f t="shared" si="1406"/>
        <v/>
      </c>
      <c r="Q1212" s="1898" t="str">
        <f t="shared" si="1407"/>
        <v/>
      </c>
      <c r="R1212" s="1898" t="str">
        <f t="shared" si="1408"/>
        <v/>
      </c>
      <c r="S1212" s="1898" t="str">
        <f t="shared" si="1409"/>
        <v/>
      </c>
      <c r="T1212" s="1898" t="str">
        <f t="shared" si="1410"/>
        <v/>
      </c>
      <c r="U1212" s="1898" t="str">
        <f t="shared" si="1411"/>
        <v/>
      </c>
      <c r="V1212" s="1898" t="str">
        <f t="shared" si="1412"/>
        <v/>
      </c>
      <c r="W1212" s="1898" t="str">
        <f t="shared" si="1413"/>
        <v/>
      </c>
      <c r="X1212" s="1898" t="str">
        <f t="shared" si="1414"/>
        <v/>
      </c>
      <c r="Y1212" s="1898" t="str">
        <f t="shared" si="1415"/>
        <v/>
      </c>
      <c r="Z1212" s="1898" t="str">
        <f t="shared" si="1416"/>
        <v/>
      </c>
      <c r="AA1212" s="1898" t="str">
        <f t="shared" si="1417"/>
        <v/>
      </c>
      <c r="AB1212" s="1971" t="str">
        <f t="shared" si="1418"/>
        <v>Alfalfa 2</v>
      </c>
      <c r="AC1212" s="1906">
        <f t="shared" si="1419"/>
        <v>0</v>
      </c>
      <c r="AD1212" s="1906">
        <f t="shared" si="1420"/>
        <v>0</v>
      </c>
      <c r="AE1212" s="1906">
        <f t="shared" si="1421"/>
        <v>0</v>
      </c>
      <c r="AF1212" s="1906">
        <f t="shared" si="1422"/>
        <v>0</v>
      </c>
      <c r="AG1212" s="1906">
        <f t="shared" si="1423"/>
        <v>0</v>
      </c>
      <c r="AH1212" s="1906">
        <f t="shared" si="1424"/>
        <v>0</v>
      </c>
      <c r="AI1212" s="1906">
        <f t="shared" si="1425"/>
        <v>0</v>
      </c>
      <c r="AJ1212" s="1906">
        <f t="shared" si="1426"/>
        <v>0</v>
      </c>
      <c r="AK1212" s="1906">
        <f t="shared" si="1427"/>
        <v>0</v>
      </c>
      <c r="AL1212" s="1906">
        <f t="shared" si="1428"/>
        <v>0</v>
      </c>
      <c r="AM1212" s="1906">
        <f t="shared" si="1429"/>
        <v>0</v>
      </c>
      <c r="AN1212" s="1906">
        <f t="shared" si="1430"/>
        <v>0</v>
      </c>
      <c r="AO1212" s="107"/>
      <c r="AP1212" s="1906"/>
      <c r="AQ1212" s="1906">
        <f t="shared" si="1431"/>
        <v>0</v>
      </c>
      <c r="AR1212" s="1906">
        <f t="shared" si="1432"/>
        <v>0</v>
      </c>
      <c r="AS1212" s="1906">
        <f t="shared" si="1433"/>
        <v>0</v>
      </c>
      <c r="AT1212" s="1906">
        <f t="shared" si="1434"/>
        <v>0</v>
      </c>
      <c r="AU1212" s="1906">
        <f t="shared" si="1435"/>
        <v>0</v>
      </c>
      <c r="AV1212" s="1906">
        <f t="shared" si="1436"/>
        <v>0</v>
      </c>
      <c r="AW1212" s="1906">
        <f t="shared" si="1437"/>
        <v>0</v>
      </c>
      <c r="AX1212" s="1906">
        <f t="shared" si="1438"/>
        <v>0</v>
      </c>
      <c r="AY1212" s="1906">
        <f t="shared" si="1439"/>
        <v>0</v>
      </c>
      <c r="AZ1212" s="1906">
        <f t="shared" si="1440"/>
        <v>0</v>
      </c>
      <c r="BA1212" s="1906">
        <f t="shared" si="1441"/>
        <v>0</v>
      </c>
      <c r="BB1212" s="107"/>
      <c r="BC1212" s="1906">
        <f t="shared" si="1442"/>
        <v>0</v>
      </c>
      <c r="BD1212" s="1906">
        <f t="shared" si="1443"/>
        <v>0</v>
      </c>
      <c r="BE1212" s="1906">
        <f t="shared" si="1444"/>
        <v>0</v>
      </c>
      <c r="BF1212" s="1906">
        <f t="shared" si="1445"/>
        <v>0</v>
      </c>
      <c r="BG1212" s="1906">
        <f t="shared" si="1446"/>
        <v>0</v>
      </c>
      <c r="BH1212" s="1906">
        <f t="shared" si="1447"/>
        <v>0</v>
      </c>
      <c r="BI1212" s="1906">
        <f t="shared" si="1448"/>
        <v>0</v>
      </c>
      <c r="BJ1212" s="1906">
        <f t="shared" si="1449"/>
        <v>0</v>
      </c>
      <c r="BK1212" s="1906">
        <f t="shared" si="1450"/>
        <v>0</v>
      </c>
      <c r="BL1212" s="1906">
        <f t="shared" si="1451"/>
        <v>0</v>
      </c>
      <c r="BM1212" s="1906">
        <f t="shared" si="1452"/>
        <v>0</v>
      </c>
      <c r="BN1212" s="1906">
        <f t="shared" si="1453"/>
        <v>0</v>
      </c>
      <c r="BO1212" s="107"/>
      <c r="BP1212" s="1906">
        <f t="shared" si="1454"/>
        <v>0</v>
      </c>
      <c r="BQ1212" s="1906">
        <f t="shared" si="1455"/>
        <v>0</v>
      </c>
      <c r="BR1212" s="1906">
        <f t="shared" si="1456"/>
        <v>0</v>
      </c>
      <c r="BS1212" s="1906">
        <f t="shared" si="1457"/>
        <v>0</v>
      </c>
      <c r="BT1212" s="1906">
        <f t="shared" si="1458"/>
        <v>0</v>
      </c>
      <c r="BU1212" s="1906">
        <f t="shared" si="1459"/>
        <v>0</v>
      </c>
      <c r="BV1212" s="1906">
        <f t="shared" si="1460"/>
        <v>0</v>
      </c>
      <c r="BW1212" s="1906">
        <f t="shared" si="1461"/>
        <v>0</v>
      </c>
      <c r="BX1212" s="1906">
        <f t="shared" si="1462"/>
        <v>0</v>
      </c>
      <c r="BY1212" s="1906">
        <f t="shared" si="1463"/>
        <v>0</v>
      </c>
      <c r="BZ1212" s="1906">
        <f t="shared" si="1464"/>
        <v>0</v>
      </c>
      <c r="CA1212" s="1906">
        <f t="shared" si="1465"/>
        <v>0</v>
      </c>
      <c r="CB1212" s="107"/>
      <c r="CC1212" s="1906">
        <f t="shared" si="1466"/>
        <v>0</v>
      </c>
      <c r="CD1212" s="1906">
        <f t="shared" si="1467"/>
        <v>0</v>
      </c>
      <c r="CE1212" s="1906">
        <f t="shared" si="1468"/>
        <v>0</v>
      </c>
      <c r="CF1212" s="1906">
        <f t="shared" si="1469"/>
        <v>0</v>
      </c>
      <c r="CG1212" s="1906">
        <f t="shared" si="1470"/>
        <v>0</v>
      </c>
      <c r="CH1212" s="1906">
        <f t="shared" si="1471"/>
        <v>0</v>
      </c>
      <c r="CI1212" s="1906">
        <f t="shared" si="1472"/>
        <v>0</v>
      </c>
      <c r="CJ1212" s="1906">
        <f t="shared" si="1473"/>
        <v>0</v>
      </c>
      <c r="CK1212" s="1906">
        <f t="shared" si="1474"/>
        <v>0</v>
      </c>
      <c r="CL1212" s="1906">
        <f t="shared" si="1475"/>
        <v>0</v>
      </c>
      <c r="CM1212" s="1906">
        <f t="shared" si="1476"/>
        <v>0</v>
      </c>
      <c r="CN1212" s="1906">
        <f t="shared" si="1477"/>
        <v>0</v>
      </c>
      <c r="CO1212" s="107"/>
      <c r="CP1212" s="1906">
        <f t="shared" si="1478"/>
        <v>0</v>
      </c>
      <c r="CQ1212" s="1906">
        <f t="shared" si="1479"/>
        <v>0</v>
      </c>
      <c r="CR1212" s="1906">
        <f t="shared" si="1480"/>
        <v>0</v>
      </c>
      <c r="CS1212" s="1906">
        <f t="shared" si="1481"/>
        <v>0</v>
      </c>
      <c r="CT1212" s="1906">
        <f t="shared" si="1482"/>
        <v>0</v>
      </c>
      <c r="CU1212" s="1906">
        <f t="shared" si="1483"/>
        <v>0</v>
      </c>
      <c r="CV1212" s="1906">
        <f t="shared" si="1484"/>
        <v>0</v>
      </c>
      <c r="CW1212" s="1906">
        <f t="shared" si="1485"/>
        <v>0</v>
      </c>
      <c r="CX1212" s="1906">
        <f t="shared" si="1486"/>
        <v>0</v>
      </c>
      <c r="CY1212" s="1906">
        <f t="shared" si="1487"/>
        <v>0</v>
      </c>
      <c r="CZ1212" s="1906">
        <f t="shared" si="1488"/>
        <v>0</v>
      </c>
      <c r="DA1212" s="1906">
        <f t="shared" si="1489"/>
        <v>0</v>
      </c>
      <c r="DB1212" s="1971" t="str">
        <f t="shared" si="1490"/>
        <v>Alfalfa 2</v>
      </c>
      <c r="DC1212" s="1906">
        <f t="shared" si="1491"/>
        <v>0</v>
      </c>
      <c r="DD1212" s="1906">
        <f t="shared" si="1492"/>
        <v>0</v>
      </c>
      <c r="DE1212" s="1906">
        <f t="shared" si="1493"/>
        <v>0</v>
      </c>
      <c r="DF1212" s="1906">
        <f t="shared" si="1494"/>
        <v>0</v>
      </c>
      <c r="DG1212" s="1906">
        <f t="shared" si="1495"/>
        <v>0</v>
      </c>
      <c r="DH1212" s="1906">
        <f t="shared" si="1496"/>
        <v>0</v>
      </c>
      <c r="DI1212" s="1906">
        <f t="shared" si="1497"/>
        <v>0</v>
      </c>
      <c r="DJ1212" s="1906">
        <f t="shared" si="1498"/>
        <v>0</v>
      </c>
      <c r="DK1212" s="1906">
        <f t="shared" si="1499"/>
        <v>0</v>
      </c>
      <c r="DL1212" s="1906">
        <f t="shared" si="1500"/>
        <v>0</v>
      </c>
      <c r="DM1212" s="1906">
        <f t="shared" si="1501"/>
        <v>0</v>
      </c>
      <c r="DN1212" s="1906">
        <f t="shared" si="1502"/>
        <v>0</v>
      </c>
      <c r="DO1212" s="595" t="str">
        <f t="shared" si="1503"/>
        <v>Alfalfa 2</v>
      </c>
      <c r="DP1212" s="1443">
        <f t="shared" si="1504"/>
        <v>0</v>
      </c>
      <c r="DQ1212" s="107"/>
      <c r="DR1212" s="111"/>
      <c r="DS1212" s="1906"/>
      <c r="DT1212" s="1906"/>
      <c r="DU1212" s="1906"/>
      <c r="DV1212" s="1906"/>
      <c r="DW1212" s="1906"/>
      <c r="DX1212" s="1906"/>
      <c r="DY1212" s="1906"/>
      <c r="DZ1212" s="1906"/>
      <c r="EA1212" s="1906"/>
      <c r="EB1212" s="1906"/>
      <c r="EC1212" s="1906"/>
      <c r="ED1212" s="1906"/>
    </row>
    <row r="1213" spans="1:134" x14ac:dyDescent="0.2">
      <c r="A1213" s="107"/>
      <c r="B1213" s="1857" t="str">
        <f t="shared" si="1393"/>
        <v>Alfalfa 3</v>
      </c>
      <c r="C1213" s="2013">
        <f t="shared" si="1394"/>
        <v>0</v>
      </c>
      <c r="D1213" s="2013">
        <f t="shared" si="1395"/>
        <v>0</v>
      </c>
      <c r="E1213" s="2013">
        <f t="shared" si="1396"/>
        <v>0</v>
      </c>
      <c r="F1213" s="2013">
        <f t="shared" si="1397"/>
        <v>0</v>
      </c>
      <c r="G1213" s="2013">
        <f t="shared" si="1398"/>
        <v>0</v>
      </c>
      <c r="H1213" s="2013">
        <f t="shared" si="1399"/>
        <v>0</v>
      </c>
      <c r="I1213" s="2013">
        <f t="shared" si="1400"/>
        <v>0</v>
      </c>
      <c r="J1213" s="2013">
        <f t="shared" si="1401"/>
        <v>0</v>
      </c>
      <c r="K1213" s="2013">
        <f t="shared" si="1402"/>
        <v>0</v>
      </c>
      <c r="L1213" s="2013">
        <f t="shared" si="1403"/>
        <v>0</v>
      </c>
      <c r="M1213" s="2013">
        <f t="shared" si="1404"/>
        <v>0</v>
      </c>
      <c r="N1213" s="2013">
        <f t="shared" si="1405"/>
        <v>0</v>
      </c>
      <c r="P1213" s="1898" t="str">
        <f t="shared" si="1406"/>
        <v/>
      </c>
      <c r="Q1213" s="1898" t="str">
        <f t="shared" si="1407"/>
        <v/>
      </c>
      <c r="R1213" s="1898" t="str">
        <f t="shared" si="1408"/>
        <v/>
      </c>
      <c r="S1213" s="1898" t="str">
        <f t="shared" si="1409"/>
        <v/>
      </c>
      <c r="T1213" s="1898" t="str">
        <f t="shared" si="1410"/>
        <v/>
      </c>
      <c r="U1213" s="1898" t="str">
        <f t="shared" si="1411"/>
        <v/>
      </c>
      <c r="V1213" s="1898" t="str">
        <f t="shared" si="1412"/>
        <v/>
      </c>
      <c r="W1213" s="1898" t="str">
        <f t="shared" si="1413"/>
        <v/>
      </c>
      <c r="X1213" s="1898" t="str">
        <f t="shared" si="1414"/>
        <v/>
      </c>
      <c r="Y1213" s="1898" t="str">
        <f t="shared" si="1415"/>
        <v/>
      </c>
      <c r="Z1213" s="1898" t="str">
        <f t="shared" si="1416"/>
        <v/>
      </c>
      <c r="AA1213" s="1898" t="str">
        <f t="shared" si="1417"/>
        <v/>
      </c>
      <c r="AB1213" s="1971" t="str">
        <f t="shared" si="1418"/>
        <v>Alfalfa 3</v>
      </c>
      <c r="AC1213" s="1906">
        <f t="shared" si="1419"/>
        <v>0</v>
      </c>
      <c r="AD1213" s="1906">
        <f t="shared" si="1420"/>
        <v>0</v>
      </c>
      <c r="AE1213" s="1906">
        <f t="shared" si="1421"/>
        <v>0</v>
      </c>
      <c r="AF1213" s="1906">
        <f t="shared" si="1422"/>
        <v>0</v>
      </c>
      <c r="AG1213" s="1906">
        <f t="shared" si="1423"/>
        <v>0</v>
      </c>
      <c r="AH1213" s="1906">
        <f t="shared" si="1424"/>
        <v>0</v>
      </c>
      <c r="AI1213" s="1906">
        <f t="shared" si="1425"/>
        <v>0</v>
      </c>
      <c r="AJ1213" s="1906">
        <f t="shared" si="1426"/>
        <v>0</v>
      </c>
      <c r="AK1213" s="1906">
        <f t="shared" si="1427"/>
        <v>0</v>
      </c>
      <c r="AL1213" s="1906">
        <f t="shared" si="1428"/>
        <v>0</v>
      </c>
      <c r="AM1213" s="1906">
        <f t="shared" si="1429"/>
        <v>0</v>
      </c>
      <c r="AN1213" s="1906">
        <f t="shared" si="1430"/>
        <v>0</v>
      </c>
      <c r="AO1213" s="107"/>
      <c r="AP1213" s="1906"/>
      <c r="AQ1213" s="1906">
        <f t="shared" si="1431"/>
        <v>0</v>
      </c>
      <c r="AR1213" s="1906">
        <f t="shared" si="1432"/>
        <v>0</v>
      </c>
      <c r="AS1213" s="1906">
        <f t="shared" si="1433"/>
        <v>0</v>
      </c>
      <c r="AT1213" s="1906">
        <f t="shared" si="1434"/>
        <v>0</v>
      </c>
      <c r="AU1213" s="1906">
        <f t="shared" si="1435"/>
        <v>0</v>
      </c>
      <c r="AV1213" s="1906">
        <f t="shared" si="1436"/>
        <v>0</v>
      </c>
      <c r="AW1213" s="1906">
        <f t="shared" si="1437"/>
        <v>0</v>
      </c>
      <c r="AX1213" s="1906">
        <f t="shared" si="1438"/>
        <v>0</v>
      </c>
      <c r="AY1213" s="1906">
        <f t="shared" si="1439"/>
        <v>0</v>
      </c>
      <c r="AZ1213" s="1906">
        <f t="shared" si="1440"/>
        <v>0</v>
      </c>
      <c r="BA1213" s="1906">
        <f t="shared" si="1441"/>
        <v>0</v>
      </c>
      <c r="BB1213" s="107"/>
      <c r="BC1213" s="1906">
        <f t="shared" si="1442"/>
        <v>0</v>
      </c>
      <c r="BD1213" s="1906">
        <f t="shared" si="1443"/>
        <v>0</v>
      </c>
      <c r="BE1213" s="1906">
        <f t="shared" si="1444"/>
        <v>0</v>
      </c>
      <c r="BF1213" s="1906">
        <f t="shared" si="1445"/>
        <v>0</v>
      </c>
      <c r="BG1213" s="1906">
        <f t="shared" si="1446"/>
        <v>0</v>
      </c>
      <c r="BH1213" s="1906">
        <f t="shared" si="1447"/>
        <v>0</v>
      </c>
      <c r="BI1213" s="1906">
        <f t="shared" si="1448"/>
        <v>0</v>
      </c>
      <c r="BJ1213" s="1906">
        <f t="shared" si="1449"/>
        <v>0</v>
      </c>
      <c r="BK1213" s="1906">
        <f t="shared" si="1450"/>
        <v>0</v>
      </c>
      <c r="BL1213" s="1906">
        <f t="shared" si="1451"/>
        <v>0</v>
      </c>
      <c r="BM1213" s="1906">
        <f t="shared" si="1452"/>
        <v>0</v>
      </c>
      <c r="BN1213" s="1906">
        <f t="shared" si="1453"/>
        <v>0</v>
      </c>
      <c r="BO1213" s="107"/>
      <c r="BP1213" s="1906">
        <f t="shared" si="1454"/>
        <v>0</v>
      </c>
      <c r="BQ1213" s="1906">
        <f t="shared" si="1455"/>
        <v>0</v>
      </c>
      <c r="BR1213" s="1906">
        <f t="shared" si="1456"/>
        <v>0</v>
      </c>
      <c r="BS1213" s="1906">
        <f t="shared" si="1457"/>
        <v>0</v>
      </c>
      <c r="BT1213" s="1906">
        <f t="shared" si="1458"/>
        <v>0</v>
      </c>
      <c r="BU1213" s="1906">
        <f t="shared" si="1459"/>
        <v>0</v>
      </c>
      <c r="BV1213" s="1906">
        <f t="shared" si="1460"/>
        <v>0</v>
      </c>
      <c r="BW1213" s="1906">
        <f t="shared" si="1461"/>
        <v>0</v>
      </c>
      <c r="BX1213" s="1906">
        <f t="shared" si="1462"/>
        <v>0</v>
      </c>
      <c r="BY1213" s="1906">
        <f t="shared" si="1463"/>
        <v>0</v>
      </c>
      <c r="BZ1213" s="1906">
        <f t="shared" si="1464"/>
        <v>0</v>
      </c>
      <c r="CA1213" s="1906">
        <f t="shared" si="1465"/>
        <v>0</v>
      </c>
      <c r="CB1213" s="107"/>
      <c r="CC1213" s="1906">
        <f t="shared" si="1466"/>
        <v>0</v>
      </c>
      <c r="CD1213" s="1906">
        <f t="shared" si="1467"/>
        <v>0</v>
      </c>
      <c r="CE1213" s="1906">
        <f t="shared" si="1468"/>
        <v>0</v>
      </c>
      <c r="CF1213" s="1906">
        <f t="shared" si="1469"/>
        <v>0</v>
      </c>
      <c r="CG1213" s="1906">
        <f t="shared" si="1470"/>
        <v>0</v>
      </c>
      <c r="CH1213" s="1906">
        <f t="shared" si="1471"/>
        <v>0</v>
      </c>
      <c r="CI1213" s="1906">
        <f t="shared" si="1472"/>
        <v>0</v>
      </c>
      <c r="CJ1213" s="1906">
        <f t="shared" si="1473"/>
        <v>0</v>
      </c>
      <c r="CK1213" s="1906">
        <f t="shared" si="1474"/>
        <v>0</v>
      </c>
      <c r="CL1213" s="1906">
        <f t="shared" si="1475"/>
        <v>0</v>
      </c>
      <c r="CM1213" s="1906">
        <f t="shared" si="1476"/>
        <v>0</v>
      </c>
      <c r="CN1213" s="1906">
        <f t="shared" si="1477"/>
        <v>0</v>
      </c>
      <c r="CO1213" s="107"/>
      <c r="CP1213" s="1906">
        <f t="shared" si="1478"/>
        <v>0</v>
      </c>
      <c r="CQ1213" s="1906">
        <f t="shared" si="1479"/>
        <v>0</v>
      </c>
      <c r="CR1213" s="1906">
        <f t="shared" si="1480"/>
        <v>0</v>
      </c>
      <c r="CS1213" s="1906">
        <f t="shared" si="1481"/>
        <v>0</v>
      </c>
      <c r="CT1213" s="1906">
        <f t="shared" si="1482"/>
        <v>0</v>
      </c>
      <c r="CU1213" s="1906">
        <f t="shared" si="1483"/>
        <v>0</v>
      </c>
      <c r="CV1213" s="1906">
        <f t="shared" si="1484"/>
        <v>0</v>
      </c>
      <c r="CW1213" s="1906">
        <f t="shared" si="1485"/>
        <v>0</v>
      </c>
      <c r="CX1213" s="1906">
        <f t="shared" si="1486"/>
        <v>0</v>
      </c>
      <c r="CY1213" s="1906">
        <f t="shared" si="1487"/>
        <v>0</v>
      </c>
      <c r="CZ1213" s="1906">
        <f t="shared" si="1488"/>
        <v>0</v>
      </c>
      <c r="DA1213" s="1906">
        <f t="shared" si="1489"/>
        <v>0</v>
      </c>
      <c r="DB1213" s="1971" t="str">
        <f t="shared" si="1490"/>
        <v>Alfalfa 3</v>
      </c>
      <c r="DC1213" s="1906">
        <f t="shared" si="1491"/>
        <v>0</v>
      </c>
      <c r="DD1213" s="1906">
        <f t="shared" si="1492"/>
        <v>0</v>
      </c>
      <c r="DE1213" s="1906">
        <f t="shared" si="1493"/>
        <v>0</v>
      </c>
      <c r="DF1213" s="1906">
        <f t="shared" si="1494"/>
        <v>0</v>
      </c>
      <c r="DG1213" s="1906">
        <f t="shared" si="1495"/>
        <v>0</v>
      </c>
      <c r="DH1213" s="1906">
        <f t="shared" si="1496"/>
        <v>0</v>
      </c>
      <c r="DI1213" s="1906">
        <f t="shared" si="1497"/>
        <v>0</v>
      </c>
      <c r="DJ1213" s="1906">
        <f t="shared" si="1498"/>
        <v>0</v>
      </c>
      <c r="DK1213" s="1906">
        <f t="shared" si="1499"/>
        <v>0</v>
      </c>
      <c r="DL1213" s="1906">
        <f t="shared" si="1500"/>
        <v>0</v>
      </c>
      <c r="DM1213" s="1906">
        <f t="shared" si="1501"/>
        <v>0</v>
      </c>
      <c r="DN1213" s="1906">
        <f t="shared" si="1502"/>
        <v>0</v>
      </c>
      <c r="DO1213" s="595" t="str">
        <f t="shared" si="1503"/>
        <v>Alfalfa 3</v>
      </c>
      <c r="DP1213" s="1443">
        <f t="shared" si="1504"/>
        <v>0</v>
      </c>
      <c r="DQ1213" s="107"/>
      <c r="DR1213" s="111"/>
      <c r="DS1213" s="1906"/>
      <c r="DT1213" s="1906"/>
      <c r="DU1213" s="1906"/>
      <c r="DV1213" s="1906"/>
      <c r="DW1213" s="1906"/>
      <c r="DX1213" s="1906"/>
      <c r="DY1213" s="1906"/>
      <c r="DZ1213" s="1906"/>
      <c r="EA1213" s="1906"/>
      <c r="EB1213" s="1906"/>
      <c r="EC1213" s="1906"/>
      <c r="ED1213" s="1906"/>
    </row>
    <row r="1214" spans="1:134" x14ac:dyDescent="0.2">
      <c r="A1214" s="107"/>
      <c r="B1214" s="1857" t="str">
        <f t="shared" si="1393"/>
        <v>Alfalfa 4</v>
      </c>
      <c r="C1214" s="2013">
        <f t="shared" si="1394"/>
        <v>0</v>
      </c>
      <c r="D1214" s="2013">
        <f t="shared" si="1395"/>
        <v>0</v>
      </c>
      <c r="E1214" s="2013">
        <f t="shared" si="1396"/>
        <v>0</v>
      </c>
      <c r="F1214" s="2013">
        <f t="shared" si="1397"/>
        <v>0</v>
      </c>
      <c r="G1214" s="2013">
        <f t="shared" si="1398"/>
        <v>0</v>
      </c>
      <c r="H1214" s="2013">
        <f t="shared" si="1399"/>
        <v>0</v>
      </c>
      <c r="I1214" s="2013">
        <f t="shared" si="1400"/>
        <v>0</v>
      </c>
      <c r="J1214" s="2013">
        <f t="shared" si="1401"/>
        <v>0</v>
      </c>
      <c r="K1214" s="2013">
        <f t="shared" si="1402"/>
        <v>0</v>
      </c>
      <c r="L1214" s="2013">
        <f t="shared" si="1403"/>
        <v>0</v>
      </c>
      <c r="M1214" s="2013">
        <f t="shared" si="1404"/>
        <v>0</v>
      </c>
      <c r="N1214" s="2013">
        <f t="shared" si="1405"/>
        <v>0</v>
      </c>
      <c r="P1214" s="1898" t="str">
        <f t="shared" si="1406"/>
        <v/>
      </c>
      <c r="Q1214" s="1898" t="str">
        <f t="shared" si="1407"/>
        <v/>
      </c>
      <c r="R1214" s="1898" t="str">
        <f t="shared" si="1408"/>
        <v/>
      </c>
      <c r="S1214" s="1898" t="str">
        <f t="shared" si="1409"/>
        <v/>
      </c>
      <c r="T1214" s="1898" t="str">
        <f t="shared" si="1410"/>
        <v/>
      </c>
      <c r="U1214" s="1898" t="str">
        <f t="shared" si="1411"/>
        <v/>
      </c>
      <c r="V1214" s="1898" t="str">
        <f t="shared" si="1412"/>
        <v/>
      </c>
      <c r="W1214" s="1898" t="str">
        <f t="shared" si="1413"/>
        <v/>
      </c>
      <c r="X1214" s="1898" t="str">
        <f t="shared" si="1414"/>
        <v/>
      </c>
      <c r="Y1214" s="1898" t="str">
        <f t="shared" si="1415"/>
        <v/>
      </c>
      <c r="Z1214" s="1898" t="str">
        <f t="shared" si="1416"/>
        <v/>
      </c>
      <c r="AA1214" s="1898" t="str">
        <f t="shared" si="1417"/>
        <v/>
      </c>
      <c r="AB1214" s="1971" t="str">
        <f t="shared" si="1418"/>
        <v>Alfalfa 4</v>
      </c>
      <c r="AC1214" s="1906">
        <f t="shared" si="1419"/>
        <v>0</v>
      </c>
      <c r="AD1214" s="1906">
        <f t="shared" si="1420"/>
        <v>0</v>
      </c>
      <c r="AE1214" s="1906">
        <f t="shared" si="1421"/>
        <v>0</v>
      </c>
      <c r="AF1214" s="1906">
        <f t="shared" si="1422"/>
        <v>0</v>
      </c>
      <c r="AG1214" s="1906">
        <f t="shared" si="1423"/>
        <v>0</v>
      </c>
      <c r="AH1214" s="1906">
        <f t="shared" si="1424"/>
        <v>0</v>
      </c>
      <c r="AI1214" s="1906">
        <f t="shared" si="1425"/>
        <v>0</v>
      </c>
      <c r="AJ1214" s="1906">
        <f t="shared" si="1426"/>
        <v>0</v>
      </c>
      <c r="AK1214" s="1906">
        <f t="shared" si="1427"/>
        <v>0</v>
      </c>
      <c r="AL1214" s="1906">
        <f t="shared" si="1428"/>
        <v>0</v>
      </c>
      <c r="AM1214" s="1906">
        <f t="shared" si="1429"/>
        <v>0</v>
      </c>
      <c r="AN1214" s="1906">
        <f t="shared" si="1430"/>
        <v>0</v>
      </c>
      <c r="AO1214" s="107"/>
      <c r="AP1214" s="1906"/>
      <c r="AQ1214" s="1906">
        <f t="shared" si="1431"/>
        <v>0</v>
      </c>
      <c r="AR1214" s="1906">
        <f t="shared" si="1432"/>
        <v>0</v>
      </c>
      <c r="AS1214" s="1906">
        <f t="shared" si="1433"/>
        <v>0</v>
      </c>
      <c r="AT1214" s="1906">
        <f t="shared" si="1434"/>
        <v>0</v>
      </c>
      <c r="AU1214" s="1906">
        <f t="shared" si="1435"/>
        <v>0</v>
      </c>
      <c r="AV1214" s="1906">
        <f t="shared" si="1436"/>
        <v>0</v>
      </c>
      <c r="AW1214" s="1906">
        <f t="shared" si="1437"/>
        <v>0</v>
      </c>
      <c r="AX1214" s="1906">
        <f t="shared" si="1438"/>
        <v>0</v>
      </c>
      <c r="AY1214" s="1906">
        <f t="shared" si="1439"/>
        <v>0</v>
      </c>
      <c r="AZ1214" s="1906">
        <f t="shared" si="1440"/>
        <v>0</v>
      </c>
      <c r="BA1214" s="1906">
        <f t="shared" si="1441"/>
        <v>0</v>
      </c>
      <c r="BB1214" s="107"/>
      <c r="BC1214" s="1906">
        <f t="shared" si="1442"/>
        <v>0</v>
      </c>
      <c r="BD1214" s="1906">
        <f t="shared" si="1443"/>
        <v>0</v>
      </c>
      <c r="BE1214" s="1906">
        <f t="shared" si="1444"/>
        <v>0</v>
      </c>
      <c r="BF1214" s="1906">
        <f t="shared" si="1445"/>
        <v>0</v>
      </c>
      <c r="BG1214" s="1906">
        <f t="shared" si="1446"/>
        <v>0</v>
      </c>
      <c r="BH1214" s="1906">
        <f t="shared" si="1447"/>
        <v>0</v>
      </c>
      <c r="BI1214" s="1906">
        <f t="shared" si="1448"/>
        <v>0</v>
      </c>
      <c r="BJ1214" s="1906">
        <f t="shared" si="1449"/>
        <v>0</v>
      </c>
      <c r="BK1214" s="1906">
        <f t="shared" si="1450"/>
        <v>0</v>
      </c>
      <c r="BL1214" s="1906">
        <f t="shared" si="1451"/>
        <v>0</v>
      </c>
      <c r="BM1214" s="1906">
        <f t="shared" si="1452"/>
        <v>0</v>
      </c>
      <c r="BN1214" s="1906">
        <f t="shared" si="1453"/>
        <v>0</v>
      </c>
      <c r="BO1214" s="107"/>
      <c r="BP1214" s="1906">
        <f t="shared" si="1454"/>
        <v>0</v>
      </c>
      <c r="BQ1214" s="1906">
        <f t="shared" si="1455"/>
        <v>0</v>
      </c>
      <c r="BR1214" s="1906">
        <f t="shared" si="1456"/>
        <v>0</v>
      </c>
      <c r="BS1214" s="1906">
        <f t="shared" si="1457"/>
        <v>0</v>
      </c>
      <c r="BT1214" s="1906">
        <f t="shared" si="1458"/>
        <v>0</v>
      </c>
      <c r="BU1214" s="1906">
        <f t="shared" si="1459"/>
        <v>0</v>
      </c>
      <c r="BV1214" s="1906">
        <f t="shared" si="1460"/>
        <v>0</v>
      </c>
      <c r="BW1214" s="1906">
        <f t="shared" si="1461"/>
        <v>0</v>
      </c>
      <c r="BX1214" s="1906">
        <f t="shared" si="1462"/>
        <v>0</v>
      </c>
      <c r="BY1214" s="1906">
        <f t="shared" si="1463"/>
        <v>0</v>
      </c>
      <c r="BZ1214" s="1906">
        <f t="shared" si="1464"/>
        <v>0</v>
      </c>
      <c r="CA1214" s="1906">
        <f t="shared" si="1465"/>
        <v>0</v>
      </c>
      <c r="CB1214" s="107"/>
      <c r="CC1214" s="1906">
        <f t="shared" si="1466"/>
        <v>0</v>
      </c>
      <c r="CD1214" s="1906">
        <f t="shared" si="1467"/>
        <v>0</v>
      </c>
      <c r="CE1214" s="1906">
        <f t="shared" si="1468"/>
        <v>0</v>
      </c>
      <c r="CF1214" s="1906">
        <f t="shared" si="1469"/>
        <v>0</v>
      </c>
      <c r="CG1214" s="1906">
        <f t="shared" si="1470"/>
        <v>0</v>
      </c>
      <c r="CH1214" s="1906">
        <f t="shared" si="1471"/>
        <v>0</v>
      </c>
      <c r="CI1214" s="1906">
        <f t="shared" si="1472"/>
        <v>0</v>
      </c>
      <c r="CJ1214" s="1906">
        <f t="shared" si="1473"/>
        <v>0</v>
      </c>
      <c r="CK1214" s="1906">
        <f t="shared" si="1474"/>
        <v>0</v>
      </c>
      <c r="CL1214" s="1906">
        <f t="shared" si="1475"/>
        <v>0</v>
      </c>
      <c r="CM1214" s="1906">
        <f t="shared" si="1476"/>
        <v>0</v>
      </c>
      <c r="CN1214" s="1906">
        <f t="shared" si="1477"/>
        <v>0</v>
      </c>
      <c r="CO1214" s="107"/>
      <c r="CP1214" s="1906">
        <f t="shared" si="1478"/>
        <v>0</v>
      </c>
      <c r="CQ1214" s="1906">
        <f t="shared" si="1479"/>
        <v>0</v>
      </c>
      <c r="CR1214" s="1906">
        <f t="shared" si="1480"/>
        <v>0</v>
      </c>
      <c r="CS1214" s="1906">
        <f t="shared" si="1481"/>
        <v>0</v>
      </c>
      <c r="CT1214" s="1906">
        <f t="shared" si="1482"/>
        <v>0</v>
      </c>
      <c r="CU1214" s="1906">
        <f t="shared" si="1483"/>
        <v>0</v>
      </c>
      <c r="CV1214" s="1906">
        <f t="shared" si="1484"/>
        <v>0</v>
      </c>
      <c r="CW1214" s="1906">
        <f t="shared" si="1485"/>
        <v>0</v>
      </c>
      <c r="CX1214" s="1906">
        <f t="shared" si="1486"/>
        <v>0</v>
      </c>
      <c r="CY1214" s="1906">
        <f t="shared" si="1487"/>
        <v>0</v>
      </c>
      <c r="CZ1214" s="1906">
        <f t="shared" si="1488"/>
        <v>0</v>
      </c>
      <c r="DA1214" s="1906">
        <f t="shared" si="1489"/>
        <v>0</v>
      </c>
      <c r="DB1214" s="1971" t="str">
        <f t="shared" si="1490"/>
        <v>Alfalfa 4</v>
      </c>
      <c r="DC1214" s="1906">
        <f t="shared" si="1491"/>
        <v>0</v>
      </c>
      <c r="DD1214" s="1906">
        <f t="shared" si="1492"/>
        <v>0</v>
      </c>
      <c r="DE1214" s="1906">
        <f t="shared" si="1493"/>
        <v>0</v>
      </c>
      <c r="DF1214" s="1906">
        <f t="shared" si="1494"/>
        <v>0</v>
      </c>
      <c r="DG1214" s="1906">
        <f t="shared" si="1495"/>
        <v>0</v>
      </c>
      <c r="DH1214" s="1906">
        <f t="shared" si="1496"/>
        <v>0</v>
      </c>
      <c r="DI1214" s="1906">
        <f t="shared" si="1497"/>
        <v>0</v>
      </c>
      <c r="DJ1214" s="1906">
        <f t="shared" si="1498"/>
        <v>0</v>
      </c>
      <c r="DK1214" s="1906">
        <f t="shared" si="1499"/>
        <v>0</v>
      </c>
      <c r="DL1214" s="1906">
        <f t="shared" si="1500"/>
        <v>0</v>
      </c>
      <c r="DM1214" s="1906">
        <f t="shared" si="1501"/>
        <v>0</v>
      </c>
      <c r="DN1214" s="1906">
        <f t="shared" si="1502"/>
        <v>0</v>
      </c>
      <c r="DO1214" s="595" t="str">
        <f t="shared" si="1503"/>
        <v>Alfalfa 4</v>
      </c>
      <c r="DP1214" s="1443">
        <f t="shared" si="1504"/>
        <v>0</v>
      </c>
      <c r="DQ1214" s="107"/>
      <c r="DR1214" s="111"/>
      <c r="DS1214" s="1906"/>
      <c r="DT1214" s="1906"/>
      <c r="DU1214" s="1906"/>
      <c r="DV1214" s="1906"/>
      <c r="DW1214" s="1906"/>
      <c r="DX1214" s="1906"/>
      <c r="DY1214" s="1906"/>
      <c r="DZ1214" s="1906"/>
      <c r="EA1214" s="1906"/>
      <c r="EB1214" s="1906"/>
      <c r="EC1214" s="1906"/>
      <c r="ED1214" s="1906"/>
    </row>
    <row r="1215" spans="1:134" x14ac:dyDescent="0.2">
      <c r="A1215" s="107"/>
      <c r="B1215" s="1857" t="str">
        <f t="shared" si="1393"/>
        <v>PP 2</v>
      </c>
      <c r="C1215" s="2013">
        <f t="shared" si="1394"/>
        <v>0</v>
      </c>
      <c r="D1215" s="2013">
        <f t="shared" si="1395"/>
        <v>0</v>
      </c>
      <c r="E1215" s="2013">
        <f t="shared" si="1396"/>
        <v>0</v>
      </c>
      <c r="F1215" s="2013">
        <f t="shared" si="1397"/>
        <v>0</v>
      </c>
      <c r="G1215" s="2013">
        <f t="shared" si="1398"/>
        <v>0</v>
      </c>
      <c r="H1215" s="2013">
        <f t="shared" si="1399"/>
        <v>0</v>
      </c>
      <c r="I1215" s="2013">
        <f t="shared" si="1400"/>
        <v>0</v>
      </c>
      <c r="J1215" s="2013">
        <f t="shared" si="1401"/>
        <v>0</v>
      </c>
      <c r="K1215" s="2013">
        <f t="shared" si="1402"/>
        <v>0</v>
      </c>
      <c r="L1215" s="2013">
        <f t="shared" si="1403"/>
        <v>0</v>
      </c>
      <c r="M1215" s="2013">
        <f t="shared" si="1404"/>
        <v>0</v>
      </c>
      <c r="N1215" s="2013">
        <f t="shared" si="1405"/>
        <v>0</v>
      </c>
      <c r="P1215" s="1898" t="str">
        <f t="shared" si="1406"/>
        <v/>
      </c>
      <c r="Q1215" s="1898" t="str">
        <f t="shared" si="1407"/>
        <v/>
      </c>
      <c r="R1215" s="1898" t="str">
        <f t="shared" si="1408"/>
        <v/>
      </c>
      <c r="S1215" s="1898" t="str">
        <f t="shared" si="1409"/>
        <v/>
      </c>
      <c r="T1215" s="1898" t="str">
        <f t="shared" si="1410"/>
        <v/>
      </c>
      <c r="U1215" s="1898" t="str">
        <f t="shared" si="1411"/>
        <v/>
      </c>
      <c r="V1215" s="1898" t="str">
        <f t="shared" si="1412"/>
        <v/>
      </c>
      <c r="W1215" s="1898" t="str">
        <f t="shared" si="1413"/>
        <v/>
      </c>
      <c r="X1215" s="1898" t="str">
        <f t="shared" si="1414"/>
        <v/>
      </c>
      <c r="Y1215" s="1898" t="str">
        <f t="shared" si="1415"/>
        <v/>
      </c>
      <c r="Z1215" s="1898" t="str">
        <f t="shared" si="1416"/>
        <v/>
      </c>
      <c r="AA1215" s="1898" t="str">
        <f t="shared" si="1417"/>
        <v/>
      </c>
      <c r="AB1215" s="1971" t="str">
        <f t="shared" si="1418"/>
        <v>PP 2</v>
      </c>
      <c r="AC1215" s="1906">
        <f t="shared" si="1419"/>
        <v>0</v>
      </c>
      <c r="AD1215" s="1906">
        <f t="shared" si="1420"/>
        <v>0</v>
      </c>
      <c r="AE1215" s="1906">
        <f t="shared" si="1421"/>
        <v>0</v>
      </c>
      <c r="AF1215" s="1906">
        <f t="shared" si="1422"/>
        <v>0</v>
      </c>
      <c r="AG1215" s="1906">
        <f t="shared" si="1423"/>
        <v>0</v>
      </c>
      <c r="AH1215" s="1906">
        <f t="shared" si="1424"/>
        <v>0</v>
      </c>
      <c r="AI1215" s="1906">
        <f t="shared" si="1425"/>
        <v>0</v>
      </c>
      <c r="AJ1215" s="1906">
        <f t="shared" si="1426"/>
        <v>0</v>
      </c>
      <c r="AK1215" s="1906">
        <f t="shared" si="1427"/>
        <v>0</v>
      </c>
      <c r="AL1215" s="1906">
        <f t="shared" si="1428"/>
        <v>0</v>
      </c>
      <c r="AM1215" s="1906">
        <f t="shared" si="1429"/>
        <v>0</v>
      </c>
      <c r="AN1215" s="1906">
        <f t="shared" si="1430"/>
        <v>0</v>
      </c>
      <c r="AO1215" s="107"/>
      <c r="AP1215" s="1906"/>
      <c r="AQ1215" s="1906">
        <f t="shared" si="1431"/>
        <v>0</v>
      </c>
      <c r="AR1215" s="1906">
        <f t="shared" si="1432"/>
        <v>0</v>
      </c>
      <c r="AS1215" s="1906">
        <f t="shared" si="1433"/>
        <v>0</v>
      </c>
      <c r="AT1215" s="1906">
        <f t="shared" si="1434"/>
        <v>0</v>
      </c>
      <c r="AU1215" s="1906">
        <f t="shared" si="1435"/>
        <v>0</v>
      </c>
      <c r="AV1215" s="1906">
        <f t="shared" si="1436"/>
        <v>0</v>
      </c>
      <c r="AW1215" s="1906">
        <f t="shared" si="1437"/>
        <v>0</v>
      </c>
      <c r="AX1215" s="1906">
        <f t="shared" si="1438"/>
        <v>0</v>
      </c>
      <c r="AY1215" s="1906">
        <f t="shared" si="1439"/>
        <v>0</v>
      </c>
      <c r="AZ1215" s="1906">
        <f t="shared" si="1440"/>
        <v>0</v>
      </c>
      <c r="BA1215" s="1906">
        <f t="shared" si="1441"/>
        <v>0</v>
      </c>
      <c r="BB1215" s="107"/>
      <c r="BC1215" s="1906">
        <f t="shared" si="1442"/>
        <v>0</v>
      </c>
      <c r="BD1215" s="1906">
        <f t="shared" si="1443"/>
        <v>0</v>
      </c>
      <c r="BE1215" s="1906">
        <f t="shared" si="1444"/>
        <v>0</v>
      </c>
      <c r="BF1215" s="1906">
        <f t="shared" si="1445"/>
        <v>0</v>
      </c>
      <c r="BG1215" s="1906">
        <f t="shared" si="1446"/>
        <v>0</v>
      </c>
      <c r="BH1215" s="1906">
        <f t="shared" si="1447"/>
        <v>0</v>
      </c>
      <c r="BI1215" s="1906">
        <f t="shared" si="1448"/>
        <v>0</v>
      </c>
      <c r="BJ1215" s="1906">
        <f t="shared" si="1449"/>
        <v>0</v>
      </c>
      <c r="BK1215" s="1906">
        <f t="shared" si="1450"/>
        <v>0</v>
      </c>
      <c r="BL1215" s="1906">
        <f t="shared" si="1451"/>
        <v>0</v>
      </c>
      <c r="BM1215" s="1906">
        <f t="shared" si="1452"/>
        <v>0</v>
      </c>
      <c r="BN1215" s="1906">
        <f t="shared" si="1453"/>
        <v>0</v>
      </c>
      <c r="BO1215" s="107"/>
      <c r="BP1215" s="1906">
        <f t="shared" si="1454"/>
        <v>0</v>
      </c>
      <c r="BQ1215" s="1906">
        <f t="shared" si="1455"/>
        <v>0</v>
      </c>
      <c r="BR1215" s="1906">
        <f t="shared" si="1456"/>
        <v>0</v>
      </c>
      <c r="BS1215" s="1906">
        <f t="shared" si="1457"/>
        <v>0</v>
      </c>
      <c r="BT1215" s="1906">
        <f t="shared" si="1458"/>
        <v>0</v>
      </c>
      <c r="BU1215" s="1906">
        <f t="shared" si="1459"/>
        <v>0</v>
      </c>
      <c r="BV1215" s="1906">
        <f t="shared" si="1460"/>
        <v>0</v>
      </c>
      <c r="BW1215" s="1906">
        <f t="shared" si="1461"/>
        <v>0</v>
      </c>
      <c r="BX1215" s="1906">
        <f t="shared" si="1462"/>
        <v>0</v>
      </c>
      <c r="BY1215" s="1906">
        <f t="shared" si="1463"/>
        <v>0</v>
      </c>
      <c r="BZ1215" s="1906">
        <f t="shared" si="1464"/>
        <v>0</v>
      </c>
      <c r="CA1215" s="1906">
        <f t="shared" si="1465"/>
        <v>0</v>
      </c>
      <c r="CB1215" s="107"/>
      <c r="CC1215" s="1906">
        <f t="shared" si="1466"/>
        <v>0</v>
      </c>
      <c r="CD1215" s="1906">
        <f t="shared" si="1467"/>
        <v>0</v>
      </c>
      <c r="CE1215" s="1906">
        <f t="shared" si="1468"/>
        <v>0</v>
      </c>
      <c r="CF1215" s="1906">
        <f t="shared" si="1469"/>
        <v>0</v>
      </c>
      <c r="CG1215" s="1906">
        <f t="shared" si="1470"/>
        <v>0</v>
      </c>
      <c r="CH1215" s="1906">
        <f t="shared" si="1471"/>
        <v>0</v>
      </c>
      <c r="CI1215" s="1906">
        <f t="shared" si="1472"/>
        <v>0</v>
      </c>
      <c r="CJ1215" s="1906">
        <f t="shared" si="1473"/>
        <v>0</v>
      </c>
      <c r="CK1215" s="1906">
        <f t="shared" si="1474"/>
        <v>0</v>
      </c>
      <c r="CL1215" s="1906">
        <f t="shared" si="1475"/>
        <v>0</v>
      </c>
      <c r="CM1215" s="1906">
        <f t="shared" si="1476"/>
        <v>0</v>
      </c>
      <c r="CN1215" s="1906">
        <f t="shared" si="1477"/>
        <v>0</v>
      </c>
      <c r="CO1215" s="107"/>
      <c r="CP1215" s="1906">
        <f t="shared" si="1478"/>
        <v>0</v>
      </c>
      <c r="CQ1215" s="1906">
        <f t="shared" si="1479"/>
        <v>0</v>
      </c>
      <c r="CR1215" s="1906">
        <f t="shared" si="1480"/>
        <v>0</v>
      </c>
      <c r="CS1215" s="1906">
        <f t="shared" si="1481"/>
        <v>0</v>
      </c>
      <c r="CT1215" s="1906">
        <f t="shared" si="1482"/>
        <v>0</v>
      </c>
      <c r="CU1215" s="1906">
        <f t="shared" si="1483"/>
        <v>0</v>
      </c>
      <c r="CV1215" s="1906">
        <f t="shared" si="1484"/>
        <v>0</v>
      </c>
      <c r="CW1215" s="1906">
        <f t="shared" si="1485"/>
        <v>0</v>
      </c>
      <c r="CX1215" s="1906">
        <f t="shared" si="1486"/>
        <v>0</v>
      </c>
      <c r="CY1215" s="1906">
        <f t="shared" si="1487"/>
        <v>0</v>
      </c>
      <c r="CZ1215" s="1906">
        <f t="shared" si="1488"/>
        <v>0</v>
      </c>
      <c r="DA1215" s="1906">
        <f t="shared" si="1489"/>
        <v>0</v>
      </c>
      <c r="DB1215" s="1971" t="str">
        <f t="shared" si="1490"/>
        <v>PP 2</v>
      </c>
      <c r="DC1215" s="1906">
        <f t="shared" si="1491"/>
        <v>0</v>
      </c>
      <c r="DD1215" s="1906">
        <f t="shared" si="1492"/>
        <v>0</v>
      </c>
      <c r="DE1215" s="1906">
        <f t="shared" si="1493"/>
        <v>0</v>
      </c>
      <c r="DF1215" s="1906">
        <f t="shared" si="1494"/>
        <v>0</v>
      </c>
      <c r="DG1215" s="1906">
        <f t="shared" si="1495"/>
        <v>0</v>
      </c>
      <c r="DH1215" s="1906">
        <f t="shared" si="1496"/>
        <v>0</v>
      </c>
      <c r="DI1215" s="1906">
        <f t="shared" si="1497"/>
        <v>0</v>
      </c>
      <c r="DJ1215" s="1906">
        <f t="shared" si="1498"/>
        <v>0</v>
      </c>
      <c r="DK1215" s="1906">
        <f t="shared" si="1499"/>
        <v>0</v>
      </c>
      <c r="DL1215" s="1906">
        <f t="shared" si="1500"/>
        <v>0</v>
      </c>
      <c r="DM1215" s="1906">
        <f t="shared" si="1501"/>
        <v>0</v>
      </c>
      <c r="DN1215" s="1906">
        <f t="shared" si="1502"/>
        <v>0</v>
      </c>
      <c r="DO1215" s="595" t="str">
        <f t="shared" si="1503"/>
        <v>PP 2</v>
      </c>
      <c r="DP1215" s="1443">
        <f t="shared" si="1504"/>
        <v>0</v>
      </c>
      <c r="DQ1215" s="107"/>
      <c r="DR1215" s="111"/>
      <c r="DS1215" s="1906"/>
      <c r="DT1215" s="1906"/>
      <c r="DU1215" s="1906"/>
      <c r="DV1215" s="1906"/>
      <c r="DW1215" s="1906"/>
      <c r="DX1215" s="1906"/>
      <c r="DY1215" s="1906"/>
      <c r="DZ1215" s="1906"/>
      <c r="EA1215" s="1906"/>
      <c r="EB1215" s="1906"/>
      <c r="EC1215" s="1906"/>
      <c r="ED1215" s="1906"/>
    </row>
    <row r="1216" spans="1:134" x14ac:dyDescent="0.2">
      <c r="A1216" s="107"/>
      <c r="B1216" s="1857" t="str">
        <f t="shared" si="1393"/>
        <v>PP 3</v>
      </c>
      <c r="C1216" s="2013">
        <f t="shared" si="1394"/>
        <v>0</v>
      </c>
      <c r="D1216" s="2013">
        <f t="shared" si="1395"/>
        <v>0</v>
      </c>
      <c r="E1216" s="2013">
        <f t="shared" si="1396"/>
        <v>0</v>
      </c>
      <c r="F1216" s="2013">
        <f t="shared" si="1397"/>
        <v>0</v>
      </c>
      <c r="G1216" s="2013">
        <f t="shared" si="1398"/>
        <v>0</v>
      </c>
      <c r="H1216" s="2013">
        <f t="shared" si="1399"/>
        <v>0</v>
      </c>
      <c r="I1216" s="2013">
        <f t="shared" si="1400"/>
        <v>0</v>
      </c>
      <c r="J1216" s="2013">
        <f t="shared" si="1401"/>
        <v>0</v>
      </c>
      <c r="K1216" s="2013">
        <f t="shared" si="1402"/>
        <v>0</v>
      </c>
      <c r="L1216" s="2013">
        <f t="shared" si="1403"/>
        <v>0</v>
      </c>
      <c r="M1216" s="2013">
        <f t="shared" si="1404"/>
        <v>0</v>
      </c>
      <c r="N1216" s="2013">
        <f t="shared" si="1405"/>
        <v>0</v>
      </c>
      <c r="P1216" s="1898" t="str">
        <f t="shared" si="1406"/>
        <v/>
      </c>
      <c r="Q1216" s="1898" t="str">
        <f t="shared" si="1407"/>
        <v/>
      </c>
      <c r="R1216" s="1898" t="str">
        <f t="shared" si="1408"/>
        <v/>
      </c>
      <c r="S1216" s="1898" t="str">
        <f t="shared" si="1409"/>
        <v/>
      </c>
      <c r="T1216" s="1898" t="str">
        <f t="shared" si="1410"/>
        <v/>
      </c>
      <c r="U1216" s="1898" t="str">
        <f t="shared" si="1411"/>
        <v/>
      </c>
      <c r="V1216" s="1898" t="str">
        <f t="shared" si="1412"/>
        <v/>
      </c>
      <c r="W1216" s="1898" t="str">
        <f t="shared" si="1413"/>
        <v/>
      </c>
      <c r="X1216" s="1898" t="str">
        <f t="shared" si="1414"/>
        <v/>
      </c>
      <c r="Y1216" s="1898" t="str">
        <f t="shared" si="1415"/>
        <v/>
      </c>
      <c r="Z1216" s="1898" t="str">
        <f t="shared" si="1416"/>
        <v/>
      </c>
      <c r="AA1216" s="1898" t="str">
        <f t="shared" si="1417"/>
        <v/>
      </c>
      <c r="AB1216" s="1971" t="str">
        <f t="shared" si="1418"/>
        <v>PP 3</v>
      </c>
      <c r="AC1216" s="1906">
        <f t="shared" si="1419"/>
        <v>0</v>
      </c>
      <c r="AD1216" s="1906">
        <f t="shared" si="1420"/>
        <v>0</v>
      </c>
      <c r="AE1216" s="1906">
        <f t="shared" si="1421"/>
        <v>0</v>
      </c>
      <c r="AF1216" s="1906">
        <f t="shared" si="1422"/>
        <v>0</v>
      </c>
      <c r="AG1216" s="1906">
        <f t="shared" si="1423"/>
        <v>0</v>
      </c>
      <c r="AH1216" s="1906">
        <f t="shared" si="1424"/>
        <v>0</v>
      </c>
      <c r="AI1216" s="1906">
        <f t="shared" si="1425"/>
        <v>0</v>
      </c>
      <c r="AJ1216" s="1906">
        <f t="shared" si="1426"/>
        <v>0</v>
      </c>
      <c r="AK1216" s="1906">
        <f t="shared" si="1427"/>
        <v>0</v>
      </c>
      <c r="AL1216" s="1906">
        <f t="shared" si="1428"/>
        <v>0</v>
      </c>
      <c r="AM1216" s="1906">
        <f t="shared" si="1429"/>
        <v>0</v>
      </c>
      <c r="AN1216" s="1906">
        <f t="shared" si="1430"/>
        <v>0</v>
      </c>
      <c r="AO1216" s="107"/>
      <c r="AP1216" s="1906"/>
      <c r="AQ1216" s="1906">
        <f t="shared" si="1431"/>
        <v>0</v>
      </c>
      <c r="AR1216" s="1906">
        <f t="shared" si="1432"/>
        <v>0</v>
      </c>
      <c r="AS1216" s="1906">
        <f t="shared" si="1433"/>
        <v>0</v>
      </c>
      <c r="AT1216" s="1906">
        <f t="shared" si="1434"/>
        <v>0</v>
      </c>
      <c r="AU1216" s="1906">
        <f t="shared" si="1435"/>
        <v>0</v>
      </c>
      <c r="AV1216" s="1906">
        <f t="shared" si="1436"/>
        <v>0</v>
      </c>
      <c r="AW1216" s="1906">
        <f t="shared" si="1437"/>
        <v>0</v>
      </c>
      <c r="AX1216" s="1906">
        <f t="shared" si="1438"/>
        <v>0</v>
      </c>
      <c r="AY1216" s="1906">
        <f t="shared" si="1439"/>
        <v>0</v>
      </c>
      <c r="AZ1216" s="1906">
        <f t="shared" si="1440"/>
        <v>0</v>
      </c>
      <c r="BA1216" s="1906">
        <f t="shared" si="1441"/>
        <v>0</v>
      </c>
      <c r="BB1216" s="107"/>
      <c r="BC1216" s="1906">
        <f t="shared" si="1442"/>
        <v>0</v>
      </c>
      <c r="BD1216" s="1906">
        <f t="shared" si="1443"/>
        <v>0</v>
      </c>
      <c r="BE1216" s="1906">
        <f t="shared" si="1444"/>
        <v>0</v>
      </c>
      <c r="BF1216" s="1906">
        <f t="shared" si="1445"/>
        <v>0</v>
      </c>
      <c r="BG1216" s="1906">
        <f t="shared" si="1446"/>
        <v>0</v>
      </c>
      <c r="BH1216" s="1906">
        <f t="shared" si="1447"/>
        <v>0</v>
      </c>
      <c r="BI1216" s="1906">
        <f t="shared" si="1448"/>
        <v>0</v>
      </c>
      <c r="BJ1216" s="1906">
        <f t="shared" si="1449"/>
        <v>0</v>
      </c>
      <c r="BK1216" s="1906">
        <f t="shared" si="1450"/>
        <v>0</v>
      </c>
      <c r="BL1216" s="1906">
        <f t="shared" si="1451"/>
        <v>0</v>
      </c>
      <c r="BM1216" s="1906">
        <f t="shared" si="1452"/>
        <v>0</v>
      </c>
      <c r="BN1216" s="1906">
        <f t="shared" si="1453"/>
        <v>0</v>
      </c>
      <c r="BO1216" s="107"/>
      <c r="BP1216" s="1906">
        <f t="shared" si="1454"/>
        <v>0</v>
      </c>
      <c r="BQ1216" s="1906">
        <f t="shared" si="1455"/>
        <v>0</v>
      </c>
      <c r="BR1216" s="1906">
        <f t="shared" si="1456"/>
        <v>0</v>
      </c>
      <c r="BS1216" s="1906">
        <f t="shared" si="1457"/>
        <v>0</v>
      </c>
      <c r="BT1216" s="1906">
        <f t="shared" si="1458"/>
        <v>0</v>
      </c>
      <c r="BU1216" s="1906">
        <f t="shared" si="1459"/>
        <v>0</v>
      </c>
      <c r="BV1216" s="1906">
        <f t="shared" si="1460"/>
        <v>0</v>
      </c>
      <c r="BW1216" s="1906">
        <f t="shared" si="1461"/>
        <v>0</v>
      </c>
      <c r="BX1216" s="1906">
        <f t="shared" si="1462"/>
        <v>0</v>
      </c>
      <c r="BY1216" s="1906">
        <f t="shared" si="1463"/>
        <v>0</v>
      </c>
      <c r="BZ1216" s="1906">
        <f t="shared" si="1464"/>
        <v>0</v>
      </c>
      <c r="CA1216" s="1906">
        <f t="shared" si="1465"/>
        <v>0</v>
      </c>
      <c r="CB1216" s="107"/>
      <c r="CC1216" s="1906">
        <f t="shared" si="1466"/>
        <v>0</v>
      </c>
      <c r="CD1216" s="1906">
        <f t="shared" si="1467"/>
        <v>0</v>
      </c>
      <c r="CE1216" s="1906">
        <f t="shared" si="1468"/>
        <v>0</v>
      </c>
      <c r="CF1216" s="1906">
        <f t="shared" si="1469"/>
        <v>0</v>
      </c>
      <c r="CG1216" s="1906">
        <f t="shared" si="1470"/>
        <v>0</v>
      </c>
      <c r="CH1216" s="1906">
        <f t="shared" si="1471"/>
        <v>0</v>
      </c>
      <c r="CI1216" s="1906">
        <f t="shared" si="1472"/>
        <v>0</v>
      </c>
      <c r="CJ1216" s="1906">
        <f t="shared" si="1473"/>
        <v>0</v>
      </c>
      <c r="CK1216" s="1906">
        <f t="shared" si="1474"/>
        <v>0</v>
      </c>
      <c r="CL1216" s="1906">
        <f t="shared" si="1475"/>
        <v>0</v>
      </c>
      <c r="CM1216" s="1906">
        <f t="shared" si="1476"/>
        <v>0</v>
      </c>
      <c r="CN1216" s="1906">
        <f t="shared" si="1477"/>
        <v>0</v>
      </c>
      <c r="CO1216" s="107"/>
      <c r="CP1216" s="1906">
        <f t="shared" si="1478"/>
        <v>0</v>
      </c>
      <c r="CQ1216" s="1906">
        <f t="shared" si="1479"/>
        <v>0</v>
      </c>
      <c r="CR1216" s="1906">
        <f t="shared" si="1480"/>
        <v>0</v>
      </c>
      <c r="CS1216" s="1906">
        <f t="shared" si="1481"/>
        <v>0</v>
      </c>
      <c r="CT1216" s="1906">
        <f t="shared" si="1482"/>
        <v>0</v>
      </c>
      <c r="CU1216" s="1906">
        <f t="shared" si="1483"/>
        <v>0</v>
      </c>
      <c r="CV1216" s="1906">
        <f t="shared" si="1484"/>
        <v>0</v>
      </c>
      <c r="CW1216" s="1906">
        <f t="shared" si="1485"/>
        <v>0</v>
      </c>
      <c r="CX1216" s="1906">
        <f t="shared" si="1486"/>
        <v>0</v>
      </c>
      <c r="CY1216" s="1906">
        <f t="shared" si="1487"/>
        <v>0</v>
      </c>
      <c r="CZ1216" s="1906">
        <f t="shared" si="1488"/>
        <v>0</v>
      </c>
      <c r="DA1216" s="1906">
        <f t="shared" si="1489"/>
        <v>0</v>
      </c>
      <c r="DB1216" s="1971" t="str">
        <f t="shared" si="1490"/>
        <v>PP 3</v>
      </c>
      <c r="DC1216" s="1906">
        <f t="shared" si="1491"/>
        <v>0</v>
      </c>
      <c r="DD1216" s="1906">
        <f t="shared" si="1492"/>
        <v>0</v>
      </c>
      <c r="DE1216" s="1906">
        <f t="shared" si="1493"/>
        <v>0</v>
      </c>
      <c r="DF1216" s="1906">
        <f t="shared" si="1494"/>
        <v>0</v>
      </c>
      <c r="DG1216" s="1906">
        <f t="shared" si="1495"/>
        <v>0</v>
      </c>
      <c r="DH1216" s="1906">
        <f t="shared" si="1496"/>
        <v>0</v>
      </c>
      <c r="DI1216" s="1906">
        <f t="shared" si="1497"/>
        <v>0</v>
      </c>
      <c r="DJ1216" s="1906">
        <f t="shared" si="1498"/>
        <v>0</v>
      </c>
      <c r="DK1216" s="1906">
        <f t="shared" si="1499"/>
        <v>0</v>
      </c>
      <c r="DL1216" s="1906">
        <f t="shared" si="1500"/>
        <v>0</v>
      </c>
      <c r="DM1216" s="1906">
        <f t="shared" si="1501"/>
        <v>0</v>
      </c>
      <c r="DN1216" s="1906">
        <f t="shared" si="1502"/>
        <v>0</v>
      </c>
      <c r="DO1216" s="595" t="str">
        <f t="shared" si="1503"/>
        <v>PP 3</v>
      </c>
      <c r="DP1216" s="1443">
        <f t="shared" si="1504"/>
        <v>0</v>
      </c>
      <c r="DQ1216" s="107"/>
      <c r="DR1216" s="111"/>
      <c r="DS1216" s="1906"/>
      <c r="DT1216" s="1906"/>
      <c r="DU1216" s="1906"/>
      <c r="DV1216" s="1906"/>
      <c r="DW1216" s="1906"/>
      <c r="DX1216" s="1906"/>
      <c r="DY1216" s="1906"/>
      <c r="DZ1216" s="1906"/>
      <c r="EA1216" s="1906"/>
      <c r="EB1216" s="1906"/>
      <c r="EC1216" s="1906"/>
      <c r="ED1216" s="1906"/>
    </row>
    <row r="1217" spans="1:134" x14ac:dyDescent="0.2">
      <c r="A1217" s="107"/>
      <c r="B1217" s="1857" t="str">
        <f t="shared" si="1393"/>
        <v>PP 4</v>
      </c>
      <c r="C1217" s="2013">
        <f t="shared" si="1394"/>
        <v>0</v>
      </c>
      <c r="D1217" s="2013">
        <f t="shared" si="1395"/>
        <v>0</v>
      </c>
      <c r="E1217" s="2013">
        <f t="shared" si="1396"/>
        <v>0</v>
      </c>
      <c r="F1217" s="2013">
        <f t="shared" si="1397"/>
        <v>0</v>
      </c>
      <c r="G1217" s="2013">
        <f t="shared" si="1398"/>
        <v>0</v>
      </c>
      <c r="H1217" s="2013">
        <f t="shared" si="1399"/>
        <v>0</v>
      </c>
      <c r="I1217" s="2013">
        <f t="shared" si="1400"/>
        <v>0</v>
      </c>
      <c r="J1217" s="2013">
        <f t="shared" si="1401"/>
        <v>0</v>
      </c>
      <c r="K1217" s="2013">
        <f t="shared" si="1402"/>
        <v>0</v>
      </c>
      <c r="L1217" s="2013">
        <f t="shared" si="1403"/>
        <v>0</v>
      </c>
      <c r="M1217" s="2013">
        <f t="shared" si="1404"/>
        <v>0</v>
      </c>
      <c r="N1217" s="2013">
        <f t="shared" si="1405"/>
        <v>0</v>
      </c>
      <c r="P1217" s="1898" t="str">
        <f t="shared" si="1406"/>
        <v/>
      </c>
      <c r="Q1217" s="1898" t="str">
        <f t="shared" si="1407"/>
        <v/>
      </c>
      <c r="R1217" s="1898" t="str">
        <f t="shared" si="1408"/>
        <v/>
      </c>
      <c r="S1217" s="1898" t="str">
        <f t="shared" si="1409"/>
        <v/>
      </c>
      <c r="T1217" s="1898" t="str">
        <f t="shared" si="1410"/>
        <v/>
      </c>
      <c r="U1217" s="1898" t="str">
        <f t="shared" si="1411"/>
        <v/>
      </c>
      <c r="V1217" s="1898" t="str">
        <f t="shared" si="1412"/>
        <v/>
      </c>
      <c r="W1217" s="1898" t="str">
        <f t="shared" si="1413"/>
        <v/>
      </c>
      <c r="X1217" s="1898" t="str">
        <f t="shared" si="1414"/>
        <v/>
      </c>
      <c r="Y1217" s="1898" t="str">
        <f t="shared" si="1415"/>
        <v/>
      </c>
      <c r="Z1217" s="1898" t="str">
        <f t="shared" si="1416"/>
        <v/>
      </c>
      <c r="AA1217" s="1898" t="str">
        <f t="shared" si="1417"/>
        <v/>
      </c>
      <c r="AB1217" s="1971" t="str">
        <f t="shared" si="1418"/>
        <v>PP 4</v>
      </c>
      <c r="AC1217" s="1906">
        <f t="shared" si="1419"/>
        <v>0</v>
      </c>
      <c r="AD1217" s="1906">
        <f t="shared" si="1420"/>
        <v>0</v>
      </c>
      <c r="AE1217" s="1906">
        <f t="shared" si="1421"/>
        <v>0</v>
      </c>
      <c r="AF1217" s="1906">
        <f t="shared" si="1422"/>
        <v>0</v>
      </c>
      <c r="AG1217" s="1906">
        <f t="shared" si="1423"/>
        <v>0</v>
      </c>
      <c r="AH1217" s="1906">
        <f t="shared" si="1424"/>
        <v>0</v>
      </c>
      <c r="AI1217" s="1906">
        <f t="shared" si="1425"/>
        <v>0</v>
      </c>
      <c r="AJ1217" s="1906">
        <f t="shared" si="1426"/>
        <v>0</v>
      </c>
      <c r="AK1217" s="1906">
        <f t="shared" si="1427"/>
        <v>0</v>
      </c>
      <c r="AL1217" s="1906">
        <f t="shared" si="1428"/>
        <v>0</v>
      </c>
      <c r="AM1217" s="1906">
        <f t="shared" si="1429"/>
        <v>0</v>
      </c>
      <c r="AN1217" s="1906">
        <f t="shared" si="1430"/>
        <v>0</v>
      </c>
      <c r="AO1217" s="107"/>
      <c r="AP1217" s="1906"/>
      <c r="AQ1217" s="1906">
        <f t="shared" si="1431"/>
        <v>0</v>
      </c>
      <c r="AR1217" s="1906">
        <f t="shared" si="1432"/>
        <v>0</v>
      </c>
      <c r="AS1217" s="1906">
        <f t="shared" si="1433"/>
        <v>0</v>
      </c>
      <c r="AT1217" s="1906">
        <f t="shared" si="1434"/>
        <v>0</v>
      </c>
      <c r="AU1217" s="1906">
        <f t="shared" si="1435"/>
        <v>0</v>
      </c>
      <c r="AV1217" s="1906">
        <f t="shared" si="1436"/>
        <v>0</v>
      </c>
      <c r="AW1217" s="1906">
        <f t="shared" si="1437"/>
        <v>0</v>
      </c>
      <c r="AX1217" s="1906">
        <f t="shared" si="1438"/>
        <v>0</v>
      </c>
      <c r="AY1217" s="1906">
        <f t="shared" si="1439"/>
        <v>0</v>
      </c>
      <c r="AZ1217" s="1906">
        <f t="shared" si="1440"/>
        <v>0</v>
      </c>
      <c r="BA1217" s="1906">
        <f t="shared" si="1441"/>
        <v>0</v>
      </c>
      <c r="BB1217" s="107"/>
      <c r="BC1217" s="1906">
        <f t="shared" si="1442"/>
        <v>0</v>
      </c>
      <c r="BD1217" s="1906">
        <f t="shared" si="1443"/>
        <v>0</v>
      </c>
      <c r="BE1217" s="1906">
        <f t="shared" si="1444"/>
        <v>0</v>
      </c>
      <c r="BF1217" s="1906">
        <f t="shared" si="1445"/>
        <v>0</v>
      </c>
      <c r="BG1217" s="1906">
        <f t="shared" si="1446"/>
        <v>0</v>
      </c>
      <c r="BH1217" s="1906">
        <f t="shared" si="1447"/>
        <v>0</v>
      </c>
      <c r="BI1217" s="1906">
        <f t="shared" si="1448"/>
        <v>0</v>
      </c>
      <c r="BJ1217" s="1906">
        <f t="shared" si="1449"/>
        <v>0</v>
      </c>
      <c r="BK1217" s="1906">
        <f t="shared" si="1450"/>
        <v>0</v>
      </c>
      <c r="BL1217" s="1906">
        <f t="shared" si="1451"/>
        <v>0</v>
      </c>
      <c r="BM1217" s="1906">
        <f t="shared" si="1452"/>
        <v>0</v>
      </c>
      <c r="BN1217" s="1906">
        <f t="shared" si="1453"/>
        <v>0</v>
      </c>
      <c r="BO1217" s="107"/>
      <c r="BP1217" s="1906">
        <f t="shared" si="1454"/>
        <v>0</v>
      </c>
      <c r="BQ1217" s="1906">
        <f t="shared" si="1455"/>
        <v>0</v>
      </c>
      <c r="BR1217" s="1906">
        <f t="shared" si="1456"/>
        <v>0</v>
      </c>
      <c r="BS1217" s="1906">
        <f t="shared" si="1457"/>
        <v>0</v>
      </c>
      <c r="BT1217" s="1906">
        <f t="shared" si="1458"/>
        <v>0</v>
      </c>
      <c r="BU1217" s="1906">
        <f t="shared" si="1459"/>
        <v>0</v>
      </c>
      <c r="BV1217" s="1906">
        <f t="shared" si="1460"/>
        <v>0</v>
      </c>
      <c r="BW1217" s="1906">
        <f t="shared" si="1461"/>
        <v>0</v>
      </c>
      <c r="BX1217" s="1906">
        <f t="shared" si="1462"/>
        <v>0</v>
      </c>
      <c r="BY1217" s="1906">
        <f t="shared" si="1463"/>
        <v>0</v>
      </c>
      <c r="BZ1217" s="1906">
        <f t="shared" si="1464"/>
        <v>0</v>
      </c>
      <c r="CA1217" s="1906">
        <f t="shared" si="1465"/>
        <v>0</v>
      </c>
      <c r="CB1217" s="107"/>
      <c r="CC1217" s="1906">
        <f t="shared" si="1466"/>
        <v>0</v>
      </c>
      <c r="CD1217" s="1906">
        <f t="shared" si="1467"/>
        <v>0</v>
      </c>
      <c r="CE1217" s="1906">
        <f t="shared" si="1468"/>
        <v>0</v>
      </c>
      <c r="CF1217" s="1906">
        <f t="shared" si="1469"/>
        <v>0</v>
      </c>
      <c r="CG1217" s="1906">
        <f t="shared" si="1470"/>
        <v>0</v>
      </c>
      <c r="CH1217" s="1906">
        <f t="shared" si="1471"/>
        <v>0</v>
      </c>
      <c r="CI1217" s="1906">
        <f t="shared" si="1472"/>
        <v>0</v>
      </c>
      <c r="CJ1217" s="1906">
        <f t="shared" si="1473"/>
        <v>0</v>
      </c>
      <c r="CK1217" s="1906">
        <f t="shared" si="1474"/>
        <v>0</v>
      </c>
      <c r="CL1217" s="1906">
        <f t="shared" si="1475"/>
        <v>0</v>
      </c>
      <c r="CM1217" s="1906">
        <f t="shared" si="1476"/>
        <v>0</v>
      </c>
      <c r="CN1217" s="1906">
        <f t="shared" si="1477"/>
        <v>0</v>
      </c>
      <c r="CO1217" s="107"/>
      <c r="CP1217" s="1906">
        <f t="shared" si="1478"/>
        <v>0</v>
      </c>
      <c r="CQ1217" s="1906">
        <f t="shared" si="1479"/>
        <v>0</v>
      </c>
      <c r="CR1217" s="1906">
        <f t="shared" si="1480"/>
        <v>0</v>
      </c>
      <c r="CS1217" s="1906">
        <f t="shared" si="1481"/>
        <v>0</v>
      </c>
      <c r="CT1217" s="1906">
        <f t="shared" si="1482"/>
        <v>0</v>
      </c>
      <c r="CU1217" s="1906">
        <f t="shared" si="1483"/>
        <v>0</v>
      </c>
      <c r="CV1217" s="1906">
        <f t="shared" si="1484"/>
        <v>0</v>
      </c>
      <c r="CW1217" s="1906">
        <f t="shared" si="1485"/>
        <v>0</v>
      </c>
      <c r="CX1217" s="1906">
        <f t="shared" si="1486"/>
        <v>0</v>
      </c>
      <c r="CY1217" s="1906">
        <f t="shared" si="1487"/>
        <v>0</v>
      </c>
      <c r="CZ1217" s="1906">
        <f t="shared" si="1488"/>
        <v>0</v>
      </c>
      <c r="DA1217" s="1906">
        <f t="shared" si="1489"/>
        <v>0</v>
      </c>
      <c r="DB1217" s="1971" t="str">
        <f t="shared" si="1490"/>
        <v>PP 4</v>
      </c>
      <c r="DC1217" s="1906">
        <f t="shared" si="1491"/>
        <v>0</v>
      </c>
      <c r="DD1217" s="1906">
        <f t="shared" si="1492"/>
        <v>0</v>
      </c>
      <c r="DE1217" s="1906">
        <f t="shared" si="1493"/>
        <v>0</v>
      </c>
      <c r="DF1217" s="1906">
        <f t="shared" si="1494"/>
        <v>0</v>
      </c>
      <c r="DG1217" s="1906">
        <f t="shared" si="1495"/>
        <v>0</v>
      </c>
      <c r="DH1217" s="1906">
        <f t="shared" si="1496"/>
        <v>0</v>
      </c>
      <c r="DI1217" s="1906">
        <f t="shared" si="1497"/>
        <v>0</v>
      </c>
      <c r="DJ1217" s="1906">
        <f t="shared" si="1498"/>
        <v>0</v>
      </c>
      <c r="DK1217" s="1906">
        <f t="shared" si="1499"/>
        <v>0</v>
      </c>
      <c r="DL1217" s="1906">
        <f t="shared" si="1500"/>
        <v>0</v>
      </c>
      <c r="DM1217" s="1906">
        <f t="shared" si="1501"/>
        <v>0</v>
      </c>
      <c r="DN1217" s="1906">
        <f t="shared" si="1502"/>
        <v>0</v>
      </c>
      <c r="DO1217" s="595" t="str">
        <f t="shared" si="1503"/>
        <v>PP 4</v>
      </c>
      <c r="DP1217" s="1443">
        <f t="shared" si="1504"/>
        <v>0</v>
      </c>
      <c r="DQ1217" s="107"/>
      <c r="DR1217" s="111"/>
      <c r="DS1217" s="1906"/>
      <c r="DT1217" s="1906"/>
      <c r="DU1217" s="1906"/>
      <c r="DV1217" s="1906"/>
      <c r="DW1217" s="1906"/>
      <c r="DX1217" s="1906"/>
      <c r="DY1217" s="1906"/>
      <c r="DZ1217" s="1906"/>
      <c r="EA1217" s="1906"/>
      <c r="EB1217" s="1906"/>
      <c r="EC1217" s="1906"/>
      <c r="ED1217" s="1906"/>
    </row>
    <row r="1218" spans="1:134" x14ac:dyDescent="0.2">
      <c r="A1218" s="107"/>
      <c r="B1218" s="1857" t="str">
        <f t="shared" si="1393"/>
        <v>Prad 2</v>
      </c>
      <c r="C1218" s="2013">
        <f t="shared" si="1394"/>
        <v>0</v>
      </c>
      <c r="D1218" s="2013">
        <f t="shared" si="1395"/>
        <v>0</v>
      </c>
      <c r="E1218" s="2013">
        <f t="shared" si="1396"/>
        <v>0</v>
      </c>
      <c r="F1218" s="2013">
        <f t="shared" si="1397"/>
        <v>0</v>
      </c>
      <c r="G1218" s="2013">
        <f t="shared" si="1398"/>
        <v>0</v>
      </c>
      <c r="H1218" s="2013">
        <f t="shared" si="1399"/>
        <v>0</v>
      </c>
      <c r="I1218" s="2013">
        <f t="shared" si="1400"/>
        <v>0</v>
      </c>
      <c r="J1218" s="2013">
        <f t="shared" si="1401"/>
        <v>0</v>
      </c>
      <c r="K1218" s="2013">
        <f t="shared" si="1402"/>
        <v>0</v>
      </c>
      <c r="L1218" s="2013">
        <f t="shared" si="1403"/>
        <v>0</v>
      </c>
      <c r="M1218" s="2013">
        <f t="shared" si="1404"/>
        <v>0</v>
      </c>
      <c r="N1218" s="2013">
        <f t="shared" si="1405"/>
        <v>0</v>
      </c>
      <c r="P1218" s="1898" t="str">
        <f t="shared" si="1406"/>
        <v/>
      </c>
      <c r="Q1218" s="1898" t="str">
        <f t="shared" si="1407"/>
        <v/>
      </c>
      <c r="R1218" s="1898" t="str">
        <f t="shared" si="1408"/>
        <v/>
      </c>
      <c r="S1218" s="1898" t="str">
        <f t="shared" si="1409"/>
        <v/>
      </c>
      <c r="T1218" s="1898" t="str">
        <f t="shared" si="1410"/>
        <v/>
      </c>
      <c r="U1218" s="1898" t="str">
        <f t="shared" si="1411"/>
        <v/>
      </c>
      <c r="V1218" s="1898" t="str">
        <f t="shared" si="1412"/>
        <v/>
      </c>
      <c r="W1218" s="1898" t="str">
        <f t="shared" si="1413"/>
        <v/>
      </c>
      <c r="X1218" s="1898" t="str">
        <f t="shared" si="1414"/>
        <v/>
      </c>
      <c r="Y1218" s="1898" t="str">
        <f t="shared" si="1415"/>
        <v/>
      </c>
      <c r="Z1218" s="1898" t="str">
        <f t="shared" si="1416"/>
        <v/>
      </c>
      <c r="AA1218" s="1898" t="str">
        <f t="shared" si="1417"/>
        <v/>
      </c>
      <c r="AB1218" s="1971" t="str">
        <f t="shared" si="1418"/>
        <v>Prad 2</v>
      </c>
      <c r="AC1218" s="1906">
        <f t="shared" si="1419"/>
        <v>0</v>
      </c>
      <c r="AD1218" s="1906">
        <f t="shared" si="1420"/>
        <v>0</v>
      </c>
      <c r="AE1218" s="1906">
        <f t="shared" si="1421"/>
        <v>0</v>
      </c>
      <c r="AF1218" s="1906">
        <f t="shared" si="1422"/>
        <v>0</v>
      </c>
      <c r="AG1218" s="1906">
        <f t="shared" si="1423"/>
        <v>0</v>
      </c>
      <c r="AH1218" s="1906">
        <f t="shared" si="1424"/>
        <v>0</v>
      </c>
      <c r="AI1218" s="1906">
        <f t="shared" si="1425"/>
        <v>0</v>
      </c>
      <c r="AJ1218" s="1906">
        <f t="shared" si="1426"/>
        <v>0</v>
      </c>
      <c r="AK1218" s="1906">
        <f t="shared" si="1427"/>
        <v>0</v>
      </c>
      <c r="AL1218" s="1906">
        <f t="shared" si="1428"/>
        <v>0</v>
      </c>
      <c r="AM1218" s="1906">
        <f t="shared" si="1429"/>
        <v>0</v>
      </c>
      <c r="AN1218" s="1906">
        <f t="shared" si="1430"/>
        <v>0</v>
      </c>
      <c r="AO1218" s="107"/>
      <c r="AP1218" s="1906"/>
      <c r="AQ1218" s="1906">
        <f t="shared" si="1431"/>
        <v>0</v>
      </c>
      <c r="AR1218" s="1906">
        <f t="shared" si="1432"/>
        <v>0</v>
      </c>
      <c r="AS1218" s="1906">
        <f t="shared" si="1433"/>
        <v>0</v>
      </c>
      <c r="AT1218" s="1906">
        <f t="shared" si="1434"/>
        <v>0</v>
      </c>
      <c r="AU1218" s="1906">
        <f t="shared" si="1435"/>
        <v>0</v>
      </c>
      <c r="AV1218" s="1906">
        <f t="shared" si="1436"/>
        <v>0</v>
      </c>
      <c r="AW1218" s="1906">
        <f t="shared" si="1437"/>
        <v>0</v>
      </c>
      <c r="AX1218" s="1906">
        <f t="shared" si="1438"/>
        <v>0</v>
      </c>
      <c r="AY1218" s="1906">
        <f t="shared" si="1439"/>
        <v>0</v>
      </c>
      <c r="AZ1218" s="1906">
        <f t="shared" si="1440"/>
        <v>0</v>
      </c>
      <c r="BA1218" s="1906">
        <f t="shared" si="1441"/>
        <v>0</v>
      </c>
      <c r="BB1218" s="107"/>
      <c r="BC1218" s="1906">
        <f t="shared" si="1442"/>
        <v>0</v>
      </c>
      <c r="BD1218" s="1906">
        <f t="shared" si="1443"/>
        <v>0</v>
      </c>
      <c r="BE1218" s="1906">
        <f t="shared" si="1444"/>
        <v>0</v>
      </c>
      <c r="BF1218" s="1906">
        <f t="shared" si="1445"/>
        <v>0</v>
      </c>
      <c r="BG1218" s="1906">
        <f t="shared" si="1446"/>
        <v>0</v>
      </c>
      <c r="BH1218" s="1906">
        <f t="shared" si="1447"/>
        <v>0</v>
      </c>
      <c r="BI1218" s="1906">
        <f t="shared" si="1448"/>
        <v>0</v>
      </c>
      <c r="BJ1218" s="1906">
        <f t="shared" si="1449"/>
        <v>0</v>
      </c>
      <c r="BK1218" s="1906">
        <f t="shared" si="1450"/>
        <v>0</v>
      </c>
      <c r="BL1218" s="1906">
        <f t="shared" si="1451"/>
        <v>0</v>
      </c>
      <c r="BM1218" s="1906">
        <f t="shared" si="1452"/>
        <v>0</v>
      </c>
      <c r="BN1218" s="1906">
        <f t="shared" si="1453"/>
        <v>0</v>
      </c>
      <c r="BO1218" s="107"/>
      <c r="BP1218" s="1906">
        <f t="shared" si="1454"/>
        <v>0</v>
      </c>
      <c r="BQ1218" s="1906">
        <f t="shared" si="1455"/>
        <v>0</v>
      </c>
      <c r="BR1218" s="1906">
        <f t="shared" si="1456"/>
        <v>0</v>
      </c>
      <c r="BS1218" s="1906">
        <f t="shared" si="1457"/>
        <v>0</v>
      </c>
      <c r="BT1218" s="1906">
        <f t="shared" si="1458"/>
        <v>0</v>
      </c>
      <c r="BU1218" s="1906">
        <f t="shared" si="1459"/>
        <v>0</v>
      </c>
      <c r="BV1218" s="1906">
        <f t="shared" si="1460"/>
        <v>0</v>
      </c>
      <c r="BW1218" s="1906">
        <f t="shared" si="1461"/>
        <v>0</v>
      </c>
      <c r="BX1218" s="1906">
        <f t="shared" si="1462"/>
        <v>0</v>
      </c>
      <c r="BY1218" s="1906">
        <f t="shared" si="1463"/>
        <v>0</v>
      </c>
      <c r="BZ1218" s="1906">
        <f t="shared" si="1464"/>
        <v>0</v>
      </c>
      <c r="CA1218" s="1906">
        <f t="shared" si="1465"/>
        <v>0</v>
      </c>
      <c r="CB1218" s="107"/>
      <c r="CC1218" s="1906">
        <f t="shared" si="1466"/>
        <v>0</v>
      </c>
      <c r="CD1218" s="1906">
        <f t="shared" si="1467"/>
        <v>0</v>
      </c>
      <c r="CE1218" s="1906">
        <f t="shared" si="1468"/>
        <v>0</v>
      </c>
      <c r="CF1218" s="1906">
        <f t="shared" si="1469"/>
        <v>0</v>
      </c>
      <c r="CG1218" s="1906">
        <f t="shared" si="1470"/>
        <v>0</v>
      </c>
      <c r="CH1218" s="1906">
        <f t="shared" si="1471"/>
        <v>0</v>
      </c>
      <c r="CI1218" s="1906">
        <f t="shared" si="1472"/>
        <v>0</v>
      </c>
      <c r="CJ1218" s="1906">
        <f t="shared" si="1473"/>
        <v>0</v>
      </c>
      <c r="CK1218" s="1906">
        <f t="shared" si="1474"/>
        <v>0</v>
      </c>
      <c r="CL1218" s="1906">
        <f t="shared" si="1475"/>
        <v>0</v>
      </c>
      <c r="CM1218" s="1906">
        <f t="shared" si="1476"/>
        <v>0</v>
      </c>
      <c r="CN1218" s="1906">
        <f t="shared" si="1477"/>
        <v>0</v>
      </c>
      <c r="CO1218" s="107"/>
      <c r="CP1218" s="1906">
        <f t="shared" si="1478"/>
        <v>0</v>
      </c>
      <c r="CQ1218" s="1906">
        <f t="shared" si="1479"/>
        <v>0</v>
      </c>
      <c r="CR1218" s="1906">
        <f t="shared" si="1480"/>
        <v>0</v>
      </c>
      <c r="CS1218" s="1906">
        <f t="shared" si="1481"/>
        <v>0</v>
      </c>
      <c r="CT1218" s="1906">
        <f t="shared" si="1482"/>
        <v>0</v>
      </c>
      <c r="CU1218" s="1906">
        <f t="shared" si="1483"/>
        <v>0</v>
      </c>
      <c r="CV1218" s="1906">
        <f t="shared" si="1484"/>
        <v>0</v>
      </c>
      <c r="CW1218" s="1906">
        <f t="shared" si="1485"/>
        <v>0</v>
      </c>
      <c r="CX1218" s="1906">
        <f t="shared" si="1486"/>
        <v>0</v>
      </c>
      <c r="CY1218" s="1906">
        <f t="shared" si="1487"/>
        <v>0</v>
      </c>
      <c r="CZ1218" s="1906">
        <f t="shared" si="1488"/>
        <v>0</v>
      </c>
      <c r="DA1218" s="1906">
        <f t="shared" si="1489"/>
        <v>0</v>
      </c>
      <c r="DB1218" s="1971" t="str">
        <f t="shared" si="1490"/>
        <v>Prad 2</v>
      </c>
      <c r="DC1218" s="1906">
        <f t="shared" si="1491"/>
        <v>0</v>
      </c>
      <c r="DD1218" s="1906">
        <f t="shared" si="1492"/>
        <v>0</v>
      </c>
      <c r="DE1218" s="1906">
        <f t="shared" si="1493"/>
        <v>0</v>
      </c>
      <c r="DF1218" s="1906">
        <f t="shared" si="1494"/>
        <v>0</v>
      </c>
      <c r="DG1218" s="1906">
        <f t="shared" si="1495"/>
        <v>0</v>
      </c>
      <c r="DH1218" s="1906">
        <f t="shared" si="1496"/>
        <v>0</v>
      </c>
      <c r="DI1218" s="1906">
        <f t="shared" si="1497"/>
        <v>0</v>
      </c>
      <c r="DJ1218" s="1906">
        <f t="shared" si="1498"/>
        <v>0</v>
      </c>
      <c r="DK1218" s="1906">
        <f t="shared" si="1499"/>
        <v>0</v>
      </c>
      <c r="DL1218" s="1906">
        <f t="shared" si="1500"/>
        <v>0</v>
      </c>
      <c r="DM1218" s="1906">
        <f t="shared" si="1501"/>
        <v>0</v>
      </c>
      <c r="DN1218" s="1906">
        <f t="shared" si="1502"/>
        <v>0</v>
      </c>
      <c r="DO1218" s="595" t="str">
        <f t="shared" si="1503"/>
        <v>Prad 2</v>
      </c>
      <c r="DP1218" s="1443">
        <f t="shared" si="1504"/>
        <v>0</v>
      </c>
      <c r="DQ1218" s="107"/>
      <c r="DR1218" s="111"/>
      <c r="DS1218" s="1906"/>
      <c r="DT1218" s="1906"/>
      <c r="DU1218" s="1906"/>
      <c r="DV1218" s="1906"/>
      <c r="DW1218" s="1906"/>
      <c r="DX1218" s="1906"/>
      <c r="DY1218" s="1906"/>
      <c r="DZ1218" s="1906"/>
      <c r="EA1218" s="1906"/>
      <c r="EB1218" s="1906"/>
      <c r="EC1218" s="1906"/>
      <c r="ED1218" s="1906"/>
    </row>
    <row r="1219" spans="1:134" x14ac:dyDescent="0.2">
      <c r="A1219" s="107"/>
      <c r="B1219" s="1857" t="str">
        <f t="shared" si="1393"/>
        <v>Prad 3</v>
      </c>
      <c r="C1219" s="2013">
        <f t="shared" si="1394"/>
        <v>0</v>
      </c>
      <c r="D1219" s="2013">
        <f t="shared" si="1395"/>
        <v>0</v>
      </c>
      <c r="E1219" s="2013">
        <f t="shared" si="1396"/>
        <v>0</v>
      </c>
      <c r="F1219" s="2013">
        <f t="shared" si="1397"/>
        <v>0</v>
      </c>
      <c r="G1219" s="2013">
        <f t="shared" si="1398"/>
        <v>0</v>
      </c>
      <c r="H1219" s="2013">
        <f t="shared" si="1399"/>
        <v>0</v>
      </c>
      <c r="I1219" s="2013">
        <f t="shared" si="1400"/>
        <v>0</v>
      </c>
      <c r="J1219" s="2013">
        <f t="shared" si="1401"/>
        <v>0</v>
      </c>
      <c r="K1219" s="2013">
        <f t="shared" si="1402"/>
        <v>0</v>
      </c>
      <c r="L1219" s="2013">
        <f t="shared" si="1403"/>
        <v>0</v>
      </c>
      <c r="M1219" s="2013">
        <f t="shared" si="1404"/>
        <v>0</v>
      </c>
      <c r="N1219" s="2013">
        <f t="shared" si="1405"/>
        <v>0</v>
      </c>
      <c r="P1219" s="1898" t="str">
        <f t="shared" si="1406"/>
        <v/>
      </c>
      <c r="Q1219" s="1898" t="str">
        <f t="shared" si="1407"/>
        <v/>
      </c>
      <c r="R1219" s="1898" t="str">
        <f t="shared" si="1408"/>
        <v/>
      </c>
      <c r="S1219" s="1898" t="str">
        <f t="shared" si="1409"/>
        <v/>
      </c>
      <c r="T1219" s="1898" t="str">
        <f t="shared" si="1410"/>
        <v/>
      </c>
      <c r="U1219" s="1898" t="str">
        <f t="shared" si="1411"/>
        <v/>
      </c>
      <c r="V1219" s="1898" t="str">
        <f t="shared" si="1412"/>
        <v/>
      </c>
      <c r="W1219" s="1898" t="str">
        <f t="shared" si="1413"/>
        <v/>
      </c>
      <c r="X1219" s="1898" t="str">
        <f t="shared" si="1414"/>
        <v/>
      </c>
      <c r="Y1219" s="1898" t="str">
        <f t="shared" si="1415"/>
        <v/>
      </c>
      <c r="Z1219" s="1898" t="str">
        <f t="shared" si="1416"/>
        <v/>
      </c>
      <c r="AA1219" s="1898" t="str">
        <f t="shared" si="1417"/>
        <v/>
      </c>
      <c r="AB1219" s="1971" t="str">
        <f t="shared" si="1418"/>
        <v>Prad 3</v>
      </c>
      <c r="AC1219" s="1906">
        <f t="shared" si="1419"/>
        <v>0</v>
      </c>
      <c r="AD1219" s="1906">
        <f t="shared" si="1420"/>
        <v>0</v>
      </c>
      <c r="AE1219" s="1906">
        <f t="shared" si="1421"/>
        <v>0</v>
      </c>
      <c r="AF1219" s="1906">
        <f t="shared" si="1422"/>
        <v>0</v>
      </c>
      <c r="AG1219" s="1906">
        <f t="shared" si="1423"/>
        <v>0</v>
      </c>
      <c r="AH1219" s="1906">
        <f t="shared" si="1424"/>
        <v>0</v>
      </c>
      <c r="AI1219" s="1906">
        <f t="shared" si="1425"/>
        <v>0</v>
      </c>
      <c r="AJ1219" s="1906">
        <f t="shared" si="1426"/>
        <v>0</v>
      </c>
      <c r="AK1219" s="1906">
        <f t="shared" si="1427"/>
        <v>0</v>
      </c>
      <c r="AL1219" s="1906">
        <f t="shared" si="1428"/>
        <v>0</v>
      </c>
      <c r="AM1219" s="1906">
        <f t="shared" si="1429"/>
        <v>0</v>
      </c>
      <c r="AN1219" s="1906">
        <f t="shared" si="1430"/>
        <v>0</v>
      </c>
      <c r="AO1219" s="107"/>
      <c r="AP1219" s="1906"/>
      <c r="AQ1219" s="1906">
        <f t="shared" si="1431"/>
        <v>0</v>
      </c>
      <c r="AR1219" s="1906">
        <f t="shared" si="1432"/>
        <v>0</v>
      </c>
      <c r="AS1219" s="1906">
        <f t="shared" si="1433"/>
        <v>0</v>
      </c>
      <c r="AT1219" s="1906">
        <f t="shared" si="1434"/>
        <v>0</v>
      </c>
      <c r="AU1219" s="1906">
        <f t="shared" si="1435"/>
        <v>0</v>
      </c>
      <c r="AV1219" s="1906">
        <f t="shared" si="1436"/>
        <v>0</v>
      </c>
      <c r="AW1219" s="1906">
        <f t="shared" si="1437"/>
        <v>0</v>
      </c>
      <c r="AX1219" s="1906">
        <f t="shared" si="1438"/>
        <v>0</v>
      </c>
      <c r="AY1219" s="1906">
        <f t="shared" si="1439"/>
        <v>0</v>
      </c>
      <c r="AZ1219" s="1906">
        <f t="shared" si="1440"/>
        <v>0</v>
      </c>
      <c r="BA1219" s="1906">
        <f t="shared" si="1441"/>
        <v>0</v>
      </c>
      <c r="BB1219" s="107"/>
      <c r="BC1219" s="1906">
        <f t="shared" si="1442"/>
        <v>0</v>
      </c>
      <c r="BD1219" s="1906">
        <f t="shared" si="1443"/>
        <v>0</v>
      </c>
      <c r="BE1219" s="1906">
        <f t="shared" si="1444"/>
        <v>0</v>
      </c>
      <c r="BF1219" s="1906">
        <f t="shared" si="1445"/>
        <v>0</v>
      </c>
      <c r="BG1219" s="1906">
        <f t="shared" si="1446"/>
        <v>0</v>
      </c>
      <c r="BH1219" s="1906">
        <f t="shared" si="1447"/>
        <v>0</v>
      </c>
      <c r="BI1219" s="1906">
        <f t="shared" si="1448"/>
        <v>0</v>
      </c>
      <c r="BJ1219" s="1906">
        <f t="shared" si="1449"/>
        <v>0</v>
      </c>
      <c r="BK1219" s="1906">
        <f t="shared" si="1450"/>
        <v>0</v>
      </c>
      <c r="BL1219" s="1906">
        <f t="shared" si="1451"/>
        <v>0</v>
      </c>
      <c r="BM1219" s="1906">
        <f t="shared" si="1452"/>
        <v>0</v>
      </c>
      <c r="BN1219" s="1906">
        <f t="shared" si="1453"/>
        <v>0</v>
      </c>
      <c r="BO1219" s="107"/>
      <c r="BP1219" s="1906">
        <f t="shared" si="1454"/>
        <v>0</v>
      </c>
      <c r="BQ1219" s="1906">
        <f t="shared" si="1455"/>
        <v>0</v>
      </c>
      <c r="BR1219" s="1906">
        <f t="shared" si="1456"/>
        <v>0</v>
      </c>
      <c r="BS1219" s="1906">
        <f t="shared" si="1457"/>
        <v>0</v>
      </c>
      <c r="BT1219" s="1906">
        <f t="shared" si="1458"/>
        <v>0</v>
      </c>
      <c r="BU1219" s="1906">
        <f t="shared" si="1459"/>
        <v>0</v>
      </c>
      <c r="BV1219" s="1906">
        <f t="shared" si="1460"/>
        <v>0</v>
      </c>
      <c r="BW1219" s="1906">
        <f t="shared" si="1461"/>
        <v>0</v>
      </c>
      <c r="BX1219" s="1906">
        <f t="shared" si="1462"/>
        <v>0</v>
      </c>
      <c r="BY1219" s="1906">
        <f t="shared" si="1463"/>
        <v>0</v>
      </c>
      <c r="BZ1219" s="1906">
        <f t="shared" si="1464"/>
        <v>0</v>
      </c>
      <c r="CA1219" s="1906">
        <f t="shared" si="1465"/>
        <v>0</v>
      </c>
      <c r="CB1219" s="107"/>
      <c r="CC1219" s="1906">
        <f t="shared" si="1466"/>
        <v>0</v>
      </c>
      <c r="CD1219" s="1906">
        <f t="shared" si="1467"/>
        <v>0</v>
      </c>
      <c r="CE1219" s="1906">
        <f t="shared" si="1468"/>
        <v>0</v>
      </c>
      <c r="CF1219" s="1906">
        <f t="shared" si="1469"/>
        <v>0</v>
      </c>
      <c r="CG1219" s="1906">
        <f t="shared" si="1470"/>
        <v>0</v>
      </c>
      <c r="CH1219" s="1906">
        <f t="shared" si="1471"/>
        <v>0</v>
      </c>
      <c r="CI1219" s="1906">
        <f t="shared" si="1472"/>
        <v>0</v>
      </c>
      <c r="CJ1219" s="1906">
        <f t="shared" si="1473"/>
        <v>0</v>
      </c>
      <c r="CK1219" s="1906">
        <f t="shared" si="1474"/>
        <v>0</v>
      </c>
      <c r="CL1219" s="1906">
        <f t="shared" si="1475"/>
        <v>0</v>
      </c>
      <c r="CM1219" s="1906">
        <f t="shared" si="1476"/>
        <v>0</v>
      </c>
      <c r="CN1219" s="1906">
        <f t="shared" si="1477"/>
        <v>0</v>
      </c>
      <c r="CO1219" s="107"/>
      <c r="CP1219" s="1906">
        <f t="shared" si="1478"/>
        <v>0</v>
      </c>
      <c r="CQ1219" s="1906">
        <f t="shared" si="1479"/>
        <v>0</v>
      </c>
      <c r="CR1219" s="1906">
        <f t="shared" si="1480"/>
        <v>0</v>
      </c>
      <c r="CS1219" s="1906">
        <f t="shared" si="1481"/>
        <v>0</v>
      </c>
      <c r="CT1219" s="1906">
        <f t="shared" si="1482"/>
        <v>0</v>
      </c>
      <c r="CU1219" s="1906">
        <f t="shared" si="1483"/>
        <v>0</v>
      </c>
      <c r="CV1219" s="1906">
        <f t="shared" si="1484"/>
        <v>0</v>
      </c>
      <c r="CW1219" s="1906">
        <f t="shared" si="1485"/>
        <v>0</v>
      </c>
      <c r="CX1219" s="1906">
        <f t="shared" si="1486"/>
        <v>0</v>
      </c>
      <c r="CY1219" s="1906">
        <f t="shared" si="1487"/>
        <v>0</v>
      </c>
      <c r="CZ1219" s="1906">
        <f t="shared" si="1488"/>
        <v>0</v>
      </c>
      <c r="DA1219" s="1906">
        <f t="shared" si="1489"/>
        <v>0</v>
      </c>
      <c r="DB1219" s="1971" t="str">
        <f t="shared" si="1490"/>
        <v>Prad 3</v>
      </c>
      <c r="DC1219" s="1906">
        <f t="shared" si="1491"/>
        <v>0</v>
      </c>
      <c r="DD1219" s="1906">
        <f t="shared" si="1492"/>
        <v>0</v>
      </c>
      <c r="DE1219" s="1906">
        <f t="shared" si="1493"/>
        <v>0</v>
      </c>
      <c r="DF1219" s="1906">
        <f t="shared" si="1494"/>
        <v>0</v>
      </c>
      <c r="DG1219" s="1906">
        <f t="shared" si="1495"/>
        <v>0</v>
      </c>
      <c r="DH1219" s="1906">
        <f t="shared" si="1496"/>
        <v>0</v>
      </c>
      <c r="DI1219" s="1906">
        <f t="shared" si="1497"/>
        <v>0</v>
      </c>
      <c r="DJ1219" s="1906">
        <f t="shared" si="1498"/>
        <v>0</v>
      </c>
      <c r="DK1219" s="1906">
        <f t="shared" si="1499"/>
        <v>0</v>
      </c>
      <c r="DL1219" s="1906">
        <f t="shared" si="1500"/>
        <v>0</v>
      </c>
      <c r="DM1219" s="1906">
        <f t="shared" si="1501"/>
        <v>0</v>
      </c>
      <c r="DN1219" s="1906">
        <f t="shared" si="1502"/>
        <v>0</v>
      </c>
      <c r="DO1219" s="595" t="str">
        <f t="shared" si="1503"/>
        <v>Prad 3</v>
      </c>
      <c r="DP1219" s="1443">
        <f t="shared" si="1504"/>
        <v>0</v>
      </c>
      <c r="DQ1219" s="107"/>
      <c r="DR1219" s="111"/>
      <c r="DS1219" s="1906"/>
      <c r="DT1219" s="1906"/>
      <c r="DU1219" s="1906"/>
      <c r="DV1219" s="1906"/>
      <c r="DW1219" s="1906"/>
      <c r="DX1219" s="1906"/>
      <c r="DY1219" s="1906"/>
      <c r="DZ1219" s="1906"/>
      <c r="EA1219" s="1906"/>
      <c r="EB1219" s="1906"/>
      <c r="EC1219" s="1906"/>
      <c r="ED1219" s="1906"/>
    </row>
    <row r="1220" spans="1:134" x14ac:dyDescent="0.2">
      <c r="A1220" s="107"/>
      <c r="B1220" s="1857" t="str">
        <f t="shared" si="1393"/>
        <v>Prad 4</v>
      </c>
      <c r="C1220" s="2013">
        <f t="shared" si="1394"/>
        <v>0</v>
      </c>
      <c r="D1220" s="2013">
        <f t="shared" si="1395"/>
        <v>0</v>
      </c>
      <c r="E1220" s="2013">
        <f t="shared" si="1396"/>
        <v>0</v>
      </c>
      <c r="F1220" s="2013">
        <f t="shared" si="1397"/>
        <v>0</v>
      </c>
      <c r="G1220" s="2013">
        <f t="shared" si="1398"/>
        <v>0</v>
      </c>
      <c r="H1220" s="2013">
        <f t="shared" si="1399"/>
        <v>0</v>
      </c>
      <c r="I1220" s="2013">
        <f t="shared" si="1400"/>
        <v>0</v>
      </c>
      <c r="J1220" s="2013">
        <f t="shared" si="1401"/>
        <v>0</v>
      </c>
      <c r="K1220" s="2013">
        <f t="shared" si="1402"/>
        <v>0</v>
      </c>
      <c r="L1220" s="2013">
        <f t="shared" si="1403"/>
        <v>0</v>
      </c>
      <c r="M1220" s="2013">
        <f t="shared" si="1404"/>
        <v>0</v>
      </c>
      <c r="N1220" s="2013">
        <f t="shared" si="1405"/>
        <v>0</v>
      </c>
      <c r="P1220" s="1898" t="str">
        <f t="shared" si="1406"/>
        <v/>
      </c>
      <c r="Q1220" s="1898" t="str">
        <f t="shared" si="1407"/>
        <v/>
      </c>
      <c r="R1220" s="1898" t="str">
        <f t="shared" si="1408"/>
        <v/>
      </c>
      <c r="S1220" s="1898" t="str">
        <f t="shared" si="1409"/>
        <v/>
      </c>
      <c r="T1220" s="1898" t="str">
        <f t="shared" si="1410"/>
        <v/>
      </c>
      <c r="U1220" s="1898" t="str">
        <f t="shared" si="1411"/>
        <v/>
      </c>
      <c r="V1220" s="1898" t="str">
        <f t="shared" si="1412"/>
        <v/>
      </c>
      <c r="W1220" s="1898" t="str">
        <f t="shared" si="1413"/>
        <v/>
      </c>
      <c r="X1220" s="1898" t="str">
        <f t="shared" si="1414"/>
        <v/>
      </c>
      <c r="Y1220" s="1898" t="str">
        <f t="shared" si="1415"/>
        <v/>
      </c>
      <c r="Z1220" s="1898" t="str">
        <f t="shared" si="1416"/>
        <v/>
      </c>
      <c r="AA1220" s="1898" t="str">
        <f t="shared" si="1417"/>
        <v/>
      </c>
      <c r="AB1220" s="1971" t="str">
        <f t="shared" si="1418"/>
        <v>Prad 4</v>
      </c>
      <c r="AC1220" s="1906">
        <f t="shared" si="1419"/>
        <v>0</v>
      </c>
      <c r="AD1220" s="1906">
        <f t="shared" si="1420"/>
        <v>0</v>
      </c>
      <c r="AE1220" s="1906">
        <f t="shared" si="1421"/>
        <v>0</v>
      </c>
      <c r="AF1220" s="1906">
        <f t="shared" si="1422"/>
        <v>0</v>
      </c>
      <c r="AG1220" s="1906">
        <f t="shared" si="1423"/>
        <v>0</v>
      </c>
      <c r="AH1220" s="1906">
        <f t="shared" si="1424"/>
        <v>0</v>
      </c>
      <c r="AI1220" s="1906">
        <f t="shared" si="1425"/>
        <v>0</v>
      </c>
      <c r="AJ1220" s="1906">
        <f t="shared" si="1426"/>
        <v>0</v>
      </c>
      <c r="AK1220" s="1906">
        <f t="shared" si="1427"/>
        <v>0</v>
      </c>
      <c r="AL1220" s="1906">
        <f t="shared" si="1428"/>
        <v>0</v>
      </c>
      <c r="AM1220" s="1906">
        <f t="shared" si="1429"/>
        <v>0</v>
      </c>
      <c r="AN1220" s="1906">
        <f t="shared" si="1430"/>
        <v>0</v>
      </c>
      <c r="AO1220" s="107"/>
      <c r="AP1220" s="1906"/>
      <c r="AQ1220" s="1906">
        <f t="shared" si="1431"/>
        <v>0</v>
      </c>
      <c r="AR1220" s="1906">
        <f t="shared" si="1432"/>
        <v>0</v>
      </c>
      <c r="AS1220" s="1906">
        <f t="shared" si="1433"/>
        <v>0</v>
      </c>
      <c r="AT1220" s="1906">
        <f t="shared" si="1434"/>
        <v>0</v>
      </c>
      <c r="AU1220" s="1906">
        <f t="shared" si="1435"/>
        <v>0</v>
      </c>
      <c r="AV1220" s="1906">
        <f t="shared" si="1436"/>
        <v>0</v>
      </c>
      <c r="AW1220" s="1906">
        <f t="shared" si="1437"/>
        <v>0</v>
      </c>
      <c r="AX1220" s="1906">
        <f t="shared" si="1438"/>
        <v>0</v>
      </c>
      <c r="AY1220" s="1906">
        <f t="shared" si="1439"/>
        <v>0</v>
      </c>
      <c r="AZ1220" s="1906">
        <f t="shared" si="1440"/>
        <v>0</v>
      </c>
      <c r="BA1220" s="1906">
        <f t="shared" si="1441"/>
        <v>0</v>
      </c>
      <c r="BB1220" s="107"/>
      <c r="BC1220" s="1906">
        <f t="shared" si="1442"/>
        <v>0</v>
      </c>
      <c r="BD1220" s="1906">
        <f t="shared" si="1443"/>
        <v>0</v>
      </c>
      <c r="BE1220" s="1906">
        <f t="shared" si="1444"/>
        <v>0</v>
      </c>
      <c r="BF1220" s="1906">
        <f t="shared" si="1445"/>
        <v>0</v>
      </c>
      <c r="BG1220" s="1906">
        <f t="shared" si="1446"/>
        <v>0</v>
      </c>
      <c r="BH1220" s="1906">
        <f t="shared" si="1447"/>
        <v>0</v>
      </c>
      <c r="BI1220" s="1906">
        <f t="shared" si="1448"/>
        <v>0</v>
      </c>
      <c r="BJ1220" s="1906">
        <f t="shared" si="1449"/>
        <v>0</v>
      </c>
      <c r="BK1220" s="1906">
        <f t="shared" si="1450"/>
        <v>0</v>
      </c>
      <c r="BL1220" s="1906">
        <f t="shared" si="1451"/>
        <v>0</v>
      </c>
      <c r="BM1220" s="1906">
        <f t="shared" si="1452"/>
        <v>0</v>
      </c>
      <c r="BN1220" s="1906">
        <f t="shared" si="1453"/>
        <v>0</v>
      </c>
      <c r="BO1220" s="107"/>
      <c r="BP1220" s="1906">
        <f t="shared" si="1454"/>
        <v>0</v>
      </c>
      <c r="BQ1220" s="1906">
        <f t="shared" si="1455"/>
        <v>0</v>
      </c>
      <c r="BR1220" s="1906">
        <f t="shared" si="1456"/>
        <v>0</v>
      </c>
      <c r="BS1220" s="1906">
        <f t="shared" si="1457"/>
        <v>0</v>
      </c>
      <c r="BT1220" s="1906">
        <f t="shared" si="1458"/>
        <v>0</v>
      </c>
      <c r="BU1220" s="1906">
        <f t="shared" si="1459"/>
        <v>0</v>
      </c>
      <c r="BV1220" s="1906">
        <f t="shared" si="1460"/>
        <v>0</v>
      </c>
      <c r="BW1220" s="1906">
        <f t="shared" si="1461"/>
        <v>0</v>
      </c>
      <c r="BX1220" s="1906">
        <f t="shared" si="1462"/>
        <v>0</v>
      </c>
      <c r="BY1220" s="1906">
        <f t="shared" si="1463"/>
        <v>0</v>
      </c>
      <c r="BZ1220" s="1906">
        <f t="shared" si="1464"/>
        <v>0</v>
      </c>
      <c r="CA1220" s="1906">
        <f t="shared" si="1465"/>
        <v>0</v>
      </c>
      <c r="CB1220" s="107"/>
      <c r="CC1220" s="1906">
        <f t="shared" si="1466"/>
        <v>0</v>
      </c>
      <c r="CD1220" s="1906">
        <f t="shared" si="1467"/>
        <v>0</v>
      </c>
      <c r="CE1220" s="1906">
        <f t="shared" si="1468"/>
        <v>0</v>
      </c>
      <c r="CF1220" s="1906">
        <f t="shared" si="1469"/>
        <v>0</v>
      </c>
      <c r="CG1220" s="1906">
        <f t="shared" si="1470"/>
        <v>0</v>
      </c>
      <c r="CH1220" s="1906">
        <f t="shared" si="1471"/>
        <v>0</v>
      </c>
      <c r="CI1220" s="1906">
        <f t="shared" si="1472"/>
        <v>0</v>
      </c>
      <c r="CJ1220" s="1906">
        <f t="shared" si="1473"/>
        <v>0</v>
      </c>
      <c r="CK1220" s="1906">
        <f t="shared" si="1474"/>
        <v>0</v>
      </c>
      <c r="CL1220" s="1906">
        <f t="shared" si="1475"/>
        <v>0</v>
      </c>
      <c r="CM1220" s="1906">
        <f t="shared" si="1476"/>
        <v>0</v>
      </c>
      <c r="CN1220" s="1906">
        <f t="shared" si="1477"/>
        <v>0</v>
      </c>
      <c r="CO1220" s="107"/>
      <c r="CP1220" s="1906">
        <f t="shared" si="1478"/>
        <v>0</v>
      </c>
      <c r="CQ1220" s="1906">
        <f t="shared" si="1479"/>
        <v>0</v>
      </c>
      <c r="CR1220" s="1906">
        <f t="shared" si="1480"/>
        <v>0</v>
      </c>
      <c r="CS1220" s="1906">
        <f t="shared" si="1481"/>
        <v>0</v>
      </c>
      <c r="CT1220" s="1906">
        <f t="shared" si="1482"/>
        <v>0</v>
      </c>
      <c r="CU1220" s="1906">
        <f t="shared" si="1483"/>
        <v>0</v>
      </c>
      <c r="CV1220" s="1906">
        <f t="shared" si="1484"/>
        <v>0</v>
      </c>
      <c r="CW1220" s="1906">
        <f t="shared" si="1485"/>
        <v>0</v>
      </c>
      <c r="CX1220" s="1906">
        <f t="shared" si="1486"/>
        <v>0</v>
      </c>
      <c r="CY1220" s="1906">
        <f t="shared" si="1487"/>
        <v>0</v>
      </c>
      <c r="CZ1220" s="1906">
        <f t="shared" si="1488"/>
        <v>0</v>
      </c>
      <c r="DA1220" s="1906">
        <f t="shared" si="1489"/>
        <v>0</v>
      </c>
      <c r="DB1220" s="1971" t="str">
        <f t="shared" si="1490"/>
        <v>Prad 4</v>
      </c>
      <c r="DC1220" s="1906">
        <f t="shared" si="1491"/>
        <v>0</v>
      </c>
      <c r="DD1220" s="1906">
        <f t="shared" si="1492"/>
        <v>0</v>
      </c>
      <c r="DE1220" s="1906">
        <f t="shared" si="1493"/>
        <v>0</v>
      </c>
      <c r="DF1220" s="1906">
        <f t="shared" si="1494"/>
        <v>0</v>
      </c>
      <c r="DG1220" s="1906">
        <f t="shared" si="1495"/>
        <v>0</v>
      </c>
      <c r="DH1220" s="1906">
        <f t="shared" si="1496"/>
        <v>0</v>
      </c>
      <c r="DI1220" s="1906">
        <f t="shared" si="1497"/>
        <v>0</v>
      </c>
      <c r="DJ1220" s="1906">
        <f t="shared" si="1498"/>
        <v>0</v>
      </c>
      <c r="DK1220" s="1906">
        <f t="shared" si="1499"/>
        <v>0</v>
      </c>
      <c r="DL1220" s="1906">
        <f t="shared" si="1500"/>
        <v>0</v>
      </c>
      <c r="DM1220" s="1906">
        <f t="shared" si="1501"/>
        <v>0</v>
      </c>
      <c r="DN1220" s="1906">
        <f t="shared" si="1502"/>
        <v>0</v>
      </c>
      <c r="DO1220" s="595" t="str">
        <f t="shared" si="1503"/>
        <v>Prad 4</v>
      </c>
      <c r="DP1220" s="1443">
        <f t="shared" si="1504"/>
        <v>0</v>
      </c>
      <c r="DQ1220" s="107"/>
      <c r="DR1220" s="111"/>
      <c r="DS1220" s="1906"/>
      <c r="DT1220" s="1906"/>
      <c r="DU1220" s="1906"/>
      <c r="DV1220" s="1906"/>
      <c r="DW1220" s="1906"/>
      <c r="DX1220" s="1906"/>
      <c r="DY1220" s="1906"/>
      <c r="DZ1220" s="1906"/>
      <c r="EA1220" s="1906"/>
      <c r="EB1220" s="1906"/>
      <c r="EC1220" s="1906"/>
      <c r="ED1220" s="1906"/>
    </row>
    <row r="1221" spans="1:134" x14ac:dyDescent="0.2">
      <c r="A1221" s="107"/>
      <c r="B1221" s="1857" t="str">
        <f t="shared" si="1393"/>
        <v>Trébol Rojo 2</v>
      </c>
      <c r="C1221" s="2013">
        <f t="shared" si="1394"/>
        <v>0</v>
      </c>
      <c r="D1221" s="2013">
        <f t="shared" si="1395"/>
        <v>0</v>
      </c>
      <c r="E1221" s="2013">
        <f t="shared" si="1396"/>
        <v>0</v>
      </c>
      <c r="F1221" s="2013">
        <f t="shared" si="1397"/>
        <v>0</v>
      </c>
      <c r="G1221" s="2013">
        <f t="shared" si="1398"/>
        <v>0</v>
      </c>
      <c r="H1221" s="2013">
        <f t="shared" si="1399"/>
        <v>0</v>
      </c>
      <c r="I1221" s="2013">
        <f t="shared" si="1400"/>
        <v>0</v>
      </c>
      <c r="J1221" s="2013">
        <f t="shared" si="1401"/>
        <v>0</v>
      </c>
      <c r="K1221" s="2013">
        <f t="shared" si="1402"/>
        <v>0</v>
      </c>
      <c r="L1221" s="2013">
        <f t="shared" si="1403"/>
        <v>0</v>
      </c>
      <c r="M1221" s="2013">
        <f t="shared" si="1404"/>
        <v>0</v>
      </c>
      <c r="N1221" s="2013">
        <f t="shared" si="1405"/>
        <v>0</v>
      </c>
      <c r="P1221" s="1898" t="str">
        <f t="shared" si="1406"/>
        <v/>
      </c>
      <c r="Q1221" s="1898" t="str">
        <f t="shared" si="1407"/>
        <v/>
      </c>
      <c r="R1221" s="1898" t="str">
        <f t="shared" si="1408"/>
        <v/>
      </c>
      <c r="S1221" s="1898" t="str">
        <f t="shared" si="1409"/>
        <v/>
      </c>
      <c r="T1221" s="1898" t="str">
        <f t="shared" si="1410"/>
        <v/>
      </c>
      <c r="U1221" s="1898" t="str">
        <f t="shared" si="1411"/>
        <v/>
      </c>
      <c r="V1221" s="1898" t="str">
        <f t="shared" si="1412"/>
        <v/>
      </c>
      <c r="W1221" s="1898" t="str">
        <f t="shared" si="1413"/>
        <v/>
      </c>
      <c r="X1221" s="1898" t="str">
        <f t="shared" si="1414"/>
        <v/>
      </c>
      <c r="Y1221" s="1898" t="str">
        <f t="shared" si="1415"/>
        <v/>
      </c>
      <c r="Z1221" s="1898" t="str">
        <f t="shared" si="1416"/>
        <v/>
      </c>
      <c r="AA1221" s="1898" t="str">
        <f t="shared" si="1417"/>
        <v/>
      </c>
      <c r="AB1221" s="1971" t="str">
        <f t="shared" si="1418"/>
        <v>Trébol Rojo 2</v>
      </c>
      <c r="AC1221" s="1906">
        <f t="shared" si="1419"/>
        <v>0</v>
      </c>
      <c r="AD1221" s="1906">
        <f t="shared" si="1420"/>
        <v>0</v>
      </c>
      <c r="AE1221" s="1906">
        <f t="shared" si="1421"/>
        <v>0</v>
      </c>
      <c r="AF1221" s="1906">
        <f t="shared" si="1422"/>
        <v>0</v>
      </c>
      <c r="AG1221" s="1906">
        <f t="shared" si="1423"/>
        <v>0</v>
      </c>
      <c r="AH1221" s="1906">
        <f t="shared" si="1424"/>
        <v>0</v>
      </c>
      <c r="AI1221" s="1906">
        <f t="shared" si="1425"/>
        <v>0</v>
      </c>
      <c r="AJ1221" s="1906">
        <f t="shared" si="1426"/>
        <v>0</v>
      </c>
      <c r="AK1221" s="1906">
        <f t="shared" si="1427"/>
        <v>0</v>
      </c>
      <c r="AL1221" s="1906">
        <f t="shared" si="1428"/>
        <v>0</v>
      </c>
      <c r="AM1221" s="1906">
        <f t="shared" si="1429"/>
        <v>0</v>
      </c>
      <c r="AN1221" s="1906">
        <f t="shared" si="1430"/>
        <v>0</v>
      </c>
      <c r="AO1221" s="107"/>
      <c r="AP1221" s="1906"/>
      <c r="AQ1221" s="1906">
        <f t="shared" si="1431"/>
        <v>0</v>
      </c>
      <c r="AR1221" s="1906">
        <f t="shared" si="1432"/>
        <v>0</v>
      </c>
      <c r="AS1221" s="1906">
        <f t="shared" si="1433"/>
        <v>0</v>
      </c>
      <c r="AT1221" s="1906">
        <f t="shared" si="1434"/>
        <v>0</v>
      </c>
      <c r="AU1221" s="1906">
        <f t="shared" si="1435"/>
        <v>0</v>
      </c>
      <c r="AV1221" s="1906">
        <f t="shared" si="1436"/>
        <v>0</v>
      </c>
      <c r="AW1221" s="1906">
        <f t="shared" si="1437"/>
        <v>0</v>
      </c>
      <c r="AX1221" s="1906">
        <f t="shared" si="1438"/>
        <v>0</v>
      </c>
      <c r="AY1221" s="1906">
        <f t="shared" si="1439"/>
        <v>0</v>
      </c>
      <c r="AZ1221" s="1906">
        <f t="shared" si="1440"/>
        <v>0</v>
      </c>
      <c r="BA1221" s="1906">
        <f t="shared" si="1441"/>
        <v>0</v>
      </c>
      <c r="BB1221" s="107"/>
      <c r="BC1221" s="1906">
        <f t="shared" si="1442"/>
        <v>0</v>
      </c>
      <c r="BD1221" s="1906">
        <f t="shared" si="1443"/>
        <v>0</v>
      </c>
      <c r="BE1221" s="1906">
        <f t="shared" si="1444"/>
        <v>0</v>
      </c>
      <c r="BF1221" s="1906">
        <f t="shared" si="1445"/>
        <v>0</v>
      </c>
      <c r="BG1221" s="1906">
        <f t="shared" si="1446"/>
        <v>0</v>
      </c>
      <c r="BH1221" s="1906">
        <f t="shared" si="1447"/>
        <v>0</v>
      </c>
      <c r="BI1221" s="1906">
        <f t="shared" si="1448"/>
        <v>0</v>
      </c>
      <c r="BJ1221" s="1906">
        <f t="shared" si="1449"/>
        <v>0</v>
      </c>
      <c r="BK1221" s="1906">
        <f t="shared" si="1450"/>
        <v>0</v>
      </c>
      <c r="BL1221" s="1906">
        <f t="shared" si="1451"/>
        <v>0</v>
      </c>
      <c r="BM1221" s="1906">
        <f t="shared" si="1452"/>
        <v>0</v>
      </c>
      <c r="BN1221" s="1906">
        <f t="shared" si="1453"/>
        <v>0</v>
      </c>
      <c r="BO1221" s="107"/>
      <c r="BP1221" s="1906">
        <f t="shared" si="1454"/>
        <v>0</v>
      </c>
      <c r="BQ1221" s="1906">
        <f t="shared" si="1455"/>
        <v>0</v>
      </c>
      <c r="BR1221" s="1906">
        <f t="shared" si="1456"/>
        <v>0</v>
      </c>
      <c r="BS1221" s="1906">
        <f t="shared" si="1457"/>
        <v>0</v>
      </c>
      <c r="BT1221" s="1906">
        <f t="shared" si="1458"/>
        <v>0</v>
      </c>
      <c r="BU1221" s="1906">
        <f t="shared" si="1459"/>
        <v>0</v>
      </c>
      <c r="BV1221" s="1906">
        <f t="shared" si="1460"/>
        <v>0</v>
      </c>
      <c r="BW1221" s="1906">
        <f t="shared" si="1461"/>
        <v>0</v>
      </c>
      <c r="BX1221" s="1906">
        <f t="shared" si="1462"/>
        <v>0</v>
      </c>
      <c r="BY1221" s="1906">
        <f t="shared" si="1463"/>
        <v>0</v>
      </c>
      <c r="BZ1221" s="1906">
        <f t="shared" si="1464"/>
        <v>0</v>
      </c>
      <c r="CA1221" s="1906">
        <f t="shared" si="1465"/>
        <v>0</v>
      </c>
      <c r="CB1221" s="107"/>
      <c r="CC1221" s="1906">
        <f t="shared" si="1466"/>
        <v>0</v>
      </c>
      <c r="CD1221" s="1906">
        <f t="shared" si="1467"/>
        <v>0</v>
      </c>
      <c r="CE1221" s="1906">
        <f t="shared" si="1468"/>
        <v>0</v>
      </c>
      <c r="CF1221" s="1906">
        <f t="shared" si="1469"/>
        <v>0</v>
      </c>
      <c r="CG1221" s="1906">
        <f t="shared" si="1470"/>
        <v>0</v>
      </c>
      <c r="CH1221" s="1906">
        <f t="shared" si="1471"/>
        <v>0</v>
      </c>
      <c r="CI1221" s="1906">
        <f t="shared" si="1472"/>
        <v>0</v>
      </c>
      <c r="CJ1221" s="1906">
        <f t="shared" si="1473"/>
        <v>0</v>
      </c>
      <c r="CK1221" s="1906">
        <f t="shared" si="1474"/>
        <v>0</v>
      </c>
      <c r="CL1221" s="1906">
        <f t="shared" si="1475"/>
        <v>0</v>
      </c>
      <c r="CM1221" s="1906">
        <f t="shared" si="1476"/>
        <v>0</v>
      </c>
      <c r="CN1221" s="1906">
        <f t="shared" si="1477"/>
        <v>0</v>
      </c>
      <c r="CO1221" s="107"/>
      <c r="CP1221" s="1906">
        <f t="shared" si="1478"/>
        <v>0</v>
      </c>
      <c r="CQ1221" s="1906">
        <f t="shared" si="1479"/>
        <v>0</v>
      </c>
      <c r="CR1221" s="1906">
        <f t="shared" si="1480"/>
        <v>0</v>
      </c>
      <c r="CS1221" s="1906">
        <f t="shared" si="1481"/>
        <v>0</v>
      </c>
      <c r="CT1221" s="1906">
        <f t="shared" si="1482"/>
        <v>0</v>
      </c>
      <c r="CU1221" s="1906">
        <f t="shared" si="1483"/>
        <v>0</v>
      </c>
      <c r="CV1221" s="1906">
        <f t="shared" si="1484"/>
        <v>0</v>
      </c>
      <c r="CW1221" s="1906">
        <f t="shared" si="1485"/>
        <v>0</v>
      </c>
      <c r="CX1221" s="1906">
        <f t="shared" si="1486"/>
        <v>0</v>
      </c>
      <c r="CY1221" s="1906">
        <f t="shared" si="1487"/>
        <v>0</v>
      </c>
      <c r="CZ1221" s="1906">
        <f t="shared" si="1488"/>
        <v>0</v>
      </c>
      <c r="DA1221" s="1906">
        <f t="shared" si="1489"/>
        <v>0</v>
      </c>
      <c r="DB1221" s="1971" t="str">
        <f t="shared" si="1490"/>
        <v>Trébol Rojo 2</v>
      </c>
      <c r="DC1221" s="1906">
        <f t="shared" si="1491"/>
        <v>0</v>
      </c>
      <c r="DD1221" s="1906">
        <f t="shared" si="1492"/>
        <v>0</v>
      </c>
      <c r="DE1221" s="1906">
        <f t="shared" si="1493"/>
        <v>0</v>
      </c>
      <c r="DF1221" s="1906">
        <f t="shared" si="1494"/>
        <v>0</v>
      </c>
      <c r="DG1221" s="1906">
        <f t="shared" si="1495"/>
        <v>0</v>
      </c>
      <c r="DH1221" s="1906">
        <f t="shared" si="1496"/>
        <v>0</v>
      </c>
      <c r="DI1221" s="1906">
        <f t="shared" si="1497"/>
        <v>0</v>
      </c>
      <c r="DJ1221" s="1906">
        <f t="shared" si="1498"/>
        <v>0</v>
      </c>
      <c r="DK1221" s="1906">
        <f t="shared" si="1499"/>
        <v>0</v>
      </c>
      <c r="DL1221" s="1906">
        <f t="shared" si="1500"/>
        <v>0</v>
      </c>
      <c r="DM1221" s="1906">
        <f t="shared" si="1501"/>
        <v>0</v>
      </c>
      <c r="DN1221" s="1906">
        <f t="shared" si="1502"/>
        <v>0</v>
      </c>
      <c r="DO1221" s="595" t="str">
        <f t="shared" si="1503"/>
        <v>Trébol Rojo 2</v>
      </c>
      <c r="DP1221" s="1443">
        <f t="shared" si="1504"/>
        <v>0</v>
      </c>
      <c r="DQ1221" s="107"/>
      <c r="DR1221" s="111"/>
      <c r="DS1221" s="1906"/>
      <c r="DT1221" s="1906"/>
      <c r="DU1221" s="1906"/>
      <c r="DV1221" s="1906"/>
      <c r="DW1221" s="1906"/>
      <c r="DX1221" s="1906"/>
      <c r="DY1221" s="1906"/>
      <c r="DZ1221" s="1906"/>
      <c r="EA1221" s="1906"/>
      <c r="EB1221" s="1906"/>
      <c r="EC1221" s="1906"/>
      <c r="ED1221" s="1906"/>
    </row>
    <row r="1222" spans="1:134" x14ac:dyDescent="0.2">
      <c r="A1222" s="107"/>
      <c r="B1222" s="1857" t="str">
        <f t="shared" si="1393"/>
        <v>Trébol Rojo 3</v>
      </c>
      <c r="C1222" s="2013">
        <f t="shared" si="1394"/>
        <v>0</v>
      </c>
      <c r="D1222" s="2013">
        <f t="shared" si="1395"/>
        <v>0</v>
      </c>
      <c r="E1222" s="2013">
        <f t="shared" si="1396"/>
        <v>0</v>
      </c>
      <c r="F1222" s="2013">
        <f t="shared" si="1397"/>
        <v>0</v>
      </c>
      <c r="G1222" s="2013">
        <f t="shared" si="1398"/>
        <v>0</v>
      </c>
      <c r="H1222" s="2013">
        <f t="shared" si="1399"/>
        <v>0</v>
      </c>
      <c r="I1222" s="2013">
        <f t="shared" si="1400"/>
        <v>0</v>
      </c>
      <c r="J1222" s="2013">
        <f t="shared" si="1401"/>
        <v>0</v>
      </c>
      <c r="K1222" s="2013">
        <f t="shared" si="1402"/>
        <v>0</v>
      </c>
      <c r="L1222" s="2013">
        <f t="shared" si="1403"/>
        <v>0</v>
      </c>
      <c r="M1222" s="2013">
        <f t="shared" si="1404"/>
        <v>0</v>
      </c>
      <c r="N1222" s="2013">
        <f t="shared" si="1405"/>
        <v>0</v>
      </c>
      <c r="P1222" s="1898" t="str">
        <f t="shared" si="1406"/>
        <v/>
      </c>
      <c r="Q1222" s="1898" t="str">
        <f t="shared" si="1407"/>
        <v/>
      </c>
      <c r="R1222" s="1898" t="str">
        <f t="shared" si="1408"/>
        <v/>
      </c>
      <c r="S1222" s="1898" t="str">
        <f t="shared" si="1409"/>
        <v/>
      </c>
      <c r="T1222" s="1898" t="str">
        <f t="shared" si="1410"/>
        <v/>
      </c>
      <c r="U1222" s="1898" t="str">
        <f t="shared" si="1411"/>
        <v/>
      </c>
      <c r="V1222" s="1898" t="str">
        <f t="shared" si="1412"/>
        <v/>
      </c>
      <c r="W1222" s="1898" t="str">
        <f t="shared" si="1413"/>
        <v/>
      </c>
      <c r="X1222" s="1898" t="str">
        <f t="shared" si="1414"/>
        <v/>
      </c>
      <c r="Y1222" s="1898" t="str">
        <f t="shared" si="1415"/>
        <v/>
      </c>
      <c r="Z1222" s="1898" t="str">
        <f t="shared" si="1416"/>
        <v/>
      </c>
      <c r="AA1222" s="1898" t="str">
        <f t="shared" si="1417"/>
        <v/>
      </c>
      <c r="AB1222" s="1971" t="str">
        <f t="shared" si="1418"/>
        <v>Trébol Rojo 3</v>
      </c>
      <c r="AC1222" s="1906">
        <f t="shared" si="1419"/>
        <v>0</v>
      </c>
      <c r="AD1222" s="1906">
        <f t="shared" si="1420"/>
        <v>0</v>
      </c>
      <c r="AE1222" s="1906">
        <f t="shared" si="1421"/>
        <v>0</v>
      </c>
      <c r="AF1222" s="1906">
        <f t="shared" si="1422"/>
        <v>0</v>
      </c>
      <c r="AG1222" s="1906">
        <f t="shared" si="1423"/>
        <v>0</v>
      </c>
      <c r="AH1222" s="1906">
        <f t="shared" si="1424"/>
        <v>0</v>
      </c>
      <c r="AI1222" s="1906">
        <f t="shared" si="1425"/>
        <v>0</v>
      </c>
      <c r="AJ1222" s="1906">
        <f t="shared" si="1426"/>
        <v>0</v>
      </c>
      <c r="AK1222" s="1906">
        <f t="shared" si="1427"/>
        <v>0</v>
      </c>
      <c r="AL1222" s="1906">
        <f t="shared" si="1428"/>
        <v>0</v>
      </c>
      <c r="AM1222" s="1906">
        <f t="shared" si="1429"/>
        <v>0</v>
      </c>
      <c r="AN1222" s="1906">
        <f t="shared" si="1430"/>
        <v>0</v>
      </c>
      <c r="AO1222" s="107"/>
      <c r="AP1222" s="1906"/>
      <c r="AQ1222" s="1906">
        <f t="shared" si="1431"/>
        <v>0</v>
      </c>
      <c r="AR1222" s="1906">
        <f t="shared" si="1432"/>
        <v>0</v>
      </c>
      <c r="AS1222" s="1906">
        <f t="shared" si="1433"/>
        <v>0</v>
      </c>
      <c r="AT1222" s="1906">
        <f t="shared" si="1434"/>
        <v>0</v>
      </c>
      <c r="AU1222" s="1906">
        <f t="shared" si="1435"/>
        <v>0</v>
      </c>
      <c r="AV1222" s="1906">
        <f t="shared" si="1436"/>
        <v>0</v>
      </c>
      <c r="AW1222" s="1906">
        <f t="shared" si="1437"/>
        <v>0</v>
      </c>
      <c r="AX1222" s="1906">
        <f t="shared" si="1438"/>
        <v>0</v>
      </c>
      <c r="AY1222" s="1906">
        <f t="shared" si="1439"/>
        <v>0</v>
      </c>
      <c r="AZ1222" s="1906">
        <f t="shared" si="1440"/>
        <v>0</v>
      </c>
      <c r="BA1222" s="1906">
        <f t="shared" si="1441"/>
        <v>0</v>
      </c>
      <c r="BB1222" s="107"/>
      <c r="BC1222" s="1906">
        <f t="shared" si="1442"/>
        <v>0</v>
      </c>
      <c r="BD1222" s="1906">
        <f t="shared" si="1443"/>
        <v>0</v>
      </c>
      <c r="BE1222" s="1906">
        <f t="shared" si="1444"/>
        <v>0</v>
      </c>
      <c r="BF1222" s="1906">
        <f t="shared" si="1445"/>
        <v>0</v>
      </c>
      <c r="BG1222" s="1906">
        <f t="shared" si="1446"/>
        <v>0</v>
      </c>
      <c r="BH1222" s="1906">
        <f t="shared" si="1447"/>
        <v>0</v>
      </c>
      <c r="BI1222" s="1906">
        <f t="shared" si="1448"/>
        <v>0</v>
      </c>
      <c r="BJ1222" s="1906">
        <f t="shared" si="1449"/>
        <v>0</v>
      </c>
      <c r="BK1222" s="1906">
        <f t="shared" si="1450"/>
        <v>0</v>
      </c>
      <c r="BL1222" s="1906">
        <f t="shared" si="1451"/>
        <v>0</v>
      </c>
      <c r="BM1222" s="1906">
        <f t="shared" si="1452"/>
        <v>0</v>
      </c>
      <c r="BN1222" s="1906">
        <f t="shared" si="1453"/>
        <v>0</v>
      </c>
      <c r="BO1222" s="107"/>
      <c r="BP1222" s="1906">
        <f t="shared" si="1454"/>
        <v>0</v>
      </c>
      <c r="BQ1222" s="1906">
        <f t="shared" si="1455"/>
        <v>0</v>
      </c>
      <c r="BR1222" s="1906">
        <f t="shared" si="1456"/>
        <v>0</v>
      </c>
      <c r="BS1222" s="1906">
        <f t="shared" si="1457"/>
        <v>0</v>
      </c>
      <c r="BT1222" s="1906">
        <f t="shared" si="1458"/>
        <v>0</v>
      </c>
      <c r="BU1222" s="1906">
        <f t="shared" si="1459"/>
        <v>0</v>
      </c>
      <c r="BV1222" s="1906">
        <f t="shared" si="1460"/>
        <v>0</v>
      </c>
      <c r="BW1222" s="1906">
        <f t="shared" si="1461"/>
        <v>0</v>
      </c>
      <c r="BX1222" s="1906">
        <f t="shared" si="1462"/>
        <v>0</v>
      </c>
      <c r="BY1222" s="1906">
        <f t="shared" si="1463"/>
        <v>0</v>
      </c>
      <c r="BZ1222" s="1906">
        <f t="shared" si="1464"/>
        <v>0</v>
      </c>
      <c r="CA1222" s="1906">
        <f t="shared" si="1465"/>
        <v>0</v>
      </c>
      <c r="CB1222" s="107"/>
      <c r="CC1222" s="1906">
        <f t="shared" si="1466"/>
        <v>0</v>
      </c>
      <c r="CD1222" s="1906">
        <f t="shared" si="1467"/>
        <v>0</v>
      </c>
      <c r="CE1222" s="1906">
        <f t="shared" si="1468"/>
        <v>0</v>
      </c>
      <c r="CF1222" s="1906">
        <f t="shared" si="1469"/>
        <v>0</v>
      </c>
      <c r="CG1222" s="1906">
        <f t="shared" si="1470"/>
        <v>0</v>
      </c>
      <c r="CH1222" s="1906">
        <f t="shared" si="1471"/>
        <v>0</v>
      </c>
      <c r="CI1222" s="1906">
        <f t="shared" si="1472"/>
        <v>0</v>
      </c>
      <c r="CJ1222" s="1906">
        <f t="shared" si="1473"/>
        <v>0</v>
      </c>
      <c r="CK1222" s="1906">
        <f t="shared" si="1474"/>
        <v>0</v>
      </c>
      <c r="CL1222" s="1906">
        <f t="shared" si="1475"/>
        <v>0</v>
      </c>
      <c r="CM1222" s="1906">
        <f t="shared" si="1476"/>
        <v>0</v>
      </c>
      <c r="CN1222" s="1906">
        <f t="shared" si="1477"/>
        <v>0</v>
      </c>
      <c r="CO1222" s="107"/>
      <c r="CP1222" s="1906">
        <f t="shared" si="1478"/>
        <v>0</v>
      </c>
      <c r="CQ1222" s="1906">
        <f t="shared" si="1479"/>
        <v>0</v>
      </c>
      <c r="CR1222" s="1906">
        <f t="shared" si="1480"/>
        <v>0</v>
      </c>
      <c r="CS1222" s="1906">
        <f t="shared" si="1481"/>
        <v>0</v>
      </c>
      <c r="CT1222" s="1906">
        <f t="shared" si="1482"/>
        <v>0</v>
      </c>
      <c r="CU1222" s="1906">
        <f t="shared" si="1483"/>
        <v>0</v>
      </c>
      <c r="CV1222" s="1906">
        <f t="shared" si="1484"/>
        <v>0</v>
      </c>
      <c r="CW1222" s="1906">
        <f t="shared" si="1485"/>
        <v>0</v>
      </c>
      <c r="CX1222" s="1906">
        <f t="shared" si="1486"/>
        <v>0</v>
      </c>
      <c r="CY1222" s="1906">
        <f t="shared" si="1487"/>
        <v>0</v>
      </c>
      <c r="CZ1222" s="1906">
        <f t="shared" si="1488"/>
        <v>0</v>
      </c>
      <c r="DA1222" s="1906">
        <f t="shared" si="1489"/>
        <v>0</v>
      </c>
      <c r="DB1222" s="1971" t="str">
        <f t="shared" si="1490"/>
        <v>Trébol Rojo 3</v>
      </c>
      <c r="DC1222" s="1906">
        <f t="shared" si="1491"/>
        <v>0</v>
      </c>
      <c r="DD1222" s="1906">
        <f t="shared" si="1492"/>
        <v>0</v>
      </c>
      <c r="DE1222" s="1906">
        <f t="shared" si="1493"/>
        <v>0</v>
      </c>
      <c r="DF1222" s="1906">
        <f t="shared" si="1494"/>
        <v>0</v>
      </c>
      <c r="DG1222" s="1906">
        <f t="shared" si="1495"/>
        <v>0</v>
      </c>
      <c r="DH1222" s="1906">
        <f t="shared" si="1496"/>
        <v>0</v>
      </c>
      <c r="DI1222" s="1906">
        <f t="shared" si="1497"/>
        <v>0</v>
      </c>
      <c r="DJ1222" s="1906">
        <f t="shared" si="1498"/>
        <v>0</v>
      </c>
      <c r="DK1222" s="1906">
        <f t="shared" si="1499"/>
        <v>0</v>
      </c>
      <c r="DL1222" s="1906">
        <f t="shared" si="1500"/>
        <v>0</v>
      </c>
      <c r="DM1222" s="1906">
        <f t="shared" si="1501"/>
        <v>0</v>
      </c>
      <c r="DN1222" s="1906">
        <f t="shared" si="1502"/>
        <v>0</v>
      </c>
      <c r="DO1222" s="595" t="str">
        <f t="shared" si="1503"/>
        <v>Trébol Rojo 3</v>
      </c>
      <c r="DP1222" s="1443">
        <f t="shared" si="1504"/>
        <v>0</v>
      </c>
      <c r="DQ1222" s="107"/>
      <c r="DR1222" s="111"/>
      <c r="DS1222" s="1906"/>
      <c r="DT1222" s="1906"/>
      <c r="DU1222" s="1906"/>
      <c r="DV1222" s="1906"/>
      <c r="DW1222" s="1906"/>
      <c r="DX1222" s="1906"/>
      <c r="DY1222" s="1906"/>
      <c r="DZ1222" s="1906"/>
      <c r="EA1222" s="1906"/>
      <c r="EB1222" s="1906"/>
      <c r="EC1222" s="1906"/>
      <c r="ED1222" s="1906"/>
    </row>
    <row r="1223" spans="1:134" x14ac:dyDescent="0.2">
      <c r="A1223" s="107"/>
      <c r="B1223" s="1857" t="str">
        <f t="shared" si="1393"/>
        <v>Alfalfa 5</v>
      </c>
      <c r="C1223" s="2013">
        <f t="shared" si="1394"/>
        <v>0</v>
      </c>
      <c r="D1223" s="2013">
        <f t="shared" si="1395"/>
        <v>0</v>
      </c>
      <c r="E1223" s="2013">
        <f t="shared" si="1396"/>
        <v>0</v>
      </c>
      <c r="F1223" s="2013">
        <f t="shared" si="1397"/>
        <v>0</v>
      </c>
      <c r="G1223" s="2013">
        <f t="shared" si="1398"/>
        <v>0</v>
      </c>
      <c r="H1223" s="2013">
        <f t="shared" si="1399"/>
        <v>0</v>
      </c>
      <c r="I1223" s="2013">
        <f t="shared" si="1400"/>
        <v>0</v>
      </c>
      <c r="J1223" s="2013">
        <f t="shared" si="1401"/>
        <v>0</v>
      </c>
      <c r="K1223" s="2013">
        <f t="shared" si="1402"/>
        <v>0</v>
      </c>
      <c r="L1223" s="2013">
        <f t="shared" si="1403"/>
        <v>0</v>
      </c>
      <c r="M1223" s="2013">
        <f t="shared" si="1404"/>
        <v>0</v>
      </c>
      <c r="N1223" s="2013">
        <f t="shared" si="1405"/>
        <v>0</v>
      </c>
      <c r="P1223" s="1898" t="str">
        <f t="shared" si="1406"/>
        <v/>
      </c>
      <c r="Q1223" s="1898" t="str">
        <f t="shared" si="1407"/>
        <v/>
      </c>
      <c r="R1223" s="1898" t="str">
        <f t="shared" si="1408"/>
        <v/>
      </c>
      <c r="S1223" s="1898" t="str">
        <f t="shared" si="1409"/>
        <v/>
      </c>
      <c r="T1223" s="1898" t="str">
        <f t="shared" si="1410"/>
        <v/>
      </c>
      <c r="U1223" s="1898" t="str">
        <f t="shared" si="1411"/>
        <v/>
      </c>
      <c r="V1223" s="1898" t="str">
        <f t="shared" si="1412"/>
        <v/>
      </c>
      <c r="W1223" s="1898" t="str">
        <f t="shared" si="1413"/>
        <v/>
      </c>
      <c r="X1223" s="1898" t="str">
        <f t="shared" si="1414"/>
        <v/>
      </c>
      <c r="Y1223" s="1898" t="str">
        <f t="shared" si="1415"/>
        <v/>
      </c>
      <c r="Z1223" s="1898" t="str">
        <f t="shared" si="1416"/>
        <v/>
      </c>
      <c r="AA1223" s="1898" t="str">
        <f t="shared" si="1417"/>
        <v/>
      </c>
      <c r="AB1223" s="1971" t="str">
        <f t="shared" si="1418"/>
        <v>Alfalfa 5</v>
      </c>
      <c r="AC1223" s="1906">
        <f t="shared" si="1419"/>
        <v>0</v>
      </c>
      <c r="AD1223" s="1906">
        <f t="shared" si="1420"/>
        <v>0</v>
      </c>
      <c r="AE1223" s="1906">
        <f t="shared" si="1421"/>
        <v>0</v>
      </c>
      <c r="AF1223" s="1906">
        <f t="shared" si="1422"/>
        <v>0</v>
      </c>
      <c r="AG1223" s="1906">
        <f t="shared" si="1423"/>
        <v>0</v>
      </c>
      <c r="AH1223" s="1906">
        <f t="shared" si="1424"/>
        <v>0</v>
      </c>
      <c r="AI1223" s="1906">
        <f t="shared" si="1425"/>
        <v>0</v>
      </c>
      <c r="AJ1223" s="1906">
        <f t="shared" si="1426"/>
        <v>0</v>
      </c>
      <c r="AK1223" s="1906">
        <f t="shared" si="1427"/>
        <v>0</v>
      </c>
      <c r="AL1223" s="1906">
        <f t="shared" si="1428"/>
        <v>0</v>
      </c>
      <c r="AM1223" s="1906">
        <f t="shared" si="1429"/>
        <v>0</v>
      </c>
      <c r="AN1223" s="1906">
        <f t="shared" si="1430"/>
        <v>0</v>
      </c>
      <c r="AO1223" s="107"/>
      <c r="AP1223" s="1906"/>
      <c r="AQ1223" s="1906">
        <f t="shared" si="1431"/>
        <v>0</v>
      </c>
      <c r="AR1223" s="1906">
        <f t="shared" si="1432"/>
        <v>0</v>
      </c>
      <c r="AS1223" s="1906">
        <f t="shared" si="1433"/>
        <v>0</v>
      </c>
      <c r="AT1223" s="1906">
        <f t="shared" si="1434"/>
        <v>0</v>
      </c>
      <c r="AU1223" s="1906">
        <f t="shared" si="1435"/>
        <v>0</v>
      </c>
      <c r="AV1223" s="1906">
        <f t="shared" si="1436"/>
        <v>0</v>
      </c>
      <c r="AW1223" s="1906">
        <f t="shared" si="1437"/>
        <v>0</v>
      </c>
      <c r="AX1223" s="1906">
        <f t="shared" si="1438"/>
        <v>0</v>
      </c>
      <c r="AY1223" s="1906">
        <f t="shared" si="1439"/>
        <v>0</v>
      </c>
      <c r="AZ1223" s="1906">
        <f t="shared" si="1440"/>
        <v>0</v>
      </c>
      <c r="BA1223" s="1906">
        <f t="shared" si="1441"/>
        <v>0</v>
      </c>
      <c r="BB1223" s="107"/>
      <c r="BC1223" s="1906">
        <f t="shared" si="1442"/>
        <v>0</v>
      </c>
      <c r="BD1223" s="1906">
        <f t="shared" si="1443"/>
        <v>0</v>
      </c>
      <c r="BE1223" s="1906">
        <f t="shared" si="1444"/>
        <v>0</v>
      </c>
      <c r="BF1223" s="1906">
        <f t="shared" si="1445"/>
        <v>0</v>
      </c>
      <c r="BG1223" s="1906">
        <f t="shared" si="1446"/>
        <v>0</v>
      </c>
      <c r="BH1223" s="1906">
        <f t="shared" si="1447"/>
        <v>0</v>
      </c>
      <c r="BI1223" s="1906">
        <f t="shared" si="1448"/>
        <v>0</v>
      </c>
      <c r="BJ1223" s="1906">
        <f t="shared" si="1449"/>
        <v>0</v>
      </c>
      <c r="BK1223" s="1906">
        <f t="shared" si="1450"/>
        <v>0</v>
      </c>
      <c r="BL1223" s="1906">
        <f t="shared" si="1451"/>
        <v>0</v>
      </c>
      <c r="BM1223" s="1906">
        <f t="shared" si="1452"/>
        <v>0</v>
      </c>
      <c r="BN1223" s="1906">
        <f t="shared" si="1453"/>
        <v>0</v>
      </c>
      <c r="BO1223" s="107"/>
      <c r="BP1223" s="1906">
        <f t="shared" si="1454"/>
        <v>0</v>
      </c>
      <c r="BQ1223" s="1906">
        <f t="shared" si="1455"/>
        <v>0</v>
      </c>
      <c r="BR1223" s="1906">
        <f t="shared" si="1456"/>
        <v>0</v>
      </c>
      <c r="BS1223" s="1906">
        <f t="shared" si="1457"/>
        <v>0</v>
      </c>
      <c r="BT1223" s="1906">
        <f t="shared" si="1458"/>
        <v>0</v>
      </c>
      <c r="BU1223" s="1906">
        <f t="shared" si="1459"/>
        <v>0</v>
      </c>
      <c r="BV1223" s="1906">
        <f t="shared" si="1460"/>
        <v>0</v>
      </c>
      <c r="BW1223" s="1906">
        <f t="shared" si="1461"/>
        <v>0</v>
      </c>
      <c r="BX1223" s="1906">
        <f t="shared" si="1462"/>
        <v>0</v>
      </c>
      <c r="BY1223" s="1906">
        <f t="shared" si="1463"/>
        <v>0</v>
      </c>
      <c r="BZ1223" s="1906">
        <f t="shared" si="1464"/>
        <v>0</v>
      </c>
      <c r="CA1223" s="1906">
        <f t="shared" si="1465"/>
        <v>0</v>
      </c>
      <c r="CB1223" s="107"/>
      <c r="CC1223" s="1906">
        <f t="shared" si="1466"/>
        <v>0</v>
      </c>
      <c r="CD1223" s="1906">
        <f t="shared" si="1467"/>
        <v>0</v>
      </c>
      <c r="CE1223" s="1906">
        <f t="shared" si="1468"/>
        <v>0</v>
      </c>
      <c r="CF1223" s="1906">
        <f t="shared" si="1469"/>
        <v>0</v>
      </c>
      <c r="CG1223" s="1906">
        <f t="shared" si="1470"/>
        <v>0</v>
      </c>
      <c r="CH1223" s="1906">
        <f t="shared" si="1471"/>
        <v>0</v>
      </c>
      <c r="CI1223" s="1906">
        <f t="shared" si="1472"/>
        <v>0</v>
      </c>
      <c r="CJ1223" s="1906">
        <f t="shared" si="1473"/>
        <v>0</v>
      </c>
      <c r="CK1223" s="1906">
        <f t="shared" si="1474"/>
        <v>0</v>
      </c>
      <c r="CL1223" s="1906">
        <f t="shared" si="1475"/>
        <v>0</v>
      </c>
      <c r="CM1223" s="1906">
        <f t="shared" si="1476"/>
        <v>0</v>
      </c>
      <c r="CN1223" s="1906">
        <f t="shared" si="1477"/>
        <v>0</v>
      </c>
      <c r="CO1223" s="107"/>
      <c r="CP1223" s="1906">
        <f t="shared" si="1478"/>
        <v>0</v>
      </c>
      <c r="CQ1223" s="1906">
        <f t="shared" si="1479"/>
        <v>0</v>
      </c>
      <c r="CR1223" s="1906">
        <f t="shared" si="1480"/>
        <v>0</v>
      </c>
      <c r="CS1223" s="1906">
        <f t="shared" si="1481"/>
        <v>0</v>
      </c>
      <c r="CT1223" s="1906">
        <f t="shared" si="1482"/>
        <v>0</v>
      </c>
      <c r="CU1223" s="1906">
        <f t="shared" si="1483"/>
        <v>0</v>
      </c>
      <c r="CV1223" s="1906">
        <f t="shared" si="1484"/>
        <v>0</v>
      </c>
      <c r="CW1223" s="1906">
        <f t="shared" si="1485"/>
        <v>0</v>
      </c>
      <c r="CX1223" s="1906">
        <f t="shared" si="1486"/>
        <v>0</v>
      </c>
      <c r="CY1223" s="1906">
        <f t="shared" si="1487"/>
        <v>0</v>
      </c>
      <c r="CZ1223" s="1906">
        <f t="shared" si="1488"/>
        <v>0</v>
      </c>
      <c r="DA1223" s="1906">
        <f t="shared" si="1489"/>
        <v>0</v>
      </c>
      <c r="DB1223" s="1971" t="str">
        <f t="shared" si="1490"/>
        <v>Alfalfa 5</v>
      </c>
      <c r="DC1223" s="1906">
        <f t="shared" si="1491"/>
        <v>0</v>
      </c>
      <c r="DD1223" s="1906">
        <f t="shared" si="1492"/>
        <v>0</v>
      </c>
      <c r="DE1223" s="1906">
        <f t="shared" si="1493"/>
        <v>0</v>
      </c>
      <c r="DF1223" s="1906">
        <f t="shared" si="1494"/>
        <v>0</v>
      </c>
      <c r="DG1223" s="1906">
        <f t="shared" si="1495"/>
        <v>0</v>
      </c>
      <c r="DH1223" s="1906">
        <f t="shared" si="1496"/>
        <v>0</v>
      </c>
      <c r="DI1223" s="1906">
        <f t="shared" si="1497"/>
        <v>0</v>
      </c>
      <c r="DJ1223" s="1906">
        <f t="shared" si="1498"/>
        <v>0</v>
      </c>
      <c r="DK1223" s="1906">
        <f t="shared" si="1499"/>
        <v>0</v>
      </c>
      <c r="DL1223" s="1906">
        <f t="shared" si="1500"/>
        <v>0</v>
      </c>
      <c r="DM1223" s="1906">
        <f t="shared" si="1501"/>
        <v>0</v>
      </c>
      <c r="DN1223" s="1906">
        <f t="shared" si="1502"/>
        <v>0</v>
      </c>
      <c r="DO1223" s="595" t="str">
        <f t="shared" si="1503"/>
        <v>Alfalfa 5</v>
      </c>
      <c r="DP1223" s="1443">
        <f t="shared" si="1504"/>
        <v>0</v>
      </c>
      <c r="DQ1223" s="107"/>
      <c r="DR1223" s="111"/>
      <c r="DS1223" s="1906"/>
      <c r="DT1223" s="1906"/>
      <c r="DU1223" s="1906"/>
      <c r="DV1223" s="1906"/>
      <c r="DW1223" s="1906"/>
      <c r="DX1223" s="1906"/>
      <c r="DY1223" s="1906"/>
      <c r="DZ1223" s="1906"/>
      <c r="EA1223" s="1906"/>
      <c r="EB1223" s="1906"/>
      <c r="EC1223" s="1906"/>
      <c r="ED1223" s="1906"/>
    </row>
    <row r="1224" spans="1:134" x14ac:dyDescent="0.2">
      <c r="A1224" s="107"/>
      <c r="B1224" s="1857" t="str">
        <f t="shared" si="1393"/>
        <v>PP 5</v>
      </c>
      <c r="C1224" s="2013">
        <f t="shared" si="1394"/>
        <v>0</v>
      </c>
      <c r="D1224" s="2013">
        <f t="shared" si="1395"/>
        <v>0</v>
      </c>
      <c r="E1224" s="2013">
        <f t="shared" si="1396"/>
        <v>0</v>
      </c>
      <c r="F1224" s="2013">
        <f t="shared" si="1397"/>
        <v>0</v>
      </c>
      <c r="G1224" s="2013">
        <f t="shared" si="1398"/>
        <v>0</v>
      </c>
      <c r="H1224" s="2013">
        <f t="shared" si="1399"/>
        <v>0</v>
      </c>
      <c r="I1224" s="2013">
        <f t="shared" si="1400"/>
        <v>0</v>
      </c>
      <c r="J1224" s="2013">
        <f t="shared" si="1401"/>
        <v>0</v>
      </c>
      <c r="K1224" s="2013">
        <f t="shared" si="1402"/>
        <v>0</v>
      </c>
      <c r="L1224" s="2013">
        <f t="shared" si="1403"/>
        <v>0</v>
      </c>
      <c r="M1224" s="2013">
        <f t="shared" si="1404"/>
        <v>0</v>
      </c>
      <c r="N1224" s="2013">
        <f t="shared" si="1405"/>
        <v>0</v>
      </c>
      <c r="P1224" s="1898" t="str">
        <f t="shared" si="1406"/>
        <v/>
      </c>
      <c r="Q1224" s="1898" t="str">
        <f t="shared" si="1407"/>
        <v/>
      </c>
      <c r="R1224" s="1898" t="str">
        <f t="shared" si="1408"/>
        <v/>
      </c>
      <c r="S1224" s="1898" t="str">
        <f t="shared" si="1409"/>
        <v/>
      </c>
      <c r="T1224" s="1898" t="str">
        <f t="shared" si="1410"/>
        <v/>
      </c>
      <c r="U1224" s="1898" t="str">
        <f t="shared" si="1411"/>
        <v/>
      </c>
      <c r="V1224" s="1898" t="str">
        <f t="shared" si="1412"/>
        <v/>
      </c>
      <c r="W1224" s="1898" t="str">
        <f t="shared" si="1413"/>
        <v/>
      </c>
      <c r="X1224" s="1898" t="str">
        <f t="shared" si="1414"/>
        <v/>
      </c>
      <c r="Y1224" s="1898" t="str">
        <f t="shared" si="1415"/>
        <v/>
      </c>
      <c r="Z1224" s="1898" t="str">
        <f t="shared" si="1416"/>
        <v/>
      </c>
      <c r="AA1224" s="1898" t="str">
        <f t="shared" si="1417"/>
        <v/>
      </c>
      <c r="AB1224" s="1971" t="str">
        <f t="shared" si="1418"/>
        <v>PP 5</v>
      </c>
      <c r="AC1224" s="1906">
        <f t="shared" si="1419"/>
        <v>0</v>
      </c>
      <c r="AD1224" s="1906">
        <f t="shared" si="1420"/>
        <v>0</v>
      </c>
      <c r="AE1224" s="1906">
        <f t="shared" si="1421"/>
        <v>0</v>
      </c>
      <c r="AF1224" s="1906">
        <f t="shared" si="1422"/>
        <v>0</v>
      </c>
      <c r="AG1224" s="1906">
        <f t="shared" si="1423"/>
        <v>0</v>
      </c>
      <c r="AH1224" s="1906">
        <f t="shared" si="1424"/>
        <v>0</v>
      </c>
      <c r="AI1224" s="1906">
        <f t="shared" si="1425"/>
        <v>0</v>
      </c>
      <c r="AJ1224" s="1906">
        <f t="shared" si="1426"/>
        <v>0</v>
      </c>
      <c r="AK1224" s="1906">
        <f t="shared" si="1427"/>
        <v>0</v>
      </c>
      <c r="AL1224" s="1906">
        <f t="shared" si="1428"/>
        <v>0</v>
      </c>
      <c r="AM1224" s="1906">
        <f t="shared" si="1429"/>
        <v>0</v>
      </c>
      <c r="AN1224" s="1906">
        <f t="shared" si="1430"/>
        <v>0</v>
      </c>
      <c r="AO1224" s="107"/>
      <c r="AP1224" s="1906"/>
      <c r="AQ1224" s="1906">
        <f t="shared" si="1431"/>
        <v>0</v>
      </c>
      <c r="AR1224" s="1906">
        <f t="shared" si="1432"/>
        <v>0</v>
      </c>
      <c r="AS1224" s="1906">
        <f t="shared" si="1433"/>
        <v>0</v>
      </c>
      <c r="AT1224" s="1906">
        <f t="shared" si="1434"/>
        <v>0</v>
      </c>
      <c r="AU1224" s="1906">
        <f t="shared" si="1435"/>
        <v>0</v>
      </c>
      <c r="AV1224" s="1906">
        <f t="shared" si="1436"/>
        <v>0</v>
      </c>
      <c r="AW1224" s="1906">
        <f t="shared" si="1437"/>
        <v>0</v>
      </c>
      <c r="AX1224" s="1906">
        <f t="shared" si="1438"/>
        <v>0</v>
      </c>
      <c r="AY1224" s="1906">
        <f t="shared" si="1439"/>
        <v>0</v>
      </c>
      <c r="AZ1224" s="1906">
        <f t="shared" si="1440"/>
        <v>0</v>
      </c>
      <c r="BA1224" s="1906">
        <f t="shared" si="1441"/>
        <v>0</v>
      </c>
      <c r="BB1224" s="107"/>
      <c r="BC1224" s="1906">
        <f t="shared" si="1442"/>
        <v>0</v>
      </c>
      <c r="BD1224" s="1906">
        <f t="shared" si="1443"/>
        <v>0</v>
      </c>
      <c r="BE1224" s="1906">
        <f t="shared" si="1444"/>
        <v>0</v>
      </c>
      <c r="BF1224" s="1906">
        <f t="shared" si="1445"/>
        <v>0</v>
      </c>
      <c r="BG1224" s="1906">
        <f t="shared" si="1446"/>
        <v>0</v>
      </c>
      <c r="BH1224" s="1906">
        <f t="shared" si="1447"/>
        <v>0</v>
      </c>
      <c r="BI1224" s="1906">
        <f t="shared" si="1448"/>
        <v>0</v>
      </c>
      <c r="BJ1224" s="1906">
        <f t="shared" si="1449"/>
        <v>0</v>
      </c>
      <c r="BK1224" s="1906">
        <f t="shared" si="1450"/>
        <v>0</v>
      </c>
      <c r="BL1224" s="1906">
        <f t="shared" si="1451"/>
        <v>0</v>
      </c>
      <c r="BM1224" s="1906">
        <f t="shared" si="1452"/>
        <v>0</v>
      </c>
      <c r="BN1224" s="1906">
        <f t="shared" si="1453"/>
        <v>0</v>
      </c>
      <c r="BO1224" s="107"/>
      <c r="BP1224" s="1906">
        <f t="shared" si="1454"/>
        <v>0</v>
      </c>
      <c r="BQ1224" s="1906">
        <f t="shared" si="1455"/>
        <v>0</v>
      </c>
      <c r="BR1224" s="1906">
        <f t="shared" si="1456"/>
        <v>0</v>
      </c>
      <c r="BS1224" s="1906">
        <f t="shared" si="1457"/>
        <v>0</v>
      </c>
      <c r="BT1224" s="1906">
        <f t="shared" si="1458"/>
        <v>0</v>
      </c>
      <c r="BU1224" s="1906">
        <f t="shared" si="1459"/>
        <v>0</v>
      </c>
      <c r="BV1224" s="1906">
        <f t="shared" si="1460"/>
        <v>0</v>
      </c>
      <c r="BW1224" s="1906">
        <f t="shared" si="1461"/>
        <v>0</v>
      </c>
      <c r="BX1224" s="1906">
        <f t="shared" si="1462"/>
        <v>0</v>
      </c>
      <c r="BY1224" s="1906">
        <f t="shared" si="1463"/>
        <v>0</v>
      </c>
      <c r="BZ1224" s="1906">
        <f t="shared" si="1464"/>
        <v>0</v>
      </c>
      <c r="CA1224" s="1906">
        <f t="shared" si="1465"/>
        <v>0</v>
      </c>
      <c r="CB1224" s="107"/>
      <c r="CC1224" s="1906">
        <f t="shared" si="1466"/>
        <v>0</v>
      </c>
      <c r="CD1224" s="1906">
        <f t="shared" si="1467"/>
        <v>0</v>
      </c>
      <c r="CE1224" s="1906">
        <f t="shared" si="1468"/>
        <v>0</v>
      </c>
      <c r="CF1224" s="1906">
        <f t="shared" si="1469"/>
        <v>0</v>
      </c>
      <c r="CG1224" s="1906">
        <f t="shared" si="1470"/>
        <v>0</v>
      </c>
      <c r="CH1224" s="1906">
        <f t="shared" si="1471"/>
        <v>0</v>
      </c>
      <c r="CI1224" s="1906">
        <f t="shared" si="1472"/>
        <v>0</v>
      </c>
      <c r="CJ1224" s="1906">
        <f t="shared" si="1473"/>
        <v>0</v>
      </c>
      <c r="CK1224" s="1906">
        <f t="shared" si="1474"/>
        <v>0</v>
      </c>
      <c r="CL1224" s="1906">
        <f t="shared" si="1475"/>
        <v>0</v>
      </c>
      <c r="CM1224" s="1906">
        <f t="shared" si="1476"/>
        <v>0</v>
      </c>
      <c r="CN1224" s="1906">
        <f t="shared" si="1477"/>
        <v>0</v>
      </c>
      <c r="CO1224" s="107"/>
      <c r="CP1224" s="1906">
        <f t="shared" si="1478"/>
        <v>0</v>
      </c>
      <c r="CQ1224" s="1906">
        <f t="shared" si="1479"/>
        <v>0</v>
      </c>
      <c r="CR1224" s="1906">
        <f t="shared" si="1480"/>
        <v>0</v>
      </c>
      <c r="CS1224" s="1906">
        <f t="shared" si="1481"/>
        <v>0</v>
      </c>
      <c r="CT1224" s="1906">
        <f t="shared" si="1482"/>
        <v>0</v>
      </c>
      <c r="CU1224" s="1906">
        <f t="shared" si="1483"/>
        <v>0</v>
      </c>
      <c r="CV1224" s="1906">
        <f t="shared" si="1484"/>
        <v>0</v>
      </c>
      <c r="CW1224" s="1906">
        <f t="shared" si="1485"/>
        <v>0</v>
      </c>
      <c r="CX1224" s="1906">
        <f t="shared" si="1486"/>
        <v>0</v>
      </c>
      <c r="CY1224" s="1906">
        <f t="shared" si="1487"/>
        <v>0</v>
      </c>
      <c r="CZ1224" s="1906">
        <f t="shared" si="1488"/>
        <v>0</v>
      </c>
      <c r="DA1224" s="1906">
        <f t="shared" si="1489"/>
        <v>0</v>
      </c>
      <c r="DB1224" s="1971" t="str">
        <f t="shared" si="1490"/>
        <v>PP 5</v>
      </c>
      <c r="DC1224" s="1906">
        <f t="shared" si="1491"/>
        <v>0</v>
      </c>
      <c r="DD1224" s="1906">
        <f t="shared" si="1492"/>
        <v>0</v>
      </c>
      <c r="DE1224" s="1906">
        <f t="shared" si="1493"/>
        <v>0</v>
      </c>
      <c r="DF1224" s="1906">
        <f t="shared" si="1494"/>
        <v>0</v>
      </c>
      <c r="DG1224" s="1906">
        <f t="shared" si="1495"/>
        <v>0</v>
      </c>
      <c r="DH1224" s="1906">
        <f t="shared" si="1496"/>
        <v>0</v>
      </c>
      <c r="DI1224" s="1906">
        <f t="shared" si="1497"/>
        <v>0</v>
      </c>
      <c r="DJ1224" s="1906">
        <f t="shared" si="1498"/>
        <v>0</v>
      </c>
      <c r="DK1224" s="1906">
        <f t="shared" si="1499"/>
        <v>0</v>
      </c>
      <c r="DL1224" s="1906">
        <f t="shared" si="1500"/>
        <v>0</v>
      </c>
      <c r="DM1224" s="1906">
        <f t="shared" si="1501"/>
        <v>0</v>
      </c>
      <c r="DN1224" s="1906">
        <f t="shared" si="1502"/>
        <v>0</v>
      </c>
      <c r="DO1224" s="595" t="str">
        <f t="shared" si="1503"/>
        <v>PP 5</v>
      </c>
      <c r="DP1224" s="1443">
        <f t="shared" si="1504"/>
        <v>0</v>
      </c>
      <c r="DQ1224" s="107"/>
      <c r="DR1224" s="111"/>
      <c r="DS1224" s="1906"/>
      <c r="DT1224" s="1906"/>
      <c r="DU1224" s="1906"/>
      <c r="DV1224" s="1906"/>
      <c r="DW1224" s="1906"/>
      <c r="DX1224" s="1906"/>
      <c r="DY1224" s="1906"/>
      <c r="DZ1224" s="1906"/>
      <c r="EA1224" s="1906"/>
      <c r="EB1224" s="1906"/>
      <c r="EC1224" s="1906"/>
      <c r="ED1224" s="1906"/>
    </row>
    <row r="1225" spans="1:134" ht="15.05" thickBot="1" x14ac:dyDescent="0.25">
      <c r="A1225" s="107"/>
      <c r="B1225" s="1857">
        <f t="shared" si="1393"/>
        <v>0</v>
      </c>
      <c r="C1225" s="2013">
        <f t="shared" si="1394"/>
        <v>0</v>
      </c>
      <c r="D1225" s="2013">
        <f t="shared" si="1395"/>
        <v>0</v>
      </c>
      <c r="E1225" s="2013">
        <f t="shared" si="1396"/>
        <v>0</v>
      </c>
      <c r="F1225" s="2013">
        <f t="shared" si="1397"/>
        <v>0</v>
      </c>
      <c r="G1225" s="2013">
        <f t="shared" si="1398"/>
        <v>0</v>
      </c>
      <c r="H1225" s="2013">
        <f t="shared" si="1399"/>
        <v>0</v>
      </c>
      <c r="I1225" s="2013">
        <f t="shared" si="1400"/>
        <v>0</v>
      </c>
      <c r="J1225" s="2013">
        <f t="shared" si="1401"/>
        <v>0</v>
      </c>
      <c r="K1225" s="2013">
        <f t="shared" si="1402"/>
        <v>0</v>
      </c>
      <c r="L1225" s="2013">
        <f t="shared" si="1403"/>
        <v>0</v>
      </c>
      <c r="M1225" s="2013">
        <f t="shared" si="1404"/>
        <v>0</v>
      </c>
      <c r="N1225" s="2013">
        <f t="shared" si="1405"/>
        <v>0</v>
      </c>
      <c r="P1225" s="1898" t="str">
        <f t="shared" si="1406"/>
        <v/>
      </c>
      <c r="Q1225" s="1898" t="str">
        <f t="shared" si="1407"/>
        <v/>
      </c>
      <c r="R1225" s="1898" t="str">
        <f t="shared" si="1408"/>
        <v/>
      </c>
      <c r="S1225" s="1898" t="str">
        <f t="shared" si="1409"/>
        <v/>
      </c>
      <c r="T1225" s="1898" t="str">
        <f t="shared" si="1410"/>
        <v/>
      </c>
      <c r="U1225" s="1898" t="str">
        <f t="shared" si="1411"/>
        <v/>
      </c>
      <c r="V1225" s="1898" t="str">
        <f t="shared" si="1412"/>
        <v/>
      </c>
      <c r="W1225" s="1898" t="str">
        <f t="shared" si="1413"/>
        <v/>
      </c>
      <c r="X1225" s="1898" t="str">
        <f t="shared" si="1414"/>
        <v/>
      </c>
      <c r="Y1225" s="1898" t="str">
        <f t="shared" si="1415"/>
        <v/>
      </c>
      <c r="Z1225" s="1898" t="str">
        <f t="shared" si="1416"/>
        <v/>
      </c>
      <c r="AA1225" s="1898" t="str">
        <f t="shared" si="1417"/>
        <v/>
      </c>
      <c r="AB1225" s="1971">
        <f t="shared" si="1418"/>
        <v>0</v>
      </c>
      <c r="AC1225" s="1906">
        <f t="shared" si="1419"/>
        <v>0</v>
      </c>
      <c r="AD1225" s="1906">
        <f t="shared" si="1420"/>
        <v>0</v>
      </c>
      <c r="AE1225" s="1906">
        <f t="shared" si="1421"/>
        <v>0</v>
      </c>
      <c r="AF1225" s="1906">
        <f t="shared" si="1422"/>
        <v>0</v>
      </c>
      <c r="AG1225" s="1906">
        <f t="shared" si="1423"/>
        <v>0</v>
      </c>
      <c r="AH1225" s="1906">
        <f t="shared" si="1424"/>
        <v>0</v>
      </c>
      <c r="AI1225" s="1906">
        <f t="shared" si="1425"/>
        <v>0</v>
      </c>
      <c r="AJ1225" s="1906">
        <f t="shared" si="1426"/>
        <v>0</v>
      </c>
      <c r="AK1225" s="1906">
        <f t="shared" si="1427"/>
        <v>0</v>
      </c>
      <c r="AL1225" s="1906">
        <f t="shared" si="1428"/>
        <v>0</v>
      </c>
      <c r="AM1225" s="1906">
        <f t="shared" si="1429"/>
        <v>0</v>
      </c>
      <c r="AN1225" s="1906">
        <f t="shared" si="1430"/>
        <v>0</v>
      </c>
      <c r="AO1225" s="107"/>
      <c r="AP1225" s="1906"/>
      <c r="AQ1225" s="1906">
        <f t="shared" si="1431"/>
        <v>0</v>
      </c>
      <c r="AR1225" s="1906">
        <f t="shared" si="1432"/>
        <v>0</v>
      </c>
      <c r="AS1225" s="1906">
        <f t="shared" si="1433"/>
        <v>0</v>
      </c>
      <c r="AT1225" s="1906">
        <f t="shared" si="1434"/>
        <v>0</v>
      </c>
      <c r="AU1225" s="1906">
        <f t="shared" si="1435"/>
        <v>0</v>
      </c>
      <c r="AV1225" s="1906">
        <f t="shared" si="1436"/>
        <v>0</v>
      </c>
      <c r="AW1225" s="1906">
        <f t="shared" si="1437"/>
        <v>0</v>
      </c>
      <c r="AX1225" s="1906">
        <f t="shared" si="1438"/>
        <v>0</v>
      </c>
      <c r="AY1225" s="1906">
        <f t="shared" si="1439"/>
        <v>0</v>
      </c>
      <c r="AZ1225" s="1906">
        <f t="shared" si="1440"/>
        <v>0</v>
      </c>
      <c r="BA1225" s="1906">
        <f t="shared" si="1441"/>
        <v>0</v>
      </c>
      <c r="BB1225" s="107"/>
      <c r="BC1225" s="1906">
        <f t="shared" si="1442"/>
        <v>0</v>
      </c>
      <c r="BD1225" s="1906">
        <f t="shared" si="1443"/>
        <v>0</v>
      </c>
      <c r="BE1225" s="1906">
        <f t="shared" si="1444"/>
        <v>0</v>
      </c>
      <c r="BF1225" s="1906">
        <f t="shared" si="1445"/>
        <v>0</v>
      </c>
      <c r="BG1225" s="1906">
        <f t="shared" si="1446"/>
        <v>0</v>
      </c>
      <c r="BH1225" s="1906">
        <f t="shared" si="1447"/>
        <v>0</v>
      </c>
      <c r="BI1225" s="1906">
        <f t="shared" si="1448"/>
        <v>0</v>
      </c>
      <c r="BJ1225" s="1906">
        <f t="shared" si="1449"/>
        <v>0</v>
      </c>
      <c r="BK1225" s="1906">
        <f t="shared" si="1450"/>
        <v>0</v>
      </c>
      <c r="BL1225" s="1906">
        <f t="shared" si="1451"/>
        <v>0</v>
      </c>
      <c r="BM1225" s="1906">
        <f t="shared" si="1452"/>
        <v>0</v>
      </c>
      <c r="BN1225" s="1906">
        <f t="shared" si="1453"/>
        <v>0</v>
      </c>
      <c r="BO1225" s="107"/>
      <c r="BP1225" s="1906">
        <f t="shared" si="1454"/>
        <v>0</v>
      </c>
      <c r="BQ1225" s="1906">
        <f t="shared" si="1455"/>
        <v>0</v>
      </c>
      <c r="BR1225" s="1906">
        <f t="shared" si="1456"/>
        <v>0</v>
      </c>
      <c r="BS1225" s="1906">
        <f t="shared" si="1457"/>
        <v>0</v>
      </c>
      <c r="BT1225" s="1906">
        <f t="shared" si="1458"/>
        <v>0</v>
      </c>
      <c r="BU1225" s="1906">
        <f t="shared" si="1459"/>
        <v>0</v>
      </c>
      <c r="BV1225" s="1906">
        <f t="shared" si="1460"/>
        <v>0</v>
      </c>
      <c r="BW1225" s="1906">
        <f t="shared" si="1461"/>
        <v>0</v>
      </c>
      <c r="BX1225" s="1906">
        <f t="shared" si="1462"/>
        <v>0</v>
      </c>
      <c r="BY1225" s="1906">
        <f t="shared" si="1463"/>
        <v>0</v>
      </c>
      <c r="BZ1225" s="1906">
        <f t="shared" si="1464"/>
        <v>0</v>
      </c>
      <c r="CA1225" s="1906">
        <f t="shared" si="1465"/>
        <v>0</v>
      </c>
      <c r="CB1225" s="107"/>
      <c r="CC1225" s="1906">
        <f t="shared" si="1466"/>
        <v>0</v>
      </c>
      <c r="CD1225" s="1906">
        <f t="shared" si="1467"/>
        <v>0</v>
      </c>
      <c r="CE1225" s="1906">
        <f t="shared" si="1468"/>
        <v>0</v>
      </c>
      <c r="CF1225" s="1906">
        <f t="shared" si="1469"/>
        <v>0</v>
      </c>
      <c r="CG1225" s="1906">
        <f t="shared" si="1470"/>
        <v>0</v>
      </c>
      <c r="CH1225" s="1906">
        <f t="shared" si="1471"/>
        <v>0</v>
      </c>
      <c r="CI1225" s="1906">
        <f t="shared" si="1472"/>
        <v>0</v>
      </c>
      <c r="CJ1225" s="1906">
        <f t="shared" si="1473"/>
        <v>0</v>
      </c>
      <c r="CK1225" s="1906">
        <f t="shared" si="1474"/>
        <v>0</v>
      </c>
      <c r="CL1225" s="1906">
        <f t="shared" si="1475"/>
        <v>0</v>
      </c>
      <c r="CM1225" s="1906">
        <f t="shared" si="1476"/>
        <v>0</v>
      </c>
      <c r="CN1225" s="1906">
        <f t="shared" si="1477"/>
        <v>0</v>
      </c>
      <c r="CO1225" s="107"/>
      <c r="CP1225" s="1906">
        <f t="shared" si="1478"/>
        <v>0</v>
      </c>
      <c r="CQ1225" s="1906">
        <f t="shared" si="1479"/>
        <v>0</v>
      </c>
      <c r="CR1225" s="1906">
        <f t="shared" si="1480"/>
        <v>0</v>
      </c>
      <c r="CS1225" s="1906">
        <f t="shared" si="1481"/>
        <v>0</v>
      </c>
      <c r="CT1225" s="1906">
        <f t="shared" si="1482"/>
        <v>0</v>
      </c>
      <c r="CU1225" s="1906">
        <f t="shared" si="1483"/>
        <v>0</v>
      </c>
      <c r="CV1225" s="1906">
        <f t="shared" si="1484"/>
        <v>0</v>
      </c>
      <c r="CW1225" s="1906">
        <f t="shared" si="1485"/>
        <v>0</v>
      </c>
      <c r="CX1225" s="1906">
        <f t="shared" si="1486"/>
        <v>0</v>
      </c>
      <c r="CY1225" s="1906">
        <f t="shared" si="1487"/>
        <v>0</v>
      </c>
      <c r="CZ1225" s="1906">
        <f t="shared" si="1488"/>
        <v>0</v>
      </c>
      <c r="DA1225" s="1906">
        <f t="shared" si="1489"/>
        <v>0</v>
      </c>
      <c r="DB1225" s="1971">
        <f t="shared" si="1490"/>
        <v>0</v>
      </c>
      <c r="DC1225" s="1906">
        <f t="shared" si="1491"/>
        <v>0</v>
      </c>
      <c r="DD1225" s="1906">
        <f t="shared" si="1492"/>
        <v>0</v>
      </c>
      <c r="DE1225" s="1906">
        <f t="shared" si="1493"/>
        <v>0</v>
      </c>
      <c r="DF1225" s="1906">
        <f t="shared" si="1494"/>
        <v>0</v>
      </c>
      <c r="DG1225" s="1906">
        <f t="shared" si="1495"/>
        <v>0</v>
      </c>
      <c r="DH1225" s="1906">
        <f t="shared" si="1496"/>
        <v>0</v>
      </c>
      <c r="DI1225" s="1906">
        <f t="shared" si="1497"/>
        <v>0</v>
      </c>
      <c r="DJ1225" s="1906">
        <f t="shared" si="1498"/>
        <v>0</v>
      </c>
      <c r="DK1225" s="1906">
        <f t="shared" si="1499"/>
        <v>0</v>
      </c>
      <c r="DL1225" s="1906">
        <f t="shared" si="1500"/>
        <v>0</v>
      </c>
      <c r="DM1225" s="1906">
        <f t="shared" si="1501"/>
        <v>0</v>
      </c>
      <c r="DN1225" s="1906">
        <f t="shared" si="1502"/>
        <v>0</v>
      </c>
      <c r="DO1225" s="595">
        <f t="shared" si="1503"/>
        <v>0</v>
      </c>
      <c r="DP1225" s="1443">
        <f t="shared" si="1504"/>
        <v>0</v>
      </c>
      <c r="DQ1225" s="107"/>
      <c r="DR1225" s="111"/>
      <c r="DS1225" s="1906"/>
      <c r="DT1225" s="1906"/>
      <c r="DU1225" s="1906"/>
      <c r="DV1225" s="1906"/>
      <c r="DW1225" s="1906"/>
      <c r="DX1225" s="1906"/>
      <c r="DY1225" s="1906"/>
      <c r="DZ1225" s="1906"/>
      <c r="EA1225" s="1906"/>
      <c r="EB1225" s="1906"/>
      <c r="EC1225" s="1906"/>
      <c r="ED1225" s="1906"/>
    </row>
    <row r="1226" spans="1:134" ht="15.05" thickBot="1" x14ac:dyDescent="0.25">
      <c r="A1226" s="107"/>
      <c r="B1226" s="2035">
        <f t="shared" si="1393"/>
        <v>0</v>
      </c>
      <c r="C1226" s="2013">
        <f t="shared" si="1394"/>
        <v>0</v>
      </c>
      <c r="D1226" s="2013">
        <f t="shared" si="1395"/>
        <v>0</v>
      </c>
      <c r="E1226" s="2013">
        <f t="shared" si="1396"/>
        <v>0</v>
      </c>
      <c r="F1226" s="2013">
        <f t="shared" si="1397"/>
        <v>0</v>
      </c>
      <c r="G1226" s="2013">
        <f t="shared" si="1398"/>
        <v>0</v>
      </c>
      <c r="H1226" s="2013">
        <f t="shared" si="1399"/>
        <v>0</v>
      </c>
      <c r="I1226" s="2013">
        <f t="shared" si="1400"/>
        <v>0</v>
      </c>
      <c r="J1226" s="2013">
        <f t="shared" si="1401"/>
        <v>0</v>
      </c>
      <c r="K1226" s="2013">
        <f t="shared" si="1402"/>
        <v>0</v>
      </c>
      <c r="L1226" s="2013">
        <f t="shared" si="1403"/>
        <v>0</v>
      </c>
      <c r="M1226" s="2013">
        <f t="shared" si="1404"/>
        <v>0</v>
      </c>
      <c r="N1226" s="2013">
        <f t="shared" si="1405"/>
        <v>0</v>
      </c>
      <c r="P1226" s="1898" t="str">
        <f t="shared" si="1406"/>
        <v/>
      </c>
      <c r="Q1226" s="1898" t="str">
        <f t="shared" si="1407"/>
        <v/>
      </c>
      <c r="R1226" s="1898" t="str">
        <f t="shared" si="1408"/>
        <v/>
      </c>
      <c r="S1226" s="1898" t="str">
        <f t="shared" si="1409"/>
        <v/>
      </c>
      <c r="T1226" s="1898" t="str">
        <f t="shared" si="1410"/>
        <v/>
      </c>
      <c r="U1226" s="1898" t="str">
        <f t="shared" si="1411"/>
        <v/>
      </c>
      <c r="V1226" s="1898" t="str">
        <f t="shared" si="1412"/>
        <v/>
      </c>
      <c r="W1226" s="1898" t="str">
        <f t="shared" si="1413"/>
        <v/>
      </c>
      <c r="X1226" s="1898" t="str">
        <f t="shared" si="1414"/>
        <v/>
      </c>
      <c r="Y1226" s="1898" t="str">
        <f t="shared" si="1415"/>
        <v/>
      </c>
      <c r="Z1226" s="1898" t="str">
        <f t="shared" si="1416"/>
        <v/>
      </c>
      <c r="AA1226" s="1898" t="str">
        <f t="shared" si="1417"/>
        <v/>
      </c>
      <c r="AB1226" s="1971">
        <f t="shared" si="1418"/>
        <v>0</v>
      </c>
      <c r="AC1226" s="1906">
        <f t="shared" si="1419"/>
        <v>0</v>
      </c>
      <c r="AD1226" s="1906">
        <f t="shared" si="1420"/>
        <v>0</v>
      </c>
      <c r="AE1226" s="1906">
        <f t="shared" si="1421"/>
        <v>0</v>
      </c>
      <c r="AF1226" s="1906">
        <f t="shared" si="1422"/>
        <v>0</v>
      </c>
      <c r="AG1226" s="1906">
        <f t="shared" si="1423"/>
        <v>0</v>
      </c>
      <c r="AH1226" s="1906">
        <f t="shared" si="1424"/>
        <v>0</v>
      </c>
      <c r="AI1226" s="1906">
        <f t="shared" si="1425"/>
        <v>0</v>
      </c>
      <c r="AJ1226" s="1906">
        <f t="shared" si="1426"/>
        <v>0</v>
      </c>
      <c r="AK1226" s="1906">
        <f t="shared" si="1427"/>
        <v>0</v>
      </c>
      <c r="AL1226" s="1906">
        <f t="shared" si="1428"/>
        <v>0</v>
      </c>
      <c r="AM1226" s="1906">
        <f t="shared" si="1429"/>
        <v>0</v>
      </c>
      <c r="AN1226" s="1906">
        <f t="shared" si="1430"/>
        <v>0</v>
      </c>
      <c r="AO1226" s="107"/>
      <c r="AP1226" s="1906"/>
      <c r="AQ1226" s="1906">
        <f t="shared" si="1431"/>
        <v>0</v>
      </c>
      <c r="AR1226" s="1906">
        <f t="shared" si="1432"/>
        <v>0</v>
      </c>
      <c r="AS1226" s="1906">
        <f t="shared" si="1433"/>
        <v>0</v>
      </c>
      <c r="AT1226" s="1906">
        <f t="shared" si="1434"/>
        <v>0</v>
      </c>
      <c r="AU1226" s="1906">
        <f t="shared" si="1435"/>
        <v>0</v>
      </c>
      <c r="AV1226" s="1906">
        <f t="shared" si="1436"/>
        <v>0</v>
      </c>
      <c r="AW1226" s="1906">
        <f t="shared" si="1437"/>
        <v>0</v>
      </c>
      <c r="AX1226" s="1906">
        <f t="shared" si="1438"/>
        <v>0</v>
      </c>
      <c r="AY1226" s="1906">
        <f t="shared" si="1439"/>
        <v>0</v>
      </c>
      <c r="AZ1226" s="1906">
        <f t="shared" si="1440"/>
        <v>0</v>
      </c>
      <c r="BA1226" s="1906">
        <f t="shared" si="1441"/>
        <v>0</v>
      </c>
      <c r="BB1226" s="107"/>
      <c r="BC1226" s="1906">
        <f t="shared" si="1442"/>
        <v>0</v>
      </c>
      <c r="BD1226" s="1906">
        <f t="shared" si="1443"/>
        <v>0</v>
      </c>
      <c r="BE1226" s="1906">
        <f t="shared" si="1444"/>
        <v>0</v>
      </c>
      <c r="BF1226" s="1906">
        <f t="shared" si="1445"/>
        <v>0</v>
      </c>
      <c r="BG1226" s="1906">
        <f t="shared" si="1446"/>
        <v>0</v>
      </c>
      <c r="BH1226" s="1906">
        <f t="shared" si="1447"/>
        <v>0</v>
      </c>
      <c r="BI1226" s="1906">
        <f t="shared" si="1448"/>
        <v>0</v>
      </c>
      <c r="BJ1226" s="1906">
        <f t="shared" si="1449"/>
        <v>0</v>
      </c>
      <c r="BK1226" s="1906">
        <f t="shared" si="1450"/>
        <v>0</v>
      </c>
      <c r="BL1226" s="1906">
        <f t="shared" si="1451"/>
        <v>0</v>
      </c>
      <c r="BM1226" s="1906">
        <f t="shared" si="1452"/>
        <v>0</v>
      </c>
      <c r="BN1226" s="1906">
        <f t="shared" si="1453"/>
        <v>0</v>
      </c>
      <c r="BO1226" s="107"/>
      <c r="BP1226" s="1906">
        <f t="shared" si="1454"/>
        <v>0</v>
      </c>
      <c r="BQ1226" s="1906">
        <f t="shared" si="1455"/>
        <v>0</v>
      </c>
      <c r="BR1226" s="1906">
        <f t="shared" si="1456"/>
        <v>0</v>
      </c>
      <c r="BS1226" s="1906">
        <f t="shared" si="1457"/>
        <v>0</v>
      </c>
      <c r="BT1226" s="1906">
        <f t="shared" si="1458"/>
        <v>0</v>
      </c>
      <c r="BU1226" s="1906">
        <f t="shared" si="1459"/>
        <v>0</v>
      </c>
      <c r="BV1226" s="1906">
        <f t="shared" si="1460"/>
        <v>0</v>
      </c>
      <c r="BW1226" s="1906">
        <f t="shared" si="1461"/>
        <v>0</v>
      </c>
      <c r="BX1226" s="1906">
        <f t="shared" si="1462"/>
        <v>0</v>
      </c>
      <c r="BY1226" s="1906">
        <f t="shared" si="1463"/>
        <v>0</v>
      </c>
      <c r="BZ1226" s="1906">
        <f t="shared" si="1464"/>
        <v>0</v>
      </c>
      <c r="CA1226" s="1906">
        <f t="shared" si="1465"/>
        <v>0</v>
      </c>
      <c r="CB1226" s="107"/>
      <c r="CC1226" s="1906">
        <f t="shared" si="1466"/>
        <v>0</v>
      </c>
      <c r="CD1226" s="1906">
        <f t="shared" si="1467"/>
        <v>0</v>
      </c>
      <c r="CE1226" s="1906">
        <f t="shared" si="1468"/>
        <v>0</v>
      </c>
      <c r="CF1226" s="1906">
        <f t="shared" si="1469"/>
        <v>0</v>
      </c>
      <c r="CG1226" s="1906">
        <f t="shared" si="1470"/>
        <v>0</v>
      </c>
      <c r="CH1226" s="1906">
        <f t="shared" si="1471"/>
        <v>0</v>
      </c>
      <c r="CI1226" s="1906">
        <f t="shared" si="1472"/>
        <v>0</v>
      </c>
      <c r="CJ1226" s="1906">
        <f t="shared" si="1473"/>
        <v>0</v>
      </c>
      <c r="CK1226" s="1906">
        <f t="shared" si="1474"/>
        <v>0</v>
      </c>
      <c r="CL1226" s="1906">
        <f t="shared" si="1475"/>
        <v>0</v>
      </c>
      <c r="CM1226" s="1906">
        <f t="shared" si="1476"/>
        <v>0</v>
      </c>
      <c r="CN1226" s="1906">
        <f t="shared" si="1477"/>
        <v>0</v>
      </c>
      <c r="CO1226" s="107"/>
      <c r="CP1226" s="1906">
        <f t="shared" si="1478"/>
        <v>0</v>
      </c>
      <c r="CQ1226" s="1906">
        <f t="shared" si="1479"/>
        <v>0</v>
      </c>
      <c r="CR1226" s="1906">
        <f t="shared" si="1480"/>
        <v>0</v>
      </c>
      <c r="CS1226" s="1906">
        <f t="shared" si="1481"/>
        <v>0</v>
      </c>
      <c r="CT1226" s="1906">
        <f t="shared" si="1482"/>
        <v>0</v>
      </c>
      <c r="CU1226" s="1906">
        <f t="shared" si="1483"/>
        <v>0</v>
      </c>
      <c r="CV1226" s="1906">
        <f t="shared" si="1484"/>
        <v>0</v>
      </c>
      <c r="CW1226" s="1906">
        <f t="shared" si="1485"/>
        <v>0</v>
      </c>
      <c r="CX1226" s="1906">
        <f t="shared" si="1486"/>
        <v>0</v>
      </c>
      <c r="CY1226" s="1906">
        <f t="shared" si="1487"/>
        <v>0</v>
      </c>
      <c r="CZ1226" s="1906">
        <f t="shared" si="1488"/>
        <v>0</v>
      </c>
      <c r="DA1226" s="1906">
        <f t="shared" si="1489"/>
        <v>0</v>
      </c>
      <c r="DB1226" s="1971">
        <f t="shared" si="1490"/>
        <v>0</v>
      </c>
      <c r="DC1226" s="1906">
        <f t="shared" si="1491"/>
        <v>0</v>
      </c>
      <c r="DD1226" s="1906">
        <f t="shared" si="1492"/>
        <v>0</v>
      </c>
      <c r="DE1226" s="1906">
        <f t="shared" si="1493"/>
        <v>0</v>
      </c>
      <c r="DF1226" s="1906">
        <f t="shared" si="1494"/>
        <v>0</v>
      </c>
      <c r="DG1226" s="1906">
        <f t="shared" si="1495"/>
        <v>0</v>
      </c>
      <c r="DH1226" s="1906">
        <f t="shared" si="1496"/>
        <v>0</v>
      </c>
      <c r="DI1226" s="1906">
        <f t="shared" si="1497"/>
        <v>0</v>
      </c>
      <c r="DJ1226" s="1906">
        <f t="shared" si="1498"/>
        <v>0</v>
      </c>
      <c r="DK1226" s="1906">
        <f t="shared" si="1499"/>
        <v>0</v>
      </c>
      <c r="DL1226" s="1906">
        <f t="shared" si="1500"/>
        <v>0</v>
      </c>
      <c r="DM1226" s="1906">
        <f t="shared" si="1501"/>
        <v>0</v>
      </c>
      <c r="DN1226" s="1906">
        <f t="shared" si="1502"/>
        <v>0</v>
      </c>
      <c r="DO1226" s="595">
        <f t="shared" si="1503"/>
        <v>0</v>
      </c>
      <c r="DP1226" s="1443">
        <f t="shared" si="1504"/>
        <v>0</v>
      </c>
      <c r="DQ1226" s="107"/>
      <c r="DR1226" s="111"/>
      <c r="DS1226" s="1906"/>
      <c r="DT1226" s="1906"/>
      <c r="DU1226" s="1906"/>
      <c r="DV1226" s="1906"/>
      <c r="DW1226" s="1906"/>
      <c r="DX1226" s="1906"/>
      <c r="DY1226" s="1906"/>
      <c r="DZ1226" s="1906"/>
      <c r="EA1226" s="1906"/>
      <c r="EB1226" s="1906"/>
      <c r="EC1226" s="1906"/>
      <c r="ED1226" s="1906"/>
    </row>
    <row r="1227" spans="1:134" x14ac:dyDescent="0.2">
      <c r="A1227" s="107"/>
      <c r="B1227" s="1857" t="str">
        <f t="shared" si="1393"/>
        <v>Avena</v>
      </c>
      <c r="C1227" s="2013">
        <f t="shared" si="1394"/>
        <v>0</v>
      </c>
      <c r="D1227" s="2013">
        <f t="shared" si="1395"/>
        <v>0</v>
      </c>
      <c r="E1227" s="2013">
        <f t="shared" si="1396"/>
        <v>0</v>
      </c>
      <c r="F1227" s="2013">
        <f t="shared" si="1397"/>
        <v>0</v>
      </c>
      <c r="G1227" s="2013">
        <f t="shared" si="1398"/>
        <v>0</v>
      </c>
      <c r="H1227" s="2013">
        <f t="shared" si="1399"/>
        <v>0</v>
      </c>
      <c r="I1227" s="2013">
        <f t="shared" si="1400"/>
        <v>0</v>
      </c>
      <c r="J1227" s="2013">
        <f t="shared" si="1401"/>
        <v>0</v>
      </c>
      <c r="K1227" s="2013">
        <f t="shared" si="1402"/>
        <v>0</v>
      </c>
      <c r="L1227" s="2013">
        <f t="shared" si="1403"/>
        <v>0</v>
      </c>
      <c r="M1227" s="2013">
        <f t="shared" si="1404"/>
        <v>0</v>
      </c>
      <c r="N1227" s="2013">
        <f t="shared" si="1405"/>
        <v>0</v>
      </c>
      <c r="P1227" s="1898" t="str">
        <f t="shared" si="1406"/>
        <v/>
      </c>
      <c r="Q1227" s="1898" t="str">
        <f t="shared" si="1407"/>
        <v/>
      </c>
      <c r="R1227" s="1898" t="str">
        <f t="shared" si="1408"/>
        <v/>
      </c>
      <c r="S1227" s="1898" t="str">
        <f t="shared" si="1409"/>
        <v/>
      </c>
      <c r="T1227" s="1898" t="str">
        <f t="shared" si="1410"/>
        <v/>
      </c>
      <c r="U1227" s="1898" t="str">
        <f t="shared" si="1411"/>
        <v/>
      </c>
      <c r="V1227" s="1898" t="str">
        <f t="shared" si="1412"/>
        <v/>
      </c>
      <c r="W1227" s="1898" t="str">
        <f t="shared" si="1413"/>
        <v/>
      </c>
      <c r="X1227" s="1898" t="str">
        <f t="shared" si="1414"/>
        <v/>
      </c>
      <c r="Y1227" s="1898" t="str">
        <f t="shared" si="1415"/>
        <v/>
      </c>
      <c r="Z1227" s="1898" t="str">
        <f t="shared" si="1416"/>
        <v/>
      </c>
      <c r="AA1227" s="1898" t="str">
        <f t="shared" si="1417"/>
        <v/>
      </c>
      <c r="AB1227" s="1971" t="str">
        <f t="shared" si="1418"/>
        <v>Avena</v>
      </c>
      <c r="AC1227" s="1906">
        <f t="shared" si="1419"/>
        <v>0</v>
      </c>
      <c r="AD1227" s="1906">
        <f t="shared" si="1420"/>
        <v>0</v>
      </c>
      <c r="AE1227" s="1906">
        <f t="shared" si="1421"/>
        <v>0</v>
      </c>
      <c r="AF1227" s="1906">
        <f t="shared" si="1422"/>
        <v>0</v>
      </c>
      <c r="AG1227" s="1906">
        <f t="shared" si="1423"/>
        <v>0</v>
      </c>
      <c r="AH1227" s="1906">
        <f t="shared" si="1424"/>
        <v>0</v>
      </c>
      <c r="AI1227" s="1906">
        <f t="shared" si="1425"/>
        <v>0</v>
      </c>
      <c r="AJ1227" s="1906">
        <f t="shared" si="1426"/>
        <v>0</v>
      </c>
      <c r="AK1227" s="1906">
        <f t="shared" si="1427"/>
        <v>0</v>
      </c>
      <c r="AL1227" s="1906">
        <f t="shared" si="1428"/>
        <v>0</v>
      </c>
      <c r="AM1227" s="1906">
        <f t="shared" si="1429"/>
        <v>0</v>
      </c>
      <c r="AN1227" s="1906">
        <f t="shared" si="1430"/>
        <v>0</v>
      </c>
      <c r="AO1227" s="107"/>
      <c r="AP1227" s="1906"/>
      <c r="AQ1227" s="1906">
        <f t="shared" si="1431"/>
        <v>0</v>
      </c>
      <c r="AR1227" s="1906">
        <f t="shared" si="1432"/>
        <v>0</v>
      </c>
      <c r="AS1227" s="1906">
        <f t="shared" si="1433"/>
        <v>0</v>
      </c>
      <c r="AT1227" s="1906">
        <f t="shared" si="1434"/>
        <v>0</v>
      </c>
      <c r="AU1227" s="1906">
        <f t="shared" si="1435"/>
        <v>0</v>
      </c>
      <c r="AV1227" s="1906">
        <f t="shared" si="1436"/>
        <v>0</v>
      </c>
      <c r="AW1227" s="1906">
        <f t="shared" si="1437"/>
        <v>0</v>
      </c>
      <c r="AX1227" s="1906">
        <f t="shared" si="1438"/>
        <v>0</v>
      </c>
      <c r="AY1227" s="1906">
        <f t="shared" si="1439"/>
        <v>0</v>
      </c>
      <c r="AZ1227" s="1906">
        <f t="shared" si="1440"/>
        <v>0</v>
      </c>
      <c r="BA1227" s="1906">
        <f t="shared" si="1441"/>
        <v>0</v>
      </c>
      <c r="BB1227" s="107"/>
      <c r="BC1227" s="1906">
        <f t="shared" si="1442"/>
        <v>0</v>
      </c>
      <c r="BD1227" s="1906">
        <f t="shared" si="1443"/>
        <v>0</v>
      </c>
      <c r="BE1227" s="1906">
        <f t="shared" si="1444"/>
        <v>0</v>
      </c>
      <c r="BF1227" s="1906">
        <f t="shared" si="1445"/>
        <v>0</v>
      </c>
      <c r="BG1227" s="1906">
        <f t="shared" si="1446"/>
        <v>0</v>
      </c>
      <c r="BH1227" s="1906">
        <f t="shared" si="1447"/>
        <v>0</v>
      </c>
      <c r="BI1227" s="1906">
        <f t="shared" si="1448"/>
        <v>0</v>
      </c>
      <c r="BJ1227" s="1906">
        <f t="shared" si="1449"/>
        <v>0</v>
      </c>
      <c r="BK1227" s="1906">
        <f t="shared" si="1450"/>
        <v>0</v>
      </c>
      <c r="BL1227" s="1906">
        <f t="shared" si="1451"/>
        <v>0</v>
      </c>
      <c r="BM1227" s="1906">
        <f t="shared" si="1452"/>
        <v>0</v>
      </c>
      <c r="BN1227" s="1906">
        <f t="shared" si="1453"/>
        <v>0</v>
      </c>
      <c r="BO1227" s="107"/>
      <c r="BP1227" s="1906">
        <f t="shared" si="1454"/>
        <v>0</v>
      </c>
      <c r="BQ1227" s="1906">
        <f t="shared" si="1455"/>
        <v>0</v>
      </c>
      <c r="BR1227" s="1906">
        <f t="shared" si="1456"/>
        <v>0</v>
      </c>
      <c r="BS1227" s="1906">
        <f t="shared" si="1457"/>
        <v>0</v>
      </c>
      <c r="BT1227" s="1906">
        <f t="shared" si="1458"/>
        <v>0</v>
      </c>
      <c r="BU1227" s="1906">
        <f t="shared" si="1459"/>
        <v>0</v>
      </c>
      <c r="BV1227" s="1906">
        <f t="shared" si="1460"/>
        <v>0</v>
      </c>
      <c r="BW1227" s="1906">
        <f t="shared" si="1461"/>
        <v>0</v>
      </c>
      <c r="BX1227" s="1906">
        <f t="shared" si="1462"/>
        <v>0</v>
      </c>
      <c r="BY1227" s="1906">
        <f t="shared" si="1463"/>
        <v>0</v>
      </c>
      <c r="BZ1227" s="1906">
        <f t="shared" si="1464"/>
        <v>0</v>
      </c>
      <c r="CA1227" s="1906">
        <f t="shared" si="1465"/>
        <v>0</v>
      </c>
      <c r="CB1227" s="107"/>
      <c r="CC1227" s="1906">
        <f t="shared" si="1466"/>
        <v>0</v>
      </c>
      <c r="CD1227" s="1906">
        <f t="shared" si="1467"/>
        <v>0</v>
      </c>
      <c r="CE1227" s="1906">
        <f t="shared" si="1468"/>
        <v>0</v>
      </c>
      <c r="CF1227" s="1906">
        <f t="shared" si="1469"/>
        <v>0</v>
      </c>
      <c r="CG1227" s="1906">
        <f t="shared" si="1470"/>
        <v>0</v>
      </c>
      <c r="CH1227" s="1906">
        <f t="shared" si="1471"/>
        <v>0</v>
      </c>
      <c r="CI1227" s="1906">
        <f t="shared" si="1472"/>
        <v>0</v>
      </c>
      <c r="CJ1227" s="1906">
        <f t="shared" si="1473"/>
        <v>0</v>
      </c>
      <c r="CK1227" s="1906">
        <f t="shared" si="1474"/>
        <v>0</v>
      </c>
      <c r="CL1227" s="1906">
        <f t="shared" si="1475"/>
        <v>0</v>
      </c>
      <c r="CM1227" s="1906">
        <f t="shared" si="1476"/>
        <v>0</v>
      </c>
      <c r="CN1227" s="1906">
        <f t="shared" si="1477"/>
        <v>0</v>
      </c>
      <c r="CO1227" s="107"/>
      <c r="CP1227" s="1906">
        <f t="shared" si="1478"/>
        <v>0</v>
      </c>
      <c r="CQ1227" s="1906">
        <f t="shared" si="1479"/>
        <v>0</v>
      </c>
      <c r="CR1227" s="1906">
        <f t="shared" si="1480"/>
        <v>0</v>
      </c>
      <c r="CS1227" s="1906">
        <f t="shared" si="1481"/>
        <v>0</v>
      </c>
      <c r="CT1227" s="1906">
        <f t="shared" si="1482"/>
        <v>0</v>
      </c>
      <c r="CU1227" s="1906">
        <f t="shared" si="1483"/>
        <v>0</v>
      </c>
      <c r="CV1227" s="1906">
        <f t="shared" si="1484"/>
        <v>0</v>
      </c>
      <c r="CW1227" s="1906">
        <f t="shared" si="1485"/>
        <v>0</v>
      </c>
      <c r="CX1227" s="1906">
        <f t="shared" si="1486"/>
        <v>0</v>
      </c>
      <c r="CY1227" s="1906">
        <f t="shared" si="1487"/>
        <v>0</v>
      </c>
      <c r="CZ1227" s="1906">
        <f t="shared" si="1488"/>
        <v>0</v>
      </c>
      <c r="DA1227" s="1906">
        <f t="shared" si="1489"/>
        <v>0</v>
      </c>
      <c r="DB1227" s="1971" t="str">
        <f t="shared" si="1490"/>
        <v>Avena</v>
      </c>
      <c r="DC1227" s="1906">
        <f t="shared" si="1491"/>
        <v>0</v>
      </c>
      <c r="DD1227" s="1906">
        <f t="shared" si="1492"/>
        <v>0</v>
      </c>
      <c r="DE1227" s="1906">
        <f t="shared" si="1493"/>
        <v>0</v>
      </c>
      <c r="DF1227" s="1906">
        <f t="shared" si="1494"/>
        <v>0</v>
      </c>
      <c r="DG1227" s="1906">
        <f t="shared" si="1495"/>
        <v>0</v>
      </c>
      <c r="DH1227" s="1906">
        <f t="shared" si="1496"/>
        <v>0</v>
      </c>
      <c r="DI1227" s="1906">
        <f t="shared" si="1497"/>
        <v>0</v>
      </c>
      <c r="DJ1227" s="1906">
        <f t="shared" si="1498"/>
        <v>0</v>
      </c>
      <c r="DK1227" s="1906">
        <f t="shared" si="1499"/>
        <v>0</v>
      </c>
      <c r="DL1227" s="1906">
        <f t="shared" si="1500"/>
        <v>0</v>
      </c>
      <c r="DM1227" s="1906">
        <f t="shared" si="1501"/>
        <v>0</v>
      </c>
      <c r="DN1227" s="1906">
        <f t="shared" si="1502"/>
        <v>0</v>
      </c>
      <c r="DO1227" s="595" t="str">
        <f t="shared" si="1503"/>
        <v>Avena</v>
      </c>
      <c r="DP1227" s="1443">
        <f t="shared" si="1504"/>
        <v>0</v>
      </c>
      <c r="DQ1227" s="107"/>
      <c r="DR1227" s="111"/>
      <c r="DS1227" s="1906"/>
      <c r="DT1227" s="1906"/>
      <c r="DU1227" s="1906"/>
      <c r="DV1227" s="1906"/>
      <c r="DW1227" s="1906"/>
      <c r="DX1227" s="1906"/>
      <c r="DY1227" s="1906"/>
      <c r="DZ1227" s="1906"/>
      <c r="EA1227" s="1906"/>
      <c r="EB1227" s="1906"/>
      <c r="EC1227" s="1906"/>
      <c r="ED1227" s="1906"/>
    </row>
    <row r="1228" spans="1:134" x14ac:dyDescent="0.2">
      <c r="A1228" s="107"/>
      <c r="B1228" s="1857" t="str">
        <f t="shared" si="1393"/>
        <v>Raigrás</v>
      </c>
      <c r="C1228" s="2013">
        <f t="shared" si="1394"/>
        <v>0</v>
      </c>
      <c r="D1228" s="2013">
        <f t="shared" si="1395"/>
        <v>0</v>
      </c>
      <c r="E1228" s="2013">
        <f t="shared" si="1396"/>
        <v>0</v>
      </c>
      <c r="F1228" s="2013">
        <f t="shared" si="1397"/>
        <v>0</v>
      </c>
      <c r="G1228" s="2013">
        <f t="shared" si="1398"/>
        <v>0</v>
      </c>
      <c r="H1228" s="2013">
        <f t="shared" si="1399"/>
        <v>0</v>
      </c>
      <c r="I1228" s="2013">
        <f t="shared" si="1400"/>
        <v>0</v>
      </c>
      <c r="J1228" s="2013">
        <f t="shared" si="1401"/>
        <v>0</v>
      </c>
      <c r="K1228" s="2013">
        <f t="shared" si="1402"/>
        <v>0</v>
      </c>
      <c r="L1228" s="2013">
        <f t="shared" si="1403"/>
        <v>0</v>
      </c>
      <c r="M1228" s="2013">
        <f t="shared" si="1404"/>
        <v>0</v>
      </c>
      <c r="N1228" s="2013">
        <f t="shared" si="1405"/>
        <v>0</v>
      </c>
      <c r="P1228" s="1898" t="str">
        <f t="shared" si="1406"/>
        <v/>
      </c>
      <c r="Q1228" s="1898" t="str">
        <f t="shared" si="1407"/>
        <v/>
      </c>
      <c r="R1228" s="1898" t="str">
        <f t="shared" si="1408"/>
        <v/>
      </c>
      <c r="S1228" s="1898" t="str">
        <f t="shared" si="1409"/>
        <v/>
      </c>
      <c r="T1228" s="1898" t="str">
        <f t="shared" si="1410"/>
        <v/>
      </c>
      <c r="U1228" s="1898" t="str">
        <f t="shared" si="1411"/>
        <v/>
      </c>
      <c r="V1228" s="1898" t="str">
        <f t="shared" si="1412"/>
        <v/>
      </c>
      <c r="W1228" s="1898" t="str">
        <f t="shared" si="1413"/>
        <v/>
      </c>
      <c r="X1228" s="1898" t="str">
        <f t="shared" si="1414"/>
        <v/>
      </c>
      <c r="Y1228" s="1898" t="str">
        <f t="shared" si="1415"/>
        <v/>
      </c>
      <c r="Z1228" s="1898" t="str">
        <f t="shared" si="1416"/>
        <v/>
      </c>
      <c r="AA1228" s="1898" t="str">
        <f t="shared" si="1417"/>
        <v/>
      </c>
      <c r="AB1228" s="1971" t="str">
        <f t="shared" si="1418"/>
        <v>Raigrás</v>
      </c>
      <c r="AC1228" s="1906">
        <f t="shared" si="1419"/>
        <v>0</v>
      </c>
      <c r="AD1228" s="1906">
        <f t="shared" si="1420"/>
        <v>0</v>
      </c>
      <c r="AE1228" s="1906">
        <f t="shared" si="1421"/>
        <v>0</v>
      </c>
      <c r="AF1228" s="1906">
        <f t="shared" si="1422"/>
        <v>0</v>
      </c>
      <c r="AG1228" s="1906">
        <f t="shared" si="1423"/>
        <v>0</v>
      </c>
      <c r="AH1228" s="1906">
        <f t="shared" si="1424"/>
        <v>0</v>
      </c>
      <c r="AI1228" s="1906">
        <f t="shared" si="1425"/>
        <v>0</v>
      </c>
      <c r="AJ1228" s="1906">
        <f t="shared" si="1426"/>
        <v>0</v>
      </c>
      <c r="AK1228" s="1906">
        <f t="shared" si="1427"/>
        <v>0</v>
      </c>
      <c r="AL1228" s="1906">
        <f t="shared" si="1428"/>
        <v>0</v>
      </c>
      <c r="AM1228" s="1906">
        <f t="shared" si="1429"/>
        <v>0</v>
      </c>
      <c r="AN1228" s="1906">
        <f t="shared" si="1430"/>
        <v>0</v>
      </c>
      <c r="AO1228" s="107"/>
      <c r="AP1228" s="1906"/>
      <c r="AQ1228" s="1906">
        <f t="shared" si="1431"/>
        <v>0</v>
      </c>
      <c r="AR1228" s="1906">
        <f t="shared" si="1432"/>
        <v>0</v>
      </c>
      <c r="AS1228" s="1906">
        <f t="shared" si="1433"/>
        <v>0</v>
      </c>
      <c r="AT1228" s="1906">
        <f t="shared" si="1434"/>
        <v>0</v>
      </c>
      <c r="AU1228" s="1906">
        <f t="shared" si="1435"/>
        <v>0</v>
      </c>
      <c r="AV1228" s="1906">
        <f t="shared" si="1436"/>
        <v>0</v>
      </c>
      <c r="AW1228" s="1906">
        <f t="shared" si="1437"/>
        <v>0</v>
      </c>
      <c r="AX1228" s="1906">
        <f t="shared" si="1438"/>
        <v>0</v>
      </c>
      <c r="AY1228" s="1906">
        <f t="shared" si="1439"/>
        <v>0</v>
      </c>
      <c r="AZ1228" s="1906">
        <f t="shared" si="1440"/>
        <v>0</v>
      </c>
      <c r="BA1228" s="1906">
        <f t="shared" si="1441"/>
        <v>0</v>
      </c>
      <c r="BB1228" s="107"/>
      <c r="BC1228" s="1906">
        <f t="shared" si="1442"/>
        <v>0</v>
      </c>
      <c r="BD1228" s="1906">
        <f t="shared" si="1443"/>
        <v>0</v>
      </c>
      <c r="BE1228" s="1906">
        <f t="shared" si="1444"/>
        <v>0</v>
      </c>
      <c r="BF1228" s="1906">
        <f t="shared" si="1445"/>
        <v>0</v>
      </c>
      <c r="BG1228" s="1906">
        <f t="shared" si="1446"/>
        <v>0</v>
      </c>
      <c r="BH1228" s="1906">
        <f t="shared" si="1447"/>
        <v>0</v>
      </c>
      <c r="BI1228" s="1906">
        <f t="shared" si="1448"/>
        <v>0</v>
      </c>
      <c r="BJ1228" s="1906">
        <f t="shared" si="1449"/>
        <v>0</v>
      </c>
      <c r="BK1228" s="1906">
        <f t="shared" si="1450"/>
        <v>0</v>
      </c>
      <c r="BL1228" s="1906">
        <f t="shared" si="1451"/>
        <v>0</v>
      </c>
      <c r="BM1228" s="1906">
        <f t="shared" si="1452"/>
        <v>0</v>
      </c>
      <c r="BN1228" s="1906">
        <f t="shared" si="1453"/>
        <v>0</v>
      </c>
      <c r="BO1228" s="107"/>
      <c r="BP1228" s="1906">
        <f t="shared" si="1454"/>
        <v>0</v>
      </c>
      <c r="BQ1228" s="1906">
        <f t="shared" si="1455"/>
        <v>0</v>
      </c>
      <c r="BR1228" s="1906">
        <f t="shared" si="1456"/>
        <v>0</v>
      </c>
      <c r="BS1228" s="1906">
        <f t="shared" si="1457"/>
        <v>0</v>
      </c>
      <c r="BT1228" s="1906">
        <f t="shared" si="1458"/>
        <v>0</v>
      </c>
      <c r="BU1228" s="1906">
        <f t="shared" si="1459"/>
        <v>0</v>
      </c>
      <c r="BV1228" s="1906">
        <f t="shared" si="1460"/>
        <v>0</v>
      </c>
      <c r="BW1228" s="1906">
        <f t="shared" si="1461"/>
        <v>0</v>
      </c>
      <c r="BX1228" s="1906">
        <f t="shared" si="1462"/>
        <v>0</v>
      </c>
      <c r="BY1228" s="1906">
        <f t="shared" si="1463"/>
        <v>0</v>
      </c>
      <c r="BZ1228" s="1906">
        <f t="shared" si="1464"/>
        <v>0</v>
      </c>
      <c r="CA1228" s="1906">
        <f t="shared" si="1465"/>
        <v>0</v>
      </c>
      <c r="CB1228" s="107"/>
      <c r="CC1228" s="1906">
        <f t="shared" si="1466"/>
        <v>0</v>
      </c>
      <c r="CD1228" s="1906">
        <f t="shared" si="1467"/>
        <v>0</v>
      </c>
      <c r="CE1228" s="1906">
        <f t="shared" si="1468"/>
        <v>0</v>
      </c>
      <c r="CF1228" s="1906">
        <f t="shared" si="1469"/>
        <v>0</v>
      </c>
      <c r="CG1228" s="1906">
        <f t="shared" si="1470"/>
        <v>0</v>
      </c>
      <c r="CH1228" s="1906">
        <f t="shared" si="1471"/>
        <v>0</v>
      </c>
      <c r="CI1228" s="1906">
        <f t="shared" si="1472"/>
        <v>0</v>
      </c>
      <c r="CJ1228" s="1906">
        <f t="shared" si="1473"/>
        <v>0</v>
      </c>
      <c r="CK1228" s="1906">
        <f t="shared" si="1474"/>
        <v>0</v>
      </c>
      <c r="CL1228" s="1906">
        <f t="shared" si="1475"/>
        <v>0</v>
      </c>
      <c r="CM1228" s="1906">
        <f t="shared" si="1476"/>
        <v>0</v>
      </c>
      <c r="CN1228" s="1906">
        <f t="shared" si="1477"/>
        <v>0</v>
      </c>
      <c r="CO1228" s="107"/>
      <c r="CP1228" s="1906">
        <f t="shared" si="1478"/>
        <v>0</v>
      </c>
      <c r="CQ1228" s="1906">
        <f t="shared" si="1479"/>
        <v>0</v>
      </c>
      <c r="CR1228" s="1906">
        <f t="shared" si="1480"/>
        <v>0</v>
      </c>
      <c r="CS1228" s="1906">
        <f t="shared" si="1481"/>
        <v>0</v>
      </c>
      <c r="CT1228" s="1906">
        <f t="shared" si="1482"/>
        <v>0</v>
      </c>
      <c r="CU1228" s="1906">
        <f t="shared" si="1483"/>
        <v>0</v>
      </c>
      <c r="CV1228" s="1906">
        <f t="shared" si="1484"/>
        <v>0</v>
      </c>
      <c r="CW1228" s="1906">
        <f t="shared" si="1485"/>
        <v>0</v>
      </c>
      <c r="CX1228" s="1906">
        <f t="shared" si="1486"/>
        <v>0</v>
      </c>
      <c r="CY1228" s="1906">
        <f t="shared" si="1487"/>
        <v>0</v>
      </c>
      <c r="CZ1228" s="1906">
        <f t="shared" si="1488"/>
        <v>0</v>
      </c>
      <c r="DA1228" s="1906">
        <f t="shared" si="1489"/>
        <v>0</v>
      </c>
      <c r="DB1228" s="1971" t="str">
        <f t="shared" si="1490"/>
        <v>Raigrás</v>
      </c>
      <c r="DC1228" s="1906">
        <f t="shared" si="1491"/>
        <v>0</v>
      </c>
      <c r="DD1228" s="1906">
        <f t="shared" si="1492"/>
        <v>0</v>
      </c>
      <c r="DE1228" s="1906">
        <f t="shared" si="1493"/>
        <v>0</v>
      </c>
      <c r="DF1228" s="1906">
        <f t="shared" si="1494"/>
        <v>0</v>
      </c>
      <c r="DG1228" s="1906">
        <f t="shared" si="1495"/>
        <v>0</v>
      </c>
      <c r="DH1228" s="1906">
        <f t="shared" si="1496"/>
        <v>0</v>
      </c>
      <c r="DI1228" s="1906">
        <f t="shared" si="1497"/>
        <v>0</v>
      </c>
      <c r="DJ1228" s="1906">
        <f t="shared" si="1498"/>
        <v>0</v>
      </c>
      <c r="DK1228" s="1906">
        <f t="shared" si="1499"/>
        <v>0</v>
      </c>
      <c r="DL1228" s="1906">
        <f t="shared" si="1500"/>
        <v>0</v>
      </c>
      <c r="DM1228" s="1906">
        <f t="shared" si="1501"/>
        <v>0</v>
      </c>
      <c r="DN1228" s="1906">
        <f t="shared" si="1502"/>
        <v>0</v>
      </c>
      <c r="DO1228" s="595" t="str">
        <f t="shared" si="1503"/>
        <v>Raigrás</v>
      </c>
      <c r="DP1228" s="1443">
        <f t="shared" si="1504"/>
        <v>0</v>
      </c>
      <c r="DQ1228" s="107"/>
      <c r="DR1228" s="111"/>
      <c r="DS1228" s="1906"/>
      <c r="DT1228" s="1906"/>
      <c r="DU1228" s="1906"/>
      <c r="DV1228" s="1906"/>
      <c r="DW1228" s="1906"/>
      <c r="DX1228" s="1906"/>
      <c r="DY1228" s="1906"/>
      <c r="DZ1228" s="1906"/>
      <c r="EA1228" s="1906"/>
      <c r="EB1228" s="1906"/>
      <c r="EC1228" s="1906"/>
      <c r="ED1228" s="1906"/>
    </row>
    <row r="1229" spans="1:134" x14ac:dyDescent="0.2">
      <c r="A1229" s="107"/>
      <c r="B1229" s="1857" t="str">
        <f t="shared" si="1393"/>
        <v>Av+Rg</v>
      </c>
      <c r="C1229" s="2013">
        <f t="shared" si="1394"/>
        <v>0</v>
      </c>
      <c r="D1229" s="2013">
        <f t="shared" si="1395"/>
        <v>0</v>
      </c>
      <c r="E1229" s="2013">
        <f t="shared" si="1396"/>
        <v>0</v>
      </c>
      <c r="F1229" s="2013">
        <f t="shared" si="1397"/>
        <v>0</v>
      </c>
      <c r="G1229" s="2013">
        <f t="shared" si="1398"/>
        <v>0</v>
      </c>
      <c r="H1229" s="2013">
        <f t="shared" si="1399"/>
        <v>0</v>
      </c>
      <c r="I1229" s="2013">
        <f t="shared" si="1400"/>
        <v>0</v>
      </c>
      <c r="J1229" s="2013">
        <f t="shared" si="1401"/>
        <v>0</v>
      </c>
      <c r="K1229" s="2013">
        <f t="shared" si="1402"/>
        <v>0</v>
      </c>
      <c r="L1229" s="2013">
        <f t="shared" si="1403"/>
        <v>0</v>
      </c>
      <c r="M1229" s="2013">
        <f t="shared" si="1404"/>
        <v>0</v>
      </c>
      <c r="N1229" s="2013">
        <f t="shared" si="1405"/>
        <v>0</v>
      </c>
      <c r="P1229" s="1898" t="str">
        <f t="shared" si="1406"/>
        <v/>
      </c>
      <c r="Q1229" s="1898" t="str">
        <f t="shared" si="1407"/>
        <v/>
      </c>
      <c r="R1229" s="1898" t="str">
        <f t="shared" si="1408"/>
        <v/>
      </c>
      <c r="S1229" s="1898" t="str">
        <f t="shared" si="1409"/>
        <v/>
      </c>
      <c r="T1229" s="1898" t="str">
        <f t="shared" si="1410"/>
        <v/>
      </c>
      <c r="U1229" s="1898" t="str">
        <f t="shared" si="1411"/>
        <v/>
      </c>
      <c r="V1229" s="1898" t="str">
        <f t="shared" si="1412"/>
        <v/>
      </c>
      <c r="W1229" s="1898" t="str">
        <f t="shared" si="1413"/>
        <v/>
      </c>
      <c r="X1229" s="1898" t="str">
        <f t="shared" si="1414"/>
        <v/>
      </c>
      <c r="Y1229" s="1898" t="str">
        <f t="shared" si="1415"/>
        <v/>
      </c>
      <c r="Z1229" s="1898" t="str">
        <f t="shared" si="1416"/>
        <v/>
      </c>
      <c r="AA1229" s="1898" t="str">
        <f t="shared" si="1417"/>
        <v/>
      </c>
      <c r="AB1229" s="1971" t="str">
        <f t="shared" si="1418"/>
        <v>Av+Rg</v>
      </c>
      <c r="AC1229" s="1906">
        <f t="shared" si="1419"/>
        <v>0</v>
      </c>
      <c r="AD1229" s="1906">
        <f t="shared" si="1420"/>
        <v>0</v>
      </c>
      <c r="AE1229" s="1906">
        <f t="shared" si="1421"/>
        <v>0</v>
      </c>
      <c r="AF1229" s="1906">
        <f t="shared" si="1422"/>
        <v>0</v>
      </c>
      <c r="AG1229" s="1906">
        <f t="shared" si="1423"/>
        <v>0</v>
      </c>
      <c r="AH1229" s="1906">
        <f t="shared" si="1424"/>
        <v>0</v>
      </c>
      <c r="AI1229" s="1906">
        <f t="shared" si="1425"/>
        <v>0</v>
      </c>
      <c r="AJ1229" s="1906">
        <f t="shared" si="1426"/>
        <v>0</v>
      </c>
      <c r="AK1229" s="1906">
        <f t="shared" si="1427"/>
        <v>0</v>
      </c>
      <c r="AL1229" s="1906">
        <f t="shared" si="1428"/>
        <v>0</v>
      </c>
      <c r="AM1229" s="1906">
        <f t="shared" si="1429"/>
        <v>0</v>
      </c>
      <c r="AN1229" s="1906">
        <f t="shared" si="1430"/>
        <v>0</v>
      </c>
      <c r="AO1229" s="107"/>
      <c r="AP1229" s="1906"/>
      <c r="AQ1229" s="1906">
        <f t="shared" si="1431"/>
        <v>0</v>
      </c>
      <c r="AR1229" s="1906">
        <f t="shared" si="1432"/>
        <v>0</v>
      </c>
      <c r="AS1229" s="1906">
        <f t="shared" si="1433"/>
        <v>0</v>
      </c>
      <c r="AT1229" s="1906">
        <f t="shared" si="1434"/>
        <v>0</v>
      </c>
      <c r="AU1229" s="1906">
        <f t="shared" si="1435"/>
        <v>0</v>
      </c>
      <c r="AV1229" s="1906">
        <f t="shared" si="1436"/>
        <v>0</v>
      </c>
      <c r="AW1229" s="1906">
        <f t="shared" si="1437"/>
        <v>0</v>
      </c>
      <c r="AX1229" s="1906">
        <f t="shared" si="1438"/>
        <v>0</v>
      </c>
      <c r="AY1229" s="1906">
        <f t="shared" si="1439"/>
        <v>0</v>
      </c>
      <c r="AZ1229" s="1906">
        <f t="shared" si="1440"/>
        <v>0</v>
      </c>
      <c r="BA1229" s="1906">
        <f t="shared" si="1441"/>
        <v>0</v>
      </c>
      <c r="BB1229" s="107"/>
      <c r="BC1229" s="1906">
        <f t="shared" si="1442"/>
        <v>0</v>
      </c>
      <c r="BD1229" s="1906">
        <f t="shared" si="1443"/>
        <v>0</v>
      </c>
      <c r="BE1229" s="1906">
        <f t="shared" si="1444"/>
        <v>0</v>
      </c>
      <c r="BF1229" s="1906">
        <f t="shared" si="1445"/>
        <v>0</v>
      </c>
      <c r="BG1229" s="1906">
        <f t="shared" si="1446"/>
        <v>0</v>
      </c>
      <c r="BH1229" s="1906">
        <f t="shared" si="1447"/>
        <v>0</v>
      </c>
      <c r="BI1229" s="1906">
        <f t="shared" si="1448"/>
        <v>0</v>
      </c>
      <c r="BJ1229" s="1906">
        <f t="shared" si="1449"/>
        <v>0</v>
      </c>
      <c r="BK1229" s="1906">
        <f t="shared" si="1450"/>
        <v>0</v>
      </c>
      <c r="BL1229" s="1906">
        <f t="shared" si="1451"/>
        <v>0</v>
      </c>
      <c r="BM1229" s="1906">
        <f t="shared" si="1452"/>
        <v>0</v>
      </c>
      <c r="BN1229" s="1906">
        <f t="shared" si="1453"/>
        <v>0</v>
      </c>
      <c r="BO1229" s="107"/>
      <c r="BP1229" s="1906">
        <f t="shared" si="1454"/>
        <v>0</v>
      </c>
      <c r="BQ1229" s="1906">
        <f t="shared" si="1455"/>
        <v>0</v>
      </c>
      <c r="BR1229" s="1906">
        <f t="shared" si="1456"/>
        <v>0</v>
      </c>
      <c r="BS1229" s="1906">
        <f t="shared" si="1457"/>
        <v>0</v>
      </c>
      <c r="BT1229" s="1906">
        <f t="shared" si="1458"/>
        <v>0</v>
      </c>
      <c r="BU1229" s="1906">
        <f t="shared" si="1459"/>
        <v>0</v>
      </c>
      <c r="BV1229" s="1906">
        <f t="shared" si="1460"/>
        <v>0</v>
      </c>
      <c r="BW1229" s="1906">
        <f t="shared" si="1461"/>
        <v>0</v>
      </c>
      <c r="BX1229" s="1906">
        <f t="shared" si="1462"/>
        <v>0</v>
      </c>
      <c r="BY1229" s="1906">
        <f t="shared" si="1463"/>
        <v>0</v>
      </c>
      <c r="BZ1229" s="1906">
        <f t="shared" si="1464"/>
        <v>0</v>
      </c>
      <c r="CA1229" s="1906">
        <f t="shared" si="1465"/>
        <v>0</v>
      </c>
      <c r="CB1229" s="107"/>
      <c r="CC1229" s="1906">
        <f t="shared" si="1466"/>
        <v>0</v>
      </c>
      <c r="CD1229" s="1906">
        <f t="shared" si="1467"/>
        <v>0</v>
      </c>
      <c r="CE1229" s="1906">
        <f t="shared" si="1468"/>
        <v>0</v>
      </c>
      <c r="CF1229" s="1906">
        <f t="shared" si="1469"/>
        <v>0</v>
      </c>
      <c r="CG1229" s="1906">
        <f t="shared" si="1470"/>
        <v>0</v>
      </c>
      <c r="CH1229" s="1906">
        <f t="shared" si="1471"/>
        <v>0</v>
      </c>
      <c r="CI1229" s="1906">
        <f t="shared" si="1472"/>
        <v>0</v>
      </c>
      <c r="CJ1229" s="1906">
        <f t="shared" si="1473"/>
        <v>0</v>
      </c>
      <c r="CK1229" s="1906">
        <f t="shared" si="1474"/>
        <v>0</v>
      </c>
      <c r="CL1229" s="1906">
        <f t="shared" si="1475"/>
        <v>0</v>
      </c>
      <c r="CM1229" s="1906">
        <f t="shared" si="1476"/>
        <v>0</v>
      </c>
      <c r="CN1229" s="1906">
        <f t="shared" si="1477"/>
        <v>0</v>
      </c>
      <c r="CO1229" s="107"/>
      <c r="CP1229" s="1906">
        <f t="shared" si="1478"/>
        <v>0</v>
      </c>
      <c r="CQ1229" s="1906">
        <f t="shared" si="1479"/>
        <v>0</v>
      </c>
      <c r="CR1229" s="1906">
        <f t="shared" si="1480"/>
        <v>0</v>
      </c>
      <c r="CS1229" s="1906">
        <f t="shared" si="1481"/>
        <v>0</v>
      </c>
      <c r="CT1229" s="1906">
        <f t="shared" si="1482"/>
        <v>0</v>
      </c>
      <c r="CU1229" s="1906">
        <f t="shared" si="1483"/>
        <v>0</v>
      </c>
      <c r="CV1229" s="1906">
        <f t="shared" si="1484"/>
        <v>0</v>
      </c>
      <c r="CW1229" s="1906">
        <f t="shared" si="1485"/>
        <v>0</v>
      </c>
      <c r="CX1229" s="1906">
        <f t="shared" si="1486"/>
        <v>0</v>
      </c>
      <c r="CY1229" s="1906">
        <f t="shared" si="1487"/>
        <v>0</v>
      </c>
      <c r="CZ1229" s="1906">
        <f t="shared" si="1488"/>
        <v>0</v>
      </c>
      <c r="DA1229" s="1906">
        <f t="shared" si="1489"/>
        <v>0</v>
      </c>
      <c r="DB1229" s="1971" t="str">
        <f t="shared" si="1490"/>
        <v>Av+Rg</v>
      </c>
      <c r="DC1229" s="1906">
        <f t="shared" si="1491"/>
        <v>0</v>
      </c>
      <c r="DD1229" s="1906">
        <f t="shared" si="1492"/>
        <v>0</v>
      </c>
      <c r="DE1229" s="1906">
        <f t="shared" si="1493"/>
        <v>0</v>
      </c>
      <c r="DF1229" s="1906">
        <f t="shared" si="1494"/>
        <v>0</v>
      </c>
      <c r="DG1229" s="1906">
        <f t="shared" si="1495"/>
        <v>0</v>
      </c>
      <c r="DH1229" s="1906">
        <f t="shared" si="1496"/>
        <v>0</v>
      </c>
      <c r="DI1229" s="1906">
        <f t="shared" si="1497"/>
        <v>0</v>
      </c>
      <c r="DJ1229" s="1906">
        <f t="shared" si="1498"/>
        <v>0</v>
      </c>
      <c r="DK1229" s="1906">
        <f t="shared" si="1499"/>
        <v>0</v>
      </c>
      <c r="DL1229" s="1906">
        <f t="shared" si="1500"/>
        <v>0</v>
      </c>
      <c r="DM1229" s="1906">
        <f t="shared" si="1501"/>
        <v>0</v>
      </c>
      <c r="DN1229" s="1906">
        <f t="shared" si="1502"/>
        <v>0</v>
      </c>
      <c r="DO1229" s="595" t="str">
        <f t="shared" si="1503"/>
        <v>Av+Rg</v>
      </c>
      <c r="DP1229" s="1443">
        <f t="shared" si="1504"/>
        <v>0</v>
      </c>
      <c r="DQ1229" s="107"/>
      <c r="DR1229" s="111"/>
      <c r="DS1229" s="1906"/>
      <c r="DT1229" s="1906"/>
      <c r="DU1229" s="1906"/>
      <c r="DV1229" s="1906"/>
      <c r="DW1229" s="1906"/>
      <c r="DX1229" s="1906"/>
      <c r="DY1229" s="1906"/>
      <c r="DZ1229" s="1906"/>
      <c r="EA1229" s="1906"/>
      <c r="EB1229" s="1906"/>
      <c r="EC1229" s="1906"/>
      <c r="ED1229" s="1906"/>
    </row>
    <row r="1230" spans="1:134" x14ac:dyDescent="0.2">
      <c r="A1230" s="107"/>
      <c r="B1230" s="1857" t="str">
        <f t="shared" si="1393"/>
        <v>Rg Ciclo Largo</v>
      </c>
      <c r="C1230" s="2013">
        <f t="shared" si="1394"/>
        <v>0</v>
      </c>
      <c r="D1230" s="2013">
        <f t="shared" si="1395"/>
        <v>0</v>
      </c>
      <c r="E1230" s="2013">
        <f t="shared" si="1396"/>
        <v>0</v>
      </c>
      <c r="F1230" s="2013">
        <f t="shared" si="1397"/>
        <v>0</v>
      </c>
      <c r="G1230" s="2013">
        <f t="shared" si="1398"/>
        <v>0</v>
      </c>
      <c r="H1230" s="2013">
        <f t="shared" si="1399"/>
        <v>0</v>
      </c>
      <c r="I1230" s="2013">
        <f t="shared" si="1400"/>
        <v>0</v>
      </c>
      <c r="J1230" s="2013">
        <f t="shared" si="1401"/>
        <v>0</v>
      </c>
      <c r="K1230" s="2013">
        <f t="shared" si="1402"/>
        <v>0</v>
      </c>
      <c r="L1230" s="2013">
        <f t="shared" si="1403"/>
        <v>0</v>
      </c>
      <c r="M1230" s="2013">
        <f t="shared" si="1404"/>
        <v>0</v>
      </c>
      <c r="N1230" s="2013">
        <f t="shared" si="1405"/>
        <v>0</v>
      </c>
      <c r="P1230" s="1898" t="str">
        <f t="shared" si="1406"/>
        <v/>
      </c>
      <c r="Q1230" s="1898" t="str">
        <f t="shared" si="1407"/>
        <v/>
      </c>
      <c r="R1230" s="1898" t="str">
        <f t="shared" si="1408"/>
        <v/>
      </c>
      <c r="S1230" s="1898" t="str">
        <f t="shared" si="1409"/>
        <v/>
      </c>
      <c r="T1230" s="1898" t="str">
        <f t="shared" si="1410"/>
        <v/>
      </c>
      <c r="U1230" s="1898" t="str">
        <f t="shared" si="1411"/>
        <v/>
      </c>
      <c r="V1230" s="1898" t="str">
        <f t="shared" si="1412"/>
        <v/>
      </c>
      <c r="W1230" s="1898" t="str">
        <f t="shared" si="1413"/>
        <v/>
      </c>
      <c r="X1230" s="1898" t="str">
        <f t="shared" si="1414"/>
        <v/>
      </c>
      <c r="Y1230" s="1898" t="str">
        <f t="shared" si="1415"/>
        <v/>
      </c>
      <c r="Z1230" s="1898" t="str">
        <f t="shared" si="1416"/>
        <v/>
      </c>
      <c r="AA1230" s="1898" t="str">
        <f t="shared" si="1417"/>
        <v/>
      </c>
      <c r="AB1230" s="1971" t="str">
        <f t="shared" si="1418"/>
        <v>Rg Ciclo Largo</v>
      </c>
      <c r="AC1230" s="1906">
        <f t="shared" si="1419"/>
        <v>0</v>
      </c>
      <c r="AD1230" s="1906">
        <f t="shared" si="1420"/>
        <v>0</v>
      </c>
      <c r="AE1230" s="1906">
        <f t="shared" si="1421"/>
        <v>0</v>
      </c>
      <c r="AF1230" s="1906">
        <f t="shared" si="1422"/>
        <v>0</v>
      </c>
      <c r="AG1230" s="1906">
        <f t="shared" si="1423"/>
        <v>0</v>
      </c>
      <c r="AH1230" s="1906">
        <f t="shared" si="1424"/>
        <v>0</v>
      </c>
      <c r="AI1230" s="1906">
        <f t="shared" si="1425"/>
        <v>0</v>
      </c>
      <c r="AJ1230" s="1906">
        <f t="shared" si="1426"/>
        <v>0</v>
      </c>
      <c r="AK1230" s="1906">
        <f t="shared" si="1427"/>
        <v>0</v>
      </c>
      <c r="AL1230" s="1906">
        <f t="shared" si="1428"/>
        <v>0</v>
      </c>
      <c r="AM1230" s="1906">
        <f t="shared" si="1429"/>
        <v>0</v>
      </c>
      <c r="AN1230" s="1906">
        <f t="shared" si="1430"/>
        <v>0</v>
      </c>
      <c r="AO1230" s="107"/>
      <c r="AP1230" s="1906"/>
      <c r="AQ1230" s="1906">
        <f t="shared" si="1431"/>
        <v>0</v>
      </c>
      <c r="AR1230" s="1906">
        <f t="shared" si="1432"/>
        <v>0</v>
      </c>
      <c r="AS1230" s="1906">
        <f t="shared" si="1433"/>
        <v>0</v>
      </c>
      <c r="AT1230" s="1906">
        <f t="shared" si="1434"/>
        <v>0</v>
      </c>
      <c r="AU1230" s="1906">
        <f t="shared" si="1435"/>
        <v>0</v>
      </c>
      <c r="AV1230" s="1906">
        <f t="shared" si="1436"/>
        <v>0</v>
      </c>
      <c r="AW1230" s="1906">
        <f t="shared" si="1437"/>
        <v>0</v>
      </c>
      <c r="AX1230" s="1906">
        <f t="shared" si="1438"/>
        <v>0</v>
      </c>
      <c r="AY1230" s="1906">
        <f t="shared" si="1439"/>
        <v>0</v>
      </c>
      <c r="AZ1230" s="1906">
        <f t="shared" si="1440"/>
        <v>0</v>
      </c>
      <c r="BA1230" s="1906">
        <f t="shared" si="1441"/>
        <v>0</v>
      </c>
      <c r="BB1230" s="107"/>
      <c r="BC1230" s="1906">
        <f t="shared" si="1442"/>
        <v>0</v>
      </c>
      <c r="BD1230" s="1906">
        <f t="shared" si="1443"/>
        <v>0</v>
      </c>
      <c r="BE1230" s="1906">
        <f t="shared" si="1444"/>
        <v>0</v>
      </c>
      <c r="BF1230" s="1906">
        <f t="shared" si="1445"/>
        <v>0</v>
      </c>
      <c r="BG1230" s="1906">
        <f t="shared" si="1446"/>
        <v>0</v>
      </c>
      <c r="BH1230" s="1906">
        <f t="shared" si="1447"/>
        <v>0</v>
      </c>
      <c r="BI1230" s="1906">
        <f t="shared" si="1448"/>
        <v>0</v>
      </c>
      <c r="BJ1230" s="1906">
        <f t="shared" si="1449"/>
        <v>0</v>
      </c>
      <c r="BK1230" s="1906">
        <f t="shared" si="1450"/>
        <v>0</v>
      </c>
      <c r="BL1230" s="1906">
        <f t="shared" si="1451"/>
        <v>0</v>
      </c>
      <c r="BM1230" s="1906">
        <f t="shared" si="1452"/>
        <v>0</v>
      </c>
      <c r="BN1230" s="1906">
        <f t="shared" si="1453"/>
        <v>0</v>
      </c>
      <c r="BO1230" s="107"/>
      <c r="BP1230" s="1906">
        <f t="shared" si="1454"/>
        <v>0</v>
      </c>
      <c r="BQ1230" s="1906">
        <f t="shared" si="1455"/>
        <v>0</v>
      </c>
      <c r="BR1230" s="1906">
        <f t="shared" si="1456"/>
        <v>0</v>
      </c>
      <c r="BS1230" s="1906">
        <f t="shared" si="1457"/>
        <v>0</v>
      </c>
      <c r="BT1230" s="1906">
        <f t="shared" si="1458"/>
        <v>0</v>
      </c>
      <c r="BU1230" s="1906">
        <f t="shared" si="1459"/>
        <v>0</v>
      </c>
      <c r="BV1230" s="1906">
        <f t="shared" si="1460"/>
        <v>0</v>
      </c>
      <c r="BW1230" s="1906">
        <f t="shared" si="1461"/>
        <v>0</v>
      </c>
      <c r="BX1230" s="1906">
        <f t="shared" si="1462"/>
        <v>0</v>
      </c>
      <c r="BY1230" s="1906">
        <f t="shared" si="1463"/>
        <v>0</v>
      </c>
      <c r="BZ1230" s="1906">
        <f t="shared" si="1464"/>
        <v>0</v>
      </c>
      <c r="CA1230" s="1906">
        <f t="shared" si="1465"/>
        <v>0</v>
      </c>
      <c r="CB1230" s="107"/>
      <c r="CC1230" s="1906">
        <f t="shared" si="1466"/>
        <v>0</v>
      </c>
      <c r="CD1230" s="1906">
        <f t="shared" si="1467"/>
        <v>0</v>
      </c>
      <c r="CE1230" s="1906">
        <f t="shared" si="1468"/>
        <v>0</v>
      </c>
      <c r="CF1230" s="1906">
        <f t="shared" si="1469"/>
        <v>0</v>
      </c>
      <c r="CG1230" s="1906">
        <f t="shared" si="1470"/>
        <v>0</v>
      </c>
      <c r="CH1230" s="1906">
        <f t="shared" si="1471"/>
        <v>0</v>
      </c>
      <c r="CI1230" s="1906">
        <f t="shared" si="1472"/>
        <v>0</v>
      </c>
      <c r="CJ1230" s="1906">
        <f t="shared" si="1473"/>
        <v>0</v>
      </c>
      <c r="CK1230" s="1906">
        <f t="shared" si="1474"/>
        <v>0</v>
      </c>
      <c r="CL1230" s="1906">
        <f t="shared" si="1475"/>
        <v>0</v>
      </c>
      <c r="CM1230" s="1906">
        <f t="shared" si="1476"/>
        <v>0</v>
      </c>
      <c r="CN1230" s="1906">
        <f t="shared" si="1477"/>
        <v>0</v>
      </c>
      <c r="CO1230" s="107"/>
      <c r="CP1230" s="1906">
        <f t="shared" si="1478"/>
        <v>0</v>
      </c>
      <c r="CQ1230" s="1906">
        <f t="shared" si="1479"/>
        <v>0</v>
      </c>
      <c r="CR1230" s="1906">
        <f t="shared" si="1480"/>
        <v>0</v>
      </c>
      <c r="CS1230" s="1906">
        <f t="shared" si="1481"/>
        <v>0</v>
      </c>
      <c r="CT1230" s="1906">
        <f t="shared" si="1482"/>
        <v>0</v>
      </c>
      <c r="CU1230" s="1906">
        <f t="shared" si="1483"/>
        <v>0</v>
      </c>
      <c r="CV1230" s="1906">
        <f t="shared" si="1484"/>
        <v>0</v>
      </c>
      <c r="CW1230" s="1906">
        <f t="shared" si="1485"/>
        <v>0</v>
      </c>
      <c r="CX1230" s="1906">
        <f t="shared" si="1486"/>
        <v>0</v>
      </c>
      <c r="CY1230" s="1906">
        <f t="shared" si="1487"/>
        <v>0</v>
      </c>
      <c r="CZ1230" s="1906">
        <f t="shared" si="1488"/>
        <v>0</v>
      </c>
      <c r="DA1230" s="1906">
        <f t="shared" si="1489"/>
        <v>0</v>
      </c>
      <c r="DB1230" s="1971" t="str">
        <f t="shared" si="1490"/>
        <v>Rg Ciclo Largo</v>
      </c>
      <c r="DC1230" s="1906">
        <f t="shared" si="1491"/>
        <v>0</v>
      </c>
      <c r="DD1230" s="1906">
        <f t="shared" si="1492"/>
        <v>0</v>
      </c>
      <c r="DE1230" s="1906">
        <f t="shared" si="1493"/>
        <v>0</v>
      </c>
      <c r="DF1230" s="1906">
        <f t="shared" si="1494"/>
        <v>0</v>
      </c>
      <c r="DG1230" s="1906">
        <f t="shared" si="1495"/>
        <v>0</v>
      </c>
      <c r="DH1230" s="1906">
        <f t="shared" si="1496"/>
        <v>0</v>
      </c>
      <c r="DI1230" s="1906">
        <f t="shared" si="1497"/>
        <v>0</v>
      </c>
      <c r="DJ1230" s="1906">
        <f t="shared" si="1498"/>
        <v>0</v>
      </c>
      <c r="DK1230" s="1906">
        <f t="shared" si="1499"/>
        <v>0</v>
      </c>
      <c r="DL1230" s="1906">
        <f t="shared" si="1500"/>
        <v>0</v>
      </c>
      <c r="DM1230" s="1906">
        <f t="shared" si="1501"/>
        <v>0</v>
      </c>
      <c r="DN1230" s="1906">
        <f t="shared" si="1502"/>
        <v>0</v>
      </c>
      <c r="DO1230" s="595" t="str">
        <f t="shared" si="1503"/>
        <v>Rg Ciclo Largo</v>
      </c>
      <c r="DP1230" s="1443">
        <f t="shared" si="1504"/>
        <v>0</v>
      </c>
      <c r="DQ1230" s="107"/>
      <c r="DR1230" s="111"/>
      <c r="DS1230" s="1906"/>
      <c r="DT1230" s="1906"/>
      <c r="DU1230" s="1906"/>
      <c r="DV1230" s="1906"/>
      <c r="DW1230" s="1906"/>
      <c r="DX1230" s="1906"/>
      <c r="DY1230" s="1906"/>
      <c r="DZ1230" s="1906"/>
      <c r="EA1230" s="1906"/>
      <c r="EB1230" s="1906"/>
      <c r="EC1230" s="1906"/>
      <c r="ED1230" s="1906"/>
    </row>
    <row r="1231" spans="1:134" x14ac:dyDescent="0.2">
      <c r="A1231" s="107"/>
      <c r="B1231" s="1857" t="str">
        <f t="shared" si="1393"/>
        <v>Trigo pastoreo</v>
      </c>
      <c r="C1231" s="2013">
        <f t="shared" si="1394"/>
        <v>0</v>
      </c>
      <c r="D1231" s="2013">
        <f t="shared" si="1395"/>
        <v>0</v>
      </c>
      <c r="E1231" s="2013">
        <f t="shared" si="1396"/>
        <v>0</v>
      </c>
      <c r="F1231" s="2013">
        <f t="shared" si="1397"/>
        <v>0</v>
      </c>
      <c r="G1231" s="2013">
        <f t="shared" si="1398"/>
        <v>0</v>
      </c>
      <c r="H1231" s="2013">
        <f t="shared" si="1399"/>
        <v>0</v>
      </c>
      <c r="I1231" s="2013">
        <f t="shared" si="1400"/>
        <v>0</v>
      </c>
      <c r="J1231" s="2013">
        <f t="shared" si="1401"/>
        <v>0</v>
      </c>
      <c r="K1231" s="2013">
        <f t="shared" si="1402"/>
        <v>0</v>
      </c>
      <c r="L1231" s="2013">
        <f t="shared" si="1403"/>
        <v>0</v>
      </c>
      <c r="M1231" s="2013">
        <f t="shared" si="1404"/>
        <v>0</v>
      </c>
      <c r="N1231" s="2013">
        <f t="shared" si="1405"/>
        <v>0</v>
      </c>
      <c r="P1231" s="1898" t="str">
        <f t="shared" si="1406"/>
        <v/>
      </c>
      <c r="Q1231" s="1898" t="str">
        <f t="shared" si="1407"/>
        <v/>
      </c>
      <c r="R1231" s="1898" t="str">
        <f t="shared" si="1408"/>
        <v/>
      </c>
      <c r="S1231" s="1898" t="str">
        <f t="shared" si="1409"/>
        <v/>
      </c>
      <c r="T1231" s="1898" t="str">
        <f t="shared" si="1410"/>
        <v/>
      </c>
      <c r="U1231" s="1898" t="str">
        <f t="shared" si="1411"/>
        <v/>
      </c>
      <c r="V1231" s="1898" t="str">
        <f t="shared" si="1412"/>
        <v/>
      </c>
      <c r="W1231" s="1898" t="str">
        <f t="shared" si="1413"/>
        <v/>
      </c>
      <c r="X1231" s="1898" t="str">
        <f t="shared" si="1414"/>
        <v/>
      </c>
      <c r="Y1231" s="1898" t="str">
        <f t="shared" si="1415"/>
        <v/>
      </c>
      <c r="Z1231" s="1898" t="str">
        <f t="shared" si="1416"/>
        <v/>
      </c>
      <c r="AA1231" s="1898" t="str">
        <f t="shared" si="1417"/>
        <v/>
      </c>
      <c r="AB1231" s="1971" t="str">
        <f t="shared" si="1418"/>
        <v>Trigo pastoreo</v>
      </c>
      <c r="AC1231" s="1906">
        <f t="shared" si="1419"/>
        <v>0</v>
      </c>
      <c r="AD1231" s="1906">
        <f t="shared" si="1420"/>
        <v>0</v>
      </c>
      <c r="AE1231" s="1906">
        <f t="shared" si="1421"/>
        <v>0</v>
      </c>
      <c r="AF1231" s="1906">
        <f t="shared" si="1422"/>
        <v>0</v>
      </c>
      <c r="AG1231" s="1906">
        <f t="shared" si="1423"/>
        <v>0</v>
      </c>
      <c r="AH1231" s="1906">
        <f t="shared" si="1424"/>
        <v>0</v>
      </c>
      <c r="AI1231" s="1906">
        <f t="shared" si="1425"/>
        <v>0</v>
      </c>
      <c r="AJ1231" s="1906">
        <f t="shared" si="1426"/>
        <v>0</v>
      </c>
      <c r="AK1231" s="1906">
        <f t="shared" si="1427"/>
        <v>0</v>
      </c>
      <c r="AL1231" s="1906">
        <f t="shared" si="1428"/>
        <v>0</v>
      </c>
      <c r="AM1231" s="1906">
        <f t="shared" si="1429"/>
        <v>0</v>
      </c>
      <c r="AN1231" s="1906">
        <f t="shared" si="1430"/>
        <v>0</v>
      </c>
      <c r="AO1231" s="107"/>
      <c r="AP1231" s="1906"/>
      <c r="AQ1231" s="1906">
        <f t="shared" si="1431"/>
        <v>0</v>
      </c>
      <c r="AR1231" s="1906">
        <f t="shared" si="1432"/>
        <v>0</v>
      </c>
      <c r="AS1231" s="1906">
        <f t="shared" si="1433"/>
        <v>0</v>
      </c>
      <c r="AT1231" s="1906">
        <f t="shared" si="1434"/>
        <v>0</v>
      </c>
      <c r="AU1231" s="1906">
        <f t="shared" si="1435"/>
        <v>0</v>
      </c>
      <c r="AV1231" s="1906">
        <f t="shared" si="1436"/>
        <v>0</v>
      </c>
      <c r="AW1231" s="1906">
        <f t="shared" si="1437"/>
        <v>0</v>
      </c>
      <c r="AX1231" s="1906">
        <f t="shared" si="1438"/>
        <v>0</v>
      </c>
      <c r="AY1231" s="1906">
        <f t="shared" si="1439"/>
        <v>0</v>
      </c>
      <c r="AZ1231" s="1906">
        <f t="shared" si="1440"/>
        <v>0</v>
      </c>
      <c r="BA1231" s="1906">
        <f t="shared" si="1441"/>
        <v>0</v>
      </c>
      <c r="BB1231" s="107"/>
      <c r="BC1231" s="1906">
        <f t="shared" si="1442"/>
        <v>0</v>
      </c>
      <c r="BD1231" s="1906">
        <f t="shared" si="1443"/>
        <v>0</v>
      </c>
      <c r="BE1231" s="1906">
        <f t="shared" si="1444"/>
        <v>0</v>
      </c>
      <c r="BF1231" s="1906">
        <f t="shared" si="1445"/>
        <v>0</v>
      </c>
      <c r="BG1231" s="1906">
        <f t="shared" si="1446"/>
        <v>0</v>
      </c>
      <c r="BH1231" s="1906">
        <f t="shared" si="1447"/>
        <v>0</v>
      </c>
      <c r="BI1231" s="1906">
        <f t="shared" si="1448"/>
        <v>0</v>
      </c>
      <c r="BJ1231" s="1906">
        <f t="shared" si="1449"/>
        <v>0</v>
      </c>
      <c r="BK1231" s="1906">
        <f t="shared" si="1450"/>
        <v>0</v>
      </c>
      <c r="BL1231" s="1906">
        <f t="shared" si="1451"/>
        <v>0</v>
      </c>
      <c r="BM1231" s="1906">
        <f t="shared" si="1452"/>
        <v>0</v>
      </c>
      <c r="BN1231" s="1906">
        <f t="shared" si="1453"/>
        <v>0</v>
      </c>
      <c r="BO1231" s="107"/>
      <c r="BP1231" s="1906">
        <f t="shared" si="1454"/>
        <v>0</v>
      </c>
      <c r="BQ1231" s="1906">
        <f t="shared" si="1455"/>
        <v>0</v>
      </c>
      <c r="BR1231" s="1906">
        <f t="shared" si="1456"/>
        <v>0</v>
      </c>
      <c r="BS1231" s="1906">
        <f t="shared" si="1457"/>
        <v>0</v>
      </c>
      <c r="BT1231" s="1906">
        <f t="shared" si="1458"/>
        <v>0</v>
      </c>
      <c r="BU1231" s="1906">
        <f t="shared" si="1459"/>
        <v>0</v>
      </c>
      <c r="BV1231" s="1906">
        <f t="shared" si="1460"/>
        <v>0</v>
      </c>
      <c r="BW1231" s="1906">
        <f t="shared" si="1461"/>
        <v>0</v>
      </c>
      <c r="BX1231" s="1906">
        <f t="shared" si="1462"/>
        <v>0</v>
      </c>
      <c r="BY1231" s="1906">
        <f t="shared" si="1463"/>
        <v>0</v>
      </c>
      <c r="BZ1231" s="1906">
        <f t="shared" si="1464"/>
        <v>0</v>
      </c>
      <c r="CA1231" s="1906">
        <f t="shared" si="1465"/>
        <v>0</v>
      </c>
      <c r="CB1231" s="107"/>
      <c r="CC1231" s="1906">
        <f t="shared" si="1466"/>
        <v>0</v>
      </c>
      <c r="CD1231" s="1906">
        <f t="shared" si="1467"/>
        <v>0</v>
      </c>
      <c r="CE1231" s="1906">
        <f t="shared" si="1468"/>
        <v>0</v>
      </c>
      <c r="CF1231" s="1906">
        <f t="shared" si="1469"/>
        <v>0</v>
      </c>
      <c r="CG1231" s="1906">
        <f t="shared" si="1470"/>
        <v>0</v>
      </c>
      <c r="CH1231" s="1906">
        <f t="shared" si="1471"/>
        <v>0</v>
      </c>
      <c r="CI1231" s="1906">
        <f t="shared" si="1472"/>
        <v>0</v>
      </c>
      <c r="CJ1231" s="1906">
        <f t="shared" si="1473"/>
        <v>0</v>
      </c>
      <c r="CK1231" s="1906">
        <f t="shared" si="1474"/>
        <v>0</v>
      </c>
      <c r="CL1231" s="1906">
        <f t="shared" si="1475"/>
        <v>0</v>
      </c>
      <c r="CM1231" s="1906">
        <f t="shared" si="1476"/>
        <v>0</v>
      </c>
      <c r="CN1231" s="1906">
        <f t="shared" si="1477"/>
        <v>0</v>
      </c>
      <c r="CO1231" s="107"/>
      <c r="CP1231" s="1906">
        <f t="shared" si="1478"/>
        <v>0</v>
      </c>
      <c r="CQ1231" s="1906">
        <f t="shared" si="1479"/>
        <v>0</v>
      </c>
      <c r="CR1231" s="1906">
        <f t="shared" si="1480"/>
        <v>0</v>
      </c>
      <c r="CS1231" s="1906">
        <f t="shared" si="1481"/>
        <v>0</v>
      </c>
      <c r="CT1231" s="1906">
        <f t="shared" si="1482"/>
        <v>0</v>
      </c>
      <c r="CU1231" s="1906">
        <f t="shared" si="1483"/>
        <v>0</v>
      </c>
      <c r="CV1231" s="1906">
        <f t="shared" si="1484"/>
        <v>0</v>
      </c>
      <c r="CW1231" s="1906">
        <f t="shared" si="1485"/>
        <v>0</v>
      </c>
      <c r="CX1231" s="1906">
        <f t="shared" si="1486"/>
        <v>0</v>
      </c>
      <c r="CY1231" s="1906">
        <f t="shared" si="1487"/>
        <v>0</v>
      </c>
      <c r="CZ1231" s="1906">
        <f t="shared" si="1488"/>
        <v>0</v>
      </c>
      <c r="DA1231" s="1906">
        <f t="shared" si="1489"/>
        <v>0</v>
      </c>
      <c r="DB1231" s="1971" t="str">
        <f t="shared" si="1490"/>
        <v>Trigo pastoreo</v>
      </c>
      <c r="DC1231" s="1906">
        <f t="shared" si="1491"/>
        <v>0</v>
      </c>
      <c r="DD1231" s="1906">
        <f t="shared" si="1492"/>
        <v>0</v>
      </c>
      <c r="DE1231" s="1906">
        <f t="shared" si="1493"/>
        <v>0</v>
      </c>
      <c r="DF1231" s="1906">
        <f t="shared" si="1494"/>
        <v>0</v>
      </c>
      <c r="DG1231" s="1906">
        <f t="shared" si="1495"/>
        <v>0</v>
      </c>
      <c r="DH1231" s="1906">
        <f t="shared" si="1496"/>
        <v>0</v>
      </c>
      <c r="DI1231" s="1906">
        <f t="shared" si="1497"/>
        <v>0</v>
      </c>
      <c r="DJ1231" s="1906">
        <f t="shared" si="1498"/>
        <v>0</v>
      </c>
      <c r="DK1231" s="1906">
        <f t="shared" si="1499"/>
        <v>0</v>
      </c>
      <c r="DL1231" s="1906">
        <f t="shared" si="1500"/>
        <v>0</v>
      </c>
      <c r="DM1231" s="1906">
        <f t="shared" si="1501"/>
        <v>0</v>
      </c>
      <c r="DN1231" s="1906">
        <f t="shared" si="1502"/>
        <v>0</v>
      </c>
      <c r="DO1231" s="595" t="str">
        <f t="shared" si="1503"/>
        <v>Trigo pastoreo</v>
      </c>
      <c r="DP1231" s="1443">
        <f t="shared" si="1504"/>
        <v>0</v>
      </c>
      <c r="DQ1231" s="107"/>
      <c r="DR1231" s="111"/>
      <c r="DS1231" s="1906"/>
      <c r="DT1231" s="1906"/>
      <c r="DU1231" s="1906"/>
      <c r="DV1231" s="1906"/>
      <c r="DW1231" s="1906"/>
      <c r="DX1231" s="1906"/>
      <c r="DY1231" s="1906"/>
      <c r="DZ1231" s="1906"/>
      <c r="EA1231" s="1906"/>
      <c r="EB1231" s="1906"/>
      <c r="EC1231" s="1906"/>
      <c r="ED1231" s="1906"/>
    </row>
    <row r="1232" spans="1:134" x14ac:dyDescent="0.2">
      <c r="A1232" s="107"/>
      <c r="B1232" s="1857" t="str">
        <f t="shared" si="1393"/>
        <v>Cebada pastoreo</v>
      </c>
      <c r="C1232" s="2013">
        <f t="shared" si="1394"/>
        <v>0</v>
      </c>
      <c r="D1232" s="2013">
        <f t="shared" si="1395"/>
        <v>0</v>
      </c>
      <c r="E1232" s="2013">
        <f t="shared" si="1396"/>
        <v>0</v>
      </c>
      <c r="F1232" s="2013">
        <f t="shared" si="1397"/>
        <v>0</v>
      </c>
      <c r="G1232" s="2013">
        <f t="shared" si="1398"/>
        <v>0</v>
      </c>
      <c r="H1232" s="2013">
        <f t="shared" si="1399"/>
        <v>0</v>
      </c>
      <c r="I1232" s="2013">
        <f t="shared" si="1400"/>
        <v>0</v>
      </c>
      <c r="J1232" s="2013">
        <f t="shared" si="1401"/>
        <v>0</v>
      </c>
      <c r="K1232" s="2013">
        <f t="shared" si="1402"/>
        <v>0</v>
      </c>
      <c r="L1232" s="2013">
        <f t="shared" si="1403"/>
        <v>0</v>
      </c>
      <c r="M1232" s="2013">
        <f t="shared" si="1404"/>
        <v>0</v>
      </c>
      <c r="N1232" s="2013">
        <f t="shared" si="1405"/>
        <v>0</v>
      </c>
      <c r="P1232" s="1898" t="str">
        <f t="shared" si="1406"/>
        <v/>
      </c>
      <c r="Q1232" s="1898" t="str">
        <f t="shared" si="1407"/>
        <v/>
      </c>
      <c r="R1232" s="1898" t="str">
        <f t="shared" si="1408"/>
        <v/>
      </c>
      <c r="S1232" s="1898" t="str">
        <f t="shared" si="1409"/>
        <v/>
      </c>
      <c r="T1232" s="1898" t="str">
        <f t="shared" si="1410"/>
        <v/>
      </c>
      <c r="U1232" s="1898" t="str">
        <f t="shared" si="1411"/>
        <v/>
      </c>
      <c r="V1232" s="1898" t="str">
        <f t="shared" si="1412"/>
        <v/>
      </c>
      <c r="W1232" s="1898" t="str">
        <f t="shared" si="1413"/>
        <v/>
      </c>
      <c r="X1232" s="1898" t="str">
        <f t="shared" si="1414"/>
        <v/>
      </c>
      <c r="Y1232" s="1898" t="str">
        <f t="shared" si="1415"/>
        <v/>
      </c>
      <c r="Z1232" s="1898" t="str">
        <f t="shared" si="1416"/>
        <v/>
      </c>
      <c r="AA1232" s="1898" t="str">
        <f t="shared" si="1417"/>
        <v/>
      </c>
      <c r="AB1232" s="1971" t="str">
        <f t="shared" si="1418"/>
        <v>Cebada pastoreo</v>
      </c>
      <c r="AC1232" s="1906">
        <f t="shared" si="1419"/>
        <v>0</v>
      </c>
      <c r="AD1232" s="1906">
        <f t="shared" si="1420"/>
        <v>0</v>
      </c>
      <c r="AE1232" s="1906">
        <f t="shared" si="1421"/>
        <v>0</v>
      </c>
      <c r="AF1232" s="1906">
        <f t="shared" si="1422"/>
        <v>0</v>
      </c>
      <c r="AG1232" s="1906">
        <f t="shared" si="1423"/>
        <v>0</v>
      </c>
      <c r="AH1232" s="1906">
        <f t="shared" si="1424"/>
        <v>0</v>
      </c>
      <c r="AI1232" s="1906">
        <f t="shared" si="1425"/>
        <v>0</v>
      </c>
      <c r="AJ1232" s="1906">
        <f t="shared" si="1426"/>
        <v>0</v>
      </c>
      <c r="AK1232" s="1906">
        <f t="shared" si="1427"/>
        <v>0</v>
      </c>
      <c r="AL1232" s="1906">
        <f t="shared" si="1428"/>
        <v>0</v>
      </c>
      <c r="AM1232" s="1906">
        <f t="shared" si="1429"/>
        <v>0</v>
      </c>
      <c r="AN1232" s="1906">
        <f t="shared" si="1430"/>
        <v>0</v>
      </c>
      <c r="AO1232" s="107"/>
      <c r="AP1232" s="1906"/>
      <c r="AQ1232" s="1906">
        <f t="shared" si="1431"/>
        <v>0</v>
      </c>
      <c r="AR1232" s="1906">
        <f t="shared" si="1432"/>
        <v>0</v>
      </c>
      <c r="AS1232" s="1906">
        <f t="shared" si="1433"/>
        <v>0</v>
      </c>
      <c r="AT1232" s="1906">
        <f t="shared" si="1434"/>
        <v>0</v>
      </c>
      <c r="AU1232" s="1906">
        <f t="shared" si="1435"/>
        <v>0</v>
      </c>
      <c r="AV1232" s="1906">
        <f t="shared" si="1436"/>
        <v>0</v>
      </c>
      <c r="AW1232" s="1906">
        <f t="shared" si="1437"/>
        <v>0</v>
      </c>
      <c r="AX1232" s="1906">
        <f t="shared" si="1438"/>
        <v>0</v>
      </c>
      <c r="AY1232" s="1906">
        <f t="shared" si="1439"/>
        <v>0</v>
      </c>
      <c r="AZ1232" s="1906">
        <f t="shared" si="1440"/>
        <v>0</v>
      </c>
      <c r="BA1232" s="1906">
        <f t="shared" si="1441"/>
        <v>0</v>
      </c>
      <c r="BB1232" s="107"/>
      <c r="BC1232" s="1906">
        <f t="shared" si="1442"/>
        <v>0</v>
      </c>
      <c r="BD1232" s="1906">
        <f t="shared" si="1443"/>
        <v>0</v>
      </c>
      <c r="BE1232" s="1906">
        <f t="shared" si="1444"/>
        <v>0</v>
      </c>
      <c r="BF1232" s="1906">
        <f t="shared" si="1445"/>
        <v>0</v>
      </c>
      <c r="BG1232" s="1906">
        <f t="shared" si="1446"/>
        <v>0</v>
      </c>
      <c r="BH1232" s="1906">
        <f t="shared" si="1447"/>
        <v>0</v>
      </c>
      <c r="BI1232" s="1906">
        <f t="shared" si="1448"/>
        <v>0</v>
      </c>
      <c r="BJ1232" s="1906">
        <f t="shared" si="1449"/>
        <v>0</v>
      </c>
      <c r="BK1232" s="1906">
        <f t="shared" si="1450"/>
        <v>0</v>
      </c>
      <c r="BL1232" s="1906">
        <f t="shared" si="1451"/>
        <v>0</v>
      </c>
      <c r="BM1232" s="1906">
        <f t="shared" si="1452"/>
        <v>0</v>
      </c>
      <c r="BN1232" s="1906">
        <f t="shared" si="1453"/>
        <v>0</v>
      </c>
      <c r="BO1232" s="107"/>
      <c r="BP1232" s="1906">
        <f t="shared" si="1454"/>
        <v>0</v>
      </c>
      <c r="BQ1232" s="1906">
        <f t="shared" si="1455"/>
        <v>0</v>
      </c>
      <c r="BR1232" s="1906">
        <f t="shared" si="1456"/>
        <v>0</v>
      </c>
      <c r="BS1232" s="1906">
        <f t="shared" si="1457"/>
        <v>0</v>
      </c>
      <c r="BT1232" s="1906">
        <f t="shared" si="1458"/>
        <v>0</v>
      </c>
      <c r="BU1232" s="1906">
        <f t="shared" si="1459"/>
        <v>0</v>
      </c>
      <c r="BV1232" s="1906">
        <f t="shared" si="1460"/>
        <v>0</v>
      </c>
      <c r="BW1232" s="1906">
        <f t="shared" si="1461"/>
        <v>0</v>
      </c>
      <c r="BX1232" s="1906">
        <f t="shared" si="1462"/>
        <v>0</v>
      </c>
      <c r="BY1232" s="1906">
        <f t="shared" si="1463"/>
        <v>0</v>
      </c>
      <c r="BZ1232" s="1906">
        <f t="shared" si="1464"/>
        <v>0</v>
      </c>
      <c r="CA1232" s="1906">
        <f t="shared" si="1465"/>
        <v>0</v>
      </c>
      <c r="CB1232" s="107"/>
      <c r="CC1232" s="1906">
        <f t="shared" si="1466"/>
        <v>0</v>
      </c>
      <c r="CD1232" s="1906">
        <f t="shared" si="1467"/>
        <v>0</v>
      </c>
      <c r="CE1232" s="1906">
        <f t="shared" si="1468"/>
        <v>0</v>
      </c>
      <c r="CF1232" s="1906">
        <f t="shared" si="1469"/>
        <v>0</v>
      </c>
      <c r="CG1232" s="1906">
        <f t="shared" si="1470"/>
        <v>0</v>
      </c>
      <c r="CH1232" s="1906">
        <f t="shared" si="1471"/>
        <v>0</v>
      </c>
      <c r="CI1232" s="1906">
        <f t="shared" si="1472"/>
        <v>0</v>
      </c>
      <c r="CJ1232" s="1906">
        <f t="shared" si="1473"/>
        <v>0</v>
      </c>
      <c r="CK1232" s="1906">
        <f t="shared" si="1474"/>
        <v>0</v>
      </c>
      <c r="CL1232" s="1906">
        <f t="shared" si="1475"/>
        <v>0</v>
      </c>
      <c r="CM1232" s="1906">
        <f t="shared" si="1476"/>
        <v>0</v>
      </c>
      <c r="CN1232" s="1906">
        <f t="shared" si="1477"/>
        <v>0</v>
      </c>
      <c r="CO1232" s="107"/>
      <c r="CP1232" s="1906">
        <f t="shared" si="1478"/>
        <v>0</v>
      </c>
      <c r="CQ1232" s="1906">
        <f t="shared" si="1479"/>
        <v>0</v>
      </c>
      <c r="CR1232" s="1906">
        <f t="shared" si="1480"/>
        <v>0</v>
      </c>
      <c r="CS1232" s="1906">
        <f t="shared" si="1481"/>
        <v>0</v>
      </c>
      <c r="CT1232" s="1906">
        <f t="shared" si="1482"/>
        <v>0</v>
      </c>
      <c r="CU1232" s="1906">
        <f t="shared" si="1483"/>
        <v>0</v>
      </c>
      <c r="CV1232" s="1906">
        <f t="shared" si="1484"/>
        <v>0</v>
      </c>
      <c r="CW1232" s="1906">
        <f t="shared" si="1485"/>
        <v>0</v>
      </c>
      <c r="CX1232" s="1906">
        <f t="shared" si="1486"/>
        <v>0</v>
      </c>
      <c r="CY1232" s="1906">
        <f t="shared" si="1487"/>
        <v>0</v>
      </c>
      <c r="CZ1232" s="1906">
        <f t="shared" si="1488"/>
        <v>0</v>
      </c>
      <c r="DA1232" s="1906">
        <f t="shared" si="1489"/>
        <v>0</v>
      </c>
      <c r="DB1232" s="1971" t="str">
        <f t="shared" si="1490"/>
        <v>Cebada pastoreo</v>
      </c>
      <c r="DC1232" s="1906">
        <f t="shared" si="1491"/>
        <v>0</v>
      </c>
      <c r="DD1232" s="1906">
        <f t="shared" si="1492"/>
        <v>0</v>
      </c>
      <c r="DE1232" s="1906">
        <f t="shared" si="1493"/>
        <v>0</v>
      </c>
      <c r="DF1232" s="1906">
        <f t="shared" si="1494"/>
        <v>0</v>
      </c>
      <c r="DG1232" s="1906">
        <f t="shared" si="1495"/>
        <v>0</v>
      </c>
      <c r="DH1232" s="1906">
        <f t="shared" si="1496"/>
        <v>0</v>
      </c>
      <c r="DI1232" s="1906">
        <f t="shared" si="1497"/>
        <v>0</v>
      </c>
      <c r="DJ1232" s="1906">
        <f t="shared" si="1498"/>
        <v>0</v>
      </c>
      <c r="DK1232" s="1906">
        <f t="shared" si="1499"/>
        <v>0</v>
      </c>
      <c r="DL1232" s="1906">
        <f t="shared" si="1500"/>
        <v>0</v>
      </c>
      <c r="DM1232" s="1906">
        <f t="shared" si="1501"/>
        <v>0</v>
      </c>
      <c r="DN1232" s="1906">
        <f t="shared" si="1502"/>
        <v>0</v>
      </c>
      <c r="DO1232" s="595" t="str">
        <f t="shared" si="1503"/>
        <v>Cebada pastoreo</v>
      </c>
      <c r="DP1232" s="1443">
        <f t="shared" si="1504"/>
        <v>0</v>
      </c>
      <c r="DQ1232" s="107"/>
      <c r="DR1232" s="111"/>
      <c r="DS1232" s="1906"/>
      <c r="DT1232" s="1906"/>
      <c r="DU1232" s="1906"/>
      <c r="DV1232" s="1906"/>
      <c r="DW1232" s="1906"/>
      <c r="DX1232" s="1906"/>
      <c r="DY1232" s="1906"/>
      <c r="DZ1232" s="1906"/>
      <c r="EA1232" s="1906"/>
      <c r="EB1232" s="1906"/>
      <c r="EC1232" s="1906"/>
      <c r="ED1232" s="1906"/>
    </row>
    <row r="1233" spans="1:134" x14ac:dyDescent="0.2">
      <c r="A1233" s="107"/>
      <c r="B1233" s="1857" t="str">
        <f t="shared" ref="B1233:B1264" si="1505">B1015</f>
        <v>InterS. Rg</v>
      </c>
      <c r="C1233" s="2013">
        <f t="shared" ref="C1233:C1267" si="1506">IF($B1233&lt;&gt;0,SUMIFS($C$9:$C$98,$D$9:$D$98,$D$640,$E$889:$E$978,$B1233),0)</f>
        <v>0</v>
      </c>
      <c r="D1233" s="2013">
        <f t="shared" ref="D1233:D1267" si="1507">IF($B1233&lt;&gt;0,SUMIFS($C$9:$C$98,$D$9:$D$98,$D$640,$F$889:$F$978,$B1233),0)</f>
        <v>0</v>
      </c>
      <c r="E1233" s="2013">
        <f t="shared" ref="E1233:E1267" si="1508">IF($B1233&lt;&gt;0,SUMIFS($C$9:$C$98,$D$9:$D$98,$D$640,$G$889:$G$978,$B1233),0)</f>
        <v>0</v>
      </c>
      <c r="F1233" s="2013">
        <f t="shared" ref="F1233:F1267" si="1509">IF($B1233&lt;&gt;0,SUMIFS($C$9:$C$98,$D$9:$D$98,$D$640,$H$889:$H$978,$B1233),0)</f>
        <v>0</v>
      </c>
      <c r="G1233" s="2013">
        <f t="shared" ref="G1233:G1267" si="1510">IF($B1233&lt;&gt;0,SUMIFS($C$9:$C$98,$D$9:$D$98,$D$640,$I$889:$I$978,$B1233),0)</f>
        <v>0</v>
      </c>
      <c r="H1233" s="2013">
        <f t="shared" ref="H1233:H1267" si="1511">IF($B1233&lt;&gt;0,SUMIFS($C$9:$C$98,$D$9:$D$98,$D$640,$J$889:$J$978,$B1233),0)</f>
        <v>0</v>
      </c>
      <c r="I1233" s="2013">
        <f t="shared" ref="I1233:I1267" si="1512">IF($B1233&lt;&gt;0,SUMIFS($C$9:$C$98,$D$9:$D$98,$D$640,$K$889:$K$978,$B1233),0)</f>
        <v>0</v>
      </c>
      <c r="J1233" s="2013">
        <f t="shared" ref="J1233:J1267" si="1513">IF($B1233&lt;&gt;0,SUMIFS($C$9:$C$98,$D$9:$D$98,$D$640,$L$889:$L$978,$B1233),0)</f>
        <v>0</v>
      </c>
      <c r="K1233" s="2013">
        <f t="shared" ref="K1233:K1267" si="1514">IF($B1233&lt;&gt;0,SUMIFS($C$9:$C$98,$D$9:$D$98,$D$640,$M$889:$M$978,$B1233),0)</f>
        <v>0</v>
      </c>
      <c r="L1233" s="2013">
        <f t="shared" ref="L1233:L1267" si="1515">IF($B1233&lt;&gt;0,SUMIFS($C$9:$C$98,$D$9:$D$98,$D$640,$N$889:$N$978,$B1233),0)</f>
        <v>0</v>
      </c>
      <c r="M1233" s="2013">
        <f t="shared" ref="M1233:M1267" si="1516">IF($B1233&lt;&gt;0,SUMIFS($C$9:$C$98,$D$9:$D$98,$D$640,$O$889:$O$978,$B1233),0)</f>
        <v>0</v>
      </c>
      <c r="N1233" s="2013">
        <f t="shared" ref="N1233:N1267" si="1517">IF($B1233&lt;&gt;0,SUMIFS($C$9:$C$98,$D$9:$D$98,$D$640,$P$889:$P$978,$B1233),0)</f>
        <v>0</v>
      </c>
      <c r="P1233" s="1898" t="str">
        <f t="shared" ref="P1233:P1267" si="1518">IF(C1233=0,"",$C$982&amp;B1233)</f>
        <v/>
      </c>
      <c r="Q1233" s="1898" t="str">
        <f t="shared" ref="Q1233:Q1267" si="1519">IF(D1233=0,"",$D$982&amp;B1233)</f>
        <v/>
      </c>
      <c r="R1233" s="1898" t="str">
        <f t="shared" ref="R1233:R1267" si="1520">IF(E1233=0,"",$E$982&amp;B1233)</f>
        <v/>
      </c>
      <c r="S1233" s="1898" t="str">
        <f t="shared" ref="S1233:S1267" si="1521">IF(F1233=0,"",$F$982&amp;B1233)</f>
        <v/>
      </c>
      <c r="T1233" s="1898" t="str">
        <f t="shared" ref="T1233:T1267" si="1522">IF(G1233=0,"",$G$982&amp;B1233)</f>
        <v/>
      </c>
      <c r="U1233" s="1898" t="str">
        <f t="shared" ref="U1233:U1267" si="1523">IF(H1233=0,"",$H$982&amp;B1233)</f>
        <v/>
      </c>
      <c r="V1233" s="1898" t="str">
        <f t="shared" ref="V1233:V1267" si="1524">IF(I1233=0,"",$I$982&amp;B1233)</f>
        <v/>
      </c>
      <c r="W1233" s="1898" t="str">
        <f t="shared" ref="W1233:W1267" si="1525">IF(J1233=0,"",$J$982&amp;B1233)</f>
        <v/>
      </c>
      <c r="X1233" s="1898" t="str">
        <f t="shared" ref="X1233:X1267" si="1526">IF(K1233=0,"",$K$982&amp;B1233)</f>
        <v/>
      </c>
      <c r="Y1233" s="1898" t="str">
        <f t="shared" ref="Y1233:Y1267" si="1527">IF(L1233=0,"",$L$982&amp;B1233)</f>
        <v/>
      </c>
      <c r="Z1233" s="1898" t="str">
        <f t="shared" ref="Z1233:Z1267" si="1528">IF(M1233=0,"",$M$982&amp;B1233)</f>
        <v/>
      </c>
      <c r="AA1233" s="1898" t="str">
        <f t="shared" ref="AA1233:AA1267" si="1529">IF(N1233=0,"",$N$982&amp;B1233)</f>
        <v/>
      </c>
      <c r="AB1233" s="1971" t="str">
        <f t="shared" ref="AB1233:AB1267" si="1530">+DB1233</f>
        <v>InterS. Rg</v>
      </c>
      <c r="AC1233" s="1906">
        <f t="shared" ref="AC1233:AC1267" si="1531">SUMIF(P$1201:P$1267,"Ago"&amp;$B1233,C$1201:C$1267)</f>
        <v>0</v>
      </c>
      <c r="AD1233" s="1906">
        <f t="shared" ref="AD1233:AD1267" si="1532">SUMIF(Q$1201:Q$1267,"Ago"&amp;$B1233,D$1201:D$1267)</f>
        <v>0</v>
      </c>
      <c r="AE1233" s="1906">
        <f t="shared" ref="AE1233:AE1267" si="1533">SUMIF(R$1201:R$1267,"Ago"&amp;$B1233,E$1201:E$1267)</f>
        <v>0</v>
      </c>
      <c r="AF1233" s="1906">
        <f t="shared" ref="AF1233:AF1267" si="1534">SUMIF(S$1201:S$1267,"Ago"&amp;$B1233,F$1201:F$1267)</f>
        <v>0</v>
      </c>
      <c r="AG1233" s="1906">
        <f t="shared" ref="AG1233:AG1267" si="1535">SUMIF(T$1201:T$1267,"Ago"&amp;$B1233,G$1201:G$1267)</f>
        <v>0</v>
      </c>
      <c r="AH1233" s="1906">
        <f t="shared" ref="AH1233:AH1267" si="1536">SUMIF(U$1201:U$1267,"Ago"&amp;$B1233,H$1201:H$1267)</f>
        <v>0</v>
      </c>
      <c r="AI1233" s="1906">
        <f t="shared" ref="AI1233:AI1267" si="1537">SUMIF(V$1201:V$1267,"Ago"&amp;$B1233,I$1201:I$1267)</f>
        <v>0</v>
      </c>
      <c r="AJ1233" s="1906">
        <f t="shared" ref="AJ1233:AJ1267" si="1538">SUMIF(W$1201:W$1267,"Ago"&amp;$B1233,J$1201:J$1267)</f>
        <v>0</v>
      </c>
      <c r="AK1233" s="1906">
        <f t="shared" ref="AK1233:AK1267" si="1539">SUMIF(X$1201:X$1267,"Ago"&amp;$B1233,K$1201:K$1267)</f>
        <v>0</v>
      </c>
      <c r="AL1233" s="1906">
        <f t="shared" ref="AL1233:AL1267" si="1540">SUMIF(Y$1201:Y$1267,"Ago"&amp;$B1233,L$1201:L$1267)</f>
        <v>0</v>
      </c>
      <c r="AM1233" s="1906">
        <f t="shared" ref="AM1233:AM1267" si="1541">SUMIF(Z$1201:Z$1267,"Ago"&amp;$B1233,M$1201:M$1267)</f>
        <v>0</v>
      </c>
      <c r="AN1233" s="1906">
        <f t="shared" ref="AN1233:AN1267" si="1542">SUMIF(AA$1201:AA$1267,"Ago"&amp;$B1233,N$1201:N$1267)</f>
        <v>0</v>
      </c>
      <c r="AO1233" s="107"/>
      <c r="AP1233" s="1906"/>
      <c r="AQ1233" s="1906">
        <f t="shared" ref="AQ1233:AQ1267" si="1543">SUMIF(Q$1201:Q$1267,"set"&amp;$B1233,D$1201:D$1267)</f>
        <v>0</v>
      </c>
      <c r="AR1233" s="1906">
        <f t="shared" ref="AR1233:AR1267" si="1544">SUMIF(R$1201:R$1267,"set"&amp;$B1233,E$1201:E$1267)</f>
        <v>0</v>
      </c>
      <c r="AS1233" s="1906">
        <f t="shared" ref="AS1233:AS1267" si="1545">SUMIF(S$1201:S$1267,"set"&amp;$B1233,F$1201:F$1267)</f>
        <v>0</v>
      </c>
      <c r="AT1233" s="1906">
        <f t="shared" ref="AT1233:AT1267" si="1546">SUMIF(T$1201:T$1267,"set"&amp;$B1233,G$1201:G$1267)</f>
        <v>0</v>
      </c>
      <c r="AU1233" s="1906">
        <f t="shared" ref="AU1233:AU1267" si="1547">SUMIF(U$1201:U$1267,"set"&amp;$B1233,H$1201:H$1267)</f>
        <v>0</v>
      </c>
      <c r="AV1233" s="1906">
        <f t="shared" ref="AV1233:AV1267" si="1548">SUMIF(V$1201:V$1267,"set"&amp;$B1233,I$1201:I$1267)</f>
        <v>0</v>
      </c>
      <c r="AW1233" s="1906">
        <f t="shared" ref="AW1233:AW1267" si="1549">SUMIF(W$1201:W$1267,"set"&amp;$B1233,J$1201:J$1267)</f>
        <v>0</v>
      </c>
      <c r="AX1233" s="1906">
        <f t="shared" ref="AX1233:AX1267" si="1550">SUMIF(X$1201:X$1267,"set"&amp;$B1233,K$1201:K$1267)</f>
        <v>0</v>
      </c>
      <c r="AY1233" s="1906">
        <f t="shared" ref="AY1233:AY1267" si="1551">SUMIF(Y$1201:Y$1267,"set"&amp;$B1233,L$1201:L$1267)</f>
        <v>0</v>
      </c>
      <c r="AZ1233" s="1906">
        <f t="shared" ref="AZ1233:AZ1267" si="1552">SUMIF(Z$1201:Z$1267,"set"&amp;$B1233,M$1201:M$1267)</f>
        <v>0</v>
      </c>
      <c r="BA1233" s="1906">
        <f t="shared" ref="BA1233:BA1267" si="1553">SUMIF(AA$1201:AA$1267,"set"&amp;$B1233,N$1201:N$1267)</f>
        <v>0</v>
      </c>
      <c r="BB1233" s="107"/>
      <c r="BC1233" s="1906">
        <f t="shared" ref="BC1233:BC1267" si="1554">SUMIF(P$1201:P$1267,"oct"&amp;$B1233,C$1201:C$1267)</f>
        <v>0</v>
      </c>
      <c r="BD1233" s="1906">
        <f t="shared" ref="BD1233:BD1267" si="1555">SUMIF(Q$1201:Q$1267,"oct"&amp;$B1233,D$1201:D$1267)</f>
        <v>0</v>
      </c>
      <c r="BE1233" s="1906">
        <f t="shared" ref="BE1233:BE1267" si="1556">SUMIF(R$1201:R$1267,"oct"&amp;$B1233,E$1201:E$1267)</f>
        <v>0</v>
      </c>
      <c r="BF1233" s="1906">
        <f t="shared" ref="BF1233:BF1267" si="1557">SUMIF(S$1201:S$1267,"oct"&amp;$B1233,F$1201:F$1267)</f>
        <v>0</v>
      </c>
      <c r="BG1233" s="1906">
        <f t="shared" ref="BG1233:BG1267" si="1558">SUMIF(T$1201:T$1267,"oct"&amp;$B1233,G$1201:G$1267)</f>
        <v>0</v>
      </c>
      <c r="BH1233" s="1906">
        <f t="shared" ref="BH1233:BH1267" si="1559">SUMIF(U$1201:U$1267,"oct"&amp;$B1233,H$1201:H$1267)</f>
        <v>0</v>
      </c>
      <c r="BI1233" s="1906">
        <f t="shared" ref="BI1233:BI1267" si="1560">SUMIF(V$1201:V$1267,"oct"&amp;$B1233,I$1201:I$1267)</f>
        <v>0</v>
      </c>
      <c r="BJ1233" s="1906">
        <f t="shared" ref="BJ1233:BJ1267" si="1561">SUMIF(W$1201:W$1267,"oct"&amp;$B1233,J$1201:J$1267)</f>
        <v>0</v>
      </c>
      <c r="BK1233" s="1906">
        <f t="shared" ref="BK1233:BK1267" si="1562">SUMIF(X$1201:X$1267,"oct"&amp;$B1233,K$1201:K$1267)</f>
        <v>0</v>
      </c>
      <c r="BL1233" s="1906">
        <f t="shared" ref="BL1233:BL1267" si="1563">SUMIF(Y$1201:Y$1267,"oct"&amp;$B1233,L$1201:L$1267)</f>
        <v>0</v>
      </c>
      <c r="BM1233" s="1906">
        <f t="shared" ref="BM1233:BM1267" si="1564">SUMIF(Z$1201:Z$1267,"oct"&amp;$B1233,M$1201:M$1267)</f>
        <v>0</v>
      </c>
      <c r="BN1233" s="1906">
        <f t="shared" ref="BN1233:BN1267" si="1565">SUMIF(AA$1201:AA$1267,"oct"&amp;$B1233,N$1201:N$1267)</f>
        <v>0</v>
      </c>
      <c r="BO1233" s="107"/>
      <c r="BP1233" s="1906">
        <f t="shared" ref="BP1233:BP1267" si="1566">SUMIF(P$1201:P$1267,"nov"&amp;$B1233,C$1201:C$1267)</f>
        <v>0</v>
      </c>
      <c r="BQ1233" s="1906">
        <f t="shared" ref="BQ1233:BQ1267" si="1567">SUMIF(Q$1201:Q$1267,"nov"&amp;$B1233,D$1201:D$1267)</f>
        <v>0</v>
      </c>
      <c r="BR1233" s="1906">
        <f t="shared" ref="BR1233:BR1267" si="1568">SUMIF(R$1201:R$1267,"nov"&amp;$B1233,E$1201:E$1267)</f>
        <v>0</v>
      </c>
      <c r="BS1233" s="1906">
        <f t="shared" ref="BS1233:BS1267" si="1569">SUMIF(S$1201:S$1267,"nov"&amp;$B1233,F$1201:F$1267)</f>
        <v>0</v>
      </c>
      <c r="BT1233" s="1906">
        <f t="shared" ref="BT1233:BT1267" si="1570">SUMIF(T$1201:T$1267,"nov"&amp;$B1233,G$1201:G$1267)</f>
        <v>0</v>
      </c>
      <c r="BU1233" s="1906">
        <f t="shared" ref="BU1233:BU1267" si="1571">SUMIF(U$1201:U$1267,"nov"&amp;$B1233,H$1201:H$1267)</f>
        <v>0</v>
      </c>
      <c r="BV1233" s="1906">
        <f t="shared" ref="BV1233:BV1267" si="1572">SUMIF(V$1201:V$1267,"nov"&amp;$B1233,I$1201:I$1267)</f>
        <v>0</v>
      </c>
      <c r="BW1233" s="1906">
        <f t="shared" ref="BW1233:BW1267" si="1573">SUMIF(W$1201:W$1267,"nov"&amp;$B1233,J$1201:J$1267)</f>
        <v>0</v>
      </c>
      <c r="BX1233" s="1906">
        <f t="shared" ref="BX1233:BX1267" si="1574">SUMIF(X$1201:X$1267,"nov"&amp;$B1233,K$1201:K$1267)</f>
        <v>0</v>
      </c>
      <c r="BY1233" s="1906">
        <f t="shared" ref="BY1233:BY1267" si="1575">SUMIF(Y$1201:Y$1267,"nov"&amp;$B1233,L$1201:L$1267)</f>
        <v>0</v>
      </c>
      <c r="BZ1233" s="1906">
        <f t="shared" ref="BZ1233:BZ1267" si="1576">SUMIF(Z$1201:Z$1267,"nov"&amp;$B1233,M$1201:M$1267)</f>
        <v>0</v>
      </c>
      <c r="CA1233" s="1906">
        <f t="shared" ref="CA1233:CA1267" si="1577">SUMIF(AA$1201:AA$1267,"nov"&amp;$B1233,N$1201:N$1267)</f>
        <v>0</v>
      </c>
      <c r="CB1233" s="107"/>
      <c r="CC1233" s="1906">
        <f t="shared" ref="CC1233:CC1267" si="1578">SUMIF(P$1201:P$1267,"dic"&amp;$B1233,C$1201:C$1267)</f>
        <v>0</v>
      </c>
      <c r="CD1233" s="1906">
        <f t="shared" ref="CD1233:CD1267" si="1579">SUMIF(Q$1201:Q$1267,"dic"&amp;$B1233,D$1201:D$1267)</f>
        <v>0</v>
      </c>
      <c r="CE1233" s="1906">
        <f t="shared" ref="CE1233:CE1267" si="1580">SUMIF(R$1201:R$1267,"dic"&amp;$B1233,E$1201:E$1267)</f>
        <v>0</v>
      </c>
      <c r="CF1233" s="1906">
        <f t="shared" ref="CF1233:CF1267" si="1581">SUMIF(S$1201:S$1267,"dic"&amp;$B1233,F$1201:F$1267)</f>
        <v>0</v>
      </c>
      <c r="CG1233" s="1906">
        <f t="shared" ref="CG1233:CG1267" si="1582">SUMIF(T$1201:T$1267,"dic"&amp;$B1233,G$1201:G$1267)</f>
        <v>0</v>
      </c>
      <c r="CH1233" s="1906">
        <f t="shared" ref="CH1233:CH1267" si="1583">SUMIF(U$1201:U$1267,"dic"&amp;$B1233,H$1201:H$1267)</f>
        <v>0</v>
      </c>
      <c r="CI1233" s="1906">
        <f t="shared" ref="CI1233:CI1267" si="1584">SUMIF(V$1201:V$1267,"dic"&amp;$B1233,I$1201:I$1267)</f>
        <v>0</v>
      </c>
      <c r="CJ1233" s="1906">
        <f t="shared" ref="CJ1233:CJ1267" si="1585">SUMIF(W$1201:W$1267,"dic"&amp;$B1233,J$1201:J$1267)</f>
        <v>0</v>
      </c>
      <c r="CK1233" s="1906">
        <f t="shared" ref="CK1233:CK1267" si="1586">SUMIF(X$1201:X$1267,"dic"&amp;$B1233,K$1201:K$1267)</f>
        <v>0</v>
      </c>
      <c r="CL1233" s="1906">
        <f t="shared" ref="CL1233:CL1267" si="1587">SUMIF(Y$1201:Y$1267,"dic"&amp;$B1233,L$1201:L$1267)</f>
        <v>0</v>
      </c>
      <c r="CM1233" s="1906">
        <f t="shared" ref="CM1233:CM1267" si="1588">SUMIF(Z$1201:Z$1267,"dic"&amp;$B1233,M$1201:M$1267)</f>
        <v>0</v>
      </c>
      <c r="CN1233" s="1906">
        <f t="shared" ref="CN1233:CN1267" si="1589">SUMIF(AA$1201:AA$1267,"dic"&amp;$B1233,N$1201:N$1267)</f>
        <v>0</v>
      </c>
      <c r="CO1233" s="107"/>
      <c r="CP1233" s="1906">
        <f t="shared" ref="CP1233:CP1267" si="1590">SUMIF(P$1201:P$1267,"ene"&amp;$B1233,C$1201:C$1267)</f>
        <v>0</v>
      </c>
      <c r="CQ1233" s="1906">
        <f t="shared" ref="CQ1233:CQ1267" si="1591">SUMIF(Q$1201:Q$1267,"ene"&amp;$B1233,D$1201:D$1267)</f>
        <v>0</v>
      </c>
      <c r="CR1233" s="1906">
        <f t="shared" ref="CR1233:CR1267" si="1592">SUMIF(R$1201:R$1267,"ene"&amp;$B1233,E$1201:E$1267)</f>
        <v>0</v>
      </c>
      <c r="CS1233" s="1906">
        <f t="shared" ref="CS1233:CS1267" si="1593">SUMIF(S$1201:S$1267,"ene"&amp;$B1233,F$1201:F$1267)</f>
        <v>0</v>
      </c>
      <c r="CT1233" s="1906">
        <f t="shared" ref="CT1233:CT1267" si="1594">SUMIF(T$1201:T$1267,"ene"&amp;$B1233,G$1201:G$1267)</f>
        <v>0</v>
      </c>
      <c r="CU1233" s="1906">
        <f t="shared" ref="CU1233:CU1267" si="1595">SUMIF(U$1201:U$1267,"ene"&amp;$B1233,H$1201:H$1267)</f>
        <v>0</v>
      </c>
      <c r="CV1233" s="1906">
        <f t="shared" ref="CV1233:CV1267" si="1596">SUMIF(V$1201:V$1267,"ene"&amp;$B1233,I$1201:I$1267)</f>
        <v>0</v>
      </c>
      <c r="CW1233" s="1906">
        <f t="shared" ref="CW1233:CW1267" si="1597">SUMIF(W$1201:W$1267,"ene"&amp;$B1233,J$1201:J$1267)</f>
        <v>0</v>
      </c>
      <c r="CX1233" s="1906">
        <f t="shared" ref="CX1233:CX1267" si="1598">SUMIF(X$1201:X$1267,"ene"&amp;$B1233,K$1201:K$1267)</f>
        <v>0</v>
      </c>
      <c r="CY1233" s="1906">
        <f t="shared" ref="CY1233:CY1267" si="1599">SUMIF(Y$1201:Y$1267,"ene"&amp;$B1233,L$1201:L$1267)</f>
        <v>0</v>
      </c>
      <c r="CZ1233" s="1906">
        <f t="shared" ref="CZ1233:CZ1267" si="1600">SUMIF(Z$1201:Z$1267,"ene"&amp;$B1233,M$1201:M$1267)</f>
        <v>0</v>
      </c>
      <c r="DA1233" s="1906">
        <f t="shared" ref="DA1233:DA1267" si="1601">SUMIF(AA$1201:AA$1267,"ene"&amp;$B1233,N$1201:N$1267)</f>
        <v>0</v>
      </c>
      <c r="DB1233" s="1971" t="str">
        <f t="shared" ref="DB1233:DB1267" si="1602">B1233</f>
        <v>InterS. Rg</v>
      </c>
      <c r="DC1233" s="1906">
        <f t="shared" ref="DC1233:DC1267" si="1603">CP1233+CC1233+BP1233+BC1233+AP1233+AC1233</f>
        <v>0</v>
      </c>
      <c r="DD1233" s="1906">
        <f t="shared" ref="DD1233:DD1267" si="1604">CQ1233+CD1233+BQ1233+BD1233+AQ1233+AD1233</f>
        <v>0</v>
      </c>
      <c r="DE1233" s="1906">
        <f t="shared" ref="DE1233:DE1267" si="1605">CR1233+CE1233+BR1233+BE1233+AR1233+AE1233</f>
        <v>0</v>
      </c>
      <c r="DF1233" s="1906">
        <f t="shared" ref="DF1233:DF1267" si="1606">CS1233+CF1233+BS1233+BF1233+AS1233+AF1233</f>
        <v>0</v>
      </c>
      <c r="DG1233" s="1906">
        <f t="shared" si="1495"/>
        <v>0</v>
      </c>
      <c r="DH1233" s="1906">
        <f t="shared" si="1496"/>
        <v>0</v>
      </c>
      <c r="DI1233" s="1906">
        <f t="shared" si="1497"/>
        <v>0</v>
      </c>
      <c r="DJ1233" s="1906">
        <f t="shared" si="1498"/>
        <v>0</v>
      </c>
      <c r="DK1233" s="1906">
        <f t="shared" si="1499"/>
        <v>0</v>
      </c>
      <c r="DL1233" s="1906">
        <f t="shared" si="1500"/>
        <v>0</v>
      </c>
      <c r="DM1233" s="1906">
        <f t="shared" si="1501"/>
        <v>0</v>
      </c>
      <c r="DN1233" s="1906">
        <f t="shared" si="1502"/>
        <v>0</v>
      </c>
      <c r="DO1233" s="595" t="str">
        <f t="shared" si="1503"/>
        <v>InterS. Rg</v>
      </c>
      <c r="DP1233" s="1443">
        <f t="shared" si="1504"/>
        <v>0</v>
      </c>
      <c r="DQ1233" s="107"/>
      <c r="DR1233" s="111"/>
      <c r="DS1233" s="1906"/>
      <c r="DT1233" s="1906"/>
      <c r="DU1233" s="1906"/>
      <c r="DV1233" s="1906"/>
      <c r="DW1233" s="1906"/>
      <c r="DX1233" s="1906"/>
      <c r="DY1233" s="1906"/>
      <c r="DZ1233" s="1906"/>
      <c r="EA1233" s="1906"/>
      <c r="EB1233" s="1906"/>
      <c r="EC1233" s="1906"/>
      <c r="ED1233" s="1906"/>
    </row>
    <row r="1234" spans="1:134" x14ac:dyDescent="0.2">
      <c r="A1234" s="107"/>
      <c r="B1234" s="1857">
        <f t="shared" si="1505"/>
        <v>0</v>
      </c>
      <c r="C1234" s="2013">
        <f t="shared" si="1506"/>
        <v>0</v>
      </c>
      <c r="D1234" s="2013">
        <f t="shared" si="1507"/>
        <v>0</v>
      </c>
      <c r="E1234" s="2013">
        <f t="shared" si="1508"/>
        <v>0</v>
      </c>
      <c r="F1234" s="2013">
        <f t="shared" si="1509"/>
        <v>0</v>
      </c>
      <c r="G1234" s="2013">
        <f t="shared" si="1510"/>
        <v>0</v>
      </c>
      <c r="H1234" s="2013">
        <f t="shared" si="1511"/>
        <v>0</v>
      </c>
      <c r="I1234" s="2013">
        <f t="shared" si="1512"/>
        <v>0</v>
      </c>
      <c r="J1234" s="2013">
        <f t="shared" si="1513"/>
        <v>0</v>
      </c>
      <c r="K1234" s="2013">
        <f t="shared" si="1514"/>
        <v>0</v>
      </c>
      <c r="L1234" s="2013">
        <f t="shared" si="1515"/>
        <v>0</v>
      </c>
      <c r="M1234" s="2013">
        <f t="shared" si="1516"/>
        <v>0</v>
      </c>
      <c r="N1234" s="2013">
        <f t="shared" si="1517"/>
        <v>0</v>
      </c>
      <c r="P1234" s="1898" t="str">
        <f t="shared" si="1518"/>
        <v/>
      </c>
      <c r="Q1234" s="1898" t="str">
        <f t="shared" si="1519"/>
        <v/>
      </c>
      <c r="R1234" s="1898" t="str">
        <f t="shared" si="1520"/>
        <v/>
      </c>
      <c r="S1234" s="1898" t="str">
        <f t="shared" si="1521"/>
        <v/>
      </c>
      <c r="T1234" s="1898" t="str">
        <f t="shared" si="1522"/>
        <v/>
      </c>
      <c r="U1234" s="1898" t="str">
        <f t="shared" si="1523"/>
        <v/>
      </c>
      <c r="V1234" s="1898" t="str">
        <f t="shared" si="1524"/>
        <v/>
      </c>
      <c r="W1234" s="1898" t="str">
        <f t="shared" si="1525"/>
        <v/>
      </c>
      <c r="X1234" s="1898" t="str">
        <f t="shared" si="1526"/>
        <v/>
      </c>
      <c r="Y1234" s="1898" t="str">
        <f t="shared" si="1527"/>
        <v/>
      </c>
      <c r="Z1234" s="1898" t="str">
        <f t="shared" si="1528"/>
        <v/>
      </c>
      <c r="AA1234" s="1898" t="str">
        <f t="shared" si="1529"/>
        <v/>
      </c>
      <c r="AB1234" s="1971">
        <f t="shared" si="1530"/>
        <v>0</v>
      </c>
      <c r="AC1234" s="1906">
        <f t="shared" si="1531"/>
        <v>0</v>
      </c>
      <c r="AD1234" s="1906">
        <f t="shared" si="1532"/>
        <v>0</v>
      </c>
      <c r="AE1234" s="1906">
        <f t="shared" si="1533"/>
        <v>0</v>
      </c>
      <c r="AF1234" s="1906">
        <f t="shared" si="1534"/>
        <v>0</v>
      </c>
      <c r="AG1234" s="1906">
        <f t="shared" si="1535"/>
        <v>0</v>
      </c>
      <c r="AH1234" s="1906">
        <f t="shared" si="1536"/>
        <v>0</v>
      </c>
      <c r="AI1234" s="1906">
        <f t="shared" si="1537"/>
        <v>0</v>
      </c>
      <c r="AJ1234" s="1906">
        <f t="shared" si="1538"/>
        <v>0</v>
      </c>
      <c r="AK1234" s="1906">
        <f t="shared" si="1539"/>
        <v>0</v>
      </c>
      <c r="AL1234" s="1906">
        <f t="shared" si="1540"/>
        <v>0</v>
      </c>
      <c r="AM1234" s="1906">
        <f t="shared" si="1541"/>
        <v>0</v>
      </c>
      <c r="AN1234" s="1906">
        <f t="shared" si="1542"/>
        <v>0</v>
      </c>
      <c r="AO1234" s="107"/>
      <c r="AP1234" s="1906"/>
      <c r="AQ1234" s="1906">
        <f t="shared" si="1543"/>
        <v>0</v>
      </c>
      <c r="AR1234" s="1906">
        <f t="shared" si="1544"/>
        <v>0</v>
      </c>
      <c r="AS1234" s="1906">
        <f t="shared" si="1545"/>
        <v>0</v>
      </c>
      <c r="AT1234" s="1906">
        <f t="shared" si="1546"/>
        <v>0</v>
      </c>
      <c r="AU1234" s="1906">
        <f t="shared" si="1547"/>
        <v>0</v>
      </c>
      <c r="AV1234" s="1906">
        <f t="shared" si="1548"/>
        <v>0</v>
      </c>
      <c r="AW1234" s="1906">
        <f t="shared" si="1549"/>
        <v>0</v>
      </c>
      <c r="AX1234" s="1906">
        <f t="shared" si="1550"/>
        <v>0</v>
      </c>
      <c r="AY1234" s="1906">
        <f t="shared" si="1551"/>
        <v>0</v>
      </c>
      <c r="AZ1234" s="1906">
        <f t="shared" si="1552"/>
        <v>0</v>
      </c>
      <c r="BA1234" s="1906">
        <f t="shared" si="1553"/>
        <v>0</v>
      </c>
      <c r="BB1234" s="107"/>
      <c r="BC1234" s="1906">
        <f t="shared" si="1554"/>
        <v>0</v>
      </c>
      <c r="BD1234" s="1906">
        <f t="shared" si="1555"/>
        <v>0</v>
      </c>
      <c r="BE1234" s="1906">
        <f t="shared" si="1556"/>
        <v>0</v>
      </c>
      <c r="BF1234" s="1906">
        <f t="shared" si="1557"/>
        <v>0</v>
      </c>
      <c r="BG1234" s="1906">
        <f t="shared" si="1558"/>
        <v>0</v>
      </c>
      <c r="BH1234" s="1906">
        <f t="shared" si="1559"/>
        <v>0</v>
      </c>
      <c r="BI1234" s="1906">
        <f t="shared" si="1560"/>
        <v>0</v>
      </c>
      <c r="BJ1234" s="1906">
        <f t="shared" si="1561"/>
        <v>0</v>
      </c>
      <c r="BK1234" s="1906">
        <f t="shared" si="1562"/>
        <v>0</v>
      </c>
      <c r="BL1234" s="1906">
        <f t="shared" si="1563"/>
        <v>0</v>
      </c>
      <c r="BM1234" s="1906">
        <f t="shared" si="1564"/>
        <v>0</v>
      </c>
      <c r="BN1234" s="1906">
        <f t="shared" si="1565"/>
        <v>0</v>
      </c>
      <c r="BO1234" s="107"/>
      <c r="BP1234" s="1906">
        <f t="shared" si="1566"/>
        <v>0</v>
      </c>
      <c r="BQ1234" s="1906">
        <f t="shared" si="1567"/>
        <v>0</v>
      </c>
      <c r="BR1234" s="1906">
        <f t="shared" si="1568"/>
        <v>0</v>
      </c>
      <c r="BS1234" s="1906">
        <f t="shared" si="1569"/>
        <v>0</v>
      </c>
      <c r="BT1234" s="1906">
        <f t="shared" si="1570"/>
        <v>0</v>
      </c>
      <c r="BU1234" s="1906">
        <f t="shared" si="1571"/>
        <v>0</v>
      </c>
      <c r="BV1234" s="1906">
        <f t="shared" si="1572"/>
        <v>0</v>
      </c>
      <c r="BW1234" s="1906">
        <f t="shared" si="1573"/>
        <v>0</v>
      </c>
      <c r="BX1234" s="1906">
        <f t="shared" si="1574"/>
        <v>0</v>
      </c>
      <c r="BY1234" s="1906">
        <f t="shared" si="1575"/>
        <v>0</v>
      </c>
      <c r="BZ1234" s="1906">
        <f t="shared" si="1576"/>
        <v>0</v>
      </c>
      <c r="CA1234" s="1906">
        <f t="shared" si="1577"/>
        <v>0</v>
      </c>
      <c r="CB1234" s="107"/>
      <c r="CC1234" s="1906">
        <f t="shared" si="1578"/>
        <v>0</v>
      </c>
      <c r="CD1234" s="1906">
        <f t="shared" si="1579"/>
        <v>0</v>
      </c>
      <c r="CE1234" s="1906">
        <f t="shared" si="1580"/>
        <v>0</v>
      </c>
      <c r="CF1234" s="1906">
        <f t="shared" si="1581"/>
        <v>0</v>
      </c>
      <c r="CG1234" s="1906">
        <f t="shared" si="1582"/>
        <v>0</v>
      </c>
      <c r="CH1234" s="1906">
        <f t="shared" si="1583"/>
        <v>0</v>
      </c>
      <c r="CI1234" s="1906">
        <f t="shared" si="1584"/>
        <v>0</v>
      </c>
      <c r="CJ1234" s="1906">
        <f t="shared" si="1585"/>
        <v>0</v>
      </c>
      <c r="CK1234" s="1906">
        <f t="shared" si="1586"/>
        <v>0</v>
      </c>
      <c r="CL1234" s="1906">
        <f t="shared" si="1587"/>
        <v>0</v>
      </c>
      <c r="CM1234" s="1906">
        <f t="shared" si="1588"/>
        <v>0</v>
      </c>
      <c r="CN1234" s="1906">
        <f t="shared" si="1589"/>
        <v>0</v>
      </c>
      <c r="CO1234" s="107"/>
      <c r="CP1234" s="1906">
        <f t="shared" si="1590"/>
        <v>0</v>
      </c>
      <c r="CQ1234" s="1906">
        <f t="shared" si="1591"/>
        <v>0</v>
      </c>
      <c r="CR1234" s="1906">
        <f t="shared" si="1592"/>
        <v>0</v>
      </c>
      <c r="CS1234" s="1906">
        <f t="shared" si="1593"/>
        <v>0</v>
      </c>
      <c r="CT1234" s="1906">
        <f t="shared" si="1594"/>
        <v>0</v>
      </c>
      <c r="CU1234" s="1906">
        <f t="shared" si="1595"/>
        <v>0</v>
      </c>
      <c r="CV1234" s="1906">
        <f t="shared" si="1596"/>
        <v>0</v>
      </c>
      <c r="CW1234" s="1906">
        <f t="shared" si="1597"/>
        <v>0</v>
      </c>
      <c r="CX1234" s="1906">
        <f t="shared" si="1598"/>
        <v>0</v>
      </c>
      <c r="CY1234" s="1906">
        <f t="shared" si="1599"/>
        <v>0</v>
      </c>
      <c r="CZ1234" s="1906">
        <f t="shared" si="1600"/>
        <v>0</v>
      </c>
      <c r="DA1234" s="1906">
        <f t="shared" si="1601"/>
        <v>0</v>
      </c>
      <c r="DB1234" s="1971">
        <f t="shared" si="1602"/>
        <v>0</v>
      </c>
      <c r="DC1234" s="1906">
        <f t="shared" si="1603"/>
        <v>0</v>
      </c>
      <c r="DD1234" s="1906">
        <f t="shared" si="1604"/>
        <v>0</v>
      </c>
      <c r="DE1234" s="1906">
        <f t="shared" si="1605"/>
        <v>0</v>
      </c>
      <c r="DF1234" s="1906">
        <f t="shared" si="1606"/>
        <v>0</v>
      </c>
      <c r="DG1234" s="1906">
        <f t="shared" si="1495"/>
        <v>0</v>
      </c>
      <c r="DH1234" s="1906">
        <f t="shared" si="1496"/>
        <v>0</v>
      </c>
      <c r="DI1234" s="1906">
        <f t="shared" si="1497"/>
        <v>0</v>
      </c>
      <c r="DJ1234" s="1906">
        <f t="shared" si="1498"/>
        <v>0</v>
      </c>
      <c r="DK1234" s="1906">
        <f t="shared" si="1499"/>
        <v>0</v>
      </c>
      <c r="DL1234" s="1906">
        <f t="shared" si="1500"/>
        <v>0</v>
      </c>
      <c r="DM1234" s="1906">
        <f t="shared" si="1501"/>
        <v>0</v>
      </c>
      <c r="DN1234" s="1906">
        <f t="shared" si="1502"/>
        <v>0</v>
      </c>
      <c r="DO1234" s="595">
        <f t="shared" si="1503"/>
        <v>0</v>
      </c>
      <c r="DP1234" s="1443">
        <f t="shared" si="1504"/>
        <v>0</v>
      </c>
      <c r="DQ1234" s="107"/>
      <c r="DR1234" s="111"/>
      <c r="DS1234" s="1906"/>
      <c r="DT1234" s="1906"/>
      <c r="DU1234" s="1906"/>
      <c r="DV1234" s="1906"/>
      <c r="DW1234" s="1906"/>
      <c r="DX1234" s="1906"/>
      <c r="DY1234" s="1906"/>
      <c r="DZ1234" s="1906"/>
      <c r="EA1234" s="1906"/>
      <c r="EB1234" s="1906"/>
      <c r="EC1234" s="1906"/>
      <c r="ED1234" s="1906"/>
    </row>
    <row r="1235" spans="1:134" ht="15.05" thickBot="1" x14ac:dyDescent="0.25">
      <c r="A1235" s="107"/>
      <c r="B1235" s="1857">
        <f t="shared" si="1505"/>
        <v>0</v>
      </c>
      <c r="C1235" s="2013">
        <f t="shared" si="1506"/>
        <v>0</v>
      </c>
      <c r="D1235" s="2013">
        <f t="shared" si="1507"/>
        <v>0</v>
      </c>
      <c r="E1235" s="2013">
        <f t="shared" si="1508"/>
        <v>0</v>
      </c>
      <c r="F1235" s="2013">
        <f t="shared" si="1509"/>
        <v>0</v>
      </c>
      <c r="G1235" s="2013">
        <f t="shared" si="1510"/>
        <v>0</v>
      </c>
      <c r="H1235" s="2013">
        <f t="shared" si="1511"/>
        <v>0</v>
      </c>
      <c r="I1235" s="2013">
        <f t="shared" si="1512"/>
        <v>0</v>
      </c>
      <c r="J1235" s="2013">
        <f t="shared" si="1513"/>
        <v>0</v>
      </c>
      <c r="K1235" s="2013">
        <f t="shared" si="1514"/>
        <v>0</v>
      </c>
      <c r="L1235" s="2013">
        <f t="shared" si="1515"/>
        <v>0</v>
      </c>
      <c r="M1235" s="2013">
        <f t="shared" si="1516"/>
        <v>0</v>
      </c>
      <c r="N1235" s="2013">
        <f t="shared" si="1517"/>
        <v>0</v>
      </c>
      <c r="P1235" s="1898" t="str">
        <f t="shared" si="1518"/>
        <v/>
      </c>
      <c r="Q1235" s="1898" t="str">
        <f t="shared" si="1519"/>
        <v/>
      </c>
      <c r="R1235" s="1898" t="str">
        <f t="shared" si="1520"/>
        <v/>
      </c>
      <c r="S1235" s="1898" t="str">
        <f t="shared" si="1521"/>
        <v/>
      </c>
      <c r="T1235" s="1898" t="str">
        <f t="shared" si="1522"/>
        <v/>
      </c>
      <c r="U1235" s="1898" t="str">
        <f t="shared" si="1523"/>
        <v/>
      </c>
      <c r="V1235" s="1898" t="str">
        <f t="shared" si="1524"/>
        <v/>
      </c>
      <c r="W1235" s="1898" t="str">
        <f t="shared" si="1525"/>
        <v/>
      </c>
      <c r="X1235" s="1898" t="str">
        <f t="shared" si="1526"/>
        <v/>
      </c>
      <c r="Y1235" s="1898" t="str">
        <f t="shared" si="1527"/>
        <v/>
      </c>
      <c r="Z1235" s="1898" t="str">
        <f t="shared" si="1528"/>
        <v/>
      </c>
      <c r="AA1235" s="1898" t="str">
        <f t="shared" si="1529"/>
        <v/>
      </c>
      <c r="AB1235" s="1971">
        <f t="shared" si="1530"/>
        <v>0</v>
      </c>
      <c r="AC1235" s="1906">
        <f t="shared" si="1531"/>
        <v>0</v>
      </c>
      <c r="AD1235" s="1906">
        <f t="shared" si="1532"/>
        <v>0</v>
      </c>
      <c r="AE1235" s="1906">
        <f t="shared" si="1533"/>
        <v>0</v>
      </c>
      <c r="AF1235" s="1906">
        <f t="shared" si="1534"/>
        <v>0</v>
      </c>
      <c r="AG1235" s="1906">
        <f t="shared" si="1535"/>
        <v>0</v>
      </c>
      <c r="AH1235" s="1906">
        <f t="shared" si="1536"/>
        <v>0</v>
      </c>
      <c r="AI1235" s="1906">
        <f t="shared" si="1537"/>
        <v>0</v>
      </c>
      <c r="AJ1235" s="1906">
        <f t="shared" si="1538"/>
        <v>0</v>
      </c>
      <c r="AK1235" s="1906">
        <f t="shared" si="1539"/>
        <v>0</v>
      </c>
      <c r="AL1235" s="1906">
        <f t="shared" si="1540"/>
        <v>0</v>
      </c>
      <c r="AM1235" s="1906">
        <f t="shared" si="1541"/>
        <v>0</v>
      </c>
      <c r="AN1235" s="1906">
        <f t="shared" si="1542"/>
        <v>0</v>
      </c>
      <c r="AO1235" s="107"/>
      <c r="AP1235" s="1906"/>
      <c r="AQ1235" s="1906">
        <f t="shared" si="1543"/>
        <v>0</v>
      </c>
      <c r="AR1235" s="1906">
        <f t="shared" si="1544"/>
        <v>0</v>
      </c>
      <c r="AS1235" s="1906">
        <f t="shared" si="1545"/>
        <v>0</v>
      </c>
      <c r="AT1235" s="1906">
        <f t="shared" si="1546"/>
        <v>0</v>
      </c>
      <c r="AU1235" s="1906">
        <f t="shared" si="1547"/>
        <v>0</v>
      </c>
      <c r="AV1235" s="1906">
        <f t="shared" si="1548"/>
        <v>0</v>
      </c>
      <c r="AW1235" s="1906">
        <f t="shared" si="1549"/>
        <v>0</v>
      </c>
      <c r="AX1235" s="1906">
        <f t="shared" si="1550"/>
        <v>0</v>
      </c>
      <c r="AY1235" s="1906">
        <f t="shared" si="1551"/>
        <v>0</v>
      </c>
      <c r="AZ1235" s="1906">
        <f t="shared" si="1552"/>
        <v>0</v>
      </c>
      <c r="BA1235" s="1906">
        <f t="shared" si="1553"/>
        <v>0</v>
      </c>
      <c r="BB1235" s="107"/>
      <c r="BC1235" s="1906">
        <f t="shared" si="1554"/>
        <v>0</v>
      </c>
      <c r="BD1235" s="1906">
        <f t="shared" si="1555"/>
        <v>0</v>
      </c>
      <c r="BE1235" s="1906">
        <f t="shared" si="1556"/>
        <v>0</v>
      </c>
      <c r="BF1235" s="1906">
        <f t="shared" si="1557"/>
        <v>0</v>
      </c>
      <c r="BG1235" s="1906">
        <f t="shared" si="1558"/>
        <v>0</v>
      </c>
      <c r="BH1235" s="1906">
        <f t="shared" si="1559"/>
        <v>0</v>
      </c>
      <c r="BI1235" s="1906">
        <f t="shared" si="1560"/>
        <v>0</v>
      </c>
      <c r="BJ1235" s="1906">
        <f t="shared" si="1561"/>
        <v>0</v>
      </c>
      <c r="BK1235" s="1906">
        <f t="shared" si="1562"/>
        <v>0</v>
      </c>
      <c r="BL1235" s="1906">
        <f t="shared" si="1563"/>
        <v>0</v>
      </c>
      <c r="BM1235" s="1906">
        <f t="shared" si="1564"/>
        <v>0</v>
      </c>
      <c r="BN1235" s="1906">
        <f t="shared" si="1565"/>
        <v>0</v>
      </c>
      <c r="BO1235" s="107"/>
      <c r="BP1235" s="1906">
        <f t="shared" si="1566"/>
        <v>0</v>
      </c>
      <c r="BQ1235" s="1906">
        <f t="shared" si="1567"/>
        <v>0</v>
      </c>
      <c r="BR1235" s="1906">
        <f t="shared" si="1568"/>
        <v>0</v>
      </c>
      <c r="BS1235" s="1906">
        <f t="shared" si="1569"/>
        <v>0</v>
      </c>
      <c r="BT1235" s="1906">
        <f t="shared" si="1570"/>
        <v>0</v>
      </c>
      <c r="BU1235" s="1906">
        <f t="shared" si="1571"/>
        <v>0</v>
      </c>
      <c r="BV1235" s="1906">
        <f t="shared" si="1572"/>
        <v>0</v>
      </c>
      <c r="BW1235" s="1906">
        <f t="shared" si="1573"/>
        <v>0</v>
      </c>
      <c r="BX1235" s="1906">
        <f t="shared" si="1574"/>
        <v>0</v>
      </c>
      <c r="BY1235" s="1906">
        <f t="shared" si="1575"/>
        <v>0</v>
      </c>
      <c r="BZ1235" s="1906">
        <f t="shared" si="1576"/>
        <v>0</v>
      </c>
      <c r="CA1235" s="1906">
        <f t="shared" si="1577"/>
        <v>0</v>
      </c>
      <c r="CB1235" s="107"/>
      <c r="CC1235" s="1906">
        <f t="shared" si="1578"/>
        <v>0</v>
      </c>
      <c r="CD1235" s="1906">
        <f t="shared" si="1579"/>
        <v>0</v>
      </c>
      <c r="CE1235" s="1906">
        <f t="shared" si="1580"/>
        <v>0</v>
      </c>
      <c r="CF1235" s="1906">
        <f t="shared" si="1581"/>
        <v>0</v>
      </c>
      <c r="CG1235" s="1906">
        <f t="shared" si="1582"/>
        <v>0</v>
      </c>
      <c r="CH1235" s="1906">
        <f t="shared" si="1583"/>
        <v>0</v>
      </c>
      <c r="CI1235" s="1906">
        <f t="shared" si="1584"/>
        <v>0</v>
      </c>
      <c r="CJ1235" s="1906">
        <f t="shared" si="1585"/>
        <v>0</v>
      </c>
      <c r="CK1235" s="1906">
        <f t="shared" si="1586"/>
        <v>0</v>
      </c>
      <c r="CL1235" s="1906">
        <f t="shared" si="1587"/>
        <v>0</v>
      </c>
      <c r="CM1235" s="1906">
        <f t="shared" si="1588"/>
        <v>0</v>
      </c>
      <c r="CN1235" s="1906">
        <f t="shared" si="1589"/>
        <v>0</v>
      </c>
      <c r="CO1235" s="107"/>
      <c r="CP1235" s="1906">
        <f t="shared" si="1590"/>
        <v>0</v>
      </c>
      <c r="CQ1235" s="1906">
        <f t="shared" si="1591"/>
        <v>0</v>
      </c>
      <c r="CR1235" s="1906">
        <f t="shared" si="1592"/>
        <v>0</v>
      </c>
      <c r="CS1235" s="1906">
        <f t="shared" si="1593"/>
        <v>0</v>
      </c>
      <c r="CT1235" s="1906">
        <f t="shared" si="1594"/>
        <v>0</v>
      </c>
      <c r="CU1235" s="1906">
        <f t="shared" si="1595"/>
        <v>0</v>
      </c>
      <c r="CV1235" s="1906">
        <f t="shared" si="1596"/>
        <v>0</v>
      </c>
      <c r="CW1235" s="1906">
        <f t="shared" si="1597"/>
        <v>0</v>
      </c>
      <c r="CX1235" s="1906">
        <f t="shared" si="1598"/>
        <v>0</v>
      </c>
      <c r="CY1235" s="1906">
        <f t="shared" si="1599"/>
        <v>0</v>
      </c>
      <c r="CZ1235" s="1906">
        <f t="shared" si="1600"/>
        <v>0</v>
      </c>
      <c r="DA1235" s="1906">
        <f t="shared" si="1601"/>
        <v>0</v>
      </c>
      <c r="DB1235" s="1971">
        <f t="shared" si="1602"/>
        <v>0</v>
      </c>
      <c r="DC1235" s="1906">
        <f t="shared" si="1603"/>
        <v>0</v>
      </c>
      <c r="DD1235" s="1906">
        <f t="shared" si="1604"/>
        <v>0</v>
      </c>
      <c r="DE1235" s="1906">
        <f t="shared" si="1605"/>
        <v>0</v>
      </c>
      <c r="DF1235" s="1906">
        <f t="shared" si="1606"/>
        <v>0</v>
      </c>
      <c r="DG1235" s="1906">
        <f t="shared" si="1495"/>
        <v>0</v>
      </c>
      <c r="DH1235" s="1906">
        <f t="shared" si="1496"/>
        <v>0</v>
      </c>
      <c r="DI1235" s="1906">
        <f t="shared" si="1497"/>
        <v>0</v>
      </c>
      <c r="DJ1235" s="1906">
        <f t="shared" si="1498"/>
        <v>0</v>
      </c>
      <c r="DK1235" s="1906">
        <f t="shared" si="1499"/>
        <v>0</v>
      </c>
      <c r="DL1235" s="1906">
        <f t="shared" si="1500"/>
        <v>0</v>
      </c>
      <c r="DM1235" s="1906">
        <f t="shared" si="1501"/>
        <v>0</v>
      </c>
      <c r="DN1235" s="1906">
        <f t="shared" si="1502"/>
        <v>0</v>
      </c>
      <c r="DO1235" s="595">
        <f t="shared" si="1503"/>
        <v>0</v>
      </c>
      <c r="DP1235" s="1443">
        <f t="shared" si="1504"/>
        <v>0</v>
      </c>
      <c r="DQ1235" s="107"/>
      <c r="DR1235" s="111"/>
      <c r="DS1235" s="1906"/>
      <c r="DT1235" s="1906"/>
      <c r="DU1235" s="1906"/>
      <c r="DV1235" s="1906"/>
      <c r="DW1235" s="1906"/>
      <c r="DX1235" s="1906"/>
      <c r="DY1235" s="1906"/>
      <c r="DZ1235" s="1906"/>
      <c r="EA1235" s="1906"/>
      <c r="EB1235" s="1906"/>
      <c r="EC1235" s="1906"/>
      <c r="ED1235" s="1906"/>
    </row>
    <row r="1236" spans="1:134" ht="15.05" thickBot="1" x14ac:dyDescent="0.25">
      <c r="A1236" s="107"/>
      <c r="B1236" s="2035" t="str">
        <f t="shared" si="1505"/>
        <v xml:space="preserve">Subtotal Verdeos de Invierno </v>
      </c>
      <c r="C1236" s="2013">
        <f t="shared" si="1506"/>
        <v>0</v>
      </c>
      <c r="D1236" s="2013">
        <f t="shared" si="1507"/>
        <v>0</v>
      </c>
      <c r="E1236" s="2013">
        <f t="shared" si="1508"/>
        <v>0</v>
      </c>
      <c r="F1236" s="2013">
        <f t="shared" si="1509"/>
        <v>0</v>
      </c>
      <c r="G1236" s="2013">
        <f t="shared" si="1510"/>
        <v>0</v>
      </c>
      <c r="H1236" s="2013">
        <f t="shared" si="1511"/>
        <v>0</v>
      </c>
      <c r="I1236" s="2013">
        <f t="shared" si="1512"/>
        <v>0</v>
      </c>
      <c r="J1236" s="2013">
        <f t="shared" si="1513"/>
        <v>0</v>
      </c>
      <c r="K1236" s="2013">
        <f t="shared" si="1514"/>
        <v>0</v>
      </c>
      <c r="L1236" s="2013">
        <f t="shared" si="1515"/>
        <v>0</v>
      </c>
      <c r="M1236" s="2013">
        <f t="shared" si="1516"/>
        <v>0</v>
      </c>
      <c r="N1236" s="2013">
        <f t="shared" si="1517"/>
        <v>0</v>
      </c>
      <c r="P1236" s="1898" t="str">
        <f t="shared" si="1518"/>
        <v/>
      </c>
      <c r="Q1236" s="1898" t="str">
        <f t="shared" si="1519"/>
        <v/>
      </c>
      <c r="R1236" s="1898" t="str">
        <f t="shared" si="1520"/>
        <v/>
      </c>
      <c r="S1236" s="1898" t="str">
        <f t="shared" si="1521"/>
        <v/>
      </c>
      <c r="T1236" s="1898" t="str">
        <f t="shared" si="1522"/>
        <v/>
      </c>
      <c r="U1236" s="1898" t="str">
        <f t="shared" si="1523"/>
        <v/>
      </c>
      <c r="V1236" s="1898" t="str">
        <f t="shared" si="1524"/>
        <v/>
      </c>
      <c r="W1236" s="1898" t="str">
        <f t="shared" si="1525"/>
        <v/>
      </c>
      <c r="X1236" s="1898" t="str">
        <f t="shared" si="1526"/>
        <v/>
      </c>
      <c r="Y1236" s="1898" t="str">
        <f t="shared" si="1527"/>
        <v/>
      </c>
      <c r="Z1236" s="1898" t="str">
        <f t="shared" si="1528"/>
        <v/>
      </c>
      <c r="AA1236" s="1898" t="str">
        <f t="shared" si="1529"/>
        <v/>
      </c>
      <c r="AB1236" s="1971" t="str">
        <f t="shared" si="1530"/>
        <v xml:space="preserve">Subtotal Verdeos de Invierno </v>
      </c>
      <c r="AC1236" s="1906">
        <f t="shared" si="1531"/>
        <v>0</v>
      </c>
      <c r="AD1236" s="1906">
        <f t="shared" si="1532"/>
        <v>0</v>
      </c>
      <c r="AE1236" s="1906">
        <f t="shared" si="1533"/>
        <v>0</v>
      </c>
      <c r="AF1236" s="1906">
        <f t="shared" si="1534"/>
        <v>0</v>
      </c>
      <c r="AG1236" s="1906">
        <f t="shared" si="1535"/>
        <v>0</v>
      </c>
      <c r="AH1236" s="1906">
        <f t="shared" si="1536"/>
        <v>0</v>
      </c>
      <c r="AI1236" s="1906">
        <f t="shared" si="1537"/>
        <v>0</v>
      </c>
      <c r="AJ1236" s="1906">
        <f t="shared" si="1538"/>
        <v>0</v>
      </c>
      <c r="AK1236" s="1906">
        <f t="shared" si="1539"/>
        <v>0</v>
      </c>
      <c r="AL1236" s="1906">
        <f t="shared" si="1540"/>
        <v>0</v>
      </c>
      <c r="AM1236" s="1906">
        <f t="shared" si="1541"/>
        <v>0</v>
      </c>
      <c r="AN1236" s="1906">
        <f t="shared" si="1542"/>
        <v>0</v>
      </c>
      <c r="AO1236" s="107"/>
      <c r="AP1236" s="1906"/>
      <c r="AQ1236" s="1906">
        <f t="shared" si="1543"/>
        <v>0</v>
      </c>
      <c r="AR1236" s="1906">
        <f t="shared" si="1544"/>
        <v>0</v>
      </c>
      <c r="AS1236" s="1906">
        <f t="shared" si="1545"/>
        <v>0</v>
      </c>
      <c r="AT1236" s="1906">
        <f t="shared" si="1546"/>
        <v>0</v>
      </c>
      <c r="AU1236" s="1906">
        <f t="shared" si="1547"/>
        <v>0</v>
      </c>
      <c r="AV1236" s="1906">
        <f t="shared" si="1548"/>
        <v>0</v>
      </c>
      <c r="AW1236" s="1906">
        <f t="shared" si="1549"/>
        <v>0</v>
      </c>
      <c r="AX1236" s="1906">
        <f t="shared" si="1550"/>
        <v>0</v>
      </c>
      <c r="AY1236" s="1906">
        <f t="shared" si="1551"/>
        <v>0</v>
      </c>
      <c r="AZ1236" s="1906">
        <f t="shared" si="1552"/>
        <v>0</v>
      </c>
      <c r="BA1236" s="1906">
        <f t="shared" si="1553"/>
        <v>0</v>
      </c>
      <c r="BB1236" s="107"/>
      <c r="BC1236" s="1906">
        <f t="shared" si="1554"/>
        <v>0</v>
      </c>
      <c r="BD1236" s="1906">
        <f t="shared" si="1555"/>
        <v>0</v>
      </c>
      <c r="BE1236" s="1906">
        <f t="shared" si="1556"/>
        <v>0</v>
      </c>
      <c r="BF1236" s="1906">
        <f t="shared" si="1557"/>
        <v>0</v>
      </c>
      <c r="BG1236" s="1906">
        <f t="shared" si="1558"/>
        <v>0</v>
      </c>
      <c r="BH1236" s="1906">
        <f t="shared" si="1559"/>
        <v>0</v>
      </c>
      <c r="BI1236" s="1906">
        <f t="shared" si="1560"/>
        <v>0</v>
      </c>
      <c r="BJ1236" s="1906">
        <f t="shared" si="1561"/>
        <v>0</v>
      </c>
      <c r="BK1236" s="1906">
        <f t="shared" si="1562"/>
        <v>0</v>
      </c>
      <c r="BL1236" s="1906">
        <f t="shared" si="1563"/>
        <v>0</v>
      </c>
      <c r="BM1236" s="1906">
        <f t="shared" si="1564"/>
        <v>0</v>
      </c>
      <c r="BN1236" s="1906">
        <f t="shared" si="1565"/>
        <v>0</v>
      </c>
      <c r="BO1236" s="107"/>
      <c r="BP1236" s="1906">
        <f t="shared" si="1566"/>
        <v>0</v>
      </c>
      <c r="BQ1236" s="1906">
        <f t="shared" si="1567"/>
        <v>0</v>
      </c>
      <c r="BR1236" s="1906">
        <f t="shared" si="1568"/>
        <v>0</v>
      </c>
      <c r="BS1236" s="1906">
        <f t="shared" si="1569"/>
        <v>0</v>
      </c>
      <c r="BT1236" s="1906">
        <f t="shared" si="1570"/>
        <v>0</v>
      </c>
      <c r="BU1236" s="1906">
        <f t="shared" si="1571"/>
        <v>0</v>
      </c>
      <c r="BV1236" s="1906">
        <f t="shared" si="1572"/>
        <v>0</v>
      </c>
      <c r="BW1236" s="1906">
        <f t="shared" si="1573"/>
        <v>0</v>
      </c>
      <c r="BX1236" s="1906">
        <f t="shared" si="1574"/>
        <v>0</v>
      </c>
      <c r="BY1236" s="1906">
        <f t="shared" si="1575"/>
        <v>0</v>
      </c>
      <c r="BZ1236" s="1906">
        <f t="shared" si="1576"/>
        <v>0</v>
      </c>
      <c r="CA1236" s="1906">
        <f t="shared" si="1577"/>
        <v>0</v>
      </c>
      <c r="CB1236" s="107"/>
      <c r="CC1236" s="1906">
        <f t="shared" si="1578"/>
        <v>0</v>
      </c>
      <c r="CD1236" s="1906">
        <f t="shared" si="1579"/>
        <v>0</v>
      </c>
      <c r="CE1236" s="1906">
        <f t="shared" si="1580"/>
        <v>0</v>
      </c>
      <c r="CF1236" s="1906">
        <f t="shared" si="1581"/>
        <v>0</v>
      </c>
      <c r="CG1236" s="1906">
        <f t="shared" si="1582"/>
        <v>0</v>
      </c>
      <c r="CH1236" s="1906">
        <f t="shared" si="1583"/>
        <v>0</v>
      </c>
      <c r="CI1236" s="1906">
        <f t="shared" si="1584"/>
        <v>0</v>
      </c>
      <c r="CJ1236" s="1906">
        <f t="shared" si="1585"/>
        <v>0</v>
      </c>
      <c r="CK1236" s="1906">
        <f t="shared" si="1586"/>
        <v>0</v>
      </c>
      <c r="CL1236" s="1906">
        <f t="shared" si="1587"/>
        <v>0</v>
      </c>
      <c r="CM1236" s="1906">
        <f t="shared" si="1588"/>
        <v>0</v>
      </c>
      <c r="CN1236" s="1906">
        <f t="shared" si="1589"/>
        <v>0</v>
      </c>
      <c r="CO1236" s="107"/>
      <c r="CP1236" s="1906">
        <f t="shared" si="1590"/>
        <v>0</v>
      </c>
      <c r="CQ1236" s="1906">
        <f t="shared" si="1591"/>
        <v>0</v>
      </c>
      <c r="CR1236" s="1906">
        <f t="shared" si="1592"/>
        <v>0</v>
      </c>
      <c r="CS1236" s="1906">
        <f t="shared" si="1593"/>
        <v>0</v>
      </c>
      <c r="CT1236" s="1906">
        <f t="shared" si="1594"/>
        <v>0</v>
      </c>
      <c r="CU1236" s="1906">
        <f t="shared" si="1595"/>
        <v>0</v>
      </c>
      <c r="CV1236" s="1906">
        <f t="shared" si="1596"/>
        <v>0</v>
      </c>
      <c r="CW1236" s="1906">
        <f t="shared" si="1597"/>
        <v>0</v>
      </c>
      <c r="CX1236" s="1906">
        <f t="shared" si="1598"/>
        <v>0</v>
      </c>
      <c r="CY1236" s="1906">
        <f t="shared" si="1599"/>
        <v>0</v>
      </c>
      <c r="CZ1236" s="1906">
        <f t="shared" si="1600"/>
        <v>0</v>
      </c>
      <c r="DA1236" s="1906">
        <f t="shared" si="1601"/>
        <v>0</v>
      </c>
      <c r="DB1236" s="1971" t="str">
        <f t="shared" si="1602"/>
        <v xml:space="preserve">Subtotal Verdeos de Invierno </v>
      </c>
      <c r="DC1236" s="1906">
        <f t="shared" si="1603"/>
        <v>0</v>
      </c>
      <c r="DD1236" s="1906">
        <f t="shared" si="1604"/>
        <v>0</v>
      </c>
      <c r="DE1236" s="1906">
        <f t="shared" si="1605"/>
        <v>0</v>
      </c>
      <c r="DF1236" s="1906">
        <f t="shared" si="1606"/>
        <v>0</v>
      </c>
      <c r="DG1236" s="1906">
        <f t="shared" si="1495"/>
        <v>0</v>
      </c>
      <c r="DH1236" s="1906">
        <f t="shared" si="1496"/>
        <v>0</v>
      </c>
      <c r="DI1236" s="1906">
        <f t="shared" si="1497"/>
        <v>0</v>
      </c>
      <c r="DJ1236" s="1906">
        <f t="shared" si="1498"/>
        <v>0</v>
      </c>
      <c r="DK1236" s="1906">
        <f t="shared" si="1499"/>
        <v>0</v>
      </c>
      <c r="DL1236" s="1906">
        <f t="shared" si="1500"/>
        <v>0</v>
      </c>
      <c r="DM1236" s="1906">
        <f t="shared" si="1501"/>
        <v>0</v>
      </c>
      <c r="DN1236" s="1906">
        <f t="shared" si="1502"/>
        <v>0</v>
      </c>
      <c r="DO1236" s="595" t="str">
        <f t="shared" si="1503"/>
        <v xml:space="preserve">Subtotal Verdeos de Invierno </v>
      </c>
      <c r="DP1236" s="1443">
        <f t="shared" si="1504"/>
        <v>0</v>
      </c>
      <c r="DQ1236" s="107"/>
      <c r="DR1236" s="111"/>
      <c r="DS1236" s="1906"/>
      <c r="DT1236" s="1906"/>
      <c r="DU1236" s="1906"/>
      <c r="DV1236" s="1906"/>
      <c r="DW1236" s="1906"/>
      <c r="DX1236" s="1906"/>
      <c r="DY1236" s="1906"/>
      <c r="DZ1236" s="1906"/>
      <c r="EA1236" s="1906"/>
      <c r="EB1236" s="1906"/>
      <c r="EC1236" s="1906"/>
      <c r="ED1236" s="1906"/>
    </row>
    <row r="1237" spans="1:134" x14ac:dyDescent="0.2">
      <c r="A1237" s="107"/>
      <c r="B1237" s="1857" t="str">
        <f t="shared" si="1505"/>
        <v>Sorgo Forrajero</v>
      </c>
      <c r="C1237" s="2013">
        <f t="shared" si="1506"/>
        <v>0</v>
      </c>
      <c r="D1237" s="2013">
        <f t="shared" si="1507"/>
        <v>0</v>
      </c>
      <c r="E1237" s="2013">
        <f t="shared" si="1508"/>
        <v>0</v>
      </c>
      <c r="F1237" s="2013">
        <f t="shared" si="1509"/>
        <v>0</v>
      </c>
      <c r="G1237" s="2013">
        <f t="shared" si="1510"/>
        <v>0</v>
      </c>
      <c r="H1237" s="2013">
        <f t="shared" si="1511"/>
        <v>0</v>
      </c>
      <c r="I1237" s="2013">
        <f t="shared" si="1512"/>
        <v>0</v>
      </c>
      <c r="J1237" s="2013">
        <f t="shared" si="1513"/>
        <v>0</v>
      </c>
      <c r="K1237" s="2013">
        <f t="shared" si="1514"/>
        <v>0</v>
      </c>
      <c r="L1237" s="2013">
        <f t="shared" si="1515"/>
        <v>0</v>
      </c>
      <c r="M1237" s="2013">
        <f t="shared" si="1516"/>
        <v>0</v>
      </c>
      <c r="N1237" s="2013">
        <f t="shared" si="1517"/>
        <v>0</v>
      </c>
      <c r="P1237" s="1898" t="str">
        <f t="shared" si="1518"/>
        <v/>
      </c>
      <c r="Q1237" s="1898" t="str">
        <f t="shared" si="1519"/>
        <v/>
      </c>
      <c r="R1237" s="1898" t="str">
        <f t="shared" si="1520"/>
        <v/>
      </c>
      <c r="S1237" s="1898" t="str">
        <f t="shared" si="1521"/>
        <v/>
      </c>
      <c r="T1237" s="1898" t="str">
        <f t="shared" si="1522"/>
        <v/>
      </c>
      <c r="U1237" s="1898" t="str">
        <f t="shared" si="1523"/>
        <v/>
      </c>
      <c r="V1237" s="1898" t="str">
        <f t="shared" si="1524"/>
        <v/>
      </c>
      <c r="W1237" s="1898" t="str">
        <f t="shared" si="1525"/>
        <v/>
      </c>
      <c r="X1237" s="1898" t="str">
        <f t="shared" si="1526"/>
        <v/>
      </c>
      <c r="Y1237" s="1898" t="str">
        <f t="shared" si="1527"/>
        <v/>
      </c>
      <c r="Z1237" s="1898" t="str">
        <f t="shared" si="1528"/>
        <v/>
      </c>
      <c r="AA1237" s="1898" t="str">
        <f t="shared" si="1529"/>
        <v/>
      </c>
      <c r="AB1237" s="1971" t="str">
        <f t="shared" si="1530"/>
        <v>Sorgo Forrajero</v>
      </c>
      <c r="AC1237" s="1906">
        <f t="shared" si="1531"/>
        <v>0</v>
      </c>
      <c r="AD1237" s="1906">
        <f t="shared" si="1532"/>
        <v>0</v>
      </c>
      <c r="AE1237" s="1906">
        <f t="shared" si="1533"/>
        <v>0</v>
      </c>
      <c r="AF1237" s="1906">
        <f t="shared" si="1534"/>
        <v>0</v>
      </c>
      <c r="AG1237" s="1906">
        <f t="shared" si="1535"/>
        <v>0</v>
      </c>
      <c r="AH1237" s="1906">
        <f t="shared" si="1536"/>
        <v>0</v>
      </c>
      <c r="AI1237" s="1906">
        <f t="shared" si="1537"/>
        <v>0</v>
      </c>
      <c r="AJ1237" s="1906">
        <f t="shared" si="1538"/>
        <v>0</v>
      </c>
      <c r="AK1237" s="1906">
        <f t="shared" si="1539"/>
        <v>0</v>
      </c>
      <c r="AL1237" s="1906">
        <f t="shared" si="1540"/>
        <v>0</v>
      </c>
      <c r="AM1237" s="1906">
        <f t="shared" si="1541"/>
        <v>0</v>
      </c>
      <c r="AN1237" s="1906">
        <f t="shared" si="1542"/>
        <v>0</v>
      </c>
      <c r="AO1237" s="107"/>
      <c r="AP1237" s="1906"/>
      <c r="AQ1237" s="1906">
        <f t="shared" si="1543"/>
        <v>0</v>
      </c>
      <c r="AR1237" s="1906">
        <f t="shared" si="1544"/>
        <v>0</v>
      </c>
      <c r="AS1237" s="1906">
        <f t="shared" si="1545"/>
        <v>0</v>
      </c>
      <c r="AT1237" s="1906">
        <f t="shared" si="1546"/>
        <v>0</v>
      </c>
      <c r="AU1237" s="1906">
        <f t="shared" si="1547"/>
        <v>0</v>
      </c>
      <c r="AV1237" s="1906">
        <f t="shared" si="1548"/>
        <v>0</v>
      </c>
      <c r="AW1237" s="1906">
        <f t="shared" si="1549"/>
        <v>0</v>
      </c>
      <c r="AX1237" s="1906">
        <f t="shared" si="1550"/>
        <v>0</v>
      </c>
      <c r="AY1237" s="1906">
        <f t="shared" si="1551"/>
        <v>0</v>
      </c>
      <c r="AZ1237" s="1906">
        <f t="shared" si="1552"/>
        <v>0</v>
      </c>
      <c r="BA1237" s="1906">
        <f t="shared" si="1553"/>
        <v>0</v>
      </c>
      <c r="BB1237" s="107"/>
      <c r="BC1237" s="1906">
        <f t="shared" si="1554"/>
        <v>0</v>
      </c>
      <c r="BD1237" s="1906">
        <f t="shared" si="1555"/>
        <v>0</v>
      </c>
      <c r="BE1237" s="1906">
        <f t="shared" si="1556"/>
        <v>0</v>
      </c>
      <c r="BF1237" s="1906">
        <f t="shared" si="1557"/>
        <v>0</v>
      </c>
      <c r="BG1237" s="1906">
        <f t="shared" si="1558"/>
        <v>0</v>
      </c>
      <c r="BH1237" s="1906">
        <f t="shared" si="1559"/>
        <v>0</v>
      </c>
      <c r="BI1237" s="1906">
        <f t="shared" si="1560"/>
        <v>0</v>
      </c>
      <c r="BJ1237" s="1906">
        <f t="shared" si="1561"/>
        <v>0</v>
      </c>
      <c r="BK1237" s="1906">
        <f t="shared" si="1562"/>
        <v>0</v>
      </c>
      <c r="BL1237" s="1906">
        <f t="shared" si="1563"/>
        <v>0</v>
      </c>
      <c r="BM1237" s="1906">
        <f t="shared" si="1564"/>
        <v>0</v>
      </c>
      <c r="BN1237" s="1906">
        <f t="shared" si="1565"/>
        <v>0</v>
      </c>
      <c r="BO1237" s="107"/>
      <c r="BP1237" s="1906">
        <f t="shared" si="1566"/>
        <v>0</v>
      </c>
      <c r="BQ1237" s="1906">
        <f t="shared" si="1567"/>
        <v>0</v>
      </c>
      <c r="BR1237" s="1906">
        <f t="shared" si="1568"/>
        <v>0</v>
      </c>
      <c r="BS1237" s="1906">
        <f t="shared" si="1569"/>
        <v>0</v>
      </c>
      <c r="BT1237" s="1906">
        <f t="shared" si="1570"/>
        <v>0</v>
      </c>
      <c r="BU1237" s="1906">
        <f t="shared" si="1571"/>
        <v>0</v>
      </c>
      <c r="BV1237" s="1906">
        <f t="shared" si="1572"/>
        <v>0</v>
      </c>
      <c r="BW1237" s="1906">
        <f t="shared" si="1573"/>
        <v>0</v>
      </c>
      <c r="BX1237" s="1906">
        <f t="shared" si="1574"/>
        <v>0</v>
      </c>
      <c r="BY1237" s="1906">
        <f t="shared" si="1575"/>
        <v>0</v>
      </c>
      <c r="BZ1237" s="1906">
        <f t="shared" si="1576"/>
        <v>0</v>
      </c>
      <c r="CA1237" s="1906">
        <f t="shared" si="1577"/>
        <v>0</v>
      </c>
      <c r="CB1237" s="107"/>
      <c r="CC1237" s="1906">
        <f t="shared" si="1578"/>
        <v>0</v>
      </c>
      <c r="CD1237" s="1906">
        <f t="shared" si="1579"/>
        <v>0</v>
      </c>
      <c r="CE1237" s="1906">
        <f t="shared" si="1580"/>
        <v>0</v>
      </c>
      <c r="CF1237" s="1906">
        <f t="shared" si="1581"/>
        <v>0</v>
      </c>
      <c r="CG1237" s="1906">
        <f t="shared" si="1582"/>
        <v>0</v>
      </c>
      <c r="CH1237" s="1906">
        <f t="shared" si="1583"/>
        <v>0</v>
      </c>
      <c r="CI1237" s="1906">
        <f t="shared" si="1584"/>
        <v>0</v>
      </c>
      <c r="CJ1237" s="1906">
        <f t="shared" si="1585"/>
        <v>0</v>
      </c>
      <c r="CK1237" s="1906">
        <f t="shared" si="1586"/>
        <v>0</v>
      </c>
      <c r="CL1237" s="1906">
        <f t="shared" si="1587"/>
        <v>0</v>
      </c>
      <c r="CM1237" s="1906">
        <f t="shared" si="1588"/>
        <v>0</v>
      </c>
      <c r="CN1237" s="1906">
        <f t="shared" si="1589"/>
        <v>0</v>
      </c>
      <c r="CO1237" s="107"/>
      <c r="CP1237" s="1906">
        <f t="shared" si="1590"/>
        <v>0</v>
      </c>
      <c r="CQ1237" s="1906">
        <f t="shared" si="1591"/>
        <v>0</v>
      </c>
      <c r="CR1237" s="1906">
        <f t="shared" si="1592"/>
        <v>0</v>
      </c>
      <c r="CS1237" s="1906">
        <f t="shared" si="1593"/>
        <v>0</v>
      </c>
      <c r="CT1237" s="1906">
        <f t="shared" si="1594"/>
        <v>0</v>
      </c>
      <c r="CU1237" s="1906">
        <f t="shared" si="1595"/>
        <v>0</v>
      </c>
      <c r="CV1237" s="1906">
        <f t="shared" si="1596"/>
        <v>0</v>
      </c>
      <c r="CW1237" s="1906">
        <f t="shared" si="1597"/>
        <v>0</v>
      </c>
      <c r="CX1237" s="1906">
        <f t="shared" si="1598"/>
        <v>0</v>
      </c>
      <c r="CY1237" s="1906">
        <f t="shared" si="1599"/>
        <v>0</v>
      </c>
      <c r="CZ1237" s="1906">
        <f t="shared" si="1600"/>
        <v>0</v>
      </c>
      <c r="DA1237" s="1906">
        <f t="shared" si="1601"/>
        <v>0</v>
      </c>
      <c r="DB1237" s="1971" t="str">
        <f t="shared" si="1602"/>
        <v>Sorgo Forrajero</v>
      </c>
      <c r="DC1237" s="1906">
        <f t="shared" si="1603"/>
        <v>0</v>
      </c>
      <c r="DD1237" s="1906">
        <f t="shared" si="1604"/>
        <v>0</v>
      </c>
      <c r="DE1237" s="1906">
        <f t="shared" si="1605"/>
        <v>0</v>
      </c>
      <c r="DF1237" s="1906">
        <f t="shared" si="1606"/>
        <v>0</v>
      </c>
      <c r="DG1237" s="1906">
        <f t="shared" si="1495"/>
        <v>0</v>
      </c>
      <c r="DH1237" s="1906">
        <f t="shared" si="1496"/>
        <v>0</v>
      </c>
      <c r="DI1237" s="1906">
        <f t="shared" si="1497"/>
        <v>0</v>
      </c>
      <c r="DJ1237" s="1906">
        <f t="shared" si="1498"/>
        <v>0</v>
      </c>
      <c r="DK1237" s="1906">
        <f t="shared" si="1499"/>
        <v>0</v>
      </c>
      <c r="DL1237" s="1906">
        <f t="shared" si="1500"/>
        <v>0</v>
      </c>
      <c r="DM1237" s="1906">
        <f t="shared" si="1501"/>
        <v>0</v>
      </c>
      <c r="DN1237" s="1906">
        <f t="shared" si="1502"/>
        <v>0</v>
      </c>
      <c r="DO1237" s="595" t="str">
        <f t="shared" si="1503"/>
        <v>Sorgo Forrajero</v>
      </c>
      <c r="DP1237" s="1443">
        <f t="shared" si="1504"/>
        <v>0</v>
      </c>
      <c r="DQ1237" s="107"/>
      <c r="DR1237" s="111"/>
      <c r="DS1237" s="1906"/>
      <c r="DT1237" s="1906"/>
      <c r="DU1237" s="1906"/>
      <c r="DV1237" s="1906"/>
      <c r="DW1237" s="1906"/>
      <c r="DX1237" s="1906"/>
      <c r="DY1237" s="1906"/>
      <c r="DZ1237" s="1906"/>
      <c r="EA1237" s="1906"/>
      <c r="EB1237" s="1906"/>
      <c r="EC1237" s="1906"/>
      <c r="ED1237" s="1906"/>
    </row>
    <row r="1238" spans="1:134" x14ac:dyDescent="0.2">
      <c r="A1238" s="107"/>
      <c r="B1238" s="1857" t="str">
        <f t="shared" si="1505"/>
        <v xml:space="preserve">Sudan </v>
      </c>
      <c r="C1238" s="2013">
        <f t="shared" si="1506"/>
        <v>0</v>
      </c>
      <c r="D1238" s="2013">
        <f t="shared" si="1507"/>
        <v>0</v>
      </c>
      <c r="E1238" s="2013">
        <f t="shared" si="1508"/>
        <v>0</v>
      </c>
      <c r="F1238" s="2013">
        <f t="shared" si="1509"/>
        <v>0</v>
      </c>
      <c r="G1238" s="2013">
        <f t="shared" si="1510"/>
        <v>0</v>
      </c>
      <c r="H1238" s="2013">
        <f t="shared" si="1511"/>
        <v>0</v>
      </c>
      <c r="I1238" s="2013">
        <f t="shared" si="1512"/>
        <v>0</v>
      </c>
      <c r="J1238" s="2013">
        <f t="shared" si="1513"/>
        <v>0</v>
      </c>
      <c r="K1238" s="2013">
        <f t="shared" si="1514"/>
        <v>0</v>
      </c>
      <c r="L1238" s="2013">
        <f t="shared" si="1515"/>
        <v>0</v>
      </c>
      <c r="M1238" s="2013">
        <f t="shared" si="1516"/>
        <v>0</v>
      </c>
      <c r="N1238" s="2013">
        <f t="shared" si="1517"/>
        <v>0</v>
      </c>
      <c r="P1238" s="1898" t="str">
        <f t="shared" si="1518"/>
        <v/>
      </c>
      <c r="Q1238" s="1898" t="str">
        <f t="shared" si="1519"/>
        <v/>
      </c>
      <c r="R1238" s="1898" t="str">
        <f t="shared" si="1520"/>
        <v/>
      </c>
      <c r="S1238" s="1898" t="str">
        <f t="shared" si="1521"/>
        <v/>
      </c>
      <c r="T1238" s="1898" t="str">
        <f t="shared" si="1522"/>
        <v/>
      </c>
      <c r="U1238" s="1898" t="str">
        <f t="shared" si="1523"/>
        <v/>
      </c>
      <c r="V1238" s="1898" t="str">
        <f t="shared" si="1524"/>
        <v/>
      </c>
      <c r="W1238" s="1898" t="str">
        <f t="shared" si="1525"/>
        <v/>
      </c>
      <c r="X1238" s="1898" t="str">
        <f t="shared" si="1526"/>
        <v/>
      </c>
      <c r="Y1238" s="1898" t="str">
        <f t="shared" si="1527"/>
        <v/>
      </c>
      <c r="Z1238" s="1898" t="str">
        <f t="shared" si="1528"/>
        <v/>
      </c>
      <c r="AA1238" s="1898" t="str">
        <f t="shared" si="1529"/>
        <v/>
      </c>
      <c r="AB1238" s="1971" t="str">
        <f t="shared" si="1530"/>
        <v xml:space="preserve">Sudan </v>
      </c>
      <c r="AC1238" s="1906">
        <f t="shared" si="1531"/>
        <v>0</v>
      </c>
      <c r="AD1238" s="1906">
        <f t="shared" si="1532"/>
        <v>0</v>
      </c>
      <c r="AE1238" s="1906">
        <f t="shared" si="1533"/>
        <v>0</v>
      </c>
      <c r="AF1238" s="1906">
        <f t="shared" si="1534"/>
        <v>0</v>
      </c>
      <c r="AG1238" s="1906">
        <f t="shared" si="1535"/>
        <v>0</v>
      </c>
      <c r="AH1238" s="1906">
        <f t="shared" si="1536"/>
        <v>0</v>
      </c>
      <c r="AI1238" s="1906">
        <f t="shared" si="1537"/>
        <v>0</v>
      </c>
      <c r="AJ1238" s="1906">
        <f t="shared" si="1538"/>
        <v>0</v>
      </c>
      <c r="AK1238" s="1906">
        <f t="shared" si="1539"/>
        <v>0</v>
      </c>
      <c r="AL1238" s="1906">
        <f t="shared" si="1540"/>
        <v>0</v>
      </c>
      <c r="AM1238" s="1906">
        <f t="shared" si="1541"/>
        <v>0</v>
      </c>
      <c r="AN1238" s="1906">
        <f t="shared" si="1542"/>
        <v>0</v>
      </c>
      <c r="AO1238" s="107"/>
      <c r="AP1238" s="1906"/>
      <c r="AQ1238" s="1906">
        <f t="shared" si="1543"/>
        <v>0</v>
      </c>
      <c r="AR1238" s="1906">
        <f t="shared" si="1544"/>
        <v>0</v>
      </c>
      <c r="AS1238" s="1906">
        <f t="shared" si="1545"/>
        <v>0</v>
      </c>
      <c r="AT1238" s="1906">
        <f t="shared" si="1546"/>
        <v>0</v>
      </c>
      <c r="AU1238" s="1906">
        <f t="shared" si="1547"/>
        <v>0</v>
      </c>
      <c r="AV1238" s="1906">
        <f t="shared" si="1548"/>
        <v>0</v>
      </c>
      <c r="AW1238" s="1906">
        <f t="shared" si="1549"/>
        <v>0</v>
      </c>
      <c r="AX1238" s="1906">
        <f t="shared" si="1550"/>
        <v>0</v>
      </c>
      <c r="AY1238" s="1906">
        <f t="shared" si="1551"/>
        <v>0</v>
      </c>
      <c r="AZ1238" s="1906">
        <f t="shared" si="1552"/>
        <v>0</v>
      </c>
      <c r="BA1238" s="1906">
        <f t="shared" si="1553"/>
        <v>0</v>
      </c>
      <c r="BB1238" s="107"/>
      <c r="BC1238" s="1906">
        <f t="shared" si="1554"/>
        <v>0</v>
      </c>
      <c r="BD1238" s="1906">
        <f t="shared" si="1555"/>
        <v>0</v>
      </c>
      <c r="BE1238" s="1906">
        <f t="shared" si="1556"/>
        <v>0</v>
      </c>
      <c r="BF1238" s="1906">
        <f t="shared" si="1557"/>
        <v>0</v>
      </c>
      <c r="BG1238" s="1906">
        <f t="shared" si="1558"/>
        <v>0</v>
      </c>
      <c r="BH1238" s="1906">
        <f t="shared" si="1559"/>
        <v>0</v>
      </c>
      <c r="BI1238" s="1906">
        <f t="shared" si="1560"/>
        <v>0</v>
      </c>
      <c r="BJ1238" s="1906">
        <f t="shared" si="1561"/>
        <v>0</v>
      </c>
      <c r="BK1238" s="1906">
        <f t="shared" si="1562"/>
        <v>0</v>
      </c>
      <c r="BL1238" s="1906">
        <f t="shared" si="1563"/>
        <v>0</v>
      </c>
      <c r="BM1238" s="1906">
        <f t="shared" si="1564"/>
        <v>0</v>
      </c>
      <c r="BN1238" s="1906">
        <f t="shared" si="1565"/>
        <v>0</v>
      </c>
      <c r="BO1238" s="107"/>
      <c r="BP1238" s="1906">
        <f t="shared" si="1566"/>
        <v>0</v>
      </c>
      <c r="BQ1238" s="1906">
        <f t="shared" si="1567"/>
        <v>0</v>
      </c>
      <c r="BR1238" s="1906">
        <f t="shared" si="1568"/>
        <v>0</v>
      </c>
      <c r="BS1238" s="1906">
        <f t="shared" si="1569"/>
        <v>0</v>
      </c>
      <c r="BT1238" s="1906">
        <f t="shared" si="1570"/>
        <v>0</v>
      </c>
      <c r="BU1238" s="1906">
        <f t="shared" si="1571"/>
        <v>0</v>
      </c>
      <c r="BV1238" s="1906">
        <f t="shared" si="1572"/>
        <v>0</v>
      </c>
      <c r="BW1238" s="1906">
        <f t="shared" si="1573"/>
        <v>0</v>
      </c>
      <c r="BX1238" s="1906">
        <f t="shared" si="1574"/>
        <v>0</v>
      </c>
      <c r="BY1238" s="1906">
        <f t="shared" si="1575"/>
        <v>0</v>
      </c>
      <c r="BZ1238" s="1906">
        <f t="shared" si="1576"/>
        <v>0</v>
      </c>
      <c r="CA1238" s="1906">
        <f t="shared" si="1577"/>
        <v>0</v>
      </c>
      <c r="CB1238" s="107"/>
      <c r="CC1238" s="1906">
        <f t="shared" si="1578"/>
        <v>0</v>
      </c>
      <c r="CD1238" s="1906">
        <f t="shared" si="1579"/>
        <v>0</v>
      </c>
      <c r="CE1238" s="1906">
        <f t="shared" si="1580"/>
        <v>0</v>
      </c>
      <c r="CF1238" s="1906">
        <f t="shared" si="1581"/>
        <v>0</v>
      </c>
      <c r="CG1238" s="1906">
        <f t="shared" si="1582"/>
        <v>0</v>
      </c>
      <c r="CH1238" s="1906">
        <f t="shared" si="1583"/>
        <v>0</v>
      </c>
      <c r="CI1238" s="1906">
        <f t="shared" si="1584"/>
        <v>0</v>
      </c>
      <c r="CJ1238" s="1906">
        <f t="shared" si="1585"/>
        <v>0</v>
      </c>
      <c r="CK1238" s="1906">
        <f t="shared" si="1586"/>
        <v>0</v>
      </c>
      <c r="CL1238" s="1906">
        <f t="shared" si="1587"/>
        <v>0</v>
      </c>
      <c r="CM1238" s="1906">
        <f t="shared" si="1588"/>
        <v>0</v>
      </c>
      <c r="CN1238" s="1906">
        <f t="shared" si="1589"/>
        <v>0</v>
      </c>
      <c r="CO1238" s="107"/>
      <c r="CP1238" s="1906">
        <f t="shared" si="1590"/>
        <v>0</v>
      </c>
      <c r="CQ1238" s="1906">
        <f t="shared" si="1591"/>
        <v>0</v>
      </c>
      <c r="CR1238" s="1906">
        <f t="shared" si="1592"/>
        <v>0</v>
      </c>
      <c r="CS1238" s="1906">
        <f t="shared" si="1593"/>
        <v>0</v>
      </c>
      <c r="CT1238" s="1906">
        <f t="shared" si="1594"/>
        <v>0</v>
      </c>
      <c r="CU1238" s="1906">
        <f t="shared" si="1595"/>
        <v>0</v>
      </c>
      <c r="CV1238" s="1906">
        <f t="shared" si="1596"/>
        <v>0</v>
      </c>
      <c r="CW1238" s="1906">
        <f t="shared" si="1597"/>
        <v>0</v>
      </c>
      <c r="CX1238" s="1906">
        <f t="shared" si="1598"/>
        <v>0</v>
      </c>
      <c r="CY1238" s="1906">
        <f t="shared" si="1599"/>
        <v>0</v>
      </c>
      <c r="CZ1238" s="1906">
        <f t="shared" si="1600"/>
        <v>0</v>
      </c>
      <c r="DA1238" s="1906">
        <f t="shared" si="1601"/>
        <v>0</v>
      </c>
      <c r="DB1238" s="1971" t="str">
        <f t="shared" si="1602"/>
        <v xml:space="preserve">Sudan </v>
      </c>
      <c r="DC1238" s="1906">
        <f t="shared" si="1603"/>
        <v>0</v>
      </c>
      <c r="DD1238" s="1906">
        <f t="shared" si="1604"/>
        <v>0</v>
      </c>
      <c r="DE1238" s="1906">
        <f t="shared" si="1605"/>
        <v>0</v>
      </c>
      <c r="DF1238" s="1906">
        <f t="shared" si="1606"/>
        <v>0</v>
      </c>
      <c r="DG1238" s="1906">
        <f t="shared" si="1495"/>
        <v>0</v>
      </c>
      <c r="DH1238" s="1906">
        <f t="shared" si="1496"/>
        <v>0</v>
      </c>
      <c r="DI1238" s="1906">
        <f t="shared" si="1497"/>
        <v>0</v>
      </c>
      <c r="DJ1238" s="1906">
        <f t="shared" si="1498"/>
        <v>0</v>
      </c>
      <c r="DK1238" s="1906">
        <f t="shared" si="1499"/>
        <v>0</v>
      </c>
      <c r="DL1238" s="1906">
        <f t="shared" si="1500"/>
        <v>0</v>
      </c>
      <c r="DM1238" s="1906">
        <f t="shared" si="1501"/>
        <v>0</v>
      </c>
      <c r="DN1238" s="1906">
        <f t="shared" si="1502"/>
        <v>0</v>
      </c>
      <c r="DO1238" s="595" t="str">
        <f t="shared" si="1503"/>
        <v xml:space="preserve">Sudan </v>
      </c>
      <c r="DP1238" s="1443">
        <f t="shared" si="1504"/>
        <v>0</v>
      </c>
      <c r="DQ1238" s="107"/>
      <c r="DR1238" s="111"/>
      <c r="DS1238" s="1906"/>
      <c r="DT1238" s="1906"/>
      <c r="DU1238" s="1906"/>
      <c r="DV1238" s="1906"/>
      <c r="DW1238" s="1906"/>
      <c r="DX1238" s="1906"/>
      <c r="DY1238" s="1906"/>
      <c r="DZ1238" s="1906"/>
      <c r="EA1238" s="1906"/>
      <c r="EB1238" s="1906"/>
      <c r="EC1238" s="1906"/>
      <c r="ED1238" s="1906"/>
    </row>
    <row r="1239" spans="1:134" x14ac:dyDescent="0.2">
      <c r="A1239" s="107"/>
      <c r="B1239" s="1857">
        <f t="shared" si="1505"/>
        <v>0</v>
      </c>
      <c r="C1239" s="2013">
        <f t="shared" si="1506"/>
        <v>0</v>
      </c>
      <c r="D1239" s="2013">
        <f t="shared" si="1507"/>
        <v>0</v>
      </c>
      <c r="E1239" s="2013">
        <f t="shared" si="1508"/>
        <v>0</v>
      </c>
      <c r="F1239" s="2013">
        <f t="shared" si="1509"/>
        <v>0</v>
      </c>
      <c r="G1239" s="2013">
        <f t="shared" si="1510"/>
        <v>0</v>
      </c>
      <c r="H1239" s="2013">
        <f t="shared" si="1511"/>
        <v>0</v>
      </c>
      <c r="I1239" s="2013">
        <f t="shared" si="1512"/>
        <v>0</v>
      </c>
      <c r="J1239" s="2013">
        <f t="shared" si="1513"/>
        <v>0</v>
      </c>
      <c r="K1239" s="2013">
        <f t="shared" si="1514"/>
        <v>0</v>
      </c>
      <c r="L1239" s="2013">
        <f t="shared" si="1515"/>
        <v>0</v>
      </c>
      <c r="M1239" s="2013">
        <f t="shared" si="1516"/>
        <v>0</v>
      </c>
      <c r="N1239" s="2013">
        <f t="shared" si="1517"/>
        <v>0</v>
      </c>
      <c r="P1239" s="1898" t="str">
        <f t="shared" si="1518"/>
        <v/>
      </c>
      <c r="Q1239" s="1898" t="str">
        <f t="shared" si="1519"/>
        <v/>
      </c>
      <c r="R1239" s="1898" t="str">
        <f t="shared" si="1520"/>
        <v/>
      </c>
      <c r="S1239" s="1898" t="str">
        <f t="shared" si="1521"/>
        <v/>
      </c>
      <c r="T1239" s="1898" t="str">
        <f t="shared" si="1522"/>
        <v/>
      </c>
      <c r="U1239" s="1898" t="str">
        <f t="shared" si="1523"/>
        <v/>
      </c>
      <c r="V1239" s="1898" t="str">
        <f t="shared" si="1524"/>
        <v/>
      </c>
      <c r="W1239" s="1898" t="str">
        <f t="shared" si="1525"/>
        <v/>
      </c>
      <c r="X1239" s="1898" t="str">
        <f t="shared" si="1526"/>
        <v/>
      </c>
      <c r="Y1239" s="1898" t="str">
        <f t="shared" si="1527"/>
        <v/>
      </c>
      <c r="Z1239" s="1898" t="str">
        <f t="shared" si="1528"/>
        <v/>
      </c>
      <c r="AA1239" s="1898" t="str">
        <f t="shared" si="1529"/>
        <v/>
      </c>
      <c r="AB1239" s="1971">
        <f t="shared" si="1530"/>
        <v>0</v>
      </c>
      <c r="AC1239" s="1906">
        <f t="shared" si="1531"/>
        <v>0</v>
      </c>
      <c r="AD1239" s="1906">
        <f t="shared" si="1532"/>
        <v>0</v>
      </c>
      <c r="AE1239" s="1906">
        <f t="shared" si="1533"/>
        <v>0</v>
      </c>
      <c r="AF1239" s="1906">
        <f t="shared" si="1534"/>
        <v>0</v>
      </c>
      <c r="AG1239" s="1906">
        <f t="shared" si="1535"/>
        <v>0</v>
      </c>
      <c r="AH1239" s="1906">
        <f t="shared" si="1536"/>
        <v>0</v>
      </c>
      <c r="AI1239" s="1906">
        <f t="shared" si="1537"/>
        <v>0</v>
      </c>
      <c r="AJ1239" s="1906">
        <f t="shared" si="1538"/>
        <v>0</v>
      </c>
      <c r="AK1239" s="1906">
        <f t="shared" si="1539"/>
        <v>0</v>
      </c>
      <c r="AL1239" s="1906">
        <f t="shared" si="1540"/>
        <v>0</v>
      </c>
      <c r="AM1239" s="1906">
        <f t="shared" si="1541"/>
        <v>0</v>
      </c>
      <c r="AN1239" s="1906">
        <f t="shared" si="1542"/>
        <v>0</v>
      </c>
      <c r="AO1239" s="107"/>
      <c r="AP1239" s="1906"/>
      <c r="AQ1239" s="1906">
        <f t="shared" si="1543"/>
        <v>0</v>
      </c>
      <c r="AR1239" s="1906">
        <f t="shared" si="1544"/>
        <v>0</v>
      </c>
      <c r="AS1239" s="1906">
        <f t="shared" si="1545"/>
        <v>0</v>
      </c>
      <c r="AT1239" s="1906">
        <f t="shared" si="1546"/>
        <v>0</v>
      </c>
      <c r="AU1239" s="1906">
        <f t="shared" si="1547"/>
        <v>0</v>
      </c>
      <c r="AV1239" s="1906">
        <f t="shared" si="1548"/>
        <v>0</v>
      </c>
      <c r="AW1239" s="1906">
        <f t="shared" si="1549"/>
        <v>0</v>
      </c>
      <c r="AX1239" s="1906">
        <f t="shared" si="1550"/>
        <v>0</v>
      </c>
      <c r="AY1239" s="1906">
        <f t="shared" si="1551"/>
        <v>0</v>
      </c>
      <c r="AZ1239" s="1906">
        <f t="shared" si="1552"/>
        <v>0</v>
      </c>
      <c r="BA1239" s="1906">
        <f t="shared" si="1553"/>
        <v>0</v>
      </c>
      <c r="BB1239" s="107"/>
      <c r="BC1239" s="1906">
        <f t="shared" si="1554"/>
        <v>0</v>
      </c>
      <c r="BD1239" s="1906">
        <f t="shared" si="1555"/>
        <v>0</v>
      </c>
      <c r="BE1239" s="1906">
        <f t="shared" si="1556"/>
        <v>0</v>
      </c>
      <c r="BF1239" s="1906">
        <f t="shared" si="1557"/>
        <v>0</v>
      </c>
      <c r="BG1239" s="1906">
        <f t="shared" si="1558"/>
        <v>0</v>
      </c>
      <c r="BH1239" s="1906">
        <f t="shared" si="1559"/>
        <v>0</v>
      </c>
      <c r="BI1239" s="1906">
        <f t="shared" si="1560"/>
        <v>0</v>
      </c>
      <c r="BJ1239" s="1906">
        <f t="shared" si="1561"/>
        <v>0</v>
      </c>
      <c r="BK1239" s="1906">
        <f t="shared" si="1562"/>
        <v>0</v>
      </c>
      <c r="BL1239" s="1906">
        <f t="shared" si="1563"/>
        <v>0</v>
      </c>
      <c r="BM1239" s="1906">
        <f t="shared" si="1564"/>
        <v>0</v>
      </c>
      <c r="BN1239" s="1906">
        <f t="shared" si="1565"/>
        <v>0</v>
      </c>
      <c r="BO1239" s="107"/>
      <c r="BP1239" s="1906">
        <f t="shared" si="1566"/>
        <v>0</v>
      </c>
      <c r="BQ1239" s="1906">
        <f t="shared" si="1567"/>
        <v>0</v>
      </c>
      <c r="BR1239" s="1906">
        <f t="shared" si="1568"/>
        <v>0</v>
      </c>
      <c r="BS1239" s="1906">
        <f t="shared" si="1569"/>
        <v>0</v>
      </c>
      <c r="BT1239" s="1906">
        <f t="shared" si="1570"/>
        <v>0</v>
      </c>
      <c r="BU1239" s="1906">
        <f t="shared" si="1571"/>
        <v>0</v>
      </c>
      <c r="BV1239" s="1906">
        <f t="shared" si="1572"/>
        <v>0</v>
      </c>
      <c r="BW1239" s="1906">
        <f t="shared" si="1573"/>
        <v>0</v>
      </c>
      <c r="BX1239" s="1906">
        <f t="shared" si="1574"/>
        <v>0</v>
      </c>
      <c r="BY1239" s="1906">
        <f t="shared" si="1575"/>
        <v>0</v>
      </c>
      <c r="BZ1239" s="1906">
        <f t="shared" si="1576"/>
        <v>0</v>
      </c>
      <c r="CA1239" s="1906">
        <f t="shared" si="1577"/>
        <v>0</v>
      </c>
      <c r="CB1239" s="107"/>
      <c r="CC1239" s="1906">
        <f t="shared" si="1578"/>
        <v>0</v>
      </c>
      <c r="CD1239" s="1906">
        <f t="shared" si="1579"/>
        <v>0</v>
      </c>
      <c r="CE1239" s="1906">
        <f t="shared" si="1580"/>
        <v>0</v>
      </c>
      <c r="CF1239" s="1906">
        <f t="shared" si="1581"/>
        <v>0</v>
      </c>
      <c r="CG1239" s="1906">
        <f t="shared" si="1582"/>
        <v>0</v>
      </c>
      <c r="CH1239" s="1906">
        <f t="shared" si="1583"/>
        <v>0</v>
      </c>
      <c r="CI1239" s="1906">
        <f t="shared" si="1584"/>
        <v>0</v>
      </c>
      <c r="CJ1239" s="1906">
        <f t="shared" si="1585"/>
        <v>0</v>
      </c>
      <c r="CK1239" s="1906">
        <f t="shared" si="1586"/>
        <v>0</v>
      </c>
      <c r="CL1239" s="1906">
        <f t="shared" si="1587"/>
        <v>0</v>
      </c>
      <c r="CM1239" s="1906">
        <f t="shared" si="1588"/>
        <v>0</v>
      </c>
      <c r="CN1239" s="1906">
        <f t="shared" si="1589"/>
        <v>0</v>
      </c>
      <c r="CO1239" s="107"/>
      <c r="CP1239" s="1906">
        <f t="shared" si="1590"/>
        <v>0</v>
      </c>
      <c r="CQ1239" s="1906">
        <f t="shared" si="1591"/>
        <v>0</v>
      </c>
      <c r="CR1239" s="1906">
        <f t="shared" si="1592"/>
        <v>0</v>
      </c>
      <c r="CS1239" s="1906">
        <f t="shared" si="1593"/>
        <v>0</v>
      </c>
      <c r="CT1239" s="1906">
        <f t="shared" si="1594"/>
        <v>0</v>
      </c>
      <c r="CU1239" s="1906">
        <f t="shared" si="1595"/>
        <v>0</v>
      </c>
      <c r="CV1239" s="1906">
        <f t="shared" si="1596"/>
        <v>0</v>
      </c>
      <c r="CW1239" s="1906">
        <f t="shared" si="1597"/>
        <v>0</v>
      </c>
      <c r="CX1239" s="1906">
        <f t="shared" si="1598"/>
        <v>0</v>
      </c>
      <c r="CY1239" s="1906">
        <f t="shared" si="1599"/>
        <v>0</v>
      </c>
      <c r="CZ1239" s="1906">
        <f t="shared" si="1600"/>
        <v>0</v>
      </c>
      <c r="DA1239" s="1906">
        <f t="shared" si="1601"/>
        <v>0</v>
      </c>
      <c r="DB1239" s="1971">
        <f t="shared" si="1602"/>
        <v>0</v>
      </c>
      <c r="DC1239" s="1906">
        <f t="shared" si="1603"/>
        <v>0</v>
      </c>
      <c r="DD1239" s="1906">
        <f t="shared" si="1604"/>
        <v>0</v>
      </c>
      <c r="DE1239" s="1906">
        <f t="shared" si="1605"/>
        <v>0</v>
      </c>
      <c r="DF1239" s="1906">
        <f t="shared" si="1606"/>
        <v>0</v>
      </c>
      <c r="DG1239" s="1906">
        <f t="shared" si="1495"/>
        <v>0</v>
      </c>
      <c r="DH1239" s="1906">
        <f t="shared" si="1496"/>
        <v>0</v>
      </c>
      <c r="DI1239" s="1906">
        <f t="shared" si="1497"/>
        <v>0</v>
      </c>
      <c r="DJ1239" s="1906">
        <f t="shared" si="1498"/>
        <v>0</v>
      </c>
      <c r="DK1239" s="1906">
        <f t="shared" si="1499"/>
        <v>0</v>
      </c>
      <c r="DL1239" s="1906">
        <f t="shared" si="1500"/>
        <v>0</v>
      </c>
      <c r="DM1239" s="1906">
        <f t="shared" si="1501"/>
        <v>0</v>
      </c>
      <c r="DN1239" s="1906">
        <f t="shared" si="1502"/>
        <v>0</v>
      </c>
      <c r="DO1239" s="595">
        <f t="shared" si="1503"/>
        <v>0</v>
      </c>
      <c r="DP1239" s="1443">
        <f t="shared" si="1504"/>
        <v>0</v>
      </c>
      <c r="DQ1239" s="107"/>
      <c r="DR1239" s="111"/>
      <c r="DS1239" s="1906"/>
      <c r="DT1239" s="1906"/>
      <c r="DU1239" s="1906"/>
      <c r="DV1239" s="1906"/>
      <c r="DW1239" s="1906"/>
      <c r="DX1239" s="1906"/>
      <c r="DY1239" s="1906"/>
      <c r="DZ1239" s="1906"/>
      <c r="EA1239" s="1906"/>
      <c r="EB1239" s="1906"/>
      <c r="EC1239" s="1906"/>
      <c r="ED1239" s="1906"/>
    </row>
    <row r="1240" spans="1:134" x14ac:dyDescent="0.2">
      <c r="A1240" s="107"/>
      <c r="B1240" s="1857">
        <f t="shared" si="1505"/>
        <v>0</v>
      </c>
      <c r="C1240" s="2013">
        <f t="shared" si="1506"/>
        <v>0</v>
      </c>
      <c r="D1240" s="2013">
        <f t="shared" si="1507"/>
        <v>0</v>
      </c>
      <c r="E1240" s="2013">
        <f t="shared" si="1508"/>
        <v>0</v>
      </c>
      <c r="F1240" s="2013">
        <f t="shared" si="1509"/>
        <v>0</v>
      </c>
      <c r="G1240" s="2013">
        <f t="shared" si="1510"/>
        <v>0</v>
      </c>
      <c r="H1240" s="2013">
        <f t="shared" si="1511"/>
        <v>0</v>
      </c>
      <c r="I1240" s="2013">
        <f t="shared" si="1512"/>
        <v>0</v>
      </c>
      <c r="J1240" s="2013">
        <f t="shared" si="1513"/>
        <v>0</v>
      </c>
      <c r="K1240" s="2013">
        <f t="shared" si="1514"/>
        <v>0</v>
      </c>
      <c r="L1240" s="2013">
        <f t="shared" si="1515"/>
        <v>0</v>
      </c>
      <c r="M1240" s="2013">
        <f t="shared" si="1516"/>
        <v>0</v>
      </c>
      <c r="N1240" s="2013">
        <f t="shared" si="1517"/>
        <v>0</v>
      </c>
      <c r="P1240" s="1898" t="str">
        <f t="shared" si="1518"/>
        <v/>
      </c>
      <c r="Q1240" s="1898" t="str">
        <f t="shared" si="1519"/>
        <v/>
      </c>
      <c r="R1240" s="1898" t="str">
        <f t="shared" si="1520"/>
        <v/>
      </c>
      <c r="S1240" s="1898" t="str">
        <f t="shared" si="1521"/>
        <v/>
      </c>
      <c r="T1240" s="1898" t="str">
        <f t="shared" si="1522"/>
        <v/>
      </c>
      <c r="U1240" s="1898" t="str">
        <f t="shared" si="1523"/>
        <v/>
      </c>
      <c r="V1240" s="1898" t="str">
        <f t="shared" si="1524"/>
        <v/>
      </c>
      <c r="W1240" s="1898" t="str">
        <f t="shared" si="1525"/>
        <v/>
      </c>
      <c r="X1240" s="1898" t="str">
        <f t="shared" si="1526"/>
        <v/>
      </c>
      <c r="Y1240" s="1898" t="str">
        <f t="shared" si="1527"/>
        <v/>
      </c>
      <c r="Z1240" s="1898" t="str">
        <f t="shared" si="1528"/>
        <v/>
      </c>
      <c r="AA1240" s="1898" t="str">
        <f t="shared" si="1529"/>
        <v/>
      </c>
      <c r="AB1240" s="1971">
        <f t="shared" si="1530"/>
        <v>0</v>
      </c>
      <c r="AC1240" s="1906">
        <f t="shared" si="1531"/>
        <v>0</v>
      </c>
      <c r="AD1240" s="1906">
        <f t="shared" si="1532"/>
        <v>0</v>
      </c>
      <c r="AE1240" s="1906">
        <f t="shared" si="1533"/>
        <v>0</v>
      </c>
      <c r="AF1240" s="1906">
        <f t="shared" si="1534"/>
        <v>0</v>
      </c>
      <c r="AG1240" s="1906">
        <f t="shared" si="1535"/>
        <v>0</v>
      </c>
      <c r="AH1240" s="1906">
        <f t="shared" si="1536"/>
        <v>0</v>
      </c>
      <c r="AI1240" s="1906">
        <f t="shared" si="1537"/>
        <v>0</v>
      </c>
      <c r="AJ1240" s="1906">
        <f t="shared" si="1538"/>
        <v>0</v>
      </c>
      <c r="AK1240" s="1906">
        <f t="shared" si="1539"/>
        <v>0</v>
      </c>
      <c r="AL1240" s="1906">
        <f t="shared" si="1540"/>
        <v>0</v>
      </c>
      <c r="AM1240" s="1906">
        <f t="shared" si="1541"/>
        <v>0</v>
      </c>
      <c r="AN1240" s="1906">
        <f t="shared" si="1542"/>
        <v>0</v>
      </c>
      <c r="AO1240" s="107"/>
      <c r="AP1240" s="1906"/>
      <c r="AQ1240" s="1906">
        <f t="shared" si="1543"/>
        <v>0</v>
      </c>
      <c r="AR1240" s="1906">
        <f t="shared" si="1544"/>
        <v>0</v>
      </c>
      <c r="AS1240" s="1906">
        <f t="shared" si="1545"/>
        <v>0</v>
      </c>
      <c r="AT1240" s="1906">
        <f t="shared" si="1546"/>
        <v>0</v>
      </c>
      <c r="AU1240" s="1906">
        <f t="shared" si="1547"/>
        <v>0</v>
      </c>
      <c r="AV1240" s="1906">
        <f t="shared" si="1548"/>
        <v>0</v>
      </c>
      <c r="AW1240" s="1906">
        <f t="shared" si="1549"/>
        <v>0</v>
      </c>
      <c r="AX1240" s="1906">
        <f t="shared" si="1550"/>
        <v>0</v>
      </c>
      <c r="AY1240" s="1906">
        <f t="shared" si="1551"/>
        <v>0</v>
      </c>
      <c r="AZ1240" s="1906">
        <f t="shared" si="1552"/>
        <v>0</v>
      </c>
      <c r="BA1240" s="1906">
        <f t="shared" si="1553"/>
        <v>0</v>
      </c>
      <c r="BB1240" s="107"/>
      <c r="BC1240" s="1906">
        <f t="shared" si="1554"/>
        <v>0</v>
      </c>
      <c r="BD1240" s="1906">
        <f t="shared" si="1555"/>
        <v>0</v>
      </c>
      <c r="BE1240" s="1906">
        <f t="shared" si="1556"/>
        <v>0</v>
      </c>
      <c r="BF1240" s="1906">
        <f t="shared" si="1557"/>
        <v>0</v>
      </c>
      <c r="BG1240" s="1906">
        <f t="shared" si="1558"/>
        <v>0</v>
      </c>
      <c r="BH1240" s="1906">
        <f t="shared" si="1559"/>
        <v>0</v>
      </c>
      <c r="BI1240" s="1906">
        <f t="shared" si="1560"/>
        <v>0</v>
      </c>
      <c r="BJ1240" s="1906">
        <f t="shared" si="1561"/>
        <v>0</v>
      </c>
      <c r="BK1240" s="1906">
        <f t="shared" si="1562"/>
        <v>0</v>
      </c>
      <c r="BL1240" s="1906">
        <f t="shared" si="1563"/>
        <v>0</v>
      </c>
      <c r="BM1240" s="1906">
        <f t="shared" si="1564"/>
        <v>0</v>
      </c>
      <c r="BN1240" s="1906">
        <f t="shared" si="1565"/>
        <v>0</v>
      </c>
      <c r="BO1240" s="107"/>
      <c r="BP1240" s="1906">
        <f t="shared" si="1566"/>
        <v>0</v>
      </c>
      <c r="BQ1240" s="1906">
        <f t="shared" si="1567"/>
        <v>0</v>
      </c>
      <c r="BR1240" s="1906">
        <f t="shared" si="1568"/>
        <v>0</v>
      </c>
      <c r="BS1240" s="1906">
        <f t="shared" si="1569"/>
        <v>0</v>
      </c>
      <c r="BT1240" s="1906">
        <f t="shared" si="1570"/>
        <v>0</v>
      </c>
      <c r="BU1240" s="1906">
        <f t="shared" si="1571"/>
        <v>0</v>
      </c>
      <c r="BV1240" s="1906">
        <f t="shared" si="1572"/>
        <v>0</v>
      </c>
      <c r="BW1240" s="1906">
        <f t="shared" si="1573"/>
        <v>0</v>
      </c>
      <c r="BX1240" s="1906">
        <f t="shared" si="1574"/>
        <v>0</v>
      </c>
      <c r="BY1240" s="1906">
        <f t="shared" si="1575"/>
        <v>0</v>
      </c>
      <c r="BZ1240" s="1906">
        <f t="shared" si="1576"/>
        <v>0</v>
      </c>
      <c r="CA1240" s="1906">
        <f t="shared" si="1577"/>
        <v>0</v>
      </c>
      <c r="CB1240" s="107"/>
      <c r="CC1240" s="1906">
        <f t="shared" si="1578"/>
        <v>0</v>
      </c>
      <c r="CD1240" s="1906">
        <f t="shared" si="1579"/>
        <v>0</v>
      </c>
      <c r="CE1240" s="1906">
        <f t="shared" si="1580"/>
        <v>0</v>
      </c>
      <c r="CF1240" s="1906">
        <f t="shared" si="1581"/>
        <v>0</v>
      </c>
      <c r="CG1240" s="1906">
        <f t="shared" si="1582"/>
        <v>0</v>
      </c>
      <c r="CH1240" s="1906">
        <f t="shared" si="1583"/>
        <v>0</v>
      </c>
      <c r="CI1240" s="1906">
        <f t="shared" si="1584"/>
        <v>0</v>
      </c>
      <c r="CJ1240" s="1906">
        <f t="shared" si="1585"/>
        <v>0</v>
      </c>
      <c r="CK1240" s="1906">
        <f t="shared" si="1586"/>
        <v>0</v>
      </c>
      <c r="CL1240" s="1906">
        <f t="shared" si="1587"/>
        <v>0</v>
      </c>
      <c r="CM1240" s="1906">
        <f t="shared" si="1588"/>
        <v>0</v>
      </c>
      <c r="CN1240" s="1906">
        <f t="shared" si="1589"/>
        <v>0</v>
      </c>
      <c r="CO1240" s="107"/>
      <c r="CP1240" s="1906">
        <f t="shared" si="1590"/>
        <v>0</v>
      </c>
      <c r="CQ1240" s="1906">
        <f t="shared" si="1591"/>
        <v>0</v>
      </c>
      <c r="CR1240" s="1906">
        <f t="shared" si="1592"/>
        <v>0</v>
      </c>
      <c r="CS1240" s="1906">
        <f t="shared" si="1593"/>
        <v>0</v>
      </c>
      <c r="CT1240" s="1906">
        <f t="shared" si="1594"/>
        <v>0</v>
      </c>
      <c r="CU1240" s="1906">
        <f t="shared" si="1595"/>
        <v>0</v>
      </c>
      <c r="CV1240" s="1906">
        <f t="shared" si="1596"/>
        <v>0</v>
      </c>
      <c r="CW1240" s="1906">
        <f t="shared" si="1597"/>
        <v>0</v>
      </c>
      <c r="CX1240" s="1906">
        <f t="shared" si="1598"/>
        <v>0</v>
      </c>
      <c r="CY1240" s="1906">
        <f t="shared" si="1599"/>
        <v>0</v>
      </c>
      <c r="CZ1240" s="1906">
        <f t="shared" si="1600"/>
        <v>0</v>
      </c>
      <c r="DA1240" s="1906">
        <f t="shared" si="1601"/>
        <v>0</v>
      </c>
      <c r="DB1240" s="1971">
        <f t="shared" si="1602"/>
        <v>0</v>
      </c>
      <c r="DC1240" s="1906">
        <f t="shared" si="1603"/>
        <v>0</v>
      </c>
      <c r="DD1240" s="1906">
        <f t="shared" si="1604"/>
        <v>0</v>
      </c>
      <c r="DE1240" s="1906">
        <f t="shared" si="1605"/>
        <v>0</v>
      </c>
      <c r="DF1240" s="1906">
        <f t="shared" si="1606"/>
        <v>0</v>
      </c>
      <c r="DG1240" s="1906">
        <f t="shared" si="1495"/>
        <v>0</v>
      </c>
      <c r="DH1240" s="1906">
        <f t="shared" si="1496"/>
        <v>0</v>
      </c>
      <c r="DI1240" s="1906">
        <f t="shared" si="1497"/>
        <v>0</v>
      </c>
      <c r="DJ1240" s="1906">
        <f t="shared" si="1498"/>
        <v>0</v>
      </c>
      <c r="DK1240" s="1906">
        <f t="shared" si="1499"/>
        <v>0</v>
      </c>
      <c r="DL1240" s="1906">
        <f t="shared" si="1500"/>
        <v>0</v>
      </c>
      <c r="DM1240" s="1906">
        <f t="shared" si="1501"/>
        <v>0</v>
      </c>
      <c r="DN1240" s="1906">
        <f t="shared" si="1502"/>
        <v>0</v>
      </c>
      <c r="DO1240" s="595">
        <f t="shared" si="1503"/>
        <v>0</v>
      </c>
      <c r="DP1240" s="1443">
        <f t="shared" si="1504"/>
        <v>0</v>
      </c>
      <c r="DQ1240" s="107"/>
      <c r="DR1240" s="111"/>
      <c r="DS1240" s="1906"/>
      <c r="DT1240" s="1906"/>
      <c r="DU1240" s="1906"/>
      <c r="DV1240" s="1906"/>
      <c r="DW1240" s="1906"/>
      <c r="DX1240" s="1906"/>
      <c r="DY1240" s="1906"/>
      <c r="DZ1240" s="1906"/>
      <c r="EA1240" s="1906"/>
      <c r="EB1240" s="1906"/>
      <c r="EC1240" s="1906"/>
      <c r="ED1240" s="1906"/>
    </row>
    <row r="1241" spans="1:134" ht="15.05" thickBot="1" x14ac:dyDescent="0.25">
      <c r="A1241" s="107"/>
      <c r="B1241" s="1857">
        <f t="shared" si="1505"/>
        <v>0</v>
      </c>
      <c r="C1241" s="2013">
        <f t="shared" si="1506"/>
        <v>0</v>
      </c>
      <c r="D1241" s="2013">
        <f t="shared" si="1507"/>
        <v>0</v>
      </c>
      <c r="E1241" s="2013">
        <f t="shared" si="1508"/>
        <v>0</v>
      </c>
      <c r="F1241" s="2013">
        <f t="shared" si="1509"/>
        <v>0</v>
      </c>
      <c r="G1241" s="2013">
        <f t="shared" si="1510"/>
        <v>0</v>
      </c>
      <c r="H1241" s="2013">
        <f t="shared" si="1511"/>
        <v>0</v>
      </c>
      <c r="I1241" s="2013">
        <f t="shared" si="1512"/>
        <v>0</v>
      </c>
      <c r="J1241" s="2013">
        <f t="shared" si="1513"/>
        <v>0</v>
      </c>
      <c r="K1241" s="2013">
        <f t="shared" si="1514"/>
        <v>0</v>
      </c>
      <c r="L1241" s="2013">
        <f t="shared" si="1515"/>
        <v>0</v>
      </c>
      <c r="M1241" s="2013">
        <f t="shared" si="1516"/>
        <v>0</v>
      </c>
      <c r="N1241" s="2013">
        <f t="shared" si="1517"/>
        <v>0</v>
      </c>
      <c r="P1241" s="1898" t="str">
        <f t="shared" si="1518"/>
        <v/>
      </c>
      <c r="Q1241" s="1898" t="str">
        <f t="shared" si="1519"/>
        <v/>
      </c>
      <c r="R1241" s="1898" t="str">
        <f t="shared" si="1520"/>
        <v/>
      </c>
      <c r="S1241" s="1898" t="str">
        <f t="shared" si="1521"/>
        <v/>
      </c>
      <c r="T1241" s="1898" t="str">
        <f t="shared" si="1522"/>
        <v/>
      </c>
      <c r="U1241" s="1898" t="str">
        <f t="shared" si="1523"/>
        <v/>
      </c>
      <c r="V1241" s="1898" t="str">
        <f t="shared" si="1524"/>
        <v/>
      </c>
      <c r="W1241" s="1898" t="str">
        <f t="shared" si="1525"/>
        <v/>
      </c>
      <c r="X1241" s="1898" t="str">
        <f t="shared" si="1526"/>
        <v/>
      </c>
      <c r="Y1241" s="1898" t="str">
        <f t="shared" si="1527"/>
        <v/>
      </c>
      <c r="Z1241" s="1898" t="str">
        <f t="shared" si="1528"/>
        <v/>
      </c>
      <c r="AA1241" s="1898" t="str">
        <f t="shared" si="1529"/>
        <v/>
      </c>
      <c r="AB1241" s="1971">
        <f t="shared" si="1530"/>
        <v>0</v>
      </c>
      <c r="AC1241" s="1906">
        <f t="shared" si="1531"/>
        <v>0</v>
      </c>
      <c r="AD1241" s="1906">
        <f t="shared" si="1532"/>
        <v>0</v>
      </c>
      <c r="AE1241" s="1906">
        <f t="shared" si="1533"/>
        <v>0</v>
      </c>
      <c r="AF1241" s="1906">
        <f t="shared" si="1534"/>
        <v>0</v>
      </c>
      <c r="AG1241" s="1906">
        <f t="shared" si="1535"/>
        <v>0</v>
      </c>
      <c r="AH1241" s="1906">
        <f t="shared" si="1536"/>
        <v>0</v>
      </c>
      <c r="AI1241" s="1906">
        <f t="shared" si="1537"/>
        <v>0</v>
      </c>
      <c r="AJ1241" s="1906">
        <f t="shared" si="1538"/>
        <v>0</v>
      </c>
      <c r="AK1241" s="1906">
        <f t="shared" si="1539"/>
        <v>0</v>
      </c>
      <c r="AL1241" s="1906">
        <f t="shared" si="1540"/>
        <v>0</v>
      </c>
      <c r="AM1241" s="1906">
        <f t="shared" si="1541"/>
        <v>0</v>
      </c>
      <c r="AN1241" s="1906">
        <f t="shared" si="1542"/>
        <v>0</v>
      </c>
      <c r="AO1241" s="107"/>
      <c r="AP1241" s="1906"/>
      <c r="AQ1241" s="1906">
        <f t="shared" si="1543"/>
        <v>0</v>
      </c>
      <c r="AR1241" s="1906">
        <f t="shared" si="1544"/>
        <v>0</v>
      </c>
      <c r="AS1241" s="1906">
        <f t="shared" si="1545"/>
        <v>0</v>
      </c>
      <c r="AT1241" s="1906">
        <f t="shared" si="1546"/>
        <v>0</v>
      </c>
      <c r="AU1241" s="1906">
        <f t="shared" si="1547"/>
        <v>0</v>
      </c>
      <c r="AV1241" s="1906">
        <f t="shared" si="1548"/>
        <v>0</v>
      </c>
      <c r="AW1241" s="1906">
        <f t="shared" si="1549"/>
        <v>0</v>
      </c>
      <c r="AX1241" s="1906">
        <f t="shared" si="1550"/>
        <v>0</v>
      </c>
      <c r="AY1241" s="1906">
        <f t="shared" si="1551"/>
        <v>0</v>
      </c>
      <c r="AZ1241" s="1906">
        <f t="shared" si="1552"/>
        <v>0</v>
      </c>
      <c r="BA1241" s="1906">
        <f t="shared" si="1553"/>
        <v>0</v>
      </c>
      <c r="BB1241" s="107"/>
      <c r="BC1241" s="1906">
        <f t="shared" si="1554"/>
        <v>0</v>
      </c>
      <c r="BD1241" s="1906">
        <f t="shared" si="1555"/>
        <v>0</v>
      </c>
      <c r="BE1241" s="1906">
        <f t="shared" si="1556"/>
        <v>0</v>
      </c>
      <c r="BF1241" s="1906">
        <f t="shared" si="1557"/>
        <v>0</v>
      </c>
      <c r="BG1241" s="1906">
        <f t="shared" si="1558"/>
        <v>0</v>
      </c>
      <c r="BH1241" s="1906">
        <f t="shared" si="1559"/>
        <v>0</v>
      </c>
      <c r="BI1241" s="1906">
        <f t="shared" si="1560"/>
        <v>0</v>
      </c>
      <c r="BJ1241" s="1906">
        <f t="shared" si="1561"/>
        <v>0</v>
      </c>
      <c r="BK1241" s="1906">
        <f t="shared" si="1562"/>
        <v>0</v>
      </c>
      <c r="BL1241" s="1906">
        <f t="shared" si="1563"/>
        <v>0</v>
      </c>
      <c r="BM1241" s="1906">
        <f t="shared" si="1564"/>
        <v>0</v>
      </c>
      <c r="BN1241" s="1906">
        <f t="shared" si="1565"/>
        <v>0</v>
      </c>
      <c r="BO1241" s="107"/>
      <c r="BP1241" s="1906">
        <f t="shared" si="1566"/>
        <v>0</v>
      </c>
      <c r="BQ1241" s="1906">
        <f t="shared" si="1567"/>
        <v>0</v>
      </c>
      <c r="BR1241" s="1906">
        <f t="shared" si="1568"/>
        <v>0</v>
      </c>
      <c r="BS1241" s="1906">
        <f t="shared" si="1569"/>
        <v>0</v>
      </c>
      <c r="BT1241" s="1906">
        <f t="shared" si="1570"/>
        <v>0</v>
      </c>
      <c r="BU1241" s="1906">
        <f t="shared" si="1571"/>
        <v>0</v>
      </c>
      <c r="BV1241" s="1906">
        <f t="shared" si="1572"/>
        <v>0</v>
      </c>
      <c r="BW1241" s="1906">
        <f t="shared" si="1573"/>
        <v>0</v>
      </c>
      <c r="BX1241" s="1906">
        <f t="shared" si="1574"/>
        <v>0</v>
      </c>
      <c r="BY1241" s="1906">
        <f t="shared" si="1575"/>
        <v>0</v>
      </c>
      <c r="BZ1241" s="1906">
        <f t="shared" si="1576"/>
        <v>0</v>
      </c>
      <c r="CA1241" s="1906">
        <f t="shared" si="1577"/>
        <v>0</v>
      </c>
      <c r="CB1241" s="107"/>
      <c r="CC1241" s="1906">
        <f t="shared" si="1578"/>
        <v>0</v>
      </c>
      <c r="CD1241" s="1906">
        <f t="shared" si="1579"/>
        <v>0</v>
      </c>
      <c r="CE1241" s="1906">
        <f t="shared" si="1580"/>
        <v>0</v>
      </c>
      <c r="CF1241" s="1906">
        <f t="shared" si="1581"/>
        <v>0</v>
      </c>
      <c r="CG1241" s="1906">
        <f t="shared" si="1582"/>
        <v>0</v>
      </c>
      <c r="CH1241" s="1906">
        <f t="shared" si="1583"/>
        <v>0</v>
      </c>
      <c r="CI1241" s="1906">
        <f t="shared" si="1584"/>
        <v>0</v>
      </c>
      <c r="CJ1241" s="1906">
        <f t="shared" si="1585"/>
        <v>0</v>
      </c>
      <c r="CK1241" s="1906">
        <f t="shared" si="1586"/>
        <v>0</v>
      </c>
      <c r="CL1241" s="1906">
        <f t="shared" si="1587"/>
        <v>0</v>
      </c>
      <c r="CM1241" s="1906">
        <f t="shared" si="1588"/>
        <v>0</v>
      </c>
      <c r="CN1241" s="1906">
        <f t="shared" si="1589"/>
        <v>0</v>
      </c>
      <c r="CO1241" s="107"/>
      <c r="CP1241" s="1906">
        <f t="shared" si="1590"/>
        <v>0</v>
      </c>
      <c r="CQ1241" s="1906">
        <f t="shared" si="1591"/>
        <v>0</v>
      </c>
      <c r="CR1241" s="1906">
        <f t="shared" si="1592"/>
        <v>0</v>
      </c>
      <c r="CS1241" s="1906">
        <f t="shared" si="1593"/>
        <v>0</v>
      </c>
      <c r="CT1241" s="1906">
        <f t="shared" si="1594"/>
        <v>0</v>
      </c>
      <c r="CU1241" s="1906">
        <f t="shared" si="1595"/>
        <v>0</v>
      </c>
      <c r="CV1241" s="1906">
        <f t="shared" si="1596"/>
        <v>0</v>
      </c>
      <c r="CW1241" s="1906">
        <f t="shared" si="1597"/>
        <v>0</v>
      </c>
      <c r="CX1241" s="1906">
        <f t="shared" si="1598"/>
        <v>0</v>
      </c>
      <c r="CY1241" s="1906">
        <f t="shared" si="1599"/>
        <v>0</v>
      </c>
      <c r="CZ1241" s="1906">
        <f t="shared" si="1600"/>
        <v>0</v>
      </c>
      <c r="DA1241" s="1906">
        <f t="shared" si="1601"/>
        <v>0</v>
      </c>
      <c r="DB1241" s="1971">
        <f t="shared" si="1602"/>
        <v>0</v>
      </c>
      <c r="DC1241" s="1906">
        <f t="shared" si="1603"/>
        <v>0</v>
      </c>
      <c r="DD1241" s="1906">
        <f t="shared" si="1604"/>
        <v>0</v>
      </c>
      <c r="DE1241" s="1906">
        <f t="shared" si="1605"/>
        <v>0</v>
      </c>
      <c r="DF1241" s="1906">
        <f t="shared" si="1606"/>
        <v>0</v>
      </c>
      <c r="DG1241" s="1906">
        <f t="shared" si="1495"/>
        <v>0</v>
      </c>
      <c r="DH1241" s="1906">
        <f t="shared" si="1496"/>
        <v>0</v>
      </c>
      <c r="DI1241" s="1906">
        <f t="shared" si="1497"/>
        <v>0</v>
      </c>
      <c r="DJ1241" s="1906">
        <f t="shared" si="1498"/>
        <v>0</v>
      </c>
      <c r="DK1241" s="1906">
        <f t="shared" si="1499"/>
        <v>0</v>
      </c>
      <c r="DL1241" s="1906">
        <f t="shared" si="1500"/>
        <v>0</v>
      </c>
      <c r="DM1241" s="1906">
        <f t="shared" si="1501"/>
        <v>0</v>
      </c>
      <c r="DN1241" s="1906">
        <f t="shared" si="1502"/>
        <v>0</v>
      </c>
      <c r="DO1241" s="595">
        <f t="shared" si="1503"/>
        <v>0</v>
      </c>
      <c r="DP1241" s="1443">
        <f t="shared" si="1504"/>
        <v>0</v>
      </c>
      <c r="DQ1241" s="107"/>
      <c r="DR1241" s="111"/>
      <c r="DS1241" s="1906"/>
      <c r="DT1241" s="1906"/>
      <c r="DU1241" s="1906"/>
      <c r="DV1241" s="1906"/>
      <c r="DW1241" s="1906"/>
      <c r="DX1241" s="1906"/>
      <c r="DY1241" s="1906"/>
      <c r="DZ1241" s="1906"/>
      <c r="EA1241" s="1906"/>
      <c r="EB1241" s="1906"/>
      <c r="EC1241" s="1906"/>
      <c r="ED1241" s="1906"/>
    </row>
    <row r="1242" spans="1:134" ht="15.05" thickBot="1" x14ac:dyDescent="0.25">
      <c r="A1242" s="107"/>
      <c r="B1242" s="2035" t="str">
        <f t="shared" si="1505"/>
        <v xml:space="preserve">Subtotal Verdeos de Verano </v>
      </c>
      <c r="C1242" s="2013">
        <f t="shared" si="1506"/>
        <v>0</v>
      </c>
      <c r="D1242" s="2013">
        <f t="shared" si="1507"/>
        <v>0</v>
      </c>
      <c r="E1242" s="2013">
        <f t="shared" si="1508"/>
        <v>0</v>
      </c>
      <c r="F1242" s="2013">
        <f t="shared" si="1509"/>
        <v>0</v>
      </c>
      <c r="G1242" s="2013">
        <f t="shared" si="1510"/>
        <v>0</v>
      </c>
      <c r="H1242" s="2013">
        <f t="shared" si="1511"/>
        <v>0</v>
      </c>
      <c r="I1242" s="2013">
        <f t="shared" si="1512"/>
        <v>0</v>
      </c>
      <c r="J1242" s="2013">
        <f t="shared" si="1513"/>
        <v>0</v>
      </c>
      <c r="K1242" s="2013">
        <f t="shared" si="1514"/>
        <v>0</v>
      </c>
      <c r="L1242" s="2013">
        <f t="shared" si="1515"/>
        <v>0</v>
      </c>
      <c r="M1242" s="2013">
        <f t="shared" si="1516"/>
        <v>0</v>
      </c>
      <c r="N1242" s="2013">
        <f t="shared" si="1517"/>
        <v>0</v>
      </c>
      <c r="P1242" s="1898" t="str">
        <f t="shared" si="1518"/>
        <v/>
      </c>
      <c r="Q1242" s="1898" t="str">
        <f t="shared" si="1519"/>
        <v/>
      </c>
      <c r="R1242" s="1898" t="str">
        <f t="shared" si="1520"/>
        <v/>
      </c>
      <c r="S1242" s="1898" t="str">
        <f t="shared" si="1521"/>
        <v/>
      </c>
      <c r="T1242" s="1898" t="str">
        <f t="shared" si="1522"/>
        <v/>
      </c>
      <c r="U1242" s="1898" t="str">
        <f t="shared" si="1523"/>
        <v/>
      </c>
      <c r="V1242" s="1898" t="str">
        <f t="shared" si="1524"/>
        <v/>
      </c>
      <c r="W1242" s="1898" t="str">
        <f t="shared" si="1525"/>
        <v/>
      </c>
      <c r="X1242" s="1898" t="str">
        <f t="shared" si="1526"/>
        <v/>
      </c>
      <c r="Y1242" s="1898" t="str">
        <f t="shared" si="1527"/>
        <v/>
      </c>
      <c r="Z1242" s="1898" t="str">
        <f t="shared" si="1528"/>
        <v/>
      </c>
      <c r="AA1242" s="1898" t="str">
        <f t="shared" si="1529"/>
        <v/>
      </c>
      <c r="AB1242" s="1971" t="str">
        <f t="shared" si="1530"/>
        <v xml:space="preserve">Subtotal Verdeos de Verano </v>
      </c>
      <c r="AC1242" s="1906">
        <f t="shared" si="1531"/>
        <v>0</v>
      </c>
      <c r="AD1242" s="1906">
        <f t="shared" si="1532"/>
        <v>0</v>
      </c>
      <c r="AE1242" s="1906">
        <f t="shared" si="1533"/>
        <v>0</v>
      </c>
      <c r="AF1242" s="1906">
        <f t="shared" si="1534"/>
        <v>0</v>
      </c>
      <c r="AG1242" s="1906">
        <f t="shared" si="1535"/>
        <v>0</v>
      </c>
      <c r="AH1242" s="1906">
        <f t="shared" si="1536"/>
        <v>0</v>
      </c>
      <c r="AI1242" s="1906">
        <f t="shared" si="1537"/>
        <v>0</v>
      </c>
      <c r="AJ1242" s="1906">
        <f t="shared" si="1538"/>
        <v>0</v>
      </c>
      <c r="AK1242" s="1906">
        <f t="shared" si="1539"/>
        <v>0</v>
      </c>
      <c r="AL1242" s="1906">
        <f t="shared" si="1540"/>
        <v>0</v>
      </c>
      <c r="AM1242" s="1906">
        <f t="shared" si="1541"/>
        <v>0</v>
      </c>
      <c r="AN1242" s="1906">
        <f t="shared" si="1542"/>
        <v>0</v>
      </c>
      <c r="AO1242" s="107"/>
      <c r="AP1242" s="1906"/>
      <c r="AQ1242" s="1906">
        <f t="shared" si="1543"/>
        <v>0</v>
      </c>
      <c r="AR1242" s="1906">
        <f t="shared" si="1544"/>
        <v>0</v>
      </c>
      <c r="AS1242" s="1906">
        <f t="shared" si="1545"/>
        <v>0</v>
      </c>
      <c r="AT1242" s="1906">
        <f t="shared" si="1546"/>
        <v>0</v>
      </c>
      <c r="AU1242" s="1906">
        <f t="shared" si="1547"/>
        <v>0</v>
      </c>
      <c r="AV1242" s="1906">
        <f t="shared" si="1548"/>
        <v>0</v>
      </c>
      <c r="AW1242" s="1906">
        <f t="shared" si="1549"/>
        <v>0</v>
      </c>
      <c r="AX1242" s="1906">
        <f t="shared" si="1550"/>
        <v>0</v>
      </c>
      <c r="AY1242" s="1906">
        <f t="shared" si="1551"/>
        <v>0</v>
      </c>
      <c r="AZ1242" s="1906">
        <f t="shared" si="1552"/>
        <v>0</v>
      </c>
      <c r="BA1242" s="1906">
        <f t="shared" si="1553"/>
        <v>0</v>
      </c>
      <c r="BB1242" s="107"/>
      <c r="BC1242" s="1906">
        <f t="shared" si="1554"/>
        <v>0</v>
      </c>
      <c r="BD1242" s="1906">
        <f t="shared" si="1555"/>
        <v>0</v>
      </c>
      <c r="BE1242" s="1906">
        <f t="shared" si="1556"/>
        <v>0</v>
      </c>
      <c r="BF1242" s="1906">
        <f t="shared" si="1557"/>
        <v>0</v>
      </c>
      <c r="BG1242" s="1906">
        <f t="shared" si="1558"/>
        <v>0</v>
      </c>
      <c r="BH1242" s="1906">
        <f t="shared" si="1559"/>
        <v>0</v>
      </c>
      <c r="BI1242" s="1906">
        <f t="shared" si="1560"/>
        <v>0</v>
      </c>
      <c r="BJ1242" s="1906">
        <f t="shared" si="1561"/>
        <v>0</v>
      </c>
      <c r="BK1242" s="1906">
        <f t="shared" si="1562"/>
        <v>0</v>
      </c>
      <c r="BL1242" s="1906">
        <f t="shared" si="1563"/>
        <v>0</v>
      </c>
      <c r="BM1242" s="1906">
        <f t="shared" si="1564"/>
        <v>0</v>
      </c>
      <c r="BN1242" s="1906">
        <f t="shared" si="1565"/>
        <v>0</v>
      </c>
      <c r="BO1242" s="107"/>
      <c r="BP1242" s="1906">
        <f t="shared" si="1566"/>
        <v>0</v>
      </c>
      <c r="BQ1242" s="1906">
        <f t="shared" si="1567"/>
        <v>0</v>
      </c>
      <c r="BR1242" s="1906">
        <f t="shared" si="1568"/>
        <v>0</v>
      </c>
      <c r="BS1242" s="1906">
        <f t="shared" si="1569"/>
        <v>0</v>
      </c>
      <c r="BT1242" s="1906">
        <f t="shared" si="1570"/>
        <v>0</v>
      </c>
      <c r="BU1242" s="1906">
        <f t="shared" si="1571"/>
        <v>0</v>
      </c>
      <c r="BV1242" s="1906">
        <f t="shared" si="1572"/>
        <v>0</v>
      </c>
      <c r="BW1242" s="1906">
        <f t="shared" si="1573"/>
        <v>0</v>
      </c>
      <c r="BX1242" s="1906">
        <f t="shared" si="1574"/>
        <v>0</v>
      </c>
      <c r="BY1242" s="1906">
        <f t="shared" si="1575"/>
        <v>0</v>
      </c>
      <c r="BZ1242" s="1906">
        <f t="shared" si="1576"/>
        <v>0</v>
      </c>
      <c r="CA1242" s="1906">
        <f t="shared" si="1577"/>
        <v>0</v>
      </c>
      <c r="CB1242" s="107"/>
      <c r="CC1242" s="1906">
        <f t="shared" si="1578"/>
        <v>0</v>
      </c>
      <c r="CD1242" s="1906">
        <f t="shared" si="1579"/>
        <v>0</v>
      </c>
      <c r="CE1242" s="1906">
        <f t="shared" si="1580"/>
        <v>0</v>
      </c>
      <c r="CF1242" s="1906">
        <f t="shared" si="1581"/>
        <v>0</v>
      </c>
      <c r="CG1242" s="1906">
        <f t="shared" si="1582"/>
        <v>0</v>
      </c>
      <c r="CH1242" s="1906">
        <f t="shared" si="1583"/>
        <v>0</v>
      </c>
      <c r="CI1242" s="1906">
        <f t="shared" si="1584"/>
        <v>0</v>
      </c>
      <c r="CJ1242" s="1906">
        <f t="shared" si="1585"/>
        <v>0</v>
      </c>
      <c r="CK1242" s="1906">
        <f t="shared" si="1586"/>
        <v>0</v>
      </c>
      <c r="CL1242" s="1906">
        <f t="shared" si="1587"/>
        <v>0</v>
      </c>
      <c r="CM1242" s="1906">
        <f t="shared" si="1588"/>
        <v>0</v>
      </c>
      <c r="CN1242" s="1906">
        <f t="shared" si="1589"/>
        <v>0</v>
      </c>
      <c r="CO1242" s="107"/>
      <c r="CP1242" s="1906">
        <f t="shared" si="1590"/>
        <v>0</v>
      </c>
      <c r="CQ1242" s="1906">
        <f t="shared" si="1591"/>
        <v>0</v>
      </c>
      <c r="CR1242" s="1906">
        <f t="shared" si="1592"/>
        <v>0</v>
      </c>
      <c r="CS1242" s="1906">
        <f t="shared" si="1593"/>
        <v>0</v>
      </c>
      <c r="CT1242" s="1906">
        <f t="shared" si="1594"/>
        <v>0</v>
      </c>
      <c r="CU1242" s="1906">
        <f t="shared" si="1595"/>
        <v>0</v>
      </c>
      <c r="CV1242" s="1906">
        <f t="shared" si="1596"/>
        <v>0</v>
      </c>
      <c r="CW1242" s="1906">
        <f t="shared" si="1597"/>
        <v>0</v>
      </c>
      <c r="CX1242" s="1906">
        <f t="shared" si="1598"/>
        <v>0</v>
      </c>
      <c r="CY1242" s="1906">
        <f t="shared" si="1599"/>
        <v>0</v>
      </c>
      <c r="CZ1242" s="1906">
        <f t="shared" si="1600"/>
        <v>0</v>
      </c>
      <c r="DA1242" s="1906">
        <f t="shared" si="1601"/>
        <v>0</v>
      </c>
      <c r="DB1242" s="1971" t="str">
        <f t="shared" si="1602"/>
        <v xml:space="preserve">Subtotal Verdeos de Verano </v>
      </c>
      <c r="DC1242" s="1906">
        <f t="shared" si="1603"/>
        <v>0</v>
      </c>
      <c r="DD1242" s="1906">
        <f t="shared" si="1604"/>
        <v>0</v>
      </c>
      <c r="DE1242" s="1906">
        <f t="shared" si="1605"/>
        <v>0</v>
      </c>
      <c r="DF1242" s="1906">
        <f t="shared" si="1606"/>
        <v>0</v>
      </c>
      <c r="DG1242" s="1906">
        <f t="shared" si="1495"/>
        <v>0</v>
      </c>
      <c r="DH1242" s="1906">
        <f t="shared" si="1496"/>
        <v>0</v>
      </c>
      <c r="DI1242" s="1906">
        <f t="shared" si="1497"/>
        <v>0</v>
      </c>
      <c r="DJ1242" s="1906">
        <f t="shared" si="1498"/>
        <v>0</v>
      </c>
      <c r="DK1242" s="1906">
        <f t="shared" si="1499"/>
        <v>0</v>
      </c>
      <c r="DL1242" s="1906">
        <f t="shared" si="1500"/>
        <v>0</v>
      </c>
      <c r="DM1242" s="1906">
        <f t="shared" si="1501"/>
        <v>0</v>
      </c>
      <c r="DN1242" s="1906">
        <f t="shared" si="1502"/>
        <v>0</v>
      </c>
      <c r="DO1242" s="595" t="str">
        <f t="shared" si="1503"/>
        <v xml:space="preserve">Subtotal Verdeos de Verano </v>
      </c>
      <c r="DP1242" s="1443">
        <f t="shared" si="1504"/>
        <v>0</v>
      </c>
      <c r="DQ1242" s="107"/>
      <c r="DR1242" s="111"/>
      <c r="DS1242" s="1906"/>
      <c r="DT1242" s="1906"/>
      <c r="DU1242" s="1906"/>
      <c r="DV1242" s="1906"/>
      <c r="DW1242" s="1906"/>
      <c r="DX1242" s="1906"/>
      <c r="DY1242" s="1906"/>
      <c r="DZ1242" s="1906"/>
      <c r="EA1242" s="1906"/>
      <c r="EB1242" s="1906"/>
      <c r="EC1242" s="1906"/>
      <c r="ED1242" s="1906"/>
    </row>
    <row r="1243" spans="1:134" x14ac:dyDescent="0.2">
      <c r="A1243" s="107"/>
      <c r="B1243" s="1857" t="str">
        <f t="shared" si="1505"/>
        <v>Maíz Silo</v>
      </c>
      <c r="C1243" s="2013">
        <f t="shared" si="1506"/>
        <v>0</v>
      </c>
      <c r="D1243" s="2013">
        <f t="shared" si="1507"/>
        <v>0</v>
      </c>
      <c r="E1243" s="2013">
        <f t="shared" si="1508"/>
        <v>0</v>
      </c>
      <c r="F1243" s="2013">
        <f t="shared" si="1509"/>
        <v>0</v>
      </c>
      <c r="G1243" s="2013">
        <f t="shared" si="1510"/>
        <v>0</v>
      </c>
      <c r="H1243" s="2013">
        <f t="shared" si="1511"/>
        <v>0</v>
      </c>
      <c r="I1243" s="2013">
        <f t="shared" si="1512"/>
        <v>0</v>
      </c>
      <c r="J1243" s="2013">
        <f t="shared" si="1513"/>
        <v>0</v>
      </c>
      <c r="K1243" s="2013">
        <f t="shared" si="1514"/>
        <v>0</v>
      </c>
      <c r="L1243" s="2013">
        <f t="shared" si="1515"/>
        <v>0</v>
      </c>
      <c r="M1243" s="2013">
        <f t="shared" si="1516"/>
        <v>0</v>
      </c>
      <c r="N1243" s="2013">
        <f t="shared" si="1517"/>
        <v>0</v>
      </c>
      <c r="P1243" s="1898" t="str">
        <f t="shared" si="1518"/>
        <v/>
      </c>
      <c r="Q1243" s="1898" t="str">
        <f t="shared" si="1519"/>
        <v/>
      </c>
      <c r="R1243" s="1898" t="str">
        <f t="shared" si="1520"/>
        <v/>
      </c>
      <c r="S1243" s="1898" t="str">
        <f t="shared" si="1521"/>
        <v/>
      </c>
      <c r="T1243" s="1898" t="str">
        <f t="shared" si="1522"/>
        <v/>
      </c>
      <c r="U1243" s="1898" t="str">
        <f t="shared" si="1523"/>
        <v/>
      </c>
      <c r="V1243" s="1898" t="str">
        <f t="shared" si="1524"/>
        <v/>
      </c>
      <c r="W1243" s="1898" t="str">
        <f t="shared" si="1525"/>
        <v/>
      </c>
      <c r="X1243" s="1898" t="str">
        <f t="shared" si="1526"/>
        <v/>
      </c>
      <c r="Y1243" s="1898" t="str">
        <f t="shared" si="1527"/>
        <v/>
      </c>
      <c r="Z1243" s="1898" t="str">
        <f t="shared" si="1528"/>
        <v/>
      </c>
      <c r="AA1243" s="1898" t="str">
        <f t="shared" si="1529"/>
        <v/>
      </c>
      <c r="AB1243" s="1971" t="str">
        <f t="shared" si="1530"/>
        <v>Maíz Silo</v>
      </c>
      <c r="AC1243" s="1906">
        <f t="shared" si="1531"/>
        <v>0</v>
      </c>
      <c r="AD1243" s="1906">
        <f t="shared" si="1532"/>
        <v>0</v>
      </c>
      <c r="AE1243" s="1906">
        <f t="shared" si="1533"/>
        <v>0</v>
      </c>
      <c r="AF1243" s="1906">
        <f t="shared" si="1534"/>
        <v>0</v>
      </c>
      <c r="AG1243" s="1906">
        <f t="shared" si="1535"/>
        <v>0</v>
      </c>
      <c r="AH1243" s="1906">
        <f t="shared" si="1536"/>
        <v>0</v>
      </c>
      <c r="AI1243" s="1906">
        <f t="shared" si="1537"/>
        <v>0</v>
      </c>
      <c r="AJ1243" s="1906">
        <f t="shared" si="1538"/>
        <v>0</v>
      </c>
      <c r="AK1243" s="1906">
        <f t="shared" si="1539"/>
        <v>0</v>
      </c>
      <c r="AL1243" s="1906">
        <f t="shared" si="1540"/>
        <v>0</v>
      </c>
      <c r="AM1243" s="1906">
        <f t="shared" si="1541"/>
        <v>0</v>
      </c>
      <c r="AN1243" s="1906">
        <f t="shared" si="1542"/>
        <v>0</v>
      </c>
      <c r="AO1243" s="107"/>
      <c r="AP1243" s="1906"/>
      <c r="AQ1243" s="1906">
        <f t="shared" si="1543"/>
        <v>0</v>
      </c>
      <c r="AR1243" s="1906">
        <f t="shared" si="1544"/>
        <v>0</v>
      </c>
      <c r="AS1243" s="1906">
        <f t="shared" si="1545"/>
        <v>0</v>
      </c>
      <c r="AT1243" s="1906">
        <f t="shared" si="1546"/>
        <v>0</v>
      </c>
      <c r="AU1243" s="1906">
        <f t="shared" si="1547"/>
        <v>0</v>
      </c>
      <c r="AV1243" s="1906">
        <f t="shared" si="1548"/>
        <v>0</v>
      </c>
      <c r="AW1243" s="1906">
        <f t="shared" si="1549"/>
        <v>0</v>
      </c>
      <c r="AX1243" s="1906">
        <f t="shared" si="1550"/>
        <v>0</v>
      </c>
      <c r="AY1243" s="1906">
        <f t="shared" si="1551"/>
        <v>0</v>
      </c>
      <c r="AZ1243" s="1906">
        <f t="shared" si="1552"/>
        <v>0</v>
      </c>
      <c r="BA1243" s="1906">
        <f t="shared" si="1553"/>
        <v>0</v>
      </c>
      <c r="BB1243" s="107"/>
      <c r="BC1243" s="1906">
        <f t="shared" si="1554"/>
        <v>0</v>
      </c>
      <c r="BD1243" s="1906">
        <f t="shared" si="1555"/>
        <v>0</v>
      </c>
      <c r="BE1243" s="1906">
        <f t="shared" si="1556"/>
        <v>0</v>
      </c>
      <c r="BF1243" s="1906">
        <f t="shared" si="1557"/>
        <v>0</v>
      </c>
      <c r="BG1243" s="1906">
        <f t="shared" si="1558"/>
        <v>0</v>
      </c>
      <c r="BH1243" s="1906">
        <f t="shared" si="1559"/>
        <v>0</v>
      </c>
      <c r="BI1243" s="1906">
        <f t="shared" si="1560"/>
        <v>0</v>
      </c>
      <c r="BJ1243" s="1906">
        <f t="shared" si="1561"/>
        <v>0</v>
      </c>
      <c r="BK1243" s="1906">
        <f t="shared" si="1562"/>
        <v>0</v>
      </c>
      <c r="BL1243" s="1906">
        <f t="shared" si="1563"/>
        <v>0</v>
      </c>
      <c r="BM1243" s="1906">
        <f t="shared" si="1564"/>
        <v>0</v>
      </c>
      <c r="BN1243" s="1906">
        <f t="shared" si="1565"/>
        <v>0</v>
      </c>
      <c r="BO1243" s="107"/>
      <c r="BP1243" s="1906">
        <f t="shared" si="1566"/>
        <v>0</v>
      </c>
      <c r="BQ1243" s="1906">
        <f t="shared" si="1567"/>
        <v>0</v>
      </c>
      <c r="BR1243" s="1906">
        <f t="shared" si="1568"/>
        <v>0</v>
      </c>
      <c r="BS1243" s="1906">
        <f t="shared" si="1569"/>
        <v>0</v>
      </c>
      <c r="BT1243" s="1906">
        <f t="shared" si="1570"/>
        <v>0</v>
      </c>
      <c r="BU1243" s="1906">
        <f t="shared" si="1571"/>
        <v>0</v>
      </c>
      <c r="BV1243" s="1906">
        <f t="shared" si="1572"/>
        <v>0</v>
      </c>
      <c r="BW1243" s="1906">
        <f t="shared" si="1573"/>
        <v>0</v>
      </c>
      <c r="BX1243" s="1906">
        <f t="shared" si="1574"/>
        <v>0</v>
      </c>
      <c r="BY1243" s="1906">
        <f t="shared" si="1575"/>
        <v>0</v>
      </c>
      <c r="BZ1243" s="1906">
        <f t="shared" si="1576"/>
        <v>0</v>
      </c>
      <c r="CA1243" s="1906">
        <f t="shared" si="1577"/>
        <v>0</v>
      </c>
      <c r="CB1243" s="107"/>
      <c r="CC1243" s="1906">
        <f t="shared" si="1578"/>
        <v>0</v>
      </c>
      <c r="CD1243" s="1906">
        <f t="shared" si="1579"/>
        <v>0</v>
      </c>
      <c r="CE1243" s="1906">
        <f t="shared" si="1580"/>
        <v>0</v>
      </c>
      <c r="CF1243" s="1906">
        <f t="shared" si="1581"/>
        <v>0</v>
      </c>
      <c r="CG1243" s="1906">
        <f t="shared" si="1582"/>
        <v>0</v>
      </c>
      <c r="CH1243" s="1906">
        <f t="shared" si="1583"/>
        <v>0</v>
      </c>
      <c r="CI1243" s="1906">
        <f t="shared" si="1584"/>
        <v>0</v>
      </c>
      <c r="CJ1243" s="1906">
        <f t="shared" si="1585"/>
        <v>0</v>
      </c>
      <c r="CK1243" s="1906">
        <f t="shared" si="1586"/>
        <v>0</v>
      </c>
      <c r="CL1243" s="1906">
        <f t="shared" si="1587"/>
        <v>0</v>
      </c>
      <c r="CM1243" s="1906">
        <f t="shared" si="1588"/>
        <v>0</v>
      </c>
      <c r="CN1243" s="1906">
        <f t="shared" si="1589"/>
        <v>0</v>
      </c>
      <c r="CO1243" s="107"/>
      <c r="CP1243" s="1906">
        <f t="shared" si="1590"/>
        <v>0</v>
      </c>
      <c r="CQ1243" s="1906">
        <f t="shared" si="1591"/>
        <v>0</v>
      </c>
      <c r="CR1243" s="1906">
        <f t="shared" si="1592"/>
        <v>0</v>
      </c>
      <c r="CS1243" s="1906">
        <f t="shared" si="1593"/>
        <v>0</v>
      </c>
      <c r="CT1243" s="1906">
        <f t="shared" si="1594"/>
        <v>0</v>
      </c>
      <c r="CU1243" s="1906">
        <f t="shared" si="1595"/>
        <v>0</v>
      </c>
      <c r="CV1243" s="1906">
        <f t="shared" si="1596"/>
        <v>0</v>
      </c>
      <c r="CW1243" s="1906">
        <f t="shared" si="1597"/>
        <v>0</v>
      </c>
      <c r="CX1243" s="1906">
        <f t="shared" si="1598"/>
        <v>0</v>
      </c>
      <c r="CY1243" s="1906">
        <f t="shared" si="1599"/>
        <v>0</v>
      </c>
      <c r="CZ1243" s="1906">
        <f t="shared" si="1600"/>
        <v>0</v>
      </c>
      <c r="DA1243" s="1906">
        <f t="shared" si="1601"/>
        <v>0</v>
      </c>
      <c r="DB1243" s="1971" t="str">
        <f t="shared" si="1602"/>
        <v>Maíz Silo</v>
      </c>
      <c r="DC1243" s="1906">
        <f t="shared" si="1603"/>
        <v>0</v>
      </c>
      <c r="DD1243" s="1906">
        <f t="shared" si="1604"/>
        <v>0</v>
      </c>
      <c r="DE1243" s="1906">
        <f t="shared" si="1605"/>
        <v>0</v>
      </c>
      <c r="DF1243" s="1906">
        <f t="shared" si="1606"/>
        <v>0</v>
      </c>
      <c r="DG1243" s="1906">
        <f t="shared" si="1495"/>
        <v>0</v>
      </c>
      <c r="DH1243" s="1906">
        <f t="shared" si="1496"/>
        <v>0</v>
      </c>
      <c r="DI1243" s="1906">
        <f t="shared" si="1497"/>
        <v>0</v>
      </c>
      <c r="DJ1243" s="1906">
        <f t="shared" si="1498"/>
        <v>0</v>
      </c>
      <c r="DK1243" s="1906">
        <f t="shared" si="1499"/>
        <v>0</v>
      </c>
      <c r="DL1243" s="1906">
        <f t="shared" si="1500"/>
        <v>0</v>
      </c>
      <c r="DM1243" s="1906">
        <f t="shared" si="1501"/>
        <v>0</v>
      </c>
      <c r="DN1243" s="1906">
        <f t="shared" si="1502"/>
        <v>0</v>
      </c>
      <c r="DO1243" s="595" t="str">
        <f t="shared" si="1503"/>
        <v>Maíz Silo</v>
      </c>
      <c r="DP1243" s="1443">
        <f t="shared" si="1504"/>
        <v>0</v>
      </c>
      <c r="DQ1243" s="107"/>
      <c r="DR1243" s="111"/>
      <c r="DS1243" s="1906"/>
      <c r="DT1243" s="1906"/>
      <c r="DU1243" s="1906"/>
      <c r="DV1243" s="1906"/>
      <c r="DW1243" s="1906"/>
      <c r="DX1243" s="1906"/>
      <c r="DY1243" s="1906"/>
      <c r="DZ1243" s="1906"/>
      <c r="EA1243" s="1906"/>
      <c r="EB1243" s="1906"/>
      <c r="EC1243" s="1906"/>
      <c r="ED1243" s="1906"/>
    </row>
    <row r="1244" spans="1:134" x14ac:dyDescent="0.2">
      <c r="A1244" s="107"/>
      <c r="B1244" s="1857" t="str">
        <f t="shared" si="1505"/>
        <v>Sorgo silo</v>
      </c>
      <c r="C1244" s="2013">
        <f t="shared" si="1506"/>
        <v>0</v>
      </c>
      <c r="D1244" s="2013">
        <f t="shared" si="1507"/>
        <v>0</v>
      </c>
      <c r="E1244" s="2013">
        <f t="shared" si="1508"/>
        <v>0</v>
      </c>
      <c r="F1244" s="2013">
        <f t="shared" si="1509"/>
        <v>0</v>
      </c>
      <c r="G1244" s="2013">
        <f t="shared" si="1510"/>
        <v>0</v>
      </c>
      <c r="H1244" s="2013">
        <f t="shared" si="1511"/>
        <v>0</v>
      </c>
      <c r="I1244" s="2013">
        <f t="shared" si="1512"/>
        <v>0</v>
      </c>
      <c r="J1244" s="2013">
        <f t="shared" si="1513"/>
        <v>0</v>
      </c>
      <c r="K1244" s="2013">
        <f t="shared" si="1514"/>
        <v>0</v>
      </c>
      <c r="L1244" s="2013">
        <f t="shared" si="1515"/>
        <v>0</v>
      </c>
      <c r="M1244" s="2013">
        <f t="shared" si="1516"/>
        <v>0</v>
      </c>
      <c r="N1244" s="2013">
        <f t="shared" si="1517"/>
        <v>0</v>
      </c>
      <c r="P1244" s="1898" t="str">
        <f t="shared" si="1518"/>
        <v/>
      </c>
      <c r="Q1244" s="1898" t="str">
        <f t="shared" si="1519"/>
        <v/>
      </c>
      <c r="R1244" s="1898" t="str">
        <f t="shared" si="1520"/>
        <v/>
      </c>
      <c r="S1244" s="1898" t="str">
        <f t="shared" si="1521"/>
        <v/>
      </c>
      <c r="T1244" s="1898" t="str">
        <f t="shared" si="1522"/>
        <v/>
      </c>
      <c r="U1244" s="1898" t="str">
        <f t="shared" si="1523"/>
        <v/>
      </c>
      <c r="V1244" s="1898" t="str">
        <f t="shared" si="1524"/>
        <v/>
      </c>
      <c r="W1244" s="1898" t="str">
        <f t="shared" si="1525"/>
        <v/>
      </c>
      <c r="X1244" s="1898" t="str">
        <f t="shared" si="1526"/>
        <v/>
      </c>
      <c r="Y1244" s="1898" t="str">
        <f t="shared" si="1527"/>
        <v/>
      </c>
      <c r="Z1244" s="1898" t="str">
        <f t="shared" si="1528"/>
        <v/>
      </c>
      <c r="AA1244" s="1898" t="str">
        <f t="shared" si="1529"/>
        <v/>
      </c>
      <c r="AB1244" s="1971" t="str">
        <f t="shared" si="1530"/>
        <v>Sorgo silo</v>
      </c>
      <c r="AC1244" s="1906">
        <f t="shared" si="1531"/>
        <v>0</v>
      </c>
      <c r="AD1244" s="1906">
        <f t="shared" si="1532"/>
        <v>0</v>
      </c>
      <c r="AE1244" s="1906">
        <f t="shared" si="1533"/>
        <v>0</v>
      </c>
      <c r="AF1244" s="1906">
        <f t="shared" si="1534"/>
        <v>0</v>
      </c>
      <c r="AG1244" s="1906">
        <f t="shared" si="1535"/>
        <v>0</v>
      </c>
      <c r="AH1244" s="1906">
        <f t="shared" si="1536"/>
        <v>0</v>
      </c>
      <c r="AI1244" s="1906">
        <f t="shared" si="1537"/>
        <v>0</v>
      </c>
      <c r="AJ1244" s="1906">
        <f t="shared" si="1538"/>
        <v>0</v>
      </c>
      <c r="AK1244" s="1906">
        <f t="shared" si="1539"/>
        <v>0</v>
      </c>
      <c r="AL1244" s="1906">
        <f t="shared" si="1540"/>
        <v>0</v>
      </c>
      <c r="AM1244" s="1906">
        <f t="shared" si="1541"/>
        <v>0</v>
      </c>
      <c r="AN1244" s="1906">
        <f t="shared" si="1542"/>
        <v>0</v>
      </c>
      <c r="AO1244" s="107"/>
      <c r="AP1244" s="1906"/>
      <c r="AQ1244" s="1906">
        <f t="shared" si="1543"/>
        <v>0</v>
      </c>
      <c r="AR1244" s="1906">
        <f t="shared" si="1544"/>
        <v>0</v>
      </c>
      <c r="AS1244" s="1906">
        <f t="shared" si="1545"/>
        <v>0</v>
      </c>
      <c r="AT1244" s="1906">
        <f t="shared" si="1546"/>
        <v>0</v>
      </c>
      <c r="AU1244" s="1906">
        <f t="shared" si="1547"/>
        <v>0</v>
      </c>
      <c r="AV1244" s="1906">
        <f t="shared" si="1548"/>
        <v>0</v>
      </c>
      <c r="AW1244" s="1906">
        <f t="shared" si="1549"/>
        <v>0</v>
      </c>
      <c r="AX1244" s="1906">
        <f t="shared" si="1550"/>
        <v>0</v>
      </c>
      <c r="AY1244" s="1906">
        <f t="shared" si="1551"/>
        <v>0</v>
      </c>
      <c r="AZ1244" s="1906">
        <f t="shared" si="1552"/>
        <v>0</v>
      </c>
      <c r="BA1244" s="1906">
        <f t="shared" si="1553"/>
        <v>0</v>
      </c>
      <c r="BB1244" s="107"/>
      <c r="BC1244" s="1906">
        <f t="shared" si="1554"/>
        <v>0</v>
      </c>
      <c r="BD1244" s="1906">
        <f t="shared" si="1555"/>
        <v>0</v>
      </c>
      <c r="BE1244" s="1906">
        <f t="shared" si="1556"/>
        <v>0</v>
      </c>
      <c r="BF1244" s="1906">
        <f t="shared" si="1557"/>
        <v>0</v>
      </c>
      <c r="BG1244" s="1906">
        <f t="shared" si="1558"/>
        <v>0</v>
      </c>
      <c r="BH1244" s="1906">
        <f t="shared" si="1559"/>
        <v>0</v>
      </c>
      <c r="BI1244" s="1906">
        <f t="shared" si="1560"/>
        <v>0</v>
      </c>
      <c r="BJ1244" s="1906">
        <f t="shared" si="1561"/>
        <v>0</v>
      </c>
      <c r="BK1244" s="1906">
        <f t="shared" si="1562"/>
        <v>0</v>
      </c>
      <c r="BL1244" s="1906">
        <f t="shared" si="1563"/>
        <v>0</v>
      </c>
      <c r="BM1244" s="1906">
        <f t="shared" si="1564"/>
        <v>0</v>
      </c>
      <c r="BN1244" s="1906">
        <f t="shared" si="1565"/>
        <v>0</v>
      </c>
      <c r="BO1244" s="107"/>
      <c r="BP1244" s="1906">
        <f t="shared" si="1566"/>
        <v>0</v>
      </c>
      <c r="BQ1244" s="1906">
        <f t="shared" si="1567"/>
        <v>0</v>
      </c>
      <c r="BR1244" s="1906">
        <f t="shared" si="1568"/>
        <v>0</v>
      </c>
      <c r="BS1244" s="1906">
        <f t="shared" si="1569"/>
        <v>0</v>
      </c>
      <c r="BT1244" s="1906">
        <f t="shared" si="1570"/>
        <v>0</v>
      </c>
      <c r="BU1244" s="1906">
        <f t="shared" si="1571"/>
        <v>0</v>
      </c>
      <c r="BV1244" s="1906">
        <f t="shared" si="1572"/>
        <v>0</v>
      </c>
      <c r="BW1244" s="1906">
        <f t="shared" si="1573"/>
        <v>0</v>
      </c>
      <c r="BX1244" s="1906">
        <f t="shared" si="1574"/>
        <v>0</v>
      </c>
      <c r="BY1244" s="1906">
        <f t="shared" si="1575"/>
        <v>0</v>
      </c>
      <c r="BZ1244" s="1906">
        <f t="shared" si="1576"/>
        <v>0</v>
      </c>
      <c r="CA1244" s="1906">
        <f t="shared" si="1577"/>
        <v>0</v>
      </c>
      <c r="CB1244" s="107"/>
      <c r="CC1244" s="1906">
        <f t="shared" si="1578"/>
        <v>0</v>
      </c>
      <c r="CD1244" s="1906">
        <f t="shared" si="1579"/>
        <v>0</v>
      </c>
      <c r="CE1244" s="1906">
        <f t="shared" si="1580"/>
        <v>0</v>
      </c>
      <c r="CF1244" s="1906">
        <f t="shared" si="1581"/>
        <v>0</v>
      </c>
      <c r="CG1244" s="1906">
        <f t="shared" si="1582"/>
        <v>0</v>
      </c>
      <c r="CH1244" s="1906">
        <f t="shared" si="1583"/>
        <v>0</v>
      </c>
      <c r="CI1244" s="1906">
        <f t="shared" si="1584"/>
        <v>0</v>
      </c>
      <c r="CJ1244" s="1906">
        <f t="shared" si="1585"/>
        <v>0</v>
      </c>
      <c r="CK1244" s="1906">
        <f t="shared" si="1586"/>
        <v>0</v>
      </c>
      <c r="CL1244" s="1906">
        <f t="shared" si="1587"/>
        <v>0</v>
      </c>
      <c r="CM1244" s="1906">
        <f t="shared" si="1588"/>
        <v>0</v>
      </c>
      <c r="CN1244" s="1906">
        <f t="shared" si="1589"/>
        <v>0</v>
      </c>
      <c r="CO1244" s="107"/>
      <c r="CP1244" s="1906">
        <f t="shared" si="1590"/>
        <v>0</v>
      </c>
      <c r="CQ1244" s="1906">
        <f t="shared" si="1591"/>
        <v>0</v>
      </c>
      <c r="CR1244" s="1906">
        <f t="shared" si="1592"/>
        <v>0</v>
      </c>
      <c r="CS1244" s="1906">
        <f t="shared" si="1593"/>
        <v>0</v>
      </c>
      <c r="CT1244" s="1906">
        <f t="shared" si="1594"/>
        <v>0</v>
      </c>
      <c r="CU1244" s="1906">
        <f t="shared" si="1595"/>
        <v>0</v>
      </c>
      <c r="CV1244" s="1906">
        <f t="shared" si="1596"/>
        <v>0</v>
      </c>
      <c r="CW1244" s="1906">
        <f t="shared" si="1597"/>
        <v>0</v>
      </c>
      <c r="CX1244" s="1906">
        <f t="shared" si="1598"/>
        <v>0</v>
      </c>
      <c r="CY1244" s="1906">
        <f t="shared" si="1599"/>
        <v>0</v>
      </c>
      <c r="CZ1244" s="1906">
        <f t="shared" si="1600"/>
        <v>0</v>
      </c>
      <c r="DA1244" s="1906">
        <f t="shared" si="1601"/>
        <v>0</v>
      </c>
      <c r="DB1244" s="1971" t="str">
        <f t="shared" si="1602"/>
        <v>Sorgo silo</v>
      </c>
      <c r="DC1244" s="1906">
        <f t="shared" si="1603"/>
        <v>0</v>
      </c>
      <c r="DD1244" s="1906">
        <f t="shared" si="1604"/>
        <v>0</v>
      </c>
      <c r="DE1244" s="1906">
        <f t="shared" si="1605"/>
        <v>0</v>
      </c>
      <c r="DF1244" s="1906">
        <f t="shared" si="1606"/>
        <v>0</v>
      </c>
      <c r="DG1244" s="1906">
        <f t="shared" si="1495"/>
        <v>0</v>
      </c>
      <c r="DH1244" s="1906">
        <f t="shared" si="1496"/>
        <v>0</v>
      </c>
      <c r="DI1244" s="1906">
        <f t="shared" si="1497"/>
        <v>0</v>
      </c>
      <c r="DJ1244" s="1906">
        <f t="shared" si="1498"/>
        <v>0</v>
      </c>
      <c r="DK1244" s="1906">
        <f t="shared" si="1499"/>
        <v>0</v>
      </c>
      <c r="DL1244" s="1906">
        <f t="shared" si="1500"/>
        <v>0</v>
      </c>
      <c r="DM1244" s="1906">
        <f t="shared" si="1501"/>
        <v>0</v>
      </c>
      <c r="DN1244" s="1906">
        <f t="shared" si="1502"/>
        <v>0</v>
      </c>
      <c r="DO1244" s="595" t="str">
        <f t="shared" si="1503"/>
        <v>Sorgo silo</v>
      </c>
      <c r="DP1244" s="1443">
        <f t="shared" si="1504"/>
        <v>0</v>
      </c>
      <c r="DQ1244" s="107"/>
      <c r="DR1244" s="111"/>
      <c r="DS1244" s="1906"/>
      <c r="DT1244" s="1906"/>
      <c r="DU1244" s="1906"/>
      <c r="DV1244" s="1906"/>
      <c r="DW1244" s="1906"/>
      <c r="DX1244" s="1906"/>
      <c r="DY1244" s="1906"/>
      <c r="DZ1244" s="1906"/>
      <c r="EA1244" s="1906"/>
      <c r="EB1244" s="1906"/>
      <c r="EC1244" s="1906"/>
      <c r="ED1244" s="1906"/>
    </row>
    <row r="1245" spans="1:134" x14ac:dyDescent="0.2">
      <c r="A1245" s="107"/>
      <c r="B1245" s="1857" t="str">
        <f t="shared" si="1505"/>
        <v>Moha</v>
      </c>
      <c r="C1245" s="2013">
        <f t="shared" si="1506"/>
        <v>0</v>
      </c>
      <c r="D1245" s="2013">
        <f t="shared" si="1507"/>
        <v>0</v>
      </c>
      <c r="E1245" s="2013">
        <f t="shared" si="1508"/>
        <v>0</v>
      </c>
      <c r="F1245" s="2013">
        <f t="shared" si="1509"/>
        <v>0</v>
      </c>
      <c r="G1245" s="2013">
        <f t="shared" si="1510"/>
        <v>0</v>
      </c>
      <c r="H1245" s="2013">
        <f t="shared" si="1511"/>
        <v>0</v>
      </c>
      <c r="I1245" s="2013">
        <f t="shared" si="1512"/>
        <v>0</v>
      </c>
      <c r="J1245" s="2013">
        <f t="shared" si="1513"/>
        <v>0</v>
      </c>
      <c r="K1245" s="2013">
        <f t="shared" si="1514"/>
        <v>0</v>
      </c>
      <c r="L1245" s="2013">
        <f t="shared" si="1515"/>
        <v>0</v>
      </c>
      <c r="M1245" s="2013">
        <f t="shared" si="1516"/>
        <v>0</v>
      </c>
      <c r="N1245" s="2013">
        <f t="shared" si="1517"/>
        <v>0</v>
      </c>
      <c r="P1245" s="1898" t="str">
        <f t="shared" si="1518"/>
        <v/>
      </c>
      <c r="Q1245" s="1898" t="str">
        <f t="shared" si="1519"/>
        <v/>
      </c>
      <c r="R1245" s="1898" t="str">
        <f t="shared" si="1520"/>
        <v/>
      </c>
      <c r="S1245" s="1898" t="str">
        <f t="shared" si="1521"/>
        <v/>
      </c>
      <c r="T1245" s="1898" t="str">
        <f t="shared" si="1522"/>
        <v/>
      </c>
      <c r="U1245" s="1898" t="str">
        <f t="shared" si="1523"/>
        <v/>
      </c>
      <c r="V1245" s="1898" t="str">
        <f t="shared" si="1524"/>
        <v/>
      </c>
      <c r="W1245" s="1898" t="str">
        <f t="shared" si="1525"/>
        <v/>
      </c>
      <c r="X1245" s="1898" t="str">
        <f t="shared" si="1526"/>
        <v/>
      </c>
      <c r="Y1245" s="1898" t="str">
        <f t="shared" si="1527"/>
        <v/>
      </c>
      <c r="Z1245" s="1898" t="str">
        <f t="shared" si="1528"/>
        <v/>
      </c>
      <c r="AA1245" s="1898" t="str">
        <f t="shared" si="1529"/>
        <v/>
      </c>
      <c r="AB1245" s="1971" t="str">
        <f t="shared" si="1530"/>
        <v>Moha</v>
      </c>
      <c r="AC1245" s="1906">
        <f t="shared" si="1531"/>
        <v>0</v>
      </c>
      <c r="AD1245" s="1906">
        <f t="shared" si="1532"/>
        <v>0</v>
      </c>
      <c r="AE1245" s="1906">
        <f t="shared" si="1533"/>
        <v>0</v>
      </c>
      <c r="AF1245" s="1906">
        <f t="shared" si="1534"/>
        <v>0</v>
      </c>
      <c r="AG1245" s="1906">
        <f t="shared" si="1535"/>
        <v>0</v>
      </c>
      <c r="AH1245" s="1906">
        <f t="shared" si="1536"/>
        <v>0</v>
      </c>
      <c r="AI1245" s="1906">
        <f t="shared" si="1537"/>
        <v>0</v>
      </c>
      <c r="AJ1245" s="1906">
        <f t="shared" si="1538"/>
        <v>0</v>
      </c>
      <c r="AK1245" s="1906">
        <f t="shared" si="1539"/>
        <v>0</v>
      </c>
      <c r="AL1245" s="1906">
        <f t="shared" si="1540"/>
        <v>0</v>
      </c>
      <c r="AM1245" s="1906">
        <f t="shared" si="1541"/>
        <v>0</v>
      </c>
      <c r="AN1245" s="1906">
        <f t="shared" si="1542"/>
        <v>0</v>
      </c>
      <c r="AO1245" s="107"/>
      <c r="AP1245" s="1906"/>
      <c r="AQ1245" s="1906">
        <f t="shared" si="1543"/>
        <v>0</v>
      </c>
      <c r="AR1245" s="1906">
        <f t="shared" si="1544"/>
        <v>0</v>
      </c>
      <c r="AS1245" s="1906">
        <f t="shared" si="1545"/>
        <v>0</v>
      </c>
      <c r="AT1245" s="1906">
        <f t="shared" si="1546"/>
        <v>0</v>
      </c>
      <c r="AU1245" s="1906">
        <f t="shared" si="1547"/>
        <v>0</v>
      </c>
      <c r="AV1245" s="1906">
        <f t="shared" si="1548"/>
        <v>0</v>
      </c>
      <c r="AW1245" s="1906">
        <f t="shared" si="1549"/>
        <v>0</v>
      </c>
      <c r="AX1245" s="1906">
        <f t="shared" si="1550"/>
        <v>0</v>
      </c>
      <c r="AY1245" s="1906">
        <f t="shared" si="1551"/>
        <v>0</v>
      </c>
      <c r="AZ1245" s="1906">
        <f t="shared" si="1552"/>
        <v>0</v>
      </c>
      <c r="BA1245" s="1906">
        <f t="shared" si="1553"/>
        <v>0</v>
      </c>
      <c r="BB1245" s="107"/>
      <c r="BC1245" s="1906">
        <f t="shared" si="1554"/>
        <v>0</v>
      </c>
      <c r="BD1245" s="1906">
        <f t="shared" si="1555"/>
        <v>0</v>
      </c>
      <c r="BE1245" s="1906">
        <f t="shared" si="1556"/>
        <v>0</v>
      </c>
      <c r="BF1245" s="1906">
        <f t="shared" si="1557"/>
        <v>0</v>
      </c>
      <c r="BG1245" s="1906">
        <f t="shared" si="1558"/>
        <v>0</v>
      </c>
      <c r="BH1245" s="1906">
        <f t="shared" si="1559"/>
        <v>0</v>
      </c>
      <c r="BI1245" s="1906">
        <f t="shared" si="1560"/>
        <v>0</v>
      </c>
      <c r="BJ1245" s="1906">
        <f t="shared" si="1561"/>
        <v>0</v>
      </c>
      <c r="BK1245" s="1906">
        <f t="shared" si="1562"/>
        <v>0</v>
      </c>
      <c r="BL1245" s="1906">
        <f t="shared" si="1563"/>
        <v>0</v>
      </c>
      <c r="BM1245" s="1906">
        <f t="shared" si="1564"/>
        <v>0</v>
      </c>
      <c r="BN1245" s="1906">
        <f t="shared" si="1565"/>
        <v>0</v>
      </c>
      <c r="BO1245" s="107"/>
      <c r="BP1245" s="1906">
        <f t="shared" si="1566"/>
        <v>0</v>
      </c>
      <c r="BQ1245" s="1906">
        <f t="shared" si="1567"/>
        <v>0</v>
      </c>
      <c r="BR1245" s="1906">
        <f t="shared" si="1568"/>
        <v>0</v>
      </c>
      <c r="BS1245" s="1906">
        <f t="shared" si="1569"/>
        <v>0</v>
      </c>
      <c r="BT1245" s="1906">
        <f t="shared" si="1570"/>
        <v>0</v>
      </c>
      <c r="BU1245" s="1906">
        <f t="shared" si="1571"/>
        <v>0</v>
      </c>
      <c r="BV1245" s="1906">
        <f t="shared" si="1572"/>
        <v>0</v>
      </c>
      <c r="BW1245" s="1906">
        <f t="shared" si="1573"/>
        <v>0</v>
      </c>
      <c r="BX1245" s="1906">
        <f t="shared" si="1574"/>
        <v>0</v>
      </c>
      <c r="BY1245" s="1906">
        <f t="shared" si="1575"/>
        <v>0</v>
      </c>
      <c r="BZ1245" s="1906">
        <f t="shared" si="1576"/>
        <v>0</v>
      </c>
      <c r="CA1245" s="1906">
        <f t="shared" si="1577"/>
        <v>0</v>
      </c>
      <c r="CB1245" s="107"/>
      <c r="CC1245" s="1906">
        <f t="shared" si="1578"/>
        <v>0</v>
      </c>
      <c r="CD1245" s="1906">
        <f t="shared" si="1579"/>
        <v>0</v>
      </c>
      <c r="CE1245" s="1906">
        <f t="shared" si="1580"/>
        <v>0</v>
      </c>
      <c r="CF1245" s="1906">
        <f t="shared" si="1581"/>
        <v>0</v>
      </c>
      <c r="CG1245" s="1906">
        <f t="shared" si="1582"/>
        <v>0</v>
      </c>
      <c r="CH1245" s="1906">
        <f t="shared" si="1583"/>
        <v>0</v>
      </c>
      <c r="CI1245" s="1906">
        <f t="shared" si="1584"/>
        <v>0</v>
      </c>
      <c r="CJ1245" s="1906">
        <f t="shared" si="1585"/>
        <v>0</v>
      </c>
      <c r="CK1245" s="1906">
        <f t="shared" si="1586"/>
        <v>0</v>
      </c>
      <c r="CL1245" s="1906">
        <f t="shared" si="1587"/>
        <v>0</v>
      </c>
      <c r="CM1245" s="1906">
        <f t="shared" si="1588"/>
        <v>0</v>
      </c>
      <c r="CN1245" s="1906">
        <f t="shared" si="1589"/>
        <v>0</v>
      </c>
      <c r="CO1245" s="107"/>
      <c r="CP1245" s="1906">
        <f t="shared" si="1590"/>
        <v>0</v>
      </c>
      <c r="CQ1245" s="1906">
        <f t="shared" si="1591"/>
        <v>0</v>
      </c>
      <c r="CR1245" s="1906">
        <f t="shared" si="1592"/>
        <v>0</v>
      </c>
      <c r="CS1245" s="1906">
        <f t="shared" si="1593"/>
        <v>0</v>
      </c>
      <c r="CT1245" s="1906">
        <f t="shared" si="1594"/>
        <v>0</v>
      </c>
      <c r="CU1245" s="1906">
        <f t="shared" si="1595"/>
        <v>0</v>
      </c>
      <c r="CV1245" s="1906">
        <f t="shared" si="1596"/>
        <v>0</v>
      </c>
      <c r="CW1245" s="1906">
        <f t="shared" si="1597"/>
        <v>0</v>
      </c>
      <c r="CX1245" s="1906">
        <f t="shared" si="1598"/>
        <v>0</v>
      </c>
      <c r="CY1245" s="1906">
        <f t="shared" si="1599"/>
        <v>0</v>
      </c>
      <c r="CZ1245" s="1906">
        <f t="shared" si="1600"/>
        <v>0</v>
      </c>
      <c r="DA1245" s="1906">
        <f t="shared" si="1601"/>
        <v>0</v>
      </c>
      <c r="DB1245" s="1971" t="str">
        <f t="shared" si="1602"/>
        <v>Moha</v>
      </c>
      <c r="DC1245" s="1906">
        <f t="shared" si="1603"/>
        <v>0</v>
      </c>
      <c r="DD1245" s="1906">
        <f t="shared" si="1604"/>
        <v>0</v>
      </c>
      <c r="DE1245" s="1906">
        <f t="shared" si="1605"/>
        <v>0</v>
      </c>
      <c r="DF1245" s="1906">
        <f t="shared" si="1606"/>
        <v>0</v>
      </c>
      <c r="DG1245" s="1906">
        <f t="shared" si="1495"/>
        <v>0</v>
      </c>
      <c r="DH1245" s="1906">
        <f t="shared" si="1496"/>
        <v>0</v>
      </c>
      <c r="DI1245" s="1906">
        <f t="shared" si="1497"/>
        <v>0</v>
      </c>
      <c r="DJ1245" s="1906">
        <f t="shared" si="1498"/>
        <v>0</v>
      </c>
      <c r="DK1245" s="1906">
        <f t="shared" si="1499"/>
        <v>0</v>
      </c>
      <c r="DL1245" s="1906">
        <f t="shared" si="1500"/>
        <v>0</v>
      </c>
      <c r="DM1245" s="1906">
        <f t="shared" si="1501"/>
        <v>0</v>
      </c>
      <c r="DN1245" s="1906">
        <f t="shared" si="1502"/>
        <v>0</v>
      </c>
      <c r="DO1245" s="595" t="str">
        <f t="shared" si="1503"/>
        <v>Moha</v>
      </c>
      <c r="DP1245" s="1443">
        <f t="shared" si="1504"/>
        <v>0</v>
      </c>
      <c r="DQ1245" s="107"/>
      <c r="DR1245" s="111"/>
      <c r="DS1245" s="1906"/>
      <c r="DT1245" s="1906"/>
      <c r="DU1245" s="1906"/>
      <c r="DV1245" s="1906"/>
      <c r="DW1245" s="1906"/>
      <c r="DX1245" s="1906"/>
      <c r="DY1245" s="1906"/>
      <c r="DZ1245" s="1906"/>
      <c r="EA1245" s="1906"/>
      <c r="EB1245" s="1906"/>
      <c r="EC1245" s="1906"/>
      <c r="ED1245" s="1906"/>
    </row>
    <row r="1246" spans="1:134" x14ac:dyDescent="0.2">
      <c r="A1246" s="107"/>
      <c r="B1246" s="1857" t="str">
        <f t="shared" si="1505"/>
        <v>Soja reserva</v>
      </c>
      <c r="C1246" s="2013">
        <f t="shared" si="1506"/>
        <v>0</v>
      </c>
      <c r="D1246" s="2013">
        <f t="shared" si="1507"/>
        <v>0</v>
      </c>
      <c r="E1246" s="2013">
        <f t="shared" si="1508"/>
        <v>0</v>
      </c>
      <c r="F1246" s="2013">
        <f t="shared" si="1509"/>
        <v>0</v>
      </c>
      <c r="G1246" s="2013">
        <f t="shared" si="1510"/>
        <v>0</v>
      </c>
      <c r="H1246" s="2013">
        <f t="shared" si="1511"/>
        <v>0</v>
      </c>
      <c r="I1246" s="2013">
        <f t="shared" si="1512"/>
        <v>0</v>
      </c>
      <c r="J1246" s="2013">
        <f t="shared" si="1513"/>
        <v>0</v>
      </c>
      <c r="K1246" s="2013">
        <f t="shared" si="1514"/>
        <v>0</v>
      </c>
      <c r="L1246" s="2013">
        <f t="shared" si="1515"/>
        <v>0</v>
      </c>
      <c r="M1246" s="2013">
        <f t="shared" si="1516"/>
        <v>0</v>
      </c>
      <c r="N1246" s="2013">
        <f t="shared" si="1517"/>
        <v>0</v>
      </c>
      <c r="P1246" s="1898" t="str">
        <f t="shared" si="1518"/>
        <v/>
      </c>
      <c r="Q1246" s="1898" t="str">
        <f t="shared" si="1519"/>
        <v/>
      </c>
      <c r="R1246" s="1898" t="str">
        <f t="shared" si="1520"/>
        <v/>
      </c>
      <c r="S1246" s="1898" t="str">
        <f t="shared" si="1521"/>
        <v/>
      </c>
      <c r="T1246" s="1898" t="str">
        <f t="shared" si="1522"/>
        <v/>
      </c>
      <c r="U1246" s="1898" t="str">
        <f t="shared" si="1523"/>
        <v/>
      </c>
      <c r="V1246" s="1898" t="str">
        <f t="shared" si="1524"/>
        <v/>
      </c>
      <c r="W1246" s="1898" t="str">
        <f t="shared" si="1525"/>
        <v/>
      </c>
      <c r="X1246" s="1898" t="str">
        <f t="shared" si="1526"/>
        <v/>
      </c>
      <c r="Y1246" s="1898" t="str">
        <f t="shared" si="1527"/>
        <v/>
      </c>
      <c r="Z1246" s="1898" t="str">
        <f t="shared" si="1528"/>
        <v/>
      </c>
      <c r="AA1246" s="1898" t="str">
        <f t="shared" si="1529"/>
        <v/>
      </c>
      <c r="AB1246" s="1971" t="str">
        <f t="shared" si="1530"/>
        <v>Soja reserva</v>
      </c>
      <c r="AC1246" s="1906">
        <f t="shared" si="1531"/>
        <v>0</v>
      </c>
      <c r="AD1246" s="1906">
        <f t="shared" si="1532"/>
        <v>0</v>
      </c>
      <c r="AE1246" s="1906">
        <f t="shared" si="1533"/>
        <v>0</v>
      </c>
      <c r="AF1246" s="1906">
        <f t="shared" si="1534"/>
        <v>0</v>
      </c>
      <c r="AG1246" s="1906">
        <f t="shared" si="1535"/>
        <v>0</v>
      </c>
      <c r="AH1246" s="1906">
        <f t="shared" si="1536"/>
        <v>0</v>
      </c>
      <c r="AI1246" s="1906">
        <f t="shared" si="1537"/>
        <v>0</v>
      </c>
      <c r="AJ1246" s="1906">
        <f t="shared" si="1538"/>
        <v>0</v>
      </c>
      <c r="AK1246" s="1906">
        <f t="shared" si="1539"/>
        <v>0</v>
      </c>
      <c r="AL1246" s="1906">
        <f t="shared" si="1540"/>
        <v>0</v>
      </c>
      <c r="AM1246" s="1906">
        <f t="shared" si="1541"/>
        <v>0</v>
      </c>
      <c r="AN1246" s="1906">
        <f t="shared" si="1542"/>
        <v>0</v>
      </c>
      <c r="AO1246" s="107"/>
      <c r="AP1246" s="1906"/>
      <c r="AQ1246" s="1906">
        <f t="shared" si="1543"/>
        <v>0</v>
      </c>
      <c r="AR1246" s="1906">
        <f t="shared" si="1544"/>
        <v>0</v>
      </c>
      <c r="AS1246" s="1906">
        <f t="shared" si="1545"/>
        <v>0</v>
      </c>
      <c r="AT1246" s="1906">
        <f t="shared" si="1546"/>
        <v>0</v>
      </c>
      <c r="AU1246" s="1906">
        <f t="shared" si="1547"/>
        <v>0</v>
      </c>
      <c r="AV1246" s="1906">
        <f t="shared" si="1548"/>
        <v>0</v>
      </c>
      <c r="AW1246" s="1906">
        <f t="shared" si="1549"/>
        <v>0</v>
      </c>
      <c r="AX1246" s="1906">
        <f t="shared" si="1550"/>
        <v>0</v>
      </c>
      <c r="AY1246" s="1906">
        <f t="shared" si="1551"/>
        <v>0</v>
      </c>
      <c r="AZ1246" s="1906">
        <f t="shared" si="1552"/>
        <v>0</v>
      </c>
      <c r="BA1246" s="1906">
        <f t="shared" si="1553"/>
        <v>0</v>
      </c>
      <c r="BB1246" s="107"/>
      <c r="BC1246" s="1906">
        <f t="shared" si="1554"/>
        <v>0</v>
      </c>
      <c r="BD1246" s="1906">
        <f t="shared" si="1555"/>
        <v>0</v>
      </c>
      <c r="BE1246" s="1906">
        <f t="shared" si="1556"/>
        <v>0</v>
      </c>
      <c r="BF1246" s="1906">
        <f t="shared" si="1557"/>
        <v>0</v>
      </c>
      <c r="BG1246" s="1906">
        <f t="shared" si="1558"/>
        <v>0</v>
      </c>
      <c r="BH1246" s="1906">
        <f t="shared" si="1559"/>
        <v>0</v>
      </c>
      <c r="BI1246" s="1906">
        <f t="shared" si="1560"/>
        <v>0</v>
      </c>
      <c r="BJ1246" s="1906">
        <f t="shared" si="1561"/>
        <v>0</v>
      </c>
      <c r="BK1246" s="1906">
        <f t="shared" si="1562"/>
        <v>0</v>
      </c>
      <c r="BL1246" s="1906">
        <f t="shared" si="1563"/>
        <v>0</v>
      </c>
      <c r="BM1246" s="1906">
        <f t="shared" si="1564"/>
        <v>0</v>
      </c>
      <c r="BN1246" s="1906">
        <f t="shared" si="1565"/>
        <v>0</v>
      </c>
      <c r="BO1246" s="107"/>
      <c r="BP1246" s="1906">
        <f t="shared" si="1566"/>
        <v>0</v>
      </c>
      <c r="BQ1246" s="1906">
        <f t="shared" si="1567"/>
        <v>0</v>
      </c>
      <c r="BR1246" s="1906">
        <f t="shared" si="1568"/>
        <v>0</v>
      </c>
      <c r="BS1246" s="1906">
        <f t="shared" si="1569"/>
        <v>0</v>
      </c>
      <c r="BT1246" s="1906">
        <f t="shared" si="1570"/>
        <v>0</v>
      </c>
      <c r="BU1246" s="1906">
        <f t="shared" si="1571"/>
        <v>0</v>
      </c>
      <c r="BV1246" s="1906">
        <f t="shared" si="1572"/>
        <v>0</v>
      </c>
      <c r="BW1246" s="1906">
        <f t="shared" si="1573"/>
        <v>0</v>
      </c>
      <c r="BX1246" s="1906">
        <f t="shared" si="1574"/>
        <v>0</v>
      </c>
      <c r="BY1246" s="1906">
        <f t="shared" si="1575"/>
        <v>0</v>
      </c>
      <c r="BZ1246" s="1906">
        <f t="shared" si="1576"/>
        <v>0</v>
      </c>
      <c r="CA1246" s="1906">
        <f t="shared" si="1577"/>
        <v>0</v>
      </c>
      <c r="CB1246" s="107"/>
      <c r="CC1246" s="1906">
        <f t="shared" si="1578"/>
        <v>0</v>
      </c>
      <c r="CD1246" s="1906">
        <f t="shared" si="1579"/>
        <v>0</v>
      </c>
      <c r="CE1246" s="1906">
        <f t="shared" si="1580"/>
        <v>0</v>
      </c>
      <c r="CF1246" s="1906">
        <f t="shared" si="1581"/>
        <v>0</v>
      </c>
      <c r="CG1246" s="1906">
        <f t="shared" si="1582"/>
        <v>0</v>
      </c>
      <c r="CH1246" s="1906">
        <f t="shared" si="1583"/>
        <v>0</v>
      </c>
      <c r="CI1246" s="1906">
        <f t="shared" si="1584"/>
        <v>0</v>
      </c>
      <c r="CJ1246" s="1906">
        <f t="shared" si="1585"/>
        <v>0</v>
      </c>
      <c r="CK1246" s="1906">
        <f t="shared" si="1586"/>
        <v>0</v>
      </c>
      <c r="CL1246" s="1906">
        <f t="shared" si="1587"/>
        <v>0</v>
      </c>
      <c r="CM1246" s="1906">
        <f t="shared" si="1588"/>
        <v>0</v>
      </c>
      <c r="CN1246" s="1906">
        <f t="shared" si="1589"/>
        <v>0</v>
      </c>
      <c r="CO1246" s="107"/>
      <c r="CP1246" s="1906">
        <f t="shared" si="1590"/>
        <v>0</v>
      </c>
      <c r="CQ1246" s="1906">
        <f t="shared" si="1591"/>
        <v>0</v>
      </c>
      <c r="CR1246" s="1906">
        <f t="shared" si="1592"/>
        <v>0</v>
      </c>
      <c r="CS1246" s="1906">
        <f t="shared" si="1593"/>
        <v>0</v>
      </c>
      <c r="CT1246" s="1906">
        <f t="shared" si="1594"/>
        <v>0</v>
      </c>
      <c r="CU1246" s="1906">
        <f t="shared" si="1595"/>
        <v>0</v>
      </c>
      <c r="CV1246" s="1906">
        <f t="shared" si="1596"/>
        <v>0</v>
      </c>
      <c r="CW1246" s="1906">
        <f t="shared" si="1597"/>
        <v>0</v>
      </c>
      <c r="CX1246" s="1906">
        <f t="shared" si="1598"/>
        <v>0</v>
      </c>
      <c r="CY1246" s="1906">
        <f t="shared" si="1599"/>
        <v>0</v>
      </c>
      <c r="CZ1246" s="1906">
        <f t="shared" si="1600"/>
        <v>0</v>
      </c>
      <c r="DA1246" s="1906">
        <f t="shared" si="1601"/>
        <v>0</v>
      </c>
      <c r="DB1246" s="1971" t="str">
        <f t="shared" si="1602"/>
        <v>Soja reserva</v>
      </c>
      <c r="DC1246" s="1906">
        <f t="shared" si="1603"/>
        <v>0</v>
      </c>
      <c r="DD1246" s="1906">
        <f t="shared" si="1604"/>
        <v>0</v>
      </c>
      <c r="DE1246" s="1906">
        <f t="shared" si="1605"/>
        <v>0</v>
      </c>
      <c r="DF1246" s="1906">
        <f t="shared" si="1606"/>
        <v>0</v>
      </c>
      <c r="DG1246" s="1906">
        <f t="shared" si="1495"/>
        <v>0</v>
      </c>
      <c r="DH1246" s="1906">
        <f t="shared" si="1496"/>
        <v>0</v>
      </c>
      <c r="DI1246" s="1906">
        <f t="shared" si="1497"/>
        <v>0</v>
      </c>
      <c r="DJ1246" s="1906">
        <f t="shared" si="1498"/>
        <v>0</v>
      </c>
      <c r="DK1246" s="1906">
        <f t="shared" si="1499"/>
        <v>0</v>
      </c>
      <c r="DL1246" s="1906">
        <f t="shared" si="1500"/>
        <v>0</v>
      </c>
      <c r="DM1246" s="1906">
        <f t="shared" si="1501"/>
        <v>0</v>
      </c>
      <c r="DN1246" s="1906">
        <f t="shared" si="1502"/>
        <v>0</v>
      </c>
      <c r="DO1246" s="595" t="str">
        <f t="shared" si="1503"/>
        <v>Soja reserva</v>
      </c>
      <c r="DP1246" s="1443">
        <f t="shared" si="1504"/>
        <v>0</v>
      </c>
      <c r="DQ1246" s="107"/>
      <c r="DR1246" s="111"/>
      <c r="DS1246" s="1906"/>
      <c r="DT1246" s="1906"/>
      <c r="DU1246" s="1906"/>
      <c r="DV1246" s="1906"/>
      <c r="DW1246" s="1906"/>
      <c r="DX1246" s="1906"/>
      <c r="DY1246" s="1906"/>
      <c r="DZ1246" s="1906"/>
      <c r="EA1246" s="1906"/>
      <c r="EB1246" s="1906"/>
      <c r="EC1246" s="1906"/>
      <c r="ED1246" s="1906"/>
    </row>
    <row r="1247" spans="1:134" x14ac:dyDescent="0.2">
      <c r="A1247" s="107"/>
      <c r="B1247" s="1857">
        <f t="shared" si="1505"/>
        <v>0</v>
      </c>
      <c r="C1247" s="2013">
        <f t="shared" si="1506"/>
        <v>0</v>
      </c>
      <c r="D1247" s="2013">
        <f t="shared" si="1507"/>
        <v>0</v>
      </c>
      <c r="E1247" s="2013">
        <f t="shared" si="1508"/>
        <v>0</v>
      </c>
      <c r="F1247" s="2013">
        <f t="shared" si="1509"/>
        <v>0</v>
      </c>
      <c r="G1247" s="2013">
        <f t="shared" si="1510"/>
        <v>0</v>
      </c>
      <c r="H1247" s="2013">
        <f t="shared" si="1511"/>
        <v>0</v>
      </c>
      <c r="I1247" s="2013">
        <f t="shared" si="1512"/>
        <v>0</v>
      </c>
      <c r="J1247" s="2013">
        <f t="shared" si="1513"/>
        <v>0</v>
      </c>
      <c r="K1247" s="2013">
        <f t="shared" si="1514"/>
        <v>0</v>
      </c>
      <c r="L1247" s="2013">
        <f t="shared" si="1515"/>
        <v>0</v>
      </c>
      <c r="M1247" s="2013">
        <f t="shared" si="1516"/>
        <v>0</v>
      </c>
      <c r="N1247" s="2013">
        <f t="shared" si="1517"/>
        <v>0</v>
      </c>
      <c r="P1247" s="1898" t="str">
        <f t="shared" si="1518"/>
        <v/>
      </c>
      <c r="Q1247" s="1898" t="str">
        <f t="shared" si="1519"/>
        <v/>
      </c>
      <c r="R1247" s="1898" t="str">
        <f t="shared" si="1520"/>
        <v/>
      </c>
      <c r="S1247" s="1898" t="str">
        <f t="shared" si="1521"/>
        <v/>
      </c>
      <c r="T1247" s="1898" t="str">
        <f t="shared" si="1522"/>
        <v/>
      </c>
      <c r="U1247" s="1898" t="str">
        <f t="shared" si="1523"/>
        <v/>
      </c>
      <c r="V1247" s="1898" t="str">
        <f t="shared" si="1524"/>
        <v/>
      </c>
      <c r="W1247" s="1898" t="str">
        <f t="shared" si="1525"/>
        <v/>
      </c>
      <c r="X1247" s="1898" t="str">
        <f t="shared" si="1526"/>
        <v/>
      </c>
      <c r="Y1247" s="1898" t="str">
        <f t="shared" si="1527"/>
        <v/>
      </c>
      <c r="Z1247" s="1898" t="str">
        <f t="shared" si="1528"/>
        <v/>
      </c>
      <c r="AA1247" s="1898" t="str">
        <f t="shared" si="1529"/>
        <v/>
      </c>
      <c r="AB1247" s="1971">
        <f t="shared" si="1530"/>
        <v>0</v>
      </c>
      <c r="AC1247" s="1906">
        <f t="shared" si="1531"/>
        <v>0</v>
      </c>
      <c r="AD1247" s="1906">
        <f t="shared" si="1532"/>
        <v>0</v>
      </c>
      <c r="AE1247" s="1906">
        <f t="shared" si="1533"/>
        <v>0</v>
      </c>
      <c r="AF1247" s="1906">
        <f t="shared" si="1534"/>
        <v>0</v>
      </c>
      <c r="AG1247" s="1906">
        <f t="shared" si="1535"/>
        <v>0</v>
      </c>
      <c r="AH1247" s="1906">
        <f t="shared" si="1536"/>
        <v>0</v>
      </c>
      <c r="AI1247" s="1906">
        <f t="shared" si="1537"/>
        <v>0</v>
      </c>
      <c r="AJ1247" s="1906">
        <f t="shared" si="1538"/>
        <v>0</v>
      </c>
      <c r="AK1247" s="1906">
        <f t="shared" si="1539"/>
        <v>0</v>
      </c>
      <c r="AL1247" s="1906">
        <f t="shared" si="1540"/>
        <v>0</v>
      </c>
      <c r="AM1247" s="1906">
        <f t="shared" si="1541"/>
        <v>0</v>
      </c>
      <c r="AN1247" s="1906">
        <f t="shared" si="1542"/>
        <v>0</v>
      </c>
      <c r="AO1247" s="107"/>
      <c r="AP1247" s="1906"/>
      <c r="AQ1247" s="1906">
        <f t="shared" si="1543"/>
        <v>0</v>
      </c>
      <c r="AR1247" s="1906">
        <f t="shared" si="1544"/>
        <v>0</v>
      </c>
      <c r="AS1247" s="1906">
        <f t="shared" si="1545"/>
        <v>0</v>
      </c>
      <c r="AT1247" s="1906">
        <f t="shared" si="1546"/>
        <v>0</v>
      </c>
      <c r="AU1247" s="1906">
        <f t="shared" si="1547"/>
        <v>0</v>
      </c>
      <c r="AV1247" s="1906">
        <f t="shared" si="1548"/>
        <v>0</v>
      </c>
      <c r="AW1247" s="1906">
        <f t="shared" si="1549"/>
        <v>0</v>
      </c>
      <c r="AX1247" s="1906">
        <f t="shared" si="1550"/>
        <v>0</v>
      </c>
      <c r="AY1247" s="1906">
        <f t="shared" si="1551"/>
        <v>0</v>
      </c>
      <c r="AZ1247" s="1906">
        <f t="shared" si="1552"/>
        <v>0</v>
      </c>
      <c r="BA1247" s="1906">
        <f t="shared" si="1553"/>
        <v>0</v>
      </c>
      <c r="BB1247" s="107"/>
      <c r="BC1247" s="1906">
        <f t="shared" si="1554"/>
        <v>0</v>
      </c>
      <c r="BD1247" s="1906">
        <f t="shared" si="1555"/>
        <v>0</v>
      </c>
      <c r="BE1247" s="1906">
        <f t="shared" si="1556"/>
        <v>0</v>
      </c>
      <c r="BF1247" s="1906">
        <f t="shared" si="1557"/>
        <v>0</v>
      </c>
      <c r="BG1247" s="1906">
        <f t="shared" si="1558"/>
        <v>0</v>
      </c>
      <c r="BH1247" s="1906">
        <f t="shared" si="1559"/>
        <v>0</v>
      </c>
      <c r="BI1247" s="1906">
        <f t="shared" si="1560"/>
        <v>0</v>
      </c>
      <c r="BJ1247" s="1906">
        <f t="shared" si="1561"/>
        <v>0</v>
      </c>
      <c r="BK1247" s="1906">
        <f t="shared" si="1562"/>
        <v>0</v>
      </c>
      <c r="BL1247" s="1906">
        <f t="shared" si="1563"/>
        <v>0</v>
      </c>
      <c r="BM1247" s="1906">
        <f t="shared" si="1564"/>
        <v>0</v>
      </c>
      <c r="BN1247" s="1906">
        <f t="shared" si="1565"/>
        <v>0</v>
      </c>
      <c r="BO1247" s="107"/>
      <c r="BP1247" s="1906">
        <f t="shared" si="1566"/>
        <v>0</v>
      </c>
      <c r="BQ1247" s="1906">
        <f t="shared" si="1567"/>
        <v>0</v>
      </c>
      <c r="BR1247" s="1906">
        <f t="shared" si="1568"/>
        <v>0</v>
      </c>
      <c r="BS1247" s="1906">
        <f t="shared" si="1569"/>
        <v>0</v>
      </c>
      <c r="BT1247" s="1906">
        <f t="shared" si="1570"/>
        <v>0</v>
      </c>
      <c r="BU1247" s="1906">
        <f t="shared" si="1571"/>
        <v>0</v>
      </c>
      <c r="BV1247" s="1906">
        <f t="shared" si="1572"/>
        <v>0</v>
      </c>
      <c r="BW1247" s="1906">
        <f t="shared" si="1573"/>
        <v>0</v>
      </c>
      <c r="BX1247" s="1906">
        <f t="shared" si="1574"/>
        <v>0</v>
      </c>
      <c r="BY1247" s="1906">
        <f t="shared" si="1575"/>
        <v>0</v>
      </c>
      <c r="BZ1247" s="1906">
        <f t="shared" si="1576"/>
        <v>0</v>
      </c>
      <c r="CA1247" s="1906">
        <f t="shared" si="1577"/>
        <v>0</v>
      </c>
      <c r="CB1247" s="107"/>
      <c r="CC1247" s="1906">
        <f t="shared" si="1578"/>
        <v>0</v>
      </c>
      <c r="CD1247" s="1906">
        <f t="shared" si="1579"/>
        <v>0</v>
      </c>
      <c r="CE1247" s="1906">
        <f t="shared" si="1580"/>
        <v>0</v>
      </c>
      <c r="CF1247" s="1906">
        <f t="shared" si="1581"/>
        <v>0</v>
      </c>
      <c r="CG1247" s="1906">
        <f t="shared" si="1582"/>
        <v>0</v>
      </c>
      <c r="CH1247" s="1906">
        <f t="shared" si="1583"/>
        <v>0</v>
      </c>
      <c r="CI1247" s="1906">
        <f t="shared" si="1584"/>
        <v>0</v>
      </c>
      <c r="CJ1247" s="1906">
        <f t="shared" si="1585"/>
        <v>0</v>
      </c>
      <c r="CK1247" s="1906">
        <f t="shared" si="1586"/>
        <v>0</v>
      </c>
      <c r="CL1247" s="1906">
        <f t="shared" si="1587"/>
        <v>0</v>
      </c>
      <c r="CM1247" s="1906">
        <f t="shared" si="1588"/>
        <v>0</v>
      </c>
      <c r="CN1247" s="1906">
        <f t="shared" si="1589"/>
        <v>0</v>
      </c>
      <c r="CO1247" s="107"/>
      <c r="CP1247" s="1906">
        <f t="shared" si="1590"/>
        <v>0</v>
      </c>
      <c r="CQ1247" s="1906">
        <f t="shared" si="1591"/>
        <v>0</v>
      </c>
      <c r="CR1247" s="1906">
        <f t="shared" si="1592"/>
        <v>0</v>
      </c>
      <c r="CS1247" s="1906">
        <f t="shared" si="1593"/>
        <v>0</v>
      </c>
      <c r="CT1247" s="1906">
        <f t="shared" si="1594"/>
        <v>0</v>
      </c>
      <c r="CU1247" s="1906">
        <f t="shared" si="1595"/>
        <v>0</v>
      </c>
      <c r="CV1247" s="1906">
        <f t="shared" si="1596"/>
        <v>0</v>
      </c>
      <c r="CW1247" s="1906">
        <f t="shared" si="1597"/>
        <v>0</v>
      </c>
      <c r="CX1247" s="1906">
        <f t="shared" si="1598"/>
        <v>0</v>
      </c>
      <c r="CY1247" s="1906">
        <f t="shared" si="1599"/>
        <v>0</v>
      </c>
      <c r="CZ1247" s="1906">
        <f t="shared" si="1600"/>
        <v>0</v>
      </c>
      <c r="DA1247" s="1906">
        <f t="shared" si="1601"/>
        <v>0</v>
      </c>
      <c r="DB1247" s="1971">
        <f t="shared" si="1602"/>
        <v>0</v>
      </c>
      <c r="DC1247" s="1906">
        <f t="shared" si="1603"/>
        <v>0</v>
      </c>
      <c r="DD1247" s="1906">
        <f t="shared" si="1604"/>
        <v>0</v>
      </c>
      <c r="DE1247" s="1906">
        <f t="shared" si="1605"/>
        <v>0</v>
      </c>
      <c r="DF1247" s="1906">
        <f t="shared" si="1606"/>
        <v>0</v>
      </c>
      <c r="DG1247" s="1906">
        <f t="shared" si="1495"/>
        <v>0</v>
      </c>
      <c r="DH1247" s="1906">
        <f t="shared" si="1496"/>
        <v>0</v>
      </c>
      <c r="DI1247" s="1906">
        <f t="shared" si="1497"/>
        <v>0</v>
      </c>
      <c r="DJ1247" s="1906">
        <f t="shared" si="1498"/>
        <v>0</v>
      </c>
      <c r="DK1247" s="1906">
        <f t="shared" si="1499"/>
        <v>0</v>
      </c>
      <c r="DL1247" s="1906">
        <f t="shared" si="1500"/>
        <v>0</v>
      </c>
      <c r="DM1247" s="1906">
        <f t="shared" si="1501"/>
        <v>0</v>
      </c>
      <c r="DN1247" s="1906">
        <f t="shared" si="1502"/>
        <v>0</v>
      </c>
      <c r="DO1247" s="595">
        <f t="shared" si="1503"/>
        <v>0</v>
      </c>
      <c r="DP1247" s="1443">
        <f t="shared" si="1504"/>
        <v>0</v>
      </c>
      <c r="DQ1247" s="107"/>
      <c r="DR1247" s="111"/>
      <c r="DS1247" s="1906"/>
      <c r="DT1247" s="1906"/>
      <c r="DU1247" s="1906"/>
      <c r="DV1247" s="1906"/>
      <c r="DW1247" s="1906"/>
      <c r="DX1247" s="1906"/>
      <c r="DY1247" s="1906"/>
      <c r="DZ1247" s="1906"/>
      <c r="EA1247" s="1906"/>
      <c r="EB1247" s="1906"/>
      <c r="EC1247" s="1906"/>
      <c r="ED1247" s="1906"/>
    </row>
    <row r="1248" spans="1:134" ht="15.05" thickBot="1" x14ac:dyDescent="0.25">
      <c r="A1248" s="107"/>
      <c r="B1248" s="1857">
        <f t="shared" si="1505"/>
        <v>0</v>
      </c>
      <c r="C1248" s="2013">
        <f t="shared" si="1506"/>
        <v>0</v>
      </c>
      <c r="D1248" s="2013">
        <f t="shared" si="1507"/>
        <v>0</v>
      </c>
      <c r="E1248" s="2013">
        <f t="shared" si="1508"/>
        <v>0</v>
      </c>
      <c r="F1248" s="2013">
        <f t="shared" si="1509"/>
        <v>0</v>
      </c>
      <c r="G1248" s="2013">
        <f t="shared" si="1510"/>
        <v>0</v>
      </c>
      <c r="H1248" s="2013">
        <f t="shared" si="1511"/>
        <v>0</v>
      </c>
      <c r="I1248" s="2013">
        <f t="shared" si="1512"/>
        <v>0</v>
      </c>
      <c r="J1248" s="2013">
        <f t="shared" si="1513"/>
        <v>0</v>
      </c>
      <c r="K1248" s="2013">
        <f t="shared" si="1514"/>
        <v>0</v>
      </c>
      <c r="L1248" s="2013">
        <f t="shared" si="1515"/>
        <v>0</v>
      </c>
      <c r="M1248" s="2013">
        <f t="shared" si="1516"/>
        <v>0</v>
      </c>
      <c r="N1248" s="2013">
        <f t="shared" si="1517"/>
        <v>0</v>
      </c>
      <c r="P1248" s="1898" t="str">
        <f t="shared" si="1518"/>
        <v/>
      </c>
      <c r="Q1248" s="1898" t="str">
        <f t="shared" si="1519"/>
        <v/>
      </c>
      <c r="R1248" s="1898" t="str">
        <f t="shared" si="1520"/>
        <v/>
      </c>
      <c r="S1248" s="1898" t="str">
        <f t="shared" si="1521"/>
        <v/>
      </c>
      <c r="T1248" s="1898" t="str">
        <f t="shared" si="1522"/>
        <v/>
      </c>
      <c r="U1248" s="1898" t="str">
        <f t="shared" si="1523"/>
        <v/>
      </c>
      <c r="V1248" s="1898" t="str">
        <f t="shared" si="1524"/>
        <v/>
      </c>
      <c r="W1248" s="1898" t="str">
        <f t="shared" si="1525"/>
        <v/>
      </c>
      <c r="X1248" s="1898" t="str">
        <f t="shared" si="1526"/>
        <v/>
      </c>
      <c r="Y1248" s="1898" t="str">
        <f t="shared" si="1527"/>
        <v/>
      </c>
      <c r="Z1248" s="1898" t="str">
        <f t="shared" si="1528"/>
        <v/>
      </c>
      <c r="AA1248" s="1898" t="str">
        <f t="shared" si="1529"/>
        <v/>
      </c>
      <c r="AB1248" s="1971">
        <f t="shared" si="1530"/>
        <v>0</v>
      </c>
      <c r="AC1248" s="1906">
        <f t="shared" si="1531"/>
        <v>0</v>
      </c>
      <c r="AD1248" s="1906">
        <f t="shared" si="1532"/>
        <v>0</v>
      </c>
      <c r="AE1248" s="1906">
        <f t="shared" si="1533"/>
        <v>0</v>
      </c>
      <c r="AF1248" s="1906">
        <f t="shared" si="1534"/>
        <v>0</v>
      </c>
      <c r="AG1248" s="1906">
        <f t="shared" si="1535"/>
        <v>0</v>
      </c>
      <c r="AH1248" s="1906">
        <f t="shared" si="1536"/>
        <v>0</v>
      </c>
      <c r="AI1248" s="1906">
        <f t="shared" si="1537"/>
        <v>0</v>
      </c>
      <c r="AJ1248" s="1906">
        <f t="shared" si="1538"/>
        <v>0</v>
      </c>
      <c r="AK1248" s="1906">
        <f t="shared" si="1539"/>
        <v>0</v>
      </c>
      <c r="AL1248" s="1906">
        <f t="shared" si="1540"/>
        <v>0</v>
      </c>
      <c r="AM1248" s="1906">
        <f t="shared" si="1541"/>
        <v>0</v>
      </c>
      <c r="AN1248" s="1906">
        <f t="shared" si="1542"/>
        <v>0</v>
      </c>
      <c r="AO1248" s="107"/>
      <c r="AP1248" s="1906"/>
      <c r="AQ1248" s="1906">
        <f t="shared" si="1543"/>
        <v>0</v>
      </c>
      <c r="AR1248" s="1906">
        <f t="shared" si="1544"/>
        <v>0</v>
      </c>
      <c r="AS1248" s="1906">
        <f t="shared" si="1545"/>
        <v>0</v>
      </c>
      <c r="AT1248" s="1906">
        <f t="shared" si="1546"/>
        <v>0</v>
      </c>
      <c r="AU1248" s="1906">
        <f t="shared" si="1547"/>
        <v>0</v>
      </c>
      <c r="AV1248" s="1906">
        <f t="shared" si="1548"/>
        <v>0</v>
      </c>
      <c r="AW1248" s="1906">
        <f t="shared" si="1549"/>
        <v>0</v>
      </c>
      <c r="AX1248" s="1906">
        <f t="shared" si="1550"/>
        <v>0</v>
      </c>
      <c r="AY1248" s="1906">
        <f t="shared" si="1551"/>
        <v>0</v>
      </c>
      <c r="AZ1248" s="1906">
        <f t="shared" si="1552"/>
        <v>0</v>
      </c>
      <c r="BA1248" s="1906">
        <f t="shared" si="1553"/>
        <v>0</v>
      </c>
      <c r="BB1248" s="107"/>
      <c r="BC1248" s="1906">
        <f t="shared" si="1554"/>
        <v>0</v>
      </c>
      <c r="BD1248" s="1906">
        <f t="shared" si="1555"/>
        <v>0</v>
      </c>
      <c r="BE1248" s="1906">
        <f t="shared" si="1556"/>
        <v>0</v>
      </c>
      <c r="BF1248" s="1906">
        <f t="shared" si="1557"/>
        <v>0</v>
      </c>
      <c r="BG1248" s="1906">
        <f t="shared" si="1558"/>
        <v>0</v>
      </c>
      <c r="BH1248" s="1906">
        <f t="shared" si="1559"/>
        <v>0</v>
      </c>
      <c r="BI1248" s="1906">
        <f t="shared" si="1560"/>
        <v>0</v>
      </c>
      <c r="BJ1248" s="1906">
        <f t="shared" si="1561"/>
        <v>0</v>
      </c>
      <c r="BK1248" s="1906">
        <f t="shared" si="1562"/>
        <v>0</v>
      </c>
      <c r="BL1248" s="1906">
        <f t="shared" si="1563"/>
        <v>0</v>
      </c>
      <c r="BM1248" s="1906">
        <f t="shared" si="1564"/>
        <v>0</v>
      </c>
      <c r="BN1248" s="1906">
        <f t="shared" si="1565"/>
        <v>0</v>
      </c>
      <c r="BO1248" s="107"/>
      <c r="BP1248" s="1906">
        <f t="shared" si="1566"/>
        <v>0</v>
      </c>
      <c r="BQ1248" s="1906">
        <f t="shared" si="1567"/>
        <v>0</v>
      </c>
      <c r="BR1248" s="1906">
        <f t="shared" si="1568"/>
        <v>0</v>
      </c>
      <c r="BS1248" s="1906">
        <f t="shared" si="1569"/>
        <v>0</v>
      </c>
      <c r="BT1248" s="1906">
        <f t="shared" si="1570"/>
        <v>0</v>
      </c>
      <c r="BU1248" s="1906">
        <f t="shared" si="1571"/>
        <v>0</v>
      </c>
      <c r="BV1248" s="1906">
        <f t="shared" si="1572"/>
        <v>0</v>
      </c>
      <c r="BW1248" s="1906">
        <f t="shared" si="1573"/>
        <v>0</v>
      </c>
      <c r="BX1248" s="1906">
        <f t="shared" si="1574"/>
        <v>0</v>
      </c>
      <c r="BY1248" s="1906">
        <f t="shared" si="1575"/>
        <v>0</v>
      </c>
      <c r="BZ1248" s="1906">
        <f t="shared" si="1576"/>
        <v>0</v>
      </c>
      <c r="CA1248" s="1906">
        <f t="shared" si="1577"/>
        <v>0</v>
      </c>
      <c r="CB1248" s="107"/>
      <c r="CC1248" s="1906">
        <f t="shared" si="1578"/>
        <v>0</v>
      </c>
      <c r="CD1248" s="1906">
        <f t="shared" si="1579"/>
        <v>0</v>
      </c>
      <c r="CE1248" s="1906">
        <f t="shared" si="1580"/>
        <v>0</v>
      </c>
      <c r="CF1248" s="1906">
        <f t="shared" si="1581"/>
        <v>0</v>
      </c>
      <c r="CG1248" s="1906">
        <f t="shared" si="1582"/>
        <v>0</v>
      </c>
      <c r="CH1248" s="1906">
        <f t="shared" si="1583"/>
        <v>0</v>
      </c>
      <c r="CI1248" s="1906">
        <f t="shared" si="1584"/>
        <v>0</v>
      </c>
      <c r="CJ1248" s="1906">
        <f t="shared" si="1585"/>
        <v>0</v>
      </c>
      <c r="CK1248" s="1906">
        <f t="shared" si="1586"/>
        <v>0</v>
      </c>
      <c r="CL1248" s="1906">
        <f t="shared" si="1587"/>
        <v>0</v>
      </c>
      <c r="CM1248" s="1906">
        <f t="shared" si="1588"/>
        <v>0</v>
      </c>
      <c r="CN1248" s="1906">
        <f t="shared" si="1589"/>
        <v>0</v>
      </c>
      <c r="CO1248" s="107"/>
      <c r="CP1248" s="1906">
        <f t="shared" si="1590"/>
        <v>0</v>
      </c>
      <c r="CQ1248" s="1906">
        <f t="shared" si="1591"/>
        <v>0</v>
      </c>
      <c r="CR1248" s="1906">
        <f t="shared" si="1592"/>
        <v>0</v>
      </c>
      <c r="CS1248" s="1906">
        <f t="shared" si="1593"/>
        <v>0</v>
      </c>
      <c r="CT1248" s="1906">
        <f t="shared" si="1594"/>
        <v>0</v>
      </c>
      <c r="CU1248" s="1906">
        <f t="shared" si="1595"/>
        <v>0</v>
      </c>
      <c r="CV1248" s="1906">
        <f t="shared" si="1596"/>
        <v>0</v>
      </c>
      <c r="CW1248" s="1906">
        <f t="shared" si="1597"/>
        <v>0</v>
      </c>
      <c r="CX1248" s="1906">
        <f t="shared" si="1598"/>
        <v>0</v>
      </c>
      <c r="CY1248" s="1906">
        <f t="shared" si="1599"/>
        <v>0</v>
      </c>
      <c r="CZ1248" s="1906">
        <f t="shared" si="1600"/>
        <v>0</v>
      </c>
      <c r="DA1248" s="1906">
        <f t="shared" si="1601"/>
        <v>0</v>
      </c>
      <c r="DB1248" s="1971">
        <f t="shared" si="1602"/>
        <v>0</v>
      </c>
      <c r="DC1248" s="1906">
        <f t="shared" si="1603"/>
        <v>0</v>
      </c>
      <c r="DD1248" s="1906">
        <f t="shared" si="1604"/>
        <v>0</v>
      </c>
      <c r="DE1248" s="1906">
        <f t="shared" si="1605"/>
        <v>0</v>
      </c>
      <c r="DF1248" s="1906">
        <f t="shared" si="1606"/>
        <v>0</v>
      </c>
      <c r="DG1248" s="1906">
        <f t="shared" si="1495"/>
        <v>0</v>
      </c>
      <c r="DH1248" s="1906">
        <f t="shared" si="1496"/>
        <v>0</v>
      </c>
      <c r="DI1248" s="1906">
        <f t="shared" si="1497"/>
        <v>0</v>
      </c>
      <c r="DJ1248" s="1906">
        <f t="shared" si="1498"/>
        <v>0</v>
      </c>
      <c r="DK1248" s="1906">
        <f t="shared" si="1499"/>
        <v>0</v>
      </c>
      <c r="DL1248" s="1906">
        <f t="shared" si="1500"/>
        <v>0</v>
      </c>
      <c r="DM1248" s="1906">
        <f t="shared" si="1501"/>
        <v>0</v>
      </c>
      <c r="DN1248" s="1906">
        <f t="shared" si="1502"/>
        <v>0</v>
      </c>
      <c r="DO1248" s="595">
        <f t="shared" si="1503"/>
        <v>0</v>
      </c>
      <c r="DP1248" s="1443">
        <f t="shared" si="1504"/>
        <v>0</v>
      </c>
      <c r="DQ1248" s="107"/>
      <c r="DR1248" s="111"/>
      <c r="DS1248" s="1906"/>
      <c r="DT1248" s="1906"/>
      <c r="DU1248" s="1906"/>
      <c r="DV1248" s="1906"/>
      <c r="DW1248" s="1906"/>
      <c r="DX1248" s="1906"/>
      <c r="DY1248" s="1906"/>
      <c r="DZ1248" s="1906"/>
      <c r="EA1248" s="1906"/>
      <c r="EB1248" s="1906"/>
      <c r="EC1248" s="1906"/>
      <c r="ED1248" s="1906"/>
    </row>
    <row r="1249" spans="1:134" ht="15.05" thickBot="1" x14ac:dyDescent="0.25">
      <c r="A1249" s="107"/>
      <c r="B1249" s="2035" t="str">
        <f t="shared" si="1505"/>
        <v>Subtotal Cultivos de Verano para Reserva</v>
      </c>
      <c r="C1249" s="2013">
        <f t="shared" si="1506"/>
        <v>0</v>
      </c>
      <c r="D1249" s="2013">
        <f t="shared" si="1507"/>
        <v>0</v>
      </c>
      <c r="E1249" s="2013">
        <f t="shared" si="1508"/>
        <v>0</v>
      </c>
      <c r="F1249" s="2013">
        <f t="shared" si="1509"/>
        <v>0</v>
      </c>
      <c r="G1249" s="2013">
        <f t="shared" si="1510"/>
        <v>0</v>
      </c>
      <c r="H1249" s="2013">
        <f t="shared" si="1511"/>
        <v>0</v>
      </c>
      <c r="I1249" s="2013">
        <f t="shared" si="1512"/>
        <v>0</v>
      </c>
      <c r="J1249" s="2013">
        <f t="shared" si="1513"/>
        <v>0</v>
      </c>
      <c r="K1249" s="2013">
        <f t="shared" si="1514"/>
        <v>0</v>
      </c>
      <c r="L1249" s="2013">
        <f t="shared" si="1515"/>
        <v>0</v>
      </c>
      <c r="M1249" s="2013">
        <f t="shared" si="1516"/>
        <v>0</v>
      </c>
      <c r="N1249" s="2013">
        <f t="shared" si="1517"/>
        <v>0</v>
      </c>
      <c r="P1249" s="1898" t="str">
        <f t="shared" si="1518"/>
        <v/>
      </c>
      <c r="Q1249" s="1898" t="str">
        <f t="shared" si="1519"/>
        <v/>
      </c>
      <c r="R1249" s="1898" t="str">
        <f t="shared" si="1520"/>
        <v/>
      </c>
      <c r="S1249" s="1898" t="str">
        <f t="shared" si="1521"/>
        <v/>
      </c>
      <c r="T1249" s="1898" t="str">
        <f t="shared" si="1522"/>
        <v/>
      </c>
      <c r="U1249" s="1898" t="str">
        <f t="shared" si="1523"/>
        <v/>
      </c>
      <c r="V1249" s="1898" t="str">
        <f t="shared" si="1524"/>
        <v/>
      </c>
      <c r="W1249" s="1898" t="str">
        <f t="shared" si="1525"/>
        <v/>
      </c>
      <c r="X1249" s="1898" t="str">
        <f t="shared" si="1526"/>
        <v/>
      </c>
      <c r="Y1249" s="1898" t="str">
        <f t="shared" si="1527"/>
        <v/>
      </c>
      <c r="Z1249" s="1898" t="str">
        <f t="shared" si="1528"/>
        <v/>
      </c>
      <c r="AA1249" s="1898" t="str">
        <f t="shared" si="1529"/>
        <v/>
      </c>
      <c r="AB1249" s="1971" t="str">
        <f t="shared" si="1530"/>
        <v>Subtotal Cultivos de Verano para Reserva</v>
      </c>
      <c r="AC1249" s="1906">
        <f t="shared" si="1531"/>
        <v>0</v>
      </c>
      <c r="AD1249" s="1906">
        <f t="shared" si="1532"/>
        <v>0</v>
      </c>
      <c r="AE1249" s="1906">
        <f t="shared" si="1533"/>
        <v>0</v>
      </c>
      <c r="AF1249" s="1906">
        <f t="shared" si="1534"/>
        <v>0</v>
      </c>
      <c r="AG1249" s="1906">
        <f t="shared" si="1535"/>
        <v>0</v>
      </c>
      <c r="AH1249" s="1906">
        <f t="shared" si="1536"/>
        <v>0</v>
      </c>
      <c r="AI1249" s="1906">
        <f t="shared" si="1537"/>
        <v>0</v>
      </c>
      <c r="AJ1249" s="1906">
        <f t="shared" si="1538"/>
        <v>0</v>
      </c>
      <c r="AK1249" s="1906">
        <f t="shared" si="1539"/>
        <v>0</v>
      </c>
      <c r="AL1249" s="1906">
        <f t="shared" si="1540"/>
        <v>0</v>
      </c>
      <c r="AM1249" s="1906">
        <f t="shared" si="1541"/>
        <v>0</v>
      </c>
      <c r="AN1249" s="1906">
        <f t="shared" si="1542"/>
        <v>0</v>
      </c>
      <c r="AO1249" s="107"/>
      <c r="AP1249" s="1906"/>
      <c r="AQ1249" s="1906">
        <f t="shared" si="1543"/>
        <v>0</v>
      </c>
      <c r="AR1249" s="1906">
        <f t="shared" si="1544"/>
        <v>0</v>
      </c>
      <c r="AS1249" s="1906">
        <f t="shared" si="1545"/>
        <v>0</v>
      </c>
      <c r="AT1249" s="1906">
        <f t="shared" si="1546"/>
        <v>0</v>
      </c>
      <c r="AU1249" s="1906">
        <f t="shared" si="1547"/>
        <v>0</v>
      </c>
      <c r="AV1249" s="1906">
        <f t="shared" si="1548"/>
        <v>0</v>
      </c>
      <c r="AW1249" s="1906">
        <f t="shared" si="1549"/>
        <v>0</v>
      </c>
      <c r="AX1249" s="1906">
        <f t="shared" si="1550"/>
        <v>0</v>
      </c>
      <c r="AY1249" s="1906">
        <f t="shared" si="1551"/>
        <v>0</v>
      </c>
      <c r="AZ1249" s="1906">
        <f t="shared" si="1552"/>
        <v>0</v>
      </c>
      <c r="BA1249" s="1906">
        <f t="shared" si="1553"/>
        <v>0</v>
      </c>
      <c r="BB1249" s="107"/>
      <c r="BC1249" s="1906">
        <f t="shared" si="1554"/>
        <v>0</v>
      </c>
      <c r="BD1249" s="1906">
        <f t="shared" si="1555"/>
        <v>0</v>
      </c>
      <c r="BE1249" s="1906">
        <f t="shared" si="1556"/>
        <v>0</v>
      </c>
      <c r="BF1249" s="1906">
        <f t="shared" si="1557"/>
        <v>0</v>
      </c>
      <c r="BG1249" s="1906">
        <f t="shared" si="1558"/>
        <v>0</v>
      </c>
      <c r="BH1249" s="1906">
        <f t="shared" si="1559"/>
        <v>0</v>
      </c>
      <c r="BI1249" s="1906">
        <f t="shared" si="1560"/>
        <v>0</v>
      </c>
      <c r="BJ1249" s="1906">
        <f t="shared" si="1561"/>
        <v>0</v>
      </c>
      <c r="BK1249" s="1906">
        <f t="shared" si="1562"/>
        <v>0</v>
      </c>
      <c r="BL1249" s="1906">
        <f t="shared" si="1563"/>
        <v>0</v>
      </c>
      <c r="BM1249" s="1906">
        <f t="shared" si="1564"/>
        <v>0</v>
      </c>
      <c r="BN1249" s="1906">
        <f t="shared" si="1565"/>
        <v>0</v>
      </c>
      <c r="BO1249" s="107"/>
      <c r="BP1249" s="1906">
        <f t="shared" si="1566"/>
        <v>0</v>
      </c>
      <c r="BQ1249" s="1906">
        <f t="shared" si="1567"/>
        <v>0</v>
      </c>
      <c r="BR1249" s="1906">
        <f t="shared" si="1568"/>
        <v>0</v>
      </c>
      <c r="BS1249" s="1906">
        <f t="shared" si="1569"/>
        <v>0</v>
      </c>
      <c r="BT1249" s="1906">
        <f t="shared" si="1570"/>
        <v>0</v>
      </c>
      <c r="BU1249" s="1906">
        <f t="shared" si="1571"/>
        <v>0</v>
      </c>
      <c r="BV1249" s="1906">
        <f t="shared" si="1572"/>
        <v>0</v>
      </c>
      <c r="BW1249" s="1906">
        <f t="shared" si="1573"/>
        <v>0</v>
      </c>
      <c r="BX1249" s="1906">
        <f t="shared" si="1574"/>
        <v>0</v>
      </c>
      <c r="BY1249" s="1906">
        <f t="shared" si="1575"/>
        <v>0</v>
      </c>
      <c r="BZ1249" s="1906">
        <f t="shared" si="1576"/>
        <v>0</v>
      </c>
      <c r="CA1249" s="1906">
        <f t="shared" si="1577"/>
        <v>0</v>
      </c>
      <c r="CB1249" s="107"/>
      <c r="CC1249" s="1906">
        <f t="shared" si="1578"/>
        <v>0</v>
      </c>
      <c r="CD1249" s="1906">
        <f t="shared" si="1579"/>
        <v>0</v>
      </c>
      <c r="CE1249" s="1906">
        <f t="shared" si="1580"/>
        <v>0</v>
      </c>
      <c r="CF1249" s="1906">
        <f t="shared" si="1581"/>
        <v>0</v>
      </c>
      <c r="CG1249" s="1906">
        <f t="shared" si="1582"/>
        <v>0</v>
      </c>
      <c r="CH1249" s="1906">
        <f t="shared" si="1583"/>
        <v>0</v>
      </c>
      <c r="CI1249" s="1906">
        <f t="shared" si="1584"/>
        <v>0</v>
      </c>
      <c r="CJ1249" s="1906">
        <f t="shared" si="1585"/>
        <v>0</v>
      </c>
      <c r="CK1249" s="1906">
        <f t="shared" si="1586"/>
        <v>0</v>
      </c>
      <c r="CL1249" s="1906">
        <f t="shared" si="1587"/>
        <v>0</v>
      </c>
      <c r="CM1249" s="1906">
        <f t="shared" si="1588"/>
        <v>0</v>
      </c>
      <c r="CN1249" s="1906">
        <f t="shared" si="1589"/>
        <v>0</v>
      </c>
      <c r="CO1249" s="107"/>
      <c r="CP1249" s="1906">
        <f t="shared" si="1590"/>
        <v>0</v>
      </c>
      <c r="CQ1249" s="1906">
        <f t="shared" si="1591"/>
        <v>0</v>
      </c>
      <c r="CR1249" s="1906">
        <f t="shared" si="1592"/>
        <v>0</v>
      </c>
      <c r="CS1249" s="1906">
        <f t="shared" si="1593"/>
        <v>0</v>
      </c>
      <c r="CT1249" s="1906">
        <f t="shared" si="1594"/>
        <v>0</v>
      </c>
      <c r="CU1249" s="1906">
        <f t="shared" si="1595"/>
        <v>0</v>
      </c>
      <c r="CV1249" s="1906">
        <f t="shared" si="1596"/>
        <v>0</v>
      </c>
      <c r="CW1249" s="1906">
        <f t="shared" si="1597"/>
        <v>0</v>
      </c>
      <c r="CX1249" s="1906">
        <f t="shared" si="1598"/>
        <v>0</v>
      </c>
      <c r="CY1249" s="1906">
        <f t="shared" si="1599"/>
        <v>0</v>
      </c>
      <c r="CZ1249" s="1906">
        <f t="shared" si="1600"/>
        <v>0</v>
      </c>
      <c r="DA1249" s="1906">
        <f t="shared" si="1601"/>
        <v>0</v>
      </c>
      <c r="DB1249" s="1971" t="str">
        <f t="shared" si="1602"/>
        <v>Subtotal Cultivos de Verano para Reserva</v>
      </c>
      <c r="DC1249" s="1906">
        <f t="shared" si="1603"/>
        <v>0</v>
      </c>
      <c r="DD1249" s="1906">
        <f t="shared" si="1604"/>
        <v>0</v>
      </c>
      <c r="DE1249" s="1906">
        <f t="shared" si="1605"/>
        <v>0</v>
      </c>
      <c r="DF1249" s="1906">
        <f t="shared" si="1606"/>
        <v>0</v>
      </c>
      <c r="DG1249" s="1906">
        <f t="shared" si="1495"/>
        <v>0</v>
      </c>
      <c r="DH1249" s="1906">
        <f t="shared" si="1496"/>
        <v>0</v>
      </c>
      <c r="DI1249" s="1906">
        <f t="shared" si="1497"/>
        <v>0</v>
      </c>
      <c r="DJ1249" s="1906">
        <f t="shared" si="1498"/>
        <v>0</v>
      </c>
      <c r="DK1249" s="1906">
        <f t="shared" si="1499"/>
        <v>0</v>
      </c>
      <c r="DL1249" s="1906">
        <f t="shared" si="1500"/>
        <v>0</v>
      </c>
      <c r="DM1249" s="1906">
        <f t="shared" si="1501"/>
        <v>0</v>
      </c>
      <c r="DN1249" s="1906">
        <f t="shared" si="1502"/>
        <v>0</v>
      </c>
      <c r="DO1249" s="595" t="str">
        <f t="shared" si="1503"/>
        <v>Subtotal Cultivos de Verano para Reserva</v>
      </c>
      <c r="DP1249" s="1443">
        <f t="shared" si="1504"/>
        <v>0</v>
      </c>
      <c r="DQ1249" s="107"/>
      <c r="DR1249" s="111"/>
      <c r="DS1249" s="1906"/>
      <c r="DT1249" s="1906"/>
      <c r="DU1249" s="1906"/>
      <c r="DV1249" s="1906"/>
      <c r="DW1249" s="1906"/>
      <c r="DX1249" s="1906"/>
      <c r="DY1249" s="1906"/>
      <c r="DZ1249" s="1906"/>
      <c r="EA1249" s="1906"/>
      <c r="EB1249" s="1906"/>
      <c r="EC1249" s="1906"/>
      <c r="ED1249" s="1906"/>
    </row>
    <row r="1250" spans="1:134" x14ac:dyDescent="0.2">
      <c r="A1250" s="107"/>
      <c r="B1250" s="1857" t="str">
        <f t="shared" si="1505"/>
        <v>Avena silo</v>
      </c>
      <c r="C1250" s="2013">
        <f t="shared" si="1506"/>
        <v>0</v>
      </c>
      <c r="D1250" s="2013">
        <f t="shared" si="1507"/>
        <v>0</v>
      </c>
      <c r="E1250" s="2013">
        <f t="shared" si="1508"/>
        <v>0</v>
      </c>
      <c r="F1250" s="2013">
        <f t="shared" si="1509"/>
        <v>0</v>
      </c>
      <c r="G1250" s="2013">
        <f t="shared" si="1510"/>
        <v>0</v>
      </c>
      <c r="H1250" s="2013">
        <f t="shared" si="1511"/>
        <v>0</v>
      </c>
      <c r="I1250" s="2013">
        <f t="shared" si="1512"/>
        <v>0</v>
      </c>
      <c r="J1250" s="2013">
        <f t="shared" si="1513"/>
        <v>0</v>
      </c>
      <c r="K1250" s="2013">
        <f t="shared" si="1514"/>
        <v>0</v>
      </c>
      <c r="L1250" s="2013">
        <f t="shared" si="1515"/>
        <v>0</v>
      </c>
      <c r="M1250" s="2013">
        <f t="shared" si="1516"/>
        <v>0</v>
      </c>
      <c r="N1250" s="2013">
        <f t="shared" si="1517"/>
        <v>0</v>
      </c>
      <c r="P1250" s="1898" t="str">
        <f t="shared" si="1518"/>
        <v/>
      </c>
      <c r="Q1250" s="1898" t="str">
        <f t="shared" si="1519"/>
        <v/>
      </c>
      <c r="R1250" s="1898" t="str">
        <f t="shared" si="1520"/>
        <v/>
      </c>
      <c r="S1250" s="1898" t="str">
        <f t="shared" si="1521"/>
        <v/>
      </c>
      <c r="T1250" s="1898" t="str">
        <f t="shared" si="1522"/>
        <v/>
      </c>
      <c r="U1250" s="1898" t="str">
        <f t="shared" si="1523"/>
        <v/>
      </c>
      <c r="V1250" s="1898" t="str">
        <f t="shared" si="1524"/>
        <v/>
      </c>
      <c r="W1250" s="1898" t="str">
        <f t="shared" si="1525"/>
        <v/>
      </c>
      <c r="X1250" s="1898" t="str">
        <f t="shared" si="1526"/>
        <v/>
      </c>
      <c r="Y1250" s="1898" t="str">
        <f t="shared" si="1527"/>
        <v/>
      </c>
      <c r="Z1250" s="1898" t="str">
        <f t="shared" si="1528"/>
        <v/>
      </c>
      <c r="AA1250" s="1898" t="str">
        <f t="shared" si="1529"/>
        <v/>
      </c>
      <c r="AB1250" s="1971" t="str">
        <f t="shared" si="1530"/>
        <v>Avena silo</v>
      </c>
      <c r="AC1250" s="1906">
        <f t="shared" si="1531"/>
        <v>0</v>
      </c>
      <c r="AD1250" s="1906">
        <f t="shared" si="1532"/>
        <v>0</v>
      </c>
      <c r="AE1250" s="1906">
        <f t="shared" si="1533"/>
        <v>0</v>
      </c>
      <c r="AF1250" s="1906">
        <f t="shared" si="1534"/>
        <v>0</v>
      </c>
      <c r="AG1250" s="1906">
        <f t="shared" si="1535"/>
        <v>0</v>
      </c>
      <c r="AH1250" s="1906">
        <f t="shared" si="1536"/>
        <v>0</v>
      </c>
      <c r="AI1250" s="1906">
        <f t="shared" si="1537"/>
        <v>0</v>
      </c>
      <c r="AJ1250" s="1906">
        <f t="shared" si="1538"/>
        <v>0</v>
      </c>
      <c r="AK1250" s="1906">
        <f t="shared" si="1539"/>
        <v>0</v>
      </c>
      <c r="AL1250" s="1906">
        <f t="shared" si="1540"/>
        <v>0</v>
      </c>
      <c r="AM1250" s="1906">
        <f t="shared" si="1541"/>
        <v>0</v>
      </c>
      <c r="AN1250" s="1906">
        <f t="shared" si="1542"/>
        <v>0</v>
      </c>
      <c r="AO1250" s="107"/>
      <c r="AP1250" s="1906"/>
      <c r="AQ1250" s="1906">
        <f t="shared" si="1543"/>
        <v>0</v>
      </c>
      <c r="AR1250" s="1906">
        <f t="shared" si="1544"/>
        <v>0</v>
      </c>
      <c r="AS1250" s="1906">
        <f t="shared" si="1545"/>
        <v>0</v>
      </c>
      <c r="AT1250" s="1906">
        <f t="shared" si="1546"/>
        <v>0</v>
      </c>
      <c r="AU1250" s="1906">
        <f t="shared" si="1547"/>
        <v>0</v>
      </c>
      <c r="AV1250" s="1906">
        <f t="shared" si="1548"/>
        <v>0</v>
      </c>
      <c r="AW1250" s="1906">
        <f t="shared" si="1549"/>
        <v>0</v>
      </c>
      <c r="AX1250" s="1906">
        <f t="shared" si="1550"/>
        <v>0</v>
      </c>
      <c r="AY1250" s="1906">
        <f t="shared" si="1551"/>
        <v>0</v>
      </c>
      <c r="AZ1250" s="1906">
        <f t="shared" si="1552"/>
        <v>0</v>
      </c>
      <c r="BA1250" s="1906">
        <f t="shared" si="1553"/>
        <v>0</v>
      </c>
      <c r="BB1250" s="107"/>
      <c r="BC1250" s="1906">
        <f t="shared" si="1554"/>
        <v>0</v>
      </c>
      <c r="BD1250" s="1906">
        <f t="shared" si="1555"/>
        <v>0</v>
      </c>
      <c r="BE1250" s="1906">
        <f t="shared" si="1556"/>
        <v>0</v>
      </c>
      <c r="BF1250" s="1906">
        <f t="shared" si="1557"/>
        <v>0</v>
      </c>
      <c r="BG1250" s="1906">
        <f t="shared" si="1558"/>
        <v>0</v>
      </c>
      <c r="BH1250" s="1906">
        <f t="shared" si="1559"/>
        <v>0</v>
      </c>
      <c r="BI1250" s="1906">
        <f t="shared" si="1560"/>
        <v>0</v>
      </c>
      <c r="BJ1250" s="1906">
        <f t="shared" si="1561"/>
        <v>0</v>
      </c>
      <c r="BK1250" s="1906">
        <f t="shared" si="1562"/>
        <v>0</v>
      </c>
      <c r="BL1250" s="1906">
        <f t="shared" si="1563"/>
        <v>0</v>
      </c>
      <c r="BM1250" s="1906">
        <f t="shared" si="1564"/>
        <v>0</v>
      </c>
      <c r="BN1250" s="1906">
        <f t="shared" si="1565"/>
        <v>0</v>
      </c>
      <c r="BO1250" s="107"/>
      <c r="BP1250" s="1906">
        <f t="shared" si="1566"/>
        <v>0</v>
      </c>
      <c r="BQ1250" s="1906">
        <f t="shared" si="1567"/>
        <v>0</v>
      </c>
      <c r="BR1250" s="1906">
        <f t="shared" si="1568"/>
        <v>0</v>
      </c>
      <c r="BS1250" s="1906">
        <f t="shared" si="1569"/>
        <v>0</v>
      </c>
      <c r="BT1250" s="1906">
        <f t="shared" si="1570"/>
        <v>0</v>
      </c>
      <c r="BU1250" s="1906">
        <f t="shared" si="1571"/>
        <v>0</v>
      </c>
      <c r="BV1250" s="1906">
        <f t="shared" si="1572"/>
        <v>0</v>
      </c>
      <c r="BW1250" s="1906">
        <f t="shared" si="1573"/>
        <v>0</v>
      </c>
      <c r="BX1250" s="1906">
        <f t="shared" si="1574"/>
        <v>0</v>
      </c>
      <c r="BY1250" s="1906">
        <f t="shared" si="1575"/>
        <v>0</v>
      </c>
      <c r="BZ1250" s="1906">
        <f t="shared" si="1576"/>
        <v>0</v>
      </c>
      <c r="CA1250" s="1906">
        <f t="shared" si="1577"/>
        <v>0</v>
      </c>
      <c r="CB1250" s="107"/>
      <c r="CC1250" s="1906">
        <f t="shared" si="1578"/>
        <v>0</v>
      </c>
      <c r="CD1250" s="1906">
        <f t="shared" si="1579"/>
        <v>0</v>
      </c>
      <c r="CE1250" s="1906">
        <f t="shared" si="1580"/>
        <v>0</v>
      </c>
      <c r="CF1250" s="1906">
        <f t="shared" si="1581"/>
        <v>0</v>
      </c>
      <c r="CG1250" s="1906">
        <f t="shared" si="1582"/>
        <v>0</v>
      </c>
      <c r="CH1250" s="1906">
        <f t="shared" si="1583"/>
        <v>0</v>
      </c>
      <c r="CI1250" s="1906">
        <f t="shared" si="1584"/>
        <v>0</v>
      </c>
      <c r="CJ1250" s="1906">
        <f t="shared" si="1585"/>
        <v>0</v>
      </c>
      <c r="CK1250" s="1906">
        <f t="shared" si="1586"/>
        <v>0</v>
      </c>
      <c r="CL1250" s="1906">
        <f t="shared" si="1587"/>
        <v>0</v>
      </c>
      <c r="CM1250" s="1906">
        <f t="shared" si="1588"/>
        <v>0</v>
      </c>
      <c r="CN1250" s="1906">
        <f t="shared" si="1589"/>
        <v>0</v>
      </c>
      <c r="CO1250" s="107"/>
      <c r="CP1250" s="1906">
        <f t="shared" si="1590"/>
        <v>0</v>
      </c>
      <c r="CQ1250" s="1906">
        <f t="shared" si="1591"/>
        <v>0</v>
      </c>
      <c r="CR1250" s="1906">
        <f t="shared" si="1592"/>
        <v>0</v>
      </c>
      <c r="CS1250" s="1906">
        <f t="shared" si="1593"/>
        <v>0</v>
      </c>
      <c r="CT1250" s="1906">
        <f t="shared" si="1594"/>
        <v>0</v>
      </c>
      <c r="CU1250" s="1906">
        <f t="shared" si="1595"/>
        <v>0</v>
      </c>
      <c r="CV1250" s="1906">
        <f t="shared" si="1596"/>
        <v>0</v>
      </c>
      <c r="CW1250" s="1906">
        <f t="shared" si="1597"/>
        <v>0</v>
      </c>
      <c r="CX1250" s="1906">
        <f t="shared" si="1598"/>
        <v>0</v>
      </c>
      <c r="CY1250" s="1906">
        <f t="shared" si="1599"/>
        <v>0</v>
      </c>
      <c r="CZ1250" s="1906">
        <f t="shared" si="1600"/>
        <v>0</v>
      </c>
      <c r="DA1250" s="1906">
        <f t="shared" si="1601"/>
        <v>0</v>
      </c>
      <c r="DB1250" s="1971" t="str">
        <f t="shared" si="1602"/>
        <v>Avena silo</v>
      </c>
      <c r="DC1250" s="1906">
        <f t="shared" si="1603"/>
        <v>0</v>
      </c>
      <c r="DD1250" s="1906">
        <f t="shared" si="1604"/>
        <v>0</v>
      </c>
      <c r="DE1250" s="1906">
        <f t="shared" si="1605"/>
        <v>0</v>
      </c>
      <c r="DF1250" s="1906">
        <f t="shared" si="1606"/>
        <v>0</v>
      </c>
      <c r="DG1250" s="1906">
        <f t="shared" si="1495"/>
        <v>0</v>
      </c>
      <c r="DH1250" s="1906">
        <f t="shared" si="1496"/>
        <v>0</v>
      </c>
      <c r="DI1250" s="1906">
        <f t="shared" si="1497"/>
        <v>0</v>
      </c>
      <c r="DJ1250" s="1906">
        <f t="shared" si="1498"/>
        <v>0</v>
      </c>
      <c r="DK1250" s="1906">
        <f t="shared" si="1499"/>
        <v>0</v>
      </c>
      <c r="DL1250" s="1906">
        <f t="shared" si="1500"/>
        <v>0</v>
      </c>
      <c r="DM1250" s="1906">
        <f t="shared" si="1501"/>
        <v>0</v>
      </c>
      <c r="DN1250" s="1906">
        <f t="shared" si="1502"/>
        <v>0</v>
      </c>
      <c r="DO1250" s="595" t="str">
        <f t="shared" si="1503"/>
        <v>Avena silo</v>
      </c>
      <c r="DP1250" s="1443">
        <f t="shared" si="1504"/>
        <v>0</v>
      </c>
      <c r="DQ1250" s="107"/>
      <c r="DR1250" s="111"/>
      <c r="DS1250" s="1906"/>
      <c r="DT1250" s="1906"/>
      <c r="DU1250" s="1906"/>
      <c r="DV1250" s="1906"/>
      <c r="DW1250" s="1906"/>
      <c r="DX1250" s="1906"/>
      <c r="DY1250" s="1906"/>
      <c r="DZ1250" s="1906"/>
      <c r="EA1250" s="1906"/>
      <c r="EB1250" s="1906"/>
      <c r="EC1250" s="1906"/>
      <c r="ED1250" s="1906"/>
    </row>
    <row r="1251" spans="1:134" x14ac:dyDescent="0.2">
      <c r="A1251" s="107"/>
      <c r="B1251" s="1857" t="str">
        <f t="shared" si="1505"/>
        <v>Raigrás Silo</v>
      </c>
      <c r="C1251" s="2013">
        <f t="shared" si="1506"/>
        <v>0</v>
      </c>
      <c r="D1251" s="2013">
        <f t="shared" si="1507"/>
        <v>0</v>
      </c>
      <c r="E1251" s="2013">
        <f t="shared" si="1508"/>
        <v>0</v>
      </c>
      <c r="F1251" s="2013">
        <f t="shared" si="1509"/>
        <v>0</v>
      </c>
      <c r="G1251" s="2013">
        <f t="shared" si="1510"/>
        <v>0</v>
      </c>
      <c r="H1251" s="2013">
        <f t="shared" si="1511"/>
        <v>0</v>
      </c>
      <c r="I1251" s="2013">
        <f t="shared" si="1512"/>
        <v>0</v>
      </c>
      <c r="J1251" s="2013">
        <f t="shared" si="1513"/>
        <v>0</v>
      </c>
      <c r="K1251" s="2013">
        <f t="shared" si="1514"/>
        <v>0</v>
      </c>
      <c r="L1251" s="2013">
        <f t="shared" si="1515"/>
        <v>0</v>
      </c>
      <c r="M1251" s="2013">
        <f t="shared" si="1516"/>
        <v>0</v>
      </c>
      <c r="N1251" s="2013">
        <f t="shared" si="1517"/>
        <v>0</v>
      </c>
      <c r="P1251" s="1898" t="str">
        <f t="shared" si="1518"/>
        <v/>
      </c>
      <c r="Q1251" s="1898" t="str">
        <f t="shared" si="1519"/>
        <v/>
      </c>
      <c r="R1251" s="1898" t="str">
        <f t="shared" si="1520"/>
        <v/>
      </c>
      <c r="S1251" s="1898" t="str">
        <f t="shared" si="1521"/>
        <v/>
      </c>
      <c r="T1251" s="1898" t="str">
        <f t="shared" si="1522"/>
        <v/>
      </c>
      <c r="U1251" s="1898" t="str">
        <f t="shared" si="1523"/>
        <v/>
      </c>
      <c r="V1251" s="1898" t="str">
        <f t="shared" si="1524"/>
        <v/>
      </c>
      <c r="W1251" s="1898" t="str">
        <f t="shared" si="1525"/>
        <v/>
      </c>
      <c r="X1251" s="1898" t="str">
        <f t="shared" si="1526"/>
        <v/>
      </c>
      <c r="Y1251" s="1898" t="str">
        <f t="shared" si="1527"/>
        <v/>
      </c>
      <c r="Z1251" s="1898" t="str">
        <f t="shared" si="1528"/>
        <v/>
      </c>
      <c r="AA1251" s="1898" t="str">
        <f t="shared" si="1529"/>
        <v/>
      </c>
      <c r="AB1251" s="1971" t="str">
        <f t="shared" si="1530"/>
        <v>Raigrás Silo</v>
      </c>
      <c r="AC1251" s="1906">
        <f t="shared" si="1531"/>
        <v>0</v>
      </c>
      <c r="AD1251" s="1906">
        <f t="shared" si="1532"/>
        <v>0</v>
      </c>
      <c r="AE1251" s="1906">
        <f t="shared" si="1533"/>
        <v>0</v>
      </c>
      <c r="AF1251" s="1906">
        <f t="shared" si="1534"/>
        <v>0</v>
      </c>
      <c r="AG1251" s="1906">
        <f t="shared" si="1535"/>
        <v>0</v>
      </c>
      <c r="AH1251" s="1906">
        <f t="shared" si="1536"/>
        <v>0</v>
      </c>
      <c r="AI1251" s="1906">
        <f t="shared" si="1537"/>
        <v>0</v>
      </c>
      <c r="AJ1251" s="1906">
        <f t="shared" si="1538"/>
        <v>0</v>
      </c>
      <c r="AK1251" s="1906">
        <f t="shared" si="1539"/>
        <v>0</v>
      </c>
      <c r="AL1251" s="1906">
        <f t="shared" si="1540"/>
        <v>0</v>
      </c>
      <c r="AM1251" s="1906">
        <f t="shared" si="1541"/>
        <v>0</v>
      </c>
      <c r="AN1251" s="1906">
        <f t="shared" si="1542"/>
        <v>0</v>
      </c>
      <c r="AO1251" s="107"/>
      <c r="AP1251" s="1906"/>
      <c r="AQ1251" s="1906">
        <f t="shared" si="1543"/>
        <v>0</v>
      </c>
      <c r="AR1251" s="1906">
        <f t="shared" si="1544"/>
        <v>0</v>
      </c>
      <c r="AS1251" s="1906">
        <f t="shared" si="1545"/>
        <v>0</v>
      </c>
      <c r="AT1251" s="1906">
        <f t="shared" si="1546"/>
        <v>0</v>
      </c>
      <c r="AU1251" s="1906">
        <f t="shared" si="1547"/>
        <v>0</v>
      </c>
      <c r="AV1251" s="1906">
        <f t="shared" si="1548"/>
        <v>0</v>
      </c>
      <c r="AW1251" s="1906">
        <f t="shared" si="1549"/>
        <v>0</v>
      </c>
      <c r="AX1251" s="1906">
        <f t="shared" si="1550"/>
        <v>0</v>
      </c>
      <c r="AY1251" s="1906">
        <f t="shared" si="1551"/>
        <v>0</v>
      </c>
      <c r="AZ1251" s="1906">
        <f t="shared" si="1552"/>
        <v>0</v>
      </c>
      <c r="BA1251" s="1906">
        <f t="shared" si="1553"/>
        <v>0</v>
      </c>
      <c r="BB1251" s="107"/>
      <c r="BC1251" s="1906">
        <f t="shared" si="1554"/>
        <v>0</v>
      </c>
      <c r="BD1251" s="1906">
        <f t="shared" si="1555"/>
        <v>0</v>
      </c>
      <c r="BE1251" s="1906">
        <f t="shared" si="1556"/>
        <v>0</v>
      </c>
      <c r="BF1251" s="1906">
        <f t="shared" si="1557"/>
        <v>0</v>
      </c>
      <c r="BG1251" s="1906">
        <f t="shared" si="1558"/>
        <v>0</v>
      </c>
      <c r="BH1251" s="1906">
        <f t="shared" si="1559"/>
        <v>0</v>
      </c>
      <c r="BI1251" s="1906">
        <f t="shared" si="1560"/>
        <v>0</v>
      </c>
      <c r="BJ1251" s="1906">
        <f t="shared" si="1561"/>
        <v>0</v>
      </c>
      <c r="BK1251" s="1906">
        <f t="shared" si="1562"/>
        <v>0</v>
      </c>
      <c r="BL1251" s="1906">
        <f t="shared" si="1563"/>
        <v>0</v>
      </c>
      <c r="BM1251" s="1906">
        <f t="shared" si="1564"/>
        <v>0</v>
      </c>
      <c r="BN1251" s="1906">
        <f t="shared" si="1565"/>
        <v>0</v>
      </c>
      <c r="BO1251" s="107"/>
      <c r="BP1251" s="1906">
        <f t="shared" si="1566"/>
        <v>0</v>
      </c>
      <c r="BQ1251" s="1906">
        <f t="shared" si="1567"/>
        <v>0</v>
      </c>
      <c r="BR1251" s="1906">
        <f t="shared" si="1568"/>
        <v>0</v>
      </c>
      <c r="BS1251" s="1906">
        <f t="shared" si="1569"/>
        <v>0</v>
      </c>
      <c r="BT1251" s="1906">
        <f t="shared" si="1570"/>
        <v>0</v>
      </c>
      <c r="BU1251" s="1906">
        <f t="shared" si="1571"/>
        <v>0</v>
      </c>
      <c r="BV1251" s="1906">
        <f t="shared" si="1572"/>
        <v>0</v>
      </c>
      <c r="BW1251" s="1906">
        <f t="shared" si="1573"/>
        <v>0</v>
      </c>
      <c r="BX1251" s="1906">
        <f t="shared" si="1574"/>
        <v>0</v>
      </c>
      <c r="BY1251" s="1906">
        <f t="shared" si="1575"/>
        <v>0</v>
      </c>
      <c r="BZ1251" s="1906">
        <f t="shared" si="1576"/>
        <v>0</v>
      </c>
      <c r="CA1251" s="1906">
        <f t="shared" si="1577"/>
        <v>0</v>
      </c>
      <c r="CB1251" s="107"/>
      <c r="CC1251" s="1906">
        <f t="shared" si="1578"/>
        <v>0</v>
      </c>
      <c r="CD1251" s="1906">
        <f t="shared" si="1579"/>
        <v>0</v>
      </c>
      <c r="CE1251" s="1906">
        <f t="shared" si="1580"/>
        <v>0</v>
      </c>
      <c r="CF1251" s="1906">
        <f t="shared" si="1581"/>
        <v>0</v>
      </c>
      <c r="CG1251" s="1906">
        <f t="shared" si="1582"/>
        <v>0</v>
      </c>
      <c r="CH1251" s="1906">
        <f t="shared" si="1583"/>
        <v>0</v>
      </c>
      <c r="CI1251" s="1906">
        <f t="shared" si="1584"/>
        <v>0</v>
      </c>
      <c r="CJ1251" s="1906">
        <f t="shared" si="1585"/>
        <v>0</v>
      </c>
      <c r="CK1251" s="1906">
        <f t="shared" si="1586"/>
        <v>0</v>
      </c>
      <c r="CL1251" s="1906">
        <f t="shared" si="1587"/>
        <v>0</v>
      </c>
      <c r="CM1251" s="1906">
        <f t="shared" si="1588"/>
        <v>0</v>
      </c>
      <c r="CN1251" s="1906">
        <f t="shared" si="1589"/>
        <v>0</v>
      </c>
      <c r="CO1251" s="107"/>
      <c r="CP1251" s="1906">
        <f t="shared" si="1590"/>
        <v>0</v>
      </c>
      <c r="CQ1251" s="1906">
        <f t="shared" si="1591"/>
        <v>0</v>
      </c>
      <c r="CR1251" s="1906">
        <f t="shared" si="1592"/>
        <v>0</v>
      </c>
      <c r="CS1251" s="1906">
        <f t="shared" si="1593"/>
        <v>0</v>
      </c>
      <c r="CT1251" s="1906">
        <f t="shared" si="1594"/>
        <v>0</v>
      </c>
      <c r="CU1251" s="1906">
        <f t="shared" si="1595"/>
        <v>0</v>
      </c>
      <c r="CV1251" s="1906">
        <f t="shared" si="1596"/>
        <v>0</v>
      </c>
      <c r="CW1251" s="1906">
        <f t="shared" si="1597"/>
        <v>0</v>
      </c>
      <c r="CX1251" s="1906">
        <f t="shared" si="1598"/>
        <v>0</v>
      </c>
      <c r="CY1251" s="1906">
        <f t="shared" si="1599"/>
        <v>0</v>
      </c>
      <c r="CZ1251" s="1906">
        <f t="shared" si="1600"/>
        <v>0</v>
      </c>
      <c r="DA1251" s="1906">
        <f t="shared" si="1601"/>
        <v>0</v>
      </c>
      <c r="DB1251" s="1971" t="str">
        <f t="shared" si="1602"/>
        <v>Raigrás Silo</v>
      </c>
      <c r="DC1251" s="1906">
        <f t="shared" si="1603"/>
        <v>0</v>
      </c>
      <c r="DD1251" s="1906">
        <f t="shared" si="1604"/>
        <v>0</v>
      </c>
      <c r="DE1251" s="1906">
        <f t="shared" si="1605"/>
        <v>0</v>
      </c>
      <c r="DF1251" s="1906">
        <f t="shared" si="1606"/>
        <v>0</v>
      </c>
      <c r="DG1251" s="1906">
        <f t="shared" si="1495"/>
        <v>0</v>
      </c>
      <c r="DH1251" s="1906">
        <f t="shared" si="1496"/>
        <v>0</v>
      </c>
      <c r="DI1251" s="1906">
        <f t="shared" si="1497"/>
        <v>0</v>
      </c>
      <c r="DJ1251" s="1906">
        <f t="shared" si="1498"/>
        <v>0</v>
      </c>
      <c r="DK1251" s="1906">
        <f t="shared" si="1499"/>
        <v>0</v>
      </c>
      <c r="DL1251" s="1906">
        <f t="shared" si="1500"/>
        <v>0</v>
      </c>
      <c r="DM1251" s="1906">
        <f t="shared" si="1501"/>
        <v>0</v>
      </c>
      <c r="DN1251" s="1906">
        <f t="shared" si="1502"/>
        <v>0</v>
      </c>
      <c r="DO1251" s="595" t="str">
        <f t="shared" si="1503"/>
        <v>Raigrás Silo</v>
      </c>
      <c r="DP1251" s="1443">
        <f t="shared" si="1504"/>
        <v>0</v>
      </c>
      <c r="DQ1251" s="107"/>
      <c r="DR1251" s="111"/>
      <c r="DS1251" s="1906"/>
      <c r="DT1251" s="1906"/>
      <c r="DU1251" s="1906"/>
      <c r="DV1251" s="1906"/>
      <c r="DW1251" s="1906"/>
      <c r="DX1251" s="1906"/>
      <c r="DY1251" s="1906"/>
      <c r="DZ1251" s="1906"/>
      <c r="EA1251" s="1906"/>
      <c r="EB1251" s="1906"/>
      <c r="EC1251" s="1906"/>
      <c r="ED1251" s="1906"/>
    </row>
    <row r="1252" spans="1:134" x14ac:dyDescent="0.2">
      <c r="A1252" s="107"/>
      <c r="B1252" s="1857" t="str">
        <f t="shared" si="1505"/>
        <v>Ra Silo Cierre Ago</v>
      </c>
      <c r="C1252" s="2013">
        <f t="shared" si="1506"/>
        <v>0</v>
      </c>
      <c r="D1252" s="2013">
        <f t="shared" si="1507"/>
        <v>0</v>
      </c>
      <c r="E1252" s="2013">
        <f t="shared" si="1508"/>
        <v>0</v>
      </c>
      <c r="F1252" s="2013">
        <f t="shared" si="1509"/>
        <v>0</v>
      </c>
      <c r="G1252" s="2013">
        <f t="shared" si="1510"/>
        <v>0</v>
      </c>
      <c r="H1252" s="2013">
        <f t="shared" si="1511"/>
        <v>0</v>
      </c>
      <c r="I1252" s="2013">
        <f t="shared" si="1512"/>
        <v>0</v>
      </c>
      <c r="J1252" s="2013">
        <f t="shared" si="1513"/>
        <v>0</v>
      </c>
      <c r="K1252" s="2013">
        <f t="shared" si="1514"/>
        <v>0</v>
      </c>
      <c r="L1252" s="2013">
        <f t="shared" si="1515"/>
        <v>0</v>
      </c>
      <c r="M1252" s="2013">
        <f t="shared" si="1516"/>
        <v>0</v>
      </c>
      <c r="N1252" s="2013">
        <f t="shared" si="1517"/>
        <v>0</v>
      </c>
      <c r="P1252" s="1898" t="str">
        <f t="shared" si="1518"/>
        <v/>
      </c>
      <c r="Q1252" s="1898" t="str">
        <f t="shared" si="1519"/>
        <v/>
      </c>
      <c r="R1252" s="1898" t="str">
        <f t="shared" si="1520"/>
        <v/>
      </c>
      <c r="S1252" s="1898" t="str">
        <f t="shared" si="1521"/>
        <v/>
      </c>
      <c r="T1252" s="1898" t="str">
        <f t="shared" si="1522"/>
        <v/>
      </c>
      <c r="U1252" s="1898" t="str">
        <f t="shared" si="1523"/>
        <v/>
      </c>
      <c r="V1252" s="1898" t="str">
        <f t="shared" si="1524"/>
        <v/>
      </c>
      <c r="W1252" s="1898" t="str">
        <f t="shared" si="1525"/>
        <v/>
      </c>
      <c r="X1252" s="1898" t="str">
        <f t="shared" si="1526"/>
        <v/>
      </c>
      <c r="Y1252" s="1898" t="str">
        <f t="shared" si="1527"/>
        <v/>
      </c>
      <c r="Z1252" s="1898" t="str">
        <f t="shared" si="1528"/>
        <v/>
      </c>
      <c r="AA1252" s="1898" t="str">
        <f t="shared" si="1529"/>
        <v/>
      </c>
      <c r="AB1252" s="1971" t="str">
        <f t="shared" si="1530"/>
        <v>Ra Silo Cierre Ago</v>
      </c>
      <c r="AC1252" s="1906">
        <f t="shared" si="1531"/>
        <v>0</v>
      </c>
      <c r="AD1252" s="1906">
        <f t="shared" si="1532"/>
        <v>0</v>
      </c>
      <c r="AE1252" s="1906">
        <f t="shared" si="1533"/>
        <v>0</v>
      </c>
      <c r="AF1252" s="1906">
        <f t="shared" si="1534"/>
        <v>0</v>
      </c>
      <c r="AG1252" s="1906">
        <f t="shared" si="1535"/>
        <v>0</v>
      </c>
      <c r="AH1252" s="1906">
        <f t="shared" si="1536"/>
        <v>0</v>
      </c>
      <c r="AI1252" s="1906">
        <f t="shared" si="1537"/>
        <v>0</v>
      </c>
      <c r="AJ1252" s="1906">
        <f t="shared" si="1538"/>
        <v>0</v>
      </c>
      <c r="AK1252" s="1906">
        <f t="shared" si="1539"/>
        <v>0</v>
      </c>
      <c r="AL1252" s="1906">
        <f t="shared" si="1540"/>
        <v>0</v>
      </c>
      <c r="AM1252" s="1906">
        <f t="shared" si="1541"/>
        <v>0</v>
      </c>
      <c r="AN1252" s="1906">
        <f t="shared" si="1542"/>
        <v>0</v>
      </c>
      <c r="AO1252" s="107"/>
      <c r="AP1252" s="1906"/>
      <c r="AQ1252" s="1906">
        <f t="shared" si="1543"/>
        <v>0</v>
      </c>
      <c r="AR1252" s="1906">
        <f t="shared" si="1544"/>
        <v>0</v>
      </c>
      <c r="AS1252" s="1906">
        <f t="shared" si="1545"/>
        <v>0</v>
      </c>
      <c r="AT1252" s="1906">
        <f t="shared" si="1546"/>
        <v>0</v>
      </c>
      <c r="AU1252" s="1906">
        <f t="shared" si="1547"/>
        <v>0</v>
      </c>
      <c r="AV1252" s="1906">
        <f t="shared" si="1548"/>
        <v>0</v>
      </c>
      <c r="AW1252" s="1906">
        <f t="shared" si="1549"/>
        <v>0</v>
      </c>
      <c r="AX1252" s="1906">
        <f t="shared" si="1550"/>
        <v>0</v>
      </c>
      <c r="AY1252" s="1906">
        <f t="shared" si="1551"/>
        <v>0</v>
      </c>
      <c r="AZ1252" s="1906">
        <f t="shared" si="1552"/>
        <v>0</v>
      </c>
      <c r="BA1252" s="1906">
        <f t="shared" si="1553"/>
        <v>0</v>
      </c>
      <c r="BB1252" s="107"/>
      <c r="BC1252" s="1906">
        <f t="shared" si="1554"/>
        <v>0</v>
      </c>
      <c r="BD1252" s="1906">
        <f t="shared" si="1555"/>
        <v>0</v>
      </c>
      <c r="BE1252" s="1906">
        <f t="shared" si="1556"/>
        <v>0</v>
      </c>
      <c r="BF1252" s="1906">
        <f t="shared" si="1557"/>
        <v>0</v>
      </c>
      <c r="BG1252" s="1906">
        <f t="shared" si="1558"/>
        <v>0</v>
      </c>
      <c r="BH1252" s="1906">
        <f t="shared" si="1559"/>
        <v>0</v>
      </c>
      <c r="BI1252" s="1906">
        <f t="shared" si="1560"/>
        <v>0</v>
      </c>
      <c r="BJ1252" s="1906">
        <f t="shared" si="1561"/>
        <v>0</v>
      </c>
      <c r="BK1252" s="1906">
        <f t="shared" si="1562"/>
        <v>0</v>
      </c>
      <c r="BL1252" s="1906">
        <f t="shared" si="1563"/>
        <v>0</v>
      </c>
      <c r="BM1252" s="1906">
        <f t="shared" si="1564"/>
        <v>0</v>
      </c>
      <c r="BN1252" s="1906">
        <f t="shared" si="1565"/>
        <v>0</v>
      </c>
      <c r="BO1252" s="107"/>
      <c r="BP1252" s="1906">
        <f t="shared" si="1566"/>
        <v>0</v>
      </c>
      <c r="BQ1252" s="1906">
        <f t="shared" si="1567"/>
        <v>0</v>
      </c>
      <c r="BR1252" s="1906">
        <f t="shared" si="1568"/>
        <v>0</v>
      </c>
      <c r="BS1252" s="1906">
        <f t="shared" si="1569"/>
        <v>0</v>
      </c>
      <c r="BT1252" s="1906">
        <f t="shared" si="1570"/>
        <v>0</v>
      </c>
      <c r="BU1252" s="1906">
        <f t="shared" si="1571"/>
        <v>0</v>
      </c>
      <c r="BV1252" s="1906">
        <f t="shared" si="1572"/>
        <v>0</v>
      </c>
      <c r="BW1252" s="1906">
        <f t="shared" si="1573"/>
        <v>0</v>
      </c>
      <c r="BX1252" s="1906">
        <f t="shared" si="1574"/>
        <v>0</v>
      </c>
      <c r="BY1252" s="1906">
        <f t="shared" si="1575"/>
        <v>0</v>
      </c>
      <c r="BZ1252" s="1906">
        <f t="shared" si="1576"/>
        <v>0</v>
      </c>
      <c r="CA1252" s="1906">
        <f t="shared" si="1577"/>
        <v>0</v>
      </c>
      <c r="CB1252" s="107"/>
      <c r="CC1252" s="1906">
        <f t="shared" si="1578"/>
        <v>0</v>
      </c>
      <c r="CD1252" s="1906">
        <f t="shared" si="1579"/>
        <v>0</v>
      </c>
      <c r="CE1252" s="1906">
        <f t="shared" si="1580"/>
        <v>0</v>
      </c>
      <c r="CF1252" s="1906">
        <f t="shared" si="1581"/>
        <v>0</v>
      </c>
      <c r="CG1252" s="1906">
        <f t="shared" si="1582"/>
        <v>0</v>
      </c>
      <c r="CH1252" s="1906">
        <f t="shared" si="1583"/>
        <v>0</v>
      </c>
      <c r="CI1252" s="1906">
        <f t="shared" si="1584"/>
        <v>0</v>
      </c>
      <c r="CJ1252" s="1906">
        <f t="shared" si="1585"/>
        <v>0</v>
      </c>
      <c r="CK1252" s="1906">
        <f t="shared" si="1586"/>
        <v>0</v>
      </c>
      <c r="CL1252" s="1906">
        <f t="shared" si="1587"/>
        <v>0</v>
      </c>
      <c r="CM1252" s="1906">
        <f t="shared" si="1588"/>
        <v>0</v>
      </c>
      <c r="CN1252" s="1906">
        <f t="shared" si="1589"/>
        <v>0</v>
      </c>
      <c r="CO1252" s="107"/>
      <c r="CP1252" s="1906">
        <f t="shared" si="1590"/>
        <v>0</v>
      </c>
      <c r="CQ1252" s="1906">
        <f t="shared" si="1591"/>
        <v>0</v>
      </c>
      <c r="CR1252" s="1906">
        <f t="shared" si="1592"/>
        <v>0</v>
      </c>
      <c r="CS1252" s="1906">
        <f t="shared" si="1593"/>
        <v>0</v>
      </c>
      <c r="CT1252" s="1906">
        <f t="shared" si="1594"/>
        <v>0</v>
      </c>
      <c r="CU1252" s="1906">
        <f t="shared" si="1595"/>
        <v>0</v>
      </c>
      <c r="CV1252" s="1906">
        <f t="shared" si="1596"/>
        <v>0</v>
      </c>
      <c r="CW1252" s="1906">
        <f t="shared" si="1597"/>
        <v>0</v>
      </c>
      <c r="CX1252" s="1906">
        <f t="shared" si="1598"/>
        <v>0</v>
      </c>
      <c r="CY1252" s="1906">
        <f t="shared" si="1599"/>
        <v>0</v>
      </c>
      <c r="CZ1252" s="1906">
        <f t="shared" si="1600"/>
        <v>0</v>
      </c>
      <c r="DA1252" s="1906">
        <f t="shared" si="1601"/>
        <v>0</v>
      </c>
      <c r="DB1252" s="1971" t="str">
        <f t="shared" si="1602"/>
        <v>Ra Silo Cierre Ago</v>
      </c>
      <c r="DC1252" s="1906">
        <f t="shared" si="1603"/>
        <v>0</v>
      </c>
      <c r="DD1252" s="1906">
        <f t="shared" si="1604"/>
        <v>0</v>
      </c>
      <c r="DE1252" s="1906">
        <f t="shared" si="1605"/>
        <v>0</v>
      </c>
      <c r="DF1252" s="1906">
        <f t="shared" si="1606"/>
        <v>0</v>
      </c>
      <c r="DG1252" s="1906">
        <f t="shared" si="1495"/>
        <v>0</v>
      </c>
      <c r="DH1252" s="1906">
        <f t="shared" si="1496"/>
        <v>0</v>
      </c>
      <c r="DI1252" s="1906">
        <f t="shared" si="1497"/>
        <v>0</v>
      </c>
      <c r="DJ1252" s="1906">
        <f t="shared" si="1498"/>
        <v>0</v>
      </c>
      <c r="DK1252" s="1906">
        <f t="shared" si="1499"/>
        <v>0</v>
      </c>
      <c r="DL1252" s="1906">
        <f t="shared" si="1500"/>
        <v>0</v>
      </c>
      <c r="DM1252" s="1906">
        <f t="shared" si="1501"/>
        <v>0</v>
      </c>
      <c r="DN1252" s="1906">
        <f t="shared" si="1502"/>
        <v>0</v>
      </c>
      <c r="DO1252" s="595" t="str">
        <f t="shared" si="1503"/>
        <v>Ra Silo Cierre Ago</v>
      </c>
      <c r="DP1252" s="1443">
        <f t="shared" si="1504"/>
        <v>0</v>
      </c>
      <c r="DQ1252" s="107"/>
      <c r="DR1252" s="111"/>
      <c r="DS1252" s="1906"/>
      <c r="DT1252" s="1906"/>
      <c r="DU1252" s="1906"/>
      <c r="DV1252" s="1906"/>
      <c r="DW1252" s="1906"/>
      <c r="DX1252" s="1906"/>
      <c r="DY1252" s="1906"/>
      <c r="DZ1252" s="1906"/>
      <c r="EA1252" s="1906"/>
      <c r="EB1252" s="1906"/>
      <c r="EC1252" s="1906"/>
      <c r="ED1252" s="1906"/>
    </row>
    <row r="1253" spans="1:134" x14ac:dyDescent="0.2">
      <c r="A1253" s="107"/>
      <c r="B1253" s="1857">
        <f t="shared" si="1505"/>
        <v>0</v>
      </c>
      <c r="C1253" s="2013">
        <f t="shared" si="1506"/>
        <v>0</v>
      </c>
      <c r="D1253" s="2013">
        <f t="shared" si="1507"/>
        <v>0</v>
      </c>
      <c r="E1253" s="2013">
        <f t="shared" si="1508"/>
        <v>0</v>
      </c>
      <c r="F1253" s="2013">
        <f t="shared" si="1509"/>
        <v>0</v>
      </c>
      <c r="G1253" s="2013">
        <f t="shared" si="1510"/>
        <v>0</v>
      </c>
      <c r="H1253" s="2013">
        <f t="shared" si="1511"/>
        <v>0</v>
      </c>
      <c r="I1253" s="2013">
        <f t="shared" si="1512"/>
        <v>0</v>
      </c>
      <c r="J1253" s="2013">
        <f t="shared" si="1513"/>
        <v>0</v>
      </c>
      <c r="K1253" s="2013">
        <f t="shared" si="1514"/>
        <v>0</v>
      </c>
      <c r="L1253" s="2013">
        <f t="shared" si="1515"/>
        <v>0</v>
      </c>
      <c r="M1253" s="2013">
        <f t="shared" si="1516"/>
        <v>0</v>
      </c>
      <c r="N1253" s="2013">
        <f t="shared" si="1517"/>
        <v>0</v>
      </c>
      <c r="P1253" s="1898" t="str">
        <f t="shared" si="1518"/>
        <v/>
      </c>
      <c r="Q1253" s="1898" t="str">
        <f t="shared" si="1519"/>
        <v/>
      </c>
      <c r="R1253" s="1898" t="str">
        <f t="shared" si="1520"/>
        <v/>
      </c>
      <c r="S1253" s="1898" t="str">
        <f t="shared" si="1521"/>
        <v/>
      </c>
      <c r="T1253" s="1898" t="str">
        <f t="shared" si="1522"/>
        <v/>
      </c>
      <c r="U1253" s="1898" t="str">
        <f t="shared" si="1523"/>
        <v/>
      </c>
      <c r="V1253" s="1898" t="str">
        <f t="shared" si="1524"/>
        <v/>
      </c>
      <c r="W1253" s="1898" t="str">
        <f t="shared" si="1525"/>
        <v/>
      </c>
      <c r="X1253" s="1898" t="str">
        <f t="shared" si="1526"/>
        <v/>
      </c>
      <c r="Y1253" s="1898" t="str">
        <f t="shared" si="1527"/>
        <v/>
      </c>
      <c r="Z1253" s="1898" t="str">
        <f t="shared" si="1528"/>
        <v/>
      </c>
      <c r="AA1253" s="1898" t="str">
        <f t="shared" si="1529"/>
        <v/>
      </c>
      <c r="AB1253" s="1971">
        <f t="shared" si="1530"/>
        <v>0</v>
      </c>
      <c r="AC1253" s="1906">
        <f t="shared" si="1531"/>
        <v>0</v>
      </c>
      <c r="AD1253" s="1906">
        <f t="shared" si="1532"/>
        <v>0</v>
      </c>
      <c r="AE1253" s="1906">
        <f t="shared" si="1533"/>
        <v>0</v>
      </c>
      <c r="AF1253" s="1906">
        <f t="shared" si="1534"/>
        <v>0</v>
      </c>
      <c r="AG1253" s="1906">
        <f t="shared" si="1535"/>
        <v>0</v>
      </c>
      <c r="AH1253" s="1906">
        <f t="shared" si="1536"/>
        <v>0</v>
      </c>
      <c r="AI1253" s="1906">
        <f t="shared" si="1537"/>
        <v>0</v>
      </c>
      <c r="AJ1253" s="1906">
        <f t="shared" si="1538"/>
        <v>0</v>
      </c>
      <c r="AK1253" s="1906">
        <f t="shared" si="1539"/>
        <v>0</v>
      </c>
      <c r="AL1253" s="1906">
        <f t="shared" si="1540"/>
        <v>0</v>
      </c>
      <c r="AM1253" s="1906">
        <f t="shared" si="1541"/>
        <v>0</v>
      </c>
      <c r="AN1253" s="1906">
        <f t="shared" si="1542"/>
        <v>0</v>
      </c>
      <c r="AO1253" s="107"/>
      <c r="AP1253" s="1906"/>
      <c r="AQ1253" s="1906">
        <f t="shared" si="1543"/>
        <v>0</v>
      </c>
      <c r="AR1253" s="1906">
        <f t="shared" si="1544"/>
        <v>0</v>
      </c>
      <c r="AS1253" s="1906">
        <f t="shared" si="1545"/>
        <v>0</v>
      </c>
      <c r="AT1253" s="1906">
        <f t="shared" si="1546"/>
        <v>0</v>
      </c>
      <c r="AU1253" s="1906">
        <f t="shared" si="1547"/>
        <v>0</v>
      </c>
      <c r="AV1253" s="1906">
        <f t="shared" si="1548"/>
        <v>0</v>
      </c>
      <c r="AW1253" s="1906">
        <f t="shared" si="1549"/>
        <v>0</v>
      </c>
      <c r="AX1253" s="1906">
        <f t="shared" si="1550"/>
        <v>0</v>
      </c>
      <c r="AY1253" s="1906">
        <f t="shared" si="1551"/>
        <v>0</v>
      </c>
      <c r="AZ1253" s="1906">
        <f t="shared" si="1552"/>
        <v>0</v>
      </c>
      <c r="BA1253" s="1906">
        <f t="shared" si="1553"/>
        <v>0</v>
      </c>
      <c r="BB1253" s="107"/>
      <c r="BC1253" s="1906">
        <f t="shared" si="1554"/>
        <v>0</v>
      </c>
      <c r="BD1253" s="1906">
        <f t="shared" si="1555"/>
        <v>0</v>
      </c>
      <c r="BE1253" s="1906">
        <f t="shared" si="1556"/>
        <v>0</v>
      </c>
      <c r="BF1253" s="1906">
        <f t="shared" si="1557"/>
        <v>0</v>
      </c>
      <c r="BG1253" s="1906">
        <f t="shared" si="1558"/>
        <v>0</v>
      </c>
      <c r="BH1253" s="1906">
        <f t="shared" si="1559"/>
        <v>0</v>
      </c>
      <c r="BI1253" s="1906">
        <f t="shared" si="1560"/>
        <v>0</v>
      </c>
      <c r="BJ1253" s="1906">
        <f t="shared" si="1561"/>
        <v>0</v>
      </c>
      <c r="BK1253" s="1906">
        <f t="shared" si="1562"/>
        <v>0</v>
      </c>
      <c r="BL1253" s="1906">
        <f t="shared" si="1563"/>
        <v>0</v>
      </c>
      <c r="BM1253" s="1906">
        <f t="shared" si="1564"/>
        <v>0</v>
      </c>
      <c r="BN1253" s="1906">
        <f t="shared" si="1565"/>
        <v>0</v>
      </c>
      <c r="BO1253" s="107"/>
      <c r="BP1253" s="1906">
        <f t="shared" si="1566"/>
        <v>0</v>
      </c>
      <c r="BQ1253" s="1906">
        <f t="shared" si="1567"/>
        <v>0</v>
      </c>
      <c r="BR1253" s="1906">
        <f t="shared" si="1568"/>
        <v>0</v>
      </c>
      <c r="BS1253" s="1906">
        <f t="shared" si="1569"/>
        <v>0</v>
      </c>
      <c r="BT1253" s="1906">
        <f t="shared" si="1570"/>
        <v>0</v>
      </c>
      <c r="BU1253" s="1906">
        <f t="shared" si="1571"/>
        <v>0</v>
      </c>
      <c r="BV1253" s="1906">
        <f t="shared" si="1572"/>
        <v>0</v>
      </c>
      <c r="BW1253" s="1906">
        <f t="shared" si="1573"/>
        <v>0</v>
      </c>
      <c r="BX1253" s="1906">
        <f t="shared" si="1574"/>
        <v>0</v>
      </c>
      <c r="BY1253" s="1906">
        <f t="shared" si="1575"/>
        <v>0</v>
      </c>
      <c r="BZ1253" s="1906">
        <f t="shared" si="1576"/>
        <v>0</v>
      </c>
      <c r="CA1253" s="1906">
        <f t="shared" si="1577"/>
        <v>0</v>
      </c>
      <c r="CB1253" s="107"/>
      <c r="CC1253" s="1906">
        <f t="shared" si="1578"/>
        <v>0</v>
      </c>
      <c r="CD1253" s="1906">
        <f t="shared" si="1579"/>
        <v>0</v>
      </c>
      <c r="CE1253" s="1906">
        <f t="shared" si="1580"/>
        <v>0</v>
      </c>
      <c r="CF1253" s="1906">
        <f t="shared" si="1581"/>
        <v>0</v>
      </c>
      <c r="CG1253" s="1906">
        <f t="shared" si="1582"/>
        <v>0</v>
      </c>
      <c r="CH1253" s="1906">
        <f t="shared" si="1583"/>
        <v>0</v>
      </c>
      <c r="CI1253" s="1906">
        <f t="shared" si="1584"/>
        <v>0</v>
      </c>
      <c r="CJ1253" s="1906">
        <f t="shared" si="1585"/>
        <v>0</v>
      </c>
      <c r="CK1253" s="1906">
        <f t="shared" si="1586"/>
        <v>0</v>
      </c>
      <c r="CL1253" s="1906">
        <f t="shared" si="1587"/>
        <v>0</v>
      </c>
      <c r="CM1253" s="1906">
        <f t="shared" si="1588"/>
        <v>0</v>
      </c>
      <c r="CN1253" s="1906">
        <f t="shared" si="1589"/>
        <v>0</v>
      </c>
      <c r="CO1253" s="107"/>
      <c r="CP1253" s="1906">
        <f t="shared" si="1590"/>
        <v>0</v>
      </c>
      <c r="CQ1253" s="1906">
        <f t="shared" si="1591"/>
        <v>0</v>
      </c>
      <c r="CR1253" s="1906">
        <f t="shared" si="1592"/>
        <v>0</v>
      </c>
      <c r="CS1253" s="1906">
        <f t="shared" si="1593"/>
        <v>0</v>
      </c>
      <c r="CT1253" s="1906">
        <f t="shared" si="1594"/>
        <v>0</v>
      </c>
      <c r="CU1253" s="1906">
        <f t="shared" si="1595"/>
        <v>0</v>
      </c>
      <c r="CV1253" s="1906">
        <f t="shared" si="1596"/>
        <v>0</v>
      </c>
      <c r="CW1253" s="1906">
        <f t="shared" si="1597"/>
        <v>0</v>
      </c>
      <c r="CX1253" s="1906">
        <f t="shared" si="1598"/>
        <v>0</v>
      </c>
      <c r="CY1253" s="1906">
        <f t="shared" si="1599"/>
        <v>0</v>
      </c>
      <c r="CZ1253" s="1906">
        <f t="shared" si="1600"/>
        <v>0</v>
      </c>
      <c r="DA1253" s="1906">
        <f t="shared" si="1601"/>
        <v>0</v>
      </c>
      <c r="DB1253" s="1971">
        <f t="shared" si="1602"/>
        <v>0</v>
      </c>
      <c r="DC1253" s="1906">
        <f t="shared" si="1603"/>
        <v>0</v>
      </c>
      <c r="DD1253" s="1906">
        <f t="shared" si="1604"/>
        <v>0</v>
      </c>
      <c r="DE1253" s="1906">
        <f t="shared" si="1605"/>
        <v>0</v>
      </c>
      <c r="DF1253" s="1906">
        <f t="shared" si="1606"/>
        <v>0</v>
      </c>
      <c r="DG1253" s="1906">
        <f t="shared" si="1495"/>
        <v>0</v>
      </c>
      <c r="DH1253" s="1906">
        <f t="shared" si="1496"/>
        <v>0</v>
      </c>
      <c r="DI1253" s="1906">
        <f t="shared" si="1497"/>
        <v>0</v>
      </c>
      <c r="DJ1253" s="1906">
        <f t="shared" si="1498"/>
        <v>0</v>
      </c>
      <c r="DK1253" s="1906">
        <f t="shared" si="1499"/>
        <v>0</v>
      </c>
      <c r="DL1253" s="1906">
        <f t="shared" si="1500"/>
        <v>0</v>
      </c>
      <c r="DM1253" s="1906">
        <f t="shared" si="1501"/>
        <v>0</v>
      </c>
      <c r="DN1253" s="1906">
        <f t="shared" si="1502"/>
        <v>0</v>
      </c>
      <c r="DO1253" s="595">
        <f t="shared" si="1503"/>
        <v>0</v>
      </c>
      <c r="DP1253" s="1443">
        <f t="shared" si="1504"/>
        <v>0</v>
      </c>
      <c r="DQ1253" s="107"/>
      <c r="DR1253" s="111"/>
      <c r="DS1253" s="1906"/>
      <c r="DT1253" s="1906"/>
      <c r="DU1253" s="1906"/>
      <c r="DV1253" s="1906"/>
      <c r="DW1253" s="1906"/>
      <c r="DX1253" s="1906"/>
      <c r="DY1253" s="1906"/>
      <c r="DZ1253" s="1906"/>
      <c r="EA1253" s="1906"/>
      <c r="EB1253" s="1906"/>
      <c r="EC1253" s="1906"/>
      <c r="ED1253" s="1906"/>
    </row>
    <row r="1254" spans="1:134" ht="15.05" thickBot="1" x14ac:dyDescent="0.25">
      <c r="A1254" s="107"/>
      <c r="B1254" s="1857">
        <f t="shared" si="1505"/>
        <v>0</v>
      </c>
      <c r="C1254" s="2013">
        <f t="shared" si="1506"/>
        <v>0</v>
      </c>
      <c r="D1254" s="2013">
        <f t="shared" si="1507"/>
        <v>0</v>
      </c>
      <c r="E1254" s="2013">
        <f t="shared" si="1508"/>
        <v>0</v>
      </c>
      <c r="F1254" s="2013">
        <f t="shared" si="1509"/>
        <v>0</v>
      </c>
      <c r="G1254" s="2013">
        <f t="shared" si="1510"/>
        <v>0</v>
      </c>
      <c r="H1254" s="2013">
        <f t="shared" si="1511"/>
        <v>0</v>
      </c>
      <c r="I1254" s="2013">
        <f t="shared" si="1512"/>
        <v>0</v>
      </c>
      <c r="J1254" s="2013">
        <f t="shared" si="1513"/>
        <v>0</v>
      </c>
      <c r="K1254" s="2013">
        <f t="shared" si="1514"/>
        <v>0</v>
      </c>
      <c r="L1254" s="2013">
        <f t="shared" si="1515"/>
        <v>0</v>
      </c>
      <c r="M1254" s="2013">
        <f t="shared" si="1516"/>
        <v>0</v>
      </c>
      <c r="N1254" s="2013">
        <f t="shared" si="1517"/>
        <v>0</v>
      </c>
      <c r="P1254" s="1898" t="str">
        <f t="shared" si="1518"/>
        <v/>
      </c>
      <c r="Q1254" s="1898" t="str">
        <f t="shared" si="1519"/>
        <v/>
      </c>
      <c r="R1254" s="1898" t="str">
        <f t="shared" si="1520"/>
        <v/>
      </c>
      <c r="S1254" s="1898" t="str">
        <f t="shared" si="1521"/>
        <v/>
      </c>
      <c r="T1254" s="1898" t="str">
        <f t="shared" si="1522"/>
        <v/>
      </c>
      <c r="U1254" s="1898" t="str">
        <f t="shared" si="1523"/>
        <v/>
      </c>
      <c r="V1254" s="1898" t="str">
        <f t="shared" si="1524"/>
        <v/>
      </c>
      <c r="W1254" s="1898" t="str">
        <f t="shared" si="1525"/>
        <v/>
      </c>
      <c r="X1254" s="1898" t="str">
        <f t="shared" si="1526"/>
        <v/>
      </c>
      <c r="Y1254" s="1898" t="str">
        <f t="shared" si="1527"/>
        <v/>
      </c>
      <c r="Z1254" s="1898" t="str">
        <f t="shared" si="1528"/>
        <v/>
      </c>
      <c r="AA1254" s="1898" t="str">
        <f t="shared" si="1529"/>
        <v/>
      </c>
      <c r="AB1254" s="1971">
        <f t="shared" si="1530"/>
        <v>0</v>
      </c>
      <c r="AC1254" s="1906">
        <f t="shared" si="1531"/>
        <v>0</v>
      </c>
      <c r="AD1254" s="1906">
        <f t="shared" si="1532"/>
        <v>0</v>
      </c>
      <c r="AE1254" s="1906">
        <f t="shared" si="1533"/>
        <v>0</v>
      </c>
      <c r="AF1254" s="1906">
        <f t="shared" si="1534"/>
        <v>0</v>
      </c>
      <c r="AG1254" s="1906">
        <f t="shared" si="1535"/>
        <v>0</v>
      </c>
      <c r="AH1254" s="1906">
        <f t="shared" si="1536"/>
        <v>0</v>
      </c>
      <c r="AI1254" s="1906">
        <f t="shared" si="1537"/>
        <v>0</v>
      </c>
      <c r="AJ1254" s="1906">
        <f t="shared" si="1538"/>
        <v>0</v>
      </c>
      <c r="AK1254" s="1906">
        <f t="shared" si="1539"/>
        <v>0</v>
      </c>
      <c r="AL1254" s="1906">
        <f t="shared" si="1540"/>
        <v>0</v>
      </c>
      <c r="AM1254" s="1906">
        <f t="shared" si="1541"/>
        <v>0</v>
      </c>
      <c r="AN1254" s="1906">
        <f t="shared" si="1542"/>
        <v>0</v>
      </c>
      <c r="AO1254" s="107"/>
      <c r="AP1254" s="1906"/>
      <c r="AQ1254" s="1906">
        <f t="shared" si="1543"/>
        <v>0</v>
      </c>
      <c r="AR1254" s="1906">
        <f t="shared" si="1544"/>
        <v>0</v>
      </c>
      <c r="AS1254" s="1906">
        <f t="shared" si="1545"/>
        <v>0</v>
      </c>
      <c r="AT1254" s="1906">
        <f t="shared" si="1546"/>
        <v>0</v>
      </c>
      <c r="AU1254" s="1906">
        <f t="shared" si="1547"/>
        <v>0</v>
      </c>
      <c r="AV1254" s="1906">
        <f t="shared" si="1548"/>
        <v>0</v>
      </c>
      <c r="AW1254" s="1906">
        <f t="shared" si="1549"/>
        <v>0</v>
      </c>
      <c r="AX1254" s="1906">
        <f t="shared" si="1550"/>
        <v>0</v>
      </c>
      <c r="AY1254" s="1906">
        <f t="shared" si="1551"/>
        <v>0</v>
      </c>
      <c r="AZ1254" s="1906">
        <f t="shared" si="1552"/>
        <v>0</v>
      </c>
      <c r="BA1254" s="1906">
        <f t="shared" si="1553"/>
        <v>0</v>
      </c>
      <c r="BB1254" s="107"/>
      <c r="BC1254" s="1906">
        <f t="shared" si="1554"/>
        <v>0</v>
      </c>
      <c r="BD1254" s="1906">
        <f t="shared" si="1555"/>
        <v>0</v>
      </c>
      <c r="BE1254" s="1906">
        <f t="shared" si="1556"/>
        <v>0</v>
      </c>
      <c r="BF1254" s="1906">
        <f t="shared" si="1557"/>
        <v>0</v>
      </c>
      <c r="BG1254" s="1906">
        <f t="shared" si="1558"/>
        <v>0</v>
      </c>
      <c r="BH1254" s="1906">
        <f t="shared" si="1559"/>
        <v>0</v>
      </c>
      <c r="BI1254" s="1906">
        <f t="shared" si="1560"/>
        <v>0</v>
      </c>
      <c r="BJ1254" s="1906">
        <f t="shared" si="1561"/>
        <v>0</v>
      </c>
      <c r="BK1254" s="1906">
        <f t="shared" si="1562"/>
        <v>0</v>
      </c>
      <c r="BL1254" s="1906">
        <f t="shared" si="1563"/>
        <v>0</v>
      </c>
      <c r="BM1254" s="1906">
        <f t="shared" si="1564"/>
        <v>0</v>
      </c>
      <c r="BN1254" s="1906">
        <f t="shared" si="1565"/>
        <v>0</v>
      </c>
      <c r="BO1254" s="107"/>
      <c r="BP1254" s="1906">
        <f t="shared" si="1566"/>
        <v>0</v>
      </c>
      <c r="BQ1254" s="1906">
        <f t="shared" si="1567"/>
        <v>0</v>
      </c>
      <c r="BR1254" s="1906">
        <f t="shared" si="1568"/>
        <v>0</v>
      </c>
      <c r="BS1254" s="1906">
        <f t="shared" si="1569"/>
        <v>0</v>
      </c>
      <c r="BT1254" s="1906">
        <f t="shared" si="1570"/>
        <v>0</v>
      </c>
      <c r="BU1254" s="1906">
        <f t="shared" si="1571"/>
        <v>0</v>
      </c>
      <c r="BV1254" s="1906">
        <f t="shared" si="1572"/>
        <v>0</v>
      </c>
      <c r="BW1254" s="1906">
        <f t="shared" si="1573"/>
        <v>0</v>
      </c>
      <c r="BX1254" s="1906">
        <f t="shared" si="1574"/>
        <v>0</v>
      </c>
      <c r="BY1254" s="1906">
        <f t="shared" si="1575"/>
        <v>0</v>
      </c>
      <c r="BZ1254" s="1906">
        <f t="shared" si="1576"/>
        <v>0</v>
      </c>
      <c r="CA1254" s="1906">
        <f t="shared" si="1577"/>
        <v>0</v>
      </c>
      <c r="CB1254" s="107"/>
      <c r="CC1254" s="1906">
        <f t="shared" si="1578"/>
        <v>0</v>
      </c>
      <c r="CD1254" s="1906">
        <f t="shared" si="1579"/>
        <v>0</v>
      </c>
      <c r="CE1254" s="1906">
        <f t="shared" si="1580"/>
        <v>0</v>
      </c>
      <c r="CF1254" s="1906">
        <f t="shared" si="1581"/>
        <v>0</v>
      </c>
      <c r="CG1254" s="1906">
        <f t="shared" si="1582"/>
        <v>0</v>
      </c>
      <c r="CH1254" s="1906">
        <f t="shared" si="1583"/>
        <v>0</v>
      </c>
      <c r="CI1254" s="1906">
        <f t="shared" si="1584"/>
        <v>0</v>
      </c>
      <c r="CJ1254" s="1906">
        <f t="shared" si="1585"/>
        <v>0</v>
      </c>
      <c r="CK1254" s="1906">
        <f t="shared" si="1586"/>
        <v>0</v>
      </c>
      <c r="CL1254" s="1906">
        <f t="shared" si="1587"/>
        <v>0</v>
      </c>
      <c r="CM1254" s="1906">
        <f t="shared" si="1588"/>
        <v>0</v>
      </c>
      <c r="CN1254" s="1906">
        <f t="shared" si="1589"/>
        <v>0</v>
      </c>
      <c r="CO1254" s="107"/>
      <c r="CP1254" s="1906">
        <f t="shared" si="1590"/>
        <v>0</v>
      </c>
      <c r="CQ1254" s="1906">
        <f t="shared" si="1591"/>
        <v>0</v>
      </c>
      <c r="CR1254" s="1906">
        <f t="shared" si="1592"/>
        <v>0</v>
      </c>
      <c r="CS1254" s="1906">
        <f t="shared" si="1593"/>
        <v>0</v>
      </c>
      <c r="CT1254" s="1906">
        <f t="shared" si="1594"/>
        <v>0</v>
      </c>
      <c r="CU1254" s="1906">
        <f t="shared" si="1595"/>
        <v>0</v>
      </c>
      <c r="CV1254" s="1906">
        <f t="shared" si="1596"/>
        <v>0</v>
      </c>
      <c r="CW1254" s="1906">
        <f t="shared" si="1597"/>
        <v>0</v>
      </c>
      <c r="CX1254" s="1906">
        <f t="shared" si="1598"/>
        <v>0</v>
      </c>
      <c r="CY1254" s="1906">
        <f t="shared" si="1599"/>
        <v>0</v>
      </c>
      <c r="CZ1254" s="1906">
        <f t="shared" si="1600"/>
        <v>0</v>
      </c>
      <c r="DA1254" s="1906">
        <f t="shared" si="1601"/>
        <v>0</v>
      </c>
      <c r="DB1254" s="1971">
        <f t="shared" si="1602"/>
        <v>0</v>
      </c>
      <c r="DC1254" s="1906">
        <f t="shared" si="1603"/>
        <v>0</v>
      </c>
      <c r="DD1254" s="1906">
        <f t="shared" si="1604"/>
        <v>0</v>
      </c>
      <c r="DE1254" s="1906">
        <f t="shared" si="1605"/>
        <v>0</v>
      </c>
      <c r="DF1254" s="1906">
        <f t="shared" si="1606"/>
        <v>0</v>
      </c>
      <c r="DG1254" s="1906">
        <f t="shared" si="1495"/>
        <v>0</v>
      </c>
      <c r="DH1254" s="1906">
        <f t="shared" si="1496"/>
        <v>0</v>
      </c>
      <c r="DI1254" s="1906">
        <f t="shared" si="1497"/>
        <v>0</v>
      </c>
      <c r="DJ1254" s="1906">
        <f t="shared" si="1498"/>
        <v>0</v>
      </c>
      <c r="DK1254" s="1906">
        <f t="shared" si="1499"/>
        <v>0</v>
      </c>
      <c r="DL1254" s="1906">
        <f t="shared" si="1500"/>
        <v>0</v>
      </c>
      <c r="DM1254" s="1906">
        <f t="shared" si="1501"/>
        <v>0</v>
      </c>
      <c r="DN1254" s="1906">
        <f t="shared" si="1502"/>
        <v>0</v>
      </c>
      <c r="DO1254" s="595">
        <f t="shared" si="1503"/>
        <v>0</v>
      </c>
      <c r="DP1254" s="1443">
        <f t="shared" si="1504"/>
        <v>0</v>
      </c>
      <c r="DQ1254" s="107"/>
      <c r="DR1254" s="111"/>
      <c r="DS1254" s="1906"/>
      <c r="DT1254" s="1906"/>
      <c r="DU1254" s="1906"/>
      <c r="DV1254" s="1906"/>
      <c r="DW1254" s="1906"/>
      <c r="DX1254" s="1906"/>
      <c r="DY1254" s="1906"/>
      <c r="DZ1254" s="1906"/>
      <c r="EA1254" s="1906"/>
      <c r="EB1254" s="1906"/>
      <c r="EC1254" s="1906"/>
      <c r="ED1254" s="1906"/>
    </row>
    <row r="1255" spans="1:134" ht="15.05" thickBot="1" x14ac:dyDescent="0.25">
      <c r="A1255" s="107"/>
      <c r="B1255" s="2035" t="str">
        <f t="shared" si="1505"/>
        <v>Subtotal Cultivos de Invierno para Reserva</v>
      </c>
      <c r="C1255" s="2013">
        <f t="shared" si="1506"/>
        <v>0</v>
      </c>
      <c r="D1255" s="2013">
        <f t="shared" si="1507"/>
        <v>0</v>
      </c>
      <c r="E1255" s="2013">
        <f t="shared" si="1508"/>
        <v>0</v>
      </c>
      <c r="F1255" s="2013">
        <f t="shared" si="1509"/>
        <v>0</v>
      </c>
      <c r="G1255" s="2013">
        <f t="shared" si="1510"/>
        <v>0</v>
      </c>
      <c r="H1255" s="2013">
        <f t="shared" si="1511"/>
        <v>0</v>
      </c>
      <c r="I1255" s="2013">
        <f t="shared" si="1512"/>
        <v>0</v>
      </c>
      <c r="J1255" s="2013">
        <f t="shared" si="1513"/>
        <v>0</v>
      </c>
      <c r="K1255" s="2013">
        <f t="shared" si="1514"/>
        <v>0</v>
      </c>
      <c r="L1255" s="2013">
        <f t="shared" si="1515"/>
        <v>0</v>
      </c>
      <c r="M1255" s="2013">
        <f t="shared" si="1516"/>
        <v>0</v>
      </c>
      <c r="N1255" s="2013">
        <f t="shared" si="1517"/>
        <v>0</v>
      </c>
      <c r="P1255" s="1898" t="str">
        <f t="shared" si="1518"/>
        <v/>
      </c>
      <c r="Q1255" s="1898" t="str">
        <f t="shared" si="1519"/>
        <v/>
      </c>
      <c r="R1255" s="1898" t="str">
        <f t="shared" si="1520"/>
        <v/>
      </c>
      <c r="S1255" s="1898" t="str">
        <f t="shared" si="1521"/>
        <v/>
      </c>
      <c r="T1255" s="1898" t="str">
        <f t="shared" si="1522"/>
        <v/>
      </c>
      <c r="U1255" s="1898" t="str">
        <f t="shared" si="1523"/>
        <v/>
      </c>
      <c r="V1255" s="1898" t="str">
        <f t="shared" si="1524"/>
        <v/>
      </c>
      <c r="W1255" s="1898" t="str">
        <f t="shared" si="1525"/>
        <v/>
      </c>
      <c r="X1255" s="1898" t="str">
        <f t="shared" si="1526"/>
        <v/>
      </c>
      <c r="Y1255" s="1898" t="str">
        <f t="shared" si="1527"/>
        <v/>
      </c>
      <c r="Z1255" s="1898" t="str">
        <f t="shared" si="1528"/>
        <v/>
      </c>
      <c r="AA1255" s="1898" t="str">
        <f t="shared" si="1529"/>
        <v/>
      </c>
      <c r="AB1255" s="1971" t="str">
        <f t="shared" si="1530"/>
        <v>Subtotal Cultivos de Invierno para Reserva</v>
      </c>
      <c r="AC1255" s="1906">
        <f t="shared" si="1531"/>
        <v>0</v>
      </c>
      <c r="AD1255" s="1906">
        <f t="shared" si="1532"/>
        <v>0</v>
      </c>
      <c r="AE1255" s="1906">
        <f t="shared" si="1533"/>
        <v>0</v>
      </c>
      <c r="AF1255" s="1906">
        <f t="shared" si="1534"/>
        <v>0</v>
      </c>
      <c r="AG1255" s="1906">
        <f t="shared" si="1535"/>
        <v>0</v>
      </c>
      <c r="AH1255" s="1906">
        <f t="shared" si="1536"/>
        <v>0</v>
      </c>
      <c r="AI1255" s="1906">
        <f t="shared" si="1537"/>
        <v>0</v>
      </c>
      <c r="AJ1255" s="1906">
        <f t="shared" si="1538"/>
        <v>0</v>
      </c>
      <c r="AK1255" s="1906">
        <f t="shared" si="1539"/>
        <v>0</v>
      </c>
      <c r="AL1255" s="1906">
        <f t="shared" si="1540"/>
        <v>0</v>
      </c>
      <c r="AM1255" s="1906">
        <f t="shared" si="1541"/>
        <v>0</v>
      </c>
      <c r="AN1255" s="1906">
        <f t="shared" si="1542"/>
        <v>0</v>
      </c>
      <c r="AO1255" s="107"/>
      <c r="AP1255" s="1906"/>
      <c r="AQ1255" s="1906">
        <f t="shared" si="1543"/>
        <v>0</v>
      </c>
      <c r="AR1255" s="1906">
        <f t="shared" si="1544"/>
        <v>0</v>
      </c>
      <c r="AS1255" s="1906">
        <f t="shared" si="1545"/>
        <v>0</v>
      </c>
      <c r="AT1255" s="1906">
        <f t="shared" si="1546"/>
        <v>0</v>
      </c>
      <c r="AU1255" s="1906">
        <f t="shared" si="1547"/>
        <v>0</v>
      </c>
      <c r="AV1255" s="1906">
        <f t="shared" si="1548"/>
        <v>0</v>
      </c>
      <c r="AW1255" s="1906">
        <f t="shared" si="1549"/>
        <v>0</v>
      </c>
      <c r="AX1255" s="1906">
        <f t="shared" si="1550"/>
        <v>0</v>
      </c>
      <c r="AY1255" s="1906">
        <f t="shared" si="1551"/>
        <v>0</v>
      </c>
      <c r="AZ1255" s="1906">
        <f t="shared" si="1552"/>
        <v>0</v>
      </c>
      <c r="BA1255" s="1906">
        <f t="shared" si="1553"/>
        <v>0</v>
      </c>
      <c r="BB1255" s="107"/>
      <c r="BC1255" s="1906">
        <f t="shared" si="1554"/>
        <v>0</v>
      </c>
      <c r="BD1255" s="1906">
        <f t="shared" si="1555"/>
        <v>0</v>
      </c>
      <c r="BE1255" s="1906">
        <f t="shared" si="1556"/>
        <v>0</v>
      </c>
      <c r="BF1255" s="1906">
        <f t="shared" si="1557"/>
        <v>0</v>
      </c>
      <c r="BG1255" s="1906">
        <f t="shared" si="1558"/>
        <v>0</v>
      </c>
      <c r="BH1255" s="1906">
        <f t="shared" si="1559"/>
        <v>0</v>
      </c>
      <c r="BI1255" s="1906">
        <f t="shared" si="1560"/>
        <v>0</v>
      </c>
      <c r="BJ1255" s="1906">
        <f t="shared" si="1561"/>
        <v>0</v>
      </c>
      <c r="BK1255" s="1906">
        <f t="shared" si="1562"/>
        <v>0</v>
      </c>
      <c r="BL1255" s="1906">
        <f t="shared" si="1563"/>
        <v>0</v>
      </c>
      <c r="BM1255" s="1906">
        <f t="shared" si="1564"/>
        <v>0</v>
      </c>
      <c r="BN1255" s="1906">
        <f t="shared" si="1565"/>
        <v>0</v>
      </c>
      <c r="BO1255" s="107"/>
      <c r="BP1255" s="1906">
        <f t="shared" si="1566"/>
        <v>0</v>
      </c>
      <c r="BQ1255" s="1906">
        <f t="shared" si="1567"/>
        <v>0</v>
      </c>
      <c r="BR1255" s="1906">
        <f t="shared" si="1568"/>
        <v>0</v>
      </c>
      <c r="BS1255" s="1906">
        <f t="shared" si="1569"/>
        <v>0</v>
      </c>
      <c r="BT1255" s="1906">
        <f t="shared" si="1570"/>
        <v>0</v>
      </c>
      <c r="BU1255" s="1906">
        <f t="shared" si="1571"/>
        <v>0</v>
      </c>
      <c r="BV1255" s="1906">
        <f t="shared" si="1572"/>
        <v>0</v>
      </c>
      <c r="BW1255" s="1906">
        <f t="shared" si="1573"/>
        <v>0</v>
      </c>
      <c r="BX1255" s="1906">
        <f t="shared" si="1574"/>
        <v>0</v>
      </c>
      <c r="BY1255" s="1906">
        <f t="shared" si="1575"/>
        <v>0</v>
      </c>
      <c r="BZ1255" s="1906">
        <f t="shared" si="1576"/>
        <v>0</v>
      </c>
      <c r="CA1255" s="1906">
        <f t="shared" si="1577"/>
        <v>0</v>
      </c>
      <c r="CB1255" s="107"/>
      <c r="CC1255" s="1906">
        <f t="shared" si="1578"/>
        <v>0</v>
      </c>
      <c r="CD1255" s="1906">
        <f t="shared" si="1579"/>
        <v>0</v>
      </c>
      <c r="CE1255" s="1906">
        <f t="shared" si="1580"/>
        <v>0</v>
      </c>
      <c r="CF1255" s="1906">
        <f t="shared" si="1581"/>
        <v>0</v>
      </c>
      <c r="CG1255" s="1906">
        <f t="shared" si="1582"/>
        <v>0</v>
      </c>
      <c r="CH1255" s="1906">
        <f t="shared" si="1583"/>
        <v>0</v>
      </c>
      <c r="CI1255" s="1906">
        <f t="shared" si="1584"/>
        <v>0</v>
      </c>
      <c r="CJ1255" s="1906">
        <f t="shared" si="1585"/>
        <v>0</v>
      </c>
      <c r="CK1255" s="1906">
        <f t="shared" si="1586"/>
        <v>0</v>
      </c>
      <c r="CL1255" s="1906">
        <f t="shared" si="1587"/>
        <v>0</v>
      </c>
      <c r="CM1255" s="1906">
        <f t="shared" si="1588"/>
        <v>0</v>
      </c>
      <c r="CN1255" s="1906">
        <f t="shared" si="1589"/>
        <v>0</v>
      </c>
      <c r="CO1255" s="107"/>
      <c r="CP1255" s="1906">
        <f t="shared" si="1590"/>
        <v>0</v>
      </c>
      <c r="CQ1255" s="1906">
        <f t="shared" si="1591"/>
        <v>0</v>
      </c>
      <c r="CR1255" s="1906">
        <f t="shared" si="1592"/>
        <v>0</v>
      </c>
      <c r="CS1255" s="1906">
        <f t="shared" si="1593"/>
        <v>0</v>
      </c>
      <c r="CT1255" s="1906">
        <f t="shared" si="1594"/>
        <v>0</v>
      </c>
      <c r="CU1255" s="1906">
        <f t="shared" si="1595"/>
        <v>0</v>
      </c>
      <c r="CV1255" s="1906">
        <f t="shared" si="1596"/>
        <v>0</v>
      </c>
      <c r="CW1255" s="1906">
        <f t="shared" si="1597"/>
        <v>0</v>
      </c>
      <c r="CX1255" s="1906">
        <f t="shared" si="1598"/>
        <v>0</v>
      </c>
      <c r="CY1255" s="1906">
        <f t="shared" si="1599"/>
        <v>0</v>
      </c>
      <c r="CZ1255" s="1906">
        <f t="shared" si="1600"/>
        <v>0</v>
      </c>
      <c r="DA1255" s="1906">
        <f t="shared" si="1601"/>
        <v>0</v>
      </c>
      <c r="DB1255" s="1971" t="str">
        <f t="shared" si="1602"/>
        <v>Subtotal Cultivos de Invierno para Reserva</v>
      </c>
      <c r="DC1255" s="1906">
        <f t="shared" si="1603"/>
        <v>0</v>
      </c>
      <c r="DD1255" s="1906">
        <f t="shared" si="1604"/>
        <v>0</v>
      </c>
      <c r="DE1255" s="1906">
        <f t="shared" si="1605"/>
        <v>0</v>
      </c>
      <c r="DF1255" s="1906">
        <f t="shared" si="1606"/>
        <v>0</v>
      </c>
      <c r="DG1255" s="1906">
        <f t="shared" si="1495"/>
        <v>0</v>
      </c>
      <c r="DH1255" s="1906">
        <f t="shared" si="1496"/>
        <v>0</v>
      </c>
      <c r="DI1255" s="1906">
        <f t="shared" si="1497"/>
        <v>0</v>
      </c>
      <c r="DJ1255" s="1906">
        <f t="shared" si="1498"/>
        <v>0</v>
      </c>
      <c r="DK1255" s="1906">
        <f t="shared" si="1499"/>
        <v>0</v>
      </c>
      <c r="DL1255" s="1906">
        <f t="shared" si="1500"/>
        <v>0</v>
      </c>
      <c r="DM1255" s="1906">
        <f t="shared" si="1501"/>
        <v>0</v>
      </c>
      <c r="DN1255" s="1906">
        <f t="shared" si="1502"/>
        <v>0</v>
      </c>
      <c r="DO1255" s="595" t="str">
        <f t="shared" si="1503"/>
        <v>Subtotal Cultivos de Invierno para Reserva</v>
      </c>
      <c r="DP1255" s="1443">
        <f t="shared" si="1504"/>
        <v>0</v>
      </c>
      <c r="DQ1255" s="107"/>
      <c r="DR1255" s="111"/>
      <c r="DS1255" s="1906"/>
      <c r="DT1255" s="1906"/>
      <c r="DU1255" s="1906"/>
      <c r="DV1255" s="1906"/>
      <c r="DW1255" s="1906"/>
      <c r="DX1255" s="1906"/>
      <c r="DY1255" s="1906"/>
      <c r="DZ1255" s="1906"/>
      <c r="EA1255" s="1906"/>
      <c r="EB1255" s="1906"/>
      <c r="EC1255" s="1906"/>
      <c r="ED1255" s="1906"/>
    </row>
    <row r="1256" spans="1:134" x14ac:dyDescent="0.2">
      <c r="A1256" s="107"/>
      <c r="B1256" s="1857" t="str">
        <f t="shared" si="1505"/>
        <v>Soja</v>
      </c>
      <c r="C1256" s="2013">
        <f t="shared" si="1506"/>
        <v>0</v>
      </c>
      <c r="D1256" s="2013">
        <f t="shared" si="1507"/>
        <v>0</v>
      </c>
      <c r="E1256" s="2013">
        <f t="shared" si="1508"/>
        <v>0</v>
      </c>
      <c r="F1256" s="2013">
        <f t="shared" si="1509"/>
        <v>0</v>
      </c>
      <c r="G1256" s="2013">
        <f t="shared" si="1510"/>
        <v>0</v>
      </c>
      <c r="H1256" s="2013">
        <f t="shared" si="1511"/>
        <v>0</v>
      </c>
      <c r="I1256" s="2013">
        <f t="shared" si="1512"/>
        <v>0</v>
      </c>
      <c r="J1256" s="2013">
        <f t="shared" si="1513"/>
        <v>0</v>
      </c>
      <c r="K1256" s="2013">
        <f t="shared" si="1514"/>
        <v>0</v>
      </c>
      <c r="L1256" s="2013">
        <f t="shared" si="1515"/>
        <v>0</v>
      </c>
      <c r="M1256" s="2013">
        <f t="shared" si="1516"/>
        <v>0</v>
      </c>
      <c r="N1256" s="2013">
        <f t="shared" si="1517"/>
        <v>0</v>
      </c>
      <c r="P1256" s="1898" t="str">
        <f t="shared" si="1518"/>
        <v/>
      </c>
      <c r="Q1256" s="1898" t="str">
        <f t="shared" si="1519"/>
        <v/>
      </c>
      <c r="R1256" s="1898" t="str">
        <f t="shared" si="1520"/>
        <v/>
      </c>
      <c r="S1256" s="1898" t="str">
        <f t="shared" si="1521"/>
        <v/>
      </c>
      <c r="T1256" s="1898" t="str">
        <f t="shared" si="1522"/>
        <v/>
      </c>
      <c r="U1256" s="1898" t="str">
        <f t="shared" si="1523"/>
        <v/>
      </c>
      <c r="V1256" s="1898" t="str">
        <f t="shared" si="1524"/>
        <v/>
      </c>
      <c r="W1256" s="1898" t="str">
        <f t="shared" si="1525"/>
        <v/>
      </c>
      <c r="X1256" s="1898" t="str">
        <f t="shared" si="1526"/>
        <v/>
      </c>
      <c r="Y1256" s="1898" t="str">
        <f t="shared" si="1527"/>
        <v/>
      </c>
      <c r="Z1256" s="1898" t="str">
        <f t="shared" si="1528"/>
        <v/>
      </c>
      <c r="AA1256" s="1898" t="str">
        <f t="shared" si="1529"/>
        <v/>
      </c>
      <c r="AB1256" s="1971" t="str">
        <f t="shared" si="1530"/>
        <v>Soja</v>
      </c>
      <c r="AC1256" s="1906">
        <f t="shared" si="1531"/>
        <v>0</v>
      </c>
      <c r="AD1256" s="1906">
        <f t="shared" si="1532"/>
        <v>0</v>
      </c>
      <c r="AE1256" s="1906">
        <f t="shared" si="1533"/>
        <v>0</v>
      </c>
      <c r="AF1256" s="1906">
        <f t="shared" si="1534"/>
        <v>0</v>
      </c>
      <c r="AG1256" s="1906">
        <f t="shared" si="1535"/>
        <v>0</v>
      </c>
      <c r="AH1256" s="1906">
        <f t="shared" si="1536"/>
        <v>0</v>
      </c>
      <c r="AI1256" s="1906">
        <f t="shared" si="1537"/>
        <v>0</v>
      </c>
      <c r="AJ1256" s="1906">
        <f t="shared" si="1538"/>
        <v>0</v>
      </c>
      <c r="AK1256" s="1906">
        <f t="shared" si="1539"/>
        <v>0</v>
      </c>
      <c r="AL1256" s="1906">
        <f t="shared" si="1540"/>
        <v>0</v>
      </c>
      <c r="AM1256" s="1906">
        <f t="shared" si="1541"/>
        <v>0</v>
      </c>
      <c r="AN1256" s="1906">
        <f t="shared" si="1542"/>
        <v>0</v>
      </c>
      <c r="AO1256" s="107"/>
      <c r="AP1256" s="1906"/>
      <c r="AQ1256" s="1906">
        <f t="shared" si="1543"/>
        <v>0</v>
      </c>
      <c r="AR1256" s="1906">
        <f t="shared" si="1544"/>
        <v>0</v>
      </c>
      <c r="AS1256" s="1906">
        <f t="shared" si="1545"/>
        <v>0</v>
      </c>
      <c r="AT1256" s="1906">
        <f t="shared" si="1546"/>
        <v>0</v>
      </c>
      <c r="AU1256" s="1906">
        <f t="shared" si="1547"/>
        <v>0</v>
      </c>
      <c r="AV1256" s="1906">
        <f t="shared" si="1548"/>
        <v>0</v>
      </c>
      <c r="AW1256" s="1906">
        <f t="shared" si="1549"/>
        <v>0</v>
      </c>
      <c r="AX1256" s="1906">
        <f t="shared" si="1550"/>
        <v>0</v>
      </c>
      <c r="AY1256" s="1906">
        <f t="shared" si="1551"/>
        <v>0</v>
      </c>
      <c r="AZ1256" s="1906">
        <f t="shared" si="1552"/>
        <v>0</v>
      </c>
      <c r="BA1256" s="1906">
        <f t="shared" si="1553"/>
        <v>0</v>
      </c>
      <c r="BB1256" s="107"/>
      <c r="BC1256" s="1906">
        <f t="shared" si="1554"/>
        <v>0</v>
      </c>
      <c r="BD1256" s="1906">
        <f t="shared" si="1555"/>
        <v>0</v>
      </c>
      <c r="BE1256" s="1906">
        <f t="shared" si="1556"/>
        <v>0</v>
      </c>
      <c r="BF1256" s="1906">
        <f t="shared" si="1557"/>
        <v>0</v>
      </c>
      <c r="BG1256" s="1906">
        <f t="shared" si="1558"/>
        <v>0</v>
      </c>
      <c r="BH1256" s="1906">
        <f t="shared" si="1559"/>
        <v>0</v>
      </c>
      <c r="BI1256" s="1906">
        <f t="shared" si="1560"/>
        <v>0</v>
      </c>
      <c r="BJ1256" s="1906">
        <f t="shared" si="1561"/>
        <v>0</v>
      </c>
      <c r="BK1256" s="1906">
        <f t="shared" si="1562"/>
        <v>0</v>
      </c>
      <c r="BL1256" s="1906">
        <f t="shared" si="1563"/>
        <v>0</v>
      </c>
      <c r="BM1256" s="1906">
        <f t="shared" si="1564"/>
        <v>0</v>
      </c>
      <c r="BN1256" s="1906">
        <f t="shared" si="1565"/>
        <v>0</v>
      </c>
      <c r="BO1256" s="107"/>
      <c r="BP1256" s="1906">
        <f t="shared" si="1566"/>
        <v>0</v>
      </c>
      <c r="BQ1256" s="1906">
        <f t="shared" si="1567"/>
        <v>0</v>
      </c>
      <c r="BR1256" s="1906">
        <f t="shared" si="1568"/>
        <v>0</v>
      </c>
      <c r="BS1256" s="1906">
        <f t="shared" si="1569"/>
        <v>0</v>
      </c>
      <c r="BT1256" s="1906">
        <f t="shared" si="1570"/>
        <v>0</v>
      </c>
      <c r="BU1256" s="1906">
        <f t="shared" si="1571"/>
        <v>0</v>
      </c>
      <c r="BV1256" s="1906">
        <f t="shared" si="1572"/>
        <v>0</v>
      </c>
      <c r="BW1256" s="1906">
        <f t="shared" si="1573"/>
        <v>0</v>
      </c>
      <c r="BX1256" s="1906">
        <f t="shared" si="1574"/>
        <v>0</v>
      </c>
      <c r="BY1256" s="1906">
        <f t="shared" si="1575"/>
        <v>0</v>
      </c>
      <c r="BZ1256" s="1906">
        <f t="shared" si="1576"/>
        <v>0</v>
      </c>
      <c r="CA1256" s="1906">
        <f t="shared" si="1577"/>
        <v>0</v>
      </c>
      <c r="CB1256" s="107"/>
      <c r="CC1256" s="1906">
        <f t="shared" si="1578"/>
        <v>0</v>
      </c>
      <c r="CD1256" s="1906">
        <f t="shared" si="1579"/>
        <v>0</v>
      </c>
      <c r="CE1256" s="1906">
        <f t="shared" si="1580"/>
        <v>0</v>
      </c>
      <c r="CF1256" s="1906">
        <f t="shared" si="1581"/>
        <v>0</v>
      </c>
      <c r="CG1256" s="1906">
        <f t="shared" si="1582"/>
        <v>0</v>
      </c>
      <c r="CH1256" s="1906">
        <f t="shared" si="1583"/>
        <v>0</v>
      </c>
      <c r="CI1256" s="1906">
        <f t="shared" si="1584"/>
        <v>0</v>
      </c>
      <c r="CJ1256" s="1906">
        <f t="shared" si="1585"/>
        <v>0</v>
      </c>
      <c r="CK1256" s="1906">
        <f t="shared" si="1586"/>
        <v>0</v>
      </c>
      <c r="CL1256" s="1906">
        <f t="shared" si="1587"/>
        <v>0</v>
      </c>
      <c r="CM1256" s="1906">
        <f t="shared" si="1588"/>
        <v>0</v>
      </c>
      <c r="CN1256" s="1906">
        <f t="shared" si="1589"/>
        <v>0</v>
      </c>
      <c r="CO1256" s="107"/>
      <c r="CP1256" s="1906">
        <f t="shared" si="1590"/>
        <v>0</v>
      </c>
      <c r="CQ1256" s="1906">
        <f t="shared" si="1591"/>
        <v>0</v>
      </c>
      <c r="CR1256" s="1906">
        <f t="shared" si="1592"/>
        <v>0</v>
      </c>
      <c r="CS1256" s="1906">
        <f t="shared" si="1593"/>
        <v>0</v>
      </c>
      <c r="CT1256" s="1906">
        <f t="shared" si="1594"/>
        <v>0</v>
      </c>
      <c r="CU1256" s="1906">
        <f t="shared" si="1595"/>
        <v>0</v>
      </c>
      <c r="CV1256" s="1906">
        <f t="shared" si="1596"/>
        <v>0</v>
      </c>
      <c r="CW1256" s="1906">
        <f t="shared" si="1597"/>
        <v>0</v>
      </c>
      <c r="CX1256" s="1906">
        <f t="shared" si="1598"/>
        <v>0</v>
      </c>
      <c r="CY1256" s="1906">
        <f t="shared" si="1599"/>
        <v>0</v>
      </c>
      <c r="CZ1256" s="1906">
        <f t="shared" si="1600"/>
        <v>0</v>
      </c>
      <c r="DA1256" s="1906">
        <f t="shared" si="1601"/>
        <v>0</v>
      </c>
      <c r="DB1256" s="1971" t="str">
        <f t="shared" si="1602"/>
        <v>Soja</v>
      </c>
      <c r="DC1256" s="1906">
        <f t="shared" si="1603"/>
        <v>0</v>
      </c>
      <c r="DD1256" s="1906">
        <f t="shared" si="1604"/>
        <v>0</v>
      </c>
      <c r="DE1256" s="1906">
        <f t="shared" si="1605"/>
        <v>0</v>
      </c>
      <c r="DF1256" s="1906">
        <f t="shared" si="1606"/>
        <v>0</v>
      </c>
      <c r="DG1256" s="1906">
        <f t="shared" si="1495"/>
        <v>0</v>
      </c>
      <c r="DH1256" s="1906">
        <f t="shared" si="1496"/>
        <v>0</v>
      </c>
      <c r="DI1256" s="1906">
        <f t="shared" si="1497"/>
        <v>0</v>
      </c>
      <c r="DJ1256" s="1906">
        <f t="shared" si="1498"/>
        <v>0</v>
      </c>
      <c r="DK1256" s="1906">
        <f t="shared" si="1499"/>
        <v>0</v>
      </c>
      <c r="DL1256" s="1906">
        <f t="shared" si="1500"/>
        <v>0</v>
      </c>
      <c r="DM1256" s="1906">
        <f t="shared" si="1501"/>
        <v>0</v>
      </c>
      <c r="DN1256" s="1906">
        <f t="shared" si="1502"/>
        <v>0</v>
      </c>
      <c r="DO1256" s="595" t="str">
        <f t="shared" si="1503"/>
        <v>Soja</v>
      </c>
      <c r="DP1256" s="1443">
        <f t="shared" si="1504"/>
        <v>0</v>
      </c>
      <c r="DQ1256" s="107"/>
      <c r="DR1256" s="111"/>
      <c r="DS1256" s="1906"/>
      <c r="DT1256" s="1906"/>
      <c r="DU1256" s="1906"/>
      <c r="DV1256" s="1906"/>
      <c r="DW1256" s="1906"/>
      <c r="DX1256" s="1906"/>
      <c r="DY1256" s="1906"/>
      <c r="DZ1256" s="1906"/>
      <c r="EA1256" s="1906"/>
      <c r="EB1256" s="1906"/>
      <c r="EC1256" s="1906"/>
      <c r="ED1256" s="1906"/>
    </row>
    <row r="1257" spans="1:134" x14ac:dyDescent="0.2">
      <c r="A1257" s="107"/>
      <c r="B1257" s="1857" t="str">
        <f t="shared" si="1505"/>
        <v>Soja 2ª</v>
      </c>
      <c r="C1257" s="2013">
        <f t="shared" si="1506"/>
        <v>0</v>
      </c>
      <c r="D1257" s="2013">
        <f t="shared" si="1507"/>
        <v>0</v>
      </c>
      <c r="E1257" s="2013">
        <f t="shared" si="1508"/>
        <v>0</v>
      </c>
      <c r="F1257" s="2013">
        <f t="shared" si="1509"/>
        <v>0</v>
      </c>
      <c r="G1257" s="2013">
        <f t="shared" si="1510"/>
        <v>0</v>
      </c>
      <c r="H1257" s="2013">
        <f t="shared" si="1511"/>
        <v>0</v>
      </c>
      <c r="I1257" s="2013">
        <f t="shared" si="1512"/>
        <v>0</v>
      </c>
      <c r="J1257" s="2013">
        <f t="shared" si="1513"/>
        <v>0</v>
      </c>
      <c r="K1257" s="2013">
        <f t="shared" si="1514"/>
        <v>0</v>
      </c>
      <c r="L1257" s="2013">
        <f t="shared" si="1515"/>
        <v>0</v>
      </c>
      <c r="M1257" s="2013">
        <f t="shared" si="1516"/>
        <v>0</v>
      </c>
      <c r="N1257" s="2013">
        <f t="shared" si="1517"/>
        <v>0</v>
      </c>
      <c r="P1257" s="1898" t="str">
        <f t="shared" si="1518"/>
        <v/>
      </c>
      <c r="Q1257" s="1898" t="str">
        <f t="shared" si="1519"/>
        <v/>
      </c>
      <c r="R1257" s="1898" t="str">
        <f t="shared" si="1520"/>
        <v/>
      </c>
      <c r="S1257" s="1898" t="str">
        <f t="shared" si="1521"/>
        <v/>
      </c>
      <c r="T1257" s="1898" t="str">
        <f t="shared" si="1522"/>
        <v/>
      </c>
      <c r="U1257" s="1898" t="str">
        <f t="shared" si="1523"/>
        <v/>
      </c>
      <c r="V1257" s="1898" t="str">
        <f t="shared" si="1524"/>
        <v/>
      </c>
      <c r="W1257" s="1898" t="str">
        <f t="shared" si="1525"/>
        <v/>
      </c>
      <c r="X1257" s="1898" t="str">
        <f t="shared" si="1526"/>
        <v/>
      </c>
      <c r="Y1257" s="1898" t="str">
        <f t="shared" si="1527"/>
        <v/>
      </c>
      <c r="Z1257" s="1898" t="str">
        <f t="shared" si="1528"/>
        <v/>
      </c>
      <c r="AA1257" s="1898" t="str">
        <f t="shared" si="1529"/>
        <v/>
      </c>
      <c r="AB1257" s="1971" t="str">
        <f t="shared" si="1530"/>
        <v>Soja 2ª</v>
      </c>
      <c r="AC1257" s="1906">
        <f t="shared" si="1531"/>
        <v>0</v>
      </c>
      <c r="AD1257" s="1906">
        <f t="shared" si="1532"/>
        <v>0</v>
      </c>
      <c r="AE1257" s="1906">
        <f t="shared" si="1533"/>
        <v>0</v>
      </c>
      <c r="AF1257" s="1906">
        <f t="shared" si="1534"/>
        <v>0</v>
      </c>
      <c r="AG1257" s="1906">
        <f t="shared" si="1535"/>
        <v>0</v>
      </c>
      <c r="AH1257" s="1906">
        <f t="shared" si="1536"/>
        <v>0</v>
      </c>
      <c r="AI1257" s="1906">
        <f t="shared" si="1537"/>
        <v>0</v>
      </c>
      <c r="AJ1257" s="1906">
        <f t="shared" si="1538"/>
        <v>0</v>
      </c>
      <c r="AK1257" s="1906">
        <f t="shared" si="1539"/>
        <v>0</v>
      </c>
      <c r="AL1257" s="1906">
        <f t="shared" si="1540"/>
        <v>0</v>
      </c>
      <c r="AM1257" s="1906">
        <f t="shared" si="1541"/>
        <v>0</v>
      </c>
      <c r="AN1257" s="1906">
        <f t="shared" si="1542"/>
        <v>0</v>
      </c>
      <c r="AO1257" s="107"/>
      <c r="AP1257" s="1906"/>
      <c r="AQ1257" s="1906">
        <f t="shared" si="1543"/>
        <v>0</v>
      </c>
      <c r="AR1257" s="1906">
        <f t="shared" si="1544"/>
        <v>0</v>
      </c>
      <c r="AS1257" s="1906">
        <f t="shared" si="1545"/>
        <v>0</v>
      </c>
      <c r="AT1257" s="1906">
        <f t="shared" si="1546"/>
        <v>0</v>
      </c>
      <c r="AU1257" s="1906">
        <f t="shared" si="1547"/>
        <v>0</v>
      </c>
      <c r="AV1257" s="1906">
        <f t="shared" si="1548"/>
        <v>0</v>
      </c>
      <c r="AW1257" s="1906">
        <f t="shared" si="1549"/>
        <v>0</v>
      </c>
      <c r="AX1257" s="1906">
        <f t="shared" si="1550"/>
        <v>0</v>
      </c>
      <c r="AY1257" s="1906">
        <f t="shared" si="1551"/>
        <v>0</v>
      </c>
      <c r="AZ1257" s="1906">
        <f t="shared" si="1552"/>
        <v>0</v>
      </c>
      <c r="BA1257" s="1906">
        <f t="shared" si="1553"/>
        <v>0</v>
      </c>
      <c r="BB1257" s="107"/>
      <c r="BC1257" s="1906">
        <f t="shared" si="1554"/>
        <v>0</v>
      </c>
      <c r="BD1257" s="1906">
        <f t="shared" si="1555"/>
        <v>0</v>
      </c>
      <c r="BE1257" s="1906">
        <f t="shared" si="1556"/>
        <v>0</v>
      </c>
      <c r="BF1257" s="1906">
        <f t="shared" si="1557"/>
        <v>0</v>
      </c>
      <c r="BG1257" s="1906">
        <f t="shared" si="1558"/>
        <v>0</v>
      </c>
      <c r="BH1257" s="1906">
        <f t="shared" si="1559"/>
        <v>0</v>
      </c>
      <c r="BI1257" s="1906">
        <f t="shared" si="1560"/>
        <v>0</v>
      </c>
      <c r="BJ1257" s="1906">
        <f t="shared" si="1561"/>
        <v>0</v>
      </c>
      <c r="BK1257" s="1906">
        <f t="shared" si="1562"/>
        <v>0</v>
      </c>
      <c r="BL1257" s="1906">
        <f t="shared" si="1563"/>
        <v>0</v>
      </c>
      <c r="BM1257" s="1906">
        <f t="shared" si="1564"/>
        <v>0</v>
      </c>
      <c r="BN1257" s="1906">
        <f t="shared" si="1565"/>
        <v>0</v>
      </c>
      <c r="BO1257" s="107"/>
      <c r="BP1257" s="1906">
        <f t="shared" si="1566"/>
        <v>0</v>
      </c>
      <c r="BQ1257" s="1906">
        <f t="shared" si="1567"/>
        <v>0</v>
      </c>
      <c r="BR1257" s="1906">
        <f t="shared" si="1568"/>
        <v>0</v>
      </c>
      <c r="BS1257" s="1906">
        <f t="shared" si="1569"/>
        <v>0</v>
      </c>
      <c r="BT1257" s="1906">
        <f t="shared" si="1570"/>
        <v>0</v>
      </c>
      <c r="BU1257" s="1906">
        <f t="shared" si="1571"/>
        <v>0</v>
      </c>
      <c r="BV1257" s="1906">
        <f t="shared" si="1572"/>
        <v>0</v>
      </c>
      <c r="BW1257" s="1906">
        <f t="shared" si="1573"/>
        <v>0</v>
      </c>
      <c r="BX1257" s="1906">
        <f t="shared" si="1574"/>
        <v>0</v>
      </c>
      <c r="BY1257" s="1906">
        <f t="shared" si="1575"/>
        <v>0</v>
      </c>
      <c r="BZ1257" s="1906">
        <f t="shared" si="1576"/>
        <v>0</v>
      </c>
      <c r="CA1257" s="1906">
        <f t="shared" si="1577"/>
        <v>0</v>
      </c>
      <c r="CB1257" s="107"/>
      <c r="CC1257" s="1906">
        <f t="shared" si="1578"/>
        <v>0</v>
      </c>
      <c r="CD1257" s="1906">
        <f t="shared" si="1579"/>
        <v>0</v>
      </c>
      <c r="CE1257" s="1906">
        <f t="shared" si="1580"/>
        <v>0</v>
      </c>
      <c r="CF1257" s="1906">
        <f t="shared" si="1581"/>
        <v>0</v>
      </c>
      <c r="CG1257" s="1906">
        <f t="shared" si="1582"/>
        <v>0</v>
      </c>
      <c r="CH1257" s="1906">
        <f t="shared" si="1583"/>
        <v>0</v>
      </c>
      <c r="CI1257" s="1906">
        <f t="shared" si="1584"/>
        <v>0</v>
      </c>
      <c r="CJ1257" s="1906">
        <f t="shared" si="1585"/>
        <v>0</v>
      </c>
      <c r="CK1257" s="1906">
        <f t="shared" si="1586"/>
        <v>0</v>
      </c>
      <c r="CL1257" s="1906">
        <f t="shared" si="1587"/>
        <v>0</v>
      </c>
      <c r="CM1257" s="1906">
        <f t="shared" si="1588"/>
        <v>0</v>
      </c>
      <c r="CN1257" s="1906">
        <f t="shared" si="1589"/>
        <v>0</v>
      </c>
      <c r="CO1257" s="107"/>
      <c r="CP1257" s="1906">
        <f t="shared" si="1590"/>
        <v>0</v>
      </c>
      <c r="CQ1257" s="1906">
        <f t="shared" si="1591"/>
        <v>0</v>
      </c>
      <c r="CR1257" s="1906">
        <f t="shared" si="1592"/>
        <v>0</v>
      </c>
      <c r="CS1257" s="1906">
        <f t="shared" si="1593"/>
        <v>0</v>
      </c>
      <c r="CT1257" s="1906">
        <f t="shared" si="1594"/>
        <v>0</v>
      </c>
      <c r="CU1257" s="1906">
        <f t="shared" si="1595"/>
        <v>0</v>
      </c>
      <c r="CV1257" s="1906">
        <f t="shared" si="1596"/>
        <v>0</v>
      </c>
      <c r="CW1257" s="1906">
        <f t="shared" si="1597"/>
        <v>0</v>
      </c>
      <c r="CX1257" s="1906">
        <f t="shared" si="1598"/>
        <v>0</v>
      </c>
      <c r="CY1257" s="1906">
        <f t="shared" si="1599"/>
        <v>0</v>
      </c>
      <c r="CZ1257" s="1906">
        <f t="shared" si="1600"/>
        <v>0</v>
      </c>
      <c r="DA1257" s="1906">
        <f t="shared" si="1601"/>
        <v>0</v>
      </c>
      <c r="DB1257" s="1971" t="str">
        <f t="shared" si="1602"/>
        <v>Soja 2ª</v>
      </c>
      <c r="DC1257" s="1906">
        <f t="shared" si="1603"/>
        <v>0</v>
      </c>
      <c r="DD1257" s="1906">
        <f t="shared" si="1604"/>
        <v>0</v>
      </c>
      <c r="DE1257" s="1906">
        <f t="shared" si="1605"/>
        <v>0</v>
      </c>
      <c r="DF1257" s="1906">
        <f t="shared" si="1606"/>
        <v>0</v>
      </c>
      <c r="DG1257" s="1906">
        <f t="shared" si="1495"/>
        <v>0</v>
      </c>
      <c r="DH1257" s="1906">
        <f t="shared" si="1496"/>
        <v>0</v>
      </c>
      <c r="DI1257" s="1906">
        <f t="shared" si="1497"/>
        <v>0</v>
      </c>
      <c r="DJ1257" s="1906">
        <f t="shared" si="1498"/>
        <v>0</v>
      </c>
      <c r="DK1257" s="1906">
        <f t="shared" si="1499"/>
        <v>0</v>
      </c>
      <c r="DL1257" s="1906">
        <f t="shared" si="1500"/>
        <v>0</v>
      </c>
      <c r="DM1257" s="1906">
        <f t="shared" si="1501"/>
        <v>0</v>
      </c>
      <c r="DN1257" s="1906">
        <f t="shared" si="1502"/>
        <v>0</v>
      </c>
      <c r="DO1257" s="595" t="str">
        <f t="shared" si="1503"/>
        <v>Soja 2ª</v>
      </c>
      <c r="DP1257" s="1443">
        <f t="shared" si="1504"/>
        <v>0</v>
      </c>
      <c r="DQ1257" s="107"/>
      <c r="DR1257" s="111"/>
      <c r="DS1257" s="1906"/>
      <c r="DT1257" s="1906"/>
      <c r="DU1257" s="1906"/>
      <c r="DV1257" s="1906"/>
      <c r="DW1257" s="1906"/>
      <c r="DX1257" s="1906"/>
      <c r="DY1257" s="1906"/>
      <c r="DZ1257" s="1906"/>
      <c r="EA1257" s="1906"/>
      <c r="EB1257" s="1906"/>
      <c r="EC1257" s="1906"/>
      <c r="ED1257" s="1906"/>
    </row>
    <row r="1258" spans="1:134" x14ac:dyDescent="0.2">
      <c r="A1258" s="107"/>
      <c r="B1258" s="1857" t="str">
        <f t="shared" si="1505"/>
        <v>Maíz Grano</v>
      </c>
      <c r="C1258" s="2013">
        <f t="shared" si="1506"/>
        <v>0</v>
      </c>
      <c r="D1258" s="2013">
        <f t="shared" si="1507"/>
        <v>0</v>
      </c>
      <c r="E1258" s="2013">
        <f t="shared" si="1508"/>
        <v>0</v>
      </c>
      <c r="F1258" s="2013">
        <f t="shared" si="1509"/>
        <v>0</v>
      </c>
      <c r="G1258" s="2013">
        <f t="shared" si="1510"/>
        <v>0</v>
      </c>
      <c r="H1258" s="2013">
        <f t="shared" si="1511"/>
        <v>0</v>
      </c>
      <c r="I1258" s="2013">
        <f t="shared" si="1512"/>
        <v>0</v>
      </c>
      <c r="J1258" s="2013">
        <f t="shared" si="1513"/>
        <v>0</v>
      </c>
      <c r="K1258" s="2013">
        <f t="shared" si="1514"/>
        <v>0</v>
      </c>
      <c r="L1258" s="2013">
        <f t="shared" si="1515"/>
        <v>0</v>
      </c>
      <c r="M1258" s="2013">
        <f t="shared" si="1516"/>
        <v>0</v>
      </c>
      <c r="N1258" s="2013">
        <f t="shared" si="1517"/>
        <v>0</v>
      </c>
      <c r="P1258" s="1898" t="str">
        <f t="shared" si="1518"/>
        <v/>
      </c>
      <c r="Q1258" s="1898" t="str">
        <f t="shared" si="1519"/>
        <v/>
      </c>
      <c r="R1258" s="1898" t="str">
        <f t="shared" si="1520"/>
        <v/>
      </c>
      <c r="S1258" s="1898" t="str">
        <f t="shared" si="1521"/>
        <v/>
      </c>
      <c r="T1258" s="1898" t="str">
        <f t="shared" si="1522"/>
        <v/>
      </c>
      <c r="U1258" s="1898" t="str">
        <f t="shared" si="1523"/>
        <v/>
      </c>
      <c r="V1258" s="1898" t="str">
        <f t="shared" si="1524"/>
        <v/>
      </c>
      <c r="W1258" s="1898" t="str">
        <f t="shared" si="1525"/>
        <v/>
      </c>
      <c r="X1258" s="1898" t="str">
        <f t="shared" si="1526"/>
        <v/>
      </c>
      <c r="Y1258" s="1898" t="str">
        <f t="shared" si="1527"/>
        <v/>
      </c>
      <c r="Z1258" s="1898" t="str">
        <f t="shared" si="1528"/>
        <v/>
      </c>
      <c r="AA1258" s="1898" t="str">
        <f t="shared" si="1529"/>
        <v/>
      </c>
      <c r="AB1258" s="1971" t="str">
        <f t="shared" si="1530"/>
        <v>Maíz Grano</v>
      </c>
      <c r="AC1258" s="1906">
        <f t="shared" si="1531"/>
        <v>0</v>
      </c>
      <c r="AD1258" s="1906">
        <f t="shared" si="1532"/>
        <v>0</v>
      </c>
      <c r="AE1258" s="1906">
        <f t="shared" si="1533"/>
        <v>0</v>
      </c>
      <c r="AF1258" s="1906">
        <f t="shared" si="1534"/>
        <v>0</v>
      </c>
      <c r="AG1258" s="1906">
        <f t="shared" si="1535"/>
        <v>0</v>
      </c>
      <c r="AH1258" s="1906">
        <f t="shared" si="1536"/>
        <v>0</v>
      </c>
      <c r="AI1258" s="1906">
        <f t="shared" si="1537"/>
        <v>0</v>
      </c>
      <c r="AJ1258" s="1906">
        <f t="shared" si="1538"/>
        <v>0</v>
      </c>
      <c r="AK1258" s="1906">
        <f t="shared" si="1539"/>
        <v>0</v>
      </c>
      <c r="AL1258" s="1906">
        <f t="shared" si="1540"/>
        <v>0</v>
      </c>
      <c r="AM1258" s="1906">
        <f t="shared" si="1541"/>
        <v>0</v>
      </c>
      <c r="AN1258" s="1906">
        <f t="shared" si="1542"/>
        <v>0</v>
      </c>
      <c r="AO1258" s="107"/>
      <c r="AP1258" s="1906"/>
      <c r="AQ1258" s="1906">
        <f t="shared" si="1543"/>
        <v>0</v>
      </c>
      <c r="AR1258" s="1906">
        <f t="shared" si="1544"/>
        <v>0</v>
      </c>
      <c r="AS1258" s="1906">
        <f t="shared" si="1545"/>
        <v>0</v>
      </c>
      <c r="AT1258" s="1906">
        <f t="shared" si="1546"/>
        <v>0</v>
      </c>
      <c r="AU1258" s="1906">
        <f t="shared" si="1547"/>
        <v>0</v>
      </c>
      <c r="AV1258" s="1906">
        <f t="shared" si="1548"/>
        <v>0</v>
      </c>
      <c r="AW1258" s="1906">
        <f t="shared" si="1549"/>
        <v>0</v>
      </c>
      <c r="AX1258" s="1906">
        <f t="shared" si="1550"/>
        <v>0</v>
      </c>
      <c r="AY1258" s="1906">
        <f t="shared" si="1551"/>
        <v>0</v>
      </c>
      <c r="AZ1258" s="1906">
        <f t="shared" si="1552"/>
        <v>0</v>
      </c>
      <c r="BA1258" s="1906">
        <f t="shared" si="1553"/>
        <v>0</v>
      </c>
      <c r="BB1258" s="107"/>
      <c r="BC1258" s="1906">
        <f t="shared" si="1554"/>
        <v>0</v>
      </c>
      <c r="BD1258" s="1906">
        <f t="shared" si="1555"/>
        <v>0</v>
      </c>
      <c r="BE1258" s="1906">
        <f t="shared" si="1556"/>
        <v>0</v>
      </c>
      <c r="BF1258" s="1906">
        <f t="shared" si="1557"/>
        <v>0</v>
      </c>
      <c r="BG1258" s="1906">
        <f t="shared" si="1558"/>
        <v>0</v>
      </c>
      <c r="BH1258" s="1906">
        <f t="shared" si="1559"/>
        <v>0</v>
      </c>
      <c r="BI1258" s="1906">
        <f t="shared" si="1560"/>
        <v>0</v>
      </c>
      <c r="BJ1258" s="1906">
        <f t="shared" si="1561"/>
        <v>0</v>
      </c>
      <c r="BK1258" s="1906">
        <f t="shared" si="1562"/>
        <v>0</v>
      </c>
      <c r="BL1258" s="1906">
        <f t="shared" si="1563"/>
        <v>0</v>
      </c>
      <c r="BM1258" s="1906">
        <f t="shared" si="1564"/>
        <v>0</v>
      </c>
      <c r="BN1258" s="1906">
        <f t="shared" si="1565"/>
        <v>0</v>
      </c>
      <c r="BO1258" s="107"/>
      <c r="BP1258" s="1906">
        <f t="shared" si="1566"/>
        <v>0</v>
      </c>
      <c r="BQ1258" s="1906">
        <f t="shared" si="1567"/>
        <v>0</v>
      </c>
      <c r="BR1258" s="1906">
        <f t="shared" si="1568"/>
        <v>0</v>
      </c>
      <c r="BS1258" s="1906">
        <f t="shared" si="1569"/>
        <v>0</v>
      </c>
      <c r="BT1258" s="1906">
        <f t="shared" si="1570"/>
        <v>0</v>
      </c>
      <c r="BU1258" s="1906">
        <f t="shared" si="1571"/>
        <v>0</v>
      </c>
      <c r="BV1258" s="1906">
        <f t="shared" si="1572"/>
        <v>0</v>
      </c>
      <c r="BW1258" s="1906">
        <f t="shared" si="1573"/>
        <v>0</v>
      </c>
      <c r="BX1258" s="1906">
        <f t="shared" si="1574"/>
        <v>0</v>
      </c>
      <c r="BY1258" s="1906">
        <f t="shared" si="1575"/>
        <v>0</v>
      </c>
      <c r="BZ1258" s="1906">
        <f t="shared" si="1576"/>
        <v>0</v>
      </c>
      <c r="CA1258" s="1906">
        <f t="shared" si="1577"/>
        <v>0</v>
      </c>
      <c r="CB1258" s="107"/>
      <c r="CC1258" s="1906">
        <f t="shared" si="1578"/>
        <v>0</v>
      </c>
      <c r="CD1258" s="1906">
        <f t="shared" si="1579"/>
        <v>0</v>
      </c>
      <c r="CE1258" s="1906">
        <f t="shared" si="1580"/>
        <v>0</v>
      </c>
      <c r="CF1258" s="1906">
        <f t="shared" si="1581"/>
        <v>0</v>
      </c>
      <c r="CG1258" s="1906">
        <f t="shared" si="1582"/>
        <v>0</v>
      </c>
      <c r="CH1258" s="1906">
        <f t="shared" si="1583"/>
        <v>0</v>
      </c>
      <c r="CI1258" s="1906">
        <f t="shared" si="1584"/>
        <v>0</v>
      </c>
      <c r="CJ1258" s="1906">
        <f t="shared" si="1585"/>
        <v>0</v>
      </c>
      <c r="CK1258" s="1906">
        <f t="shared" si="1586"/>
        <v>0</v>
      </c>
      <c r="CL1258" s="1906">
        <f t="shared" si="1587"/>
        <v>0</v>
      </c>
      <c r="CM1258" s="1906">
        <f t="shared" si="1588"/>
        <v>0</v>
      </c>
      <c r="CN1258" s="1906">
        <f t="shared" si="1589"/>
        <v>0</v>
      </c>
      <c r="CO1258" s="107"/>
      <c r="CP1258" s="1906">
        <f t="shared" si="1590"/>
        <v>0</v>
      </c>
      <c r="CQ1258" s="1906">
        <f t="shared" si="1591"/>
        <v>0</v>
      </c>
      <c r="CR1258" s="1906">
        <f t="shared" si="1592"/>
        <v>0</v>
      </c>
      <c r="CS1258" s="1906">
        <f t="shared" si="1593"/>
        <v>0</v>
      </c>
      <c r="CT1258" s="1906">
        <f t="shared" si="1594"/>
        <v>0</v>
      </c>
      <c r="CU1258" s="1906">
        <f t="shared" si="1595"/>
        <v>0</v>
      </c>
      <c r="CV1258" s="1906">
        <f t="shared" si="1596"/>
        <v>0</v>
      </c>
      <c r="CW1258" s="1906">
        <f t="shared" si="1597"/>
        <v>0</v>
      </c>
      <c r="CX1258" s="1906">
        <f t="shared" si="1598"/>
        <v>0</v>
      </c>
      <c r="CY1258" s="1906">
        <f t="shared" si="1599"/>
        <v>0</v>
      </c>
      <c r="CZ1258" s="1906">
        <f t="shared" si="1600"/>
        <v>0</v>
      </c>
      <c r="DA1258" s="1906">
        <f t="shared" si="1601"/>
        <v>0</v>
      </c>
      <c r="DB1258" s="1971" t="str">
        <f t="shared" si="1602"/>
        <v>Maíz Grano</v>
      </c>
      <c r="DC1258" s="1906">
        <f t="shared" si="1603"/>
        <v>0</v>
      </c>
      <c r="DD1258" s="1906">
        <f t="shared" si="1604"/>
        <v>0</v>
      </c>
      <c r="DE1258" s="1906">
        <f t="shared" si="1605"/>
        <v>0</v>
      </c>
      <c r="DF1258" s="1906">
        <f t="shared" si="1606"/>
        <v>0</v>
      </c>
      <c r="DG1258" s="1906">
        <f t="shared" si="1495"/>
        <v>0</v>
      </c>
      <c r="DH1258" s="1906">
        <f t="shared" si="1496"/>
        <v>0</v>
      </c>
      <c r="DI1258" s="1906">
        <f t="shared" si="1497"/>
        <v>0</v>
      </c>
      <c r="DJ1258" s="1906">
        <f t="shared" si="1498"/>
        <v>0</v>
      </c>
      <c r="DK1258" s="1906">
        <f t="shared" si="1499"/>
        <v>0</v>
      </c>
      <c r="DL1258" s="1906">
        <f t="shared" si="1500"/>
        <v>0</v>
      </c>
      <c r="DM1258" s="1906">
        <f t="shared" si="1501"/>
        <v>0</v>
      </c>
      <c r="DN1258" s="1906">
        <f t="shared" si="1502"/>
        <v>0</v>
      </c>
      <c r="DO1258" s="595" t="str">
        <f t="shared" si="1503"/>
        <v>Maíz Grano</v>
      </c>
      <c r="DP1258" s="1443">
        <f t="shared" si="1504"/>
        <v>0</v>
      </c>
      <c r="DQ1258" s="107"/>
      <c r="DR1258" s="111"/>
      <c r="DS1258" s="1906"/>
      <c r="DT1258" s="1906"/>
      <c r="DU1258" s="1906"/>
      <c r="DV1258" s="1906"/>
      <c r="DW1258" s="1906"/>
      <c r="DX1258" s="1906"/>
      <c r="DY1258" s="1906"/>
      <c r="DZ1258" s="1906"/>
      <c r="EA1258" s="1906"/>
      <c r="EB1258" s="1906"/>
      <c r="EC1258" s="1906"/>
      <c r="ED1258" s="1906"/>
    </row>
    <row r="1259" spans="1:134" x14ac:dyDescent="0.2">
      <c r="A1259" s="107"/>
      <c r="B1259" s="1857" t="str">
        <f t="shared" si="1505"/>
        <v>Sorgo grano</v>
      </c>
      <c r="C1259" s="2013">
        <f t="shared" si="1506"/>
        <v>0</v>
      </c>
      <c r="D1259" s="2013">
        <f t="shared" si="1507"/>
        <v>0</v>
      </c>
      <c r="E1259" s="2013">
        <f t="shared" si="1508"/>
        <v>0</v>
      </c>
      <c r="F1259" s="2013">
        <f t="shared" si="1509"/>
        <v>0</v>
      </c>
      <c r="G1259" s="2013">
        <f t="shared" si="1510"/>
        <v>0</v>
      </c>
      <c r="H1259" s="2013">
        <f t="shared" si="1511"/>
        <v>0</v>
      </c>
      <c r="I1259" s="2013">
        <f t="shared" si="1512"/>
        <v>0</v>
      </c>
      <c r="J1259" s="2013">
        <f t="shared" si="1513"/>
        <v>0</v>
      </c>
      <c r="K1259" s="2013">
        <f t="shared" si="1514"/>
        <v>0</v>
      </c>
      <c r="L1259" s="2013">
        <f t="shared" si="1515"/>
        <v>0</v>
      </c>
      <c r="M1259" s="2013">
        <f t="shared" si="1516"/>
        <v>0</v>
      </c>
      <c r="N1259" s="2013">
        <f t="shared" si="1517"/>
        <v>0</v>
      </c>
      <c r="P1259" s="1898" t="str">
        <f t="shared" si="1518"/>
        <v/>
      </c>
      <c r="Q1259" s="1898" t="str">
        <f t="shared" si="1519"/>
        <v/>
      </c>
      <c r="R1259" s="1898" t="str">
        <f t="shared" si="1520"/>
        <v/>
      </c>
      <c r="S1259" s="1898" t="str">
        <f t="shared" si="1521"/>
        <v/>
      </c>
      <c r="T1259" s="1898" t="str">
        <f t="shared" si="1522"/>
        <v/>
      </c>
      <c r="U1259" s="1898" t="str">
        <f t="shared" si="1523"/>
        <v/>
      </c>
      <c r="V1259" s="1898" t="str">
        <f t="shared" si="1524"/>
        <v/>
      </c>
      <c r="W1259" s="1898" t="str">
        <f t="shared" si="1525"/>
        <v/>
      </c>
      <c r="X1259" s="1898" t="str">
        <f t="shared" si="1526"/>
        <v/>
      </c>
      <c r="Y1259" s="1898" t="str">
        <f t="shared" si="1527"/>
        <v/>
      </c>
      <c r="Z1259" s="1898" t="str">
        <f t="shared" si="1528"/>
        <v/>
      </c>
      <c r="AA1259" s="1898" t="str">
        <f t="shared" si="1529"/>
        <v/>
      </c>
      <c r="AB1259" s="1971" t="str">
        <f t="shared" si="1530"/>
        <v>Sorgo grano</v>
      </c>
      <c r="AC1259" s="1906">
        <f t="shared" si="1531"/>
        <v>0</v>
      </c>
      <c r="AD1259" s="1906">
        <f t="shared" si="1532"/>
        <v>0</v>
      </c>
      <c r="AE1259" s="1906">
        <f t="shared" si="1533"/>
        <v>0</v>
      </c>
      <c r="AF1259" s="1906">
        <f t="shared" si="1534"/>
        <v>0</v>
      </c>
      <c r="AG1259" s="1906">
        <f t="shared" si="1535"/>
        <v>0</v>
      </c>
      <c r="AH1259" s="1906">
        <f t="shared" si="1536"/>
        <v>0</v>
      </c>
      <c r="AI1259" s="1906">
        <f t="shared" si="1537"/>
        <v>0</v>
      </c>
      <c r="AJ1259" s="1906">
        <f t="shared" si="1538"/>
        <v>0</v>
      </c>
      <c r="AK1259" s="1906">
        <f t="shared" si="1539"/>
        <v>0</v>
      </c>
      <c r="AL1259" s="1906">
        <f t="shared" si="1540"/>
        <v>0</v>
      </c>
      <c r="AM1259" s="1906">
        <f t="shared" si="1541"/>
        <v>0</v>
      </c>
      <c r="AN1259" s="1906">
        <f t="shared" si="1542"/>
        <v>0</v>
      </c>
      <c r="AO1259" s="107"/>
      <c r="AP1259" s="1906"/>
      <c r="AQ1259" s="1906">
        <f t="shared" si="1543"/>
        <v>0</v>
      </c>
      <c r="AR1259" s="1906">
        <f t="shared" si="1544"/>
        <v>0</v>
      </c>
      <c r="AS1259" s="1906">
        <f t="shared" si="1545"/>
        <v>0</v>
      </c>
      <c r="AT1259" s="1906">
        <f t="shared" si="1546"/>
        <v>0</v>
      </c>
      <c r="AU1259" s="1906">
        <f t="shared" si="1547"/>
        <v>0</v>
      </c>
      <c r="AV1259" s="1906">
        <f t="shared" si="1548"/>
        <v>0</v>
      </c>
      <c r="AW1259" s="1906">
        <f t="shared" si="1549"/>
        <v>0</v>
      </c>
      <c r="AX1259" s="1906">
        <f t="shared" si="1550"/>
        <v>0</v>
      </c>
      <c r="AY1259" s="1906">
        <f t="shared" si="1551"/>
        <v>0</v>
      </c>
      <c r="AZ1259" s="1906">
        <f t="shared" si="1552"/>
        <v>0</v>
      </c>
      <c r="BA1259" s="1906">
        <f t="shared" si="1553"/>
        <v>0</v>
      </c>
      <c r="BB1259" s="107"/>
      <c r="BC1259" s="1906">
        <f t="shared" si="1554"/>
        <v>0</v>
      </c>
      <c r="BD1259" s="1906">
        <f t="shared" si="1555"/>
        <v>0</v>
      </c>
      <c r="BE1259" s="1906">
        <f t="shared" si="1556"/>
        <v>0</v>
      </c>
      <c r="BF1259" s="1906">
        <f t="shared" si="1557"/>
        <v>0</v>
      </c>
      <c r="BG1259" s="1906">
        <f t="shared" si="1558"/>
        <v>0</v>
      </c>
      <c r="BH1259" s="1906">
        <f t="shared" si="1559"/>
        <v>0</v>
      </c>
      <c r="BI1259" s="1906">
        <f t="shared" si="1560"/>
        <v>0</v>
      </c>
      <c r="BJ1259" s="1906">
        <f t="shared" si="1561"/>
        <v>0</v>
      </c>
      <c r="BK1259" s="1906">
        <f t="shared" si="1562"/>
        <v>0</v>
      </c>
      <c r="BL1259" s="1906">
        <f t="shared" si="1563"/>
        <v>0</v>
      </c>
      <c r="BM1259" s="1906">
        <f t="shared" si="1564"/>
        <v>0</v>
      </c>
      <c r="BN1259" s="1906">
        <f t="shared" si="1565"/>
        <v>0</v>
      </c>
      <c r="BO1259" s="107"/>
      <c r="BP1259" s="1906">
        <f t="shared" si="1566"/>
        <v>0</v>
      </c>
      <c r="BQ1259" s="1906">
        <f t="shared" si="1567"/>
        <v>0</v>
      </c>
      <c r="BR1259" s="1906">
        <f t="shared" si="1568"/>
        <v>0</v>
      </c>
      <c r="BS1259" s="1906">
        <f t="shared" si="1569"/>
        <v>0</v>
      </c>
      <c r="BT1259" s="1906">
        <f t="shared" si="1570"/>
        <v>0</v>
      </c>
      <c r="BU1259" s="1906">
        <f t="shared" si="1571"/>
        <v>0</v>
      </c>
      <c r="BV1259" s="1906">
        <f t="shared" si="1572"/>
        <v>0</v>
      </c>
      <c r="BW1259" s="1906">
        <f t="shared" si="1573"/>
        <v>0</v>
      </c>
      <c r="BX1259" s="1906">
        <f t="shared" si="1574"/>
        <v>0</v>
      </c>
      <c r="BY1259" s="1906">
        <f t="shared" si="1575"/>
        <v>0</v>
      </c>
      <c r="BZ1259" s="1906">
        <f t="shared" si="1576"/>
        <v>0</v>
      </c>
      <c r="CA1259" s="1906">
        <f t="shared" si="1577"/>
        <v>0</v>
      </c>
      <c r="CB1259" s="107"/>
      <c r="CC1259" s="1906">
        <f t="shared" si="1578"/>
        <v>0</v>
      </c>
      <c r="CD1259" s="1906">
        <f t="shared" si="1579"/>
        <v>0</v>
      </c>
      <c r="CE1259" s="1906">
        <f t="shared" si="1580"/>
        <v>0</v>
      </c>
      <c r="CF1259" s="1906">
        <f t="shared" si="1581"/>
        <v>0</v>
      </c>
      <c r="CG1259" s="1906">
        <f t="shared" si="1582"/>
        <v>0</v>
      </c>
      <c r="CH1259" s="1906">
        <f t="shared" si="1583"/>
        <v>0</v>
      </c>
      <c r="CI1259" s="1906">
        <f t="shared" si="1584"/>
        <v>0</v>
      </c>
      <c r="CJ1259" s="1906">
        <f t="shared" si="1585"/>
        <v>0</v>
      </c>
      <c r="CK1259" s="1906">
        <f t="shared" si="1586"/>
        <v>0</v>
      </c>
      <c r="CL1259" s="1906">
        <f t="shared" si="1587"/>
        <v>0</v>
      </c>
      <c r="CM1259" s="1906">
        <f t="shared" si="1588"/>
        <v>0</v>
      </c>
      <c r="CN1259" s="1906">
        <f t="shared" si="1589"/>
        <v>0</v>
      </c>
      <c r="CO1259" s="107"/>
      <c r="CP1259" s="1906">
        <f t="shared" si="1590"/>
        <v>0</v>
      </c>
      <c r="CQ1259" s="1906">
        <f t="shared" si="1591"/>
        <v>0</v>
      </c>
      <c r="CR1259" s="1906">
        <f t="shared" si="1592"/>
        <v>0</v>
      </c>
      <c r="CS1259" s="1906">
        <f t="shared" si="1593"/>
        <v>0</v>
      </c>
      <c r="CT1259" s="1906">
        <f t="shared" si="1594"/>
        <v>0</v>
      </c>
      <c r="CU1259" s="1906">
        <f t="shared" si="1595"/>
        <v>0</v>
      </c>
      <c r="CV1259" s="1906">
        <f t="shared" si="1596"/>
        <v>0</v>
      </c>
      <c r="CW1259" s="1906">
        <f t="shared" si="1597"/>
        <v>0</v>
      </c>
      <c r="CX1259" s="1906">
        <f t="shared" si="1598"/>
        <v>0</v>
      </c>
      <c r="CY1259" s="1906">
        <f t="shared" si="1599"/>
        <v>0</v>
      </c>
      <c r="CZ1259" s="1906">
        <f t="shared" si="1600"/>
        <v>0</v>
      </c>
      <c r="DA1259" s="1906">
        <f t="shared" si="1601"/>
        <v>0</v>
      </c>
      <c r="DB1259" s="1971" t="str">
        <f t="shared" si="1602"/>
        <v>Sorgo grano</v>
      </c>
      <c r="DC1259" s="1906">
        <f t="shared" si="1603"/>
        <v>0</v>
      </c>
      <c r="DD1259" s="1906">
        <f t="shared" si="1604"/>
        <v>0</v>
      </c>
      <c r="DE1259" s="1906">
        <f t="shared" si="1605"/>
        <v>0</v>
      </c>
      <c r="DF1259" s="1906">
        <f t="shared" si="1606"/>
        <v>0</v>
      </c>
      <c r="DG1259" s="1906">
        <f t="shared" si="1495"/>
        <v>0</v>
      </c>
      <c r="DH1259" s="1906">
        <f t="shared" si="1496"/>
        <v>0</v>
      </c>
      <c r="DI1259" s="1906">
        <f t="shared" si="1497"/>
        <v>0</v>
      </c>
      <c r="DJ1259" s="1906">
        <f t="shared" si="1498"/>
        <v>0</v>
      </c>
      <c r="DK1259" s="1906">
        <f t="shared" si="1499"/>
        <v>0</v>
      </c>
      <c r="DL1259" s="1906">
        <f t="shared" si="1500"/>
        <v>0</v>
      </c>
      <c r="DM1259" s="1906">
        <f t="shared" si="1501"/>
        <v>0</v>
      </c>
      <c r="DN1259" s="1906">
        <f t="shared" si="1502"/>
        <v>0</v>
      </c>
      <c r="DO1259" s="595" t="str">
        <f t="shared" si="1503"/>
        <v>Sorgo grano</v>
      </c>
      <c r="DP1259" s="1443">
        <f t="shared" si="1504"/>
        <v>0</v>
      </c>
      <c r="DQ1259" s="107"/>
      <c r="DR1259" s="111"/>
      <c r="DS1259" s="1906"/>
      <c r="DT1259" s="1906"/>
      <c r="DU1259" s="1906"/>
      <c r="DV1259" s="1906"/>
      <c r="DW1259" s="1906"/>
      <c r="DX1259" s="1906"/>
      <c r="DY1259" s="1906"/>
      <c r="DZ1259" s="1906"/>
      <c r="EA1259" s="1906"/>
      <c r="EB1259" s="1906"/>
      <c r="EC1259" s="1906"/>
      <c r="ED1259" s="1906"/>
    </row>
    <row r="1260" spans="1:134" x14ac:dyDescent="0.2">
      <c r="A1260" s="107"/>
      <c r="B1260" s="1857" t="str">
        <f t="shared" si="1505"/>
        <v>Trigo grano</v>
      </c>
      <c r="C1260" s="2013">
        <f t="shared" si="1506"/>
        <v>0</v>
      </c>
      <c r="D1260" s="2013">
        <f t="shared" si="1507"/>
        <v>0</v>
      </c>
      <c r="E1260" s="2013">
        <f t="shared" si="1508"/>
        <v>0</v>
      </c>
      <c r="F1260" s="2013">
        <f t="shared" si="1509"/>
        <v>0</v>
      </c>
      <c r="G1260" s="2013">
        <f t="shared" si="1510"/>
        <v>0</v>
      </c>
      <c r="H1260" s="2013">
        <f t="shared" si="1511"/>
        <v>0</v>
      </c>
      <c r="I1260" s="2013">
        <f t="shared" si="1512"/>
        <v>0</v>
      </c>
      <c r="J1260" s="2013">
        <f t="shared" si="1513"/>
        <v>0</v>
      </c>
      <c r="K1260" s="2013">
        <f t="shared" si="1514"/>
        <v>0</v>
      </c>
      <c r="L1260" s="2013">
        <f t="shared" si="1515"/>
        <v>0</v>
      </c>
      <c r="M1260" s="2013">
        <f t="shared" si="1516"/>
        <v>0</v>
      </c>
      <c r="N1260" s="2013">
        <f t="shared" si="1517"/>
        <v>0</v>
      </c>
      <c r="P1260" s="1898" t="str">
        <f t="shared" si="1518"/>
        <v/>
      </c>
      <c r="Q1260" s="1898" t="str">
        <f t="shared" si="1519"/>
        <v/>
      </c>
      <c r="R1260" s="1898" t="str">
        <f t="shared" si="1520"/>
        <v/>
      </c>
      <c r="S1260" s="1898" t="str">
        <f t="shared" si="1521"/>
        <v/>
      </c>
      <c r="T1260" s="1898" t="str">
        <f t="shared" si="1522"/>
        <v/>
      </c>
      <c r="U1260" s="1898" t="str">
        <f t="shared" si="1523"/>
        <v/>
      </c>
      <c r="V1260" s="1898" t="str">
        <f t="shared" si="1524"/>
        <v/>
      </c>
      <c r="W1260" s="1898" t="str">
        <f t="shared" si="1525"/>
        <v/>
      </c>
      <c r="X1260" s="1898" t="str">
        <f t="shared" si="1526"/>
        <v/>
      </c>
      <c r="Y1260" s="1898" t="str">
        <f t="shared" si="1527"/>
        <v/>
      </c>
      <c r="Z1260" s="1898" t="str">
        <f t="shared" si="1528"/>
        <v/>
      </c>
      <c r="AA1260" s="1898" t="str">
        <f t="shared" si="1529"/>
        <v/>
      </c>
      <c r="AB1260" s="1971" t="str">
        <f t="shared" si="1530"/>
        <v>Trigo grano</v>
      </c>
      <c r="AC1260" s="1906">
        <f t="shared" si="1531"/>
        <v>0</v>
      </c>
      <c r="AD1260" s="1906">
        <f t="shared" si="1532"/>
        <v>0</v>
      </c>
      <c r="AE1260" s="1906">
        <f t="shared" si="1533"/>
        <v>0</v>
      </c>
      <c r="AF1260" s="1906">
        <f t="shared" si="1534"/>
        <v>0</v>
      </c>
      <c r="AG1260" s="1906">
        <f t="shared" si="1535"/>
        <v>0</v>
      </c>
      <c r="AH1260" s="1906">
        <f t="shared" si="1536"/>
        <v>0</v>
      </c>
      <c r="AI1260" s="1906">
        <f t="shared" si="1537"/>
        <v>0</v>
      </c>
      <c r="AJ1260" s="1906">
        <f t="shared" si="1538"/>
        <v>0</v>
      </c>
      <c r="AK1260" s="1906">
        <f t="shared" si="1539"/>
        <v>0</v>
      </c>
      <c r="AL1260" s="1906">
        <f t="shared" si="1540"/>
        <v>0</v>
      </c>
      <c r="AM1260" s="1906">
        <f t="shared" si="1541"/>
        <v>0</v>
      </c>
      <c r="AN1260" s="1906">
        <f t="shared" si="1542"/>
        <v>0</v>
      </c>
      <c r="AO1260" s="107"/>
      <c r="AP1260" s="1906"/>
      <c r="AQ1260" s="1906">
        <f t="shared" si="1543"/>
        <v>0</v>
      </c>
      <c r="AR1260" s="1906">
        <f t="shared" si="1544"/>
        <v>0</v>
      </c>
      <c r="AS1260" s="1906">
        <f t="shared" si="1545"/>
        <v>0</v>
      </c>
      <c r="AT1260" s="1906">
        <f t="shared" si="1546"/>
        <v>0</v>
      </c>
      <c r="AU1260" s="1906">
        <f t="shared" si="1547"/>
        <v>0</v>
      </c>
      <c r="AV1260" s="1906">
        <f t="shared" si="1548"/>
        <v>0</v>
      </c>
      <c r="AW1260" s="1906">
        <f t="shared" si="1549"/>
        <v>0</v>
      </c>
      <c r="AX1260" s="1906">
        <f t="shared" si="1550"/>
        <v>0</v>
      </c>
      <c r="AY1260" s="1906">
        <f t="shared" si="1551"/>
        <v>0</v>
      </c>
      <c r="AZ1260" s="1906">
        <f t="shared" si="1552"/>
        <v>0</v>
      </c>
      <c r="BA1260" s="1906">
        <f t="shared" si="1553"/>
        <v>0</v>
      </c>
      <c r="BB1260" s="107"/>
      <c r="BC1260" s="1906">
        <f t="shared" si="1554"/>
        <v>0</v>
      </c>
      <c r="BD1260" s="1906">
        <f t="shared" si="1555"/>
        <v>0</v>
      </c>
      <c r="BE1260" s="1906">
        <f t="shared" si="1556"/>
        <v>0</v>
      </c>
      <c r="BF1260" s="1906">
        <f t="shared" si="1557"/>
        <v>0</v>
      </c>
      <c r="BG1260" s="1906">
        <f t="shared" si="1558"/>
        <v>0</v>
      </c>
      <c r="BH1260" s="1906">
        <f t="shared" si="1559"/>
        <v>0</v>
      </c>
      <c r="BI1260" s="1906">
        <f t="shared" si="1560"/>
        <v>0</v>
      </c>
      <c r="BJ1260" s="1906">
        <f t="shared" si="1561"/>
        <v>0</v>
      </c>
      <c r="BK1260" s="1906">
        <f t="shared" si="1562"/>
        <v>0</v>
      </c>
      <c r="BL1260" s="1906">
        <f t="shared" si="1563"/>
        <v>0</v>
      </c>
      <c r="BM1260" s="1906">
        <f t="shared" si="1564"/>
        <v>0</v>
      </c>
      <c r="BN1260" s="1906">
        <f t="shared" si="1565"/>
        <v>0</v>
      </c>
      <c r="BO1260" s="107"/>
      <c r="BP1260" s="1906">
        <f t="shared" si="1566"/>
        <v>0</v>
      </c>
      <c r="BQ1260" s="1906">
        <f t="shared" si="1567"/>
        <v>0</v>
      </c>
      <c r="BR1260" s="1906">
        <f t="shared" si="1568"/>
        <v>0</v>
      </c>
      <c r="BS1260" s="1906">
        <f t="shared" si="1569"/>
        <v>0</v>
      </c>
      <c r="BT1260" s="1906">
        <f t="shared" si="1570"/>
        <v>0</v>
      </c>
      <c r="BU1260" s="1906">
        <f t="shared" si="1571"/>
        <v>0</v>
      </c>
      <c r="BV1260" s="1906">
        <f t="shared" si="1572"/>
        <v>0</v>
      </c>
      <c r="BW1260" s="1906">
        <f t="shared" si="1573"/>
        <v>0</v>
      </c>
      <c r="BX1260" s="1906">
        <f t="shared" si="1574"/>
        <v>0</v>
      </c>
      <c r="BY1260" s="1906">
        <f t="shared" si="1575"/>
        <v>0</v>
      </c>
      <c r="BZ1260" s="1906">
        <f t="shared" si="1576"/>
        <v>0</v>
      </c>
      <c r="CA1260" s="1906">
        <f t="shared" si="1577"/>
        <v>0</v>
      </c>
      <c r="CB1260" s="107"/>
      <c r="CC1260" s="1906">
        <f t="shared" si="1578"/>
        <v>0</v>
      </c>
      <c r="CD1260" s="1906">
        <f t="shared" si="1579"/>
        <v>0</v>
      </c>
      <c r="CE1260" s="1906">
        <f t="shared" si="1580"/>
        <v>0</v>
      </c>
      <c r="CF1260" s="1906">
        <f t="shared" si="1581"/>
        <v>0</v>
      </c>
      <c r="CG1260" s="1906">
        <f t="shared" si="1582"/>
        <v>0</v>
      </c>
      <c r="CH1260" s="1906">
        <f t="shared" si="1583"/>
        <v>0</v>
      </c>
      <c r="CI1260" s="1906">
        <f t="shared" si="1584"/>
        <v>0</v>
      </c>
      <c r="CJ1260" s="1906">
        <f t="shared" si="1585"/>
        <v>0</v>
      </c>
      <c r="CK1260" s="1906">
        <f t="shared" si="1586"/>
        <v>0</v>
      </c>
      <c r="CL1260" s="1906">
        <f t="shared" si="1587"/>
        <v>0</v>
      </c>
      <c r="CM1260" s="1906">
        <f t="shared" si="1588"/>
        <v>0</v>
      </c>
      <c r="CN1260" s="1906">
        <f t="shared" si="1589"/>
        <v>0</v>
      </c>
      <c r="CO1260" s="107"/>
      <c r="CP1260" s="1906">
        <f t="shared" si="1590"/>
        <v>0</v>
      </c>
      <c r="CQ1260" s="1906">
        <f t="shared" si="1591"/>
        <v>0</v>
      </c>
      <c r="CR1260" s="1906">
        <f t="shared" si="1592"/>
        <v>0</v>
      </c>
      <c r="CS1260" s="1906">
        <f t="shared" si="1593"/>
        <v>0</v>
      </c>
      <c r="CT1260" s="1906">
        <f t="shared" si="1594"/>
        <v>0</v>
      </c>
      <c r="CU1260" s="1906">
        <f t="shared" si="1595"/>
        <v>0</v>
      </c>
      <c r="CV1260" s="1906">
        <f t="shared" si="1596"/>
        <v>0</v>
      </c>
      <c r="CW1260" s="1906">
        <f t="shared" si="1597"/>
        <v>0</v>
      </c>
      <c r="CX1260" s="1906">
        <f t="shared" si="1598"/>
        <v>0</v>
      </c>
      <c r="CY1260" s="1906">
        <f t="shared" si="1599"/>
        <v>0</v>
      </c>
      <c r="CZ1260" s="1906">
        <f t="shared" si="1600"/>
        <v>0</v>
      </c>
      <c r="DA1260" s="1906">
        <f t="shared" si="1601"/>
        <v>0</v>
      </c>
      <c r="DB1260" s="1971" t="str">
        <f t="shared" si="1602"/>
        <v>Trigo grano</v>
      </c>
      <c r="DC1260" s="1906">
        <f t="shared" si="1603"/>
        <v>0</v>
      </c>
      <c r="DD1260" s="1906">
        <f t="shared" si="1604"/>
        <v>0</v>
      </c>
      <c r="DE1260" s="1906">
        <f t="shared" si="1605"/>
        <v>0</v>
      </c>
      <c r="DF1260" s="1906">
        <f t="shared" si="1606"/>
        <v>0</v>
      </c>
      <c r="DG1260" s="1906">
        <f t="shared" si="1495"/>
        <v>0</v>
      </c>
      <c r="DH1260" s="1906">
        <f t="shared" si="1496"/>
        <v>0</v>
      </c>
      <c r="DI1260" s="1906">
        <f t="shared" si="1497"/>
        <v>0</v>
      </c>
      <c r="DJ1260" s="1906">
        <f t="shared" si="1498"/>
        <v>0</v>
      </c>
      <c r="DK1260" s="1906">
        <f t="shared" si="1499"/>
        <v>0</v>
      </c>
      <c r="DL1260" s="1906">
        <f t="shared" si="1500"/>
        <v>0</v>
      </c>
      <c r="DM1260" s="1906">
        <f t="shared" si="1501"/>
        <v>0</v>
      </c>
      <c r="DN1260" s="1906">
        <f t="shared" si="1502"/>
        <v>0</v>
      </c>
      <c r="DO1260" s="595" t="str">
        <f t="shared" si="1503"/>
        <v>Trigo grano</v>
      </c>
      <c r="DP1260" s="1443">
        <f t="shared" si="1504"/>
        <v>0</v>
      </c>
      <c r="DQ1260" s="107"/>
      <c r="DR1260" s="111"/>
      <c r="DS1260" s="1906"/>
      <c r="DT1260" s="1906"/>
      <c r="DU1260" s="1906"/>
      <c r="DV1260" s="1906"/>
      <c r="DW1260" s="1906"/>
      <c r="DX1260" s="1906"/>
      <c r="DY1260" s="1906"/>
      <c r="DZ1260" s="1906"/>
      <c r="EA1260" s="1906"/>
      <c r="EB1260" s="1906"/>
      <c r="EC1260" s="1906"/>
      <c r="ED1260" s="1906"/>
    </row>
    <row r="1261" spans="1:134" x14ac:dyDescent="0.2">
      <c r="A1261" s="107"/>
      <c r="B1261" s="1857" t="str">
        <f t="shared" si="1505"/>
        <v>Cebada grano</v>
      </c>
      <c r="C1261" s="2013">
        <f t="shared" si="1506"/>
        <v>0</v>
      </c>
      <c r="D1261" s="2013">
        <f t="shared" si="1507"/>
        <v>0</v>
      </c>
      <c r="E1261" s="2013">
        <f t="shared" si="1508"/>
        <v>0</v>
      </c>
      <c r="F1261" s="2013">
        <f t="shared" si="1509"/>
        <v>0</v>
      </c>
      <c r="G1261" s="2013">
        <f t="shared" si="1510"/>
        <v>0</v>
      </c>
      <c r="H1261" s="2013">
        <f t="shared" si="1511"/>
        <v>0</v>
      </c>
      <c r="I1261" s="2013">
        <f t="shared" si="1512"/>
        <v>0</v>
      </c>
      <c r="J1261" s="2013">
        <f t="shared" si="1513"/>
        <v>0</v>
      </c>
      <c r="K1261" s="2013">
        <f t="shared" si="1514"/>
        <v>0</v>
      </c>
      <c r="L1261" s="2013">
        <f t="shared" si="1515"/>
        <v>0</v>
      </c>
      <c r="M1261" s="2013">
        <f t="shared" si="1516"/>
        <v>0</v>
      </c>
      <c r="N1261" s="2013">
        <f t="shared" si="1517"/>
        <v>0</v>
      </c>
      <c r="P1261" s="1898" t="str">
        <f t="shared" si="1518"/>
        <v/>
      </c>
      <c r="Q1261" s="1898" t="str">
        <f t="shared" si="1519"/>
        <v/>
      </c>
      <c r="R1261" s="1898" t="str">
        <f t="shared" si="1520"/>
        <v/>
      </c>
      <c r="S1261" s="1898" t="str">
        <f t="shared" si="1521"/>
        <v/>
      </c>
      <c r="T1261" s="1898" t="str">
        <f t="shared" si="1522"/>
        <v/>
      </c>
      <c r="U1261" s="1898" t="str">
        <f t="shared" si="1523"/>
        <v/>
      </c>
      <c r="V1261" s="1898" t="str">
        <f t="shared" si="1524"/>
        <v/>
      </c>
      <c r="W1261" s="1898" t="str">
        <f t="shared" si="1525"/>
        <v/>
      </c>
      <c r="X1261" s="1898" t="str">
        <f t="shared" si="1526"/>
        <v/>
      </c>
      <c r="Y1261" s="1898" t="str">
        <f t="shared" si="1527"/>
        <v/>
      </c>
      <c r="Z1261" s="1898" t="str">
        <f t="shared" si="1528"/>
        <v/>
      </c>
      <c r="AA1261" s="1898" t="str">
        <f t="shared" si="1529"/>
        <v/>
      </c>
      <c r="AB1261" s="1971" t="str">
        <f t="shared" si="1530"/>
        <v>Cebada grano</v>
      </c>
      <c r="AC1261" s="1906">
        <f t="shared" si="1531"/>
        <v>0</v>
      </c>
      <c r="AD1261" s="1906">
        <f t="shared" si="1532"/>
        <v>0</v>
      </c>
      <c r="AE1261" s="1906">
        <f t="shared" si="1533"/>
        <v>0</v>
      </c>
      <c r="AF1261" s="1906">
        <f t="shared" si="1534"/>
        <v>0</v>
      </c>
      <c r="AG1261" s="1906">
        <f t="shared" si="1535"/>
        <v>0</v>
      </c>
      <c r="AH1261" s="1906">
        <f t="shared" si="1536"/>
        <v>0</v>
      </c>
      <c r="AI1261" s="1906">
        <f t="shared" si="1537"/>
        <v>0</v>
      </c>
      <c r="AJ1261" s="1906">
        <f t="shared" si="1538"/>
        <v>0</v>
      </c>
      <c r="AK1261" s="1906">
        <f t="shared" si="1539"/>
        <v>0</v>
      </c>
      <c r="AL1261" s="1906">
        <f t="shared" si="1540"/>
        <v>0</v>
      </c>
      <c r="AM1261" s="1906">
        <f t="shared" si="1541"/>
        <v>0</v>
      </c>
      <c r="AN1261" s="1906">
        <f t="shared" si="1542"/>
        <v>0</v>
      </c>
      <c r="AO1261" s="107"/>
      <c r="AP1261" s="1906"/>
      <c r="AQ1261" s="1906">
        <f t="shared" si="1543"/>
        <v>0</v>
      </c>
      <c r="AR1261" s="1906">
        <f t="shared" si="1544"/>
        <v>0</v>
      </c>
      <c r="AS1261" s="1906">
        <f t="shared" si="1545"/>
        <v>0</v>
      </c>
      <c r="AT1261" s="1906">
        <f t="shared" si="1546"/>
        <v>0</v>
      </c>
      <c r="AU1261" s="1906">
        <f t="shared" si="1547"/>
        <v>0</v>
      </c>
      <c r="AV1261" s="1906">
        <f t="shared" si="1548"/>
        <v>0</v>
      </c>
      <c r="AW1261" s="1906">
        <f t="shared" si="1549"/>
        <v>0</v>
      </c>
      <c r="AX1261" s="1906">
        <f t="shared" si="1550"/>
        <v>0</v>
      </c>
      <c r="AY1261" s="1906">
        <f t="shared" si="1551"/>
        <v>0</v>
      </c>
      <c r="AZ1261" s="1906">
        <f t="shared" si="1552"/>
        <v>0</v>
      </c>
      <c r="BA1261" s="1906">
        <f t="shared" si="1553"/>
        <v>0</v>
      </c>
      <c r="BB1261" s="107"/>
      <c r="BC1261" s="1906">
        <f t="shared" si="1554"/>
        <v>0</v>
      </c>
      <c r="BD1261" s="1906">
        <f t="shared" si="1555"/>
        <v>0</v>
      </c>
      <c r="BE1261" s="1906">
        <f t="shared" si="1556"/>
        <v>0</v>
      </c>
      <c r="BF1261" s="1906">
        <f t="shared" si="1557"/>
        <v>0</v>
      </c>
      <c r="BG1261" s="1906">
        <f t="shared" si="1558"/>
        <v>0</v>
      </c>
      <c r="BH1261" s="1906">
        <f t="shared" si="1559"/>
        <v>0</v>
      </c>
      <c r="BI1261" s="1906">
        <f t="shared" si="1560"/>
        <v>0</v>
      </c>
      <c r="BJ1261" s="1906">
        <f t="shared" si="1561"/>
        <v>0</v>
      </c>
      <c r="BK1261" s="1906">
        <f t="shared" si="1562"/>
        <v>0</v>
      </c>
      <c r="BL1261" s="1906">
        <f t="shared" si="1563"/>
        <v>0</v>
      </c>
      <c r="BM1261" s="1906">
        <f t="shared" si="1564"/>
        <v>0</v>
      </c>
      <c r="BN1261" s="1906">
        <f t="shared" si="1565"/>
        <v>0</v>
      </c>
      <c r="BO1261" s="107"/>
      <c r="BP1261" s="1906">
        <f t="shared" si="1566"/>
        <v>0</v>
      </c>
      <c r="BQ1261" s="1906">
        <f t="shared" si="1567"/>
        <v>0</v>
      </c>
      <c r="BR1261" s="1906">
        <f t="shared" si="1568"/>
        <v>0</v>
      </c>
      <c r="BS1261" s="1906">
        <f t="shared" si="1569"/>
        <v>0</v>
      </c>
      <c r="BT1261" s="1906">
        <f t="shared" si="1570"/>
        <v>0</v>
      </c>
      <c r="BU1261" s="1906">
        <f t="shared" si="1571"/>
        <v>0</v>
      </c>
      <c r="BV1261" s="1906">
        <f t="shared" si="1572"/>
        <v>0</v>
      </c>
      <c r="BW1261" s="1906">
        <f t="shared" si="1573"/>
        <v>0</v>
      </c>
      <c r="BX1261" s="1906">
        <f t="shared" si="1574"/>
        <v>0</v>
      </c>
      <c r="BY1261" s="1906">
        <f t="shared" si="1575"/>
        <v>0</v>
      </c>
      <c r="BZ1261" s="1906">
        <f t="shared" si="1576"/>
        <v>0</v>
      </c>
      <c r="CA1261" s="1906">
        <f t="shared" si="1577"/>
        <v>0</v>
      </c>
      <c r="CB1261" s="107"/>
      <c r="CC1261" s="1906">
        <f t="shared" si="1578"/>
        <v>0</v>
      </c>
      <c r="CD1261" s="1906">
        <f t="shared" si="1579"/>
        <v>0</v>
      </c>
      <c r="CE1261" s="1906">
        <f t="shared" si="1580"/>
        <v>0</v>
      </c>
      <c r="CF1261" s="1906">
        <f t="shared" si="1581"/>
        <v>0</v>
      </c>
      <c r="CG1261" s="1906">
        <f t="shared" si="1582"/>
        <v>0</v>
      </c>
      <c r="CH1261" s="1906">
        <f t="shared" si="1583"/>
        <v>0</v>
      </c>
      <c r="CI1261" s="1906">
        <f t="shared" si="1584"/>
        <v>0</v>
      </c>
      <c r="CJ1261" s="1906">
        <f t="shared" si="1585"/>
        <v>0</v>
      </c>
      <c r="CK1261" s="1906">
        <f t="shared" si="1586"/>
        <v>0</v>
      </c>
      <c r="CL1261" s="1906">
        <f t="shared" si="1587"/>
        <v>0</v>
      </c>
      <c r="CM1261" s="1906">
        <f t="shared" si="1588"/>
        <v>0</v>
      </c>
      <c r="CN1261" s="1906">
        <f t="shared" si="1589"/>
        <v>0</v>
      </c>
      <c r="CO1261" s="107"/>
      <c r="CP1261" s="1906">
        <f t="shared" si="1590"/>
        <v>0</v>
      </c>
      <c r="CQ1261" s="1906">
        <f t="shared" si="1591"/>
        <v>0</v>
      </c>
      <c r="CR1261" s="1906">
        <f t="shared" si="1592"/>
        <v>0</v>
      </c>
      <c r="CS1261" s="1906">
        <f t="shared" si="1593"/>
        <v>0</v>
      </c>
      <c r="CT1261" s="1906">
        <f t="shared" si="1594"/>
        <v>0</v>
      </c>
      <c r="CU1261" s="1906">
        <f t="shared" si="1595"/>
        <v>0</v>
      </c>
      <c r="CV1261" s="1906">
        <f t="shared" si="1596"/>
        <v>0</v>
      </c>
      <c r="CW1261" s="1906">
        <f t="shared" si="1597"/>
        <v>0</v>
      </c>
      <c r="CX1261" s="1906">
        <f t="shared" si="1598"/>
        <v>0</v>
      </c>
      <c r="CY1261" s="1906">
        <f t="shared" si="1599"/>
        <v>0</v>
      </c>
      <c r="CZ1261" s="1906">
        <f t="shared" si="1600"/>
        <v>0</v>
      </c>
      <c r="DA1261" s="1906">
        <f t="shared" si="1601"/>
        <v>0</v>
      </c>
      <c r="DB1261" s="1971" t="str">
        <f t="shared" si="1602"/>
        <v>Cebada grano</v>
      </c>
      <c r="DC1261" s="1906">
        <f t="shared" si="1603"/>
        <v>0</v>
      </c>
      <c r="DD1261" s="1906">
        <f t="shared" si="1604"/>
        <v>0</v>
      </c>
      <c r="DE1261" s="1906">
        <f t="shared" si="1605"/>
        <v>0</v>
      </c>
      <c r="DF1261" s="1906">
        <f t="shared" si="1606"/>
        <v>0</v>
      </c>
      <c r="DG1261" s="1906">
        <f t="shared" si="1495"/>
        <v>0</v>
      </c>
      <c r="DH1261" s="1906">
        <f t="shared" si="1496"/>
        <v>0</v>
      </c>
      <c r="DI1261" s="1906">
        <f t="shared" si="1497"/>
        <v>0</v>
      </c>
      <c r="DJ1261" s="1906">
        <f t="shared" si="1498"/>
        <v>0</v>
      </c>
      <c r="DK1261" s="1906">
        <f t="shared" si="1499"/>
        <v>0</v>
      </c>
      <c r="DL1261" s="1906">
        <f t="shared" si="1500"/>
        <v>0</v>
      </c>
      <c r="DM1261" s="1906">
        <f t="shared" si="1501"/>
        <v>0</v>
      </c>
      <c r="DN1261" s="1906">
        <f t="shared" si="1502"/>
        <v>0</v>
      </c>
      <c r="DO1261" s="595" t="str">
        <f t="shared" si="1503"/>
        <v>Cebada grano</v>
      </c>
      <c r="DP1261" s="1443">
        <f t="shared" si="1504"/>
        <v>0</v>
      </c>
      <c r="DQ1261" s="107"/>
      <c r="DR1261" s="111"/>
      <c r="DS1261" s="1906"/>
      <c r="DT1261" s="1906"/>
      <c r="DU1261" s="1906"/>
      <c r="DV1261" s="1906"/>
      <c r="DW1261" s="1906"/>
      <c r="DX1261" s="1906"/>
      <c r="DY1261" s="1906"/>
      <c r="DZ1261" s="1906"/>
      <c r="EA1261" s="1906"/>
      <c r="EB1261" s="1906"/>
      <c r="EC1261" s="1906"/>
      <c r="ED1261" s="1906"/>
    </row>
    <row r="1262" spans="1:134" x14ac:dyDescent="0.2">
      <c r="A1262" s="107"/>
      <c r="B1262" s="1857" t="str">
        <f t="shared" si="1505"/>
        <v>Avena grano</v>
      </c>
      <c r="C1262" s="2013">
        <f t="shared" si="1506"/>
        <v>0</v>
      </c>
      <c r="D1262" s="2013">
        <f t="shared" si="1507"/>
        <v>0</v>
      </c>
      <c r="E1262" s="2013">
        <f t="shared" si="1508"/>
        <v>0</v>
      </c>
      <c r="F1262" s="2013">
        <f t="shared" si="1509"/>
        <v>0</v>
      </c>
      <c r="G1262" s="2013">
        <f t="shared" si="1510"/>
        <v>0</v>
      </c>
      <c r="H1262" s="2013">
        <f t="shared" si="1511"/>
        <v>0</v>
      </c>
      <c r="I1262" s="2013">
        <f t="shared" si="1512"/>
        <v>0</v>
      </c>
      <c r="J1262" s="2013">
        <f t="shared" si="1513"/>
        <v>0</v>
      </c>
      <c r="K1262" s="2013">
        <f t="shared" si="1514"/>
        <v>0</v>
      </c>
      <c r="L1262" s="2013">
        <f t="shared" si="1515"/>
        <v>0</v>
      </c>
      <c r="M1262" s="2013">
        <f t="shared" si="1516"/>
        <v>0</v>
      </c>
      <c r="N1262" s="2013">
        <f t="shared" si="1517"/>
        <v>0</v>
      </c>
      <c r="P1262" s="1898" t="str">
        <f t="shared" si="1518"/>
        <v/>
      </c>
      <c r="Q1262" s="1898" t="str">
        <f t="shared" si="1519"/>
        <v/>
      </c>
      <c r="R1262" s="1898" t="str">
        <f t="shared" si="1520"/>
        <v/>
      </c>
      <c r="S1262" s="1898" t="str">
        <f t="shared" si="1521"/>
        <v/>
      </c>
      <c r="T1262" s="1898" t="str">
        <f t="shared" si="1522"/>
        <v/>
      </c>
      <c r="U1262" s="1898" t="str">
        <f t="shared" si="1523"/>
        <v/>
      </c>
      <c r="V1262" s="1898" t="str">
        <f t="shared" si="1524"/>
        <v/>
      </c>
      <c r="W1262" s="1898" t="str">
        <f t="shared" si="1525"/>
        <v/>
      </c>
      <c r="X1262" s="1898" t="str">
        <f t="shared" si="1526"/>
        <v/>
      </c>
      <c r="Y1262" s="1898" t="str">
        <f t="shared" si="1527"/>
        <v/>
      </c>
      <c r="Z1262" s="1898" t="str">
        <f t="shared" si="1528"/>
        <v/>
      </c>
      <c r="AA1262" s="1898" t="str">
        <f t="shared" si="1529"/>
        <v/>
      </c>
      <c r="AB1262" s="1971" t="str">
        <f t="shared" si="1530"/>
        <v>Avena grano</v>
      </c>
      <c r="AC1262" s="1906">
        <f t="shared" si="1531"/>
        <v>0</v>
      </c>
      <c r="AD1262" s="1906">
        <f t="shared" si="1532"/>
        <v>0</v>
      </c>
      <c r="AE1262" s="1906">
        <f t="shared" si="1533"/>
        <v>0</v>
      </c>
      <c r="AF1262" s="1906">
        <f t="shared" si="1534"/>
        <v>0</v>
      </c>
      <c r="AG1262" s="1906">
        <f t="shared" si="1535"/>
        <v>0</v>
      </c>
      <c r="AH1262" s="1906">
        <f t="shared" si="1536"/>
        <v>0</v>
      </c>
      <c r="AI1262" s="1906">
        <f t="shared" si="1537"/>
        <v>0</v>
      </c>
      <c r="AJ1262" s="1906">
        <f t="shared" si="1538"/>
        <v>0</v>
      </c>
      <c r="AK1262" s="1906">
        <f t="shared" si="1539"/>
        <v>0</v>
      </c>
      <c r="AL1262" s="1906">
        <f t="shared" si="1540"/>
        <v>0</v>
      </c>
      <c r="AM1262" s="1906">
        <f t="shared" si="1541"/>
        <v>0</v>
      </c>
      <c r="AN1262" s="1906">
        <f t="shared" si="1542"/>
        <v>0</v>
      </c>
      <c r="AO1262" s="107"/>
      <c r="AP1262" s="1906"/>
      <c r="AQ1262" s="1906">
        <f t="shared" si="1543"/>
        <v>0</v>
      </c>
      <c r="AR1262" s="1906">
        <f t="shared" si="1544"/>
        <v>0</v>
      </c>
      <c r="AS1262" s="1906">
        <f t="shared" si="1545"/>
        <v>0</v>
      </c>
      <c r="AT1262" s="1906">
        <f t="shared" si="1546"/>
        <v>0</v>
      </c>
      <c r="AU1262" s="1906">
        <f t="shared" si="1547"/>
        <v>0</v>
      </c>
      <c r="AV1262" s="1906">
        <f t="shared" si="1548"/>
        <v>0</v>
      </c>
      <c r="AW1262" s="1906">
        <f t="shared" si="1549"/>
        <v>0</v>
      </c>
      <c r="AX1262" s="1906">
        <f t="shared" si="1550"/>
        <v>0</v>
      </c>
      <c r="AY1262" s="1906">
        <f t="shared" si="1551"/>
        <v>0</v>
      </c>
      <c r="AZ1262" s="1906">
        <f t="shared" si="1552"/>
        <v>0</v>
      </c>
      <c r="BA1262" s="1906">
        <f t="shared" si="1553"/>
        <v>0</v>
      </c>
      <c r="BB1262" s="107"/>
      <c r="BC1262" s="1906">
        <f t="shared" si="1554"/>
        <v>0</v>
      </c>
      <c r="BD1262" s="1906">
        <f t="shared" si="1555"/>
        <v>0</v>
      </c>
      <c r="BE1262" s="1906">
        <f t="shared" si="1556"/>
        <v>0</v>
      </c>
      <c r="BF1262" s="1906">
        <f t="shared" si="1557"/>
        <v>0</v>
      </c>
      <c r="BG1262" s="1906">
        <f t="shared" si="1558"/>
        <v>0</v>
      </c>
      <c r="BH1262" s="1906">
        <f t="shared" si="1559"/>
        <v>0</v>
      </c>
      <c r="BI1262" s="1906">
        <f t="shared" si="1560"/>
        <v>0</v>
      </c>
      <c r="BJ1262" s="1906">
        <f t="shared" si="1561"/>
        <v>0</v>
      </c>
      <c r="BK1262" s="1906">
        <f t="shared" si="1562"/>
        <v>0</v>
      </c>
      <c r="BL1262" s="1906">
        <f t="shared" si="1563"/>
        <v>0</v>
      </c>
      <c r="BM1262" s="1906">
        <f t="shared" si="1564"/>
        <v>0</v>
      </c>
      <c r="BN1262" s="1906">
        <f t="shared" si="1565"/>
        <v>0</v>
      </c>
      <c r="BO1262" s="107"/>
      <c r="BP1262" s="1906">
        <f t="shared" si="1566"/>
        <v>0</v>
      </c>
      <c r="BQ1262" s="1906">
        <f t="shared" si="1567"/>
        <v>0</v>
      </c>
      <c r="BR1262" s="1906">
        <f t="shared" si="1568"/>
        <v>0</v>
      </c>
      <c r="BS1262" s="1906">
        <f t="shared" si="1569"/>
        <v>0</v>
      </c>
      <c r="BT1262" s="1906">
        <f t="shared" si="1570"/>
        <v>0</v>
      </c>
      <c r="BU1262" s="1906">
        <f t="shared" si="1571"/>
        <v>0</v>
      </c>
      <c r="BV1262" s="1906">
        <f t="shared" si="1572"/>
        <v>0</v>
      </c>
      <c r="BW1262" s="1906">
        <f t="shared" si="1573"/>
        <v>0</v>
      </c>
      <c r="BX1262" s="1906">
        <f t="shared" si="1574"/>
        <v>0</v>
      </c>
      <c r="BY1262" s="1906">
        <f t="shared" si="1575"/>
        <v>0</v>
      </c>
      <c r="BZ1262" s="1906">
        <f t="shared" si="1576"/>
        <v>0</v>
      </c>
      <c r="CA1262" s="1906">
        <f t="shared" si="1577"/>
        <v>0</v>
      </c>
      <c r="CB1262" s="107"/>
      <c r="CC1262" s="1906">
        <f t="shared" si="1578"/>
        <v>0</v>
      </c>
      <c r="CD1262" s="1906">
        <f t="shared" si="1579"/>
        <v>0</v>
      </c>
      <c r="CE1262" s="1906">
        <f t="shared" si="1580"/>
        <v>0</v>
      </c>
      <c r="CF1262" s="1906">
        <f t="shared" si="1581"/>
        <v>0</v>
      </c>
      <c r="CG1262" s="1906">
        <f t="shared" si="1582"/>
        <v>0</v>
      </c>
      <c r="CH1262" s="1906">
        <f t="shared" si="1583"/>
        <v>0</v>
      </c>
      <c r="CI1262" s="1906">
        <f t="shared" si="1584"/>
        <v>0</v>
      </c>
      <c r="CJ1262" s="1906">
        <f t="shared" si="1585"/>
        <v>0</v>
      </c>
      <c r="CK1262" s="1906">
        <f t="shared" si="1586"/>
        <v>0</v>
      </c>
      <c r="CL1262" s="1906">
        <f t="shared" si="1587"/>
        <v>0</v>
      </c>
      <c r="CM1262" s="1906">
        <f t="shared" si="1588"/>
        <v>0</v>
      </c>
      <c r="CN1262" s="1906">
        <f t="shared" si="1589"/>
        <v>0</v>
      </c>
      <c r="CO1262" s="107"/>
      <c r="CP1262" s="1906">
        <f t="shared" si="1590"/>
        <v>0</v>
      </c>
      <c r="CQ1262" s="1906">
        <f t="shared" si="1591"/>
        <v>0</v>
      </c>
      <c r="CR1262" s="1906">
        <f t="shared" si="1592"/>
        <v>0</v>
      </c>
      <c r="CS1262" s="1906">
        <f t="shared" si="1593"/>
        <v>0</v>
      </c>
      <c r="CT1262" s="1906">
        <f t="shared" si="1594"/>
        <v>0</v>
      </c>
      <c r="CU1262" s="1906">
        <f t="shared" si="1595"/>
        <v>0</v>
      </c>
      <c r="CV1262" s="1906">
        <f t="shared" si="1596"/>
        <v>0</v>
      </c>
      <c r="CW1262" s="1906">
        <f t="shared" si="1597"/>
        <v>0</v>
      </c>
      <c r="CX1262" s="1906">
        <f t="shared" si="1598"/>
        <v>0</v>
      </c>
      <c r="CY1262" s="1906">
        <f t="shared" si="1599"/>
        <v>0</v>
      </c>
      <c r="CZ1262" s="1906">
        <f t="shared" si="1600"/>
        <v>0</v>
      </c>
      <c r="DA1262" s="1906">
        <f t="shared" si="1601"/>
        <v>0</v>
      </c>
      <c r="DB1262" s="1971" t="str">
        <f t="shared" si="1602"/>
        <v>Avena grano</v>
      </c>
      <c r="DC1262" s="1906">
        <f t="shared" si="1603"/>
        <v>0</v>
      </c>
      <c r="DD1262" s="1906">
        <f t="shared" si="1604"/>
        <v>0</v>
      </c>
      <c r="DE1262" s="1906">
        <f t="shared" si="1605"/>
        <v>0</v>
      </c>
      <c r="DF1262" s="1906">
        <f t="shared" si="1606"/>
        <v>0</v>
      </c>
      <c r="DG1262" s="1906">
        <f t="shared" si="1495"/>
        <v>0</v>
      </c>
      <c r="DH1262" s="1906">
        <f t="shared" si="1496"/>
        <v>0</v>
      </c>
      <c r="DI1262" s="1906">
        <f t="shared" si="1497"/>
        <v>0</v>
      </c>
      <c r="DJ1262" s="1906">
        <f t="shared" si="1498"/>
        <v>0</v>
      </c>
      <c r="DK1262" s="1906">
        <f t="shared" si="1499"/>
        <v>0</v>
      </c>
      <c r="DL1262" s="1906">
        <f t="shared" si="1500"/>
        <v>0</v>
      </c>
      <c r="DM1262" s="1906">
        <f t="shared" si="1501"/>
        <v>0</v>
      </c>
      <c r="DN1262" s="1906">
        <f t="shared" si="1502"/>
        <v>0</v>
      </c>
      <c r="DO1262" s="595" t="str">
        <f t="shared" si="1503"/>
        <v>Avena grano</v>
      </c>
      <c r="DP1262" s="1443">
        <f t="shared" si="1504"/>
        <v>0</v>
      </c>
      <c r="DQ1262" s="107"/>
      <c r="DR1262" s="111"/>
      <c r="DS1262" s="1906"/>
      <c r="DT1262" s="1906"/>
      <c r="DU1262" s="1906"/>
      <c r="DV1262" s="1906"/>
      <c r="DW1262" s="1906"/>
      <c r="DX1262" s="1906"/>
      <c r="DY1262" s="1906"/>
      <c r="DZ1262" s="1906"/>
      <c r="EA1262" s="1906"/>
      <c r="EB1262" s="1906"/>
      <c r="EC1262" s="1906"/>
      <c r="ED1262" s="1906"/>
    </row>
    <row r="1263" spans="1:134" x14ac:dyDescent="0.2">
      <c r="A1263" s="107"/>
      <c r="B1263" s="1857" t="str">
        <f t="shared" si="1505"/>
        <v>Colza grano</v>
      </c>
      <c r="C1263" s="2013">
        <f t="shared" si="1506"/>
        <v>0</v>
      </c>
      <c r="D1263" s="2013">
        <f t="shared" si="1507"/>
        <v>0</v>
      </c>
      <c r="E1263" s="2013">
        <f t="shared" si="1508"/>
        <v>0</v>
      </c>
      <c r="F1263" s="2013">
        <f t="shared" si="1509"/>
        <v>0</v>
      </c>
      <c r="G1263" s="2013">
        <f t="shared" si="1510"/>
        <v>0</v>
      </c>
      <c r="H1263" s="2013">
        <f t="shared" si="1511"/>
        <v>0</v>
      </c>
      <c r="I1263" s="2013">
        <f t="shared" si="1512"/>
        <v>0</v>
      </c>
      <c r="J1263" s="2013">
        <f t="shared" si="1513"/>
        <v>0</v>
      </c>
      <c r="K1263" s="2013">
        <f t="shared" si="1514"/>
        <v>0</v>
      </c>
      <c r="L1263" s="2013">
        <f t="shared" si="1515"/>
        <v>0</v>
      </c>
      <c r="M1263" s="2013">
        <f t="shared" si="1516"/>
        <v>0</v>
      </c>
      <c r="N1263" s="2013">
        <f t="shared" si="1517"/>
        <v>0</v>
      </c>
      <c r="P1263" s="1898" t="str">
        <f t="shared" si="1518"/>
        <v/>
      </c>
      <c r="Q1263" s="1898" t="str">
        <f t="shared" si="1519"/>
        <v/>
      </c>
      <c r="R1263" s="1898" t="str">
        <f t="shared" si="1520"/>
        <v/>
      </c>
      <c r="S1263" s="1898" t="str">
        <f t="shared" si="1521"/>
        <v/>
      </c>
      <c r="T1263" s="1898" t="str">
        <f t="shared" si="1522"/>
        <v/>
      </c>
      <c r="U1263" s="1898" t="str">
        <f t="shared" si="1523"/>
        <v/>
      </c>
      <c r="V1263" s="1898" t="str">
        <f t="shared" si="1524"/>
        <v/>
      </c>
      <c r="W1263" s="1898" t="str">
        <f t="shared" si="1525"/>
        <v/>
      </c>
      <c r="X1263" s="1898" t="str">
        <f t="shared" si="1526"/>
        <v/>
      </c>
      <c r="Y1263" s="1898" t="str">
        <f t="shared" si="1527"/>
        <v/>
      </c>
      <c r="Z1263" s="1898" t="str">
        <f t="shared" si="1528"/>
        <v/>
      </c>
      <c r="AA1263" s="1898" t="str">
        <f t="shared" si="1529"/>
        <v/>
      </c>
      <c r="AB1263" s="1971" t="str">
        <f t="shared" si="1530"/>
        <v>Colza grano</v>
      </c>
      <c r="AC1263" s="1906">
        <f t="shared" si="1531"/>
        <v>0</v>
      </c>
      <c r="AD1263" s="1906">
        <f t="shared" si="1532"/>
        <v>0</v>
      </c>
      <c r="AE1263" s="1906">
        <f t="shared" si="1533"/>
        <v>0</v>
      </c>
      <c r="AF1263" s="1906">
        <f t="shared" si="1534"/>
        <v>0</v>
      </c>
      <c r="AG1263" s="1906">
        <f t="shared" si="1535"/>
        <v>0</v>
      </c>
      <c r="AH1263" s="1906">
        <f t="shared" si="1536"/>
        <v>0</v>
      </c>
      <c r="AI1263" s="1906">
        <f t="shared" si="1537"/>
        <v>0</v>
      </c>
      <c r="AJ1263" s="1906">
        <f t="shared" si="1538"/>
        <v>0</v>
      </c>
      <c r="AK1263" s="1906">
        <f t="shared" si="1539"/>
        <v>0</v>
      </c>
      <c r="AL1263" s="1906">
        <f t="shared" si="1540"/>
        <v>0</v>
      </c>
      <c r="AM1263" s="1906">
        <f t="shared" si="1541"/>
        <v>0</v>
      </c>
      <c r="AN1263" s="1906">
        <f t="shared" si="1542"/>
        <v>0</v>
      </c>
      <c r="AO1263" s="107"/>
      <c r="AP1263" s="1906"/>
      <c r="AQ1263" s="1906">
        <f t="shared" si="1543"/>
        <v>0</v>
      </c>
      <c r="AR1263" s="1906">
        <f t="shared" si="1544"/>
        <v>0</v>
      </c>
      <c r="AS1263" s="1906">
        <f t="shared" si="1545"/>
        <v>0</v>
      </c>
      <c r="AT1263" s="1906">
        <f t="shared" si="1546"/>
        <v>0</v>
      </c>
      <c r="AU1263" s="1906">
        <f t="shared" si="1547"/>
        <v>0</v>
      </c>
      <c r="AV1263" s="1906">
        <f t="shared" si="1548"/>
        <v>0</v>
      </c>
      <c r="AW1263" s="1906">
        <f t="shared" si="1549"/>
        <v>0</v>
      </c>
      <c r="AX1263" s="1906">
        <f t="shared" si="1550"/>
        <v>0</v>
      </c>
      <c r="AY1263" s="1906">
        <f t="shared" si="1551"/>
        <v>0</v>
      </c>
      <c r="AZ1263" s="1906">
        <f t="shared" si="1552"/>
        <v>0</v>
      </c>
      <c r="BA1263" s="1906">
        <f t="shared" si="1553"/>
        <v>0</v>
      </c>
      <c r="BB1263" s="107"/>
      <c r="BC1263" s="1906">
        <f t="shared" si="1554"/>
        <v>0</v>
      </c>
      <c r="BD1263" s="1906">
        <f t="shared" si="1555"/>
        <v>0</v>
      </c>
      <c r="BE1263" s="1906">
        <f t="shared" si="1556"/>
        <v>0</v>
      </c>
      <c r="BF1263" s="1906">
        <f t="shared" si="1557"/>
        <v>0</v>
      </c>
      <c r="BG1263" s="1906">
        <f t="shared" si="1558"/>
        <v>0</v>
      </c>
      <c r="BH1263" s="1906">
        <f t="shared" si="1559"/>
        <v>0</v>
      </c>
      <c r="BI1263" s="1906">
        <f t="shared" si="1560"/>
        <v>0</v>
      </c>
      <c r="BJ1263" s="1906">
        <f t="shared" si="1561"/>
        <v>0</v>
      </c>
      <c r="BK1263" s="1906">
        <f t="shared" si="1562"/>
        <v>0</v>
      </c>
      <c r="BL1263" s="1906">
        <f t="shared" si="1563"/>
        <v>0</v>
      </c>
      <c r="BM1263" s="1906">
        <f t="shared" si="1564"/>
        <v>0</v>
      </c>
      <c r="BN1263" s="1906">
        <f t="shared" si="1565"/>
        <v>0</v>
      </c>
      <c r="BO1263" s="107"/>
      <c r="BP1263" s="1906">
        <f t="shared" si="1566"/>
        <v>0</v>
      </c>
      <c r="BQ1263" s="1906">
        <f t="shared" si="1567"/>
        <v>0</v>
      </c>
      <c r="BR1263" s="1906">
        <f t="shared" si="1568"/>
        <v>0</v>
      </c>
      <c r="BS1263" s="1906">
        <f t="shared" si="1569"/>
        <v>0</v>
      </c>
      <c r="BT1263" s="1906">
        <f t="shared" si="1570"/>
        <v>0</v>
      </c>
      <c r="BU1263" s="1906">
        <f t="shared" si="1571"/>
        <v>0</v>
      </c>
      <c r="BV1263" s="1906">
        <f t="shared" si="1572"/>
        <v>0</v>
      </c>
      <c r="BW1263" s="1906">
        <f t="shared" si="1573"/>
        <v>0</v>
      </c>
      <c r="BX1263" s="1906">
        <f t="shared" si="1574"/>
        <v>0</v>
      </c>
      <c r="BY1263" s="1906">
        <f t="shared" si="1575"/>
        <v>0</v>
      </c>
      <c r="BZ1263" s="1906">
        <f t="shared" si="1576"/>
        <v>0</v>
      </c>
      <c r="CA1263" s="1906">
        <f t="shared" si="1577"/>
        <v>0</v>
      </c>
      <c r="CB1263" s="107"/>
      <c r="CC1263" s="1906">
        <f t="shared" si="1578"/>
        <v>0</v>
      </c>
      <c r="CD1263" s="1906">
        <f t="shared" si="1579"/>
        <v>0</v>
      </c>
      <c r="CE1263" s="1906">
        <f t="shared" si="1580"/>
        <v>0</v>
      </c>
      <c r="CF1263" s="1906">
        <f t="shared" si="1581"/>
        <v>0</v>
      </c>
      <c r="CG1263" s="1906">
        <f t="shared" si="1582"/>
        <v>0</v>
      </c>
      <c r="CH1263" s="1906">
        <f t="shared" si="1583"/>
        <v>0</v>
      </c>
      <c r="CI1263" s="1906">
        <f t="shared" si="1584"/>
        <v>0</v>
      </c>
      <c r="CJ1263" s="1906">
        <f t="shared" si="1585"/>
        <v>0</v>
      </c>
      <c r="CK1263" s="1906">
        <f t="shared" si="1586"/>
        <v>0</v>
      </c>
      <c r="CL1263" s="1906">
        <f t="shared" si="1587"/>
        <v>0</v>
      </c>
      <c r="CM1263" s="1906">
        <f t="shared" si="1588"/>
        <v>0</v>
      </c>
      <c r="CN1263" s="1906">
        <f t="shared" si="1589"/>
        <v>0</v>
      </c>
      <c r="CO1263" s="107"/>
      <c r="CP1263" s="1906">
        <f t="shared" si="1590"/>
        <v>0</v>
      </c>
      <c r="CQ1263" s="1906">
        <f t="shared" si="1591"/>
        <v>0</v>
      </c>
      <c r="CR1263" s="1906">
        <f t="shared" si="1592"/>
        <v>0</v>
      </c>
      <c r="CS1263" s="1906">
        <f t="shared" si="1593"/>
        <v>0</v>
      </c>
      <c r="CT1263" s="1906">
        <f t="shared" si="1594"/>
        <v>0</v>
      </c>
      <c r="CU1263" s="1906">
        <f t="shared" si="1595"/>
        <v>0</v>
      </c>
      <c r="CV1263" s="1906">
        <f t="shared" si="1596"/>
        <v>0</v>
      </c>
      <c r="CW1263" s="1906">
        <f t="shared" si="1597"/>
        <v>0</v>
      </c>
      <c r="CX1263" s="1906">
        <f t="shared" si="1598"/>
        <v>0</v>
      </c>
      <c r="CY1263" s="1906">
        <f t="shared" si="1599"/>
        <v>0</v>
      </c>
      <c r="CZ1263" s="1906">
        <f t="shared" si="1600"/>
        <v>0</v>
      </c>
      <c r="DA1263" s="1906">
        <f t="shared" si="1601"/>
        <v>0</v>
      </c>
      <c r="DB1263" s="1971" t="str">
        <f t="shared" si="1602"/>
        <v>Colza grano</v>
      </c>
      <c r="DC1263" s="1906">
        <f t="shared" si="1603"/>
        <v>0</v>
      </c>
      <c r="DD1263" s="1906">
        <f t="shared" si="1604"/>
        <v>0</v>
      </c>
      <c r="DE1263" s="1906">
        <f t="shared" si="1605"/>
        <v>0</v>
      </c>
      <c r="DF1263" s="1906">
        <f t="shared" si="1606"/>
        <v>0</v>
      </c>
      <c r="DG1263" s="1906">
        <f t="shared" si="1495"/>
        <v>0</v>
      </c>
      <c r="DH1263" s="1906">
        <f t="shared" si="1496"/>
        <v>0</v>
      </c>
      <c r="DI1263" s="1906">
        <f t="shared" si="1497"/>
        <v>0</v>
      </c>
      <c r="DJ1263" s="1906">
        <f t="shared" si="1498"/>
        <v>0</v>
      </c>
      <c r="DK1263" s="1906">
        <f t="shared" si="1499"/>
        <v>0</v>
      </c>
      <c r="DL1263" s="1906">
        <f t="shared" si="1500"/>
        <v>0</v>
      </c>
      <c r="DM1263" s="1906">
        <f t="shared" si="1501"/>
        <v>0</v>
      </c>
      <c r="DN1263" s="1906">
        <f t="shared" si="1502"/>
        <v>0</v>
      </c>
      <c r="DO1263" s="595" t="str">
        <f t="shared" si="1503"/>
        <v>Colza grano</v>
      </c>
      <c r="DP1263" s="1443">
        <f t="shared" si="1504"/>
        <v>0</v>
      </c>
      <c r="DQ1263" s="107"/>
      <c r="DR1263" s="111"/>
      <c r="DS1263" s="1906"/>
      <c r="DT1263" s="1906"/>
      <c r="DU1263" s="1906"/>
      <c r="DV1263" s="1906"/>
      <c r="DW1263" s="1906"/>
      <c r="DX1263" s="1906"/>
      <c r="DY1263" s="1906"/>
      <c r="DZ1263" s="1906"/>
      <c r="EA1263" s="1906"/>
      <c r="EB1263" s="1906"/>
      <c r="EC1263" s="1906"/>
      <c r="ED1263" s="1906"/>
    </row>
    <row r="1264" spans="1:134" x14ac:dyDescent="0.2">
      <c r="A1264" s="107"/>
      <c r="B1264" s="1857">
        <f t="shared" si="1505"/>
        <v>0</v>
      </c>
      <c r="C1264" s="2013">
        <f t="shared" si="1506"/>
        <v>0</v>
      </c>
      <c r="D1264" s="2013">
        <f t="shared" si="1507"/>
        <v>0</v>
      </c>
      <c r="E1264" s="2013">
        <f t="shared" si="1508"/>
        <v>0</v>
      </c>
      <c r="F1264" s="2013">
        <f t="shared" si="1509"/>
        <v>0</v>
      </c>
      <c r="G1264" s="2013">
        <f t="shared" si="1510"/>
        <v>0</v>
      </c>
      <c r="H1264" s="2013">
        <f t="shared" si="1511"/>
        <v>0</v>
      </c>
      <c r="I1264" s="2013">
        <f t="shared" si="1512"/>
        <v>0</v>
      </c>
      <c r="J1264" s="2013">
        <f t="shared" si="1513"/>
        <v>0</v>
      </c>
      <c r="K1264" s="2013">
        <f t="shared" si="1514"/>
        <v>0</v>
      </c>
      <c r="L1264" s="2013">
        <f t="shared" si="1515"/>
        <v>0</v>
      </c>
      <c r="M1264" s="2013">
        <f t="shared" si="1516"/>
        <v>0</v>
      </c>
      <c r="N1264" s="2013">
        <f t="shared" si="1517"/>
        <v>0</v>
      </c>
      <c r="P1264" s="1898" t="str">
        <f t="shared" si="1518"/>
        <v/>
      </c>
      <c r="Q1264" s="1898" t="str">
        <f t="shared" si="1519"/>
        <v/>
      </c>
      <c r="R1264" s="1898" t="str">
        <f t="shared" si="1520"/>
        <v/>
      </c>
      <c r="S1264" s="1898" t="str">
        <f t="shared" si="1521"/>
        <v/>
      </c>
      <c r="T1264" s="1898" t="str">
        <f t="shared" si="1522"/>
        <v/>
      </c>
      <c r="U1264" s="1898" t="str">
        <f t="shared" si="1523"/>
        <v/>
      </c>
      <c r="V1264" s="1898" t="str">
        <f t="shared" si="1524"/>
        <v/>
      </c>
      <c r="W1264" s="1898" t="str">
        <f t="shared" si="1525"/>
        <v/>
      </c>
      <c r="X1264" s="1898" t="str">
        <f t="shared" si="1526"/>
        <v/>
      </c>
      <c r="Y1264" s="1898" t="str">
        <f t="shared" si="1527"/>
        <v/>
      </c>
      <c r="Z1264" s="1898" t="str">
        <f t="shared" si="1528"/>
        <v/>
      </c>
      <c r="AA1264" s="1898" t="str">
        <f t="shared" si="1529"/>
        <v/>
      </c>
      <c r="AB1264" s="1971">
        <f t="shared" si="1530"/>
        <v>0</v>
      </c>
      <c r="AC1264" s="1906">
        <f t="shared" si="1531"/>
        <v>0</v>
      </c>
      <c r="AD1264" s="1906">
        <f t="shared" si="1532"/>
        <v>0</v>
      </c>
      <c r="AE1264" s="1906">
        <f t="shared" si="1533"/>
        <v>0</v>
      </c>
      <c r="AF1264" s="1906">
        <f t="shared" si="1534"/>
        <v>0</v>
      </c>
      <c r="AG1264" s="1906">
        <f t="shared" si="1535"/>
        <v>0</v>
      </c>
      <c r="AH1264" s="1906">
        <f t="shared" si="1536"/>
        <v>0</v>
      </c>
      <c r="AI1264" s="1906">
        <f t="shared" si="1537"/>
        <v>0</v>
      </c>
      <c r="AJ1264" s="1906">
        <f t="shared" si="1538"/>
        <v>0</v>
      </c>
      <c r="AK1264" s="1906">
        <f t="shared" si="1539"/>
        <v>0</v>
      </c>
      <c r="AL1264" s="1906">
        <f t="shared" si="1540"/>
        <v>0</v>
      </c>
      <c r="AM1264" s="1906">
        <f t="shared" si="1541"/>
        <v>0</v>
      </c>
      <c r="AN1264" s="1906">
        <f t="shared" si="1542"/>
        <v>0</v>
      </c>
      <c r="AO1264" s="107"/>
      <c r="AP1264" s="1906"/>
      <c r="AQ1264" s="1906">
        <f t="shared" si="1543"/>
        <v>0</v>
      </c>
      <c r="AR1264" s="1906">
        <f t="shared" si="1544"/>
        <v>0</v>
      </c>
      <c r="AS1264" s="1906">
        <f t="shared" si="1545"/>
        <v>0</v>
      </c>
      <c r="AT1264" s="1906">
        <f t="shared" si="1546"/>
        <v>0</v>
      </c>
      <c r="AU1264" s="1906">
        <f t="shared" si="1547"/>
        <v>0</v>
      </c>
      <c r="AV1264" s="1906">
        <f t="shared" si="1548"/>
        <v>0</v>
      </c>
      <c r="AW1264" s="1906">
        <f t="shared" si="1549"/>
        <v>0</v>
      </c>
      <c r="AX1264" s="1906">
        <f t="shared" si="1550"/>
        <v>0</v>
      </c>
      <c r="AY1264" s="1906">
        <f t="shared" si="1551"/>
        <v>0</v>
      </c>
      <c r="AZ1264" s="1906">
        <f t="shared" si="1552"/>
        <v>0</v>
      </c>
      <c r="BA1264" s="1906">
        <f t="shared" si="1553"/>
        <v>0</v>
      </c>
      <c r="BB1264" s="107"/>
      <c r="BC1264" s="1906">
        <f t="shared" si="1554"/>
        <v>0</v>
      </c>
      <c r="BD1264" s="1906">
        <f t="shared" si="1555"/>
        <v>0</v>
      </c>
      <c r="BE1264" s="1906">
        <f t="shared" si="1556"/>
        <v>0</v>
      </c>
      <c r="BF1264" s="1906">
        <f t="shared" si="1557"/>
        <v>0</v>
      </c>
      <c r="BG1264" s="1906">
        <f t="shared" si="1558"/>
        <v>0</v>
      </c>
      <c r="BH1264" s="1906">
        <f t="shared" si="1559"/>
        <v>0</v>
      </c>
      <c r="BI1264" s="1906">
        <f t="shared" si="1560"/>
        <v>0</v>
      </c>
      <c r="BJ1264" s="1906">
        <f t="shared" si="1561"/>
        <v>0</v>
      </c>
      <c r="BK1264" s="1906">
        <f t="shared" si="1562"/>
        <v>0</v>
      </c>
      <c r="BL1264" s="1906">
        <f t="shared" si="1563"/>
        <v>0</v>
      </c>
      <c r="BM1264" s="1906">
        <f t="shared" si="1564"/>
        <v>0</v>
      </c>
      <c r="BN1264" s="1906">
        <f t="shared" si="1565"/>
        <v>0</v>
      </c>
      <c r="BO1264" s="107"/>
      <c r="BP1264" s="1906">
        <f t="shared" si="1566"/>
        <v>0</v>
      </c>
      <c r="BQ1264" s="1906">
        <f t="shared" si="1567"/>
        <v>0</v>
      </c>
      <c r="BR1264" s="1906">
        <f t="shared" si="1568"/>
        <v>0</v>
      </c>
      <c r="BS1264" s="1906">
        <f t="shared" si="1569"/>
        <v>0</v>
      </c>
      <c r="BT1264" s="1906">
        <f t="shared" si="1570"/>
        <v>0</v>
      </c>
      <c r="BU1264" s="1906">
        <f t="shared" si="1571"/>
        <v>0</v>
      </c>
      <c r="BV1264" s="1906">
        <f t="shared" si="1572"/>
        <v>0</v>
      </c>
      <c r="BW1264" s="1906">
        <f t="shared" si="1573"/>
        <v>0</v>
      </c>
      <c r="BX1264" s="1906">
        <f t="shared" si="1574"/>
        <v>0</v>
      </c>
      <c r="BY1264" s="1906">
        <f t="shared" si="1575"/>
        <v>0</v>
      </c>
      <c r="BZ1264" s="1906">
        <f t="shared" si="1576"/>
        <v>0</v>
      </c>
      <c r="CA1264" s="1906">
        <f t="shared" si="1577"/>
        <v>0</v>
      </c>
      <c r="CB1264" s="107"/>
      <c r="CC1264" s="1906">
        <f t="shared" si="1578"/>
        <v>0</v>
      </c>
      <c r="CD1264" s="1906">
        <f t="shared" si="1579"/>
        <v>0</v>
      </c>
      <c r="CE1264" s="1906">
        <f t="shared" si="1580"/>
        <v>0</v>
      </c>
      <c r="CF1264" s="1906">
        <f t="shared" si="1581"/>
        <v>0</v>
      </c>
      <c r="CG1264" s="1906">
        <f t="shared" si="1582"/>
        <v>0</v>
      </c>
      <c r="CH1264" s="1906">
        <f t="shared" si="1583"/>
        <v>0</v>
      </c>
      <c r="CI1264" s="1906">
        <f t="shared" si="1584"/>
        <v>0</v>
      </c>
      <c r="CJ1264" s="1906">
        <f t="shared" si="1585"/>
        <v>0</v>
      </c>
      <c r="CK1264" s="1906">
        <f t="shared" si="1586"/>
        <v>0</v>
      </c>
      <c r="CL1264" s="1906">
        <f t="shared" si="1587"/>
        <v>0</v>
      </c>
      <c r="CM1264" s="1906">
        <f t="shared" si="1588"/>
        <v>0</v>
      </c>
      <c r="CN1264" s="1906">
        <f t="shared" si="1589"/>
        <v>0</v>
      </c>
      <c r="CO1264" s="107"/>
      <c r="CP1264" s="1906">
        <f t="shared" si="1590"/>
        <v>0</v>
      </c>
      <c r="CQ1264" s="1906">
        <f t="shared" si="1591"/>
        <v>0</v>
      </c>
      <c r="CR1264" s="1906">
        <f t="shared" si="1592"/>
        <v>0</v>
      </c>
      <c r="CS1264" s="1906">
        <f t="shared" si="1593"/>
        <v>0</v>
      </c>
      <c r="CT1264" s="1906">
        <f t="shared" si="1594"/>
        <v>0</v>
      </c>
      <c r="CU1264" s="1906">
        <f t="shared" si="1595"/>
        <v>0</v>
      </c>
      <c r="CV1264" s="1906">
        <f t="shared" si="1596"/>
        <v>0</v>
      </c>
      <c r="CW1264" s="1906">
        <f t="shared" si="1597"/>
        <v>0</v>
      </c>
      <c r="CX1264" s="1906">
        <f t="shared" si="1598"/>
        <v>0</v>
      </c>
      <c r="CY1264" s="1906">
        <f t="shared" si="1599"/>
        <v>0</v>
      </c>
      <c r="CZ1264" s="1906">
        <f t="shared" si="1600"/>
        <v>0</v>
      </c>
      <c r="DA1264" s="1906">
        <f t="shared" si="1601"/>
        <v>0</v>
      </c>
      <c r="DB1264" s="1971">
        <f t="shared" si="1602"/>
        <v>0</v>
      </c>
      <c r="DC1264" s="1906">
        <f t="shared" si="1603"/>
        <v>0</v>
      </c>
      <c r="DD1264" s="1906">
        <f t="shared" si="1604"/>
        <v>0</v>
      </c>
      <c r="DE1264" s="1906">
        <f t="shared" si="1605"/>
        <v>0</v>
      </c>
      <c r="DF1264" s="1906">
        <f t="shared" si="1606"/>
        <v>0</v>
      </c>
      <c r="DG1264" s="1906">
        <f t="shared" si="1495"/>
        <v>0</v>
      </c>
      <c r="DH1264" s="1906">
        <f t="shared" si="1496"/>
        <v>0</v>
      </c>
      <c r="DI1264" s="1906">
        <f t="shared" si="1497"/>
        <v>0</v>
      </c>
      <c r="DJ1264" s="1906">
        <f t="shared" si="1498"/>
        <v>0</v>
      </c>
      <c r="DK1264" s="1906">
        <f t="shared" si="1499"/>
        <v>0</v>
      </c>
      <c r="DL1264" s="1906">
        <f t="shared" si="1500"/>
        <v>0</v>
      </c>
      <c r="DM1264" s="1906">
        <f t="shared" si="1501"/>
        <v>0</v>
      </c>
      <c r="DN1264" s="1906">
        <f t="shared" si="1502"/>
        <v>0</v>
      </c>
      <c r="DO1264" s="595">
        <f t="shared" si="1503"/>
        <v>0</v>
      </c>
      <c r="DP1264" s="1443">
        <f t="shared" si="1504"/>
        <v>0</v>
      </c>
      <c r="DQ1264" s="107"/>
      <c r="DR1264" s="111"/>
      <c r="DS1264" s="1906"/>
      <c r="DT1264" s="1906"/>
      <c r="DU1264" s="1906"/>
      <c r="DV1264" s="1906"/>
      <c r="DW1264" s="1906"/>
      <c r="DX1264" s="1906"/>
      <c r="DY1264" s="1906"/>
      <c r="DZ1264" s="1906"/>
      <c r="EA1264" s="1906"/>
      <c r="EB1264" s="1906"/>
      <c r="EC1264" s="1906"/>
      <c r="ED1264" s="1906"/>
    </row>
    <row r="1265" spans="1:136" x14ac:dyDescent="0.2">
      <c r="A1265" s="107"/>
      <c r="B1265" s="1857">
        <f>B1047</f>
        <v>0</v>
      </c>
      <c r="C1265" s="2013">
        <f t="shared" si="1506"/>
        <v>0</v>
      </c>
      <c r="D1265" s="2013">
        <f t="shared" si="1507"/>
        <v>0</v>
      </c>
      <c r="E1265" s="2013">
        <f t="shared" si="1508"/>
        <v>0</v>
      </c>
      <c r="F1265" s="2013">
        <f t="shared" si="1509"/>
        <v>0</v>
      </c>
      <c r="G1265" s="2013">
        <f t="shared" si="1510"/>
        <v>0</v>
      </c>
      <c r="H1265" s="2013">
        <f t="shared" si="1511"/>
        <v>0</v>
      </c>
      <c r="I1265" s="2013">
        <f t="shared" si="1512"/>
        <v>0</v>
      </c>
      <c r="J1265" s="2013">
        <f t="shared" si="1513"/>
        <v>0</v>
      </c>
      <c r="K1265" s="2013">
        <f t="shared" si="1514"/>
        <v>0</v>
      </c>
      <c r="L1265" s="2013">
        <f t="shared" si="1515"/>
        <v>0</v>
      </c>
      <c r="M1265" s="2013">
        <f t="shared" si="1516"/>
        <v>0</v>
      </c>
      <c r="N1265" s="2013">
        <f t="shared" si="1517"/>
        <v>0</v>
      </c>
      <c r="P1265" s="1898" t="str">
        <f t="shared" si="1518"/>
        <v/>
      </c>
      <c r="Q1265" s="1898" t="str">
        <f t="shared" si="1519"/>
        <v/>
      </c>
      <c r="R1265" s="1898" t="str">
        <f t="shared" si="1520"/>
        <v/>
      </c>
      <c r="S1265" s="1898" t="str">
        <f t="shared" si="1521"/>
        <v/>
      </c>
      <c r="T1265" s="1898" t="str">
        <f t="shared" si="1522"/>
        <v/>
      </c>
      <c r="U1265" s="1898" t="str">
        <f t="shared" si="1523"/>
        <v/>
      </c>
      <c r="V1265" s="1898" t="str">
        <f t="shared" si="1524"/>
        <v/>
      </c>
      <c r="W1265" s="1898" t="str">
        <f t="shared" si="1525"/>
        <v/>
      </c>
      <c r="X1265" s="1898" t="str">
        <f t="shared" si="1526"/>
        <v/>
      </c>
      <c r="Y1265" s="1898" t="str">
        <f t="shared" si="1527"/>
        <v/>
      </c>
      <c r="Z1265" s="1898" t="str">
        <f t="shared" si="1528"/>
        <v/>
      </c>
      <c r="AA1265" s="1898" t="str">
        <f t="shared" si="1529"/>
        <v/>
      </c>
      <c r="AB1265" s="1971">
        <f t="shared" si="1530"/>
        <v>0</v>
      </c>
      <c r="AC1265" s="1906">
        <f t="shared" si="1531"/>
        <v>0</v>
      </c>
      <c r="AD1265" s="1906">
        <f t="shared" si="1532"/>
        <v>0</v>
      </c>
      <c r="AE1265" s="1906">
        <f t="shared" si="1533"/>
        <v>0</v>
      </c>
      <c r="AF1265" s="1906">
        <f t="shared" si="1534"/>
        <v>0</v>
      </c>
      <c r="AG1265" s="1906">
        <f t="shared" si="1535"/>
        <v>0</v>
      </c>
      <c r="AH1265" s="1906">
        <f t="shared" si="1536"/>
        <v>0</v>
      </c>
      <c r="AI1265" s="1906">
        <f t="shared" si="1537"/>
        <v>0</v>
      </c>
      <c r="AJ1265" s="1906">
        <f t="shared" si="1538"/>
        <v>0</v>
      </c>
      <c r="AK1265" s="1906">
        <f t="shared" si="1539"/>
        <v>0</v>
      </c>
      <c r="AL1265" s="1906">
        <f t="shared" si="1540"/>
        <v>0</v>
      </c>
      <c r="AM1265" s="1906">
        <f t="shared" si="1541"/>
        <v>0</v>
      </c>
      <c r="AN1265" s="1906">
        <f t="shared" si="1542"/>
        <v>0</v>
      </c>
      <c r="AO1265" s="107"/>
      <c r="AP1265" s="1906"/>
      <c r="AQ1265" s="1906">
        <f t="shared" si="1543"/>
        <v>0</v>
      </c>
      <c r="AR1265" s="1906">
        <f t="shared" si="1544"/>
        <v>0</v>
      </c>
      <c r="AS1265" s="1906">
        <f t="shared" si="1545"/>
        <v>0</v>
      </c>
      <c r="AT1265" s="1906">
        <f t="shared" si="1546"/>
        <v>0</v>
      </c>
      <c r="AU1265" s="1906">
        <f t="shared" si="1547"/>
        <v>0</v>
      </c>
      <c r="AV1265" s="1906">
        <f t="shared" si="1548"/>
        <v>0</v>
      </c>
      <c r="AW1265" s="1906">
        <f t="shared" si="1549"/>
        <v>0</v>
      </c>
      <c r="AX1265" s="1906">
        <f t="shared" si="1550"/>
        <v>0</v>
      </c>
      <c r="AY1265" s="1906">
        <f t="shared" si="1551"/>
        <v>0</v>
      </c>
      <c r="AZ1265" s="1906">
        <f t="shared" si="1552"/>
        <v>0</v>
      </c>
      <c r="BA1265" s="1906">
        <f t="shared" si="1553"/>
        <v>0</v>
      </c>
      <c r="BB1265" s="107"/>
      <c r="BC1265" s="1906">
        <f t="shared" si="1554"/>
        <v>0</v>
      </c>
      <c r="BD1265" s="1906">
        <f t="shared" si="1555"/>
        <v>0</v>
      </c>
      <c r="BE1265" s="1906">
        <f t="shared" si="1556"/>
        <v>0</v>
      </c>
      <c r="BF1265" s="1906">
        <f t="shared" si="1557"/>
        <v>0</v>
      </c>
      <c r="BG1265" s="1906">
        <f t="shared" si="1558"/>
        <v>0</v>
      </c>
      <c r="BH1265" s="1906">
        <f t="shared" si="1559"/>
        <v>0</v>
      </c>
      <c r="BI1265" s="1906">
        <f t="shared" si="1560"/>
        <v>0</v>
      </c>
      <c r="BJ1265" s="1906">
        <f t="shared" si="1561"/>
        <v>0</v>
      </c>
      <c r="BK1265" s="1906">
        <f t="shared" si="1562"/>
        <v>0</v>
      </c>
      <c r="BL1265" s="1906">
        <f t="shared" si="1563"/>
        <v>0</v>
      </c>
      <c r="BM1265" s="1906">
        <f t="shared" si="1564"/>
        <v>0</v>
      </c>
      <c r="BN1265" s="1906">
        <f t="shared" si="1565"/>
        <v>0</v>
      </c>
      <c r="BO1265" s="107"/>
      <c r="BP1265" s="1906">
        <f t="shared" si="1566"/>
        <v>0</v>
      </c>
      <c r="BQ1265" s="1906">
        <f t="shared" si="1567"/>
        <v>0</v>
      </c>
      <c r="BR1265" s="1906">
        <f t="shared" si="1568"/>
        <v>0</v>
      </c>
      <c r="BS1265" s="1906">
        <f t="shared" si="1569"/>
        <v>0</v>
      </c>
      <c r="BT1265" s="1906">
        <f t="shared" si="1570"/>
        <v>0</v>
      </c>
      <c r="BU1265" s="1906">
        <f t="shared" si="1571"/>
        <v>0</v>
      </c>
      <c r="BV1265" s="1906">
        <f t="shared" si="1572"/>
        <v>0</v>
      </c>
      <c r="BW1265" s="1906">
        <f t="shared" si="1573"/>
        <v>0</v>
      </c>
      <c r="BX1265" s="1906">
        <f t="shared" si="1574"/>
        <v>0</v>
      </c>
      <c r="BY1265" s="1906">
        <f t="shared" si="1575"/>
        <v>0</v>
      </c>
      <c r="BZ1265" s="1906">
        <f t="shared" si="1576"/>
        <v>0</v>
      </c>
      <c r="CA1265" s="1906">
        <f t="shared" si="1577"/>
        <v>0</v>
      </c>
      <c r="CB1265" s="107"/>
      <c r="CC1265" s="1906">
        <f t="shared" si="1578"/>
        <v>0</v>
      </c>
      <c r="CD1265" s="1906">
        <f t="shared" si="1579"/>
        <v>0</v>
      </c>
      <c r="CE1265" s="1906">
        <f t="shared" si="1580"/>
        <v>0</v>
      </c>
      <c r="CF1265" s="1906">
        <f t="shared" si="1581"/>
        <v>0</v>
      </c>
      <c r="CG1265" s="1906">
        <f t="shared" si="1582"/>
        <v>0</v>
      </c>
      <c r="CH1265" s="1906">
        <f t="shared" si="1583"/>
        <v>0</v>
      </c>
      <c r="CI1265" s="1906">
        <f t="shared" si="1584"/>
        <v>0</v>
      </c>
      <c r="CJ1265" s="1906">
        <f t="shared" si="1585"/>
        <v>0</v>
      </c>
      <c r="CK1265" s="1906">
        <f t="shared" si="1586"/>
        <v>0</v>
      </c>
      <c r="CL1265" s="1906">
        <f t="shared" si="1587"/>
        <v>0</v>
      </c>
      <c r="CM1265" s="1906">
        <f t="shared" si="1588"/>
        <v>0</v>
      </c>
      <c r="CN1265" s="1906">
        <f t="shared" si="1589"/>
        <v>0</v>
      </c>
      <c r="CO1265" s="107"/>
      <c r="CP1265" s="1906">
        <f t="shared" si="1590"/>
        <v>0</v>
      </c>
      <c r="CQ1265" s="1906">
        <f t="shared" si="1591"/>
        <v>0</v>
      </c>
      <c r="CR1265" s="1906">
        <f t="shared" si="1592"/>
        <v>0</v>
      </c>
      <c r="CS1265" s="1906">
        <f t="shared" si="1593"/>
        <v>0</v>
      </c>
      <c r="CT1265" s="1906">
        <f t="shared" si="1594"/>
        <v>0</v>
      </c>
      <c r="CU1265" s="1906">
        <f t="shared" si="1595"/>
        <v>0</v>
      </c>
      <c r="CV1265" s="1906">
        <f t="shared" si="1596"/>
        <v>0</v>
      </c>
      <c r="CW1265" s="1906">
        <f t="shared" si="1597"/>
        <v>0</v>
      </c>
      <c r="CX1265" s="1906">
        <f t="shared" si="1598"/>
        <v>0</v>
      </c>
      <c r="CY1265" s="1906">
        <f t="shared" si="1599"/>
        <v>0</v>
      </c>
      <c r="CZ1265" s="1906">
        <f t="shared" si="1600"/>
        <v>0</v>
      </c>
      <c r="DA1265" s="1906">
        <f t="shared" si="1601"/>
        <v>0</v>
      </c>
      <c r="DB1265" s="1971">
        <f t="shared" si="1602"/>
        <v>0</v>
      </c>
      <c r="DC1265" s="1906">
        <f t="shared" si="1603"/>
        <v>0</v>
      </c>
      <c r="DD1265" s="1906">
        <f t="shared" si="1604"/>
        <v>0</v>
      </c>
      <c r="DE1265" s="1906">
        <f t="shared" si="1605"/>
        <v>0</v>
      </c>
      <c r="DF1265" s="1906">
        <f t="shared" si="1606"/>
        <v>0</v>
      </c>
      <c r="DG1265" s="1906">
        <f t="shared" ref="DG1265:DN1267" si="1607">CT1265+CG1265+BT1265+BG1265+AT1265+AG1265</f>
        <v>0</v>
      </c>
      <c r="DH1265" s="1906">
        <f t="shared" si="1607"/>
        <v>0</v>
      </c>
      <c r="DI1265" s="1906">
        <f t="shared" si="1607"/>
        <v>0</v>
      </c>
      <c r="DJ1265" s="1906">
        <f t="shared" si="1607"/>
        <v>0</v>
      </c>
      <c r="DK1265" s="1906">
        <f t="shared" si="1607"/>
        <v>0</v>
      </c>
      <c r="DL1265" s="1906">
        <f t="shared" si="1607"/>
        <v>0</v>
      </c>
      <c r="DM1265" s="1906">
        <f t="shared" si="1607"/>
        <v>0</v>
      </c>
      <c r="DN1265" s="1906">
        <f t="shared" si="1607"/>
        <v>0</v>
      </c>
      <c r="DO1265" s="595">
        <f t="shared" si="1503"/>
        <v>0</v>
      </c>
      <c r="DP1265" s="1443">
        <f t="shared" si="1504"/>
        <v>0</v>
      </c>
      <c r="DQ1265" s="107"/>
      <c r="DR1265" s="111"/>
      <c r="DS1265" s="1906"/>
      <c r="DT1265" s="1906"/>
      <c r="DU1265" s="1906"/>
      <c r="DV1265" s="1906"/>
      <c r="DW1265" s="1906"/>
      <c r="DX1265" s="1906"/>
      <c r="DY1265" s="1906"/>
      <c r="DZ1265" s="1906"/>
      <c r="EA1265" s="1906"/>
      <c r="EB1265" s="1906"/>
      <c r="EC1265" s="1906"/>
      <c r="ED1265" s="1906"/>
    </row>
    <row r="1266" spans="1:136" x14ac:dyDescent="0.2">
      <c r="A1266" s="107"/>
      <c r="B1266" s="1857">
        <f>B1048</f>
        <v>0</v>
      </c>
      <c r="C1266" s="2013">
        <f t="shared" si="1506"/>
        <v>0</v>
      </c>
      <c r="D1266" s="2013">
        <f t="shared" si="1507"/>
        <v>0</v>
      </c>
      <c r="E1266" s="2013">
        <f t="shared" si="1508"/>
        <v>0</v>
      </c>
      <c r="F1266" s="2013">
        <f t="shared" si="1509"/>
        <v>0</v>
      </c>
      <c r="G1266" s="2013">
        <f t="shared" si="1510"/>
        <v>0</v>
      </c>
      <c r="H1266" s="2013">
        <f t="shared" si="1511"/>
        <v>0</v>
      </c>
      <c r="I1266" s="2013">
        <f t="shared" si="1512"/>
        <v>0</v>
      </c>
      <c r="J1266" s="2013">
        <f t="shared" si="1513"/>
        <v>0</v>
      </c>
      <c r="K1266" s="2013">
        <f t="shared" si="1514"/>
        <v>0</v>
      </c>
      <c r="L1266" s="2013">
        <f t="shared" si="1515"/>
        <v>0</v>
      </c>
      <c r="M1266" s="2013">
        <f t="shared" si="1516"/>
        <v>0</v>
      </c>
      <c r="N1266" s="2013">
        <f t="shared" si="1517"/>
        <v>0</v>
      </c>
      <c r="P1266" s="1898" t="str">
        <f t="shared" si="1518"/>
        <v/>
      </c>
      <c r="Q1266" s="1898" t="str">
        <f t="shared" si="1519"/>
        <v/>
      </c>
      <c r="R1266" s="1898" t="str">
        <f t="shared" si="1520"/>
        <v/>
      </c>
      <c r="S1266" s="1898" t="str">
        <f t="shared" si="1521"/>
        <v/>
      </c>
      <c r="T1266" s="1898" t="str">
        <f t="shared" si="1522"/>
        <v/>
      </c>
      <c r="U1266" s="1898" t="str">
        <f t="shared" si="1523"/>
        <v/>
      </c>
      <c r="V1266" s="1898" t="str">
        <f t="shared" si="1524"/>
        <v/>
      </c>
      <c r="W1266" s="1898" t="str">
        <f t="shared" si="1525"/>
        <v/>
      </c>
      <c r="X1266" s="1898" t="str">
        <f t="shared" si="1526"/>
        <v/>
      </c>
      <c r="Y1266" s="1898" t="str">
        <f t="shared" si="1527"/>
        <v/>
      </c>
      <c r="Z1266" s="1898" t="str">
        <f t="shared" si="1528"/>
        <v/>
      </c>
      <c r="AA1266" s="1898" t="str">
        <f t="shared" si="1529"/>
        <v/>
      </c>
      <c r="AB1266" s="1971">
        <f t="shared" si="1530"/>
        <v>0</v>
      </c>
      <c r="AC1266" s="1906">
        <f t="shared" si="1531"/>
        <v>0</v>
      </c>
      <c r="AD1266" s="1906">
        <f t="shared" si="1532"/>
        <v>0</v>
      </c>
      <c r="AE1266" s="1906">
        <f t="shared" si="1533"/>
        <v>0</v>
      </c>
      <c r="AF1266" s="1906">
        <f t="shared" si="1534"/>
        <v>0</v>
      </c>
      <c r="AG1266" s="1906">
        <f t="shared" si="1535"/>
        <v>0</v>
      </c>
      <c r="AH1266" s="1906">
        <f t="shared" si="1536"/>
        <v>0</v>
      </c>
      <c r="AI1266" s="1906">
        <f t="shared" si="1537"/>
        <v>0</v>
      </c>
      <c r="AJ1266" s="1906">
        <f t="shared" si="1538"/>
        <v>0</v>
      </c>
      <c r="AK1266" s="1906">
        <f t="shared" si="1539"/>
        <v>0</v>
      </c>
      <c r="AL1266" s="1906">
        <f t="shared" si="1540"/>
        <v>0</v>
      </c>
      <c r="AM1266" s="1906">
        <f t="shared" si="1541"/>
        <v>0</v>
      </c>
      <c r="AN1266" s="1906">
        <f t="shared" si="1542"/>
        <v>0</v>
      </c>
      <c r="AO1266" s="107"/>
      <c r="AP1266" s="1906"/>
      <c r="AQ1266" s="1906">
        <f t="shared" si="1543"/>
        <v>0</v>
      </c>
      <c r="AR1266" s="1906">
        <f t="shared" si="1544"/>
        <v>0</v>
      </c>
      <c r="AS1266" s="1906">
        <f t="shared" si="1545"/>
        <v>0</v>
      </c>
      <c r="AT1266" s="1906">
        <f t="shared" si="1546"/>
        <v>0</v>
      </c>
      <c r="AU1266" s="1906">
        <f t="shared" si="1547"/>
        <v>0</v>
      </c>
      <c r="AV1266" s="1906">
        <f t="shared" si="1548"/>
        <v>0</v>
      </c>
      <c r="AW1266" s="1906">
        <f t="shared" si="1549"/>
        <v>0</v>
      </c>
      <c r="AX1266" s="1906">
        <f t="shared" si="1550"/>
        <v>0</v>
      </c>
      <c r="AY1266" s="1906">
        <f t="shared" si="1551"/>
        <v>0</v>
      </c>
      <c r="AZ1266" s="1906">
        <f t="shared" si="1552"/>
        <v>0</v>
      </c>
      <c r="BA1266" s="1906">
        <f t="shared" si="1553"/>
        <v>0</v>
      </c>
      <c r="BB1266" s="107"/>
      <c r="BC1266" s="1906">
        <f t="shared" si="1554"/>
        <v>0</v>
      </c>
      <c r="BD1266" s="1906">
        <f t="shared" si="1555"/>
        <v>0</v>
      </c>
      <c r="BE1266" s="1906">
        <f t="shared" si="1556"/>
        <v>0</v>
      </c>
      <c r="BF1266" s="1906">
        <f t="shared" si="1557"/>
        <v>0</v>
      </c>
      <c r="BG1266" s="1906">
        <f t="shared" si="1558"/>
        <v>0</v>
      </c>
      <c r="BH1266" s="1906">
        <f t="shared" si="1559"/>
        <v>0</v>
      </c>
      <c r="BI1266" s="1906">
        <f t="shared" si="1560"/>
        <v>0</v>
      </c>
      <c r="BJ1266" s="1906">
        <f t="shared" si="1561"/>
        <v>0</v>
      </c>
      <c r="BK1266" s="1906">
        <f t="shared" si="1562"/>
        <v>0</v>
      </c>
      <c r="BL1266" s="1906">
        <f t="shared" si="1563"/>
        <v>0</v>
      </c>
      <c r="BM1266" s="1906">
        <f t="shared" si="1564"/>
        <v>0</v>
      </c>
      <c r="BN1266" s="1906">
        <f t="shared" si="1565"/>
        <v>0</v>
      </c>
      <c r="BO1266" s="107"/>
      <c r="BP1266" s="1906">
        <f t="shared" si="1566"/>
        <v>0</v>
      </c>
      <c r="BQ1266" s="1906">
        <f t="shared" si="1567"/>
        <v>0</v>
      </c>
      <c r="BR1266" s="1906">
        <f t="shared" si="1568"/>
        <v>0</v>
      </c>
      <c r="BS1266" s="1906">
        <f t="shared" si="1569"/>
        <v>0</v>
      </c>
      <c r="BT1266" s="1906">
        <f t="shared" si="1570"/>
        <v>0</v>
      </c>
      <c r="BU1266" s="1906">
        <f t="shared" si="1571"/>
        <v>0</v>
      </c>
      <c r="BV1266" s="1906">
        <f t="shared" si="1572"/>
        <v>0</v>
      </c>
      <c r="BW1266" s="1906">
        <f t="shared" si="1573"/>
        <v>0</v>
      </c>
      <c r="BX1266" s="1906">
        <f t="shared" si="1574"/>
        <v>0</v>
      </c>
      <c r="BY1266" s="1906">
        <f t="shared" si="1575"/>
        <v>0</v>
      </c>
      <c r="BZ1266" s="1906">
        <f t="shared" si="1576"/>
        <v>0</v>
      </c>
      <c r="CA1266" s="1906">
        <f t="shared" si="1577"/>
        <v>0</v>
      </c>
      <c r="CB1266" s="107"/>
      <c r="CC1266" s="1906">
        <f t="shared" si="1578"/>
        <v>0</v>
      </c>
      <c r="CD1266" s="1906">
        <f t="shared" si="1579"/>
        <v>0</v>
      </c>
      <c r="CE1266" s="1906">
        <f t="shared" si="1580"/>
        <v>0</v>
      </c>
      <c r="CF1266" s="1906">
        <f t="shared" si="1581"/>
        <v>0</v>
      </c>
      <c r="CG1266" s="1906">
        <f t="shared" si="1582"/>
        <v>0</v>
      </c>
      <c r="CH1266" s="1906">
        <f t="shared" si="1583"/>
        <v>0</v>
      </c>
      <c r="CI1266" s="1906">
        <f t="shared" si="1584"/>
        <v>0</v>
      </c>
      <c r="CJ1266" s="1906">
        <f t="shared" si="1585"/>
        <v>0</v>
      </c>
      <c r="CK1266" s="1906">
        <f t="shared" si="1586"/>
        <v>0</v>
      </c>
      <c r="CL1266" s="1906">
        <f t="shared" si="1587"/>
        <v>0</v>
      </c>
      <c r="CM1266" s="1906">
        <f t="shared" si="1588"/>
        <v>0</v>
      </c>
      <c r="CN1266" s="1906">
        <f t="shared" si="1589"/>
        <v>0</v>
      </c>
      <c r="CO1266" s="107"/>
      <c r="CP1266" s="1906">
        <f t="shared" si="1590"/>
        <v>0</v>
      </c>
      <c r="CQ1266" s="1906">
        <f t="shared" si="1591"/>
        <v>0</v>
      </c>
      <c r="CR1266" s="1906">
        <f t="shared" si="1592"/>
        <v>0</v>
      </c>
      <c r="CS1266" s="1906">
        <f t="shared" si="1593"/>
        <v>0</v>
      </c>
      <c r="CT1266" s="1906">
        <f t="shared" si="1594"/>
        <v>0</v>
      </c>
      <c r="CU1266" s="1906">
        <f t="shared" si="1595"/>
        <v>0</v>
      </c>
      <c r="CV1266" s="1906">
        <f t="shared" si="1596"/>
        <v>0</v>
      </c>
      <c r="CW1266" s="1906">
        <f t="shared" si="1597"/>
        <v>0</v>
      </c>
      <c r="CX1266" s="1906">
        <f t="shared" si="1598"/>
        <v>0</v>
      </c>
      <c r="CY1266" s="1906">
        <f t="shared" si="1599"/>
        <v>0</v>
      </c>
      <c r="CZ1266" s="1906">
        <f t="shared" si="1600"/>
        <v>0</v>
      </c>
      <c r="DA1266" s="1906">
        <f t="shared" si="1601"/>
        <v>0</v>
      </c>
      <c r="DB1266" s="1971">
        <f t="shared" si="1602"/>
        <v>0</v>
      </c>
      <c r="DC1266" s="1906">
        <f t="shared" si="1603"/>
        <v>0</v>
      </c>
      <c r="DD1266" s="1906">
        <f t="shared" si="1604"/>
        <v>0</v>
      </c>
      <c r="DE1266" s="1906">
        <f t="shared" si="1605"/>
        <v>0</v>
      </c>
      <c r="DF1266" s="1906">
        <f t="shared" si="1606"/>
        <v>0</v>
      </c>
      <c r="DG1266" s="1906">
        <f t="shared" si="1607"/>
        <v>0</v>
      </c>
      <c r="DH1266" s="1906">
        <f t="shared" si="1607"/>
        <v>0</v>
      </c>
      <c r="DI1266" s="1906">
        <f t="shared" si="1607"/>
        <v>0</v>
      </c>
      <c r="DJ1266" s="1906">
        <f t="shared" si="1607"/>
        <v>0</v>
      </c>
      <c r="DK1266" s="1906">
        <f t="shared" si="1607"/>
        <v>0</v>
      </c>
      <c r="DL1266" s="1906">
        <f t="shared" si="1607"/>
        <v>0</v>
      </c>
      <c r="DM1266" s="1906">
        <f t="shared" si="1607"/>
        <v>0</v>
      </c>
      <c r="DN1266" s="1906">
        <f t="shared" si="1607"/>
        <v>0</v>
      </c>
      <c r="DO1266" s="595">
        <f>DB1266</f>
        <v>0</v>
      </c>
      <c r="DP1266" s="1443">
        <f>SUM(DC1266:DN1266)</f>
        <v>0</v>
      </c>
      <c r="DQ1266" s="107"/>
      <c r="DR1266" s="111"/>
      <c r="DS1266" s="1906"/>
      <c r="DT1266" s="1906"/>
      <c r="DU1266" s="1906"/>
      <c r="DV1266" s="1906"/>
      <c r="DW1266" s="1906"/>
      <c r="DX1266" s="1906"/>
      <c r="DY1266" s="1906"/>
      <c r="DZ1266" s="1906"/>
      <c r="EA1266" s="1906"/>
      <c r="EB1266" s="1906"/>
      <c r="EC1266" s="1906"/>
      <c r="ED1266" s="1906"/>
    </row>
    <row r="1267" spans="1:136" x14ac:dyDescent="0.2">
      <c r="A1267" s="107"/>
      <c r="B1267" s="1857">
        <f>B1049</f>
        <v>0</v>
      </c>
      <c r="C1267" s="2013">
        <f t="shared" si="1506"/>
        <v>0</v>
      </c>
      <c r="D1267" s="2013">
        <f t="shared" si="1507"/>
        <v>0</v>
      </c>
      <c r="E1267" s="2013">
        <f t="shared" si="1508"/>
        <v>0</v>
      </c>
      <c r="F1267" s="2013">
        <f t="shared" si="1509"/>
        <v>0</v>
      </c>
      <c r="G1267" s="2013">
        <f t="shared" si="1510"/>
        <v>0</v>
      </c>
      <c r="H1267" s="2013">
        <f t="shared" si="1511"/>
        <v>0</v>
      </c>
      <c r="I1267" s="2013">
        <f t="shared" si="1512"/>
        <v>0</v>
      </c>
      <c r="J1267" s="2013">
        <f t="shared" si="1513"/>
        <v>0</v>
      </c>
      <c r="K1267" s="2013">
        <f t="shared" si="1514"/>
        <v>0</v>
      </c>
      <c r="L1267" s="2013">
        <f t="shared" si="1515"/>
        <v>0</v>
      </c>
      <c r="M1267" s="2013">
        <f t="shared" si="1516"/>
        <v>0</v>
      </c>
      <c r="N1267" s="2013">
        <f t="shared" si="1517"/>
        <v>0</v>
      </c>
      <c r="P1267" s="1898" t="str">
        <f t="shared" si="1518"/>
        <v/>
      </c>
      <c r="Q1267" s="1898" t="str">
        <f t="shared" si="1519"/>
        <v/>
      </c>
      <c r="R1267" s="1898" t="str">
        <f t="shared" si="1520"/>
        <v/>
      </c>
      <c r="S1267" s="1898" t="str">
        <f t="shared" si="1521"/>
        <v/>
      </c>
      <c r="T1267" s="1898" t="str">
        <f t="shared" si="1522"/>
        <v/>
      </c>
      <c r="U1267" s="1898" t="str">
        <f t="shared" si="1523"/>
        <v/>
      </c>
      <c r="V1267" s="1898" t="str">
        <f t="shared" si="1524"/>
        <v/>
      </c>
      <c r="W1267" s="1898" t="str">
        <f t="shared" si="1525"/>
        <v/>
      </c>
      <c r="X1267" s="1898" t="str">
        <f t="shared" si="1526"/>
        <v/>
      </c>
      <c r="Y1267" s="1898" t="str">
        <f t="shared" si="1527"/>
        <v/>
      </c>
      <c r="Z1267" s="1898" t="str">
        <f t="shared" si="1528"/>
        <v/>
      </c>
      <c r="AA1267" s="1898" t="str">
        <f t="shared" si="1529"/>
        <v/>
      </c>
      <c r="AB1267" s="1971">
        <f t="shared" si="1530"/>
        <v>0</v>
      </c>
      <c r="AC1267" s="1906">
        <f t="shared" si="1531"/>
        <v>0</v>
      </c>
      <c r="AD1267" s="1906">
        <f t="shared" si="1532"/>
        <v>0</v>
      </c>
      <c r="AE1267" s="1906">
        <f t="shared" si="1533"/>
        <v>0</v>
      </c>
      <c r="AF1267" s="1906">
        <f t="shared" si="1534"/>
        <v>0</v>
      </c>
      <c r="AG1267" s="1906">
        <f t="shared" si="1535"/>
        <v>0</v>
      </c>
      <c r="AH1267" s="1906">
        <f t="shared" si="1536"/>
        <v>0</v>
      </c>
      <c r="AI1267" s="1906">
        <f t="shared" si="1537"/>
        <v>0</v>
      </c>
      <c r="AJ1267" s="1906">
        <f t="shared" si="1538"/>
        <v>0</v>
      </c>
      <c r="AK1267" s="1906">
        <f t="shared" si="1539"/>
        <v>0</v>
      </c>
      <c r="AL1267" s="1906">
        <f t="shared" si="1540"/>
        <v>0</v>
      </c>
      <c r="AM1267" s="1906">
        <f t="shared" si="1541"/>
        <v>0</v>
      </c>
      <c r="AN1267" s="1906">
        <f t="shared" si="1542"/>
        <v>0</v>
      </c>
      <c r="AO1267" s="107"/>
      <c r="AP1267" s="1906"/>
      <c r="AQ1267" s="1906">
        <f t="shared" si="1543"/>
        <v>0</v>
      </c>
      <c r="AR1267" s="1906">
        <f t="shared" si="1544"/>
        <v>0</v>
      </c>
      <c r="AS1267" s="1906">
        <f t="shared" si="1545"/>
        <v>0</v>
      </c>
      <c r="AT1267" s="1906">
        <f t="shared" si="1546"/>
        <v>0</v>
      </c>
      <c r="AU1267" s="1906">
        <f t="shared" si="1547"/>
        <v>0</v>
      </c>
      <c r="AV1267" s="1906">
        <f t="shared" si="1548"/>
        <v>0</v>
      </c>
      <c r="AW1267" s="1906">
        <f t="shared" si="1549"/>
        <v>0</v>
      </c>
      <c r="AX1267" s="1906">
        <f t="shared" si="1550"/>
        <v>0</v>
      </c>
      <c r="AY1267" s="1906">
        <f t="shared" si="1551"/>
        <v>0</v>
      </c>
      <c r="AZ1267" s="1906">
        <f t="shared" si="1552"/>
        <v>0</v>
      </c>
      <c r="BA1267" s="1906">
        <f t="shared" si="1553"/>
        <v>0</v>
      </c>
      <c r="BB1267" s="107"/>
      <c r="BC1267" s="1906">
        <f t="shared" si="1554"/>
        <v>0</v>
      </c>
      <c r="BD1267" s="1906">
        <f t="shared" si="1555"/>
        <v>0</v>
      </c>
      <c r="BE1267" s="1906">
        <f t="shared" si="1556"/>
        <v>0</v>
      </c>
      <c r="BF1267" s="1906">
        <f t="shared" si="1557"/>
        <v>0</v>
      </c>
      <c r="BG1267" s="1906">
        <f t="shared" si="1558"/>
        <v>0</v>
      </c>
      <c r="BH1267" s="1906">
        <f t="shared" si="1559"/>
        <v>0</v>
      </c>
      <c r="BI1267" s="1906">
        <f t="shared" si="1560"/>
        <v>0</v>
      </c>
      <c r="BJ1267" s="1906">
        <f t="shared" si="1561"/>
        <v>0</v>
      </c>
      <c r="BK1267" s="1906">
        <f t="shared" si="1562"/>
        <v>0</v>
      </c>
      <c r="BL1267" s="1906">
        <f t="shared" si="1563"/>
        <v>0</v>
      </c>
      <c r="BM1267" s="1906">
        <f t="shared" si="1564"/>
        <v>0</v>
      </c>
      <c r="BN1267" s="1906">
        <f t="shared" si="1565"/>
        <v>0</v>
      </c>
      <c r="BO1267" s="107"/>
      <c r="BP1267" s="1906">
        <f t="shared" si="1566"/>
        <v>0</v>
      </c>
      <c r="BQ1267" s="1906">
        <f t="shared" si="1567"/>
        <v>0</v>
      </c>
      <c r="BR1267" s="1906">
        <f t="shared" si="1568"/>
        <v>0</v>
      </c>
      <c r="BS1267" s="1906">
        <f t="shared" si="1569"/>
        <v>0</v>
      </c>
      <c r="BT1267" s="1906">
        <f t="shared" si="1570"/>
        <v>0</v>
      </c>
      <c r="BU1267" s="1906">
        <f t="shared" si="1571"/>
        <v>0</v>
      </c>
      <c r="BV1267" s="1906">
        <f t="shared" si="1572"/>
        <v>0</v>
      </c>
      <c r="BW1267" s="1906">
        <f t="shared" si="1573"/>
        <v>0</v>
      </c>
      <c r="BX1267" s="1906">
        <f t="shared" si="1574"/>
        <v>0</v>
      </c>
      <c r="BY1267" s="1906">
        <f t="shared" si="1575"/>
        <v>0</v>
      </c>
      <c r="BZ1267" s="1906">
        <f t="shared" si="1576"/>
        <v>0</v>
      </c>
      <c r="CA1267" s="1906">
        <f t="shared" si="1577"/>
        <v>0</v>
      </c>
      <c r="CB1267" s="107"/>
      <c r="CC1267" s="1906">
        <f t="shared" si="1578"/>
        <v>0</v>
      </c>
      <c r="CD1267" s="1906">
        <f t="shared" si="1579"/>
        <v>0</v>
      </c>
      <c r="CE1267" s="1906">
        <f t="shared" si="1580"/>
        <v>0</v>
      </c>
      <c r="CF1267" s="1906">
        <f t="shared" si="1581"/>
        <v>0</v>
      </c>
      <c r="CG1267" s="1906">
        <f t="shared" si="1582"/>
        <v>0</v>
      </c>
      <c r="CH1267" s="1906">
        <f t="shared" si="1583"/>
        <v>0</v>
      </c>
      <c r="CI1267" s="1906">
        <f t="shared" si="1584"/>
        <v>0</v>
      </c>
      <c r="CJ1267" s="1906">
        <f t="shared" si="1585"/>
        <v>0</v>
      </c>
      <c r="CK1267" s="1906">
        <f t="shared" si="1586"/>
        <v>0</v>
      </c>
      <c r="CL1267" s="1906">
        <f t="shared" si="1587"/>
        <v>0</v>
      </c>
      <c r="CM1267" s="1906">
        <f t="shared" si="1588"/>
        <v>0</v>
      </c>
      <c r="CN1267" s="1906">
        <f t="shared" si="1589"/>
        <v>0</v>
      </c>
      <c r="CO1267" s="107"/>
      <c r="CP1267" s="1906">
        <f t="shared" si="1590"/>
        <v>0</v>
      </c>
      <c r="CQ1267" s="1906">
        <f t="shared" si="1591"/>
        <v>0</v>
      </c>
      <c r="CR1267" s="1906">
        <f t="shared" si="1592"/>
        <v>0</v>
      </c>
      <c r="CS1267" s="1906">
        <f t="shared" si="1593"/>
        <v>0</v>
      </c>
      <c r="CT1267" s="1906">
        <f t="shared" si="1594"/>
        <v>0</v>
      </c>
      <c r="CU1267" s="1906">
        <f t="shared" si="1595"/>
        <v>0</v>
      </c>
      <c r="CV1267" s="1906">
        <f t="shared" si="1596"/>
        <v>0</v>
      </c>
      <c r="CW1267" s="1906">
        <f t="shared" si="1597"/>
        <v>0</v>
      </c>
      <c r="CX1267" s="1906">
        <f t="shared" si="1598"/>
        <v>0</v>
      </c>
      <c r="CY1267" s="1906">
        <f t="shared" si="1599"/>
        <v>0</v>
      </c>
      <c r="CZ1267" s="1906">
        <f t="shared" si="1600"/>
        <v>0</v>
      </c>
      <c r="DA1267" s="1906">
        <f t="shared" si="1601"/>
        <v>0</v>
      </c>
      <c r="DB1267" s="1971">
        <f t="shared" si="1602"/>
        <v>0</v>
      </c>
      <c r="DC1267" s="1906">
        <f t="shared" si="1603"/>
        <v>0</v>
      </c>
      <c r="DD1267" s="1906">
        <f t="shared" si="1604"/>
        <v>0</v>
      </c>
      <c r="DE1267" s="1906">
        <f t="shared" si="1605"/>
        <v>0</v>
      </c>
      <c r="DF1267" s="1906">
        <f t="shared" si="1606"/>
        <v>0</v>
      </c>
      <c r="DG1267" s="1906">
        <f t="shared" si="1607"/>
        <v>0</v>
      </c>
      <c r="DH1267" s="1906">
        <f t="shared" si="1607"/>
        <v>0</v>
      </c>
      <c r="DI1267" s="1906">
        <f t="shared" si="1607"/>
        <v>0</v>
      </c>
      <c r="DJ1267" s="1906">
        <f t="shared" si="1607"/>
        <v>0</v>
      </c>
      <c r="DK1267" s="1906">
        <f t="shared" si="1607"/>
        <v>0</v>
      </c>
      <c r="DL1267" s="1906">
        <f t="shared" si="1607"/>
        <v>0</v>
      </c>
      <c r="DM1267" s="1906">
        <f t="shared" si="1607"/>
        <v>0</v>
      </c>
      <c r="DN1267" s="1906">
        <f t="shared" si="1607"/>
        <v>0</v>
      </c>
      <c r="DO1267" s="595">
        <f>DB1267</f>
        <v>0</v>
      </c>
      <c r="DP1267" s="1443">
        <f>SUM(DC1267:DN1267)</f>
        <v>0</v>
      </c>
      <c r="DQ1267" s="107"/>
      <c r="DR1267" s="111"/>
      <c r="DS1267" s="1906"/>
      <c r="DT1267" s="1906"/>
      <c r="DU1267" s="1906"/>
      <c r="DV1267" s="1906"/>
      <c r="DW1267" s="1906"/>
      <c r="DX1267" s="1906"/>
      <c r="DY1267" s="1906"/>
      <c r="DZ1267" s="1906"/>
      <c r="EA1267" s="1906"/>
      <c r="EB1267" s="1906"/>
      <c r="EC1267" s="1906"/>
      <c r="ED1267" s="1906"/>
    </row>
    <row r="1268" spans="1:136" x14ac:dyDescent="0.2">
      <c r="A1268" s="6"/>
      <c r="C1268" s="1350"/>
      <c r="AF1268" s="100"/>
      <c r="AG1268" s="100"/>
      <c r="AH1268" s="100"/>
      <c r="AI1268" s="100"/>
      <c r="AJ1268" s="100"/>
      <c r="AK1268" s="100"/>
      <c r="AL1268" s="100"/>
      <c r="AM1268" s="100"/>
      <c r="AN1268" s="100"/>
      <c r="AO1268" s="100"/>
      <c r="AP1268" s="100"/>
      <c r="AQ1268" s="100"/>
      <c r="AS1268" s="100"/>
      <c r="AT1268" s="100"/>
      <c r="AU1268" s="100"/>
      <c r="AV1268" s="100"/>
      <c r="AW1268" s="100"/>
      <c r="AX1268" s="100"/>
      <c r="AY1268" s="100"/>
      <c r="AZ1268" s="100"/>
      <c r="BA1268" s="100"/>
      <c r="BB1268" s="100"/>
      <c r="BC1268" s="100"/>
      <c r="BD1268" s="100"/>
      <c r="BF1268" s="100"/>
      <c r="BG1268" s="100"/>
      <c r="BH1268" s="100"/>
      <c r="BI1268" s="100"/>
      <c r="BJ1268" s="100"/>
      <c r="BK1268" s="100"/>
      <c r="BL1268" s="100"/>
      <c r="BM1268" s="100"/>
      <c r="BN1268" s="100"/>
      <c r="BO1268" s="100"/>
      <c r="BP1268" s="100"/>
      <c r="BQ1268" s="100"/>
      <c r="BS1268" s="100"/>
      <c r="BT1268" s="100"/>
      <c r="BU1268" s="100"/>
      <c r="BV1268" s="100"/>
      <c r="BW1268" s="100"/>
      <c r="BX1268" s="100"/>
      <c r="BY1268" s="100"/>
      <c r="BZ1268" s="100"/>
      <c r="CA1268" s="100"/>
      <c r="CB1268" s="100"/>
      <c r="CC1268" s="100"/>
      <c r="CD1268" s="100"/>
      <c r="CF1268" s="100"/>
      <c r="CG1268" s="100"/>
      <c r="CH1268" s="100"/>
      <c r="CI1268" s="100"/>
      <c r="CJ1268" s="100"/>
      <c r="CK1268" s="100"/>
      <c r="CL1268" s="100"/>
      <c r="CM1268" s="100"/>
      <c r="CN1268" s="100"/>
      <c r="CO1268" s="100"/>
      <c r="CP1268" s="100"/>
      <c r="CQ1268" s="100"/>
      <c r="CS1268" s="100"/>
      <c r="CT1268" s="100"/>
      <c r="CU1268" s="100"/>
      <c r="CV1268" s="100"/>
      <c r="CW1268" s="100"/>
      <c r="CX1268" s="100"/>
      <c r="CY1268" s="100"/>
      <c r="CZ1268" s="100"/>
      <c r="DA1268" s="100"/>
      <c r="DB1268" s="100"/>
      <c r="DC1268" s="100"/>
      <c r="DD1268" s="100"/>
      <c r="DF1268" s="100"/>
      <c r="DG1268" s="100"/>
      <c r="DH1268" s="100"/>
      <c r="DI1268" s="100"/>
      <c r="DJ1268" s="100"/>
      <c r="DK1268" s="100"/>
      <c r="DL1268" s="100"/>
      <c r="DM1268" s="100"/>
      <c r="DN1268" s="100"/>
      <c r="DO1268" s="100"/>
      <c r="DP1268" s="100"/>
      <c r="DQ1268" s="100"/>
      <c r="DR1268" s="1971"/>
      <c r="DS1268" s="100"/>
      <c r="DT1268" s="100"/>
      <c r="DU1268" s="100"/>
      <c r="DV1268" s="100"/>
      <c r="DW1268" s="100"/>
      <c r="DX1268" s="100"/>
      <c r="DY1268" s="100"/>
      <c r="DZ1268" s="100"/>
      <c r="EA1268" s="100"/>
      <c r="EB1268" s="100"/>
      <c r="EC1268" s="100"/>
      <c r="ED1268" s="100"/>
      <c r="EE1268" s="100"/>
    </row>
    <row r="1269" spans="1:136" x14ac:dyDescent="0.2">
      <c r="A1269" s="6"/>
      <c r="C1269" s="1350"/>
      <c r="AF1269" s="100"/>
      <c r="AG1269" s="100"/>
      <c r="AH1269" s="100"/>
      <c r="AI1269" s="100"/>
      <c r="AJ1269" s="100"/>
      <c r="AK1269" s="100"/>
      <c r="AL1269" s="100"/>
      <c r="AM1269" s="100"/>
      <c r="AN1269" s="100"/>
      <c r="AO1269" s="100"/>
      <c r="AP1269" s="100"/>
      <c r="AQ1269" s="100"/>
      <c r="AS1269" s="100"/>
      <c r="AT1269" s="100"/>
      <c r="AU1269" s="100"/>
      <c r="AV1269" s="100"/>
      <c r="AW1269" s="100"/>
      <c r="AX1269" s="100"/>
      <c r="AY1269" s="100"/>
      <c r="AZ1269" s="100"/>
      <c r="BA1269" s="100"/>
      <c r="BB1269" s="100"/>
      <c r="BC1269" s="100"/>
      <c r="BD1269" s="100"/>
      <c r="BF1269" s="100"/>
      <c r="BG1269" s="100"/>
      <c r="BH1269" s="100"/>
      <c r="BI1269" s="100"/>
      <c r="BJ1269" s="100"/>
      <c r="BK1269" s="100"/>
      <c r="BL1269" s="100"/>
      <c r="BM1269" s="100"/>
      <c r="BN1269" s="100"/>
      <c r="BO1269" s="100"/>
      <c r="BP1269" s="100"/>
      <c r="BQ1269" s="100"/>
      <c r="BS1269" s="100"/>
      <c r="BT1269" s="100"/>
      <c r="BU1269" s="100"/>
      <c r="BV1269" s="100"/>
      <c r="BW1269" s="100"/>
      <c r="BX1269" s="100"/>
      <c r="BY1269" s="100"/>
      <c r="BZ1269" s="100"/>
      <c r="CA1269" s="100"/>
      <c r="CB1269" s="100"/>
      <c r="CC1269" s="100"/>
      <c r="CD1269" s="100"/>
      <c r="CF1269" s="100"/>
      <c r="CG1269" s="100"/>
      <c r="CH1269" s="100"/>
      <c r="CI1269" s="100"/>
      <c r="CJ1269" s="100"/>
      <c r="CK1269" s="100"/>
      <c r="CL1269" s="100"/>
      <c r="CM1269" s="100"/>
      <c r="CN1269" s="100"/>
      <c r="CO1269" s="100"/>
      <c r="CP1269" s="100"/>
      <c r="CQ1269" s="100"/>
      <c r="CS1269" s="100"/>
      <c r="CT1269" s="100"/>
      <c r="CU1269" s="100"/>
      <c r="CV1269" s="100"/>
      <c r="CW1269" s="100"/>
      <c r="CX1269" s="100"/>
      <c r="CY1269" s="100"/>
      <c r="CZ1269" s="100"/>
      <c r="DA1269" s="100"/>
      <c r="DB1269" s="100"/>
      <c r="DC1269" s="100"/>
      <c r="DD1269" s="100"/>
      <c r="DF1269" s="100"/>
      <c r="DG1269" s="100"/>
      <c r="DH1269" s="100"/>
      <c r="DI1269" s="100"/>
      <c r="DJ1269" s="100"/>
      <c r="DK1269" s="100"/>
      <c r="DL1269" s="100"/>
      <c r="DM1269" s="100"/>
      <c r="DN1269" s="100"/>
      <c r="DO1269" s="100"/>
      <c r="DP1269" s="100"/>
      <c r="DQ1269" s="100"/>
      <c r="DR1269" s="1971"/>
      <c r="DS1269" s="100"/>
      <c r="DT1269" s="100"/>
      <c r="DU1269" s="100"/>
      <c r="DV1269" s="100"/>
      <c r="DW1269" s="100"/>
      <c r="DX1269" s="100"/>
      <c r="DY1269" s="100"/>
      <c r="DZ1269" s="100"/>
      <c r="EA1269" s="100"/>
      <c r="EB1269" s="100"/>
      <c r="EC1269" s="100"/>
      <c r="ED1269" s="100"/>
      <c r="EE1269" s="100"/>
    </row>
    <row r="1270" spans="1:136" x14ac:dyDescent="0.2">
      <c r="A1270" s="6"/>
      <c r="C1270" s="1350"/>
      <c r="AF1270" s="100"/>
      <c r="AG1270" s="100"/>
      <c r="AH1270" s="100"/>
      <c r="AI1270" s="100"/>
      <c r="AJ1270" s="100"/>
      <c r="AK1270" s="100"/>
      <c r="AL1270" s="100"/>
      <c r="AM1270" s="100"/>
      <c r="AN1270" s="100"/>
      <c r="AO1270" s="100"/>
      <c r="AP1270" s="100"/>
      <c r="AQ1270" s="100"/>
      <c r="BF1270" s="100"/>
      <c r="BG1270" s="100"/>
      <c r="BH1270" s="100"/>
      <c r="BI1270" s="100"/>
      <c r="BJ1270" s="100"/>
      <c r="BK1270" s="100"/>
      <c r="BL1270" s="100"/>
      <c r="BM1270" s="100"/>
      <c r="BN1270" s="100"/>
      <c r="BO1270" s="100"/>
      <c r="BP1270" s="100"/>
      <c r="BQ1270" s="100"/>
      <c r="BS1270" s="100"/>
      <c r="BT1270" s="100"/>
      <c r="BU1270" s="100"/>
      <c r="BV1270" s="100"/>
      <c r="BW1270" s="100"/>
      <c r="BX1270" s="100"/>
      <c r="BY1270" s="100"/>
      <c r="BZ1270" s="100"/>
      <c r="CA1270" s="100"/>
      <c r="CB1270" s="100"/>
      <c r="CC1270" s="100"/>
      <c r="CD1270" s="100"/>
      <c r="CF1270" s="100"/>
      <c r="CG1270" s="100"/>
      <c r="CH1270" s="100"/>
      <c r="CI1270" s="100"/>
      <c r="CJ1270" s="100"/>
      <c r="CK1270" s="100"/>
      <c r="CL1270" s="100"/>
      <c r="CM1270" s="100"/>
      <c r="CN1270" s="100"/>
      <c r="CO1270" s="100"/>
      <c r="CP1270" s="100"/>
      <c r="CQ1270" s="100"/>
      <c r="CS1270" s="100"/>
      <c r="CT1270" s="100"/>
      <c r="CU1270" s="100"/>
      <c r="CV1270" s="100"/>
      <c r="CW1270" s="100"/>
      <c r="CX1270" s="100"/>
      <c r="CY1270" s="100"/>
      <c r="CZ1270" s="100"/>
      <c r="DA1270" s="100"/>
      <c r="DB1270" s="100"/>
      <c r="DC1270" s="100"/>
      <c r="DD1270" s="100"/>
      <c r="DF1270" s="100"/>
      <c r="DG1270" s="100"/>
      <c r="DH1270" s="100"/>
      <c r="DI1270" s="100"/>
      <c r="DJ1270" s="100"/>
      <c r="DK1270" s="100"/>
      <c r="DL1270" s="100"/>
      <c r="DM1270" s="100"/>
      <c r="DN1270" s="100"/>
      <c r="DO1270" s="100"/>
      <c r="DP1270" s="100"/>
      <c r="DQ1270" s="100"/>
      <c r="DR1270" s="1971"/>
      <c r="DS1270" s="100"/>
      <c r="DT1270" s="100"/>
      <c r="DU1270" s="100"/>
      <c r="DV1270" s="100"/>
      <c r="DW1270" s="100"/>
      <c r="DX1270" s="100"/>
      <c r="DY1270" s="100"/>
      <c r="DZ1270" s="100"/>
      <c r="EA1270" s="100"/>
      <c r="EB1270" s="100"/>
      <c r="EC1270" s="100"/>
      <c r="ED1270" s="100"/>
      <c r="EE1270" s="100"/>
    </row>
    <row r="1271" spans="1:136" x14ac:dyDescent="0.2">
      <c r="A1271" s="100"/>
      <c r="C1271" s="960"/>
      <c r="D1271" s="961"/>
      <c r="E1271" s="961"/>
      <c r="F1271" s="961"/>
      <c r="G1271" s="961"/>
      <c r="H1271" s="961"/>
      <c r="I1271" s="2021" t="s">
        <v>1463</v>
      </c>
      <c r="J1271" s="961"/>
      <c r="K1271" s="961"/>
      <c r="L1271" s="961"/>
      <c r="M1271" s="961"/>
      <c r="N1271" s="961"/>
      <c r="O1271" s="961"/>
      <c r="P1271" s="961"/>
      <c r="Q1271" s="961"/>
      <c r="R1271" s="961"/>
      <c r="S1271" s="961"/>
      <c r="T1271" s="961"/>
      <c r="U1271" s="961"/>
      <c r="V1271" s="2021" t="s">
        <v>1463</v>
      </c>
      <c r="W1271" s="961"/>
      <c r="X1271" s="961"/>
      <c r="Y1271" s="961"/>
      <c r="Z1271" s="961"/>
      <c r="AA1271" s="961"/>
      <c r="AB1271" s="961"/>
      <c r="AC1271" s="961"/>
      <c r="AD1271" s="961"/>
      <c r="AE1271" s="961"/>
      <c r="AF1271" s="961"/>
      <c r="AG1271" s="961"/>
      <c r="AH1271" s="961"/>
      <c r="AI1271" s="2021" t="s">
        <v>1463</v>
      </c>
      <c r="AJ1271" s="961"/>
      <c r="AK1271" s="961"/>
      <c r="AL1271" s="961"/>
      <c r="AM1271" s="961"/>
      <c r="AN1271" s="961"/>
      <c r="AO1271" s="958"/>
      <c r="AP1271" s="958"/>
      <c r="AQ1271" s="958"/>
      <c r="AR1271" s="958"/>
      <c r="AS1271" s="958"/>
      <c r="AT1271" s="958"/>
      <c r="AU1271" s="958"/>
      <c r="AV1271" s="2021" t="s">
        <v>1463</v>
      </c>
      <c r="AW1271" s="958"/>
      <c r="AX1271" s="958"/>
      <c r="AY1271" s="958"/>
      <c r="AZ1271" s="958"/>
      <c r="BA1271" s="958"/>
      <c r="BB1271" s="958"/>
      <c r="BC1271" s="958"/>
      <c r="BD1271" s="958"/>
      <c r="BE1271" s="958"/>
      <c r="BF1271" s="958"/>
      <c r="BG1271" s="958"/>
      <c r="BH1271" s="958"/>
      <c r="BI1271" s="2021" t="s">
        <v>1463</v>
      </c>
      <c r="BJ1271" s="958"/>
      <c r="BK1271" s="958"/>
      <c r="BL1271" s="958"/>
      <c r="BM1271" s="958"/>
      <c r="BN1271" s="958"/>
      <c r="BO1271" s="958"/>
      <c r="BP1271" s="958"/>
      <c r="BQ1271" s="958"/>
      <c r="BR1271" s="958"/>
      <c r="BS1271" s="958"/>
      <c r="BT1271" s="958"/>
      <c r="BU1271" s="958"/>
      <c r="BV1271" s="2021" t="s">
        <v>1463</v>
      </c>
      <c r="BW1271" s="958"/>
      <c r="BX1271" s="958"/>
      <c r="BY1271" s="958"/>
      <c r="BZ1271" s="958"/>
      <c r="CA1271" s="958"/>
      <c r="CO1271" s="1982"/>
      <c r="CP1271" s="2025" t="s">
        <v>11</v>
      </c>
      <c r="CQ1271" s="100"/>
      <c r="CR1271" s="100"/>
      <c r="CS1271" s="100"/>
    </row>
    <row r="1272" spans="1:136" x14ac:dyDescent="0.2">
      <c r="A1272" s="6"/>
      <c r="C1272" s="2026" t="s">
        <v>667</v>
      </c>
      <c r="D1272" s="2026" t="s">
        <v>1017</v>
      </c>
      <c r="E1272" s="2026"/>
      <c r="F1272" s="2026"/>
      <c r="G1272" s="100" t="s">
        <v>1005</v>
      </c>
      <c r="H1272" s="2026"/>
      <c r="I1272" s="2026"/>
      <c r="J1272" s="2026"/>
      <c r="K1272" s="2026"/>
      <c r="L1272" s="2026"/>
      <c r="M1272" s="2026"/>
      <c r="N1272" s="2026"/>
      <c r="O1272" s="100"/>
      <c r="P1272" s="2026"/>
      <c r="Q1272" s="2026" t="s">
        <v>1017</v>
      </c>
      <c r="R1272" s="2026"/>
      <c r="S1272" s="2026"/>
      <c r="T1272" s="100" t="s">
        <v>1005</v>
      </c>
      <c r="U1272" s="2026"/>
      <c r="V1272" s="2026"/>
      <c r="W1272" s="2026"/>
      <c r="X1272" s="2026"/>
      <c r="Y1272" s="2026"/>
      <c r="Z1272" s="2026"/>
      <c r="AA1272" s="2026"/>
      <c r="AC1272" s="2026" t="s">
        <v>667</v>
      </c>
      <c r="AD1272" s="2026" t="s">
        <v>1017</v>
      </c>
      <c r="AE1272" s="2026"/>
      <c r="AF1272" s="2026"/>
      <c r="AG1272" s="100" t="s">
        <v>1005</v>
      </c>
      <c r="AH1272" s="2026"/>
      <c r="AI1272" s="2026"/>
      <c r="AJ1272" s="2026"/>
      <c r="AK1272" s="2026"/>
      <c r="AL1272" s="2026"/>
      <c r="AM1272" s="2026"/>
      <c r="AN1272" s="2026"/>
      <c r="AP1272" s="2026" t="s">
        <v>667</v>
      </c>
      <c r="AQ1272" s="2026" t="s">
        <v>1017</v>
      </c>
      <c r="AR1272" s="2026"/>
      <c r="AS1272" s="2026"/>
      <c r="AT1272" s="100" t="s">
        <v>1005</v>
      </c>
      <c r="AU1272" s="2026"/>
      <c r="AV1272" s="2026"/>
      <c r="AW1272" s="2026"/>
      <c r="AX1272" s="2026"/>
      <c r="AY1272" s="2026"/>
      <c r="AZ1272" s="2026"/>
      <c r="BA1272" s="2026"/>
      <c r="BC1272" s="2026" t="s">
        <v>667</v>
      </c>
      <c r="BD1272" s="2026" t="s">
        <v>1017</v>
      </c>
      <c r="BE1272" s="2026"/>
      <c r="BF1272" s="2026"/>
      <c r="BG1272" s="100" t="s">
        <v>1005</v>
      </c>
      <c r="BH1272" s="2026"/>
      <c r="BI1272" s="2026"/>
      <c r="BJ1272" s="2026"/>
      <c r="BK1272" s="2026"/>
      <c r="BL1272" s="2026"/>
      <c r="BM1272" s="2026"/>
      <c r="BN1272" s="2026"/>
      <c r="BP1272" s="2026" t="s">
        <v>667</v>
      </c>
      <c r="BQ1272" s="2026" t="s">
        <v>1017</v>
      </c>
      <c r="BR1272" s="2026"/>
      <c r="BS1272" s="2026"/>
      <c r="BT1272" s="100" t="s">
        <v>1005</v>
      </c>
      <c r="BU1272" s="2026"/>
      <c r="BV1272" s="2026"/>
      <c r="BW1272" s="2026"/>
      <c r="BX1272" s="2026"/>
      <c r="BY1272" s="2026"/>
      <c r="BZ1272" s="2026"/>
      <c r="CA1272" s="2026"/>
      <c r="CC1272" s="1350" t="s">
        <v>1013</v>
      </c>
      <c r="CD1272" s="1350"/>
      <c r="CE1272" s="1350" t="s">
        <v>1461</v>
      </c>
      <c r="CG1272" s="6" t="s">
        <v>1005</v>
      </c>
      <c r="CO1272" s="2023" t="s">
        <v>893</v>
      </c>
      <c r="CP1272" s="2027" t="s">
        <v>1014</v>
      </c>
    </row>
    <row r="1273" spans="1:136" x14ac:dyDescent="0.2">
      <c r="A1273" s="2188">
        <v>1065</v>
      </c>
      <c r="B1273" s="1529"/>
      <c r="C1273" s="1951" t="s">
        <v>1006</v>
      </c>
      <c r="D1273" s="958"/>
      <c r="E1273" s="958"/>
      <c r="F1273" s="2022" t="s">
        <v>1007</v>
      </c>
      <c r="G1273" s="959" t="s">
        <v>1022</v>
      </c>
      <c r="H1273" s="958" t="s">
        <v>718</v>
      </c>
      <c r="I1273" s="959"/>
      <c r="J1273" s="959"/>
      <c r="K1273" s="958"/>
      <c r="L1273" s="958"/>
      <c r="M1273" s="958"/>
      <c r="N1273" s="104"/>
      <c r="O1273" s="2188">
        <v>1066</v>
      </c>
      <c r="P1273" s="1951"/>
      <c r="Q1273" s="958"/>
      <c r="R1273" s="958"/>
      <c r="S1273" s="2022" t="s">
        <v>1008</v>
      </c>
      <c r="T1273" s="959" t="s">
        <v>1022</v>
      </c>
      <c r="U1273" s="958" t="s">
        <v>718</v>
      </c>
      <c r="V1273" s="959"/>
      <c r="W1273" s="959"/>
      <c r="X1273" s="958"/>
      <c r="Y1273" s="958"/>
      <c r="Z1273" s="958"/>
      <c r="AA1273" s="104"/>
      <c r="AB1273" s="2188">
        <v>1067</v>
      </c>
      <c r="AC1273" s="1951" t="s">
        <v>1006</v>
      </c>
      <c r="AD1273" s="958"/>
      <c r="AE1273" s="958"/>
      <c r="AF1273" s="2022" t="s">
        <v>1009</v>
      </c>
      <c r="AG1273" s="959" t="s">
        <v>1022</v>
      </c>
      <c r="AH1273" s="958" t="s">
        <v>718</v>
      </c>
      <c r="AI1273" s="959"/>
      <c r="AJ1273" s="959"/>
      <c r="AK1273" s="958"/>
      <c r="AL1273" s="958"/>
      <c r="AM1273" s="958"/>
      <c r="AN1273" s="104"/>
      <c r="AO1273" s="2188">
        <v>1068</v>
      </c>
      <c r="AP1273" s="1951" t="s">
        <v>1006</v>
      </c>
      <c r="AQ1273" s="958"/>
      <c r="AR1273" s="958"/>
      <c r="AS1273" s="2022" t="s">
        <v>1010</v>
      </c>
      <c r="AT1273" s="959" t="s">
        <v>1022</v>
      </c>
      <c r="AU1273" s="958" t="s">
        <v>718</v>
      </c>
      <c r="AV1273" s="959"/>
      <c r="AW1273" s="959"/>
      <c r="AX1273" s="958"/>
      <c r="AY1273" s="958"/>
      <c r="AZ1273" s="958"/>
      <c r="BA1273" s="104"/>
      <c r="BB1273" s="2188">
        <v>1069</v>
      </c>
      <c r="BC1273" s="1951" t="s">
        <v>1006</v>
      </c>
      <c r="BD1273" s="958"/>
      <c r="BE1273" s="958"/>
      <c r="BF1273" s="2022" t="s">
        <v>1011</v>
      </c>
      <c r="BG1273" s="959" t="s">
        <v>1022</v>
      </c>
      <c r="BH1273" s="958" t="s">
        <v>718</v>
      </c>
      <c r="BI1273" s="959"/>
      <c r="BJ1273" s="959"/>
      <c r="BK1273" s="958"/>
      <c r="BL1273" s="958"/>
      <c r="BM1273" s="958"/>
      <c r="BN1273" s="104"/>
      <c r="BO1273" s="2188">
        <v>1070</v>
      </c>
      <c r="BP1273" s="1951" t="s">
        <v>1006</v>
      </c>
      <c r="BQ1273" s="958"/>
      <c r="BR1273" s="958"/>
      <c r="BS1273" s="2022" t="s">
        <v>1012</v>
      </c>
      <c r="BT1273" s="959" t="s">
        <v>1022</v>
      </c>
      <c r="BU1273" s="958" t="s">
        <v>718</v>
      </c>
      <c r="BV1273" s="959"/>
      <c r="BW1273" s="959"/>
      <c r="BX1273" s="958"/>
      <c r="BY1273" s="958"/>
      <c r="BZ1273" s="958"/>
      <c r="CA1273" s="104"/>
      <c r="CB1273" s="2188">
        <v>1071</v>
      </c>
      <c r="CC1273" s="1951" t="s">
        <v>1081</v>
      </c>
      <c r="CD1273" s="958"/>
      <c r="CE1273" s="958"/>
      <c r="CF1273" s="958"/>
      <c r="CG1273" s="958"/>
      <c r="CH1273" s="958" t="s">
        <v>718</v>
      </c>
      <c r="CI1273" s="958"/>
      <c r="CJ1273" s="958"/>
      <c r="CK1273" s="958"/>
      <c r="CL1273" s="958"/>
      <c r="CM1273" s="958"/>
      <c r="CN1273" s="958"/>
      <c r="CO1273" s="2023" t="s">
        <v>1016</v>
      </c>
      <c r="CP1273" s="2023" t="s">
        <v>1024</v>
      </c>
    </row>
    <row r="1274" spans="1:136" x14ac:dyDescent="0.2">
      <c r="A1274" s="6"/>
      <c r="C1274" s="1972" t="str">
        <f t="shared" ref="C1274:N1274" si="1608">+AC1200</f>
        <v>Ene</v>
      </c>
      <c r="D1274" s="1972" t="str">
        <f t="shared" si="1608"/>
        <v>Feb</v>
      </c>
      <c r="E1274" s="1972" t="str">
        <f t="shared" si="1608"/>
        <v>Mar</v>
      </c>
      <c r="F1274" s="1972" t="str">
        <f t="shared" si="1608"/>
        <v>Abr</v>
      </c>
      <c r="G1274" s="1972" t="str">
        <f t="shared" si="1608"/>
        <v>May</v>
      </c>
      <c r="H1274" s="1972" t="str">
        <f t="shared" si="1608"/>
        <v>Jun</v>
      </c>
      <c r="I1274" s="1972" t="str">
        <f t="shared" si="1608"/>
        <v>Jul</v>
      </c>
      <c r="J1274" s="1972" t="str">
        <f t="shared" si="1608"/>
        <v>Ago</v>
      </c>
      <c r="K1274" s="1972" t="str">
        <f t="shared" si="1608"/>
        <v>Set</v>
      </c>
      <c r="L1274" s="1972" t="str">
        <f t="shared" si="1608"/>
        <v>Oct</v>
      </c>
      <c r="M1274" s="1972" t="str">
        <f t="shared" si="1608"/>
        <v>Nov</v>
      </c>
      <c r="N1274" s="1972" t="str">
        <f t="shared" si="1608"/>
        <v>Dic</v>
      </c>
      <c r="P1274" s="1972"/>
      <c r="Q1274" s="1972" t="str">
        <f t="shared" ref="Q1274:AA1274" si="1609">+AQ1200</f>
        <v>Feb</v>
      </c>
      <c r="R1274" s="1972" t="str">
        <f t="shared" si="1609"/>
        <v>Mar</v>
      </c>
      <c r="S1274" s="1972" t="str">
        <f t="shared" si="1609"/>
        <v>Abr</v>
      </c>
      <c r="T1274" s="1972" t="str">
        <f t="shared" si="1609"/>
        <v>May</v>
      </c>
      <c r="U1274" s="1972" t="str">
        <f t="shared" si="1609"/>
        <v>Jun</v>
      </c>
      <c r="V1274" s="1972" t="str">
        <f t="shared" si="1609"/>
        <v>Jul</v>
      </c>
      <c r="W1274" s="1972" t="str">
        <f t="shared" si="1609"/>
        <v>Ago</v>
      </c>
      <c r="X1274" s="1972" t="str">
        <f t="shared" si="1609"/>
        <v>Set</v>
      </c>
      <c r="Y1274" s="1972" t="str">
        <f t="shared" si="1609"/>
        <v>Oct</v>
      </c>
      <c r="Z1274" s="1972" t="str">
        <f t="shared" si="1609"/>
        <v>Nov</v>
      </c>
      <c r="AA1274" s="1972" t="str">
        <f t="shared" si="1609"/>
        <v>Dic</v>
      </c>
      <c r="AC1274" s="1972">
        <f t="shared" ref="AC1274:AN1274" si="1610">+BC1200</f>
        <v>0</v>
      </c>
      <c r="AD1274" s="1972" t="str">
        <f t="shared" si="1610"/>
        <v>Feb</v>
      </c>
      <c r="AE1274" s="1972" t="str">
        <f t="shared" si="1610"/>
        <v>Mar</v>
      </c>
      <c r="AF1274" s="1972" t="str">
        <f t="shared" si="1610"/>
        <v>Abr</v>
      </c>
      <c r="AG1274" s="1972" t="str">
        <f t="shared" si="1610"/>
        <v>May</v>
      </c>
      <c r="AH1274" s="1972" t="str">
        <f t="shared" si="1610"/>
        <v>Jun</v>
      </c>
      <c r="AI1274" s="1972" t="str">
        <f t="shared" si="1610"/>
        <v>Jul</v>
      </c>
      <c r="AJ1274" s="1972" t="str">
        <f t="shared" si="1610"/>
        <v>Ago</v>
      </c>
      <c r="AK1274" s="1972" t="str">
        <f t="shared" si="1610"/>
        <v>Set</v>
      </c>
      <c r="AL1274" s="1972" t="str">
        <f t="shared" si="1610"/>
        <v>Oct</v>
      </c>
      <c r="AM1274" s="1972" t="str">
        <f t="shared" si="1610"/>
        <v>Nov</v>
      </c>
      <c r="AN1274" s="1972" t="str">
        <f t="shared" si="1610"/>
        <v>Dic</v>
      </c>
      <c r="AP1274" s="1972">
        <f t="shared" ref="AP1274:BA1274" si="1611">+BP1200</f>
        <v>0</v>
      </c>
      <c r="AQ1274" s="1972" t="str">
        <f t="shared" si="1611"/>
        <v>Feb</v>
      </c>
      <c r="AR1274" s="1972" t="str">
        <f t="shared" si="1611"/>
        <v>Mar</v>
      </c>
      <c r="AS1274" s="1972" t="str">
        <f t="shared" si="1611"/>
        <v>Abr</v>
      </c>
      <c r="AT1274" s="1972" t="str">
        <f t="shared" si="1611"/>
        <v>May</v>
      </c>
      <c r="AU1274" s="1972" t="str">
        <f t="shared" si="1611"/>
        <v>Jun</v>
      </c>
      <c r="AV1274" s="1972" t="str">
        <f t="shared" si="1611"/>
        <v>Jul</v>
      </c>
      <c r="AW1274" s="1972" t="str">
        <f t="shared" si="1611"/>
        <v>Ago</v>
      </c>
      <c r="AX1274" s="1972" t="str">
        <f t="shared" si="1611"/>
        <v>Set</v>
      </c>
      <c r="AY1274" s="1972" t="str">
        <f t="shared" si="1611"/>
        <v>Oct</v>
      </c>
      <c r="AZ1274" s="1972" t="str">
        <f t="shared" si="1611"/>
        <v>Nov</v>
      </c>
      <c r="BA1274" s="1972" t="str">
        <f t="shared" si="1611"/>
        <v>Dic</v>
      </c>
      <c r="BC1274" s="1972">
        <f t="shared" ref="BC1274:BN1274" si="1612">+CC1200</f>
        <v>0</v>
      </c>
      <c r="BD1274" s="1972" t="str">
        <f t="shared" si="1612"/>
        <v>Feb</v>
      </c>
      <c r="BE1274" s="1972" t="str">
        <f t="shared" si="1612"/>
        <v>Mar</v>
      </c>
      <c r="BF1274" s="1972" t="str">
        <f t="shared" si="1612"/>
        <v>Abr</v>
      </c>
      <c r="BG1274" s="1972" t="str">
        <f t="shared" si="1612"/>
        <v>May</v>
      </c>
      <c r="BH1274" s="1972" t="str">
        <f t="shared" si="1612"/>
        <v>Jun</v>
      </c>
      <c r="BI1274" s="1972" t="str">
        <f t="shared" si="1612"/>
        <v>Jul</v>
      </c>
      <c r="BJ1274" s="1972" t="str">
        <f t="shared" si="1612"/>
        <v>Ago</v>
      </c>
      <c r="BK1274" s="1972" t="str">
        <f t="shared" si="1612"/>
        <v>Set</v>
      </c>
      <c r="BL1274" s="1972" t="str">
        <f t="shared" si="1612"/>
        <v>Oct</v>
      </c>
      <c r="BM1274" s="1972" t="str">
        <f t="shared" si="1612"/>
        <v>Nov</v>
      </c>
      <c r="BN1274" s="1972" t="str">
        <f t="shared" si="1612"/>
        <v>Dic</v>
      </c>
      <c r="BP1274" s="1972">
        <f t="shared" ref="BP1274:CA1274" si="1613">+CP1200</f>
        <v>0</v>
      </c>
      <c r="BQ1274" s="1972" t="str">
        <f t="shared" si="1613"/>
        <v>Feb</v>
      </c>
      <c r="BR1274" s="1972" t="str">
        <f t="shared" si="1613"/>
        <v>Mar</v>
      </c>
      <c r="BS1274" s="1972" t="str">
        <f t="shared" si="1613"/>
        <v>Abr</v>
      </c>
      <c r="BT1274" s="1972" t="str">
        <f t="shared" si="1613"/>
        <v>May</v>
      </c>
      <c r="BU1274" s="1972" t="str">
        <f t="shared" si="1613"/>
        <v>Jun</v>
      </c>
      <c r="BV1274" s="1972" t="str">
        <f t="shared" si="1613"/>
        <v>Jul</v>
      </c>
      <c r="BW1274" s="1972" t="str">
        <f t="shared" si="1613"/>
        <v>Ago</v>
      </c>
      <c r="BX1274" s="1972" t="str">
        <f t="shared" si="1613"/>
        <v>Set</v>
      </c>
      <c r="BY1274" s="1972" t="str">
        <f t="shared" si="1613"/>
        <v>Oct</v>
      </c>
      <c r="BZ1274" s="1972" t="str">
        <f t="shared" si="1613"/>
        <v>Nov</v>
      </c>
      <c r="CA1274" s="1972" t="str">
        <f t="shared" si="1613"/>
        <v>Dic</v>
      </c>
      <c r="CB1274" s="2028"/>
      <c r="CC1274" s="49" t="str">
        <f t="shared" ref="CC1274:CN1274" si="1614">+DC1200</f>
        <v>Ene</v>
      </c>
      <c r="CD1274" s="49" t="str">
        <f t="shared" si="1614"/>
        <v>Feb</v>
      </c>
      <c r="CE1274" s="49" t="str">
        <f t="shared" si="1614"/>
        <v>Mar</v>
      </c>
      <c r="CF1274" s="49" t="str">
        <f t="shared" si="1614"/>
        <v>Abr</v>
      </c>
      <c r="CG1274" s="49" t="str">
        <f t="shared" si="1614"/>
        <v>May</v>
      </c>
      <c r="CH1274" s="49" t="str">
        <f t="shared" si="1614"/>
        <v>Jun</v>
      </c>
      <c r="CI1274" s="49" t="str">
        <f t="shared" si="1614"/>
        <v>Jul</v>
      </c>
      <c r="CJ1274" s="49" t="str">
        <f t="shared" si="1614"/>
        <v>Ago</v>
      </c>
      <c r="CK1274" s="49" t="str">
        <f t="shared" si="1614"/>
        <v>Set</v>
      </c>
      <c r="CL1274" s="49" t="str">
        <f t="shared" si="1614"/>
        <v>Oct</v>
      </c>
      <c r="CM1274" s="49" t="str">
        <f t="shared" si="1614"/>
        <v>Nov</v>
      </c>
      <c r="CN1274" s="2029" t="str">
        <f t="shared" si="1614"/>
        <v>Dic</v>
      </c>
      <c r="CO1274" s="1988" t="s">
        <v>718</v>
      </c>
      <c r="CP1274" s="1905" t="s">
        <v>1015</v>
      </c>
    </row>
    <row r="1275" spans="1:136" x14ac:dyDescent="0.2">
      <c r="A1275" s="6"/>
      <c r="B1275" s="1971" t="str">
        <f t="shared" ref="B1275:B1306" si="1615">+CB1275</f>
        <v>CN</v>
      </c>
      <c r="C1275" s="1906">
        <f t="shared" ref="C1275:C1306" si="1616">SUMIF(P$1201:P$1267,"feb"&amp;$B1201,C$1201:C$1267)</f>
        <v>0</v>
      </c>
      <c r="D1275" s="1906">
        <f t="shared" ref="D1275:D1306" si="1617">SUMIF(Q$1201:Q$1267,"feb"&amp;$B1201,D$1201:D$1267)</f>
        <v>0</v>
      </c>
      <c r="E1275" s="1906">
        <f t="shared" ref="E1275:E1306" si="1618">SUMIF(R$1201:R$1267,"feb"&amp;$B1201,E$1201:E$1267)</f>
        <v>0</v>
      </c>
      <c r="F1275" s="1906">
        <f t="shared" ref="F1275:F1306" si="1619">SUMIF(S$1201:S$1267,"feb"&amp;$B1201,F$1201:F$1267)</f>
        <v>0</v>
      </c>
      <c r="G1275" s="1906">
        <f t="shared" ref="G1275:G1306" si="1620">SUMIF(T$1201:T$1267,"feb"&amp;$B1201,G$1201:G$1267)</f>
        <v>0</v>
      </c>
      <c r="H1275" s="1906">
        <f t="shared" ref="H1275:H1306" si="1621">SUMIF(U$1201:U$1267,"feb"&amp;$B1201,H$1201:H$1267)</f>
        <v>0</v>
      </c>
      <c r="I1275" s="1906">
        <f t="shared" ref="I1275:I1306" si="1622">SUMIF(V$1201:V$1267,"feb"&amp;$B1201,I$1201:I$1267)</f>
        <v>0</v>
      </c>
      <c r="J1275" s="1906">
        <f t="shared" ref="J1275:J1306" si="1623">SUMIF(W$1201:W$1267,"feb"&amp;$B1201,J$1201:J$1267)</f>
        <v>0</v>
      </c>
      <c r="K1275" s="1906">
        <f t="shared" ref="K1275:K1306" si="1624">SUMIF(X$1201:X$1267,"feb"&amp;$B1201,K$1201:K$1267)</f>
        <v>0</v>
      </c>
      <c r="L1275" s="1906">
        <f t="shared" ref="L1275:L1306" si="1625">SUMIF(Y$1201:Y$1267,"feb"&amp;$B1201,L$1201:L$1267)</f>
        <v>0</v>
      </c>
      <c r="M1275" s="1906">
        <f t="shared" ref="M1275:M1306" si="1626">SUMIF(Z$1201:Z$1267,"feb"&amp;$B1201,M$1201:M$1267)</f>
        <v>0</v>
      </c>
      <c r="N1275" s="1906">
        <f t="shared" ref="N1275:N1306" si="1627">SUMIF(AA$1201:AA$1267,"feb"&amp;$B1201,N$1201:N$1267)</f>
        <v>0</v>
      </c>
      <c r="O1275" s="107"/>
      <c r="P1275" s="1906"/>
      <c r="Q1275" s="1906">
        <f t="shared" ref="Q1275:Q1306" si="1628">SUMIF(Q$1201:Q$1267,"mar"&amp;$B1201,D$1201:D$1267)</f>
        <v>0</v>
      </c>
      <c r="R1275" s="1906">
        <f t="shared" ref="R1275:R1306" si="1629">SUMIF(R$1201:R$1267,"mar"&amp;$B1201,E$1201:E$1267)</f>
        <v>0</v>
      </c>
      <c r="S1275" s="1906">
        <f t="shared" ref="S1275:S1306" si="1630">SUMIF(S$1201:S$1267,"mar"&amp;$B1201,F$1201:F$1267)</f>
        <v>0</v>
      </c>
      <c r="T1275" s="1906">
        <f t="shared" ref="T1275:T1306" si="1631">SUMIF(T$1201:T$1267,"mar"&amp;$B1201,G$1201:G$1267)</f>
        <v>0</v>
      </c>
      <c r="U1275" s="1906">
        <f t="shared" ref="U1275:U1306" si="1632">SUMIF(U$1201:U$1267,"mar"&amp;$B1201,H$1201:H$1267)</f>
        <v>0</v>
      </c>
      <c r="V1275" s="1906">
        <f t="shared" ref="V1275:V1306" si="1633">SUMIF(V$1201:V$1267,"mar"&amp;$B1201,I$1201:I$1267)</f>
        <v>0</v>
      </c>
      <c r="W1275" s="1906">
        <f t="shared" ref="W1275:W1306" si="1634">SUMIF(W$1201:W$1267,"mar"&amp;$B1201,J$1201:J$1267)</f>
        <v>0</v>
      </c>
      <c r="X1275" s="1906">
        <f t="shared" ref="X1275:X1306" si="1635">SUMIF(X$1201:X$1267,"mar"&amp;$B1201,K$1201:K$1267)</f>
        <v>0</v>
      </c>
      <c r="Y1275" s="1906">
        <f t="shared" ref="Y1275:Y1306" si="1636">SUMIF(Y$1201:Y$1267,"mar"&amp;$B1201,L$1201:L$1267)</f>
        <v>0</v>
      </c>
      <c r="Z1275" s="1906">
        <f t="shared" ref="Z1275:Z1306" si="1637">SUMIF(Z$1201:Z$1267,"mar"&amp;$B1201,M$1201:M$1267)</f>
        <v>0</v>
      </c>
      <c r="AA1275" s="1906">
        <f t="shared" ref="AA1275:AA1306" si="1638">SUMIF(AA$1201:AA$1267,"mar"&amp;$B1201,N$1201:N$1267)</f>
        <v>0</v>
      </c>
      <c r="AB1275" s="107"/>
      <c r="AC1275" s="1906">
        <f t="shared" ref="AC1275:AC1306" si="1639">SUMIF(P$1201:P$1267,"abr"&amp;$B1201,C$1201:C$1267)</f>
        <v>0</v>
      </c>
      <c r="AD1275" s="1906">
        <f t="shared" ref="AD1275:AD1306" si="1640">SUMIF(Q$1201:Q$1267,"abr"&amp;$B1201,D$1201:D$1267)</f>
        <v>0</v>
      </c>
      <c r="AE1275" s="1906">
        <f t="shared" ref="AE1275:AE1306" si="1641">SUMIF(R$1201:R$1267,"abr"&amp;$B1201,E$1201:E$1267)</f>
        <v>0</v>
      </c>
      <c r="AF1275" s="1906">
        <f t="shared" ref="AF1275:AF1306" si="1642">SUMIF(S$1201:S$1267,"abr"&amp;$B1201,F$1201:F$1267)</f>
        <v>0</v>
      </c>
      <c r="AG1275" s="1906">
        <f t="shared" ref="AG1275:AG1306" si="1643">SUMIF(T$1201:T$1267,"abr"&amp;$B1201,G$1201:G$1267)</f>
        <v>0</v>
      </c>
      <c r="AH1275" s="1906">
        <f t="shared" ref="AH1275:AH1306" si="1644">SUMIF(U$1201:U$1267,"abr"&amp;$B1201,H$1201:H$1267)</f>
        <v>0</v>
      </c>
      <c r="AI1275" s="1906">
        <f t="shared" ref="AI1275:AI1306" si="1645">SUMIF(V$1201:V$1267,"abr"&amp;$B1201,I$1201:I$1267)</f>
        <v>0</v>
      </c>
      <c r="AJ1275" s="1906">
        <f t="shared" ref="AJ1275:AJ1306" si="1646">SUMIF(W$1201:W$1267,"abr"&amp;$B1201,J$1201:J$1267)</f>
        <v>0</v>
      </c>
      <c r="AK1275" s="1906">
        <f t="shared" ref="AK1275:AK1306" si="1647">SUMIF(X$1201:X$1267,"abr"&amp;$B1201,K$1201:K$1267)</f>
        <v>0</v>
      </c>
      <c r="AL1275" s="1906">
        <f t="shared" ref="AL1275:AL1306" si="1648">SUMIF(Y$1201:Y$1267,"abr"&amp;$B1201,L$1201:L$1267)</f>
        <v>0</v>
      </c>
      <c r="AM1275" s="1906">
        <f t="shared" ref="AM1275:AM1306" si="1649">SUMIF(Z$1201:Z$1267,"abr"&amp;$B1201,M$1201:M$1267)</f>
        <v>0</v>
      </c>
      <c r="AN1275" s="1906">
        <f t="shared" ref="AN1275:AN1306" si="1650">SUMIF(AA$1201:AA$1267,"abr"&amp;$B1201,N$1201:N$1267)</f>
        <v>0</v>
      </c>
      <c r="AO1275" s="107"/>
      <c r="AP1275" s="1906">
        <f t="shared" ref="AP1275:AP1306" si="1651">SUMIF(P$1201:P$1267,"may"&amp;$B1201,C$1201:C$1267)</f>
        <v>0</v>
      </c>
      <c r="AQ1275" s="1906">
        <f t="shared" ref="AQ1275:AQ1306" si="1652">SUMIF(Q$1201:Q$1267,"may"&amp;$B1201,D$1201:D$1267)</f>
        <v>0</v>
      </c>
      <c r="AR1275" s="1906">
        <f t="shared" ref="AR1275:AR1306" si="1653">SUMIF(R$1201:R$1267,"may"&amp;$B1201,E$1201:E$1267)</f>
        <v>0</v>
      </c>
      <c r="AS1275" s="1906">
        <f t="shared" ref="AS1275:AS1306" si="1654">SUMIF(S$1201:S$1267,"may"&amp;$B1201,F$1201:F$1267)</f>
        <v>0</v>
      </c>
      <c r="AT1275" s="1906">
        <f t="shared" ref="AT1275:AT1306" si="1655">SUMIF(T$1201:T$1267,"may"&amp;$B1201,G$1201:G$1267)</f>
        <v>0</v>
      </c>
      <c r="AU1275" s="1906">
        <f t="shared" ref="AU1275:AU1306" si="1656">SUMIF(U$1201:U$1267,"may"&amp;$B1201,H$1201:H$1267)</f>
        <v>0</v>
      </c>
      <c r="AV1275" s="1906">
        <f t="shared" ref="AV1275:AV1306" si="1657">SUMIF(V$1201:V$1267,"may"&amp;$B1201,I$1201:I$1267)</f>
        <v>0</v>
      </c>
      <c r="AW1275" s="1906">
        <f t="shared" ref="AW1275:AW1306" si="1658">SUMIF(W$1201:W$1267,"may"&amp;$B1201,J$1201:J$1267)</f>
        <v>0</v>
      </c>
      <c r="AX1275" s="1906">
        <f t="shared" ref="AX1275:AX1306" si="1659">SUMIF(X$1201:X$1267,"may"&amp;$B1201,K$1201:K$1267)</f>
        <v>0</v>
      </c>
      <c r="AY1275" s="1906">
        <f t="shared" ref="AY1275:AY1306" si="1660">SUMIF(Y$1201:Y$1267,"may"&amp;$B1201,L$1201:L$1267)</f>
        <v>0</v>
      </c>
      <c r="AZ1275" s="1906">
        <f t="shared" ref="AZ1275:AZ1306" si="1661">SUMIF(Z$1201:Z$1267,"may"&amp;$B1201,M$1201:M$1267)</f>
        <v>0</v>
      </c>
      <c r="BA1275" s="1906">
        <f t="shared" ref="BA1275:BA1306" si="1662">SUMIF(AA$1201:AA$1267,"may"&amp;$B1201,N$1201:N$1267)</f>
        <v>0</v>
      </c>
      <c r="BB1275" s="107"/>
      <c r="BC1275" s="1906">
        <f t="shared" ref="BC1275:BC1306" si="1663">SUMIF(P$1201:P$1267,"jun"&amp;$B1201,C$1201:C$1267)</f>
        <v>0</v>
      </c>
      <c r="BD1275" s="1906">
        <f t="shared" ref="BD1275:BD1306" si="1664">SUMIF(Q$1201:Q$1267,"jun"&amp;$B1201,D$1201:D$1267)</f>
        <v>0</v>
      </c>
      <c r="BE1275" s="1906">
        <f t="shared" ref="BE1275:BE1306" si="1665">SUMIF(R$1201:R$1267,"jun"&amp;$B1201,E$1201:E$1267)</f>
        <v>0</v>
      </c>
      <c r="BF1275" s="1906">
        <f t="shared" ref="BF1275:BF1306" si="1666">SUMIF(S$1201:S$1267,"jun"&amp;$B1201,F$1201:F$1267)</f>
        <v>0</v>
      </c>
      <c r="BG1275" s="1906">
        <f t="shared" ref="BG1275:BG1306" si="1667">SUMIF(T$1201:T$1267,"jun"&amp;$B1201,G$1201:G$1267)</f>
        <v>0</v>
      </c>
      <c r="BH1275" s="1906">
        <f t="shared" ref="BH1275:BH1306" si="1668">SUMIF(U$1201:U$1267,"jun"&amp;$B1201,H$1201:H$1267)</f>
        <v>0</v>
      </c>
      <c r="BI1275" s="1906">
        <f t="shared" ref="BI1275:BI1306" si="1669">SUMIF(V$1201:V$1267,"jun"&amp;$B1201,I$1201:I$1267)</f>
        <v>0</v>
      </c>
      <c r="BJ1275" s="1906">
        <f t="shared" ref="BJ1275:BJ1306" si="1670">SUMIF(W$1201:W$1267,"jun"&amp;$B1201,J$1201:J$1267)</f>
        <v>0</v>
      </c>
      <c r="BK1275" s="1906">
        <f t="shared" ref="BK1275:BK1306" si="1671">SUMIF(X$1201:X$1267,"jun"&amp;$B1201,K$1201:K$1267)</f>
        <v>0</v>
      </c>
      <c r="BL1275" s="1906">
        <f t="shared" ref="BL1275:BL1306" si="1672">SUMIF(Y$1201:Y$1267,"jun"&amp;$B1201,L$1201:L$1267)</f>
        <v>0</v>
      </c>
      <c r="BM1275" s="1906">
        <f t="shared" ref="BM1275:BM1306" si="1673">SUMIF(Z$1201:Z$1267,"jun"&amp;$B1201,M$1201:M$1267)</f>
        <v>0</v>
      </c>
      <c r="BN1275" s="1906">
        <f t="shared" ref="BN1275:BN1306" si="1674">SUMIF(AA$1201:AA$1267,"jun"&amp;$B1201,N$1201:N$1267)</f>
        <v>0</v>
      </c>
      <c r="BO1275" s="107"/>
      <c r="BP1275" s="1906">
        <f t="shared" ref="BP1275:BP1306" si="1675">SUMIF(P$1201:P$1267,"jul"&amp;$B1201,C$1201:C$1267)</f>
        <v>0</v>
      </c>
      <c r="BQ1275" s="1906">
        <f t="shared" ref="BQ1275:BQ1306" si="1676">SUMIF(Q$1201:Q$1267,"jul"&amp;$B1201,D$1201:D$1267)</f>
        <v>0</v>
      </c>
      <c r="BR1275" s="1906">
        <f t="shared" ref="BR1275:BR1306" si="1677">SUMIF(R$1201:R$1267,"jul"&amp;$B1201,E$1201:E$1267)</f>
        <v>0</v>
      </c>
      <c r="BS1275" s="1906">
        <f t="shared" ref="BS1275:BS1306" si="1678">SUMIF(S$1201:S$1267,"jul"&amp;$B1201,F$1201:F$1267)</f>
        <v>0</v>
      </c>
      <c r="BT1275" s="1906">
        <f t="shared" ref="BT1275:BT1306" si="1679">SUMIF(T$1201:T$1267,"jul"&amp;$B1201,G$1201:G$1267)</f>
        <v>0</v>
      </c>
      <c r="BU1275" s="1906">
        <f t="shared" ref="BU1275:BU1306" si="1680">SUMIF(U$1201:U$1267,"jul"&amp;$B1201,H$1201:H$1267)</f>
        <v>0</v>
      </c>
      <c r="BV1275" s="1906">
        <f t="shared" ref="BV1275:BV1306" si="1681">SUMIF(V$1201:V$1267,"jul"&amp;$B1201,I$1201:I$1267)</f>
        <v>0</v>
      </c>
      <c r="BW1275" s="1906">
        <f t="shared" ref="BW1275:BW1306" si="1682">SUMIF(W$1201:W$1267,"jul"&amp;$B1201,J$1201:J$1267)</f>
        <v>0</v>
      </c>
      <c r="BX1275" s="1906">
        <f t="shared" ref="BX1275:BX1306" si="1683">SUMIF(X$1201:X$1267,"jul"&amp;$B1201,K$1201:K$1267)</f>
        <v>0</v>
      </c>
      <c r="BY1275" s="1906">
        <f t="shared" ref="BY1275:BY1306" si="1684">SUMIF(Y$1201:Y$1267,"jul"&amp;$B1201,L$1201:L$1267)</f>
        <v>0</v>
      </c>
      <c r="BZ1275" s="1906">
        <f t="shared" ref="BZ1275:BZ1306" si="1685">SUMIF(Z$1201:Z$1267,"jul"&amp;$B1201,M$1201:M$1267)</f>
        <v>0</v>
      </c>
      <c r="CA1275" s="1906">
        <f t="shared" ref="CA1275:CA1306" si="1686">SUMIF(AA$1201:AA$1267,"jul"&amp;$B1201,N$1201:N$1267)</f>
        <v>0</v>
      </c>
      <c r="CB1275" s="1971" t="str">
        <f t="shared" ref="CB1275:CB1306" si="1687">DB1201</f>
        <v>CN</v>
      </c>
      <c r="CC1275" s="1906">
        <f t="shared" ref="CC1275:CC1306" si="1688">BP1275+BC1275+AP1275+AC1275+P1275+C1275</f>
        <v>0</v>
      </c>
      <c r="CD1275" s="1906">
        <f t="shared" ref="CD1275:CD1306" si="1689">BQ1275+BD1275+AQ1275+AD1275+Q1275+D1275</f>
        <v>0</v>
      </c>
      <c r="CE1275" s="1906">
        <f t="shared" ref="CE1275:CE1306" si="1690">BR1275+BE1275+AR1275+AE1275+R1275+E1275</f>
        <v>0</v>
      </c>
      <c r="CF1275" s="1906">
        <f t="shared" ref="CF1275:CF1306" si="1691">BS1275+BF1275+AS1275+AF1275+S1275+F1275</f>
        <v>0</v>
      </c>
      <c r="CG1275" s="1906">
        <f t="shared" ref="CG1275:CG1306" si="1692">BT1275+BG1275+AT1275+AG1275+T1275+G1275</f>
        <v>0</v>
      </c>
      <c r="CH1275" s="1906">
        <f t="shared" ref="CH1275:CH1306" si="1693">BU1275+BH1275+AU1275+AH1275+U1275+H1275</f>
        <v>0</v>
      </c>
      <c r="CI1275" s="1906">
        <f t="shared" ref="CI1275:CI1306" si="1694">BV1275+BI1275+AV1275+AI1275+V1275+I1275</f>
        <v>0</v>
      </c>
      <c r="CJ1275" s="1906">
        <f t="shared" ref="CJ1275:CJ1338" si="1695">BW1275+BJ1275+AW1275+AJ1275+W1275+J1275</f>
        <v>0</v>
      </c>
      <c r="CK1275" s="1906">
        <f t="shared" ref="CK1275:CK1338" si="1696">BX1275+BK1275+AX1275+AK1275+X1275+K1275</f>
        <v>0</v>
      </c>
      <c r="CL1275" s="1906">
        <f t="shared" ref="CL1275:CL1338" si="1697">BY1275+BL1275+AY1275+AL1275+Y1275+L1275</f>
        <v>0</v>
      </c>
      <c r="CM1275" s="1906">
        <f t="shared" ref="CM1275:CM1338" si="1698">BZ1275+BM1275+AZ1275+AM1275+Z1275+M1275</f>
        <v>0</v>
      </c>
      <c r="CN1275" s="1906">
        <f t="shared" ref="CN1275:CN1338" si="1699">CA1275+BN1275+BA1275+AN1275+AA1275+N1275</f>
        <v>0</v>
      </c>
      <c r="CO1275" s="594" t="str">
        <f t="shared" ref="CO1275:CO1338" si="1700">CB1275</f>
        <v>CN</v>
      </c>
      <c r="CP1275" s="1348">
        <f>SUM(CC1275:CN1275)</f>
        <v>0</v>
      </c>
      <c r="EF1275" s="5"/>
    </row>
    <row r="1276" spans="1:136" x14ac:dyDescent="0.2">
      <c r="A1276" s="6"/>
      <c r="B1276" s="1971" t="str">
        <f t="shared" si="1615"/>
        <v>CNM</v>
      </c>
      <c r="C1276" s="1906">
        <f t="shared" si="1616"/>
        <v>0</v>
      </c>
      <c r="D1276" s="1906">
        <f t="shared" si="1617"/>
        <v>0</v>
      </c>
      <c r="E1276" s="1906">
        <f t="shared" si="1618"/>
        <v>0</v>
      </c>
      <c r="F1276" s="1906">
        <f t="shared" si="1619"/>
        <v>0</v>
      </c>
      <c r="G1276" s="1906">
        <f t="shared" si="1620"/>
        <v>0</v>
      </c>
      <c r="H1276" s="1906">
        <f t="shared" si="1621"/>
        <v>0</v>
      </c>
      <c r="I1276" s="1906">
        <f t="shared" si="1622"/>
        <v>0</v>
      </c>
      <c r="J1276" s="1906">
        <f t="shared" si="1623"/>
        <v>0</v>
      </c>
      <c r="K1276" s="1906">
        <f t="shared" si="1624"/>
        <v>0</v>
      </c>
      <c r="L1276" s="1906">
        <f t="shared" si="1625"/>
        <v>0</v>
      </c>
      <c r="M1276" s="1906">
        <f t="shared" si="1626"/>
        <v>0</v>
      </c>
      <c r="N1276" s="1906">
        <f t="shared" si="1627"/>
        <v>0</v>
      </c>
      <c r="O1276" s="107"/>
      <c r="P1276" s="1906"/>
      <c r="Q1276" s="1906">
        <f t="shared" si="1628"/>
        <v>0</v>
      </c>
      <c r="R1276" s="1906">
        <f t="shared" si="1629"/>
        <v>0</v>
      </c>
      <c r="S1276" s="1906">
        <f t="shared" si="1630"/>
        <v>0</v>
      </c>
      <c r="T1276" s="1906">
        <f t="shared" si="1631"/>
        <v>0</v>
      </c>
      <c r="U1276" s="1906">
        <f t="shared" si="1632"/>
        <v>0</v>
      </c>
      <c r="V1276" s="1906">
        <f t="shared" si="1633"/>
        <v>0</v>
      </c>
      <c r="W1276" s="1906">
        <f t="shared" si="1634"/>
        <v>0</v>
      </c>
      <c r="X1276" s="1906">
        <f t="shared" si="1635"/>
        <v>0</v>
      </c>
      <c r="Y1276" s="1906">
        <f t="shared" si="1636"/>
        <v>0</v>
      </c>
      <c r="Z1276" s="1906">
        <f t="shared" si="1637"/>
        <v>0</v>
      </c>
      <c r="AA1276" s="1906">
        <f t="shared" si="1638"/>
        <v>0</v>
      </c>
      <c r="AB1276" s="107"/>
      <c r="AC1276" s="1906">
        <f t="shared" si="1639"/>
        <v>0</v>
      </c>
      <c r="AD1276" s="1906">
        <f t="shared" si="1640"/>
        <v>0</v>
      </c>
      <c r="AE1276" s="1906">
        <f t="shared" si="1641"/>
        <v>0</v>
      </c>
      <c r="AF1276" s="1906">
        <f t="shared" si="1642"/>
        <v>0</v>
      </c>
      <c r="AG1276" s="1906">
        <f t="shared" si="1643"/>
        <v>0</v>
      </c>
      <c r="AH1276" s="1906">
        <f t="shared" si="1644"/>
        <v>0</v>
      </c>
      <c r="AI1276" s="1906">
        <f t="shared" si="1645"/>
        <v>0</v>
      </c>
      <c r="AJ1276" s="1906">
        <f t="shared" si="1646"/>
        <v>0</v>
      </c>
      <c r="AK1276" s="1906">
        <f t="shared" si="1647"/>
        <v>0</v>
      </c>
      <c r="AL1276" s="1906">
        <f t="shared" si="1648"/>
        <v>0</v>
      </c>
      <c r="AM1276" s="1906">
        <f t="shared" si="1649"/>
        <v>0</v>
      </c>
      <c r="AN1276" s="1906">
        <f t="shared" si="1650"/>
        <v>0</v>
      </c>
      <c r="AO1276" s="107"/>
      <c r="AP1276" s="1906">
        <f t="shared" si="1651"/>
        <v>0</v>
      </c>
      <c r="AQ1276" s="1906">
        <f t="shared" si="1652"/>
        <v>0</v>
      </c>
      <c r="AR1276" s="1906">
        <f t="shared" si="1653"/>
        <v>0</v>
      </c>
      <c r="AS1276" s="1906">
        <f t="shared" si="1654"/>
        <v>0</v>
      </c>
      <c r="AT1276" s="1906">
        <f t="shared" si="1655"/>
        <v>0</v>
      </c>
      <c r="AU1276" s="1906">
        <f t="shared" si="1656"/>
        <v>0</v>
      </c>
      <c r="AV1276" s="1906">
        <f t="shared" si="1657"/>
        <v>0</v>
      </c>
      <c r="AW1276" s="1906">
        <f t="shared" si="1658"/>
        <v>0</v>
      </c>
      <c r="AX1276" s="1906">
        <f t="shared" si="1659"/>
        <v>0</v>
      </c>
      <c r="AY1276" s="1906">
        <f t="shared" si="1660"/>
        <v>0</v>
      </c>
      <c r="AZ1276" s="1906">
        <f t="shared" si="1661"/>
        <v>0</v>
      </c>
      <c r="BA1276" s="1906">
        <f t="shared" si="1662"/>
        <v>0</v>
      </c>
      <c r="BB1276" s="107"/>
      <c r="BC1276" s="1906">
        <f t="shared" si="1663"/>
        <v>0</v>
      </c>
      <c r="BD1276" s="1906">
        <f t="shared" si="1664"/>
        <v>0</v>
      </c>
      <c r="BE1276" s="1906">
        <f t="shared" si="1665"/>
        <v>0</v>
      </c>
      <c r="BF1276" s="1906">
        <f t="shared" si="1666"/>
        <v>0</v>
      </c>
      <c r="BG1276" s="1906">
        <f t="shared" si="1667"/>
        <v>0</v>
      </c>
      <c r="BH1276" s="1906">
        <f t="shared" si="1668"/>
        <v>0</v>
      </c>
      <c r="BI1276" s="1906">
        <f t="shared" si="1669"/>
        <v>0</v>
      </c>
      <c r="BJ1276" s="1906">
        <f t="shared" si="1670"/>
        <v>0</v>
      </c>
      <c r="BK1276" s="1906">
        <f t="shared" si="1671"/>
        <v>0</v>
      </c>
      <c r="BL1276" s="1906">
        <f t="shared" si="1672"/>
        <v>0</v>
      </c>
      <c r="BM1276" s="1906">
        <f t="shared" si="1673"/>
        <v>0</v>
      </c>
      <c r="BN1276" s="1906">
        <f t="shared" si="1674"/>
        <v>0</v>
      </c>
      <c r="BO1276" s="107"/>
      <c r="BP1276" s="1906">
        <f t="shared" si="1675"/>
        <v>0</v>
      </c>
      <c r="BQ1276" s="1906">
        <f t="shared" si="1676"/>
        <v>0</v>
      </c>
      <c r="BR1276" s="1906">
        <f t="shared" si="1677"/>
        <v>0</v>
      </c>
      <c r="BS1276" s="1906">
        <f t="shared" si="1678"/>
        <v>0</v>
      </c>
      <c r="BT1276" s="1906">
        <f t="shared" si="1679"/>
        <v>0</v>
      </c>
      <c r="BU1276" s="1906">
        <f t="shared" si="1680"/>
        <v>0</v>
      </c>
      <c r="BV1276" s="1906">
        <f t="shared" si="1681"/>
        <v>0</v>
      </c>
      <c r="BW1276" s="1906">
        <f t="shared" si="1682"/>
        <v>0</v>
      </c>
      <c r="BX1276" s="1906">
        <f t="shared" si="1683"/>
        <v>0</v>
      </c>
      <c r="BY1276" s="1906">
        <f t="shared" si="1684"/>
        <v>0</v>
      </c>
      <c r="BZ1276" s="1906">
        <f t="shared" si="1685"/>
        <v>0</v>
      </c>
      <c r="CA1276" s="1906">
        <f t="shared" si="1686"/>
        <v>0</v>
      </c>
      <c r="CB1276" s="1971" t="str">
        <f t="shared" si="1687"/>
        <v>CNM</v>
      </c>
      <c r="CC1276" s="1906">
        <f t="shared" si="1688"/>
        <v>0</v>
      </c>
      <c r="CD1276" s="1906">
        <f t="shared" si="1689"/>
        <v>0</v>
      </c>
      <c r="CE1276" s="1906">
        <f t="shared" si="1690"/>
        <v>0</v>
      </c>
      <c r="CF1276" s="1906">
        <f t="shared" si="1691"/>
        <v>0</v>
      </c>
      <c r="CG1276" s="1906">
        <f t="shared" si="1692"/>
        <v>0</v>
      </c>
      <c r="CH1276" s="1906">
        <f t="shared" si="1693"/>
        <v>0</v>
      </c>
      <c r="CI1276" s="1906">
        <f t="shared" si="1694"/>
        <v>0</v>
      </c>
      <c r="CJ1276" s="1906">
        <f t="shared" si="1695"/>
        <v>0</v>
      </c>
      <c r="CK1276" s="1906">
        <f t="shared" si="1696"/>
        <v>0</v>
      </c>
      <c r="CL1276" s="1906">
        <f t="shared" si="1697"/>
        <v>0</v>
      </c>
      <c r="CM1276" s="1906">
        <f t="shared" si="1698"/>
        <v>0</v>
      </c>
      <c r="CN1276" s="1906">
        <f t="shared" si="1699"/>
        <v>0</v>
      </c>
      <c r="CO1276" s="595" t="str">
        <f t="shared" si="1700"/>
        <v>CNM</v>
      </c>
      <c r="CP1276" s="1443">
        <f t="shared" ref="CP1276:CP1339" si="1701">SUM(CC1276:CN1276)</f>
        <v>0</v>
      </c>
      <c r="EF1276" s="5"/>
    </row>
    <row r="1277" spans="1:136" x14ac:dyDescent="0.2">
      <c r="A1277" s="6"/>
      <c r="B1277" s="1971" t="str">
        <f t="shared" si="1615"/>
        <v>CN bajo</v>
      </c>
      <c r="C1277" s="1906">
        <f t="shared" si="1616"/>
        <v>0</v>
      </c>
      <c r="D1277" s="1906">
        <f t="shared" si="1617"/>
        <v>0</v>
      </c>
      <c r="E1277" s="1906">
        <f t="shared" si="1618"/>
        <v>0</v>
      </c>
      <c r="F1277" s="1906">
        <f t="shared" si="1619"/>
        <v>0</v>
      </c>
      <c r="G1277" s="1906">
        <f t="shared" si="1620"/>
        <v>0</v>
      </c>
      <c r="H1277" s="1906">
        <f t="shared" si="1621"/>
        <v>0</v>
      </c>
      <c r="I1277" s="1906">
        <f t="shared" si="1622"/>
        <v>0</v>
      </c>
      <c r="J1277" s="1906">
        <f t="shared" si="1623"/>
        <v>0</v>
      </c>
      <c r="K1277" s="1906">
        <f t="shared" si="1624"/>
        <v>0</v>
      </c>
      <c r="L1277" s="1906">
        <f t="shared" si="1625"/>
        <v>0</v>
      </c>
      <c r="M1277" s="1906">
        <f t="shared" si="1626"/>
        <v>0</v>
      </c>
      <c r="N1277" s="1906">
        <f t="shared" si="1627"/>
        <v>0</v>
      </c>
      <c r="O1277" s="107"/>
      <c r="P1277" s="1906"/>
      <c r="Q1277" s="1906">
        <f t="shared" si="1628"/>
        <v>0</v>
      </c>
      <c r="R1277" s="1906">
        <f t="shared" si="1629"/>
        <v>0</v>
      </c>
      <c r="S1277" s="1906">
        <f t="shared" si="1630"/>
        <v>0</v>
      </c>
      <c r="T1277" s="1906">
        <f t="shared" si="1631"/>
        <v>0</v>
      </c>
      <c r="U1277" s="1906">
        <f t="shared" si="1632"/>
        <v>0</v>
      </c>
      <c r="V1277" s="1906">
        <f t="shared" si="1633"/>
        <v>0</v>
      </c>
      <c r="W1277" s="1906">
        <f t="shared" si="1634"/>
        <v>0</v>
      </c>
      <c r="X1277" s="1906">
        <f t="shared" si="1635"/>
        <v>0</v>
      </c>
      <c r="Y1277" s="1906">
        <f t="shared" si="1636"/>
        <v>0</v>
      </c>
      <c r="Z1277" s="1906">
        <f t="shared" si="1637"/>
        <v>0</v>
      </c>
      <c r="AA1277" s="1906">
        <f t="shared" si="1638"/>
        <v>0</v>
      </c>
      <c r="AB1277" s="107"/>
      <c r="AC1277" s="1906">
        <f t="shared" si="1639"/>
        <v>0</v>
      </c>
      <c r="AD1277" s="1906">
        <f t="shared" si="1640"/>
        <v>0</v>
      </c>
      <c r="AE1277" s="1906">
        <f t="shared" si="1641"/>
        <v>0</v>
      </c>
      <c r="AF1277" s="1906">
        <f t="shared" si="1642"/>
        <v>0</v>
      </c>
      <c r="AG1277" s="1906">
        <f t="shared" si="1643"/>
        <v>0</v>
      </c>
      <c r="AH1277" s="1906">
        <f t="shared" si="1644"/>
        <v>0</v>
      </c>
      <c r="AI1277" s="1906">
        <f t="shared" si="1645"/>
        <v>0</v>
      </c>
      <c r="AJ1277" s="1906">
        <f t="shared" si="1646"/>
        <v>0</v>
      </c>
      <c r="AK1277" s="1906">
        <f t="shared" si="1647"/>
        <v>0</v>
      </c>
      <c r="AL1277" s="1906">
        <f t="shared" si="1648"/>
        <v>0</v>
      </c>
      <c r="AM1277" s="1906">
        <f t="shared" si="1649"/>
        <v>0</v>
      </c>
      <c r="AN1277" s="1906">
        <f t="shared" si="1650"/>
        <v>0</v>
      </c>
      <c r="AO1277" s="107"/>
      <c r="AP1277" s="1906">
        <f t="shared" si="1651"/>
        <v>0</v>
      </c>
      <c r="AQ1277" s="1906">
        <f t="shared" si="1652"/>
        <v>0</v>
      </c>
      <c r="AR1277" s="1906">
        <f t="shared" si="1653"/>
        <v>0</v>
      </c>
      <c r="AS1277" s="1906">
        <f t="shared" si="1654"/>
        <v>0</v>
      </c>
      <c r="AT1277" s="1906">
        <f t="shared" si="1655"/>
        <v>0</v>
      </c>
      <c r="AU1277" s="1906">
        <f t="shared" si="1656"/>
        <v>0</v>
      </c>
      <c r="AV1277" s="1906">
        <f t="shared" si="1657"/>
        <v>0</v>
      </c>
      <c r="AW1277" s="1906">
        <f t="shared" si="1658"/>
        <v>0</v>
      </c>
      <c r="AX1277" s="1906">
        <f t="shared" si="1659"/>
        <v>0</v>
      </c>
      <c r="AY1277" s="1906">
        <f t="shared" si="1660"/>
        <v>0</v>
      </c>
      <c r="AZ1277" s="1906">
        <f t="shared" si="1661"/>
        <v>0</v>
      </c>
      <c r="BA1277" s="1906">
        <f t="shared" si="1662"/>
        <v>0</v>
      </c>
      <c r="BB1277" s="107"/>
      <c r="BC1277" s="1906">
        <f t="shared" si="1663"/>
        <v>0</v>
      </c>
      <c r="BD1277" s="1906">
        <f t="shared" si="1664"/>
        <v>0</v>
      </c>
      <c r="BE1277" s="1906">
        <f t="shared" si="1665"/>
        <v>0</v>
      </c>
      <c r="BF1277" s="1906">
        <f t="shared" si="1666"/>
        <v>0</v>
      </c>
      <c r="BG1277" s="1906">
        <f t="shared" si="1667"/>
        <v>0</v>
      </c>
      <c r="BH1277" s="1906">
        <f t="shared" si="1668"/>
        <v>0</v>
      </c>
      <c r="BI1277" s="1906">
        <f t="shared" si="1669"/>
        <v>0</v>
      </c>
      <c r="BJ1277" s="1906">
        <f t="shared" si="1670"/>
        <v>0</v>
      </c>
      <c r="BK1277" s="1906">
        <f t="shared" si="1671"/>
        <v>0</v>
      </c>
      <c r="BL1277" s="1906">
        <f t="shared" si="1672"/>
        <v>0</v>
      </c>
      <c r="BM1277" s="1906">
        <f t="shared" si="1673"/>
        <v>0</v>
      </c>
      <c r="BN1277" s="1906">
        <f t="shared" si="1674"/>
        <v>0</v>
      </c>
      <c r="BO1277" s="107"/>
      <c r="BP1277" s="1906">
        <f t="shared" si="1675"/>
        <v>0</v>
      </c>
      <c r="BQ1277" s="1906">
        <f t="shared" si="1676"/>
        <v>0</v>
      </c>
      <c r="BR1277" s="1906">
        <f t="shared" si="1677"/>
        <v>0</v>
      </c>
      <c r="BS1277" s="1906">
        <f t="shared" si="1678"/>
        <v>0</v>
      </c>
      <c r="BT1277" s="1906">
        <f t="shared" si="1679"/>
        <v>0</v>
      </c>
      <c r="BU1277" s="1906">
        <f t="shared" si="1680"/>
        <v>0</v>
      </c>
      <c r="BV1277" s="1906">
        <f t="shared" si="1681"/>
        <v>0</v>
      </c>
      <c r="BW1277" s="1906">
        <f t="shared" si="1682"/>
        <v>0</v>
      </c>
      <c r="BX1277" s="1906">
        <f t="shared" si="1683"/>
        <v>0</v>
      </c>
      <c r="BY1277" s="1906">
        <f t="shared" si="1684"/>
        <v>0</v>
      </c>
      <c r="BZ1277" s="1906">
        <f t="shared" si="1685"/>
        <v>0</v>
      </c>
      <c r="CA1277" s="1906">
        <f t="shared" si="1686"/>
        <v>0</v>
      </c>
      <c r="CB1277" s="1971" t="str">
        <f t="shared" si="1687"/>
        <v>CN bajo</v>
      </c>
      <c r="CC1277" s="1906">
        <f t="shared" si="1688"/>
        <v>0</v>
      </c>
      <c r="CD1277" s="1906">
        <f t="shared" si="1689"/>
        <v>0</v>
      </c>
      <c r="CE1277" s="1906">
        <f t="shared" si="1690"/>
        <v>0</v>
      </c>
      <c r="CF1277" s="1906">
        <f t="shared" si="1691"/>
        <v>0</v>
      </c>
      <c r="CG1277" s="1906">
        <f t="shared" si="1692"/>
        <v>0</v>
      </c>
      <c r="CH1277" s="1906">
        <f t="shared" si="1693"/>
        <v>0</v>
      </c>
      <c r="CI1277" s="1906">
        <f t="shared" si="1694"/>
        <v>0</v>
      </c>
      <c r="CJ1277" s="1906">
        <f t="shared" si="1695"/>
        <v>0</v>
      </c>
      <c r="CK1277" s="1906">
        <f t="shared" si="1696"/>
        <v>0</v>
      </c>
      <c r="CL1277" s="1906">
        <f t="shared" si="1697"/>
        <v>0</v>
      </c>
      <c r="CM1277" s="1906">
        <f t="shared" si="1698"/>
        <v>0</v>
      </c>
      <c r="CN1277" s="1906">
        <f t="shared" si="1699"/>
        <v>0</v>
      </c>
      <c r="CO1277" s="595" t="str">
        <f t="shared" si="1700"/>
        <v>CN bajo</v>
      </c>
      <c r="CP1277" s="1443">
        <f t="shared" si="1701"/>
        <v>0</v>
      </c>
      <c r="EF1277" s="5"/>
    </row>
    <row r="1278" spans="1:136" x14ac:dyDescent="0.2">
      <c r="A1278" s="6"/>
      <c r="B1278" s="1971">
        <f t="shared" si="1615"/>
        <v>0</v>
      </c>
      <c r="C1278" s="1906">
        <f t="shared" si="1616"/>
        <v>0</v>
      </c>
      <c r="D1278" s="1906">
        <f t="shared" si="1617"/>
        <v>0</v>
      </c>
      <c r="E1278" s="1906">
        <f t="shared" si="1618"/>
        <v>0</v>
      </c>
      <c r="F1278" s="1906">
        <f t="shared" si="1619"/>
        <v>0</v>
      </c>
      <c r="G1278" s="1906">
        <f t="shared" si="1620"/>
        <v>0</v>
      </c>
      <c r="H1278" s="1906">
        <f t="shared" si="1621"/>
        <v>0</v>
      </c>
      <c r="I1278" s="1906">
        <f t="shared" si="1622"/>
        <v>0</v>
      </c>
      <c r="J1278" s="1906">
        <f t="shared" si="1623"/>
        <v>0</v>
      </c>
      <c r="K1278" s="1906">
        <f t="shared" si="1624"/>
        <v>0</v>
      </c>
      <c r="L1278" s="1906">
        <f t="shared" si="1625"/>
        <v>0</v>
      </c>
      <c r="M1278" s="1906">
        <f t="shared" si="1626"/>
        <v>0</v>
      </c>
      <c r="N1278" s="1906">
        <f t="shared" si="1627"/>
        <v>0</v>
      </c>
      <c r="O1278" s="107"/>
      <c r="P1278" s="1906"/>
      <c r="Q1278" s="1906">
        <f t="shared" si="1628"/>
        <v>0</v>
      </c>
      <c r="R1278" s="1906">
        <f t="shared" si="1629"/>
        <v>0</v>
      </c>
      <c r="S1278" s="1906">
        <f t="shared" si="1630"/>
        <v>0</v>
      </c>
      <c r="T1278" s="1906">
        <f t="shared" si="1631"/>
        <v>0</v>
      </c>
      <c r="U1278" s="1906">
        <f t="shared" si="1632"/>
        <v>0</v>
      </c>
      <c r="V1278" s="1906">
        <f t="shared" si="1633"/>
        <v>0</v>
      </c>
      <c r="W1278" s="1906">
        <f t="shared" si="1634"/>
        <v>0</v>
      </c>
      <c r="X1278" s="1906">
        <f t="shared" si="1635"/>
        <v>0</v>
      </c>
      <c r="Y1278" s="1906">
        <f t="shared" si="1636"/>
        <v>0</v>
      </c>
      <c r="Z1278" s="1906">
        <f t="shared" si="1637"/>
        <v>0</v>
      </c>
      <c r="AA1278" s="1906">
        <f t="shared" si="1638"/>
        <v>0</v>
      </c>
      <c r="AB1278" s="107"/>
      <c r="AC1278" s="1906">
        <f t="shared" si="1639"/>
        <v>0</v>
      </c>
      <c r="AD1278" s="1906">
        <f t="shared" si="1640"/>
        <v>0</v>
      </c>
      <c r="AE1278" s="1906">
        <f t="shared" si="1641"/>
        <v>0</v>
      </c>
      <c r="AF1278" s="1906">
        <f t="shared" si="1642"/>
        <v>0</v>
      </c>
      <c r="AG1278" s="1906">
        <f t="shared" si="1643"/>
        <v>0</v>
      </c>
      <c r="AH1278" s="1906">
        <f t="shared" si="1644"/>
        <v>0</v>
      </c>
      <c r="AI1278" s="1906">
        <f t="shared" si="1645"/>
        <v>0</v>
      </c>
      <c r="AJ1278" s="1906">
        <f t="shared" si="1646"/>
        <v>0</v>
      </c>
      <c r="AK1278" s="1906">
        <f t="shared" si="1647"/>
        <v>0</v>
      </c>
      <c r="AL1278" s="1906">
        <f t="shared" si="1648"/>
        <v>0</v>
      </c>
      <c r="AM1278" s="1906">
        <f t="shared" si="1649"/>
        <v>0</v>
      </c>
      <c r="AN1278" s="1906">
        <f t="shared" si="1650"/>
        <v>0</v>
      </c>
      <c r="AO1278" s="107"/>
      <c r="AP1278" s="1906">
        <f t="shared" si="1651"/>
        <v>0</v>
      </c>
      <c r="AQ1278" s="1906">
        <f t="shared" si="1652"/>
        <v>0</v>
      </c>
      <c r="AR1278" s="1906">
        <f t="shared" si="1653"/>
        <v>0</v>
      </c>
      <c r="AS1278" s="1906">
        <f t="shared" si="1654"/>
        <v>0</v>
      </c>
      <c r="AT1278" s="1906">
        <f t="shared" si="1655"/>
        <v>0</v>
      </c>
      <c r="AU1278" s="1906">
        <f t="shared" si="1656"/>
        <v>0</v>
      </c>
      <c r="AV1278" s="1906">
        <f t="shared" si="1657"/>
        <v>0</v>
      </c>
      <c r="AW1278" s="1906">
        <f t="shared" si="1658"/>
        <v>0</v>
      </c>
      <c r="AX1278" s="1906">
        <f t="shared" si="1659"/>
        <v>0</v>
      </c>
      <c r="AY1278" s="1906">
        <f t="shared" si="1660"/>
        <v>0</v>
      </c>
      <c r="AZ1278" s="1906">
        <f t="shared" si="1661"/>
        <v>0</v>
      </c>
      <c r="BA1278" s="1906">
        <f t="shared" si="1662"/>
        <v>0</v>
      </c>
      <c r="BB1278" s="107"/>
      <c r="BC1278" s="1906">
        <f t="shared" si="1663"/>
        <v>0</v>
      </c>
      <c r="BD1278" s="1906">
        <f t="shared" si="1664"/>
        <v>0</v>
      </c>
      <c r="BE1278" s="1906">
        <f t="shared" si="1665"/>
        <v>0</v>
      </c>
      <c r="BF1278" s="1906">
        <f t="shared" si="1666"/>
        <v>0</v>
      </c>
      <c r="BG1278" s="1906">
        <f t="shared" si="1667"/>
        <v>0</v>
      </c>
      <c r="BH1278" s="1906">
        <f t="shared" si="1668"/>
        <v>0</v>
      </c>
      <c r="BI1278" s="1906">
        <f t="shared" si="1669"/>
        <v>0</v>
      </c>
      <c r="BJ1278" s="1906">
        <f t="shared" si="1670"/>
        <v>0</v>
      </c>
      <c r="BK1278" s="1906">
        <f t="shared" si="1671"/>
        <v>0</v>
      </c>
      <c r="BL1278" s="1906">
        <f t="shared" si="1672"/>
        <v>0</v>
      </c>
      <c r="BM1278" s="1906">
        <f t="shared" si="1673"/>
        <v>0</v>
      </c>
      <c r="BN1278" s="1906">
        <f t="shared" si="1674"/>
        <v>0</v>
      </c>
      <c r="BO1278" s="107"/>
      <c r="BP1278" s="1906">
        <f t="shared" si="1675"/>
        <v>0</v>
      </c>
      <c r="BQ1278" s="1906">
        <f t="shared" si="1676"/>
        <v>0</v>
      </c>
      <c r="BR1278" s="1906">
        <f t="shared" si="1677"/>
        <v>0</v>
      </c>
      <c r="BS1278" s="1906">
        <f t="shared" si="1678"/>
        <v>0</v>
      </c>
      <c r="BT1278" s="1906">
        <f t="shared" si="1679"/>
        <v>0</v>
      </c>
      <c r="BU1278" s="1906">
        <f t="shared" si="1680"/>
        <v>0</v>
      </c>
      <c r="BV1278" s="1906">
        <f t="shared" si="1681"/>
        <v>0</v>
      </c>
      <c r="BW1278" s="1906">
        <f t="shared" si="1682"/>
        <v>0</v>
      </c>
      <c r="BX1278" s="1906">
        <f t="shared" si="1683"/>
        <v>0</v>
      </c>
      <c r="BY1278" s="1906">
        <f t="shared" si="1684"/>
        <v>0</v>
      </c>
      <c r="BZ1278" s="1906">
        <f t="shared" si="1685"/>
        <v>0</v>
      </c>
      <c r="CA1278" s="1906">
        <f t="shared" si="1686"/>
        <v>0</v>
      </c>
      <c r="CB1278" s="1971">
        <f t="shared" si="1687"/>
        <v>0</v>
      </c>
      <c r="CC1278" s="1906">
        <f t="shared" si="1688"/>
        <v>0</v>
      </c>
      <c r="CD1278" s="1906">
        <f t="shared" si="1689"/>
        <v>0</v>
      </c>
      <c r="CE1278" s="1906">
        <f t="shared" si="1690"/>
        <v>0</v>
      </c>
      <c r="CF1278" s="1906">
        <f t="shared" si="1691"/>
        <v>0</v>
      </c>
      <c r="CG1278" s="1906">
        <f t="shared" si="1692"/>
        <v>0</v>
      </c>
      <c r="CH1278" s="1906">
        <f t="shared" si="1693"/>
        <v>0</v>
      </c>
      <c r="CI1278" s="1906">
        <f t="shared" si="1694"/>
        <v>0</v>
      </c>
      <c r="CJ1278" s="1906">
        <f t="shared" si="1695"/>
        <v>0</v>
      </c>
      <c r="CK1278" s="1906">
        <f t="shared" si="1696"/>
        <v>0</v>
      </c>
      <c r="CL1278" s="1906">
        <f t="shared" si="1697"/>
        <v>0</v>
      </c>
      <c r="CM1278" s="1906">
        <f t="shared" si="1698"/>
        <v>0</v>
      </c>
      <c r="CN1278" s="1906">
        <f t="shared" si="1699"/>
        <v>0</v>
      </c>
      <c r="CO1278" s="595">
        <f t="shared" si="1700"/>
        <v>0</v>
      </c>
      <c r="CP1278" s="1443">
        <f t="shared" si="1701"/>
        <v>0</v>
      </c>
      <c r="EF1278" s="5"/>
    </row>
    <row r="1279" spans="1:136" x14ac:dyDescent="0.2">
      <c r="A1279" s="6"/>
      <c r="B1279" s="1971" t="str">
        <f t="shared" si="1615"/>
        <v>Alfalfa 1</v>
      </c>
      <c r="C1279" s="1906">
        <f t="shared" si="1616"/>
        <v>0</v>
      </c>
      <c r="D1279" s="1906">
        <f t="shared" si="1617"/>
        <v>0</v>
      </c>
      <c r="E1279" s="1906">
        <f t="shared" si="1618"/>
        <v>0</v>
      </c>
      <c r="F1279" s="1906">
        <f t="shared" si="1619"/>
        <v>0</v>
      </c>
      <c r="G1279" s="1906">
        <f t="shared" si="1620"/>
        <v>0</v>
      </c>
      <c r="H1279" s="1906">
        <f t="shared" si="1621"/>
        <v>0</v>
      </c>
      <c r="I1279" s="1906">
        <f t="shared" si="1622"/>
        <v>0</v>
      </c>
      <c r="J1279" s="1906">
        <f t="shared" si="1623"/>
        <v>0</v>
      </c>
      <c r="K1279" s="1906">
        <f t="shared" si="1624"/>
        <v>0</v>
      </c>
      <c r="L1279" s="1906">
        <f t="shared" si="1625"/>
        <v>0</v>
      </c>
      <c r="M1279" s="1906">
        <f t="shared" si="1626"/>
        <v>0</v>
      </c>
      <c r="N1279" s="1906">
        <f t="shared" si="1627"/>
        <v>0</v>
      </c>
      <c r="O1279" s="107"/>
      <c r="P1279" s="1906"/>
      <c r="Q1279" s="1906">
        <f t="shared" si="1628"/>
        <v>0</v>
      </c>
      <c r="R1279" s="1906">
        <f t="shared" si="1629"/>
        <v>0</v>
      </c>
      <c r="S1279" s="1906">
        <f t="shared" si="1630"/>
        <v>0</v>
      </c>
      <c r="T1279" s="1906">
        <f t="shared" si="1631"/>
        <v>0</v>
      </c>
      <c r="U1279" s="1906">
        <f t="shared" si="1632"/>
        <v>0</v>
      </c>
      <c r="V1279" s="1906">
        <f t="shared" si="1633"/>
        <v>0</v>
      </c>
      <c r="W1279" s="1906">
        <f t="shared" si="1634"/>
        <v>0</v>
      </c>
      <c r="X1279" s="1906">
        <f t="shared" si="1635"/>
        <v>0</v>
      </c>
      <c r="Y1279" s="1906">
        <f t="shared" si="1636"/>
        <v>0</v>
      </c>
      <c r="Z1279" s="1906">
        <f t="shared" si="1637"/>
        <v>0</v>
      </c>
      <c r="AA1279" s="1906">
        <f t="shared" si="1638"/>
        <v>0</v>
      </c>
      <c r="AB1279" s="107"/>
      <c r="AC1279" s="1906">
        <f t="shared" si="1639"/>
        <v>0</v>
      </c>
      <c r="AD1279" s="1906">
        <f t="shared" si="1640"/>
        <v>0</v>
      </c>
      <c r="AE1279" s="1906">
        <f t="shared" si="1641"/>
        <v>0</v>
      </c>
      <c r="AF1279" s="1906">
        <f t="shared" si="1642"/>
        <v>0</v>
      </c>
      <c r="AG1279" s="1906">
        <f t="shared" si="1643"/>
        <v>0</v>
      </c>
      <c r="AH1279" s="1906">
        <f t="shared" si="1644"/>
        <v>0</v>
      </c>
      <c r="AI1279" s="1906">
        <f t="shared" si="1645"/>
        <v>0</v>
      </c>
      <c r="AJ1279" s="1906">
        <f t="shared" si="1646"/>
        <v>0</v>
      </c>
      <c r="AK1279" s="1906">
        <f t="shared" si="1647"/>
        <v>0</v>
      </c>
      <c r="AL1279" s="1906">
        <f t="shared" si="1648"/>
        <v>0</v>
      </c>
      <c r="AM1279" s="1906">
        <f t="shared" si="1649"/>
        <v>0</v>
      </c>
      <c r="AN1279" s="1906">
        <f t="shared" si="1650"/>
        <v>0</v>
      </c>
      <c r="AO1279" s="107"/>
      <c r="AP1279" s="1906">
        <f t="shared" si="1651"/>
        <v>0</v>
      </c>
      <c r="AQ1279" s="1906">
        <f t="shared" si="1652"/>
        <v>0</v>
      </c>
      <c r="AR1279" s="1906">
        <f t="shared" si="1653"/>
        <v>0</v>
      </c>
      <c r="AS1279" s="1906">
        <f t="shared" si="1654"/>
        <v>0</v>
      </c>
      <c r="AT1279" s="1906">
        <f t="shared" si="1655"/>
        <v>0</v>
      </c>
      <c r="AU1279" s="1906">
        <f t="shared" si="1656"/>
        <v>0</v>
      </c>
      <c r="AV1279" s="1906">
        <f t="shared" si="1657"/>
        <v>0</v>
      </c>
      <c r="AW1279" s="1906">
        <f t="shared" si="1658"/>
        <v>0</v>
      </c>
      <c r="AX1279" s="1906">
        <f t="shared" si="1659"/>
        <v>0</v>
      </c>
      <c r="AY1279" s="1906">
        <f t="shared" si="1660"/>
        <v>0</v>
      </c>
      <c r="AZ1279" s="1906">
        <f t="shared" si="1661"/>
        <v>0</v>
      </c>
      <c r="BA1279" s="1906">
        <f t="shared" si="1662"/>
        <v>0</v>
      </c>
      <c r="BB1279" s="107"/>
      <c r="BC1279" s="1906">
        <f t="shared" si="1663"/>
        <v>0</v>
      </c>
      <c r="BD1279" s="1906">
        <f t="shared" si="1664"/>
        <v>0</v>
      </c>
      <c r="BE1279" s="1906">
        <f t="shared" si="1665"/>
        <v>0</v>
      </c>
      <c r="BF1279" s="1906">
        <f t="shared" si="1666"/>
        <v>0</v>
      </c>
      <c r="BG1279" s="1906">
        <f t="shared" si="1667"/>
        <v>0</v>
      </c>
      <c r="BH1279" s="1906">
        <f t="shared" si="1668"/>
        <v>0</v>
      </c>
      <c r="BI1279" s="1906">
        <f t="shared" si="1669"/>
        <v>0</v>
      </c>
      <c r="BJ1279" s="1906">
        <f t="shared" si="1670"/>
        <v>0</v>
      </c>
      <c r="BK1279" s="1906">
        <f t="shared" si="1671"/>
        <v>0</v>
      </c>
      <c r="BL1279" s="1906">
        <f t="shared" si="1672"/>
        <v>0</v>
      </c>
      <c r="BM1279" s="1906">
        <f t="shared" si="1673"/>
        <v>0</v>
      </c>
      <c r="BN1279" s="1906">
        <f t="shared" si="1674"/>
        <v>0</v>
      </c>
      <c r="BO1279" s="107"/>
      <c r="BP1279" s="1906">
        <f t="shared" si="1675"/>
        <v>0</v>
      </c>
      <c r="BQ1279" s="1906">
        <f t="shared" si="1676"/>
        <v>0</v>
      </c>
      <c r="BR1279" s="1906">
        <f t="shared" si="1677"/>
        <v>0</v>
      </c>
      <c r="BS1279" s="1906">
        <f t="shared" si="1678"/>
        <v>0</v>
      </c>
      <c r="BT1279" s="1906">
        <f t="shared" si="1679"/>
        <v>0</v>
      </c>
      <c r="BU1279" s="1906">
        <f t="shared" si="1680"/>
        <v>0</v>
      </c>
      <c r="BV1279" s="1906">
        <f t="shared" si="1681"/>
        <v>0</v>
      </c>
      <c r="BW1279" s="1906">
        <f t="shared" si="1682"/>
        <v>0</v>
      </c>
      <c r="BX1279" s="1906">
        <f t="shared" si="1683"/>
        <v>0</v>
      </c>
      <c r="BY1279" s="1906">
        <f t="shared" si="1684"/>
        <v>0</v>
      </c>
      <c r="BZ1279" s="1906">
        <f t="shared" si="1685"/>
        <v>0</v>
      </c>
      <c r="CA1279" s="1906">
        <f t="shared" si="1686"/>
        <v>0</v>
      </c>
      <c r="CB1279" s="1971" t="str">
        <f t="shared" si="1687"/>
        <v>Alfalfa 1</v>
      </c>
      <c r="CC1279" s="1906">
        <f t="shared" si="1688"/>
        <v>0</v>
      </c>
      <c r="CD1279" s="1906">
        <f t="shared" si="1689"/>
        <v>0</v>
      </c>
      <c r="CE1279" s="1906">
        <f t="shared" si="1690"/>
        <v>0</v>
      </c>
      <c r="CF1279" s="1906">
        <f t="shared" si="1691"/>
        <v>0</v>
      </c>
      <c r="CG1279" s="1906">
        <f t="shared" si="1692"/>
        <v>0</v>
      </c>
      <c r="CH1279" s="1906">
        <f t="shared" si="1693"/>
        <v>0</v>
      </c>
      <c r="CI1279" s="1906">
        <f t="shared" si="1694"/>
        <v>0</v>
      </c>
      <c r="CJ1279" s="1906">
        <f t="shared" si="1695"/>
        <v>0</v>
      </c>
      <c r="CK1279" s="1906">
        <f t="shared" si="1696"/>
        <v>0</v>
      </c>
      <c r="CL1279" s="1906">
        <f t="shared" si="1697"/>
        <v>0</v>
      </c>
      <c r="CM1279" s="1906">
        <f t="shared" si="1698"/>
        <v>0</v>
      </c>
      <c r="CN1279" s="1906">
        <f t="shared" si="1699"/>
        <v>0</v>
      </c>
      <c r="CO1279" s="595" t="str">
        <f t="shared" si="1700"/>
        <v>Alfalfa 1</v>
      </c>
      <c r="CP1279" s="1443">
        <f t="shared" si="1701"/>
        <v>0</v>
      </c>
      <c r="EF1279" s="5"/>
    </row>
    <row r="1280" spans="1:136" x14ac:dyDescent="0.2">
      <c r="A1280" s="6"/>
      <c r="B1280" s="1971" t="str">
        <f t="shared" si="1615"/>
        <v>PP 1</v>
      </c>
      <c r="C1280" s="1906">
        <f t="shared" si="1616"/>
        <v>0</v>
      </c>
      <c r="D1280" s="1906">
        <f t="shared" si="1617"/>
        <v>0</v>
      </c>
      <c r="E1280" s="1906">
        <f t="shared" si="1618"/>
        <v>0</v>
      </c>
      <c r="F1280" s="1906">
        <f t="shared" si="1619"/>
        <v>0</v>
      </c>
      <c r="G1280" s="1906">
        <f t="shared" si="1620"/>
        <v>0</v>
      </c>
      <c r="H1280" s="1906">
        <f t="shared" si="1621"/>
        <v>0</v>
      </c>
      <c r="I1280" s="1906">
        <f t="shared" si="1622"/>
        <v>0</v>
      </c>
      <c r="J1280" s="1906">
        <f t="shared" si="1623"/>
        <v>0</v>
      </c>
      <c r="K1280" s="1906">
        <f t="shared" si="1624"/>
        <v>0</v>
      </c>
      <c r="L1280" s="1906">
        <f t="shared" si="1625"/>
        <v>0</v>
      </c>
      <c r="M1280" s="1906">
        <f t="shared" si="1626"/>
        <v>0</v>
      </c>
      <c r="N1280" s="1906">
        <f t="shared" si="1627"/>
        <v>0</v>
      </c>
      <c r="O1280" s="107"/>
      <c r="P1280" s="1906"/>
      <c r="Q1280" s="1906">
        <f t="shared" si="1628"/>
        <v>0</v>
      </c>
      <c r="R1280" s="1906">
        <f t="shared" si="1629"/>
        <v>0</v>
      </c>
      <c r="S1280" s="1906">
        <f t="shared" si="1630"/>
        <v>0</v>
      </c>
      <c r="T1280" s="1906">
        <f t="shared" si="1631"/>
        <v>0</v>
      </c>
      <c r="U1280" s="1906">
        <f t="shared" si="1632"/>
        <v>0</v>
      </c>
      <c r="V1280" s="1906">
        <f t="shared" si="1633"/>
        <v>0</v>
      </c>
      <c r="W1280" s="1906">
        <f t="shared" si="1634"/>
        <v>0</v>
      </c>
      <c r="X1280" s="1906">
        <f t="shared" si="1635"/>
        <v>0</v>
      </c>
      <c r="Y1280" s="1906">
        <f t="shared" si="1636"/>
        <v>0</v>
      </c>
      <c r="Z1280" s="1906">
        <f t="shared" si="1637"/>
        <v>0</v>
      </c>
      <c r="AA1280" s="1906">
        <f t="shared" si="1638"/>
        <v>0</v>
      </c>
      <c r="AB1280" s="107"/>
      <c r="AC1280" s="1906">
        <f t="shared" si="1639"/>
        <v>0</v>
      </c>
      <c r="AD1280" s="1906">
        <f t="shared" si="1640"/>
        <v>0</v>
      </c>
      <c r="AE1280" s="1906">
        <f t="shared" si="1641"/>
        <v>0</v>
      </c>
      <c r="AF1280" s="1906">
        <f t="shared" si="1642"/>
        <v>0</v>
      </c>
      <c r="AG1280" s="1906">
        <f t="shared" si="1643"/>
        <v>0</v>
      </c>
      <c r="AH1280" s="1906">
        <f t="shared" si="1644"/>
        <v>0</v>
      </c>
      <c r="AI1280" s="1906">
        <f t="shared" si="1645"/>
        <v>0</v>
      </c>
      <c r="AJ1280" s="1906">
        <f t="shared" si="1646"/>
        <v>0</v>
      </c>
      <c r="AK1280" s="1906">
        <f t="shared" si="1647"/>
        <v>0</v>
      </c>
      <c r="AL1280" s="1906">
        <f t="shared" si="1648"/>
        <v>0</v>
      </c>
      <c r="AM1280" s="1906">
        <f t="shared" si="1649"/>
        <v>0</v>
      </c>
      <c r="AN1280" s="1906">
        <f t="shared" si="1650"/>
        <v>0</v>
      </c>
      <c r="AO1280" s="107"/>
      <c r="AP1280" s="1906">
        <f t="shared" si="1651"/>
        <v>0</v>
      </c>
      <c r="AQ1280" s="1906">
        <f t="shared" si="1652"/>
        <v>0</v>
      </c>
      <c r="AR1280" s="1906">
        <f t="shared" si="1653"/>
        <v>0</v>
      </c>
      <c r="AS1280" s="1906">
        <f t="shared" si="1654"/>
        <v>0</v>
      </c>
      <c r="AT1280" s="1906">
        <f t="shared" si="1655"/>
        <v>0</v>
      </c>
      <c r="AU1280" s="1906">
        <f t="shared" si="1656"/>
        <v>0</v>
      </c>
      <c r="AV1280" s="1906">
        <f t="shared" si="1657"/>
        <v>0</v>
      </c>
      <c r="AW1280" s="1906">
        <f t="shared" si="1658"/>
        <v>0</v>
      </c>
      <c r="AX1280" s="1906">
        <f t="shared" si="1659"/>
        <v>0</v>
      </c>
      <c r="AY1280" s="1906">
        <f t="shared" si="1660"/>
        <v>0</v>
      </c>
      <c r="AZ1280" s="1906">
        <f t="shared" si="1661"/>
        <v>0</v>
      </c>
      <c r="BA1280" s="1906">
        <f t="shared" si="1662"/>
        <v>0</v>
      </c>
      <c r="BB1280" s="107"/>
      <c r="BC1280" s="1906">
        <f t="shared" si="1663"/>
        <v>0</v>
      </c>
      <c r="BD1280" s="1906">
        <f t="shared" si="1664"/>
        <v>0</v>
      </c>
      <c r="BE1280" s="1906">
        <f t="shared" si="1665"/>
        <v>0</v>
      </c>
      <c r="BF1280" s="1906">
        <f t="shared" si="1666"/>
        <v>0</v>
      </c>
      <c r="BG1280" s="1906">
        <f t="shared" si="1667"/>
        <v>0</v>
      </c>
      <c r="BH1280" s="1906">
        <f t="shared" si="1668"/>
        <v>0</v>
      </c>
      <c r="BI1280" s="1906">
        <f t="shared" si="1669"/>
        <v>0</v>
      </c>
      <c r="BJ1280" s="1906">
        <f t="shared" si="1670"/>
        <v>0</v>
      </c>
      <c r="BK1280" s="1906">
        <f t="shared" si="1671"/>
        <v>0</v>
      </c>
      <c r="BL1280" s="1906">
        <f t="shared" si="1672"/>
        <v>0</v>
      </c>
      <c r="BM1280" s="1906">
        <f t="shared" si="1673"/>
        <v>0</v>
      </c>
      <c r="BN1280" s="1906">
        <f t="shared" si="1674"/>
        <v>0</v>
      </c>
      <c r="BO1280" s="107"/>
      <c r="BP1280" s="1906">
        <f t="shared" si="1675"/>
        <v>0</v>
      </c>
      <c r="BQ1280" s="1906">
        <f t="shared" si="1676"/>
        <v>0</v>
      </c>
      <c r="BR1280" s="1906">
        <f t="shared" si="1677"/>
        <v>0</v>
      </c>
      <c r="BS1280" s="1906">
        <f t="shared" si="1678"/>
        <v>0</v>
      </c>
      <c r="BT1280" s="1906">
        <f t="shared" si="1679"/>
        <v>0</v>
      </c>
      <c r="BU1280" s="1906">
        <f t="shared" si="1680"/>
        <v>0</v>
      </c>
      <c r="BV1280" s="1906">
        <f t="shared" si="1681"/>
        <v>0</v>
      </c>
      <c r="BW1280" s="1906">
        <f t="shared" si="1682"/>
        <v>0</v>
      </c>
      <c r="BX1280" s="1906">
        <f t="shared" si="1683"/>
        <v>0</v>
      </c>
      <c r="BY1280" s="1906">
        <f t="shared" si="1684"/>
        <v>0</v>
      </c>
      <c r="BZ1280" s="1906">
        <f t="shared" si="1685"/>
        <v>0</v>
      </c>
      <c r="CA1280" s="1906">
        <f t="shared" si="1686"/>
        <v>0</v>
      </c>
      <c r="CB1280" s="1971" t="str">
        <f t="shared" si="1687"/>
        <v>PP 1</v>
      </c>
      <c r="CC1280" s="1906">
        <f t="shared" si="1688"/>
        <v>0</v>
      </c>
      <c r="CD1280" s="1906">
        <f t="shared" si="1689"/>
        <v>0</v>
      </c>
      <c r="CE1280" s="1906">
        <f t="shared" si="1690"/>
        <v>0</v>
      </c>
      <c r="CF1280" s="1906">
        <f t="shared" si="1691"/>
        <v>0</v>
      </c>
      <c r="CG1280" s="1906">
        <f t="shared" si="1692"/>
        <v>0</v>
      </c>
      <c r="CH1280" s="1906">
        <f t="shared" si="1693"/>
        <v>0</v>
      </c>
      <c r="CI1280" s="1906">
        <f t="shared" si="1694"/>
        <v>0</v>
      </c>
      <c r="CJ1280" s="1906">
        <f t="shared" si="1695"/>
        <v>0</v>
      </c>
      <c r="CK1280" s="1906">
        <f t="shared" si="1696"/>
        <v>0</v>
      </c>
      <c r="CL1280" s="1906">
        <f t="shared" si="1697"/>
        <v>0</v>
      </c>
      <c r="CM1280" s="1906">
        <f t="shared" si="1698"/>
        <v>0</v>
      </c>
      <c r="CN1280" s="1906">
        <f t="shared" si="1699"/>
        <v>0</v>
      </c>
      <c r="CO1280" s="595" t="str">
        <f t="shared" si="1700"/>
        <v>PP 1</v>
      </c>
      <c r="CP1280" s="1443">
        <f t="shared" si="1701"/>
        <v>0</v>
      </c>
      <c r="EF1280" s="5"/>
    </row>
    <row r="1281" spans="1:136" x14ac:dyDescent="0.2">
      <c r="A1281" s="6"/>
      <c r="B1281" s="1971" t="str">
        <f t="shared" si="1615"/>
        <v>Prad 1</v>
      </c>
      <c r="C1281" s="1906">
        <f t="shared" si="1616"/>
        <v>0</v>
      </c>
      <c r="D1281" s="1906">
        <f t="shared" si="1617"/>
        <v>0</v>
      </c>
      <c r="E1281" s="1906">
        <f t="shared" si="1618"/>
        <v>0</v>
      </c>
      <c r="F1281" s="1906">
        <f t="shared" si="1619"/>
        <v>0</v>
      </c>
      <c r="G1281" s="1906">
        <f t="shared" si="1620"/>
        <v>0</v>
      </c>
      <c r="H1281" s="1906">
        <f t="shared" si="1621"/>
        <v>0</v>
      </c>
      <c r="I1281" s="1906">
        <f t="shared" si="1622"/>
        <v>0</v>
      </c>
      <c r="J1281" s="1906">
        <f t="shared" si="1623"/>
        <v>0</v>
      </c>
      <c r="K1281" s="1906">
        <f t="shared" si="1624"/>
        <v>0</v>
      </c>
      <c r="L1281" s="1906">
        <f t="shared" si="1625"/>
        <v>0</v>
      </c>
      <c r="M1281" s="1906">
        <f t="shared" si="1626"/>
        <v>0</v>
      </c>
      <c r="N1281" s="1906">
        <f t="shared" si="1627"/>
        <v>0</v>
      </c>
      <c r="O1281" s="107"/>
      <c r="P1281" s="1906"/>
      <c r="Q1281" s="1906">
        <f t="shared" si="1628"/>
        <v>0</v>
      </c>
      <c r="R1281" s="1906">
        <f t="shared" si="1629"/>
        <v>0</v>
      </c>
      <c r="S1281" s="1906">
        <f t="shared" si="1630"/>
        <v>0</v>
      </c>
      <c r="T1281" s="1906">
        <f t="shared" si="1631"/>
        <v>0</v>
      </c>
      <c r="U1281" s="1906">
        <f t="shared" si="1632"/>
        <v>0</v>
      </c>
      <c r="V1281" s="1906">
        <f t="shared" si="1633"/>
        <v>0</v>
      </c>
      <c r="W1281" s="1906">
        <f t="shared" si="1634"/>
        <v>0</v>
      </c>
      <c r="X1281" s="1906">
        <f t="shared" si="1635"/>
        <v>0</v>
      </c>
      <c r="Y1281" s="1906">
        <f t="shared" si="1636"/>
        <v>0</v>
      </c>
      <c r="Z1281" s="1906">
        <f t="shared" si="1637"/>
        <v>0</v>
      </c>
      <c r="AA1281" s="1906">
        <f t="shared" si="1638"/>
        <v>0</v>
      </c>
      <c r="AB1281" s="107"/>
      <c r="AC1281" s="1906">
        <f t="shared" si="1639"/>
        <v>0</v>
      </c>
      <c r="AD1281" s="1906">
        <f t="shared" si="1640"/>
        <v>0</v>
      </c>
      <c r="AE1281" s="1906">
        <f t="shared" si="1641"/>
        <v>0</v>
      </c>
      <c r="AF1281" s="1906">
        <f t="shared" si="1642"/>
        <v>0</v>
      </c>
      <c r="AG1281" s="1906">
        <f t="shared" si="1643"/>
        <v>0</v>
      </c>
      <c r="AH1281" s="1906">
        <f t="shared" si="1644"/>
        <v>0</v>
      </c>
      <c r="AI1281" s="1906">
        <f t="shared" si="1645"/>
        <v>0</v>
      </c>
      <c r="AJ1281" s="1906">
        <f t="shared" si="1646"/>
        <v>0</v>
      </c>
      <c r="AK1281" s="1906">
        <f t="shared" si="1647"/>
        <v>0</v>
      </c>
      <c r="AL1281" s="1906">
        <f t="shared" si="1648"/>
        <v>0</v>
      </c>
      <c r="AM1281" s="1906">
        <f t="shared" si="1649"/>
        <v>0</v>
      </c>
      <c r="AN1281" s="1906">
        <f t="shared" si="1650"/>
        <v>0</v>
      </c>
      <c r="AO1281" s="107"/>
      <c r="AP1281" s="1906">
        <f t="shared" si="1651"/>
        <v>0</v>
      </c>
      <c r="AQ1281" s="1906">
        <f t="shared" si="1652"/>
        <v>0</v>
      </c>
      <c r="AR1281" s="1906">
        <f t="shared" si="1653"/>
        <v>0</v>
      </c>
      <c r="AS1281" s="1906">
        <f t="shared" si="1654"/>
        <v>0</v>
      </c>
      <c r="AT1281" s="1906">
        <f t="shared" si="1655"/>
        <v>0</v>
      </c>
      <c r="AU1281" s="1906">
        <f t="shared" si="1656"/>
        <v>0</v>
      </c>
      <c r="AV1281" s="1906">
        <f t="shared" si="1657"/>
        <v>0</v>
      </c>
      <c r="AW1281" s="1906">
        <f t="shared" si="1658"/>
        <v>0</v>
      </c>
      <c r="AX1281" s="1906">
        <f t="shared" si="1659"/>
        <v>0</v>
      </c>
      <c r="AY1281" s="1906">
        <f t="shared" si="1660"/>
        <v>0</v>
      </c>
      <c r="AZ1281" s="1906">
        <f t="shared" si="1661"/>
        <v>0</v>
      </c>
      <c r="BA1281" s="1906">
        <f t="shared" si="1662"/>
        <v>0</v>
      </c>
      <c r="BB1281" s="107"/>
      <c r="BC1281" s="1906">
        <f t="shared" si="1663"/>
        <v>0</v>
      </c>
      <c r="BD1281" s="1906">
        <f t="shared" si="1664"/>
        <v>0</v>
      </c>
      <c r="BE1281" s="1906">
        <f t="shared" si="1665"/>
        <v>0</v>
      </c>
      <c r="BF1281" s="1906">
        <f t="shared" si="1666"/>
        <v>0</v>
      </c>
      <c r="BG1281" s="1906">
        <f t="shared" si="1667"/>
        <v>0</v>
      </c>
      <c r="BH1281" s="1906">
        <f t="shared" si="1668"/>
        <v>0</v>
      </c>
      <c r="BI1281" s="1906">
        <f t="shared" si="1669"/>
        <v>0</v>
      </c>
      <c r="BJ1281" s="1906">
        <f t="shared" si="1670"/>
        <v>0</v>
      </c>
      <c r="BK1281" s="1906">
        <f t="shared" si="1671"/>
        <v>0</v>
      </c>
      <c r="BL1281" s="1906">
        <f t="shared" si="1672"/>
        <v>0</v>
      </c>
      <c r="BM1281" s="1906">
        <f t="shared" si="1673"/>
        <v>0</v>
      </c>
      <c r="BN1281" s="1906">
        <f t="shared" si="1674"/>
        <v>0</v>
      </c>
      <c r="BO1281" s="107"/>
      <c r="BP1281" s="1906">
        <f t="shared" si="1675"/>
        <v>0</v>
      </c>
      <c r="BQ1281" s="1906">
        <f t="shared" si="1676"/>
        <v>0</v>
      </c>
      <c r="BR1281" s="1906">
        <f t="shared" si="1677"/>
        <v>0</v>
      </c>
      <c r="BS1281" s="1906">
        <f t="shared" si="1678"/>
        <v>0</v>
      </c>
      <c r="BT1281" s="1906">
        <f t="shared" si="1679"/>
        <v>0</v>
      </c>
      <c r="BU1281" s="1906">
        <f t="shared" si="1680"/>
        <v>0</v>
      </c>
      <c r="BV1281" s="1906">
        <f t="shared" si="1681"/>
        <v>0</v>
      </c>
      <c r="BW1281" s="1906">
        <f t="shared" si="1682"/>
        <v>0</v>
      </c>
      <c r="BX1281" s="1906">
        <f t="shared" si="1683"/>
        <v>0</v>
      </c>
      <c r="BY1281" s="1906">
        <f t="shared" si="1684"/>
        <v>0</v>
      </c>
      <c r="BZ1281" s="1906">
        <f t="shared" si="1685"/>
        <v>0</v>
      </c>
      <c r="CA1281" s="1906">
        <f t="shared" si="1686"/>
        <v>0</v>
      </c>
      <c r="CB1281" s="1971" t="str">
        <f t="shared" si="1687"/>
        <v>Prad 1</v>
      </c>
      <c r="CC1281" s="1906">
        <f t="shared" si="1688"/>
        <v>0</v>
      </c>
      <c r="CD1281" s="1906">
        <f t="shared" si="1689"/>
        <v>0</v>
      </c>
      <c r="CE1281" s="1906">
        <f t="shared" si="1690"/>
        <v>0</v>
      </c>
      <c r="CF1281" s="1906">
        <f t="shared" si="1691"/>
        <v>0</v>
      </c>
      <c r="CG1281" s="1906">
        <f t="shared" si="1692"/>
        <v>0</v>
      </c>
      <c r="CH1281" s="1906">
        <f t="shared" si="1693"/>
        <v>0</v>
      </c>
      <c r="CI1281" s="1906">
        <f t="shared" si="1694"/>
        <v>0</v>
      </c>
      <c r="CJ1281" s="1906">
        <f t="shared" si="1695"/>
        <v>0</v>
      </c>
      <c r="CK1281" s="1906">
        <f t="shared" si="1696"/>
        <v>0</v>
      </c>
      <c r="CL1281" s="1906">
        <f t="shared" si="1697"/>
        <v>0</v>
      </c>
      <c r="CM1281" s="1906">
        <f t="shared" si="1698"/>
        <v>0</v>
      </c>
      <c r="CN1281" s="1906">
        <f t="shared" si="1699"/>
        <v>0</v>
      </c>
      <c r="CO1281" s="595" t="str">
        <f t="shared" si="1700"/>
        <v>Prad 1</v>
      </c>
      <c r="CP1281" s="1443">
        <f t="shared" si="1701"/>
        <v>0</v>
      </c>
      <c r="EF1281" s="5"/>
    </row>
    <row r="1282" spans="1:136" x14ac:dyDescent="0.2">
      <c r="A1282" s="6"/>
      <c r="B1282" s="1971" t="str">
        <f t="shared" si="1615"/>
        <v>Trébol Rojo 1</v>
      </c>
      <c r="C1282" s="1906">
        <f t="shared" si="1616"/>
        <v>0</v>
      </c>
      <c r="D1282" s="1906">
        <f t="shared" si="1617"/>
        <v>0</v>
      </c>
      <c r="E1282" s="1906">
        <f t="shared" si="1618"/>
        <v>0</v>
      </c>
      <c r="F1282" s="1906">
        <f t="shared" si="1619"/>
        <v>0</v>
      </c>
      <c r="G1282" s="1906">
        <f t="shared" si="1620"/>
        <v>0</v>
      </c>
      <c r="H1282" s="1906">
        <f t="shared" si="1621"/>
        <v>0</v>
      </c>
      <c r="I1282" s="1906">
        <f t="shared" si="1622"/>
        <v>0</v>
      </c>
      <c r="J1282" s="1906">
        <f t="shared" si="1623"/>
        <v>0</v>
      </c>
      <c r="K1282" s="1906">
        <f t="shared" si="1624"/>
        <v>0</v>
      </c>
      <c r="L1282" s="1906">
        <f t="shared" si="1625"/>
        <v>0</v>
      </c>
      <c r="M1282" s="1906">
        <f t="shared" si="1626"/>
        <v>0</v>
      </c>
      <c r="N1282" s="1906">
        <f t="shared" si="1627"/>
        <v>0</v>
      </c>
      <c r="O1282" s="107"/>
      <c r="P1282" s="1906"/>
      <c r="Q1282" s="1906">
        <f t="shared" si="1628"/>
        <v>0</v>
      </c>
      <c r="R1282" s="1906">
        <f t="shared" si="1629"/>
        <v>0</v>
      </c>
      <c r="S1282" s="1906">
        <f t="shared" si="1630"/>
        <v>0</v>
      </c>
      <c r="T1282" s="1906">
        <f t="shared" si="1631"/>
        <v>0</v>
      </c>
      <c r="U1282" s="1906">
        <f t="shared" si="1632"/>
        <v>0</v>
      </c>
      <c r="V1282" s="1906">
        <f t="shared" si="1633"/>
        <v>0</v>
      </c>
      <c r="W1282" s="1906">
        <f t="shared" si="1634"/>
        <v>0</v>
      </c>
      <c r="X1282" s="1906">
        <f t="shared" si="1635"/>
        <v>0</v>
      </c>
      <c r="Y1282" s="1906">
        <f t="shared" si="1636"/>
        <v>0</v>
      </c>
      <c r="Z1282" s="1906">
        <f t="shared" si="1637"/>
        <v>0</v>
      </c>
      <c r="AA1282" s="1906">
        <f t="shared" si="1638"/>
        <v>0</v>
      </c>
      <c r="AB1282" s="107"/>
      <c r="AC1282" s="1906">
        <f t="shared" si="1639"/>
        <v>0</v>
      </c>
      <c r="AD1282" s="1906">
        <f t="shared" si="1640"/>
        <v>0</v>
      </c>
      <c r="AE1282" s="1906">
        <f t="shared" si="1641"/>
        <v>0</v>
      </c>
      <c r="AF1282" s="1906">
        <f t="shared" si="1642"/>
        <v>0</v>
      </c>
      <c r="AG1282" s="1906">
        <f t="shared" si="1643"/>
        <v>0</v>
      </c>
      <c r="AH1282" s="1906">
        <f t="shared" si="1644"/>
        <v>0</v>
      </c>
      <c r="AI1282" s="1906">
        <f t="shared" si="1645"/>
        <v>0</v>
      </c>
      <c r="AJ1282" s="1906">
        <f t="shared" si="1646"/>
        <v>0</v>
      </c>
      <c r="AK1282" s="1906">
        <f t="shared" si="1647"/>
        <v>0</v>
      </c>
      <c r="AL1282" s="1906">
        <f t="shared" si="1648"/>
        <v>0</v>
      </c>
      <c r="AM1282" s="1906">
        <f t="shared" si="1649"/>
        <v>0</v>
      </c>
      <c r="AN1282" s="1906">
        <f t="shared" si="1650"/>
        <v>0</v>
      </c>
      <c r="AO1282" s="107"/>
      <c r="AP1282" s="1906">
        <f t="shared" si="1651"/>
        <v>0</v>
      </c>
      <c r="AQ1282" s="1906">
        <f t="shared" si="1652"/>
        <v>0</v>
      </c>
      <c r="AR1282" s="1906">
        <f t="shared" si="1653"/>
        <v>0</v>
      </c>
      <c r="AS1282" s="1906">
        <f t="shared" si="1654"/>
        <v>0</v>
      </c>
      <c r="AT1282" s="1906">
        <f t="shared" si="1655"/>
        <v>0</v>
      </c>
      <c r="AU1282" s="1906">
        <f t="shared" si="1656"/>
        <v>0</v>
      </c>
      <c r="AV1282" s="1906">
        <f t="shared" si="1657"/>
        <v>0</v>
      </c>
      <c r="AW1282" s="1906">
        <f t="shared" si="1658"/>
        <v>0</v>
      </c>
      <c r="AX1282" s="1906">
        <f t="shared" si="1659"/>
        <v>0</v>
      </c>
      <c r="AY1282" s="1906">
        <f t="shared" si="1660"/>
        <v>0</v>
      </c>
      <c r="AZ1282" s="1906">
        <f t="shared" si="1661"/>
        <v>0</v>
      </c>
      <c r="BA1282" s="1906">
        <f t="shared" si="1662"/>
        <v>0</v>
      </c>
      <c r="BB1282" s="107"/>
      <c r="BC1282" s="1906">
        <f t="shared" si="1663"/>
        <v>0</v>
      </c>
      <c r="BD1282" s="1906">
        <f t="shared" si="1664"/>
        <v>0</v>
      </c>
      <c r="BE1282" s="1906">
        <f t="shared" si="1665"/>
        <v>0</v>
      </c>
      <c r="BF1282" s="1906">
        <f t="shared" si="1666"/>
        <v>0</v>
      </c>
      <c r="BG1282" s="1906">
        <f t="shared" si="1667"/>
        <v>0</v>
      </c>
      <c r="BH1282" s="1906">
        <f t="shared" si="1668"/>
        <v>0</v>
      </c>
      <c r="BI1282" s="1906">
        <f t="shared" si="1669"/>
        <v>0</v>
      </c>
      <c r="BJ1282" s="1906">
        <f t="shared" si="1670"/>
        <v>0</v>
      </c>
      <c r="BK1282" s="1906">
        <f t="shared" si="1671"/>
        <v>0</v>
      </c>
      <c r="BL1282" s="1906">
        <f t="shared" si="1672"/>
        <v>0</v>
      </c>
      <c r="BM1282" s="1906">
        <f t="shared" si="1673"/>
        <v>0</v>
      </c>
      <c r="BN1282" s="1906">
        <f t="shared" si="1674"/>
        <v>0</v>
      </c>
      <c r="BO1282" s="107"/>
      <c r="BP1282" s="1906">
        <f t="shared" si="1675"/>
        <v>0</v>
      </c>
      <c r="BQ1282" s="1906">
        <f t="shared" si="1676"/>
        <v>0</v>
      </c>
      <c r="BR1282" s="1906">
        <f t="shared" si="1677"/>
        <v>0</v>
      </c>
      <c r="BS1282" s="1906">
        <f t="shared" si="1678"/>
        <v>0</v>
      </c>
      <c r="BT1282" s="1906">
        <f t="shared" si="1679"/>
        <v>0</v>
      </c>
      <c r="BU1282" s="1906">
        <f t="shared" si="1680"/>
        <v>0</v>
      </c>
      <c r="BV1282" s="1906">
        <f t="shared" si="1681"/>
        <v>0</v>
      </c>
      <c r="BW1282" s="1906">
        <f t="shared" si="1682"/>
        <v>0</v>
      </c>
      <c r="BX1282" s="1906">
        <f t="shared" si="1683"/>
        <v>0</v>
      </c>
      <c r="BY1282" s="1906">
        <f t="shared" si="1684"/>
        <v>0</v>
      </c>
      <c r="BZ1282" s="1906">
        <f t="shared" si="1685"/>
        <v>0</v>
      </c>
      <c r="CA1282" s="1906">
        <f t="shared" si="1686"/>
        <v>0</v>
      </c>
      <c r="CB1282" s="1971" t="str">
        <f t="shared" si="1687"/>
        <v>Trébol Rojo 1</v>
      </c>
      <c r="CC1282" s="1906">
        <f t="shared" si="1688"/>
        <v>0</v>
      </c>
      <c r="CD1282" s="1906">
        <f t="shared" si="1689"/>
        <v>0</v>
      </c>
      <c r="CE1282" s="1906">
        <f t="shared" si="1690"/>
        <v>0</v>
      </c>
      <c r="CF1282" s="1906">
        <f t="shared" si="1691"/>
        <v>0</v>
      </c>
      <c r="CG1282" s="1906">
        <f t="shared" si="1692"/>
        <v>0</v>
      </c>
      <c r="CH1282" s="1906">
        <f t="shared" si="1693"/>
        <v>0</v>
      </c>
      <c r="CI1282" s="1906">
        <f t="shared" si="1694"/>
        <v>0</v>
      </c>
      <c r="CJ1282" s="1906">
        <f t="shared" si="1695"/>
        <v>0</v>
      </c>
      <c r="CK1282" s="1906">
        <f t="shared" si="1696"/>
        <v>0</v>
      </c>
      <c r="CL1282" s="1906">
        <f t="shared" si="1697"/>
        <v>0</v>
      </c>
      <c r="CM1282" s="1906">
        <f t="shared" si="1698"/>
        <v>0</v>
      </c>
      <c r="CN1282" s="1906">
        <f t="shared" si="1699"/>
        <v>0</v>
      </c>
      <c r="CO1282" s="595" t="str">
        <f t="shared" si="1700"/>
        <v>Trébol Rojo 1</v>
      </c>
      <c r="CP1282" s="1443">
        <f t="shared" si="1701"/>
        <v>0</v>
      </c>
      <c r="EF1282" s="5"/>
    </row>
    <row r="1283" spans="1:136" x14ac:dyDescent="0.2">
      <c r="A1283" s="6"/>
      <c r="B1283" s="1971">
        <f t="shared" si="1615"/>
        <v>0</v>
      </c>
      <c r="C1283" s="1906">
        <f t="shared" si="1616"/>
        <v>0</v>
      </c>
      <c r="D1283" s="1906">
        <f t="shared" si="1617"/>
        <v>0</v>
      </c>
      <c r="E1283" s="1906">
        <f t="shared" si="1618"/>
        <v>0</v>
      </c>
      <c r="F1283" s="1906">
        <f t="shared" si="1619"/>
        <v>0</v>
      </c>
      <c r="G1283" s="1906">
        <f t="shared" si="1620"/>
        <v>0</v>
      </c>
      <c r="H1283" s="1906">
        <f t="shared" si="1621"/>
        <v>0</v>
      </c>
      <c r="I1283" s="1906">
        <f t="shared" si="1622"/>
        <v>0</v>
      </c>
      <c r="J1283" s="1906">
        <f t="shared" si="1623"/>
        <v>0</v>
      </c>
      <c r="K1283" s="1906">
        <f t="shared" si="1624"/>
        <v>0</v>
      </c>
      <c r="L1283" s="1906">
        <f t="shared" si="1625"/>
        <v>0</v>
      </c>
      <c r="M1283" s="1906">
        <f t="shared" si="1626"/>
        <v>0</v>
      </c>
      <c r="N1283" s="1906">
        <f t="shared" si="1627"/>
        <v>0</v>
      </c>
      <c r="O1283" s="107"/>
      <c r="P1283" s="1906"/>
      <c r="Q1283" s="1906">
        <f t="shared" si="1628"/>
        <v>0</v>
      </c>
      <c r="R1283" s="1906">
        <f t="shared" si="1629"/>
        <v>0</v>
      </c>
      <c r="S1283" s="1906">
        <f t="shared" si="1630"/>
        <v>0</v>
      </c>
      <c r="T1283" s="1906">
        <f t="shared" si="1631"/>
        <v>0</v>
      </c>
      <c r="U1283" s="1906">
        <f t="shared" si="1632"/>
        <v>0</v>
      </c>
      <c r="V1283" s="1906">
        <f t="shared" si="1633"/>
        <v>0</v>
      </c>
      <c r="W1283" s="1906">
        <f t="shared" si="1634"/>
        <v>0</v>
      </c>
      <c r="X1283" s="1906">
        <f t="shared" si="1635"/>
        <v>0</v>
      </c>
      <c r="Y1283" s="1906">
        <f t="shared" si="1636"/>
        <v>0</v>
      </c>
      <c r="Z1283" s="1906">
        <f t="shared" si="1637"/>
        <v>0</v>
      </c>
      <c r="AA1283" s="1906">
        <f t="shared" si="1638"/>
        <v>0</v>
      </c>
      <c r="AB1283" s="107"/>
      <c r="AC1283" s="1906">
        <f t="shared" si="1639"/>
        <v>0</v>
      </c>
      <c r="AD1283" s="1906">
        <f t="shared" si="1640"/>
        <v>0</v>
      </c>
      <c r="AE1283" s="1906">
        <f t="shared" si="1641"/>
        <v>0</v>
      </c>
      <c r="AF1283" s="1906">
        <f t="shared" si="1642"/>
        <v>0</v>
      </c>
      <c r="AG1283" s="1906">
        <f t="shared" si="1643"/>
        <v>0</v>
      </c>
      <c r="AH1283" s="1906">
        <f t="shared" si="1644"/>
        <v>0</v>
      </c>
      <c r="AI1283" s="1906">
        <f t="shared" si="1645"/>
        <v>0</v>
      </c>
      <c r="AJ1283" s="1906">
        <f t="shared" si="1646"/>
        <v>0</v>
      </c>
      <c r="AK1283" s="1906">
        <f t="shared" si="1647"/>
        <v>0</v>
      </c>
      <c r="AL1283" s="1906">
        <f t="shared" si="1648"/>
        <v>0</v>
      </c>
      <c r="AM1283" s="1906">
        <f t="shared" si="1649"/>
        <v>0</v>
      </c>
      <c r="AN1283" s="1906">
        <f t="shared" si="1650"/>
        <v>0</v>
      </c>
      <c r="AO1283" s="107"/>
      <c r="AP1283" s="1906">
        <f t="shared" si="1651"/>
        <v>0</v>
      </c>
      <c r="AQ1283" s="1906">
        <f t="shared" si="1652"/>
        <v>0</v>
      </c>
      <c r="AR1283" s="1906">
        <f t="shared" si="1653"/>
        <v>0</v>
      </c>
      <c r="AS1283" s="1906">
        <f t="shared" si="1654"/>
        <v>0</v>
      </c>
      <c r="AT1283" s="1906">
        <f t="shared" si="1655"/>
        <v>0</v>
      </c>
      <c r="AU1283" s="1906">
        <f t="shared" si="1656"/>
        <v>0</v>
      </c>
      <c r="AV1283" s="1906">
        <f t="shared" si="1657"/>
        <v>0</v>
      </c>
      <c r="AW1283" s="1906">
        <f t="shared" si="1658"/>
        <v>0</v>
      </c>
      <c r="AX1283" s="1906">
        <f t="shared" si="1659"/>
        <v>0</v>
      </c>
      <c r="AY1283" s="1906">
        <f t="shared" si="1660"/>
        <v>0</v>
      </c>
      <c r="AZ1283" s="1906">
        <f t="shared" si="1661"/>
        <v>0</v>
      </c>
      <c r="BA1283" s="1906">
        <f t="shared" si="1662"/>
        <v>0</v>
      </c>
      <c r="BB1283" s="107"/>
      <c r="BC1283" s="1906">
        <f t="shared" si="1663"/>
        <v>0</v>
      </c>
      <c r="BD1283" s="1906">
        <f t="shared" si="1664"/>
        <v>0</v>
      </c>
      <c r="BE1283" s="1906">
        <f t="shared" si="1665"/>
        <v>0</v>
      </c>
      <c r="BF1283" s="1906">
        <f t="shared" si="1666"/>
        <v>0</v>
      </c>
      <c r="BG1283" s="1906">
        <f t="shared" si="1667"/>
        <v>0</v>
      </c>
      <c r="BH1283" s="1906">
        <f t="shared" si="1668"/>
        <v>0</v>
      </c>
      <c r="BI1283" s="1906">
        <f t="shared" si="1669"/>
        <v>0</v>
      </c>
      <c r="BJ1283" s="1906">
        <f t="shared" si="1670"/>
        <v>0</v>
      </c>
      <c r="BK1283" s="1906">
        <f t="shared" si="1671"/>
        <v>0</v>
      </c>
      <c r="BL1283" s="1906">
        <f t="shared" si="1672"/>
        <v>0</v>
      </c>
      <c r="BM1283" s="1906">
        <f t="shared" si="1673"/>
        <v>0</v>
      </c>
      <c r="BN1283" s="1906">
        <f t="shared" si="1674"/>
        <v>0</v>
      </c>
      <c r="BO1283" s="107"/>
      <c r="BP1283" s="1906">
        <f t="shared" si="1675"/>
        <v>0</v>
      </c>
      <c r="BQ1283" s="1906">
        <f t="shared" si="1676"/>
        <v>0</v>
      </c>
      <c r="BR1283" s="1906">
        <f t="shared" si="1677"/>
        <v>0</v>
      </c>
      <c r="BS1283" s="1906">
        <f t="shared" si="1678"/>
        <v>0</v>
      </c>
      <c r="BT1283" s="1906">
        <f t="shared" si="1679"/>
        <v>0</v>
      </c>
      <c r="BU1283" s="1906">
        <f t="shared" si="1680"/>
        <v>0</v>
      </c>
      <c r="BV1283" s="1906">
        <f t="shared" si="1681"/>
        <v>0</v>
      </c>
      <c r="BW1283" s="1906">
        <f t="shared" si="1682"/>
        <v>0</v>
      </c>
      <c r="BX1283" s="1906">
        <f t="shared" si="1683"/>
        <v>0</v>
      </c>
      <c r="BY1283" s="1906">
        <f t="shared" si="1684"/>
        <v>0</v>
      </c>
      <c r="BZ1283" s="1906">
        <f t="shared" si="1685"/>
        <v>0</v>
      </c>
      <c r="CA1283" s="1906">
        <f t="shared" si="1686"/>
        <v>0</v>
      </c>
      <c r="CB1283" s="1971">
        <f t="shared" si="1687"/>
        <v>0</v>
      </c>
      <c r="CC1283" s="1906">
        <f t="shared" si="1688"/>
        <v>0</v>
      </c>
      <c r="CD1283" s="1906">
        <f t="shared" si="1689"/>
        <v>0</v>
      </c>
      <c r="CE1283" s="1906">
        <f t="shared" si="1690"/>
        <v>0</v>
      </c>
      <c r="CF1283" s="1906">
        <f t="shared" si="1691"/>
        <v>0</v>
      </c>
      <c r="CG1283" s="1906">
        <f t="shared" si="1692"/>
        <v>0</v>
      </c>
      <c r="CH1283" s="1906">
        <f t="shared" si="1693"/>
        <v>0</v>
      </c>
      <c r="CI1283" s="1906">
        <f t="shared" si="1694"/>
        <v>0</v>
      </c>
      <c r="CJ1283" s="1906">
        <f t="shared" si="1695"/>
        <v>0</v>
      </c>
      <c r="CK1283" s="1906">
        <f t="shared" si="1696"/>
        <v>0</v>
      </c>
      <c r="CL1283" s="1906">
        <f t="shared" si="1697"/>
        <v>0</v>
      </c>
      <c r="CM1283" s="1906">
        <f t="shared" si="1698"/>
        <v>0</v>
      </c>
      <c r="CN1283" s="1906">
        <f t="shared" si="1699"/>
        <v>0</v>
      </c>
      <c r="CO1283" s="595">
        <f t="shared" si="1700"/>
        <v>0</v>
      </c>
      <c r="CP1283" s="1443">
        <f t="shared" si="1701"/>
        <v>0</v>
      </c>
      <c r="EF1283" s="5"/>
    </row>
    <row r="1284" spans="1:136" x14ac:dyDescent="0.2">
      <c r="A1284" s="6"/>
      <c r="B1284" s="1971">
        <f t="shared" si="1615"/>
        <v>0</v>
      </c>
      <c r="C1284" s="1906">
        <f t="shared" si="1616"/>
        <v>0</v>
      </c>
      <c r="D1284" s="1906">
        <f t="shared" si="1617"/>
        <v>0</v>
      </c>
      <c r="E1284" s="1906">
        <f t="shared" si="1618"/>
        <v>0</v>
      </c>
      <c r="F1284" s="1906">
        <f t="shared" si="1619"/>
        <v>0</v>
      </c>
      <c r="G1284" s="1906">
        <f t="shared" si="1620"/>
        <v>0</v>
      </c>
      <c r="H1284" s="1906">
        <f t="shared" si="1621"/>
        <v>0</v>
      </c>
      <c r="I1284" s="1906">
        <f t="shared" si="1622"/>
        <v>0</v>
      </c>
      <c r="J1284" s="1906">
        <f t="shared" si="1623"/>
        <v>0</v>
      </c>
      <c r="K1284" s="1906">
        <f t="shared" si="1624"/>
        <v>0</v>
      </c>
      <c r="L1284" s="1906">
        <f t="shared" si="1625"/>
        <v>0</v>
      </c>
      <c r="M1284" s="1906">
        <f t="shared" si="1626"/>
        <v>0</v>
      </c>
      <c r="N1284" s="1906">
        <f t="shared" si="1627"/>
        <v>0</v>
      </c>
      <c r="O1284" s="107"/>
      <c r="P1284" s="1906"/>
      <c r="Q1284" s="1906">
        <f t="shared" si="1628"/>
        <v>0</v>
      </c>
      <c r="R1284" s="1906">
        <f t="shared" si="1629"/>
        <v>0</v>
      </c>
      <c r="S1284" s="1906">
        <f t="shared" si="1630"/>
        <v>0</v>
      </c>
      <c r="T1284" s="1906">
        <f t="shared" si="1631"/>
        <v>0</v>
      </c>
      <c r="U1284" s="1906">
        <f t="shared" si="1632"/>
        <v>0</v>
      </c>
      <c r="V1284" s="1906">
        <f t="shared" si="1633"/>
        <v>0</v>
      </c>
      <c r="W1284" s="1906">
        <f t="shared" si="1634"/>
        <v>0</v>
      </c>
      <c r="X1284" s="1906">
        <f t="shared" si="1635"/>
        <v>0</v>
      </c>
      <c r="Y1284" s="1906">
        <f t="shared" si="1636"/>
        <v>0</v>
      </c>
      <c r="Z1284" s="1906">
        <f t="shared" si="1637"/>
        <v>0</v>
      </c>
      <c r="AA1284" s="1906">
        <f t="shared" si="1638"/>
        <v>0</v>
      </c>
      <c r="AB1284" s="107"/>
      <c r="AC1284" s="1906">
        <f t="shared" si="1639"/>
        <v>0</v>
      </c>
      <c r="AD1284" s="1906">
        <f t="shared" si="1640"/>
        <v>0</v>
      </c>
      <c r="AE1284" s="1906">
        <f t="shared" si="1641"/>
        <v>0</v>
      </c>
      <c r="AF1284" s="1906">
        <f t="shared" si="1642"/>
        <v>0</v>
      </c>
      <c r="AG1284" s="1906">
        <f t="shared" si="1643"/>
        <v>0</v>
      </c>
      <c r="AH1284" s="1906">
        <f t="shared" si="1644"/>
        <v>0</v>
      </c>
      <c r="AI1284" s="1906">
        <f t="shared" si="1645"/>
        <v>0</v>
      </c>
      <c r="AJ1284" s="1906">
        <f t="shared" si="1646"/>
        <v>0</v>
      </c>
      <c r="AK1284" s="1906">
        <f t="shared" si="1647"/>
        <v>0</v>
      </c>
      <c r="AL1284" s="1906">
        <f t="shared" si="1648"/>
        <v>0</v>
      </c>
      <c r="AM1284" s="1906">
        <f t="shared" si="1649"/>
        <v>0</v>
      </c>
      <c r="AN1284" s="1906">
        <f t="shared" si="1650"/>
        <v>0</v>
      </c>
      <c r="AO1284" s="107"/>
      <c r="AP1284" s="1906">
        <f t="shared" si="1651"/>
        <v>0</v>
      </c>
      <c r="AQ1284" s="1906">
        <f t="shared" si="1652"/>
        <v>0</v>
      </c>
      <c r="AR1284" s="1906">
        <f t="shared" si="1653"/>
        <v>0</v>
      </c>
      <c r="AS1284" s="1906">
        <f t="shared" si="1654"/>
        <v>0</v>
      </c>
      <c r="AT1284" s="1906">
        <f t="shared" si="1655"/>
        <v>0</v>
      </c>
      <c r="AU1284" s="1906">
        <f t="shared" si="1656"/>
        <v>0</v>
      </c>
      <c r="AV1284" s="1906">
        <f t="shared" si="1657"/>
        <v>0</v>
      </c>
      <c r="AW1284" s="1906">
        <f t="shared" si="1658"/>
        <v>0</v>
      </c>
      <c r="AX1284" s="1906">
        <f t="shared" si="1659"/>
        <v>0</v>
      </c>
      <c r="AY1284" s="1906">
        <f t="shared" si="1660"/>
        <v>0</v>
      </c>
      <c r="AZ1284" s="1906">
        <f t="shared" si="1661"/>
        <v>0</v>
      </c>
      <c r="BA1284" s="1906">
        <f t="shared" si="1662"/>
        <v>0</v>
      </c>
      <c r="BB1284" s="107"/>
      <c r="BC1284" s="1906">
        <f t="shared" si="1663"/>
        <v>0</v>
      </c>
      <c r="BD1284" s="1906">
        <f t="shared" si="1664"/>
        <v>0</v>
      </c>
      <c r="BE1284" s="1906">
        <f t="shared" si="1665"/>
        <v>0</v>
      </c>
      <c r="BF1284" s="1906">
        <f t="shared" si="1666"/>
        <v>0</v>
      </c>
      <c r="BG1284" s="1906">
        <f t="shared" si="1667"/>
        <v>0</v>
      </c>
      <c r="BH1284" s="1906">
        <f t="shared" si="1668"/>
        <v>0</v>
      </c>
      <c r="BI1284" s="1906">
        <f t="shared" si="1669"/>
        <v>0</v>
      </c>
      <c r="BJ1284" s="1906">
        <f t="shared" si="1670"/>
        <v>0</v>
      </c>
      <c r="BK1284" s="1906">
        <f t="shared" si="1671"/>
        <v>0</v>
      </c>
      <c r="BL1284" s="1906">
        <f t="shared" si="1672"/>
        <v>0</v>
      </c>
      <c r="BM1284" s="1906">
        <f t="shared" si="1673"/>
        <v>0</v>
      </c>
      <c r="BN1284" s="1906">
        <f t="shared" si="1674"/>
        <v>0</v>
      </c>
      <c r="BO1284" s="107"/>
      <c r="BP1284" s="1906">
        <f t="shared" si="1675"/>
        <v>0</v>
      </c>
      <c r="BQ1284" s="1906">
        <f t="shared" si="1676"/>
        <v>0</v>
      </c>
      <c r="BR1284" s="1906">
        <f t="shared" si="1677"/>
        <v>0</v>
      </c>
      <c r="BS1284" s="1906">
        <f t="shared" si="1678"/>
        <v>0</v>
      </c>
      <c r="BT1284" s="1906">
        <f t="shared" si="1679"/>
        <v>0</v>
      </c>
      <c r="BU1284" s="1906">
        <f t="shared" si="1680"/>
        <v>0</v>
      </c>
      <c r="BV1284" s="1906">
        <f t="shared" si="1681"/>
        <v>0</v>
      </c>
      <c r="BW1284" s="1906">
        <f t="shared" si="1682"/>
        <v>0</v>
      </c>
      <c r="BX1284" s="1906">
        <f t="shared" si="1683"/>
        <v>0</v>
      </c>
      <c r="BY1284" s="1906">
        <f t="shared" si="1684"/>
        <v>0</v>
      </c>
      <c r="BZ1284" s="1906">
        <f t="shared" si="1685"/>
        <v>0</v>
      </c>
      <c r="CA1284" s="1906">
        <f t="shared" si="1686"/>
        <v>0</v>
      </c>
      <c r="CB1284" s="1971">
        <f t="shared" si="1687"/>
        <v>0</v>
      </c>
      <c r="CC1284" s="1906">
        <f t="shared" si="1688"/>
        <v>0</v>
      </c>
      <c r="CD1284" s="1906">
        <f t="shared" si="1689"/>
        <v>0</v>
      </c>
      <c r="CE1284" s="1906">
        <f t="shared" si="1690"/>
        <v>0</v>
      </c>
      <c r="CF1284" s="1906">
        <f t="shared" si="1691"/>
        <v>0</v>
      </c>
      <c r="CG1284" s="1906">
        <f t="shared" si="1692"/>
        <v>0</v>
      </c>
      <c r="CH1284" s="1906">
        <f t="shared" si="1693"/>
        <v>0</v>
      </c>
      <c r="CI1284" s="1906">
        <f t="shared" si="1694"/>
        <v>0</v>
      </c>
      <c r="CJ1284" s="1906">
        <f t="shared" si="1695"/>
        <v>0</v>
      </c>
      <c r="CK1284" s="1906">
        <f t="shared" si="1696"/>
        <v>0</v>
      </c>
      <c r="CL1284" s="1906">
        <f t="shared" si="1697"/>
        <v>0</v>
      </c>
      <c r="CM1284" s="1906">
        <f t="shared" si="1698"/>
        <v>0</v>
      </c>
      <c r="CN1284" s="1906">
        <f t="shared" si="1699"/>
        <v>0</v>
      </c>
      <c r="CO1284" s="595">
        <f t="shared" si="1700"/>
        <v>0</v>
      </c>
      <c r="CP1284" s="1443">
        <f t="shared" si="1701"/>
        <v>0</v>
      </c>
      <c r="EF1284" s="5"/>
    </row>
    <row r="1285" spans="1:136" x14ac:dyDescent="0.2">
      <c r="A1285" s="6"/>
      <c r="B1285" s="1971">
        <f t="shared" si="1615"/>
        <v>0</v>
      </c>
      <c r="C1285" s="1906">
        <f t="shared" si="1616"/>
        <v>0</v>
      </c>
      <c r="D1285" s="1906">
        <f t="shared" si="1617"/>
        <v>0</v>
      </c>
      <c r="E1285" s="1906">
        <f t="shared" si="1618"/>
        <v>0</v>
      </c>
      <c r="F1285" s="1906">
        <f t="shared" si="1619"/>
        <v>0</v>
      </c>
      <c r="G1285" s="1906">
        <f t="shared" si="1620"/>
        <v>0</v>
      </c>
      <c r="H1285" s="1906">
        <f t="shared" si="1621"/>
        <v>0</v>
      </c>
      <c r="I1285" s="1906">
        <f t="shared" si="1622"/>
        <v>0</v>
      </c>
      <c r="J1285" s="1906">
        <f t="shared" si="1623"/>
        <v>0</v>
      </c>
      <c r="K1285" s="1906">
        <f t="shared" si="1624"/>
        <v>0</v>
      </c>
      <c r="L1285" s="1906">
        <f t="shared" si="1625"/>
        <v>0</v>
      </c>
      <c r="M1285" s="1906">
        <f t="shared" si="1626"/>
        <v>0</v>
      </c>
      <c r="N1285" s="1906">
        <f t="shared" si="1627"/>
        <v>0</v>
      </c>
      <c r="O1285" s="107"/>
      <c r="P1285" s="1906"/>
      <c r="Q1285" s="1906">
        <f t="shared" si="1628"/>
        <v>0</v>
      </c>
      <c r="R1285" s="1906">
        <f t="shared" si="1629"/>
        <v>0</v>
      </c>
      <c r="S1285" s="1906">
        <f t="shared" si="1630"/>
        <v>0</v>
      </c>
      <c r="T1285" s="1906">
        <f t="shared" si="1631"/>
        <v>0</v>
      </c>
      <c r="U1285" s="1906">
        <f t="shared" si="1632"/>
        <v>0</v>
      </c>
      <c r="V1285" s="1906">
        <f t="shared" si="1633"/>
        <v>0</v>
      </c>
      <c r="W1285" s="1906">
        <f t="shared" si="1634"/>
        <v>0</v>
      </c>
      <c r="X1285" s="1906">
        <f t="shared" si="1635"/>
        <v>0</v>
      </c>
      <c r="Y1285" s="1906">
        <f t="shared" si="1636"/>
        <v>0</v>
      </c>
      <c r="Z1285" s="1906">
        <f t="shared" si="1637"/>
        <v>0</v>
      </c>
      <c r="AA1285" s="1906">
        <f t="shared" si="1638"/>
        <v>0</v>
      </c>
      <c r="AB1285" s="107"/>
      <c r="AC1285" s="1906">
        <f t="shared" si="1639"/>
        <v>0</v>
      </c>
      <c r="AD1285" s="1906">
        <f t="shared" si="1640"/>
        <v>0</v>
      </c>
      <c r="AE1285" s="1906">
        <f t="shared" si="1641"/>
        <v>0</v>
      </c>
      <c r="AF1285" s="1906">
        <f t="shared" si="1642"/>
        <v>0</v>
      </c>
      <c r="AG1285" s="1906">
        <f t="shared" si="1643"/>
        <v>0</v>
      </c>
      <c r="AH1285" s="1906">
        <f t="shared" si="1644"/>
        <v>0</v>
      </c>
      <c r="AI1285" s="1906">
        <f t="shared" si="1645"/>
        <v>0</v>
      </c>
      <c r="AJ1285" s="1906">
        <f t="shared" si="1646"/>
        <v>0</v>
      </c>
      <c r="AK1285" s="1906">
        <f t="shared" si="1647"/>
        <v>0</v>
      </c>
      <c r="AL1285" s="1906">
        <f t="shared" si="1648"/>
        <v>0</v>
      </c>
      <c r="AM1285" s="1906">
        <f t="shared" si="1649"/>
        <v>0</v>
      </c>
      <c r="AN1285" s="1906">
        <f t="shared" si="1650"/>
        <v>0</v>
      </c>
      <c r="AO1285" s="107"/>
      <c r="AP1285" s="1906">
        <f t="shared" si="1651"/>
        <v>0</v>
      </c>
      <c r="AQ1285" s="1906">
        <f t="shared" si="1652"/>
        <v>0</v>
      </c>
      <c r="AR1285" s="1906">
        <f t="shared" si="1653"/>
        <v>0</v>
      </c>
      <c r="AS1285" s="1906">
        <f t="shared" si="1654"/>
        <v>0</v>
      </c>
      <c r="AT1285" s="1906">
        <f t="shared" si="1655"/>
        <v>0</v>
      </c>
      <c r="AU1285" s="1906">
        <f t="shared" si="1656"/>
        <v>0</v>
      </c>
      <c r="AV1285" s="1906">
        <f t="shared" si="1657"/>
        <v>0</v>
      </c>
      <c r="AW1285" s="1906">
        <f t="shared" si="1658"/>
        <v>0</v>
      </c>
      <c r="AX1285" s="1906">
        <f t="shared" si="1659"/>
        <v>0</v>
      </c>
      <c r="AY1285" s="1906">
        <f t="shared" si="1660"/>
        <v>0</v>
      </c>
      <c r="AZ1285" s="1906">
        <f t="shared" si="1661"/>
        <v>0</v>
      </c>
      <c r="BA1285" s="1906">
        <f t="shared" si="1662"/>
        <v>0</v>
      </c>
      <c r="BB1285" s="107"/>
      <c r="BC1285" s="1906">
        <f t="shared" si="1663"/>
        <v>0</v>
      </c>
      <c r="BD1285" s="1906">
        <f t="shared" si="1664"/>
        <v>0</v>
      </c>
      <c r="BE1285" s="1906">
        <f t="shared" si="1665"/>
        <v>0</v>
      </c>
      <c r="BF1285" s="1906">
        <f t="shared" si="1666"/>
        <v>0</v>
      </c>
      <c r="BG1285" s="1906">
        <f t="shared" si="1667"/>
        <v>0</v>
      </c>
      <c r="BH1285" s="1906">
        <f t="shared" si="1668"/>
        <v>0</v>
      </c>
      <c r="BI1285" s="1906">
        <f t="shared" si="1669"/>
        <v>0</v>
      </c>
      <c r="BJ1285" s="1906">
        <f t="shared" si="1670"/>
        <v>0</v>
      </c>
      <c r="BK1285" s="1906">
        <f t="shared" si="1671"/>
        <v>0</v>
      </c>
      <c r="BL1285" s="1906">
        <f t="shared" si="1672"/>
        <v>0</v>
      </c>
      <c r="BM1285" s="1906">
        <f t="shared" si="1673"/>
        <v>0</v>
      </c>
      <c r="BN1285" s="1906">
        <f t="shared" si="1674"/>
        <v>0</v>
      </c>
      <c r="BO1285" s="107"/>
      <c r="BP1285" s="1906">
        <f t="shared" si="1675"/>
        <v>0</v>
      </c>
      <c r="BQ1285" s="1906">
        <f t="shared" si="1676"/>
        <v>0</v>
      </c>
      <c r="BR1285" s="1906">
        <f t="shared" si="1677"/>
        <v>0</v>
      </c>
      <c r="BS1285" s="1906">
        <f t="shared" si="1678"/>
        <v>0</v>
      </c>
      <c r="BT1285" s="1906">
        <f t="shared" si="1679"/>
        <v>0</v>
      </c>
      <c r="BU1285" s="1906">
        <f t="shared" si="1680"/>
        <v>0</v>
      </c>
      <c r="BV1285" s="1906">
        <f t="shared" si="1681"/>
        <v>0</v>
      </c>
      <c r="BW1285" s="1906">
        <f t="shared" si="1682"/>
        <v>0</v>
      </c>
      <c r="BX1285" s="1906">
        <f t="shared" si="1683"/>
        <v>0</v>
      </c>
      <c r="BY1285" s="1906">
        <f t="shared" si="1684"/>
        <v>0</v>
      </c>
      <c r="BZ1285" s="1906">
        <f t="shared" si="1685"/>
        <v>0</v>
      </c>
      <c r="CA1285" s="1906">
        <f t="shared" si="1686"/>
        <v>0</v>
      </c>
      <c r="CB1285" s="1971">
        <f t="shared" si="1687"/>
        <v>0</v>
      </c>
      <c r="CC1285" s="1906">
        <f t="shared" si="1688"/>
        <v>0</v>
      </c>
      <c r="CD1285" s="1906">
        <f t="shared" si="1689"/>
        <v>0</v>
      </c>
      <c r="CE1285" s="1906">
        <f t="shared" si="1690"/>
        <v>0</v>
      </c>
      <c r="CF1285" s="1906">
        <f t="shared" si="1691"/>
        <v>0</v>
      </c>
      <c r="CG1285" s="1906">
        <f t="shared" si="1692"/>
        <v>0</v>
      </c>
      <c r="CH1285" s="1906">
        <f t="shared" si="1693"/>
        <v>0</v>
      </c>
      <c r="CI1285" s="1906">
        <f t="shared" si="1694"/>
        <v>0</v>
      </c>
      <c r="CJ1285" s="1906">
        <f t="shared" si="1695"/>
        <v>0</v>
      </c>
      <c r="CK1285" s="1906">
        <f t="shared" si="1696"/>
        <v>0</v>
      </c>
      <c r="CL1285" s="1906">
        <f t="shared" si="1697"/>
        <v>0</v>
      </c>
      <c r="CM1285" s="1906">
        <f t="shared" si="1698"/>
        <v>0</v>
      </c>
      <c r="CN1285" s="1906">
        <f t="shared" si="1699"/>
        <v>0</v>
      </c>
      <c r="CO1285" s="595">
        <f t="shared" si="1700"/>
        <v>0</v>
      </c>
      <c r="CP1285" s="1443">
        <f t="shared" si="1701"/>
        <v>0</v>
      </c>
      <c r="EF1285" s="5"/>
    </row>
    <row r="1286" spans="1:136" x14ac:dyDescent="0.2">
      <c r="A1286" s="6"/>
      <c r="B1286" s="1971" t="str">
        <f t="shared" si="1615"/>
        <v>Alfalfa 2</v>
      </c>
      <c r="C1286" s="1906">
        <f t="shared" si="1616"/>
        <v>0</v>
      </c>
      <c r="D1286" s="1906">
        <f t="shared" si="1617"/>
        <v>0</v>
      </c>
      <c r="E1286" s="1906">
        <f t="shared" si="1618"/>
        <v>0</v>
      </c>
      <c r="F1286" s="1906">
        <f t="shared" si="1619"/>
        <v>0</v>
      </c>
      <c r="G1286" s="1906">
        <f t="shared" si="1620"/>
        <v>0</v>
      </c>
      <c r="H1286" s="1906">
        <f t="shared" si="1621"/>
        <v>0</v>
      </c>
      <c r="I1286" s="1906">
        <f t="shared" si="1622"/>
        <v>0</v>
      </c>
      <c r="J1286" s="1906">
        <f t="shared" si="1623"/>
        <v>0</v>
      </c>
      <c r="K1286" s="1906">
        <f t="shared" si="1624"/>
        <v>0</v>
      </c>
      <c r="L1286" s="1906">
        <f t="shared" si="1625"/>
        <v>0</v>
      </c>
      <c r="M1286" s="1906">
        <f t="shared" si="1626"/>
        <v>0</v>
      </c>
      <c r="N1286" s="1906">
        <f t="shared" si="1627"/>
        <v>0</v>
      </c>
      <c r="O1286" s="107"/>
      <c r="P1286" s="1906"/>
      <c r="Q1286" s="1906">
        <f t="shared" si="1628"/>
        <v>0</v>
      </c>
      <c r="R1286" s="1906">
        <f t="shared" si="1629"/>
        <v>0</v>
      </c>
      <c r="S1286" s="1906">
        <f t="shared" si="1630"/>
        <v>0</v>
      </c>
      <c r="T1286" s="1906">
        <f t="shared" si="1631"/>
        <v>0</v>
      </c>
      <c r="U1286" s="1906">
        <f t="shared" si="1632"/>
        <v>0</v>
      </c>
      <c r="V1286" s="1906">
        <f t="shared" si="1633"/>
        <v>0</v>
      </c>
      <c r="W1286" s="1906">
        <f t="shared" si="1634"/>
        <v>0</v>
      </c>
      <c r="X1286" s="1906">
        <f t="shared" si="1635"/>
        <v>0</v>
      </c>
      <c r="Y1286" s="1906">
        <f t="shared" si="1636"/>
        <v>0</v>
      </c>
      <c r="Z1286" s="1906">
        <f t="shared" si="1637"/>
        <v>0</v>
      </c>
      <c r="AA1286" s="1906">
        <f t="shared" si="1638"/>
        <v>0</v>
      </c>
      <c r="AB1286" s="107"/>
      <c r="AC1286" s="1906">
        <f t="shared" si="1639"/>
        <v>0</v>
      </c>
      <c r="AD1286" s="1906">
        <f t="shared" si="1640"/>
        <v>0</v>
      </c>
      <c r="AE1286" s="1906">
        <f t="shared" si="1641"/>
        <v>0</v>
      </c>
      <c r="AF1286" s="1906">
        <f t="shared" si="1642"/>
        <v>0</v>
      </c>
      <c r="AG1286" s="1906">
        <f t="shared" si="1643"/>
        <v>0</v>
      </c>
      <c r="AH1286" s="1906">
        <f t="shared" si="1644"/>
        <v>0</v>
      </c>
      <c r="AI1286" s="1906">
        <f t="shared" si="1645"/>
        <v>0</v>
      </c>
      <c r="AJ1286" s="1906">
        <f t="shared" si="1646"/>
        <v>0</v>
      </c>
      <c r="AK1286" s="1906">
        <f t="shared" si="1647"/>
        <v>0</v>
      </c>
      <c r="AL1286" s="1906">
        <f t="shared" si="1648"/>
        <v>0</v>
      </c>
      <c r="AM1286" s="1906">
        <f t="shared" si="1649"/>
        <v>0</v>
      </c>
      <c r="AN1286" s="1906">
        <f t="shared" si="1650"/>
        <v>0</v>
      </c>
      <c r="AO1286" s="107"/>
      <c r="AP1286" s="1906">
        <f t="shared" si="1651"/>
        <v>0</v>
      </c>
      <c r="AQ1286" s="1906">
        <f t="shared" si="1652"/>
        <v>0</v>
      </c>
      <c r="AR1286" s="1906">
        <f t="shared" si="1653"/>
        <v>0</v>
      </c>
      <c r="AS1286" s="1906">
        <f t="shared" si="1654"/>
        <v>0</v>
      </c>
      <c r="AT1286" s="1906">
        <f t="shared" si="1655"/>
        <v>0</v>
      </c>
      <c r="AU1286" s="1906">
        <f t="shared" si="1656"/>
        <v>0</v>
      </c>
      <c r="AV1286" s="1906">
        <f t="shared" si="1657"/>
        <v>0</v>
      </c>
      <c r="AW1286" s="1906">
        <f t="shared" si="1658"/>
        <v>0</v>
      </c>
      <c r="AX1286" s="1906">
        <f t="shared" si="1659"/>
        <v>0</v>
      </c>
      <c r="AY1286" s="1906">
        <f t="shared" si="1660"/>
        <v>0</v>
      </c>
      <c r="AZ1286" s="1906">
        <f t="shared" si="1661"/>
        <v>0</v>
      </c>
      <c r="BA1286" s="1906">
        <f t="shared" si="1662"/>
        <v>0</v>
      </c>
      <c r="BB1286" s="107"/>
      <c r="BC1286" s="1906">
        <f t="shared" si="1663"/>
        <v>0</v>
      </c>
      <c r="BD1286" s="1906">
        <f t="shared" si="1664"/>
        <v>0</v>
      </c>
      <c r="BE1286" s="1906">
        <f t="shared" si="1665"/>
        <v>0</v>
      </c>
      <c r="BF1286" s="1906">
        <f t="shared" si="1666"/>
        <v>0</v>
      </c>
      <c r="BG1286" s="1906">
        <f t="shared" si="1667"/>
        <v>0</v>
      </c>
      <c r="BH1286" s="1906">
        <f t="shared" si="1668"/>
        <v>0</v>
      </c>
      <c r="BI1286" s="1906">
        <f t="shared" si="1669"/>
        <v>0</v>
      </c>
      <c r="BJ1286" s="1906">
        <f t="shared" si="1670"/>
        <v>0</v>
      </c>
      <c r="BK1286" s="1906">
        <f t="shared" si="1671"/>
        <v>0</v>
      </c>
      <c r="BL1286" s="1906">
        <f t="shared" si="1672"/>
        <v>0</v>
      </c>
      <c r="BM1286" s="1906">
        <f t="shared" si="1673"/>
        <v>0</v>
      </c>
      <c r="BN1286" s="1906">
        <f t="shared" si="1674"/>
        <v>0</v>
      </c>
      <c r="BO1286" s="107"/>
      <c r="BP1286" s="1906">
        <f t="shared" si="1675"/>
        <v>0</v>
      </c>
      <c r="BQ1286" s="1906">
        <f t="shared" si="1676"/>
        <v>0</v>
      </c>
      <c r="BR1286" s="1906">
        <f t="shared" si="1677"/>
        <v>0</v>
      </c>
      <c r="BS1286" s="1906">
        <f t="shared" si="1678"/>
        <v>0</v>
      </c>
      <c r="BT1286" s="1906">
        <f t="shared" si="1679"/>
        <v>0</v>
      </c>
      <c r="BU1286" s="1906">
        <f t="shared" si="1680"/>
        <v>0</v>
      </c>
      <c r="BV1286" s="1906">
        <f t="shared" si="1681"/>
        <v>0</v>
      </c>
      <c r="BW1286" s="1906">
        <f t="shared" si="1682"/>
        <v>0</v>
      </c>
      <c r="BX1286" s="1906">
        <f t="shared" si="1683"/>
        <v>0</v>
      </c>
      <c r="BY1286" s="1906">
        <f t="shared" si="1684"/>
        <v>0</v>
      </c>
      <c r="BZ1286" s="1906">
        <f t="shared" si="1685"/>
        <v>0</v>
      </c>
      <c r="CA1286" s="1906">
        <f t="shared" si="1686"/>
        <v>0</v>
      </c>
      <c r="CB1286" s="1971" t="str">
        <f t="shared" si="1687"/>
        <v>Alfalfa 2</v>
      </c>
      <c r="CC1286" s="1906">
        <f t="shared" si="1688"/>
        <v>0</v>
      </c>
      <c r="CD1286" s="1906">
        <f t="shared" si="1689"/>
        <v>0</v>
      </c>
      <c r="CE1286" s="1906">
        <f t="shared" si="1690"/>
        <v>0</v>
      </c>
      <c r="CF1286" s="1906">
        <f t="shared" si="1691"/>
        <v>0</v>
      </c>
      <c r="CG1286" s="1906">
        <f t="shared" si="1692"/>
        <v>0</v>
      </c>
      <c r="CH1286" s="1906">
        <f t="shared" si="1693"/>
        <v>0</v>
      </c>
      <c r="CI1286" s="1906">
        <f t="shared" si="1694"/>
        <v>0</v>
      </c>
      <c r="CJ1286" s="1906">
        <f t="shared" si="1695"/>
        <v>0</v>
      </c>
      <c r="CK1286" s="1906">
        <f t="shared" si="1696"/>
        <v>0</v>
      </c>
      <c r="CL1286" s="1906">
        <f t="shared" si="1697"/>
        <v>0</v>
      </c>
      <c r="CM1286" s="1906">
        <f t="shared" si="1698"/>
        <v>0</v>
      </c>
      <c r="CN1286" s="1906">
        <f t="shared" si="1699"/>
        <v>0</v>
      </c>
      <c r="CO1286" s="595" t="str">
        <f t="shared" si="1700"/>
        <v>Alfalfa 2</v>
      </c>
      <c r="CP1286" s="1443">
        <f t="shared" si="1701"/>
        <v>0</v>
      </c>
      <c r="EF1286" s="5"/>
    </row>
    <row r="1287" spans="1:136" x14ac:dyDescent="0.2">
      <c r="A1287" s="6"/>
      <c r="B1287" s="1971" t="str">
        <f t="shared" si="1615"/>
        <v>Alfalfa 3</v>
      </c>
      <c r="C1287" s="1906">
        <f t="shared" si="1616"/>
        <v>0</v>
      </c>
      <c r="D1287" s="1906">
        <f t="shared" si="1617"/>
        <v>0</v>
      </c>
      <c r="E1287" s="1906">
        <f t="shared" si="1618"/>
        <v>0</v>
      </c>
      <c r="F1287" s="1906">
        <f t="shared" si="1619"/>
        <v>0</v>
      </c>
      <c r="G1287" s="1906">
        <f t="shared" si="1620"/>
        <v>0</v>
      </c>
      <c r="H1287" s="1906">
        <f t="shared" si="1621"/>
        <v>0</v>
      </c>
      <c r="I1287" s="1906">
        <f t="shared" si="1622"/>
        <v>0</v>
      </c>
      <c r="J1287" s="1906">
        <f t="shared" si="1623"/>
        <v>0</v>
      </c>
      <c r="K1287" s="1906">
        <f t="shared" si="1624"/>
        <v>0</v>
      </c>
      <c r="L1287" s="1906">
        <f t="shared" si="1625"/>
        <v>0</v>
      </c>
      <c r="M1287" s="1906">
        <f t="shared" si="1626"/>
        <v>0</v>
      </c>
      <c r="N1287" s="1906">
        <f t="shared" si="1627"/>
        <v>0</v>
      </c>
      <c r="O1287" s="107"/>
      <c r="P1287" s="1906"/>
      <c r="Q1287" s="1906">
        <f t="shared" si="1628"/>
        <v>0</v>
      </c>
      <c r="R1287" s="1906">
        <f t="shared" si="1629"/>
        <v>0</v>
      </c>
      <c r="S1287" s="1906">
        <f t="shared" si="1630"/>
        <v>0</v>
      </c>
      <c r="T1287" s="1906">
        <f t="shared" si="1631"/>
        <v>0</v>
      </c>
      <c r="U1287" s="1906">
        <f t="shared" si="1632"/>
        <v>0</v>
      </c>
      <c r="V1287" s="1906">
        <f t="shared" si="1633"/>
        <v>0</v>
      </c>
      <c r="W1287" s="1906">
        <f t="shared" si="1634"/>
        <v>0</v>
      </c>
      <c r="X1287" s="1906">
        <f t="shared" si="1635"/>
        <v>0</v>
      </c>
      <c r="Y1287" s="1906">
        <f t="shared" si="1636"/>
        <v>0</v>
      </c>
      <c r="Z1287" s="1906">
        <f t="shared" si="1637"/>
        <v>0</v>
      </c>
      <c r="AA1287" s="1906">
        <f t="shared" si="1638"/>
        <v>0</v>
      </c>
      <c r="AB1287" s="107"/>
      <c r="AC1287" s="1906">
        <f t="shared" si="1639"/>
        <v>0</v>
      </c>
      <c r="AD1287" s="1906">
        <f t="shared" si="1640"/>
        <v>0</v>
      </c>
      <c r="AE1287" s="1906">
        <f t="shared" si="1641"/>
        <v>0</v>
      </c>
      <c r="AF1287" s="1906">
        <f t="shared" si="1642"/>
        <v>0</v>
      </c>
      <c r="AG1287" s="1906">
        <f t="shared" si="1643"/>
        <v>0</v>
      </c>
      <c r="AH1287" s="1906">
        <f t="shared" si="1644"/>
        <v>0</v>
      </c>
      <c r="AI1287" s="1906">
        <f t="shared" si="1645"/>
        <v>0</v>
      </c>
      <c r="AJ1287" s="1906">
        <f t="shared" si="1646"/>
        <v>0</v>
      </c>
      <c r="AK1287" s="1906">
        <f t="shared" si="1647"/>
        <v>0</v>
      </c>
      <c r="AL1287" s="1906">
        <f t="shared" si="1648"/>
        <v>0</v>
      </c>
      <c r="AM1287" s="1906">
        <f t="shared" si="1649"/>
        <v>0</v>
      </c>
      <c r="AN1287" s="1906">
        <f t="shared" si="1650"/>
        <v>0</v>
      </c>
      <c r="AO1287" s="107"/>
      <c r="AP1287" s="1906">
        <f t="shared" si="1651"/>
        <v>0</v>
      </c>
      <c r="AQ1287" s="1906">
        <f t="shared" si="1652"/>
        <v>0</v>
      </c>
      <c r="AR1287" s="1906">
        <f t="shared" si="1653"/>
        <v>0</v>
      </c>
      <c r="AS1287" s="1906">
        <f t="shared" si="1654"/>
        <v>0</v>
      </c>
      <c r="AT1287" s="1906">
        <f t="shared" si="1655"/>
        <v>0</v>
      </c>
      <c r="AU1287" s="1906">
        <f t="shared" si="1656"/>
        <v>0</v>
      </c>
      <c r="AV1287" s="1906">
        <f t="shared" si="1657"/>
        <v>0</v>
      </c>
      <c r="AW1287" s="1906">
        <f t="shared" si="1658"/>
        <v>0</v>
      </c>
      <c r="AX1287" s="1906">
        <f t="shared" si="1659"/>
        <v>0</v>
      </c>
      <c r="AY1287" s="1906">
        <f t="shared" si="1660"/>
        <v>0</v>
      </c>
      <c r="AZ1287" s="1906">
        <f t="shared" si="1661"/>
        <v>0</v>
      </c>
      <c r="BA1287" s="1906">
        <f t="shared" si="1662"/>
        <v>0</v>
      </c>
      <c r="BB1287" s="107"/>
      <c r="BC1287" s="1906">
        <f t="shared" si="1663"/>
        <v>0</v>
      </c>
      <c r="BD1287" s="1906">
        <f t="shared" si="1664"/>
        <v>0</v>
      </c>
      <c r="BE1287" s="1906">
        <f t="shared" si="1665"/>
        <v>0</v>
      </c>
      <c r="BF1287" s="1906">
        <f t="shared" si="1666"/>
        <v>0</v>
      </c>
      <c r="BG1287" s="1906">
        <f t="shared" si="1667"/>
        <v>0</v>
      </c>
      <c r="BH1287" s="1906">
        <f t="shared" si="1668"/>
        <v>0</v>
      </c>
      <c r="BI1287" s="1906">
        <f t="shared" si="1669"/>
        <v>0</v>
      </c>
      <c r="BJ1287" s="1906">
        <f t="shared" si="1670"/>
        <v>0</v>
      </c>
      <c r="BK1287" s="1906">
        <f t="shared" si="1671"/>
        <v>0</v>
      </c>
      <c r="BL1287" s="1906">
        <f t="shared" si="1672"/>
        <v>0</v>
      </c>
      <c r="BM1287" s="1906">
        <f t="shared" si="1673"/>
        <v>0</v>
      </c>
      <c r="BN1287" s="1906">
        <f t="shared" si="1674"/>
        <v>0</v>
      </c>
      <c r="BO1287" s="107"/>
      <c r="BP1287" s="1906">
        <f t="shared" si="1675"/>
        <v>0</v>
      </c>
      <c r="BQ1287" s="1906">
        <f t="shared" si="1676"/>
        <v>0</v>
      </c>
      <c r="BR1287" s="1906">
        <f t="shared" si="1677"/>
        <v>0</v>
      </c>
      <c r="BS1287" s="1906">
        <f t="shared" si="1678"/>
        <v>0</v>
      </c>
      <c r="BT1287" s="1906">
        <f t="shared" si="1679"/>
        <v>0</v>
      </c>
      <c r="BU1287" s="1906">
        <f t="shared" si="1680"/>
        <v>0</v>
      </c>
      <c r="BV1287" s="1906">
        <f t="shared" si="1681"/>
        <v>0</v>
      </c>
      <c r="BW1287" s="1906">
        <f t="shared" si="1682"/>
        <v>0</v>
      </c>
      <c r="BX1287" s="1906">
        <f t="shared" si="1683"/>
        <v>0</v>
      </c>
      <c r="BY1287" s="1906">
        <f t="shared" si="1684"/>
        <v>0</v>
      </c>
      <c r="BZ1287" s="1906">
        <f t="shared" si="1685"/>
        <v>0</v>
      </c>
      <c r="CA1287" s="1906">
        <f t="shared" si="1686"/>
        <v>0</v>
      </c>
      <c r="CB1287" s="1971" t="str">
        <f t="shared" si="1687"/>
        <v>Alfalfa 3</v>
      </c>
      <c r="CC1287" s="1906">
        <f t="shared" si="1688"/>
        <v>0</v>
      </c>
      <c r="CD1287" s="1906">
        <f t="shared" si="1689"/>
        <v>0</v>
      </c>
      <c r="CE1287" s="1906">
        <f t="shared" si="1690"/>
        <v>0</v>
      </c>
      <c r="CF1287" s="1906">
        <f t="shared" si="1691"/>
        <v>0</v>
      </c>
      <c r="CG1287" s="1906">
        <f t="shared" si="1692"/>
        <v>0</v>
      </c>
      <c r="CH1287" s="1906">
        <f t="shared" si="1693"/>
        <v>0</v>
      </c>
      <c r="CI1287" s="1906">
        <f t="shared" si="1694"/>
        <v>0</v>
      </c>
      <c r="CJ1287" s="1906">
        <f t="shared" si="1695"/>
        <v>0</v>
      </c>
      <c r="CK1287" s="1906">
        <f t="shared" si="1696"/>
        <v>0</v>
      </c>
      <c r="CL1287" s="1906">
        <f t="shared" si="1697"/>
        <v>0</v>
      </c>
      <c r="CM1287" s="1906">
        <f t="shared" si="1698"/>
        <v>0</v>
      </c>
      <c r="CN1287" s="1906">
        <f t="shared" si="1699"/>
        <v>0</v>
      </c>
      <c r="CO1287" s="595" t="str">
        <f t="shared" si="1700"/>
        <v>Alfalfa 3</v>
      </c>
      <c r="CP1287" s="1443">
        <f t="shared" si="1701"/>
        <v>0</v>
      </c>
      <c r="EF1287" s="5"/>
    </row>
    <row r="1288" spans="1:136" x14ac:dyDescent="0.2">
      <c r="A1288" s="6"/>
      <c r="B1288" s="1971" t="str">
        <f t="shared" si="1615"/>
        <v>Alfalfa 4</v>
      </c>
      <c r="C1288" s="1906">
        <f t="shared" si="1616"/>
        <v>0</v>
      </c>
      <c r="D1288" s="1906">
        <f t="shared" si="1617"/>
        <v>0</v>
      </c>
      <c r="E1288" s="1906">
        <f t="shared" si="1618"/>
        <v>0</v>
      </c>
      <c r="F1288" s="1906">
        <f t="shared" si="1619"/>
        <v>0</v>
      </c>
      <c r="G1288" s="1906">
        <f t="shared" si="1620"/>
        <v>0</v>
      </c>
      <c r="H1288" s="1906">
        <f t="shared" si="1621"/>
        <v>0</v>
      </c>
      <c r="I1288" s="1906">
        <f t="shared" si="1622"/>
        <v>0</v>
      </c>
      <c r="J1288" s="1906">
        <f t="shared" si="1623"/>
        <v>0</v>
      </c>
      <c r="K1288" s="1906">
        <f t="shared" si="1624"/>
        <v>0</v>
      </c>
      <c r="L1288" s="1906">
        <f t="shared" si="1625"/>
        <v>0</v>
      </c>
      <c r="M1288" s="1906">
        <f t="shared" si="1626"/>
        <v>0</v>
      </c>
      <c r="N1288" s="1906">
        <f t="shared" si="1627"/>
        <v>0</v>
      </c>
      <c r="O1288" s="107"/>
      <c r="P1288" s="1906"/>
      <c r="Q1288" s="1906">
        <f t="shared" si="1628"/>
        <v>0</v>
      </c>
      <c r="R1288" s="1906">
        <f t="shared" si="1629"/>
        <v>0</v>
      </c>
      <c r="S1288" s="1906">
        <f t="shared" si="1630"/>
        <v>0</v>
      </c>
      <c r="T1288" s="1906">
        <f t="shared" si="1631"/>
        <v>0</v>
      </c>
      <c r="U1288" s="1906">
        <f t="shared" si="1632"/>
        <v>0</v>
      </c>
      <c r="V1288" s="1906">
        <f t="shared" si="1633"/>
        <v>0</v>
      </c>
      <c r="W1288" s="1906">
        <f t="shared" si="1634"/>
        <v>0</v>
      </c>
      <c r="X1288" s="1906">
        <f t="shared" si="1635"/>
        <v>0</v>
      </c>
      <c r="Y1288" s="1906">
        <f t="shared" si="1636"/>
        <v>0</v>
      </c>
      <c r="Z1288" s="1906">
        <f t="shared" si="1637"/>
        <v>0</v>
      </c>
      <c r="AA1288" s="1906">
        <f t="shared" si="1638"/>
        <v>0</v>
      </c>
      <c r="AB1288" s="107"/>
      <c r="AC1288" s="1906">
        <f t="shared" si="1639"/>
        <v>0</v>
      </c>
      <c r="AD1288" s="1906">
        <f t="shared" si="1640"/>
        <v>0</v>
      </c>
      <c r="AE1288" s="1906">
        <f t="shared" si="1641"/>
        <v>0</v>
      </c>
      <c r="AF1288" s="1906">
        <f t="shared" si="1642"/>
        <v>0</v>
      </c>
      <c r="AG1288" s="1906">
        <f t="shared" si="1643"/>
        <v>0</v>
      </c>
      <c r="AH1288" s="1906">
        <f t="shared" si="1644"/>
        <v>0</v>
      </c>
      <c r="AI1288" s="1906">
        <f t="shared" si="1645"/>
        <v>0</v>
      </c>
      <c r="AJ1288" s="1906">
        <f t="shared" si="1646"/>
        <v>0</v>
      </c>
      <c r="AK1288" s="1906">
        <f t="shared" si="1647"/>
        <v>0</v>
      </c>
      <c r="AL1288" s="1906">
        <f t="shared" si="1648"/>
        <v>0</v>
      </c>
      <c r="AM1288" s="1906">
        <f t="shared" si="1649"/>
        <v>0</v>
      </c>
      <c r="AN1288" s="1906">
        <f t="shared" si="1650"/>
        <v>0</v>
      </c>
      <c r="AO1288" s="107"/>
      <c r="AP1288" s="1906">
        <f t="shared" si="1651"/>
        <v>0</v>
      </c>
      <c r="AQ1288" s="1906">
        <f t="shared" si="1652"/>
        <v>0</v>
      </c>
      <c r="AR1288" s="1906">
        <f t="shared" si="1653"/>
        <v>0</v>
      </c>
      <c r="AS1288" s="1906">
        <f t="shared" si="1654"/>
        <v>0</v>
      </c>
      <c r="AT1288" s="1906">
        <f t="shared" si="1655"/>
        <v>0</v>
      </c>
      <c r="AU1288" s="1906">
        <f t="shared" si="1656"/>
        <v>0</v>
      </c>
      <c r="AV1288" s="1906">
        <f t="shared" si="1657"/>
        <v>0</v>
      </c>
      <c r="AW1288" s="1906">
        <f t="shared" si="1658"/>
        <v>0</v>
      </c>
      <c r="AX1288" s="1906">
        <f t="shared" si="1659"/>
        <v>0</v>
      </c>
      <c r="AY1288" s="1906">
        <f t="shared" si="1660"/>
        <v>0</v>
      </c>
      <c r="AZ1288" s="1906">
        <f t="shared" si="1661"/>
        <v>0</v>
      </c>
      <c r="BA1288" s="1906">
        <f t="shared" si="1662"/>
        <v>0</v>
      </c>
      <c r="BB1288" s="107"/>
      <c r="BC1288" s="1906">
        <f t="shared" si="1663"/>
        <v>0</v>
      </c>
      <c r="BD1288" s="1906">
        <f t="shared" si="1664"/>
        <v>0</v>
      </c>
      <c r="BE1288" s="1906">
        <f t="shared" si="1665"/>
        <v>0</v>
      </c>
      <c r="BF1288" s="1906">
        <f t="shared" si="1666"/>
        <v>0</v>
      </c>
      <c r="BG1288" s="1906">
        <f t="shared" si="1667"/>
        <v>0</v>
      </c>
      <c r="BH1288" s="1906">
        <f t="shared" si="1668"/>
        <v>0</v>
      </c>
      <c r="BI1288" s="1906">
        <f t="shared" si="1669"/>
        <v>0</v>
      </c>
      <c r="BJ1288" s="1906">
        <f t="shared" si="1670"/>
        <v>0</v>
      </c>
      <c r="BK1288" s="1906">
        <f t="shared" si="1671"/>
        <v>0</v>
      </c>
      <c r="BL1288" s="1906">
        <f t="shared" si="1672"/>
        <v>0</v>
      </c>
      <c r="BM1288" s="1906">
        <f t="shared" si="1673"/>
        <v>0</v>
      </c>
      <c r="BN1288" s="1906">
        <f t="shared" si="1674"/>
        <v>0</v>
      </c>
      <c r="BO1288" s="107"/>
      <c r="BP1288" s="1906">
        <f t="shared" si="1675"/>
        <v>0</v>
      </c>
      <c r="BQ1288" s="1906">
        <f t="shared" si="1676"/>
        <v>0</v>
      </c>
      <c r="BR1288" s="1906">
        <f t="shared" si="1677"/>
        <v>0</v>
      </c>
      <c r="BS1288" s="1906">
        <f t="shared" si="1678"/>
        <v>0</v>
      </c>
      <c r="BT1288" s="1906">
        <f t="shared" si="1679"/>
        <v>0</v>
      </c>
      <c r="BU1288" s="1906">
        <f t="shared" si="1680"/>
        <v>0</v>
      </c>
      <c r="BV1288" s="1906">
        <f t="shared" si="1681"/>
        <v>0</v>
      </c>
      <c r="BW1288" s="1906">
        <f t="shared" si="1682"/>
        <v>0</v>
      </c>
      <c r="BX1288" s="1906">
        <f t="shared" si="1683"/>
        <v>0</v>
      </c>
      <c r="BY1288" s="1906">
        <f t="shared" si="1684"/>
        <v>0</v>
      </c>
      <c r="BZ1288" s="1906">
        <f t="shared" si="1685"/>
        <v>0</v>
      </c>
      <c r="CA1288" s="1906">
        <f t="shared" si="1686"/>
        <v>0</v>
      </c>
      <c r="CB1288" s="1971" t="str">
        <f t="shared" si="1687"/>
        <v>Alfalfa 4</v>
      </c>
      <c r="CC1288" s="1906">
        <f t="shared" si="1688"/>
        <v>0</v>
      </c>
      <c r="CD1288" s="1906">
        <f t="shared" si="1689"/>
        <v>0</v>
      </c>
      <c r="CE1288" s="1906">
        <f t="shared" si="1690"/>
        <v>0</v>
      </c>
      <c r="CF1288" s="1906">
        <f t="shared" si="1691"/>
        <v>0</v>
      </c>
      <c r="CG1288" s="1906">
        <f t="shared" si="1692"/>
        <v>0</v>
      </c>
      <c r="CH1288" s="1906">
        <f t="shared" si="1693"/>
        <v>0</v>
      </c>
      <c r="CI1288" s="1906">
        <f t="shared" si="1694"/>
        <v>0</v>
      </c>
      <c r="CJ1288" s="1906">
        <f t="shared" si="1695"/>
        <v>0</v>
      </c>
      <c r="CK1288" s="1906">
        <f t="shared" si="1696"/>
        <v>0</v>
      </c>
      <c r="CL1288" s="1906">
        <f t="shared" si="1697"/>
        <v>0</v>
      </c>
      <c r="CM1288" s="1906">
        <f t="shared" si="1698"/>
        <v>0</v>
      </c>
      <c r="CN1288" s="1906">
        <f t="shared" si="1699"/>
        <v>0</v>
      </c>
      <c r="CO1288" s="595" t="str">
        <f t="shared" si="1700"/>
        <v>Alfalfa 4</v>
      </c>
      <c r="CP1288" s="1443">
        <f t="shared" si="1701"/>
        <v>0</v>
      </c>
      <c r="EF1288" s="5"/>
    </row>
    <row r="1289" spans="1:136" x14ac:dyDescent="0.2">
      <c r="A1289" s="6"/>
      <c r="B1289" s="1971" t="str">
        <f t="shared" si="1615"/>
        <v>PP 2</v>
      </c>
      <c r="C1289" s="1906">
        <f t="shared" si="1616"/>
        <v>0</v>
      </c>
      <c r="D1289" s="1906">
        <f t="shared" si="1617"/>
        <v>0</v>
      </c>
      <c r="E1289" s="1906">
        <f t="shared" si="1618"/>
        <v>0</v>
      </c>
      <c r="F1289" s="1906">
        <f t="shared" si="1619"/>
        <v>0</v>
      </c>
      <c r="G1289" s="1906">
        <f t="shared" si="1620"/>
        <v>0</v>
      </c>
      <c r="H1289" s="1906">
        <f t="shared" si="1621"/>
        <v>0</v>
      </c>
      <c r="I1289" s="1906">
        <f t="shared" si="1622"/>
        <v>0</v>
      </c>
      <c r="J1289" s="1906">
        <f t="shared" si="1623"/>
        <v>0</v>
      </c>
      <c r="K1289" s="1906">
        <f t="shared" si="1624"/>
        <v>0</v>
      </c>
      <c r="L1289" s="1906">
        <f t="shared" si="1625"/>
        <v>0</v>
      </c>
      <c r="M1289" s="1906">
        <f t="shared" si="1626"/>
        <v>0</v>
      </c>
      <c r="N1289" s="1906">
        <f t="shared" si="1627"/>
        <v>0</v>
      </c>
      <c r="O1289" s="107"/>
      <c r="P1289" s="1906"/>
      <c r="Q1289" s="1906">
        <f t="shared" si="1628"/>
        <v>0</v>
      </c>
      <c r="R1289" s="1906">
        <f t="shared" si="1629"/>
        <v>0</v>
      </c>
      <c r="S1289" s="1906">
        <f t="shared" si="1630"/>
        <v>0</v>
      </c>
      <c r="T1289" s="1906">
        <f t="shared" si="1631"/>
        <v>0</v>
      </c>
      <c r="U1289" s="1906">
        <f t="shared" si="1632"/>
        <v>0</v>
      </c>
      <c r="V1289" s="1906">
        <f t="shared" si="1633"/>
        <v>0</v>
      </c>
      <c r="W1289" s="1906">
        <f t="shared" si="1634"/>
        <v>0</v>
      </c>
      <c r="X1289" s="1906">
        <f t="shared" si="1635"/>
        <v>0</v>
      </c>
      <c r="Y1289" s="1906">
        <f t="shared" si="1636"/>
        <v>0</v>
      </c>
      <c r="Z1289" s="1906">
        <f t="shared" si="1637"/>
        <v>0</v>
      </c>
      <c r="AA1289" s="1906">
        <f t="shared" si="1638"/>
        <v>0</v>
      </c>
      <c r="AB1289" s="107"/>
      <c r="AC1289" s="1906">
        <f t="shared" si="1639"/>
        <v>0</v>
      </c>
      <c r="AD1289" s="1906">
        <f t="shared" si="1640"/>
        <v>0</v>
      </c>
      <c r="AE1289" s="1906">
        <f t="shared" si="1641"/>
        <v>0</v>
      </c>
      <c r="AF1289" s="1906">
        <f t="shared" si="1642"/>
        <v>0</v>
      </c>
      <c r="AG1289" s="1906">
        <f t="shared" si="1643"/>
        <v>0</v>
      </c>
      <c r="AH1289" s="1906">
        <f t="shared" si="1644"/>
        <v>0</v>
      </c>
      <c r="AI1289" s="1906">
        <f t="shared" si="1645"/>
        <v>0</v>
      </c>
      <c r="AJ1289" s="1906">
        <f t="shared" si="1646"/>
        <v>0</v>
      </c>
      <c r="AK1289" s="1906">
        <f t="shared" si="1647"/>
        <v>0</v>
      </c>
      <c r="AL1289" s="1906">
        <f t="shared" si="1648"/>
        <v>0</v>
      </c>
      <c r="AM1289" s="1906">
        <f t="shared" si="1649"/>
        <v>0</v>
      </c>
      <c r="AN1289" s="1906">
        <f t="shared" si="1650"/>
        <v>0</v>
      </c>
      <c r="AO1289" s="107"/>
      <c r="AP1289" s="1906">
        <f t="shared" si="1651"/>
        <v>0</v>
      </c>
      <c r="AQ1289" s="1906">
        <f t="shared" si="1652"/>
        <v>0</v>
      </c>
      <c r="AR1289" s="1906">
        <f t="shared" si="1653"/>
        <v>0</v>
      </c>
      <c r="AS1289" s="1906">
        <f t="shared" si="1654"/>
        <v>0</v>
      </c>
      <c r="AT1289" s="1906">
        <f t="shared" si="1655"/>
        <v>0</v>
      </c>
      <c r="AU1289" s="1906">
        <f t="shared" si="1656"/>
        <v>0</v>
      </c>
      <c r="AV1289" s="1906">
        <f t="shared" si="1657"/>
        <v>0</v>
      </c>
      <c r="AW1289" s="1906">
        <f t="shared" si="1658"/>
        <v>0</v>
      </c>
      <c r="AX1289" s="1906">
        <f t="shared" si="1659"/>
        <v>0</v>
      </c>
      <c r="AY1289" s="1906">
        <f t="shared" si="1660"/>
        <v>0</v>
      </c>
      <c r="AZ1289" s="1906">
        <f t="shared" si="1661"/>
        <v>0</v>
      </c>
      <c r="BA1289" s="1906">
        <f t="shared" si="1662"/>
        <v>0</v>
      </c>
      <c r="BB1289" s="107"/>
      <c r="BC1289" s="1906">
        <f t="shared" si="1663"/>
        <v>0</v>
      </c>
      <c r="BD1289" s="1906">
        <f t="shared" si="1664"/>
        <v>0</v>
      </c>
      <c r="BE1289" s="1906">
        <f t="shared" si="1665"/>
        <v>0</v>
      </c>
      <c r="BF1289" s="1906">
        <f t="shared" si="1666"/>
        <v>0</v>
      </c>
      <c r="BG1289" s="1906">
        <f t="shared" si="1667"/>
        <v>0</v>
      </c>
      <c r="BH1289" s="1906">
        <f t="shared" si="1668"/>
        <v>0</v>
      </c>
      <c r="BI1289" s="1906">
        <f t="shared" si="1669"/>
        <v>0</v>
      </c>
      <c r="BJ1289" s="1906">
        <f t="shared" si="1670"/>
        <v>0</v>
      </c>
      <c r="BK1289" s="1906">
        <f t="shared" si="1671"/>
        <v>0</v>
      </c>
      <c r="BL1289" s="1906">
        <f t="shared" si="1672"/>
        <v>0</v>
      </c>
      <c r="BM1289" s="1906">
        <f t="shared" si="1673"/>
        <v>0</v>
      </c>
      <c r="BN1289" s="1906">
        <f t="shared" si="1674"/>
        <v>0</v>
      </c>
      <c r="BO1289" s="107"/>
      <c r="BP1289" s="1906">
        <f t="shared" si="1675"/>
        <v>0</v>
      </c>
      <c r="BQ1289" s="1906">
        <f t="shared" si="1676"/>
        <v>0</v>
      </c>
      <c r="BR1289" s="1906">
        <f t="shared" si="1677"/>
        <v>0</v>
      </c>
      <c r="BS1289" s="1906">
        <f t="shared" si="1678"/>
        <v>0</v>
      </c>
      <c r="BT1289" s="1906">
        <f t="shared" si="1679"/>
        <v>0</v>
      </c>
      <c r="BU1289" s="1906">
        <f t="shared" si="1680"/>
        <v>0</v>
      </c>
      <c r="BV1289" s="1906">
        <f t="shared" si="1681"/>
        <v>0</v>
      </c>
      <c r="BW1289" s="1906">
        <f t="shared" si="1682"/>
        <v>0</v>
      </c>
      <c r="BX1289" s="1906">
        <f t="shared" si="1683"/>
        <v>0</v>
      </c>
      <c r="BY1289" s="1906">
        <f t="shared" si="1684"/>
        <v>0</v>
      </c>
      <c r="BZ1289" s="1906">
        <f t="shared" si="1685"/>
        <v>0</v>
      </c>
      <c r="CA1289" s="1906">
        <f t="shared" si="1686"/>
        <v>0</v>
      </c>
      <c r="CB1289" s="1971" t="str">
        <f t="shared" si="1687"/>
        <v>PP 2</v>
      </c>
      <c r="CC1289" s="1906">
        <f t="shared" si="1688"/>
        <v>0</v>
      </c>
      <c r="CD1289" s="1906">
        <f t="shared" si="1689"/>
        <v>0</v>
      </c>
      <c r="CE1289" s="1906">
        <f t="shared" si="1690"/>
        <v>0</v>
      </c>
      <c r="CF1289" s="1906">
        <f t="shared" si="1691"/>
        <v>0</v>
      </c>
      <c r="CG1289" s="1906">
        <f t="shared" si="1692"/>
        <v>0</v>
      </c>
      <c r="CH1289" s="1906">
        <f t="shared" si="1693"/>
        <v>0</v>
      </c>
      <c r="CI1289" s="1906">
        <f t="shared" si="1694"/>
        <v>0</v>
      </c>
      <c r="CJ1289" s="1906">
        <f t="shared" si="1695"/>
        <v>0</v>
      </c>
      <c r="CK1289" s="1906">
        <f t="shared" si="1696"/>
        <v>0</v>
      </c>
      <c r="CL1289" s="1906">
        <f t="shared" si="1697"/>
        <v>0</v>
      </c>
      <c r="CM1289" s="1906">
        <f t="shared" si="1698"/>
        <v>0</v>
      </c>
      <c r="CN1289" s="1906">
        <f t="shared" si="1699"/>
        <v>0</v>
      </c>
      <c r="CO1289" s="595" t="str">
        <f t="shared" si="1700"/>
        <v>PP 2</v>
      </c>
      <c r="CP1289" s="1443">
        <f t="shared" si="1701"/>
        <v>0</v>
      </c>
      <c r="EF1289" s="5"/>
    </row>
    <row r="1290" spans="1:136" x14ac:dyDescent="0.2">
      <c r="A1290" s="6"/>
      <c r="B1290" s="1971" t="str">
        <f t="shared" si="1615"/>
        <v>PP 3</v>
      </c>
      <c r="C1290" s="1906">
        <f t="shared" si="1616"/>
        <v>0</v>
      </c>
      <c r="D1290" s="1906">
        <f t="shared" si="1617"/>
        <v>0</v>
      </c>
      <c r="E1290" s="1906">
        <f t="shared" si="1618"/>
        <v>0</v>
      </c>
      <c r="F1290" s="1906">
        <f t="shared" si="1619"/>
        <v>0</v>
      </c>
      <c r="G1290" s="1906">
        <f t="shared" si="1620"/>
        <v>0</v>
      </c>
      <c r="H1290" s="1906">
        <f t="shared" si="1621"/>
        <v>0</v>
      </c>
      <c r="I1290" s="1906">
        <f t="shared" si="1622"/>
        <v>0</v>
      </c>
      <c r="J1290" s="1906">
        <f t="shared" si="1623"/>
        <v>0</v>
      </c>
      <c r="K1290" s="1906">
        <f t="shared" si="1624"/>
        <v>0</v>
      </c>
      <c r="L1290" s="1906">
        <f t="shared" si="1625"/>
        <v>0</v>
      </c>
      <c r="M1290" s="1906">
        <f t="shared" si="1626"/>
        <v>0</v>
      </c>
      <c r="N1290" s="1906">
        <f t="shared" si="1627"/>
        <v>0</v>
      </c>
      <c r="O1290" s="107"/>
      <c r="P1290" s="1906"/>
      <c r="Q1290" s="1906">
        <f t="shared" si="1628"/>
        <v>0</v>
      </c>
      <c r="R1290" s="1906">
        <f t="shared" si="1629"/>
        <v>0</v>
      </c>
      <c r="S1290" s="1906">
        <f t="shared" si="1630"/>
        <v>0</v>
      </c>
      <c r="T1290" s="1906">
        <f t="shared" si="1631"/>
        <v>0</v>
      </c>
      <c r="U1290" s="1906">
        <f t="shared" si="1632"/>
        <v>0</v>
      </c>
      <c r="V1290" s="1906">
        <f t="shared" si="1633"/>
        <v>0</v>
      </c>
      <c r="W1290" s="1906">
        <f t="shared" si="1634"/>
        <v>0</v>
      </c>
      <c r="X1290" s="1906">
        <f t="shared" si="1635"/>
        <v>0</v>
      </c>
      <c r="Y1290" s="1906">
        <f t="shared" si="1636"/>
        <v>0</v>
      </c>
      <c r="Z1290" s="1906">
        <f t="shared" si="1637"/>
        <v>0</v>
      </c>
      <c r="AA1290" s="1906">
        <f t="shared" si="1638"/>
        <v>0</v>
      </c>
      <c r="AB1290" s="107"/>
      <c r="AC1290" s="1906">
        <f t="shared" si="1639"/>
        <v>0</v>
      </c>
      <c r="AD1290" s="1906">
        <f t="shared" si="1640"/>
        <v>0</v>
      </c>
      <c r="AE1290" s="1906">
        <f t="shared" si="1641"/>
        <v>0</v>
      </c>
      <c r="AF1290" s="1906">
        <f t="shared" si="1642"/>
        <v>0</v>
      </c>
      <c r="AG1290" s="1906">
        <f t="shared" si="1643"/>
        <v>0</v>
      </c>
      <c r="AH1290" s="1906">
        <f t="shared" si="1644"/>
        <v>0</v>
      </c>
      <c r="AI1290" s="1906">
        <f t="shared" si="1645"/>
        <v>0</v>
      </c>
      <c r="AJ1290" s="1906">
        <f t="shared" si="1646"/>
        <v>0</v>
      </c>
      <c r="AK1290" s="1906">
        <f t="shared" si="1647"/>
        <v>0</v>
      </c>
      <c r="AL1290" s="1906">
        <f t="shared" si="1648"/>
        <v>0</v>
      </c>
      <c r="AM1290" s="1906">
        <f t="shared" si="1649"/>
        <v>0</v>
      </c>
      <c r="AN1290" s="1906">
        <f t="shared" si="1650"/>
        <v>0</v>
      </c>
      <c r="AO1290" s="107"/>
      <c r="AP1290" s="1906">
        <f t="shared" si="1651"/>
        <v>0</v>
      </c>
      <c r="AQ1290" s="1906">
        <f t="shared" si="1652"/>
        <v>0</v>
      </c>
      <c r="AR1290" s="1906">
        <f t="shared" si="1653"/>
        <v>0</v>
      </c>
      <c r="AS1290" s="1906">
        <f t="shared" si="1654"/>
        <v>0</v>
      </c>
      <c r="AT1290" s="1906">
        <f t="shared" si="1655"/>
        <v>0</v>
      </c>
      <c r="AU1290" s="1906">
        <f t="shared" si="1656"/>
        <v>0</v>
      </c>
      <c r="AV1290" s="1906">
        <f t="shared" si="1657"/>
        <v>0</v>
      </c>
      <c r="AW1290" s="1906">
        <f t="shared" si="1658"/>
        <v>0</v>
      </c>
      <c r="AX1290" s="1906">
        <f t="shared" si="1659"/>
        <v>0</v>
      </c>
      <c r="AY1290" s="1906">
        <f t="shared" si="1660"/>
        <v>0</v>
      </c>
      <c r="AZ1290" s="1906">
        <f t="shared" si="1661"/>
        <v>0</v>
      </c>
      <c r="BA1290" s="1906">
        <f t="shared" si="1662"/>
        <v>0</v>
      </c>
      <c r="BB1290" s="107"/>
      <c r="BC1290" s="1906">
        <f t="shared" si="1663"/>
        <v>0</v>
      </c>
      <c r="BD1290" s="1906">
        <f t="shared" si="1664"/>
        <v>0</v>
      </c>
      <c r="BE1290" s="1906">
        <f t="shared" si="1665"/>
        <v>0</v>
      </c>
      <c r="BF1290" s="1906">
        <f t="shared" si="1666"/>
        <v>0</v>
      </c>
      <c r="BG1290" s="1906">
        <f t="shared" si="1667"/>
        <v>0</v>
      </c>
      <c r="BH1290" s="1906">
        <f t="shared" si="1668"/>
        <v>0</v>
      </c>
      <c r="BI1290" s="1906">
        <f t="shared" si="1669"/>
        <v>0</v>
      </c>
      <c r="BJ1290" s="1906">
        <f t="shared" si="1670"/>
        <v>0</v>
      </c>
      <c r="BK1290" s="1906">
        <f t="shared" si="1671"/>
        <v>0</v>
      </c>
      <c r="BL1290" s="1906">
        <f t="shared" si="1672"/>
        <v>0</v>
      </c>
      <c r="BM1290" s="1906">
        <f t="shared" si="1673"/>
        <v>0</v>
      </c>
      <c r="BN1290" s="1906">
        <f t="shared" si="1674"/>
        <v>0</v>
      </c>
      <c r="BO1290" s="107"/>
      <c r="BP1290" s="1906">
        <f t="shared" si="1675"/>
        <v>0</v>
      </c>
      <c r="BQ1290" s="1906">
        <f t="shared" si="1676"/>
        <v>0</v>
      </c>
      <c r="BR1290" s="1906">
        <f t="shared" si="1677"/>
        <v>0</v>
      </c>
      <c r="BS1290" s="1906">
        <f t="shared" si="1678"/>
        <v>0</v>
      </c>
      <c r="BT1290" s="1906">
        <f t="shared" si="1679"/>
        <v>0</v>
      </c>
      <c r="BU1290" s="1906">
        <f t="shared" si="1680"/>
        <v>0</v>
      </c>
      <c r="BV1290" s="1906">
        <f t="shared" si="1681"/>
        <v>0</v>
      </c>
      <c r="BW1290" s="1906">
        <f t="shared" si="1682"/>
        <v>0</v>
      </c>
      <c r="BX1290" s="1906">
        <f t="shared" si="1683"/>
        <v>0</v>
      </c>
      <c r="BY1290" s="1906">
        <f t="shared" si="1684"/>
        <v>0</v>
      </c>
      <c r="BZ1290" s="1906">
        <f t="shared" si="1685"/>
        <v>0</v>
      </c>
      <c r="CA1290" s="1906">
        <f t="shared" si="1686"/>
        <v>0</v>
      </c>
      <c r="CB1290" s="1971" t="str">
        <f t="shared" si="1687"/>
        <v>PP 3</v>
      </c>
      <c r="CC1290" s="1906">
        <f t="shared" si="1688"/>
        <v>0</v>
      </c>
      <c r="CD1290" s="1906">
        <f t="shared" si="1689"/>
        <v>0</v>
      </c>
      <c r="CE1290" s="1906">
        <f t="shared" si="1690"/>
        <v>0</v>
      </c>
      <c r="CF1290" s="1906">
        <f t="shared" si="1691"/>
        <v>0</v>
      </c>
      <c r="CG1290" s="1906">
        <f t="shared" si="1692"/>
        <v>0</v>
      </c>
      <c r="CH1290" s="1906">
        <f t="shared" si="1693"/>
        <v>0</v>
      </c>
      <c r="CI1290" s="1906">
        <f t="shared" si="1694"/>
        <v>0</v>
      </c>
      <c r="CJ1290" s="1906">
        <f t="shared" si="1695"/>
        <v>0</v>
      </c>
      <c r="CK1290" s="1906">
        <f t="shared" si="1696"/>
        <v>0</v>
      </c>
      <c r="CL1290" s="1906">
        <f t="shared" si="1697"/>
        <v>0</v>
      </c>
      <c r="CM1290" s="1906">
        <f t="shared" si="1698"/>
        <v>0</v>
      </c>
      <c r="CN1290" s="1906">
        <f t="shared" si="1699"/>
        <v>0</v>
      </c>
      <c r="CO1290" s="595" t="str">
        <f t="shared" si="1700"/>
        <v>PP 3</v>
      </c>
      <c r="CP1290" s="1443">
        <f t="shared" si="1701"/>
        <v>0</v>
      </c>
      <c r="EF1290" s="5"/>
    </row>
    <row r="1291" spans="1:136" x14ac:dyDescent="0.2">
      <c r="A1291" s="6"/>
      <c r="B1291" s="1971" t="str">
        <f t="shared" si="1615"/>
        <v>PP 4</v>
      </c>
      <c r="C1291" s="1906">
        <f t="shared" si="1616"/>
        <v>0</v>
      </c>
      <c r="D1291" s="1906">
        <f t="shared" si="1617"/>
        <v>0</v>
      </c>
      <c r="E1291" s="1906">
        <f t="shared" si="1618"/>
        <v>0</v>
      </c>
      <c r="F1291" s="1906">
        <f t="shared" si="1619"/>
        <v>0</v>
      </c>
      <c r="G1291" s="1906">
        <f t="shared" si="1620"/>
        <v>0</v>
      </c>
      <c r="H1291" s="1906">
        <f t="shared" si="1621"/>
        <v>0</v>
      </c>
      <c r="I1291" s="1906">
        <f t="shared" si="1622"/>
        <v>0</v>
      </c>
      <c r="J1291" s="1906">
        <f t="shared" si="1623"/>
        <v>0</v>
      </c>
      <c r="K1291" s="1906">
        <f t="shared" si="1624"/>
        <v>0</v>
      </c>
      <c r="L1291" s="1906">
        <f t="shared" si="1625"/>
        <v>0</v>
      </c>
      <c r="M1291" s="1906">
        <f t="shared" si="1626"/>
        <v>0</v>
      </c>
      <c r="N1291" s="1906">
        <f t="shared" si="1627"/>
        <v>0</v>
      </c>
      <c r="O1291" s="107"/>
      <c r="P1291" s="1906"/>
      <c r="Q1291" s="1906">
        <f t="shared" si="1628"/>
        <v>0</v>
      </c>
      <c r="R1291" s="1906">
        <f t="shared" si="1629"/>
        <v>0</v>
      </c>
      <c r="S1291" s="1906">
        <f t="shared" si="1630"/>
        <v>0</v>
      </c>
      <c r="T1291" s="1906">
        <f t="shared" si="1631"/>
        <v>0</v>
      </c>
      <c r="U1291" s="1906">
        <f t="shared" si="1632"/>
        <v>0</v>
      </c>
      <c r="V1291" s="1906">
        <f t="shared" si="1633"/>
        <v>0</v>
      </c>
      <c r="W1291" s="1906">
        <f t="shared" si="1634"/>
        <v>0</v>
      </c>
      <c r="X1291" s="1906">
        <f t="shared" si="1635"/>
        <v>0</v>
      </c>
      <c r="Y1291" s="1906">
        <f t="shared" si="1636"/>
        <v>0</v>
      </c>
      <c r="Z1291" s="1906">
        <f t="shared" si="1637"/>
        <v>0</v>
      </c>
      <c r="AA1291" s="1906">
        <f t="shared" si="1638"/>
        <v>0</v>
      </c>
      <c r="AB1291" s="107"/>
      <c r="AC1291" s="1906">
        <f t="shared" si="1639"/>
        <v>0</v>
      </c>
      <c r="AD1291" s="1906">
        <f t="shared" si="1640"/>
        <v>0</v>
      </c>
      <c r="AE1291" s="1906">
        <f t="shared" si="1641"/>
        <v>0</v>
      </c>
      <c r="AF1291" s="1906">
        <f t="shared" si="1642"/>
        <v>0</v>
      </c>
      <c r="AG1291" s="1906">
        <f t="shared" si="1643"/>
        <v>0</v>
      </c>
      <c r="AH1291" s="1906">
        <f t="shared" si="1644"/>
        <v>0</v>
      </c>
      <c r="AI1291" s="1906">
        <f t="shared" si="1645"/>
        <v>0</v>
      </c>
      <c r="AJ1291" s="1906">
        <f t="shared" si="1646"/>
        <v>0</v>
      </c>
      <c r="AK1291" s="1906">
        <f t="shared" si="1647"/>
        <v>0</v>
      </c>
      <c r="AL1291" s="1906">
        <f t="shared" si="1648"/>
        <v>0</v>
      </c>
      <c r="AM1291" s="1906">
        <f t="shared" si="1649"/>
        <v>0</v>
      </c>
      <c r="AN1291" s="1906">
        <f t="shared" si="1650"/>
        <v>0</v>
      </c>
      <c r="AO1291" s="107"/>
      <c r="AP1291" s="1906">
        <f t="shared" si="1651"/>
        <v>0</v>
      </c>
      <c r="AQ1291" s="1906">
        <f t="shared" si="1652"/>
        <v>0</v>
      </c>
      <c r="AR1291" s="1906">
        <f t="shared" si="1653"/>
        <v>0</v>
      </c>
      <c r="AS1291" s="1906">
        <f t="shared" si="1654"/>
        <v>0</v>
      </c>
      <c r="AT1291" s="1906">
        <f t="shared" si="1655"/>
        <v>0</v>
      </c>
      <c r="AU1291" s="1906">
        <f t="shared" si="1656"/>
        <v>0</v>
      </c>
      <c r="AV1291" s="1906">
        <f t="shared" si="1657"/>
        <v>0</v>
      </c>
      <c r="AW1291" s="1906">
        <f t="shared" si="1658"/>
        <v>0</v>
      </c>
      <c r="AX1291" s="1906">
        <f t="shared" si="1659"/>
        <v>0</v>
      </c>
      <c r="AY1291" s="1906">
        <f t="shared" si="1660"/>
        <v>0</v>
      </c>
      <c r="AZ1291" s="1906">
        <f t="shared" si="1661"/>
        <v>0</v>
      </c>
      <c r="BA1291" s="1906">
        <f t="shared" si="1662"/>
        <v>0</v>
      </c>
      <c r="BB1291" s="107"/>
      <c r="BC1291" s="1906">
        <f t="shared" si="1663"/>
        <v>0</v>
      </c>
      <c r="BD1291" s="1906">
        <f t="shared" si="1664"/>
        <v>0</v>
      </c>
      <c r="BE1291" s="1906">
        <f t="shared" si="1665"/>
        <v>0</v>
      </c>
      <c r="BF1291" s="1906">
        <f t="shared" si="1666"/>
        <v>0</v>
      </c>
      <c r="BG1291" s="1906">
        <f t="shared" si="1667"/>
        <v>0</v>
      </c>
      <c r="BH1291" s="1906">
        <f t="shared" si="1668"/>
        <v>0</v>
      </c>
      <c r="BI1291" s="1906">
        <f t="shared" si="1669"/>
        <v>0</v>
      </c>
      <c r="BJ1291" s="1906">
        <f t="shared" si="1670"/>
        <v>0</v>
      </c>
      <c r="BK1291" s="1906">
        <f t="shared" si="1671"/>
        <v>0</v>
      </c>
      <c r="BL1291" s="1906">
        <f t="shared" si="1672"/>
        <v>0</v>
      </c>
      <c r="BM1291" s="1906">
        <f t="shared" si="1673"/>
        <v>0</v>
      </c>
      <c r="BN1291" s="1906">
        <f t="shared" si="1674"/>
        <v>0</v>
      </c>
      <c r="BO1291" s="107"/>
      <c r="BP1291" s="1906">
        <f t="shared" si="1675"/>
        <v>0</v>
      </c>
      <c r="BQ1291" s="1906">
        <f t="shared" si="1676"/>
        <v>0</v>
      </c>
      <c r="BR1291" s="1906">
        <f t="shared" si="1677"/>
        <v>0</v>
      </c>
      <c r="BS1291" s="1906">
        <f t="shared" si="1678"/>
        <v>0</v>
      </c>
      <c r="BT1291" s="1906">
        <f t="shared" si="1679"/>
        <v>0</v>
      </c>
      <c r="BU1291" s="1906">
        <f t="shared" si="1680"/>
        <v>0</v>
      </c>
      <c r="BV1291" s="1906">
        <f t="shared" si="1681"/>
        <v>0</v>
      </c>
      <c r="BW1291" s="1906">
        <f t="shared" si="1682"/>
        <v>0</v>
      </c>
      <c r="BX1291" s="1906">
        <f t="shared" si="1683"/>
        <v>0</v>
      </c>
      <c r="BY1291" s="1906">
        <f t="shared" si="1684"/>
        <v>0</v>
      </c>
      <c r="BZ1291" s="1906">
        <f t="shared" si="1685"/>
        <v>0</v>
      </c>
      <c r="CA1291" s="1906">
        <f t="shared" si="1686"/>
        <v>0</v>
      </c>
      <c r="CB1291" s="1971" t="str">
        <f t="shared" si="1687"/>
        <v>PP 4</v>
      </c>
      <c r="CC1291" s="1906">
        <f t="shared" si="1688"/>
        <v>0</v>
      </c>
      <c r="CD1291" s="1906">
        <f t="shared" si="1689"/>
        <v>0</v>
      </c>
      <c r="CE1291" s="1906">
        <f t="shared" si="1690"/>
        <v>0</v>
      </c>
      <c r="CF1291" s="1906">
        <f t="shared" si="1691"/>
        <v>0</v>
      </c>
      <c r="CG1291" s="1906">
        <f t="shared" si="1692"/>
        <v>0</v>
      </c>
      <c r="CH1291" s="1906">
        <f t="shared" si="1693"/>
        <v>0</v>
      </c>
      <c r="CI1291" s="1906">
        <f t="shared" si="1694"/>
        <v>0</v>
      </c>
      <c r="CJ1291" s="1906">
        <f t="shared" si="1695"/>
        <v>0</v>
      </c>
      <c r="CK1291" s="1906">
        <f t="shared" si="1696"/>
        <v>0</v>
      </c>
      <c r="CL1291" s="1906">
        <f t="shared" si="1697"/>
        <v>0</v>
      </c>
      <c r="CM1291" s="1906">
        <f t="shared" si="1698"/>
        <v>0</v>
      </c>
      <c r="CN1291" s="1906">
        <f t="shared" si="1699"/>
        <v>0</v>
      </c>
      <c r="CO1291" s="595" t="str">
        <f t="shared" si="1700"/>
        <v>PP 4</v>
      </c>
      <c r="CP1291" s="1443">
        <f t="shared" si="1701"/>
        <v>0</v>
      </c>
      <c r="EF1291" s="5"/>
    </row>
    <row r="1292" spans="1:136" x14ac:dyDescent="0.2">
      <c r="A1292" s="6"/>
      <c r="B1292" s="1971" t="str">
        <f t="shared" si="1615"/>
        <v>Prad 2</v>
      </c>
      <c r="C1292" s="1906">
        <f t="shared" si="1616"/>
        <v>0</v>
      </c>
      <c r="D1292" s="1906">
        <f t="shared" si="1617"/>
        <v>0</v>
      </c>
      <c r="E1292" s="1906">
        <f t="shared" si="1618"/>
        <v>0</v>
      </c>
      <c r="F1292" s="1906">
        <f t="shared" si="1619"/>
        <v>0</v>
      </c>
      <c r="G1292" s="1906">
        <f t="shared" si="1620"/>
        <v>0</v>
      </c>
      <c r="H1292" s="1906">
        <f t="shared" si="1621"/>
        <v>0</v>
      </c>
      <c r="I1292" s="1906">
        <f t="shared" si="1622"/>
        <v>0</v>
      </c>
      <c r="J1292" s="1906">
        <f t="shared" si="1623"/>
        <v>0</v>
      </c>
      <c r="K1292" s="1906">
        <f t="shared" si="1624"/>
        <v>0</v>
      </c>
      <c r="L1292" s="1906">
        <f t="shared" si="1625"/>
        <v>0</v>
      </c>
      <c r="M1292" s="1906">
        <f t="shared" si="1626"/>
        <v>0</v>
      </c>
      <c r="N1292" s="1906">
        <f t="shared" si="1627"/>
        <v>0</v>
      </c>
      <c r="O1292" s="107"/>
      <c r="P1292" s="1906"/>
      <c r="Q1292" s="1906">
        <f t="shared" si="1628"/>
        <v>0</v>
      </c>
      <c r="R1292" s="1906">
        <f t="shared" si="1629"/>
        <v>0</v>
      </c>
      <c r="S1292" s="1906">
        <f t="shared" si="1630"/>
        <v>0</v>
      </c>
      <c r="T1292" s="1906">
        <f t="shared" si="1631"/>
        <v>0</v>
      </c>
      <c r="U1292" s="1906">
        <f t="shared" si="1632"/>
        <v>0</v>
      </c>
      <c r="V1292" s="1906">
        <f t="shared" si="1633"/>
        <v>0</v>
      </c>
      <c r="W1292" s="1906">
        <f t="shared" si="1634"/>
        <v>0</v>
      </c>
      <c r="X1292" s="1906">
        <f t="shared" si="1635"/>
        <v>0</v>
      </c>
      <c r="Y1292" s="1906">
        <f t="shared" si="1636"/>
        <v>0</v>
      </c>
      <c r="Z1292" s="1906">
        <f t="shared" si="1637"/>
        <v>0</v>
      </c>
      <c r="AA1292" s="1906">
        <f t="shared" si="1638"/>
        <v>0</v>
      </c>
      <c r="AB1292" s="107"/>
      <c r="AC1292" s="1906">
        <f t="shared" si="1639"/>
        <v>0</v>
      </c>
      <c r="AD1292" s="1906">
        <f t="shared" si="1640"/>
        <v>0</v>
      </c>
      <c r="AE1292" s="1906">
        <f t="shared" si="1641"/>
        <v>0</v>
      </c>
      <c r="AF1292" s="1906">
        <f t="shared" si="1642"/>
        <v>0</v>
      </c>
      <c r="AG1292" s="1906">
        <f t="shared" si="1643"/>
        <v>0</v>
      </c>
      <c r="AH1292" s="1906">
        <f t="shared" si="1644"/>
        <v>0</v>
      </c>
      <c r="AI1292" s="1906">
        <f t="shared" si="1645"/>
        <v>0</v>
      </c>
      <c r="AJ1292" s="1906">
        <f t="shared" si="1646"/>
        <v>0</v>
      </c>
      <c r="AK1292" s="1906">
        <f t="shared" si="1647"/>
        <v>0</v>
      </c>
      <c r="AL1292" s="1906">
        <f t="shared" si="1648"/>
        <v>0</v>
      </c>
      <c r="AM1292" s="1906">
        <f t="shared" si="1649"/>
        <v>0</v>
      </c>
      <c r="AN1292" s="1906">
        <f t="shared" si="1650"/>
        <v>0</v>
      </c>
      <c r="AO1292" s="107"/>
      <c r="AP1292" s="1906">
        <f t="shared" si="1651"/>
        <v>0</v>
      </c>
      <c r="AQ1292" s="1906">
        <f t="shared" si="1652"/>
        <v>0</v>
      </c>
      <c r="AR1292" s="1906">
        <f t="shared" si="1653"/>
        <v>0</v>
      </c>
      <c r="AS1292" s="1906">
        <f t="shared" si="1654"/>
        <v>0</v>
      </c>
      <c r="AT1292" s="1906">
        <f t="shared" si="1655"/>
        <v>0</v>
      </c>
      <c r="AU1292" s="1906">
        <f t="shared" si="1656"/>
        <v>0</v>
      </c>
      <c r="AV1292" s="1906">
        <f t="shared" si="1657"/>
        <v>0</v>
      </c>
      <c r="AW1292" s="1906">
        <f t="shared" si="1658"/>
        <v>0</v>
      </c>
      <c r="AX1292" s="1906">
        <f t="shared" si="1659"/>
        <v>0</v>
      </c>
      <c r="AY1292" s="1906">
        <f t="shared" si="1660"/>
        <v>0</v>
      </c>
      <c r="AZ1292" s="1906">
        <f t="shared" si="1661"/>
        <v>0</v>
      </c>
      <c r="BA1292" s="1906">
        <f t="shared" si="1662"/>
        <v>0</v>
      </c>
      <c r="BB1292" s="107"/>
      <c r="BC1292" s="1906">
        <f t="shared" si="1663"/>
        <v>0</v>
      </c>
      <c r="BD1292" s="1906">
        <f t="shared" si="1664"/>
        <v>0</v>
      </c>
      <c r="BE1292" s="1906">
        <f t="shared" si="1665"/>
        <v>0</v>
      </c>
      <c r="BF1292" s="1906">
        <f t="shared" si="1666"/>
        <v>0</v>
      </c>
      <c r="BG1292" s="1906">
        <f t="shared" si="1667"/>
        <v>0</v>
      </c>
      <c r="BH1292" s="1906">
        <f t="shared" si="1668"/>
        <v>0</v>
      </c>
      <c r="BI1292" s="1906">
        <f t="shared" si="1669"/>
        <v>0</v>
      </c>
      <c r="BJ1292" s="1906">
        <f t="shared" si="1670"/>
        <v>0</v>
      </c>
      <c r="BK1292" s="1906">
        <f t="shared" si="1671"/>
        <v>0</v>
      </c>
      <c r="BL1292" s="1906">
        <f t="shared" si="1672"/>
        <v>0</v>
      </c>
      <c r="BM1292" s="1906">
        <f t="shared" si="1673"/>
        <v>0</v>
      </c>
      <c r="BN1292" s="1906">
        <f t="shared" si="1674"/>
        <v>0</v>
      </c>
      <c r="BO1292" s="107"/>
      <c r="BP1292" s="1906">
        <f t="shared" si="1675"/>
        <v>0</v>
      </c>
      <c r="BQ1292" s="1906">
        <f t="shared" si="1676"/>
        <v>0</v>
      </c>
      <c r="BR1292" s="1906">
        <f t="shared" si="1677"/>
        <v>0</v>
      </c>
      <c r="BS1292" s="1906">
        <f t="shared" si="1678"/>
        <v>0</v>
      </c>
      <c r="BT1292" s="1906">
        <f t="shared" si="1679"/>
        <v>0</v>
      </c>
      <c r="BU1292" s="1906">
        <f t="shared" si="1680"/>
        <v>0</v>
      </c>
      <c r="BV1292" s="1906">
        <f t="shared" si="1681"/>
        <v>0</v>
      </c>
      <c r="BW1292" s="1906">
        <f t="shared" si="1682"/>
        <v>0</v>
      </c>
      <c r="BX1292" s="1906">
        <f t="shared" si="1683"/>
        <v>0</v>
      </c>
      <c r="BY1292" s="1906">
        <f t="shared" si="1684"/>
        <v>0</v>
      </c>
      <c r="BZ1292" s="1906">
        <f t="shared" si="1685"/>
        <v>0</v>
      </c>
      <c r="CA1292" s="1906">
        <f t="shared" si="1686"/>
        <v>0</v>
      </c>
      <c r="CB1292" s="1971" t="str">
        <f t="shared" si="1687"/>
        <v>Prad 2</v>
      </c>
      <c r="CC1292" s="1906">
        <f t="shared" si="1688"/>
        <v>0</v>
      </c>
      <c r="CD1292" s="1906">
        <f t="shared" si="1689"/>
        <v>0</v>
      </c>
      <c r="CE1292" s="1906">
        <f t="shared" si="1690"/>
        <v>0</v>
      </c>
      <c r="CF1292" s="1906">
        <f t="shared" si="1691"/>
        <v>0</v>
      </c>
      <c r="CG1292" s="1906">
        <f t="shared" si="1692"/>
        <v>0</v>
      </c>
      <c r="CH1292" s="1906">
        <f t="shared" si="1693"/>
        <v>0</v>
      </c>
      <c r="CI1292" s="1906">
        <f t="shared" si="1694"/>
        <v>0</v>
      </c>
      <c r="CJ1292" s="1906">
        <f t="shared" si="1695"/>
        <v>0</v>
      </c>
      <c r="CK1292" s="1906">
        <f t="shared" si="1696"/>
        <v>0</v>
      </c>
      <c r="CL1292" s="1906">
        <f t="shared" si="1697"/>
        <v>0</v>
      </c>
      <c r="CM1292" s="1906">
        <f t="shared" si="1698"/>
        <v>0</v>
      </c>
      <c r="CN1292" s="1906">
        <f t="shared" si="1699"/>
        <v>0</v>
      </c>
      <c r="CO1292" s="595" t="str">
        <f t="shared" si="1700"/>
        <v>Prad 2</v>
      </c>
      <c r="CP1292" s="1443">
        <f t="shared" si="1701"/>
        <v>0</v>
      </c>
      <c r="EF1292" s="5"/>
    </row>
    <row r="1293" spans="1:136" x14ac:dyDescent="0.2">
      <c r="A1293" s="6"/>
      <c r="B1293" s="1971" t="str">
        <f t="shared" si="1615"/>
        <v>Prad 3</v>
      </c>
      <c r="C1293" s="1906">
        <f t="shared" si="1616"/>
        <v>0</v>
      </c>
      <c r="D1293" s="1906">
        <f t="shared" si="1617"/>
        <v>0</v>
      </c>
      <c r="E1293" s="1906">
        <f t="shared" si="1618"/>
        <v>0</v>
      </c>
      <c r="F1293" s="1906">
        <f t="shared" si="1619"/>
        <v>0</v>
      </c>
      <c r="G1293" s="1906">
        <f t="shared" si="1620"/>
        <v>0</v>
      </c>
      <c r="H1293" s="1906">
        <f t="shared" si="1621"/>
        <v>0</v>
      </c>
      <c r="I1293" s="1906">
        <f t="shared" si="1622"/>
        <v>0</v>
      </c>
      <c r="J1293" s="1906">
        <f t="shared" si="1623"/>
        <v>0</v>
      </c>
      <c r="K1293" s="1906">
        <f t="shared" si="1624"/>
        <v>0</v>
      </c>
      <c r="L1293" s="1906">
        <f t="shared" si="1625"/>
        <v>0</v>
      </c>
      <c r="M1293" s="1906">
        <f t="shared" si="1626"/>
        <v>0</v>
      </c>
      <c r="N1293" s="1906">
        <f t="shared" si="1627"/>
        <v>0</v>
      </c>
      <c r="O1293" s="107"/>
      <c r="P1293" s="1906"/>
      <c r="Q1293" s="1906">
        <f t="shared" si="1628"/>
        <v>0</v>
      </c>
      <c r="R1293" s="1906">
        <f t="shared" si="1629"/>
        <v>0</v>
      </c>
      <c r="S1293" s="1906">
        <f t="shared" si="1630"/>
        <v>0</v>
      </c>
      <c r="T1293" s="1906">
        <f t="shared" si="1631"/>
        <v>0</v>
      </c>
      <c r="U1293" s="1906">
        <f t="shared" si="1632"/>
        <v>0</v>
      </c>
      <c r="V1293" s="1906">
        <f t="shared" si="1633"/>
        <v>0</v>
      </c>
      <c r="W1293" s="1906">
        <f t="shared" si="1634"/>
        <v>0</v>
      </c>
      <c r="X1293" s="1906">
        <f t="shared" si="1635"/>
        <v>0</v>
      </c>
      <c r="Y1293" s="1906">
        <f t="shared" si="1636"/>
        <v>0</v>
      </c>
      <c r="Z1293" s="1906">
        <f t="shared" si="1637"/>
        <v>0</v>
      </c>
      <c r="AA1293" s="1906">
        <f t="shared" si="1638"/>
        <v>0</v>
      </c>
      <c r="AB1293" s="107"/>
      <c r="AC1293" s="1906">
        <f t="shared" si="1639"/>
        <v>0</v>
      </c>
      <c r="AD1293" s="1906">
        <f t="shared" si="1640"/>
        <v>0</v>
      </c>
      <c r="AE1293" s="1906">
        <f t="shared" si="1641"/>
        <v>0</v>
      </c>
      <c r="AF1293" s="1906">
        <f t="shared" si="1642"/>
        <v>0</v>
      </c>
      <c r="AG1293" s="1906">
        <f t="shared" si="1643"/>
        <v>0</v>
      </c>
      <c r="AH1293" s="1906">
        <f t="shared" si="1644"/>
        <v>0</v>
      </c>
      <c r="AI1293" s="1906">
        <f t="shared" si="1645"/>
        <v>0</v>
      </c>
      <c r="AJ1293" s="1906">
        <f t="shared" si="1646"/>
        <v>0</v>
      </c>
      <c r="AK1293" s="1906">
        <f t="shared" si="1647"/>
        <v>0</v>
      </c>
      <c r="AL1293" s="1906">
        <f t="shared" si="1648"/>
        <v>0</v>
      </c>
      <c r="AM1293" s="1906">
        <f t="shared" si="1649"/>
        <v>0</v>
      </c>
      <c r="AN1293" s="1906">
        <f t="shared" si="1650"/>
        <v>0</v>
      </c>
      <c r="AO1293" s="107"/>
      <c r="AP1293" s="1906">
        <f t="shared" si="1651"/>
        <v>0</v>
      </c>
      <c r="AQ1293" s="1906">
        <f t="shared" si="1652"/>
        <v>0</v>
      </c>
      <c r="AR1293" s="1906">
        <f t="shared" si="1653"/>
        <v>0</v>
      </c>
      <c r="AS1293" s="1906">
        <f t="shared" si="1654"/>
        <v>0</v>
      </c>
      <c r="AT1293" s="1906">
        <f t="shared" si="1655"/>
        <v>0</v>
      </c>
      <c r="AU1293" s="1906">
        <f t="shared" si="1656"/>
        <v>0</v>
      </c>
      <c r="AV1293" s="1906">
        <f t="shared" si="1657"/>
        <v>0</v>
      </c>
      <c r="AW1293" s="1906">
        <f t="shared" si="1658"/>
        <v>0</v>
      </c>
      <c r="AX1293" s="1906">
        <f t="shared" si="1659"/>
        <v>0</v>
      </c>
      <c r="AY1293" s="1906">
        <f t="shared" si="1660"/>
        <v>0</v>
      </c>
      <c r="AZ1293" s="1906">
        <f t="shared" si="1661"/>
        <v>0</v>
      </c>
      <c r="BA1293" s="1906">
        <f t="shared" si="1662"/>
        <v>0</v>
      </c>
      <c r="BB1293" s="107"/>
      <c r="BC1293" s="1906">
        <f t="shared" si="1663"/>
        <v>0</v>
      </c>
      <c r="BD1293" s="1906">
        <f t="shared" si="1664"/>
        <v>0</v>
      </c>
      <c r="BE1293" s="1906">
        <f t="shared" si="1665"/>
        <v>0</v>
      </c>
      <c r="BF1293" s="1906">
        <f t="shared" si="1666"/>
        <v>0</v>
      </c>
      <c r="BG1293" s="1906">
        <f t="shared" si="1667"/>
        <v>0</v>
      </c>
      <c r="BH1293" s="1906">
        <f t="shared" si="1668"/>
        <v>0</v>
      </c>
      <c r="BI1293" s="1906">
        <f t="shared" si="1669"/>
        <v>0</v>
      </c>
      <c r="BJ1293" s="1906">
        <f t="shared" si="1670"/>
        <v>0</v>
      </c>
      <c r="BK1293" s="1906">
        <f t="shared" si="1671"/>
        <v>0</v>
      </c>
      <c r="BL1293" s="1906">
        <f t="shared" si="1672"/>
        <v>0</v>
      </c>
      <c r="BM1293" s="1906">
        <f t="shared" si="1673"/>
        <v>0</v>
      </c>
      <c r="BN1293" s="1906">
        <f t="shared" si="1674"/>
        <v>0</v>
      </c>
      <c r="BO1293" s="107"/>
      <c r="BP1293" s="1906">
        <f t="shared" si="1675"/>
        <v>0</v>
      </c>
      <c r="BQ1293" s="1906">
        <f t="shared" si="1676"/>
        <v>0</v>
      </c>
      <c r="BR1293" s="1906">
        <f t="shared" si="1677"/>
        <v>0</v>
      </c>
      <c r="BS1293" s="1906">
        <f t="shared" si="1678"/>
        <v>0</v>
      </c>
      <c r="BT1293" s="1906">
        <f t="shared" si="1679"/>
        <v>0</v>
      </c>
      <c r="BU1293" s="1906">
        <f t="shared" si="1680"/>
        <v>0</v>
      </c>
      <c r="BV1293" s="1906">
        <f t="shared" si="1681"/>
        <v>0</v>
      </c>
      <c r="BW1293" s="1906">
        <f t="shared" si="1682"/>
        <v>0</v>
      </c>
      <c r="BX1293" s="1906">
        <f t="shared" si="1683"/>
        <v>0</v>
      </c>
      <c r="BY1293" s="1906">
        <f t="shared" si="1684"/>
        <v>0</v>
      </c>
      <c r="BZ1293" s="1906">
        <f t="shared" si="1685"/>
        <v>0</v>
      </c>
      <c r="CA1293" s="1906">
        <f t="shared" si="1686"/>
        <v>0</v>
      </c>
      <c r="CB1293" s="1971" t="str">
        <f t="shared" si="1687"/>
        <v>Prad 3</v>
      </c>
      <c r="CC1293" s="1906">
        <f t="shared" si="1688"/>
        <v>0</v>
      </c>
      <c r="CD1293" s="1906">
        <f t="shared" si="1689"/>
        <v>0</v>
      </c>
      <c r="CE1293" s="1906">
        <f t="shared" si="1690"/>
        <v>0</v>
      </c>
      <c r="CF1293" s="1906">
        <f t="shared" si="1691"/>
        <v>0</v>
      </c>
      <c r="CG1293" s="1906">
        <f t="shared" si="1692"/>
        <v>0</v>
      </c>
      <c r="CH1293" s="1906">
        <f t="shared" si="1693"/>
        <v>0</v>
      </c>
      <c r="CI1293" s="1906">
        <f t="shared" si="1694"/>
        <v>0</v>
      </c>
      <c r="CJ1293" s="1906">
        <f t="shared" si="1695"/>
        <v>0</v>
      </c>
      <c r="CK1293" s="1906">
        <f t="shared" si="1696"/>
        <v>0</v>
      </c>
      <c r="CL1293" s="1906">
        <f t="shared" si="1697"/>
        <v>0</v>
      </c>
      <c r="CM1293" s="1906">
        <f t="shared" si="1698"/>
        <v>0</v>
      </c>
      <c r="CN1293" s="1906">
        <f t="shared" si="1699"/>
        <v>0</v>
      </c>
      <c r="CO1293" s="595" t="str">
        <f t="shared" si="1700"/>
        <v>Prad 3</v>
      </c>
      <c r="CP1293" s="1443">
        <f t="shared" si="1701"/>
        <v>0</v>
      </c>
      <c r="EF1293" s="5"/>
    </row>
    <row r="1294" spans="1:136" x14ac:dyDescent="0.2">
      <c r="A1294" s="6"/>
      <c r="B1294" s="1971" t="str">
        <f t="shared" si="1615"/>
        <v>Prad 4</v>
      </c>
      <c r="C1294" s="1906">
        <f t="shared" si="1616"/>
        <v>0</v>
      </c>
      <c r="D1294" s="1906">
        <f t="shared" si="1617"/>
        <v>0</v>
      </c>
      <c r="E1294" s="1906">
        <f t="shared" si="1618"/>
        <v>0</v>
      </c>
      <c r="F1294" s="1906">
        <f t="shared" si="1619"/>
        <v>0</v>
      </c>
      <c r="G1294" s="1906">
        <f t="shared" si="1620"/>
        <v>0</v>
      </c>
      <c r="H1294" s="1906">
        <f t="shared" si="1621"/>
        <v>0</v>
      </c>
      <c r="I1294" s="1906">
        <f t="shared" si="1622"/>
        <v>0</v>
      </c>
      <c r="J1294" s="1906">
        <f t="shared" si="1623"/>
        <v>0</v>
      </c>
      <c r="K1294" s="1906">
        <f t="shared" si="1624"/>
        <v>0</v>
      </c>
      <c r="L1294" s="1906">
        <f t="shared" si="1625"/>
        <v>0</v>
      </c>
      <c r="M1294" s="1906">
        <f t="shared" si="1626"/>
        <v>0</v>
      </c>
      <c r="N1294" s="1906">
        <f t="shared" si="1627"/>
        <v>0</v>
      </c>
      <c r="O1294" s="107"/>
      <c r="P1294" s="1906"/>
      <c r="Q1294" s="1906">
        <f t="shared" si="1628"/>
        <v>0</v>
      </c>
      <c r="R1294" s="1906">
        <f t="shared" si="1629"/>
        <v>0</v>
      </c>
      <c r="S1294" s="1906">
        <f t="shared" si="1630"/>
        <v>0</v>
      </c>
      <c r="T1294" s="1906">
        <f t="shared" si="1631"/>
        <v>0</v>
      </c>
      <c r="U1294" s="1906">
        <f t="shared" si="1632"/>
        <v>0</v>
      </c>
      <c r="V1294" s="1906">
        <f t="shared" si="1633"/>
        <v>0</v>
      </c>
      <c r="W1294" s="1906">
        <f t="shared" si="1634"/>
        <v>0</v>
      </c>
      <c r="X1294" s="1906">
        <f t="shared" si="1635"/>
        <v>0</v>
      </c>
      <c r="Y1294" s="1906">
        <f t="shared" si="1636"/>
        <v>0</v>
      </c>
      <c r="Z1294" s="1906">
        <f t="shared" si="1637"/>
        <v>0</v>
      </c>
      <c r="AA1294" s="1906">
        <f t="shared" si="1638"/>
        <v>0</v>
      </c>
      <c r="AB1294" s="107"/>
      <c r="AC1294" s="1906">
        <f t="shared" si="1639"/>
        <v>0</v>
      </c>
      <c r="AD1294" s="1906">
        <f t="shared" si="1640"/>
        <v>0</v>
      </c>
      <c r="AE1294" s="1906">
        <f t="shared" si="1641"/>
        <v>0</v>
      </c>
      <c r="AF1294" s="1906">
        <f t="shared" si="1642"/>
        <v>0</v>
      </c>
      <c r="AG1294" s="1906">
        <f t="shared" si="1643"/>
        <v>0</v>
      </c>
      <c r="AH1294" s="1906">
        <f t="shared" si="1644"/>
        <v>0</v>
      </c>
      <c r="AI1294" s="1906">
        <f t="shared" si="1645"/>
        <v>0</v>
      </c>
      <c r="AJ1294" s="1906">
        <f t="shared" si="1646"/>
        <v>0</v>
      </c>
      <c r="AK1294" s="1906">
        <f t="shared" si="1647"/>
        <v>0</v>
      </c>
      <c r="AL1294" s="1906">
        <f t="shared" si="1648"/>
        <v>0</v>
      </c>
      <c r="AM1294" s="1906">
        <f t="shared" si="1649"/>
        <v>0</v>
      </c>
      <c r="AN1294" s="1906">
        <f t="shared" si="1650"/>
        <v>0</v>
      </c>
      <c r="AO1294" s="107"/>
      <c r="AP1294" s="1906">
        <f t="shared" si="1651"/>
        <v>0</v>
      </c>
      <c r="AQ1294" s="1906">
        <f t="shared" si="1652"/>
        <v>0</v>
      </c>
      <c r="AR1294" s="1906">
        <f t="shared" si="1653"/>
        <v>0</v>
      </c>
      <c r="AS1294" s="1906">
        <f t="shared" si="1654"/>
        <v>0</v>
      </c>
      <c r="AT1294" s="1906">
        <f t="shared" si="1655"/>
        <v>0</v>
      </c>
      <c r="AU1294" s="1906">
        <f t="shared" si="1656"/>
        <v>0</v>
      </c>
      <c r="AV1294" s="1906">
        <f t="shared" si="1657"/>
        <v>0</v>
      </c>
      <c r="AW1294" s="1906">
        <f t="shared" si="1658"/>
        <v>0</v>
      </c>
      <c r="AX1294" s="1906">
        <f t="shared" si="1659"/>
        <v>0</v>
      </c>
      <c r="AY1294" s="1906">
        <f t="shared" si="1660"/>
        <v>0</v>
      </c>
      <c r="AZ1294" s="1906">
        <f t="shared" si="1661"/>
        <v>0</v>
      </c>
      <c r="BA1294" s="1906">
        <f t="shared" si="1662"/>
        <v>0</v>
      </c>
      <c r="BB1294" s="107"/>
      <c r="BC1294" s="1906">
        <f t="shared" si="1663"/>
        <v>0</v>
      </c>
      <c r="BD1294" s="1906">
        <f t="shared" si="1664"/>
        <v>0</v>
      </c>
      <c r="BE1294" s="1906">
        <f t="shared" si="1665"/>
        <v>0</v>
      </c>
      <c r="BF1294" s="1906">
        <f t="shared" si="1666"/>
        <v>0</v>
      </c>
      <c r="BG1294" s="1906">
        <f t="shared" si="1667"/>
        <v>0</v>
      </c>
      <c r="BH1294" s="1906">
        <f t="shared" si="1668"/>
        <v>0</v>
      </c>
      <c r="BI1294" s="1906">
        <f t="shared" si="1669"/>
        <v>0</v>
      </c>
      <c r="BJ1294" s="1906">
        <f t="shared" si="1670"/>
        <v>0</v>
      </c>
      <c r="BK1294" s="1906">
        <f t="shared" si="1671"/>
        <v>0</v>
      </c>
      <c r="BL1294" s="1906">
        <f t="shared" si="1672"/>
        <v>0</v>
      </c>
      <c r="BM1294" s="1906">
        <f t="shared" si="1673"/>
        <v>0</v>
      </c>
      <c r="BN1294" s="1906">
        <f t="shared" si="1674"/>
        <v>0</v>
      </c>
      <c r="BO1294" s="107"/>
      <c r="BP1294" s="1906">
        <f t="shared" si="1675"/>
        <v>0</v>
      </c>
      <c r="BQ1294" s="1906">
        <f t="shared" si="1676"/>
        <v>0</v>
      </c>
      <c r="BR1294" s="1906">
        <f t="shared" si="1677"/>
        <v>0</v>
      </c>
      <c r="BS1294" s="1906">
        <f t="shared" si="1678"/>
        <v>0</v>
      </c>
      <c r="BT1294" s="1906">
        <f t="shared" si="1679"/>
        <v>0</v>
      </c>
      <c r="BU1294" s="1906">
        <f t="shared" si="1680"/>
        <v>0</v>
      </c>
      <c r="BV1294" s="1906">
        <f t="shared" si="1681"/>
        <v>0</v>
      </c>
      <c r="BW1294" s="1906">
        <f t="shared" si="1682"/>
        <v>0</v>
      </c>
      <c r="BX1294" s="1906">
        <f t="shared" si="1683"/>
        <v>0</v>
      </c>
      <c r="BY1294" s="1906">
        <f t="shared" si="1684"/>
        <v>0</v>
      </c>
      <c r="BZ1294" s="1906">
        <f t="shared" si="1685"/>
        <v>0</v>
      </c>
      <c r="CA1294" s="1906">
        <f t="shared" si="1686"/>
        <v>0</v>
      </c>
      <c r="CB1294" s="1971" t="str">
        <f t="shared" si="1687"/>
        <v>Prad 4</v>
      </c>
      <c r="CC1294" s="1906">
        <f t="shared" si="1688"/>
        <v>0</v>
      </c>
      <c r="CD1294" s="1906">
        <f t="shared" si="1689"/>
        <v>0</v>
      </c>
      <c r="CE1294" s="1906">
        <f t="shared" si="1690"/>
        <v>0</v>
      </c>
      <c r="CF1294" s="1906">
        <f t="shared" si="1691"/>
        <v>0</v>
      </c>
      <c r="CG1294" s="1906">
        <f t="shared" si="1692"/>
        <v>0</v>
      </c>
      <c r="CH1294" s="1906">
        <f t="shared" si="1693"/>
        <v>0</v>
      </c>
      <c r="CI1294" s="1906">
        <f t="shared" si="1694"/>
        <v>0</v>
      </c>
      <c r="CJ1294" s="1906">
        <f t="shared" si="1695"/>
        <v>0</v>
      </c>
      <c r="CK1294" s="1906">
        <f t="shared" si="1696"/>
        <v>0</v>
      </c>
      <c r="CL1294" s="1906">
        <f t="shared" si="1697"/>
        <v>0</v>
      </c>
      <c r="CM1294" s="1906">
        <f t="shared" si="1698"/>
        <v>0</v>
      </c>
      <c r="CN1294" s="1906">
        <f t="shared" si="1699"/>
        <v>0</v>
      </c>
      <c r="CO1294" s="595" t="str">
        <f t="shared" si="1700"/>
        <v>Prad 4</v>
      </c>
      <c r="CP1294" s="1443">
        <f t="shared" si="1701"/>
        <v>0</v>
      </c>
      <c r="EF1294" s="5"/>
    </row>
    <row r="1295" spans="1:136" x14ac:dyDescent="0.2">
      <c r="A1295" s="6"/>
      <c r="B1295" s="1971" t="str">
        <f t="shared" si="1615"/>
        <v>Trébol Rojo 2</v>
      </c>
      <c r="C1295" s="1906">
        <f t="shared" si="1616"/>
        <v>0</v>
      </c>
      <c r="D1295" s="1906">
        <f t="shared" si="1617"/>
        <v>0</v>
      </c>
      <c r="E1295" s="1906">
        <f t="shared" si="1618"/>
        <v>0</v>
      </c>
      <c r="F1295" s="1906">
        <f t="shared" si="1619"/>
        <v>0</v>
      </c>
      <c r="G1295" s="1906">
        <f t="shared" si="1620"/>
        <v>0</v>
      </c>
      <c r="H1295" s="1906">
        <f t="shared" si="1621"/>
        <v>0</v>
      </c>
      <c r="I1295" s="1906">
        <f t="shared" si="1622"/>
        <v>0</v>
      </c>
      <c r="J1295" s="1906">
        <f t="shared" si="1623"/>
        <v>0</v>
      </c>
      <c r="K1295" s="1906">
        <f t="shared" si="1624"/>
        <v>0</v>
      </c>
      <c r="L1295" s="1906">
        <f t="shared" si="1625"/>
        <v>0</v>
      </c>
      <c r="M1295" s="1906">
        <f t="shared" si="1626"/>
        <v>0</v>
      </c>
      <c r="N1295" s="1906">
        <f t="shared" si="1627"/>
        <v>0</v>
      </c>
      <c r="O1295" s="107"/>
      <c r="P1295" s="1906"/>
      <c r="Q1295" s="1906">
        <f t="shared" si="1628"/>
        <v>0</v>
      </c>
      <c r="R1295" s="1906">
        <f t="shared" si="1629"/>
        <v>0</v>
      </c>
      <c r="S1295" s="1906">
        <f t="shared" si="1630"/>
        <v>0</v>
      </c>
      <c r="T1295" s="1906">
        <f t="shared" si="1631"/>
        <v>0</v>
      </c>
      <c r="U1295" s="1906">
        <f t="shared" si="1632"/>
        <v>0</v>
      </c>
      <c r="V1295" s="1906">
        <f t="shared" si="1633"/>
        <v>0</v>
      </c>
      <c r="W1295" s="1906">
        <f t="shared" si="1634"/>
        <v>0</v>
      </c>
      <c r="X1295" s="1906">
        <f t="shared" si="1635"/>
        <v>0</v>
      </c>
      <c r="Y1295" s="1906">
        <f t="shared" si="1636"/>
        <v>0</v>
      </c>
      <c r="Z1295" s="1906">
        <f t="shared" si="1637"/>
        <v>0</v>
      </c>
      <c r="AA1295" s="1906">
        <f t="shared" si="1638"/>
        <v>0</v>
      </c>
      <c r="AB1295" s="107"/>
      <c r="AC1295" s="1906">
        <f t="shared" si="1639"/>
        <v>0</v>
      </c>
      <c r="AD1295" s="1906">
        <f t="shared" si="1640"/>
        <v>0</v>
      </c>
      <c r="AE1295" s="1906">
        <f t="shared" si="1641"/>
        <v>0</v>
      </c>
      <c r="AF1295" s="1906">
        <f t="shared" si="1642"/>
        <v>0</v>
      </c>
      <c r="AG1295" s="1906">
        <f t="shared" si="1643"/>
        <v>0</v>
      </c>
      <c r="AH1295" s="1906">
        <f t="shared" si="1644"/>
        <v>0</v>
      </c>
      <c r="AI1295" s="1906">
        <f t="shared" si="1645"/>
        <v>0</v>
      </c>
      <c r="AJ1295" s="1906">
        <f t="shared" si="1646"/>
        <v>0</v>
      </c>
      <c r="AK1295" s="1906">
        <f t="shared" si="1647"/>
        <v>0</v>
      </c>
      <c r="AL1295" s="1906">
        <f t="shared" si="1648"/>
        <v>0</v>
      </c>
      <c r="AM1295" s="1906">
        <f t="shared" si="1649"/>
        <v>0</v>
      </c>
      <c r="AN1295" s="1906">
        <f t="shared" si="1650"/>
        <v>0</v>
      </c>
      <c r="AO1295" s="107"/>
      <c r="AP1295" s="1906">
        <f t="shared" si="1651"/>
        <v>0</v>
      </c>
      <c r="AQ1295" s="1906">
        <f t="shared" si="1652"/>
        <v>0</v>
      </c>
      <c r="AR1295" s="1906">
        <f t="shared" si="1653"/>
        <v>0</v>
      </c>
      <c r="AS1295" s="1906">
        <f t="shared" si="1654"/>
        <v>0</v>
      </c>
      <c r="AT1295" s="1906">
        <f t="shared" si="1655"/>
        <v>0</v>
      </c>
      <c r="AU1295" s="1906">
        <f t="shared" si="1656"/>
        <v>0</v>
      </c>
      <c r="AV1295" s="1906">
        <f t="shared" si="1657"/>
        <v>0</v>
      </c>
      <c r="AW1295" s="1906">
        <f t="shared" si="1658"/>
        <v>0</v>
      </c>
      <c r="AX1295" s="1906">
        <f t="shared" si="1659"/>
        <v>0</v>
      </c>
      <c r="AY1295" s="1906">
        <f t="shared" si="1660"/>
        <v>0</v>
      </c>
      <c r="AZ1295" s="1906">
        <f t="shared" si="1661"/>
        <v>0</v>
      </c>
      <c r="BA1295" s="1906">
        <f t="shared" si="1662"/>
        <v>0</v>
      </c>
      <c r="BB1295" s="107"/>
      <c r="BC1295" s="1906">
        <f t="shared" si="1663"/>
        <v>0</v>
      </c>
      <c r="BD1295" s="1906">
        <f t="shared" si="1664"/>
        <v>0</v>
      </c>
      <c r="BE1295" s="1906">
        <f t="shared" si="1665"/>
        <v>0</v>
      </c>
      <c r="BF1295" s="1906">
        <f t="shared" si="1666"/>
        <v>0</v>
      </c>
      <c r="BG1295" s="1906">
        <f t="shared" si="1667"/>
        <v>0</v>
      </c>
      <c r="BH1295" s="1906">
        <f t="shared" si="1668"/>
        <v>0</v>
      </c>
      <c r="BI1295" s="1906">
        <f t="shared" si="1669"/>
        <v>0</v>
      </c>
      <c r="BJ1295" s="1906">
        <f t="shared" si="1670"/>
        <v>0</v>
      </c>
      <c r="BK1295" s="1906">
        <f t="shared" si="1671"/>
        <v>0</v>
      </c>
      <c r="BL1295" s="1906">
        <f t="shared" si="1672"/>
        <v>0</v>
      </c>
      <c r="BM1295" s="1906">
        <f t="shared" si="1673"/>
        <v>0</v>
      </c>
      <c r="BN1295" s="1906">
        <f t="shared" si="1674"/>
        <v>0</v>
      </c>
      <c r="BO1295" s="107"/>
      <c r="BP1295" s="1906">
        <f t="shared" si="1675"/>
        <v>0</v>
      </c>
      <c r="BQ1295" s="1906">
        <f t="shared" si="1676"/>
        <v>0</v>
      </c>
      <c r="BR1295" s="1906">
        <f t="shared" si="1677"/>
        <v>0</v>
      </c>
      <c r="BS1295" s="1906">
        <f t="shared" si="1678"/>
        <v>0</v>
      </c>
      <c r="BT1295" s="1906">
        <f t="shared" si="1679"/>
        <v>0</v>
      </c>
      <c r="BU1295" s="1906">
        <f t="shared" si="1680"/>
        <v>0</v>
      </c>
      <c r="BV1295" s="1906">
        <f t="shared" si="1681"/>
        <v>0</v>
      </c>
      <c r="BW1295" s="1906">
        <f t="shared" si="1682"/>
        <v>0</v>
      </c>
      <c r="BX1295" s="1906">
        <f t="shared" si="1683"/>
        <v>0</v>
      </c>
      <c r="BY1295" s="1906">
        <f t="shared" si="1684"/>
        <v>0</v>
      </c>
      <c r="BZ1295" s="1906">
        <f t="shared" si="1685"/>
        <v>0</v>
      </c>
      <c r="CA1295" s="1906">
        <f t="shared" si="1686"/>
        <v>0</v>
      </c>
      <c r="CB1295" s="1971" t="str">
        <f t="shared" si="1687"/>
        <v>Trébol Rojo 2</v>
      </c>
      <c r="CC1295" s="1906">
        <f t="shared" si="1688"/>
        <v>0</v>
      </c>
      <c r="CD1295" s="1906">
        <f t="shared" si="1689"/>
        <v>0</v>
      </c>
      <c r="CE1295" s="1906">
        <f t="shared" si="1690"/>
        <v>0</v>
      </c>
      <c r="CF1295" s="1906">
        <f t="shared" si="1691"/>
        <v>0</v>
      </c>
      <c r="CG1295" s="1906">
        <f t="shared" si="1692"/>
        <v>0</v>
      </c>
      <c r="CH1295" s="1906">
        <f t="shared" si="1693"/>
        <v>0</v>
      </c>
      <c r="CI1295" s="1906">
        <f t="shared" si="1694"/>
        <v>0</v>
      </c>
      <c r="CJ1295" s="1906">
        <f t="shared" si="1695"/>
        <v>0</v>
      </c>
      <c r="CK1295" s="1906">
        <f t="shared" si="1696"/>
        <v>0</v>
      </c>
      <c r="CL1295" s="1906">
        <f t="shared" si="1697"/>
        <v>0</v>
      </c>
      <c r="CM1295" s="1906">
        <f t="shared" si="1698"/>
        <v>0</v>
      </c>
      <c r="CN1295" s="1906">
        <f t="shared" si="1699"/>
        <v>0</v>
      </c>
      <c r="CO1295" s="595" t="str">
        <f t="shared" si="1700"/>
        <v>Trébol Rojo 2</v>
      </c>
      <c r="CP1295" s="1443">
        <f t="shared" si="1701"/>
        <v>0</v>
      </c>
      <c r="EF1295" s="5"/>
    </row>
    <row r="1296" spans="1:136" x14ac:dyDescent="0.2">
      <c r="A1296" s="6"/>
      <c r="B1296" s="1971" t="str">
        <f t="shared" si="1615"/>
        <v>Trébol Rojo 3</v>
      </c>
      <c r="C1296" s="1906">
        <f t="shared" si="1616"/>
        <v>0</v>
      </c>
      <c r="D1296" s="1906">
        <f t="shared" si="1617"/>
        <v>0</v>
      </c>
      <c r="E1296" s="1906">
        <f t="shared" si="1618"/>
        <v>0</v>
      </c>
      <c r="F1296" s="1906">
        <f t="shared" si="1619"/>
        <v>0</v>
      </c>
      <c r="G1296" s="1906">
        <f t="shared" si="1620"/>
        <v>0</v>
      </c>
      <c r="H1296" s="1906">
        <f t="shared" si="1621"/>
        <v>0</v>
      </c>
      <c r="I1296" s="1906">
        <f t="shared" si="1622"/>
        <v>0</v>
      </c>
      <c r="J1296" s="1906">
        <f t="shared" si="1623"/>
        <v>0</v>
      </c>
      <c r="K1296" s="1906">
        <f t="shared" si="1624"/>
        <v>0</v>
      </c>
      <c r="L1296" s="1906">
        <f t="shared" si="1625"/>
        <v>0</v>
      </c>
      <c r="M1296" s="1906">
        <f t="shared" si="1626"/>
        <v>0</v>
      </c>
      <c r="N1296" s="1906">
        <f t="shared" si="1627"/>
        <v>0</v>
      </c>
      <c r="O1296" s="107"/>
      <c r="P1296" s="1906"/>
      <c r="Q1296" s="1906">
        <f t="shared" si="1628"/>
        <v>0</v>
      </c>
      <c r="R1296" s="1906">
        <f t="shared" si="1629"/>
        <v>0</v>
      </c>
      <c r="S1296" s="1906">
        <f t="shared" si="1630"/>
        <v>0</v>
      </c>
      <c r="T1296" s="1906">
        <f t="shared" si="1631"/>
        <v>0</v>
      </c>
      <c r="U1296" s="1906">
        <f t="shared" si="1632"/>
        <v>0</v>
      </c>
      <c r="V1296" s="1906">
        <f t="shared" si="1633"/>
        <v>0</v>
      </c>
      <c r="W1296" s="1906">
        <f t="shared" si="1634"/>
        <v>0</v>
      </c>
      <c r="X1296" s="1906">
        <f t="shared" si="1635"/>
        <v>0</v>
      </c>
      <c r="Y1296" s="1906">
        <f t="shared" si="1636"/>
        <v>0</v>
      </c>
      <c r="Z1296" s="1906">
        <f t="shared" si="1637"/>
        <v>0</v>
      </c>
      <c r="AA1296" s="1906">
        <f t="shared" si="1638"/>
        <v>0</v>
      </c>
      <c r="AB1296" s="107"/>
      <c r="AC1296" s="1906">
        <f t="shared" si="1639"/>
        <v>0</v>
      </c>
      <c r="AD1296" s="1906">
        <f t="shared" si="1640"/>
        <v>0</v>
      </c>
      <c r="AE1296" s="1906">
        <f t="shared" si="1641"/>
        <v>0</v>
      </c>
      <c r="AF1296" s="1906">
        <f t="shared" si="1642"/>
        <v>0</v>
      </c>
      <c r="AG1296" s="1906">
        <f t="shared" si="1643"/>
        <v>0</v>
      </c>
      <c r="AH1296" s="1906">
        <f t="shared" si="1644"/>
        <v>0</v>
      </c>
      <c r="AI1296" s="1906">
        <f t="shared" si="1645"/>
        <v>0</v>
      </c>
      <c r="AJ1296" s="1906">
        <f t="shared" si="1646"/>
        <v>0</v>
      </c>
      <c r="AK1296" s="1906">
        <f t="shared" si="1647"/>
        <v>0</v>
      </c>
      <c r="AL1296" s="1906">
        <f t="shared" si="1648"/>
        <v>0</v>
      </c>
      <c r="AM1296" s="1906">
        <f t="shared" si="1649"/>
        <v>0</v>
      </c>
      <c r="AN1296" s="1906">
        <f t="shared" si="1650"/>
        <v>0</v>
      </c>
      <c r="AO1296" s="107"/>
      <c r="AP1296" s="1906">
        <f t="shared" si="1651"/>
        <v>0</v>
      </c>
      <c r="AQ1296" s="1906">
        <f t="shared" si="1652"/>
        <v>0</v>
      </c>
      <c r="AR1296" s="1906">
        <f t="shared" si="1653"/>
        <v>0</v>
      </c>
      <c r="AS1296" s="1906">
        <f t="shared" si="1654"/>
        <v>0</v>
      </c>
      <c r="AT1296" s="1906">
        <f t="shared" si="1655"/>
        <v>0</v>
      </c>
      <c r="AU1296" s="1906">
        <f t="shared" si="1656"/>
        <v>0</v>
      </c>
      <c r="AV1296" s="1906">
        <f t="shared" si="1657"/>
        <v>0</v>
      </c>
      <c r="AW1296" s="1906">
        <f t="shared" si="1658"/>
        <v>0</v>
      </c>
      <c r="AX1296" s="1906">
        <f t="shared" si="1659"/>
        <v>0</v>
      </c>
      <c r="AY1296" s="1906">
        <f t="shared" si="1660"/>
        <v>0</v>
      </c>
      <c r="AZ1296" s="1906">
        <f t="shared" si="1661"/>
        <v>0</v>
      </c>
      <c r="BA1296" s="1906">
        <f t="shared" si="1662"/>
        <v>0</v>
      </c>
      <c r="BB1296" s="107"/>
      <c r="BC1296" s="1906">
        <f t="shared" si="1663"/>
        <v>0</v>
      </c>
      <c r="BD1296" s="1906">
        <f t="shared" si="1664"/>
        <v>0</v>
      </c>
      <c r="BE1296" s="1906">
        <f t="shared" si="1665"/>
        <v>0</v>
      </c>
      <c r="BF1296" s="1906">
        <f t="shared" si="1666"/>
        <v>0</v>
      </c>
      <c r="BG1296" s="1906">
        <f t="shared" si="1667"/>
        <v>0</v>
      </c>
      <c r="BH1296" s="1906">
        <f t="shared" si="1668"/>
        <v>0</v>
      </c>
      <c r="BI1296" s="1906">
        <f t="shared" si="1669"/>
        <v>0</v>
      </c>
      <c r="BJ1296" s="1906">
        <f t="shared" si="1670"/>
        <v>0</v>
      </c>
      <c r="BK1296" s="1906">
        <f t="shared" si="1671"/>
        <v>0</v>
      </c>
      <c r="BL1296" s="1906">
        <f t="shared" si="1672"/>
        <v>0</v>
      </c>
      <c r="BM1296" s="1906">
        <f t="shared" si="1673"/>
        <v>0</v>
      </c>
      <c r="BN1296" s="1906">
        <f t="shared" si="1674"/>
        <v>0</v>
      </c>
      <c r="BO1296" s="107"/>
      <c r="BP1296" s="1906">
        <f t="shared" si="1675"/>
        <v>0</v>
      </c>
      <c r="BQ1296" s="1906">
        <f t="shared" si="1676"/>
        <v>0</v>
      </c>
      <c r="BR1296" s="1906">
        <f t="shared" si="1677"/>
        <v>0</v>
      </c>
      <c r="BS1296" s="1906">
        <f t="shared" si="1678"/>
        <v>0</v>
      </c>
      <c r="BT1296" s="1906">
        <f t="shared" si="1679"/>
        <v>0</v>
      </c>
      <c r="BU1296" s="1906">
        <f t="shared" si="1680"/>
        <v>0</v>
      </c>
      <c r="BV1296" s="1906">
        <f t="shared" si="1681"/>
        <v>0</v>
      </c>
      <c r="BW1296" s="1906">
        <f t="shared" si="1682"/>
        <v>0</v>
      </c>
      <c r="BX1296" s="1906">
        <f t="shared" si="1683"/>
        <v>0</v>
      </c>
      <c r="BY1296" s="1906">
        <f t="shared" si="1684"/>
        <v>0</v>
      </c>
      <c r="BZ1296" s="1906">
        <f t="shared" si="1685"/>
        <v>0</v>
      </c>
      <c r="CA1296" s="1906">
        <f t="shared" si="1686"/>
        <v>0</v>
      </c>
      <c r="CB1296" s="1971" t="str">
        <f t="shared" si="1687"/>
        <v>Trébol Rojo 3</v>
      </c>
      <c r="CC1296" s="1906">
        <f t="shared" si="1688"/>
        <v>0</v>
      </c>
      <c r="CD1296" s="1906">
        <f t="shared" si="1689"/>
        <v>0</v>
      </c>
      <c r="CE1296" s="1906">
        <f t="shared" si="1690"/>
        <v>0</v>
      </c>
      <c r="CF1296" s="1906">
        <f t="shared" si="1691"/>
        <v>0</v>
      </c>
      <c r="CG1296" s="1906">
        <f t="shared" si="1692"/>
        <v>0</v>
      </c>
      <c r="CH1296" s="1906">
        <f t="shared" si="1693"/>
        <v>0</v>
      </c>
      <c r="CI1296" s="1906">
        <f t="shared" si="1694"/>
        <v>0</v>
      </c>
      <c r="CJ1296" s="1906">
        <f t="shared" si="1695"/>
        <v>0</v>
      </c>
      <c r="CK1296" s="1906">
        <f t="shared" si="1696"/>
        <v>0</v>
      </c>
      <c r="CL1296" s="1906">
        <f t="shared" si="1697"/>
        <v>0</v>
      </c>
      <c r="CM1296" s="1906">
        <f t="shared" si="1698"/>
        <v>0</v>
      </c>
      <c r="CN1296" s="1906">
        <f t="shared" si="1699"/>
        <v>0</v>
      </c>
      <c r="CO1296" s="595" t="str">
        <f t="shared" si="1700"/>
        <v>Trébol Rojo 3</v>
      </c>
      <c r="CP1296" s="1443">
        <f t="shared" si="1701"/>
        <v>0</v>
      </c>
      <c r="EF1296" s="5"/>
    </row>
    <row r="1297" spans="1:136" x14ac:dyDescent="0.2">
      <c r="A1297" s="6"/>
      <c r="B1297" s="1971" t="str">
        <f t="shared" si="1615"/>
        <v>Alfalfa 5</v>
      </c>
      <c r="C1297" s="1906">
        <f t="shared" si="1616"/>
        <v>0</v>
      </c>
      <c r="D1297" s="1906">
        <f t="shared" si="1617"/>
        <v>0</v>
      </c>
      <c r="E1297" s="1906">
        <f t="shared" si="1618"/>
        <v>0</v>
      </c>
      <c r="F1297" s="1906">
        <f t="shared" si="1619"/>
        <v>0</v>
      </c>
      <c r="G1297" s="1906">
        <f t="shared" si="1620"/>
        <v>0</v>
      </c>
      <c r="H1297" s="1906">
        <f t="shared" si="1621"/>
        <v>0</v>
      </c>
      <c r="I1297" s="1906">
        <f t="shared" si="1622"/>
        <v>0</v>
      </c>
      <c r="J1297" s="1906">
        <f t="shared" si="1623"/>
        <v>0</v>
      </c>
      <c r="K1297" s="1906">
        <f t="shared" si="1624"/>
        <v>0</v>
      </c>
      <c r="L1297" s="1906">
        <f t="shared" si="1625"/>
        <v>0</v>
      </c>
      <c r="M1297" s="1906">
        <f t="shared" si="1626"/>
        <v>0</v>
      </c>
      <c r="N1297" s="1906">
        <f t="shared" si="1627"/>
        <v>0</v>
      </c>
      <c r="O1297" s="107"/>
      <c r="P1297" s="1906"/>
      <c r="Q1297" s="1906">
        <f t="shared" si="1628"/>
        <v>0</v>
      </c>
      <c r="R1297" s="1906">
        <f t="shared" si="1629"/>
        <v>0</v>
      </c>
      <c r="S1297" s="1906">
        <f t="shared" si="1630"/>
        <v>0</v>
      </c>
      <c r="T1297" s="1906">
        <f t="shared" si="1631"/>
        <v>0</v>
      </c>
      <c r="U1297" s="1906">
        <f t="shared" si="1632"/>
        <v>0</v>
      </c>
      <c r="V1297" s="1906">
        <f t="shared" si="1633"/>
        <v>0</v>
      </c>
      <c r="W1297" s="1906">
        <f t="shared" si="1634"/>
        <v>0</v>
      </c>
      <c r="X1297" s="1906">
        <f t="shared" si="1635"/>
        <v>0</v>
      </c>
      <c r="Y1297" s="1906">
        <f t="shared" si="1636"/>
        <v>0</v>
      </c>
      <c r="Z1297" s="1906">
        <f t="shared" si="1637"/>
        <v>0</v>
      </c>
      <c r="AA1297" s="1906">
        <f t="shared" si="1638"/>
        <v>0</v>
      </c>
      <c r="AB1297" s="107"/>
      <c r="AC1297" s="1906">
        <f t="shared" si="1639"/>
        <v>0</v>
      </c>
      <c r="AD1297" s="1906">
        <f t="shared" si="1640"/>
        <v>0</v>
      </c>
      <c r="AE1297" s="1906">
        <f t="shared" si="1641"/>
        <v>0</v>
      </c>
      <c r="AF1297" s="1906">
        <f t="shared" si="1642"/>
        <v>0</v>
      </c>
      <c r="AG1297" s="1906">
        <f t="shared" si="1643"/>
        <v>0</v>
      </c>
      <c r="AH1297" s="1906">
        <f t="shared" si="1644"/>
        <v>0</v>
      </c>
      <c r="AI1297" s="1906">
        <f t="shared" si="1645"/>
        <v>0</v>
      </c>
      <c r="AJ1297" s="1906">
        <f t="shared" si="1646"/>
        <v>0</v>
      </c>
      <c r="AK1297" s="1906">
        <f t="shared" si="1647"/>
        <v>0</v>
      </c>
      <c r="AL1297" s="1906">
        <f t="shared" si="1648"/>
        <v>0</v>
      </c>
      <c r="AM1297" s="1906">
        <f t="shared" si="1649"/>
        <v>0</v>
      </c>
      <c r="AN1297" s="1906">
        <f t="shared" si="1650"/>
        <v>0</v>
      </c>
      <c r="AO1297" s="107"/>
      <c r="AP1297" s="1906">
        <f t="shared" si="1651"/>
        <v>0</v>
      </c>
      <c r="AQ1297" s="1906">
        <f t="shared" si="1652"/>
        <v>0</v>
      </c>
      <c r="AR1297" s="1906">
        <f t="shared" si="1653"/>
        <v>0</v>
      </c>
      <c r="AS1297" s="1906">
        <f t="shared" si="1654"/>
        <v>0</v>
      </c>
      <c r="AT1297" s="1906">
        <f t="shared" si="1655"/>
        <v>0</v>
      </c>
      <c r="AU1297" s="1906">
        <f t="shared" si="1656"/>
        <v>0</v>
      </c>
      <c r="AV1297" s="1906">
        <f t="shared" si="1657"/>
        <v>0</v>
      </c>
      <c r="AW1297" s="1906">
        <f t="shared" si="1658"/>
        <v>0</v>
      </c>
      <c r="AX1297" s="1906">
        <f t="shared" si="1659"/>
        <v>0</v>
      </c>
      <c r="AY1297" s="1906">
        <f t="shared" si="1660"/>
        <v>0</v>
      </c>
      <c r="AZ1297" s="1906">
        <f t="shared" si="1661"/>
        <v>0</v>
      </c>
      <c r="BA1297" s="1906">
        <f t="shared" si="1662"/>
        <v>0</v>
      </c>
      <c r="BB1297" s="107"/>
      <c r="BC1297" s="1906">
        <f t="shared" si="1663"/>
        <v>0</v>
      </c>
      <c r="BD1297" s="1906">
        <f t="shared" si="1664"/>
        <v>0</v>
      </c>
      <c r="BE1297" s="1906">
        <f t="shared" si="1665"/>
        <v>0</v>
      </c>
      <c r="BF1297" s="1906">
        <f t="shared" si="1666"/>
        <v>0</v>
      </c>
      <c r="BG1297" s="1906">
        <f t="shared" si="1667"/>
        <v>0</v>
      </c>
      <c r="BH1297" s="1906">
        <f t="shared" si="1668"/>
        <v>0</v>
      </c>
      <c r="BI1297" s="1906">
        <f t="shared" si="1669"/>
        <v>0</v>
      </c>
      <c r="BJ1297" s="1906">
        <f t="shared" si="1670"/>
        <v>0</v>
      </c>
      <c r="BK1297" s="1906">
        <f t="shared" si="1671"/>
        <v>0</v>
      </c>
      <c r="BL1297" s="1906">
        <f t="shared" si="1672"/>
        <v>0</v>
      </c>
      <c r="BM1297" s="1906">
        <f t="shared" si="1673"/>
        <v>0</v>
      </c>
      <c r="BN1297" s="1906">
        <f t="shared" si="1674"/>
        <v>0</v>
      </c>
      <c r="BO1297" s="107"/>
      <c r="BP1297" s="1906">
        <f t="shared" si="1675"/>
        <v>0</v>
      </c>
      <c r="BQ1297" s="1906">
        <f t="shared" si="1676"/>
        <v>0</v>
      </c>
      <c r="BR1297" s="1906">
        <f t="shared" si="1677"/>
        <v>0</v>
      </c>
      <c r="BS1297" s="1906">
        <f t="shared" si="1678"/>
        <v>0</v>
      </c>
      <c r="BT1297" s="1906">
        <f t="shared" si="1679"/>
        <v>0</v>
      </c>
      <c r="BU1297" s="1906">
        <f t="shared" si="1680"/>
        <v>0</v>
      </c>
      <c r="BV1297" s="1906">
        <f t="shared" si="1681"/>
        <v>0</v>
      </c>
      <c r="BW1297" s="1906">
        <f t="shared" si="1682"/>
        <v>0</v>
      </c>
      <c r="BX1297" s="1906">
        <f t="shared" si="1683"/>
        <v>0</v>
      </c>
      <c r="BY1297" s="1906">
        <f t="shared" si="1684"/>
        <v>0</v>
      </c>
      <c r="BZ1297" s="1906">
        <f t="shared" si="1685"/>
        <v>0</v>
      </c>
      <c r="CA1297" s="1906">
        <f t="shared" si="1686"/>
        <v>0</v>
      </c>
      <c r="CB1297" s="1971" t="str">
        <f t="shared" si="1687"/>
        <v>Alfalfa 5</v>
      </c>
      <c r="CC1297" s="1906">
        <f t="shared" si="1688"/>
        <v>0</v>
      </c>
      <c r="CD1297" s="1906">
        <f t="shared" si="1689"/>
        <v>0</v>
      </c>
      <c r="CE1297" s="1906">
        <f t="shared" si="1690"/>
        <v>0</v>
      </c>
      <c r="CF1297" s="1906">
        <f t="shared" si="1691"/>
        <v>0</v>
      </c>
      <c r="CG1297" s="1906">
        <f t="shared" si="1692"/>
        <v>0</v>
      </c>
      <c r="CH1297" s="1906">
        <f t="shared" si="1693"/>
        <v>0</v>
      </c>
      <c r="CI1297" s="1906">
        <f t="shared" si="1694"/>
        <v>0</v>
      </c>
      <c r="CJ1297" s="1906">
        <f t="shared" si="1695"/>
        <v>0</v>
      </c>
      <c r="CK1297" s="1906">
        <f t="shared" si="1696"/>
        <v>0</v>
      </c>
      <c r="CL1297" s="1906">
        <f t="shared" si="1697"/>
        <v>0</v>
      </c>
      <c r="CM1297" s="1906">
        <f t="shared" si="1698"/>
        <v>0</v>
      </c>
      <c r="CN1297" s="1906">
        <f t="shared" si="1699"/>
        <v>0</v>
      </c>
      <c r="CO1297" s="595" t="str">
        <f t="shared" si="1700"/>
        <v>Alfalfa 5</v>
      </c>
      <c r="CP1297" s="1443">
        <f t="shared" si="1701"/>
        <v>0</v>
      </c>
      <c r="EF1297" s="5"/>
    </row>
    <row r="1298" spans="1:136" x14ac:dyDescent="0.2">
      <c r="A1298" s="6"/>
      <c r="B1298" s="1971" t="str">
        <f t="shared" si="1615"/>
        <v>PP 5</v>
      </c>
      <c r="C1298" s="1906">
        <f t="shared" si="1616"/>
        <v>0</v>
      </c>
      <c r="D1298" s="1906">
        <f t="shared" si="1617"/>
        <v>0</v>
      </c>
      <c r="E1298" s="1906">
        <f t="shared" si="1618"/>
        <v>0</v>
      </c>
      <c r="F1298" s="1906">
        <f t="shared" si="1619"/>
        <v>0</v>
      </c>
      <c r="G1298" s="1906">
        <f t="shared" si="1620"/>
        <v>0</v>
      </c>
      <c r="H1298" s="1906">
        <f t="shared" si="1621"/>
        <v>0</v>
      </c>
      <c r="I1298" s="1906">
        <f t="shared" si="1622"/>
        <v>0</v>
      </c>
      <c r="J1298" s="1906">
        <f t="shared" si="1623"/>
        <v>0</v>
      </c>
      <c r="K1298" s="1906">
        <f t="shared" si="1624"/>
        <v>0</v>
      </c>
      <c r="L1298" s="1906">
        <f t="shared" si="1625"/>
        <v>0</v>
      </c>
      <c r="M1298" s="1906">
        <f t="shared" si="1626"/>
        <v>0</v>
      </c>
      <c r="N1298" s="1906">
        <f t="shared" si="1627"/>
        <v>0</v>
      </c>
      <c r="O1298" s="107"/>
      <c r="P1298" s="1906"/>
      <c r="Q1298" s="1906">
        <f t="shared" si="1628"/>
        <v>0</v>
      </c>
      <c r="R1298" s="1906">
        <f t="shared" si="1629"/>
        <v>0</v>
      </c>
      <c r="S1298" s="1906">
        <f t="shared" si="1630"/>
        <v>0</v>
      </c>
      <c r="T1298" s="1906">
        <f t="shared" si="1631"/>
        <v>0</v>
      </c>
      <c r="U1298" s="1906">
        <f t="shared" si="1632"/>
        <v>0</v>
      </c>
      <c r="V1298" s="1906">
        <f t="shared" si="1633"/>
        <v>0</v>
      </c>
      <c r="W1298" s="1906">
        <f t="shared" si="1634"/>
        <v>0</v>
      </c>
      <c r="X1298" s="1906">
        <f t="shared" si="1635"/>
        <v>0</v>
      </c>
      <c r="Y1298" s="1906">
        <f t="shared" si="1636"/>
        <v>0</v>
      </c>
      <c r="Z1298" s="1906">
        <f t="shared" si="1637"/>
        <v>0</v>
      </c>
      <c r="AA1298" s="1906">
        <f t="shared" si="1638"/>
        <v>0</v>
      </c>
      <c r="AB1298" s="107"/>
      <c r="AC1298" s="1906">
        <f t="shared" si="1639"/>
        <v>0</v>
      </c>
      <c r="AD1298" s="1906">
        <f t="shared" si="1640"/>
        <v>0</v>
      </c>
      <c r="AE1298" s="1906">
        <f t="shared" si="1641"/>
        <v>0</v>
      </c>
      <c r="AF1298" s="1906">
        <f t="shared" si="1642"/>
        <v>0</v>
      </c>
      <c r="AG1298" s="1906">
        <f t="shared" si="1643"/>
        <v>0</v>
      </c>
      <c r="AH1298" s="1906">
        <f t="shared" si="1644"/>
        <v>0</v>
      </c>
      <c r="AI1298" s="1906">
        <f t="shared" si="1645"/>
        <v>0</v>
      </c>
      <c r="AJ1298" s="1906">
        <f t="shared" si="1646"/>
        <v>0</v>
      </c>
      <c r="AK1298" s="1906">
        <f t="shared" si="1647"/>
        <v>0</v>
      </c>
      <c r="AL1298" s="1906">
        <f t="shared" si="1648"/>
        <v>0</v>
      </c>
      <c r="AM1298" s="1906">
        <f t="shared" si="1649"/>
        <v>0</v>
      </c>
      <c r="AN1298" s="1906">
        <f t="shared" si="1650"/>
        <v>0</v>
      </c>
      <c r="AO1298" s="107"/>
      <c r="AP1298" s="1906">
        <f t="shared" si="1651"/>
        <v>0</v>
      </c>
      <c r="AQ1298" s="1906">
        <f t="shared" si="1652"/>
        <v>0</v>
      </c>
      <c r="AR1298" s="1906">
        <f t="shared" si="1653"/>
        <v>0</v>
      </c>
      <c r="AS1298" s="1906">
        <f t="shared" si="1654"/>
        <v>0</v>
      </c>
      <c r="AT1298" s="1906">
        <f t="shared" si="1655"/>
        <v>0</v>
      </c>
      <c r="AU1298" s="1906">
        <f t="shared" si="1656"/>
        <v>0</v>
      </c>
      <c r="AV1298" s="1906">
        <f t="shared" si="1657"/>
        <v>0</v>
      </c>
      <c r="AW1298" s="1906">
        <f t="shared" si="1658"/>
        <v>0</v>
      </c>
      <c r="AX1298" s="1906">
        <f t="shared" si="1659"/>
        <v>0</v>
      </c>
      <c r="AY1298" s="1906">
        <f t="shared" si="1660"/>
        <v>0</v>
      </c>
      <c r="AZ1298" s="1906">
        <f t="shared" si="1661"/>
        <v>0</v>
      </c>
      <c r="BA1298" s="1906">
        <f t="shared" si="1662"/>
        <v>0</v>
      </c>
      <c r="BB1298" s="107"/>
      <c r="BC1298" s="1906">
        <f t="shared" si="1663"/>
        <v>0</v>
      </c>
      <c r="BD1298" s="1906">
        <f t="shared" si="1664"/>
        <v>0</v>
      </c>
      <c r="BE1298" s="1906">
        <f t="shared" si="1665"/>
        <v>0</v>
      </c>
      <c r="BF1298" s="1906">
        <f t="shared" si="1666"/>
        <v>0</v>
      </c>
      <c r="BG1298" s="1906">
        <f t="shared" si="1667"/>
        <v>0</v>
      </c>
      <c r="BH1298" s="1906">
        <f t="shared" si="1668"/>
        <v>0</v>
      </c>
      <c r="BI1298" s="1906">
        <f t="shared" si="1669"/>
        <v>0</v>
      </c>
      <c r="BJ1298" s="1906">
        <f t="shared" si="1670"/>
        <v>0</v>
      </c>
      <c r="BK1298" s="1906">
        <f t="shared" si="1671"/>
        <v>0</v>
      </c>
      <c r="BL1298" s="1906">
        <f t="shared" si="1672"/>
        <v>0</v>
      </c>
      <c r="BM1298" s="1906">
        <f t="shared" si="1673"/>
        <v>0</v>
      </c>
      <c r="BN1298" s="1906">
        <f t="shared" si="1674"/>
        <v>0</v>
      </c>
      <c r="BO1298" s="107"/>
      <c r="BP1298" s="1906">
        <f t="shared" si="1675"/>
        <v>0</v>
      </c>
      <c r="BQ1298" s="1906">
        <f t="shared" si="1676"/>
        <v>0</v>
      </c>
      <c r="BR1298" s="1906">
        <f t="shared" si="1677"/>
        <v>0</v>
      </c>
      <c r="BS1298" s="1906">
        <f t="shared" si="1678"/>
        <v>0</v>
      </c>
      <c r="BT1298" s="1906">
        <f t="shared" si="1679"/>
        <v>0</v>
      </c>
      <c r="BU1298" s="1906">
        <f t="shared" si="1680"/>
        <v>0</v>
      </c>
      <c r="BV1298" s="1906">
        <f t="shared" si="1681"/>
        <v>0</v>
      </c>
      <c r="BW1298" s="1906">
        <f t="shared" si="1682"/>
        <v>0</v>
      </c>
      <c r="BX1298" s="1906">
        <f t="shared" si="1683"/>
        <v>0</v>
      </c>
      <c r="BY1298" s="1906">
        <f t="shared" si="1684"/>
        <v>0</v>
      </c>
      <c r="BZ1298" s="1906">
        <f t="shared" si="1685"/>
        <v>0</v>
      </c>
      <c r="CA1298" s="1906">
        <f t="shared" si="1686"/>
        <v>0</v>
      </c>
      <c r="CB1298" s="1971" t="str">
        <f t="shared" si="1687"/>
        <v>PP 5</v>
      </c>
      <c r="CC1298" s="1906">
        <f t="shared" si="1688"/>
        <v>0</v>
      </c>
      <c r="CD1298" s="1906">
        <f t="shared" si="1689"/>
        <v>0</v>
      </c>
      <c r="CE1298" s="1906">
        <f t="shared" si="1690"/>
        <v>0</v>
      </c>
      <c r="CF1298" s="1906">
        <f t="shared" si="1691"/>
        <v>0</v>
      </c>
      <c r="CG1298" s="1906">
        <f t="shared" si="1692"/>
        <v>0</v>
      </c>
      <c r="CH1298" s="1906">
        <f t="shared" si="1693"/>
        <v>0</v>
      </c>
      <c r="CI1298" s="1906">
        <f t="shared" si="1694"/>
        <v>0</v>
      </c>
      <c r="CJ1298" s="1906">
        <f t="shared" si="1695"/>
        <v>0</v>
      </c>
      <c r="CK1298" s="1906">
        <f t="shared" si="1696"/>
        <v>0</v>
      </c>
      <c r="CL1298" s="1906">
        <f t="shared" si="1697"/>
        <v>0</v>
      </c>
      <c r="CM1298" s="1906">
        <f t="shared" si="1698"/>
        <v>0</v>
      </c>
      <c r="CN1298" s="1906">
        <f t="shared" si="1699"/>
        <v>0</v>
      </c>
      <c r="CO1298" s="595" t="str">
        <f t="shared" si="1700"/>
        <v>PP 5</v>
      </c>
      <c r="CP1298" s="1443">
        <f t="shared" si="1701"/>
        <v>0</v>
      </c>
      <c r="EF1298" s="5"/>
    </row>
    <row r="1299" spans="1:136" x14ac:dyDescent="0.2">
      <c r="A1299" s="6"/>
      <c r="B1299" s="1971">
        <f t="shared" si="1615"/>
        <v>0</v>
      </c>
      <c r="C1299" s="1906">
        <f t="shared" si="1616"/>
        <v>0</v>
      </c>
      <c r="D1299" s="1906">
        <f t="shared" si="1617"/>
        <v>0</v>
      </c>
      <c r="E1299" s="1906">
        <f t="shared" si="1618"/>
        <v>0</v>
      </c>
      <c r="F1299" s="1906">
        <f t="shared" si="1619"/>
        <v>0</v>
      </c>
      <c r="G1299" s="1906">
        <f t="shared" si="1620"/>
        <v>0</v>
      </c>
      <c r="H1299" s="1906">
        <f t="shared" si="1621"/>
        <v>0</v>
      </c>
      <c r="I1299" s="1906">
        <f t="shared" si="1622"/>
        <v>0</v>
      </c>
      <c r="J1299" s="1906">
        <f t="shared" si="1623"/>
        <v>0</v>
      </c>
      <c r="K1299" s="1906">
        <f t="shared" si="1624"/>
        <v>0</v>
      </c>
      <c r="L1299" s="1906">
        <f t="shared" si="1625"/>
        <v>0</v>
      </c>
      <c r="M1299" s="1906">
        <f t="shared" si="1626"/>
        <v>0</v>
      </c>
      <c r="N1299" s="1906">
        <f t="shared" si="1627"/>
        <v>0</v>
      </c>
      <c r="O1299" s="107"/>
      <c r="P1299" s="1906"/>
      <c r="Q1299" s="1906">
        <f t="shared" si="1628"/>
        <v>0</v>
      </c>
      <c r="R1299" s="1906">
        <f t="shared" si="1629"/>
        <v>0</v>
      </c>
      <c r="S1299" s="1906">
        <f t="shared" si="1630"/>
        <v>0</v>
      </c>
      <c r="T1299" s="1906">
        <f t="shared" si="1631"/>
        <v>0</v>
      </c>
      <c r="U1299" s="1906">
        <f t="shared" si="1632"/>
        <v>0</v>
      </c>
      <c r="V1299" s="1906">
        <f t="shared" si="1633"/>
        <v>0</v>
      </c>
      <c r="W1299" s="1906">
        <f t="shared" si="1634"/>
        <v>0</v>
      </c>
      <c r="X1299" s="1906">
        <f t="shared" si="1635"/>
        <v>0</v>
      </c>
      <c r="Y1299" s="1906">
        <f t="shared" si="1636"/>
        <v>0</v>
      </c>
      <c r="Z1299" s="1906">
        <f t="shared" si="1637"/>
        <v>0</v>
      </c>
      <c r="AA1299" s="1906">
        <f t="shared" si="1638"/>
        <v>0</v>
      </c>
      <c r="AB1299" s="107"/>
      <c r="AC1299" s="1906">
        <f t="shared" si="1639"/>
        <v>0</v>
      </c>
      <c r="AD1299" s="1906">
        <f t="shared" si="1640"/>
        <v>0</v>
      </c>
      <c r="AE1299" s="1906">
        <f t="shared" si="1641"/>
        <v>0</v>
      </c>
      <c r="AF1299" s="1906">
        <f t="shared" si="1642"/>
        <v>0</v>
      </c>
      <c r="AG1299" s="1906">
        <f t="shared" si="1643"/>
        <v>0</v>
      </c>
      <c r="AH1299" s="1906">
        <f t="shared" si="1644"/>
        <v>0</v>
      </c>
      <c r="AI1299" s="1906">
        <f t="shared" si="1645"/>
        <v>0</v>
      </c>
      <c r="AJ1299" s="1906">
        <f t="shared" si="1646"/>
        <v>0</v>
      </c>
      <c r="AK1299" s="1906">
        <f t="shared" si="1647"/>
        <v>0</v>
      </c>
      <c r="AL1299" s="1906">
        <f t="shared" si="1648"/>
        <v>0</v>
      </c>
      <c r="AM1299" s="1906">
        <f t="shared" si="1649"/>
        <v>0</v>
      </c>
      <c r="AN1299" s="1906">
        <f t="shared" si="1650"/>
        <v>0</v>
      </c>
      <c r="AO1299" s="107"/>
      <c r="AP1299" s="1906">
        <f t="shared" si="1651"/>
        <v>0</v>
      </c>
      <c r="AQ1299" s="1906">
        <f t="shared" si="1652"/>
        <v>0</v>
      </c>
      <c r="AR1299" s="1906">
        <f t="shared" si="1653"/>
        <v>0</v>
      </c>
      <c r="AS1299" s="1906">
        <f t="shared" si="1654"/>
        <v>0</v>
      </c>
      <c r="AT1299" s="1906">
        <f t="shared" si="1655"/>
        <v>0</v>
      </c>
      <c r="AU1299" s="1906">
        <f t="shared" si="1656"/>
        <v>0</v>
      </c>
      <c r="AV1299" s="1906">
        <f t="shared" si="1657"/>
        <v>0</v>
      </c>
      <c r="AW1299" s="1906">
        <f t="shared" si="1658"/>
        <v>0</v>
      </c>
      <c r="AX1299" s="1906">
        <f t="shared" si="1659"/>
        <v>0</v>
      </c>
      <c r="AY1299" s="1906">
        <f t="shared" si="1660"/>
        <v>0</v>
      </c>
      <c r="AZ1299" s="1906">
        <f t="shared" si="1661"/>
        <v>0</v>
      </c>
      <c r="BA1299" s="1906">
        <f t="shared" si="1662"/>
        <v>0</v>
      </c>
      <c r="BB1299" s="107"/>
      <c r="BC1299" s="1906">
        <f t="shared" si="1663"/>
        <v>0</v>
      </c>
      <c r="BD1299" s="1906">
        <f t="shared" si="1664"/>
        <v>0</v>
      </c>
      <c r="BE1299" s="1906">
        <f t="shared" si="1665"/>
        <v>0</v>
      </c>
      <c r="BF1299" s="1906">
        <f t="shared" si="1666"/>
        <v>0</v>
      </c>
      <c r="BG1299" s="1906">
        <f t="shared" si="1667"/>
        <v>0</v>
      </c>
      <c r="BH1299" s="1906">
        <f t="shared" si="1668"/>
        <v>0</v>
      </c>
      <c r="BI1299" s="1906">
        <f t="shared" si="1669"/>
        <v>0</v>
      </c>
      <c r="BJ1299" s="1906">
        <f t="shared" si="1670"/>
        <v>0</v>
      </c>
      <c r="BK1299" s="1906">
        <f t="shared" si="1671"/>
        <v>0</v>
      </c>
      <c r="BL1299" s="1906">
        <f t="shared" si="1672"/>
        <v>0</v>
      </c>
      <c r="BM1299" s="1906">
        <f t="shared" si="1673"/>
        <v>0</v>
      </c>
      <c r="BN1299" s="1906">
        <f t="shared" si="1674"/>
        <v>0</v>
      </c>
      <c r="BO1299" s="107"/>
      <c r="BP1299" s="1906">
        <f t="shared" si="1675"/>
        <v>0</v>
      </c>
      <c r="BQ1299" s="1906">
        <f t="shared" si="1676"/>
        <v>0</v>
      </c>
      <c r="BR1299" s="1906">
        <f t="shared" si="1677"/>
        <v>0</v>
      </c>
      <c r="BS1299" s="1906">
        <f t="shared" si="1678"/>
        <v>0</v>
      </c>
      <c r="BT1299" s="1906">
        <f t="shared" si="1679"/>
        <v>0</v>
      </c>
      <c r="BU1299" s="1906">
        <f t="shared" si="1680"/>
        <v>0</v>
      </c>
      <c r="BV1299" s="1906">
        <f t="shared" si="1681"/>
        <v>0</v>
      </c>
      <c r="BW1299" s="1906">
        <f t="shared" si="1682"/>
        <v>0</v>
      </c>
      <c r="BX1299" s="1906">
        <f t="shared" si="1683"/>
        <v>0</v>
      </c>
      <c r="BY1299" s="1906">
        <f t="shared" si="1684"/>
        <v>0</v>
      </c>
      <c r="BZ1299" s="1906">
        <f t="shared" si="1685"/>
        <v>0</v>
      </c>
      <c r="CA1299" s="1906">
        <f t="shared" si="1686"/>
        <v>0</v>
      </c>
      <c r="CB1299" s="1971">
        <f t="shared" si="1687"/>
        <v>0</v>
      </c>
      <c r="CC1299" s="1906">
        <f t="shared" si="1688"/>
        <v>0</v>
      </c>
      <c r="CD1299" s="1906">
        <f t="shared" si="1689"/>
        <v>0</v>
      </c>
      <c r="CE1299" s="1906">
        <f t="shared" si="1690"/>
        <v>0</v>
      </c>
      <c r="CF1299" s="1906">
        <f t="shared" si="1691"/>
        <v>0</v>
      </c>
      <c r="CG1299" s="1906">
        <f t="shared" si="1692"/>
        <v>0</v>
      </c>
      <c r="CH1299" s="1906">
        <f t="shared" si="1693"/>
        <v>0</v>
      </c>
      <c r="CI1299" s="1906">
        <f t="shared" si="1694"/>
        <v>0</v>
      </c>
      <c r="CJ1299" s="1906">
        <f t="shared" si="1695"/>
        <v>0</v>
      </c>
      <c r="CK1299" s="1906">
        <f t="shared" si="1696"/>
        <v>0</v>
      </c>
      <c r="CL1299" s="1906">
        <f t="shared" si="1697"/>
        <v>0</v>
      </c>
      <c r="CM1299" s="1906">
        <f t="shared" si="1698"/>
        <v>0</v>
      </c>
      <c r="CN1299" s="1906">
        <f t="shared" si="1699"/>
        <v>0</v>
      </c>
      <c r="CO1299" s="595">
        <f t="shared" si="1700"/>
        <v>0</v>
      </c>
      <c r="CP1299" s="1443">
        <f t="shared" si="1701"/>
        <v>0</v>
      </c>
      <c r="EF1299" s="5"/>
    </row>
    <row r="1300" spans="1:136" x14ac:dyDescent="0.2">
      <c r="A1300" s="6"/>
      <c r="B1300" s="1971">
        <f t="shared" si="1615"/>
        <v>0</v>
      </c>
      <c r="C1300" s="1906">
        <f t="shared" si="1616"/>
        <v>0</v>
      </c>
      <c r="D1300" s="1906">
        <f t="shared" si="1617"/>
        <v>0</v>
      </c>
      <c r="E1300" s="1906">
        <f t="shared" si="1618"/>
        <v>0</v>
      </c>
      <c r="F1300" s="1906">
        <f t="shared" si="1619"/>
        <v>0</v>
      </c>
      <c r="G1300" s="1906">
        <f t="shared" si="1620"/>
        <v>0</v>
      </c>
      <c r="H1300" s="1906">
        <f t="shared" si="1621"/>
        <v>0</v>
      </c>
      <c r="I1300" s="1906">
        <f t="shared" si="1622"/>
        <v>0</v>
      </c>
      <c r="J1300" s="1906">
        <f t="shared" si="1623"/>
        <v>0</v>
      </c>
      <c r="K1300" s="1906">
        <f t="shared" si="1624"/>
        <v>0</v>
      </c>
      <c r="L1300" s="1906">
        <f t="shared" si="1625"/>
        <v>0</v>
      </c>
      <c r="M1300" s="1906">
        <f t="shared" si="1626"/>
        <v>0</v>
      </c>
      <c r="N1300" s="1906">
        <f t="shared" si="1627"/>
        <v>0</v>
      </c>
      <c r="O1300" s="107"/>
      <c r="P1300" s="1906"/>
      <c r="Q1300" s="1906">
        <f t="shared" si="1628"/>
        <v>0</v>
      </c>
      <c r="R1300" s="1906">
        <f t="shared" si="1629"/>
        <v>0</v>
      </c>
      <c r="S1300" s="1906">
        <f t="shared" si="1630"/>
        <v>0</v>
      </c>
      <c r="T1300" s="1906">
        <f t="shared" si="1631"/>
        <v>0</v>
      </c>
      <c r="U1300" s="1906">
        <f t="shared" si="1632"/>
        <v>0</v>
      </c>
      <c r="V1300" s="1906">
        <f t="shared" si="1633"/>
        <v>0</v>
      </c>
      <c r="W1300" s="1906">
        <f t="shared" si="1634"/>
        <v>0</v>
      </c>
      <c r="X1300" s="1906">
        <f t="shared" si="1635"/>
        <v>0</v>
      </c>
      <c r="Y1300" s="1906">
        <f t="shared" si="1636"/>
        <v>0</v>
      </c>
      <c r="Z1300" s="1906">
        <f t="shared" si="1637"/>
        <v>0</v>
      </c>
      <c r="AA1300" s="1906">
        <f t="shared" si="1638"/>
        <v>0</v>
      </c>
      <c r="AB1300" s="107"/>
      <c r="AC1300" s="1906">
        <f t="shared" si="1639"/>
        <v>0</v>
      </c>
      <c r="AD1300" s="1906">
        <f t="shared" si="1640"/>
        <v>0</v>
      </c>
      <c r="AE1300" s="1906">
        <f t="shared" si="1641"/>
        <v>0</v>
      </c>
      <c r="AF1300" s="1906">
        <f t="shared" si="1642"/>
        <v>0</v>
      </c>
      <c r="AG1300" s="1906">
        <f t="shared" si="1643"/>
        <v>0</v>
      </c>
      <c r="AH1300" s="1906">
        <f t="shared" si="1644"/>
        <v>0</v>
      </c>
      <c r="AI1300" s="1906">
        <f t="shared" si="1645"/>
        <v>0</v>
      </c>
      <c r="AJ1300" s="1906">
        <f t="shared" si="1646"/>
        <v>0</v>
      </c>
      <c r="AK1300" s="1906">
        <f t="shared" si="1647"/>
        <v>0</v>
      </c>
      <c r="AL1300" s="1906">
        <f t="shared" si="1648"/>
        <v>0</v>
      </c>
      <c r="AM1300" s="1906">
        <f t="shared" si="1649"/>
        <v>0</v>
      </c>
      <c r="AN1300" s="1906">
        <f t="shared" si="1650"/>
        <v>0</v>
      </c>
      <c r="AO1300" s="107"/>
      <c r="AP1300" s="1906">
        <f t="shared" si="1651"/>
        <v>0</v>
      </c>
      <c r="AQ1300" s="1906">
        <f t="shared" si="1652"/>
        <v>0</v>
      </c>
      <c r="AR1300" s="1906">
        <f t="shared" si="1653"/>
        <v>0</v>
      </c>
      <c r="AS1300" s="1906">
        <f t="shared" si="1654"/>
        <v>0</v>
      </c>
      <c r="AT1300" s="1906">
        <f t="shared" si="1655"/>
        <v>0</v>
      </c>
      <c r="AU1300" s="1906">
        <f t="shared" si="1656"/>
        <v>0</v>
      </c>
      <c r="AV1300" s="1906">
        <f t="shared" si="1657"/>
        <v>0</v>
      </c>
      <c r="AW1300" s="1906">
        <f t="shared" si="1658"/>
        <v>0</v>
      </c>
      <c r="AX1300" s="1906">
        <f t="shared" si="1659"/>
        <v>0</v>
      </c>
      <c r="AY1300" s="1906">
        <f t="shared" si="1660"/>
        <v>0</v>
      </c>
      <c r="AZ1300" s="1906">
        <f t="shared" si="1661"/>
        <v>0</v>
      </c>
      <c r="BA1300" s="1906">
        <f t="shared" si="1662"/>
        <v>0</v>
      </c>
      <c r="BB1300" s="107"/>
      <c r="BC1300" s="1906">
        <f t="shared" si="1663"/>
        <v>0</v>
      </c>
      <c r="BD1300" s="1906">
        <f t="shared" si="1664"/>
        <v>0</v>
      </c>
      <c r="BE1300" s="1906">
        <f t="shared" si="1665"/>
        <v>0</v>
      </c>
      <c r="BF1300" s="1906">
        <f t="shared" si="1666"/>
        <v>0</v>
      </c>
      <c r="BG1300" s="1906">
        <f t="shared" si="1667"/>
        <v>0</v>
      </c>
      <c r="BH1300" s="1906">
        <f t="shared" si="1668"/>
        <v>0</v>
      </c>
      <c r="BI1300" s="1906">
        <f t="shared" si="1669"/>
        <v>0</v>
      </c>
      <c r="BJ1300" s="1906">
        <f t="shared" si="1670"/>
        <v>0</v>
      </c>
      <c r="BK1300" s="1906">
        <f t="shared" si="1671"/>
        <v>0</v>
      </c>
      <c r="BL1300" s="1906">
        <f t="shared" si="1672"/>
        <v>0</v>
      </c>
      <c r="BM1300" s="1906">
        <f t="shared" si="1673"/>
        <v>0</v>
      </c>
      <c r="BN1300" s="1906">
        <f t="shared" si="1674"/>
        <v>0</v>
      </c>
      <c r="BO1300" s="107"/>
      <c r="BP1300" s="1906">
        <f t="shared" si="1675"/>
        <v>0</v>
      </c>
      <c r="BQ1300" s="1906">
        <f t="shared" si="1676"/>
        <v>0</v>
      </c>
      <c r="BR1300" s="1906">
        <f t="shared" si="1677"/>
        <v>0</v>
      </c>
      <c r="BS1300" s="1906">
        <f t="shared" si="1678"/>
        <v>0</v>
      </c>
      <c r="BT1300" s="1906">
        <f t="shared" si="1679"/>
        <v>0</v>
      </c>
      <c r="BU1300" s="1906">
        <f t="shared" si="1680"/>
        <v>0</v>
      </c>
      <c r="BV1300" s="1906">
        <f t="shared" si="1681"/>
        <v>0</v>
      </c>
      <c r="BW1300" s="1906">
        <f t="shared" si="1682"/>
        <v>0</v>
      </c>
      <c r="BX1300" s="1906">
        <f t="shared" si="1683"/>
        <v>0</v>
      </c>
      <c r="BY1300" s="1906">
        <f t="shared" si="1684"/>
        <v>0</v>
      </c>
      <c r="BZ1300" s="1906">
        <f t="shared" si="1685"/>
        <v>0</v>
      </c>
      <c r="CA1300" s="1906">
        <f t="shared" si="1686"/>
        <v>0</v>
      </c>
      <c r="CB1300" s="1971">
        <f t="shared" si="1687"/>
        <v>0</v>
      </c>
      <c r="CC1300" s="1906">
        <f t="shared" si="1688"/>
        <v>0</v>
      </c>
      <c r="CD1300" s="1906">
        <f t="shared" si="1689"/>
        <v>0</v>
      </c>
      <c r="CE1300" s="1906">
        <f t="shared" si="1690"/>
        <v>0</v>
      </c>
      <c r="CF1300" s="1906">
        <f t="shared" si="1691"/>
        <v>0</v>
      </c>
      <c r="CG1300" s="1906">
        <f t="shared" si="1692"/>
        <v>0</v>
      </c>
      <c r="CH1300" s="1906">
        <f t="shared" si="1693"/>
        <v>0</v>
      </c>
      <c r="CI1300" s="1906">
        <f t="shared" si="1694"/>
        <v>0</v>
      </c>
      <c r="CJ1300" s="1906">
        <f t="shared" si="1695"/>
        <v>0</v>
      </c>
      <c r="CK1300" s="1906">
        <f t="shared" si="1696"/>
        <v>0</v>
      </c>
      <c r="CL1300" s="1906">
        <f t="shared" si="1697"/>
        <v>0</v>
      </c>
      <c r="CM1300" s="1906">
        <f t="shared" si="1698"/>
        <v>0</v>
      </c>
      <c r="CN1300" s="1906">
        <f t="shared" si="1699"/>
        <v>0</v>
      </c>
      <c r="CO1300" s="595">
        <f t="shared" si="1700"/>
        <v>0</v>
      </c>
      <c r="CP1300" s="1443">
        <f t="shared" si="1701"/>
        <v>0</v>
      </c>
      <c r="EF1300" s="5"/>
    </row>
    <row r="1301" spans="1:136" x14ac:dyDescent="0.2">
      <c r="A1301" s="6"/>
      <c r="B1301" s="1971" t="str">
        <f t="shared" si="1615"/>
        <v>Avena</v>
      </c>
      <c r="C1301" s="1906">
        <f t="shared" si="1616"/>
        <v>0</v>
      </c>
      <c r="D1301" s="1906">
        <f t="shared" si="1617"/>
        <v>0</v>
      </c>
      <c r="E1301" s="1906">
        <f t="shared" si="1618"/>
        <v>0</v>
      </c>
      <c r="F1301" s="1906">
        <f t="shared" si="1619"/>
        <v>0</v>
      </c>
      <c r="G1301" s="1906">
        <f t="shared" si="1620"/>
        <v>0</v>
      </c>
      <c r="H1301" s="1906">
        <f t="shared" si="1621"/>
        <v>0</v>
      </c>
      <c r="I1301" s="1906">
        <f t="shared" si="1622"/>
        <v>0</v>
      </c>
      <c r="J1301" s="1906">
        <f t="shared" si="1623"/>
        <v>0</v>
      </c>
      <c r="K1301" s="1906">
        <f t="shared" si="1624"/>
        <v>0</v>
      </c>
      <c r="L1301" s="1906">
        <f t="shared" si="1625"/>
        <v>0</v>
      </c>
      <c r="M1301" s="1906">
        <f t="shared" si="1626"/>
        <v>0</v>
      </c>
      <c r="N1301" s="1906">
        <f t="shared" si="1627"/>
        <v>0</v>
      </c>
      <c r="O1301" s="107"/>
      <c r="P1301" s="1906"/>
      <c r="Q1301" s="1906">
        <f t="shared" si="1628"/>
        <v>0</v>
      </c>
      <c r="R1301" s="1906">
        <f t="shared" si="1629"/>
        <v>0</v>
      </c>
      <c r="S1301" s="1906">
        <f t="shared" si="1630"/>
        <v>0</v>
      </c>
      <c r="T1301" s="1906">
        <f t="shared" si="1631"/>
        <v>0</v>
      </c>
      <c r="U1301" s="1906">
        <f t="shared" si="1632"/>
        <v>0</v>
      </c>
      <c r="V1301" s="1906">
        <f t="shared" si="1633"/>
        <v>0</v>
      </c>
      <c r="W1301" s="1906">
        <f t="shared" si="1634"/>
        <v>0</v>
      </c>
      <c r="X1301" s="1906">
        <f t="shared" si="1635"/>
        <v>0</v>
      </c>
      <c r="Y1301" s="1906">
        <f t="shared" si="1636"/>
        <v>0</v>
      </c>
      <c r="Z1301" s="1906">
        <f t="shared" si="1637"/>
        <v>0</v>
      </c>
      <c r="AA1301" s="1906">
        <f t="shared" si="1638"/>
        <v>0</v>
      </c>
      <c r="AB1301" s="107"/>
      <c r="AC1301" s="1906">
        <f t="shared" si="1639"/>
        <v>0</v>
      </c>
      <c r="AD1301" s="1906">
        <f t="shared" si="1640"/>
        <v>0</v>
      </c>
      <c r="AE1301" s="1906">
        <f t="shared" si="1641"/>
        <v>0</v>
      </c>
      <c r="AF1301" s="1906">
        <f t="shared" si="1642"/>
        <v>0</v>
      </c>
      <c r="AG1301" s="1906">
        <f t="shared" si="1643"/>
        <v>0</v>
      </c>
      <c r="AH1301" s="1906">
        <f t="shared" si="1644"/>
        <v>0</v>
      </c>
      <c r="AI1301" s="1906">
        <f t="shared" si="1645"/>
        <v>0</v>
      </c>
      <c r="AJ1301" s="1906">
        <f t="shared" si="1646"/>
        <v>0</v>
      </c>
      <c r="AK1301" s="1906">
        <f t="shared" si="1647"/>
        <v>0</v>
      </c>
      <c r="AL1301" s="1906">
        <f t="shared" si="1648"/>
        <v>0</v>
      </c>
      <c r="AM1301" s="1906">
        <f t="shared" si="1649"/>
        <v>0</v>
      </c>
      <c r="AN1301" s="1906">
        <f t="shared" si="1650"/>
        <v>0</v>
      </c>
      <c r="AO1301" s="107"/>
      <c r="AP1301" s="1906">
        <f t="shared" si="1651"/>
        <v>0</v>
      </c>
      <c r="AQ1301" s="1906">
        <f t="shared" si="1652"/>
        <v>0</v>
      </c>
      <c r="AR1301" s="1906">
        <f t="shared" si="1653"/>
        <v>0</v>
      </c>
      <c r="AS1301" s="1906">
        <f t="shared" si="1654"/>
        <v>0</v>
      </c>
      <c r="AT1301" s="1906">
        <f t="shared" si="1655"/>
        <v>0</v>
      </c>
      <c r="AU1301" s="1906">
        <f t="shared" si="1656"/>
        <v>0</v>
      </c>
      <c r="AV1301" s="1906">
        <f t="shared" si="1657"/>
        <v>0</v>
      </c>
      <c r="AW1301" s="1906">
        <f t="shared" si="1658"/>
        <v>0</v>
      </c>
      <c r="AX1301" s="1906">
        <f t="shared" si="1659"/>
        <v>0</v>
      </c>
      <c r="AY1301" s="1906">
        <f t="shared" si="1660"/>
        <v>0</v>
      </c>
      <c r="AZ1301" s="1906">
        <f t="shared" si="1661"/>
        <v>0</v>
      </c>
      <c r="BA1301" s="1906">
        <f t="shared" si="1662"/>
        <v>0</v>
      </c>
      <c r="BB1301" s="107"/>
      <c r="BC1301" s="1906">
        <f t="shared" si="1663"/>
        <v>0</v>
      </c>
      <c r="BD1301" s="1906">
        <f t="shared" si="1664"/>
        <v>0</v>
      </c>
      <c r="BE1301" s="1906">
        <f t="shared" si="1665"/>
        <v>0</v>
      </c>
      <c r="BF1301" s="1906">
        <f t="shared" si="1666"/>
        <v>0</v>
      </c>
      <c r="BG1301" s="1906">
        <f t="shared" si="1667"/>
        <v>0</v>
      </c>
      <c r="BH1301" s="1906">
        <f t="shared" si="1668"/>
        <v>0</v>
      </c>
      <c r="BI1301" s="1906">
        <f t="shared" si="1669"/>
        <v>0</v>
      </c>
      <c r="BJ1301" s="1906">
        <f t="shared" si="1670"/>
        <v>0</v>
      </c>
      <c r="BK1301" s="1906">
        <f t="shared" si="1671"/>
        <v>0</v>
      </c>
      <c r="BL1301" s="1906">
        <f t="shared" si="1672"/>
        <v>0</v>
      </c>
      <c r="BM1301" s="1906">
        <f t="shared" si="1673"/>
        <v>0</v>
      </c>
      <c r="BN1301" s="1906">
        <f t="shared" si="1674"/>
        <v>0</v>
      </c>
      <c r="BO1301" s="107"/>
      <c r="BP1301" s="1906">
        <f t="shared" si="1675"/>
        <v>0</v>
      </c>
      <c r="BQ1301" s="1906">
        <f t="shared" si="1676"/>
        <v>0</v>
      </c>
      <c r="BR1301" s="1906">
        <f t="shared" si="1677"/>
        <v>0</v>
      </c>
      <c r="BS1301" s="1906">
        <f t="shared" si="1678"/>
        <v>0</v>
      </c>
      <c r="BT1301" s="1906">
        <f t="shared" si="1679"/>
        <v>0</v>
      </c>
      <c r="BU1301" s="1906">
        <f t="shared" si="1680"/>
        <v>0</v>
      </c>
      <c r="BV1301" s="1906">
        <f t="shared" si="1681"/>
        <v>0</v>
      </c>
      <c r="BW1301" s="1906">
        <f t="shared" si="1682"/>
        <v>0</v>
      </c>
      <c r="BX1301" s="1906">
        <f t="shared" si="1683"/>
        <v>0</v>
      </c>
      <c r="BY1301" s="1906">
        <f t="shared" si="1684"/>
        <v>0</v>
      </c>
      <c r="BZ1301" s="1906">
        <f t="shared" si="1685"/>
        <v>0</v>
      </c>
      <c r="CA1301" s="1906">
        <f t="shared" si="1686"/>
        <v>0</v>
      </c>
      <c r="CB1301" s="1971" t="str">
        <f t="shared" si="1687"/>
        <v>Avena</v>
      </c>
      <c r="CC1301" s="1906">
        <f t="shared" si="1688"/>
        <v>0</v>
      </c>
      <c r="CD1301" s="1906">
        <f t="shared" si="1689"/>
        <v>0</v>
      </c>
      <c r="CE1301" s="1906">
        <f t="shared" si="1690"/>
        <v>0</v>
      </c>
      <c r="CF1301" s="1906">
        <f t="shared" si="1691"/>
        <v>0</v>
      </c>
      <c r="CG1301" s="1906">
        <f t="shared" si="1692"/>
        <v>0</v>
      </c>
      <c r="CH1301" s="1906">
        <f t="shared" si="1693"/>
        <v>0</v>
      </c>
      <c r="CI1301" s="1906">
        <f t="shared" si="1694"/>
        <v>0</v>
      </c>
      <c r="CJ1301" s="1906">
        <f t="shared" si="1695"/>
        <v>0</v>
      </c>
      <c r="CK1301" s="1906">
        <f t="shared" si="1696"/>
        <v>0</v>
      </c>
      <c r="CL1301" s="1906">
        <f t="shared" si="1697"/>
        <v>0</v>
      </c>
      <c r="CM1301" s="1906">
        <f t="shared" si="1698"/>
        <v>0</v>
      </c>
      <c r="CN1301" s="1906">
        <f t="shared" si="1699"/>
        <v>0</v>
      </c>
      <c r="CO1301" s="595" t="str">
        <f t="shared" si="1700"/>
        <v>Avena</v>
      </c>
      <c r="CP1301" s="1443">
        <f t="shared" si="1701"/>
        <v>0</v>
      </c>
      <c r="EF1301" s="5"/>
    </row>
    <row r="1302" spans="1:136" x14ac:dyDescent="0.2">
      <c r="A1302" s="6"/>
      <c r="B1302" s="1971" t="str">
        <f t="shared" si="1615"/>
        <v>Raigrás</v>
      </c>
      <c r="C1302" s="1906">
        <f t="shared" si="1616"/>
        <v>0</v>
      </c>
      <c r="D1302" s="1906">
        <f t="shared" si="1617"/>
        <v>0</v>
      </c>
      <c r="E1302" s="1906">
        <f t="shared" si="1618"/>
        <v>0</v>
      </c>
      <c r="F1302" s="1906">
        <f t="shared" si="1619"/>
        <v>0</v>
      </c>
      <c r="G1302" s="1906">
        <f t="shared" si="1620"/>
        <v>0</v>
      </c>
      <c r="H1302" s="1906">
        <f t="shared" si="1621"/>
        <v>0</v>
      </c>
      <c r="I1302" s="1906">
        <f t="shared" si="1622"/>
        <v>0</v>
      </c>
      <c r="J1302" s="1906">
        <f t="shared" si="1623"/>
        <v>0</v>
      </c>
      <c r="K1302" s="1906">
        <f t="shared" si="1624"/>
        <v>0</v>
      </c>
      <c r="L1302" s="1906">
        <f t="shared" si="1625"/>
        <v>0</v>
      </c>
      <c r="M1302" s="1906">
        <f t="shared" si="1626"/>
        <v>0</v>
      </c>
      <c r="N1302" s="1906">
        <f t="shared" si="1627"/>
        <v>0</v>
      </c>
      <c r="O1302" s="107"/>
      <c r="P1302" s="1906"/>
      <c r="Q1302" s="1906">
        <f t="shared" si="1628"/>
        <v>0</v>
      </c>
      <c r="R1302" s="1906">
        <f t="shared" si="1629"/>
        <v>0</v>
      </c>
      <c r="S1302" s="1906">
        <f t="shared" si="1630"/>
        <v>0</v>
      </c>
      <c r="T1302" s="1906">
        <f t="shared" si="1631"/>
        <v>0</v>
      </c>
      <c r="U1302" s="1906">
        <f t="shared" si="1632"/>
        <v>0</v>
      </c>
      <c r="V1302" s="1906">
        <f t="shared" si="1633"/>
        <v>0</v>
      </c>
      <c r="W1302" s="1906">
        <f t="shared" si="1634"/>
        <v>0</v>
      </c>
      <c r="X1302" s="1906">
        <f t="shared" si="1635"/>
        <v>0</v>
      </c>
      <c r="Y1302" s="1906">
        <f t="shared" si="1636"/>
        <v>0</v>
      </c>
      <c r="Z1302" s="1906">
        <f t="shared" si="1637"/>
        <v>0</v>
      </c>
      <c r="AA1302" s="1906">
        <f t="shared" si="1638"/>
        <v>0</v>
      </c>
      <c r="AB1302" s="107"/>
      <c r="AC1302" s="1906">
        <f t="shared" si="1639"/>
        <v>0</v>
      </c>
      <c r="AD1302" s="1906">
        <f t="shared" si="1640"/>
        <v>0</v>
      </c>
      <c r="AE1302" s="1906">
        <f t="shared" si="1641"/>
        <v>0</v>
      </c>
      <c r="AF1302" s="1906">
        <f t="shared" si="1642"/>
        <v>0</v>
      </c>
      <c r="AG1302" s="1906">
        <f t="shared" si="1643"/>
        <v>0</v>
      </c>
      <c r="AH1302" s="1906">
        <f t="shared" si="1644"/>
        <v>0</v>
      </c>
      <c r="AI1302" s="1906">
        <f t="shared" si="1645"/>
        <v>0</v>
      </c>
      <c r="AJ1302" s="1906">
        <f t="shared" si="1646"/>
        <v>0</v>
      </c>
      <c r="AK1302" s="1906">
        <f t="shared" si="1647"/>
        <v>0</v>
      </c>
      <c r="AL1302" s="1906">
        <f t="shared" si="1648"/>
        <v>0</v>
      </c>
      <c r="AM1302" s="1906">
        <f t="shared" si="1649"/>
        <v>0</v>
      </c>
      <c r="AN1302" s="1906">
        <f t="shared" si="1650"/>
        <v>0</v>
      </c>
      <c r="AO1302" s="107"/>
      <c r="AP1302" s="1906">
        <f t="shared" si="1651"/>
        <v>0</v>
      </c>
      <c r="AQ1302" s="1906">
        <f t="shared" si="1652"/>
        <v>0</v>
      </c>
      <c r="AR1302" s="1906">
        <f t="shared" si="1653"/>
        <v>0</v>
      </c>
      <c r="AS1302" s="1906">
        <f t="shared" si="1654"/>
        <v>0</v>
      </c>
      <c r="AT1302" s="1906">
        <f t="shared" si="1655"/>
        <v>0</v>
      </c>
      <c r="AU1302" s="1906">
        <f t="shared" si="1656"/>
        <v>0</v>
      </c>
      <c r="AV1302" s="1906">
        <f t="shared" si="1657"/>
        <v>0</v>
      </c>
      <c r="AW1302" s="1906">
        <f t="shared" si="1658"/>
        <v>0</v>
      </c>
      <c r="AX1302" s="1906">
        <f t="shared" si="1659"/>
        <v>0</v>
      </c>
      <c r="AY1302" s="1906">
        <f t="shared" si="1660"/>
        <v>0</v>
      </c>
      <c r="AZ1302" s="1906">
        <f t="shared" si="1661"/>
        <v>0</v>
      </c>
      <c r="BA1302" s="1906">
        <f t="shared" si="1662"/>
        <v>0</v>
      </c>
      <c r="BB1302" s="107"/>
      <c r="BC1302" s="1906">
        <f t="shared" si="1663"/>
        <v>0</v>
      </c>
      <c r="BD1302" s="1906">
        <f t="shared" si="1664"/>
        <v>0</v>
      </c>
      <c r="BE1302" s="1906">
        <f t="shared" si="1665"/>
        <v>0</v>
      </c>
      <c r="BF1302" s="1906">
        <f t="shared" si="1666"/>
        <v>0</v>
      </c>
      <c r="BG1302" s="1906">
        <f t="shared" si="1667"/>
        <v>0</v>
      </c>
      <c r="BH1302" s="1906">
        <f t="shared" si="1668"/>
        <v>0</v>
      </c>
      <c r="BI1302" s="1906">
        <f t="shared" si="1669"/>
        <v>0</v>
      </c>
      <c r="BJ1302" s="1906">
        <f t="shared" si="1670"/>
        <v>0</v>
      </c>
      <c r="BK1302" s="1906">
        <f t="shared" si="1671"/>
        <v>0</v>
      </c>
      <c r="BL1302" s="1906">
        <f t="shared" si="1672"/>
        <v>0</v>
      </c>
      <c r="BM1302" s="1906">
        <f t="shared" si="1673"/>
        <v>0</v>
      </c>
      <c r="BN1302" s="1906">
        <f t="shared" si="1674"/>
        <v>0</v>
      </c>
      <c r="BO1302" s="107"/>
      <c r="BP1302" s="1906">
        <f t="shared" si="1675"/>
        <v>0</v>
      </c>
      <c r="BQ1302" s="1906">
        <f t="shared" si="1676"/>
        <v>0</v>
      </c>
      <c r="BR1302" s="1906">
        <f t="shared" si="1677"/>
        <v>0</v>
      </c>
      <c r="BS1302" s="1906">
        <f t="shared" si="1678"/>
        <v>0</v>
      </c>
      <c r="BT1302" s="1906">
        <f t="shared" si="1679"/>
        <v>0</v>
      </c>
      <c r="BU1302" s="1906">
        <f t="shared" si="1680"/>
        <v>0</v>
      </c>
      <c r="BV1302" s="1906">
        <f t="shared" si="1681"/>
        <v>0</v>
      </c>
      <c r="BW1302" s="1906">
        <f t="shared" si="1682"/>
        <v>0</v>
      </c>
      <c r="BX1302" s="1906">
        <f t="shared" si="1683"/>
        <v>0</v>
      </c>
      <c r="BY1302" s="1906">
        <f t="shared" si="1684"/>
        <v>0</v>
      </c>
      <c r="BZ1302" s="1906">
        <f t="shared" si="1685"/>
        <v>0</v>
      </c>
      <c r="CA1302" s="1906">
        <f t="shared" si="1686"/>
        <v>0</v>
      </c>
      <c r="CB1302" s="1971" t="str">
        <f t="shared" si="1687"/>
        <v>Raigrás</v>
      </c>
      <c r="CC1302" s="1906">
        <f t="shared" si="1688"/>
        <v>0</v>
      </c>
      <c r="CD1302" s="1906">
        <f t="shared" si="1689"/>
        <v>0</v>
      </c>
      <c r="CE1302" s="1906">
        <f t="shared" si="1690"/>
        <v>0</v>
      </c>
      <c r="CF1302" s="1906">
        <f t="shared" si="1691"/>
        <v>0</v>
      </c>
      <c r="CG1302" s="1906">
        <f t="shared" si="1692"/>
        <v>0</v>
      </c>
      <c r="CH1302" s="1906">
        <f t="shared" si="1693"/>
        <v>0</v>
      </c>
      <c r="CI1302" s="1906">
        <f t="shared" si="1694"/>
        <v>0</v>
      </c>
      <c r="CJ1302" s="1906">
        <f t="shared" si="1695"/>
        <v>0</v>
      </c>
      <c r="CK1302" s="1906">
        <f t="shared" si="1696"/>
        <v>0</v>
      </c>
      <c r="CL1302" s="1906">
        <f t="shared" si="1697"/>
        <v>0</v>
      </c>
      <c r="CM1302" s="1906">
        <f t="shared" si="1698"/>
        <v>0</v>
      </c>
      <c r="CN1302" s="1906">
        <f t="shared" si="1699"/>
        <v>0</v>
      </c>
      <c r="CO1302" s="595" t="str">
        <f t="shared" si="1700"/>
        <v>Raigrás</v>
      </c>
      <c r="CP1302" s="1443">
        <f t="shared" si="1701"/>
        <v>0</v>
      </c>
      <c r="EF1302" s="5"/>
    </row>
    <row r="1303" spans="1:136" x14ac:dyDescent="0.2">
      <c r="A1303" s="6"/>
      <c r="B1303" s="1971" t="str">
        <f t="shared" si="1615"/>
        <v>Av+Rg</v>
      </c>
      <c r="C1303" s="1906">
        <f t="shared" si="1616"/>
        <v>0</v>
      </c>
      <c r="D1303" s="1906">
        <f t="shared" si="1617"/>
        <v>0</v>
      </c>
      <c r="E1303" s="1906">
        <f t="shared" si="1618"/>
        <v>0</v>
      </c>
      <c r="F1303" s="1906">
        <f t="shared" si="1619"/>
        <v>0</v>
      </c>
      <c r="G1303" s="1906">
        <f t="shared" si="1620"/>
        <v>0</v>
      </c>
      <c r="H1303" s="1906">
        <f t="shared" si="1621"/>
        <v>0</v>
      </c>
      <c r="I1303" s="1906">
        <f t="shared" si="1622"/>
        <v>0</v>
      </c>
      <c r="J1303" s="1906">
        <f t="shared" si="1623"/>
        <v>0</v>
      </c>
      <c r="K1303" s="1906">
        <f t="shared" si="1624"/>
        <v>0</v>
      </c>
      <c r="L1303" s="1906">
        <f t="shared" si="1625"/>
        <v>0</v>
      </c>
      <c r="M1303" s="1906">
        <f t="shared" si="1626"/>
        <v>0</v>
      </c>
      <c r="N1303" s="1906">
        <f t="shared" si="1627"/>
        <v>0</v>
      </c>
      <c r="O1303" s="107"/>
      <c r="P1303" s="1906"/>
      <c r="Q1303" s="1906">
        <f t="shared" si="1628"/>
        <v>0</v>
      </c>
      <c r="R1303" s="1906">
        <f t="shared" si="1629"/>
        <v>0</v>
      </c>
      <c r="S1303" s="1906">
        <f t="shared" si="1630"/>
        <v>0</v>
      </c>
      <c r="T1303" s="1906">
        <f t="shared" si="1631"/>
        <v>0</v>
      </c>
      <c r="U1303" s="1906">
        <f t="shared" si="1632"/>
        <v>0</v>
      </c>
      <c r="V1303" s="1906">
        <f t="shared" si="1633"/>
        <v>0</v>
      </c>
      <c r="W1303" s="1906">
        <f t="shared" si="1634"/>
        <v>0</v>
      </c>
      <c r="X1303" s="1906">
        <f t="shared" si="1635"/>
        <v>0</v>
      </c>
      <c r="Y1303" s="1906">
        <f t="shared" si="1636"/>
        <v>0</v>
      </c>
      <c r="Z1303" s="1906">
        <f t="shared" si="1637"/>
        <v>0</v>
      </c>
      <c r="AA1303" s="1906">
        <f t="shared" si="1638"/>
        <v>0</v>
      </c>
      <c r="AB1303" s="107"/>
      <c r="AC1303" s="1906">
        <f t="shared" si="1639"/>
        <v>0</v>
      </c>
      <c r="AD1303" s="1906">
        <f t="shared" si="1640"/>
        <v>0</v>
      </c>
      <c r="AE1303" s="1906">
        <f t="shared" si="1641"/>
        <v>0</v>
      </c>
      <c r="AF1303" s="1906">
        <f t="shared" si="1642"/>
        <v>0</v>
      </c>
      <c r="AG1303" s="1906">
        <f t="shared" si="1643"/>
        <v>0</v>
      </c>
      <c r="AH1303" s="1906">
        <f t="shared" si="1644"/>
        <v>0</v>
      </c>
      <c r="AI1303" s="1906">
        <f t="shared" si="1645"/>
        <v>0</v>
      </c>
      <c r="AJ1303" s="1906">
        <f t="shared" si="1646"/>
        <v>0</v>
      </c>
      <c r="AK1303" s="1906">
        <f t="shared" si="1647"/>
        <v>0</v>
      </c>
      <c r="AL1303" s="1906">
        <f t="shared" si="1648"/>
        <v>0</v>
      </c>
      <c r="AM1303" s="1906">
        <f t="shared" si="1649"/>
        <v>0</v>
      </c>
      <c r="AN1303" s="1906">
        <f t="shared" si="1650"/>
        <v>0</v>
      </c>
      <c r="AO1303" s="107"/>
      <c r="AP1303" s="1906">
        <f t="shared" si="1651"/>
        <v>0</v>
      </c>
      <c r="AQ1303" s="1906">
        <f t="shared" si="1652"/>
        <v>0</v>
      </c>
      <c r="AR1303" s="1906">
        <f t="shared" si="1653"/>
        <v>0</v>
      </c>
      <c r="AS1303" s="1906">
        <f t="shared" si="1654"/>
        <v>0</v>
      </c>
      <c r="AT1303" s="1906">
        <f t="shared" si="1655"/>
        <v>0</v>
      </c>
      <c r="AU1303" s="1906">
        <f t="shared" si="1656"/>
        <v>0</v>
      </c>
      <c r="AV1303" s="1906">
        <f t="shared" si="1657"/>
        <v>0</v>
      </c>
      <c r="AW1303" s="1906">
        <f t="shared" si="1658"/>
        <v>0</v>
      </c>
      <c r="AX1303" s="1906">
        <f t="shared" si="1659"/>
        <v>0</v>
      </c>
      <c r="AY1303" s="1906">
        <f t="shared" si="1660"/>
        <v>0</v>
      </c>
      <c r="AZ1303" s="1906">
        <f t="shared" si="1661"/>
        <v>0</v>
      </c>
      <c r="BA1303" s="1906">
        <f t="shared" si="1662"/>
        <v>0</v>
      </c>
      <c r="BB1303" s="107"/>
      <c r="BC1303" s="1906">
        <f t="shared" si="1663"/>
        <v>0</v>
      </c>
      <c r="BD1303" s="1906">
        <f t="shared" si="1664"/>
        <v>0</v>
      </c>
      <c r="BE1303" s="1906">
        <f t="shared" si="1665"/>
        <v>0</v>
      </c>
      <c r="BF1303" s="1906">
        <f t="shared" si="1666"/>
        <v>0</v>
      </c>
      <c r="BG1303" s="1906">
        <f t="shared" si="1667"/>
        <v>0</v>
      </c>
      <c r="BH1303" s="1906">
        <f t="shared" si="1668"/>
        <v>0</v>
      </c>
      <c r="BI1303" s="1906">
        <f t="shared" si="1669"/>
        <v>0</v>
      </c>
      <c r="BJ1303" s="1906">
        <f t="shared" si="1670"/>
        <v>0</v>
      </c>
      <c r="BK1303" s="1906">
        <f t="shared" si="1671"/>
        <v>0</v>
      </c>
      <c r="BL1303" s="1906">
        <f t="shared" si="1672"/>
        <v>0</v>
      </c>
      <c r="BM1303" s="1906">
        <f t="shared" si="1673"/>
        <v>0</v>
      </c>
      <c r="BN1303" s="1906">
        <f t="shared" si="1674"/>
        <v>0</v>
      </c>
      <c r="BO1303" s="107"/>
      <c r="BP1303" s="1906">
        <f t="shared" si="1675"/>
        <v>0</v>
      </c>
      <c r="BQ1303" s="1906">
        <f t="shared" si="1676"/>
        <v>0</v>
      </c>
      <c r="BR1303" s="1906">
        <f t="shared" si="1677"/>
        <v>0</v>
      </c>
      <c r="BS1303" s="1906">
        <f t="shared" si="1678"/>
        <v>0</v>
      </c>
      <c r="BT1303" s="1906">
        <f t="shared" si="1679"/>
        <v>0</v>
      </c>
      <c r="BU1303" s="1906">
        <f t="shared" si="1680"/>
        <v>0</v>
      </c>
      <c r="BV1303" s="1906">
        <f t="shared" si="1681"/>
        <v>0</v>
      </c>
      <c r="BW1303" s="1906">
        <f t="shared" si="1682"/>
        <v>0</v>
      </c>
      <c r="BX1303" s="1906">
        <f t="shared" si="1683"/>
        <v>0</v>
      </c>
      <c r="BY1303" s="1906">
        <f t="shared" si="1684"/>
        <v>0</v>
      </c>
      <c r="BZ1303" s="1906">
        <f t="shared" si="1685"/>
        <v>0</v>
      </c>
      <c r="CA1303" s="1906">
        <f t="shared" si="1686"/>
        <v>0</v>
      </c>
      <c r="CB1303" s="1971" t="str">
        <f t="shared" si="1687"/>
        <v>Av+Rg</v>
      </c>
      <c r="CC1303" s="1906">
        <f t="shared" si="1688"/>
        <v>0</v>
      </c>
      <c r="CD1303" s="1906">
        <f t="shared" si="1689"/>
        <v>0</v>
      </c>
      <c r="CE1303" s="1906">
        <f t="shared" si="1690"/>
        <v>0</v>
      </c>
      <c r="CF1303" s="1906">
        <f t="shared" si="1691"/>
        <v>0</v>
      </c>
      <c r="CG1303" s="1906">
        <f t="shared" si="1692"/>
        <v>0</v>
      </c>
      <c r="CH1303" s="1906">
        <f t="shared" si="1693"/>
        <v>0</v>
      </c>
      <c r="CI1303" s="1906">
        <f t="shared" si="1694"/>
        <v>0</v>
      </c>
      <c r="CJ1303" s="1906">
        <f t="shared" si="1695"/>
        <v>0</v>
      </c>
      <c r="CK1303" s="1906">
        <f t="shared" si="1696"/>
        <v>0</v>
      </c>
      <c r="CL1303" s="1906">
        <f t="shared" si="1697"/>
        <v>0</v>
      </c>
      <c r="CM1303" s="1906">
        <f t="shared" si="1698"/>
        <v>0</v>
      </c>
      <c r="CN1303" s="1906">
        <f t="shared" si="1699"/>
        <v>0</v>
      </c>
      <c r="CO1303" s="595" t="str">
        <f t="shared" si="1700"/>
        <v>Av+Rg</v>
      </c>
      <c r="CP1303" s="1443">
        <f t="shared" si="1701"/>
        <v>0</v>
      </c>
      <c r="EF1303" s="5"/>
    </row>
    <row r="1304" spans="1:136" x14ac:dyDescent="0.2">
      <c r="A1304" s="6"/>
      <c r="B1304" s="1971" t="str">
        <f t="shared" si="1615"/>
        <v>Rg Ciclo Largo</v>
      </c>
      <c r="C1304" s="1906">
        <f t="shared" si="1616"/>
        <v>0</v>
      </c>
      <c r="D1304" s="1906">
        <f t="shared" si="1617"/>
        <v>0</v>
      </c>
      <c r="E1304" s="1906">
        <f t="shared" si="1618"/>
        <v>0</v>
      </c>
      <c r="F1304" s="1906">
        <f t="shared" si="1619"/>
        <v>0</v>
      </c>
      <c r="G1304" s="1906">
        <f t="shared" si="1620"/>
        <v>0</v>
      </c>
      <c r="H1304" s="1906">
        <f t="shared" si="1621"/>
        <v>0</v>
      </c>
      <c r="I1304" s="1906">
        <f t="shared" si="1622"/>
        <v>0</v>
      </c>
      <c r="J1304" s="1906">
        <f t="shared" si="1623"/>
        <v>0</v>
      </c>
      <c r="K1304" s="1906">
        <f t="shared" si="1624"/>
        <v>0</v>
      </c>
      <c r="L1304" s="1906">
        <f t="shared" si="1625"/>
        <v>0</v>
      </c>
      <c r="M1304" s="1906">
        <f t="shared" si="1626"/>
        <v>0</v>
      </c>
      <c r="N1304" s="1906">
        <f t="shared" si="1627"/>
        <v>0</v>
      </c>
      <c r="O1304" s="107"/>
      <c r="P1304" s="1906"/>
      <c r="Q1304" s="1906">
        <f t="shared" si="1628"/>
        <v>0</v>
      </c>
      <c r="R1304" s="1906">
        <f t="shared" si="1629"/>
        <v>0</v>
      </c>
      <c r="S1304" s="1906">
        <f t="shared" si="1630"/>
        <v>0</v>
      </c>
      <c r="T1304" s="1906">
        <f t="shared" si="1631"/>
        <v>0</v>
      </c>
      <c r="U1304" s="1906">
        <f t="shared" si="1632"/>
        <v>0</v>
      </c>
      <c r="V1304" s="1906">
        <f t="shared" si="1633"/>
        <v>0</v>
      </c>
      <c r="W1304" s="1906">
        <f t="shared" si="1634"/>
        <v>0</v>
      </c>
      <c r="X1304" s="1906">
        <f t="shared" si="1635"/>
        <v>0</v>
      </c>
      <c r="Y1304" s="1906">
        <f t="shared" si="1636"/>
        <v>0</v>
      </c>
      <c r="Z1304" s="1906">
        <f t="shared" si="1637"/>
        <v>0</v>
      </c>
      <c r="AA1304" s="1906">
        <f t="shared" si="1638"/>
        <v>0</v>
      </c>
      <c r="AB1304" s="107"/>
      <c r="AC1304" s="1906">
        <f t="shared" si="1639"/>
        <v>0</v>
      </c>
      <c r="AD1304" s="1906">
        <f t="shared" si="1640"/>
        <v>0</v>
      </c>
      <c r="AE1304" s="1906">
        <f t="shared" si="1641"/>
        <v>0</v>
      </c>
      <c r="AF1304" s="1906">
        <f t="shared" si="1642"/>
        <v>0</v>
      </c>
      <c r="AG1304" s="1906">
        <f t="shared" si="1643"/>
        <v>0</v>
      </c>
      <c r="AH1304" s="1906">
        <f t="shared" si="1644"/>
        <v>0</v>
      </c>
      <c r="AI1304" s="1906">
        <f t="shared" si="1645"/>
        <v>0</v>
      </c>
      <c r="AJ1304" s="1906">
        <f t="shared" si="1646"/>
        <v>0</v>
      </c>
      <c r="AK1304" s="1906">
        <f t="shared" si="1647"/>
        <v>0</v>
      </c>
      <c r="AL1304" s="1906">
        <f t="shared" si="1648"/>
        <v>0</v>
      </c>
      <c r="AM1304" s="1906">
        <f t="shared" si="1649"/>
        <v>0</v>
      </c>
      <c r="AN1304" s="1906">
        <f t="shared" si="1650"/>
        <v>0</v>
      </c>
      <c r="AO1304" s="107"/>
      <c r="AP1304" s="1906">
        <f t="shared" si="1651"/>
        <v>0</v>
      </c>
      <c r="AQ1304" s="1906">
        <f t="shared" si="1652"/>
        <v>0</v>
      </c>
      <c r="AR1304" s="1906">
        <f t="shared" si="1653"/>
        <v>0</v>
      </c>
      <c r="AS1304" s="1906">
        <f t="shared" si="1654"/>
        <v>0</v>
      </c>
      <c r="AT1304" s="1906">
        <f t="shared" si="1655"/>
        <v>0</v>
      </c>
      <c r="AU1304" s="1906">
        <f t="shared" si="1656"/>
        <v>0</v>
      </c>
      <c r="AV1304" s="1906">
        <f t="shared" si="1657"/>
        <v>0</v>
      </c>
      <c r="AW1304" s="1906">
        <f t="shared" si="1658"/>
        <v>0</v>
      </c>
      <c r="AX1304" s="1906">
        <f t="shared" si="1659"/>
        <v>0</v>
      </c>
      <c r="AY1304" s="1906">
        <f t="shared" si="1660"/>
        <v>0</v>
      </c>
      <c r="AZ1304" s="1906">
        <f t="shared" si="1661"/>
        <v>0</v>
      </c>
      <c r="BA1304" s="1906">
        <f t="shared" si="1662"/>
        <v>0</v>
      </c>
      <c r="BB1304" s="107"/>
      <c r="BC1304" s="1906">
        <f t="shared" si="1663"/>
        <v>0</v>
      </c>
      <c r="BD1304" s="1906">
        <f t="shared" si="1664"/>
        <v>0</v>
      </c>
      <c r="BE1304" s="1906">
        <f t="shared" si="1665"/>
        <v>0</v>
      </c>
      <c r="BF1304" s="1906">
        <f t="shared" si="1666"/>
        <v>0</v>
      </c>
      <c r="BG1304" s="1906">
        <f t="shared" si="1667"/>
        <v>0</v>
      </c>
      <c r="BH1304" s="1906">
        <f t="shared" si="1668"/>
        <v>0</v>
      </c>
      <c r="BI1304" s="1906">
        <f t="shared" si="1669"/>
        <v>0</v>
      </c>
      <c r="BJ1304" s="1906">
        <f t="shared" si="1670"/>
        <v>0</v>
      </c>
      <c r="BK1304" s="1906">
        <f t="shared" si="1671"/>
        <v>0</v>
      </c>
      <c r="BL1304" s="1906">
        <f t="shared" si="1672"/>
        <v>0</v>
      </c>
      <c r="BM1304" s="1906">
        <f t="shared" si="1673"/>
        <v>0</v>
      </c>
      <c r="BN1304" s="1906">
        <f t="shared" si="1674"/>
        <v>0</v>
      </c>
      <c r="BO1304" s="107"/>
      <c r="BP1304" s="1906">
        <f t="shared" si="1675"/>
        <v>0</v>
      </c>
      <c r="BQ1304" s="1906">
        <f t="shared" si="1676"/>
        <v>0</v>
      </c>
      <c r="BR1304" s="1906">
        <f t="shared" si="1677"/>
        <v>0</v>
      </c>
      <c r="BS1304" s="1906">
        <f t="shared" si="1678"/>
        <v>0</v>
      </c>
      <c r="BT1304" s="1906">
        <f t="shared" si="1679"/>
        <v>0</v>
      </c>
      <c r="BU1304" s="1906">
        <f t="shared" si="1680"/>
        <v>0</v>
      </c>
      <c r="BV1304" s="1906">
        <f t="shared" si="1681"/>
        <v>0</v>
      </c>
      <c r="BW1304" s="1906">
        <f t="shared" si="1682"/>
        <v>0</v>
      </c>
      <c r="BX1304" s="1906">
        <f t="shared" si="1683"/>
        <v>0</v>
      </c>
      <c r="BY1304" s="1906">
        <f t="shared" si="1684"/>
        <v>0</v>
      </c>
      <c r="BZ1304" s="1906">
        <f t="shared" si="1685"/>
        <v>0</v>
      </c>
      <c r="CA1304" s="1906">
        <f t="shared" si="1686"/>
        <v>0</v>
      </c>
      <c r="CB1304" s="1971" t="str">
        <f t="shared" si="1687"/>
        <v>Rg Ciclo Largo</v>
      </c>
      <c r="CC1304" s="1906">
        <f t="shared" si="1688"/>
        <v>0</v>
      </c>
      <c r="CD1304" s="1906">
        <f t="shared" si="1689"/>
        <v>0</v>
      </c>
      <c r="CE1304" s="1906">
        <f t="shared" si="1690"/>
        <v>0</v>
      </c>
      <c r="CF1304" s="1906">
        <f t="shared" si="1691"/>
        <v>0</v>
      </c>
      <c r="CG1304" s="1906">
        <f t="shared" si="1692"/>
        <v>0</v>
      </c>
      <c r="CH1304" s="1906">
        <f t="shared" si="1693"/>
        <v>0</v>
      </c>
      <c r="CI1304" s="1906">
        <f t="shared" si="1694"/>
        <v>0</v>
      </c>
      <c r="CJ1304" s="1906">
        <f t="shared" si="1695"/>
        <v>0</v>
      </c>
      <c r="CK1304" s="1906">
        <f t="shared" si="1696"/>
        <v>0</v>
      </c>
      <c r="CL1304" s="1906">
        <f t="shared" si="1697"/>
        <v>0</v>
      </c>
      <c r="CM1304" s="1906">
        <f t="shared" si="1698"/>
        <v>0</v>
      </c>
      <c r="CN1304" s="1906">
        <f t="shared" si="1699"/>
        <v>0</v>
      </c>
      <c r="CO1304" s="595" t="str">
        <f t="shared" si="1700"/>
        <v>Rg Ciclo Largo</v>
      </c>
      <c r="CP1304" s="1443">
        <f t="shared" si="1701"/>
        <v>0</v>
      </c>
      <c r="EF1304" s="5"/>
    </row>
    <row r="1305" spans="1:136" x14ac:dyDescent="0.2">
      <c r="A1305" s="6"/>
      <c r="B1305" s="1971" t="str">
        <f t="shared" si="1615"/>
        <v>Trigo pastoreo</v>
      </c>
      <c r="C1305" s="1906">
        <f t="shared" si="1616"/>
        <v>0</v>
      </c>
      <c r="D1305" s="1906">
        <f t="shared" si="1617"/>
        <v>0</v>
      </c>
      <c r="E1305" s="1906">
        <f t="shared" si="1618"/>
        <v>0</v>
      </c>
      <c r="F1305" s="1906">
        <f t="shared" si="1619"/>
        <v>0</v>
      </c>
      <c r="G1305" s="1906">
        <f t="shared" si="1620"/>
        <v>0</v>
      </c>
      <c r="H1305" s="1906">
        <f t="shared" si="1621"/>
        <v>0</v>
      </c>
      <c r="I1305" s="1906">
        <f t="shared" si="1622"/>
        <v>0</v>
      </c>
      <c r="J1305" s="1906">
        <f t="shared" si="1623"/>
        <v>0</v>
      </c>
      <c r="K1305" s="1906">
        <f t="shared" si="1624"/>
        <v>0</v>
      </c>
      <c r="L1305" s="1906">
        <f t="shared" si="1625"/>
        <v>0</v>
      </c>
      <c r="M1305" s="1906">
        <f t="shared" si="1626"/>
        <v>0</v>
      </c>
      <c r="N1305" s="1906">
        <f t="shared" si="1627"/>
        <v>0</v>
      </c>
      <c r="O1305" s="107"/>
      <c r="P1305" s="1906"/>
      <c r="Q1305" s="1906">
        <f t="shared" si="1628"/>
        <v>0</v>
      </c>
      <c r="R1305" s="1906">
        <f t="shared" si="1629"/>
        <v>0</v>
      </c>
      <c r="S1305" s="1906">
        <f t="shared" si="1630"/>
        <v>0</v>
      </c>
      <c r="T1305" s="1906">
        <f t="shared" si="1631"/>
        <v>0</v>
      </c>
      <c r="U1305" s="1906">
        <f t="shared" si="1632"/>
        <v>0</v>
      </c>
      <c r="V1305" s="1906">
        <f t="shared" si="1633"/>
        <v>0</v>
      </c>
      <c r="W1305" s="1906">
        <f t="shared" si="1634"/>
        <v>0</v>
      </c>
      <c r="X1305" s="1906">
        <f t="shared" si="1635"/>
        <v>0</v>
      </c>
      <c r="Y1305" s="1906">
        <f t="shared" si="1636"/>
        <v>0</v>
      </c>
      <c r="Z1305" s="1906">
        <f t="shared" si="1637"/>
        <v>0</v>
      </c>
      <c r="AA1305" s="1906">
        <f t="shared" si="1638"/>
        <v>0</v>
      </c>
      <c r="AB1305" s="107"/>
      <c r="AC1305" s="1906">
        <f t="shared" si="1639"/>
        <v>0</v>
      </c>
      <c r="AD1305" s="1906">
        <f t="shared" si="1640"/>
        <v>0</v>
      </c>
      <c r="AE1305" s="1906">
        <f t="shared" si="1641"/>
        <v>0</v>
      </c>
      <c r="AF1305" s="1906">
        <f t="shared" si="1642"/>
        <v>0</v>
      </c>
      <c r="AG1305" s="1906">
        <f t="shared" si="1643"/>
        <v>0</v>
      </c>
      <c r="AH1305" s="1906">
        <f t="shared" si="1644"/>
        <v>0</v>
      </c>
      <c r="AI1305" s="1906">
        <f t="shared" si="1645"/>
        <v>0</v>
      </c>
      <c r="AJ1305" s="1906">
        <f t="shared" si="1646"/>
        <v>0</v>
      </c>
      <c r="AK1305" s="1906">
        <f t="shared" si="1647"/>
        <v>0</v>
      </c>
      <c r="AL1305" s="1906">
        <f t="shared" si="1648"/>
        <v>0</v>
      </c>
      <c r="AM1305" s="1906">
        <f t="shared" si="1649"/>
        <v>0</v>
      </c>
      <c r="AN1305" s="1906">
        <f t="shared" si="1650"/>
        <v>0</v>
      </c>
      <c r="AO1305" s="107"/>
      <c r="AP1305" s="1906">
        <f t="shared" si="1651"/>
        <v>0</v>
      </c>
      <c r="AQ1305" s="1906">
        <f t="shared" si="1652"/>
        <v>0</v>
      </c>
      <c r="AR1305" s="1906">
        <f t="shared" si="1653"/>
        <v>0</v>
      </c>
      <c r="AS1305" s="1906">
        <f t="shared" si="1654"/>
        <v>0</v>
      </c>
      <c r="AT1305" s="1906">
        <f t="shared" si="1655"/>
        <v>0</v>
      </c>
      <c r="AU1305" s="1906">
        <f t="shared" si="1656"/>
        <v>0</v>
      </c>
      <c r="AV1305" s="1906">
        <f t="shared" si="1657"/>
        <v>0</v>
      </c>
      <c r="AW1305" s="1906">
        <f t="shared" si="1658"/>
        <v>0</v>
      </c>
      <c r="AX1305" s="1906">
        <f t="shared" si="1659"/>
        <v>0</v>
      </c>
      <c r="AY1305" s="1906">
        <f t="shared" si="1660"/>
        <v>0</v>
      </c>
      <c r="AZ1305" s="1906">
        <f t="shared" si="1661"/>
        <v>0</v>
      </c>
      <c r="BA1305" s="1906">
        <f t="shared" si="1662"/>
        <v>0</v>
      </c>
      <c r="BB1305" s="107"/>
      <c r="BC1305" s="1906">
        <f t="shared" si="1663"/>
        <v>0</v>
      </c>
      <c r="BD1305" s="1906">
        <f t="shared" si="1664"/>
        <v>0</v>
      </c>
      <c r="BE1305" s="1906">
        <f t="shared" si="1665"/>
        <v>0</v>
      </c>
      <c r="BF1305" s="1906">
        <f t="shared" si="1666"/>
        <v>0</v>
      </c>
      <c r="BG1305" s="1906">
        <f t="shared" si="1667"/>
        <v>0</v>
      </c>
      <c r="BH1305" s="1906">
        <f t="shared" si="1668"/>
        <v>0</v>
      </c>
      <c r="BI1305" s="1906">
        <f t="shared" si="1669"/>
        <v>0</v>
      </c>
      <c r="BJ1305" s="1906">
        <f t="shared" si="1670"/>
        <v>0</v>
      </c>
      <c r="BK1305" s="1906">
        <f t="shared" si="1671"/>
        <v>0</v>
      </c>
      <c r="BL1305" s="1906">
        <f t="shared" si="1672"/>
        <v>0</v>
      </c>
      <c r="BM1305" s="1906">
        <f t="shared" si="1673"/>
        <v>0</v>
      </c>
      <c r="BN1305" s="1906">
        <f t="shared" si="1674"/>
        <v>0</v>
      </c>
      <c r="BO1305" s="107"/>
      <c r="BP1305" s="1906">
        <f t="shared" si="1675"/>
        <v>0</v>
      </c>
      <c r="BQ1305" s="1906">
        <f t="shared" si="1676"/>
        <v>0</v>
      </c>
      <c r="BR1305" s="1906">
        <f t="shared" si="1677"/>
        <v>0</v>
      </c>
      <c r="BS1305" s="1906">
        <f t="shared" si="1678"/>
        <v>0</v>
      </c>
      <c r="BT1305" s="1906">
        <f t="shared" si="1679"/>
        <v>0</v>
      </c>
      <c r="BU1305" s="1906">
        <f t="shared" si="1680"/>
        <v>0</v>
      </c>
      <c r="BV1305" s="1906">
        <f t="shared" si="1681"/>
        <v>0</v>
      </c>
      <c r="BW1305" s="1906">
        <f t="shared" si="1682"/>
        <v>0</v>
      </c>
      <c r="BX1305" s="1906">
        <f t="shared" si="1683"/>
        <v>0</v>
      </c>
      <c r="BY1305" s="1906">
        <f t="shared" si="1684"/>
        <v>0</v>
      </c>
      <c r="BZ1305" s="1906">
        <f t="shared" si="1685"/>
        <v>0</v>
      </c>
      <c r="CA1305" s="1906">
        <f t="shared" si="1686"/>
        <v>0</v>
      </c>
      <c r="CB1305" s="1971" t="str">
        <f t="shared" si="1687"/>
        <v>Trigo pastoreo</v>
      </c>
      <c r="CC1305" s="1906">
        <f t="shared" si="1688"/>
        <v>0</v>
      </c>
      <c r="CD1305" s="1906">
        <f t="shared" si="1689"/>
        <v>0</v>
      </c>
      <c r="CE1305" s="1906">
        <f t="shared" si="1690"/>
        <v>0</v>
      </c>
      <c r="CF1305" s="1906">
        <f t="shared" si="1691"/>
        <v>0</v>
      </c>
      <c r="CG1305" s="1906">
        <f t="shared" si="1692"/>
        <v>0</v>
      </c>
      <c r="CH1305" s="1906">
        <f t="shared" si="1693"/>
        <v>0</v>
      </c>
      <c r="CI1305" s="1906">
        <f t="shared" si="1694"/>
        <v>0</v>
      </c>
      <c r="CJ1305" s="1906">
        <f t="shared" si="1695"/>
        <v>0</v>
      </c>
      <c r="CK1305" s="1906">
        <f t="shared" si="1696"/>
        <v>0</v>
      </c>
      <c r="CL1305" s="1906">
        <f t="shared" si="1697"/>
        <v>0</v>
      </c>
      <c r="CM1305" s="1906">
        <f t="shared" si="1698"/>
        <v>0</v>
      </c>
      <c r="CN1305" s="1906">
        <f t="shared" si="1699"/>
        <v>0</v>
      </c>
      <c r="CO1305" s="595" t="str">
        <f t="shared" si="1700"/>
        <v>Trigo pastoreo</v>
      </c>
      <c r="CP1305" s="1443">
        <f t="shared" si="1701"/>
        <v>0</v>
      </c>
      <c r="EF1305" s="5"/>
    </row>
    <row r="1306" spans="1:136" x14ac:dyDescent="0.2">
      <c r="A1306" s="6"/>
      <c r="B1306" s="1971" t="str">
        <f t="shared" si="1615"/>
        <v>Cebada pastoreo</v>
      </c>
      <c r="C1306" s="1906">
        <f t="shared" si="1616"/>
        <v>0</v>
      </c>
      <c r="D1306" s="1906">
        <f t="shared" si="1617"/>
        <v>0</v>
      </c>
      <c r="E1306" s="1906">
        <f t="shared" si="1618"/>
        <v>0</v>
      </c>
      <c r="F1306" s="1906">
        <f t="shared" si="1619"/>
        <v>0</v>
      </c>
      <c r="G1306" s="1906">
        <f t="shared" si="1620"/>
        <v>0</v>
      </c>
      <c r="H1306" s="1906">
        <f t="shared" si="1621"/>
        <v>0</v>
      </c>
      <c r="I1306" s="1906">
        <f t="shared" si="1622"/>
        <v>0</v>
      </c>
      <c r="J1306" s="1906">
        <f t="shared" si="1623"/>
        <v>0</v>
      </c>
      <c r="K1306" s="1906">
        <f t="shared" si="1624"/>
        <v>0</v>
      </c>
      <c r="L1306" s="1906">
        <f t="shared" si="1625"/>
        <v>0</v>
      </c>
      <c r="M1306" s="1906">
        <f t="shared" si="1626"/>
        <v>0</v>
      </c>
      <c r="N1306" s="1906">
        <f t="shared" si="1627"/>
        <v>0</v>
      </c>
      <c r="O1306" s="107"/>
      <c r="P1306" s="1906"/>
      <c r="Q1306" s="1906">
        <f t="shared" si="1628"/>
        <v>0</v>
      </c>
      <c r="R1306" s="1906">
        <f t="shared" si="1629"/>
        <v>0</v>
      </c>
      <c r="S1306" s="1906">
        <f t="shared" si="1630"/>
        <v>0</v>
      </c>
      <c r="T1306" s="1906">
        <f t="shared" si="1631"/>
        <v>0</v>
      </c>
      <c r="U1306" s="1906">
        <f t="shared" si="1632"/>
        <v>0</v>
      </c>
      <c r="V1306" s="1906">
        <f t="shared" si="1633"/>
        <v>0</v>
      </c>
      <c r="W1306" s="1906">
        <f t="shared" si="1634"/>
        <v>0</v>
      </c>
      <c r="X1306" s="1906">
        <f t="shared" si="1635"/>
        <v>0</v>
      </c>
      <c r="Y1306" s="1906">
        <f t="shared" si="1636"/>
        <v>0</v>
      </c>
      <c r="Z1306" s="1906">
        <f t="shared" si="1637"/>
        <v>0</v>
      </c>
      <c r="AA1306" s="1906">
        <f t="shared" si="1638"/>
        <v>0</v>
      </c>
      <c r="AB1306" s="107"/>
      <c r="AC1306" s="1906">
        <f t="shared" si="1639"/>
        <v>0</v>
      </c>
      <c r="AD1306" s="1906">
        <f t="shared" si="1640"/>
        <v>0</v>
      </c>
      <c r="AE1306" s="1906">
        <f t="shared" si="1641"/>
        <v>0</v>
      </c>
      <c r="AF1306" s="1906">
        <f t="shared" si="1642"/>
        <v>0</v>
      </c>
      <c r="AG1306" s="1906">
        <f t="shared" si="1643"/>
        <v>0</v>
      </c>
      <c r="AH1306" s="1906">
        <f t="shared" si="1644"/>
        <v>0</v>
      </c>
      <c r="AI1306" s="1906">
        <f t="shared" si="1645"/>
        <v>0</v>
      </c>
      <c r="AJ1306" s="1906">
        <f t="shared" si="1646"/>
        <v>0</v>
      </c>
      <c r="AK1306" s="1906">
        <f t="shared" si="1647"/>
        <v>0</v>
      </c>
      <c r="AL1306" s="1906">
        <f t="shared" si="1648"/>
        <v>0</v>
      </c>
      <c r="AM1306" s="1906">
        <f t="shared" si="1649"/>
        <v>0</v>
      </c>
      <c r="AN1306" s="1906">
        <f t="shared" si="1650"/>
        <v>0</v>
      </c>
      <c r="AO1306" s="107"/>
      <c r="AP1306" s="1906">
        <f t="shared" si="1651"/>
        <v>0</v>
      </c>
      <c r="AQ1306" s="1906">
        <f t="shared" si="1652"/>
        <v>0</v>
      </c>
      <c r="AR1306" s="1906">
        <f t="shared" si="1653"/>
        <v>0</v>
      </c>
      <c r="AS1306" s="1906">
        <f t="shared" si="1654"/>
        <v>0</v>
      </c>
      <c r="AT1306" s="1906">
        <f t="shared" si="1655"/>
        <v>0</v>
      </c>
      <c r="AU1306" s="1906">
        <f t="shared" si="1656"/>
        <v>0</v>
      </c>
      <c r="AV1306" s="1906">
        <f t="shared" si="1657"/>
        <v>0</v>
      </c>
      <c r="AW1306" s="1906">
        <f t="shared" si="1658"/>
        <v>0</v>
      </c>
      <c r="AX1306" s="1906">
        <f t="shared" si="1659"/>
        <v>0</v>
      </c>
      <c r="AY1306" s="1906">
        <f t="shared" si="1660"/>
        <v>0</v>
      </c>
      <c r="AZ1306" s="1906">
        <f t="shared" si="1661"/>
        <v>0</v>
      </c>
      <c r="BA1306" s="1906">
        <f t="shared" si="1662"/>
        <v>0</v>
      </c>
      <c r="BB1306" s="107"/>
      <c r="BC1306" s="1906">
        <f t="shared" si="1663"/>
        <v>0</v>
      </c>
      <c r="BD1306" s="1906">
        <f t="shared" si="1664"/>
        <v>0</v>
      </c>
      <c r="BE1306" s="1906">
        <f t="shared" si="1665"/>
        <v>0</v>
      </c>
      <c r="BF1306" s="1906">
        <f t="shared" si="1666"/>
        <v>0</v>
      </c>
      <c r="BG1306" s="1906">
        <f t="shared" si="1667"/>
        <v>0</v>
      </c>
      <c r="BH1306" s="1906">
        <f t="shared" si="1668"/>
        <v>0</v>
      </c>
      <c r="BI1306" s="1906">
        <f t="shared" si="1669"/>
        <v>0</v>
      </c>
      <c r="BJ1306" s="1906">
        <f t="shared" si="1670"/>
        <v>0</v>
      </c>
      <c r="BK1306" s="1906">
        <f t="shared" si="1671"/>
        <v>0</v>
      </c>
      <c r="BL1306" s="1906">
        <f t="shared" si="1672"/>
        <v>0</v>
      </c>
      <c r="BM1306" s="1906">
        <f t="shared" si="1673"/>
        <v>0</v>
      </c>
      <c r="BN1306" s="1906">
        <f t="shared" si="1674"/>
        <v>0</v>
      </c>
      <c r="BO1306" s="107"/>
      <c r="BP1306" s="1906">
        <f t="shared" si="1675"/>
        <v>0</v>
      </c>
      <c r="BQ1306" s="1906">
        <f t="shared" si="1676"/>
        <v>0</v>
      </c>
      <c r="BR1306" s="1906">
        <f t="shared" si="1677"/>
        <v>0</v>
      </c>
      <c r="BS1306" s="1906">
        <f t="shared" si="1678"/>
        <v>0</v>
      </c>
      <c r="BT1306" s="1906">
        <f t="shared" si="1679"/>
        <v>0</v>
      </c>
      <c r="BU1306" s="1906">
        <f t="shared" si="1680"/>
        <v>0</v>
      </c>
      <c r="BV1306" s="1906">
        <f t="shared" si="1681"/>
        <v>0</v>
      </c>
      <c r="BW1306" s="1906">
        <f t="shared" si="1682"/>
        <v>0</v>
      </c>
      <c r="BX1306" s="1906">
        <f t="shared" si="1683"/>
        <v>0</v>
      </c>
      <c r="BY1306" s="1906">
        <f t="shared" si="1684"/>
        <v>0</v>
      </c>
      <c r="BZ1306" s="1906">
        <f t="shared" si="1685"/>
        <v>0</v>
      </c>
      <c r="CA1306" s="1906">
        <f t="shared" si="1686"/>
        <v>0</v>
      </c>
      <c r="CB1306" s="1971" t="str">
        <f t="shared" si="1687"/>
        <v>Cebada pastoreo</v>
      </c>
      <c r="CC1306" s="1906">
        <f t="shared" si="1688"/>
        <v>0</v>
      </c>
      <c r="CD1306" s="1906">
        <f t="shared" si="1689"/>
        <v>0</v>
      </c>
      <c r="CE1306" s="1906">
        <f t="shared" si="1690"/>
        <v>0</v>
      </c>
      <c r="CF1306" s="1906">
        <f t="shared" si="1691"/>
        <v>0</v>
      </c>
      <c r="CG1306" s="1906">
        <f t="shared" si="1692"/>
        <v>0</v>
      </c>
      <c r="CH1306" s="1906">
        <f t="shared" si="1693"/>
        <v>0</v>
      </c>
      <c r="CI1306" s="1906">
        <f t="shared" si="1694"/>
        <v>0</v>
      </c>
      <c r="CJ1306" s="1906">
        <f t="shared" si="1695"/>
        <v>0</v>
      </c>
      <c r="CK1306" s="1906">
        <f t="shared" si="1696"/>
        <v>0</v>
      </c>
      <c r="CL1306" s="1906">
        <f t="shared" si="1697"/>
        <v>0</v>
      </c>
      <c r="CM1306" s="1906">
        <f t="shared" si="1698"/>
        <v>0</v>
      </c>
      <c r="CN1306" s="1906">
        <f t="shared" si="1699"/>
        <v>0</v>
      </c>
      <c r="CO1306" s="595" t="str">
        <f t="shared" si="1700"/>
        <v>Cebada pastoreo</v>
      </c>
      <c r="CP1306" s="1443">
        <f t="shared" si="1701"/>
        <v>0</v>
      </c>
      <c r="EF1306" s="5"/>
    </row>
    <row r="1307" spans="1:136" x14ac:dyDescent="0.2">
      <c r="A1307" s="6"/>
      <c r="B1307" s="1971" t="str">
        <f t="shared" ref="B1307:B1341" si="1702">+CB1307</f>
        <v>InterS. Rg</v>
      </c>
      <c r="C1307" s="1906">
        <f t="shared" ref="C1307:C1338" si="1703">SUMIF(P$1201:P$1267,"feb"&amp;$B1233,C$1201:C$1267)</f>
        <v>0</v>
      </c>
      <c r="D1307" s="1906">
        <f t="shared" ref="D1307:D1338" si="1704">SUMIF(Q$1201:Q$1267,"feb"&amp;$B1233,D$1201:D$1267)</f>
        <v>0</v>
      </c>
      <c r="E1307" s="1906">
        <f t="shared" ref="E1307:E1338" si="1705">SUMIF(R$1201:R$1267,"feb"&amp;$B1233,E$1201:E$1267)</f>
        <v>0</v>
      </c>
      <c r="F1307" s="1906">
        <f t="shared" ref="F1307:F1338" si="1706">SUMIF(S$1201:S$1267,"feb"&amp;$B1233,F$1201:F$1267)</f>
        <v>0</v>
      </c>
      <c r="G1307" s="1906">
        <f t="shared" ref="G1307:G1338" si="1707">SUMIF(T$1201:T$1267,"feb"&amp;$B1233,G$1201:G$1267)</f>
        <v>0</v>
      </c>
      <c r="H1307" s="1906">
        <f t="shared" ref="H1307:H1338" si="1708">SUMIF(U$1201:U$1267,"feb"&amp;$B1233,H$1201:H$1267)</f>
        <v>0</v>
      </c>
      <c r="I1307" s="1906">
        <f t="shared" ref="I1307:I1338" si="1709">SUMIF(V$1201:V$1267,"feb"&amp;$B1233,I$1201:I$1267)</f>
        <v>0</v>
      </c>
      <c r="J1307" s="1906">
        <f t="shared" ref="J1307:J1338" si="1710">SUMIF(W$1201:W$1267,"feb"&amp;$B1233,J$1201:J$1267)</f>
        <v>0</v>
      </c>
      <c r="K1307" s="1906">
        <f t="shared" ref="K1307:K1338" si="1711">SUMIF(X$1201:X$1267,"feb"&amp;$B1233,K$1201:K$1267)</f>
        <v>0</v>
      </c>
      <c r="L1307" s="1906">
        <f t="shared" ref="L1307:L1338" si="1712">SUMIF(Y$1201:Y$1267,"feb"&amp;$B1233,L$1201:L$1267)</f>
        <v>0</v>
      </c>
      <c r="M1307" s="1906">
        <f t="shared" ref="M1307:M1338" si="1713">SUMIF(Z$1201:Z$1267,"feb"&amp;$B1233,M$1201:M$1267)</f>
        <v>0</v>
      </c>
      <c r="N1307" s="1906">
        <f t="shared" ref="N1307:N1338" si="1714">SUMIF(AA$1201:AA$1267,"feb"&amp;$B1233,N$1201:N$1267)</f>
        <v>0</v>
      </c>
      <c r="O1307" s="107"/>
      <c r="P1307" s="1906"/>
      <c r="Q1307" s="1906">
        <f t="shared" ref="Q1307:Q1338" si="1715">SUMIF(Q$1201:Q$1267,"mar"&amp;$B1233,D$1201:D$1267)</f>
        <v>0</v>
      </c>
      <c r="R1307" s="1906">
        <f t="shared" ref="R1307:R1338" si="1716">SUMIF(R$1201:R$1267,"mar"&amp;$B1233,E$1201:E$1267)</f>
        <v>0</v>
      </c>
      <c r="S1307" s="1906">
        <f t="shared" ref="S1307:S1338" si="1717">SUMIF(S$1201:S$1267,"mar"&amp;$B1233,F$1201:F$1267)</f>
        <v>0</v>
      </c>
      <c r="T1307" s="1906">
        <f t="shared" ref="T1307:T1338" si="1718">SUMIF(T$1201:T$1267,"mar"&amp;$B1233,G$1201:G$1267)</f>
        <v>0</v>
      </c>
      <c r="U1307" s="1906">
        <f t="shared" ref="U1307:U1338" si="1719">SUMIF(U$1201:U$1267,"mar"&amp;$B1233,H$1201:H$1267)</f>
        <v>0</v>
      </c>
      <c r="V1307" s="1906">
        <f t="shared" ref="V1307:V1338" si="1720">SUMIF(V$1201:V$1267,"mar"&amp;$B1233,I$1201:I$1267)</f>
        <v>0</v>
      </c>
      <c r="W1307" s="1906">
        <f t="shared" ref="W1307:W1338" si="1721">SUMIF(W$1201:W$1267,"mar"&amp;$B1233,J$1201:J$1267)</f>
        <v>0</v>
      </c>
      <c r="X1307" s="1906">
        <f t="shared" ref="X1307:X1338" si="1722">SUMIF(X$1201:X$1267,"mar"&amp;$B1233,K$1201:K$1267)</f>
        <v>0</v>
      </c>
      <c r="Y1307" s="1906">
        <f t="shared" ref="Y1307:Y1338" si="1723">SUMIF(Y$1201:Y$1267,"mar"&amp;$B1233,L$1201:L$1267)</f>
        <v>0</v>
      </c>
      <c r="Z1307" s="1906">
        <f t="shared" ref="Z1307:Z1338" si="1724">SUMIF(Z$1201:Z$1267,"mar"&amp;$B1233,M$1201:M$1267)</f>
        <v>0</v>
      </c>
      <c r="AA1307" s="1906">
        <f t="shared" ref="AA1307:AA1338" si="1725">SUMIF(AA$1201:AA$1267,"mar"&amp;$B1233,N$1201:N$1267)</f>
        <v>0</v>
      </c>
      <c r="AB1307" s="107"/>
      <c r="AC1307" s="1906">
        <f t="shared" ref="AC1307:AC1338" si="1726">SUMIF(P$1201:P$1267,"abr"&amp;$B1233,C$1201:C$1267)</f>
        <v>0</v>
      </c>
      <c r="AD1307" s="1906">
        <f t="shared" ref="AD1307:AD1338" si="1727">SUMIF(Q$1201:Q$1267,"abr"&amp;$B1233,D$1201:D$1267)</f>
        <v>0</v>
      </c>
      <c r="AE1307" s="1906">
        <f t="shared" ref="AE1307:AE1338" si="1728">SUMIF(R$1201:R$1267,"abr"&amp;$B1233,E$1201:E$1267)</f>
        <v>0</v>
      </c>
      <c r="AF1307" s="1906">
        <f t="shared" ref="AF1307:AF1338" si="1729">SUMIF(S$1201:S$1267,"abr"&amp;$B1233,F$1201:F$1267)</f>
        <v>0</v>
      </c>
      <c r="AG1307" s="1906">
        <f t="shared" ref="AG1307:AG1338" si="1730">SUMIF(T$1201:T$1267,"abr"&amp;$B1233,G$1201:G$1267)</f>
        <v>0</v>
      </c>
      <c r="AH1307" s="1906">
        <f t="shared" ref="AH1307:AH1338" si="1731">SUMIF(U$1201:U$1267,"abr"&amp;$B1233,H$1201:H$1267)</f>
        <v>0</v>
      </c>
      <c r="AI1307" s="1906">
        <f t="shared" ref="AI1307:AI1338" si="1732">SUMIF(V$1201:V$1267,"abr"&amp;$B1233,I$1201:I$1267)</f>
        <v>0</v>
      </c>
      <c r="AJ1307" s="1906">
        <f t="shared" ref="AJ1307:AJ1338" si="1733">SUMIF(W$1201:W$1267,"abr"&amp;$B1233,J$1201:J$1267)</f>
        <v>0</v>
      </c>
      <c r="AK1307" s="1906">
        <f t="shared" ref="AK1307:AK1338" si="1734">SUMIF(X$1201:X$1267,"abr"&amp;$B1233,K$1201:K$1267)</f>
        <v>0</v>
      </c>
      <c r="AL1307" s="1906">
        <f t="shared" ref="AL1307:AL1338" si="1735">SUMIF(Y$1201:Y$1267,"abr"&amp;$B1233,L$1201:L$1267)</f>
        <v>0</v>
      </c>
      <c r="AM1307" s="1906">
        <f t="shared" ref="AM1307:AM1338" si="1736">SUMIF(Z$1201:Z$1267,"abr"&amp;$B1233,M$1201:M$1267)</f>
        <v>0</v>
      </c>
      <c r="AN1307" s="1906">
        <f t="shared" ref="AN1307:AN1338" si="1737">SUMIF(AA$1201:AA$1267,"abr"&amp;$B1233,N$1201:N$1267)</f>
        <v>0</v>
      </c>
      <c r="AO1307" s="107"/>
      <c r="AP1307" s="1906">
        <f t="shared" ref="AP1307:AP1338" si="1738">SUMIF(P$1201:P$1267,"may"&amp;$B1233,C$1201:C$1267)</f>
        <v>0</v>
      </c>
      <c r="AQ1307" s="1906">
        <f t="shared" ref="AQ1307:AQ1338" si="1739">SUMIF(Q$1201:Q$1267,"may"&amp;$B1233,D$1201:D$1267)</f>
        <v>0</v>
      </c>
      <c r="AR1307" s="1906">
        <f t="shared" ref="AR1307:AR1338" si="1740">SUMIF(R$1201:R$1267,"may"&amp;$B1233,E$1201:E$1267)</f>
        <v>0</v>
      </c>
      <c r="AS1307" s="1906">
        <f t="shared" ref="AS1307:AS1338" si="1741">SUMIF(S$1201:S$1267,"may"&amp;$B1233,F$1201:F$1267)</f>
        <v>0</v>
      </c>
      <c r="AT1307" s="1906">
        <f t="shared" ref="AT1307:AT1338" si="1742">SUMIF(T$1201:T$1267,"may"&amp;$B1233,G$1201:G$1267)</f>
        <v>0</v>
      </c>
      <c r="AU1307" s="1906">
        <f t="shared" ref="AU1307:AU1338" si="1743">SUMIF(U$1201:U$1267,"may"&amp;$B1233,H$1201:H$1267)</f>
        <v>0</v>
      </c>
      <c r="AV1307" s="1906">
        <f t="shared" ref="AV1307:AV1338" si="1744">SUMIF(V$1201:V$1267,"may"&amp;$B1233,I$1201:I$1267)</f>
        <v>0</v>
      </c>
      <c r="AW1307" s="1906">
        <f t="shared" ref="AW1307:AW1338" si="1745">SUMIF(W$1201:W$1267,"may"&amp;$B1233,J$1201:J$1267)</f>
        <v>0</v>
      </c>
      <c r="AX1307" s="1906">
        <f t="shared" ref="AX1307:AX1338" si="1746">SUMIF(X$1201:X$1267,"may"&amp;$B1233,K$1201:K$1267)</f>
        <v>0</v>
      </c>
      <c r="AY1307" s="1906">
        <f t="shared" ref="AY1307:AY1338" si="1747">SUMIF(Y$1201:Y$1267,"may"&amp;$B1233,L$1201:L$1267)</f>
        <v>0</v>
      </c>
      <c r="AZ1307" s="1906">
        <f t="shared" ref="AZ1307:AZ1338" si="1748">SUMIF(Z$1201:Z$1267,"may"&amp;$B1233,M$1201:M$1267)</f>
        <v>0</v>
      </c>
      <c r="BA1307" s="1906">
        <f t="shared" ref="BA1307:BA1338" si="1749">SUMIF(AA$1201:AA$1267,"may"&amp;$B1233,N$1201:N$1267)</f>
        <v>0</v>
      </c>
      <c r="BB1307" s="107"/>
      <c r="BC1307" s="1906">
        <f t="shared" ref="BC1307:BC1338" si="1750">SUMIF(P$1201:P$1267,"jun"&amp;$B1233,C$1201:C$1267)</f>
        <v>0</v>
      </c>
      <c r="BD1307" s="1906">
        <f t="shared" ref="BD1307:BD1338" si="1751">SUMIF(Q$1201:Q$1267,"jun"&amp;$B1233,D$1201:D$1267)</f>
        <v>0</v>
      </c>
      <c r="BE1307" s="1906">
        <f t="shared" ref="BE1307:BE1338" si="1752">SUMIF(R$1201:R$1267,"jun"&amp;$B1233,E$1201:E$1267)</f>
        <v>0</v>
      </c>
      <c r="BF1307" s="1906">
        <f t="shared" ref="BF1307:BF1338" si="1753">SUMIF(S$1201:S$1267,"jun"&amp;$B1233,F$1201:F$1267)</f>
        <v>0</v>
      </c>
      <c r="BG1307" s="1906">
        <f t="shared" ref="BG1307:BG1338" si="1754">SUMIF(T$1201:T$1267,"jun"&amp;$B1233,G$1201:G$1267)</f>
        <v>0</v>
      </c>
      <c r="BH1307" s="1906">
        <f t="shared" ref="BH1307:BH1338" si="1755">SUMIF(U$1201:U$1267,"jun"&amp;$B1233,H$1201:H$1267)</f>
        <v>0</v>
      </c>
      <c r="BI1307" s="1906">
        <f t="shared" ref="BI1307:BI1338" si="1756">SUMIF(V$1201:V$1267,"jun"&amp;$B1233,I$1201:I$1267)</f>
        <v>0</v>
      </c>
      <c r="BJ1307" s="1906">
        <f t="shared" ref="BJ1307:BJ1338" si="1757">SUMIF(W$1201:W$1267,"jun"&amp;$B1233,J$1201:J$1267)</f>
        <v>0</v>
      </c>
      <c r="BK1307" s="1906">
        <f t="shared" ref="BK1307:BK1338" si="1758">SUMIF(X$1201:X$1267,"jun"&amp;$B1233,K$1201:K$1267)</f>
        <v>0</v>
      </c>
      <c r="BL1307" s="1906">
        <f t="shared" ref="BL1307:BL1338" si="1759">SUMIF(Y$1201:Y$1267,"jun"&amp;$B1233,L$1201:L$1267)</f>
        <v>0</v>
      </c>
      <c r="BM1307" s="1906">
        <f t="shared" ref="BM1307:BM1338" si="1760">SUMIF(Z$1201:Z$1267,"jun"&amp;$B1233,M$1201:M$1267)</f>
        <v>0</v>
      </c>
      <c r="BN1307" s="1906">
        <f t="shared" ref="BN1307:BN1338" si="1761">SUMIF(AA$1201:AA$1267,"jun"&amp;$B1233,N$1201:N$1267)</f>
        <v>0</v>
      </c>
      <c r="BO1307" s="107"/>
      <c r="BP1307" s="1906">
        <f t="shared" ref="BP1307:BP1338" si="1762">SUMIF(P$1201:P$1267,"jul"&amp;$B1233,C$1201:C$1267)</f>
        <v>0</v>
      </c>
      <c r="BQ1307" s="1906">
        <f t="shared" ref="BQ1307:BQ1338" si="1763">SUMIF(Q$1201:Q$1267,"jul"&amp;$B1233,D$1201:D$1267)</f>
        <v>0</v>
      </c>
      <c r="BR1307" s="1906">
        <f t="shared" ref="BR1307:BR1338" si="1764">SUMIF(R$1201:R$1267,"jul"&amp;$B1233,E$1201:E$1267)</f>
        <v>0</v>
      </c>
      <c r="BS1307" s="1906">
        <f t="shared" ref="BS1307:BS1338" si="1765">SUMIF(S$1201:S$1267,"jul"&amp;$B1233,F$1201:F$1267)</f>
        <v>0</v>
      </c>
      <c r="BT1307" s="1906">
        <f t="shared" ref="BT1307:BT1338" si="1766">SUMIF(T$1201:T$1267,"jul"&amp;$B1233,G$1201:G$1267)</f>
        <v>0</v>
      </c>
      <c r="BU1307" s="1906">
        <f t="shared" ref="BU1307:BU1338" si="1767">SUMIF(U$1201:U$1267,"jul"&amp;$B1233,H$1201:H$1267)</f>
        <v>0</v>
      </c>
      <c r="BV1307" s="1906">
        <f t="shared" ref="BV1307:BV1338" si="1768">SUMIF(V$1201:V$1267,"jul"&amp;$B1233,I$1201:I$1267)</f>
        <v>0</v>
      </c>
      <c r="BW1307" s="1906">
        <f t="shared" ref="BW1307:BW1338" si="1769">SUMIF(W$1201:W$1267,"jul"&amp;$B1233,J$1201:J$1267)</f>
        <v>0</v>
      </c>
      <c r="BX1307" s="1906">
        <f t="shared" ref="BX1307:BX1338" si="1770">SUMIF(X$1201:X$1267,"jul"&amp;$B1233,K$1201:K$1267)</f>
        <v>0</v>
      </c>
      <c r="BY1307" s="1906">
        <f t="shared" ref="BY1307:BY1338" si="1771">SUMIF(Y$1201:Y$1267,"jul"&amp;$B1233,L$1201:L$1267)</f>
        <v>0</v>
      </c>
      <c r="BZ1307" s="1906">
        <f t="shared" ref="BZ1307:BZ1338" si="1772">SUMIF(Z$1201:Z$1267,"jul"&amp;$B1233,M$1201:M$1267)</f>
        <v>0</v>
      </c>
      <c r="CA1307" s="1906">
        <f t="shared" ref="CA1307:CA1338" si="1773">SUMIF(AA$1201:AA$1267,"jul"&amp;$B1233,N$1201:N$1267)</f>
        <v>0</v>
      </c>
      <c r="CB1307" s="1971" t="str">
        <f t="shared" ref="CB1307:CB1338" si="1774">DB1233</f>
        <v>InterS. Rg</v>
      </c>
      <c r="CC1307" s="1906">
        <f t="shared" ref="CC1307:CC1341" si="1775">BP1307+BC1307+AP1307+AC1307+P1307+C1307</f>
        <v>0</v>
      </c>
      <c r="CD1307" s="1906">
        <f t="shared" ref="CD1307:CD1341" si="1776">BQ1307+BD1307+AQ1307+AD1307+Q1307+D1307</f>
        <v>0</v>
      </c>
      <c r="CE1307" s="1906">
        <f t="shared" ref="CE1307:CE1341" si="1777">BR1307+BE1307+AR1307+AE1307+R1307+E1307</f>
        <v>0</v>
      </c>
      <c r="CF1307" s="1906">
        <f t="shared" ref="CF1307:CF1341" si="1778">BS1307+BF1307+AS1307+AF1307+S1307+F1307</f>
        <v>0</v>
      </c>
      <c r="CG1307" s="1906">
        <f t="shared" ref="CG1307:CG1341" si="1779">BT1307+BG1307+AT1307+AG1307+T1307+G1307</f>
        <v>0</v>
      </c>
      <c r="CH1307" s="1906">
        <f t="shared" ref="CH1307:CH1341" si="1780">BU1307+BH1307+AU1307+AH1307+U1307+H1307</f>
        <v>0</v>
      </c>
      <c r="CI1307" s="1906">
        <f t="shared" ref="CI1307:CI1341" si="1781">BV1307+BI1307+AV1307+AI1307+V1307+I1307</f>
        <v>0</v>
      </c>
      <c r="CJ1307" s="1906">
        <f t="shared" si="1695"/>
        <v>0</v>
      </c>
      <c r="CK1307" s="1906">
        <f t="shared" si="1696"/>
        <v>0</v>
      </c>
      <c r="CL1307" s="1906">
        <f t="shared" si="1697"/>
        <v>0</v>
      </c>
      <c r="CM1307" s="1906">
        <f t="shared" si="1698"/>
        <v>0</v>
      </c>
      <c r="CN1307" s="1906">
        <f t="shared" si="1699"/>
        <v>0</v>
      </c>
      <c r="CO1307" s="595" t="str">
        <f t="shared" si="1700"/>
        <v>InterS. Rg</v>
      </c>
      <c r="CP1307" s="1443">
        <f t="shared" si="1701"/>
        <v>0</v>
      </c>
      <c r="EF1307" s="5"/>
    </row>
    <row r="1308" spans="1:136" x14ac:dyDescent="0.2">
      <c r="A1308" s="6"/>
      <c r="B1308" s="1971">
        <f t="shared" si="1702"/>
        <v>0</v>
      </c>
      <c r="C1308" s="1906">
        <f t="shared" si="1703"/>
        <v>0</v>
      </c>
      <c r="D1308" s="1906">
        <f t="shared" si="1704"/>
        <v>0</v>
      </c>
      <c r="E1308" s="1906">
        <f t="shared" si="1705"/>
        <v>0</v>
      </c>
      <c r="F1308" s="1906">
        <f t="shared" si="1706"/>
        <v>0</v>
      </c>
      <c r="G1308" s="1906">
        <f t="shared" si="1707"/>
        <v>0</v>
      </c>
      <c r="H1308" s="1906">
        <f t="shared" si="1708"/>
        <v>0</v>
      </c>
      <c r="I1308" s="1906">
        <f t="shared" si="1709"/>
        <v>0</v>
      </c>
      <c r="J1308" s="1906">
        <f t="shared" si="1710"/>
        <v>0</v>
      </c>
      <c r="K1308" s="1906">
        <f t="shared" si="1711"/>
        <v>0</v>
      </c>
      <c r="L1308" s="1906">
        <f t="shared" si="1712"/>
        <v>0</v>
      </c>
      <c r="M1308" s="1906">
        <f t="shared" si="1713"/>
        <v>0</v>
      </c>
      <c r="N1308" s="1906">
        <f t="shared" si="1714"/>
        <v>0</v>
      </c>
      <c r="O1308" s="107"/>
      <c r="P1308" s="1906"/>
      <c r="Q1308" s="1906">
        <f t="shared" si="1715"/>
        <v>0</v>
      </c>
      <c r="R1308" s="1906">
        <f t="shared" si="1716"/>
        <v>0</v>
      </c>
      <c r="S1308" s="1906">
        <f t="shared" si="1717"/>
        <v>0</v>
      </c>
      <c r="T1308" s="1906">
        <f t="shared" si="1718"/>
        <v>0</v>
      </c>
      <c r="U1308" s="1906">
        <f t="shared" si="1719"/>
        <v>0</v>
      </c>
      <c r="V1308" s="1906">
        <f t="shared" si="1720"/>
        <v>0</v>
      </c>
      <c r="W1308" s="1906">
        <f t="shared" si="1721"/>
        <v>0</v>
      </c>
      <c r="X1308" s="1906">
        <f t="shared" si="1722"/>
        <v>0</v>
      </c>
      <c r="Y1308" s="1906">
        <f t="shared" si="1723"/>
        <v>0</v>
      </c>
      <c r="Z1308" s="1906">
        <f t="shared" si="1724"/>
        <v>0</v>
      </c>
      <c r="AA1308" s="1906">
        <f t="shared" si="1725"/>
        <v>0</v>
      </c>
      <c r="AB1308" s="107"/>
      <c r="AC1308" s="1906">
        <f t="shared" si="1726"/>
        <v>0</v>
      </c>
      <c r="AD1308" s="1906">
        <f t="shared" si="1727"/>
        <v>0</v>
      </c>
      <c r="AE1308" s="1906">
        <f t="shared" si="1728"/>
        <v>0</v>
      </c>
      <c r="AF1308" s="1906">
        <f t="shared" si="1729"/>
        <v>0</v>
      </c>
      <c r="AG1308" s="1906">
        <f t="shared" si="1730"/>
        <v>0</v>
      </c>
      <c r="AH1308" s="1906">
        <f t="shared" si="1731"/>
        <v>0</v>
      </c>
      <c r="AI1308" s="1906">
        <f t="shared" si="1732"/>
        <v>0</v>
      </c>
      <c r="AJ1308" s="1906">
        <f t="shared" si="1733"/>
        <v>0</v>
      </c>
      <c r="AK1308" s="1906">
        <f t="shared" si="1734"/>
        <v>0</v>
      </c>
      <c r="AL1308" s="1906">
        <f t="shared" si="1735"/>
        <v>0</v>
      </c>
      <c r="AM1308" s="1906">
        <f t="shared" si="1736"/>
        <v>0</v>
      </c>
      <c r="AN1308" s="1906">
        <f t="shared" si="1737"/>
        <v>0</v>
      </c>
      <c r="AO1308" s="107"/>
      <c r="AP1308" s="1906">
        <f t="shared" si="1738"/>
        <v>0</v>
      </c>
      <c r="AQ1308" s="1906">
        <f t="shared" si="1739"/>
        <v>0</v>
      </c>
      <c r="AR1308" s="1906">
        <f t="shared" si="1740"/>
        <v>0</v>
      </c>
      <c r="AS1308" s="1906">
        <f t="shared" si="1741"/>
        <v>0</v>
      </c>
      <c r="AT1308" s="1906">
        <f t="shared" si="1742"/>
        <v>0</v>
      </c>
      <c r="AU1308" s="1906">
        <f t="shared" si="1743"/>
        <v>0</v>
      </c>
      <c r="AV1308" s="1906">
        <f t="shared" si="1744"/>
        <v>0</v>
      </c>
      <c r="AW1308" s="1906">
        <f t="shared" si="1745"/>
        <v>0</v>
      </c>
      <c r="AX1308" s="1906">
        <f t="shared" si="1746"/>
        <v>0</v>
      </c>
      <c r="AY1308" s="1906">
        <f t="shared" si="1747"/>
        <v>0</v>
      </c>
      <c r="AZ1308" s="1906">
        <f t="shared" si="1748"/>
        <v>0</v>
      </c>
      <c r="BA1308" s="1906">
        <f t="shared" si="1749"/>
        <v>0</v>
      </c>
      <c r="BB1308" s="107"/>
      <c r="BC1308" s="1906">
        <f t="shared" si="1750"/>
        <v>0</v>
      </c>
      <c r="BD1308" s="1906">
        <f t="shared" si="1751"/>
        <v>0</v>
      </c>
      <c r="BE1308" s="1906">
        <f t="shared" si="1752"/>
        <v>0</v>
      </c>
      <c r="BF1308" s="1906">
        <f t="shared" si="1753"/>
        <v>0</v>
      </c>
      <c r="BG1308" s="1906">
        <f t="shared" si="1754"/>
        <v>0</v>
      </c>
      <c r="BH1308" s="1906">
        <f t="shared" si="1755"/>
        <v>0</v>
      </c>
      <c r="BI1308" s="1906">
        <f t="shared" si="1756"/>
        <v>0</v>
      </c>
      <c r="BJ1308" s="1906">
        <f t="shared" si="1757"/>
        <v>0</v>
      </c>
      <c r="BK1308" s="1906">
        <f t="shared" si="1758"/>
        <v>0</v>
      </c>
      <c r="BL1308" s="1906">
        <f t="shared" si="1759"/>
        <v>0</v>
      </c>
      <c r="BM1308" s="1906">
        <f t="shared" si="1760"/>
        <v>0</v>
      </c>
      <c r="BN1308" s="1906">
        <f t="shared" si="1761"/>
        <v>0</v>
      </c>
      <c r="BO1308" s="107"/>
      <c r="BP1308" s="1906">
        <f t="shared" si="1762"/>
        <v>0</v>
      </c>
      <c r="BQ1308" s="1906">
        <f t="shared" si="1763"/>
        <v>0</v>
      </c>
      <c r="BR1308" s="1906">
        <f t="shared" si="1764"/>
        <v>0</v>
      </c>
      <c r="BS1308" s="1906">
        <f t="shared" si="1765"/>
        <v>0</v>
      </c>
      <c r="BT1308" s="1906">
        <f t="shared" si="1766"/>
        <v>0</v>
      </c>
      <c r="BU1308" s="1906">
        <f t="shared" si="1767"/>
        <v>0</v>
      </c>
      <c r="BV1308" s="1906">
        <f t="shared" si="1768"/>
        <v>0</v>
      </c>
      <c r="BW1308" s="1906">
        <f t="shared" si="1769"/>
        <v>0</v>
      </c>
      <c r="BX1308" s="1906">
        <f t="shared" si="1770"/>
        <v>0</v>
      </c>
      <c r="BY1308" s="1906">
        <f t="shared" si="1771"/>
        <v>0</v>
      </c>
      <c r="BZ1308" s="1906">
        <f t="shared" si="1772"/>
        <v>0</v>
      </c>
      <c r="CA1308" s="1906">
        <f t="shared" si="1773"/>
        <v>0</v>
      </c>
      <c r="CB1308" s="1971">
        <f t="shared" si="1774"/>
        <v>0</v>
      </c>
      <c r="CC1308" s="1906">
        <f t="shared" si="1775"/>
        <v>0</v>
      </c>
      <c r="CD1308" s="1906">
        <f t="shared" si="1776"/>
        <v>0</v>
      </c>
      <c r="CE1308" s="1906">
        <f t="shared" si="1777"/>
        <v>0</v>
      </c>
      <c r="CF1308" s="1906">
        <f t="shared" si="1778"/>
        <v>0</v>
      </c>
      <c r="CG1308" s="1906">
        <f t="shared" si="1779"/>
        <v>0</v>
      </c>
      <c r="CH1308" s="1906">
        <f t="shared" si="1780"/>
        <v>0</v>
      </c>
      <c r="CI1308" s="1906">
        <f t="shared" si="1781"/>
        <v>0</v>
      </c>
      <c r="CJ1308" s="1906">
        <f t="shared" si="1695"/>
        <v>0</v>
      </c>
      <c r="CK1308" s="1906">
        <f t="shared" si="1696"/>
        <v>0</v>
      </c>
      <c r="CL1308" s="1906">
        <f t="shared" si="1697"/>
        <v>0</v>
      </c>
      <c r="CM1308" s="1906">
        <f t="shared" si="1698"/>
        <v>0</v>
      </c>
      <c r="CN1308" s="1906">
        <f t="shared" si="1699"/>
        <v>0</v>
      </c>
      <c r="CO1308" s="595">
        <f t="shared" si="1700"/>
        <v>0</v>
      </c>
      <c r="CP1308" s="1443">
        <f t="shared" si="1701"/>
        <v>0</v>
      </c>
      <c r="EF1308" s="5"/>
    </row>
    <row r="1309" spans="1:136" x14ac:dyDescent="0.2">
      <c r="A1309" s="6"/>
      <c r="B1309" s="1971">
        <f t="shared" si="1702"/>
        <v>0</v>
      </c>
      <c r="C1309" s="1906">
        <f t="shared" si="1703"/>
        <v>0</v>
      </c>
      <c r="D1309" s="1906">
        <f t="shared" si="1704"/>
        <v>0</v>
      </c>
      <c r="E1309" s="1906">
        <f t="shared" si="1705"/>
        <v>0</v>
      </c>
      <c r="F1309" s="1906">
        <f t="shared" si="1706"/>
        <v>0</v>
      </c>
      <c r="G1309" s="1906">
        <f t="shared" si="1707"/>
        <v>0</v>
      </c>
      <c r="H1309" s="1906">
        <f t="shared" si="1708"/>
        <v>0</v>
      </c>
      <c r="I1309" s="1906">
        <f t="shared" si="1709"/>
        <v>0</v>
      </c>
      <c r="J1309" s="1906">
        <f t="shared" si="1710"/>
        <v>0</v>
      </c>
      <c r="K1309" s="1906">
        <f t="shared" si="1711"/>
        <v>0</v>
      </c>
      <c r="L1309" s="1906">
        <f t="shared" si="1712"/>
        <v>0</v>
      </c>
      <c r="M1309" s="1906">
        <f t="shared" si="1713"/>
        <v>0</v>
      </c>
      <c r="N1309" s="1906">
        <f t="shared" si="1714"/>
        <v>0</v>
      </c>
      <c r="O1309" s="107"/>
      <c r="P1309" s="1906"/>
      <c r="Q1309" s="1906">
        <f t="shared" si="1715"/>
        <v>0</v>
      </c>
      <c r="R1309" s="1906">
        <f t="shared" si="1716"/>
        <v>0</v>
      </c>
      <c r="S1309" s="1906">
        <f t="shared" si="1717"/>
        <v>0</v>
      </c>
      <c r="T1309" s="1906">
        <f t="shared" si="1718"/>
        <v>0</v>
      </c>
      <c r="U1309" s="1906">
        <f t="shared" si="1719"/>
        <v>0</v>
      </c>
      <c r="V1309" s="1906">
        <f t="shared" si="1720"/>
        <v>0</v>
      </c>
      <c r="W1309" s="1906">
        <f t="shared" si="1721"/>
        <v>0</v>
      </c>
      <c r="X1309" s="1906">
        <f t="shared" si="1722"/>
        <v>0</v>
      </c>
      <c r="Y1309" s="1906">
        <f t="shared" si="1723"/>
        <v>0</v>
      </c>
      <c r="Z1309" s="1906">
        <f t="shared" si="1724"/>
        <v>0</v>
      </c>
      <c r="AA1309" s="1906">
        <f t="shared" si="1725"/>
        <v>0</v>
      </c>
      <c r="AB1309" s="107"/>
      <c r="AC1309" s="1906">
        <f t="shared" si="1726"/>
        <v>0</v>
      </c>
      <c r="AD1309" s="1906">
        <f t="shared" si="1727"/>
        <v>0</v>
      </c>
      <c r="AE1309" s="1906">
        <f t="shared" si="1728"/>
        <v>0</v>
      </c>
      <c r="AF1309" s="1906">
        <f t="shared" si="1729"/>
        <v>0</v>
      </c>
      <c r="AG1309" s="1906">
        <f t="shared" si="1730"/>
        <v>0</v>
      </c>
      <c r="AH1309" s="1906">
        <f t="shared" si="1731"/>
        <v>0</v>
      </c>
      <c r="AI1309" s="1906">
        <f t="shared" si="1732"/>
        <v>0</v>
      </c>
      <c r="AJ1309" s="1906">
        <f t="shared" si="1733"/>
        <v>0</v>
      </c>
      <c r="AK1309" s="1906">
        <f t="shared" si="1734"/>
        <v>0</v>
      </c>
      <c r="AL1309" s="1906">
        <f t="shared" si="1735"/>
        <v>0</v>
      </c>
      <c r="AM1309" s="1906">
        <f t="shared" si="1736"/>
        <v>0</v>
      </c>
      <c r="AN1309" s="1906">
        <f t="shared" si="1737"/>
        <v>0</v>
      </c>
      <c r="AO1309" s="107"/>
      <c r="AP1309" s="1906">
        <f t="shared" si="1738"/>
        <v>0</v>
      </c>
      <c r="AQ1309" s="1906">
        <f t="shared" si="1739"/>
        <v>0</v>
      </c>
      <c r="AR1309" s="1906">
        <f t="shared" si="1740"/>
        <v>0</v>
      </c>
      <c r="AS1309" s="1906">
        <f t="shared" si="1741"/>
        <v>0</v>
      </c>
      <c r="AT1309" s="1906">
        <f t="shared" si="1742"/>
        <v>0</v>
      </c>
      <c r="AU1309" s="1906">
        <f t="shared" si="1743"/>
        <v>0</v>
      </c>
      <c r="AV1309" s="1906">
        <f t="shared" si="1744"/>
        <v>0</v>
      </c>
      <c r="AW1309" s="1906">
        <f t="shared" si="1745"/>
        <v>0</v>
      </c>
      <c r="AX1309" s="1906">
        <f t="shared" si="1746"/>
        <v>0</v>
      </c>
      <c r="AY1309" s="1906">
        <f t="shared" si="1747"/>
        <v>0</v>
      </c>
      <c r="AZ1309" s="1906">
        <f t="shared" si="1748"/>
        <v>0</v>
      </c>
      <c r="BA1309" s="1906">
        <f t="shared" si="1749"/>
        <v>0</v>
      </c>
      <c r="BB1309" s="107"/>
      <c r="BC1309" s="1906">
        <f t="shared" si="1750"/>
        <v>0</v>
      </c>
      <c r="BD1309" s="1906">
        <f t="shared" si="1751"/>
        <v>0</v>
      </c>
      <c r="BE1309" s="1906">
        <f t="shared" si="1752"/>
        <v>0</v>
      </c>
      <c r="BF1309" s="1906">
        <f t="shared" si="1753"/>
        <v>0</v>
      </c>
      <c r="BG1309" s="1906">
        <f t="shared" si="1754"/>
        <v>0</v>
      </c>
      <c r="BH1309" s="1906">
        <f t="shared" si="1755"/>
        <v>0</v>
      </c>
      <c r="BI1309" s="1906">
        <f t="shared" si="1756"/>
        <v>0</v>
      </c>
      <c r="BJ1309" s="1906">
        <f t="shared" si="1757"/>
        <v>0</v>
      </c>
      <c r="BK1309" s="1906">
        <f t="shared" si="1758"/>
        <v>0</v>
      </c>
      <c r="BL1309" s="1906">
        <f t="shared" si="1759"/>
        <v>0</v>
      </c>
      <c r="BM1309" s="1906">
        <f t="shared" si="1760"/>
        <v>0</v>
      </c>
      <c r="BN1309" s="1906">
        <f t="shared" si="1761"/>
        <v>0</v>
      </c>
      <c r="BO1309" s="107"/>
      <c r="BP1309" s="1906">
        <f t="shared" si="1762"/>
        <v>0</v>
      </c>
      <c r="BQ1309" s="1906">
        <f t="shared" si="1763"/>
        <v>0</v>
      </c>
      <c r="BR1309" s="1906">
        <f t="shared" si="1764"/>
        <v>0</v>
      </c>
      <c r="BS1309" s="1906">
        <f t="shared" si="1765"/>
        <v>0</v>
      </c>
      <c r="BT1309" s="1906">
        <f t="shared" si="1766"/>
        <v>0</v>
      </c>
      <c r="BU1309" s="1906">
        <f t="shared" si="1767"/>
        <v>0</v>
      </c>
      <c r="BV1309" s="1906">
        <f t="shared" si="1768"/>
        <v>0</v>
      </c>
      <c r="BW1309" s="1906">
        <f t="shared" si="1769"/>
        <v>0</v>
      </c>
      <c r="BX1309" s="1906">
        <f t="shared" si="1770"/>
        <v>0</v>
      </c>
      <c r="BY1309" s="1906">
        <f t="shared" si="1771"/>
        <v>0</v>
      </c>
      <c r="BZ1309" s="1906">
        <f t="shared" si="1772"/>
        <v>0</v>
      </c>
      <c r="CA1309" s="1906">
        <f t="shared" si="1773"/>
        <v>0</v>
      </c>
      <c r="CB1309" s="1971">
        <f t="shared" si="1774"/>
        <v>0</v>
      </c>
      <c r="CC1309" s="1906">
        <f t="shared" si="1775"/>
        <v>0</v>
      </c>
      <c r="CD1309" s="1906">
        <f t="shared" si="1776"/>
        <v>0</v>
      </c>
      <c r="CE1309" s="1906">
        <f t="shared" si="1777"/>
        <v>0</v>
      </c>
      <c r="CF1309" s="1906">
        <f t="shared" si="1778"/>
        <v>0</v>
      </c>
      <c r="CG1309" s="1906">
        <f t="shared" si="1779"/>
        <v>0</v>
      </c>
      <c r="CH1309" s="1906">
        <f t="shared" si="1780"/>
        <v>0</v>
      </c>
      <c r="CI1309" s="1906">
        <f t="shared" si="1781"/>
        <v>0</v>
      </c>
      <c r="CJ1309" s="1906">
        <f t="shared" si="1695"/>
        <v>0</v>
      </c>
      <c r="CK1309" s="1906">
        <f t="shared" si="1696"/>
        <v>0</v>
      </c>
      <c r="CL1309" s="1906">
        <f t="shared" si="1697"/>
        <v>0</v>
      </c>
      <c r="CM1309" s="1906">
        <f t="shared" si="1698"/>
        <v>0</v>
      </c>
      <c r="CN1309" s="1906">
        <f t="shared" si="1699"/>
        <v>0</v>
      </c>
      <c r="CO1309" s="595">
        <f t="shared" si="1700"/>
        <v>0</v>
      </c>
      <c r="CP1309" s="1443">
        <f t="shared" si="1701"/>
        <v>0</v>
      </c>
      <c r="EF1309" s="5"/>
    </row>
    <row r="1310" spans="1:136" x14ac:dyDescent="0.2">
      <c r="A1310" s="6"/>
      <c r="B1310" s="1971" t="str">
        <f t="shared" si="1702"/>
        <v xml:space="preserve">Subtotal Verdeos de Invierno </v>
      </c>
      <c r="C1310" s="1906">
        <f t="shared" si="1703"/>
        <v>0</v>
      </c>
      <c r="D1310" s="1906">
        <f t="shared" si="1704"/>
        <v>0</v>
      </c>
      <c r="E1310" s="1906">
        <f t="shared" si="1705"/>
        <v>0</v>
      </c>
      <c r="F1310" s="1906">
        <f t="shared" si="1706"/>
        <v>0</v>
      </c>
      <c r="G1310" s="1906">
        <f t="shared" si="1707"/>
        <v>0</v>
      </c>
      <c r="H1310" s="1906">
        <f t="shared" si="1708"/>
        <v>0</v>
      </c>
      <c r="I1310" s="1906">
        <f t="shared" si="1709"/>
        <v>0</v>
      </c>
      <c r="J1310" s="1906">
        <f t="shared" si="1710"/>
        <v>0</v>
      </c>
      <c r="K1310" s="1906">
        <f t="shared" si="1711"/>
        <v>0</v>
      </c>
      <c r="L1310" s="1906">
        <f t="shared" si="1712"/>
        <v>0</v>
      </c>
      <c r="M1310" s="1906">
        <f t="shared" si="1713"/>
        <v>0</v>
      </c>
      <c r="N1310" s="1906">
        <f t="shared" si="1714"/>
        <v>0</v>
      </c>
      <c r="O1310" s="107"/>
      <c r="P1310" s="1906"/>
      <c r="Q1310" s="1906">
        <f t="shared" si="1715"/>
        <v>0</v>
      </c>
      <c r="R1310" s="1906">
        <f t="shared" si="1716"/>
        <v>0</v>
      </c>
      <c r="S1310" s="1906">
        <f t="shared" si="1717"/>
        <v>0</v>
      </c>
      <c r="T1310" s="1906">
        <f t="shared" si="1718"/>
        <v>0</v>
      </c>
      <c r="U1310" s="1906">
        <f t="shared" si="1719"/>
        <v>0</v>
      </c>
      <c r="V1310" s="1906">
        <f t="shared" si="1720"/>
        <v>0</v>
      </c>
      <c r="W1310" s="1906">
        <f t="shared" si="1721"/>
        <v>0</v>
      </c>
      <c r="X1310" s="1906">
        <f t="shared" si="1722"/>
        <v>0</v>
      </c>
      <c r="Y1310" s="1906">
        <f t="shared" si="1723"/>
        <v>0</v>
      </c>
      <c r="Z1310" s="1906">
        <f t="shared" si="1724"/>
        <v>0</v>
      </c>
      <c r="AA1310" s="1906">
        <f t="shared" si="1725"/>
        <v>0</v>
      </c>
      <c r="AB1310" s="107"/>
      <c r="AC1310" s="1906">
        <f t="shared" si="1726"/>
        <v>0</v>
      </c>
      <c r="AD1310" s="1906">
        <f t="shared" si="1727"/>
        <v>0</v>
      </c>
      <c r="AE1310" s="1906">
        <f t="shared" si="1728"/>
        <v>0</v>
      </c>
      <c r="AF1310" s="1906">
        <f t="shared" si="1729"/>
        <v>0</v>
      </c>
      <c r="AG1310" s="1906">
        <f t="shared" si="1730"/>
        <v>0</v>
      </c>
      <c r="AH1310" s="1906">
        <f t="shared" si="1731"/>
        <v>0</v>
      </c>
      <c r="AI1310" s="1906">
        <f t="shared" si="1732"/>
        <v>0</v>
      </c>
      <c r="AJ1310" s="1906">
        <f t="shared" si="1733"/>
        <v>0</v>
      </c>
      <c r="AK1310" s="1906">
        <f t="shared" si="1734"/>
        <v>0</v>
      </c>
      <c r="AL1310" s="1906">
        <f t="shared" si="1735"/>
        <v>0</v>
      </c>
      <c r="AM1310" s="1906">
        <f t="shared" si="1736"/>
        <v>0</v>
      </c>
      <c r="AN1310" s="1906">
        <f t="shared" si="1737"/>
        <v>0</v>
      </c>
      <c r="AO1310" s="107"/>
      <c r="AP1310" s="1906">
        <f t="shared" si="1738"/>
        <v>0</v>
      </c>
      <c r="AQ1310" s="1906">
        <f t="shared" si="1739"/>
        <v>0</v>
      </c>
      <c r="AR1310" s="1906">
        <f t="shared" si="1740"/>
        <v>0</v>
      </c>
      <c r="AS1310" s="1906">
        <f t="shared" si="1741"/>
        <v>0</v>
      </c>
      <c r="AT1310" s="1906">
        <f t="shared" si="1742"/>
        <v>0</v>
      </c>
      <c r="AU1310" s="1906">
        <f t="shared" si="1743"/>
        <v>0</v>
      </c>
      <c r="AV1310" s="1906">
        <f t="shared" si="1744"/>
        <v>0</v>
      </c>
      <c r="AW1310" s="1906">
        <f t="shared" si="1745"/>
        <v>0</v>
      </c>
      <c r="AX1310" s="1906">
        <f t="shared" si="1746"/>
        <v>0</v>
      </c>
      <c r="AY1310" s="1906">
        <f t="shared" si="1747"/>
        <v>0</v>
      </c>
      <c r="AZ1310" s="1906">
        <f t="shared" si="1748"/>
        <v>0</v>
      </c>
      <c r="BA1310" s="1906">
        <f t="shared" si="1749"/>
        <v>0</v>
      </c>
      <c r="BB1310" s="107"/>
      <c r="BC1310" s="1906">
        <f t="shared" si="1750"/>
        <v>0</v>
      </c>
      <c r="BD1310" s="1906">
        <f t="shared" si="1751"/>
        <v>0</v>
      </c>
      <c r="BE1310" s="1906">
        <f t="shared" si="1752"/>
        <v>0</v>
      </c>
      <c r="BF1310" s="1906">
        <f t="shared" si="1753"/>
        <v>0</v>
      </c>
      <c r="BG1310" s="1906">
        <f t="shared" si="1754"/>
        <v>0</v>
      </c>
      <c r="BH1310" s="1906">
        <f t="shared" si="1755"/>
        <v>0</v>
      </c>
      <c r="BI1310" s="1906">
        <f t="shared" si="1756"/>
        <v>0</v>
      </c>
      <c r="BJ1310" s="1906">
        <f t="shared" si="1757"/>
        <v>0</v>
      </c>
      <c r="BK1310" s="1906">
        <f t="shared" si="1758"/>
        <v>0</v>
      </c>
      <c r="BL1310" s="1906">
        <f t="shared" si="1759"/>
        <v>0</v>
      </c>
      <c r="BM1310" s="1906">
        <f t="shared" si="1760"/>
        <v>0</v>
      </c>
      <c r="BN1310" s="1906">
        <f t="shared" si="1761"/>
        <v>0</v>
      </c>
      <c r="BO1310" s="107"/>
      <c r="BP1310" s="1906">
        <f t="shared" si="1762"/>
        <v>0</v>
      </c>
      <c r="BQ1310" s="1906">
        <f t="shared" si="1763"/>
        <v>0</v>
      </c>
      <c r="BR1310" s="1906">
        <f t="shared" si="1764"/>
        <v>0</v>
      </c>
      <c r="BS1310" s="1906">
        <f t="shared" si="1765"/>
        <v>0</v>
      </c>
      <c r="BT1310" s="1906">
        <f t="shared" si="1766"/>
        <v>0</v>
      </c>
      <c r="BU1310" s="1906">
        <f t="shared" si="1767"/>
        <v>0</v>
      </c>
      <c r="BV1310" s="1906">
        <f t="shared" si="1768"/>
        <v>0</v>
      </c>
      <c r="BW1310" s="1906">
        <f t="shared" si="1769"/>
        <v>0</v>
      </c>
      <c r="BX1310" s="1906">
        <f t="shared" si="1770"/>
        <v>0</v>
      </c>
      <c r="BY1310" s="1906">
        <f t="shared" si="1771"/>
        <v>0</v>
      </c>
      <c r="BZ1310" s="1906">
        <f t="shared" si="1772"/>
        <v>0</v>
      </c>
      <c r="CA1310" s="1906">
        <f t="shared" si="1773"/>
        <v>0</v>
      </c>
      <c r="CB1310" s="1971" t="str">
        <f t="shared" si="1774"/>
        <v xml:space="preserve">Subtotal Verdeos de Invierno </v>
      </c>
      <c r="CC1310" s="1906">
        <f t="shared" si="1775"/>
        <v>0</v>
      </c>
      <c r="CD1310" s="1906">
        <f t="shared" si="1776"/>
        <v>0</v>
      </c>
      <c r="CE1310" s="1906">
        <f t="shared" si="1777"/>
        <v>0</v>
      </c>
      <c r="CF1310" s="1906">
        <f t="shared" si="1778"/>
        <v>0</v>
      </c>
      <c r="CG1310" s="1906">
        <f t="shared" si="1779"/>
        <v>0</v>
      </c>
      <c r="CH1310" s="1906">
        <f t="shared" si="1780"/>
        <v>0</v>
      </c>
      <c r="CI1310" s="1906">
        <f t="shared" si="1781"/>
        <v>0</v>
      </c>
      <c r="CJ1310" s="1906">
        <f t="shared" si="1695"/>
        <v>0</v>
      </c>
      <c r="CK1310" s="1906">
        <f t="shared" si="1696"/>
        <v>0</v>
      </c>
      <c r="CL1310" s="1906">
        <f t="shared" si="1697"/>
        <v>0</v>
      </c>
      <c r="CM1310" s="1906">
        <f t="shared" si="1698"/>
        <v>0</v>
      </c>
      <c r="CN1310" s="1906">
        <f t="shared" si="1699"/>
        <v>0</v>
      </c>
      <c r="CO1310" s="595" t="str">
        <f t="shared" si="1700"/>
        <v xml:space="preserve">Subtotal Verdeos de Invierno </v>
      </c>
      <c r="CP1310" s="1443">
        <f t="shared" si="1701"/>
        <v>0</v>
      </c>
      <c r="EF1310" s="5"/>
    </row>
    <row r="1311" spans="1:136" x14ac:dyDescent="0.2">
      <c r="A1311" s="6"/>
      <c r="B1311" s="1971" t="str">
        <f t="shared" si="1702"/>
        <v>Sorgo Forrajero</v>
      </c>
      <c r="C1311" s="1906">
        <f t="shared" si="1703"/>
        <v>0</v>
      </c>
      <c r="D1311" s="1906">
        <f t="shared" si="1704"/>
        <v>0</v>
      </c>
      <c r="E1311" s="1906">
        <f t="shared" si="1705"/>
        <v>0</v>
      </c>
      <c r="F1311" s="1906">
        <f t="shared" si="1706"/>
        <v>0</v>
      </c>
      <c r="G1311" s="1906">
        <f t="shared" si="1707"/>
        <v>0</v>
      </c>
      <c r="H1311" s="1906">
        <f t="shared" si="1708"/>
        <v>0</v>
      </c>
      <c r="I1311" s="1906">
        <f t="shared" si="1709"/>
        <v>0</v>
      </c>
      <c r="J1311" s="1906">
        <f t="shared" si="1710"/>
        <v>0</v>
      </c>
      <c r="K1311" s="1906">
        <f t="shared" si="1711"/>
        <v>0</v>
      </c>
      <c r="L1311" s="1906">
        <f t="shared" si="1712"/>
        <v>0</v>
      </c>
      <c r="M1311" s="1906">
        <f t="shared" si="1713"/>
        <v>0</v>
      </c>
      <c r="N1311" s="1906">
        <f t="shared" si="1714"/>
        <v>0</v>
      </c>
      <c r="O1311" s="107"/>
      <c r="P1311" s="1906"/>
      <c r="Q1311" s="1906">
        <f t="shared" si="1715"/>
        <v>0</v>
      </c>
      <c r="R1311" s="1906">
        <f t="shared" si="1716"/>
        <v>0</v>
      </c>
      <c r="S1311" s="1906">
        <f t="shared" si="1717"/>
        <v>0</v>
      </c>
      <c r="T1311" s="1906">
        <f t="shared" si="1718"/>
        <v>0</v>
      </c>
      <c r="U1311" s="1906">
        <f t="shared" si="1719"/>
        <v>0</v>
      </c>
      <c r="V1311" s="1906">
        <f t="shared" si="1720"/>
        <v>0</v>
      </c>
      <c r="W1311" s="1906">
        <f t="shared" si="1721"/>
        <v>0</v>
      </c>
      <c r="X1311" s="1906">
        <f t="shared" si="1722"/>
        <v>0</v>
      </c>
      <c r="Y1311" s="1906">
        <f t="shared" si="1723"/>
        <v>0</v>
      </c>
      <c r="Z1311" s="1906">
        <f t="shared" si="1724"/>
        <v>0</v>
      </c>
      <c r="AA1311" s="1906">
        <f t="shared" si="1725"/>
        <v>0</v>
      </c>
      <c r="AB1311" s="107"/>
      <c r="AC1311" s="1906">
        <f t="shared" si="1726"/>
        <v>0</v>
      </c>
      <c r="AD1311" s="1906">
        <f t="shared" si="1727"/>
        <v>0</v>
      </c>
      <c r="AE1311" s="1906">
        <f t="shared" si="1728"/>
        <v>0</v>
      </c>
      <c r="AF1311" s="1906">
        <f t="shared" si="1729"/>
        <v>0</v>
      </c>
      <c r="AG1311" s="1906">
        <f t="shared" si="1730"/>
        <v>0</v>
      </c>
      <c r="AH1311" s="1906">
        <f t="shared" si="1731"/>
        <v>0</v>
      </c>
      <c r="AI1311" s="1906">
        <f t="shared" si="1732"/>
        <v>0</v>
      </c>
      <c r="AJ1311" s="1906">
        <f t="shared" si="1733"/>
        <v>0</v>
      </c>
      <c r="AK1311" s="1906">
        <f t="shared" si="1734"/>
        <v>0</v>
      </c>
      <c r="AL1311" s="1906">
        <f t="shared" si="1735"/>
        <v>0</v>
      </c>
      <c r="AM1311" s="1906">
        <f t="shared" si="1736"/>
        <v>0</v>
      </c>
      <c r="AN1311" s="1906">
        <f t="shared" si="1737"/>
        <v>0</v>
      </c>
      <c r="AO1311" s="107"/>
      <c r="AP1311" s="1906">
        <f t="shared" si="1738"/>
        <v>0</v>
      </c>
      <c r="AQ1311" s="1906">
        <f t="shared" si="1739"/>
        <v>0</v>
      </c>
      <c r="AR1311" s="1906">
        <f t="shared" si="1740"/>
        <v>0</v>
      </c>
      <c r="AS1311" s="1906">
        <f t="shared" si="1741"/>
        <v>0</v>
      </c>
      <c r="AT1311" s="1906">
        <f t="shared" si="1742"/>
        <v>0</v>
      </c>
      <c r="AU1311" s="1906">
        <f t="shared" si="1743"/>
        <v>0</v>
      </c>
      <c r="AV1311" s="1906">
        <f t="shared" si="1744"/>
        <v>0</v>
      </c>
      <c r="AW1311" s="1906">
        <f t="shared" si="1745"/>
        <v>0</v>
      </c>
      <c r="AX1311" s="1906">
        <f t="shared" si="1746"/>
        <v>0</v>
      </c>
      <c r="AY1311" s="1906">
        <f t="shared" si="1747"/>
        <v>0</v>
      </c>
      <c r="AZ1311" s="1906">
        <f t="shared" si="1748"/>
        <v>0</v>
      </c>
      <c r="BA1311" s="1906">
        <f t="shared" si="1749"/>
        <v>0</v>
      </c>
      <c r="BB1311" s="107"/>
      <c r="BC1311" s="1906">
        <f t="shared" si="1750"/>
        <v>0</v>
      </c>
      <c r="BD1311" s="1906">
        <f t="shared" si="1751"/>
        <v>0</v>
      </c>
      <c r="BE1311" s="1906">
        <f t="shared" si="1752"/>
        <v>0</v>
      </c>
      <c r="BF1311" s="1906">
        <f t="shared" si="1753"/>
        <v>0</v>
      </c>
      <c r="BG1311" s="1906">
        <f t="shared" si="1754"/>
        <v>0</v>
      </c>
      <c r="BH1311" s="1906">
        <f t="shared" si="1755"/>
        <v>0</v>
      </c>
      <c r="BI1311" s="1906">
        <f t="shared" si="1756"/>
        <v>0</v>
      </c>
      <c r="BJ1311" s="1906">
        <f t="shared" si="1757"/>
        <v>0</v>
      </c>
      <c r="BK1311" s="1906">
        <f t="shared" si="1758"/>
        <v>0</v>
      </c>
      <c r="BL1311" s="1906">
        <f t="shared" si="1759"/>
        <v>0</v>
      </c>
      <c r="BM1311" s="1906">
        <f t="shared" si="1760"/>
        <v>0</v>
      </c>
      <c r="BN1311" s="1906">
        <f t="shared" si="1761"/>
        <v>0</v>
      </c>
      <c r="BO1311" s="107"/>
      <c r="BP1311" s="1906">
        <f t="shared" si="1762"/>
        <v>0</v>
      </c>
      <c r="BQ1311" s="1906">
        <f t="shared" si="1763"/>
        <v>0</v>
      </c>
      <c r="BR1311" s="1906">
        <f t="shared" si="1764"/>
        <v>0</v>
      </c>
      <c r="BS1311" s="1906">
        <f t="shared" si="1765"/>
        <v>0</v>
      </c>
      <c r="BT1311" s="1906">
        <f t="shared" si="1766"/>
        <v>0</v>
      </c>
      <c r="BU1311" s="1906">
        <f t="shared" si="1767"/>
        <v>0</v>
      </c>
      <c r="BV1311" s="1906">
        <f t="shared" si="1768"/>
        <v>0</v>
      </c>
      <c r="BW1311" s="1906">
        <f t="shared" si="1769"/>
        <v>0</v>
      </c>
      <c r="BX1311" s="1906">
        <f t="shared" si="1770"/>
        <v>0</v>
      </c>
      <c r="BY1311" s="1906">
        <f t="shared" si="1771"/>
        <v>0</v>
      </c>
      <c r="BZ1311" s="1906">
        <f t="shared" si="1772"/>
        <v>0</v>
      </c>
      <c r="CA1311" s="1906">
        <f t="shared" si="1773"/>
        <v>0</v>
      </c>
      <c r="CB1311" s="1971" t="str">
        <f t="shared" si="1774"/>
        <v>Sorgo Forrajero</v>
      </c>
      <c r="CC1311" s="1906">
        <f t="shared" si="1775"/>
        <v>0</v>
      </c>
      <c r="CD1311" s="1906">
        <f t="shared" si="1776"/>
        <v>0</v>
      </c>
      <c r="CE1311" s="1906">
        <f t="shared" si="1777"/>
        <v>0</v>
      </c>
      <c r="CF1311" s="1906">
        <f t="shared" si="1778"/>
        <v>0</v>
      </c>
      <c r="CG1311" s="1906">
        <f t="shared" si="1779"/>
        <v>0</v>
      </c>
      <c r="CH1311" s="1906">
        <f t="shared" si="1780"/>
        <v>0</v>
      </c>
      <c r="CI1311" s="1906">
        <f t="shared" si="1781"/>
        <v>0</v>
      </c>
      <c r="CJ1311" s="1906">
        <f t="shared" si="1695"/>
        <v>0</v>
      </c>
      <c r="CK1311" s="1906">
        <f t="shared" si="1696"/>
        <v>0</v>
      </c>
      <c r="CL1311" s="1906">
        <f t="shared" si="1697"/>
        <v>0</v>
      </c>
      <c r="CM1311" s="1906">
        <f t="shared" si="1698"/>
        <v>0</v>
      </c>
      <c r="CN1311" s="1906">
        <f t="shared" si="1699"/>
        <v>0</v>
      </c>
      <c r="CO1311" s="595" t="str">
        <f t="shared" si="1700"/>
        <v>Sorgo Forrajero</v>
      </c>
      <c r="CP1311" s="1443">
        <f t="shared" si="1701"/>
        <v>0</v>
      </c>
      <c r="EF1311" s="5"/>
    </row>
    <row r="1312" spans="1:136" x14ac:dyDescent="0.2">
      <c r="A1312" s="6"/>
      <c r="B1312" s="1971" t="str">
        <f t="shared" si="1702"/>
        <v xml:space="preserve">Sudan </v>
      </c>
      <c r="C1312" s="1906">
        <f t="shared" si="1703"/>
        <v>0</v>
      </c>
      <c r="D1312" s="1906">
        <f t="shared" si="1704"/>
        <v>0</v>
      </c>
      <c r="E1312" s="1906">
        <f t="shared" si="1705"/>
        <v>0</v>
      </c>
      <c r="F1312" s="1906">
        <f t="shared" si="1706"/>
        <v>0</v>
      </c>
      <c r="G1312" s="1906">
        <f t="shared" si="1707"/>
        <v>0</v>
      </c>
      <c r="H1312" s="1906">
        <f t="shared" si="1708"/>
        <v>0</v>
      </c>
      <c r="I1312" s="1906">
        <f t="shared" si="1709"/>
        <v>0</v>
      </c>
      <c r="J1312" s="1906">
        <f t="shared" si="1710"/>
        <v>0</v>
      </c>
      <c r="K1312" s="1906">
        <f t="shared" si="1711"/>
        <v>0</v>
      </c>
      <c r="L1312" s="1906">
        <f t="shared" si="1712"/>
        <v>0</v>
      </c>
      <c r="M1312" s="1906">
        <f t="shared" si="1713"/>
        <v>0</v>
      </c>
      <c r="N1312" s="1906">
        <f t="shared" si="1714"/>
        <v>0</v>
      </c>
      <c r="O1312" s="107"/>
      <c r="P1312" s="1906"/>
      <c r="Q1312" s="1906">
        <f t="shared" si="1715"/>
        <v>0</v>
      </c>
      <c r="R1312" s="1906">
        <f t="shared" si="1716"/>
        <v>0</v>
      </c>
      <c r="S1312" s="1906">
        <f t="shared" si="1717"/>
        <v>0</v>
      </c>
      <c r="T1312" s="1906">
        <f t="shared" si="1718"/>
        <v>0</v>
      </c>
      <c r="U1312" s="1906">
        <f t="shared" si="1719"/>
        <v>0</v>
      </c>
      <c r="V1312" s="1906">
        <f t="shared" si="1720"/>
        <v>0</v>
      </c>
      <c r="W1312" s="1906">
        <f t="shared" si="1721"/>
        <v>0</v>
      </c>
      <c r="X1312" s="1906">
        <f t="shared" si="1722"/>
        <v>0</v>
      </c>
      <c r="Y1312" s="1906">
        <f t="shared" si="1723"/>
        <v>0</v>
      </c>
      <c r="Z1312" s="1906">
        <f t="shared" si="1724"/>
        <v>0</v>
      </c>
      <c r="AA1312" s="1906">
        <f t="shared" si="1725"/>
        <v>0</v>
      </c>
      <c r="AB1312" s="107"/>
      <c r="AC1312" s="1906">
        <f t="shared" si="1726"/>
        <v>0</v>
      </c>
      <c r="AD1312" s="1906">
        <f t="shared" si="1727"/>
        <v>0</v>
      </c>
      <c r="AE1312" s="1906">
        <f t="shared" si="1728"/>
        <v>0</v>
      </c>
      <c r="AF1312" s="1906">
        <f t="shared" si="1729"/>
        <v>0</v>
      </c>
      <c r="AG1312" s="1906">
        <f t="shared" si="1730"/>
        <v>0</v>
      </c>
      <c r="AH1312" s="1906">
        <f t="shared" si="1731"/>
        <v>0</v>
      </c>
      <c r="AI1312" s="1906">
        <f t="shared" si="1732"/>
        <v>0</v>
      </c>
      <c r="AJ1312" s="1906">
        <f t="shared" si="1733"/>
        <v>0</v>
      </c>
      <c r="AK1312" s="1906">
        <f t="shared" si="1734"/>
        <v>0</v>
      </c>
      <c r="AL1312" s="1906">
        <f t="shared" si="1735"/>
        <v>0</v>
      </c>
      <c r="AM1312" s="1906">
        <f t="shared" si="1736"/>
        <v>0</v>
      </c>
      <c r="AN1312" s="1906">
        <f t="shared" si="1737"/>
        <v>0</v>
      </c>
      <c r="AO1312" s="107"/>
      <c r="AP1312" s="1906">
        <f t="shared" si="1738"/>
        <v>0</v>
      </c>
      <c r="AQ1312" s="1906">
        <f t="shared" si="1739"/>
        <v>0</v>
      </c>
      <c r="AR1312" s="1906">
        <f t="shared" si="1740"/>
        <v>0</v>
      </c>
      <c r="AS1312" s="1906">
        <f t="shared" si="1741"/>
        <v>0</v>
      </c>
      <c r="AT1312" s="1906">
        <f t="shared" si="1742"/>
        <v>0</v>
      </c>
      <c r="AU1312" s="1906">
        <f t="shared" si="1743"/>
        <v>0</v>
      </c>
      <c r="AV1312" s="1906">
        <f t="shared" si="1744"/>
        <v>0</v>
      </c>
      <c r="AW1312" s="1906">
        <f t="shared" si="1745"/>
        <v>0</v>
      </c>
      <c r="AX1312" s="1906">
        <f t="shared" si="1746"/>
        <v>0</v>
      </c>
      <c r="AY1312" s="1906">
        <f t="shared" si="1747"/>
        <v>0</v>
      </c>
      <c r="AZ1312" s="1906">
        <f t="shared" si="1748"/>
        <v>0</v>
      </c>
      <c r="BA1312" s="1906">
        <f t="shared" si="1749"/>
        <v>0</v>
      </c>
      <c r="BB1312" s="107"/>
      <c r="BC1312" s="1906">
        <f t="shared" si="1750"/>
        <v>0</v>
      </c>
      <c r="BD1312" s="1906">
        <f t="shared" si="1751"/>
        <v>0</v>
      </c>
      <c r="BE1312" s="1906">
        <f t="shared" si="1752"/>
        <v>0</v>
      </c>
      <c r="BF1312" s="1906">
        <f t="shared" si="1753"/>
        <v>0</v>
      </c>
      <c r="BG1312" s="1906">
        <f t="shared" si="1754"/>
        <v>0</v>
      </c>
      <c r="BH1312" s="1906">
        <f t="shared" si="1755"/>
        <v>0</v>
      </c>
      <c r="BI1312" s="1906">
        <f t="shared" si="1756"/>
        <v>0</v>
      </c>
      <c r="BJ1312" s="1906">
        <f t="shared" si="1757"/>
        <v>0</v>
      </c>
      <c r="BK1312" s="1906">
        <f t="shared" si="1758"/>
        <v>0</v>
      </c>
      <c r="BL1312" s="1906">
        <f t="shared" si="1759"/>
        <v>0</v>
      </c>
      <c r="BM1312" s="1906">
        <f t="shared" si="1760"/>
        <v>0</v>
      </c>
      <c r="BN1312" s="1906">
        <f t="shared" si="1761"/>
        <v>0</v>
      </c>
      <c r="BO1312" s="107"/>
      <c r="BP1312" s="1906">
        <f t="shared" si="1762"/>
        <v>0</v>
      </c>
      <c r="BQ1312" s="1906">
        <f t="shared" si="1763"/>
        <v>0</v>
      </c>
      <c r="BR1312" s="1906">
        <f t="shared" si="1764"/>
        <v>0</v>
      </c>
      <c r="BS1312" s="1906">
        <f t="shared" si="1765"/>
        <v>0</v>
      </c>
      <c r="BT1312" s="1906">
        <f t="shared" si="1766"/>
        <v>0</v>
      </c>
      <c r="BU1312" s="1906">
        <f t="shared" si="1767"/>
        <v>0</v>
      </c>
      <c r="BV1312" s="1906">
        <f t="shared" si="1768"/>
        <v>0</v>
      </c>
      <c r="BW1312" s="1906">
        <f t="shared" si="1769"/>
        <v>0</v>
      </c>
      <c r="BX1312" s="1906">
        <f t="shared" si="1770"/>
        <v>0</v>
      </c>
      <c r="BY1312" s="1906">
        <f t="shared" si="1771"/>
        <v>0</v>
      </c>
      <c r="BZ1312" s="1906">
        <f t="shared" si="1772"/>
        <v>0</v>
      </c>
      <c r="CA1312" s="1906">
        <f t="shared" si="1773"/>
        <v>0</v>
      </c>
      <c r="CB1312" s="1971" t="str">
        <f t="shared" si="1774"/>
        <v xml:space="preserve">Sudan </v>
      </c>
      <c r="CC1312" s="1906">
        <f t="shared" si="1775"/>
        <v>0</v>
      </c>
      <c r="CD1312" s="1906">
        <f t="shared" si="1776"/>
        <v>0</v>
      </c>
      <c r="CE1312" s="1906">
        <f t="shared" si="1777"/>
        <v>0</v>
      </c>
      <c r="CF1312" s="1906">
        <f t="shared" si="1778"/>
        <v>0</v>
      </c>
      <c r="CG1312" s="1906">
        <f t="shared" si="1779"/>
        <v>0</v>
      </c>
      <c r="CH1312" s="1906">
        <f t="shared" si="1780"/>
        <v>0</v>
      </c>
      <c r="CI1312" s="1906">
        <f t="shared" si="1781"/>
        <v>0</v>
      </c>
      <c r="CJ1312" s="1906">
        <f t="shared" si="1695"/>
        <v>0</v>
      </c>
      <c r="CK1312" s="1906">
        <f t="shared" si="1696"/>
        <v>0</v>
      </c>
      <c r="CL1312" s="1906">
        <f t="shared" si="1697"/>
        <v>0</v>
      </c>
      <c r="CM1312" s="1906">
        <f t="shared" si="1698"/>
        <v>0</v>
      </c>
      <c r="CN1312" s="1906">
        <f t="shared" si="1699"/>
        <v>0</v>
      </c>
      <c r="CO1312" s="595" t="str">
        <f t="shared" si="1700"/>
        <v xml:space="preserve">Sudan </v>
      </c>
      <c r="CP1312" s="1443">
        <f t="shared" si="1701"/>
        <v>0</v>
      </c>
      <c r="EF1312" s="5"/>
    </row>
    <row r="1313" spans="1:136" x14ac:dyDescent="0.2">
      <c r="A1313" s="6"/>
      <c r="B1313" s="1971">
        <f t="shared" si="1702"/>
        <v>0</v>
      </c>
      <c r="C1313" s="1906">
        <f t="shared" si="1703"/>
        <v>0</v>
      </c>
      <c r="D1313" s="1906">
        <f t="shared" si="1704"/>
        <v>0</v>
      </c>
      <c r="E1313" s="1906">
        <f t="shared" si="1705"/>
        <v>0</v>
      </c>
      <c r="F1313" s="1906">
        <f t="shared" si="1706"/>
        <v>0</v>
      </c>
      <c r="G1313" s="1906">
        <f t="shared" si="1707"/>
        <v>0</v>
      </c>
      <c r="H1313" s="1906">
        <f t="shared" si="1708"/>
        <v>0</v>
      </c>
      <c r="I1313" s="1906">
        <f t="shared" si="1709"/>
        <v>0</v>
      </c>
      <c r="J1313" s="1906">
        <f t="shared" si="1710"/>
        <v>0</v>
      </c>
      <c r="K1313" s="1906">
        <f t="shared" si="1711"/>
        <v>0</v>
      </c>
      <c r="L1313" s="1906">
        <f t="shared" si="1712"/>
        <v>0</v>
      </c>
      <c r="M1313" s="1906">
        <f t="shared" si="1713"/>
        <v>0</v>
      </c>
      <c r="N1313" s="1906">
        <f t="shared" si="1714"/>
        <v>0</v>
      </c>
      <c r="O1313" s="107"/>
      <c r="P1313" s="1906"/>
      <c r="Q1313" s="1906">
        <f t="shared" si="1715"/>
        <v>0</v>
      </c>
      <c r="R1313" s="1906">
        <f t="shared" si="1716"/>
        <v>0</v>
      </c>
      <c r="S1313" s="1906">
        <f t="shared" si="1717"/>
        <v>0</v>
      </c>
      <c r="T1313" s="1906">
        <f t="shared" si="1718"/>
        <v>0</v>
      </c>
      <c r="U1313" s="1906">
        <f t="shared" si="1719"/>
        <v>0</v>
      </c>
      <c r="V1313" s="1906">
        <f t="shared" si="1720"/>
        <v>0</v>
      </c>
      <c r="W1313" s="1906">
        <f t="shared" si="1721"/>
        <v>0</v>
      </c>
      <c r="X1313" s="1906">
        <f t="shared" si="1722"/>
        <v>0</v>
      </c>
      <c r="Y1313" s="1906">
        <f t="shared" si="1723"/>
        <v>0</v>
      </c>
      <c r="Z1313" s="1906">
        <f t="shared" si="1724"/>
        <v>0</v>
      </c>
      <c r="AA1313" s="1906">
        <f t="shared" si="1725"/>
        <v>0</v>
      </c>
      <c r="AB1313" s="107"/>
      <c r="AC1313" s="1906">
        <f t="shared" si="1726"/>
        <v>0</v>
      </c>
      <c r="AD1313" s="1906">
        <f t="shared" si="1727"/>
        <v>0</v>
      </c>
      <c r="AE1313" s="1906">
        <f t="shared" si="1728"/>
        <v>0</v>
      </c>
      <c r="AF1313" s="1906">
        <f t="shared" si="1729"/>
        <v>0</v>
      </c>
      <c r="AG1313" s="1906">
        <f t="shared" si="1730"/>
        <v>0</v>
      </c>
      <c r="AH1313" s="1906">
        <f t="shared" si="1731"/>
        <v>0</v>
      </c>
      <c r="AI1313" s="1906">
        <f t="shared" si="1732"/>
        <v>0</v>
      </c>
      <c r="AJ1313" s="1906">
        <f t="shared" si="1733"/>
        <v>0</v>
      </c>
      <c r="AK1313" s="1906">
        <f t="shared" si="1734"/>
        <v>0</v>
      </c>
      <c r="AL1313" s="1906">
        <f t="shared" si="1735"/>
        <v>0</v>
      </c>
      <c r="AM1313" s="1906">
        <f t="shared" si="1736"/>
        <v>0</v>
      </c>
      <c r="AN1313" s="1906">
        <f t="shared" si="1737"/>
        <v>0</v>
      </c>
      <c r="AO1313" s="107"/>
      <c r="AP1313" s="1906">
        <f t="shared" si="1738"/>
        <v>0</v>
      </c>
      <c r="AQ1313" s="1906">
        <f t="shared" si="1739"/>
        <v>0</v>
      </c>
      <c r="AR1313" s="1906">
        <f t="shared" si="1740"/>
        <v>0</v>
      </c>
      <c r="AS1313" s="1906">
        <f t="shared" si="1741"/>
        <v>0</v>
      </c>
      <c r="AT1313" s="1906">
        <f t="shared" si="1742"/>
        <v>0</v>
      </c>
      <c r="AU1313" s="1906">
        <f t="shared" si="1743"/>
        <v>0</v>
      </c>
      <c r="AV1313" s="1906">
        <f t="shared" si="1744"/>
        <v>0</v>
      </c>
      <c r="AW1313" s="1906">
        <f t="shared" si="1745"/>
        <v>0</v>
      </c>
      <c r="AX1313" s="1906">
        <f t="shared" si="1746"/>
        <v>0</v>
      </c>
      <c r="AY1313" s="1906">
        <f t="shared" si="1747"/>
        <v>0</v>
      </c>
      <c r="AZ1313" s="1906">
        <f t="shared" si="1748"/>
        <v>0</v>
      </c>
      <c r="BA1313" s="1906">
        <f t="shared" si="1749"/>
        <v>0</v>
      </c>
      <c r="BB1313" s="107"/>
      <c r="BC1313" s="1906">
        <f t="shared" si="1750"/>
        <v>0</v>
      </c>
      <c r="BD1313" s="1906">
        <f t="shared" si="1751"/>
        <v>0</v>
      </c>
      <c r="BE1313" s="1906">
        <f t="shared" si="1752"/>
        <v>0</v>
      </c>
      <c r="BF1313" s="1906">
        <f t="shared" si="1753"/>
        <v>0</v>
      </c>
      <c r="BG1313" s="1906">
        <f t="shared" si="1754"/>
        <v>0</v>
      </c>
      <c r="BH1313" s="1906">
        <f t="shared" si="1755"/>
        <v>0</v>
      </c>
      <c r="BI1313" s="1906">
        <f t="shared" si="1756"/>
        <v>0</v>
      </c>
      <c r="BJ1313" s="1906">
        <f t="shared" si="1757"/>
        <v>0</v>
      </c>
      <c r="BK1313" s="1906">
        <f t="shared" si="1758"/>
        <v>0</v>
      </c>
      <c r="BL1313" s="1906">
        <f t="shared" si="1759"/>
        <v>0</v>
      </c>
      <c r="BM1313" s="1906">
        <f t="shared" si="1760"/>
        <v>0</v>
      </c>
      <c r="BN1313" s="1906">
        <f t="shared" si="1761"/>
        <v>0</v>
      </c>
      <c r="BO1313" s="107"/>
      <c r="BP1313" s="1906">
        <f t="shared" si="1762"/>
        <v>0</v>
      </c>
      <c r="BQ1313" s="1906">
        <f t="shared" si="1763"/>
        <v>0</v>
      </c>
      <c r="BR1313" s="1906">
        <f t="shared" si="1764"/>
        <v>0</v>
      </c>
      <c r="BS1313" s="1906">
        <f t="shared" si="1765"/>
        <v>0</v>
      </c>
      <c r="BT1313" s="1906">
        <f t="shared" si="1766"/>
        <v>0</v>
      </c>
      <c r="BU1313" s="1906">
        <f t="shared" si="1767"/>
        <v>0</v>
      </c>
      <c r="BV1313" s="1906">
        <f t="shared" si="1768"/>
        <v>0</v>
      </c>
      <c r="BW1313" s="1906">
        <f t="shared" si="1769"/>
        <v>0</v>
      </c>
      <c r="BX1313" s="1906">
        <f t="shared" si="1770"/>
        <v>0</v>
      </c>
      <c r="BY1313" s="1906">
        <f t="shared" si="1771"/>
        <v>0</v>
      </c>
      <c r="BZ1313" s="1906">
        <f t="shared" si="1772"/>
        <v>0</v>
      </c>
      <c r="CA1313" s="1906">
        <f t="shared" si="1773"/>
        <v>0</v>
      </c>
      <c r="CB1313" s="1971">
        <f t="shared" si="1774"/>
        <v>0</v>
      </c>
      <c r="CC1313" s="1906">
        <f t="shared" si="1775"/>
        <v>0</v>
      </c>
      <c r="CD1313" s="1906">
        <f t="shared" si="1776"/>
        <v>0</v>
      </c>
      <c r="CE1313" s="1906">
        <f t="shared" si="1777"/>
        <v>0</v>
      </c>
      <c r="CF1313" s="1906">
        <f t="shared" si="1778"/>
        <v>0</v>
      </c>
      <c r="CG1313" s="1906">
        <f t="shared" si="1779"/>
        <v>0</v>
      </c>
      <c r="CH1313" s="1906">
        <f t="shared" si="1780"/>
        <v>0</v>
      </c>
      <c r="CI1313" s="1906">
        <f t="shared" si="1781"/>
        <v>0</v>
      </c>
      <c r="CJ1313" s="1906">
        <f t="shared" si="1695"/>
        <v>0</v>
      </c>
      <c r="CK1313" s="1906">
        <f t="shared" si="1696"/>
        <v>0</v>
      </c>
      <c r="CL1313" s="1906">
        <f t="shared" si="1697"/>
        <v>0</v>
      </c>
      <c r="CM1313" s="1906">
        <f t="shared" si="1698"/>
        <v>0</v>
      </c>
      <c r="CN1313" s="1906">
        <f t="shared" si="1699"/>
        <v>0</v>
      </c>
      <c r="CO1313" s="595">
        <f t="shared" si="1700"/>
        <v>0</v>
      </c>
      <c r="CP1313" s="1443">
        <f t="shared" si="1701"/>
        <v>0</v>
      </c>
      <c r="EF1313" s="5"/>
    </row>
    <row r="1314" spans="1:136" x14ac:dyDescent="0.2">
      <c r="A1314" s="6"/>
      <c r="B1314" s="1971">
        <f t="shared" si="1702"/>
        <v>0</v>
      </c>
      <c r="C1314" s="1906">
        <f t="shared" si="1703"/>
        <v>0</v>
      </c>
      <c r="D1314" s="1906">
        <f t="shared" si="1704"/>
        <v>0</v>
      </c>
      <c r="E1314" s="1906">
        <f t="shared" si="1705"/>
        <v>0</v>
      </c>
      <c r="F1314" s="1906">
        <f t="shared" si="1706"/>
        <v>0</v>
      </c>
      <c r="G1314" s="1906">
        <f t="shared" si="1707"/>
        <v>0</v>
      </c>
      <c r="H1314" s="1906">
        <f t="shared" si="1708"/>
        <v>0</v>
      </c>
      <c r="I1314" s="1906">
        <f t="shared" si="1709"/>
        <v>0</v>
      </c>
      <c r="J1314" s="1906">
        <f t="shared" si="1710"/>
        <v>0</v>
      </c>
      <c r="K1314" s="1906">
        <f t="shared" si="1711"/>
        <v>0</v>
      </c>
      <c r="L1314" s="1906">
        <f t="shared" si="1712"/>
        <v>0</v>
      </c>
      <c r="M1314" s="1906">
        <f t="shared" si="1713"/>
        <v>0</v>
      </c>
      <c r="N1314" s="1906">
        <f t="shared" si="1714"/>
        <v>0</v>
      </c>
      <c r="O1314" s="107"/>
      <c r="P1314" s="1906"/>
      <c r="Q1314" s="1906">
        <f t="shared" si="1715"/>
        <v>0</v>
      </c>
      <c r="R1314" s="1906">
        <f t="shared" si="1716"/>
        <v>0</v>
      </c>
      <c r="S1314" s="1906">
        <f t="shared" si="1717"/>
        <v>0</v>
      </c>
      <c r="T1314" s="1906">
        <f t="shared" si="1718"/>
        <v>0</v>
      </c>
      <c r="U1314" s="1906">
        <f t="shared" si="1719"/>
        <v>0</v>
      </c>
      <c r="V1314" s="1906">
        <f t="shared" si="1720"/>
        <v>0</v>
      </c>
      <c r="W1314" s="1906">
        <f t="shared" si="1721"/>
        <v>0</v>
      </c>
      <c r="X1314" s="1906">
        <f t="shared" si="1722"/>
        <v>0</v>
      </c>
      <c r="Y1314" s="1906">
        <f t="shared" si="1723"/>
        <v>0</v>
      </c>
      <c r="Z1314" s="1906">
        <f t="shared" si="1724"/>
        <v>0</v>
      </c>
      <c r="AA1314" s="1906">
        <f t="shared" si="1725"/>
        <v>0</v>
      </c>
      <c r="AB1314" s="107"/>
      <c r="AC1314" s="1906">
        <f t="shared" si="1726"/>
        <v>0</v>
      </c>
      <c r="AD1314" s="1906">
        <f t="shared" si="1727"/>
        <v>0</v>
      </c>
      <c r="AE1314" s="1906">
        <f t="shared" si="1728"/>
        <v>0</v>
      </c>
      <c r="AF1314" s="1906">
        <f t="shared" si="1729"/>
        <v>0</v>
      </c>
      <c r="AG1314" s="1906">
        <f t="shared" si="1730"/>
        <v>0</v>
      </c>
      <c r="AH1314" s="1906">
        <f t="shared" si="1731"/>
        <v>0</v>
      </c>
      <c r="AI1314" s="1906">
        <f t="shared" si="1732"/>
        <v>0</v>
      </c>
      <c r="AJ1314" s="1906">
        <f t="shared" si="1733"/>
        <v>0</v>
      </c>
      <c r="AK1314" s="1906">
        <f t="shared" si="1734"/>
        <v>0</v>
      </c>
      <c r="AL1314" s="1906">
        <f t="shared" si="1735"/>
        <v>0</v>
      </c>
      <c r="AM1314" s="1906">
        <f t="shared" si="1736"/>
        <v>0</v>
      </c>
      <c r="AN1314" s="1906">
        <f t="shared" si="1737"/>
        <v>0</v>
      </c>
      <c r="AO1314" s="107"/>
      <c r="AP1314" s="1906">
        <f t="shared" si="1738"/>
        <v>0</v>
      </c>
      <c r="AQ1314" s="1906">
        <f t="shared" si="1739"/>
        <v>0</v>
      </c>
      <c r="AR1314" s="1906">
        <f t="shared" si="1740"/>
        <v>0</v>
      </c>
      <c r="AS1314" s="1906">
        <f t="shared" si="1741"/>
        <v>0</v>
      </c>
      <c r="AT1314" s="1906">
        <f t="shared" si="1742"/>
        <v>0</v>
      </c>
      <c r="AU1314" s="1906">
        <f t="shared" si="1743"/>
        <v>0</v>
      </c>
      <c r="AV1314" s="1906">
        <f t="shared" si="1744"/>
        <v>0</v>
      </c>
      <c r="AW1314" s="1906">
        <f t="shared" si="1745"/>
        <v>0</v>
      </c>
      <c r="AX1314" s="1906">
        <f t="shared" si="1746"/>
        <v>0</v>
      </c>
      <c r="AY1314" s="1906">
        <f t="shared" si="1747"/>
        <v>0</v>
      </c>
      <c r="AZ1314" s="1906">
        <f t="shared" si="1748"/>
        <v>0</v>
      </c>
      <c r="BA1314" s="1906">
        <f t="shared" si="1749"/>
        <v>0</v>
      </c>
      <c r="BB1314" s="107"/>
      <c r="BC1314" s="1906">
        <f t="shared" si="1750"/>
        <v>0</v>
      </c>
      <c r="BD1314" s="1906">
        <f t="shared" si="1751"/>
        <v>0</v>
      </c>
      <c r="BE1314" s="1906">
        <f t="shared" si="1752"/>
        <v>0</v>
      </c>
      <c r="BF1314" s="1906">
        <f t="shared" si="1753"/>
        <v>0</v>
      </c>
      <c r="BG1314" s="1906">
        <f t="shared" si="1754"/>
        <v>0</v>
      </c>
      <c r="BH1314" s="1906">
        <f t="shared" si="1755"/>
        <v>0</v>
      </c>
      <c r="BI1314" s="1906">
        <f t="shared" si="1756"/>
        <v>0</v>
      </c>
      <c r="BJ1314" s="1906">
        <f t="shared" si="1757"/>
        <v>0</v>
      </c>
      <c r="BK1314" s="1906">
        <f t="shared" si="1758"/>
        <v>0</v>
      </c>
      <c r="BL1314" s="1906">
        <f t="shared" si="1759"/>
        <v>0</v>
      </c>
      <c r="BM1314" s="1906">
        <f t="shared" si="1760"/>
        <v>0</v>
      </c>
      <c r="BN1314" s="1906">
        <f t="shared" si="1761"/>
        <v>0</v>
      </c>
      <c r="BO1314" s="107"/>
      <c r="BP1314" s="1906">
        <f t="shared" si="1762"/>
        <v>0</v>
      </c>
      <c r="BQ1314" s="1906">
        <f t="shared" si="1763"/>
        <v>0</v>
      </c>
      <c r="BR1314" s="1906">
        <f t="shared" si="1764"/>
        <v>0</v>
      </c>
      <c r="BS1314" s="1906">
        <f t="shared" si="1765"/>
        <v>0</v>
      </c>
      <c r="BT1314" s="1906">
        <f t="shared" si="1766"/>
        <v>0</v>
      </c>
      <c r="BU1314" s="1906">
        <f t="shared" si="1767"/>
        <v>0</v>
      </c>
      <c r="BV1314" s="1906">
        <f t="shared" si="1768"/>
        <v>0</v>
      </c>
      <c r="BW1314" s="1906">
        <f t="shared" si="1769"/>
        <v>0</v>
      </c>
      <c r="BX1314" s="1906">
        <f t="shared" si="1770"/>
        <v>0</v>
      </c>
      <c r="BY1314" s="1906">
        <f t="shared" si="1771"/>
        <v>0</v>
      </c>
      <c r="BZ1314" s="1906">
        <f t="shared" si="1772"/>
        <v>0</v>
      </c>
      <c r="CA1314" s="1906">
        <f t="shared" si="1773"/>
        <v>0</v>
      </c>
      <c r="CB1314" s="1971">
        <f t="shared" si="1774"/>
        <v>0</v>
      </c>
      <c r="CC1314" s="1906">
        <f t="shared" si="1775"/>
        <v>0</v>
      </c>
      <c r="CD1314" s="1906">
        <f t="shared" si="1776"/>
        <v>0</v>
      </c>
      <c r="CE1314" s="1906">
        <f t="shared" si="1777"/>
        <v>0</v>
      </c>
      <c r="CF1314" s="1906">
        <f t="shared" si="1778"/>
        <v>0</v>
      </c>
      <c r="CG1314" s="1906">
        <f t="shared" si="1779"/>
        <v>0</v>
      </c>
      <c r="CH1314" s="1906">
        <f t="shared" si="1780"/>
        <v>0</v>
      </c>
      <c r="CI1314" s="1906">
        <f t="shared" si="1781"/>
        <v>0</v>
      </c>
      <c r="CJ1314" s="1906">
        <f t="shared" si="1695"/>
        <v>0</v>
      </c>
      <c r="CK1314" s="1906">
        <f t="shared" si="1696"/>
        <v>0</v>
      </c>
      <c r="CL1314" s="1906">
        <f t="shared" si="1697"/>
        <v>0</v>
      </c>
      <c r="CM1314" s="1906">
        <f t="shared" si="1698"/>
        <v>0</v>
      </c>
      <c r="CN1314" s="1906">
        <f t="shared" si="1699"/>
        <v>0</v>
      </c>
      <c r="CO1314" s="595">
        <f t="shared" si="1700"/>
        <v>0</v>
      </c>
      <c r="CP1314" s="1443">
        <f t="shared" si="1701"/>
        <v>0</v>
      </c>
      <c r="EF1314" s="5"/>
    </row>
    <row r="1315" spans="1:136" x14ac:dyDescent="0.2">
      <c r="A1315" s="6"/>
      <c r="B1315" s="1971">
        <f t="shared" si="1702"/>
        <v>0</v>
      </c>
      <c r="C1315" s="1906">
        <f t="shared" si="1703"/>
        <v>0</v>
      </c>
      <c r="D1315" s="1906">
        <f t="shared" si="1704"/>
        <v>0</v>
      </c>
      <c r="E1315" s="1906">
        <f t="shared" si="1705"/>
        <v>0</v>
      </c>
      <c r="F1315" s="1906">
        <f t="shared" si="1706"/>
        <v>0</v>
      </c>
      <c r="G1315" s="1906">
        <f t="shared" si="1707"/>
        <v>0</v>
      </c>
      <c r="H1315" s="1906">
        <f t="shared" si="1708"/>
        <v>0</v>
      </c>
      <c r="I1315" s="1906">
        <f t="shared" si="1709"/>
        <v>0</v>
      </c>
      <c r="J1315" s="1906">
        <f t="shared" si="1710"/>
        <v>0</v>
      </c>
      <c r="K1315" s="1906">
        <f t="shared" si="1711"/>
        <v>0</v>
      </c>
      <c r="L1315" s="1906">
        <f t="shared" si="1712"/>
        <v>0</v>
      </c>
      <c r="M1315" s="1906">
        <f t="shared" si="1713"/>
        <v>0</v>
      </c>
      <c r="N1315" s="1906">
        <f t="shared" si="1714"/>
        <v>0</v>
      </c>
      <c r="O1315" s="107"/>
      <c r="P1315" s="1906"/>
      <c r="Q1315" s="1906">
        <f t="shared" si="1715"/>
        <v>0</v>
      </c>
      <c r="R1315" s="1906">
        <f t="shared" si="1716"/>
        <v>0</v>
      </c>
      <c r="S1315" s="1906">
        <f t="shared" si="1717"/>
        <v>0</v>
      </c>
      <c r="T1315" s="1906">
        <f t="shared" si="1718"/>
        <v>0</v>
      </c>
      <c r="U1315" s="1906">
        <f t="shared" si="1719"/>
        <v>0</v>
      </c>
      <c r="V1315" s="1906">
        <f t="shared" si="1720"/>
        <v>0</v>
      </c>
      <c r="W1315" s="1906">
        <f t="shared" si="1721"/>
        <v>0</v>
      </c>
      <c r="X1315" s="1906">
        <f t="shared" si="1722"/>
        <v>0</v>
      </c>
      <c r="Y1315" s="1906">
        <f t="shared" si="1723"/>
        <v>0</v>
      </c>
      <c r="Z1315" s="1906">
        <f t="shared" si="1724"/>
        <v>0</v>
      </c>
      <c r="AA1315" s="1906">
        <f t="shared" si="1725"/>
        <v>0</v>
      </c>
      <c r="AB1315" s="107"/>
      <c r="AC1315" s="1906">
        <f t="shared" si="1726"/>
        <v>0</v>
      </c>
      <c r="AD1315" s="1906">
        <f t="shared" si="1727"/>
        <v>0</v>
      </c>
      <c r="AE1315" s="1906">
        <f t="shared" si="1728"/>
        <v>0</v>
      </c>
      <c r="AF1315" s="1906">
        <f t="shared" si="1729"/>
        <v>0</v>
      </c>
      <c r="AG1315" s="1906">
        <f t="shared" si="1730"/>
        <v>0</v>
      </c>
      <c r="AH1315" s="1906">
        <f t="shared" si="1731"/>
        <v>0</v>
      </c>
      <c r="AI1315" s="1906">
        <f t="shared" si="1732"/>
        <v>0</v>
      </c>
      <c r="AJ1315" s="1906">
        <f t="shared" si="1733"/>
        <v>0</v>
      </c>
      <c r="AK1315" s="1906">
        <f t="shared" si="1734"/>
        <v>0</v>
      </c>
      <c r="AL1315" s="1906">
        <f t="shared" si="1735"/>
        <v>0</v>
      </c>
      <c r="AM1315" s="1906">
        <f t="shared" si="1736"/>
        <v>0</v>
      </c>
      <c r="AN1315" s="1906">
        <f t="shared" si="1737"/>
        <v>0</v>
      </c>
      <c r="AO1315" s="107"/>
      <c r="AP1315" s="1906">
        <f t="shared" si="1738"/>
        <v>0</v>
      </c>
      <c r="AQ1315" s="1906">
        <f t="shared" si="1739"/>
        <v>0</v>
      </c>
      <c r="AR1315" s="1906">
        <f t="shared" si="1740"/>
        <v>0</v>
      </c>
      <c r="AS1315" s="1906">
        <f t="shared" si="1741"/>
        <v>0</v>
      </c>
      <c r="AT1315" s="1906">
        <f t="shared" si="1742"/>
        <v>0</v>
      </c>
      <c r="AU1315" s="1906">
        <f t="shared" si="1743"/>
        <v>0</v>
      </c>
      <c r="AV1315" s="1906">
        <f t="shared" si="1744"/>
        <v>0</v>
      </c>
      <c r="AW1315" s="1906">
        <f t="shared" si="1745"/>
        <v>0</v>
      </c>
      <c r="AX1315" s="1906">
        <f t="shared" si="1746"/>
        <v>0</v>
      </c>
      <c r="AY1315" s="1906">
        <f t="shared" si="1747"/>
        <v>0</v>
      </c>
      <c r="AZ1315" s="1906">
        <f t="shared" si="1748"/>
        <v>0</v>
      </c>
      <c r="BA1315" s="1906">
        <f t="shared" si="1749"/>
        <v>0</v>
      </c>
      <c r="BB1315" s="107"/>
      <c r="BC1315" s="1906">
        <f t="shared" si="1750"/>
        <v>0</v>
      </c>
      <c r="BD1315" s="1906">
        <f t="shared" si="1751"/>
        <v>0</v>
      </c>
      <c r="BE1315" s="1906">
        <f t="shared" si="1752"/>
        <v>0</v>
      </c>
      <c r="BF1315" s="1906">
        <f t="shared" si="1753"/>
        <v>0</v>
      </c>
      <c r="BG1315" s="1906">
        <f t="shared" si="1754"/>
        <v>0</v>
      </c>
      <c r="BH1315" s="1906">
        <f t="shared" si="1755"/>
        <v>0</v>
      </c>
      <c r="BI1315" s="1906">
        <f t="shared" si="1756"/>
        <v>0</v>
      </c>
      <c r="BJ1315" s="1906">
        <f t="shared" si="1757"/>
        <v>0</v>
      </c>
      <c r="BK1315" s="1906">
        <f t="shared" si="1758"/>
        <v>0</v>
      </c>
      <c r="BL1315" s="1906">
        <f t="shared" si="1759"/>
        <v>0</v>
      </c>
      <c r="BM1315" s="1906">
        <f t="shared" si="1760"/>
        <v>0</v>
      </c>
      <c r="BN1315" s="1906">
        <f t="shared" si="1761"/>
        <v>0</v>
      </c>
      <c r="BO1315" s="107"/>
      <c r="BP1315" s="1906">
        <f t="shared" si="1762"/>
        <v>0</v>
      </c>
      <c r="BQ1315" s="1906">
        <f t="shared" si="1763"/>
        <v>0</v>
      </c>
      <c r="BR1315" s="1906">
        <f t="shared" si="1764"/>
        <v>0</v>
      </c>
      <c r="BS1315" s="1906">
        <f t="shared" si="1765"/>
        <v>0</v>
      </c>
      <c r="BT1315" s="1906">
        <f t="shared" si="1766"/>
        <v>0</v>
      </c>
      <c r="BU1315" s="1906">
        <f t="shared" si="1767"/>
        <v>0</v>
      </c>
      <c r="BV1315" s="1906">
        <f t="shared" si="1768"/>
        <v>0</v>
      </c>
      <c r="BW1315" s="1906">
        <f t="shared" si="1769"/>
        <v>0</v>
      </c>
      <c r="BX1315" s="1906">
        <f t="shared" si="1770"/>
        <v>0</v>
      </c>
      <c r="BY1315" s="1906">
        <f t="shared" si="1771"/>
        <v>0</v>
      </c>
      <c r="BZ1315" s="1906">
        <f t="shared" si="1772"/>
        <v>0</v>
      </c>
      <c r="CA1315" s="1906">
        <f t="shared" si="1773"/>
        <v>0</v>
      </c>
      <c r="CB1315" s="1971">
        <f t="shared" si="1774"/>
        <v>0</v>
      </c>
      <c r="CC1315" s="1906">
        <f t="shared" si="1775"/>
        <v>0</v>
      </c>
      <c r="CD1315" s="1906">
        <f t="shared" si="1776"/>
        <v>0</v>
      </c>
      <c r="CE1315" s="1906">
        <f t="shared" si="1777"/>
        <v>0</v>
      </c>
      <c r="CF1315" s="1906">
        <f t="shared" si="1778"/>
        <v>0</v>
      </c>
      <c r="CG1315" s="1906">
        <f t="shared" si="1779"/>
        <v>0</v>
      </c>
      <c r="CH1315" s="1906">
        <f t="shared" si="1780"/>
        <v>0</v>
      </c>
      <c r="CI1315" s="1906">
        <f t="shared" si="1781"/>
        <v>0</v>
      </c>
      <c r="CJ1315" s="1906">
        <f t="shared" si="1695"/>
        <v>0</v>
      </c>
      <c r="CK1315" s="1906">
        <f t="shared" si="1696"/>
        <v>0</v>
      </c>
      <c r="CL1315" s="1906">
        <f t="shared" si="1697"/>
        <v>0</v>
      </c>
      <c r="CM1315" s="1906">
        <f t="shared" si="1698"/>
        <v>0</v>
      </c>
      <c r="CN1315" s="1906">
        <f t="shared" si="1699"/>
        <v>0</v>
      </c>
      <c r="CO1315" s="595">
        <f t="shared" si="1700"/>
        <v>0</v>
      </c>
      <c r="CP1315" s="1443">
        <f t="shared" si="1701"/>
        <v>0</v>
      </c>
      <c r="EF1315" s="5"/>
    </row>
    <row r="1316" spans="1:136" x14ac:dyDescent="0.2">
      <c r="A1316" s="6"/>
      <c r="B1316" s="1971" t="str">
        <f t="shared" si="1702"/>
        <v xml:space="preserve">Subtotal Verdeos de Verano </v>
      </c>
      <c r="C1316" s="1906">
        <f t="shared" si="1703"/>
        <v>0</v>
      </c>
      <c r="D1316" s="1906">
        <f t="shared" si="1704"/>
        <v>0</v>
      </c>
      <c r="E1316" s="1906">
        <f t="shared" si="1705"/>
        <v>0</v>
      </c>
      <c r="F1316" s="1906">
        <f t="shared" si="1706"/>
        <v>0</v>
      </c>
      <c r="G1316" s="1906">
        <f t="shared" si="1707"/>
        <v>0</v>
      </c>
      <c r="H1316" s="1906">
        <f t="shared" si="1708"/>
        <v>0</v>
      </c>
      <c r="I1316" s="1906">
        <f t="shared" si="1709"/>
        <v>0</v>
      </c>
      <c r="J1316" s="1906">
        <f t="shared" si="1710"/>
        <v>0</v>
      </c>
      <c r="K1316" s="1906">
        <f t="shared" si="1711"/>
        <v>0</v>
      </c>
      <c r="L1316" s="1906">
        <f t="shared" si="1712"/>
        <v>0</v>
      </c>
      <c r="M1316" s="1906">
        <f t="shared" si="1713"/>
        <v>0</v>
      </c>
      <c r="N1316" s="1906">
        <f t="shared" si="1714"/>
        <v>0</v>
      </c>
      <c r="O1316" s="107"/>
      <c r="P1316" s="1906"/>
      <c r="Q1316" s="1906">
        <f t="shared" si="1715"/>
        <v>0</v>
      </c>
      <c r="R1316" s="1906">
        <f t="shared" si="1716"/>
        <v>0</v>
      </c>
      <c r="S1316" s="1906">
        <f t="shared" si="1717"/>
        <v>0</v>
      </c>
      <c r="T1316" s="1906">
        <f t="shared" si="1718"/>
        <v>0</v>
      </c>
      <c r="U1316" s="1906">
        <f t="shared" si="1719"/>
        <v>0</v>
      </c>
      <c r="V1316" s="1906">
        <f t="shared" si="1720"/>
        <v>0</v>
      </c>
      <c r="W1316" s="1906">
        <f t="shared" si="1721"/>
        <v>0</v>
      </c>
      <c r="X1316" s="1906">
        <f t="shared" si="1722"/>
        <v>0</v>
      </c>
      <c r="Y1316" s="1906">
        <f t="shared" si="1723"/>
        <v>0</v>
      </c>
      <c r="Z1316" s="1906">
        <f t="shared" si="1724"/>
        <v>0</v>
      </c>
      <c r="AA1316" s="1906">
        <f t="shared" si="1725"/>
        <v>0</v>
      </c>
      <c r="AB1316" s="107"/>
      <c r="AC1316" s="1906">
        <f t="shared" si="1726"/>
        <v>0</v>
      </c>
      <c r="AD1316" s="1906">
        <f t="shared" si="1727"/>
        <v>0</v>
      </c>
      <c r="AE1316" s="1906">
        <f t="shared" si="1728"/>
        <v>0</v>
      </c>
      <c r="AF1316" s="1906">
        <f t="shared" si="1729"/>
        <v>0</v>
      </c>
      <c r="AG1316" s="1906">
        <f t="shared" si="1730"/>
        <v>0</v>
      </c>
      <c r="AH1316" s="1906">
        <f t="shared" si="1731"/>
        <v>0</v>
      </c>
      <c r="AI1316" s="1906">
        <f t="shared" si="1732"/>
        <v>0</v>
      </c>
      <c r="AJ1316" s="1906">
        <f t="shared" si="1733"/>
        <v>0</v>
      </c>
      <c r="AK1316" s="1906">
        <f t="shared" si="1734"/>
        <v>0</v>
      </c>
      <c r="AL1316" s="1906">
        <f t="shared" si="1735"/>
        <v>0</v>
      </c>
      <c r="AM1316" s="1906">
        <f t="shared" si="1736"/>
        <v>0</v>
      </c>
      <c r="AN1316" s="1906">
        <f t="shared" si="1737"/>
        <v>0</v>
      </c>
      <c r="AO1316" s="107"/>
      <c r="AP1316" s="1906">
        <f t="shared" si="1738"/>
        <v>0</v>
      </c>
      <c r="AQ1316" s="1906">
        <f t="shared" si="1739"/>
        <v>0</v>
      </c>
      <c r="AR1316" s="1906">
        <f t="shared" si="1740"/>
        <v>0</v>
      </c>
      <c r="AS1316" s="1906">
        <f t="shared" si="1741"/>
        <v>0</v>
      </c>
      <c r="AT1316" s="1906">
        <f t="shared" si="1742"/>
        <v>0</v>
      </c>
      <c r="AU1316" s="1906">
        <f t="shared" si="1743"/>
        <v>0</v>
      </c>
      <c r="AV1316" s="1906">
        <f t="shared" si="1744"/>
        <v>0</v>
      </c>
      <c r="AW1316" s="1906">
        <f t="shared" si="1745"/>
        <v>0</v>
      </c>
      <c r="AX1316" s="1906">
        <f t="shared" si="1746"/>
        <v>0</v>
      </c>
      <c r="AY1316" s="1906">
        <f t="shared" si="1747"/>
        <v>0</v>
      </c>
      <c r="AZ1316" s="1906">
        <f t="shared" si="1748"/>
        <v>0</v>
      </c>
      <c r="BA1316" s="1906">
        <f t="shared" si="1749"/>
        <v>0</v>
      </c>
      <c r="BB1316" s="107"/>
      <c r="BC1316" s="1906">
        <f t="shared" si="1750"/>
        <v>0</v>
      </c>
      <c r="BD1316" s="1906">
        <f t="shared" si="1751"/>
        <v>0</v>
      </c>
      <c r="BE1316" s="1906">
        <f t="shared" si="1752"/>
        <v>0</v>
      </c>
      <c r="BF1316" s="1906">
        <f t="shared" si="1753"/>
        <v>0</v>
      </c>
      <c r="BG1316" s="1906">
        <f t="shared" si="1754"/>
        <v>0</v>
      </c>
      <c r="BH1316" s="1906">
        <f t="shared" si="1755"/>
        <v>0</v>
      </c>
      <c r="BI1316" s="1906">
        <f t="shared" si="1756"/>
        <v>0</v>
      </c>
      <c r="BJ1316" s="1906">
        <f t="shared" si="1757"/>
        <v>0</v>
      </c>
      <c r="BK1316" s="1906">
        <f t="shared" si="1758"/>
        <v>0</v>
      </c>
      <c r="BL1316" s="1906">
        <f t="shared" si="1759"/>
        <v>0</v>
      </c>
      <c r="BM1316" s="1906">
        <f t="shared" si="1760"/>
        <v>0</v>
      </c>
      <c r="BN1316" s="1906">
        <f t="shared" si="1761"/>
        <v>0</v>
      </c>
      <c r="BO1316" s="107"/>
      <c r="BP1316" s="1906">
        <f t="shared" si="1762"/>
        <v>0</v>
      </c>
      <c r="BQ1316" s="1906">
        <f t="shared" si="1763"/>
        <v>0</v>
      </c>
      <c r="BR1316" s="1906">
        <f t="shared" si="1764"/>
        <v>0</v>
      </c>
      <c r="BS1316" s="1906">
        <f t="shared" si="1765"/>
        <v>0</v>
      </c>
      <c r="BT1316" s="1906">
        <f t="shared" si="1766"/>
        <v>0</v>
      </c>
      <c r="BU1316" s="1906">
        <f t="shared" si="1767"/>
        <v>0</v>
      </c>
      <c r="BV1316" s="1906">
        <f t="shared" si="1768"/>
        <v>0</v>
      </c>
      <c r="BW1316" s="1906">
        <f t="shared" si="1769"/>
        <v>0</v>
      </c>
      <c r="BX1316" s="1906">
        <f t="shared" si="1770"/>
        <v>0</v>
      </c>
      <c r="BY1316" s="1906">
        <f t="shared" si="1771"/>
        <v>0</v>
      </c>
      <c r="BZ1316" s="1906">
        <f t="shared" si="1772"/>
        <v>0</v>
      </c>
      <c r="CA1316" s="1906">
        <f t="shared" si="1773"/>
        <v>0</v>
      </c>
      <c r="CB1316" s="1971" t="str">
        <f t="shared" si="1774"/>
        <v xml:space="preserve">Subtotal Verdeos de Verano </v>
      </c>
      <c r="CC1316" s="1906">
        <f t="shared" si="1775"/>
        <v>0</v>
      </c>
      <c r="CD1316" s="1906">
        <f t="shared" si="1776"/>
        <v>0</v>
      </c>
      <c r="CE1316" s="1906">
        <f t="shared" si="1777"/>
        <v>0</v>
      </c>
      <c r="CF1316" s="1906">
        <f t="shared" si="1778"/>
        <v>0</v>
      </c>
      <c r="CG1316" s="1906">
        <f t="shared" si="1779"/>
        <v>0</v>
      </c>
      <c r="CH1316" s="1906">
        <f t="shared" si="1780"/>
        <v>0</v>
      </c>
      <c r="CI1316" s="1906">
        <f t="shared" si="1781"/>
        <v>0</v>
      </c>
      <c r="CJ1316" s="1906">
        <f t="shared" si="1695"/>
        <v>0</v>
      </c>
      <c r="CK1316" s="1906">
        <f t="shared" si="1696"/>
        <v>0</v>
      </c>
      <c r="CL1316" s="1906">
        <f t="shared" si="1697"/>
        <v>0</v>
      </c>
      <c r="CM1316" s="1906">
        <f t="shared" si="1698"/>
        <v>0</v>
      </c>
      <c r="CN1316" s="1906">
        <f t="shared" si="1699"/>
        <v>0</v>
      </c>
      <c r="CO1316" s="595" t="str">
        <f t="shared" si="1700"/>
        <v xml:space="preserve">Subtotal Verdeos de Verano </v>
      </c>
      <c r="CP1316" s="1443">
        <f t="shared" si="1701"/>
        <v>0</v>
      </c>
      <c r="EF1316" s="5"/>
    </row>
    <row r="1317" spans="1:136" x14ac:dyDescent="0.2">
      <c r="A1317" s="6"/>
      <c r="B1317" s="1971" t="str">
        <f t="shared" si="1702"/>
        <v>Maíz Silo</v>
      </c>
      <c r="C1317" s="1906">
        <f t="shared" si="1703"/>
        <v>0</v>
      </c>
      <c r="D1317" s="1906">
        <f t="shared" si="1704"/>
        <v>0</v>
      </c>
      <c r="E1317" s="1906">
        <f t="shared" si="1705"/>
        <v>0</v>
      </c>
      <c r="F1317" s="1906">
        <f t="shared" si="1706"/>
        <v>0</v>
      </c>
      <c r="G1317" s="1906">
        <f t="shared" si="1707"/>
        <v>0</v>
      </c>
      <c r="H1317" s="1906">
        <f t="shared" si="1708"/>
        <v>0</v>
      </c>
      <c r="I1317" s="1906">
        <f t="shared" si="1709"/>
        <v>0</v>
      </c>
      <c r="J1317" s="1906">
        <f t="shared" si="1710"/>
        <v>0</v>
      </c>
      <c r="K1317" s="1906">
        <f t="shared" si="1711"/>
        <v>0</v>
      </c>
      <c r="L1317" s="1906">
        <f t="shared" si="1712"/>
        <v>0</v>
      </c>
      <c r="M1317" s="1906">
        <f t="shared" si="1713"/>
        <v>0</v>
      </c>
      <c r="N1317" s="1906">
        <f t="shared" si="1714"/>
        <v>0</v>
      </c>
      <c r="O1317" s="107"/>
      <c r="P1317" s="1906"/>
      <c r="Q1317" s="1906">
        <f t="shared" si="1715"/>
        <v>0</v>
      </c>
      <c r="R1317" s="1906">
        <f t="shared" si="1716"/>
        <v>0</v>
      </c>
      <c r="S1317" s="1906">
        <f t="shared" si="1717"/>
        <v>0</v>
      </c>
      <c r="T1317" s="1906">
        <f t="shared" si="1718"/>
        <v>0</v>
      </c>
      <c r="U1317" s="1906">
        <f t="shared" si="1719"/>
        <v>0</v>
      </c>
      <c r="V1317" s="1906">
        <f t="shared" si="1720"/>
        <v>0</v>
      </c>
      <c r="W1317" s="1906">
        <f t="shared" si="1721"/>
        <v>0</v>
      </c>
      <c r="X1317" s="1906">
        <f t="shared" si="1722"/>
        <v>0</v>
      </c>
      <c r="Y1317" s="1906">
        <f t="shared" si="1723"/>
        <v>0</v>
      </c>
      <c r="Z1317" s="1906">
        <f t="shared" si="1724"/>
        <v>0</v>
      </c>
      <c r="AA1317" s="1906">
        <f t="shared" si="1725"/>
        <v>0</v>
      </c>
      <c r="AB1317" s="107"/>
      <c r="AC1317" s="1906">
        <f t="shared" si="1726"/>
        <v>0</v>
      </c>
      <c r="AD1317" s="1906">
        <f t="shared" si="1727"/>
        <v>0</v>
      </c>
      <c r="AE1317" s="1906">
        <f t="shared" si="1728"/>
        <v>0</v>
      </c>
      <c r="AF1317" s="1906">
        <f t="shared" si="1729"/>
        <v>0</v>
      </c>
      <c r="AG1317" s="1906">
        <f t="shared" si="1730"/>
        <v>0</v>
      </c>
      <c r="AH1317" s="1906">
        <f t="shared" si="1731"/>
        <v>0</v>
      </c>
      <c r="AI1317" s="1906">
        <f t="shared" si="1732"/>
        <v>0</v>
      </c>
      <c r="AJ1317" s="1906">
        <f t="shared" si="1733"/>
        <v>0</v>
      </c>
      <c r="AK1317" s="1906">
        <f t="shared" si="1734"/>
        <v>0</v>
      </c>
      <c r="AL1317" s="1906">
        <f t="shared" si="1735"/>
        <v>0</v>
      </c>
      <c r="AM1317" s="1906">
        <f t="shared" si="1736"/>
        <v>0</v>
      </c>
      <c r="AN1317" s="1906">
        <f t="shared" si="1737"/>
        <v>0</v>
      </c>
      <c r="AO1317" s="107"/>
      <c r="AP1317" s="1906">
        <f t="shared" si="1738"/>
        <v>0</v>
      </c>
      <c r="AQ1317" s="1906">
        <f t="shared" si="1739"/>
        <v>0</v>
      </c>
      <c r="AR1317" s="1906">
        <f t="shared" si="1740"/>
        <v>0</v>
      </c>
      <c r="AS1317" s="1906">
        <f t="shared" si="1741"/>
        <v>0</v>
      </c>
      <c r="AT1317" s="1906">
        <f t="shared" si="1742"/>
        <v>0</v>
      </c>
      <c r="AU1317" s="1906">
        <f t="shared" si="1743"/>
        <v>0</v>
      </c>
      <c r="AV1317" s="1906">
        <f t="shared" si="1744"/>
        <v>0</v>
      </c>
      <c r="AW1317" s="1906">
        <f t="shared" si="1745"/>
        <v>0</v>
      </c>
      <c r="AX1317" s="1906">
        <f t="shared" si="1746"/>
        <v>0</v>
      </c>
      <c r="AY1317" s="1906">
        <f t="shared" si="1747"/>
        <v>0</v>
      </c>
      <c r="AZ1317" s="1906">
        <f t="shared" si="1748"/>
        <v>0</v>
      </c>
      <c r="BA1317" s="1906">
        <f t="shared" si="1749"/>
        <v>0</v>
      </c>
      <c r="BB1317" s="107"/>
      <c r="BC1317" s="1906">
        <f t="shared" si="1750"/>
        <v>0</v>
      </c>
      <c r="BD1317" s="1906">
        <f t="shared" si="1751"/>
        <v>0</v>
      </c>
      <c r="BE1317" s="1906">
        <f t="shared" si="1752"/>
        <v>0</v>
      </c>
      <c r="BF1317" s="1906">
        <f t="shared" si="1753"/>
        <v>0</v>
      </c>
      <c r="BG1317" s="1906">
        <f t="shared" si="1754"/>
        <v>0</v>
      </c>
      <c r="BH1317" s="1906">
        <f t="shared" si="1755"/>
        <v>0</v>
      </c>
      <c r="BI1317" s="1906">
        <f t="shared" si="1756"/>
        <v>0</v>
      </c>
      <c r="BJ1317" s="1906">
        <f t="shared" si="1757"/>
        <v>0</v>
      </c>
      <c r="BK1317" s="1906">
        <f t="shared" si="1758"/>
        <v>0</v>
      </c>
      <c r="BL1317" s="1906">
        <f t="shared" si="1759"/>
        <v>0</v>
      </c>
      <c r="BM1317" s="1906">
        <f t="shared" si="1760"/>
        <v>0</v>
      </c>
      <c r="BN1317" s="1906">
        <f t="shared" si="1761"/>
        <v>0</v>
      </c>
      <c r="BO1317" s="107"/>
      <c r="BP1317" s="1906">
        <f t="shared" si="1762"/>
        <v>0</v>
      </c>
      <c r="BQ1317" s="1906">
        <f t="shared" si="1763"/>
        <v>0</v>
      </c>
      <c r="BR1317" s="1906">
        <f t="shared" si="1764"/>
        <v>0</v>
      </c>
      <c r="BS1317" s="1906">
        <f t="shared" si="1765"/>
        <v>0</v>
      </c>
      <c r="BT1317" s="1906">
        <f t="shared" si="1766"/>
        <v>0</v>
      </c>
      <c r="BU1317" s="1906">
        <f t="shared" si="1767"/>
        <v>0</v>
      </c>
      <c r="BV1317" s="1906">
        <f t="shared" si="1768"/>
        <v>0</v>
      </c>
      <c r="BW1317" s="1906">
        <f t="shared" si="1769"/>
        <v>0</v>
      </c>
      <c r="BX1317" s="1906">
        <f t="shared" si="1770"/>
        <v>0</v>
      </c>
      <c r="BY1317" s="1906">
        <f t="shared" si="1771"/>
        <v>0</v>
      </c>
      <c r="BZ1317" s="1906">
        <f t="shared" si="1772"/>
        <v>0</v>
      </c>
      <c r="CA1317" s="1906">
        <f t="shared" si="1773"/>
        <v>0</v>
      </c>
      <c r="CB1317" s="1971" t="str">
        <f t="shared" si="1774"/>
        <v>Maíz Silo</v>
      </c>
      <c r="CC1317" s="1906">
        <f t="shared" si="1775"/>
        <v>0</v>
      </c>
      <c r="CD1317" s="1906">
        <f t="shared" si="1776"/>
        <v>0</v>
      </c>
      <c r="CE1317" s="1906">
        <f t="shared" si="1777"/>
        <v>0</v>
      </c>
      <c r="CF1317" s="1906">
        <f t="shared" si="1778"/>
        <v>0</v>
      </c>
      <c r="CG1317" s="1906">
        <f t="shared" si="1779"/>
        <v>0</v>
      </c>
      <c r="CH1317" s="1906">
        <f t="shared" si="1780"/>
        <v>0</v>
      </c>
      <c r="CI1317" s="1906">
        <f t="shared" si="1781"/>
        <v>0</v>
      </c>
      <c r="CJ1317" s="1906">
        <f t="shared" si="1695"/>
        <v>0</v>
      </c>
      <c r="CK1317" s="1906">
        <f t="shared" si="1696"/>
        <v>0</v>
      </c>
      <c r="CL1317" s="1906">
        <f t="shared" si="1697"/>
        <v>0</v>
      </c>
      <c r="CM1317" s="1906">
        <f t="shared" si="1698"/>
        <v>0</v>
      </c>
      <c r="CN1317" s="1906">
        <f t="shared" si="1699"/>
        <v>0</v>
      </c>
      <c r="CO1317" s="595" t="str">
        <f t="shared" si="1700"/>
        <v>Maíz Silo</v>
      </c>
      <c r="CP1317" s="1443">
        <f t="shared" si="1701"/>
        <v>0</v>
      </c>
      <c r="EF1317" s="5"/>
    </row>
    <row r="1318" spans="1:136" x14ac:dyDescent="0.2">
      <c r="A1318" s="6"/>
      <c r="B1318" s="1971" t="str">
        <f t="shared" si="1702"/>
        <v>Sorgo silo</v>
      </c>
      <c r="C1318" s="1906">
        <f t="shared" si="1703"/>
        <v>0</v>
      </c>
      <c r="D1318" s="1906">
        <f t="shared" si="1704"/>
        <v>0</v>
      </c>
      <c r="E1318" s="1906">
        <f t="shared" si="1705"/>
        <v>0</v>
      </c>
      <c r="F1318" s="1906">
        <f t="shared" si="1706"/>
        <v>0</v>
      </c>
      <c r="G1318" s="1906">
        <f t="shared" si="1707"/>
        <v>0</v>
      </c>
      <c r="H1318" s="1906">
        <f t="shared" si="1708"/>
        <v>0</v>
      </c>
      <c r="I1318" s="1906">
        <f t="shared" si="1709"/>
        <v>0</v>
      </c>
      <c r="J1318" s="1906">
        <f t="shared" si="1710"/>
        <v>0</v>
      </c>
      <c r="K1318" s="1906">
        <f t="shared" si="1711"/>
        <v>0</v>
      </c>
      <c r="L1318" s="1906">
        <f t="shared" si="1712"/>
        <v>0</v>
      </c>
      <c r="M1318" s="1906">
        <f t="shared" si="1713"/>
        <v>0</v>
      </c>
      <c r="N1318" s="1906">
        <f t="shared" si="1714"/>
        <v>0</v>
      </c>
      <c r="O1318" s="107"/>
      <c r="P1318" s="1906"/>
      <c r="Q1318" s="1906">
        <f t="shared" si="1715"/>
        <v>0</v>
      </c>
      <c r="R1318" s="1906">
        <f t="shared" si="1716"/>
        <v>0</v>
      </c>
      <c r="S1318" s="1906">
        <f t="shared" si="1717"/>
        <v>0</v>
      </c>
      <c r="T1318" s="1906">
        <f t="shared" si="1718"/>
        <v>0</v>
      </c>
      <c r="U1318" s="1906">
        <f t="shared" si="1719"/>
        <v>0</v>
      </c>
      <c r="V1318" s="1906">
        <f t="shared" si="1720"/>
        <v>0</v>
      </c>
      <c r="W1318" s="1906">
        <f t="shared" si="1721"/>
        <v>0</v>
      </c>
      <c r="X1318" s="1906">
        <f t="shared" si="1722"/>
        <v>0</v>
      </c>
      <c r="Y1318" s="1906">
        <f t="shared" si="1723"/>
        <v>0</v>
      </c>
      <c r="Z1318" s="1906">
        <f t="shared" si="1724"/>
        <v>0</v>
      </c>
      <c r="AA1318" s="1906">
        <f t="shared" si="1725"/>
        <v>0</v>
      </c>
      <c r="AB1318" s="107"/>
      <c r="AC1318" s="1906">
        <f t="shared" si="1726"/>
        <v>0</v>
      </c>
      <c r="AD1318" s="1906">
        <f t="shared" si="1727"/>
        <v>0</v>
      </c>
      <c r="AE1318" s="1906">
        <f t="shared" si="1728"/>
        <v>0</v>
      </c>
      <c r="AF1318" s="1906">
        <f t="shared" si="1729"/>
        <v>0</v>
      </c>
      <c r="AG1318" s="1906">
        <f t="shared" si="1730"/>
        <v>0</v>
      </c>
      <c r="AH1318" s="1906">
        <f t="shared" si="1731"/>
        <v>0</v>
      </c>
      <c r="AI1318" s="1906">
        <f t="shared" si="1732"/>
        <v>0</v>
      </c>
      <c r="AJ1318" s="1906">
        <f t="shared" si="1733"/>
        <v>0</v>
      </c>
      <c r="AK1318" s="1906">
        <f t="shared" si="1734"/>
        <v>0</v>
      </c>
      <c r="AL1318" s="1906">
        <f t="shared" si="1735"/>
        <v>0</v>
      </c>
      <c r="AM1318" s="1906">
        <f t="shared" si="1736"/>
        <v>0</v>
      </c>
      <c r="AN1318" s="1906">
        <f t="shared" si="1737"/>
        <v>0</v>
      </c>
      <c r="AO1318" s="107"/>
      <c r="AP1318" s="1906">
        <f t="shared" si="1738"/>
        <v>0</v>
      </c>
      <c r="AQ1318" s="1906">
        <f t="shared" si="1739"/>
        <v>0</v>
      </c>
      <c r="AR1318" s="1906">
        <f t="shared" si="1740"/>
        <v>0</v>
      </c>
      <c r="AS1318" s="1906">
        <f t="shared" si="1741"/>
        <v>0</v>
      </c>
      <c r="AT1318" s="1906">
        <f t="shared" si="1742"/>
        <v>0</v>
      </c>
      <c r="AU1318" s="1906">
        <f t="shared" si="1743"/>
        <v>0</v>
      </c>
      <c r="AV1318" s="1906">
        <f t="shared" si="1744"/>
        <v>0</v>
      </c>
      <c r="AW1318" s="1906">
        <f t="shared" si="1745"/>
        <v>0</v>
      </c>
      <c r="AX1318" s="1906">
        <f t="shared" si="1746"/>
        <v>0</v>
      </c>
      <c r="AY1318" s="1906">
        <f t="shared" si="1747"/>
        <v>0</v>
      </c>
      <c r="AZ1318" s="1906">
        <f t="shared" si="1748"/>
        <v>0</v>
      </c>
      <c r="BA1318" s="1906">
        <f t="shared" si="1749"/>
        <v>0</v>
      </c>
      <c r="BB1318" s="107"/>
      <c r="BC1318" s="1906">
        <f t="shared" si="1750"/>
        <v>0</v>
      </c>
      <c r="BD1318" s="1906">
        <f t="shared" si="1751"/>
        <v>0</v>
      </c>
      <c r="BE1318" s="1906">
        <f t="shared" si="1752"/>
        <v>0</v>
      </c>
      <c r="BF1318" s="1906">
        <f t="shared" si="1753"/>
        <v>0</v>
      </c>
      <c r="BG1318" s="1906">
        <f t="shared" si="1754"/>
        <v>0</v>
      </c>
      <c r="BH1318" s="1906">
        <f t="shared" si="1755"/>
        <v>0</v>
      </c>
      <c r="BI1318" s="1906">
        <f t="shared" si="1756"/>
        <v>0</v>
      </c>
      <c r="BJ1318" s="1906">
        <f t="shared" si="1757"/>
        <v>0</v>
      </c>
      <c r="BK1318" s="1906">
        <f t="shared" si="1758"/>
        <v>0</v>
      </c>
      <c r="BL1318" s="1906">
        <f t="shared" si="1759"/>
        <v>0</v>
      </c>
      <c r="BM1318" s="1906">
        <f t="shared" si="1760"/>
        <v>0</v>
      </c>
      <c r="BN1318" s="1906">
        <f t="shared" si="1761"/>
        <v>0</v>
      </c>
      <c r="BO1318" s="107"/>
      <c r="BP1318" s="1906">
        <f t="shared" si="1762"/>
        <v>0</v>
      </c>
      <c r="BQ1318" s="1906">
        <f t="shared" si="1763"/>
        <v>0</v>
      </c>
      <c r="BR1318" s="1906">
        <f t="shared" si="1764"/>
        <v>0</v>
      </c>
      <c r="BS1318" s="1906">
        <f t="shared" si="1765"/>
        <v>0</v>
      </c>
      <c r="BT1318" s="1906">
        <f t="shared" si="1766"/>
        <v>0</v>
      </c>
      <c r="BU1318" s="1906">
        <f t="shared" si="1767"/>
        <v>0</v>
      </c>
      <c r="BV1318" s="1906">
        <f t="shared" si="1768"/>
        <v>0</v>
      </c>
      <c r="BW1318" s="1906">
        <f t="shared" si="1769"/>
        <v>0</v>
      </c>
      <c r="BX1318" s="1906">
        <f t="shared" si="1770"/>
        <v>0</v>
      </c>
      <c r="BY1318" s="1906">
        <f t="shared" si="1771"/>
        <v>0</v>
      </c>
      <c r="BZ1318" s="1906">
        <f t="shared" si="1772"/>
        <v>0</v>
      </c>
      <c r="CA1318" s="1906">
        <f t="shared" si="1773"/>
        <v>0</v>
      </c>
      <c r="CB1318" s="1971" t="str">
        <f t="shared" si="1774"/>
        <v>Sorgo silo</v>
      </c>
      <c r="CC1318" s="1906">
        <f t="shared" si="1775"/>
        <v>0</v>
      </c>
      <c r="CD1318" s="1906">
        <f t="shared" si="1776"/>
        <v>0</v>
      </c>
      <c r="CE1318" s="1906">
        <f t="shared" si="1777"/>
        <v>0</v>
      </c>
      <c r="CF1318" s="1906">
        <f t="shared" si="1778"/>
        <v>0</v>
      </c>
      <c r="CG1318" s="1906">
        <f t="shared" si="1779"/>
        <v>0</v>
      </c>
      <c r="CH1318" s="1906">
        <f t="shared" si="1780"/>
        <v>0</v>
      </c>
      <c r="CI1318" s="1906">
        <f t="shared" si="1781"/>
        <v>0</v>
      </c>
      <c r="CJ1318" s="1906">
        <f t="shared" si="1695"/>
        <v>0</v>
      </c>
      <c r="CK1318" s="1906">
        <f t="shared" si="1696"/>
        <v>0</v>
      </c>
      <c r="CL1318" s="1906">
        <f t="shared" si="1697"/>
        <v>0</v>
      </c>
      <c r="CM1318" s="1906">
        <f t="shared" si="1698"/>
        <v>0</v>
      </c>
      <c r="CN1318" s="1906">
        <f t="shared" si="1699"/>
        <v>0</v>
      </c>
      <c r="CO1318" s="595" t="str">
        <f t="shared" si="1700"/>
        <v>Sorgo silo</v>
      </c>
      <c r="CP1318" s="1443">
        <f t="shared" si="1701"/>
        <v>0</v>
      </c>
      <c r="EF1318" s="5"/>
    </row>
    <row r="1319" spans="1:136" x14ac:dyDescent="0.2">
      <c r="A1319" s="6"/>
      <c r="B1319" s="1971" t="str">
        <f t="shared" si="1702"/>
        <v>Moha</v>
      </c>
      <c r="C1319" s="1906">
        <f t="shared" si="1703"/>
        <v>0</v>
      </c>
      <c r="D1319" s="1906">
        <f t="shared" si="1704"/>
        <v>0</v>
      </c>
      <c r="E1319" s="1906">
        <f t="shared" si="1705"/>
        <v>0</v>
      </c>
      <c r="F1319" s="1906">
        <f t="shared" si="1706"/>
        <v>0</v>
      </c>
      <c r="G1319" s="1906">
        <f t="shared" si="1707"/>
        <v>0</v>
      </c>
      <c r="H1319" s="1906">
        <f t="shared" si="1708"/>
        <v>0</v>
      </c>
      <c r="I1319" s="1906">
        <f t="shared" si="1709"/>
        <v>0</v>
      </c>
      <c r="J1319" s="1906">
        <f t="shared" si="1710"/>
        <v>0</v>
      </c>
      <c r="K1319" s="1906">
        <f t="shared" si="1711"/>
        <v>0</v>
      </c>
      <c r="L1319" s="1906">
        <f t="shared" si="1712"/>
        <v>0</v>
      </c>
      <c r="M1319" s="1906">
        <f t="shared" si="1713"/>
        <v>0</v>
      </c>
      <c r="N1319" s="1906">
        <f t="shared" si="1714"/>
        <v>0</v>
      </c>
      <c r="O1319" s="107"/>
      <c r="P1319" s="1906"/>
      <c r="Q1319" s="1906">
        <f t="shared" si="1715"/>
        <v>0</v>
      </c>
      <c r="R1319" s="1906">
        <f t="shared" si="1716"/>
        <v>0</v>
      </c>
      <c r="S1319" s="1906">
        <f t="shared" si="1717"/>
        <v>0</v>
      </c>
      <c r="T1319" s="1906">
        <f t="shared" si="1718"/>
        <v>0</v>
      </c>
      <c r="U1319" s="1906">
        <f t="shared" si="1719"/>
        <v>0</v>
      </c>
      <c r="V1319" s="1906">
        <f t="shared" si="1720"/>
        <v>0</v>
      </c>
      <c r="W1319" s="1906">
        <f t="shared" si="1721"/>
        <v>0</v>
      </c>
      <c r="X1319" s="1906">
        <f t="shared" si="1722"/>
        <v>0</v>
      </c>
      <c r="Y1319" s="1906">
        <f t="shared" si="1723"/>
        <v>0</v>
      </c>
      <c r="Z1319" s="1906">
        <f t="shared" si="1724"/>
        <v>0</v>
      </c>
      <c r="AA1319" s="1906">
        <f t="shared" si="1725"/>
        <v>0</v>
      </c>
      <c r="AB1319" s="107"/>
      <c r="AC1319" s="1906">
        <f t="shared" si="1726"/>
        <v>0</v>
      </c>
      <c r="AD1319" s="1906">
        <f t="shared" si="1727"/>
        <v>0</v>
      </c>
      <c r="AE1319" s="1906">
        <f t="shared" si="1728"/>
        <v>0</v>
      </c>
      <c r="AF1319" s="1906">
        <f t="shared" si="1729"/>
        <v>0</v>
      </c>
      <c r="AG1319" s="1906">
        <f t="shared" si="1730"/>
        <v>0</v>
      </c>
      <c r="AH1319" s="1906">
        <f t="shared" si="1731"/>
        <v>0</v>
      </c>
      <c r="AI1319" s="1906">
        <f t="shared" si="1732"/>
        <v>0</v>
      </c>
      <c r="AJ1319" s="1906">
        <f t="shared" si="1733"/>
        <v>0</v>
      </c>
      <c r="AK1319" s="1906">
        <f t="shared" si="1734"/>
        <v>0</v>
      </c>
      <c r="AL1319" s="1906">
        <f t="shared" si="1735"/>
        <v>0</v>
      </c>
      <c r="AM1319" s="1906">
        <f t="shared" si="1736"/>
        <v>0</v>
      </c>
      <c r="AN1319" s="1906">
        <f t="shared" si="1737"/>
        <v>0</v>
      </c>
      <c r="AO1319" s="107"/>
      <c r="AP1319" s="1906">
        <f t="shared" si="1738"/>
        <v>0</v>
      </c>
      <c r="AQ1319" s="1906">
        <f t="shared" si="1739"/>
        <v>0</v>
      </c>
      <c r="AR1319" s="1906">
        <f t="shared" si="1740"/>
        <v>0</v>
      </c>
      <c r="AS1319" s="1906">
        <f t="shared" si="1741"/>
        <v>0</v>
      </c>
      <c r="AT1319" s="1906">
        <f t="shared" si="1742"/>
        <v>0</v>
      </c>
      <c r="AU1319" s="1906">
        <f t="shared" si="1743"/>
        <v>0</v>
      </c>
      <c r="AV1319" s="1906">
        <f t="shared" si="1744"/>
        <v>0</v>
      </c>
      <c r="AW1319" s="1906">
        <f t="shared" si="1745"/>
        <v>0</v>
      </c>
      <c r="AX1319" s="1906">
        <f t="shared" si="1746"/>
        <v>0</v>
      </c>
      <c r="AY1319" s="1906">
        <f t="shared" si="1747"/>
        <v>0</v>
      </c>
      <c r="AZ1319" s="1906">
        <f t="shared" si="1748"/>
        <v>0</v>
      </c>
      <c r="BA1319" s="1906">
        <f t="shared" si="1749"/>
        <v>0</v>
      </c>
      <c r="BB1319" s="107"/>
      <c r="BC1319" s="1906">
        <f t="shared" si="1750"/>
        <v>0</v>
      </c>
      <c r="BD1319" s="1906">
        <f t="shared" si="1751"/>
        <v>0</v>
      </c>
      <c r="BE1319" s="1906">
        <f t="shared" si="1752"/>
        <v>0</v>
      </c>
      <c r="BF1319" s="1906">
        <f t="shared" si="1753"/>
        <v>0</v>
      </c>
      <c r="BG1319" s="1906">
        <f t="shared" si="1754"/>
        <v>0</v>
      </c>
      <c r="BH1319" s="1906">
        <f t="shared" si="1755"/>
        <v>0</v>
      </c>
      <c r="BI1319" s="1906">
        <f t="shared" si="1756"/>
        <v>0</v>
      </c>
      <c r="BJ1319" s="1906">
        <f t="shared" si="1757"/>
        <v>0</v>
      </c>
      <c r="BK1319" s="1906">
        <f t="shared" si="1758"/>
        <v>0</v>
      </c>
      <c r="BL1319" s="1906">
        <f t="shared" si="1759"/>
        <v>0</v>
      </c>
      <c r="BM1319" s="1906">
        <f t="shared" si="1760"/>
        <v>0</v>
      </c>
      <c r="BN1319" s="1906">
        <f t="shared" si="1761"/>
        <v>0</v>
      </c>
      <c r="BO1319" s="107"/>
      <c r="BP1319" s="1906">
        <f t="shared" si="1762"/>
        <v>0</v>
      </c>
      <c r="BQ1319" s="1906">
        <f t="shared" si="1763"/>
        <v>0</v>
      </c>
      <c r="BR1319" s="1906">
        <f t="shared" si="1764"/>
        <v>0</v>
      </c>
      <c r="BS1319" s="1906">
        <f t="shared" si="1765"/>
        <v>0</v>
      </c>
      <c r="BT1319" s="1906">
        <f t="shared" si="1766"/>
        <v>0</v>
      </c>
      <c r="BU1319" s="1906">
        <f t="shared" si="1767"/>
        <v>0</v>
      </c>
      <c r="BV1319" s="1906">
        <f t="shared" si="1768"/>
        <v>0</v>
      </c>
      <c r="BW1319" s="1906">
        <f t="shared" si="1769"/>
        <v>0</v>
      </c>
      <c r="BX1319" s="1906">
        <f t="shared" si="1770"/>
        <v>0</v>
      </c>
      <c r="BY1319" s="1906">
        <f t="shared" si="1771"/>
        <v>0</v>
      </c>
      <c r="BZ1319" s="1906">
        <f t="shared" si="1772"/>
        <v>0</v>
      </c>
      <c r="CA1319" s="1906">
        <f t="shared" si="1773"/>
        <v>0</v>
      </c>
      <c r="CB1319" s="1971" t="str">
        <f t="shared" si="1774"/>
        <v>Moha</v>
      </c>
      <c r="CC1319" s="1906">
        <f t="shared" si="1775"/>
        <v>0</v>
      </c>
      <c r="CD1319" s="1906">
        <f t="shared" si="1776"/>
        <v>0</v>
      </c>
      <c r="CE1319" s="1906">
        <f t="shared" si="1777"/>
        <v>0</v>
      </c>
      <c r="CF1319" s="1906">
        <f t="shared" si="1778"/>
        <v>0</v>
      </c>
      <c r="CG1319" s="1906">
        <f t="shared" si="1779"/>
        <v>0</v>
      </c>
      <c r="CH1319" s="1906">
        <f t="shared" si="1780"/>
        <v>0</v>
      </c>
      <c r="CI1319" s="1906">
        <f t="shared" si="1781"/>
        <v>0</v>
      </c>
      <c r="CJ1319" s="1906">
        <f t="shared" si="1695"/>
        <v>0</v>
      </c>
      <c r="CK1319" s="1906">
        <f t="shared" si="1696"/>
        <v>0</v>
      </c>
      <c r="CL1319" s="1906">
        <f t="shared" si="1697"/>
        <v>0</v>
      </c>
      <c r="CM1319" s="1906">
        <f t="shared" si="1698"/>
        <v>0</v>
      </c>
      <c r="CN1319" s="1906">
        <f t="shared" si="1699"/>
        <v>0</v>
      </c>
      <c r="CO1319" s="595" t="str">
        <f t="shared" si="1700"/>
        <v>Moha</v>
      </c>
      <c r="CP1319" s="1443">
        <f t="shared" si="1701"/>
        <v>0</v>
      </c>
      <c r="EF1319" s="5"/>
    </row>
    <row r="1320" spans="1:136" x14ac:dyDescent="0.2">
      <c r="A1320" s="6"/>
      <c r="B1320" s="1971" t="str">
        <f t="shared" si="1702"/>
        <v>Soja reserva</v>
      </c>
      <c r="C1320" s="1906">
        <f t="shared" si="1703"/>
        <v>0</v>
      </c>
      <c r="D1320" s="1906">
        <f t="shared" si="1704"/>
        <v>0</v>
      </c>
      <c r="E1320" s="1906">
        <f t="shared" si="1705"/>
        <v>0</v>
      </c>
      <c r="F1320" s="1906">
        <f t="shared" si="1706"/>
        <v>0</v>
      </c>
      <c r="G1320" s="1906">
        <f t="shared" si="1707"/>
        <v>0</v>
      </c>
      <c r="H1320" s="1906">
        <f t="shared" si="1708"/>
        <v>0</v>
      </c>
      <c r="I1320" s="1906">
        <f t="shared" si="1709"/>
        <v>0</v>
      </c>
      <c r="J1320" s="1906">
        <f t="shared" si="1710"/>
        <v>0</v>
      </c>
      <c r="K1320" s="1906">
        <f t="shared" si="1711"/>
        <v>0</v>
      </c>
      <c r="L1320" s="1906">
        <f t="shared" si="1712"/>
        <v>0</v>
      </c>
      <c r="M1320" s="1906">
        <f t="shared" si="1713"/>
        <v>0</v>
      </c>
      <c r="N1320" s="1906">
        <f t="shared" si="1714"/>
        <v>0</v>
      </c>
      <c r="O1320" s="107"/>
      <c r="P1320" s="1906"/>
      <c r="Q1320" s="1906">
        <f t="shared" si="1715"/>
        <v>0</v>
      </c>
      <c r="R1320" s="1906">
        <f t="shared" si="1716"/>
        <v>0</v>
      </c>
      <c r="S1320" s="1906">
        <f t="shared" si="1717"/>
        <v>0</v>
      </c>
      <c r="T1320" s="1906">
        <f t="shared" si="1718"/>
        <v>0</v>
      </c>
      <c r="U1320" s="1906">
        <f t="shared" si="1719"/>
        <v>0</v>
      </c>
      <c r="V1320" s="1906">
        <f t="shared" si="1720"/>
        <v>0</v>
      </c>
      <c r="W1320" s="1906">
        <f t="shared" si="1721"/>
        <v>0</v>
      </c>
      <c r="X1320" s="1906">
        <f t="shared" si="1722"/>
        <v>0</v>
      </c>
      <c r="Y1320" s="1906">
        <f t="shared" si="1723"/>
        <v>0</v>
      </c>
      <c r="Z1320" s="1906">
        <f t="shared" si="1724"/>
        <v>0</v>
      </c>
      <c r="AA1320" s="1906">
        <f t="shared" si="1725"/>
        <v>0</v>
      </c>
      <c r="AB1320" s="107"/>
      <c r="AC1320" s="1906">
        <f t="shared" si="1726"/>
        <v>0</v>
      </c>
      <c r="AD1320" s="1906">
        <f t="shared" si="1727"/>
        <v>0</v>
      </c>
      <c r="AE1320" s="1906">
        <f t="shared" si="1728"/>
        <v>0</v>
      </c>
      <c r="AF1320" s="1906">
        <f t="shared" si="1729"/>
        <v>0</v>
      </c>
      <c r="AG1320" s="1906">
        <f t="shared" si="1730"/>
        <v>0</v>
      </c>
      <c r="AH1320" s="1906">
        <f t="shared" si="1731"/>
        <v>0</v>
      </c>
      <c r="AI1320" s="1906">
        <f t="shared" si="1732"/>
        <v>0</v>
      </c>
      <c r="AJ1320" s="1906">
        <f t="shared" si="1733"/>
        <v>0</v>
      </c>
      <c r="AK1320" s="1906">
        <f t="shared" si="1734"/>
        <v>0</v>
      </c>
      <c r="AL1320" s="1906">
        <f t="shared" si="1735"/>
        <v>0</v>
      </c>
      <c r="AM1320" s="1906">
        <f t="shared" si="1736"/>
        <v>0</v>
      </c>
      <c r="AN1320" s="1906">
        <f t="shared" si="1737"/>
        <v>0</v>
      </c>
      <c r="AO1320" s="107"/>
      <c r="AP1320" s="1906">
        <f t="shared" si="1738"/>
        <v>0</v>
      </c>
      <c r="AQ1320" s="1906">
        <f t="shared" si="1739"/>
        <v>0</v>
      </c>
      <c r="AR1320" s="1906">
        <f t="shared" si="1740"/>
        <v>0</v>
      </c>
      <c r="AS1320" s="1906">
        <f t="shared" si="1741"/>
        <v>0</v>
      </c>
      <c r="AT1320" s="1906">
        <f t="shared" si="1742"/>
        <v>0</v>
      </c>
      <c r="AU1320" s="1906">
        <f t="shared" si="1743"/>
        <v>0</v>
      </c>
      <c r="AV1320" s="1906">
        <f t="shared" si="1744"/>
        <v>0</v>
      </c>
      <c r="AW1320" s="1906">
        <f t="shared" si="1745"/>
        <v>0</v>
      </c>
      <c r="AX1320" s="1906">
        <f t="shared" si="1746"/>
        <v>0</v>
      </c>
      <c r="AY1320" s="1906">
        <f t="shared" si="1747"/>
        <v>0</v>
      </c>
      <c r="AZ1320" s="1906">
        <f t="shared" si="1748"/>
        <v>0</v>
      </c>
      <c r="BA1320" s="1906">
        <f t="shared" si="1749"/>
        <v>0</v>
      </c>
      <c r="BB1320" s="107"/>
      <c r="BC1320" s="1906">
        <f t="shared" si="1750"/>
        <v>0</v>
      </c>
      <c r="BD1320" s="1906">
        <f t="shared" si="1751"/>
        <v>0</v>
      </c>
      <c r="BE1320" s="1906">
        <f t="shared" si="1752"/>
        <v>0</v>
      </c>
      <c r="BF1320" s="1906">
        <f t="shared" si="1753"/>
        <v>0</v>
      </c>
      <c r="BG1320" s="1906">
        <f t="shared" si="1754"/>
        <v>0</v>
      </c>
      <c r="BH1320" s="1906">
        <f t="shared" si="1755"/>
        <v>0</v>
      </c>
      <c r="BI1320" s="1906">
        <f t="shared" si="1756"/>
        <v>0</v>
      </c>
      <c r="BJ1320" s="1906">
        <f t="shared" si="1757"/>
        <v>0</v>
      </c>
      <c r="BK1320" s="1906">
        <f t="shared" si="1758"/>
        <v>0</v>
      </c>
      <c r="BL1320" s="1906">
        <f t="shared" si="1759"/>
        <v>0</v>
      </c>
      <c r="BM1320" s="1906">
        <f t="shared" si="1760"/>
        <v>0</v>
      </c>
      <c r="BN1320" s="1906">
        <f t="shared" si="1761"/>
        <v>0</v>
      </c>
      <c r="BO1320" s="107"/>
      <c r="BP1320" s="1906">
        <f t="shared" si="1762"/>
        <v>0</v>
      </c>
      <c r="BQ1320" s="1906">
        <f t="shared" si="1763"/>
        <v>0</v>
      </c>
      <c r="BR1320" s="1906">
        <f t="shared" si="1764"/>
        <v>0</v>
      </c>
      <c r="BS1320" s="1906">
        <f t="shared" si="1765"/>
        <v>0</v>
      </c>
      <c r="BT1320" s="1906">
        <f t="shared" si="1766"/>
        <v>0</v>
      </c>
      <c r="BU1320" s="1906">
        <f t="shared" si="1767"/>
        <v>0</v>
      </c>
      <c r="BV1320" s="1906">
        <f t="shared" si="1768"/>
        <v>0</v>
      </c>
      <c r="BW1320" s="1906">
        <f t="shared" si="1769"/>
        <v>0</v>
      </c>
      <c r="BX1320" s="1906">
        <f t="shared" si="1770"/>
        <v>0</v>
      </c>
      <c r="BY1320" s="1906">
        <f t="shared" si="1771"/>
        <v>0</v>
      </c>
      <c r="BZ1320" s="1906">
        <f t="shared" si="1772"/>
        <v>0</v>
      </c>
      <c r="CA1320" s="1906">
        <f t="shared" si="1773"/>
        <v>0</v>
      </c>
      <c r="CB1320" s="1971" t="str">
        <f t="shared" si="1774"/>
        <v>Soja reserva</v>
      </c>
      <c r="CC1320" s="1906">
        <f t="shared" si="1775"/>
        <v>0</v>
      </c>
      <c r="CD1320" s="1906">
        <f t="shared" si="1776"/>
        <v>0</v>
      </c>
      <c r="CE1320" s="1906">
        <f t="shared" si="1777"/>
        <v>0</v>
      </c>
      <c r="CF1320" s="1906">
        <f t="shared" si="1778"/>
        <v>0</v>
      </c>
      <c r="CG1320" s="1906">
        <f t="shared" si="1779"/>
        <v>0</v>
      </c>
      <c r="CH1320" s="1906">
        <f t="shared" si="1780"/>
        <v>0</v>
      </c>
      <c r="CI1320" s="1906">
        <f t="shared" si="1781"/>
        <v>0</v>
      </c>
      <c r="CJ1320" s="1906">
        <f t="shared" si="1695"/>
        <v>0</v>
      </c>
      <c r="CK1320" s="1906">
        <f t="shared" si="1696"/>
        <v>0</v>
      </c>
      <c r="CL1320" s="1906">
        <f t="shared" si="1697"/>
        <v>0</v>
      </c>
      <c r="CM1320" s="1906">
        <f t="shared" si="1698"/>
        <v>0</v>
      </c>
      <c r="CN1320" s="1906">
        <f t="shared" si="1699"/>
        <v>0</v>
      </c>
      <c r="CO1320" s="595" t="str">
        <f t="shared" si="1700"/>
        <v>Soja reserva</v>
      </c>
      <c r="CP1320" s="1443">
        <f t="shared" si="1701"/>
        <v>0</v>
      </c>
      <c r="EF1320" s="5"/>
    </row>
    <row r="1321" spans="1:136" x14ac:dyDescent="0.2">
      <c r="A1321" s="6"/>
      <c r="B1321" s="1971">
        <f t="shared" si="1702"/>
        <v>0</v>
      </c>
      <c r="C1321" s="1906">
        <f t="shared" si="1703"/>
        <v>0</v>
      </c>
      <c r="D1321" s="1906">
        <f t="shared" si="1704"/>
        <v>0</v>
      </c>
      <c r="E1321" s="1906">
        <f t="shared" si="1705"/>
        <v>0</v>
      </c>
      <c r="F1321" s="1906">
        <f t="shared" si="1706"/>
        <v>0</v>
      </c>
      <c r="G1321" s="1906">
        <f t="shared" si="1707"/>
        <v>0</v>
      </c>
      <c r="H1321" s="1906">
        <f t="shared" si="1708"/>
        <v>0</v>
      </c>
      <c r="I1321" s="1906">
        <f t="shared" si="1709"/>
        <v>0</v>
      </c>
      <c r="J1321" s="1906">
        <f t="shared" si="1710"/>
        <v>0</v>
      </c>
      <c r="K1321" s="1906">
        <f t="shared" si="1711"/>
        <v>0</v>
      </c>
      <c r="L1321" s="1906">
        <f t="shared" si="1712"/>
        <v>0</v>
      </c>
      <c r="M1321" s="1906">
        <f t="shared" si="1713"/>
        <v>0</v>
      </c>
      <c r="N1321" s="1906">
        <f t="shared" si="1714"/>
        <v>0</v>
      </c>
      <c r="O1321" s="107"/>
      <c r="P1321" s="1906"/>
      <c r="Q1321" s="1906">
        <f t="shared" si="1715"/>
        <v>0</v>
      </c>
      <c r="R1321" s="1906">
        <f t="shared" si="1716"/>
        <v>0</v>
      </c>
      <c r="S1321" s="1906">
        <f t="shared" si="1717"/>
        <v>0</v>
      </c>
      <c r="T1321" s="1906">
        <f t="shared" si="1718"/>
        <v>0</v>
      </c>
      <c r="U1321" s="1906">
        <f t="shared" si="1719"/>
        <v>0</v>
      </c>
      <c r="V1321" s="1906">
        <f t="shared" si="1720"/>
        <v>0</v>
      </c>
      <c r="W1321" s="1906">
        <f t="shared" si="1721"/>
        <v>0</v>
      </c>
      <c r="X1321" s="1906">
        <f t="shared" si="1722"/>
        <v>0</v>
      </c>
      <c r="Y1321" s="1906">
        <f t="shared" si="1723"/>
        <v>0</v>
      </c>
      <c r="Z1321" s="1906">
        <f t="shared" si="1724"/>
        <v>0</v>
      </c>
      <c r="AA1321" s="1906">
        <f t="shared" si="1725"/>
        <v>0</v>
      </c>
      <c r="AB1321" s="107"/>
      <c r="AC1321" s="1906">
        <f t="shared" si="1726"/>
        <v>0</v>
      </c>
      <c r="AD1321" s="1906">
        <f t="shared" si="1727"/>
        <v>0</v>
      </c>
      <c r="AE1321" s="1906">
        <f t="shared" si="1728"/>
        <v>0</v>
      </c>
      <c r="AF1321" s="1906">
        <f t="shared" si="1729"/>
        <v>0</v>
      </c>
      <c r="AG1321" s="1906">
        <f t="shared" si="1730"/>
        <v>0</v>
      </c>
      <c r="AH1321" s="1906">
        <f t="shared" si="1731"/>
        <v>0</v>
      </c>
      <c r="AI1321" s="1906">
        <f t="shared" si="1732"/>
        <v>0</v>
      </c>
      <c r="AJ1321" s="1906">
        <f t="shared" si="1733"/>
        <v>0</v>
      </c>
      <c r="AK1321" s="1906">
        <f t="shared" si="1734"/>
        <v>0</v>
      </c>
      <c r="AL1321" s="1906">
        <f t="shared" si="1735"/>
        <v>0</v>
      </c>
      <c r="AM1321" s="1906">
        <f t="shared" si="1736"/>
        <v>0</v>
      </c>
      <c r="AN1321" s="1906">
        <f t="shared" si="1737"/>
        <v>0</v>
      </c>
      <c r="AO1321" s="107"/>
      <c r="AP1321" s="1906">
        <f t="shared" si="1738"/>
        <v>0</v>
      </c>
      <c r="AQ1321" s="1906">
        <f t="shared" si="1739"/>
        <v>0</v>
      </c>
      <c r="AR1321" s="1906">
        <f t="shared" si="1740"/>
        <v>0</v>
      </c>
      <c r="AS1321" s="1906">
        <f t="shared" si="1741"/>
        <v>0</v>
      </c>
      <c r="AT1321" s="1906">
        <f t="shared" si="1742"/>
        <v>0</v>
      </c>
      <c r="AU1321" s="1906">
        <f t="shared" si="1743"/>
        <v>0</v>
      </c>
      <c r="AV1321" s="1906">
        <f t="shared" si="1744"/>
        <v>0</v>
      </c>
      <c r="AW1321" s="1906">
        <f t="shared" si="1745"/>
        <v>0</v>
      </c>
      <c r="AX1321" s="1906">
        <f t="shared" si="1746"/>
        <v>0</v>
      </c>
      <c r="AY1321" s="1906">
        <f t="shared" si="1747"/>
        <v>0</v>
      </c>
      <c r="AZ1321" s="1906">
        <f t="shared" si="1748"/>
        <v>0</v>
      </c>
      <c r="BA1321" s="1906">
        <f t="shared" si="1749"/>
        <v>0</v>
      </c>
      <c r="BB1321" s="107"/>
      <c r="BC1321" s="1906">
        <f t="shared" si="1750"/>
        <v>0</v>
      </c>
      <c r="BD1321" s="1906">
        <f t="shared" si="1751"/>
        <v>0</v>
      </c>
      <c r="BE1321" s="1906">
        <f t="shared" si="1752"/>
        <v>0</v>
      </c>
      <c r="BF1321" s="1906">
        <f t="shared" si="1753"/>
        <v>0</v>
      </c>
      <c r="BG1321" s="1906">
        <f t="shared" si="1754"/>
        <v>0</v>
      </c>
      <c r="BH1321" s="1906">
        <f t="shared" si="1755"/>
        <v>0</v>
      </c>
      <c r="BI1321" s="1906">
        <f t="shared" si="1756"/>
        <v>0</v>
      </c>
      <c r="BJ1321" s="1906">
        <f t="shared" si="1757"/>
        <v>0</v>
      </c>
      <c r="BK1321" s="1906">
        <f t="shared" si="1758"/>
        <v>0</v>
      </c>
      <c r="BL1321" s="1906">
        <f t="shared" si="1759"/>
        <v>0</v>
      </c>
      <c r="BM1321" s="1906">
        <f t="shared" si="1760"/>
        <v>0</v>
      </c>
      <c r="BN1321" s="1906">
        <f t="shared" si="1761"/>
        <v>0</v>
      </c>
      <c r="BO1321" s="107"/>
      <c r="BP1321" s="1906">
        <f t="shared" si="1762"/>
        <v>0</v>
      </c>
      <c r="BQ1321" s="1906">
        <f t="shared" si="1763"/>
        <v>0</v>
      </c>
      <c r="BR1321" s="1906">
        <f t="shared" si="1764"/>
        <v>0</v>
      </c>
      <c r="BS1321" s="1906">
        <f t="shared" si="1765"/>
        <v>0</v>
      </c>
      <c r="BT1321" s="1906">
        <f t="shared" si="1766"/>
        <v>0</v>
      </c>
      <c r="BU1321" s="1906">
        <f t="shared" si="1767"/>
        <v>0</v>
      </c>
      <c r="BV1321" s="1906">
        <f t="shared" si="1768"/>
        <v>0</v>
      </c>
      <c r="BW1321" s="1906">
        <f t="shared" si="1769"/>
        <v>0</v>
      </c>
      <c r="BX1321" s="1906">
        <f t="shared" si="1770"/>
        <v>0</v>
      </c>
      <c r="BY1321" s="1906">
        <f t="shared" si="1771"/>
        <v>0</v>
      </c>
      <c r="BZ1321" s="1906">
        <f t="shared" si="1772"/>
        <v>0</v>
      </c>
      <c r="CA1321" s="1906">
        <f t="shared" si="1773"/>
        <v>0</v>
      </c>
      <c r="CB1321" s="1971">
        <f t="shared" si="1774"/>
        <v>0</v>
      </c>
      <c r="CC1321" s="1906">
        <f t="shared" si="1775"/>
        <v>0</v>
      </c>
      <c r="CD1321" s="1906">
        <f t="shared" si="1776"/>
        <v>0</v>
      </c>
      <c r="CE1321" s="1906">
        <f t="shared" si="1777"/>
        <v>0</v>
      </c>
      <c r="CF1321" s="1906">
        <f t="shared" si="1778"/>
        <v>0</v>
      </c>
      <c r="CG1321" s="1906">
        <f t="shared" si="1779"/>
        <v>0</v>
      </c>
      <c r="CH1321" s="1906">
        <f t="shared" si="1780"/>
        <v>0</v>
      </c>
      <c r="CI1321" s="1906">
        <f t="shared" si="1781"/>
        <v>0</v>
      </c>
      <c r="CJ1321" s="1906">
        <f t="shared" si="1695"/>
        <v>0</v>
      </c>
      <c r="CK1321" s="1906">
        <f t="shared" si="1696"/>
        <v>0</v>
      </c>
      <c r="CL1321" s="1906">
        <f t="shared" si="1697"/>
        <v>0</v>
      </c>
      <c r="CM1321" s="1906">
        <f t="shared" si="1698"/>
        <v>0</v>
      </c>
      <c r="CN1321" s="1906">
        <f t="shared" si="1699"/>
        <v>0</v>
      </c>
      <c r="CO1321" s="595">
        <f t="shared" si="1700"/>
        <v>0</v>
      </c>
      <c r="CP1321" s="1443">
        <f t="shared" si="1701"/>
        <v>0</v>
      </c>
      <c r="EF1321" s="5"/>
    </row>
    <row r="1322" spans="1:136" x14ac:dyDescent="0.2">
      <c r="A1322" s="6"/>
      <c r="B1322" s="1971">
        <f t="shared" si="1702"/>
        <v>0</v>
      </c>
      <c r="C1322" s="1906">
        <f t="shared" si="1703"/>
        <v>0</v>
      </c>
      <c r="D1322" s="1906">
        <f t="shared" si="1704"/>
        <v>0</v>
      </c>
      <c r="E1322" s="1906">
        <f t="shared" si="1705"/>
        <v>0</v>
      </c>
      <c r="F1322" s="1906">
        <f t="shared" si="1706"/>
        <v>0</v>
      </c>
      <c r="G1322" s="1906">
        <f t="shared" si="1707"/>
        <v>0</v>
      </c>
      <c r="H1322" s="1906">
        <f t="shared" si="1708"/>
        <v>0</v>
      </c>
      <c r="I1322" s="1906">
        <f t="shared" si="1709"/>
        <v>0</v>
      </c>
      <c r="J1322" s="1906">
        <f t="shared" si="1710"/>
        <v>0</v>
      </c>
      <c r="K1322" s="1906">
        <f t="shared" si="1711"/>
        <v>0</v>
      </c>
      <c r="L1322" s="1906">
        <f t="shared" si="1712"/>
        <v>0</v>
      </c>
      <c r="M1322" s="1906">
        <f t="shared" si="1713"/>
        <v>0</v>
      </c>
      <c r="N1322" s="1906">
        <f t="shared" si="1714"/>
        <v>0</v>
      </c>
      <c r="O1322" s="107"/>
      <c r="P1322" s="1906"/>
      <c r="Q1322" s="1906">
        <f t="shared" si="1715"/>
        <v>0</v>
      </c>
      <c r="R1322" s="1906">
        <f t="shared" si="1716"/>
        <v>0</v>
      </c>
      <c r="S1322" s="1906">
        <f t="shared" si="1717"/>
        <v>0</v>
      </c>
      <c r="T1322" s="1906">
        <f t="shared" si="1718"/>
        <v>0</v>
      </c>
      <c r="U1322" s="1906">
        <f t="shared" si="1719"/>
        <v>0</v>
      </c>
      <c r="V1322" s="1906">
        <f t="shared" si="1720"/>
        <v>0</v>
      </c>
      <c r="W1322" s="1906">
        <f t="shared" si="1721"/>
        <v>0</v>
      </c>
      <c r="X1322" s="1906">
        <f t="shared" si="1722"/>
        <v>0</v>
      </c>
      <c r="Y1322" s="1906">
        <f t="shared" si="1723"/>
        <v>0</v>
      </c>
      <c r="Z1322" s="1906">
        <f t="shared" si="1724"/>
        <v>0</v>
      </c>
      <c r="AA1322" s="1906">
        <f t="shared" si="1725"/>
        <v>0</v>
      </c>
      <c r="AB1322" s="107"/>
      <c r="AC1322" s="1906">
        <f t="shared" si="1726"/>
        <v>0</v>
      </c>
      <c r="AD1322" s="1906">
        <f t="shared" si="1727"/>
        <v>0</v>
      </c>
      <c r="AE1322" s="1906">
        <f t="shared" si="1728"/>
        <v>0</v>
      </c>
      <c r="AF1322" s="1906">
        <f t="shared" si="1729"/>
        <v>0</v>
      </c>
      <c r="AG1322" s="1906">
        <f t="shared" si="1730"/>
        <v>0</v>
      </c>
      <c r="AH1322" s="1906">
        <f t="shared" si="1731"/>
        <v>0</v>
      </c>
      <c r="AI1322" s="1906">
        <f t="shared" si="1732"/>
        <v>0</v>
      </c>
      <c r="AJ1322" s="1906">
        <f t="shared" si="1733"/>
        <v>0</v>
      </c>
      <c r="AK1322" s="1906">
        <f t="shared" si="1734"/>
        <v>0</v>
      </c>
      <c r="AL1322" s="1906">
        <f t="shared" si="1735"/>
        <v>0</v>
      </c>
      <c r="AM1322" s="1906">
        <f t="shared" si="1736"/>
        <v>0</v>
      </c>
      <c r="AN1322" s="1906">
        <f t="shared" si="1737"/>
        <v>0</v>
      </c>
      <c r="AO1322" s="107"/>
      <c r="AP1322" s="1906">
        <f t="shared" si="1738"/>
        <v>0</v>
      </c>
      <c r="AQ1322" s="1906">
        <f t="shared" si="1739"/>
        <v>0</v>
      </c>
      <c r="AR1322" s="1906">
        <f t="shared" si="1740"/>
        <v>0</v>
      </c>
      <c r="AS1322" s="1906">
        <f t="shared" si="1741"/>
        <v>0</v>
      </c>
      <c r="AT1322" s="1906">
        <f t="shared" si="1742"/>
        <v>0</v>
      </c>
      <c r="AU1322" s="1906">
        <f t="shared" si="1743"/>
        <v>0</v>
      </c>
      <c r="AV1322" s="1906">
        <f t="shared" si="1744"/>
        <v>0</v>
      </c>
      <c r="AW1322" s="1906">
        <f t="shared" si="1745"/>
        <v>0</v>
      </c>
      <c r="AX1322" s="1906">
        <f t="shared" si="1746"/>
        <v>0</v>
      </c>
      <c r="AY1322" s="1906">
        <f t="shared" si="1747"/>
        <v>0</v>
      </c>
      <c r="AZ1322" s="1906">
        <f t="shared" si="1748"/>
        <v>0</v>
      </c>
      <c r="BA1322" s="1906">
        <f t="shared" si="1749"/>
        <v>0</v>
      </c>
      <c r="BB1322" s="107"/>
      <c r="BC1322" s="1906">
        <f t="shared" si="1750"/>
        <v>0</v>
      </c>
      <c r="BD1322" s="1906">
        <f t="shared" si="1751"/>
        <v>0</v>
      </c>
      <c r="BE1322" s="1906">
        <f t="shared" si="1752"/>
        <v>0</v>
      </c>
      <c r="BF1322" s="1906">
        <f t="shared" si="1753"/>
        <v>0</v>
      </c>
      <c r="BG1322" s="1906">
        <f t="shared" si="1754"/>
        <v>0</v>
      </c>
      <c r="BH1322" s="1906">
        <f t="shared" si="1755"/>
        <v>0</v>
      </c>
      <c r="BI1322" s="1906">
        <f t="shared" si="1756"/>
        <v>0</v>
      </c>
      <c r="BJ1322" s="1906">
        <f t="shared" si="1757"/>
        <v>0</v>
      </c>
      <c r="BK1322" s="1906">
        <f t="shared" si="1758"/>
        <v>0</v>
      </c>
      <c r="BL1322" s="1906">
        <f t="shared" si="1759"/>
        <v>0</v>
      </c>
      <c r="BM1322" s="1906">
        <f t="shared" si="1760"/>
        <v>0</v>
      </c>
      <c r="BN1322" s="1906">
        <f t="shared" si="1761"/>
        <v>0</v>
      </c>
      <c r="BO1322" s="107"/>
      <c r="BP1322" s="1906">
        <f t="shared" si="1762"/>
        <v>0</v>
      </c>
      <c r="BQ1322" s="1906">
        <f t="shared" si="1763"/>
        <v>0</v>
      </c>
      <c r="BR1322" s="1906">
        <f t="shared" si="1764"/>
        <v>0</v>
      </c>
      <c r="BS1322" s="1906">
        <f t="shared" si="1765"/>
        <v>0</v>
      </c>
      <c r="BT1322" s="1906">
        <f t="shared" si="1766"/>
        <v>0</v>
      </c>
      <c r="BU1322" s="1906">
        <f t="shared" si="1767"/>
        <v>0</v>
      </c>
      <c r="BV1322" s="1906">
        <f t="shared" si="1768"/>
        <v>0</v>
      </c>
      <c r="BW1322" s="1906">
        <f t="shared" si="1769"/>
        <v>0</v>
      </c>
      <c r="BX1322" s="1906">
        <f t="shared" si="1770"/>
        <v>0</v>
      </c>
      <c r="BY1322" s="1906">
        <f t="shared" si="1771"/>
        <v>0</v>
      </c>
      <c r="BZ1322" s="1906">
        <f t="shared" si="1772"/>
        <v>0</v>
      </c>
      <c r="CA1322" s="1906">
        <f t="shared" si="1773"/>
        <v>0</v>
      </c>
      <c r="CB1322" s="1971">
        <f t="shared" si="1774"/>
        <v>0</v>
      </c>
      <c r="CC1322" s="1906">
        <f t="shared" si="1775"/>
        <v>0</v>
      </c>
      <c r="CD1322" s="1906">
        <f t="shared" si="1776"/>
        <v>0</v>
      </c>
      <c r="CE1322" s="1906">
        <f t="shared" si="1777"/>
        <v>0</v>
      </c>
      <c r="CF1322" s="1906">
        <f t="shared" si="1778"/>
        <v>0</v>
      </c>
      <c r="CG1322" s="1906">
        <f t="shared" si="1779"/>
        <v>0</v>
      </c>
      <c r="CH1322" s="1906">
        <f t="shared" si="1780"/>
        <v>0</v>
      </c>
      <c r="CI1322" s="1906">
        <f t="shared" si="1781"/>
        <v>0</v>
      </c>
      <c r="CJ1322" s="1906">
        <f t="shared" si="1695"/>
        <v>0</v>
      </c>
      <c r="CK1322" s="1906">
        <f t="shared" si="1696"/>
        <v>0</v>
      </c>
      <c r="CL1322" s="1906">
        <f t="shared" si="1697"/>
        <v>0</v>
      </c>
      <c r="CM1322" s="1906">
        <f t="shared" si="1698"/>
        <v>0</v>
      </c>
      <c r="CN1322" s="1906">
        <f t="shared" si="1699"/>
        <v>0</v>
      </c>
      <c r="CO1322" s="595">
        <f t="shared" si="1700"/>
        <v>0</v>
      </c>
      <c r="CP1322" s="1443">
        <f t="shared" si="1701"/>
        <v>0</v>
      </c>
      <c r="EF1322" s="5"/>
    </row>
    <row r="1323" spans="1:136" x14ac:dyDescent="0.2">
      <c r="A1323" s="6"/>
      <c r="B1323" s="1971" t="str">
        <f t="shared" si="1702"/>
        <v>Subtotal Cultivos de Verano para Reserva</v>
      </c>
      <c r="C1323" s="1906">
        <f t="shared" si="1703"/>
        <v>0</v>
      </c>
      <c r="D1323" s="1906">
        <f t="shared" si="1704"/>
        <v>0</v>
      </c>
      <c r="E1323" s="1906">
        <f t="shared" si="1705"/>
        <v>0</v>
      </c>
      <c r="F1323" s="1906">
        <f t="shared" si="1706"/>
        <v>0</v>
      </c>
      <c r="G1323" s="1906">
        <f t="shared" si="1707"/>
        <v>0</v>
      </c>
      <c r="H1323" s="1906">
        <f t="shared" si="1708"/>
        <v>0</v>
      </c>
      <c r="I1323" s="1906">
        <f t="shared" si="1709"/>
        <v>0</v>
      </c>
      <c r="J1323" s="1906">
        <f t="shared" si="1710"/>
        <v>0</v>
      </c>
      <c r="K1323" s="1906">
        <f t="shared" si="1711"/>
        <v>0</v>
      </c>
      <c r="L1323" s="1906">
        <f t="shared" si="1712"/>
        <v>0</v>
      </c>
      <c r="M1323" s="1906">
        <f t="shared" si="1713"/>
        <v>0</v>
      </c>
      <c r="N1323" s="1906">
        <f t="shared" si="1714"/>
        <v>0</v>
      </c>
      <c r="O1323" s="107"/>
      <c r="P1323" s="1906"/>
      <c r="Q1323" s="1906">
        <f t="shared" si="1715"/>
        <v>0</v>
      </c>
      <c r="R1323" s="1906">
        <f t="shared" si="1716"/>
        <v>0</v>
      </c>
      <c r="S1323" s="1906">
        <f t="shared" si="1717"/>
        <v>0</v>
      </c>
      <c r="T1323" s="1906">
        <f t="shared" si="1718"/>
        <v>0</v>
      </c>
      <c r="U1323" s="1906">
        <f t="shared" si="1719"/>
        <v>0</v>
      </c>
      <c r="V1323" s="1906">
        <f t="shared" si="1720"/>
        <v>0</v>
      </c>
      <c r="W1323" s="1906">
        <f t="shared" si="1721"/>
        <v>0</v>
      </c>
      <c r="X1323" s="1906">
        <f t="shared" si="1722"/>
        <v>0</v>
      </c>
      <c r="Y1323" s="1906">
        <f t="shared" si="1723"/>
        <v>0</v>
      </c>
      <c r="Z1323" s="1906">
        <f t="shared" si="1724"/>
        <v>0</v>
      </c>
      <c r="AA1323" s="1906">
        <f t="shared" si="1725"/>
        <v>0</v>
      </c>
      <c r="AB1323" s="107"/>
      <c r="AC1323" s="1906">
        <f t="shared" si="1726"/>
        <v>0</v>
      </c>
      <c r="AD1323" s="1906">
        <f t="shared" si="1727"/>
        <v>0</v>
      </c>
      <c r="AE1323" s="1906">
        <f t="shared" si="1728"/>
        <v>0</v>
      </c>
      <c r="AF1323" s="1906">
        <f t="shared" si="1729"/>
        <v>0</v>
      </c>
      <c r="AG1323" s="1906">
        <f t="shared" si="1730"/>
        <v>0</v>
      </c>
      <c r="AH1323" s="1906">
        <f t="shared" si="1731"/>
        <v>0</v>
      </c>
      <c r="AI1323" s="1906">
        <f t="shared" si="1732"/>
        <v>0</v>
      </c>
      <c r="AJ1323" s="1906">
        <f t="shared" si="1733"/>
        <v>0</v>
      </c>
      <c r="AK1323" s="1906">
        <f t="shared" si="1734"/>
        <v>0</v>
      </c>
      <c r="AL1323" s="1906">
        <f t="shared" si="1735"/>
        <v>0</v>
      </c>
      <c r="AM1323" s="1906">
        <f t="shared" si="1736"/>
        <v>0</v>
      </c>
      <c r="AN1323" s="1906">
        <f t="shared" si="1737"/>
        <v>0</v>
      </c>
      <c r="AO1323" s="107"/>
      <c r="AP1323" s="1906">
        <f t="shared" si="1738"/>
        <v>0</v>
      </c>
      <c r="AQ1323" s="1906">
        <f t="shared" si="1739"/>
        <v>0</v>
      </c>
      <c r="AR1323" s="1906">
        <f t="shared" si="1740"/>
        <v>0</v>
      </c>
      <c r="AS1323" s="1906">
        <f t="shared" si="1741"/>
        <v>0</v>
      </c>
      <c r="AT1323" s="1906">
        <f t="shared" si="1742"/>
        <v>0</v>
      </c>
      <c r="AU1323" s="1906">
        <f t="shared" si="1743"/>
        <v>0</v>
      </c>
      <c r="AV1323" s="1906">
        <f t="shared" si="1744"/>
        <v>0</v>
      </c>
      <c r="AW1323" s="1906">
        <f t="shared" si="1745"/>
        <v>0</v>
      </c>
      <c r="AX1323" s="1906">
        <f t="shared" si="1746"/>
        <v>0</v>
      </c>
      <c r="AY1323" s="1906">
        <f t="shared" si="1747"/>
        <v>0</v>
      </c>
      <c r="AZ1323" s="1906">
        <f t="shared" si="1748"/>
        <v>0</v>
      </c>
      <c r="BA1323" s="1906">
        <f t="shared" si="1749"/>
        <v>0</v>
      </c>
      <c r="BB1323" s="107"/>
      <c r="BC1323" s="1906">
        <f t="shared" si="1750"/>
        <v>0</v>
      </c>
      <c r="BD1323" s="1906">
        <f t="shared" si="1751"/>
        <v>0</v>
      </c>
      <c r="BE1323" s="1906">
        <f t="shared" si="1752"/>
        <v>0</v>
      </c>
      <c r="BF1323" s="1906">
        <f t="shared" si="1753"/>
        <v>0</v>
      </c>
      <c r="BG1323" s="1906">
        <f t="shared" si="1754"/>
        <v>0</v>
      </c>
      <c r="BH1323" s="1906">
        <f t="shared" si="1755"/>
        <v>0</v>
      </c>
      <c r="BI1323" s="1906">
        <f t="shared" si="1756"/>
        <v>0</v>
      </c>
      <c r="BJ1323" s="1906">
        <f t="shared" si="1757"/>
        <v>0</v>
      </c>
      <c r="BK1323" s="1906">
        <f t="shared" si="1758"/>
        <v>0</v>
      </c>
      <c r="BL1323" s="1906">
        <f t="shared" si="1759"/>
        <v>0</v>
      </c>
      <c r="BM1323" s="1906">
        <f t="shared" si="1760"/>
        <v>0</v>
      </c>
      <c r="BN1323" s="1906">
        <f t="shared" si="1761"/>
        <v>0</v>
      </c>
      <c r="BO1323" s="107"/>
      <c r="BP1323" s="1906">
        <f t="shared" si="1762"/>
        <v>0</v>
      </c>
      <c r="BQ1323" s="1906">
        <f t="shared" si="1763"/>
        <v>0</v>
      </c>
      <c r="BR1323" s="1906">
        <f t="shared" si="1764"/>
        <v>0</v>
      </c>
      <c r="BS1323" s="1906">
        <f t="shared" si="1765"/>
        <v>0</v>
      </c>
      <c r="BT1323" s="1906">
        <f t="shared" si="1766"/>
        <v>0</v>
      </c>
      <c r="BU1323" s="1906">
        <f t="shared" si="1767"/>
        <v>0</v>
      </c>
      <c r="BV1323" s="1906">
        <f t="shared" si="1768"/>
        <v>0</v>
      </c>
      <c r="BW1323" s="1906">
        <f t="shared" si="1769"/>
        <v>0</v>
      </c>
      <c r="BX1323" s="1906">
        <f t="shared" si="1770"/>
        <v>0</v>
      </c>
      <c r="BY1323" s="1906">
        <f t="shared" si="1771"/>
        <v>0</v>
      </c>
      <c r="BZ1323" s="1906">
        <f t="shared" si="1772"/>
        <v>0</v>
      </c>
      <c r="CA1323" s="1906">
        <f t="shared" si="1773"/>
        <v>0</v>
      </c>
      <c r="CB1323" s="1971" t="str">
        <f t="shared" si="1774"/>
        <v>Subtotal Cultivos de Verano para Reserva</v>
      </c>
      <c r="CC1323" s="1906">
        <f t="shared" si="1775"/>
        <v>0</v>
      </c>
      <c r="CD1323" s="1906">
        <f t="shared" si="1776"/>
        <v>0</v>
      </c>
      <c r="CE1323" s="1906">
        <f t="shared" si="1777"/>
        <v>0</v>
      </c>
      <c r="CF1323" s="1906">
        <f t="shared" si="1778"/>
        <v>0</v>
      </c>
      <c r="CG1323" s="1906">
        <f t="shared" si="1779"/>
        <v>0</v>
      </c>
      <c r="CH1323" s="1906">
        <f t="shared" si="1780"/>
        <v>0</v>
      </c>
      <c r="CI1323" s="1906">
        <f t="shared" si="1781"/>
        <v>0</v>
      </c>
      <c r="CJ1323" s="1906">
        <f t="shared" si="1695"/>
        <v>0</v>
      </c>
      <c r="CK1323" s="1906">
        <f t="shared" si="1696"/>
        <v>0</v>
      </c>
      <c r="CL1323" s="1906">
        <f t="shared" si="1697"/>
        <v>0</v>
      </c>
      <c r="CM1323" s="1906">
        <f t="shared" si="1698"/>
        <v>0</v>
      </c>
      <c r="CN1323" s="1906">
        <f t="shared" si="1699"/>
        <v>0</v>
      </c>
      <c r="CO1323" s="595" t="str">
        <f t="shared" si="1700"/>
        <v>Subtotal Cultivos de Verano para Reserva</v>
      </c>
      <c r="CP1323" s="1443">
        <f t="shared" si="1701"/>
        <v>0</v>
      </c>
      <c r="EF1323" s="5"/>
    </row>
    <row r="1324" spans="1:136" x14ac:dyDescent="0.2">
      <c r="A1324" s="6"/>
      <c r="B1324" s="1971" t="str">
        <f t="shared" si="1702"/>
        <v>Avena silo</v>
      </c>
      <c r="C1324" s="1906">
        <f t="shared" si="1703"/>
        <v>0</v>
      </c>
      <c r="D1324" s="1906">
        <f t="shared" si="1704"/>
        <v>0</v>
      </c>
      <c r="E1324" s="1906">
        <f t="shared" si="1705"/>
        <v>0</v>
      </c>
      <c r="F1324" s="1906">
        <f t="shared" si="1706"/>
        <v>0</v>
      </c>
      <c r="G1324" s="1906">
        <f t="shared" si="1707"/>
        <v>0</v>
      </c>
      <c r="H1324" s="1906">
        <f t="shared" si="1708"/>
        <v>0</v>
      </c>
      <c r="I1324" s="1906">
        <f t="shared" si="1709"/>
        <v>0</v>
      </c>
      <c r="J1324" s="1906">
        <f t="shared" si="1710"/>
        <v>0</v>
      </c>
      <c r="K1324" s="1906">
        <f t="shared" si="1711"/>
        <v>0</v>
      </c>
      <c r="L1324" s="1906">
        <f t="shared" si="1712"/>
        <v>0</v>
      </c>
      <c r="M1324" s="1906">
        <f t="shared" si="1713"/>
        <v>0</v>
      </c>
      <c r="N1324" s="1906">
        <f t="shared" si="1714"/>
        <v>0</v>
      </c>
      <c r="O1324" s="107"/>
      <c r="P1324" s="1906"/>
      <c r="Q1324" s="1906">
        <f t="shared" si="1715"/>
        <v>0</v>
      </c>
      <c r="R1324" s="1906">
        <f t="shared" si="1716"/>
        <v>0</v>
      </c>
      <c r="S1324" s="1906">
        <f t="shared" si="1717"/>
        <v>0</v>
      </c>
      <c r="T1324" s="1906">
        <f t="shared" si="1718"/>
        <v>0</v>
      </c>
      <c r="U1324" s="1906">
        <f t="shared" si="1719"/>
        <v>0</v>
      </c>
      <c r="V1324" s="1906">
        <f t="shared" si="1720"/>
        <v>0</v>
      </c>
      <c r="W1324" s="1906">
        <f t="shared" si="1721"/>
        <v>0</v>
      </c>
      <c r="X1324" s="1906">
        <f t="shared" si="1722"/>
        <v>0</v>
      </c>
      <c r="Y1324" s="1906">
        <f t="shared" si="1723"/>
        <v>0</v>
      </c>
      <c r="Z1324" s="1906">
        <f t="shared" si="1724"/>
        <v>0</v>
      </c>
      <c r="AA1324" s="1906">
        <f t="shared" si="1725"/>
        <v>0</v>
      </c>
      <c r="AB1324" s="107"/>
      <c r="AC1324" s="1906">
        <f t="shared" si="1726"/>
        <v>0</v>
      </c>
      <c r="AD1324" s="1906">
        <f t="shared" si="1727"/>
        <v>0</v>
      </c>
      <c r="AE1324" s="1906">
        <f t="shared" si="1728"/>
        <v>0</v>
      </c>
      <c r="AF1324" s="1906">
        <f t="shared" si="1729"/>
        <v>0</v>
      </c>
      <c r="AG1324" s="1906">
        <f t="shared" si="1730"/>
        <v>0</v>
      </c>
      <c r="AH1324" s="1906">
        <f t="shared" si="1731"/>
        <v>0</v>
      </c>
      <c r="AI1324" s="1906">
        <f t="shared" si="1732"/>
        <v>0</v>
      </c>
      <c r="AJ1324" s="1906">
        <f t="shared" si="1733"/>
        <v>0</v>
      </c>
      <c r="AK1324" s="1906">
        <f t="shared" si="1734"/>
        <v>0</v>
      </c>
      <c r="AL1324" s="1906">
        <f t="shared" si="1735"/>
        <v>0</v>
      </c>
      <c r="AM1324" s="1906">
        <f t="shared" si="1736"/>
        <v>0</v>
      </c>
      <c r="AN1324" s="1906">
        <f t="shared" si="1737"/>
        <v>0</v>
      </c>
      <c r="AO1324" s="107"/>
      <c r="AP1324" s="1906">
        <f t="shared" si="1738"/>
        <v>0</v>
      </c>
      <c r="AQ1324" s="1906">
        <f t="shared" si="1739"/>
        <v>0</v>
      </c>
      <c r="AR1324" s="1906">
        <f t="shared" si="1740"/>
        <v>0</v>
      </c>
      <c r="AS1324" s="1906">
        <f t="shared" si="1741"/>
        <v>0</v>
      </c>
      <c r="AT1324" s="1906">
        <f t="shared" si="1742"/>
        <v>0</v>
      </c>
      <c r="AU1324" s="1906">
        <f t="shared" si="1743"/>
        <v>0</v>
      </c>
      <c r="AV1324" s="1906">
        <f t="shared" si="1744"/>
        <v>0</v>
      </c>
      <c r="AW1324" s="1906">
        <f t="shared" si="1745"/>
        <v>0</v>
      </c>
      <c r="AX1324" s="1906">
        <f t="shared" si="1746"/>
        <v>0</v>
      </c>
      <c r="AY1324" s="1906">
        <f t="shared" si="1747"/>
        <v>0</v>
      </c>
      <c r="AZ1324" s="1906">
        <f t="shared" si="1748"/>
        <v>0</v>
      </c>
      <c r="BA1324" s="1906">
        <f t="shared" si="1749"/>
        <v>0</v>
      </c>
      <c r="BB1324" s="107"/>
      <c r="BC1324" s="1906">
        <f t="shared" si="1750"/>
        <v>0</v>
      </c>
      <c r="BD1324" s="1906">
        <f t="shared" si="1751"/>
        <v>0</v>
      </c>
      <c r="BE1324" s="1906">
        <f t="shared" si="1752"/>
        <v>0</v>
      </c>
      <c r="BF1324" s="1906">
        <f t="shared" si="1753"/>
        <v>0</v>
      </c>
      <c r="BG1324" s="1906">
        <f t="shared" si="1754"/>
        <v>0</v>
      </c>
      <c r="BH1324" s="1906">
        <f t="shared" si="1755"/>
        <v>0</v>
      </c>
      <c r="BI1324" s="1906">
        <f t="shared" si="1756"/>
        <v>0</v>
      </c>
      <c r="BJ1324" s="1906">
        <f t="shared" si="1757"/>
        <v>0</v>
      </c>
      <c r="BK1324" s="1906">
        <f t="shared" si="1758"/>
        <v>0</v>
      </c>
      <c r="BL1324" s="1906">
        <f t="shared" si="1759"/>
        <v>0</v>
      </c>
      <c r="BM1324" s="1906">
        <f t="shared" si="1760"/>
        <v>0</v>
      </c>
      <c r="BN1324" s="1906">
        <f t="shared" si="1761"/>
        <v>0</v>
      </c>
      <c r="BO1324" s="107"/>
      <c r="BP1324" s="1906">
        <f t="shared" si="1762"/>
        <v>0</v>
      </c>
      <c r="BQ1324" s="1906">
        <f t="shared" si="1763"/>
        <v>0</v>
      </c>
      <c r="BR1324" s="1906">
        <f t="shared" si="1764"/>
        <v>0</v>
      </c>
      <c r="BS1324" s="1906">
        <f t="shared" si="1765"/>
        <v>0</v>
      </c>
      <c r="BT1324" s="1906">
        <f t="shared" si="1766"/>
        <v>0</v>
      </c>
      <c r="BU1324" s="1906">
        <f t="shared" si="1767"/>
        <v>0</v>
      </c>
      <c r="BV1324" s="1906">
        <f t="shared" si="1768"/>
        <v>0</v>
      </c>
      <c r="BW1324" s="1906">
        <f t="shared" si="1769"/>
        <v>0</v>
      </c>
      <c r="BX1324" s="1906">
        <f t="shared" si="1770"/>
        <v>0</v>
      </c>
      <c r="BY1324" s="1906">
        <f t="shared" si="1771"/>
        <v>0</v>
      </c>
      <c r="BZ1324" s="1906">
        <f t="shared" si="1772"/>
        <v>0</v>
      </c>
      <c r="CA1324" s="1906">
        <f t="shared" si="1773"/>
        <v>0</v>
      </c>
      <c r="CB1324" s="1971" t="str">
        <f t="shared" si="1774"/>
        <v>Avena silo</v>
      </c>
      <c r="CC1324" s="1906">
        <f t="shared" si="1775"/>
        <v>0</v>
      </c>
      <c r="CD1324" s="1906">
        <f t="shared" si="1776"/>
        <v>0</v>
      </c>
      <c r="CE1324" s="1906">
        <f t="shared" si="1777"/>
        <v>0</v>
      </c>
      <c r="CF1324" s="1906">
        <f t="shared" si="1778"/>
        <v>0</v>
      </c>
      <c r="CG1324" s="1906">
        <f t="shared" si="1779"/>
        <v>0</v>
      </c>
      <c r="CH1324" s="1906">
        <f t="shared" si="1780"/>
        <v>0</v>
      </c>
      <c r="CI1324" s="1906">
        <f t="shared" si="1781"/>
        <v>0</v>
      </c>
      <c r="CJ1324" s="1906">
        <f t="shared" si="1695"/>
        <v>0</v>
      </c>
      <c r="CK1324" s="1906">
        <f t="shared" si="1696"/>
        <v>0</v>
      </c>
      <c r="CL1324" s="1906">
        <f t="shared" si="1697"/>
        <v>0</v>
      </c>
      <c r="CM1324" s="1906">
        <f t="shared" si="1698"/>
        <v>0</v>
      </c>
      <c r="CN1324" s="1906">
        <f t="shared" si="1699"/>
        <v>0</v>
      </c>
      <c r="CO1324" s="595" t="str">
        <f t="shared" si="1700"/>
        <v>Avena silo</v>
      </c>
      <c r="CP1324" s="1443">
        <f t="shared" si="1701"/>
        <v>0</v>
      </c>
      <c r="EF1324" s="5"/>
    </row>
    <row r="1325" spans="1:136" x14ac:dyDescent="0.2">
      <c r="A1325" s="6"/>
      <c r="B1325" s="1971" t="str">
        <f t="shared" si="1702"/>
        <v>Raigrás Silo</v>
      </c>
      <c r="C1325" s="1906">
        <f t="shared" si="1703"/>
        <v>0</v>
      </c>
      <c r="D1325" s="1906">
        <f t="shared" si="1704"/>
        <v>0</v>
      </c>
      <c r="E1325" s="1906">
        <f t="shared" si="1705"/>
        <v>0</v>
      </c>
      <c r="F1325" s="1906">
        <f t="shared" si="1706"/>
        <v>0</v>
      </c>
      <c r="G1325" s="1906">
        <f t="shared" si="1707"/>
        <v>0</v>
      </c>
      <c r="H1325" s="1906">
        <f t="shared" si="1708"/>
        <v>0</v>
      </c>
      <c r="I1325" s="1906">
        <f t="shared" si="1709"/>
        <v>0</v>
      </c>
      <c r="J1325" s="1906">
        <f t="shared" si="1710"/>
        <v>0</v>
      </c>
      <c r="K1325" s="1906">
        <f t="shared" si="1711"/>
        <v>0</v>
      </c>
      <c r="L1325" s="1906">
        <f t="shared" si="1712"/>
        <v>0</v>
      </c>
      <c r="M1325" s="1906">
        <f t="shared" si="1713"/>
        <v>0</v>
      </c>
      <c r="N1325" s="1906">
        <f t="shared" si="1714"/>
        <v>0</v>
      </c>
      <c r="O1325" s="107"/>
      <c r="P1325" s="1906"/>
      <c r="Q1325" s="1906">
        <f t="shared" si="1715"/>
        <v>0</v>
      </c>
      <c r="R1325" s="1906">
        <f t="shared" si="1716"/>
        <v>0</v>
      </c>
      <c r="S1325" s="1906">
        <f t="shared" si="1717"/>
        <v>0</v>
      </c>
      <c r="T1325" s="1906">
        <f t="shared" si="1718"/>
        <v>0</v>
      </c>
      <c r="U1325" s="1906">
        <f t="shared" si="1719"/>
        <v>0</v>
      </c>
      <c r="V1325" s="1906">
        <f t="shared" si="1720"/>
        <v>0</v>
      </c>
      <c r="W1325" s="1906">
        <f t="shared" si="1721"/>
        <v>0</v>
      </c>
      <c r="X1325" s="1906">
        <f t="shared" si="1722"/>
        <v>0</v>
      </c>
      <c r="Y1325" s="1906">
        <f t="shared" si="1723"/>
        <v>0</v>
      </c>
      <c r="Z1325" s="1906">
        <f t="shared" si="1724"/>
        <v>0</v>
      </c>
      <c r="AA1325" s="1906">
        <f t="shared" si="1725"/>
        <v>0</v>
      </c>
      <c r="AB1325" s="107"/>
      <c r="AC1325" s="1906">
        <f t="shared" si="1726"/>
        <v>0</v>
      </c>
      <c r="AD1325" s="1906">
        <f t="shared" si="1727"/>
        <v>0</v>
      </c>
      <c r="AE1325" s="1906">
        <f t="shared" si="1728"/>
        <v>0</v>
      </c>
      <c r="AF1325" s="1906">
        <f t="shared" si="1729"/>
        <v>0</v>
      </c>
      <c r="AG1325" s="1906">
        <f t="shared" si="1730"/>
        <v>0</v>
      </c>
      <c r="AH1325" s="1906">
        <f t="shared" si="1731"/>
        <v>0</v>
      </c>
      <c r="AI1325" s="1906">
        <f t="shared" si="1732"/>
        <v>0</v>
      </c>
      <c r="AJ1325" s="1906">
        <f t="shared" si="1733"/>
        <v>0</v>
      </c>
      <c r="AK1325" s="1906">
        <f t="shared" si="1734"/>
        <v>0</v>
      </c>
      <c r="AL1325" s="1906">
        <f t="shared" si="1735"/>
        <v>0</v>
      </c>
      <c r="AM1325" s="1906">
        <f t="shared" si="1736"/>
        <v>0</v>
      </c>
      <c r="AN1325" s="1906">
        <f t="shared" si="1737"/>
        <v>0</v>
      </c>
      <c r="AO1325" s="107"/>
      <c r="AP1325" s="1906">
        <f t="shared" si="1738"/>
        <v>0</v>
      </c>
      <c r="AQ1325" s="1906">
        <f t="shared" si="1739"/>
        <v>0</v>
      </c>
      <c r="AR1325" s="1906">
        <f t="shared" si="1740"/>
        <v>0</v>
      </c>
      <c r="AS1325" s="1906">
        <f t="shared" si="1741"/>
        <v>0</v>
      </c>
      <c r="AT1325" s="1906">
        <f t="shared" si="1742"/>
        <v>0</v>
      </c>
      <c r="AU1325" s="1906">
        <f t="shared" si="1743"/>
        <v>0</v>
      </c>
      <c r="AV1325" s="1906">
        <f t="shared" si="1744"/>
        <v>0</v>
      </c>
      <c r="AW1325" s="1906">
        <f t="shared" si="1745"/>
        <v>0</v>
      </c>
      <c r="AX1325" s="1906">
        <f t="shared" si="1746"/>
        <v>0</v>
      </c>
      <c r="AY1325" s="1906">
        <f t="shared" si="1747"/>
        <v>0</v>
      </c>
      <c r="AZ1325" s="1906">
        <f t="shared" si="1748"/>
        <v>0</v>
      </c>
      <c r="BA1325" s="1906">
        <f t="shared" si="1749"/>
        <v>0</v>
      </c>
      <c r="BB1325" s="107"/>
      <c r="BC1325" s="1906">
        <f t="shared" si="1750"/>
        <v>0</v>
      </c>
      <c r="BD1325" s="1906">
        <f t="shared" si="1751"/>
        <v>0</v>
      </c>
      <c r="BE1325" s="1906">
        <f t="shared" si="1752"/>
        <v>0</v>
      </c>
      <c r="BF1325" s="1906">
        <f t="shared" si="1753"/>
        <v>0</v>
      </c>
      <c r="BG1325" s="1906">
        <f t="shared" si="1754"/>
        <v>0</v>
      </c>
      <c r="BH1325" s="1906">
        <f t="shared" si="1755"/>
        <v>0</v>
      </c>
      <c r="BI1325" s="1906">
        <f t="shared" si="1756"/>
        <v>0</v>
      </c>
      <c r="BJ1325" s="1906">
        <f t="shared" si="1757"/>
        <v>0</v>
      </c>
      <c r="BK1325" s="1906">
        <f t="shared" si="1758"/>
        <v>0</v>
      </c>
      <c r="BL1325" s="1906">
        <f t="shared" si="1759"/>
        <v>0</v>
      </c>
      <c r="BM1325" s="1906">
        <f t="shared" si="1760"/>
        <v>0</v>
      </c>
      <c r="BN1325" s="1906">
        <f t="shared" si="1761"/>
        <v>0</v>
      </c>
      <c r="BO1325" s="107"/>
      <c r="BP1325" s="1906">
        <f t="shared" si="1762"/>
        <v>0</v>
      </c>
      <c r="BQ1325" s="1906">
        <f t="shared" si="1763"/>
        <v>0</v>
      </c>
      <c r="BR1325" s="1906">
        <f t="shared" si="1764"/>
        <v>0</v>
      </c>
      <c r="BS1325" s="1906">
        <f t="shared" si="1765"/>
        <v>0</v>
      </c>
      <c r="BT1325" s="1906">
        <f t="shared" si="1766"/>
        <v>0</v>
      </c>
      <c r="BU1325" s="1906">
        <f t="shared" si="1767"/>
        <v>0</v>
      </c>
      <c r="BV1325" s="1906">
        <f t="shared" si="1768"/>
        <v>0</v>
      </c>
      <c r="BW1325" s="1906">
        <f t="shared" si="1769"/>
        <v>0</v>
      </c>
      <c r="BX1325" s="1906">
        <f t="shared" si="1770"/>
        <v>0</v>
      </c>
      <c r="BY1325" s="1906">
        <f t="shared" si="1771"/>
        <v>0</v>
      </c>
      <c r="BZ1325" s="1906">
        <f t="shared" si="1772"/>
        <v>0</v>
      </c>
      <c r="CA1325" s="1906">
        <f t="shared" si="1773"/>
        <v>0</v>
      </c>
      <c r="CB1325" s="1971" t="str">
        <f t="shared" si="1774"/>
        <v>Raigrás Silo</v>
      </c>
      <c r="CC1325" s="1906">
        <f t="shared" si="1775"/>
        <v>0</v>
      </c>
      <c r="CD1325" s="1906">
        <f t="shared" si="1776"/>
        <v>0</v>
      </c>
      <c r="CE1325" s="1906">
        <f t="shared" si="1777"/>
        <v>0</v>
      </c>
      <c r="CF1325" s="1906">
        <f t="shared" si="1778"/>
        <v>0</v>
      </c>
      <c r="CG1325" s="1906">
        <f t="shared" si="1779"/>
        <v>0</v>
      </c>
      <c r="CH1325" s="1906">
        <f t="shared" si="1780"/>
        <v>0</v>
      </c>
      <c r="CI1325" s="1906">
        <f t="shared" si="1781"/>
        <v>0</v>
      </c>
      <c r="CJ1325" s="1906">
        <f t="shared" si="1695"/>
        <v>0</v>
      </c>
      <c r="CK1325" s="1906">
        <f t="shared" si="1696"/>
        <v>0</v>
      </c>
      <c r="CL1325" s="1906">
        <f t="shared" si="1697"/>
        <v>0</v>
      </c>
      <c r="CM1325" s="1906">
        <f t="shared" si="1698"/>
        <v>0</v>
      </c>
      <c r="CN1325" s="1906">
        <f t="shared" si="1699"/>
        <v>0</v>
      </c>
      <c r="CO1325" s="595" t="str">
        <f t="shared" si="1700"/>
        <v>Raigrás Silo</v>
      </c>
      <c r="CP1325" s="1443">
        <f t="shared" si="1701"/>
        <v>0</v>
      </c>
      <c r="EF1325" s="5"/>
    </row>
    <row r="1326" spans="1:136" x14ac:dyDescent="0.2">
      <c r="A1326" s="6"/>
      <c r="B1326" s="1971" t="str">
        <f t="shared" si="1702"/>
        <v>Ra Silo Cierre Ago</v>
      </c>
      <c r="C1326" s="1906">
        <f t="shared" si="1703"/>
        <v>0</v>
      </c>
      <c r="D1326" s="1906">
        <f t="shared" si="1704"/>
        <v>0</v>
      </c>
      <c r="E1326" s="1906">
        <f t="shared" si="1705"/>
        <v>0</v>
      </c>
      <c r="F1326" s="1906">
        <f t="shared" si="1706"/>
        <v>0</v>
      </c>
      <c r="G1326" s="1906">
        <f t="shared" si="1707"/>
        <v>0</v>
      </c>
      <c r="H1326" s="1906">
        <f t="shared" si="1708"/>
        <v>0</v>
      </c>
      <c r="I1326" s="1906">
        <f t="shared" si="1709"/>
        <v>0</v>
      </c>
      <c r="J1326" s="1906">
        <f t="shared" si="1710"/>
        <v>0</v>
      </c>
      <c r="K1326" s="1906">
        <f t="shared" si="1711"/>
        <v>0</v>
      </c>
      <c r="L1326" s="1906">
        <f t="shared" si="1712"/>
        <v>0</v>
      </c>
      <c r="M1326" s="1906">
        <f t="shared" si="1713"/>
        <v>0</v>
      </c>
      <c r="N1326" s="1906">
        <f t="shared" si="1714"/>
        <v>0</v>
      </c>
      <c r="O1326" s="107"/>
      <c r="P1326" s="1906"/>
      <c r="Q1326" s="1906">
        <f t="shared" si="1715"/>
        <v>0</v>
      </c>
      <c r="R1326" s="1906">
        <f t="shared" si="1716"/>
        <v>0</v>
      </c>
      <c r="S1326" s="1906">
        <f t="shared" si="1717"/>
        <v>0</v>
      </c>
      <c r="T1326" s="1906">
        <f t="shared" si="1718"/>
        <v>0</v>
      </c>
      <c r="U1326" s="1906">
        <f t="shared" si="1719"/>
        <v>0</v>
      </c>
      <c r="V1326" s="1906">
        <f t="shared" si="1720"/>
        <v>0</v>
      </c>
      <c r="W1326" s="1906">
        <f t="shared" si="1721"/>
        <v>0</v>
      </c>
      <c r="X1326" s="1906">
        <f t="shared" si="1722"/>
        <v>0</v>
      </c>
      <c r="Y1326" s="1906">
        <f t="shared" si="1723"/>
        <v>0</v>
      </c>
      <c r="Z1326" s="1906">
        <f t="shared" si="1724"/>
        <v>0</v>
      </c>
      <c r="AA1326" s="1906">
        <f t="shared" si="1725"/>
        <v>0</v>
      </c>
      <c r="AB1326" s="107"/>
      <c r="AC1326" s="1906">
        <f t="shared" si="1726"/>
        <v>0</v>
      </c>
      <c r="AD1326" s="1906">
        <f t="shared" si="1727"/>
        <v>0</v>
      </c>
      <c r="AE1326" s="1906">
        <f t="shared" si="1728"/>
        <v>0</v>
      </c>
      <c r="AF1326" s="1906">
        <f t="shared" si="1729"/>
        <v>0</v>
      </c>
      <c r="AG1326" s="1906">
        <f t="shared" si="1730"/>
        <v>0</v>
      </c>
      <c r="AH1326" s="1906">
        <f t="shared" si="1731"/>
        <v>0</v>
      </c>
      <c r="AI1326" s="1906">
        <f t="shared" si="1732"/>
        <v>0</v>
      </c>
      <c r="AJ1326" s="1906">
        <f t="shared" si="1733"/>
        <v>0</v>
      </c>
      <c r="AK1326" s="1906">
        <f t="shared" si="1734"/>
        <v>0</v>
      </c>
      <c r="AL1326" s="1906">
        <f t="shared" si="1735"/>
        <v>0</v>
      </c>
      <c r="AM1326" s="1906">
        <f t="shared" si="1736"/>
        <v>0</v>
      </c>
      <c r="AN1326" s="1906">
        <f t="shared" si="1737"/>
        <v>0</v>
      </c>
      <c r="AO1326" s="107"/>
      <c r="AP1326" s="1906">
        <f t="shared" si="1738"/>
        <v>0</v>
      </c>
      <c r="AQ1326" s="1906">
        <f t="shared" si="1739"/>
        <v>0</v>
      </c>
      <c r="AR1326" s="1906">
        <f t="shared" si="1740"/>
        <v>0</v>
      </c>
      <c r="AS1326" s="1906">
        <f t="shared" si="1741"/>
        <v>0</v>
      </c>
      <c r="AT1326" s="1906">
        <f t="shared" si="1742"/>
        <v>0</v>
      </c>
      <c r="AU1326" s="1906">
        <f t="shared" si="1743"/>
        <v>0</v>
      </c>
      <c r="AV1326" s="1906">
        <f t="shared" si="1744"/>
        <v>0</v>
      </c>
      <c r="AW1326" s="1906">
        <f t="shared" si="1745"/>
        <v>0</v>
      </c>
      <c r="AX1326" s="1906">
        <f t="shared" si="1746"/>
        <v>0</v>
      </c>
      <c r="AY1326" s="1906">
        <f t="shared" si="1747"/>
        <v>0</v>
      </c>
      <c r="AZ1326" s="1906">
        <f t="shared" si="1748"/>
        <v>0</v>
      </c>
      <c r="BA1326" s="1906">
        <f t="shared" si="1749"/>
        <v>0</v>
      </c>
      <c r="BB1326" s="107"/>
      <c r="BC1326" s="1906">
        <f t="shared" si="1750"/>
        <v>0</v>
      </c>
      <c r="BD1326" s="1906">
        <f t="shared" si="1751"/>
        <v>0</v>
      </c>
      <c r="BE1326" s="1906">
        <f t="shared" si="1752"/>
        <v>0</v>
      </c>
      <c r="BF1326" s="1906">
        <f t="shared" si="1753"/>
        <v>0</v>
      </c>
      <c r="BG1326" s="1906">
        <f t="shared" si="1754"/>
        <v>0</v>
      </c>
      <c r="BH1326" s="1906">
        <f t="shared" si="1755"/>
        <v>0</v>
      </c>
      <c r="BI1326" s="1906">
        <f t="shared" si="1756"/>
        <v>0</v>
      </c>
      <c r="BJ1326" s="1906">
        <f t="shared" si="1757"/>
        <v>0</v>
      </c>
      <c r="BK1326" s="1906">
        <f t="shared" si="1758"/>
        <v>0</v>
      </c>
      <c r="BL1326" s="1906">
        <f t="shared" si="1759"/>
        <v>0</v>
      </c>
      <c r="BM1326" s="1906">
        <f t="shared" si="1760"/>
        <v>0</v>
      </c>
      <c r="BN1326" s="1906">
        <f t="shared" si="1761"/>
        <v>0</v>
      </c>
      <c r="BO1326" s="107"/>
      <c r="BP1326" s="1906">
        <f t="shared" si="1762"/>
        <v>0</v>
      </c>
      <c r="BQ1326" s="1906">
        <f t="shared" si="1763"/>
        <v>0</v>
      </c>
      <c r="BR1326" s="1906">
        <f t="shared" si="1764"/>
        <v>0</v>
      </c>
      <c r="BS1326" s="1906">
        <f t="shared" si="1765"/>
        <v>0</v>
      </c>
      <c r="BT1326" s="1906">
        <f t="shared" si="1766"/>
        <v>0</v>
      </c>
      <c r="BU1326" s="1906">
        <f t="shared" si="1767"/>
        <v>0</v>
      </c>
      <c r="BV1326" s="1906">
        <f t="shared" si="1768"/>
        <v>0</v>
      </c>
      <c r="BW1326" s="1906">
        <f t="shared" si="1769"/>
        <v>0</v>
      </c>
      <c r="BX1326" s="1906">
        <f t="shared" si="1770"/>
        <v>0</v>
      </c>
      <c r="BY1326" s="1906">
        <f t="shared" si="1771"/>
        <v>0</v>
      </c>
      <c r="BZ1326" s="1906">
        <f t="shared" si="1772"/>
        <v>0</v>
      </c>
      <c r="CA1326" s="1906">
        <f t="shared" si="1773"/>
        <v>0</v>
      </c>
      <c r="CB1326" s="1971" t="str">
        <f t="shared" si="1774"/>
        <v>Ra Silo Cierre Ago</v>
      </c>
      <c r="CC1326" s="1906">
        <f t="shared" si="1775"/>
        <v>0</v>
      </c>
      <c r="CD1326" s="1906">
        <f t="shared" si="1776"/>
        <v>0</v>
      </c>
      <c r="CE1326" s="1906">
        <f t="shared" si="1777"/>
        <v>0</v>
      </c>
      <c r="CF1326" s="1906">
        <f t="shared" si="1778"/>
        <v>0</v>
      </c>
      <c r="CG1326" s="1906">
        <f t="shared" si="1779"/>
        <v>0</v>
      </c>
      <c r="CH1326" s="1906">
        <f t="shared" si="1780"/>
        <v>0</v>
      </c>
      <c r="CI1326" s="1906">
        <f t="shared" si="1781"/>
        <v>0</v>
      </c>
      <c r="CJ1326" s="1906">
        <f t="shared" si="1695"/>
        <v>0</v>
      </c>
      <c r="CK1326" s="1906">
        <f t="shared" si="1696"/>
        <v>0</v>
      </c>
      <c r="CL1326" s="1906">
        <f t="shared" si="1697"/>
        <v>0</v>
      </c>
      <c r="CM1326" s="1906">
        <f t="shared" si="1698"/>
        <v>0</v>
      </c>
      <c r="CN1326" s="1906">
        <f t="shared" si="1699"/>
        <v>0</v>
      </c>
      <c r="CO1326" s="595" t="str">
        <f t="shared" si="1700"/>
        <v>Ra Silo Cierre Ago</v>
      </c>
      <c r="CP1326" s="1443">
        <f t="shared" si="1701"/>
        <v>0</v>
      </c>
      <c r="EF1326" s="5"/>
    </row>
    <row r="1327" spans="1:136" x14ac:dyDescent="0.2">
      <c r="A1327" s="6"/>
      <c r="B1327" s="1971">
        <f t="shared" si="1702"/>
        <v>0</v>
      </c>
      <c r="C1327" s="1906">
        <f t="shared" si="1703"/>
        <v>0</v>
      </c>
      <c r="D1327" s="1906">
        <f t="shared" si="1704"/>
        <v>0</v>
      </c>
      <c r="E1327" s="1906">
        <f t="shared" si="1705"/>
        <v>0</v>
      </c>
      <c r="F1327" s="1906">
        <f t="shared" si="1706"/>
        <v>0</v>
      </c>
      <c r="G1327" s="1906">
        <f t="shared" si="1707"/>
        <v>0</v>
      </c>
      <c r="H1327" s="1906">
        <f t="shared" si="1708"/>
        <v>0</v>
      </c>
      <c r="I1327" s="1906">
        <f t="shared" si="1709"/>
        <v>0</v>
      </c>
      <c r="J1327" s="1906">
        <f t="shared" si="1710"/>
        <v>0</v>
      </c>
      <c r="K1327" s="1906">
        <f t="shared" si="1711"/>
        <v>0</v>
      </c>
      <c r="L1327" s="1906">
        <f t="shared" si="1712"/>
        <v>0</v>
      </c>
      <c r="M1327" s="1906">
        <f t="shared" si="1713"/>
        <v>0</v>
      </c>
      <c r="N1327" s="1906">
        <f t="shared" si="1714"/>
        <v>0</v>
      </c>
      <c r="O1327" s="107"/>
      <c r="P1327" s="1906"/>
      <c r="Q1327" s="1906">
        <f t="shared" si="1715"/>
        <v>0</v>
      </c>
      <c r="R1327" s="1906">
        <f t="shared" si="1716"/>
        <v>0</v>
      </c>
      <c r="S1327" s="1906">
        <f t="shared" si="1717"/>
        <v>0</v>
      </c>
      <c r="T1327" s="1906">
        <f t="shared" si="1718"/>
        <v>0</v>
      </c>
      <c r="U1327" s="1906">
        <f t="shared" si="1719"/>
        <v>0</v>
      </c>
      <c r="V1327" s="1906">
        <f t="shared" si="1720"/>
        <v>0</v>
      </c>
      <c r="W1327" s="1906">
        <f t="shared" si="1721"/>
        <v>0</v>
      </c>
      <c r="X1327" s="1906">
        <f t="shared" si="1722"/>
        <v>0</v>
      </c>
      <c r="Y1327" s="1906">
        <f t="shared" si="1723"/>
        <v>0</v>
      </c>
      <c r="Z1327" s="1906">
        <f t="shared" si="1724"/>
        <v>0</v>
      </c>
      <c r="AA1327" s="1906">
        <f t="shared" si="1725"/>
        <v>0</v>
      </c>
      <c r="AB1327" s="107"/>
      <c r="AC1327" s="1906">
        <f t="shared" si="1726"/>
        <v>0</v>
      </c>
      <c r="AD1327" s="1906">
        <f t="shared" si="1727"/>
        <v>0</v>
      </c>
      <c r="AE1327" s="1906">
        <f t="shared" si="1728"/>
        <v>0</v>
      </c>
      <c r="AF1327" s="1906">
        <f t="shared" si="1729"/>
        <v>0</v>
      </c>
      <c r="AG1327" s="1906">
        <f t="shared" si="1730"/>
        <v>0</v>
      </c>
      <c r="AH1327" s="1906">
        <f t="shared" si="1731"/>
        <v>0</v>
      </c>
      <c r="AI1327" s="1906">
        <f t="shared" si="1732"/>
        <v>0</v>
      </c>
      <c r="AJ1327" s="1906">
        <f t="shared" si="1733"/>
        <v>0</v>
      </c>
      <c r="AK1327" s="1906">
        <f t="shared" si="1734"/>
        <v>0</v>
      </c>
      <c r="AL1327" s="1906">
        <f t="shared" si="1735"/>
        <v>0</v>
      </c>
      <c r="AM1327" s="1906">
        <f t="shared" si="1736"/>
        <v>0</v>
      </c>
      <c r="AN1327" s="1906">
        <f t="shared" si="1737"/>
        <v>0</v>
      </c>
      <c r="AO1327" s="107"/>
      <c r="AP1327" s="1906">
        <f t="shared" si="1738"/>
        <v>0</v>
      </c>
      <c r="AQ1327" s="1906">
        <f t="shared" si="1739"/>
        <v>0</v>
      </c>
      <c r="AR1327" s="1906">
        <f t="shared" si="1740"/>
        <v>0</v>
      </c>
      <c r="AS1327" s="1906">
        <f t="shared" si="1741"/>
        <v>0</v>
      </c>
      <c r="AT1327" s="1906">
        <f t="shared" si="1742"/>
        <v>0</v>
      </c>
      <c r="AU1327" s="1906">
        <f t="shared" si="1743"/>
        <v>0</v>
      </c>
      <c r="AV1327" s="1906">
        <f t="shared" si="1744"/>
        <v>0</v>
      </c>
      <c r="AW1327" s="1906">
        <f t="shared" si="1745"/>
        <v>0</v>
      </c>
      <c r="AX1327" s="1906">
        <f t="shared" si="1746"/>
        <v>0</v>
      </c>
      <c r="AY1327" s="1906">
        <f t="shared" si="1747"/>
        <v>0</v>
      </c>
      <c r="AZ1327" s="1906">
        <f t="shared" si="1748"/>
        <v>0</v>
      </c>
      <c r="BA1327" s="1906">
        <f t="shared" si="1749"/>
        <v>0</v>
      </c>
      <c r="BB1327" s="107"/>
      <c r="BC1327" s="1906">
        <f t="shared" si="1750"/>
        <v>0</v>
      </c>
      <c r="BD1327" s="1906">
        <f t="shared" si="1751"/>
        <v>0</v>
      </c>
      <c r="BE1327" s="1906">
        <f t="shared" si="1752"/>
        <v>0</v>
      </c>
      <c r="BF1327" s="1906">
        <f t="shared" si="1753"/>
        <v>0</v>
      </c>
      <c r="BG1327" s="1906">
        <f t="shared" si="1754"/>
        <v>0</v>
      </c>
      <c r="BH1327" s="1906">
        <f t="shared" si="1755"/>
        <v>0</v>
      </c>
      <c r="BI1327" s="1906">
        <f t="shared" si="1756"/>
        <v>0</v>
      </c>
      <c r="BJ1327" s="1906">
        <f t="shared" si="1757"/>
        <v>0</v>
      </c>
      <c r="BK1327" s="1906">
        <f t="shared" si="1758"/>
        <v>0</v>
      </c>
      <c r="BL1327" s="1906">
        <f t="shared" si="1759"/>
        <v>0</v>
      </c>
      <c r="BM1327" s="1906">
        <f t="shared" si="1760"/>
        <v>0</v>
      </c>
      <c r="BN1327" s="1906">
        <f t="shared" si="1761"/>
        <v>0</v>
      </c>
      <c r="BO1327" s="107"/>
      <c r="BP1327" s="1906">
        <f t="shared" si="1762"/>
        <v>0</v>
      </c>
      <c r="BQ1327" s="1906">
        <f t="shared" si="1763"/>
        <v>0</v>
      </c>
      <c r="BR1327" s="1906">
        <f t="shared" si="1764"/>
        <v>0</v>
      </c>
      <c r="BS1327" s="1906">
        <f t="shared" si="1765"/>
        <v>0</v>
      </c>
      <c r="BT1327" s="1906">
        <f t="shared" si="1766"/>
        <v>0</v>
      </c>
      <c r="BU1327" s="1906">
        <f t="shared" si="1767"/>
        <v>0</v>
      </c>
      <c r="BV1327" s="1906">
        <f t="shared" si="1768"/>
        <v>0</v>
      </c>
      <c r="BW1327" s="1906">
        <f t="shared" si="1769"/>
        <v>0</v>
      </c>
      <c r="BX1327" s="1906">
        <f t="shared" si="1770"/>
        <v>0</v>
      </c>
      <c r="BY1327" s="1906">
        <f t="shared" si="1771"/>
        <v>0</v>
      </c>
      <c r="BZ1327" s="1906">
        <f t="shared" si="1772"/>
        <v>0</v>
      </c>
      <c r="CA1327" s="1906">
        <f t="shared" si="1773"/>
        <v>0</v>
      </c>
      <c r="CB1327" s="1971">
        <f t="shared" si="1774"/>
        <v>0</v>
      </c>
      <c r="CC1327" s="1906">
        <f t="shared" si="1775"/>
        <v>0</v>
      </c>
      <c r="CD1327" s="1906">
        <f t="shared" si="1776"/>
        <v>0</v>
      </c>
      <c r="CE1327" s="1906">
        <f t="shared" si="1777"/>
        <v>0</v>
      </c>
      <c r="CF1327" s="1906">
        <f t="shared" si="1778"/>
        <v>0</v>
      </c>
      <c r="CG1327" s="1906">
        <f t="shared" si="1779"/>
        <v>0</v>
      </c>
      <c r="CH1327" s="1906">
        <f t="shared" si="1780"/>
        <v>0</v>
      </c>
      <c r="CI1327" s="1906">
        <f t="shared" si="1781"/>
        <v>0</v>
      </c>
      <c r="CJ1327" s="1906">
        <f t="shared" si="1695"/>
        <v>0</v>
      </c>
      <c r="CK1327" s="1906">
        <f t="shared" si="1696"/>
        <v>0</v>
      </c>
      <c r="CL1327" s="1906">
        <f t="shared" si="1697"/>
        <v>0</v>
      </c>
      <c r="CM1327" s="1906">
        <f t="shared" si="1698"/>
        <v>0</v>
      </c>
      <c r="CN1327" s="1906">
        <f t="shared" si="1699"/>
        <v>0</v>
      </c>
      <c r="CO1327" s="595">
        <f t="shared" si="1700"/>
        <v>0</v>
      </c>
      <c r="CP1327" s="1443">
        <f t="shared" si="1701"/>
        <v>0</v>
      </c>
      <c r="EF1327" s="5"/>
    </row>
    <row r="1328" spans="1:136" x14ac:dyDescent="0.2">
      <c r="A1328" s="6"/>
      <c r="B1328" s="1971">
        <f t="shared" si="1702"/>
        <v>0</v>
      </c>
      <c r="C1328" s="1906">
        <f t="shared" si="1703"/>
        <v>0</v>
      </c>
      <c r="D1328" s="1906">
        <f t="shared" si="1704"/>
        <v>0</v>
      </c>
      <c r="E1328" s="1906">
        <f t="shared" si="1705"/>
        <v>0</v>
      </c>
      <c r="F1328" s="1906">
        <f t="shared" si="1706"/>
        <v>0</v>
      </c>
      <c r="G1328" s="1906">
        <f t="shared" si="1707"/>
        <v>0</v>
      </c>
      <c r="H1328" s="1906">
        <f t="shared" si="1708"/>
        <v>0</v>
      </c>
      <c r="I1328" s="1906">
        <f t="shared" si="1709"/>
        <v>0</v>
      </c>
      <c r="J1328" s="1906">
        <f t="shared" si="1710"/>
        <v>0</v>
      </c>
      <c r="K1328" s="1906">
        <f t="shared" si="1711"/>
        <v>0</v>
      </c>
      <c r="L1328" s="1906">
        <f t="shared" si="1712"/>
        <v>0</v>
      </c>
      <c r="M1328" s="1906">
        <f t="shared" si="1713"/>
        <v>0</v>
      </c>
      <c r="N1328" s="1906">
        <f t="shared" si="1714"/>
        <v>0</v>
      </c>
      <c r="O1328" s="107"/>
      <c r="P1328" s="1906"/>
      <c r="Q1328" s="1906">
        <f t="shared" si="1715"/>
        <v>0</v>
      </c>
      <c r="R1328" s="1906">
        <f t="shared" si="1716"/>
        <v>0</v>
      </c>
      <c r="S1328" s="1906">
        <f t="shared" si="1717"/>
        <v>0</v>
      </c>
      <c r="T1328" s="1906">
        <f t="shared" si="1718"/>
        <v>0</v>
      </c>
      <c r="U1328" s="1906">
        <f t="shared" si="1719"/>
        <v>0</v>
      </c>
      <c r="V1328" s="1906">
        <f t="shared" si="1720"/>
        <v>0</v>
      </c>
      <c r="W1328" s="1906">
        <f t="shared" si="1721"/>
        <v>0</v>
      </c>
      <c r="X1328" s="1906">
        <f t="shared" si="1722"/>
        <v>0</v>
      </c>
      <c r="Y1328" s="1906">
        <f t="shared" si="1723"/>
        <v>0</v>
      </c>
      <c r="Z1328" s="1906">
        <f t="shared" si="1724"/>
        <v>0</v>
      </c>
      <c r="AA1328" s="1906">
        <f t="shared" si="1725"/>
        <v>0</v>
      </c>
      <c r="AB1328" s="107"/>
      <c r="AC1328" s="1906">
        <f t="shared" si="1726"/>
        <v>0</v>
      </c>
      <c r="AD1328" s="1906">
        <f t="shared" si="1727"/>
        <v>0</v>
      </c>
      <c r="AE1328" s="1906">
        <f t="shared" si="1728"/>
        <v>0</v>
      </c>
      <c r="AF1328" s="1906">
        <f t="shared" si="1729"/>
        <v>0</v>
      </c>
      <c r="AG1328" s="1906">
        <f t="shared" si="1730"/>
        <v>0</v>
      </c>
      <c r="AH1328" s="1906">
        <f t="shared" si="1731"/>
        <v>0</v>
      </c>
      <c r="AI1328" s="1906">
        <f t="shared" si="1732"/>
        <v>0</v>
      </c>
      <c r="AJ1328" s="1906">
        <f t="shared" si="1733"/>
        <v>0</v>
      </c>
      <c r="AK1328" s="1906">
        <f t="shared" si="1734"/>
        <v>0</v>
      </c>
      <c r="AL1328" s="1906">
        <f t="shared" si="1735"/>
        <v>0</v>
      </c>
      <c r="AM1328" s="1906">
        <f t="shared" si="1736"/>
        <v>0</v>
      </c>
      <c r="AN1328" s="1906">
        <f t="shared" si="1737"/>
        <v>0</v>
      </c>
      <c r="AO1328" s="107"/>
      <c r="AP1328" s="1906">
        <f t="shared" si="1738"/>
        <v>0</v>
      </c>
      <c r="AQ1328" s="1906">
        <f t="shared" si="1739"/>
        <v>0</v>
      </c>
      <c r="AR1328" s="1906">
        <f t="shared" si="1740"/>
        <v>0</v>
      </c>
      <c r="AS1328" s="1906">
        <f t="shared" si="1741"/>
        <v>0</v>
      </c>
      <c r="AT1328" s="1906">
        <f t="shared" si="1742"/>
        <v>0</v>
      </c>
      <c r="AU1328" s="1906">
        <f t="shared" si="1743"/>
        <v>0</v>
      </c>
      <c r="AV1328" s="1906">
        <f t="shared" si="1744"/>
        <v>0</v>
      </c>
      <c r="AW1328" s="1906">
        <f t="shared" si="1745"/>
        <v>0</v>
      </c>
      <c r="AX1328" s="1906">
        <f t="shared" si="1746"/>
        <v>0</v>
      </c>
      <c r="AY1328" s="1906">
        <f t="shared" si="1747"/>
        <v>0</v>
      </c>
      <c r="AZ1328" s="1906">
        <f t="shared" si="1748"/>
        <v>0</v>
      </c>
      <c r="BA1328" s="1906">
        <f t="shared" si="1749"/>
        <v>0</v>
      </c>
      <c r="BB1328" s="107"/>
      <c r="BC1328" s="1906">
        <f t="shared" si="1750"/>
        <v>0</v>
      </c>
      <c r="BD1328" s="1906">
        <f t="shared" si="1751"/>
        <v>0</v>
      </c>
      <c r="BE1328" s="1906">
        <f t="shared" si="1752"/>
        <v>0</v>
      </c>
      <c r="BF1328" s="1906">
        <f t="shared" si="1753"/>
        <v>0</v>
      </c>
      <c r="BG1328" s="1906">
        <f t="shared" si="1754"/>
        <v>0</v>
      </c>
      <c r="BH1328" s="1906">
        <f t="shared" si="1755"/>
        <v>0</v>
      </c>
      <c r="BI1328" s="1906">
        <f t="shared" si="1756"/>
        <v>0</v>
      </c>
      <c r="BJ1328" s="1906">
        <f t="shared" si="1757"/>
        <v>0</v>
      </c>
      <c r="BK1328" s="1906">
        <f t="shared" si="1758"/>
        <v>0</v>
      </c>
      <c r="BL1328" s="1906">
        <f t="shared" si="1759"/>
        <v>0</v>
      </c>
      <c r="BM1328" s="1906">
        <f t="shared" si="1760"/>
        <v>0</v>
      </c>
      <c r="BN1328" s="1906">
        <f t="shared" si="1761"/>
        <v>0</v>
      </c>
      <c r="BO1328" s="107"/>
      <c r="BP1328" s="1906">
        <f t="shared" si="1762"/>
        <v>0</v>
      </c>
      <c r="BQ1328" s="1906">
        <f t="shared" si="1763"/>
        <v>0</v>
      </c>
      <c r="BR1328" s="1906">
        <f t="shared" si="1764"/>
        <v>0</v>
      </c>
      <c r="BS1328" s="1906">
        <f t="shared" si="1765"/>
        <v>0</v>
      </c>
      <c r="BT1328" s="1906">
        <f t="shared" si="1766"/>
        <v>0</v>
      </c>
      <c r="BU1328" s="1906">
        <f t="shared" si="1767"/>
        <v>0</v>
      </c>
      <c r="BV1328" s="1906">
        <f t="shared" si="1768"/>
        <v>0</v>
      </c>
      <c r="BW1328" s="1906">
        <f t="shared" si="1769"/>
        <v>0</v>
      </c>
      <c r="BX1328" s="1906">
        <f t="shared" si="1770"/>
        <v>0</v>
      </c>
      <c r="BY1328" s="1906">
        <f t="shared" si="1771"/>
        <v>0</v>
      </c>
      <c r="BZ1328" s="1906">
        <f t="shared" si="1772"/>
        <v>0</v>
      </c>
      <c r="CA1328" s="1906">
        <f t="shared" si="1773"/>
        <v>0</v>
      </c>
      <c r="CB1328" s="1971">
        <f t="shared" si="1774"/>
        <v>0</v>
      </c>
      <c r="CC1328" s="1906">
        <f t="shared" si="1775"/>
        <v>0</v>
      </c>
      <c r="CD1328" s="1906">
        <f t="shared" si="1776"/>
        <v>0</v>
      </c>
      <c r="CE1328" s="1906">
        <f t="shared" si="1777"/>
        <v>0</v>
      </c>
      <c r="CF1328" s="1906">
        <f t="shared" si="1778"/>
        <v>0</v>
      </c>
      <c r="CG1328" s="1906">
        <f t="shared" si="1779"/>
        <v>0</v>
      </c>
      <c r="CH1328" s="1906">
        <f t="shared" si="1780"/>
        <v>0</v>
      </c>
      <c r="CI1328" s="1906">
        <f t="shared" si="1781"/>
        <v>0</v>
      </c>
      <c r="CJ1328" s="1906">
        <f t="shared" si="1695"/>
        <v>0</v>
      </c>
      <c r="CK1328" s="1906">
        <f t="shared" si="1696"/>
        <v>0</v>
      </c>
      <c r="CL1328" s="1906">
        <f t="shared" si="1697"/>
        <v>0</v>
      </c>
      <c r="CM1328" s="1906">
        <f t="shared" si="1698"/>
        <v>0</v>
      </c>
      <c r="CN1328" s="1906">
        <f t="shared" si="1699"/>
        <v>0</v>
      </c>
      <c r="CO1328" s="595">
        <f t="shared" si="1700"/>
        <v>0</v>
      </c>
      <c r="CP1328" s="1443">
        <f t="shared" si="1701"/>
        <v>0</v>
      </c>
      <c r="EF1328" s="5"/>
    </row>
    <row r="1329" spans="1:136" x14ac:dyDescent="0.2">
      <c r="A1329" s="6"/>
      <c r="B1329" s="1971" t="str">
        <f t="shared" si="1702"/>
        <v>Subtotal Cultivos de Invierno para Reserva</v>
      </c>
      <c r="C1329" s="1906">
        <f t="shared" si="1703"/>
        <v>0</v>
      </c>
      <c r="D1329" s="1906">
        <f t="shared" si="1704"/>
        <v>0</v>
      </c>
      <c r="E1329" s="1906">
        <f t="shared" si="1705"/>
        <v>0</v>
      </c>
      <c r="F1329" s="1906">
        <f t="shared" si="1706"/>
        <v>0</v>
      </c>
      <c r="G1329" s="1906">
        <f t="shared" si="1707"/>
        <v>0</v>
      </c>
      <c r="H1329" s="1906">
        <f t="shared" si="1708"/>
        <v>0</v>
      </c>
      <c r="I1329" s="1906">
        <f t="shared" si="1709"/>
        <v>0</v>
      </c>
      <c r="J1329" s="1906">
        <f t="shared" si="1710"/>
        <v>0</v>
      </c>
      <c r="K1329" s="1906">
        <f t="shared" si="1711"/>
        <v>0</v>
      </c>
      <c r="L1329" s="1906">
        <f t="shared" si="1712"/>
        <v>0</v>
      </c>
      <c r="M1329" s="1906">
        <f t="shared" si="1713"/>
        <v>0</v>
      </c>
      <c r="N1329" s="1906">
        <f t="shared" si="1714"/>
        <v>0</v>
      </c>
      <c r="O1329" s="107"/>
      <c r="P1329" s="1906"/>
      <c r="Q1329" s="1906">
        <f t="shared" si="1715"/>
        <v>0</v>
      </c>
      <c r="R1329" s="1906">
        <f t="shared" si="1716"/>
        <v>0</v>
      </c>
      <c r="S1329" s="1906">
        <f t="shared" si="1717"/>
        <v>0</v>
      </c>
      <c r="T1329" s="1906">
        <f t="shared" si="1718"/>
        <v>0</v>
      </c>
      <c r="U1329" s="1906">
        <f t="shared" si="1719"/>
        <v>0</v>
      </c>
      <c r="V1329" s="1906">
        <f t="shared" si="1720"/>
        <v>0</v>
      </c>
      <c r="W1329" s="1906">
        <f t="shared" si="1721"/>
        <v>0</v>
      </c>
      <c r="X1329" s="1906">
        <f t="shared" si="1722"/>
        <v>0</v>
      </c>
      <c r="Y1329" s="1906">
        <f t="shared" si="1723"/>
        <v>0</v>
      </c>
      <c r="Z1329" s="1906">
        <f t="shared" si="1724"/>
        <v>0</v>
      </c>
      <c r="AA1329" s="1906">
        <f t="shared" si="1725"/>
        <v>0</v>
      </c>
      <c r="AB1329" s="107"/>
      <c r="AC1329" s="1906">
        <f t="shared" si="1726"/>
        <v>0</v>
      </c>
      <c r="AD1329" s="1906">
        <f t="shared" si="1727"/>
        <v>0</v>
      </c>
      <c r="AE1329" s="1906">
        <f t="shared" si="1728"/>
        <v>0</v>
      </c>
      <c r="AF1329" s="1906">
        <f t="shared" si="1729"/>
        <v>0</v>
      </c>
      <c r="AG1329" s="1906">
        <f t="shared" si="1730"/>
        <v>0</v>
      </c>
      <c r="AH1329" s="1906">
        <f t="shared" si="1731"/>
        <v>0</v>
      </c>
      <c r="AI1329" s="1906">
        <f t="shared" si="1732"/>
        <v>0</v>
      </c>
      <c r="AJ1329" s="1906">
        <f t="shared" si="1733"/>
        <v>0</v>
      </c>
      <c r="AK1329" s="1906">
        <f t="shared" si="1734"/>
        <v>0</v>
      </c>
      <c r="AL1329" s="1906">
        <f t="shared" si="1735"/>
        <v>0</v>
      </c>
      <c r="AM1329" s="1906">
        <f t="shared" si="1736"/>
        <v>0</v>
      </c>
      <c r="AN1329" s="1906">
        <f t="shared" si="1737"/>
        <v>0</v>
      </c>
      <c r="AO1329" s="107"/>
      <c r="AP1329" s="1906">
        <f t="shared" si="1738"/>
        <v>0</v>
      </c>
      <c r="AQ1329" s="1906">
        <f t="shared" si="1739"/>
        <v>0</v>
      </c>
      <c r="AR1329" s="1906">
        <f t="shared" si="1740"/>
        <v>0</v>
      </c>
      <c r="AS1329" s="1906">
        <f t="shared" si="1741"/>
        <v>0</v>
      </c>
      <c r="AT1329" s="1906">
        <f t="shared" si="1742"/>
        <v>0</v>
      </c>
      <c r="AU1329" s="1906">
        <f t="shared" si="1743"/>
        <v>0</v>
      </c>
      <c r="AV1329" s="1906">
        <f t="shared" si="1744"/>
        <v>0</v>
      </c>
      <c r="AW1329" s="1906">
        <f t="shared" si="1745"/>
        <v>0</v>
      </c>
      <c r="AX1329" s="1906">
        <f t="shared" si="1746"/>
        <v>0</v>
      </c>
      <c r="AY1329" s="1906">
        <f t="shared" si="1747"/>
        <v>0</v>
      </c>
      <c r="AZ1329" s="1906">
        <f t="shared" si="1748"/>
        <v>0</v>
      </c>
      <c r="BA1329" s="1906">
        <f t="shared" si="1749"/>
        <v>0</v>
      </c>
      <c r="BB1329" s="107"/>
      <c r="BC1329" s="1906">
        <f t="shared" si="1750"/>
        <v>0</v>
      </c>
      <c r="BD1329" s="1906">
        <f t="shared" si="1751"/>
        <v>0</v>
      </c>
      <c r="BE1329" s="1906">
        <f t="shared" si="1752"/>
        <v>0</v>
      </c>
      <c r="BF1329" s="1906">
        <f t="shared" si="1753"/>
        <v>0</v>
      </c>
      <c r="BG1329" s="1906">
        <f t="shared" si="1754"/>
        <v>0</v>
      </c>
      <c r="BH1329" s="1906">
        <f t="shared" si="1755"/>
        <v>0</v>
      </c>
      <c r="BI1329" s="1906">
        <f t="shared" si="1756"/>
        <v>0</v>
      </c>
      <c r="BJ1329" s="1906">
        <f t="shared" si="1757"/>
        <v>0</v>
      </c>
      <c r="BK1329" s="1906">
        <f t="shared" si="1758"/>
        <v>0</v>
      </c>
      <c r="BL1329" s="1906">
        <f t="shared" si="1759"/>
        <v>0</v>
      </c>
      <c r="BM1329" s="1906">
        <f t="shared" si="1760"/>
        <v>0</v>
      </c>
      <c r="BN1329" s="1906">
        <f t="shared" si="1761"/>
        <v>0</v>
      </c>
      <c r="BO1329" s="107"/>
      <c r="BP1329" s="1906">
        <f t="shared" si="1762"/>
        <v>0</v>
      </c>
      <c r="BQ1329" s="1906">
        <f t="shared" si="1763"/>
        <v>0</v>
      </c>
      <c r="BR1329" s="1906">
        <f t="shared" si="1764"/>
        <v>0</v>
      </c>
      <c r="BS1329" s="1906">
        <f t="shared" si="1765"/>
        <v>0</v>
      </c>
      <c r="BT1329" s="1906">
        <f t="shared" si="1766"/>
        <v>0</v>
      </c>
      <c r="BU1329" s="1906">
        <f t="shared" si="1767"/>
        <v>0</v>
      </c>
      <c r="BV1329" s="1906">
        <f t="shared" si="1768"/>
        <v>0</v>
      </c>
      <c r="BW1329" s="1906">
        <f t="shared" si="1769"/>
        <v>0</v>
      </c>
      <c r="BX1329" s="1906">
        <f t="shared" si="1770"/>
        <v>0</v>
      </c>
      <c r="BY1329" s="1906">
        <f t="shared" si="1771"/>
        <v>0</v>
      </c>
      <c r="BZ1329" s="1906">
        <f t="shared" si="1772"/>
        <v>0</v>
      </c>
      <c r="CA1329" s="1906">
        <f t="shared" si="1773"/>
        <v>0</v>
      </c>
      <c r="CB1329" s="1971" t="str">
        <f t="shared" si="1774"/>
        <v>Subtotal Cultivos de Invierno para Reserva</v>
      </c>
      <c r="CC1329" s="1906">
        <f t="shared" si="1775"/>
        <v>0</v>
      </c>
      <c r="CD1329" s="1906">
        <f t="shared" si="1776"/>
        <v>0</v>
      </c>
      <c r="CE1329" s="1906">
        <f t="shared" si="1777"/>
        <v>0</v>
      </c>
      <c r="CF1329" s="1906">
        <f t="shared" si="1778"/>
        <v>0</v>
      </c>
      <c r="CG1329" s="1906">
        <f t="shared" si="1779"/>
        <v>0</v>
      </c>
      <c r="CH1329" s="1906">
        <f t="shared" si="1780"/>
        <v>0</v>
      </c>
      <c r="CI1329" s="1906">
        <f t="shared" si="1781"/>
        <v>0</v>
      </c>
      <c r="CJ1329" s="1906">
        <f t="shared" si="1695"/>
        <v>0</v>
      </c>
      <c r="CK1329" s="1906">
        <f t="shared" si="1696"/>
        <v>0</v>
      </c>
      <c r="CL1329" s="1906">
        <f t="shared" si="1697"/>
        <v>0</v>
      </c>
      <c r="CM1329" s="1906">
        <f t="shared" si="1698"/>
        <v>0</v>
      </c>
      <c r="CN1329" s="1906">
        <f t="shared" si="1699"/>
        <v>0</v>
      </c>
      <c r="CO1329" s="595" t="str">
        <f t="shared" si="1700"/>
        <v>Subtotal Cultivos de Invierno para Reserva</v>
      </c>
      <c r="CP1329" s="1443">
        <f t="shared" si="1701"/>
        <v>0</v>
      </c>
      <c r="EF1329" s="5"/>
    </row>
    <row r="1330" spans="1:136" x14ac:dyDescent="0.2">
      <c r="A1330" s="6"/>
      <c r="B1330" s="1971" t="str">
        <f t="shared" si="1702"/>
        <v>Soja</v>
      </c>
      <c r="C1330" s="1906">
        <f t="shared" si="1703"/>
        <v>0</v>
      </c>
      <c r="D1330" s="1906">
        <f t="shared" si="1704"/>
        <v>0</v>
      </c>
      <c r="E1330" s="1906">
        <f t="shared" si="1705"/>
        <v>0</v>
      </c>
      <c r="F1330" s="1906">
        <f t="shared" si="1706"/>
        <v>0</v>
      </c>
      <c r="G1330" s="1906">
        <f t="shared" si="1707"/>
        <v>0</v>
      </c>
      <c r="H1330" s="1906">
        <f t="shared" si="1708"/>
        <v>0</v>
      </c>
      <c r="I1330" s="1906">
        <f t="shared" si="1709"/>
        <v>0</v>
      </c>
      <c r="J1330" s="1906">
        <f t="shared" si="1710"/>
        <v>0</v>
      </c>
      <c r="K1330" s="1906">
        <f t="shared" si="1711"/>
        <v>0</v>
      </c>
      <c r="L1330" s="1906">
        <f t="shared" si="1712"/>
        <v>0</v>
      </c>
      <c r="M1330" s="1906">
        <f t="shared" si="1713"/>
        <v>0</v>
      </c>
      <c r="N1330" s="1906">
        <f t="shared" si="1714"/>
        <v>0</v>
      </c>
      <c r="O1330" s="107"/>
      <c r="P1330" s="1906"/>
      <c r="Q1330" s="1906">
        <f t="shared" si="1715"/>
        <v>0</v>
      </c>
      <c r="R1330" s="1906">
        <f t="shared" si="1716"/>
        <v>0</v>
      </c>
      <c r="S1330" s="1906">
        <f t="shared" si="1717"/>
        <v>0</v>
      </c>
      <c r="T1330" s="1906">
        <f t="shared" si="1718"/>
        <v>0</v>
      </c>
      <c r="U1330" s="1906">
        <f t="shared" si="1719"/>
        <v>0</v>
      </c>
      <c r="V1330" s="1906">
        <f t="shared" si="1720"/>
        <v>0</v>
      </c>
      <c r="W1330" s="1906">
        <f t="shared" si="1721"/>
        <v>0</v>
      </c>
      <c r="X1330" s="1906">
        <f t="shared" si="1722"/>
        <v>0</v>
      </c>
      <c r="Y1330" s="1906">
        <f t="shared" si="1723"/>
        <v>0</v>
      </c>
      <c r="Z1330" s="1906">
        <f t="shared" si="1724"/>
        <v>0</v>
      </c>
      <c r="AA1330" s="1906">
        <f t="shared" si="1725"/>
        <v>0</v>
      </c>
      <c r="AB1330" s="107"/>
      <c r="AC1330" s="1906">
        <f t="shared" si="1726"/>
        <v>0</v>
      </c>
      <c r="AD1330" s="1906">
        <f t="shared" si="1727"/>
        <v>0</v>
      </c>
      <c r="AE1330" s="1906">
        <f t="shared" si="1728"/>
        <v>0</v>
      </c>
      <c r="AF1330" s="1906">
        <f t="shared" si="1729"/>
        <v>0</v>
      </c>
      <c r="AG1330" s="1906">
        <f t="shared" si="1730"/>
        <v>0</v>
      </c>
      <c r="AH1330" s="1906">
        <f t="shared" si="1731"/>
        <v>0</v>
      </c>
      <c r="AI1330" s="1906">
        <f t="shared" si="1732"/>
        <v>0</v>
      </c>
      <c r="AJ1330" s="1906">
        <f t="shared" si="1733"/>
        <v>0</v>
      </c>
      <c r="AK1330" s="1906">
        <f t="shared" si="1734"/>
        <v>0</v>
      </c>
      <c r="AL1330" s="1906">
        <f t="shared" si="1735"/>
        <v>0</v>
      </c>
      <c r="AM1330" s="1906">
        <f t="shared" si="1736"/>
        <v>0</v>
      </c>
      <c r="AN1330" s="1906">
        <f t="shared" si="1737"/>
        <v>0</v>
      </c>
      <c r="AO1330" s="107"/>
      <c r="AP1330" s="1906">
        <f t="shared" si="1738"/>
        <v>0</v>
      </c>
      <c r="AQ1330" s="1906">
        <f t="shared" si="1739"/>
        <v>0</v>
      </c>
      <c r="AR1330" s="1906">
        <f t="shared" si="1740"/>
        <v>0</v>
      </c>
      <c r="AS1330" s="1906">
        <f t="shared" si="1741"/>
        <v>0</v>
      </c>
      <c r="AT1330" s="1906">
        <f t="shared" si="1742"/>
        <v>0</v>
      </c>
      <c r="AU1330" s="1906">
        <f t="shared" si="1743"/>
        <v>0</v>
      </c>
      <c r="AV1330" s="1906">
        <f t="shared" si="1744"/>
        <v>0</v>
      </c>
      <c r="AW1330" s="1906">
        <f t="shared" si="1745"/>
        <v>0</v>
      </c>
      <c r="AX1330" s="1906">
        <f t="shared" si="1746"/>
        <v>0</v>
      </c>
      <c r="AY1330" s="1906">
        <f t="shared" si="1747"/>
        <v>0</v>
      </c>
      <c r="AZ1330" s="1906">
        <f t="shared" si="1748"/>
        <v>0</v>
      </c>
      <c r="BA1330" s="1906">
        <f t="shared" si="1749"/>
        <v>0</v>
      </c>
      <c r="BB1330" s="107"/>
      <c r="BC1330" s="1906">
        <f t="shared" si="1750"/>
        <v>0</v>
      </c>
      <c r="BD1330" s="1906">
        <f t="shared" si="1751"/>
        <v>0</v>
      </c>
      <c r="BE1330" s="1906">
        <f t="shared" si="1752"/>
        <v>0</v>
      </c>
      <c r="BF1330" s="1906">
        <f t="shared" si="1753"/>
        <v>0</v>
      </c>
      <c r="BG1330" s="1906">
        <f t="shared" si="1754"/>
        <v>0</v>
      </c>
      <c r="BH1330" s="1906">
        <f t="shared" si="1755"/>
        <v>0</v>
      </c>
      <c r="BI1330" s="1906">
        <f t="shared" si="1756"/>
        <v>0</v>
      </c>
      <c r="BJ1330" s="1906">
        <f t="shared" si="1757"/>
        <v>0</v>
      </c>
      <c r="BK1330" s="1906">
        <f t="shared" si="1758"/>
        <v>0</v>
      </c>
      <c r="BL1330" s="1906">
        <f t="shared" si="1759"/>
        <v>0</v>
      </c>
      <c r="BM1330" s="1906">
        <f t="shared" si="1760"/>
        <v>0</v>
      </c>
      <c r="BN1330" s="1906">
        <f t="shared" si="1761"/>
        <v>0</v>
      </c>
      <c r="BO1330" s="107"/>
      <c r="BP1330" s="1906">
        <f t="shared" si="1762"/>
        <v>0</v>
      </c>
      <c r="BQ1330" s="1906">
        <f t="shared" si="1763"/>
        <v>0</v>
      </c>
      <c r="BR1330" s="1906">
        <f t="shared" si="1764"/>
        <v>0</v>
      </c>
      <c r="BS1330" s="1906">
        <f t="shared" si="1765"/>
        <v>0</v>
      </c>
      <c r="BT1330" s="1906">
        <f t="shared" si="1766"/>
        <v>0</v>
      </c>
      <c r="BU1330" s="1906">
        <f t="shared" si="1767"/>
        <v>0</v>
      </c>
      <c r="BV1330" s="1906">
        <f t="shared" si="1768"/>
        <v>0</v>
      </c>
      <c r="BW1330" s="1906">
        <f t="shared" si="1769"/>
        <v>0</v>
      </c>
      <c r="BX1330" s="1906">
        <f t="shared" si="1770"/>
        <v>0</v>
      </c>
      <c r="BY1330" s="1906">
        <f t="shared" si="1771"/>
        <v>0</v>
      </c>
      <c r="BZ1330" s="1906">
        <f t="shared" si="1772"/>
        <v>0</v>
      </c>
      <c r="CA1330" s="1906">
        <f t="shared" si="1773"/>
        <v>0</v>
      </c>
      <c r="CB1330" s="1971" t="str">
        <f t="shared" si="1774"/>
        <v>Soja</v>
      </c>
      <c r="CC1330" s="1906">
        <f t="shared" si="1775"/>
        <v>0</v>
      </c>
      <c r="CD1330" s="1906">
        <f t="shared" si="1776"/>
        <v>0</v>
      </c>
      <c r="CE1330" s="1906">
        <f t="shared" si="1777"/>
        <v>0</v>
      </c>
      <c r="CF1330" s="1906">
        <f t="shared" si="1778"/>
        <v>0</v>
      </c>
      <c r="CG1330" s="1906">
        <f t="shared" si="1779"/>
        <v>0</v>
      </c>
      <c r="CH1330" s="1906">
        <f t="shared" si="1780"/>
        <v>0</v>
      </c>
      <c r="CI1330" s="1906">
        <f t="shared" si="1781"/>
        <v>0</v>
      </c>
      <c r="CJ1330" s="1906">
        <f t="shared" si="1695"/>
        <v>0</v>
      </c>
      <c r="CK1330" s="1906">
        <f t="shared" si="1696"/>
        <v>0</v>
      </c>
      <c r="CL1330" s="1906">
        <f t="shared" si="1697"/>
        <v>0</v>
      </c>
      <c r="CM1330" s="1906">
        <f t="shared" si="1698"/>
        <v>0</v>
      </c>
      <c r="CN1330" s="1906">
        <f t="shared" si="1699"/>
        <v>0</v>
      </c>
      <c r="CO1330" s="595" t="str">
        <f t="shared" si="1700"/>
        <v>Soja</v>
      </c>
      <c r="CP1330" s="1443">
        <f t="shared" si="1701"/>
        <v>0</v>
      </c>
      <c r="EF1330" s="5"/>
    </row>
    <row r="1331" spans="1:136" x14ac:dyDescent="0.2">
      <c r="A1331" s="6"/>
      <c r="B1331" s="1971" t="str">
        <f t="shared" si="1702"/>
        <v>Soja 2ª</v>
      </c>
      <c r="C1331" s="1906">
        <f t="shared" si="1703"/>
        <v>0</v>
      </c>
      <c r="D1331" s="1906">
        <f t="shared" si="1704"/>
        <v>0</v>
      </c>
      <c r="E1331" s="1906">
        <f t="shared" si="1705"/>
        <v>0</v>
      </c>
      <c r="F1331" s="1906">
        <f t="shared" si="1706"/>
        <v>0</v>
      </c>
      <c r="G1331" s="1906">
        <f t="shared" si="1707"/>
        <v>0</v>
      </c>
      <c r="H1331" s="1906">
        <f t="shared" si="1708"/>
        <v>0</v>
      </c>
      <c r="I1331" s="1906">
        <f t="shared" si="1709"/>
        <v>0</v>
      </c>
      <c r="J1331" s="1906">
        <f t="shared" si="1710"/>
        <v>0</v>
      </c>
      <c r="K1331" s="1906">
        <f t="shared" si="1711"/>
        <v>0</v>
      </c>
      <c r="L1331" s="1906">
        <f t="shared" si="1712"/>
        <v>0</v>
      </c>
      <c r="M1331" s="1906">
        <f t="shared" si="1713"/>
        <v>0</v>
      </c>
      <c r="N1331" s="1906">
        <f t="shared" si="1714"/>
        <v>0</v>
      </c>
      <c r="O1331" s="107"/>
      <c r="P1331" s="1906"/>
      <c r="Q1331" s="1906">
        <f t="shared" si="1715"/>
        <v>0</v>
      </c>
      <c r="R1331" s="1906">
        <f t="shared" si="1716"/>
        <v>0</v>
      </c>
      <c r="S1331" s="1906">
        <f t="shared" si="1717"/>
        <v>0</v>
      </c>
      <c r="T1331" s="1906">
        <f t="shared" si="1718"/>
        <v>0</v>
      </c>
      <c r="U1331" s="1906">
        <f t="shared" si="1719"/>
        <v>0</v>
      </c>
      <c r="V1331" s="1906">
        <f t="shared" si="1720"/>
        <v>0</v>
      </c>
      <c r="W1331" s="1906">
        <f t="shared" si="1721"/>
        <v>0</v>
      </c>
      <c r="X1331" s="1906">
        <f t="shared" si="1722"/>
        <v>0</v>
      </c>
      <c r="Y1331" s="1906">
        <f t="shared" si="1723"/>
        <v>0</v>
      </c>
      <c r="Z1331" s="1906">
        <f t="shared" si="1724"/>
        <v>0</v>
      </c>
      <c r="AA1331" s="1906">
        <f t="shared" si="1725"/>
        <v>0</v>
      </c>
      <c r="AB1331" s="107"/>
      <c r="AC1331" s="1906">
        <f t="shared" si="1726"/>
        <v>0</v>
      </c>
      <c r="AD1331" s="1906">
        <f t="shared" si="1727"/>
        <v>0</v>
      </c>
      <c r="AE1331" s="1906">
        <f t="shared" si="1728"/>
        <v>0</v>
      </c>
      <c r="AF1331" s="1906">
        <f t="shared" si="1729"/>
        <v>0</v>
      </c>
      <c r="AG1331" s="1906">
        <f t="shared" si="1730"/>
        <v>0</v>
      </c>
      <c r="AH1331" s="1906">
        <f t="shared" si="1731"/>
        <v>0</v>
      </c>
      <c r="AI1331" s="1906">
        <f t="shared" si="1732"/>
        <v>0</v>
      </c>
      <c r="AJ1331" s="1906">
        <f t="shared" si="1733"/>
        <v>0</v>
      </c>
      <c r="AK1331" s="1906">
        <f t="shared" si="1734"/>
        <v>0</v>
      </c>
      <c r="AL1331" s="1906">
        <f t="shared" si="1735"/>
        <v>0</v>
      </c>
      <c r="AM1331" s="1906">
        <f t="shared" si="1736"/>
        <v>0</v>
      </c>
      <c r="AN1331" s="1906">
        <f t="shared" si="1737"/>
        <v>0</v>
      </c>
      <c r="AO1331" s="107"/>
      <c r="AP1331" s="1906">
        <f t="shared" si="1738"/>
        <v>0</v>
      </c>
      <c r="AQ1331" s="1906">
        <f t="shared" si="1739"/>
        <v>0</v>
      </c>
      <c r="AR1331" s="1906">
        <f t="shared" si="1740"/>
        <v>0</v>
      </c>
      <c r="AS1331" s="1906">
        <f t="shared" si="1741"/>
        <v>0</v>
      </c>
      <c r="AT1331" s="1906">
        <f t="shared" si="1742"/>
        <v>0</v>
      </c>
      <c r="AU1331" s="1906">
        <f t="shared" si="1743"/>
        <v>0</v>
      </c>
      <c r="AV1331" s="1906">
        <f t="shared" si="1744"/>
        <v>0</v>
      </c>
      <c r="AW1331" s="1906">
        <f t="shared" si="1745"/>
        <v>0</v>
      </c>
      <c r="AX1331" s="1906">
        <f t="shared" si="1746"/>
        <v>0</v>
      </c>
      <c r="AY1331" s="1906">
        <f t="shared" si="1747"/>
        <v>0</v>
      </c>
      <c r="AZ1331" s="1906">
        <f t="shared" si="1748"/>
        <v>0</v>
      </c>
      <c r="BA1331" s="1906">
        <f t="shared" si="1749"/>
        <v>0</v>
      </c>
      <c r="BB1331" s="107"/>
      <c r="BC1331" s="1906">
        <f t="shared" si="1750"/>
        <v>0</v>
      </c>
      <c r="BD1331" s="1906">
        <f t="shared" si="1751"/>
        <v>0</v>
      </c>
      <c r="BE1331" s="1906">
        <f t="shared" si="1752"/>
        <v>0</v>
      </c>
      <c r="BF1331" s="1906">
        <f t="shared" si="1753"/>
        <v>0</v>
      </c>
      <c r="BG1331" s="1906">
        <f t="shared" si="1754"/>
        <v>0</v>
      </c>
      <c r="BH1331" s="1906">
        <f t="shared" si="1755"/>
        <v>0</v>
      </c>
      <c r="BI1331" s="1906">
        <f t="shared" si="1756"/>
        <v>0</v>
      </c>
      <c r="BJ1331" s="1906">
        <f t="shared" si="1757"/>
        <v>0</v>
      </c>
      <c r="BK1331" s="1906">
        <f t="shared" si="1758"/>
        <v>0</v>
      </c>
      <c r="BL1331" s="1906">
        <f t="shared" si="1759"/>
        <v>0</v>
      </c>
      <c r="BM1331" s="1906">
        <f t="shared" si="1760"/>
        <v>0</v>
      </c>
      <c r="BN1331" s="1906">
        <f t="shared" si="1761"/>
        <v>0</v>
      </c>
      <c r="BO1331" s="107"/>
      <c r="BP1331" s="1906">
        <f t="shared" si="1762"/>
        <v>0</v>
      </c>
      <c r="BQ1331" s="1906">
        <f t="shared" si="1763"/>
        <v>0</v>
      </c>
      <c r="BR1331" s="1906">
        <f t="shared" si="1764"/>
        <v>0</v>
      </c>
      <c r="BS1331" s="1906">
        <f t="shared" si="1765"/>
        <v>0</v>
      </c>
      <c r="BT1331" s="1906">
        <f t="shared" si="1766"/>
        <v>0</v>
      </c>
      <c r="BU1331" s="1906">
        <f t="shared" si="1767"/>
        <v>0</v>
      </c>
      <c r="BV1331" s="1906">
        <f t="shared" si="1768"/>
        <v>0</v>
      </c>
      <c r="BW1331" s="1906">
        <f t="shared" si="1769"/>
        <v>0</v>
      </c>
      <c r="BX1331" s="1906">
        <f t="shared" si="1770"/>
        <v>0</v>
      </c>
      <c r="BY1331" s="1906">
        <f t="shared" si="1771"/>
        <v>0</v>
      </c>
      <c r="BZ1331" s="1906">
        <f t="shared" si="1772"/>
        <v>0</v>
      </c>
      <c r="CA1331" s="1906">
        <f t="shared" si="1773"/>
        <v>0</v>
      </c>
      <c r="CB1331" s="1971" t="str">
        <f t="shared" si="1774"/>
        <v>Soja 2ª</v>
      </c>
      <c r="CC1331" s="1906">
        <f t="shared" si="1775"/>
        <v>0</v>
      </c>
      <c r="CD1331" s="1906">
        <f t="shared" si="1776"/>
        <v>0</v>
      </c>
      <c r="CE1331" s="1906">
        <f t="shared" si="1777"/>
        <v>0</v>
      </c>
      <c r="CF1331" s="1906">
        <f t="shared" si="1778"/>
        <v>0</v>
      </c>
      <c r="CG1331" s="1906">
        <f t="shared" si="1779"/>
        <v>0</v>
      </c>
      <c r="CH1331" s="1906">
        <f t="shared" si="1780"/>
        <v>0</v>
      </c>
      <c r="CI1331" s="1906">
        <f t="shared" si="1781"/>
        <v>0</v>
      </c>
      <c r="CJ1331" s="1906">
        <f t="shared" si="1695"/>
        <v>0</v>
      </c>
      <c r="CK1331" s="1906">
        <f t="shared" si="1696"/>
        <v>0</v>
      </c>
      <c r="CL1331" s="1906">
        <f t="shared" si="1697"/>
        <v>0</v>
      </c>
      <c r="CM1331" s="1906">
        <f t="shared" si="1698"/>
        <v>0</v>
      </c>
      <c r="CN1331" s="1906">
        <f t="shared" si="1699"/>
        <v>0</v>
      </c>
      <c r="CO1331" s="595" t="str">
        <f t="shared" si="1700"/>
        <v>Soja 2ª</v>
      </c>
      <c r="CP1331" s="1443">
        <f t="shared" si="1701"/>
        <v>0</v>
      </c>
      <c r="EF1331" s="5"/>
    </row>
    <row r="1332" spans="1:136" x14ac:dyDescent="0.2">
      <c r="A1332" s="6"/>
      <c r="B1332" s="1971" t="str">
        <f t="shared" si="1702"/>
        <v>Maíz Grano</v>
      </c>
      <c r="C1332" s="1906">
        <f t="shared" si="1703"/>
        <v>0</v>
      </c>
      <c r="D1332" s="1906">
        <f t="shared" si="1704"/>
        <v>0</v>
      </c>
      <c r="E1332" s="1906">
        <f t="shared" si="1705"/>
        <v>0</v>
      </c>
      <c r="F1332" s="1906">
        <f t="shared" si="1706"/>
        <v>0</v>
      </c>
      <c r="G1332" s="1906">
        <f t="shared" si="1707"/>
        <v>0</v>
      </c>
      <c r="H1332" s="1906">
        <f t="shared" si="1708"/>
        <v>0</v>
      </c>
      <c r="I1332" s="1906">
        <f t="shared" si="1709"/>
        <v>0</v>
      </c>
      <c r="J1332" s="1906">
        <f t="shared" si="1710"/>
        <v>0</v>
      </c>
      <c r="K1332" s="1906">
        <f t="shared" si="1711"/>
        <v>0</v>
      </c>
      <c r="L1332" s="1906">
        <f t="shared" si="1712"/>
        <v>0</v>
      </c>
      <c r="M1332" s="1906">
        <f t="shared" si="1713"/>
        <v>0</v>
      </c>
      <c r="N1332" s="1906">
        <f t="shared" si="1714"/>
        <v>0</v>
      </c>
      <c r="O1332" s="107"/>
      <c r="P1332" s="1906"/>
      <c r="Q1332" s="1906">
        <f t="shared" si="1715"/>
        <v>0</v>
      </c>
      <c r="R1332" s="1906">
        <f t="shared" si="1716"/>
        <v>0</v>
      </c>
      <c r="S1332" s="1906">
        <f t="shared" si="1717"/>
        <v>0</v>
      </c>
      <c r="T1332" s="1906">
        <f t="shared" si="1718"/>
        <v>0</v>
      </c>
      <c r="U1332" s="1906">
        <f t="shared" si="1719"/>
        <v>0</v>
      </c>
      <c r="V1332" s="1906">
        <f t="shared" si="1720"/>
        <v>0</v>
      </c>
      <c r="W1332" s="1906">
        <f t="shared" si="1721"/>
        <v>0</v>
      </c>
      <c r="X1332" s="1906">
        <f t="shared" si="1722"/>
        <v>0</v>
      </c>
      <c r="Y1332" s="1906">
        <f t="shared" si="1723"/>
        <v>0</v>
      </c>
      <c r="Z1332" s="1906">
        <f t="shared" si="1724"/>
        <v>0</v>
      </c>
      <c r="AA1332" s="1906">
        <f t="shared" si="1725"/>
        <v>0</v>
      </c>
      <c r="AB1332" s="107"/>
      <c r="AC1332" s="1906">
        <f t="shared" si="1726"/>
        <v>0</v>
      </c>
      <c r="AD1332" s="1906">
        <f t="shared" si="1727"/>
        <v>0</v>
      </c>
      <c r="AE1332" s="1906">
        <f t="shared" si="1728"/>
        <v>0</v>
      </c>
      <c r="AF1332" s="1906">
        <f t="shared" si="1729"/>
        <v>0</v>
      </c>
      <c r="AG1332" s="1906">
        <f t="shared" si="1730"/>
        <v>0</v>
      </c>
      <c r="AH1332" s="1906">
        <f t="shared" si="1731"/>
        <v>0</v>
      </c>
      <c r="AI1332" s="1906">
        <f t="shared" si="1732"/>
        <v>0</v>
      </c>
      <c r="AJ1332" s="1906">
        <f t="shared" si="1733"/>
        <v>0</v>
      </c>
      <c r="AK1332" s="1906">
        <f t="shared" si="1734"/>
        <v>0</v>
      </c>
      <c r="AL1332" s="1906">
        <f t="shared" si="1735"/>
        <v>0</v>
      </c>
      <c r="AM1332" s="1906">
        <f t="shared" si="1736"/>
        <v>0</v>
      </c>
      <c r="AN1332" s="1906">
        <f t="shared" si="1737"/>
        <v>0</v>
      </c>
      <c r="AO1332" s="107"/>
      <c r="AP1332" s="1906">
        <f t="shared" si="1738"/>
        <v>0</v>
      </c>
      <c r="AQ1332" s="1906">
        <f t="shared" si="1739"/>
        <v>0</v>
      </c>
      <c r="AR1332" s="1906">
        <f t="shared" si="1740"/>
        <v>0</v>
      </c>
      <c r="AS1332" s="1906">
        <f t="shared" si="1741"/>
        <v>0</v>
      </c>
      <c r="AT1332" s="1906">
        <f t="shared" si="1742"/>
        <v>0</v>
      </c>
      <c r="AU1332" s="1906">
        <f t="shared" si="1743"/>
        <v>0</v>
      </c>
      <c r="AV1332" s="1906">
        <f t="shared" si="1744"/>
        <v>0</v>
      </c>
      <c r="AW1332" s="1906">
        <f t="shared" si="1745"/>
        <v>0</v>
      </c>
      <c r="AX1332" s="1906">
        <f t="shared" si="1746"/>
        <v>0</v>
      </c>
      <c r="AY1332" s="1906">
        <f t="shared" si="1747"/>
        <v>0</v>
      </c>
      <c r="AZ1332" s="1906">
        <f t="shared" si="1748"/>
        <v>0</v>
      </c>
      <c r="BA1332" s="1906">
        <f t="shared" si="1749"/>
        <v>0</v>
      </c>
      <c r="BB1332" s="107"/>
      <c r="BC1332" s="1906">
        <f t="shared" si="1750"/>
        <v>0</v>
      </c>
      <c r="BD1332" s="1906">
        <f t="shared" si="1751"/>
        <v>0</v>
      </c>
      <c r="BE1332" s="1906">
        <f t="shared" si="1752"/>
        <v>0</v>
      </c>
      <c r="BF1332" s="1906">
        <f t="shared" si="1753"/>
        <v>0</v>
      </c>
      <c r="BG1332" s="1906">
        <f t="shared" si="1754"/>
        <v>0</v>
      </c>
      <c r="BH1332" s="1906">
        <f t="shared" si="1755"/>
        <v>0</v>
      </c>
      <c r="BI1332" s="1906">
        <f t="shared" si="1756"/>
        <v>0</v>
      </c>
      <c r="BJ1332" s="1906">
        <f t="shared" si="1757"/>
        <v>0</v>
      </c>
      <c r="BK1332" s="1906">
        <f t="shared" si="1758"/>
        <v>0</v>
      </c>
      <c r="BL1332" s="1906">
        <f t="shared" si="1759"/>
        <v>0</v>
      </c>
      <c r="BM1332" s="1906">
        <f t="shared" si="1760"/>
        <v>0</v>
      </c>
      <c r="BN1332" s="1906">
        <f t="shared" si="1761"/>
        <v>0</v>
      </c>
      <c r="BO1332" s="107"/>
      <c r="BP1332" s="1906">
        <f t="shared" si="1762"/>
        <v>0</v>
      </c>
      <c r="BQ1332" s="1906">
        <f t="shared" si="1763"/>
        <v>0</v>
      </c>
      <c r="BR1332" s="1906">
        <f t="shared" si="1764"/>
        <v>0</v>
      </c>
      <c r="BS1332" s="1906">
        <f t="shared" si="1765"/>
        <v>0</v>
      </c>
      <c r="BT1332" s="1906">
        <f t="shared" si="1766"/>
        <v>0</v>
      </c>
      <c r="BU1332" s="1906">
        <f t="shared" si="1767"/>
        <v>0</v>
      </c>
      <c r="BV1332" s="1906">
        <f t="shared" si="1768"/>
        <v>0</v>
      </c>
      <c r="BW1332" s="1906">
        <f t="shared" si="1769"/>
        <v>0</v>
      </c>
      <c r="BX1332" s="1906">
        <f t="shared" si="1770"/>
        <v>0</v>
      </c>
      <c r="BY1332" s="1906">
        <f t="shared" si="1771"/>
        <v>0</v>
      </c>
      <c r="BZ1332" s="1906">
        <f t="shared" si="1772"/>
        <v>0</v>
      </c>
      <c r="CA1332" s="1906">
        <f t="shared" si="1773"/>
        <v>0</v>
      </c>
      <c r="CB1332" s="1971" t="str">
        <f t="shared" si="1774"/>
        <v>Maíz Grano</v>
      </c>
      <c r="CC1332" s="1906">
        <f t="shared" si="1775"/>
        <v>0</v>
      </c>
      <c r="CD1332" s="1906">
        <f t="shared" si="1776"/>
        <v>0</v>
      </c>
      <c r="CE1332" s="1906">
        <f t="shared" si="1777"/>
        <v>0</v>
      </c>
      <c r="CF1332" s="1906">
        <f t="shared" si="1778"/>
        <v>0</v>
      </c>
      <c r="CG1332" s="1906">
        <f t="shared" si="1779"/>
        <v>0</v>
      </c>
      <c r="CH1332" s="1906">
        <f t="shared" si="1780"/>
        <v>0</v>
      </c>
      <c r="CI1332" s="1906">
        <f t="shared" si="1781"/>
        <v>0</v>
      </c>
      <c r="CJ1332" s="1906">
        <f t="shared" si="1695"/>
        <v>0</v>
      </c>
      <c r="CK1332" s="1906">
        <f t="shared" si="1696"/>
        <v>0</v>
      </c>
      <c r="CL1332" s="1906">
        <f t="shared" si="1697"/>
        <v>0</v>
      </c>
      <c r="CM1332" s="1906">
        <f t="shared" si="1698"/>
        <v>0</v>
      </c>
      <c r="CN1332" s="1906">
        <f t="shared" si="1699"/>
        <v>0</v>
      </c>
      <c r="CO1332" s="595" t="str">
        <f t="shared" si="1700"/>
        <v>Maíz Grano</v>
      </c>
      <c r="CP1332" s="1443">
        <f t="shared" si="1701"/>
        <v>0</v>
      </c>
      <c r="EF1332" s="5"/>
    </row>
    <row r="1333" spans="1:136" x14ac:dyDescent="0.2">
      <c r="A1333" s="6"/>
      <c r="B1333" s="1971" t="str">
        <f t="shared" si="1702"/>
        <v>Sorgo grano</v>
      </c>
      <c r="C1333" s="1906">
        <f t="shared" si="1703"/>
        <v>0</v>
      </c>
      <c r="D1333" s="1906">
        <f t="shared" si="1704"/>
        <v>0</v>
      </c>
      <c r="E1333" s="1906">
        <f t="shared" si="1705"/>
        <v>0</v>
      </c>
      <c r="F1333" s="1906">
        <f t="shared" si="1706"/>
        <v>0</v>
      </c>
      <c r="G1333" s="1906">
        <f t="shared" si="1707"/>
        <v>0</v>
      </c>
      <c r="H1333" s="1906">
        <f t="shared" si="1708"/>
        <v>0</v>
      </c>
      <c r="I1333" s="1906">
        <f t="shared" si="1709"/>
        <v>0</v>
      </c>
      <c r="J1333" s="1906">
        <f t="shared" si="1710"/>
        <v>0</v>
      </c>
      <c r="K1333" s="1906">
        <f t="shared" si="1711"/>
        <v>0</v>
      </c>
      <c r="L1333" s="1906">
        <f t="shared" si="1712"/>
        <v>0</v>
      </c>
      <c r="M1333" s="1906">
        <f t="shared" si="1713"/>
        <v>0</v>
      </c>
      <c r="N1333" s="1906">
        <f t="shared" si="1714"/>
        <v>0</v>
      </c>
      <c r="O1333" s="107"/>
      <c r="P1333" s="1906"/>
      <c r="Q1333" s="1906">
        <f t="shared" si="1715"/>
        <v>0</v>
      </c>
      <c r="R1333" s="1906">
        <f t="shared" si="1716"/>
        <v>0</v>
      </c>
      <c r="S1333" s="1906">
        <f t="shared" si="1717"/>
        <v>0</v>
      </c>
      <c r="T1333" s="1906">
        <f t="shared" si="1718"/>
        <v>0</v>
      </c>
      <c r="U1333" s="1906">
        <f t="shared" si="1719"/>
        <v>0</v>
      </c>
      <c r="V1333" s="1906">
        <f t="shared" si="1720"/>
        <v>0</v>
      </c>
      <c r="W1333" s="1906">
        <f t="shared" si="1721"/>
        <v>0</v>
      </c>
      <c r="X1333" s="1906">
        <f t="shared" si="1722"/>
        <v>0</v>
      </c>
      <c r="Y1333" s="1906">
        <f t="shared" si="1723"/>
        <v>0</v>
      </c>
      <c r="Z1333" s="1906">
        <f t="shared" si="1724"/>
        <v>0</v>
      </c>
      <c r="AA1333" s="1906">
        <f t="shared" si="1725"/>
        <v>0</v>
      </c>
      <c r="AB1333" s="107"/>
      <c r="AC1333" s="1906">
        <f t="shared" si="1726"/>
        <v>0</v>
      </c>
      <c r="AD1333" s="1906">
        <f t="shared" si="1727"/>
        <v>0</v>
      </c>
      <c r="AE1333" s="1906">
        <f t="shared" si="1728"/>
        <v>0</v>
      </c>
      <c r="AF1333" s="1906">
        <f t="shared" si="1729"/>
        <v>0</v>
      </c>
      <c r="AG1333" s="1906">
        <f t="shared" si="1730"/>
        <v>0</v>
      </c>
      <c r="AH1333" s="1906">
        <f t="shared" si="1731"/>
        <v>0</v>
      </c>
      <c r="AI1333" s="1906">
        <f t="shared" si="1732"/>
        <v>0</v>
      </c>
      <c r="AJ1333" s="1906">
        <f t="shared" si="1733"/>
        <v>0</v>
      </c>
      <c r="AK1333" s="1906">
        <f t="shared" si="1734"/>
        <v>0</v>
      </c>
      <c r="AL1333" s="1906">
        <f t="shared" si="1735"/>
        <v>0</v>
      </c>
      <c r="AM1333" s="1906">
        <f t="shared" si="1736"/>
        <v>0</v>
      </c>
      <c r="AN1333" s="1906">
        <f t="shared" si="1737"/>
        <v>0</v>
      </c>
      <c r="AO1333" s="107"/>
      <c r="AP1333" s="1906">
        <f t="shared" si="1738"/>
        <v>0</v>
      </c>
      <c r="AQ1333" s="1906">
        <f t="shared" si="1739"/>
        <v>0</v>
      </c>
      <c r="AR1333" s="1906">
        <f t="shared" si="1740"/>
        <v>0</v>
      </c>
      <c r="AS1333" s="1906">
        <f t="shared" si="1741"/>
        <v>0</v>
      </c>
      <c r="AT1333" s="1906">
        <f t="shared" si="1742"/>
        <v>0</v>
      </c>
      <c r="AU1333" s="1906">
        <f t="shared" si="1743"/>
        <v>0</v>
      </c>
      <c r="AV1333" s="1906">
        <f t="shared" si="1744"/>
        <v>0</v>
      </c>
      <c r="AW1333" s="1906">
        <f t="shared" si="1745"/>
        <v>0</v>
      </c>
      <c r="AX1333" s="1906">
        <f t="shared" si="1746"/>
        <v>0</v>
      </c>
      <c r="AY1333" s="1906">
        <f t="shared" si="1747"/>
        <v>0</v>
      </c>
      <c r="AZ1333" s="1906">
        <f t="shared" si="1748"/>
        <v>0</v>
      </c>
      <c r="BA1333" s="1906">
        <f t="shared" si="1749"/>
        <v>0</v>
      </c>
      <c r="BB1333" s="107"/>
      <c r="BC1333" s="1906">
        <f t="shared" si="1750"/>
        <v>0</v>
      </c>
      <c r="BD1333" s="1906">
        <f t="shared" si="1751"/>
        <v>0</v>
      </c>
      <c r="BE1333" s="1906">
        <f t="shared" si="1752"/>
        <v>0</v>
      </c>
      <c r="BF1333" s="1906">
        <f t="shared" si="1753"/>
        <v>0</v>
      </c>
      <c r="BG1333" s="1906">
        <f t="shared" si="1754"/>
        <v>0</v>
      </c>
      <c r="BH1333" s="1906">
        <f t="shared" si="1755"/>
        <v>0</v>
      </c>
      <c r="BI1333" s="1906">
        <f t="shared" si="1756"/>
        <v>0</v>
      </c>
      <c r="BJ1333" s="1906">
        <f t="shared" si="1757"/>
        <v>0</v>
      </c>
      <c r="BK1333" s="1906">
        <f t="shared" si="1758"/>
        <v>0</v>
      </c>
      <c r="BL1333" s="1906">
        <f t="shared" si="1759"/>
        <v>0</v>
      </c>
      <c r="BM1333" s="1906">
        <f t="shared" si="1760"/>
        <v>0</v>
      </c>
      <c r="BN1333" s="1906">
        <f t="shared" si="1761"/>
        <v>0</v>
      </c>
      <c r="BO1333" s="107"/>
      <c r="BP1333" s="1906">
        <f t="shared" si="1762"/>
        <v>0</v>
      </c>
      <c r="BQ1333" s="1906">
        <f t="shared" si="1763"/>
        <v>0</v>
      </c>
      <c r="BR1333" s="1906">
        <f t="shared" si="1764"/>
        <v>0</v>
      </c>
      <c r="BS1333" s="1906">
        <f t="shared" si="1765"/>
        <v>0</v>
      </c>
      <c r="BT1333" s="1906">
        <f t="shared" si="1766"/>
        <v>0</v>
      </c>
      <c r="BU1333" s="1906">
        <f t="shared" si="1767"/>
        <v>0</v>
      </c>
      <c r="BV1333" s="1906">
        <f t="shared" si="1768"/>
        <v>0</v>
      </c>
      <c r="BW1333" s="1906">
        <f t="shared" si="1769"/>
        <v>0</v>
      </c>
      <c r="BX1333" s="1906">
        <f t="shared" si="1770"/>
        <v>0</v>
      </c>
      <c r="BY1333" s="1906">
        <f t="shared" si="1771"/>
        <v>0</v>
      </c>
      <c r="BZ1333" s="1906">
        <f t="shared" si="1772"/>
        <v>0</v>
      </c>
      <c r="CA1333" s="1906">
        <f t="shared" si="1773"/>
        <v>0</v>
      </c>
      <c r="CB1333" s="1971" t="str">
        <f t="shared" si="1774"/>
        <v>Sorgo grano</v>
      </c>
      <c r="CC1333" s="1906">
        <f t="shared" si="1775"/>
        <v>0</v>
      </c>
      <c r="CD1333" s="1906">
        <f t="shared" si="1776"/>
        <v>0</v>
      </c>
      <c r="CE1333" s="1906">
        <f t="shared" si="1777"/>
        <v>0</v>
      </c>
      <c r="CF1333" s="1906">
        <f t="shared" si="1778"/>
        <v>0</v>
      </c>
      <c r="CG1333" s="1906">
        <f t="shared" si="1779"/>
        <v>0</v>
      </c>
      <c r="CH1333" s="1906">
        <f t="shared" si="1780"/>
        <v>0</v>
      </c>
      <c r="CI1333" s="1906">
        <f t="shared" si="1781"/>
        <v>0</v>
      </c>
      <c r="CJ1333" s="1906">
        <f t="shared" si="1695"/>
        <v>0</v>
      </c>
      <c r="CK1333" s="1906">
        <f t="shared" si="1696"/>
        <v>0</v>
      </c>
      <c r="CL1333" s="1906">
        <f t="shared" si="1697"/>
        <v>0</v>
      </c>
      <c r="CM1333" s="1906">
        <f t="shared" si="1698"/>
        <v>0</v>
      </c>
      <c r="CN1333" s="1906">
        <f t="shared" si="1699"/>
        <v>0</v>
      </c>
      <c r="CO1333" s="595" t="str">
        <f t="shared" si="1700"/>
        <v>Sorgo grano</v>
      </c>
      <c r="CP1333" s="1443">
        <f t="shared" si="1701"/>
        <v>0</v>
      </c>
      <c r="EF1333" s="5"/>
    </row>
    <row r="1334" spans="1:136" x14ac:dyDescent="0.2">
      <c r="A1334" s="6"/>
      <c r="B1334" s="1971" t="str">
        <f t="shared" si="1702"/>
        <v>Trigo grano</v>
      </c>
      <c r="C1334" s="1906">
        <f t="shared" si="1703"/>
        <v>0</v>
      </c>
      <c r="D1334" s="1906">
        <f t="shared" si="1704"/>
        <v>0</v>
      </c>
      <c r="E1334" s="1906">
        <f t="shared" si="1705"/>
        <v>0</v>
      </c>
      <c r="F1334" s="1906">
        <f t="shared" si="1706"/>
        <v>0</v>
      </c>
      <c r="G1334" s="1906">
        <f t="shared" si="1707"/>
        <v>0</v>
      </c>
      <c r="H1334" s="1906">
        <f t="shared" si="1708"/>
        <v>0</v>
      </c>
      <c r="I1334" s="1906">
        <f t="shared" si="1709"/>
        <v>0</v>
      </c>
      <c r="J1334" s="1906">
        <f t="shared" si="1710"/>
        <v>0</v>
      </c>
      <c r="K1334" s="1906">
        <f t="shared" si="1711"/>
        <v>0</v>
      </c>
      <c r="L1334" s="1906">
        <f t="shared" si="1712"/>
        <v>0</v>
      </c>
      <c r="M1334" s="1906">
        <f t="shared" si="1713"/>
        <v>0</v>
      </c>
      <c r="N1334" s="1906">
        <f t="shared" si="1714"/>
        <v>0</v>
      </c>
      <c r="O1334" s="107"/>
      <c r="P1334" s="1906"/>
      <c r="Q1334" s="1906">
        <f t="shared" si="1715"/>
        <v>0</v>
      </c>
      <c r="R1334" s="1906">
        <f t="shared" si="1716"/>
        <v>0</v>
      </c>
      <c r="S1334" s="1906">
        <f t="shared" si="1717"/>
        <v>0</v>
      </c>
      <c r="T1334" s="1906">
        <f t="shared" si="1718"/>
        <v>0</v>
      </c>
      <c r="U1334" s="1906">
        <f t="shared" si="1719"/>
        <v>0</v>
      </c>
      <c r="V1334" s="1906">
        <f t="shared" si="1720"/>
        <v>0</v>
      </c>
      <c r="W1334" s="1906">
        <f t="shared" si="1721"/>
        <v>0</v>
      </c>
      <c r="X1334" s="1906">
        <f t="shared" si="1722"/>
        <v>0</v>
      </c>
      <c r="Y1334" s="1906">
        <f t="shared" si="1723"/>
        <v>0</v>
      </c>
      <c r="Z1334" s="1906">
        <f t="shared" si="1724"/>
        <v>0</v>
      </c>
      <c r="AA1334" s="1906">
        <f t="shared" si="1725"/>
        <v>0</v>
      </c>
      <c r="AB1334" s="107"/>
      <c r="AC1334" s="1906">
        <f t="shared" si="1726"/>
        <v>0</v>
      </c>
      <c r="AD1334" s="1906">
        <f t="shared" si="1727"/>
        <v>0</v>
      </c>
      <c r="AE1334" s="1906">
        <f t="shared" si="1728"/>
        <v>0</v>
      </c>
      <c r="AF1334" s="1906">
        <f t="shared" si="1729"/>
        <v>0</v>
      </c>
      <c r="AG1334" s="1906">
        <f t="shared" si="1730"/>
        <v>0</v>
      </c>
      <c r="AH1334" s="1906">
        <f t="shared" si="1731"/>
        <v>0</v>
      </c>
      <c r="AI1334" s="1906">
        <f t="shared" si="1732"/>
        <v>0</v>
      </c>
      <c r="AJ1334" s="1906">
        <f t="shared" si="1733"/>
        <v>0</v>
      </c>
      <c r="AK1334" s="1906">
        <f t="shared" si="1734"/>
        <v>0</v>
      </c>
      <c r="AL1334" s="1906">
        <f t="shared" si="1735"/>
        <v>0</v>
      </c>
      <c r="AM1334" s="1906">
        <f t="shared" si="1736"/>
        <v>0</v>
      </c>
      <c r="AN1334" s="1906">
        <f t="shared" si="1737"/>
        <v>0</v>
      </c>
      <c r="AO1334" s="107"/>
      <c r="AP1334" s="1906">
        <f t="shared" si="1738"/>
        <v>0</v>
      </c>
      <c r="AQ1334" s="1906">
        <f t="shared" si="1739"/>
        <v>0</v>
      </c>
      <c r="AR1334" s="1906">
        <f t="shared" si="1740"/>
        <v>0</v>
      </c>
      <c r="AS1334" s="1906">
        <f t="shared" si="1741"/>
        <v>0</v>
      </c>
      <c r="AT1334" s="1906">
        <f t="shared" si="1742"/>
        <v>0</v>
      </c>
      <c r="AU1334" s="1906">
        <f t="shared" si="1743"/>
        <v>0</v>
      </c>
      <c r="AV1334" s="1906">
        <f t="shared" si="1744"/>
        <v>0</v>
      </c>
      <c r="AW1334" s="1906">
        <f t="shared" si="1745"/>
        <v>0</v>
      </c>
      <c r="AX1334" s="1906">
        <f t="shared" si="1746"/>
        <v>0</v>
      </c>
      <c r="AY1334" s="1906">
        <f t="shared" si="1747"/>
        <v>0</v>
      </c>
      <c r="AZ1334" s="1906">
        <f t="shared" si="1748"/>
        <v>0</v>
      </c>
      <c r="BA1334" s="1906">
        <f t="shared" si="1749"/>
        <v>0</v>
      </c>
      <c r="BB1334" s="107"/>
      <c r="BC1334" s="1906">
        <f t="shared" si="1750"/>
        <v>0</v>
      </c>
      <c r="BD1334" s="1906">
        <f t="shared" si="1751"/>
        <v>0</v>
      </c>
      <c r="BE1334" s="1906">
        <f t="shared" si="1752"/>
        <v>0</v>
      </c>
      <c r="BF1334" s="1906">
        <f t="shared" si="1753"/>
        <v>0</v>
      </c>
      <c r="BG1334" s="1906">
        <f t="shared" si="1754"/>
        <v>0</v>
      </c>
      <c r="BH1334" s="1906">
        <f t="shared" si="1755"/>
        <v>0</v>
      </c>
      <c r="BI1334" s="1906">
        <f t="shared" si="1756"/>
        <v>0</v>
      </c>
      <c r="BJ1334" s="1906">
        <f t="shared" si="1757"/>
        <v>0</v>
      </c>
      <c r="BK1334" s="1906">
        <f t="shared" si="1758"/>
        <v>0</v>
      </c>
      <c r="BL1334" s="1906">
        <f t="shared" si="1759"/>
        <v>0</v>
      </c>
      <c r="BM1334" s="1906">
        <f t="shared" si="1760"/>
        <v>0</v>
      </c>
      <c r="BN1334" s="1906">
        <f t="shared" si="1761"/>
        <v>0</v>
      </c>
      <c r="BO1334" s="107"/>
      <c r="BP1334" s="1906">
        <f t="shared" si="1762"/>
        <v>0</v>
      </c>
      <c r="BQ1334" s="1906">
        <f t="shared" si="1763"/>
        <v>0</v>
      </c>
      <c r="BR1334" s="1906">
        <f t="shared" si="1764"/>
        <v>0</v>
      </c>
      <c r="BS1334" s="1906">
        <f t="shared" si="1765"/>
        <v>0</v>
      </c>
      <c r="BT1334" s="1906">
        <f t="shared" si="1766"/>
        <v>0</v>
      </c>
      <c r="BU1334" s="1906">
        <f t="shared" si="1767"/>
        <v>0</v>
      </c>
      <c r="BV1334" s="1906">
        <f t="shared" si="1768"/>
        <v>0</v>
      </c>
      <c r="BW1334" s="1906">
        <f t="shared" si="1769"/>
        <v>0</v>
      </c>
      <c r="BX1334" s="1906">
        <f t="shared" si="1770"/>
        <v>0</v>
      </c>
      <c r="BY1334" s="1906">
        <f t="shared" si="1771"/>
        <v>0</v>
      </c>
      <c r="BZ1334" s="1906">
        <f t="shared" si="1772"/>
        <v>0</v>
      </c>
      <c r="CA1334" s="1906">
        <f t="shared" si="1773"/>
        <v>0</v>
      </c>
      <c r="CB1334" s="1971" t="str">
        <f t="shared" si="1774"/>
        <v>Trigo grano</v>
      </c>
      <c r="CC1334" s="1906">
        <f t="shared" si="1775"/>
        <v>0</v>
      </c>
      <c r="CD1334" s="1906">
        <f t="shared" si="1776"/>
        <v>0</v>
      </c>
      <c r="CE1334" s="1906">
        <f t="shared" si="1777"/>
        <v>0</v>
      </c>
      <c r="CF1334" s="1906">
        <f t="shared" si="1778"/>
        <v>0</v>
      </c>
      <c r="CG1334" s="1906">
        <f t="shared" si="1779"/>
        <v>0</v>
      </c>
      <c r="CH1334" s="1906">
        <f t="shared" si="1780"/>
        <v>0</v>
      </c>
      <c r="CI1334" s="1906">
        <f t="shared" si="1781"/>
        <v>0</v>
      </c>
      <c r="CJ1334" s="1906">
        <f t="shared" si="1695"/>
        <v>0</v>
      </c>
      <c r="CK1334" s="1906">
        <f t="shared" si="1696"/>
        <v>0</v>
      </c>
      <c r="CL1334" s="1906">
        <f t="shared" si="1697"/>
        <v>0</v>
      </c>
      <c r="CM1334" s="1906">
        <f t="shared" si="1698"/>
        <v>0</v>
      </c>
      <c r="CN1334" s="1906">
        <f t="shared" si="1699"/>
        <v>0</v>
      </c>
      <c r="CO1334" s="595" t="str">
        <f t="shared" si="1700"/>
        <v>Trigo grano</v>
      </c>
      <c r="CP1334" s="1443">
        <f t="shared" si="1701"/>
        <v>0</v>
      </c>
      <c r="EF1334" s="5"/>
    </row>
    <row r="1335" spans="1:136" x14ac:dyDescent="0.2">
      <c r="A1335" s="6"/>
      <c r="B1335" s="1971" t="str">
        <f t="shared" si="1702"/>
        <v>Cebada grano</v>
      </c>
      <c r="C1335" s="1906">
        <f t="shared" si="1703"/>
        <v>0</v>
      </c>
      <c r="D1335" s="1906">
        <f t="shared" si="1704"/>
        <v>0</v>
      </c>
      <c r="E1335" s="1906">
        <f t="shared" si="1705"/>
        <v>0</v>
      </c>
      <c r="F1335" s="1906">
        <f t="shared" si="1706"/>
        <v>0</v>
      </c>
      <c r="G1335" s="1906">
        <f t="shared" si="1707"/>
        <v>0</v>
      </c>
      <c r="H1335" s="1906">
        <f t="shared" si="1708"/>
        <v>0</v>
      </c>
      <c r="I1335" s="1906">
        <f t="shared" si="1709"/>
        <v>0</v>
      </c>
      <c r="J1335" s="1906">
        <f t="shared" si="1710"/>
        <v>0</v>
      </c>
      <c r="K1335" s="1906">
        <f t="shared" si="1711"/>
        <v>0</v>
      </c>
      <c r="L1335" s="1906">
        <f t="shared" si="1712"/>
        <v>0</v>
      </c>
      <c r="M1335" s="1906">
        <f t="shared" si="1713"/>
        <v>0</v>
      </c>
      <c r="N1335" s="1906">
        <f t="shared" si="1714"/>
        <v>0</v>
      </c>
      <c r="O1335" s="107"/>
      <c r="P1335" s="1906"/>
      <c r="Q1335" s="1906">
        <f t="shared" si="1715"/>
        <v>0</v>
      </c>
      <c r="R1335" s="1906">
        <f t="shared" si="1716"/>
        <v>0</v>
      </c>
      <c r="S1335" s="1906">
        <f t="shared" si="1717"/>
        <v>0</v>
      </c>
      <c r="T1335" s="1906">
        <f t="shared" si="1718"/>
        <v>0</v>
      </c>
      <c r="U1335" s="1906">
        <f t="shared" si="1719"/>
        <v>0</v>
      </c>
      <c r="V1335" s="1906">
        <f t="shared" si="1720"/>
        <v>0</v>
      </c>
      <c r="W1335" s="1906">
        <f t="shared" si="1721"/>
        <v>0</v>
      </c>
      <c r="X1335" s="1906">
        <f t="shared" si="1722"/>
        <v>0</v>
      </c>
      <c r="Y1335" s="1906">
        <f t="shared" si="1723"/>
        <v>0</v>
      </c>
      <c r="Z1335" s="1906">
        <f t="shared" si="1724"/>
        <v>0</v>
      </c>
      <c r="AA1335" s="1906">
        <f t="shared" si="1725"/>
        <v>0</v>
      </c>
      <c r="AB1335" s="107"/>
      <c r="AC1335" s="1906">
        <f t="shared" si="1726"/>
        <v>0</v>
      </c>
      <c r="AD1335" s="1906">
        <f t="shared" si="1727"/>
        <v>0</v>
      </c>
      <c r="AE1335" s="1906">
        <f t="shared" si="1728"/>
        <v>0</v>
      </c>
      <c r="AF1335" s="1906">
        <f t="shared" si="1729"/>
        <v>0</v>
      </c>
      <c r="AG1335" s="1906">
        <f t="shared" si="1730"/>
        <v>0</v>
      </c>
      <c r="AH1335" s="1906">
        <f t="shared" si="1731"/>
        <v>0</v>
      </c>
      <c r="AI1335" s="1906">
        <f t="shared" si="1732"/>
        <v>0</v>
      </c>
      <c r="AJ1335" s="1906">
        <f t="shared" si="1733"/>
        <v>0</v>
      </c>
      <c r="AK1335" s="1906">
        <f t="shared" si="1734"/>
        <v>0</v>
      </c>
      <c r="AL1335" s="1906">
        <f t="shared" si="1735"/>
        <v>0</v>
      </c>
      <c r="AM1335" s="1906">
        <f t="shared" si="1736"/>
        <v>0</v>
      </c>
      <c r="AN1335" s="1906">
        <f t="shared" si="1737"/>
        <v>0</v>
      </c>
      <c r="AO1335" s="107"/>
      <c r="AP1335" s="1906">
        <f t="shared" si="1738"/>
        <v>0</v>
      </c>
      <c r="AQ1335" s="1906">
        <f t="shared" si="1739"/>
        <v>0</v>
      </c>
      <c r="AR1335" s="1906">
        <f t="shared" si="1740"/>
        <v>0</v>
      </c>
      <c r="AS1335" s="1906">
        <f t="shared" si="1741"/>
        <v>0</v>
      </c>
      <c r="AT1335" s="1906">
        <f t="shared" si="1742"/>
        <v>0</v>
      </c>
      <c r="AU1335" s="1906">
        <f t="shared" si="1743"/>
        <v>0</v>
      </c>
      <c r="AV1335" s="1906">
        <f t="shared" si="1744"/>
        <v>0</v>
      </c>
      <c r="AW1335" s="1906">
        <f t="shared" si="1745"/>
        <v>0</v>
      </c>
      <c r="AX1335" s="1906">
        <f t="shared" si="1746"/>
        <v>0</v>
      </c>
      <c r="AY1335" s="1906">
        <f t="shared" si="1747"/>
        <v>0</v>
      </c>
      <c r="AZ1335" s="1906">
        <f t="shared" si="1748"/>
        <v>0</v>
      </c>
      <c r="BA1335" s="1906">
        <f t="shared" si="1749"/>
        <v>0</v>
      </c>
      <c r="BB1335" s="107"/>
      <c r="BC1335" s="1906">
        <f t="shared" si="1750"/>
        <v>0</v>
      </c>
      <c r="BD1335" s="1906">
        <f t="shared" si="1751"/>
        <v>0</v>
      </c>
      <c r="BE1335" s="1906">
        <f t="shared" si="1752"/>
        <v>0</v>
      </c>
      <c r="BF1335" s="1906">
        <f t="shared" si="1753"/>
        <v>0</v>
      </c>
      <c r="BG1335" s="1906">
        <f t="shared" si="1754"/>
        <v>0</v>
      </c>
      <c r="BH1335" s="1906">
        <f t="shared" si="1755"/>
        <v>0</v>
      </c>
      <c r="BI1335" s="1906">
        <f t="shared" si="1756"/>
        <v>0</v>
      </c>
      <c r="BJ1335" s="1906">
        <f t="shared" si="1757"/>
        <v>0</v>
      </c>
      <c r="BK1335" s="1906">
        <f t="shared" si="1758"/>
        <v>0</v>
      </c>
      <c r="BL1335" s="1906">
        <f t="shared" si="1759"/>
        <v>0</v>
      </c>
      <c r="BM1335" s="1906">
        <f t="shared" si="1760"/>
        <v>0</v>
      </c>
      <c r="BN1335" s="1906">
        <f t="shared" si="1761"/>
        <v>0</v>
      </c>
      <c r="BO1335" s="107"/>
      <c r="BP1335" s="1906">
        <f t="shared" si="1762"/>
        <v>0</v>
      </c>
      <c r="BQ1335" s="1906">
        <f t="shared" si="1763"/>
        <v>0</v>
      </c>
      <c r="BR1335" s="1906">
        <f t="shared" si="1764"/>
        <v>0</v>
      </c>
      <c r="BS1335" s="1906">
        <f t="shared" si="1765"/>
        <v>0</v>
      </c>
      <c r="BT1335" s="1906">
        <f t="shared" si="1766"/>
        <v>0</v>
      </c>
      <c r="BU1335" s="1906">
        <f t="shared" si="1767"/>
        <v>0</v>
      </c>
      <c r="BV1335" s="1906">
        <f t="shared" si="1768"/>
        <v>0</v>
      </c>
      <c r="BW1335" s="1906">
        <f t="shared" si="1769"/>
        <v>0</v>
      </c>
      <c r="BX1335" s="1906">
        <f t="shared" si="1770"/>
        <v>0</v>
      </c>
      <c r="BY1335" s="1906">
        <f t="shared" si="1771"/>
        <v>0</v>
      </c>
      <c r="BZ1335" s="1906">
        <f t="shared" si="1772"/>
        <v>0</v>
      </c>
      <c r="CA1335" s="1906">
        <f t="shared" si="1773"/>
        <v>0</v>
      </c>
      <c r="CB1335" s="1971" t="str">
        <f t="shared" si="1774"/>
        <v>Cebada grano</v>
      </c>
      <c r="CC1335" s="1906">
        <f t="shared" si="1775"/>
        <v>0</v>
      </c>
      <c r="CD1335" s="1906">
        <f t="shared" si="1776"/>
        <v>0</v>
      </c>
      <c r="CE1335" s="1906">
        <f t="shared" si="1777"/>
        <v>0</v>
      </c>
      <c r="CF1335" s="1906">
        <f t="shared" si="1778"/>
        <v>0</v>
      </c>
      <c r="CG1335" s="1906">
        <f t="shared" si="1779"/>
        <v>0</v>
      </c>
      <c r="CH1335" s="1906">
        <f t="shared" si="1780"/>
        <v>0</v>
      </c>
      <c r="CI1335" s="1906">
        <f t="shared" si="1781"/>
        <v>0</v>
      </c>
      <c r="CJ1335" s="1906">
        <f t="shared" si="1695"/>
        <v>0</v>
      </c>
      <c r="CK1335" s="1906">
        <f t="shared" si="1696"/>
        <v>0</v>
      </c>
      <c r="CL1335" s="1906">
        <f t="shared" si="1697"/>
        <v>0</v>
      </c>
      <c r="CM1335" s="1906">
        <f t="shared" si="1698"/>
        <v>0</v>
      </c>
      <c r="CN1335" s="1906">
        <f t="shared" si="1699"/>
        <v>0</v>
      </c>
      <c r="CO1335" s="595" t="str">
        <f t="shared" si="1700"/>
        <v>Cebada grano</v>
      </c>
      <c r="CP1335" s="1443">
        <f t="shared" si="1701"/>
        <v>0</v>
      </c>
      <c r="EF1335" s="5"/>
    </row>
    <row r="1336" spans="1:136" x14ac:dyDescent="0.2">
      <c r="A1336" s="6"/>
      <c r="B1336" s="1971" t="str">
        <f t="shared" si="1702"/>
        <v>Avena grano</v>
      </c>
      <c r="C1336" s="1906">
        <f t="shared" si="1703"/>
        <v>0</v>
      </c>
      <c r="D1336" s="1906">
        <f t="shared" si="1704"/>
        <v>0</v>
      </c>
      <c r="E1336" s="1906">
        <f t="shared" si="1705"/>
        <v>0</v>
      </c>
      <c r="F1336" s="1906">
        <f t="shared" si="1706"/>
        <v>0</v>
      </c>
      <c r="G1336" s="1906">
        <f t="shared" si="1707"/>
        <v>0</v>
      </c>
      <c r="H1336" s="1906">
        <f t="shared" si="1708"/>
        <v>0</v>
      </c>
      <c r="I1336" s="1906">
        <f t="shared" si="1709"/>
        <v>0</v>
      </c>
      <c r="J1336" s="1906">
        <f t="shared" si="1710"/>
        <v>0</v>
      </c>
      <c r="K1336" s="1906">
        <f t="shared" si="1711"/>
        <v>0</v>
      </c>
      <c r="L1336" s="1906">
        <f t="shared" si="1712"/>
        <v>0</v>
      </c>
      <c r="M1336" s="1906">
        <f t="shared" si="1713"/>
        <v>0</v>
      </c>
      <c r="N1336" s="1906">
        <f t="shared" si="1714"/>
        <v>0</v>
      </c>
      <c r="O1336" s="107"/>
      <c r="P1336" s="1906"/>
      <c r="Q1336" s="1906">
        <f t="shared" si="1715"/>
        <v>0</v>
      </c>
      <c r="R1336" s="1906">
        <f t="shared" si="1716"/>
        <v>0</v>
      </c>
      <c r="S1336" s="1906">
        <f t="shared" si="1717"/>
        <v>0</v>
      </c>
      <c r="T1336" s="1906">
        <f t="shared" si="1718"/>
        <v>0</v>
      </c>
      <c r="U1336" s="1906">
        <f t="shared" si="1719"/>
        <v>0</v>
      </c>
      <c r="V1336" s="1906">
        <f t="shared" si="1720"/>
        <v>0</v>
      </c>
      <c r="W1336" s="1906">
        <f t="shared" si="1721"/>
        <v>0</v>
      </c>
      <c r="X1336" s="1906">
        <f t="shared" si="1722"/>
        <v>0</v>
      </c>
      <c r="Y1336" s="1906">
        <f t="shared" si="1723"/>
        <v>0</v>
      </c>
      <c r="Z1336" s="1906">
        <f t="shared" si="1724"/>
        <v>0</v>
      </c>
      <c r="AA1336" s="1906">
        <f t="shared" si="1725"/>
        <v>0</v>
      </c>
      <c r="AB1336" s="107"/>
      <c r="AC1336" s="1906">
        <f t="shared" si="1726"/>
        <v>0</v>
      </c>
      <c r="AD1336" s="1906">
        <f t="shared" si="1727"/>
        <v>0</v>
      </c>
      <c r="AE1336" s="1906">
        <f t="shared" si="1728"/>
        <v>0</v>
      </c>
      <c r="AF1336" s="1906">
        <f t="shared" si="1729"/>
        <v>0</v>
      </c>
      <c r="AG1336" s="1906">
        <f t="shared" si="1730"/>
        <v>0</v>
      </c>
      <c r="AH1336" s="1906">
        <f t="shared" si="1731"/>
        <v>0</v>
      </c>
      <c r="AI1336" s="1906">
        <f t="shared" si="1732"/>
        <v>0</v>
      </c>
      <c r="AJ1336" s="1906">
        <f t="shared" si="1733"/>
        <v>0</v>
      </c>
      <c r="AK1336" s="1906">
        <f t="shared" si="1734"/>
        <v>0</v>
      </c>
      <c r="AL1336" s="1906">
        <f t="shared" si="1735"/>
        <v>0</v>
      </c>
      <c r="AM1336" s="1906">
        <f t="shared" si="1736"/>
        <v>0</v>
      </c>
      <c r="AN1336" s="1906">
        <f t="shared" si="1737"/>
        <v>0</v>
      </c>
      <c r="AO1336" s="107"/>
      <c r="AP1336" s="1906">
        <f t="shared" si="1738"/>
        <v>0</v>
      </c>
      <c r="AQ1336" s="1906">
        <f t="shared" si="1739"/>
        <v>0</v>
      </c>
      <c r="AR1336" s="1906">
        <f t="shared" si="1740"/>
        <v>0</v>
      </c>
      <c r="AS1336" s="1906">
        <f t="shared" si="1741"/>
        <v>0</v>
      </c>
      <c r="AT1336" s="1906">
        <f t="shared" si="1742"/>
        <v>0</v>
      </c>
      <c r="AU1336" s="1906">
        <f t="shared" si="1743"/>
        <v>0</v>
      </c>
      <c r="AV1336" s="1906">
        <f t="shared" si="1744"/>
        <v>0</v>
      </c>
      <c r="AW1336" s="1906">
        <f t="shared" si="1745"/>
        <v>0</v>
      </c>
      <c r="AX1336" s="1906">
        <f t="shared" si="1746"/>
        <v>0</v>
      </c>
      <c r="AY1336" s="1906">
        <f t="shared" si="1747"/>
        <v>0</v>
      </c>
      <c r="AZ1336" s="1906">
        <f t="shared" si="1748"/>
        <v>0</v>
      </c>
      <c r="BA1336" s="1906">
        <f t="shared" si="1749"/>
        <v>0</v>
      </c>
      <c r="BB1336" s="107"/>
      <c r="BC1336" s="1906">
        <f t="shared" si="1750"/>
        <v>0</v>
      </c>
      <c r="BD1336" s="1906">
        <f t="shared" si="1751"/>
        <v>0</v>
      </c>
      <c r="BE1336" s="1906">
        <f t="shared" si="1752"/>
        <v>0</v>
      </c>
      <c r="BF1336" s="1906">
        <f t="shared" si="1753"/>
        <v>0</v>
      </c>
      <c r="BG1336" s="1906">
        <f t="shared" si="1754"/>
        <v>0</v>
      </c>
      <c r="BH1336" s="1906">
        <f t="shared" si="1755"/>
        <v>0</v>
      </c>
      <c r="BI1336" s="1906">
        <f t="shared" si="1756"/>
        <v>0</v>
      </c>
      <c r="BJ1336" s="1906">
        <f t="shared" si="1757"/>
        <v>0</v>
      </c>
      <c r="BK1336" s="1906">
        <f t="shared" si="1758"/>
        <v>0</v>
      </c>
      <c r="BL1336" s="1906">
        <f t="shared" si="1759"/>
        <v>0</v>
      </c>
      <c r="BM1336" s="1906">
        <f t="shared" si="1760"/>
        <v>0</v>
      </c>
      <c r="BN1336" s="1906">
        <f t="shared" si="1761"/>
        <v>0</v>
      </c>
      <c r="BO1336" s="107"/>
      <c r="BP1336" s="1906">
        <f t="shared" si="1762"/>
        <v>0</v>
      </c>
      <c r="BQ1336" s="1906">
        <f t="shared" si="1763"/>
        <v>0</v>
      </c>
      <c r="BR1336" s="1906">
        <f t="shared" si="1764"/>
        <v>0</v>
      </c>
      <c r="BS1336" s="1906">
        <f t="shared" si="1765"/>
        <v>0</v>
      </c>
      <c r="BT1336" s="1906">
        <f t="shared" si="1766"/>
        <v>0</v>
      </c>
      <c r="BU1336" s="1906">
        <f t="shared" si="1767"/>
        <v>0</v>
      </c>
      <c r="BV1336" s="1906">
        <f t="shared" si="1768"/>
        <v>0</v>
      </c>
      <c r="BW1336" s="1906">
        <f t="shared" si="1769"/>
        <v>0</v>
      </c>
      <c r="BX1336" s="1906">
        <f t="shared" si="1770"/>
        <v>0</v>
      </c>
      <c r="BY1336" s="1906">
        <f t="shared" si="1771"/>
        <v>0</v>
      </c>
      <c r="BZ1336" s="1906">
        <f t="shared" si="1772"/>
        <v>0</v>
      </c>
      <c r="CA1336" s="1906">
        <f t="shared" si="1773"/>
        <v>0</v>
      </c>
      <c r="CB1336" s="1971" t="str">
        <f t="shared" si="1774"/>
        <v>Avena grano</v>
      </c>
      <c r="CC1336" s="1906">
        <f t="shared" si="1775"/>
        <v>0</v>
      </c>
      <c r="CD1336" s="1906">
        <f t="shared" si="1776"/>
        <v>0</v>
      </c>
      <c r="CE1336" s="1906">
        <f t="shared" si="1777"/>
        <v>0</v>
      </c>
      <c r="CF1336" s="1906">
        <f t="shared" si="1778"/>
        <v>0</v>
      </c>
      <c r="CG1336" s="1906">
        <f t="shared" si="1779"/>
        <v>0</v>
      </c>
      <c r="CH1336" s="1906">
        <f t="shared" si="1780"/>
        <v>0</v>
      </c>
      <c r="CI1336" s="1906">
        <f t="shared" si="1781"/>
        <v>0</v>
      </c>
      <c r="CJ1336" s="1906">
        <f t="shared" si="1695"/>
        <v>0</v>
      </c>
      <c r="CK1336" s="1906">
        <f t="shared" si="1696"/>
        <v>0</v>
      </c>
      <c r="CL1336" s="1906">
        <f t="shared" si="1697"/>
        <v>0</v>
      </c>
      <c r="CM1336" s="1906">
        <f t="shared" si="1698"/>
        <v>0</v>
      </c>
      <c r="CN1336" s="1906">
        <f t="shared" si="1699"/>
        <v>0</v>
      </c>
      <c r="CO1336" s="595" t="str">
        <f t="shared" si="1700"/>
        <v>Avena grano</v>
      </c>
      <c r="CP1336" s="1443">
        <f t="shared" si="1701"/>
        <v>0</v>
      </c>
      <c r="EF1336" s="5"/>
    </row>
    <row r="1337" spans="1:136" x14ac:dyDescent="0.2">
      <c r="A1337" s="6"/>
      <c r="B1337" s="1971" t="str">
        <f t="shared" si="1702"/>
        <v>Colza grano</v>
      </c>
      <c r="C1337" s="1906">
        <f t="shared" si="1703"/>
        <v>0</v>
      </c>
      <c r="D1337" s="1906">
        <f t="shared" si="1704"/>
        <v>0</v>
      </c>
      <c r="E1337" s="1906">
        <f t="shared" si="1705"/>
        <v>0</v>
      </c>
      <c r="F1337" s="1906">
        <f t="shared" si="1706"/>
        <v>0</v>
      </c>
      <c r="G1337" s="1906">
        <f t="shared" si="1707"/>
        <v>0</v>
      </c>
      <c r="H1337" s="1906">
        <f t="shared" si="1708"/>
        <v>0</v>
      </c>
      <c r="I1337" s="1906">
        <f t="shared" si="1709"/>
        <v>0</v>
      </c>
      <c r="J1337" s="1906">
        <f t="shared" si="1710"/>
        <v>0</v>
      </c>
      <c r="K1337" s="1906">
        <f t="shared" si="1711"/>
        <v>0</v>
      </c>
      <c r="L1337" s="1906">
        <f t="shared" si="1712"/>
        <v>0</v>
      </c>
      <c r="M1337" s="1906">
        <f t="shared" si="1713"/>
        <v>0</v>
      </c>
      <c r="N1337" s="1906">
        <f t="shared" si="1714"/>
        <v>0</v>
      </c>
      <c r="O1337" s="107"/>
      <c r="P1337" s="1906"/>
      <c r="Q1337" s="1906">
        <f t="shared" si="1715"/>
        <v>0</v>
      </c>
      <c r="R1337" s="1906">
        <f t="shared" si="1716"/>
        <v>0</v>
      </c>
      <c r="S1337" s="1906">
        <f t="shared" si="1717"/>
        <v>0</v>
      </c>
      <c r="T1337" s="1906">
        <f t="shared" si="1718"/>
        <v>0</v>
      </c>
      <c r="U1337" s="1906">
        <f t="shared" si="1719"/>
        <v>0</v>
      </c>
      <c r="V1337" s="1906">
        <f t="shared" si="1720"/>
        <v>0</v>
      </c>
      <c r="W1337" s="1906">
        <f t="shared" si="1721"/>
        <v>0</v>
      </c>
      <c r="X1337" s="1906">
        <f t="shared" si="1722"/>
        <v>0</v>
      </c>
      <c r="Y1337" s="1906">
        <f t="shared" si="1723"/>
        <v>0</v>
      </c>
      <c r="Z1337" s="1906">
        <f t="shared" si="1724"/>
        <v>0</v>
      </c>
      <c r="AA1337" s="1906">
        <f t="shared" si="1725"/>
        <v>0</v>
      </c>
      <c r="AB1337" s="107"/>
      <c r="AC1337" s="1906">
        <f t="shared" si="1726"/>
        <v>0</v>
      </c>
      <c r="AD1337" s="1906">
        <f t="shared" si="1727"/>
        <v>0</v>
      </c>
      <c r="AE1337" s="1906">
        <f t="shared" si="1728"/>
        <v>0</v>
      </c>
      <c r="AF1337" s="1906">
        <f t="shared" si="1729"/>
        <v>0</v>
      </c>
      <c r="AG1337" s="1906">
        <f t="shared" si="1730"/>
        <v>0</v>
      </c>
      <c r="AH1337" s="1906">
        <f t="shared" si="1731"/>
        <v>0</v>
      </c>
      <c r="AI1337" s="1906">
        <f t="shared" si="1732"/>
        <v>0</v>
      </c>
      <c r="AJ1337" s="1906">
        <f t="shared" si="1733"/>
        <v>0</v>
      </c>
      <c r="AK1337" s="1906">
        <f t="shared" si="1734"/>
        <v>0</v>
      </c>
      <c r="AL1337" s="1906">
        <f t="shared" si="1735"/>
        <v>0</v>
      </c>
      <c r="AM1337" s="1906">
        <f t="shared" si="1736"/>
        <v>0</v>
      </c>
      <c r="AN1337" s="1906">
        <f t="shared" si="1737"/>
        <v>0</v>
      </c>
      <c r="AO1337" s="107"/>
      <c r="AP1337" s="1906">
        <f t="shared" si="1738"/>
        <v>0</v>
      </c>
      <c r="AQ1337" s="1906">
        <f t="shared" si="1739"/>
        <v>0</v>
      </c>
      <c r="AR1337" s="1906">
        <f t="shared" si="1740"/>
        <v>0</v>
      </c>
      <c r="AS1337" s="1906">
        <f t="shared" si="1741"/>
        <v>0</v>
      </c>
      <c r="AT1337" s="1906">
        <f t="shared" si="1742"/>
        <v>0</v>
      </c>
      <c r="AU1337" s="1906">
        <f t="shared" si="1743"/>
        <v>0</v>
      </c>
      <c r="AV1337" s="1906">
        <f t="shared" si="1744"/>
        <v>0</v>
      </c>
      <c r="AW1337" s="1906">
        <f t="shared" si="1745"/>
        <v>0</v>
      </c>
      <c r="AX1337" s="1906">
        <f t="shared" si="1746"/>
        <v>0</v>
      </c>
      <c r="AY1337" s="1906">
        <f t="shared" si="1747"/>
        <v>0</v>
      </c>
      <c r="AZ1337" s="1906">
        <f t="shared" si="1748"/>
        <v>0</v>
      </c>
      <c r="BA1337" s="1906">
        <f t="shared" si="1749"/>
        <v>0</v>
      </c>
      <c r="BB1337" s="107"/>
      <c r="BC1337" s="1906">
        <f t="shared" si="1750"/>
        <v>0</v>
      </c>
      <c r="BD1337" s="1906">
        <f t="shared" si="1751"/>
        <v>0</v>
      </c>
      <c r="BE1337" s="1906">
        <f t="shared" si="1752"/>
        <v>0</v>
      </c>
      <c r="BF1337" s="1906">
        <f t="shared" si="1753"/>
        <v>0</v>
      </c>
      <c r="BG1337" s="1906">
        <f t="shared" si="1754"/>
        <v>0</v>
      </c>
      <c r="BH1337" s="1906">
        <f t="shared" si="1755"/>
        <v>0</v>
      </c>
      <c r="BI1337" s="1906">
        <f t="shared" si="1756"/>
        <v>0</v>
      </c>
      <c r="BJ1337" s="1906">
        <f t="shared" si="1757"/>
        <v>0</v>
      </c>
      <c r="BK1337" s="1906">
        <f t="shared" si="1758"/>
        <v>0</v>
      </c>
      <c r="BL1337" s="1906">
        <f t="shared" si="1759"/>
        <v>0</v>
      </c>
      <c r="BM1337" s="1906">
        <f t="shared" si="1760"/>
        <v>0</v>
      </c>
      <c r="BN1337" s="1906">
        <f t="shared" si="1761"/>
        <v>0</v>
      </c>
      <c r="BO1337" s="107"/>
      <c r="BP1337" s="1906">
        <f t="shared" si="1762"/>
        <v>0</v>
      </c>
      <c r="BQ1337" s="1906">
        <f t="shared" si="1763"/>
        <v>0</v>
      </c>
      <c r="BR1337" s="1906">
        <f t="shared" si="1764"/>
        <v>0</v>
      </c>
      <c r="BS1337" s="1906">
        <f t="shared" si="1765"/>
        <v>0</v>
      </c>
      <c r="BT1337" s="1906">
        <f t="shared" si="1766"/>
        <v>0</v>
      </c>
      <c r="BU1337" s="1906">
        <f t="shared" si="1767"/>
        <v>0</v>
      </c>
      <c r="BV1337" s="1906">
        <f t="shared" si="1768"/>
        <v>0</v>
      </c>
      <c r="BW1337" s="1906">
        <f t="shared" si="1769"/>
        <v>0</v>
      </c>
      <c r="BX1337" s="1906">
        <f t="shared" si="1770"/>
        <v>0</v>
      </c>
      <c r="BY1337" s="1906">
        <f t="shared" si="1771"/>
        <v>0</v>
      </c>
      <c r="BZ1337" s="1906">
        <f t="shared" si="1772"/>
        <v>0</v>
      </c>
      <c r="CA1337" s="1906">
        <f t="shared" si="1773"/>
        <v>0</v>
      </c>
      <c r="CB1337" s="1971" t="str">
        <f t="shared" si="1774"/>
        <v>Colza grano</v>
      </c>
      <c r="CC1337" s="1906">
        <f t="shared" si="1775"/>
        <v>0</v>
      </c>
      <c r="CD1337" s="1906">
        <f t="shared" si="1776"/>
        <v>0</v>
      </c>
      <c r="CE1337" s="1906">
        <f t="shared" si="1777"/>
        <v>0</v>
      </c>
      <c r="CF1337" s="1906">
        <f t="shared" si="1778"/>
        <v>0</v>
      </c>
      <c r="CG1337" s="1906">
        <f t="shared" si="1779"/>
        <v>0</v>
      </c>
      <c r="CH1337" s="1906">
        <f t="shared" si="1780"/>
        <v>0</v>
      </c>
      <c r="CI1337" s="1906">
        <f t="shared" si="1781"/>
        <v>0</v>
      </c>
      <c r="CJ1337" s="1906">
        <f t="shared" si="1695"/>
        <v>0</v>
      </c>
      <c r="CK1337" s="1906">
        <f t="shared" si="1696"/>
        <v>0</v>
      </c>
      <c r="CL1337" s="1906">
        <f t="shared" si="1697"/>
        <v>0</v>
      </c>
      <c r="CM1337" s="1906">
        <f t="shared" si="1698"/>
        <v>0</v>
      </c>
      <c r="CN1337" s="1906">
        <f t="shared" si="1699"/>
        <v>0</v>
      </c>
      <c r="CO1337" s="595" t="str">
        <f t="shared" si="1700"/>
        <v>Colza grano</v>
      </c>
      <c r="CP1337" s="1443">
        <f t="shared" si="1701"/>
        <v>0</v>
      </c>
      <c r="EF1337" s="5"/>
    </row>
    <row r="1338" spans="1:136" x14ac:dyDescent="0.2">
      <c r="A1338" s="6"/>
      <c r="B1338" s="1971">
        <f t="shared" si="1702"/>
        <v>0</v>
      </c>
      <c r="C1338" s="1906">
        <f t="shared" si="1703"/>
        <v>0</v>
      </c>
      <c r="D1338" s="1906">
        <f t="shared" si="1704"/>
        <v>0</v>
      </c>
      <c r="E1338" s="1906">
        <f t="shared" si="1705"/>
        <v>0</v>
      </c>
      <c r="F1338" s="1906">
        <f t="shared" si="1706"/>
        <v>0</v>
      </c>
      <c r="G1338" s="1906">
        <f t="shared" si="1707"/>
        <v>0</v>
      </c>
      <c r="H1338" s="1906">
        <f t="shared" si="1708"/>
        <v>0</v>
      </c>
      <c r="I1338" s="1906">
        <f t="shared" si="1709"/>
        <v>0</v>
      </c>
      <c r="J1338" s="1906">
        <f t="shared" si="1710"/>
        <v>0</v>
      </c>
      <c r="K1338" s="1906">
        <f t="shared" si="1711"/>
        <v>0</v>
      </c>
      <c r="L1338" s="1906">
        <f t="shared" si="1712"/>
        <v>0</v>
      </c>
      <c r="M1338" s="1906">
        <f t="shared" si="1713"/>
        <v>0</v>
      </c>
      <c r="N1338" s="1906">
        <f t="shared" si="1714"/>
        <v>0</v>
      </c>
      <c r="O1338" s="107"/>
      <c r="P1338" s="1906"/>
      <c r="Q1338" s="1906">
        <f t="shared" si="1715"/>
        <v>0</v>
      </c>
      <c r="R1338" s="1906">
        <f t="shared" si="1716"/>
        <v>0</v>
      </c>
      <c r="S1338" s="1906">
        <f t="shared" si="1717"/>
        <v>0</v>
      </c>
      <c r="T1338" s="1906">
        <f t="shared" si="1718"/>
        <v>0</v>
      </c>
      <c r="U1338" s="1906">
        <f t="shared" si="1719"/>
        <v>0</v>
      </c>
      <c r="V1338" s="1906">
        <f t="shared" si="1720"/>
        <v>0</v>
      </c>
      <c r="W1338" s="1906">
        <f t="shared" si="1721"/>
        <v>0</v>
      </c>
      <c r="X1338" s="1906">
        <f t="shared" si="1722"/>
        <v>0</v>
      </c>
      <c r="Y1338" s="1906">
        <f t="shared" si="1723"/>
        <v>0</v>
      </c>
      <c r="Z1338" s="1906">
        <f t="shared" si="1724"/>
        <v>0</v>
      </c>
      <c r="AA1338" s="1906">
        <f t="shared" si="1725"/>
        <v>0</v>
      </c>
      <c r="AB1338" s="107"/>
      <c r="AC1338" s="1906">
        <f t="shared" si="1726"/>
        <v>0</v>
      </c>
      <c r="AD1338" s="1906">
        <f t="shared" si="1727"/>
        <v>0</v>
      </c>
      <c r="AE1338" s="1906">
        <f t="shared" si="1728"/>
        <v>0</v>
      </c>
      <c r="AF1338" s="1906">
        <f t="shared" si="1729"/>
        <v>0</v>
      </c>
      <c r="AG1338" s="1906">
        <f t="shared" si="1730"/>
        <v>0</v>
      </c>
      <c r="AH1338" s="1906">
        <f t="shared" si="1731"/>
        <v>0</v>
      </c>
      <c r="AI1338" s="1906">
        <f t="shared" si="1732"/>
        <v>0</v>
      </c>
      <c r="AJ1338" s="1906">
        <f t="shared" si="1733"/>
        <v>0</v>
      </c>
      <c r="AK1338" s="1906">
        <f t="shared" si="1734"/>
        <v>0</v>
      </c>
      <c r="AL1338" s="1906">
        <f t="shared" si="1735"/>
        <v>0</v>
      </c>
      <c r="AM1338" s="1906">
        <f t="shared" si="1736"/>
        <v>0</v>
      </c>
      <c r="AN1338" s="1906">
        <f t="shared" si="1737"/>
        <v>0</v>
      </c>
      <c r="AO1338" s="107"/>
      <c r="AP1338" s="1906">
        <f t="shared" si="1738"/>
        <v>0</v>
      </c>
      <c r="AQ1338" s="1906">
        <f t="shared" si="1739"/>
        <v>0</v>
      </c>
      <c r="AR1338" s="1906">
        <f t="shared" si="1740"/>
        <v>0</v>
      </c>
      <c r="AS1338" s="1906">
        <f t="shared" si="1741"/>
        <v>0</v>
      </c>
      <c r="AT1338" s="1906">
        <f t="shared" si="1742"/>
        <v>0</v>
      </c>
      <c r="AU1338" s="1906">
        <f t="shared" si="1743"/>
        <v>0</v>
      </c>
      <c r="AV1338" s="1906">
        <f t="shared" si="1744"/>
        <v>0</v>
      </c>
      <c r="AW1338" s="1906">
        <f t="shared" si="1745"/>
        <v>0</v>
      </c>
      <c r="AX1338" s="1906">
        <f t="shared" si="1746"/>
        <v>0</v>
      </c>
      <c r="AY1338" s="1906">
        <f t="shared" si="1747"/>
        <v>0</v>
      </c>
      <c r="AZ1338" s="1906">
        <f t="shared" si="1748"/>
        <v>0</v>
      </c>
      <c r="BA1338" s="1906">
        <f t="shared" si="1749"/>
        <v>0</v>
      </c>
      <c r="BB1338" s="107"/>
      <c r="BC1338" s="1906">
        <f t="shared" si="1750"/>
        <v>0</v>
      </c>
      <c r="BD1338" s="1906">
        <f t="shared" si="1751"/>
        <v>0</v>
      </c>
      <c r="BE1338" s="1906">
        <f t="shared" si="1752"/>
        <v>0</v>
      </c>
      <c r="BF1338" s="1906">
        <f t="shared" si="1753"/>
        <v>0</v>
      </c>
      <c r="BG1338" s="1906">
        <f t="shared" si="1754"/>
        <v>0</v>
      </c>
      <c r="BH1338" s="1906">
        <f t="shared" si="1755"/>
        <v>0</v>
      </c>
      <c r="BI1338" s="1906">
        <f t="shared" si="1756"/>
        <v>0</v>
      </c>
      <c r="BJ1338" s="1906">
        <f t="shared" si="1757"/>
        <v>0</v>
      </c>
      <c r="BK1338" s="1906">
        <f t="shared" si="1758"/>
        <v>0</v>
      </c>
      <c r="BL1338" s="1906">
        <f t="shared" si="1759"/>
        <v>0</v>
      </c>
      <c r="BM1338" s="1906">
        <f t="shared" si="1760"/>
        <v>0</v>
      </c>
      <c r="BN1338" s="1906">
        <f t="shared" si="1761"/>
        <v>0</v>
      </c>
      <c r="BO1338" s="107"/>
      <c r="BP1338" s="1906">
        <f t="shared" si="1762"/>
        <v>0</v>
      </c>
      <c r="BQ1338" s="1906">
        <f t="shared" si="1763"/>
        <v>0</v>
      </c>
      <c r="BR1338" s="1906">
        <f t="shared" si="1764"/>
        <v>0</v>
      </c>
      <c r="BS1338" s="1906">
        <f t="shared" si="1765"/>
        <v>0</v>
      </c>
      <c r="BT1338" s="1906">
        <f t="shared" si="1766"/>
        <v>0</v>
      </c>
      <c r="BU1338" s="1906">
        <f t="shared" si="1767"/>
        <v>0</v>
      </c>
      <c r="BV1338" s="1906">
        <f t="shared" si="1768"/>
        <v>0</v>
      </c>
      <c r="BW1338" s="1906">
        <f t="shared" si="1769"/>
        <v>0</v>
      </c>
      <c r="BX1338" s="1906">
        <f t="shared" si="1770"/>
        <v>0</v>
      </c>
      <c r="BY1338" s="1906">
        <f t="shared" si="1771"/>
        <v>0</v>
      </c>
      <c r="BZ1338" s="1906">
        <f t="shared" si="1772"/>
        <v>0</v>
      </c>
      <c r="CA1338" s="1906">
        <f t="shared" si="1773"/>
        <v>0</v>
      </c>
      <c r="CB1338" s="1971">
        <f t="shared" si="1774"/>
        <v>0</v>
      </c>
      <c r="CC1338" s="1906">
        <f t="shared" si="1775"/>
        <v>0</v>
      </c>
      <c r="CD1338" s="1906">
        <f t="shared" si="1776"/>
        <v>0</v>
      </c>
      <c r="CE1338" s="1906">
        <f t="shared" si="1777"/>
        <v>0</v>
      </c>
      <c r="CF1338" s="1906">
        <f t="shared" si="1778"/>
        <v>0</v>
      </c>
      <c r="CG1338" s="1906">
        <f t="shared" si="1779"/>
        <v>0</v>
      </c>
      <c r="CH1338" s="1906">
        <f t="shared" si="1780"/>
        <v>0</v>
      </c>
      <c r="CI1338" s="1906">
        <f t="shared" si="1781"/>
        <v>0</v>
      </c>
      <c r="CJ1338" s="1906">
        <f t="shared" si="1695"/>
        <v>0</v>
      </c>
      <c r="CK1338" s="1906">
        <f t="shared" si="1696"/>
        <v>0</v>
      </c>
      <c r="CL1338" s="1906">
        <f t="shared" si="1697"/>
        <v>0</v>
      </c>
      <c r="CM1338" s="1906">
        <f t="shared" si="1698"/>
        <v>0</v>
      </c>
      <c r="CN1338" s="1906">
        <f t="shared" si="1699"/>
        <v>0</v>
      </c>
      <c r="CO1338" s="595">
        <f t="shared" si="1700"/>
        <v>0</v>
      </c>
      <c r="CP1338" s="1443">
        <f t="shared" si="1701"/>
        <v>0</v>
      </c>
      <c r="EF1338" s="5"/>
    </row>
    <row r="1339" spans="1:136" x14ac:dyDescent="0.2">
      <c r="A1339" s="6"/>
      <c r="B1339" s="1971">
        <f t="shared" si="1702"/>
        <v>0</v>
      </c>
      <c r="C1339" s="1906">
        <f t="shared" ref="C1339:I1341" si="1782">SUMIF(P$1201:P$1267,"feb"&amp;$B1265,C$1201:C$1267)</f>
        <v>0</v>
      </c>
      <c r="D1339" s="1906">
        <f t="shared" si="1782"/>
        <v>0</v>
      </c>
      <c r="E1339" s="1906">
        <f t="shared" si="1782"/>
        <v>0</v>
      </c>
      <c r="F1339" s="1906">
        <f t="shared" si="1782"/>
        <v>0</v>
      </c>
      <c r="G1339" s="1906">
        <f t="shared" si="1782"/>
        <v>0</v>
      </c>
      <c r="H1339" s="1906">
        <f t="shared" si="1782"/>
        <v>0</v>
      </c>
      <c r="I1339" s="1906">
        <f t="shared" si="1782"/>
        <v>0</v>
      </c>
      <c r="J1339" s="1906">
        <f t="shared" ref="J1339:N1341" si="1783">SUMIF(W$1201:W$1267,"feb"&amp;$B1265,J$1201:J$1267)</f>
        <v>0</v>
      </c>
      <c r="K1339" s="1906">
        <f t="shared" si="1783"/>
        <v>0</v>
      </c>
      <c r="L1339" s="1906">
        <f t="shared" si="1783"/>
        <v>0</v>
      </c>
      <c r="M1339" s="1906">
        <f t="shared" si="1783"/>
        <v>0</v>
      </c>
      <c r="N1339" s="1906">
        <f t="shared" si="1783"/>
        <v>0</v>
      </c>
      <c r="O1339" s="107"/>
      <c r="P1339" s="1906"/>
      <c r="Q1339" s="1906">
        <f t="shared" ref="Q1339:V1341" si="1784">SUMIF(Q$1201:Q$1267,"mar"&amp;$B1265,D$1201:D$1267)</f>
        <v>0</v>
      </c>
      <c r="R1339" s="1906">
        <f t="shared" si="1784"/>
        <v>0</v>
      </c>
      <c r="S1339" s="1906">
        <f t="shared" si="1784"/>
        <v>0</v>
      </c>
      <c r="T1339" s="1906">
        <f t="shared" si="1784"/>
        <v>0</v>
      </c>
      <c r="U1339" s="1906">
        <f t="shared" si="1784"/>
        <v>0</v>
      </c>
      <c r="V1339" s="1906">
        <f t="shared" si="1784"/>
        <v>0</v>
      </c>
      <c r="W1339" s="1906">
        <f t="shared" ref="W1339:AA1341" si="1785">SUMIF(W$1201:W$1267,"mar"&amp;$B1265,J$1201:J$1267)</f>
        <v>0</v>
      </c>
      <c r="X1339" s="1906">
        <f t="shared" si="1785"/>
        <v>0</v>
      </c>
      <c r="Y1339" s="1906">
        <f t="shared" si="1785"/>
        <v>0</v>
      </c>
      <c r="Z1339" s="1906">
        <f t="shared" si="1785"/>
        <v>0</v>
      </c>
      <c r="AA1339" s="1906">
        <f t="shared" si="1785"/>
        <v>0</v>
      </c>
      <c r="AB1339" s="107"/>
      <c r="AC1339" s="1906">
        <f t="shared" ref="AC1339:AI1341" si="1786">SUMIF(P$1201:P$1267,"abr"&amp;$B1265,C$1201:C$1267)</f>
        <v>0</v>
      </c>
      <c r="AD1339" s="1906">
        <f t="shared" si="1786"/>
        <v>0</v>
      </c>
      <c r="AE1339" s="1906">
        <f t="shared" si="1786"/>
        <v>0</v>
      </c>
      <c r="AF1339" s="1906">
        <f t="shared" si="1786"/>
        <v>0</v>
      </c>
      <c r="AG1339" s="1906">
        <f t="shared" si="1786"/>
        <v>0</v>
      </c>
      <c r="AH1339" s="1906">
        <f t="shared" si="1786"/>
        <v>0</v>
      </c>
      <c r="AI1339" s="1906">
        <f t="shared" si="1786"/>
        <v>0</v>
      </c>
      <c r="AJ1339" s="1906">
        <f t="shared" ref="AJ1339:AN1341" si="1787">SUMIF(W$1201:W$1267,"abr"&amp;$B1265,J$1201:J$1267)</f>
        <v>0</v>
      </c>
      <c r="AK1339" s="1906">
        <f t="shared" si="1787"/>
        <v>0</v>
      </c>
      <c r="AL1339" s="1906">
        <f t="shared" si="1787"/>
        <v>0</v>
      </c>
      <c r="AM1339" s="1906">
        <f t="shared" si="1787"/>
        <v>0</v>
      </c>
      <c r="AN1339" s="1906">
        <f t="shared" si="1787"/>
        <v>0</v>
      </c>
      <c r="AO1339" s="107"/>
      <c r="AP1339" s="1906">
        <f t="shared" ref="AP1339:AV1341" si="1788">SUMIF(P$1201:P$1267,"may"&amp;$B1265,C$1201:C$1267)</f>
        <v>0</v>
      </c>
      <c r="AQ1339" s="1906">
        <f t="shared" si="1788"/>
        <v>0</v>
      </c>
      <c r="AR1339" s="1906">
        <f t="shared" si="1788"/>
        <v>0</v>
      </c>
      <c r="AS1339" s="1906">
        <f t="shared" si="1788"/>
        <v>0</v>
      </c>
      <c r="AT1339" s="1906">
        <f t="shared" si="1788"/>
        <v>0</v>
      </c>
      <c r="AU1339" s="1906">
        <f t="shared" si="1788"/>
        <v>0</v>
      </c>
      <c r="AV1339" s="1906">
        <f t="shared" si="1788"/>
        <v>0</v>
      </c>
      <c r="AW1339" s="1906">
        <f t="shared" ref="AW1339:BA1341" si="1789">SUMIF(W$1201:W$1267,"may"&amp;$B1265,J$1201:J$1267)</f>
        <v>0</v>
      </c>
      <c r="AX1339" s="1906">
        <f t="shared" si="1789"/>
        <v>0</v>
      </c>
      <c r="AY1339" s="1906">
        <f t="shared" si="1789"/>
        <v>0</v>
      </c>
      <c r="AZ1339" s="1906">
        <f t="shared" si="1789"/>
        <v>0</v>
      </c>
      <c r="BA1339" s="1906">
        <f t="shared" si="1789"/>
        <v>0</v>
      </c>
      <c r="BB1339" s="107"/>
      <c r="BC1339" s="1906">
        <f t="shared" ref="BC1339:BI1341" si="1790">SUMIF(P$1201:P$1267,"jun"&amp;$B1265,C$1201:C$1267)</f>
        <v>0</v>
      </c>
      <c r="BD1339" s="1906">
        <f t="shared" si="1790"/>
        <v>0</v>
      </c>
      <c r="BE1339" s="1906">
        <f t="shared" si="1790"/>
        <v>0</v>
      </c>
      <c r="BF1339" s="1906">
        <f t="shared" si="1790"/>
        <v>0</v>
      </c>
      <c r="BG1339" s="1906">
        <f t="shared" si="1790"/>
        <v>0</v>
      </c>
      <c r="BH1339" s="1906">
        <f t="shared" si="1790"/>
        <v>0</v>
      </c>
      <c r="BI1339" s="1906">
        <f t="shared" si="1790"/>
        <v>0</v>
      </c>
      <c r="BJ1339" s="1906">
        <f t="shared" ref="BJ1339:BN1341" si="1791">SUMIF(W$1201:W$1267,"jun"&amp;$B1265,J$1201:J$1267)</f>
        <v>0</v>
      </c>
      <c r="BK1339" s="1906">
        <f t="shared" si="1791"/>
        <v>0</v>
      </c>
      <c r="BL1339" s="1906">
        <f t="shared" si="1791"/>
        <v>0</v>
      </c>
      <c r="BM1339" s="1906">
        <f t="shared" si="1791"/>
        <v>0</v>
      </c>
      <c r="BN1339" s="1906">
        <f t="shared" si="1791"/>
        <v>0</v>
      </c>
      <c r="BO1339" s="107"/>
      <c r="BP1339" s="1906">
        <f t="shared" ref="BP1339:BV1341" si="1792">SUMIF(P$1201:P$1267,"jul"&amp;$B1265,C$1201:C$1267)</f>
        <v>0</v>
      </c>
      <c r="BQ1339" s="1906">
        <f t="shared" si="1792"/>
        <v>0</v>
      </c>
      <c r="BR1339" s="1906">
        <f t="shared" si="1792"/>
        <v>0</v>
      </c>
      <c r="BS1339" s="1906">
        <f t="shared" si="1792"/>
        <v>0</v>
      </c>
      <c r="BT1339" s="1906">
        <f t="shared" si="1792"/>
        <v>0</v>
      </c>
      <c r="BU1339" s="1906">
        <f t="shared" si="1792"/>
        <v>0</v>
      </c>
      <c r="BV1339" s="1906">
        <f t="shared" si="1792"/>
        <v>0</v>
      </c>
      <c r="BW1339" s="1906">
        <f t="shared" ref="BW1339:CA1341" si="1793">SUMIF(W$1201:W$1267,"jul"&amp;$B1265,J$1201:J$1267)</f>
        <v>0</v>
      </c>
      <c r="BX1339" s="1906">
        <f t="shared" si="1793"/>
        <v>0</v>
      </c>
      <c r="BY1339" s="1906">
        <f t="shared" si="1793"/>
        <v>0</v>
      </c>
      <c r="BZ1339" s="1906">
        <f t="shared" si="1793"/>
        <v>0</v>
      </c>
      <c r="CA1339" s="1906">
        <f t="shared" si="1793"/>
        <v>0</v>
      </c>
      <c r="CB1339" s="1971">
        <f>DB1265</f>
        <v>0</v>
      </c>
      <c r="CC1339" s="1906">
        <f t="shared" si="1775"/>
        <v>0</v>
      </c>
      <c r="CD1339" s="1906">
        <f t="shared" si="1776"/>
        <v>0</v>
      </c>
      <c r="CE1339" s="1906">
        <f t="shared" si="1777"/>
        <v>0</v>
      </c>
      <c r="CF1339" s="1906">
        <f t="shared" si="1778"/>
        <v>0</v>
      </c>
      <c r="CG1339" s="1906">
        <f t="shared" si="1779"/>
        <v>0</v>
      </c>
      <c r="CH1339" s="1906">
        <f t="shared" si="1780"/>
        <v>0</v>
      </c>
      <c r="CI1339" s="1906">
        <f t="shared" si="1781"/>
        <v>0</v>
      </c>
      <c r="CJ1339" s="1906">
        <f t="shared" ref="CJ1339:CN1341" si="1794">BW1339+BJ1339+AW1339+AJ1339+W1339+J1339</f>
        <v>0</v>
      </c>
      <c r="CK1339" s="1906">
        <f t="shared" si="1794"/>
        <v>0</v>
      </c>
      <c r="CL1339" s="1906">
        <f t="shared" si="1794"/>
        <v>0</v>
      </c>
      <c r="CM1339" s="1906">
        <f t="shared" si="1794"/>
        <v>0</v>
      </c>
      <c r="CN1339" s="1906">
        <f t="shared" si="1794"/>
        <v>0</v>
      </c>
      <c r="CO1339" s="595">
        <f>CB1339</f>
        <v>0</v>
      </c>
      <c r="CP1339" s="1443">
        <f t="shared" si="1701"/>
        <v>0</v>
      </c>
      <c r="EF1339" s="5"/>
    </row>
    <row r="1340" spans="1:136" x14ac:dyDescent="0.2">
      <c r="A1340" s="6"/>
      <c r="B1340" s="1971">
        <f t="shared" si="1702"/>
        <v>0</v>
      </c>
      <c r="C1340" s="1906">
        <f t="shared" si="1782"/>
        <v>0</v>
      </c>
      <c r="D1340" s="1906">
        <f t="shared" si="1782"/>
        <v>0</v>
      </c>
      <c r="E1340" s="1906">
        <f t="shared" si="1782"/>
        <v>0</v>
      </c>
      <c r="F1340" s="1906">
        <f t="shared" si="1782"/>
        <v>0</v>
      </c>
      <c r="G1340" s="1906">
        <f t="shared" si="1782"/>
        <v>0</v>
      </c>
      <c r="H1340" s="1906">
        <f t="shared" si="1782"/>
        <v>0</v>
      </c>
      <c r="I1340" s="1906">
        <f t="shared" si="1782"/>
        <v>0</v>
      </c>
      <c r="J1340" s="1906">
        <f t="shared" si="1783"/>
        <v>0</v>
      </c>
      <c r="K1340" s="1906">
        <f t="shared" si="1783"/>
        <v>0</v>
      </c>
      <c r="L1340" s="1906">
        <f t="shared" si="1783"/>
        <v>0</v>
      </c>
      <c r="M1340" s="1906">
        <f t="shared" si="1783"/>
        <v>0</v>
      </c>
      <c r="N1340" s="1906">
        <f t="shared" si="1783"/>
        <v>0</v>
      </c>
      <c r="O1340" s="107"/>
      <c r="P1340" s="1906"/>
      <c r="Q1340" s="1906">
        <f t="shared" si="1784"/>
        <v>0</v>
      </c>
      <c r="R1340" s="1906">
        <f t="shared" si="1784"/>
        <v>0</v>
      </c>
      <c r="S1340" s="1906">
        <f t="shared" si="1784"/>
        <v>0</v>
      </c>
      <c r="T1340" s="1906">
        <f t="shared" si="1784"/>
        <v>0</v>
      </c>
      <c r="U1340" s="1906">
        <f t="shared" si="1784"/>
        <v>0</v>
      </c>
      <c r="V1340" s="1906">
        <f t="shared" si="1784"/>
        <v>0</v>
      </c>
      <c r="W1340" s="1906">
        <f t="shared" si="1785"/>
        <v>0</v>
      </c>
      <c r="X1340" s="1906">
        <f t="shared" si="1785"/>
        <v>0</v>
      </c>
      <c r="Y1340" s="1906">
        <f t="shared" si="1785"/>
        <v>0</v>
      </c>
      <c r="Z1340" s="1906">
        <f t="shared" si="1785"/>
        <v>0</v>
      </c>
      <c r="AA1340" s="1906">
        <f t="shared" si="1785"/>
        <v>0</v>
      </c>
      <c r="AB1340" s="107"/>
      <c r="AC1340" s="1906">
        <f t="shared" si="1786"/>
        <v>0</v>
      </c>
      <c r="AD1340" s="1906">
        <f t="shared" si="1786"/>
        <v>0</v>
      </c>
      <c r="AE1340" s="1906">
        <f t="shared" si="1786"/>
        <v>0</v>
      </c>
      <c r="AF1340" s="1906">
        <f t="shared" si="1786"/>
        <v>0</v>
      </c>
      <c r="AG1340" s="1906">
        <f t="shared" si="1786"/>
        <v>0</v>
      </c>
      <c r="AH1340" s="1906">
        <f t="shared" si="1786"/>
        <v>0</v>
      </c>
      <c r="AI1340" s="1906">
        <f t="shared" si="1786"/>
        <v>0</v>
      </c>
      <c r="AJ1340" s="1906">
        <f t="shared" si="1787"/>
        <v>0</v>
      </c>
      <c r="AK1340" s="1906">
        <f t="shared" si="1787"/>
        <v>0</v>
      </c>
      <c r="AL1340" s="1906">
        <f t="shared" si="1787"/>
        <v>0</v>
      </c>
      <c r="AM1340" s="1906">
        <f t="shared" si="1787"/>
        <v>0</v>
      </c>
      <c r="AN1340" s="1906">
        <f t="shared" si="1787"/>
        <v>0</v>
      </c>
      <c r="AO1340" s="107"/>
      <c r="AP1340" s="1906">
        <f t="shared" si="1788"/>
        <v>0</v>
      </c>
      <c r="AQ1340" s="1906">
        <f t="shared" si="1788"/>
        <v>0</v>
      </c>
      <c r="AR1340" s="1906">
        <f t="shared" si="1788"/>
        <v>0</v>
      </c>
      <c r="AS1340" s="1906">
        <f t="shared" si="1788"/>
        <v>0</v>
      </c>
      <c r="AT1340" s="1906">
        <f t="shared" si="1788"/>
        <v>0</v>
      </c>
      <c r="AU1340" s="1906">
        <f t="shared" si="1788"/>
        <v>0</v>
      </c>
      <c r="AV1340" s="1906">
        <f t="shared" si="1788"/>
        <v>0</v>
      </c>
      <c r="AW1340" s="1906">
        <f t="shared" si="1789"/>
        <v>0</v>
      </c>
      <c r="AX1340" s="1906">
        <f t="shared" si="1789"/>
        <v>0</v>
      </c>
      <c r="AY1340" s="1906">
        <f t="shared" si="1789"/>
        <v>0</v>
      </c>
      <c r="AZ1340" s="1906">
        <f t="shared" si="1789"/>
        <v>0</v>
      </c>
      <c r="BA1340" s="1906">
        <f t="shared" si="1789"/>
        <v>0</v>
      </c>
      <c r="BB1340" s="107"/>
      <c r="BC1340" s="1906">
        <f t="shared" si="1790"/>
        <v>0</v>
      </c>
      <c r="BD1340" s="1906">
        <f t="shared" si="1790"/>
        <v>0</v>
      </c>
      <c r="BE1340" s="1906">
        <f t="shared" si="1790"/>
        <v>0</v>
      </c>
      <c r="BF1340" s="1906">
        <f t="shared" si="1790"/>
        <v>0</v>
      </c>
      <c r="BG1340" s="1906">
        <f t="shared" si="1790"/>
        <v>0</v>
      </c>
      <c r="BH1340" s="1906">
        <f t="shared" si="1790"/>
        <v>0</v>
      </c>
      <c r="BI1340" s="1906">
        <f t="shared" si="1790"/>
        <v>0</v>
      </c>
      <c r="BJ1340" s="1906">
        <f t="shared" si="1791"/>
        <v>0</v>
      </c>
      <c r="BK1340" s="1906">
        <f t="shared" si="1791"/>
        <v>0</v>
      </c>
      <c r="BL1340" s="1906">
        <f t="shared" si="1791"/>
        <v>0</v>
      </c>
      <c r="BM1340" s="1906">
        <f t="shared" si="1791"/>
        <v>0</v>
      </c>
      <c r="BN1340" s="1906">
        <f t="shared" si="1791"/>
        <v>0</v>
      </c>
      <c r="BO1340" s="107"/>
      <c r="BP1340" s="1906">
        <f t="shared" si="1792"/>
        <v>0</v>
      </c>
      <c r="BQ1340" s="1906">
        <f t="shared" si="1792"/>
        <v>0</v>
      </c>
      <c r="BR1340" s="1906">
        <f t="shared" si="1792"/>
        <v>0</v>
      </c>
      <c r="BS1340" s="1906">
        <f t="shared" si="1792"/>
        <v>0</v>
      </c>
      <c r="BT1340" s="1906">
        <f t="shared" si="1792"/>
        <v>0</v>
      </c>
      <c r="BU1340" s="1906">
        <f t="shared" si="1792"/>
        <v>0</v>
      </c>
      <c r="BV1340" s="1906">
        <f t="shared" si="1792"/>
        <v>0</v>
      </c>
      <c r="BW1340" s="1906">
        <f t="shared" si="1793"/>
        <v>0</v>
      </c>
      <c r="BX1340" s="1906">
        <f t="shared" si="1793"/>
        <v>0</v>
      </c>
      <c r="BY1340" s="1906">
        <f t="shared" si="1793"/>
        <v>0</v>
      </c>
      <c r="BZ1340" s="1906">
        <f t="shared" si="1793"/>
        <v>0</v>
      </c>
      <c r="CA1340" s="1906">
        <f t="shared" si="1793"/>
        <v>0</v>
      </c>
      <c r="CB1340" s="1971">
        <f>DB1266</f>
        <v>0</v>
      </c>
      <c r="CC1340" s="1906">
        <f t="shared" si="1775"/>
        <v>0</v>
      </c>
      <c r="CD1340" s="1906">
        <f t="shared" si="1776"/>
        <v>0</v>
      </c>
      <c r="CE1340" s="1906">
        <f t="shared" si="1777"/>
        <v>0</v>
      </c>
      <c r="CF1340" s="1906">
        <f t="shared" si="1778"/>
        <v>0</v>
      </c>
      <c r="CG1340" s="1906">
        <f t="shared" si="1779"/>
        <v>0</v>
      </c>
      <c r="CH1340" s="1906">
        <f t="shared" si="1780"/>
        <v>0</v>
      </c>
      <c r="CI1340" s="1906">
        <f t="shared" si="1781"/>
        <v>0</v>
      </c>
      <c r="CJ1340" s="1906">
        <f t="shared" si="1794"/>
        <v>0</v>
      </c>
      <c r="CK1340" s="1906">
        <f t="shared" si="1794"/>
        <v>0</v>
      </c>
      <c r="CL1340" s="1906">
        <f t="shared" si="1794"/>
        <v>0</v>
      </c>
      <c r="CM1340" s="1906">
        <f t="shared" si="1794"/>
        <v>0</v>
      </c>
      <c r="CN1340" s="1906">
        <f t="shared" si="1794"/>
        <v>0</v>
      </c>
      <c r="CO1340" s="595">
        <f>CB1340</f>
        <v>0</v>
      </c>
      <c r="CP1340" s="1443">
        <f>SUM(CC1340:CN1340)</f>
        <v>0</v>
      </c>
      <c r="EF1340" s="5"/>
    </row>
    <row r="1341" spans="1:136" x14ac:dyDescent="0.2">
      <c r="A1341" s="6"/>
      <c r="B1341" s="1971">
        <f t="shared" si="1702"/>
        <v>0</v>
      </c>
      <c r="C1341" s="1906">
        <f t="shared" si="1782"/>
        <v>0</v>
      </c>
      <c r="D1341" s="1906">
        <f t="shared" si="1782"/>
        <v>0</v>
      </c>
      <c r="E1341" s="1906">
        <f t="shared" si="1782"/>
        <v>0</v>
      </c>
      <c r="F1341" s="1906">
        <f t="shared" si="1782"/>
        <v>0</v>
      </c>
      <c r="G1341" s="1906">
        <f t="shared" si="1782"/>
        <v>0</v>
      </c>
      <c r="H1341" s="1906">
        <f t="shared" si="1782"/>
        <v>0</v>
      </c>
      <c r="I1341" s="1906">
        <f t="shared" si="1782"/>
        <v>0</v>
      </c>
      <c r="J1341" s="1906">
        <f t="shared" si="1783"/>
        <v>0</v>
      </c>
      <c r="K1341" s="1906">
        <f t="shared" si="1783"/>
        <v>0</v>
      </c>
      <c r="L1341" s="1906">
        <f t="shared" si="1783"/>
        <v>0</v>
      </c>
      <c r="M1341" s="1906">
        <f t="shared" si="1783"/>
        <v>0</v>
      </c>
      <c r="N1341" s="1906">
        <f t="shared" si="1783"/>
        <v>0</v>
      </c>
      <c r="O1341" s="107"/>
      <c r="P1341" s="1906"/>
      <c r="Q1341" s="1906">
        <f t="shared" si="1784"/>
        <v>0</v>
      </c>
      <c r="R1341" s="1906">
        <f t="shared" si="1784"/>
        <v>0</v>
      </c>
      <c r="S1341" s="1906">
        <f t="shared" si="1784"/>
        <v>0</v>
      </c>
      <c r="T1341" s="1906">
        <f t="shared" si="1784"/>
        <v>0</v>
      </c>
      <c r="U1341" s="1906">
        <f t="shared" si="1784"/>
        <v>0</v>
      </c>
      <c r="V1341" s="1906">
        <f t="shared" si="1784"/>
        <v>0</v>
      </c>
      <c r="W1341" s="1906">
        <f t="shared" si="1785"/>
        <v>0</v>
      </c>
      <c r="X1341" s="1906">
        <f t="shared" si="1785"/>
        <v>0</v>
      </c>
      <c r="Y1341" s="1906">
        <f t="shared" si="1785"/>
        <v>0</v>
      </c>
      <c r="Z1341" s="1906">
        <f t="shared" si="1785"/>
        <v>0</v>
      </c>
      <c r="AA1341" s="1906">
        <f t="shared" si="1785"/>
        <v>0</v>
      </c>
      <c r="AB1341" s="107"/>
      <c r="AC1341" s="1906">
        <f t="shared" si="1786"/>
        <v>0</v>
      </c>
      <c r="AD1341" s="1906">
        <f t="shared" si="1786"/>
        <v>0</v>
      </c>
      <c r="AE1341" s="1906">
        <f t="shared" si="1786"/>
        <v>0</v>
      </c>
      <c r="AF1341" s="1906">
        <f t="shared" si="1786"/>
        <v>0</v>
      </c>
      <c r="AG1341" s="1906">
        <f t="shared" si="1786"/>
        <v>0</v>
      </c>
      <c r="AH1341" s="1906">
        <f t="shared" si="1786"/>
        <v>0</v>
      </c>
      <c r="AI1341" s="1906">
        <f t="shared" si="1786"/>
        <v>0</v>
      </c>
      <c r="AJ1341" s="1906">
        <f t="shared" si="1787"/>
        <v>0</v>
      </c>
      <c r="AK1341" s="1906">
        <f t="shared" si="1787"/>
        <v>0</v>
      </c>
      <c r="AL1341" s="1906">
        <f t="shared" si="1787"/>
        <v>0</v>
      </c>
      <c r="AM1341" s="1906">
        <f t="shared" si="1787"/>
        <v>0</v>
      </c>
      <c r="AN1341" s="1906">
        <f t="shared" si="1787"/>
        <v>0</v>
      </c>
      <c r="AO1341" s="107"/>
      <c r="AP1341" s="1906">
        <f t="shared" si="1788"/>
        <v>0</v>
      </c>
      <c r="AQ1341" s="1906">
        <f t="shared" si="1788"/>
        <v>0</v>
      </c>
      <c r="AR1341" s="1906">
        <f t="shared" si="1788"/>
        <v>0</v>
      </c>
      <c r="AS1341" s="1906">
        <f t="shared" si="1788"/>
        <v>0</v>
      </c>
      <c r="AT1341" s="1906">
        <f t="shared" si="1788"/>
        <v>0</v>
      </c>
      <c r="AU1341" s="1906">
        <f t="shared" si="1788"/>
        <v>0</v>
      </c>
      <c r="AV1341" s="1906">
        <f t="shared" si="1788"/>
        <v>0</v>
      </c>
      <c r="AW1341" s="1906">
        <f t="shared" si="1789"/>
        <v>0</v>
      </c>
      <c r="AX1341" s="1906">
        <f t="shared" si="1789"/>
        <v>0</v>
      </c>
      <c r="AY1341" s="1906">
        <f t="shared" si="1789"/>
        <v>0</v>
      </c>
      <c r="AZ1341" s="1906">
        <f t="shared" si="1789"/>
        <v>0</v>
      </c>
      <c r="BA1341" s="1906">
        <f t="shared" si="1789"/>
        <v>0</v>
      </c>
      <c r="BB1341" s="107"/>
      <c r="BC1341" s="1906">
        <f t="shared" si="1790"/>
        <v>0</v>
      </c>
      <c r="BD1341" s="1906">
        <f t="shared" si="1790"/>
        <v>0</v>
      </c>
      <c r="BE1341" s="1906">
        <f t="shared" si="1790"/>
        <v>0</v>
      </c>
      <c r="BF1341" s="1906">
        <f t="shared" si="1790"/>
        <v>0</v>
      </c>
      <c r="BG1341" s="1906">
        <f t="shared" si="1790"/>
        <v>0</v>
      </c>
      <c r="BH1341" s="1906">
        <f t="shared" si="1790"/>
        <v>0</v>
      </c>
      <c r="BI1341" s="1906">
        <f t="shared" si="1790"/>
        <v>0</v>
      </c>
      <c r="BJ1341" s="1906">
        <f t="shared" si="1791"/>
        <v>0</v>
      </c>
      <c r="BK1341" s="1906">
        <f t="shared" si="1791"/>
        <v>0</v>
      </c>
      <c r="BL1341" s="1906">
        <f t="shared" si="1791"/>
        <v>0</v>
      </c>
      <c r="BM1341" s="1906">
        <f t="shared" si="1791"/>
        <v>0</v>
      </c>
      <c r="BN1341" s="1906">
        <f t="shared" si="1791"/>
        <v>0</v>
      </c>
      <c r="BO1341" s="107"/>
      <c r="BP1341" s="1906">
        <f t="shared" si="1792"/>
        <v>0</v>
      </c>
      <c r="BQ1341" s="1906">
        <f t="shared" si="1792"/>
        <v>0</v>
      </c>
      <c r="BR1341" s="1906">
        <f t="shared" si="1792"/>
        <v>0</v>
      </c>
      <c r="BS1341" s="1906">
        <f t="shared" si="1792"/>
        <v>0</v>
      </c>
      <c r="BT1341" s="1906">
        <f t="shared" si="1792"/>
        <v>0</v>
      </c>
      <c r="BU1341" s="1906">
        <f t="shared" si="1792"/>
        <v>0</v>
      </c>
      <c r="BV1341" s="1906">
        <f t="shared" si="1792"/>
        <v>0</v>
      </c>
      <c r="BW1341" s="1906">
        <f t="shared" si="1793"/>
        <v>0</v>
      </c>
      <c r="BX1341" s="1906">
        <f t="shared" si="1793"/>
        <v>0</v>
      </c>
      <c r="BY1341" s="1906">
        <f t="shared" si="1793"/>
        <v>0</v>
      </c>
      <c r="BZ1341" s="1906">
        <f t="shared" si="1793"/>
        <v>0</v>
      </c>
      <c r="CA1341" s="1906">
        <f t="shared" si="1793"/>
        <v>0</v>
      </c>
      <c r="CB1341" s="1971">
        <f>DB1267</f>
        <v>0</v>
      </c>
      <c r="CC1341" s="1906">
        <f t="shared" si="1775"/>
        <v>0</v>
      </c>
      <c r="CD1341" s="1906">
        <f t="shared" si="1776"/>
        <v>0</v>
      </c>
      <c r="CE1341" s="1906">
        <f t="shared" si="1777"/>
        <v>0</v>
      </c>
      <c r="CF1341" s="1906">
        <f t="shared" si="1778"/>
        <v>0</v>
      </c>
      <c r="CG1341" s="1906">
        <f t="shared" si="1779"/>
        <v>0</v>
      </c>
      <c r="CH1341" s="1906">
        <f t="shared" si="1780"/>
        <v>0</v>
      </c>
      <c r="CI1341" s="1906">
        <f t="shared" si="1781"/>
        <v>0</v>
      </c>
      <c r="CJ1341" s="1906">
        <f t="shared" si="1794"/>
        <v>0</v>
      </c>
      <c r="CK1341" s="1906">
        <f t="shared" si="1794"/>
        <v>0</v>
      </c>
      <c r="CL1341" s="1906">
        <f t="shared" si="1794"/>
        <v>0</v>
      </c>
      <c r="CM1341" s="1906">
        <f t="shared" si="1794"/>
        <v>0</v>
      </c>
      <c r="CN1341" s="1906">
        <f t="shared" si="1794"/>
        <v>0</v>
      </c>
      <c r="CO1341" s="595">
        <f>CB1341</f>
        <v>0</v>
      </c>
      <c r="CP1341" s="1443">
        <f>SUM(CC1341:CN1341)</f>
        <v>0</v>
      </c>
      <c r="EF1341" s="5"/>
    </row>
    <row r="1342" spans="1:136" x14ac:dyDescent="0.2">
      <c r="A1342" s="6"/>
      <c r="P1342" s="6"/>
      <c r="Q1342" s="6"/>
      <c r="S1342" s="6"/>
    </row>
    <row r="1343" spans="1:136" s="2196" customFormat="1" ht="18.350000000000001" thickBot="1" x14ac:dyDescent="0.35">
      <c r="A1343" s="2191"/>
      <c r="B1343" s="2191" t="s">
        <v>1984</v>
      </c>
      <c r="C1343" s="2191"/>
      <c r="D1343" s="2192"/>
      <c r="E1343" s="2192"/>
      <c r="F1343" s="2193"/>
      <c r="G1343" s="2193"/>
      <c r="H1343" s="2193"/>
      <c r="I1343" s="2193"/>
      <c r="J1343" s="2193"/>
      <c r="K1343" s="2193"/>
      <c r="L1343" s="2193"/>
      <c r="M1343" s="2193"/>
      <c r="N1343" s="2193"/>
      <c r="O1343" s="2193"/>
      <c r="P1343" s="2193"/>
      <c r="Q1343" s="2193"/>
      <c r="R1343" s="2194"/>
      <c r="S1343" s="2191"/>
      <c r="T1343" s="2191"/>
      <c r="U1343" s="2191"/>
      <c r="V1343" s="2191"/>
      <c r="W1343" s="2191"/>
      <c r="X1343" s="2191"/>
      <c r="Y1343" s="2191"/>
      <c r="Z1343" s="2191"/>
      <c r="AA1343" s="2191"/>
      <c r="AB1343" s="2191"/>
      <c r="AC1343" s="2191"/>
      <c r="AD1343" s="2191"/>
      <c r="AE1343" s="2191"/>
      <c r="AF1343" s="2191"/>
      <c r="AG1343" s="2191"/>
      <c r="AH1343" s="2191"/>
      <c r="AI1343" s="2191"/>
      <c r="AJ1343" s="2191"/>
      <c r="AK1343" s="2191"/>
      <c r="AL1343" s="2191"/>
      <c r="AM1343" s="2191"/>
      <c r="AN1343" s="2191"/>
      <c r="AO1343" s="2191"/>
      <c r="AP1343" s="2191"/>
      <c r="AQ1343" s="2191"/>
      <c r="AR1343" s="2191"/>
      <c r="AS1343" s="2191"/>
      <c r="AT1343" s="2191"/>
      <c r="AU1343" s="2191"/>
      <c r="AV1343" s="2191"/>
      <c r="AW1343" s="2191"/>
      <c r="AX1343" s="2191"/>
      <c r="AY1343" s="2191"/>
      <c r="AZ1343" s="2191"/>
      <c r="BA1343" s="2191"/>
      <c r="BB1343" s="2191"/>
      <c r="BC1343" s="2191"/>
      <c r="BD1343" s="2191"/>
      <c r="BE1343" s="2195"/>
      <c r="BF1343" s="2195"/>
      <c r="BG1343" s="2195"/>
      <c r="BH1343" s="2195"/>
      <c r="BI1343" s="2195"/>
      <c r="EF1343" s="2197"/>
    </row>
    <row r="1344" spans="1:136" ht="15.05" thickBot="1" x14ac:dyDescent="0.25">
      <c r="A1344" s="2188">
        <v>1072</v>
      </c>
      <c r="B1344" s="102" t="s">
        <v>961</v>
      </c>
      <c r="C1344" s="103"/>
      <c r="D1344" s="103"/>
      <c r="E1344" s="103"/>
      <c r="F1344" s="103"/>
      <c r="G1344" s="103"/>
      <c r="H1344" s="103"/>
      <c r="I1344" s="103"/>
      <c r="J1344" s="103"/>
      <c r="K1344" s="103"/>
      <c r="L1344" s="103"/>
      <c r="M1344" s="1901"/>
      <c r="N1344" s="1901"/>
      <c r="O1344" s="1901"/>
      <c r="P1344" s="1902"/>
      <c r="Q1344" s="1903"/>
    </row>
    <row r="1345" spans="1:19" x14ac:dyDescent="0.2">
      <c r="A1345" s="6"/>
      <c r="B1345" s="2037"/>
      <c r="C1345" s="2038"/>
      <c r="D1345" s="2038"/>
      <c r="E1345" s="2038"/>
      <c r="F1345" s="2039" t="str">
        <f t="shared" ref="F1345:Q1345" si="1795">+G8</f>
        <v>Ene</v>
      </c>
      <c r="G1345" s="2039" t="str">
        <f t="shared" si="1795"/>
        <v>Feb</v>
      </c>
      <c r="H1345" s="2039" t="str">
        <f t="shared" si="1795"/>
        <v>Mar</v>
      </c>
      <c r="I1345" s="2039" t="str">
        <f>+J8</f>
        <v>Abr</v>
      </c>
      <c r="J1345" s="2039" t="str">
        <f t="shared" si="1795"/>
        <v>May</v>
      </c>
      <c r="K1345" s="2039" t="str">
        <f t="shared" si="1795"/>
        <v>Jun</v>
      </c>
      <c r="L1345" s="2039" t="str">
        <f t="shared" si="1795"/>
        <v>Jul</v>
      </c>
      <c r="M1345" s="2039" t="str">
        <f t="shared" si="1795"/>
        <v>Ago</v>
      </c>
      <c r="N1345" s="2039" t="str">
        <f t="shared" si="1795"/>
        <v>Set</v>
      </c>
      <c r="O1345" s="2039" t="str">
        <f t="shared" si="1795"/>
        <v>Oct</v>
      </c>
      <c r="P1345" s="2039" t="str">
        <f t="shared" si="1795"/>
        <v>Nov</v>
      </c>
      <c r="Q1345" s="2040" t="str">
        <f t="shared" si="1795"/>
        <v>Dic</v>
      </c>
    </row>
    <row r="1346" spans="1:19" x14ac:dyDescent="0.2">
      <c r="A1346" s="6"/>
      <c r="B1346" s="109"/>
      <c r="C1346" s="100"/>
      <c r="D1346" s="2026" t="s">
        <v>1172</v>
      </c>
      <c r="E1346" s="100"/>
      <c r="F1346" s="1924"/>
      <c r="G1346" s="958"/>
      <c r="H1346" s="958"/>
      <c r="I1346" s="958"/>
      <c r="J1346" s="959"/>
      <c r="K1346" s="1900" t="s">
        <v>953</v>
      </c>
      <c r="L1346" s="958"/>
      <c r="M1346" s="958"/>
      <c r="N1346" s="958"/>
      <c r="O1346" s="958"/>
      <c r="P1346" s="2036"/>
      <c r="Q1346" s="2041"/>
    </row>
    <row r="1347" spans="1:19" x14ac:dyDescent="0.2">
      <c r="A1347" s="6"/>
      <c r="B1347" s="109"/>
      <c r="C1347" s="100"/>
      <c r="D1347" s="1924"/>
      <c r="E1347" s="2042" t="s">
        <v>954</v>
      </c>
      <c r="F1347" s="2043">
        <f t="shared" ref="F1347:Q1347" si="1796">SUMIFS($V$172:$V$185,$S$172:$S$185,F1345)</f>
        <v>0</v>
      </c>
      <c r="G1347" s="2043">
        <f t="shared" si="1796"/>
        <v>0</v>
      </c>
      <c r="H1347" s="2043">
        <f t="shared" si="1796"/>
        <v>0</v>
      </c>
      <c r="I1347" s="2043">
        <f t="shared" si="1796"/>
        <v>0</v>
      </c>
      <c r="J1347" s="2043">
        <f t="shared" si="1796"/>
        <v>0</v>
      </c>
      <c r="K1347" s="2043">
        <f t="shared" si="1796"/>
        <v>0</v>
      </c>
      <c r="L1347" s="2043">
        <f t="shared" si="1796"/>
        <v>0</v>
      </c>
      <c r="M1347" s="2043">
        <f t="shared" si="1796"/>
        <v>0</v>
      </c>
      <c r="N1347" s="2043">
        <f t="shared" si="1796"/>
        <v>0</v>
      </c>
      <c r="O1347" s="2043">
        <f t="shared" si="1796"/>
        <v>0</v>
      </c>
      <c r="P1347" s="2043">
        <f t="shared" si="1796"/>
        <v>0</v>
      </c>
      <c r="Q1347" s="2044">
        <f t="shared" si="1796"/>
        <v>0</v>
      </c>
    </row>
    <row r="1348" spans="1:19" ht="15.05" thickBot="1" x14ac:dyDescent="0.25">
      <c r="A1348" s="6"/>
      <c r="B1348" s="2045"/>
      <c r="C1348" s="2006"/>
      <c r="D1348" s="2046"/>
      <c r="E1348" s="2047" t="s">
        <v>955</v>
      </c>
      <c r="F1348" s="2048">
        <f t="shared" ref="F1348:Q1348" si="1797">SUMIFS($V$215:$V$228,$S$215:$S$228,F1345)</f>
        <v>0</v>
      </c>
      <c r="G1348" s="2048">
        <f t="shared" si="1797"/>
        <v>0</v>
      </c>
      <c r="H1348" s="2048">
        <f t="shared" si="1797"/>
        <v>0</v>
      </c>
      <c r="I1348" s="2048">
        <f t="shared" si="1797"/>
        <v>0</v>
      </c>
      <c r="J1348" s="2048">
        <f t="shared" si="1797"/>
        <v>0</v>
      </c>
      <c r="K1348" s="2048">
        <f t="shared" si="1797"/>
        <v>0</v>
      </c>
      <c r="L1348" s="2048">
        <f t="shared" si="1797"/>
        <v>0</v>
      </c>
      <c r="M1348" s="2048">
        <f t="shared" si="1797"/>
        <v>0</v>
      </c>
      <c r="N1348" s="2048">
        <f t="shared" si="1797"/>
        <v>0</v>
      </c>
      <c r="O1348" s="2048">
        <f t="shared" si="1797"/>
        <v>0</v>
      </c>
      <c r="P1348" s="2048">
        <f t="shared" si="1797"/>
        <v>0</v>
      </c>
      <c r="Q1348" s="2049">
        <f t="shared" si="1797"/>
        <v>0</v>
      </c>
      <c r="S1348" s="6"/>
    </row>
    <row r="1349" spans="1:19" x14ac:dyDescent="0.2">
      <c r="A1349" s="6"/>
      <c r="B1349" s="2037"/>
      <c r="C1349" s="2038"/>
      <c r="D1349" s="2050" t="s">
        <v>1173</v>
      </c>
      <c r="E1349" s="2038"/>
      <c r="F1349" s="2051"/>
      <c r="G1349" s="2052"/>
      <c r="H1349" s="2052"/>
      <c r="I1349" s="2052"/>
      <c r="J1349" s="1434"/>
      <c r="K1349" s="1444" t="str">
        <f>K1346</f>
        <v>Hectáreas refertilizadas</v>
      </c>
      <c r="L1349" s="2052"/>
      <c r="M1349" s="2052"/>
      <c r="N1349" s="2052"/>
      <c r="O1349" s="2052"/>
      <c r="P1349" s="2053"/>
      <c r="Q1349" s="2054"/>
      <c r="S1349" s="6"/>
    </row>
    <row r="1350" spans="1:19" x14ac:dyDescent="0.2">
      <c r="A1350" s="6"/>
      <c r="B1350" s="109"/>
      <c r="C1350" s="100"/>
      <c r="D1350" s="1924"/>
      <c r="E1350" s="2042" t="str">
        <f>E1347</f>
        <v>En área lechera</v>
      </c>
      <c r="F1350" s="2043">
        <f t="shared" ref="F1350:Q1350" si="1798">SUMIFS($V$186:$V$194,$S$186:$S$194,F1345)</f>
        <v>0</v>
      </c>
      <c r="G1350" s="2043">
        <f t="shared" si="1798"/>
        <v>0</v>
      </c>
      <c r="H1350" s="2043">
        <f t="shared" si="1798"/>
        <v>0</v>
      </c>
      <c r="I1350" s="2043">
        <f t="shared" si="1798"/>
        <v>0</v>
      </c>
      <c r="J1350" s="2043">
        <f t="shared" si="1798"/>
        <v>0</v>
      </c>
      <c r="K1350" s="2043">
        <f t="shared" si="1798"/>
        <v>0</v>
      </c>
      <c r="L1350" s="2043">
        <f t="shared" si="1798"/>
        <v>0</v>
      </c>
      <c r="M1350" s="2043">
        <f t="shared" si="1798"/>
        <v>0</v>
      </c>
      <c r="N1350" s="2043">
        <f t="shared" si="1798"/>
        <v>0</v>
      </c>
      <c r="O1350" s="2043">
        <f t="shared" si="1798"/>
        <v>0</v>
      </c>
      <c r="P1350" s="2043">
        <f t="shared" si="1798"/>
        <v>0</v>
      </c>
      <c r="Q1350" s="2044">
        <f t="shared" si="1798"/>
        <v>0</v>
      </c>
      <c r="S1350" s="6"/>
    </row>
    <row r="1351" spans="1:19" ht="15.05" thickBot="1" x14ac:dyDescent="0.25">
      <c r="A1351" s="6"/>
      <c r="B1351" s="2045"/>
      <c r="C1351" s="2006"/>
      <c r="D1351" s="2046"/>
      <c r="E1351" s="2047" t="str">
        <f>E1348</f>
        <v>En área ganadera</v>
      </c>
      <c r="F1351" s="2048">
        <f t="shared" ref="F1351:Q1351" si="1799">SUMIFS($V$229:$V$237,$S$229:$S$237,F1345)</f>
        <v>0</v>
      </c>
      <c r="G1351" s="2048">
        <f t="shared" si="1799"/>
        <v>0</v>
      </c>
      <c r="H1351" s="2048">
        <f t="shared" si="1799"/>
        <v>0</v>
      </c>
      <c r="I1351" s="2048">
        <f t="shared" si="1799"/>
        <v>0</v>
      </c>
      <c r="J1351" s="2048">
        <f t="shared" si="1799"/>
        <v>0</v>
      </c>
      <c r="K1351" s="2048">
        <f t="shared" si="1799"/>
        <v>0</v>
      </c>
      <c r="L1351" s="2048">
        <f t="shared" si="1799"/>
        <v>0</v>
      </c>
      <c r="M1351" s="2048">
        <f t="shared" si="1799"/>
        <v>0</v>
      </c>
      <c r="N1351" s="2048">
        <f t="shared" si="1799"/>
        <v>0</v>
      </c>
      <c r="O1351" s="2048">
        <f t="shared" si="1799"/>
        <v>0</v>
      </c>
      <c r="P1351" s="2048">
        <f t="shared" si="1799"/>
        <v>0</v>
      </c>
      <c r="Q1351" s="2049">
        <f t="shared" si="1799"/>
        <v>0</v>
      </c>
      <c r="S1351" s="6"/>
    </row>
    <row r="1352" spans="1:19" x14ac:dyDescent="0.2">
      <c r="A1352" s="6"/>
      <c r="B1352" s="2037"/>
      <c r="C1352" s="2038"/>
      <c r="D1352" s="2050" t="s">
        <v>1174</v>
      </c>
      <c r="E1352" s="2038"/>
      <c r="F1352" s="2051"/>
      <c r="G1352" s="2052"/>
      <c r="H1352" s="2052"/>
      <c r="I1352" s="2052"/>
      <c r="J1352" s="1434"/>
      <c r="K1352" s="1444" t="str">
        <f>K1349</f>
        <v>Hectáreas refertilizadas</v>
      </c>
      <c r="L1352" s="2052"/>
      <c r="M1352" s="2052"/>
      <c r="N1352" s="2052"/>
      <c r="O1352" s="2052"/>
      <c r="P1352" s="2053"/>
      <c r="Q1352" s="2054"/>
      <c r="S1352" s="6"/>
    </row>
    <row r="1353" spans="1:19" x14ac:dyDescent="0.2">
      <c r="A1353" s="6"/>
      <c r="B1353" s="109"/>
      <c r="C1353" s="100"/>
      <c r="D1353" s="1924"/>
      <c r="E1353" s="2042" t="str">
        <f>E1350</f>
        <v>En área lechera</v>
      </c>
      <c r="F1353" s="2043">
        <f t="shared" ref="F1353:Q1353" si="1800">SUMIFS($V$195:$V$199,$S$195:$S$199,F1345)</f>
        <v>0</v>
      </c>
      <c r="G1353" s="2043">
        <f t="shared" si="1800"/>
        <v>0</v>
      </c>
      <c r="H1353" s="2043">
        <f t="shared" si="1800"/>
        <v>0</v>
      </c>
      <c r="I1353" s="2043">
        <f t="shared" si="1800"/>
        <v>0</v>
      </c>
      <c r="J1353" s="2043">
        <f t="shared" si="1800"/>
        <v>0</v>
      </c>
      <c r="K1353" s="2043">
        <f t="shared" si="1800"/>
        <v>0</v>
      </c>
      <c r="L1353" s="2043">
        <f t="shared" si="1800"/>
        <v>0</v>
      </c>
      <c r="M1353" s="2043">
        <f t="shared" si="1800"/>
        <v>0</v>
      </c>
      <c r="N1353" s="2043">
        <f t="shared" si="1800"/>
        <v>0</v>
      </c>
      <c r="O1353" s="2043">
        <f t="shared" si="1800"/>
        <v>0</v>
      </c>
      <c r="P1353" s="2043">
        <f t="shared" si="1800"/>
        <v>0</v>
      </c>
      <c r="Q1353" s="2044">
        <f t="shared" si="1800"/>
        <v>0</v>
      </c>
      <c r="S1353" s="6"/>
    </row>
    <row r="1354" spans="1:19" ht="15.05" thickBot="1" x14ac:dyDescent="0.25">
      <c r="A1354" s="6"/>
      <c r="B1354" s="2045"/>
      <c r="C1354" s="2006"/>
      <c r="D1354" s="2046"/>
      <c r="E1354" s="2047" t="str">
        <f>E1351</f>
        <v>En área ganadera</v>
      </c>
      <c r="F1354" s="2048">
        <f t="shared" ref="F1354:Q1354" si="1801">SUMIFS($V$238:$V$242,$S$238:$S$242,F1345)</f>
        <v>0</v>
      </c>
      <c r="G1354" s="2048">
        <f t="shared" si="1801"/>
        <v>0</v>
      </c>
      <c r="H1354" s="2048">
        <f t="shared" si="1801"/>
        <v>0</v>
      </c>
      <c r="I1354" s="2048">
        <f t="shared" si="1801"/>
        <v>0</v>
      </c>
      <c r="J1354" s="2048">
        <f t="shared" si="1801"/>
        <v>0</v>
      </c>
      <c r="K1354" s="2048">
        <f t="shared" si="1801"/>
        <v>0</v>
      </c>
      <c r="L1354" s="2048">
        <f t="shared" si="1801"/>
        <v>0</v>
      </c>
      <c r="M1354" s="2048">
        <f t="shared" si="1801"/>
        <v>0</v>
      </c>
      <c r="N1354" s="2048">
        <f t="shared" si="1801"/>
        <v>0</v>
      </c>
      <c r="O1354" s="2048">
        <f t="shared" si="1801"/>
        <v>0</v>
      </c>
      <c r="P1354" s="2048">
        <f t="shared" si="1801"/>
        <v>0</v>
      </c>
      <c r="Q1354" s="2049">
        <f t="shared" si="1801"/>
        <v>0</v>
      </c>
      <c r="S1354" s="6"/>
    </row>
    <row r="1355" spans="1:19" x14ac:dyDescent="0.2">
      <c r="A1355" s="6"/>
      <c r="B1355" s="109"/>
      <c r="C1355" s="100"/>
      <c r="D1355" s="2026" t="s">
        <v>2216</v>
      </c>
      <c r="E1355" s="100"/>
      <c r="F1355" s="1921"/>
      <c r="G1355" s="1922"/>
      <c r="H1355" s="1922"/>
      <c r="I1355" s="1922"/>
      <c r="J1355" s="1445"/>
      <c r="K1355" s="2055" t="str">
        <f>K1352</f>
        <v>Hectáreas refertilizadas</v>
      </c>
      <c r="L1355" s="1922"/>
      <c r="M1355" s="1922"/>
      <c r="N1355" s="1922"/>
      <c r="O1355" s="1922"/>
      <c r="P1355" s="2056"/>
      <c r="Q1355" s="2057"/>
      <c r="S1355" s="6"/>
    </row>
    <row r="1356" spans="1:19" x14ac:dyDescent="0.2">
      <c r="A1356" s="6"/>
      <c r="B1356" s="109"/>
      <c r="C1356" s="100"/>
      <c r="D1356" s="1924"/>
      <c r="E1356" s="2042" t="str">
        <f>E1353</f>
        <v>En área lechera</v>
      </c>
      <c r="F1356" s="2043">
        <f t="shared" ref="F1356:Q1356" si="1802">SUMIFS($V$200:$V$205,$S$200:$S$205,F1345)</f>
        <v>0</v>
      </c>
      <c r="G1356" s="2043">
        <f t="shared" si="1802"/>
        <v>0</v>
      </c>
      <c r="H1356" s="2043">
        <f t="shared" si="1802"/>
        <v>0</v>
      </c>
      <c r="I1356" s="2043">
        <f t="shared" si="1802"/>
        <v>0</v>
      </c>
      <c r="J1356" s="2043">
        <f t="shared" si="1802"/>
        <v>0</v>
      </c>
      <c r="K1356" s="2043">
        <f t="shared" si="1802"/>
        <v>0</v>
      </c>
      <c r="L1356" s="2043">
        <f t="shared" si="1802"/>
        <v>0</v>
      </c>
      <c r="M1356" s="2043">
        <f t="shared" si="1802"/>
        <v>0</v>
      </c>
      <c r="N1356" s="2043">
        <f t="shared" si="1802"/>
        <v>0</v>
      </c>
      <c r="O1356" s="2043">
        <f t="shared" si="1802"/>
        <v>0</v>
      </c>
      <c r="P1356" s="2043">
        <f t="shared" si="1802"/>
        <v>0</v>
      </c>
      <c r="Q1356" s="2044">
        <f t="shared" si="1802"/>
        <v>0</v>
      </c>
      <c r="S1356" s="6"/>
    </row>
    <row r="1357" spans="1:19" ht="15.05" thickBot="1" x14ac:dyDescent="0.25">
      <c r="A1357" s="6"/>
      <c r="B1357" s="109"/>
      <c r="C1357" s="100"/>
      <c r="D1357" s="960"/>
      <c r="E1357" s="2058" t="str">
        <f>E1354</f>
        <v>En área ganadera</v>
      </c>
      <c r="F1357" s="2059">
        <f t="shared" ref="F1357:Q1357" si="1803">SUMIFS($V$243:$V$248,$S$243:$S$248,F1345)</f>
        <v>0</v>
      </c>
      <c r="G1357" s="2059">
        <f t="shared" si="1803"/>
        <v>0</v>
      </c>
      <c r="H1357" s="2059">
        <f t="shared" si="1803"/>
        <v>0</v>
      </c>
      <c r="I1357" s="2059">
        <f t="shared" si="1803"/>
        <v>0</v>
      </c>
      <c r="J1357" s="2059">
        <f t="shared" si="1803"/>
        <v>0</v>
      </c>
      <c r="K1357" s="2059">
        <f t="shared" si="1803"/>
        <v>0</v>
      </c>
      <c r="L1357" s="2059">
        <f t="shared" si="1803"/>
        <v>0</v>
      </c>
      <c r="M1357" s="2059">
        <f t="shared" si="1803"/>
        <v>0</v>
      </c>
      <c r="N1357" s="2059">
        <f t="shared" si="1803"/>
        <v>0</v>
      </c>
      <c r="O1357" s="2059">
        <f t="shared" si="1803"/>
        <v>0</v>
      </c>
      <c r="P1357" s="2059">
        <f t="shared" si="1803"/>
        <v>0</v>
      </c>
      <c r="Q1357" s="2060">
        <f t="shared" si="1803"/>
        <v>0</v>
      </c>
      <c r="S1357" s="6"/>
    </row>
    <row r="1358" spans="1:19" x14ac:dyDescent="0.2">
      <c r="A1358" s="6"/>
      <c r="B1358" s="2037"/>
      <c r="C1358" s="2038"/>
      <c r="D1358" s="2050" t="s">
        <v>2217</v>
      </c>
      <c r="E1358" s="2038"/>
      <c r="F1358" s="2051"/>
      <c r="G1358" s="2052"/>
      <c r="H1358" s="2052"/>
      <c r="I1358" s="2052"/>
      <c r="J1358" s="1434"/>
      <c r="K1358" s="1444" t="str">
        <f>K1355</f>
        <v>Hectáreas refertilizadas</v>
      </c>
      <c r="L1358" s="2052"/>
      <c r="M1358" s="2052"/>
      <c r="N1358" s="2052"/>
      <c r="O1358" s="2052"/>
      <c r="P1358" s="2053"/>
      <c r="Q1358" s="2054"/>
      <c r="S1358" s="6"/>
    </row>
    <row r="1359" spans="1:19" x14ac:dyDescent="0.2">
      <c r="A1359" s="6"/>
      <c r="B1359" s="109"/>
      <c r="C1359" s="100"/>
      <c r="D1359" s="1924"/>
      <c r="E1359" s="2042" t="str">
        <f>E1356</f>
        <v>En área lechera</v>
      </c>
      <c r="F1359" s="2043">
        <f t="shared" ref="F1359:Q1359" si="1804">SUMIFS($V$206:$V$210,$S$206:$S$210,F1345)</f>
        <v>0</v>
      </c>
      <c r="G1359" s="2043">
        <f t="shared" si="1804"/>
        <v>0</v>
      </c>
      <c r="H1359" s="2043">
        <f t="shared" si="1804"/>
        <v>0</v>
      </c>
      <c r="I1359" s="2043">
        <f t="shared" si="1804"/>
        <v>0</v>
      </c>
      <c r="J1359" s="2043">
        <f t="shared" si="1804"/>
        <v>0</v>
      </c>
      <c r="K1359" s="2043">
        <f t="shared" si="1804"/>
        <v>0</v>
      </c>
      <c r="L1359" s="2043">
        <f t="shared" si="1804"/>
        <v>0</v>
      </c>
      <c r="M1359" s="2043">
        <f t="shared" si="1804"/>
        <v>0</v>
      </c>
      <c r="N1359" s="2043">
        <f t="shared" si="1804"/>
        <v>0</v>
      </c>
      <c r="O1359" s="2043">
        <f t="shared" si="1804"/>
        <v>0</v>
      </c>
      <c r="P1359" s="2043">
        <f t="shared" si="1804"/>
        <v>0</v>
      </c>
      <c r="Q1359" s="2044">
        <f t="shared" si="1804"/>
        <v>0</v>
      </c>
      <c r="S1359" s="6"/>
    </row>
    <row r="1360" spans="1:19" ht="15.05" thickBot="1" x14ac:dyDescent="0.25">
      <c r="A1360" s="100"/>
      <c r="B1360" s="2045"/>
      <c r="C1360" s="2006"/>
      <c r="D1360" s="2046"/>
      <c r="E1360" s="2047" t="str">
        <f>E1357</f>
        <v>En área ganadera</v>
      </c>
      <c r="F1360" s="2048">
        <f t="shared" ref="F1360:Q1360" si="1805">SUMIFS($V$249:$V$253,$S$249:$S$253,F1345)</f>
        <v>0</v>
      </c>
      <c r="G1360" s="2048">
        <f t="shared" si="1805"/>
        <v>0</v>
      </c>
      <c r="H1360" s="2048">
        <f t="shared" si="1805"/>
        <v>0</v>
      </c>
      <c r="I1360" s="2048">
        <f t="shared" si="1805"/>
        <v>0</v>
      </c>
      <c r="J1360" s="2048">
        <f t="shared" si="1805"/>
        <v>0</v>
      </c>
      <c r="K1360" s="2048">
        <f t="shared" si="1805"/>
        <v>0</v>
      </c>
      <c r="L1360" s="2048">
        <f t="shared" si="1805"/>
        <v>0</v>
      </c>
      <c r="M1360" s="2048">
        <f t="shared" si="1805"/>
        <v>0</v>
      </c>
      <c r="N1360" s="2048">
        <f t="shared" si="1805"/>
        <v>0</v>
      </c>
      <c r="O1360" s="2048">
        <f t="shared" si="1805"/>
        <v>0</v>
      </c>
      <c r="P1360" s="2048">
        <f t="shared" si="1805"/>
        <v>0</v>
      </c>
      <c r="Q1360" s="2049">
        <f t="shared" si="1805"/>
        <v>0</v>
      </c>
      <c r="R1360" s="100"/>
      <c r="S1360" s="6"/>
    </row>
    <row r="1361" spans="1:19" x14ac:dyDescent="0.2">
      <c r="A1361" s="100"/>
      <c r="B1361" s="100"/>
      <c r="C1361" s="100"/>
      <c r="D1361" s="100"/>
      <c r="E1361" s="100"/>
      <c r="F1361" s="100"/>
      <c r="G1361" s="100"/>
      <c r="H1361" s="100"/>
      <c r="I1361" s="100"/>
      <c r="J1361" s="100"/>
      <c r="K1361" s="100"/>
      <c r="L1361" s="100"/>
      <c r="M1361" s="100"/>
      <c r="N1361" s="100"/>
      <c r="O1361" s="100"/>
      <c r="P1361" s="100"/>
      <c r="Q1361" s="100"/>
      <c r="R1361" s="100"/>
      <c r="S1361" s="6"/>
    </row>
    <row r="1362" spans="1:19" ht="15.05" thickBot="1" x14ac:dyDescent="0.25">
      <c r="A1362" s="100"/>
      <c r="B1362" s="100"/>
      <c r="C1362" s="100"/>
      <c r="D1362" s="100"/>
      <c r="E1362" s="100"/>
      <c r="F1362" s="100"/>
      <c r="G1362" s="100"/>
      <c r="H1362" s="100"/>
      <c r="I1362" s="100"/>
      <c r="J1362" s="100"/>
      <c r="K1362" s="100"/>
      <c r="L1362" s="100"/>
      <c r="M1362" s="100"/>
      <c r="N1362" s="100"/>
      <c r="O1362" s="100"/>
      <c r="P1362" s="100"/>
      <c r="Q1362" s="100"/>
      <c r="R1362" s="100"/>
      <c r="S1362" s="6"/>
    </row>
    <row r="1363" spans="1:19" ht="15.05" thickBot="1" x14ac:dyDescent="0.25">
      <c r="A1363" s="2188">
        <v>1073</v>
      </c>
      <c r="B1363" s="102" t="s">
        <v>960</v>
      </c>
      <c r="C1363" s="103"/>
      <c r="D1363" s="103"/>
      <c r="E1363" s="1901"/>
      <c r="F1363" s="1902"/>
      <c r="G1363" s="1902"/>
      <c r="H1363" s="1902"/>
      <c r="I1363" s="1902"/>
      <c r="J1363" s="1902"/>
      <c r="K1363" s="1902"/>
      <c r="L1363" s="1902"/>
      <c r="M1363" s="1902"/>
      <c r="N1363" s="1902"/>
      <c r="O1363" s="1902"/>
      <c r="P1363" s="1902"/>
      <c r="Q1363" s="1903"/>
      <c r="R1363" s="110"/>
      <c r="S1363" s="6"/>
    </row>
    <row r="1364" spans="1:19" x14ac:dyDescent="0.2">
      <c r="A1364" s="6"/>
      <c r="B1364" s="1999"/>
      <c r="C1364" s="2026"/>
      <c r="D1364" s="2026"/>
      <c r="E1364" s="100"/>
      <c r="F1364" s="2039" t="str">
        <f t="shared" ref="F1364:Q1364" si="1806">+G8</f>
        <v>Ene</v>
      </c>
      <c r="G1364" s="2039" t="str">
        <f t="shared" si="1806"/>
        <v>Feb</v>
      </c>
      <c r="H1364" s="2039" t="str">
        <f t="shared" si="1806"/>
        <v>Mar</v>
      </c>
      <c r="I1364" s="2039" t="str">
        <f>+J8</f>
        <v>Abr</v>
      </c>
      <c r="J1364" s="2039" t="str">
        <f t="shared" si="1806"/>
        <v>May</v>
      </c>
      <c r="K1364" s="2039" t="str">
        <f t="shared" si="1806"/>
        <v>Jun</v>
      </c>
      <c r="L1364" s="2039" t="str">
        <f t="shared" si="1806"/>
        <v>Jul</v>
      </c>
      <c r="M1364" s="2039" t="str">
        <f t="shared" si="1806"/>
        <v>Ago</v>
      </c>
      <c r="N1364" s="2039" t="str">
        <f t="shared" si="1806"/>
        <v>Set</v>
      </c>
      <c r="O1364" s="2039" t="str">
        <f t="shared" si="1806"/>
        <v>Oct</v>
      </c>
      <c r="P1364" s="2039" t="str">
        <f t="shared" si="1806"/>
        <v>Nov</v>
      </c>
      <c r="Q1364" s="2040" t="str">
        <f t="shared" si="1806"/>
        <v>Dic</v>
      </c>
      <c r="R1364" s="110"/>
      <c r="S1364" s="6"/>
    </row>
    <row r="1365" spans="1:19" x14ac:dyDescent="0.2">
      <c r="A1365" s="6"/>
      <c r="B1365" s="109"/>
      <c r="C1365" s="100"/>
      <c r="D1365" s="2061" t="str">
        <f>+D332</f>
        <v>Cultivos de Verano para Reserva</v>
      </c>
      <c r="E1365" s="104"/>
      <c r="F1365" s="1924"/>
      <c r="G1365" s="958"/>
      <c r="H1365" s="958"/>
      <c r="I1365" s="958"/>
      <c r="J1365" s="959"/>
      <c r="K1365" s="1900" t="s">
        <v>959</v>
      </c>
      <c r="L1365" s="958"/>
      <c r="M1365" s="958"/>
      <c r="N1365" s="958"/>
      <c r="O1365" s="958"/>
      <c r="P1365" s="2036"/>
      <c r="Q1365" s="2041"/>
      <c r="S1365" s="6"/>
    </row>
    <row r="1366" spans="1:19" x14ac:dyDescent="0.2">
      <c r="A1366" s="6"/>
      <c r="B1366" s="109"/>
      <c r="C1366" s="100"/>
      <c r="D1366" s="100"/>
      <c r="E1366" s="2062" t="str">
        <f t="shared" ref="E1366:E1371" si="1807">+D333</f>
        <v>Maíz Silo</v>
      </c>
      <c r="F1366" s="1898">
        <f t="shared" ref="F1366:Q1366" si="1808">+IF(F1345=$S$259,$T$259,0)</f>
        <v>0</v>
      </c>
      <c r="G1366" s="1898">
        <f t="shared" si="1808"/>
        <v>0</v>
      </c>
      <c r="H1366" s="1898">
        <f t="shared" si="1808"/>
        <v>0</v>
      </c>
      <c r="I1366" s="1898">
        <f t="shared" si="1808"/>
        <v>0</v>
      </c>
      <c r="J1366" s="1898">
        <f t="shared" si="1808"/>
        <v>0</v>
      </c>
      <c r="K1366" s="1898">
        <f t="shared" si="1808"/>
        <v>0</v>
      </c>
      <c r="L1366" s="1898">
        <f t="shared" si="1808"/>
        <v>0</v>
      </c>
      <c r="M1366" s="1898">
        <f t="shared" si="1808"/>
        <v>0</v>
      </c>
      <c r="N1366" s="1898">
        <f t="shared" si="1808"/>
        <v>0</v>
      </c>
      <c r="O1366" s="1898">
        <f t="shared" si="1808"/>
        <v>0</v>
      </c>
      <c r="P1366" s="1898">
        <f t="shared" si="1808"/>
        <v>0</v>
      </c>
      <c r="Q1366" s="2063">
        <f t="shared" si="1808"/>
        <v>0</v>
      </c>
      <c r="S1366" s="6"/>
    </row>
    <row r="1367" spans="1:19" x14ac:dyDescent="0.2">
      <c r="A1367" s="6"/>
      <c r="B1367" s="109"/>
      <c r="C1367" s="100"/>
      <c r="D1367" s="100"/>
      <c r="E1367" s="2062" t="str">
        <f t="shared" si="1807"/>
        <v>Sorgo silo</v>
      </c>
      <c r="F1367" s="1898">
        <f t="shared" ref="F1367:Q1367" si="1809">+IF(F1345=$S$260,$T$260,0)</f>
        <v>0</v>
      </c>
      <c r="G1367" s="1898">
        <f t="shared" si="1809"/>
        <v>0</v>
      </c>
      <c r="H1367" s="1898">
        <f t="shared" si="1809"/>
        <v>0</v>
      </c>
      <c r="I1367" s="1898">
        <f t="shared" si="1809"/>
        <v>0</v>
      </c>
      <c r="J1367" s="1898">
        <f t="shared" si="1809"/>
        <v>0</v>
      </c>
      <c r="K1367" s="1898">
        <f t="shared" si="1809"/>
        <v>0</v>
      </c>
      <c r="L1367" s="1898">
        <f t="shared" si="1809"/>
        <v>0</v>
      </c>
      <c r="M1367" s="1898">
        <f t="shared" si="1809"/>
        <v>0</v>
      </c>
      <c r="N1367" s="1898">
        <f t="shared" si="1809"/>
        <v>0</v>
      </c>
      <c r="O1367" s="1898">
        <f t="shared" si="1809"/>
        <v>0</v>
      </c>
      <c r="P1367" s="1898">
        <f t="shared" si="1809"/>
        <v>0</v>
      </c>
      <c r="Q1367" s="2063">
        <f t="shared" si="1809"/>
        <v>0</v>
      </c>
      <c r="S1367" s="6"/>
    </row>
    <row r="1368" spans="1:19" x14ac:dyDescent="0.2">
      <c r="A1368" s="6"/>
      <c r="B1368" s="109"/>
      <c r="C1368" s="100"/>
      <c r="D1368" s="100"/>
      <c r="E1368" s="2062" t="str">
        <f t="shared" si="1807"/>
        <v>Moha</v>
      </c>
      <c r="F1368" s="1898">
        <f t="shared" ref="F1368:Q1368" si="1810">+IF(F1345=$S$261,$T$261,0)</f>
        <v>0</v>
      </c>
      <c r="G1368" s="1898">
        <f t="shared" si="1810"/>
        <v>0</v>
      </c>
      <c r="H1368" s="1898">
        <f t="shared" si="1810"/>
        <v>0</v>
      </c>
      <c r="I1368" s="1898">
        <f t="shared" si="1810"/>
        <v>0</v>
      </c>
      <c r="J1368" s="1898">
        <f t="shared" si="1810"/>
        <v>0</v>
      </c>
      <c r="K1368" s="1898">
        <f t="shared" si="1810"/>
        <v>0</v>
      </c>
      <c r="L1368" s="1898">
        <f t="shared" si="1810"/>
        <v>0</v>
      </c>
      <c r="M1368" s="1898">
        <f t="shared" si="1810"/>
        <v>0</v>
      </c>
      <c r="N1368" s="1898">
        <f t="shared" si="1810"/>
        <v>0</v>
      </c>
      <c r="O1368" s="1898">
        <f t="shared" si="1810"/>
        <v>0</v>
      </c>
      <c r="P1368" s="1898">
        <f t="shared" si="1810"/>
        <v>0</v>
      </c>
      <c r="Q1368" s="2063">
        <f t="shared" si="1810"/>
        <v>0</v>
      </c>
      <c r="S1368" s="6"/>
    </row>
    <row r="1369" spans="1:19" x14ac:dyDescent="0.2">
      <c r="A1369" s="6"/>
      <c r="B1369" s="109"/>
      <c r="C1369" s="100"/>
      <c r="D1369" s="100"/>
      <c r="E1369" s="2062" t="str">
        <f t="shared" si="1807"/>
        <v>Soja reserva</v>
      </c>
      <c r="F1369" s="1898">
        <f t="shared" ref="F1369:Q1369" si="1811">+IF(F1345=$S$262,$T$262,0)</f>
        <v>0</v>
      </c>
      <c r="G1369" s="1898">
        <f t="shared" si="1811"/>
        <v>0</v>
      </c>
      <c r="H1369" s="1898">
        <f t="shared" si="1811"/>
        <v>0</v>
      </c>
      <c r="I1369" s="1898">
        <f t="shared" si="1811"/>
        <v>0</v>
      </c>
      <c r="J1369" s="1898">
        <f t="shared" si="1811"/>
        <v>0</v>
      </c>
      <c r="K1369" s="1898">
        <f t="shared" si="1811"/>
        <v>0</v>
      </c>
      <c r="L1369" s="1898">
        <f t="shared" si="1811"/>
        <v>0</v>
      </c>
      <c r="M1369" s="1898">
        <f t="shared" si="1811"/>
        <v>0</v>
      </c>
      <c r="N1369" s="1898">
        <f t="shared" si="1811"/>
        <v>0</v>
      </c>
      <c r="O1369" s="1898">
        <f t="shared" si="1811"/>
        <v>0</v>
      </c>
      <c r="P1369" s="1898">
        <f t="shared" si="1811"/>
        <v>0</v>
      </c>
      <c r="Q1369" s="2063">
        <f t="shared" si="1811"/>
        <v>0</v>
      </c>
      <c r="S1369" s="6"/>
    </row>
    <row r="1370" spans="1:19" x14ac:dyDescent="0.2">
      <c r="A1370" s="6"/>
      <c r="B1370" s="109"/>
      <c r="C1370" s="100"/>
      <c r="D1370" s="100"/>
      <c r="E1370" s="2062">
        <f t="shared" si="1807"/>
        <v>0</v>
      </c>
      <c r="F1370" s="1898">
        <f t="shared" ref="F1370:Q1370" si="1812">+IF(F1345=$S$263,$T$263,0)</f>
        <v>0</v>
      </c>
      <c r="G1370" s="1898">
        <f t="shared" si="1812"/>
        <v>0</v>
      </c>
      <c r="H1370" s="1898">
        <f t="shared" si="1812"/>
        <v>0</v>
      </c>
      <c r="I1370" s="1898">
        <f t="shared" si="1812"/>
        <v>0</v>
      </c>
      <c r="J1370" s="1898">
        <f t="shared" si="1812"/>
        <v>0</v>
      </c>
      <c r="K1370" s="1898">
        <f t="shared" si="1812"/>
        <v>0</v>
      </c>
      <c r="L1370" s="1898">
        <f t="shared" si="1812"/>
        <v>0</v>
      </c>
      <c r="M1370" s="1898">
        <f t="shared" si="1812"/>
        <v>0</v>
      </c>
      <c r="N1370" s="1898">
        <f t="shared" si="1812"/>
        <v>0</v>
      </c>
      <c r="O1370" s="1898">
        <f t="shared" si="1812"/>
        <v>0</v>
      </c>
      <c r="P1370" s="1898">
        <f t="shared" si="1812"/>
        <v>0</v>
      </c>
      <c r="Q1370" s="2063">
        <f t="shared" si="1812"/>
        <v>0</v>
      </c>
      <c r="S1370" s="6"/>
    </row>
    <row r="1371" spans="1:19" x14ac:dyDescent="0.2">
      <c r="A1371" s="6"/>
      <c r="B1371" s="109"/>
      <c r="C1371" s="100"/>
      <c r="D1371" s="100"/>
      <c r="E1371" s="2064">
        <f t="shared" si="1807"/>
        <v>0</v>
      </c>
      <c r="F1371" s="2059">
        <f t="shared" ref="F1371:Q1371" si="1813">+IF(F1345=$S$264,$T$264,0)</f>
        <v>0</v>
      </c>
      <c r="G1371" s="2059">
        <f t="shared" si="1813"/>
        <v>0</v>
      </c>
      <c r="H1371" s="2059">
        <f t="shared" si="1813"/>
        <v>0</v>
      </c>
      <c r="I1371" s="2059">
        <f t="shared" si="1813"/>
        <v>0</v>
      </c>
      <c r="J1371" s="2059">
        <f t="shared" si="1813"/>
        <v>0</v>
      </c>
      <c r="K1371" s="2059">
        <f t="shared" si="1813"/>
        <v>0</v>
      </c>
      <c r="L1371" s="2059">
        <f t="shared" si="1813"/>
        <v>0</v>
      </c>
      <c r="M1371" s="2059">
        <f t="shared" si="1813"/>
        <v>0</v>
      </c>
      <c r="N1371" s="2059">
        <f t="shared" si="1813"/>
        <v>0</v>
      </c>
      <c r="O1371" s="2059">
        <f t="shared" si="1813"/>
        <v>0</v>
      </c>
      <c r="P1371" s="2059">
        <f t="shared" si="1813"/>
        <v>0</v>
      </c>
      <c r="Q1371" s="2060">
        <f t="shared" si="1813"/>
        <v>0</v>
      </c>
      <c r="S1371" s="6"/>
    </row>
    <row r="1372" spans="1:19" x14ac:dyDescent="0.2">
      <c r="A1372" s="6"/>
      <c r="B1372" s="109"/>
      <c r="C1372" s="100"/>
      <c r="D1372" s="2061" t="str">
        <f>+D339</f>
        <v>Cultivos de Invierno para Reserva</v>
      </c>
      <c r="E1372" s="959"/>
      <c r="F1372" s="1924"/>
      <c r="G1372" s="958"/>
      <c r="H1372" s="958"/>
      <c r="I1372" s="958"/>
      <c r="J1372" s="959"/>
      <c r="K1372" s="1900" t="s">
        <v>959</v>
      </c>
      <c r="L1372" s="958"/>
      <c r="M1372" s="958"/>
      <c r="N1372" s="958"/>
      <c r="O1372" s="958"/>
      <c r="P1372" s="2036"/>
      <c r="Q1372" s="2041"/>
      <c r="S1372" s="6"/>
    </row>
    <row r="1373" spans="1:19" x14ac:dyDescent="0.2">
      <c r="A1373" s="6"/>
      <c r="B1373" s="109"/>
      <c r="C1373" s="100"/>
      <c r="D1373" s="100"/>
      <c r="E1373" s="2000" t="str">
        <f>+D340</f>
        <v>Avena silo</v>
      </c>
      <c r="F1373" s="2065">
        <f t="shared" ref="F1373:Q1373" si="1814">+IF(F1345=$S$265,$T$265,0)</f>
        <v>0</v>
      </c>
      <c r="G1373" s="2065">
        <f t="shared" si="1814"/>
        <v>0</v>
      </c>
      <c r="H1373" s="2065">
        <f t="shared" si="1814"/>
        <v>0</v>
      </c>
      <c r="I1373" s="2065">
        <f t="shared" si="1814"/>
        <v>0</v>
      </c>
      <c r="J1373" s="2065">
        <f t="shared" si="1814"/>
        <v>0</v>
      </c>
      <c r="K1373" s="2065">
        <f t="shared" si="1814"/>
        <v>0</v>
      </c>
      <c r="L1373" s="2065">
        <f t="shared" si="1814"/>
        <v>0</v>
      </c>
      <c r="M1373" s="2065">
        <f t="shared" si="1814"/>
        <v>0</v>
      </c>
      <c r="N1373" s="2065">
        <f t="shared" si="1814"/>
        <v>0</v>
      </c>
      <c r="O1373" s="2065">
        <f t="shared" si="1814"/>
        <v>0</v>
      </c>
      <c r="P1373" s="2065">
        <f t="shared" si="1814"/>
        <v>0</v>
      </c>
      <c r="Q1373" s="2066">
        <f t="shared" si="1814"/>
        <v>0</v>
      </c>
      <c r="S1373" s="6"/>
    </row>
    <row r="1374" spans="1:19" x14ac:dyDescent="0.2">
      <c r="A1374" s="6"/>
      <c r="B1374" s="109"/>
      <c r="C1374" s="100"/>
      <c r="D1374" s="100"/>
      <c r="E1374" s="2062" t="str">
        <f>+D341</f>
        <v>Raigrás Silo</v>
      </c>
      <c r="F1374" s="1898">
        <f t="shared" ref="F1374:Q1374" si="1815">+IF(F1345=$S$266,$T$266,0)</f>
        <v>0</v>
      </c>
      <c r="G1374" s="1898">
        <f t="shared" si="1815"/>
        <v>0</v>
      </c>
      <c r="H1374" s="1898">
        <f t="shared" si="1815"/>
        <v>0</v>
      </c>
      <c r="I1374" s="1898">
        <f t="shared" si="1815"/>
        <v>0</v>
      </c>
      <c r="J1374" s="1898">
        <f t="shared" si="1815"/>
        <v>0</v>
      </c>
      <c r="K1374" s="1898">
        <f t="shared" si="1815"/>
        <v>0</v>
      </c>
      <c r="L1374" s="1898">
        <f t="shared" si="1815"/>
        <v>0</v>
      </c>
      <c r="M1374" s="1898">
        <f t="shared" si="1815"/>
        <v>0</v>
      </c>
      <c r="N1374" s="1898">
        <f t="shared" si="1815"/>
        <v>0</v>
      </c>
      <c r="O1374" s="1898">
        <f t="shared" si="1815"/>
        <v>0</v>
      </c>
      <c r="P1374" s="1898">
        <f t="shared" si="1815"/>
        <v>0</v>
      </c>
      <c r="Q1374" s="2063">
        <f t="shared" si="1815"/>
        <v>0</v>
      </c>
      <c r="S1374" s="6"/>
    </row>
    <row r="1375" spans="1:19" x14ac:dyDescent="0.2">
      <c r="A1375" s="6"/>
      <c r="B1375" s="109"/>
      <c r="C1375" s="100"/>
      <c r="D1375" s="100"/>
      <c r="E1375" s="2062" t="str">
        <f>+D342</f>
        <v>Ra Silo Cierre Ago</v>
      </c>
      <c r="F1375" s="1898">
        <f t="shared" ref="F1375:Q1375" si="1816">+IF(F1345=$S$267,$T$267,0)</f>
        <v>0</v>
      </c>
      <c r="G1375" s="1898">
        <f t="shared" si="1816"/>
        <v>0</v>
      </c>
      <c r="H1375" s="1898">
        <f t="shared" si="1816"/>
        <v>0</v>
      </c>
      <c r="I1375" s="1898">
        <f t="shared" si="1816"/>
        <v>0</v>
      </c>
      <c r="J1375" s="1898">
        <f t="shared" si="1816"/>
        <v>0</v>
      </c>
      <c r="K1375" s="1898">
        <f t="shared" si="1816"/>
        <v>0</v>
      </c>
      <c r="L1375" s="1898">
        <f t="shared" si="1816"/>
        <v>0</v>
      </c>
      <c r="M1375" s="1898">
        <f t="shared" si="1816"/>
        <v>0</v>
      </c>
      <c r="N1375" s="1898">
        <f t="shared" si="1816"/>
        <v>0</v>
      </c>
      <c r="O1375" s="1898">
        <f t="shared" si="1816"/>
        <v>0</v>
      </c>
      <c r="P1375" s="1898">
        <f t="shared" si="1816"/>
        <v>0</v>
      </c>
      <c r="Q1375" s="2063">
        <f t="shared" si="1816"/>
        <v>0</v>
      </c>
      <c r="S1375" s="6"/>
    </row>
    <row r="1376" spans="1:19" x14ac:dyDescent="0.2">
      <c r="A1376" s="6"/>
      <c r="B1376" s="109"/>
      <c r="C1376" s="100"/>
      <c r="D1376" s="100"/>
      <c r="E1376" s="2062">
        <f>+D343</f>
        <v>0</v>
      </c>
      <c r="F1376" s="1898">
        <f t="shared" ref="F1376:Q1376" si="1817">+IF(F1345=$S$268,$T$268,0)</f>
        <v>0</v>
      </c>
      <c r="G1376" s="1898">
        <f t="shared" si="1817"/>
        <v>0</v>
      </c>
      <c r="H1376" s="1898">
        <f t="shared" si="1817"/>
        <v>0</v>
      </c>
      <c r="I1376" s="1898">
        <f t="shared" si="1817"/>
        <v>0</v>
      </c>
      <c r="J1376" s="1898">
        <f t="shared" si="1817"/>
        <v>0</v>
      </c>
      <c r="K1376" s="1898">
        <f t="shared" si="1817"/>
        <v>0</v>
      </c>
      <c r="L1376" s="1898">
        <f t="shared" si="1817"/>
        <v>0</v>
      </c>
      <c r="M1376" s="1898">
        <f t="shared" si="1817"/>
        <v>0</v>
      </c>
      <c r="N1376" s="1898">
        <f t="shared" si="1817"/>
        <v>0</v>
      </c>
      <c r="O1376" s="1898">
        <f t="shared" si="1817"/>
        <v>0</v>
      </c>
      <c r="P1376" s="1898">
        <f t="shared" si="1817"/>
        <v>0</v>
      </c>
      <c r="Q1376" s="2063">
        <f t="shared" si="1817"/>
        <v>0</v>
      </c>
      <c r="S1376" s="6"/>
    </row>
    <row r="1377" spans="1:135" ht="15.05" thickBot="1" x14ac:dyDescent="0.25">
      <c r="A1377" s="6"/>
      <c r="B1377" s="2045"/>
      <c r="C1377" s="2006"/>
      <c r="D1377" s="2006"/>
      <c r="E1377" s="2067">
        <f>+D344</f>
        <v>0</v>
      </c>
      <c r="F1377" s="2048">
        <f t="shared" ref="F1377:Q1377" si="1818">+IF(F1345=$S$269,$T$269,0)</f>
        <v>0</v>
      </c>
      <c r="G1377" s="2048">
        <f t="shared" si="1818"/>
        <v>0</v>
      </c>
      <c r="H1377" s="2048">
        <f t="shared" si="1818"/>
        <v>0</v>
      </c>
      <c r="I1377" s="2048">
        <f t="shared" si="1818"/>
        <v>0</v>
      </c>
      <c r="J1377" s="2048">
        <f t="shared" si="1818"/>
        <v>0</v>
      </c>
      <c r="K1377" s="2048">
        <f t="shared" si="1818"/>
        <v>0</v>
      </c>
      <c r="L1377" s="2048">
        <f t="shared" si="1818"/>
        <v>0</v>
      </c>
      <c r="M1377" s="2048">
        <f t="shared" si="1818"/>
        <v>0</v>
      </c>
      <c r="N1377" s="2048">
        <f t="shared" si="1818"/>
        <v>0</v>
      </c>
      <c r="O1377" s="2048">
        <f t="shared" si="1818"/>
        <v>0</v>
      </c>
      <c r="P1377" s="2048">
        <f t="shared" si="1818"/>
        <v>0</v>
      </c>
      <c r="Q1377" s="2049">
        <f t="shared" si="1818"/>
        <v>0</v>
      </c>
      <c r="S1377" s="6"/>
    </row>
    <row r="1378" spans="1:135" s="100" customFormat="1" x14ac:dyDescent="0.2">
      <c r="A1378" s="6"/>
      <c r="B1378" s="6"/>
      <c r="C1378" s="6"/>
      <c r="D1378" s="6"/>
      <c r="E1378" s="6"/>
      <c r="R1378" s="6"/>
      <c r="S1378" s="106"/>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c r="BT1378" s="6"/>
      <c r="BU1378" s="6"/>
      <c r="BV1378" s="6"/>
      <c r="BW1378" s="6"/>
      <c r="BX1378" s="6"/>
      <c r="BY1378" s="6"/>
      <c r="BZ1378" s="6"/>
      <c r="CA1378" s="6"/>
      <c r="CB1378" s="6"/>
      <c r="CC1378" s="6"/>
      <c r="CD1378" s="6"/>
      <c r="CE1378" s="6"/>
      <c r="CF1378" s="6"/>
      <c r="CG1378" s="6"/>
      <c r="CH1378" s="6"/>
      <c r="CI1378" s="6"/>
      <c r="CJ1378" s="6"/>
      <c r="CK1378" s="6"/>
      <c r="CL1378" s="6"/>
      <c r="CM1378" s="6"/>
      <c r="CN1378" s="6"/>
      <c r="CO1378" s="6"/>
      <c r="CP1378" s="6"/>
      <c r="CQ1378" s="6"/>
      <c r="CR1378" s="6"/>
      <c r="CS1378" s="6"/>
      <c r="CT1378" s="6"/>
      <c r="CU1378" s="6"/>
      <c r="CV1378" s="6"/>
      <c r="CW1378" s="6"/>
      <c r="CX1378" s="6"/>
      <c r="CY1378" s="6"/>
      <c r="CZ1378" s="6"/>
      <c r="DA1378" s="6"/>
      <c r="DB1378" s="6"/>
      <c r="DC1378" s="6"/>
      <c r="DD1378" s="6"/>
      <c r="DE1378" s="6"/>
      <c r="DF1378" s="6"/>
      <c r="DG1378" s="6"/>
      <c r="DH1378" s="6"/>
      <c r="DI1378" s="6"/>
      <c r="DJ1378" s="6"/>
      <c r="DK1378" s="6"/>
      <c r="DL1378" s="6"/>
      <c r="DM1378" s="6"/>
      <c r="DN1378" s="6"/>
      <c r="DO1378" s="6"/>
      <c r="DP1378" s="6"/>
      <c r="DQ1378" s="6"/>
      <c r="DR1378" s="6"/>
      <c r="DS1378" s="6"/>
      <c r="DT1378" s="6"/>
      <c r="DU1378" s="6"/>
      <c r="DV1378" s="6"/>
      <c r="DW1378" s="6"/>
      <c r="DX1378" s="6"/>
      <c r="DY1378" s="6"/>
      <c r="DZ1378" s="6"/>
      <c r="EA1378" s="6"/>
      <c r="EB1378" s="6"/>
      <c r="EC1378" s="6"/>
      <c r="ED1378" s="6"/>
      <c r="EE1378" s="6"/>
    </row>
    <row r="1379" spans="1:135" s="100" customFormat="1" ht="15.05" thickBot="1" x14ac:dyDescent="0.25">
      <c r="E1379" s="2024"/>
      <c r="S1379" s="113"/>
    </row>
    <row r="1380" spans="1:135" s="100" customFormat="1" ht="15.05" thickBot="1" x14ac:dyDescent="0.25">
      <c r="A1380" s="2188">
        <v>1074</v>
      </c>
      <c r="B1380" s="102" t="s">
        <v>962</v>
      </c>
      <c r="C1380" s="103"/>
      <c r="D1380" s="103"/>
      <c r="E1380" s="1901"/>
      <c r="F1380" s="1902"/>
      <c r="G1380" s="1902"/>
      <c r="H1380" s="1902"/>
      <c r="I1380" s="1902"/>
      <c r="J1380" s="1902"/>
      <c r="K1380" s="1902"/>
      <c r="L1380" s="1902"/>
      <c r="M1380" s="1902"/>
      <c r="N1380" s="1902"/>
      <c r="O1380" s="1902"/>
      <c r="P1380" s="1902"/>
      <c r="Q1380" s="1903"/>
      <c r="S1380" s="113"/>
    </row>
    <row r="1381" spans="1:135" s="100" customFormat="1" x14ac:dyDescent="0.2">
      <c r="B1381" s="1999"/>
      <c r="C1381" s="2026"/>
      <c r="D1381" s="2026"/>
      <c r="F1381" s="2039" t="str">
        <f t="shared" ref="F1381:Q1381" si="1819">+G8</f>
        <v>Ene</v>
      </c>
      <c r="G1381" s="2039" t="str">
        <f t="shared" si="1819"/>
        <v>Feb</v>
      </c>
      <c r="H1381" s="2039" t="str">
        <f t="shared" si="1819"/>
        <v>Mar</v>
      </c>
      <c r="I1381" s="2039" t="str">
        <f>+J8</f>
        <v>Abr</v>
      </c>
      <c r="J1381" s="2039" t="str">
        <f t="shared" si="1819"/>
        <v>May</v>
      </c>
      <c r="K1381" s="2039" t="str">
        <f t="shared" si="1819"/>
        <v>Jun</v>
      </c>
      <c r="L1381" s="2039" t="str">
        <f t="shared" si="1819"/>
        <v>Jul</v>
      </c>
      <c r="M1381" s="2039" t="str">
        <f t="shared" si="1819"/>
        <v>Ago</v>
      </c>
      <c r="N1381" s="2039" t="str">
        <f t="shared" si="1819"/>
        <v>Set</v>
      </c>
      <c r="O1381" s="2039" t="str">
        <f t="shared" si="1819"/>
        <v>Oct</v>
      </c>
      <c r="P1381" s="2039" t="str">
        <f t="shared" si="1819"/>
        <v>Nov</v>
      </c>
      <c r="Q1381" s="2040" t="str">
        <f t="shared" si="1819"/>
        <v>Dic</v>
      </c>
      <c r="S1381" s="113"/>
    </row>
    <row r="1382" spans="1:135" s="100" customFormat="1" x14ac:dyDescent="0.2">
      <c r="B1382" s="109"/>
      <c r="D1382" s="2061" t="str">
        <f>+D1365</f>
        <v>Cultivos de Verano para Reserva</v>
      </c>
      <c r="E1382" s="104"/>
      <c r="F1382" s="1924"/>
      <c r="G1382" s="958"/>
      <c r="H1382" s="958"/>
      <c r="I1382" s="958"/>
      <c r="J1382" s="959"/>
      <c r="K1382" s="1900" t="s">
        <v>959</v>
      </c>
      <c r="L1382" s="958"/>
      <c r="M1382" s="958"/>
      <c r="N1382" s="958"/>
      <c r="O1382" s="958"/>
      <c r="P1382" s="2036"/>
      <c r="Q1382" s="2041"/>
      <c r="S1382" s="113"/>
    </row>
    <row r="1383" spans="1:135" s="100" customFormat="1" x14ac:dyDescent="0.2">
      <c r="B1383" s="109"/>
      <c r="E1383" s="2062" t="str">
        <f t="shared" ref="E1383:E1388" si="1820">+E1366</f>
        <v>Maíz Silo</v>
      </c>
      <c r="F1383" s="1898">
        <f t="shared" ref="F1383:Q1383" si="1821">+IF(F$1345=$S$275,$T$275,0)</f>
        <v>0</v>
      </c>
      <c r="G1383" s="1898">
        <f t="shared" si="1821"/>
        <v>0</v>
      </c>
      <c r="H1383" s="1898">
        <f t="shared" si="1821"/>
        <v>0</v>
      </c>
      <c r="I1383" s="1898">
        <f t="shared" si="1821"/>
        <v>0</v>
      </c>
      <c r="J1383" s="1898">
        <f t="shared" si="1821"/>
        <v>0</v>
      </c>
      <c r="K1383" s="1898">
        <f t="shared" si="1821"/>
        <v>0</v>
      </c>
      <c r="L1383" s="1898">
        <f t="shared" si="1821"/>
        <v>0</v>
      </c>
      <c r="M1383" s="1898">
        <f t="shared" si="1821"/>
        <v>0</v>
      </c>
      <c r="N1383" s="1898">
        <f t="shared" si="1821"/>
        <v>0</v>
      </c>
      <c r="O1383" s="1898">
        <f t="shared" si="1821"/>
        <v>0</v>
      </c>
      <c r="P1383" s="1898">
        <f t="shared" si="1821"/>
        <v>0</v>
      </c>
      <c r="Q1383" s="2063">
        <f t="shared" si="1821"/>
        <v>0</v>
      </c>
      <c r="S1383" s="113"/>
    </row>
    <row r="1384" spans="1:135" s="100" customFormat="1" x14ac:dyDescent="0.2">
      <c r="B1384" s="109"/>
      <c r="E1384" s="2062" t="str">
        <f t="shared" si="1820"/>
        <v>Sorgo silo</v>
      </c>
      <c r="F1384" s="1898">
        <f t="shared" ref="F1384:Q1384" si="1822">+IF(F$1345=$S$276,$T$276,0)</f>
        <v>0</v>
      </c>
      <c r="G1384" s="1898">
        <f t="shared" si="1822"/>
        <v>0</v>
      </c>
      <c r="H1384" s="1898">
        <f t="shared" si="1822"/>
        <v>0</v>
      </c>
      <c r="I1384" s="1898">
        <f t="shared" si="1822"/>
        <v>0</v>
      </c>
      <c r="J1384" s="1898">
        <f t="shared" si="1822"/>
        <v>0</v>
      </c>
      <c r="K1384" s="1898">
        <f t="shared" si="1822"/>
        <v>0</v>
      </c>
      <c r="L1384" s="1898">
        <f t="shared" si="1822"/>
        <v>0</v>
      </c>
      <c r="M1384" s="1898">
        <f t="shared" si="1822"/>
        <v>0</v>
      </c>
      <c r="N1384" s="1898">
        <f t="shared" si="1822"/>
        <v>0</v>
      </c>
      <c r="O1384" s="1898">
        <f t="shared" si="1822"/>
        <v>0</v>
      </c>
      <c r="P1384" s="1898">
        <f t="shared" si="1822"/>
        <v>0</v>
      </c>
      <c r="Q1384" s="2063">
        <f t="shared" si="1822"/>
        <v>0</v>
      </c>
      <c r="S1384" s="113"/>
    </row>
    <row r="1385" spans="1:135" s="100" customFormat="1" x14ac:dyDescent="0.2">
      <c r="B1385" s="109"/>
      <c r="E1385" s="2062" t="str">
        <f t="shared" si="1820"/>
        <v>Moha</v>
      </c>
      <c r="F1385" s="1898">
        <f t="shared" ref="F1385:Q1385" si="1823">+IF(F$1345=$S$277,$T$277,0)</f>
        <v>0</v>
      </c>
      <c r="G1385" s="1898">
        <f t="shared" si="1823"/>
        <v>0</v>
      </c>
      <c r="H1385" s="1898">
        <f t="shared" si="1823"/>
        <v>0</v>
      </c>
      <c r="I1385" s="1898">
        <f t="shared" si="1823"/>
        <v>0</v>
      </c>
      <c r="J1385" s="1898">
        <f t="shared" si="1823"/>
        <v>0</v>
      </c>
      <c r="K1385" s="1898">
        <f t="shared" si="1823"/>
        <v>0</v>
      </c>
      <c r="L1385" s="1898">
        <f t="shared" si="1823"/>
        <v>0</v>
      </c>
      <c r="M1385" s="1898">
        <f t="shared" si="1823"/>
        <v>0</v>
      </c>
      <c r="N1385" s="1898">
        <f t="shared" si="1823"/>
        <v>0</v>
      </c>
      <c r="O1385" s="1898">
        <f t="shared" si="1823"/>
        <v>0</v>
      </c>
      <c r="P1385" s="1898">
        <f t="shared" si="1823"/>
        <v>0</v>
      </c>
      <c r="Q1385" s="2063">
        <f t="shared" si="1823"/>
        <v>0</v>
      </c>
      <c r="S1385" s="113"/>
    </row>
    <row r="1386" spans="1:135" s="100" customFormat="1" x14ac:dyDescent="0.2">
      <c r="B1386" s="109"/>
      <c r="E1386" s="2062" t="str">
        <f t="shared" si="1820"/>
        <v>Soja reserva</v>
      </c>
      <c r="F1386" s="1898">
        <f t="shared" ref="F1386:Q1386" si="1824">+IF(F$1345=$S$278,$T$278,0)</f>
        <v>0</v>
      </c>
      <c r="G1386" s="1898">
        <f t="shared" si="1824"/>
        <v>0</v>
      </c>
      <c r="H1386" s="1898">
        <f t="shared" si="1824"/>
        <v>0</v>
      </c>
      <c r="I1386" s="1898">
        <f t="shared" si="1824"/>
        <v>0</v>
      </c>
      <c r="J1386" s="1898">
        <f t="shared" si="1824"/>
        <v>0</v>
      </c>
      <c r="K1386" s="1898">
        <f t="shared" si="1824"/>
        <v>0</v>
      </c>
      <c r="L1386" s="1898">
        <f t="shared" si="1824"/>
        <v>0</v>
      </c>
      <c r="M1386" s="1898">
        <f t="shared" si="1824"/>
        <v>0</v>
      </c>
      <c r="N1386" s="1898">
        <f t="shared" si="1824"/>
        <v>0</v>
      </c>
      <c r="O1386" s="1898">
        <f t="shared" si="1824"/>
        <v>0</v>
      </c>
      <c r="P1386" s="1898">
        <f t="shared" si="1824"/>
        <v>0</v>
      </c>
      <c r="Q1386" s="2063">
        <f t="shared" si="1824"/>
        <v>0</v>
      </c>
      <c r="S1386" s="113"/>
    </row>
    <row r="1387" spans="1:135" s="100" customFormat="1" x14ac:dyDescent="0.2">
      <c r="B1387" s="109"/>
      <c r="E1387" s="2062">
        <f t="shared" si="1820"/>
        <v>0</v>
      </c>
      <c r="F1387" s="1898">
        <f t="shared" ref="F1387:Q1387" si="1825">+IF(F$1345=$S$279,$T$279,0)</f>
        <v>0</v>
      </c>
      <c r="G1387" s="1898">
        <f t="shared" si="1825"/>
        <v>0</v>
      </c>
      <c r="H1387" s="1898">
        <f t="shared" si="1825"/>
        <v>0</v>
      </c>
      <c r="I1387" s="1898">
        <f t="shared" si="1825"/>
        <v>0</v>
      </c>
      <c r="J1387" s="1898">
        <f t="shared" si="1825"/>
        <v>0</v>
      </c>
      <c r="K1387" s="1898">
        <f t="shared" si="1825"/>
        <v>0</v>
      </c>
      <c r="L1387" s="1898">
        <f t="shared" si="1825"/>
        <v>0</v>
      </c>
      <c r="M1387" s="1898">
        <f t="shared" si="1825"/>
        <v>0</v>
      </c>
      <c r="N1387" s="1898">
        <f t="shared" si="1825"/>
        <v>0</v>
      </c>
      <c r="O1387" s="1898">
        <f t="shared" si="1825"/>
        <v>0</v>
      </c>
      <c r="P1387" s="1898">
        <f t="shared" si="1825"/>
        <v>0</v>
      </c>
      <c r="Q1387" s="2063">
        <f t="shared" si="1825"/>
        <v>0</v>
      </c>
      <c r="S1387" s="113"/>
    </row>
    <row r="1388" spans="1:135" s="100" customFormat="1" x14ac:dyDescent="0.2">
      <c r="B1388" s="109"/>
      <c r="E1388" s="2064">
        <f t="shared" si="1820"/>
        <v>0</v>
      </c>
      <c r="F1388" s="2059">
        <f t="shared" ref="F1388:Q1388" si="1826">+IF(F$1345=$S$280,$T$280,0)</f>
        <v>0</v>
      </c>
      <c r="G1388" s="2059">
        <f t="shared" si="1826"/>
        <v>0</v>
      </c>
      <c r="H1388" s="2059">
        <f t="shared" si="1826"/>
        <v>0</v>
      </c>
      <c r="I1388" s="2059">
        <f t="shared" si="1826"/>
        <v>0</v>
      </c>
      <c r="J1388" s="2059">
        <f t="shared" si="1826"/>
        <v>0</v>
      </c>
      <c r="K1388" s="2059">
        <f t="shared" si="1826"/>
        <v>0</v>
      </c>
      <c r="L1388" s="2059">
        <f t="shared" si="1826"/>
        <v>0</v>
      </c>
      <c r="M1388" s="2059">
        <f t="shared" si="1826"/>
        <v>0</v>
      </c>
      <c r="N1388" s="2059">
        <f t="shared" si="1826"/>
        <v>0</v>
      </c>
      <c r="O1388" s="2059">
        <f t="shared" si="1826"/>
        <v>0</v>
      </c>
      <c r="P1388" s="2059">
        <f t="shared" si="1826"/>
        <v>0</v>
      </c>
      <c r="Q1388" s="2060">
        <f t="shared" si="1826"/>
        <v>0</v>
      </c>
      <c r="S1388" s="113"/>
    </row>
    <row r="1389" spans="1:135" s="100" customFormat="1" x14ac:dyDescent="0.2">
      <c r="B1389" s="109"/>
      <c r="D1389" s="2061" t="str">
        <f>+D1372</f>
        <v>Cultivos de Invierno para Reserva</v>
      </c>
      <c r="E1389" s="959"/>
      <c r="F1389" s="1924"/>
      <c r="G1389" s="958"/>
      <c r="H1389" s="958"/>
      <c r="I1389" s="958"/>
      <c r="J1389" s="959"/>
      <c r="K1389" s="1900" t="s">
        <v>959</v>
      </c>
      <c r="L1389" s="958"/>
      <c r="M1389" s="958"/>
      <c r="N1389" s="958"/>
      <c r="O1389" s="958"/>
      <c r="P1389" s="2036"/>
      <c r="Q1389" s="2041"/>
      <c r="S1389" s="113"/>
    </row>
    <row r="1390" spans="1:135" s="100" customFormat="1" x14ac:dyDescent="0.2">
      <c r="B1390" s="109"/>
      <c r="E1390" s="2000" t="str">
        <f>+E1373</f>
        <v>Avena silo</v>
      </c>
      <c r="F1390" s="2065">
        <f t="shared" ref="F1390:Q1390" si="1827">+IF(F$1345=$S$281,$T$281,0)</f>
        <v>0</v>
      </c>
      <c r="G1390" s="2065">
        <f t="shared" si="1827"/>
        <v>0</v>
      </c>
      <c r="H1390" s="2065">
        <f t="shared" si="1827"/>
        <v>0</v>
      </c>
      <c r="I1390" s="2065">
        <f t="shared" si="1827"/>
        <v>0</v>
      </c>
      <c r="J1390" s="2065">
        <f t="shared" si="1827"/>
        <v>0</v>
      </c>
      <c r="K1390" s="2065">
        <f t="shared" si="1827"/>
        <v>0</v>
      </c>
      <c r="L1390" s="2065">
        <f t="shared" si="1827"/>
        <v>0</v>
      </c>
      <c r="M1390" s="2065">
        <f t="shared" si="1827"/>
        <v>0</v>
      </c>
      <c r="N1390" s="2065">
        <f t="shared" si="1827"/>
        <v>0</v>
      </c>
      <c r="O1390" s="2065">
        <f t="shared" si="1827"/>
        <v>0</v>
      </c>
      <c r="P1390" s="2065">
        <f t="shared" si="1827"/>
        <v>0</v>
      </c>
      <c r="Q1390" s="2066">
        <f t="shared" si="1827"/>
        <v>0</v>
      </c>
      <c r="S1390" s="113"/>
    </row>
    <row r="1391" spans="1:135" s="100" customFormat="1" x14ac:dyDescent="0.2">
      <c r="B1391" s="109"/>
      <c r="E1391" s="2062" t="str">
        <f>+E1374</f>
        <v>Raigrás Silo</v>
      </c>
      <c r="F1391" s="1898">
        <f t="shared" ref="F1391:Q1391" si="1828">+IF(F$1345=$S$282,$T$282,0)</f>
        <v>0</v>
      </c>
      <c r="G1391" s="1898">
        <f t="shared" si="1828"/>
        <v>0</v>
      </c>
      <c r="H1391" s="1898">
        <f t="shared" si="1828"/>
        <v>0</v>
      </c>
      <c r="I1391" s="1898">
        <f t="shared" si="1828"/>
        <v>0</v>
      </c>
      <c r="J1391" s="1898">
        <f t="shared" si="1828"/>
        <v>0</v>
      </c>
      <c r="K1391" s="1898">
        <f t="shared" si="1828"/>
        <v>0</v>
      </c>
      <c r="L1391" s="1898">
        <f t="shared" si="1828"/>
        <v>0</v>
      </c>
      <c r="M1391" s="1898">
        <f t="shared" si="1828"/>
        <v>0</v>
      </c>
      <c r="N1391" s="1898">
        <f t="shared" si="1828"/>
        <v>0</v>
      </c>
      <c r="O1391" s="1898">
        <f t="shared" si="1828"/>
        <v>0</v>
      </c>
      <c r="P1391" s="1898">
        <f t="shared" si="1828"/>
        <v>0</v>
      </c>
      <c r="Q1391" s="2063">
        <f t="shared" si="1828"/>
        <v>0</v>
      </c>
      <c r="S1391" s="113"/>
    </row>
    <row r="1392" spans="1:135" s="100" customFormat="1" x14ac:dyDescent="0.2">
      <c r="B1392" s="109"/>
      <c r="E1392" s="2062" t="str">
        <f>+E1375</f>
        <v>Ra Silo Cierre Ago</v>
      </c>
      <c r="F1392" s="1898">
        <f t="shared" ref="F1392:Q1392" si="1829">+IF(F$1345=$S$283,$T$283,0)</f>
        <v>0</v>
      </c>
      <c r="G1392" s="1898">
        <f t="shared" si="1829"/>
        <v>0</v>
      </c>
      <c r="H1392" s="1898">
        <f t="shared" si="1829"/>
        <v>0</v>
      </c>
      <c r="I1392" s="1898">
        <f t="shared" si="1829"/>
        <v>0</v>
      </c>
      <c r="J1392" s="1898">
        <f t="shared" si="1829"/>
        <v>0</v>
      </c>
      <c r="K1392" s="1898">
        <f t="shared" si="1829"/>
        <v>0</v>
      </c>
      <c r="L1392" s="1898">
        <f t="shared" si="1829"/>
        <v>0</v>
      </c>
      <c r="M1392" s="1898">
        <f t="shared" si="1829"/>
        <v>0</v>
      </c>
      <c r="N1392" s="1898">
        <f t="shared" si="1829"/>
        <v>0</v>
      </c>
      <c r="O1392" s="1898">
        <f t="shared" si="1829"/>
        <v>0</v>
      </c>
      <c r="P1392" s="1898">
        <f t="shared" si="1829"/>
        <v>0</v>
      </c>
      <c r="Q1392" s="2063">
        <f t="shared" si="1829"/>
        <v>0</v>
      </c>
      <c r="S1392" s="113"/>
    </row>
    <row r="1393" spans="1:19" s="100" customFormat="1" x14ac:dyDescent="0.2">
      <c r="B1393" s="109"/>
      <c r="E1393" s="2062">
        <f>+E1376</f>
        <v>0</v>
      </c>
      <c r="F1393" s="1898">
        <f t="shared" ref="F1393:Q1393" si="1830">+IF(F$1345=$S$284,$T$284,0)</f>
        <v>0</v>
      </c>
      <c r="G1393" s="1898">
        <f t="shared" si="1830"/>
        <v>0</v>
      </c>
      <c r="H1393" s="1898">
        <f t="shared" si="1830"/>
        <v>0</v>
      </c>
      <c r="I1393" s="1898">
        <f t="shared" si="1830"/>
        <v>0</v>
      </c>
      <c r="J1393" s="1898">
        <f t="shared" si="1830"/>
        <v>0</v>
      </c>
      <c r="K1393" s="1898">
        <f t="shared" si="1830"/>
        <v>0</v>
      </c>
      <c r="L1393" s="1898">
        <f t="shared" si="1830"/>
        <v>0</v>
      </c>
      <c r="M1393" s="1898">
        <f t="shared" si="1830"/>
        <v>0</v>
      </c>
      <c r="N1393" s="1898">
        <f t="shared" si="1830"/>
        <v>0</v>
      </c>
      <c r="O1393" s="1898">
        <f t="shared" si="1830"/>
        <v>0</v>
      </c>
      <c r="P1393" s="1898">
        <f t="shared" si="1830"/>
        <v>0</v>
      </c>
      <c r="Q1393" s="2063">
        <f t="shared" si="1830"/>
        <v>0</v>
      </c>
      <c r="S1393" s="113"/>
    </row>
    <row r="1394" spans="1:19" s="100" customFormat="1" ht="15.05" thickBot="1" x14ac:dyDescent="0.25">
      <c r="B1394" s="2045"/>
      <c r="C1394" s="2006"/>
      <c r="D1394" s="2006"/>
      <c r="E1394" s="2067">
        <f>+E1377</f>
        <v>0</v>
      </c>
      <c r="F1394" s="2048">
        <f t="shared" ref="F1394:Q1394" si="1831">+IF(F$1345=$S$293,$T$283,0)</f>
        <v>0</v>
      </c>
      <c r="G1394" s="2048">
        <f t="shared" si="1831"/>
        <v>0</v>
      </c>
      <c r="H1394" s="2048">
        <f t="shared" si="1831"/>
        <v>0</v>
      </c>
      <c r="I1394" s="2048">
        <f t="shared" si="1831"/>
        <v>0</v>
      </c>
      <c r="J1394" s="2048">
        <f t="shared" si="1831"/>
        <v>0</v>
      </c>
      <c r="K1394" s="2048">
        <f t="shared" si="1831"/>
        <v>0</v>
      </c>
      <c r="L1394" s="2048">
        <f t="shared" si="1831"/>
        <v>0</v>
      </c>
      <c r="M1394" s="2048">
        <f t="shared" si="1831"/>
        <v>0</v>
      </c>
      <c r="N1394" s="2048">
        <f t="shared" si="1831"/>
        <v>0</v>
      </c>
      <c r="O1394" s="2048">
        <f t="shared" si="1831"/>
        <v>0</v>
      </c>
      <c r="P1394" s="2048">
        <f t="shared" si="1831"/>
        <v>0</v>
      </c>
      <c r="Q1394" s="2049">
        <f t="shared" si="1831"/>
        <v>0</v>
      </c>
      <c r="S1394" s="113"/>
    </row>
    <row r="1395" spans="1:19" s="100" customFormat="1" x14ac:dyDescent="0.2">
      <c r="D1395" s="6"/>
      <c r="S1395" s="113"/>
    </row>
    <row r="1396" spans="1:19" s="100" customFormat="1" ht="15.05" thickBot="1" x14ac:dyDescent="0.25">
      <c r="E1396" s="2024"/>
      <c r="S1396" s="113"/>
    </row>
    <row r="1397" spans="1:19" s="100" customFormat="1" ht="15.05" thickBot="1" x14ac:dyDescent="0.25">
      <c r="A1397" s="2188">
        <v>1075</v>
      </c>
      <c r="B1397" s="102" t="s">
        <v>958</v>
      </c>
      <c r="C1397" s="103"/>
      <c r="D1397" s="103"/>
      <c r="E1397" s="1901"/>
      <c r="F1397" s="1902"/>
      <c r="G1397" s="1902"/>
      <c r="H1397" s="1902"/>
      <c r="I1397" s="1902"/>
      <c r="J1397" s="1902"/>
      <c r="K1397" s="1902"/>
      <c r="L1397" s="1902"/>
      <c r="M1397" s="1902"/>
      <c r="N1397" s="1902"/>
      <c r="O1397" s="1902"/>
      <c r="P1397" s="1902"/>
      <c r="Q1397" s="1903"/>
      <c r="S1397" s="113"/>
    </row>
    <row r="1398" spans="1:19" s="100" customFormat="1" x14ac:dyDescent="0.2">
      <c r="A1398" s="767"/>
      <c r="B1398" s="1999"/>
      <c r="C1398" s="2026"/>
      <c r="D1398" s="2026"/>
      <c r="F1398" s="2039" t="str">
        <f t="shared" ref="F1398:Q1398" si="1832">+G8</f>
        <v>Ene</v>
      </c>
      <c r="G1398" s="2039" t="str">
        <f t="shared" si="1832"/>
        <v>Feb</v>
      </c>
      <c r="H1398" s="2039" t="str">
        <f t="shared" si="1832"/>
        <v>Mar</v>
      </c>
      <c r="I1398" s="2039" t="str">
        <f>+J8</f>
        <v>Abr</v>
      </c>
      <c r="J1398" s="2039" t="str">
        <f t="shared" si="1832"/>
        <v>May</v>
      </c>
      <c r="K1398" s="2039" t="str">
        <f t="shared" si="1832"/>
        <v>Jun</v>
      </c>
      <c r="L1398" s="2039" t="str">
        <f t="shared" si="1832"/>
        <v>Jul</v>
      </c>
      <c r="M1398" s="2039" t="str">
        <f t="shared" si="1832"/>
        <v>Ago</v>
      </c>
      <c r="N1398" s="2039" t="str">
        <f t="shared" si="1832"/>
        <v>Set</v>
      </c>
      <c r="O1398" s="2039" t="str">
        <f t="shared" si="1832"/>
        <v>Oct</v>
      </c>
      <c r="P1398" s="2039" t="str">
        <f t="shared" si="1832"/>
        <v>Nov</v>
      </c>
      <c r="Q1398" s="2040" t="str">
        <f t="shared" si="1832"/>
        <v>Dic</v>
      </c>
      <c r="S1398" s="113"/>
    </row>
    <row r="1399" spans="1:19" s="100" customFormat="1" x14ac:dyDescent="0.2">
      <c r="B1399" s="109"/>
      <c r="D1399" s="2061" t="str">
        <f>+D1382</f>
        <v>Cultivos de Verano para Reserva</v>
      </c>
      <c r="E1399" s="104"/>
      <c r="F1399" s="1924"/>
      <c r="G1399" s="958"/>
      <c r="H1399" s="958"/>
      <c r="I1399" s="958"/>
      <c r="J1399" s="959"/>
      <c r="K1399" s="1900" t="s">
        <v>959</v>
      </c>
      <c r="L1399" s="958"/>
      <c r="M1399" s="958"/>
      <c r="N1399" s="958"/>
      <c r="O1399" s="958"/>
      <c r="P1399" s="2036"/>
      <c r="Q1399" s="2041"/>
      <c r="S1399" s="113"/>
    </row>
    <row r="1400" spans="1:19" s="100" customFormat="1" x14ac:dyDescent="0.2">
      <c r="B1400" s="109"/>
      <c r="E1400" s="2062" t="str">
        <f>+E1383</f>
        <v>Maíz Silo</v>
      </c>
      <c r="F1400" s="1898">
        <f t="shared" ref="F1400:Q1400" si="1833">+F1366+F1383</f>
        <v>0</v>
      </c>
      <c r="G1400" s="1898">
        <f t="shared" si="1833"/>
        <v>0</v>
      </c>
      <c r="H1400" s="1898">
        <f t="shared" si="1833"/>
        <v>0</v>
      </c>
      <c r="I1400" s="1898">
        <f t="shared" si="1833"/>
        <v>0</v>
      </c>
      <c r="J1400" s="1898">
        <f t="shared" si="1833"/>
        <v>0</v>
      </c>
      <c r="K1400" s="1898">
        <f t="shared" si="1833"/>
        <v>0</v>
      </c>
      <c r="L1400" s="1898">
        <f t="shared" si="1833"/>
        <v>0</v>
      </c>
      <c r="M1400" s="1898">
        <f t="shared" si="1833"/>
        <v>0</v>
      </c>
      <c r="N1400" s="1898">
        <f t="shared" si="1833"/>
        <v>0</v>
      </c>
      <c r="O1400" s="1898">
        <f t="shared" si="1833"/>
        <v>0</v>
      </c>
      <c r="P1400" s="1898">
        <f t="shared" si="1833"/>
        <v>0</v>
      </c>
      <c r="Q1400" s="2063">
        <f t="shared" si="1833"/>
        <v>0</v>
      </c>
      <c r="S1400" s="113"/>
    </row>
    <row r="1401" spans="1:19" s="100" customFormat="1" x14ac:dyDescent="0.2">
      <c r="B1401" s="109"/>
      <c r="E1401" s="2062" t="str">
        <f t="shared" ref="E1401:E1411" si="1834">+E1384</f>
        <v>Sorgo silo</v>
      </c>
      <c r="F1401" s="1898">
        <f t="shared" ref="F1401:Q1401" si="1835">+F1367+F1384</f>
        <v>0</v>
      </c>
      <c r="G1401" s="1898">
        <f t="shared" si="1835"/>
        <v>0</v>
      </c>
      <c r="H1401" s="1898">
        <f t="shared" si="1835"/>
        <v>0</v>
      </c>
      <c r="I1401" s="1898">
        <f t="shared" si="1835"/>
        <v>0</v>
      </c>
      <c r="J1401" s="1898">
        <f t="shared" si="1835"/>
        <v>0</v>
      </c>
      <c r="K1401" s="1898">
        <f t="shared" si="1835"/>
        <v>0</v>
      </c>
      <c r="L1401" s="1898">
        <f t="shared" si="1835"/>
        <v>0</v>
      </c>
      <c r="M1401" s="1898">
        <f t="shared" si="1835"/>
        <v>0</v>
      </c>
      <c r="N1401" s="1898">
        <f t="shared" si="1835"/>
        <v>0</v>
      </c>
      <c r="O1401" s="1898">
        <f t="shared" si="1835"/>
        <v>0</v>
      </c>
      <c r="P1401" s="1898">
        <f t="shared" si="1835"/>
        <v>0</v>
      </c>
      <c r="Q1401" s="2063">
        <f t="shared" si="1835"/>
        <v>0</v>
      </c>
      <c r="S1401" s="113"/>
    </row>
    <row r="1402" spans="1:19" s="100" customFormat="1" x14ac:dyDescent="0.2">
      <c r="B1402" s="109"/>
      <c r="E1402" s="2062" t="str">
        <f t="shared" si="1834"/>
        <v>Moha</v>
      </c>
      <c r="F1402" s="1898">
        <f t="shared" ref="F1402:Q1402" si="1836">+F1368+F1385</f>
        <v>0</v>
      </c>
      <c r="G1402" s="1898">
        <f t="shared" si="1836"/>
        <v>0</v>
      </c>
      <c r="H1402" s="1898">
        <f t="shared" si="1836"/>
        <v>0</v>
      </c>
      <c r="I1402" s="1898">
        <f t="shared" si="1836"/>
        <v>0</v>
      </c>
      <c r="J1402" s="1898">
        <f t="shared" si="1836"/>
        <v>0</v>
      </c>
      <c r="K1402" s="1898">
        <f t="shared" si="1836"/>
        <v>0</v>
      </c>
      <c r="L1402" s="1898">
        <f t="shared" si="1836"/>
        <v>0</v>
      </c>
      <c r="M1402" s="1898">
        <f t="shared" si="1836"/>
        <v>0</v>
      </c>
      <c r="N1402" s="1898">
        <f t="shared" si="1836"/>
        <v>0</v>
      </c>
      <c r="O1402" s="1898">
        <f t="shared" si="1836"/>
        <v>0</v>
      </c>
      <c r="P1402" s="1898">
        <f t="shared" si="1836"/>
        <v>0</v>
      </c>
      <c r="Q1402" s="2063">
        <f t="shared" si="1836"/>
        <v>0</v>
      </c>
      <c r="S1402" s="113"/>
    </row>
    <row r="1403" spans="1:19" s="100" customFormat="1" x14ac:dyDescent="0.2">
      <c r="B1403" s="109"/>
      <c r="E1403" s="2062" t="str">
        <f t="shared" si="1834"/>
        <v>Soja reserva</v>
      </c>
      <c r="F1403" s="1898">
        <f t="shared" ref="F1403:Q1403" si="1837">+F1369+F1386</f>
        <v>0</v>
      </c>
      <c r="G1403" s="1898">
        <f t="shared" si="1837"/>
        <v>0</v>
      </c>
      <c r="H1403" s="1898">
        <f t="shared" si="1837"/>
        <v>0</v>
      </c>
      <c r="I1403" s="1898">
        <f t="shared" si="1837"/>
        <v>0</v>
      </c>
      <c r="J1403" s="1898">
        <f t="shared" si="1837"/>
        <v>0</v>
      </c>
      <c r="K1403" s="1898">
        <f t="shared" si="1837"/>
        <v>0</v>
      </c>
      <c r="L1403" s="1898">
        <f t="shared" si="1837"/>
        <v>0</v>
      </c>
      <c r="M1403" s="1898">
        <f t="shared" si="1837"/>
        <v>0</v>
      </c>
      <c r="N1403" s="1898">
        <f t="shared" si="1837"/>
        <v>0</v>
      </c>
      <c r="O1403" s="1898">
        <f t="shared" si="1837"/>
        <v>0</v>
      </c>
      <c r="P1403" s="1898">
        <f t="shared" si="1837"/>
        <v>0</v>
      </c>
      <c r="Q1403" s="2063">
        <f t="shared" si="1837"/>
        <v>0</v>
      </c>
      <c r="S1403" s="113"/>
    </row>
    <row r="1404" spans="1:19" s="100" customFormat="1" x14ac:dyDescent="0.2">
      <c r="B1404" s="109"/>
      <c r="E1404" s="2062">
        <f t="shared" si="1834"/>
        <v>0</v>
      </c>
      <c r="F1404" s="1898">
        <f t="shared" ref="F1404:Q1404" si="1838">+F1370+F1387</f>
        <v>0</v>
      </c>
      <c r="G1404" s="1898">
        <f t="shared" si="1838"/>
        <v>0</v>
      </c>
      <c r="H1404" s="1898">
        <f t="shared" si="1838"/>
        <v>0</v>
      </c>
      <c r="I1404" s="1898">
        <f t="shared" si="1838"/>
        <v>0</v>
      </c>
      <c r="J1404" s="1898">
        <f t="shared" si="1838"/>
        <v>0</v>
      </c>
      <c r="K1404" s="1898">
        <f t="shared" si="1838"/>
        <v>0</v>
      </c>
      <c r="L1404" s="1898">
        <f t="shared" si="1838"/>
        <v>0</v>
      </c>
      <c r="M1404" s="1898">
        <f t="shared" si="1838"/>
        <v>0</v>
      </c>
      <c r="N1404" s="1898">
        <f t="shared" si="1838"/>
        <v>0</v>
      </c>
      <c r="O1404" s="1898">
        <f t="shared" si="1838"/>
        <v>0</v>
      </c>
      <c r="P1404" s="1898">
        <f t="shared" si="1838"/>
        <v>0</v>
      </c>
      <c r="Q1404" s="2063">
        <f t="shared" si="1838"/>
        <v>0</v>
      </c>
      <c r="S1404" s="113"/>
    </row>
    <row r="1405" spans="1:19" s="100" customFormat="1" x14ac:dyDescent="0.2">
      <c r="B1405" s="109"/>
      <c r="E1405" s="2064">
        <f t="shared" si="1834"/>
        <v>0</v>
      </c>
      <c r="F1405" s="2059">
        <f t="shared" ref="F1405:Q1405" si="1839">+F1371+F1388</f>
        <v>0</v>
      </c>
      <c r="G1405" s="2059">
        <f t="shared" si="1839"/>
        <v>0</v>
      </c>
      <c r="H1405" s="2059">
        <f t="shared" si="1839"/>
        <v>0</v>
      </c>
      <c r="I1405" s="2059">
        <f t="shared" si="1839"/>
        <v>0</v>
      </c>
      <c r="J1405" s="2059">
        <f t="shared" si="1839"/>
        <v>0</v>
      </c>
      <c r="K1405" s="2059">
        <f t="shared" si="1839"/>
        <v>0</v>
      </c>
      <c r="L1405" s="2059">
        <f t="shared" si="1839"/>
        <v>0</v>
      </c>
      <c r="M1405" s="2059">
        <f t="shared" si="1839"/>
        <v>0</v>
      </c>
      <c r="N1405" s="2059">
        <f t="shared" si="1839"/>
        <v>0</v>
      </c>
      <c r="O1405" s="2059">
        <f t="shared" si="1839"/>
        <v>0</v>
      </c>
      <c r="P1405" s="2059">
        <f t="shared" si="1839"/>
        <v>0</v>
      </c>
      <c r="Q1405" s="2060">
        <f t="shared" si="1839"/>
        <v>0</v>
      </c>
      <c r="S1405" s="113"/>
    </row>
    <row r="1406" spans="1:19" s="100" customFormat="1" x14ac:dyDescent="0.2">
      <c r="B1406" s="109"/>
      <c r="D1406" s="2061" t="str">
        <f>+D1389</f>
        <v>Cultivos de Invierno para Reserva</v>
      </c>
      <c r="E1406" s="959"/>
      <c r="F1406" s="1924"/>
      <c r="G1406" s="958"/>
      <c r="H1406" s="958"/>
      <c r="I1406" s="958"/>
      <c r="J1406" s="959"/>
      <c r="K1406" s="1900" t="s">
        <v>959</v>
      </c>
      <c r="L1406" s="958"/>
      <c r="M1406" s="958"/>
      <c r="N1406" s="958"/>
      <c r="O1406" s="958"/>
      <c r="P1406" s="2036"/>
      <c r="Q1406" s="2041"/>
      <c r="S1406" s="113"/>
    </row>
    <row r="1407" spans="1:19" s="100" customFormat="1" x14ac:dyDescent="0.2">
      <c r="B1407" s="109"/>
      <c r="E1407" s="2000" t="str">
        <f t="shared" si="1834"/>
        <v>Avena silo</v>
      </c>
      <c r="F1407" s="2065">
        <f t="shared" ref="F1407:Q1407" si="1840">+F1373+F1390</f>
        <v>0</v>
      </c>
      <c r="G1407" s="2065">
        <f t="shared" si="1840"/>
        <v>0</v>
      </c>
      <c r="H1407" s="2065">
        <f t="shared" si="1840"/>
        <v>0</v>
      </c>
      <c r="I1407" s="2065">
        <f t="shared" si="1840"/>
        <v>0</v>
      </c>
      <c r="J1407" s="2065">
        <f t="shared" si="1840"/>
        <v>0</v>
      </c>
      <c r="K1407" s="2065">
        <f t="shared" si="1840"/>
        <v>0</v>
      </c>
      <c r="L1407" s="2065">
        <f t="shared" si="1840"/>
        <v>0</v>
      </c>
      <c r="M1407" s="2065">
        <f t="shared" si="1840"/>
        <v>0</v>
      </c>
      <c r="N1407" s="2065">
        <f t="shared" si="1840"/>
        <v>0</v>
      </c>
      <c r="O1407" s="2065">
        <f t="shared" si="1840"/>
        <v>0</v>
      </c>
      <c r="P1407" s="2065">
        <f t="shared" si="1840"/>
        <v>0</v>
      </c>
      <c r="Q1407" s="2066">
        <f t="shared" si="1840"/>
        <v>0</v>
      </c>
      <c r="S1407" s="113"/>
    </row>
    <row r="1408" spans="1:19" s="100" customFormat="1" x14ac:dyDescent="0.2">
      <c r="B1408" s="109"/>
      <c r="E1408" s="2062" t="str">
        <f t="shared" si="1834"/>
        <v>Raigrás Silo</v>
      </c>
      <c r="F1408" s="1898">
        <f>+F1374+F1391</f>
        <v>0</v>
      </c>
      <c r="G1408" s="1898">
        <f t="shared" ref="G1408:Q1408" si="1841">+G1374+G1391</f>
        <v>0</v>
      </c>
      <c r="H1408" s="1898">
        <f t="shared" si="1841"/>
        <v>0</v>
      </c>
      <c r="I1408" s="1898">
        <f t="shared" si="1841"/>
        <v>0</v>
      </c>
      <c r="J1408" s="1898">
        <f t="shared" si="1841"/>
        <v>0</v>
      </c>
      <c r="K1408" s="1898">
        <f t="shared" si="1841"/>
        <v>0</v>
      </c>
      <c r="L1408" s="1898">
        <f t="shared" si="1841"/>
        <v>0</v>
      </c>
      <c r="M1408" s="1898">
        <f t="shared" si="1841"/>
        <v>0</v>
      </c>
      <c r="N1408" s="1898">
        <f t="shared" si="1841"/>
        <v>0</v>
      </c>
      <c r="O1408" s="1898">
        <f t="shared" si="1841"/>
        <v>0</v>
      </c>
      <c r="P1408" s="1898">
        <f t="shared" si="1841"/>
        <v>0</v>
      </c>
      <c r="Q1408" s="2063">
        <f t="shared" si="1841"/>
        <v>0</v>
      </c>
      <c r="S1408" s="113"/>
    </row>
    <row r="1409" spans="1:136" s="100" customFormat="1" x14ac:dyDescent="0.2">
      <c r="B1409" s="109"/>
      <c r="E1409" s="2062" t="str">
        <f t="shared" si="1834"/>
        <v>Ra Silo Cierre Ago</v>
      </c>
      <c r="F1409" s="1898">
        <f t="shared" ref="F1409:Q1409" si="1842">+F1375+F1392</f>
        <v>0</v>
      </c>
      <c r="G1409" s="1898">
        <f t="shared" si="1842"/>
        <v>0</v>
      </c>
      <c r="H1409" s="1898">
        <f t="shared" si="1842"/>
        <v>0</v>
      </c>
      <c r="I1409" s="1898">
        <f t="shared" si="1842"/>
        <v>0</v>
      </c>
      <c r="J1409" s="1898">
        <f t="shared" si="1842"/>
        <v>0</v>
      </c>
      <c r="K1409" s="1898">
        <f t="shared" si="1842"/>
        <v>0</v>
      </c>
      <c r="L1409" s="1898">
        <f t="shared" si="1842"/>
        <v>0</v>
      </c>
      <c r="M1409" s="1898">
        <f t="shared" si="1842"/>
        <v>0</v>
      </c>
      <c r="N1409" s="1898">
        <f t="shared" si="1842"/>
        <v>0</v>
      </c>
      <c r="O1409" s="1898">
        <f t="shared" si="1842"/>
        <v>0</v>
      </c>
      <c r="P1409" s="1898">
        <f t="shared" si="1842"/>
        <v>0</v>
      </c>
      <c r="Q1409" s="2063">
        <f t="shared" si="1842"/>
        <v>0</v>
      </c>
      <c r="S1409" s="113"/>
    </row>
    <row r="1410" spans="1:136" s="100" customFormat="1" x14ac:dyDescent="0.2">
      <c r="B1410" s="109"/>
      <c r="E1410" s="2062">
        <f t="shared" si="1834"/>
        <v>0</v>
      </c>
      <c r="F1410" s="1898">
        <f t="shared" ref="F1410:Q1410" si="1843">+F1376+F1393</f>
        <v>0</v>
      </c>
      <c r="G1410" s="1898">
        <f t="shared" si="1843"/>
        <v>0</v>
      </c>
      <c r="H1410" s="1898">
        <f t="shared" si="1843"/>
        <v>0</v>
      </c>
      <c r="I1410" s="1898">
        <f t="shared" si="1843"/>
        <v>0</v>
      </c>
      <c r="J1410" s="1898">
        <f t="shared" si="1843"/>
        <v>0</v>
      </c>
      <c r="K1410" s="1898">
        <f t="shared" si="1843"/>
        <v>0</v>
      </c>
      <c r="L1410" s="1898">
        <f t="shared" si="1843"/>
        <v>0</v>
      </c>
      <c r="M1410" s="1898">
        <f t="shared" si="1843"/>
        <v>0</v>
      </c>
      <c r="N1410" s="1898">
        <f t="shared" si="1843"/>
        <v>0</v>
      </c>
      <c r="O1410" s="1898">
        <f t="shared" si="1843"/>
        <v>0</v>
      </c>
      <c r="P1410" s="1898">
        <f t="shared" si="1843"/>
        <v>0</v>
      </c>
      <c r="Q1410" s="2063">
        <f t="shared" si="1843"/>
        <v>0</v>
      </c>
      <c r="S1410" s="113"/>
    </row>
    <row r="1411" spans="1:136" s="100" customFormat="1" ht="15.05" thickBot="1" x14ac:dyDescent="0.25">
      <c r="B1411" s="2045"/>
      <c r="C1411" s="2006"/>
      <c r="D1411" s="2006"/>
      <c r="E1411" s="2067">
        <f t="shared" si="1834"/>
        <v>0</v>
      </c>
      <c r="F1411" s="2048">
        <f t="shared" ref="F1411:Q1411" si="1844">+F1377+F1394</f>
        <v>0</v>
      </c>
      <c r="G1411" s="2048">
        <f t="shared" si="1844"/>
        <v>0</v>
      </c>
      <c r="H1411" s="2048">
        <f t="shared" si="1844"/>
        <v>0</v>
      </c>
      <c r="I1411" s="2048">
        <f t="shared" si="1844"/>
        <v>0</v>
      </c>
      <c r="J1411" s="2048">
        <f t="shared" si="1844"/>
        <v>0</v>
      </c>
      <c r="K1411" s="2048">
        <f t="shared" si="1844"/>
        <v>0</v>
      </c>
      <c r="L1411" s="2048">
        <f t="shared" si="1844"/>
        <v>0</v>
      </c>
      <c r="M1411" s="2048">
        <f t="shared" si="1844"/>
        <v>0</v>
      </c>
      <c r="N1411" s="2048">
        <f t="shared" si="1844"/>
        <v>0</v>
      </c>
      <c r="O1411" s="2048">
        <f t="shared" si="1844"/>
        <v>0</v>
      </c>
      <c r="P1411" s="2048">
        <f t="shared" si="1844"/>
        <v>0</v>
      </c>
      <c r="Q1411" s="2049">
        <f t="shared" si="1844"/>
        <v>0</v>
      </c>
      <c r="S1411" s="113"/>
    </row>
    <row r="1412" spans="1:136" s="2385" customFormat="1" x14ac:dyDescent="0.3">
      <c r="A1412" s="100"/>
      <c r="B1412" s="100"/>
      <c r="C1412" s="100"/>
      <c r="D1412" s="6"/>
      <c r="E1412" s="100"/>
      <c r="F1412" s="100"/>
      <c r="G1412" s="100"/>
      <c r="H1412" s="100"/>
      <c r="I1412" s="100"/>
      <c r="J1412" s="100"/>
      <c r="K1412" s="100"/>
      <c r="L1412" s="100"/>
      <c r="M1412" s="100"/>
      <c r="N1412" s="100"/>
      <c r="O1412" s="100"/>
      <c r="P1412" s="100"/>
      <c r="Q1412" s="100"/>
      <c r="R1412" s="100"/>
      <c r="S1412" s="113"/>
      <c r="T1412" s="100"/>
      <c r="U1412" s="100"/>
      <c r="V1412" s="100"/>
      <c r="W1412" s="100"/>
      <c r="X1412" s="100"/>
      <c r="Y1412" s="100"/>
      <c r="Z1412" s="100"/>
      <c r="AA1412" s="100"/>
      <c r="AB1412" s="100"/>
      <c r="AC1412" s="100"/>
      <c r="AD1412" s="100"/>
      <c r="AE1412" s="100"/>
      <c r="AF1412" s="100"/>
      <c r="AG1412" s="100"/>
      <c r="AH1412" s="100"/>
      <c r="AI1412" s="100"/>
      <c r="AJ1412" s="100"/>
      <c r="AK1412" s="100"/>
      <c r="AL1412" s="100"/>
      <c r="AM1412" s="100"/>
      <c r="AN1412" s="100"/>
      <c r="AO1412" s="100"/>
      <c r="AP1412" s="100"/>
      <c r="AQ1412" s="100"/>
      <c r="AR1412" s="100"/>
      <c r="AS1412" s="100"/>
      <c r="AT1412" s="100"/>
      <c r="AU1412" s="100"/>
      <c r="AV1412" s="100"/>
      <c r="AW1412" s="100"/>
      <c r="AX1412" s="100"/>
      <c r="AY1412" s="100"/>
      <c r="AZ1412" s="100"/>
      <c r="BA1412" s="100"/>
      <c r="BB1412" s="100"/>
      <c r="BC1412" s="100"/>
      <c r="BD1412" s="100"/>
      <c r="BE1412" s="100"/>
      <c r="BF1412" s="100"/>
      <c r="BG1412" s="100"/>
      <c r="BH1412" s="100"/>
      <c r="BI1412" s="100"/>
      <c r="BJ1412" s="100"/>
      <c r="BK1412" s="100"/>
      <c r="BL1412" s="100"/>
      <c r="BM1412" s="100"/>
      <c r="BN1412" s="100"/>
      <c r="BO1412" s="100"/>
      <c r="BP1412" s="100"/>
      <c r="BQ1412" s="100"/>
      <c r="BR1412" s="100"/>
      <c r="BS1412" s="100"/>
      <c r="BT1412" s="100"/>
      <c r="BU1412" s="100"/>
      <c r="BV1412" s="100"/>
      <c r="BW1412" s="100"/>
      <c r="BX1412" s="100"/>
      <c r="BY1412" s="100"/>
      <c r="BZ1412" s="100"/>
      <c r="CA1412" s="100"/>
      <c r="CB1412" s="100"/>
      <c r="CC1412" s="100"/>
      <c r="CD1412" s="100"/>
      <c r="CE1412" s="100"/>
      <c r="CF1412" s="100"/>
      <c r="CG1412" s="100"/>
      <c r="CH1412" s="100"/>
      <c r="CI1412" s="100"/>
      <c r="CJ1412" s="100"/>
      <c r="CK1412" s="100"/>
      <c r="CL1412" s="100"/>
      <c r="CM1412" s="100"/>
      <c r="CN1412" s="100"/>
      <c r="CO1412" s="100"/>
      <c r="CP1412" s="100"/>
      <c r="CQ1412" s="100"/>
      <c r="CR1412" s="100"/>
      <c r="CS1412" s="100"/>
      <c r="CT1412" s="100"/>
      <c r="CU1412" s="100"/>
      <c r="CV1412" s="100"/>
      <c r="CW1412" s="100"/>
      <c r="CX1412" s="100"/>
      <c r="CY1412" s="100"/>
      <c r="CZ1412" s="100"/>
      <c r="DA1412" s="100"/>
      <c r="DB1412" s="100"/>
      <c r="DC1412" s="100"/>
      <c r="DD1412" s="100"/>
      <c r="DE1412" s="100"/>
      <c r="DF1412" s="100"/>
      <c r="DG1412" s="100"/>
      <c r="DH1412" s="100"/>
      <c r="DI1412" s="100"/>
      <c r="DJ1412" s="100"/>
      <c r="DK1412" s="100"/>
      <c r="DL1412" s="100"/>
      <c r="DM1412" s="100"/>
      <c r="DN1412" s="100"/>
      <c r="DO1412" s="100"/>
      <c r="DP1412" s="100"/>
      <c r="DQ1412" s="100"/>
      <c r="DR1412" s="100"/>
      <c r="DS1412" s="100"/>
      <c r="DT1412" s="100"/>
      <c r="DU1412" s="100"/>
      <c r="DV1412" s="100"/>
      <c r="DW1412" s="100"/>
      <c r="DX1412" s="100"/>
      <c r="DY1412" s="100"/>
      <c r="DZ1412" s="100"/>
      <c r="EA1412" s="100"/>
      <c r="EB1412" s="100"/>
      <c r="EC1412" s="100"/>
      <c r="ED1412" s="100"/>
      <c r="EE1412" s="100"/>
      <c r="EF1412" s="1270"/>
    </row>
    <row r="1413" spans="1:136" s="100" customFormat="1" x14ac:dyDescent="0.3">
      <c r="A1413" s="2385"/>
      <c r="B1413" s="2385"/>
      <c r="C1413" s="2385"/>
      <c r="D1413" s="2385"/>
      <c r="E1413" s="2385"/>
      <c r="F1413" s="2385"/>
      <c r="G1413" s="2385"/>
      <c r="H1413" s="2385"/>
      <c r="I1413" s="2385"/>
      <c r="J1413" s="2385"/>
      <c r="K1413" s="2385"/>
      <c r="L1413" s="2385"/>
      <c r="M1413" s="2385"/>
      <c r="N1413" s="2385"/>
      <c r="O1413" s="2385"/>
      <c r="P1413" s="2385"/>
      <c r="Q1413" s="2385"/>
      <c r="R1413" s="2385"/>
      <c r="S1413" s="2385"/>
      <c r="T1413" s="2385"/>
      <c r="U1413" s="2385"/>
      <c r="V1413" s="2385"/>
      <c r="W1413" s="2385"/>
      <c r="X1413" s="2385"/>
      <c r="Y1413" s="2385"/>
      <c r="Z1413" s="2385"/>
      <c r="AA1413" s="2385"/>
      <c r="AB1413" s="2385"/>
      <c r="AC1413" s="2385"/>
      <c r="AD1413" s="2385"/>
      <c r="AE1413" s="2385"/>
      <c r="AF1413" s="2385"/>
      <c r="AG1413" s="2385"/>
      <c r="AH1413" s="2385"/>
      <c r="AI1413" s="2385"/>
      <c r="AJ1413" s="2385"/>
      <c r="AK1413" s="2385"/>
      <c r="AL1413" s="2385"/>
      <c r="AM1413" s="2385"/>
      <c r="AN1413" s="2385"/>
      <c r="AO1413" s="2385"/>
      <c r="AP1413" s="2385"/>
      <c r="AQ1413" s="2385"/>
      <c r="AR1413" s="2385"/>
      <c r="AS1413" s="2385"/>
      <c r="AT1413" s="2385"/>
      <c r="AU1413" s="2385"/>
      <c r="AV1413" s="2385"/>
      <c r="AW1413" s="2385"/>
      <c r="AX1413" s="2385"/>
      <c r="AY1413" s="2385"/>
      <c r="AZ1413" s="2385"/>
      <c r="BA1413" s="2385"/>
      <c r="BB1413" s="2385"/>
      <c r="BC1413" s="2385"/>
      <c r="BD1413" s="2385"/>
      <c r="BE1413" s="2385"/>
      <c r="BF1413" s="2385"/>
      <c r="BG1413" s="2385"/>
      <c r="BH1413" s="2385"/>
      <c r="BI1413" s="2385"/>
      <c r="BJ1413" s="2385"/>
      <c r="BK1413" s="2385"/>
      <c r="BL1413" s="2385"/>
      <c r="BM1413" s="2385"/>
      <c r="BN1413" s="2385"/>
      <c r="BO1413" s="2385"/>
      <c r="BP1413" s="2385"/>
      <c r="BQ1413" s="2385"/>
      <c r="BR1413" s="2385"/>
      <c r="BS1413" s="2385"/>
      <c r="BT1413" s="2385"/>
      <c r="BU1413" s="2385"/>
      <c r="BV1413" s="2385"/>
      <c r="BW1413" s="2385"/>
      <c r="BX1413" s="2385"/>
      <c r="BY1413" s="2385"/>
      <c r="BZ1413" s="2385"/>
      <c r="CA1413" s="2385"/>
      <c r="CB1413" s="2385"/>
      <c r="CC1413" s="2385"/>
      <c r="CD1413" s="2385"/>
      <c r="CE1413" s="2385"/>
      <c r="CF1413" s="2385"/>
      <c r="CG1413" s="2385"/>
      <c r="CH1413" s="2385"/>
      <c r="CI1413" s="2385"/>
      <c r="CJ1413" s="2385"/>
      <c r="CK1413" s="2385"/>
      <c r="CL1413" s="2385"/>
      <c r="CM1413" s="2385"/>
      <c r="CN1413" s="2385"/>
      <c r="CO1413" s="2385"/>
      <c r="CP1413" s="2385"/>
      <c r="CQ1413" s="2385"/>
      <c r="CR1413" s="2385"/>
      <c r="CS1413" s="2385"/>
      <c r="CT1413" s="2385"/>
      <c r="CU1413" s="2385"/>
      <c r="CV1413" s="2385"/>
      <c r="CW1413" s="2385"/>
      <c r="CX1413" s="2385"/>
      <c r="CY1413" s="2385"/>
      <c r="CZ1413" s="2385"/>
      <c r="DA1413" s="2385"/>
      <c r="DB1413" s="2385"/>
      <c r="DC1413" s="2385"/>
      <c r="DD1413" s="2385"/>
      <c r="DE1413" s="2385"/>
      <c r="DF1413" s="2385"/>
      <c r="DG1413" s="2385"/>
      <c r="DH1413" s="2385"/>
      <c r="DI1413" s="2385"/>
      <c r="DJ1413" s="2385"/>
      <c r="DK1413" s="2385"/>
      <c r="DL1413" s="2385"/>
      <c r="DM1413" s="2385"/>
      <c r="DN1413" s="2385"/>
      <c r="DO1413" s="2385"/>
      <c r="DP1413" s="2385"/>
      <c r="DQ1413" s="2385"/>
      <c r="DR1413" s="2385"/>
      <c r="DS1413" s="2385"/>
      <c r="DT1413" s="2385"/>
      <c r="DU1413" s="2385"/>
      <c r="DV1413" s="2385"/>
      <c r="DW1413" s="2385"/>
      <c r="DX1413" s="2385"/>
      <c r="DY1413" s="2385"/>
      <c r="DZ1413" s="2385"/>
      <c r="EA1413" s="2385"/>
      <c r="EB1413" s="2385"/>
      <c r="EC1413" s="2385"/>
      <c r="ED1413" s="2385"/>
      <c r="EE1413" s="2385"/>
    </row>
    <row r="1414" spans="1:136" s="100" customFormat="1" ht="15.05" thickBot="1" x14ac:dyDescent="0.25">
      <c r="D1414" s="6"/>
      <c r="E1414" s="2024"/>
      <c r="S1414" s="113"/>
    </row>
    <row r="1415" spans="1:136" ht="15.05" thickBot="1" x14ac:dyDescent="0.25">
      <c r="A1415" s="2188">
        <v>1076</v>
      </c>
      <c r="B1415" s="1446" t="s">
        <v>685</v>
      </c>
      <c r="C1415" s="958"/>
      <c r="D1415" s="958"/>
      <c r="E1415" s="1968"/>
      <c r="F1415" s="1901"/>
      <c r="G1415" s="1901"/>
      <c r="H1415" s="1901"/>
      <c r="I1415" s="1901"/>
      <c r="J1415" s="1901"/>
      <c r="K1415" s="1901"/>
      <c r="L1415" s="1901"/>
      <c r="M1415" s="1901"/>
      <c r="N1415" s="1901"/>
      <c r="O1415" s="1901"/>
      <c r="P1415" s="1902"/>
      <c r="Q1415" s="1903"/>
      <c r="R1415" s="100"/>
      <c r="S1415" s="113"/>
      <c r="T1415" s="100"/>
      <c r="U1415" s="100"/>
      <c r="V1415" s="100"/>
      <c r="W1415" s="100"/>
      <c r="X1415" s="100"/>
      <c r="Y1415" s="100"/>
      <c r="Z1415" s="100"/>
      <c r="AA1415" s="100"/>
      <c r="AB1415" s="100"/>
      <c r="AC1415" s="100"/>
      <c r="AD1415" s="100"/>
      <c r="AE1415" s="100"/>
      <c r="AF1415" s="100"/>
      <c r="AG1415" s="100"/>
      <c r="AH1415" s="100"/>
      <c r="AI1415" s="100"/>
      <c r="AJ1415" s="100"/>
      <c r="AK1415" s="100"/>
      <c r="AL1415" s="100"/>
      <c r="AM1415" s="100"/>
      <c r="AN1415" s="100"/>
      <c r="AO1415" s="100"/>
      <c r="AP1415" s="100"/>
      <c r="AQ1415" s="100"/>
      <c r="AR1415" s="100"/>
      <c r="AS1415" s="100"/>
      <c r="AT1415" s="100"/>
      <c r="AU1415" s="100"/>
      <c r="AV1415" s="100"/>
      <c r="AW1415" s="100"/>
      <c r="AX1415" s="100"/>
      <c r="AY1415" s="100"/>
      <c r="AZ1415" s="100"/>
      <c r="BA1415" s="100"/>
      <c r="BB1415" s="100"/>
      <c r="BC1415" s="100"/>
      <c r="BD1415" s="100"/>
      <c r="BE1415" s="100"/>
      <c r="BF1415" s="100"/>
      <c r="BG1415" s="100"/>
      <c r="BH1415" s="100"/>
      <c r="BI1415" s="100"/>
      <c r="BJ1415" s="100"/>
      <c r="BK1415" s="100"/>
      <c r="BL1415" s="100"/>
      <c r="BM1415" s="100"/>
      <c r="BN1415" s="100"/>
      <c r="BO1415" s="100"/>
      <c r="BP1415" s="100"/>
      <c r="BQ1415" s="100"/>
      <c r="BR1415" s="100"/>
      <c r="BS1415" s="100"/>
      <c r="BT1415" s="100"/>
      <c r="BU1415" s="100"/>
      <c r="BV1415" s="100"/>
      <c r="BW1415" s="100"/>
      <c r="BX1415" s="100"/>
      <c r="BY1415" s="100"/>
      <c r="BZ1415" s="100"/>
      <c r="CA1415" s="100"/>
      <c r="CB1415" s="100"/>
      <c r="CC1415" s="100"/>
      <c r="CD1415" s="100"/>
      <c r="CE1415" s="100"/>
      <c r="CF1415" s="100"/>
      <c r="CG1415" s="100"/>
      <c r="CH1415" s="100"/>
      <c r="CI1415" s="100"/>
      <c r="CJ1415" s="100"/>
      <c r="CK1415" s="100"/>
      <c r="CL1415" s="100"/>
      <c r="CM1415" s="100"/>
      <c r="CN1415" s="100"/>
      <c r="CO1415" s="100"/>
      <c r="CP1415" s="100"/>
      <c r="CQ1415" s="100"/>
      <c r="CR1415" s="100"/>
      <c r="CS1415" s="100"/>
      <c r="CT1415" s="100"/>
      <c r="CU1415" s="100"/>
      <c r="CV1415" s="100"/>
      <c r="CW1415" s="100"/>
      <c r="CX1415" s="100"/>
      <c r="CY1415" s="100"/>
      <c r="CZ1415" s="100"/>
      <c r="DA1415" s="100"/>
      <c r="DB1415" s="100"/>
      <c r="DC1415" s="100"/>
      <c r="DD1415" s="100"/>
      <c r="DE1415" s="100"/>
      <c r="DF1415" s="100"/>
      <c r="DG1415" s="100"/>
      <c r="DH1415" s="100"/>
      <c r="DI1415" s="100"/>
      <c r="DJ1415" s="100"/>
      <c r="DK1415" s="100"/>
      <c r="DL1415" s="100"/>
      <c r="DM1415" s="100"/>
      <c r="DN1415" s="100"/>
      <c r="DO1415" s="100"/>
      <c r="DP1415" s="100"/>
      <c r="DQ1415" s="100"/>
      <c r="DR1415" s="100"/>
      <c r="DS1415" s="100"/>
      <c r="DT1415" s="100"/>
      <c r="DU1415" s="100"/>
      <c r="DV1415" s="100"/>
      <c r="DW1415" s="100"/>
      <c r="DX1415" s="100"/>
      <c r="DY1415" s="100"/>
      <c r="DZ1415" s="100"/>
      <c r="EA1415" s="100"/>
      <c r="EB1415" s="100"/>
      <c r="EC1415" s="100"/>
      <c r="ED1415" s="100"/>
      <c r="EE1415" s="100"/>
    </row>
    <row r="1416" spans="1:136" x14ac:dyDescent="0.2">
      <c r="A1416" s="6"/>
      <c r="E1416" s="2068" t="str">
        <f t="shared" ref="E1416:E1427" si="1845">+D347</f>
        <v>Soja</v>
      </c>
      <c r="F1416" s="1898">
        <f t="shared" ref="F1416:Q1416" si="1846">+IF(F$1345=$S$347,$T$347,0)</f>
        <v>0</v>
      </c>
      <c r="G1416" s="1898">
        <f t="shared" si="1846"/>
        <v>0</v>
      </c>
      <c r="H1416" s="1898">
        <f t="shared" si="1846"/>
        <v>0</v>
      </c>
      <c r="I1416" s="1898">
        <f t="shared" si="1846"/>
        <v>0</v>
      </c>
      <c r="J1416" s="1898">
        <f t="shared" si="1846"/>
        <v>0</v>
      </c>
      <c r="K1416" s="1898">
        <f t="shared" si="1846"/>
        <v>0</v>
      </c>
      <c r="L1416" s="1898">
        <f t="shared" si="1846"/>
        <v>0</v>
      </c>
      <c r="M1416" s="1898">
        <f t="shared" si="1846"/>
        <v>0</v>
      </c>
      <c r="N1416" s="1898">
        <f t="shared" si="1846"/>
        <v>0</v>
      </c>
      <c r="O1416" s="1898">
        <f t="shared" si="1846"/>
        <v>0</v>
      </c>
      <c r="P1416" s="1898">
        <f t="shared" si="1846"/>
        <v>0</v>
      </c>
      <c r="Q1416" s="2063">
        <f t="shared" si="1846"/>
        <v>0</v>
      </c>
    </row>
    <row r="1417" spans="1:136" x14ac:dyDescent="0.2">
      <c r="A1417" s="6"/>
      <c r="E1417" s="2068" t="str">
        <f t="shared" si="1845"/>
        <v>Soja 2ª</v>
      </c>
      <c r="F1417" s="1898">
        <f t="shared" ref="F1417:Q1417" si="1847">IFERROR(VLOOKUP(F$1345,$S348:$T348,2,FALSE),0)</f>
        <v>0</v>
      </c>
      <c r="G1417" s="1898">
        <f t="shared" si="1847"/>
        <v>0</v>
      </c>
      <c r="H1417" s="1898">
        <f t="shared" si="1847"/>
        <v>0</v>
      </c>
      <c r="I1417" s="1898">
        <f t="shared" si="1847"/>
        <v>0</v>
      </c>
      <c r="J1417" s="1898">
        <f t="shared" si="1847"/>
        <v>0</v>
      </c>
      <c r="K1417" s="1898">
        <f t="shared" si="1847"/>
        <v>0</v>
      </c>
      <c r="L1417" s="1898">
        <f t="shared" si="1847"/>
        <v>0</v>
      </c>
      <c r="M1417" s="1898">
        <f t="shared" si="1847"/>
        <v>0</v>
      </c>
      <c r="N1417" s="1898">
        <f t="shared" si="1847"/>
        <v>0</v>
      </c>
      <c r="O1417" s="1898">
        <f t="shared" si="1847"/>
        <v>0</v>
      </c>
      <c r="P1417" s="1898">
        <f t="shared" si="1847"/>
        <v>0</v>
      </c>
      <c r="Q1417" s="2063">
        <f t="shared" si="1847"/>
        <v>0</v>
      </c>
    </row>
    <row r="1418" spans="1:136" x14ac:dyDescent="0.2">
      <c r="A1418" s="6"/>
      <c r="E1418" s="2068" t="str">
        <f t="shared" si="1845"/>
        <v>Maíz Grano</v>
      </c>
      <c r="F1418" s="1898">
        <f t="shared" ref="F1418:Q1418" si="1848">IFERROR(VLOOKUP(F$1345,$S349:$T349,2,FALSE),0)</f>
        <v>0</v>
      </c>
      <c r="G1418" s="1898">
        <f t="shared" si="1848"/>
        <v>0</v>
      </c>
      <c r="H1418" s="1898">
        <f t="shared" si="1848"/>
        <v>0</v>
      </c>
      <c r="I1418" s="1898">
        <f t="shared" si="1848"/>
        <v>0</v>
      </c>
      <c r="J1418" s="1898">
        <f t="shared" si="1848"/>
        <v>0</v>
      </c>
      <c r="K1418" s="1898">
        <f t="shared" si="1848"/>
        <v>0</v>
      </c>
      <c r="L1418" s="1898">
        <f t="shared" si="1848"/>
        <v>0</v>
      </c>
      <c r="M1418" s="1898">
        <f t="shared" si="1848"/>
        <v>0</v>
      </c>
      <c r="N1418" s="1898">
        <f t="shared" si="1848"/>
        <v>0</v>
      </c>
      <c r="O1418" s="1898">
        <f t="shared" si="1848"/>
        <v>0</v>
      </c>
      <c r="P1418" s="1898">
        <f t="shared" si="1848"/>
        <v>0</v>
      </c>
      <c r="Q1418" s="2063">
        <f t="shared" si="1848"/>
        <v>0</v>
      </c>
    </row>
    <row r="1419" spans="1:136" x14ac:dyDescent="0.2">
      <c r="A1419" s="6"/>
      <c r="E1419" s="2068" t="str">
        <f t="shared" si="1845"/>
        <v>Sorgo grano</v>
      </c>
      <c r="F1419" s="1898">
        <f t="shared" ref="F1419:Q1419" si="1849">IFERROR(VLOOKUP(F$1345,$S350:$T350,2,FALSE),0)</f>
        <v>0</v>
      </c>
      <c r="G1419" s="1898">
        <f t="shared" si="1849"/>
        <v>0</v>
      </c>
      <c r="H1419" s="1898">
        <f t="shared" si="1849"/>
        <v>0</v>
      </c>
      <c r="I1419" s="1898">
        <f t="shared" si="1849"/>
        <v>0</v>
      </c>
      <c r="J1419" s="1898">
        <f t="shared" si="1849"/>
        <v>0</v>
      </c>
      <c r="K1419" s="1898">
        <f t="shared" si="1849"/>
        <v>0</v>
      </c>
      <c r="L1419" s="1898">
        <f t="shared" si="1849"/>
        <v>0</v>
      </c>
      <c r="M1419" s="1898">
        <f t="shared" si="1849"/>
        <v>0</v>
      </c>
      <c r="N1419" s="1898">
        <f t="shared" si="1849"/>
        <v>0</v>
      </c>
      <c r="O1419" s="1898">
        <f t="shared" si="1849"/>
        <v>0</v>
      </c>
      <c r="P1419" s="1898">
        <f t="shared" si="1849"/>
        <v>0</v>
      </c>
      <c r="Q1419" s="2063">
        <f t="shared" si="1849"/>
        <v>0</v>
      </c>
    </row>
    <row r="1420" spans="1:136" x14ac:dyDescent="0.2">
      <c r="A1420" s="6"/>
      <c r="E1420" s="2068" t="str">
        <f t="shared" si="1845"/>
        <v>Trigo grano</v>
      </c>
      <c r="F1420" s="1898">
        <f t="shared" ref="F1420:Q1420" si="1850">IFERROR(VLOOKUP(F$1345,$S351:$T351,2,FALSE),0)</f>
        <v>0</v>
      </c>
      <c r="G1420" s="1898">
        <f t="shared" si="1850"/>
        <v>0</v>
      </c>
      <c r="H1420" s="1898">
        <f t="shared" si="1850"/>
        <v>0</v>
      </c>
      <c r="I1420" s="1898">
        <f t="shared" si="1850"/>
        <v>0</v>
      </c>
      <c r="J1420" s="1898">
        <f t="shared" si="1850"/>
        <v>0</v>
      </c>
      <c r="K1420" s="1898">
        <f t="shared" si="1850"/>
        <v>0</v>
      </c>
      <c r="L1420" s="1898">
        <f t="shared" si="1850"/>
        <v>0</v>
      </c>
      <c r="M1420" s="1898">
        <f t="shared" si="1850"/>
        <v>0</v>
      </c>
      <c r="N1420" s="1898">
        <f t="shared" si="1850"/>
        <v>0</v>
      </c>
      <c r="O1420" s="1898">
        <f t="shared" si="1850"/>
        <v>0</v>
      </c>
      <c r="P1420" s="1898">
        <f t="shared" si="1850"/>
        <v>0</v>
      </c>
      <c r="Q1420" s="2063">
        <f t="shared" si="1850"/>
        <v>0</v>
      </c>
    </row>
    <row r="1421" spans="1:136" x14ac:dyDescent="0.2">
      <c r="A1421" s="6"/>
      <c r="E1421" s="2068" t="str">
        <f t="shared" si="1845"/>
        <v>Cebada grano</v>
      </c>
      <c r="F1421" s="1898">
        <f t="shared" ref="F1421:Q1421" si="1851">IFERROR(VLOOKUP(F$1345,$S352:$T352,2,FALSE),0)</f>
        <v>0</v>
      </c>
      <c r="G1421" s="1898">
        <f t="shared" si="1851"/>
        <v>0</v>
      </c>
      <c r="H1421" s="1898">
        <f t="shared" si="1851"/>
        <v>0</v>
      </c>
      <c r="I1421" s="1898">
        <f t="shared" si="1851"/>
        <v>0</v>
      </c>
      <c r="J1421" s="1898">
        <f t="shared" si="1851"/>
        <v>0</v>
      </c>
      <c r="K1421" s="1898">
        <f t="shared" si="1851"/>
        <v>0</v>
      </c>
      <c r="L1421" s="1898">
        <f t="shared" si="1851"/>
        <v>0</v>
      </c>
      <c r="M1421" s="1898">
        <f t="shared" si="1851"/>
        <v>0</v>
      </c>
      <c r="N1421" s="1898">
        <f t="shared" si="1851"/>
        <v>0</v>
      </c>
      <c r="O1421" s="1898">
        <f t="shared" si="1851"/>
        <v>0</v>
      </c>
      <c r="P1421" s="1898">
        <f t="shared" si="1851"/>
        <v>0</v>
      </c>
      <c r="Q1421" s="2063">
        <f t="shared" si="1851"/>
        <v>0</v>
      </c>
    </row>
    <row r="1422" spans="1:136" x14ac:dyDescent="0.2">
      <c r="A1422" s="6"/>
      <c r="E1422" s="2068" t="str">
        <f t="shared" si="1845"/>
        <v>Avena grano</v>
      </c>
      <c r="F1422" s="1898">
        <f t="shared" ref="F1422:Q1422" si="1852">IFERROR(VLOOKUP(F$1345,$S353:$T353,2,FALSE),0)</f>
        <v>0</v>
      </c>
      <c r="G1422" s="1898">
        <f t="shared" si="1852"/>
        <v>0</v>
      </c>
      <c r="H1422" s="1898">
        <f t="shared" si="1852"/>
        <v>0</v>
      </c>
      <c r="I1422" s="1898">
        <f t="shared" si="1852"/>
        <v>0</v>
      </c>
      <c r="J1422" s="1898">
        <f t="shared" si="1852"/>
        <v>0</v>
      </c>
      <c r="K1422" s="1898">
        <f t="shared" si="1852"/>
        <v>0</v>
      </c>
      <c r="L1422" s="1898">
        <f t="shared" si="1852"/>
        <v>0</v>
      </c>
      <c r="M1422" s="1898">
        <f t="shared" si="1852"/>
        <v>0</v>
      </c>
      <c r="N1422" s="1898">
        <f t="shared" si="1852"/>
        <v>0</v>
      </c>
      <c r="O1422" s="1898">
        <f t="shared" si="1852"/>
        <v>0</v>
      </c>
      <c r="P1422" s="1898">
        <f t="shared" si="1852"/>
        <v>0</v>
      </c>
      <c r="Q1422" s="2063">
        <f t="shared" si="1852"/>
        <v>0</v>
      </c>
    </row>
    <row r="1423" spans="1:136" x14ac:dyDescent="0.2">
      <c r="A1423" s="6"/>
      <c r="E1423" s="2068" t="str">
        <f t="shared" si="1845"/>
        <v>Colza grano</v>
      </c>
      <c r="F1423" s="1898">
        <f t="shared" ref="F1423:Q1423" si="1853">IFERROR(VLOOKUP(F$1345,$S354:$T354,2,FALSE),0)</f>
        <v>0</v>
      </c>
      <c r="G1423" s="1898">
        <f t="shared" si="1853"/>
        <v>0</v>
      </c>
      <c r="H1423" s="1898">
        <f t="shared" si="1853"/>
        <v>0</v>
      </c>
      <c r="I1423" s="1898">
        <f t="shared" si="1853"/>
        <v>0</v>
      </c>
      <c r="J1423" s="1898">
        <f t="shared" si="1853"/>
        <v>0</v>
      </c>
      <c r="K1423" s="1898">
        <f t="shared" si="1853"/>
        <v>0</v>
      </c>
      <c r="L1423" s="1898">
        <f t="shared" si="1853"/>
        <v>0</v>
      </c>
      <c r="M1423" s="1898">
        <f t="shared" si="1853"/>
        <v>0</v>
      </c>
      <c r="N1423" s="1898">
        <f t="shared" si="1853"/>
        <v>0</v>
      </c>
      <c r="O1423" s="1898">
        <f t="shared" si="1853"/>
        <v>0</v>
      </c>
      <c r="P1423" s="1898">
        <f t="shared" si="1853"/>
        <v>0</v>
      </c>
      <c r="Q1423" s="2063">
        <f t="shared" si="1853"/>
        <v>0</v>
      </c>
    </row>
    <row r="1424" spans="1:136" x14ac:dyDescent="0.2">
      <c r="A1424" s="6"/>
      <c r="E1424" s="2068">
        <f t="shared" si="1845"/>
        <v>0</v>
      </c>
      <c r="F1424" s="1898">
        <f t="shared" ref="F1424:Q1424" si="1854">IFERROR(VLOOKUP(F$1345,$S355:$T355,2,FALSE),0)</f>
        <v>0</v>
      </c>
      <c r="G1424" s="1898">
        <f t="shared" si="1854"/>
        <v>0</v>
      </c>
      <c r="H1424" s="1898">
        <f t="shared" si="1854"/>
        <v>0</v>
      </c>
      <c r="I1424" s="1898">
        <f t="shared" si="1854"/>
        <v>0</v>
      </c>
      <c r="J1424" s="1898">
        <f t="shared" si="1854"/>
        <v>0</v>
      </c>
      <c r="K1424" s="1898">
        <f t="shared" si="1854"/>
        <v>0</v>
      </c>
      <c r="L1424" s="1898">
        <f t="shared" si="1854"/>
        <v>0</v>
      </c>
      <c r="M1424" s="1898">
        <f t="shared" si="1854"/>
        <v>0</v>
      </c>
      <c r="N1424" s="1898">
        <f t="shared" si="1854"/>
        <v>0</v>
      </c>
      <c r="O1424" s="1898">
        <f t="shared" si="1854"/>
        <v>0</v>
      </c>
      <c r="P1424" s="1898">
        <f t="shared" si="1854"/>
        <v>0</v>
      </c>
      <c r="Q1424" s="2063">
        <f t="shared" si="1854"/>
        <v>0</v>
      </c>
    </row>
    <row r="1425" spans="1:19" x14ac:dyDescent="0.2">
      <c r="A1425" s="6"/>
      <c r="E1425" s="2068">
        <f t="shared" si="1845"/>
        <v>0</v>
      </c>
      <c r="F1425" s="1898">
        <f t="shared" ref="F1425:Q1425" si="1855">IFERROR(VLOOKUP(F$1345,$S356:$T356,2,FALSE),0)</f>
        <v>0</v>
      </c>
      <c r="G1425" s="1898">
        <f t="shared" si="1855"/>
        <v>0</v>
      </c>
      <c r="H1425" s="1898">
        <f t="shared" si="1855"/>
        <v>0</v>
      </c>
      <c r="I1425" s="1898">
        <f t="shared" si="1855"/>
        <v>0</v>
      </c>
      <c r="J1425" s="1898">
        <f t="shared" si="1855"/>
        <v>0</v>
      </c>
      <c r="K1425" s="1898">
        <f t="shared" si="1855"/>
        <v>0</v>
      </c>
      <c r="L1425" s="1898">
        <f t="shared" si="1855"/>
        <v>0</v>
      </c>
      <c r="M1425" s="1898">
        <f t="shared" si="1855"/>
        <v>0</v>
      </c>
      <c r="N1425" s="1898">
        <f t="shared" si="1855"/>
        <v>0</v>
      </c>
      <c r="O1425" s="1898">
        <f t="shared" si="1855"/>
        <v>0</v>
      </c>
      <c r="P1425" s="1898">
        <f t="shared" si="1855"/>
        <v>0</v>
      </c>
      <c r="Q1425" s="2063">
        <f t="shared" si="1855"/>
        <v>0</v>
      </c>
    </row>
    <row r="1426" spans="1:19" x14ac:dyDescent="0.2">
      <c r="A1426" s="6"/>
      <c r="E1426" s="2068">
        <f t="shared" si="1845"/>
        <v>0</v>
      </c>
      <c r="F1426" s="1898">
        <f t="shared" ref="F1426:Q1426" si="1856">IFERROR(VLOOKUP(F$1345,$S357:$T357,2,FALSE),0)</f>
        <v>0</v>
      </c>
      <c r="G1426" s="1898">
        <f t="shared" si="1856"/>
        <v>0</v>
      </c>
      <c r="H1426" s="1898">
        <f t="shared" si="1856"/>
        <v>0</v>
      </c>
      <c r="I1426" s="1898">
        <f t="shared" si="1856"/>
        <v>0</v>
      </c>
      <c r="J1426" s="1898">
        <f t="shared" si="1856"/>
        <v>0</v>
      </c>
      <c r="K1426" s="1898">
        <f t="shared" si="1856"/>
        <v>0</v>
      </c>
      <c r="L1426" s="1898">
        <f t="shared" si="1856"/>
        <v>0</v>
      </c>
      <c r="M1426" s="1898">
        <f t="shared" si="1856"/>
        <v>0</v>
      </c>
      <c r="N1426" s="1898">
        <f t="shared" si="1856"/>
        <v>0</v>
      </c>
      <c r="O1426" s="1898">
        <f t="shared" si="1856"/>
        <v>0</v>
      </c>
      <c r="P1426" s="1898">
        <f t="shared" si="1856"/>
        <v>0</v>
      </c>
      <c r="Q1426" s="2063">
        <f t="shared" si="1856"/>
        <v>0</v>
      </c>
    </row>
    <row r="1427" spans="1:19" x14ac:dyDescent="0.2">
      <c r="A1427" s="6"/>
      <c r="E1427" s="2068">
        <f t="shared" si="1845"/>
        <v>0</v>
      </c>
      <c r="F1427" s="1898">
        <f t="shared" ref="F1427:Q1427" si="1857">IFERROR(VLOOKUP(F$1345,$S358:$T358,2,FALSE),0)</f>
        <v>0</v>
      </c>
      <c r="G1427" s="1898">
        <f t="shared" si="1857"/>
        <v>0</v>
      </c>
      <c r="H1427" s="1898">
        <f t="shared" si="1857"/>
        <v>0</v>
      </c>
      <c r="I1427" s="1898">
        <f t="shared" si="1857"/>
        <v>0</v>
      </c>
      <c r="J1427" s="1898">
        <f t="shared" si="1857"/>
        <v>0</v>
      </c>
      <c r="K1427" s="1898">
        <f t="shared" si="1857"/>
        <v>0</v>
      </c>
      <c r="L1427" s="1898">
        <f t="shared" si="1857"/>
        <v>0</v>
      </c>
      <c r="M1427" s="1898">
        <f t="shared" si="1857"/>
        <v>0</v>
      </c>
      <c r="N1427" s="1898">
        <f t="shared" si="1857"/>
        <v>0</v>
      </c>
      <c r="O1427" s="1898">
        <f t="shared" si="1857"/>
        <v>0</v>
      </c>
      <c r="P1427" s="1898">
        <f t="shared" si="1857"/>
        <v>0</v>
      </c>
      <c r="Q1427" s="2063">
        <f t="shared" si="1857"/>
        <v>0</v>
      </c>
    </row>
    <row r="1428" spans="1:19" x14ac:dyDescent="0.2">
      <c r="A1428" s="6"/>
      <c r="E1428" s="2068" t="str">
        <f>+D346</f>
        <v>Cultivos Agrícolas</v>
      </c>
      <c r="F1428" s="1898">
        <f t="shared" ref="F1428:Q1428" si="1858">IFERROR(VLOOKUP(F$1345,$S359:$T359,2,FALSE),0)</f>
        <v>0</v>
      </c>
      <c r="G1428" s="1898">
        <f t="shared" si="1858"/>
        <v>0</v>
      </c>
      <c r="H1428" s="1898">
        <f t="shared" si="1858"/>
        <v>0</v>
      </c>
      <c r="I1428" s="1898">
        <f t="shared" si="1858"/>
        <v>0</v>
      </c>
      <c r="J1428" s="1898">
        <f t="shared" si="1858"/>
        <v>0</v>
      </c>
      <c r="K1428" s="1898">
        <f t="shared" si="1858"/>
        <v>0</v>
      </c>
      <c r="L1428" s="1898">
        <f t="shared" si="1858"/>
        <v>0</v>
      </c>
      <c r="M1428" s="1898">
        <f t="shared" si="1858"/>
        <v>0</v>
      </c>
      <c r="N1428" s="1898">
        <f t="shared" si="1858"/>
        <v>0</v>
      </c>
      <c r="O1428" s="1898">
        <f t="shared" si="1858"/>
        <v>0</v>
      </c>
      <c r="P1428" s="1898">
        <f t="shared" si="1858"/>
        <v>0</v>
      </c>
      <c r="Q1428" s="2063">
        <f t="shared" si="1858"/>
        <v>0</v>
      </c>
      <c r="S1428" s="6"/>
    </row>
    <row r="1429" spans="1:19" x14ac:dyDescent="0.2">
      <c r="A1429" s="6"/>
      <c r="E1429" s="2068" t="str">
        <f t="shared" ref="E1429:E1437" si="1859">+D360</f>
        <v xml:space="preserve">Alfalfa semillero </v>
      </c>
      <c r="F1429" s="1898">
        <f t="shared" ref="F1429:Q1429" si="1860">IFERROR(VLOOKUP(F$1345,$S360:$T360,2,FALSE),0)</f>
        <v>0</v>
      </c>
      <c r="G1429" s="1898">
        <f t="shared" si="1860"/>
        <v>0</v>
      </c>
      <c r="H1429" s="1898">
        <f t="shared" si="1860"/>
        <v>0</v>
      </c>
      <c r="I1429" s="1898">
        <f t="shared" si="1860"/>
        <v>0</v>
      </c>
      <c r="J1429" s="1898">
        <f t="shared" si="1860"/>
        <v>0</v>
      </c>
      <c r="K1429" s="1898">
        <f t="shared" si="1860"/>
        <v>0</v>
      </c>
      <c r="L1429" s="1898">
        <f t="shared" si="1860"/>
        <v>0</v>
      </c>
      <c r="M1429" s="1898">
        <f t="shared" si="1860"/>
        <v>0</v>
      </c>
      <c r="N1429" s="1898">
        <f t="shared" si="1860"/>
        <v>0</v>
      </c>
      <c r="O1429" s="1898">
        <f t="shared" si="1860"/>
        <v>0</v>
      </c>
      <c r="P1429" s="1898">
        <f t="shared" si="1860"/>
        <v>0</v>
      </c>
      <c r="Q1429" s="2063">
        <f t="shared" si="1860"/>
        <v>0</v>
      </c>
      <c r="S1429" s="6"/>
    </row>
    <row r="1430" spans="1:19" x14ac:dyDescent="0.2">
      <c r="A1430" s="6"/>
      <c r="E1430" s="2068" t="str">
        <f t="shared" si="1859"/>
        <v xml:space="preserve">TR semillero </v>
      </c>
      <c r="F1430" s="1898">
        <f t="shared" ref="F1430:Q1430" si="1861">IFERROR(VLOOKUP(F$1345,$S361:$T361,2,FALSE),0)</f>
        <v>0</v>
      </c>
      <c r="G1430" s="1898">
        <f t="shared" si="1861"/>
        <v>0</v>
      </c>
      <c r="H1430" s="1898">
        <f t="shared" si="1861"/>
        <v>0</v>
      </c>
      <c r="I1430" s="1898">
        <f t="shared" si="1861"/>
        <v>0</v>
      </c>
      <c r="J1430" s="1898">
        <f t="shared" si="1861"/>
        <v>0</v>
      </c>
      <c r="K1430" s="1898">
        <f t="shared" si="1861"/>
        <v>0</v>
      </c>
      <c r="L1430" s="1898">
        <f t="shared" si="1861"/>
        <v>0</v>
      </c>
      <c r="M1430" s="1898">
        <f t="shared" si="1861"/>
        <v>0</v>
      </c>
      <c r="N1430" s="1898">
        <f t="shared" si="1861"/>
        <v>0</v>
      </c>
      <c r="O1430" s="1898">
        <f t="shared" si="1861"/>
        <v>0</v>
      </c>
      <c r="P1430" s="1898">
        <f t="shared" si="1861"/>
        <v>0</v>
      </c>
      <c r="Q1430" s="2063">
        <f t="shared" si="1861"/>
        <v>0</v>
      </c>
      <c r="S1430" s="6"/>
    </row>
    <row r="1431" spans="1:19" x14ac:dyDescent="0.2">
      <c r="A1431" s="6"/>
      <c r="E1431" s="2068" t="str">
        <f t="shared" si="1859"/>
        <v xml:space="preserve">TB semillero </v>
      </c>
      <c r="F1431" s="1898">
        <f t="shared" ref="F1431:Q1431" si="1862">IFERROR(VLOOKUP(F$1345,$S362:$T362,2,FALSE),0)</f>
        <v>0</v>
      </c>
      <c r="G1431" s="1898">
        <f t="shared" si="1862"/>
        <v>0</v>
      </c>
      <c r="H1431" s="1898">
        <f t="shared" si="1862"/>
        <v>0</v>
      </c>
      <c r="I1431" s="1898">
        <f t="shared" si="1862"/>
        <v>0</v>
      </c>
      <c r="J1431" s="1898">
        <f t="shared" si="1862"/>
        <v>0</v>
      </c>
      <c r="K1431" s="1898">
        <f t="shared" si="1862"/>
        <v>0</v>
      </c>
      <c r="L1431" s="1898">
        <f t="shared" si="1862"/>
        <v>0</v>
      </c>
      <c r="M1431" s="1898">
        <f t="shared" si="1862"/>
        <v>0</v>
      </c>
      <c r="N1431" s="1898">
        <f t="shared" si="1862"/>
        <v>0</v>
      </c>
      <c r="O1431" s="1898">
        <f t="shared" si="1862"/>
        <v>0</v>
      </c>
      <c r="P1431" s="1898">
        <f t="shared" si="1862"/>
        <v>0</v>
      </c>
      <c r="Q1431" s="2063">
        <f t="shared" si="1862"/>
        <v>0</v>
      </c>
      <c r="S1431" s="6"/>
    </row>
    <row r="1432" spans="1:19" x14ac:dyDescent="0.2">
      <c r="A1432" s="6"/>
      <c r="E1432" s="2068" t="str">
        <f t="shared" si="1859"/>
        <v xml:space="preserve">Achicoria Semillero </v>
      </c>
      <c r="F1432" s="1898">
        <f t="shared" ref="F1432:Q1432" si="1863">IFERROR(VLOOKUP(F$1345,$S363:$T363,2,FALSE),0)</f>
        <v>0</v>
      </c>
      <c r="G1432" s="1898">
        <f t="shared" si="1863"/>
        <v>0</v>
      </c>
      <c r="H1432" s="1898">
        <f t="shared" si="1863"/>
        <v>0</v>
      </c>
      <c r="I1432" s="1898">
        <f t="shared" si="1863"/>
        <v>0</v>
      </c>
      <c r="J1432" s="1898">
        <f t="shared" si="1863"/>
        <v>0</v>
      </c>
      <c r="K1432" s="1898">
        <f t="shared" si="1863"/>
        <v>0</v>
      </c>
      <c r="L1432" s="1898">
        <f t="shared" si="1863"/>
        <v>0</v>
      </c>
      <c r="M1432" s="1898">
        <f t="shared" si="1863"/>
        <v>0</v>
      </c>
      <c r="N1432" s="1898">
        <f t="shared" si="1863"/>
        <v>0</v>
      </c>
      <c r="O1432" s="1898">
        <f t="shared" si="1863"/>
        <v>0</v>
      </c>
      <c r="P1432" s="1898">
        <f t="shared" si="1863"/>
        <v>0</v>
      </c>
      <c r="Q1432" s="2063">
        <f t="shared" si="1863"/>
        <v>0</v>
      </c>
      <c r="S1432" s="6"/>
    </row>
    <row r="1433" spans="1:19" x14ac:dyDescent="0.2">
      <c r="A1433" s="6"/>
      <c r="E1433" s="2068">
        <f t="shared" si="1859"/>
        <v>0</v>
      </c>
      <c r="F1433" s="1898">
        <f t="shared" ref="F1433:Q1433" si="1864">IFERROR(VLOOKUP(F$1345,$S364:$T364,2,FALSE),0)</f>
        <v>0</v>
      </c>
      <c r="G1433" s="1898">
        <f t="shared" si="1864"/>
        <v>0</v>
      </c>
      <c r="H1433" s="1898">
        <f t="shared" si="1864"/>
        <v>0</v>
      </c>
      <c r="I1433" s="1898">
        <f t="shared" si="1864"/>
        <v>0</v>
      </c>
      <c r="J1433" s="1898">
        <f t="shared" si="1864"/>
        <v>0</v>
      </c>
      <c r="K1433" s="1898">
        <f t="shared" si="1864"/>
        <v>0</v>
      </c>
      <c r="L1433" s="1898">
        <f t="shared" si="1864"/>
        <v>0</v>
      </c>
      <c r="M1433" s="1898">
        <f t="shared" si="1864"/>
        <v>0</v>
      </c>
      <c r="N1433" s="1898">
        <f t="shared" si="1864"/>
        <v>0</v>
      </c>
      <c r="O1433" s="1898">
        <f t="shared" si="1864"/>
        <v>0</v>
      </c>
      <c r="P1433" s="1898">
        <f t="shared" si="1864"/>
        <v>0</v>
      </c>
      <c r="Q1433" s="2063">
        <f t="shared" si="1864"/>
        <v>0</v>
      </c>
      <c r="S1433" s="6"/>
    </row>
    <row r="1434" spans="1:19" x14ac:dyDescent="0.2">
      <c r="A1434" s="6"/>
      <c r="E1434" s="2068">
        <f t="shared" si="1859"/>
        <v>0</v>
      </c>
      <c r="F1434" s="1898">
        <f t="shared" ref="F1434:Q1434" si="1865">IFERROR(VLOOKUP(F$1345,$S365:$T365,2,FALSE),0)</f>
        <v>0</v>
      </c>
      <c r="G1434" s="1898">
        <f t="shared" si="1865"/>
        <v>0</v>
      </c>
      <c r="H1434" s="1898">
        <f t="shared" si="1865"/>
        <v>0</v>
      </c>
      <c r="I1434" s="1898">
        <f t="shared" si="1865"/>
        <v>0</v>
      </c>
      <c r="J1434" s="1898">
        <f t="shared" si="1865"/>
        <v>0</v>
      </c>
      <c r="K1434" s="1898">
        <f t="shared" si="1865"/>
        <v>0</v>
      </c>
      <c r="L1434" s="1898">
        <f t="shared" si="1865"/>
        <v>0</v>
      </c>
      <c r="M1434" s="1898">
        <f t="shared" si="1865"/>
        <v>0</v>
      </c>
      <c r="N1434" s="1898">
        <f t="shared" si="1865"/>
        <v>0</v>
      </c>
      <c r="O1434" s="1898">
        <f t="shared" si="1865"/>
        <v>0</v>
      </c>
      <c r="P1434" s="1898">
        <f t="shared" si="1865"/>
        <v>0</v>
      </c>
      <c r="Q1434" s="2063">
        <f t="shared" si="1865"/>
        <v>0</v>
      </c>
      <c r="S1434" s="6"/>
    </row>
    <row r="1435" spans="1:19" x14ac:dyDescent="0.2">
      <c r="A1435" s="6"/>
      <c r="E1435" s="2068">
        <f t="shared" si="1859"/>
        <v>0</v>
      </c>
      <c r="F1435" s="1898">
        <f t="shared" ref="F1435:Q1435" si="1866">IFERROR(VLOOKUP(F$1345,$S366:$T366,2,FALSE),0)</f>
        <v>0</v>
      </c>
      <c r="G1435" s="1898">
        <f t="shared" si="1866"/>
        <v>0</v>
      </c>
      <c r="H1435" s="1898">
        <f t="shared" si="1866"/>
        <v>0</v>
      </c>
      <c r="I1435" s="1898">
        <f t="shared" si="1866"/>
        <v>0</v>
      </c>
      <c r="J1435" s="1898">
        <f t="shared" si="1866"/>
        <v>0</v>
      </c>
      <c r="K1435" s="1898">
        <f t="shared" si="1866"/>
        <v>0</v>
      </c>
      <c r="L1435" s="1898">
        <f t="shared" si="1866"/>
        <v>0</v>
      </c>
      <c r="M1435" s="1898">
        <f t="shared" si="1866"/>
        <v>0</v>
      </c>
      <c r="N1435" s="1898">
        <f t="shared" si="1866"/>
        <v>0</v>
      </c>
      <c r="O1435" s="1898">
        <f t="shared" si="1866"/>
        <v>0</v>
      </c>
      <c r="P1435" s="1898">
        <f t="shared" si="1866"/>
        <v>0</v>
      </c>
      <c r="Q1435" s="2063">
        <f t="shared" si="1866"/>
        <v>0</v>
      </c>
      <c r="S1435" s="6"/>
    </row>
    <row r="1436" spans="1:19" x14ac:dyDescent="0.2">
      <c r="A1436" s="6"/>
      <c r="E1436" s="2068">
        <f t="shared" si="1859"/>
        <v>0</v>
      </c>
      <c r="F1436" s="1898">
        <f t="shared" ref="F1436:Q1436" si="1867">IFERROR(VLOOKUP(F$1345,$S367:$T367,2,FALSE),0)</f>
        <v>0</v>
      </c>
      <c r="G1436" s="1898">
        <f t="shared" si="1867"/>
        <v>0</v>
      </c>
      <c r="H1436" s="1898">
        <f t="shared" si="1867"/>
        <v>0</v>
      </c>
      <c r="I1436" s="1898">
        <f t="shared" si="1867"/>
        <v>0</v>
      </c>
      <c r="J1436" s="1898">
        <f t="shared" si="1867"/>
        <v>0</v>
      </c>
      <c r="K1436" s="1898">
        <f t="shared" si="1867"/>
        <v>0</v>
      </c>
      <c r="L1436" s="1898">
        <f t="shared" si="1867"/>
        <v>0</v>
      </c>
      <c r="M1436" s="1898">
        <f t="shared" si="1867"/>
        <v>0</v>
      </c>
      <c r="N1436" s="1898">
        <f t="shared" si="1867"/>
        <v>0</v>
      </c>
      <c r="O1436" s="1898">
        <f t="shared" si="1867"/>
        <v>0</v>
      </c>
      <c r="P1436" s="1898">
        <f t="shared" si="1867"/>
        <v>0</v>
      </c>
      <c r="Q1436" s="2063">
        <f t="shared" si="1867"/>
        <v>0</v>
      </c>
      <c r="S1436" s="6"/>
    </row>
    <row r="1437" spans="1:19" x14ac:dyDescent="0.2">
      <c r="A1437" s="6"/>
      <c r="E1437" s="2068">
        <f t="shared" si="1859"/>
        <v>0</v>
      </c>
      <c r="F1437" s="1898">
        <f t="shared" ref="F1437:Q1437" si="1868">IFERROR(VLOOKUP(F$1345,$S368:$T368,2,FALSE),0)</f>
        <v>0</v>
      </c>
      <c r="G1437" s="1898">
        <f t="shared" si="1868"/>
        <v>0</v>
      </c>
      <c r="H1437" s="1898">
        <f t="shared" si="1868"/>
        <v>0</v>
      </c>
      <c r="I1437" s="1898">
        <f t="shared" si="1868"/>
        <v>0</v>
      </c>
      <c r="J1437" s="1898">
        <f t="shared" si="1868"/>
        <v>0</v>
      </c>
      <c r="K1437" s="1898">
        <f t="shared" si="1868"/>
        <v>0</v>
      </c>
      <c r="L1437" s="1898">
        <f t="shared" si="1868"/>
        <v>0</v>
      </c>
      <c r="M1437" s="1898">
        <f t="shared" si="1868"/>
        <v>0</v>
      </c>
      <c r="N1437" s="1898">
        <f t="shared" si="1868"/>
        <v>0</v>
      </c>
      <c r="O1437" s="1898">
        <f t="shared" si="1868"/>
        <v>0</v>
      </c>
      <c r="P1437" s="1898">
        <f t="shared" si="1868"/>
        <v>0</v>
      </c>
      <c r="Q1437" s="2063">
        <f t="shared" si="1868"/>
        <v>0</v>
      </c>
      <c r="S1437" s="6"/>
    </row>
    <row r="1438" spans="1:19" x14ac:dyDescent="0.2">
      <c r="A1438" s="6"/>
      <c r="E1438" s="2068" t="str">
        <f>+D359</f>
        <v xml:space="preserve">Semilleros leguminosas + otros </v>
      </c>
      <c r="F1438" s="1898">
        <f t="shared" ref="F1438:Q1438" si="1869">IFERROR(VLOOKUP(F$1345,$S369:$T369,2,FALSE),0)</f>
        <v>0</v>
      </c>
      <c r="G1438" s="1898">
        <f t="shared" si="1869"/>
        <v>0</v>
      </c>
      <c r="H1438" s="1898">
        <f t="shared" si="1869"/>
        <v>0</v>
      </c>
      <c r="I1438" s="1898">
        <f t="shared" si="1869"/>
        <v>0</v>
      </c>
      <c r="J1438" s="1898">
        <f t="shared" si="1869"/>
        <v>0</v>
      </c>
      <c r="K1438" s="1898">
        <f t="shared" si="1869"/>
        <v>0</v>
      </c>
      <c r="L1438" s="1898">
        <f t="shared" si="1869"/>
        <v>0</v>
      </c>
      <c r="M1438" s="1898">
        <f t="shared" si="1869"/>
        <v>0</v>
      </c>
      <c r="N1438" s="1898">
        <f t="shared" si="1869"/>
        <v>0</v>
      </c>
      <c r="O1438" s="1898">
        <f t="shared" si="1869"/>
        <v>0</v>
      </c>
      <c r="P1438" s="1898">
        <f t="shared" si="1869"/>
        <v>0</v>
      </c>
      <c r="Q1438" s="2063">
        <f t="shared" si="1869"/>
        <v>0</v>
      </c>
      <c r="S1438" s="6"/>
    </row>
    <row r="1439" spans="1:19" x14ac:dyDescent="0.2">
      <c r="A1439" s="6"/>
      <c r="E1439" s="2068" t="str">
        <f t="shared" ref="E1439:E1447" si="1870">+D370</f>
        <v xml:space="preserve">Dactylis Semillero </v>
      </c>
      <c r="F1439" s="1898">
        <f t="shared" ref="F1439:Q1439" si="1871">IFERROR(VLOOKUP(F$1345,$S370:$T370,2,FALSE),0)</f>
        <v>0</v>
      </c>
      <c r="G1439" s="1898">
        <f t="shared" si="1871"/>
        <v>0</v>
      </c>
      <c r="H1439" s="1898">
        <f t="shared" si="1871"/>
        <v>0</v>
      </c>
      <c r="I1439" s="1898">
        <f t="shared" si="1871"/>
        <v>0</v>
      </c>
      <c r="J1439" s="1898">
        <f t="shared" si="1871"/>
        <v>0</v>
      </c>
      <c r="K1439" s="1898">
        <f t="shared" si="1871"/>
        <v>0</v>
      </c>
      <c r="L1439" s="1898">
        <f t="shared" si="1871"/>
        <v>0</v>
      </c>
      <c r="M1439" s="1898">
        <f t="shared" si="1871"/>
        <v>0</v>
      </c>
      <c r="N1439" s="1898">
        <f t="shared" si="1871"/>
        <v>0</v>
      </c>
      <c r="O1439" s="1898">
        <f t="shared" si="1871"/>
        <v>0</v>
      </c>
      <c r="P1439" s="1898">
        <f t="shared" si="1871"/>
        <v>0</v>
      </c>
      <c r="Q1439" s="2063">
        <f t="shared" si="1871"/>
        <v>0</v>
      </c>
      <c r="S1439" s="6"/>
    </row>
    <row r="1440" spans="1:19" x14ac:dyDescent="0.2">
      <c r="A1440" s="6"/>
      <c r="E1440" s="2068" t="str">
        <f t="shared" si="1870"/>
        <v xml:space="preserve">Festuca Semillero </v>
      </c>
      <c r="F1440" s="1898">
        <f t="shared" ref="F1440:Q1440" si="1872">IFERROR(VLOOKUP(F$1345,$S371:$T371,2,FALSE),0)</f>
        <v>0</v>
      </c>
      <c r="G1440" s="1898">
        <f t="shared" si="1872"/>
        <v>0</v>
      </c>
      <c r="H1440" s="1898">
        <f t="shared" si="1872"/>
        <v>0</v>
      </c>
      <c r="I1440" s="1898">
        <f t="shared" si="1872"/>
        <v>0</v>
      </c>
      <c r="J1440" s="1898">
        <f t="shared" si="1872"/>
        <v>0</v>
      </c>
      <c r="K1440" s="1898">
        <f t="shared" si="1872"/>
        <v>0</v>
      </c>
      <c r="L1440" s="1898">
        <f t="shared" si="1872"/>
        <v>0</v>
      </c>
      <c r="M1440" s="1898">
        <f t="shared" si="1872"/>
        <v>0</v>
      </c>
      <c r="N1440" s="1898">
        <f t="shared" si="1872"/>
        <v>0</v>
      </c>
      <c r="O1440" s="1898">
        <f t="shared" si="1872"/>
        <v>0</v>
      </c>
      <c r="P1440" s="1898">
        <f t="shared" si="1872"/>
        <v>0</v>
      </c>
      <c r="Q1440" s="2063">
        <f t="shared" si="1872"/>
        <v>0</v>
      </c>
      <c r="S1440" s="6"/>
    </row>
    <row r="1441" spans="1:136" x14ac:dyDescent="0.2">
      <c r="A1441" s="6"/>
      <c r="E1441" s="2068" t="str">
        <f t="shared" si="1870"/>
        <v xml:space="preserve">Rg semillero </v>
      </c>
      <c r="F1441" s="1898">
        <f t="shared" ref="F1441:Q1441" si="1873">IFERROR(VLOOKUP(F$1345,$S372:$T372,2,FALSE),0)</f>
        <v>0</v>
      </c>
      <c r="G1441" s="1898">
        <f t="shared" si="1873"/>
        <v>0</v>
      </c>
      <c r="H1441" s="1898">
        <f t="shared" si="1873"/>
        <v>0</v>
      </c>
      <c r="I1441" s="1898">
        <f t="shared" si="1873"/>
        <v>0</v>
      </c>
      <c r="J1441" s="1898">
        <f t="shared" si="1873"/>
        <v>0</v>
      </c>
      <c r="K1441" s="1898">
        <f t="shared" si="1873"/>
        <v>0</v>
      </c>
      <c r="L1441" s="1898">
        <f t="shared" si="1873"/>
        <v>0</v>
      </c>
      <c r="M1441" s="1898">
        <f t="shared" si="1873"/>
        <v>0</v>
      </c>
      <c r="N1441" s="1898">
        <f t="shared" si="1873"/>
        <v>0</v>
      </c>
      <c r="O1441" s="1898">
        <f t="shared" si="1873"/>
        <v>0</v>
      </c>
      <c r="P1441" s="1898">
        <f t="shared" si="1873"/>
        <v>0</v>
      </c>
      <c r="Q1441" s="2063">
        <f t="shared" si="1873"/>
        <v>0</v>
      </c>
      <c r="S1441" s="6"/>
    </row>
    <row r="1442" spans="1:136" x14ac:dyDescent="0.2">
      <c r="A1442" s="6"/>
      <c r="E1442" s="2068">
        <f t="shared" si="1870"/>
        <v>0</v>
      </c>
      <c r="F1442" s="1898">
        <f t="shared" ref="F1442:Q1442" si="1874">IFERROR(VLOOKUP(F$1345,$S373:$T373,2,FALSE),0)</f>
        <v>0</v>
      </c>
      <c r="G1442" s="1898">
        <f t="shared" si="1874"/>
        <v>0</v>
      </c>
      <c r="H1442" s="1898">
        <f t="shared" si="1874"/>
        <v>0</v>
      </c>
      <c r="I1442" s="1898">
        <f t="shared" si="1874"/>
        <v>0</v>
      </c>
      <c r="J1442" s="1898">
        <f t="shared" si="1874"/>
        <v>0</v>
      </c>
      <c r="K1442" s="1898">
        <f t="shared" si="1874"/>
        <v>0</v>
      </c>
      <c r="L1442" s="1898">
        <f t="shared" si="1874"/>
        <v>0</v>
      </c>
      <c r="M1442" s="1898">
        <f t="shared" si="1874"/>
        <v>0</v>
      </c>
      <c r="N1442" s="1898">
        <f t="shared" si="1874"/>
        <v>0</v>
      </c>
      <c r="O1442" s="1898">
        <f t="shared" si="1874"/>
        <v>0</v>
      </c>
      <c r="P1442" s="1898">
        <f t="shared" si="1874"/>
        <v>0</v>
      </c>
      <c r="Q1442" s="2063">
        <f t="shared" si="1874"/>
        <v>0</v>
      </c>
      <c r="S1442" s="6"/>
    </row>
    <row r="1443" spans="1:136" x14ac:dyDescent="0.2">
      <c r="A1443" s="6"/>
      <c r="E1443" s="2068">
        <f t="shared" si="1870"/>
        <v>0</v>
      </c>
      <c r="F1443" s="1898">
        <f t="shared" ref="F1443:Q1443" si="1875">IFERROR(VLOOKUP(F$1345,$S374:$T374,2,FALSE),0)</f>
        <v>0</v>
      </c>
      <c r="G1443" s="1898">
        <f t="shared" si="1875"/>
        <v>0</v>
      </c>
      <c r="H1443" s="1898">
        <f t="shared" si="1875"/>
        <v>0</v>
      </c>
      <c r="I1443" s="1898">
        <f t="shared" si="1875"/>
        <v>0</v>
      </c>
      <c r="J1443" s="1898">
        <f t="shared" si="1875"/>
        <v>0</v>
      </c>
      <c r="K1443" s="1898">
        <f t="shared" si="1875"/>
        <v>0</v>
      </c>
      <c r="L1443" s="1898">
        <f t="shared" si="1875"/>
        <v>0</v>
      </c>
      <c r="M1443" s="1898">
        <f t="shared" si="1875"/>
        <v>0</v>
      </c>
      <c r="N1443" s="1898">
        <f t="shared" si="1875"/>
        <v>0</v>
      </c>
      <c r="O1443" s="1898">
        <f t="shared" si="1875"/>
        <v>0</v>
      </c>
      <c r="P1443" s="1898">
        <f t="shared" si="1875"/>
        <v>0</v>
      </c>
      <c r="Q1443" s="2063">
        <f t="shared" si="1875"/>
        <v>0</v>
      </c>
      <c r="S1443" s="6"/>
    </row>
    <row r="1444" spans="1:136" x14ac:dyDescent="0.2">
      <c r="A1444" s="6"/>
      <c r="D1444" s="105"/>
      <c r="E1444" s="2068">
        <f t="shared" si="1870"/>
        <v>0</v>
      </c>
      <c r="F1444" s="1898">
        <f t="shared" ref="F1444:Q1444" si="1876">IFERROR(VLOOKUP(F$1345,$S375:$T375,2,FALSE),0)</f>
        <v>0</v>
      </c>
      <c r="G1444" s="1898">
        <f t="shared" si="1876"/>
        <v>0</v>
      </c>
      <c r="H1444" s="1898">
        <f t="shared" si="1876"/>
        <v>0</v>
      </c>
      <c r="I1444" s="1898">
        <f t="shared" si="1876"/>
        <v>0</v>
      </c>
      <c r="J1444" s="1898">
        <f t="shared" si="1876"/>
        <v>0</v>
      </c>
      <c r="K1444" s="1898">
        <f t="shared" si="1876"/>
        <v>0</v>
      </c>
      <c r="L1444" s="1898">
        <f t="shared" si="1876"/>
        <v>0</v>
      </c>
      <c r="M1444" s="1898">
        <f t="shared" si="1876"/>
        <v>0</v>
      </c>
      <c r="N1444" s="1898">
        <f t="shared" si="1876"/>
        <v>0</v>
      </c>
      <c r="O1444" s="1898">
        <f t="shared" si="1876"/>
        <v>0</v>
      </c>
      <c r="P1444" s="1898">
        <f t="shared" si="1876"/>
        <v>0</v>
      </c>
      <c r="Q1444" s="2063">
        <f t="shared" si="1876"/>
        <v>0</v>
      </c>
      <c r="S1444" s="6"/>
    </row>
    <row r="1445" spans="1:136" x14ac:dyDescent="0.2">
      <c r="A1445" s="6"/>
      <c r="D1445" s="105"/>
      <c r="E1445" s="2068">
        <f t="shared" si="1870"/>
        <v>0</v>
      </c>
      <c r="F1445" s="1898">
        <f t="shared" ref="F1445:Q1445" si="1877">IFERROR(VLOOKUP(F$1345,$S376:$T376,2,FALSE),0)</f>
        <v>0</v>
      </c>
      <c r="G1445" s="1898">
        <f t="shared" si="1877"/>
        <v>0</v>
      </c>
      <c r="H1445" s="1898">
        <f t="shared" si="1877"/>
        <v>0</v>
      </c>
      <c r="I1445" s="1898">
        <f t="shared" si="1877"/>
        <v>0</v>
      </c>
      <c r="J1445" s="1898">
        <f t="shared" si="1877"/>
        <v>0</v>
      </c>
      <c r="K1445" s="1898">
        <f t="shared" si="1877"/>
        <v>0</v>
      </c>
      <c r="L1445" s="1898">
        <f t="shared" si="1877"/>
        <v>0</v>
      </c>
      <c r="M1445" s="1898">
        <f t="shared" si="1877"/>
        <v>0</v>
      </c>
      <c r="N1445" s="1898">
        <f t="shared" si="1877"/>
        <v>0</v>
      </c>
      <c r="O1445" s="1898">
        <f t="shared" si="1877"/>
        <v>0</v>
      </c>
      <c r="P1445" s="1898">
        <f t="shared" si="1877"/>
        <v>0</v>
      </c>
      <c r="Q1445" s="2063">
        <f t="shared" si="1877"/>
        <v>0</v>
      </c>
      <c r="S1445" s="6"/>
    </row>
    <row r="1446" spans="1:136" x14ac:dyDescent="0.2">
      <c r="A1446" s="6"/>
      <c r="D1446" s="105"/>
      <c r="E1446" s="2068">
        <f t="shared" si="1870"/>
        <v>0</v>
      </c>
      <c r="F1446" s="1898">
        <f t="shared" ref="F1446:Q1446" si="1878">IFERROR(VLOOKUP(F$1345,$S377:$T377,2,FALSE),0)</f>
        <v>0</v>
      </c>
      <c r="G1446" s="1898">
        <f t="shared" si="1878"/>
        <v>0</v>
      </c>
      <c r="H1446" s="1898">
        <f t="shared" si="1878"/>
        <v>0</v>
      </c>
      <c r="I1446" s="1898">
        <f t="shared" si="1878"/>
        <v>0</v>
      </c>
      <c r="J1446" s="1898">
        <f t="shared" si="1878"/>
        <v>0</v>
      </c>
      <c r="K1446" s="1898">
        <f t="shared" si="1878"/>
        <v>0</v>
      </c>
      <c r="L1446" s="1898">
        <f t="shared" si="1878"/>
        <v>0</v>
      </c>
      <c r="M1446" s="1898">
        <f t="shared" si="1878"/>
        <v>0</v>
      </c>
      <c r="N1446" s="1898">
        <f t="shared" si="1878"/>
        <v>0</v>
      </c>
      <c r="O1446" s="1898">
        <f t="shared" si="1878"/>
        <v>0</v>
      </c>
      <c r="P1446" s="1898">
        <f t="shared" si="1878"/>
        <v>0</v>
      </c>
      <c r="Q1446" s="2063">
        <f t="shared" si="1878"/>
        <v>0</v>
      </c>
      <c r="S1446" s="6"/>
    </row>
    <row r="1447" spans="1:136" x14ac:dyDescent="0.2">
      <c r="A1447" s="6"/>
      <c r="E1447" s="2068">
        <f t="shared" si="1870"/>
        <v>0</v>
      </c>
      <c r="F1447" s="1898">
        <f t="shared" ref="F1447:Q1447" si="1879">IFERROR(VLOOKUP(F$1345,$S378:$T378,2,FALSE),0)</f>
        <v>0</v>
      </c>
      <c r="G1447" s="1898">
        <f t="shared" si="1879"/>
        <v>0</v>
      </c>
      <c r="H1447" s="1898">
        <f t="shared" si="1879"/>
        <v>0</v>
      </c>
      <c r="I1447" s="1898">
        <f t="shared" si="1879"/>
        <v>0</v>
      </c>
      <c r="J1447" s="1898">
        <f t="shared" si="1879"/>
        <v>0</v>
      </c>
      <c r="K1447" s="1898">
        <f t="shared" si="1879"/>
        <v>0</v>
      </c>
      <c r="L1447" s="1898">
        <f t="shared" si="1879"/>
        <v>0</v>
      </c>
      <c r="M1447" s="1898">
        <f t="shared" si="1879"/>
        <v>0</v>
      </c>
      <c r="N1447" s="1898">
        <f t="shared" si="1879"/>
        <v>0</v>
      </c>
      <c r="O1447" s="1898">
        <f t="shared" si="1879"/>
        <v>0</v>
      </c>
      <c r="P1447" s="1898">
        <f t="shared" si="1879"/>
        <v>0</v>
      </c>
      <c r="Q1447" s="2063">
        <f t="shared" si="1879"/>
        <v>0</v>
      </c>
      <c r="S1447" s="6"/>
    </row>
    <row r="1448" spans="1:136" ht="15.05" thickBot="1" x14ac:dyDescent="0.25">
      <c r="A1448" s="6"/>
      <c r="E1448" s="2069" t="str">
        <f>+D369</f>
        <v xml:space="preserve">Semilleros gramíneas  </v>
      </c>
      <c r="F1448" s="2048">
        <f t="shared" ref="F1448:Q1448" si="1880">IFERROR(VLOOKUP(F$1345,$S379:$T379,2,FALSE),0)</f>
        <v>0</v>
      </c>
      <c r="G1448" s="2048">
        <f t="shared" si="1880"/>
        <v>0</v>
      </c>
      <c r="H1448" s="2048">
        <f t="shared" si="1880"/>
        <v>0</v>
      </c>
      <c r="I1448" s="2048">
        <f t="shared" si="1880"/>
        <v>0</v>
      </c>
      <c r="J1448" s="2048">
        <f t="shared" si="1880"/>
        <v>0</v>
      </c>
      <c r="K1448" s="2048">
        <f t="shared" si="1880"/>
        <v>0</v>
      </c>
      <c r="L1448" s="2048">
        <f t="shared" si="1880"/>
        <v>0</v>
      </c>
      <c r="M1448" s="2048">
        <f t="shared" si="1880"/>
        <v>0</v>
      </c>
      <c r="N1448" s="2048">
        <f t="shared" si="1880"/>
        <v>0</v>
      </c>
      <c r="O1448" s="2048">
        <f t="shared" si="1880"/>
        <v>0</v>
      </c>
      <c r="P1448" s="2048">
        <f t="shared" si="1880"/>
        <v>0</v>
      </c>
      <c r="Q1448" s="2049">
        <f t="shared" si="1880"/>
        <v>0</v>
      </c>
      <c r="S1448" s="6"/>
    </row>
    <row r="1449" spans="1:136" x14ac:dyDescent="0.2">
      <c r="A1449" s="6"/>
    </row>
    <row r="1450" spans="1:136" x14ac:dyDescent="0.2">
      <c r="A1450" s="6"/>
    </row>
    <row r="1451" spans="1:136" x14ac:dyDescent="0.2">
      <c r="A1451" s="6"/>
    </row>
    <row r="1452" spans="1:136" x14ac:dyDescent="0.2">
      <c r="A1452" s="6"/>
    </row>
    <row r="1453" spans="1:136" ht="16.399999999999999" x14ac:dyDescent="0.2">
      <c r="A1453" s="6"/>
      <c r="B1453" s="2070"/>
      <c r="R1453" s="2070"/>
      <c r="AA1453" s="2070"/>
    </row>
    <row r="1454" spans="1:136" s="2196" customFormat="1" ht="17.7" x14ac:dyDescent="0.3">
      <c r="A1454" s="2191"/>
      <c r="B1454" s="2191" t="s">
        <v>2104</v>
      </c>
      <c r="C1454" s="2191"/>
      <c r="D1454" s="2192"/>
      <c r="E1454" s="2192"/>
      <c r="F1454" s="2193"/>
      <c r="G1454" s="2193"/>
      <c r="H1454" s="2193"/>
      <c r="I1454" s="2193"/>
      <c r="J1454" s="2193"/>
      <c r="K1454" s="2193"/>
      <c r="L1454" s="2193"/>
      <c r="M1454" s="2193"/>
      <c r="N1454" s="2193"/>
      <c r="O1454" s="2193"/>
      <c r="P1454" s="2193"/>
      <c r="Q1454" s="2193"/>
      <c r="R1454" s="2194"/>
      <c r="S1454" s="2191"/>
      <c r="T1454" s="2191"/>
      <c r="U1454" s="2191"/>
      <c r="V1454" s="2191"/>
      <c r="W1454" s="2191"/>
      <c r="X1454" s="2191"/>
      <c r="Y1454" s="2191"/>
      <c r="Z1454" s="2191"/>
      <c r="AA1454" s="2191"/>
      <c r="AB1454" s="2191"/>
      <c r="AC1454" s="2191"/>
      <c r="AD1454" s="2191"/>
      <c r="AE1454" s="2191"/>
      <c r="AF1454" s="2191"/>
      <c r="AG1454" s="2191"/>
      <c r="AH1454" s="2191"/>
      <c r="AI1454" s="2191"/>
      <c r="AJ1454" s="2191"/>
      <c r="AK1454" s="2191"/>
      <c r="AL1454" s="2191"/>
      <c r="AM1454" s="2191"/>
      <c r="AN1454" s="2191"/>
      <c r="AO1454" s="2191"/>
      <c r="AP1454" s="2191"/>
      <c r="AQ1454" s="2191"/>
      <c r="AR1454" s="2191"/>
      <c r="AS1454" s="2191"/>
      <c r="AT1454" s="2191"/>
      <c r="AU1454" s="2191"/>
      <c r="AV1454" s="2191"/>
      <c r="AW1454" s="2191"/>
      <c r="AX1454" s="2191"/>
      <c r="AY1454" s="2191"/>
      <c r="AZ1454" s="2191"/>
      <c r="BA1454" s="2191"/>
      <c r="BB1454" s="2191"/>
      <c r="BC1454" s="2191"/>
      <c r="BD1454" s="2191"/>
      <c r="BE1454" s="2195"/>
      <c r="BF1454" s="2195"/>
      <c r="BG1454" s="2195"/>
      <c r="BH1454" s="2195"/>
      <c r="BI1454" s="2195"/>
      <c r="EF1454" s="2197"/>
    </row>
    <row r="1455" spans="1:136" ht="15.05" thickBot="1" x14ac:dyDescent="0.25">
      <c r="A1455" s="6"/>
    </row>
    <row r="1456" spans="1:136" x14ac:dyDescent="0.2">
      <c r="A1456" s="2188">
        <v>1077</v>
      </c>
      <c r="B1456" s="1446"/>
      <c r="C1456" s="958"/>
      <c r="D1456" s="2037" t="s">
        <v>1324</v>
      </c>
      <c r="E1456" s="2038"/>
      <c r="F1456" s="2038"/>
      <c r="G1456" s="2038" t="s">
        <v>1325</v>
      </c>
      <c r="H1456" s="2038" t="s">
        <v>1326</v>
      </c>
      <c r="I1456" s="2038"/>
      <c r="J1456" s="2071"/>
    </row>
    <row r="1457" spans="1:135" x14ac:dyDescent="0.2">
      <c r="A1457" s="6"/>
      <c r="D1457" s="2072" t="str">
        <f>+UsoSuelo!D638</f>
        <v xml:space="preserve">Vacas Ordeñe </v>
      </c>
      <c r="E1457" s="2024"/>
      <c r="F1457" s="2024"/>
      <c r="G1457" s="2024">
        <f>+UsoSuelo!G638</f>
        <v>0</v>
      </c>
      <c r="H1457" s="100">
        <f>+G1457*General!$C$64</f>
        <v>0</v>
      </c>
      <c r="I1457" s="100"/>
      <c r="J1457" s="2073" t="e">
        <f>+H1457/Alimentos!G139/Alimentos!G137</f>
        <v>#DIV/0!</v>
      </c>
    </row>
    <row r="1458" spans="1:135" x14ac:dyDescent="0.2">
      <c r="A1458" s="6"/>
      <c r="D1458" s="2072" t="str">
        <f>+D639</f>
        <v>Recría-Vacas Secas</v>
      </c>
      <c r="E1458" s="2024"/>
      <c r="F1458" s="2024"/>
      <c r="G1458" s="2024">
        <f>+G639</f>
        <v>0</v>
      </c>
      <c r="H1458" s="100">
        <f>+G1458*General!$C$64</f>
        <v>0</v>
      </c>
      <c r="I1458" s="100"/>
      <c r="J1458" s="2073"/>
    </row>
    <row r="1459" spans="1:135" ht="15.05" thickBot="1" x14ac:dyDescent="0.25">
      <c r="A1459" s="6"/>
      <c r="D1459" s="2074" t="str">
        <f>+D640</f>
        <v>Ganadería</v>
      </c>
      <c r="E1459" s="2075"/>
      <c r="F1459" s="2075"/>
      <c r="G1459" s="2075">
        <f>+G640</f>
        <v>0</v>
      </c>
      <c r="H1459" s="2006">
        <f>+G1459*General!$C$64</f>
        <v>0</v>
      </c>
      <c r="I1459" s="2006"/>
      <c r="J1459" s="2076"/>
    </row>
    <row r="1460" spans="1:135" x14ac:dyDescent="0.2">
      <c r="A1460" s="6"/>
      <c r="H1460" s="2077">
        <f>+H1459+H1458+H1457</f>
        <v>0</v>
      </c>
    </row>
    <row r="1462" spans="1:135" ht="23.6" x14ac:dyDescent="0.2">
      <c r="A1462" s="2210" t="s">
        <v>2105</v>
      </c>
    </row>
    <row r="1465" spans="1:135" x14ac:dyDescent="0.2">
      <c r="A1465" s="63"/>
      <c r="B1465" s="1403"/>
      <c r="C1465" s="1403"/>
      <c r="D1465" s="1403"/>
      <c r="E1465" s="1403"/>
      <c r="F1465" s="1403"/>
      <c r="G1465" s="1403"/>
      <c r="H1465" s="1403"/>
      <c r="I1465" s="1403"/>
      <c r="J1465" s="1403"/>
      <c r="K1465" s="1403"/>
      <c r="L1465" s="1403"/>
      <c r="M1465" s="1403"/>
      <c r="N1465" s="1403"/>
      <c r="O1465" s="1403"/>
      <c r="P1465" s="1460"/>
      <c r="Q1465" s="1460"/>
      <c r="R1465" s="1403"/>
      <c r="S1465" s="1504"/>
      <c r="T1465" s="1403"/>
      <c r="U1465" s="1403"/>
      <c r="V1465" s="1403"/>
      <c r="W1465" s="1403"/>
      <c r="X1465" s="1403"/>
      <c r="Y1465" s="1403"/>
      <c r="Z1465" s="1403"/>
      <c r="AA1465" s="1403"/>
      <c r="AB1465" s="1403"/>
      <c r="AC1465" s="1403"/>
      <c r="AD1465" s="1403"/>
      <c r="AE1465" s="1403"/>
      <c r="AF1465" s="1403"/>
      <c r="AG1465" s="1403"/>
      <c r="AH1465" s="1403"/>
      <c r="AI1465" s="1403"/>
      <c r="AJ1465" s="1403"/>
      <c r="AK1465" s="1403"/>
      <c r="AL1465" s="1403"/>
      <c r="AM1465" s="1403"/>
      <c r="AN1465" s="1403"/>
      <c r="AO1465" s="1403"/>
      <c r="AP1465" s="1403"/>
      <c r="AQ1465" s="1403"/>
      <c r="AR1465" s="1403"/>
      <c r="AS1465" s="1403"/>
      <c r="AT1465" s="1403"/>
      <c r="AU1465" s="1403"/>
      <c r="AV1465" s="1403"/>
      <c r="AW1465" s="1403"/>
      <c r="AX1465" s="1403"/>
      <c r="AY1465" s="1403"/>
      <c r="AZ1465" s="1403"/>
      <c r="BA1465" s="1403"/>
      <c r="BB1465" s="1403"/>
      <c r="BC1465" s="1403"/>
      <c r="BD1465" s="1403"/>
      <c r="BE1465" s="1403"/>
      <c r="BF1465" s="1403"/>
      <c r="BG1465" s="1403"/>
      <c r="BH1465" s="1403"/>
      <c r="BI1465" s="1403"/>
      <c r="BJ1465" s="1403"/>
      <c r="BK1465" s="1403"/>
      <c r="BL1465" s="1403"/>
      <c r="BM1465" s="1403"/>
      <c r="BN1465" s="1403"/>
      <c r="BO1465" s="1403"/>
      <c r="BP1465" s="1403"/>
      <c r="BQ1465" s="1403"/>
      <c r="BR1465" s="1403"/>
      <c r="BS1465" s="1403"/>
      <c r="BT1465" s="1403"/>
      <c r="BU1465" s="1403"/>
      <c r="BV1465" s="1403"/>
      <c r="BW1465" s="1403"/>
      <c r="BX1465" s="1403"/>
      <c r="BY1465" s="1403"/>
      <c r="BZ1465" s="1403"/>
      <c r="CA1465" s="1403"/>
      <c r="CB1465" s="1403"/>
      <c r="CC1465" s="1403"/>
      <c r="CD1465" s="1403"/>
      <c r="CE1465" s="1403"/>
      <c r="CF1465" s="1403"/>
      <c r="CG1465" s="1403"/>
      <c r="CH1465" s="1403"/>
      <c r="CI1465" s="1403"/>
      <c r="CJ1465" s="1403"/>
      <c r="CK1465" s="1403"/>
      <c r="CL1465" s="1403"/>
      <c r="CM1465" s="1403"/>
      <c r="CN1465" s="1403"/>
      <c r="CO1465" s="1403"/>
      <c r="CP1465" s="1403"/>
      <c r="CQ1465" s="1403"/>
      <c r="CR1465" s="1403"/>
      <c r="CS1465" s="1403"/>
      <c r="CT1465" s="1403"/>
      <c r="CU1465" s="1403"/>
      <c r="CV1465" s="1403"/>
      <c r="CW1465" s="1403"/>
      <c r="CX1465" s="1403"/>
      <c r="CY1465" s="1403"/>
      <c r="CZ1465" s="1403"/>
      <c r="DA1465" s="1403"/>
      <c r="DB1465" s="1403"/>
      <c r="DC1465" s="1403"/>
      <c r="DD1465" s="1403"/>
      <c r="DE1465" s="1403"/>
      <c r="DF1465" s="1403"/>
      <c r="DG1465" s="1403"/>
      <c r="DH1465" s="1403"/>
      <c r="DI1465" s="1403"/>
      <c r="DJ1465" s="1403"/>
      <c r="DK1465" s="1403"/>
      <c r="DL1465" s="1403"/>
      <c r="DM1465" s="1403"/>
      <c r="DN1465" s="1403"/>
      <c r="DO1465" s="1403"/>
      <c r="DP1465" s="1403"/>
      <c r="DQ1465" s="1403"/>
      <c r="DR1465" s="1403"/>
      <c r="DS1465" s="1403"/>
      <c r="DT1465" s="1403"/>
      <c r="DU1465" s="1403"/>
      <c r="DV1465" s="1403"/>
      <c r="DW1465" s="1403"/>
      <c r="DX1465" s="1403"/>
      <c r="DY1465" s="1403"/>
      <c r="DZ1465" s="1403"/>
      <c r="EA1465" s="1403"/>
      <c r="EB1465" s="1403"/>
      <c r="EC1465" s="1403"/>
      <c r="ED1465" s="1403"/>
      <c r="EE1465" s="1403"/>
    </row>
    <row r="1466" spans="1:135" x14ac:dyDescent="0.2">
      <c r="A1466" s="63"/>
      <c r="B1466" s="1403"/>
      <c r="C1466" s="1403"/>
      <c r="D1466" s="1403"/>
      <c r="E1466" s="1403"/>
      <c r="F1466" s="1403"/>
      <c r="G1466" s="1403"/>
      <c r="H1466" s="1403"/>
      <c r="I1466" s="1403"/>
      <c r="J1466" s="1403"/>
      <c r="K1466" s="1403"/>
      <c r="L1466" s="1403"/>
      <c r="M1466" s="1403"/>
      <c r="N1466" s="1403"/>
      <c r="O1466" s="1403"/>
      <c r="P1466" s="1460"/>
      <c r="Q1466" s="1460"/>
      <c r="R1466" s="1403"/>
      <c r="S1466" s="1504"/>
      <c r="T1466" s="1403"/>
      <c r="U1466" s="1403"/>
      <c r="V1466" s="1403"/>
      <c r="W1466" s="1403"/>
      <c r="X1466" s="1403"/>
      <c r="Y1466" s="1403"/>
      <c r="Z1466" s="1403"/>
      <c r="AA1466" s="1403"/>
      <c r="AB1466" s="1403"/>
      <c r="AC1466" s="1403"/>
      <c r="AD1466" s="1403"/>
      <c r="AE1466" s="1403"/>
      <c r="AF1466" s="1403"/>
      <c r="AG1466" s="1403"/>
      <c r="AH1466" s="1403"/>
      <c r="AI1466" s="1403"/>
      <c r="AJ1466" s="1403"/>
      <c r="AK1466" s="1403"/>
      <c r="AL1466" s="1403"/>
      <c r="AM1466" s="1403"/>
      <c r="AN1466" s="1403"/>
      <c r="AO1466" s="1403"/>
      <c r="AP1466" s="1403"/>
      <c r="AQ1466" s="1403"/>
      <c r="AR1466" s="1403"/>
      <c r="AS1466" s="1403"/>
      <c r="AT1466" s="1403"/>
      <c r="AU1466" s="1403"/>
      <c r="AV1466" s="1403"/>
      <c r="AW1466" s="1403"/>
      <c r="AX1466" s="1403"/>
      <c r="AY1466" s="1403"/>
      <c r="AZ1466" s="1403"/>
      <c r="BA1466" s="1403"/>
      <c r="BB1466" s="1403"/>
      <c r="BC1466" s="1403"/>
      <c r="BD1466" s="1403"/>
      <c r="BE1466" s="1403"/>
      <c r="BF1466" s="1403"/>
      <c r="BG1466" s="1403"/>
      <c r="BH1466" s="1403"/>
      <c r="BI1466" s="1403"/>
      <c r="BJ1466" s="1403"/>
      <c r="BK1466" s="1403"/>
      <c r="BL1466" s="1403"/>
      <c r="BM1466" s="1403"/>
      <c r="BN1466" s="1403"/>
      <c r="BO1466" s="1403"/>
      <c r="BP1466" s="1403"/>
      <c r="BQ1466" s="1403"/>
      <c r="BR1466" s="1403"/>
      <c r="BS1466" s="1403"/>
      <c r="BT1466" s="1403"/>
      <c r="BU1466" s="1403"/>
      <c r="BV1466" s="1403"/>
      <c r="BW1466" s="1403"/>
      <c r="BX1466" s="1403"/>
      <c r="BY1466" s="1403"/>
      <c r="BZ1466" s="1403"/>
      <c r="CA1466" s="1403"/>
      <c r="CB1466" s="1403"/>
      <c r="CC1466" s="1403"/>
      <c r="CD1466" s="1403"/>
      <c r="CE1466" s="1403"/>
      <c r="CF1466" s="1403"/>
      <c r="CG1466" s="1403"/>
      <c r="CH1466" s="1403"/>
      <c r="CI1466" s="1403"/>
      <c r="CJ1466" s="1403"/>
      <c r="CK1466" s="1403"/>
      <c r="CL1466" s="1403"/>
      <c r="CM1466" s="1403"/>
      <c r="CN1466" s="1403"/>
      <c r="CO1466" s="1403"/>
      <c r="CP1466" s="1403"/>
      <c r="CQ1466" s="1403"/>
      <c r="CR1466" s="1403"/>
      <c r="CS1466" s="1403"/>
      <c r="CT1466" s="1403"/>
      <c r="CU1466" s="1403"/>
      <c r="CV1466" s="1403"/>
      <c r="CW1466" s="1403"/>
      <c r="CX1466" s="1403"/>
      <c r="CY1466" s="1403"/>
      <c r="CZ1466" s="1403"/>
      <c r="DA1466" s="1403"/>
      <c r="DB1466" s="1403"/>
      <c r="DC1466" s="1403"/>
      <c r="DD1466" s="1403"/>
      <c r="DE1466" s="1403"/>
      <c r="DF1466" s="1403"/>
      <c r="DG1466" s="1403"/>
      <c r="DH1466" s="1403"/>
      <c r="DI1466" s="1403"/>
      <c r="DJ1466" s="1403"/>
      <c r="DK1466" s="1403"/>
      <c r="DL1466" s="1403"/>
      <c r="DM1466" s="1403"/>
      <c r="DN1466" s="1403"/>
      <c r="DO1466" s="1403"/>
      <c r="DP1466" s="1403"/>
      <c r="DQ1466" s="1403"/>
      <c r="DR1466" s="1403"/>
      <c r="DS1466" s="1403"/>
      <c r="DT1466" s="1403"/>
      <c r="DU1466" s="1403"/>
      <c r="DV1466" s="1403"/>
      <c r="DW1466" s="1403"/>
      <c r="DX1466" s="1403"/>
      <c r="DY1466" s="1403"/>
      <c r="DZ1466" s="1403"/>
      <c r="EA1466" s="1403"/>
      <c r="EB1466" s="1403"/>
      <c r="EC1466" s="1403"/>
      <c r="ED1466" s="1403"/>
      <c r="EE1466" s="1403"/>
    </row>
    <row r="1467" spans="1:135" x14ac:dyDescent="0.2">
      <c r="A1467" s="63"/>
      <c r="B1467" s="1403"/>
      <c r="C1467" s="1403"/>
      <c r="D1467" s="1403"/>
      <c r="E1467" s="1403"/>
      <c r="F1467" s="1403"/>
      <c r="G1467" s="1403"/>
      <c r="H1467" s="1403"/>
      <c r="I1467" s="1403"/>
      <c r="J1467" s="1403"/>
      <c r="K1467" s="1403"/>
      <c r="L1467" s="1403"/>
      <c r="M1467" s="1403"/>
      <c r="N1467" s="1403"/>
      <c r="O1467" s="1403"/>
      <c r="P1467" s="1460"/>
      <c r="Q1467" s="1460"/>
      <c r="R1467" s="1403"/>
      <c r="S1467" s="1504"/>
      <c r="T1467" s="1403"/>
      <c r="U1467" s="1403"/>
      <c r="V1467" s="1403"/>
      <c r="W1467" s="1403"/>
      <c r="X1467" s="1403"/>
      <c r="Y1467" s="1403"/>
      <c r="Z1467" s="1403"/>
      <c r="AA1467" s="1403"/>
      <c r="AB1467" s="1403"/>
      <c r="AC1467" s="1403"/>
      <c r="AD1467" s="1403"/>
      <c r="AE1467" s="1403"/>
      <c r="AF1467" s="1403"/>
      <c r="AG1467" s="1403"/>
      <c r="AH1467" s="1403"/>
      <c r="AI1467" s="1403"/>
      <c r="AJ1467" s="1403"/>
      <c r="AK1467" s="1403"/>
      <c r="AL1467" s="1403"/>
      <c r="AM1467" s="1403"/>
      <c r="AN1467" s="1403"/>
      <c r="AO1467" s="1403"/>
      <c r="AP1467" s="1403"/>
      <c r="AQ1467" s="1403"/>
      <c r="AR1467" s="1403"/>
      <c r="AS1467" s="1403"/>
      <c r="AT1467" s="1403"/>
      <c r="AU1467" s="1403"/>
      <c r="AV1467" s="1403"/>
      <c r="AW1467" s="1403"/>
      <c r="AX1467" s="1403"/>
      <c r="AY1467" s="1403"/>
      <c r="AZ1467" s="1403"/>
      <c r="BA1467" s="1403"/>
      <c r="BB1467" s="1403"/>
      <c r="BC1467" s="1403"/>
      <c r="BD1467" s="1403"/>
      <c r="BE1467" s="1403"/>
      <c r="BF1467" s="1403"/>
      <c r="BG1467" s="1403"/>
      <c r="BH1467" s="1403"/>
      <c r="BI1467" s="1403"/>
      <c r="BJ1467" s="1403"/>
      <c r="BK1467" s="1403"/>
      <c r="BL1467" s="1403"/>
      <c r="BM1467" s="1403"/>
      <c r="BN1467" s="1403"/>
      <c r="BO1467" s="1403"/>
      <c r="BP1467" s="1403"/>
      <c r="BQ1467" s="1403"/>
      <c r="BR1467" s="1403"/>
      <c r="BS1467" s="1403"/>
      <c r="BT1467" s="1403"/>
      <c r="BU1467" s="1403"/>
      <c r="BV1467" s="1403"/>
      <c r="BW1467" s="1403"/>
      <c r="BX1467" s="1403"/>
      <c r="BY1467" s="1403"/>
      <c r="BZ1467" s="1403"/>
      <c r="CA1467" s="1403"/>
      <c r="CB1467" s="1403"/>
      <c r="CC1467" s="1403"/>
      <c r="CD1467" s="1403"/>
      <c r="CE1467" s="1403"/>
      <c r="CF1467" s="1403"/>
      <c r="CG1467" s="1403"/>
      <c r="CH1467" s="1403"/>
      <c r="CI1467" s="1403"/>
      <c r="CJ1467" s="1403"/>
      <c r="CK1467" s="1403"/>
      <c r="CL1467" s="1403"/>
      <c r="CM1467" s="1403"/>
      <c r="CN1467" s="1403"/>
      <c r="CO1467" s="1403"/>
      <c r="CP1467" s="1403"/>
      <c r="CQ1467" s="1403"/>
      <c r="CR1467" s="1403"/>
      <c r="CS1467" s="1403"/>
      <c r="CT1467" s="1403"/>
      <c r="CU1467" s="1403"/>
      <c r="CV1467" s="1403"/>
      <c r="CW1467" s="1403"/>
      <c r="CX1467" s="1403"/>
      <c r="CY1467" s="1403"/>
      <c r="CZ1467" s="1403"/>
      <c r="DA1467" s="1403"/>
      <c r="DB1467" s="1403"/>
      <c r="DC1467" s="1403"/>
      <c r="DD1467" s="1403"/>
      <c r="DE1467" s="1403"/>
      <c r="DF1467" s="1403"/>
      <c r="DG1467" s="1403"/>
      <c r="DH1467" s="1403"/>
      <c r="DI1467" s="1403"/>
      <c r="DJ1467" s="1403"/>
      <c r="DK1467" s="1403"/>
      <c r="DL1467" s="1403"/>
      <c r="DM1467" s="1403"/>
      <c r="DN1467" s="1403"/>
      <c r="DO1467" s="1403"/>
      <c r="DP1467" s="1403"/>
      <c r="DQ1467" s="1403"/>
      <c r="DR1467" s="1403"/>
      <c r="DS1467" s="1403"/>
      <c r="DT1467" s="1403"/>
      <c r="DU1467" s="1403"/>
      <c r="DV1467" s="1403"/>
      <c r="DW1467" s="1403"/>
      <c r="DX1467" s="1403"/>
      <c r="DY1467" s="1403"/>
      <c r="DZ1467" s="1403"/>
      <c r="EA1467" s="1403"/>
      <c r="EB1467" s="1403"/>
      <c r="EC1467" s="1403"/>
      <c r="ED1467" s="1403"/>
      <c r="EE1467" s="1403"/>
    </row>
    <row r="1468" spans="1:135" x14ac:dyDescent="0.2">
      <c r="A1468" s="63"/>
      <c r="B1468" s="1403"/>
      <c r="C1468" s="1403"/>
      <c r="D1468" s="1403"/>
      <c r="E1468" s="1403"/>
      <c r="F1468" s="1403"/>
      <c r="G1468" s="1403"/>
      <c r="H1468" s="1403"/>
      <c r="I1468" s="1403"/>
      <c r="J1468" s="1403"/>
      <c r="K1468" s="1403"/>
      <c r="L1468" s="1403"/>
      <c r="M1468" s="1403"/>
      <c r="N1468" s="1403"/>
      <c r="O1468" s="1403"/>
      <c r="P1468" s="1460"/>
      <c r="Q1468" s="1460"/>
      <c r="R1468" s="1403"/>
      <c r="S1468" s="1504"/>
      <c r="T1468" s="1403"/>
      <c r="U1468" s="1403"/>
      <c r="V1468" s="1403"/>
      <c r="W1468" s="1403"/>
      <c r="X1468" s="1403"/>
      <c r="Y1468" s="1403"/>
      <c r="Z1468" s="1403"/>
      <c r="AA1468" s="1403"/>
      <c r="AB1468" s="1403"/>
      <c r="AC1468" s="1403"/>
      <c r="AD1468" s="1403"/>
      <c r="AE1468" s="1403"/>
      <c r="AF1468" s="1403"/>
      <c r="AG1468" s="1403"/>
      <c r="AH1468" s="1403"/>
      <c r="AI1468" s="1403"/>
      <c r="AJ1468" s="1403"/>
      <c r="AK1468" s="1403"/>
      <c r="AL1468" s="1403"/>
      <c r="AM1468" s="1403"/>
      <c r="AN1468" s="1403"/>
      <c r="AO1468" s="1403"/>
      <c r="AP1468" s="1403"/>
      <c r="AQ1468" s="1403"/>
      <c r="AR1468" s="1403"/>
      <c r="AS1468" s="1403"/>
      <c r="AT1468" s="1403"/>
      <c r="AU1468" s="1403"/>
      <c r="AV1468" s="1403"/>
      <c r="AW1468" s="1403"/>
      <c r="AX1468" s="1403"/>
      <c r="AY1468" s="1403"/>
      <c r="AZ1468" s="1403"/>
      <c r="BA1468" s="1403"/>
      <c r="BB1468" s="1403"/>
      <c r="BC1468" s="1403"/>
      <c r="BD1468" s="1403"/>
      <c r="BE1468" s="1403"/>
      <c r="BF1468" s="1403"/>
      <c r="BG1468" s="1403"/>
      <c r="BH1468" s="1403"/>
      <c r="BI1468" s="1403"/>
      <c r="BJ1468" s="1403"/>
      <c r="BK1468" s="1403"/>
      <c r="BL1468" s="1403"/>
      <c r="BM1468" s="1403"/>
      <c r="BN1468" s="1403"/>
      <c r="BO1468" s="1403"/>
      <c r="BP1468" s="1403"/>
      <c r="BQ1468" s="1403"/>
      <c r="BR1468" s="1403"/>
      <c r="BS1468" s="1403"/>
      <c r="BT1468" s="1403"/>
      <c r="BU1468" s="1403"/>
      <c r="BV1468" s="1403"/>
      <c r="BW1468" s="1403"/>
      <c r="BX1468" s="1403"/>
      <c r="BY1468" s="1403"/>
      <c r="BZ1468" s="1403"/>
      <c r="CA1468" s="1403"/>
      <c r="CB1468" s="1403"/>
      <c r="CC1468" s="1403"/>
      <c r="CD1468" s="1403"/>
      <c r="CE1468" s="1403"/>
      <c r="CF1468" s="1403"/>
      <c r="CG1468" s="1403"/>
      <c r="CH1468" s="1403"/>
      <c r="CI1468" s="1403"/>
      <c r="CJ1468" s="1403"/>
      <c r="CK1468" s="1403"/>
      <c r="CL1468" s="1403"/>
      <c r="CM1468" s="1403"/>
      <c r="CN1468" s="1403"/>
      <c r="CO1468" s="1403"/>
      <c r="CP1468" s="1403"/>
      <c r="CQ1468" s="1403"/>
      <c r="CR1468" s="1403"/>
      <c r="CS1468" s="1403"/>
      <c r="CT1468" s="1403"/>
      <c r="CU1468" s="1403"/>
      <c r="CV1468" s="1403"/>
      <c r="CW1468" s="1403"/>
      <c r="CX1468" s="1403"/>
      <c r="CY1468" s="1403"/>
      <c r="CZ1468" s="1403"/>
      <c r="DA1468" s="1403"/>
      <c r="DB1468" s="1403"/>
      <c r="DC1468" s="1403"/>
      <c r="DD1468" s="1403"/>
      <c r="DE1468" s="1403"/>
      <c r="DF1468" s="1403"/>
      <c r="DG1468" s="1403"/>
      <c r="DH1468" s="1403"/>
      <c r="DI1468" s="1403"/>
      <c r="DJ1468" s="1403"/>
      <c r="DK1468" s="1403"/>
      <c r="DL1468" s="1403"/>
      <c r="DM1468" s="1403"/>
      <c r="DN1468" s="1403"/>
      <c r="DO1468" s="1403"/>
      <c r="DP1468" s="1403"/>
      <c r="DQ1468" s="1403"/>
      <c r="DR1468" s="1403"/>
      <c r="DS1468" s="1403"/>
      <c r="DT1468" s="1403"/>
      <c r="DU1468" s="1403"/>
      <c r="DV1468" s="1403"/>
      <c r="DW1468" s="1403"/>
      <c r="DX1468" s="1403"/>
      <c r="DY1468" s="1403"/>
      <c r="DZ1468" s="1403"/>
      <c r="EA1468" s="1403"/>
      <c r="EB1468" s="1403"/>
      <c r="EC1468" s="1403"/>
      <c r="ED1468" s="1403"/>
      <c r="EE1468" s="1403"/>
    </row>
    <row r="1469" spans="1:135" x14ac:dyDescent="0.2">
      <c r="A1469" s="63"/>
      <c r="B1469" s="1403"/>
      <c r="C1469" s="1403"/>
      <c r="D1469" s="1403"/>
      <c r="E1469" s="1403"/>
      <c r="F1469" s="1403"/>
      <c r="G1469" s="1403"/>
      <c r="H1469" s="1403"/>
      <c r="I1469" s="1403"/>
      <c r="J1469" s="1403"/>
      <c r="K1469" s="1403"/>
      <c r="L1469" s="1403"/>
      <c r="M1469" s="1403"/>
      <c r="N1469" s="1403"/>
      <c r="O1469" s="1403"/>
      <c r="P1469" s="1460"/>
      <c r="Q1469" s="1460"/>
      <c r="R1469" s="1403"/>
      <c r="S1469" s="1504"/>
      <c r="T1469" s="1403"/>
      <c r="U1469" s="1403"/>
      <c r="V1469" s="1403"/>
      <c r="W1469" s="1403"/>
      <c r="X1469" s="1403"/>
      <c r="Y1469" s="1403"/>
      <c r="Z1469" s="1403"/>
      <c r="AA1469" s="1403"/>
      <c r="AB1469" s="1403"/>
      <c r="AC1469" s="1403"/>
      <c r="AD1469" s="1403"/>
      <c r="AE1469" s="1403"/>
      <c r="AF1469" s="1403"/>
      <c r="AG1469" s="1403"/>
      <c r="AH1469" s="1403"/>
      <c r="AI1469" s="1403"/>
      <c r="AJ1469" s="1403"/>
      <c r="AK1469" s="1403"/>
      <c r="AL1469" s="1403"/>
      <c r="AM1469" s="1403"/>
      <c r="AN1469" s="1403"/>
      <c r="AO1469" s="1403"/>
      <c r="AP1469" s="1403"/>
      <c r="AQ1469" s="1403"/>
      <c r="AR1469" s="1403"/>
      <c r="AS1469" s="1403"/>
      <c r="AT1469" s="1403"/>
      <c r="AU1469" s="1403"/>
      <c r="AV1469" s="1403"/>
      <c r="AW1469" s="1403"/>
      <c r="AX1469" s="1403"/>
      <c r="AY1469" s="1403"/>
      <c r="AZ1469" s="1403"/>
      <c r="BA1469" s="1403"/>
      <c r="BB1469" s="1403"/>
      <c r="BC1469" s="1403"/>
      <c r="BD1469" s="1403"/>
      <c r="BE1469" s="1403"/>
      <c r="BF1469" s="1403"/>
      <c r="BG1469" s="1403"/>
      <c r="BH1469" s="1403"/>
      <c r="BI1469" s="1403"/>
      <c r="BJ1469" s="1403"/>
      <c r="BK1469" s="1403"/>
      <c r="BL1469" s="1403"/>
      <c r="BM1469" s="1403"/>
      <c r="BN1469" s="1403"/>
      <c r="BO1469" s="1403"/>
      <c r="BP1469" s="1403"/>
      <c r="BQ1469" s="1403"/>
      <c r="BR1469" s="1403"/>
      <c r="BS1469" s="1403"/>
      <c r="BT1469" s="1403"/>
      <c r="BU1469" s="1403"/>
      <c r="BV1469" s="1403"/>
      <c r="BW1469" s="1403"/>
      <c r="BX1469" s="1403"/>
      <c r="BY1469" s="1403"/>
      <c r="BZ1469" s="1403"/>
      <c r="CA1469" s="1403"/>
      <c r="CB1469" s="1403"/>
      <c r="CC1469" s="1403"/>
      <c r="CD1469" s="1403"/>
      <c r="CE1469" s="1403"/>
      <c r="CF1469" s="1403"/>
      <c r="CG1469" s="1403"/>
      <c r="CH1469" s="1403"/>
      <c r="CI1469" s="1403"/>
      <c r="CJ1469" s="1403"/>
      <c r="CK1469" s="1403"/>
      <c r="CL1469" s="1403"/>
      <c r="CM1469" s="1403"/>
      <c r="CN1469" s="1403"/>
      <c r="CO1469" s="1403"/>
      <c r="CP1469" s="1403"/>
      <c r="CQ1469" s="1403"/>
      <c r="CR1469" s="1403"/>
      <c r="CS1469" s="1403"/>
      <c r="CT1469" s="1403"/>
      <c r="CU1469" s="1403"/>
      <c r="CV1469" s="1403"/>
      <c r="CW1469" s="1403"/>
      <c r="CX1469" s="1403"/>
      <c r="CY1469" s="1403"/>
      <c r="CZ1469" s="1403"/>
      <c r="DA1469" s="1403"/>
      <c r="DB1469" s="1403"/>
      <c r="DC1469" s="1403"/>
      <c r="DD1469" s="1403"/>
      <c r="DE1469" s="1403"/>
      <c r="DF1469" s="1403"/>
      <c r="DG1469" s="1403"/>
      <c r="DH1469" s="1403"/>
      <c r="DI1469" s="1403"/>
      <c r="DJ1469" s="1403"/>
      <c r="DK1469" s="1403"/>
      <c r="DL1469" s="1403"/>
      <c r="DM1469" s="1403"/>
      <c r="DN1469" s="1403"/>
      <c r="DO1469" s="1403"/>
      <c r="DP1469" s="1403"/>
      <c r="DQ1469" s="1403"/>
      <c r="DR1469" s="1403"/>
      <c r="DS1469" s="1403"/>
      <c r="DT1469" s="1403"/>
      <c r="DU1469" s="1403"/>
      <c r="DV1469" s="1403"/>
      <c r="DW1469" s="1403"/>
      <c r="DX1469" s="1403"/>
      <c r="DY1469" s="1403"/>
      <c r="DZ1469" s="1403"/>
      <c r="EA1469" s="1403"/>
      <c r="EB1469" s="1403"/>
      <c r="EC1469" s="1403"/>
      <c r="ED1469" s="1403"/>
      <c r="EE1469" s="1403"/>
    </row>
    <row r="1470" spans="1:135" x14ac:dyDescent="0.2">
      <c r="A1470" s="63"/>
      <c r="B1470" s="1403"/>
      <c r="C1470" s="1403"/>
      <c r="D1470" s="1403"/>
      <c r="E1470" s="1403"/>
      <c r="F1470" s="1403"/>
      <c r="G1470" s="1403"/>
      <c r="H1470" s="1403"/>
      <c r="I1470" s="1403"/>
      <c r="J1470" s="1403"/>
      <c r="K1470" s="1403"/>
      <c r="L1470" s="1403"/>
      <c r="M1470" s="1403"/>
      <c r="N1470" s="1403"/>
      <c r="O1470" s="1403"/>
      <c r="P1470" s="1460"/>
      <c r="Q1470" s="1460"/>
      <c r="R1470" s="1403"/>
      <c r="S1470" s="1504"/>
      <c r="T1470" s="1403"/>
      <c r="U1470" s="1403"/>
      <c r="V1470" s="1403"/>
      <c r="W1470" s="1403"/>
      <c r="X1470" s="1403"/>
      <c r="Y1470" s="1403"/>
      <c r="Z1470" s="1403"/>
      <c r="AA1470" s="1403"/>
      <c r="AB1470" s="1403"/>
      <c r="AC1470" s="1403"/>
      <c r="AD1470" s="1403"/>
      <c r="AE1470" s="1403"/>
      <c r="AF1470" s="1403"/>
      <c r="AG1470" s="1403"/>
      <c r="AH1470" s="1403"/>
      <c r="AI1470" s="1403"/>
      <c r="AJ1470" s="1403"/>
      <c r="AK1470" s="1403"/>
      <c r="AL1470" s="1403"/>
      <c r="AM1470" s="1403"/>
      <c r="AN1470" s="1403"/>
      <c r="AO1470" s="1403"/>
      <c r="AP1470" s="1403"/>
      <c r="AQ1470" s="1403"/>
      <c r="AR1470" s="1403"/>
      <c r="AS1470" s="1403"/>
      <c r="AT1470" s="1403"/>
      <c r="AU1470" s="1403"/>
      <c r="AV1470" s="1403"/>
      <c r="AW1470" s="1403"/>
      <c r="AX1470" s="1403"/>
      <c r="AY1470" s="1403"/>
      <c r="AZ1470" s="1403"/>
      <c r="BA1470" s="1403"/>
      <c r="BB1470" s="1403"/>
      <c r="BC1470" s="1403"/>
      <c r="BD1470" s="1403"/>
      <c r="BE1470" s="1403"/>
      <c r="BF1470" s="1403"/>
      <c r="BG1470" s="1403"/>
      <c r="BH1470" s="1403"/>
      <c r="BI1470" s="1403"/>
      <c r="BJ1470" s="1403"/>
      <c r="BK1470" s="1403"/>
      <c r="BL1470" s="1403"/>
      <c r="BM1470" s="1403"/>
      <c r="BN1470" s="1403"/>
      <c r="BO1470" s="1403"/>
      <c r="BP1470" s="1403"/>
      <c r="BQ1470" s="1403"/>
      <c r="BR1470" s="1403"/>
      <c r="BS1470" s="1403"/>
      <c r="BT1470" s="1403"/>
      <c r="BU1470" s="1403"/>
      <c r="BV1470" s="1403"/>
      <c r="BW1470" s="1403"/>
      <c r="BX1470" s="1403"/>
      <c r="BY1470" s="1403"/>
      <c r="BZ1470" s="1403"/>
      <c r="CA1470" s="1403"/>
      <c r="CB1470" s="1403"/>
      <c r="CC1470" s="1403"/>
      <c r="CD1470" s="1403"/>
      <c r="CE1470" s="1403"/>
      <c r="CF1470" s="1403"/>
      <c r="CG1470" s="1403"/>
      <c r="CH1470" s="1403"/>
      <c r="CI1470" s="1403"/>
      <c r="CJ1470" s="1403"/>
      <c r="CK1470" s="1403"/>
      <c r="CL1470" s="1403"/>
      <c r="CM1470" s="1403"/>
      <c r="CN1470" s="1403"/>
      <c r="CO1470" s="1403"/>
      <c r="CP1470" s="1403"/>
      <c r="CQ1470" s="1403"/>
      <c r="CR1470" s="1403"/>
      <c r="CS1470" s="1403"/>
      <c r="CT1470" s="1403"/>
      <c r="CU1470" s="1403"/>
      <c r="CV1470" s="1403"/>
      <c r="CW1470" s="1403"/>
      <c r="CX1470" s="1403"/>
      <c r="CY1470" s="1403"/>
      <c r="CZ1470" s="1403"/>
      <c r="DA1470" s="1403"/>
      <c r="DB1470" s="1403"/>
      <c r="DC1470" s="1403"/>
      <c r="DD1470" s="1403"/>
      <c r="DE1470" s="1403"/>
      <c r="DF1470" s="1403"/>
      <c r="DG1470" s="1403"/>
      <c r="DH1470" s="1403"/>
      <c r="DI1470" s="1403"/>
      <c r="DJ1470" s="1403"/>
      <c r="DK1470" s="1403"/>
      <c r="DL1470" s="1403"/>
      <c r="DM1470" s="1403"/>
      <c r="DN1470" s="1403"/>
      <c r="DO1470" s="1403"/>
      <c r="DP1470" s="1403"/>
      <c r="DQ1470" s="1403"/>
      <c r="DR1470" s="1403"/>
      <c r="DS1470" s="1403"/>
      <c r="DT1470" s="1403"/>
      <c r="DU1470" s="1403"/>
      <c r="DV1470" s="1403"/>
      <c r="DW1470" s="1403"/>
      <c r="DX1470" s="1403"/>
      <c r="DY1470" s="1403"/>
      <c r="DZ1470" s="1403"/>
      <c r="EA1470" s="1403"/>
      <c r="EB1470" s="1403"/>
      <c r="EC1470" s="1403"/>
      <c r="ED1470" s="1403"/>
      <c r="EE1470" s="1403"/>
    </row>
    <row r="1471" spans="1:135" x14ac:dyDescent="0.2">
      <c r="A1471" s="63"/>
      <c r="B1471" s="1403"/>
      <c r="C1471" s="1403"/>
      <c r="D1471" s="1403"/>
      <c r="E1471" s="1403"/>
      <c r="F1471" s="1403"/>
      <c r="G1471" s="1403"/>
      <c r="H1471" s="1403"/>
      <c r="I1471" s="1403"/>
      <c r="J1471" s="1403"/>
      <c r="K1471" s="1403"/>
      <c r="L1471" s="1403"/>
      <c r="M1471" s="1403"/>
      <c r="N1471" s="1403"/>
      <c r="O1471" s="1403"/>
      <c r="P1471" s="1460"/>
      <c r="Q1471" s="1460"/>
      <c r="R1471" s="1403"/>
      <c r="S1471" s="1504"/>
      <c r="T1471" s="1403"/>
      <c r="U1471" s="1403"/>
      <c r="V1471" s="1403"/>
      <c r="W1471" s="1403"/>
      <c r="X1471" s="1403"/>
      <c r="Y1471" s="1403"/>
      <c r="Z1471" s="1403"/>
      <c r="AA1471" s="1403"/>
      <c r="AB1471" s="1403"/>
      <c r="AC1471" s="1403"/>
      <c r="AD1471" s="1403"/>
      <c r="AE1471" s="1403"/>
      <c r="AF1471" s="1403"/>
      <c r="AG1471" s="1403"/>
      <c r="AH1471" s="1403"/>
      <c r="AI1471" s="1403"/>
      <c r="AJ1471" s="1403"/>
      <c r="AK1471" s="1403"/>
      <c r="AL1471" s="1403"/>
      <c r="AM1471" s="1403"/>
      <c r="AN1471" s="1403"/>
      <c r="AO1471" s="1403"/>
      <c r="AP1471" s="1403"/>
      <c r="AQ1471" s="1403"/>
      <c r="AR1471" s="1403"/>
      <c r="AS1471" s="1403"/>
      <c r="AT1471" s="1403"/>
      <c r="AU1471" s="1403"/>
      <c r="AV1471" s="1403"/>
      <c r="AW1471" s="1403"/>
      <c r="AX1471" s="1403"/>
      <c r="AY1471" s="1403"/>
      <c r="AZ1471" s="1403"/>
      <c r="BA1471" s="1403"/>
      <c r="BB1471" s="1403"/>
      <c r="BC1471" s="1403"/>
      <c r="BD1471" s="1403"/>
      <c r="BE1471" s="1403"/>
      <c r="BF1471" s="1403"/>
      <c r="BG1471" s="1403"/>
      <c r="BH1471" s="1403"/>
      <c r="BI1471" s="1403"/>
      <c r="BJ1471" s="1403"/>
      <c r="BK1471" s="1403"/>
      <c r="BL1471" s="1403"/>
      <c r="BM1471" s="1403"/>
      <c r="BN1471" s="1403"/>
      <c r="BO1471" s="1403"/>
      <c r="BP1471" s="1403"/>
      <c r="BQ1471" s="1403"/>
      <c r="BR1471" s="1403"/>
      <c r="BS1471" s="1403"/>
      <c r="BT1471" s="1403"/>
      <c r="BU1471" s="1403"/>
      <c r="BV1471" s="1403"/>
      <c r="BW1471" s="1403"/>
      <c r="BX1471" s="1403"/>
      <c r="BY1471" s="1403"/>
      <c r="BZ1471" s="1403"/>
      <c r="CA1471" s="1403"/>
      <c r="CB1471" s="1403"/>
      <c r="CC1471" s="1403"/>
      <c r="CD1471" s="1403"/>
      <c r="CE1471" s="1403"/>
      <c r="CF1471" s="1403"/>
      <c r="CG1471" s="1403"/>
      <c r="CH1471" s="1403"/>
      <c r="CI1471" s="1403"/>
      <c r="CJ1471" s="1403"/>
      <c r="CK1471" s="1403"/>
      <c r="CL1471" s="1403"/>
      <c r="CM1471" s="1403"/>
      <c r="CN1471" s="1403"/>
      <c r="CO1471" s="1403"/>
      <c r="CP1471" s="1403"/>
      <c r="CQ1471" s="1403"/>
      <c r="CR1471" s="1403"/>
      <c r="CS1471" s="1403"/>
      <c r="CT1471" s="1403"/>
      <c r="CU1471" s="1403"/>
      <c r="CV1471" s="1403"/>
      <c r="CW1471" s="1403"/>
      <c r="CX1471" s="1403"/>
      <c r="CY1471" s="1403"/>
      <c r="CZ1471" s="1403"/>
      <c r="DA1471" s="1403"/>
      <c r="DB1471" s="1403"/>
      <c r="DC1471" s="1403"/>
      <c r="DD1471" s="1403"/>
      <c r="DE1471" s="1403"/>
      <c r="DF1471" s="1403"/>
      <c r="DG1471" s="1403"/>
      <c r="DH1471" s="1403"/>
      <c r="DI1471" s="1403"/>
      <c r="DJ1471" s="1403"/>
      <c r="DK1471" s="1403"/>
      <c r="DL1471" s="1403"/>
      <c r="DM1471" s="1403"/>
      <c r="DN1471" s="1403"/>
      <c r="DO1471" s="1403"/>
      <c r="DP1471" s="1403"/>
      <c r="DQ1471" s="1403"/>
      <c r="DR1471" s="1403"/>
      <c r="DS1471" s="1403"/>
      <c r="DT1471" s="1403"/>
      <c r="DU1471" s="1403"/>
      <c r="DV1471" s="1403"/>
      <c r="DW1471" s="1403"/>
      <c r="DX1471" s="1403"/>
      <c r="DY1471" s="1403"/>
      <c r="DZ1471" s="1403"/>
      <c r="EA1471" s="1403"/>
      <c r="EB1471" s="1403"/>
      <c r="EC1471" s="1403"/>
      <c r="ED1471" s="1403"/>
      <c r="EE1471" s="1403"/>
    </row>
    <row r="1472" spans="1:135" x14ac:dyDescent="0.2">
      <c r="A1472" s="63"/>
      <c r="B1472" s="1403"/>
      <c r="C1472" s="1403"/>
      <c r="D1472" s="1403"/>
      <c r="E1472" s="1403"/>
      <c r="F1472" s="1403"/>
      <c r="G1472" s="1403"/>
      <c r="H1472" s="1403"/>
      <c r="I1472" s="1403"/>
      <c r="J1472" s="1403"/>
      <c r="K1472" s="1403"/>
      <c r="L1472" s="1403"/>
      <c r="M1472" s="1403"/>
      <c r="N1472" s="1403"/>
      <c r="O1472" s="1403"/>
      <c r="P1472" s="1460"/>
      <c r="Q1472" s="1460"/>
      <c r="R1472" s="1403"/>
      <c r="S1472" s="1504"/>
      <c r="T1472" s="1403"/>
      <c r="U1472" s="1403"/>
      <c r="V1472" s="1403"/>
      <c r="W1472" s="1403"/>
      <c r="X1472" s="1403"/>
      <c r="Y1472" s="1403"/>
      <c r="Z1472" s="1403"/>
      <c r="AA1472" s="1403"/>
      <c r="AB1472" s="1403"/>
      <c r="AC1472" s="1403"/>
      <c r="AD1472" s="1403"/>
      <c r="AE1472" s="1403"/>
      <c r="AF1472" s="1403"/>
      <c r="AG1472" s="1403"/>
      <c r="AH1472" s="1403"/>
      <c r="AI1472" s="1403"/>
      <c r="AJ1472" s="1403"/>
      <c r="AK1472" s="1403"/>
      <c r="AL1472" s="1403"/>
      <c r="AM1472" s="1403"/>
      <c r="AN1472" s="1403"/>
      <c r="AO1472" s="1403"/>
      <c r="AP1472" s="1403"/>
      <c r="AQ1472" s="1403"/>
      <c r="AR1472" s="1403"/>
      <c r="AS1472" s="1403"/>
      <c r="AT1472" s="1403"/>
      <c r="AU1472" s="1403"/>
      <c r="AV1472" s="1403"/>
      <c r="AW1472" s="1403"/>
      <c r="AX1472" s="1403"/>
      <c r="AY1472" s="1403"/>
      <c r="AZ1472" s="1403"/>
      <c r="BA1472" s="1403"/>
      <c r="BB1472" s="1403"/>
      <c r="BC1472" s="1403"/>
      <c r="BD1472" s="1403"/>
      <c r="BE1472" s="1403"/>
      <c r="BF1472" s="1403"/>
      <c r="BG1472" s="1403"/>
      <c r="BH1472" s="1403"/>
      <c r="BI1472" s="1403"/>
      <c r="BJ1472" s="1403"/>
      <c r="BK1472" s="1403"/>
      <c r="BL1472" s="1403"/>
      <c r="BM1472" s="1403"/>
      <c r="BN1472" s="1403"/>
      <c r="BO1472" s="1403"/>
      <c r="BP1472" s="1403"/>
      <c r="BQ1472" s="1403"/>
      <c r="BR1472" s="1403"/>
      <c r="BS1472" s="1403"/>
      <c r="BT1472" s="1403"/>
      <c r="BU1472" s="1403"/>
      <c r="BV1472" s="1403"/>
      <c r="BW1472" s="1403"/>
      <c r="BX1472" s="1403"/>
      <c r="BY1472" s="1403"/>
      <c r="BZ1472" s="1403"/>
      <c r="CA1472" s="1403"/>
      <c r="CB1472" s="1403"/>
      <c r="CC1472" s="1403"/>
      <c r="CD1472" s="1403"/>
      <c r="CE1472" s="1403"/>
      <c r="CF1472" s="1403"/>
      <c r="CG1472" s="1403"/>
      <c r="CH1472" s="1403"/>
      <c r="CI1472" s="1403"/>
      <c r="CJ1472" s="1403"/>
      <c r="CK1472" s="1403"/>
      <c r="CL1472" s="1403"/>
      <c r="CM1472" s="1403"/>
      <c r="CN1472" s="1403"/>
      <c r="CO1472" s="1403"/>
      <c r="CP1472" s="1403"/>
      <c r="CQ1472" s="1403"/>
      <c r="CR1472" s="1403"/>
      <c r="CS1472" s="1403"/>
      <c r="CT1472" s="1403"/>
      <c r="CU1472" s="1403"/>
      <c r="CV1472" s="1403"/>
      <c r="CW1472" s="1403"/>
      <c r="CX1472" s="1403"/>
      <c r="CY1472" s="1403"/>
      <c r="CZ1472" s="1403"/>
      <c r="DA1472" s="1403"/>
      <c r="DB1472" s="1403"/>
      <c r="DC1472" s="1403"/>
      <c r="DD1472" s="1403"/>
      <c r="DE1472" s="1403"/>
      <c r="DF1472" s="1403"/>
      <c r="DG1472" s="1403"/>
      <c r="DH1472" s="1403"/>
      <c r="DI1472" s="1403"/>
      <c r="DJ1472" s="1403"/>
      <c r="DK1472" s="1403"/>
      <c r="DL1472" s="1403"/>
      <c r="DM1472" s="1403"/>
      <c r="DN1472" s="1403"/>
      <c r="DO1472" s="1403"/>
      <c r="DP1472" s="1403"/>
      <c r="DQ1472" s="1403"/>
      <c r="DR1472" s="1403"/>
      <c r="DS1472" s="1403"/>
      <c r="DT1472" s="1403"/>
      <c r="DU1472" s="1403"/>
      <c r="DV1472" s="1403"/>
      <c r="DW1472" s="1403"/>
      <c r="DX1472" s="1403"/>
      <c r="DY1472" s="1403"/>
      <c r="DZ1472" s="1403"/>
      <c r="EA1472" s="1403"/>
      <c r="EB1472" s="1403"/>
      <c r="EC1472" s="1403"/>
      <c r="ED1472" s="1403"/>
      <c r="EE1472" s="1403"/>
    </row>
  </sheetData>
  <mergeCells count="8">
    <mergeCell ref="U344:W344"/>
    <mergeCell ref="V345:W345"/>
    <mergeCell ref="E3:F3"/>
    <mergeCell ref="B3:C3"/>
    <mergeCell ref="H2:I2"/>
    <mergeCell ref="H3:I3"/>
    <mergeCell ref="L2:M2"/>
    <mergeCell ref="P3:Q3"/>
  </mergeCells>
  <conditionalFormatting sqref="E167:F167 K147 K140 K137 H167:I167 K144:K145 K149:K162 K164:K167 R167:Y167">
    <cfRule type="cellIs" dxfId="1413" priority="1477" operator="lessThan">
      <formula>0</formula>
    </cfRule>
    <cfRule type="cellIs" dxfId="1412" priority="1478" operator="greaterThan">
      <formula>0</formula>
    </cfRule>
  </conditionalFormatting>
  <conditionalFormatting sqref="K138">
    <cfRule type="cellIs" dxfId="1411" priority="1177" operator="lessThan">
      <formula>0</formula>
    </cfRule>
    <cfRule type="cellIs" dxfId="1410" priority="1178" operator="greaterThan">
      <formula>0</formula>
    </cfRule>
  </conditionalFormatting>
  <conditionalFormatting sqref="K139">
    <cfRule type="cellIs" dxfId="1409" priority="1171" operator="lessThan">
      <formula>0</formula>
    </cfRule>
    <cfRule type="cellIs" dxfId="1408" priority="1172" operator="greaterThan">
      <formula>0</formula>
    </cfRule>
  </conditionalFormatting>
  <conditionalFormatting sqref="T172:V210">
    <cfRule type="cellIs" dxfId="1407" priority="730" operator="equal">
      <formula>FALSE</formula>
    </cfRule>
  </conditionalFormatting>
  <conditionalFormatting sqref="T285">
    <cfRule type="cellIs" dxfId="1406" priority="716" operator="equal">
      <formula>FALSE</formula>
    </cfRule>
  </conditionalFormatting>
  <conditionalFormatting sqref="T259:T263">
    <cfRule type="cellIs" dxfId="1405" priority="726" operator="equal">
      <formula>FALSE</formula>
    </cfRule>
  </conditionalFormatting>
  <conditionalFormatting sqref="T264:T268">
    <cfRule type="cellIs" dxfId="1404" priority="724" operator="equal">
      <formula>FALSE</formula>
    </cfRule>
  </conditionalFormatting>
  <conditionalFormatting sqref="T269">
    <cfRule type="cellIs" dxfId="1403" priority="722" operator="equal">
      <formula>FALSE</formula>
    </cfRule>
  </conditionalFormatting>
  <conditionalFormatting sqref="T275:T279">
    <cfRule type="cellIs" dxfId="1402" priority="720" operator="equal">
      <formula>FALSE</formula>
    </cfRule>
  </conditionalFormatting>
  <conditionalFormatting sqref="T280:T284">
    <cfRule type="cellIs" dxfId="1401" priority="718" operator="equal">
      <formula>FALSE</formula>
    </cfRule>
  </conditionalFormatting>
  <conditionalFormatting sqref="G99:R99">
    <cfRule type="cellIs" dxfId="1400" priority="635" operator="notEqual">
      <formula>1</formula>
    </cfRule>
  </conditionalFormatting>
  <conditionalFormatting sqref="E9:E37 E40:E63 E70:E98">
    <cfRule type="cellIs" dxfId="1399" priority="634" operator="notEqual">
      <formula>1</formula>
    </cfRule>
  </conditionalFormatting>
  <conditionalFormatting sqref="E38:E39">
    <cfRule type="cellIs" dxfId="1398" priority="144" operator="notEqual">
      <formula>1</formula>
    </cfRule>
  </conditionalFormatting>
  <conditionalFormatting sqref="U347:V358 S121:T123 T127 T131:T133 U127:U132 S116:S117 S112:S113 S105:S106 S108 D105:R388">
    <cfRule type="cellIs" dxfId="1397" priority="16" operator="equal">
      <formula>0</formula>
    </cfRule>
  </conditionalFormatting>
  <conditionalFormatting sqref="G9:R98">
    <cfRule type="cellIs" dxfId="1396" priority="12" operator="equal">
      <formula>0</formula>
    </cfRule>
  </conditionalFormatting>
  <conditionalFormatting sqref="G70:G98 G9:R69">
    <cfRule type="expression" dxfId="1395" priority="11">
      <formula>G9&lt;&gt;F9</formula>
    </cfRule>
  </conditionalFormatting>
  <conditionalFormatting sqref="H70:R98">
    <cfRule type="expression" dxfId="1394" priority="10">
      <formula>H70&lt;&gt;G70</formula>
    </cfRule>
  </conditionalFormatting>
  <conditionalFormatting sqref="T215:V253">
    <cfRule type="cellIs" dxfId="1393" priority="7" operator="equal">
      <formula>FALSE</formula>
    </cfRule>
  </conditionalFormatting>
  <conditionalFormatting sqref="A1">
    <cfRule type="cellIs" dxfId="1392" priority="6" operator="equal">
      <formula>0</formula>
    </cfRule>
  </conditionalFormatting>
  <conditionalFormatting sqref="E65:E69">
    <cfRule type="cellIs" dxfId="1391" priority="5" operator="notEqual">
      <formula>1</formula>
    </cfRule>
  </conditionalFormatting>
  <conditionalFormatting sqref="E64">
    <cfRule type="cellIs" dxfId="1390" priority="4" operator="notEqual">
      <formula>1</formula>
    </cfRule>
  </conditionalFormatting>
  <dataValidations xWindow="696" yWindow="539" count="10">
    <dataValidation allowBlank="1" showInputMessage="1" showErrorMessage="1" prompt="Si se quiere aumentar la producción mensual de forraje indicar un valor superior a 1._x000a_Si se quiere disminuir la producción mensual de forraje indicar un valor inferior a 1." sqref="G99:R99"/>
    <dataValidation allowBlank="1" showInputMessage="1" showErrorMessage="1" prompt="Si se quiere aumentar la producción de forraje de este potrero indicar un valor superior a 1._x000a_Si se quiere disminuir la producción de forraje de este potrero indicar un valor inferior a 1." sqref="E9:E98"/>
    <dataValidation allowBlank="1" showInputMessage="1" showErrorMessage="1" prompt="Superficie detallada en hoja general - CUADRO 2_x000a_" sqref="B100"/>
    <dataValidation type="list" errorStyle="information" allowBlank="1" showInputMessage="1" showErrorMessage="1" errorTitle="Error " error="La opción forrajera que usted selecciono no aparece en la lista desplegable. Debe de introducirla primeramente en la hoja &quot;Forrajes&quot; " prompt="Seleccionar la opción forrajera" sqref="F9">
      <formula1>opforrajes</formula1>
    </dataValidation>
    <dataValidation type="list" errorStyle="information" allowBlank="1" showInputMessage="1" showErrorMessage="1" errorTitle="Error " error="La opción forrajera que usted selecciono no aparece en la lista desplegable. Debe de introducirla primeramente en la hoja &quot;Forrajes&quot; " prompt="Seleccionar la opción forrajera" sqref="D138:D149 D155:D166">
      <formula1>siembra</formula1>
    </dataValidation>
    <dataValidation type="list" allowBlank="1" showInputMessage="1" showErrorMessage="1" sqref="S275:S285 S360:S368 S370:S378 S259:S271 S172:S210 S215:S255">
      <formula1>Mes</formula1>
    </dataValidation>
    <dataValidation type="list" allowBlank="1" showInputMessage="1" showErrorMessage="1" prompt="Ingresar las ton disponibles al inicio del ejercicio para venta a lo largo del año." sqref="S347:S358">
      <formula1>Mes</formula1>
    </dataValidation>
    <dataValidation allowBlank="1" showInputMessage="1" showErrorMessage="1" prompt="Superficie detallada en hoja general - CUADRO 2" sqref="C100"/>
    <dataValidation type="list" errorStyle="information" allowBlank="1" showInputMessage="1" showErrorMessage="1" errorTitle="Error " error="La opción forrajera que usted selecciono no aparece en la lista desplegable. Debe de introducirla primeramente en la hoja &quot;Forrajes&quot; " sqref="F10:F98 G9:R98">
      <formula1>opforrajes</formula1>
    </dataValidation>
    <dataValidation type="list" allowBlank="1" showInputMessage="1" showErrorMessage="1" sqref="D9:D98">
      <formula1>areastambo6</formula1>
    </dataValidation>
  </dataValidations>
  <hyperlinks>
    <hyperlink ref="E2:F2" location="UsoSuelo!D125:S133" display="Resumen por destino y por rubro"/>
    <hyperlink ref="P2:R2" location="UsoSuelo!E345:W358" display="Área a Cosechar  Cultivos Agrícolas- Cultivos en Proceso "/>
    <hyperlink ref="L3:M3" location="UsoSuelo!D256:T285" display="Área - Confección de Reservas "/>
    <hyperlink ref="P2" location="UsoSuelo!E278:X292" display="Área a Cosechar  Cultivos Argícolas- Cultivos en Proceso "/>
    <hyperlink ref="B3" location="UsoSuelo!B105" display="Producción de Forraje y Reservas totales "/>
    <hyperlink ref="B2" location="UsoSuelo!B5:R100" display="Uso del suelo "/>
    <hyperlink ref="E3" location="UsoSuelo!E158" display="Resúmen según Uso del suelo"/>
    <hyperlink ref="E3:F3" location="UsoSuelo!D288:R388" display="Resumen según Uso del suelo"/>
    <hyperlink ref="B3:C3" location="UsoSuelo!D103:S123" display="Producción de Forraje y Reservas"/>
    <hyperlink ref="A1" location="ManualGlobal!B27:D43" display="◄"/>
    <hyperlink ref="H2:I2" location="UsoSuelo!D135:H149" display="Siembras Otoño - Invierno "/>
    <hyperlink ref="H3:I3" location="UsoSuelo!D152:H166" display="Siembras Primavera - Verano "/>
    <hyperlink ref="L2:M2" location="UsoSuelo!D169:V253" display="Área a Refertilizar"/>
    <hyperlink ref="P3:Q3" location="UsoSuelo!D359:T378" display="Área a Cosechar  Semilleros"/>
  </hyperlinks>
  <printOptions verticalCentered="1"/>
  <pageMargins left="0" right="0" top="0.11811023622047245" bottom="0.19685039370078741" header="0" footer="0"/>
  <pageSetup paperSize="5" scale="85" fitToWidth="3"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X805"/>
  <sheetViews>
    <sheetView showGridLines="0" zoomScale="87" zoomScaleNormal="85" workbookViewId="0">
      <pane ySplit="7" topLeftCell="A335" activePane="bottomLeft" state="frozen"/>
      <selection pane="bottomLeft" activeCell="F336" sqref="F336"/>
    </sheetView>
  </sheetViews>
  <sheetFormatPr baseColWidth="10" defaultColWidth="11.375" defaultRowHeight="14.4" x14ac:dyDescent="0.2"/>
  <cols>
    <col min="1" max="1" width="4.375" style="2468" customWidth="1"/>
    <col min="2" max="2" width="46.125" style="2618" customWidth="1"/>
    <col min="3" max="3" width="11.375" style="2556" customWidth="1"/>
    <col min="4" max="4" width="9.75" style="2618" customWidth="1"/>
    <col min="5" max="5" width="14.75" style="2618" customWidth="1"/>
    <col min="6" max="12" width="10.375" style="2618" customWidth="1"/>
    <col min="13" max="17" width="10.375" style="2475" customWidth="1"/>
    <col min="18" max="18" width="12.125" style="2475" customWidth="1"/>
    <col min="19" max="19" width="10.375" style="2475" customWidth="1"/>
    <col min="20" max="20" width="10.375" style="2469" customWidth="1"/>
    <col min="21" max="21" width="7.375" style="2468" customWidth="1"/>
    <col min="22" max="22" width="8.375" style="2468" customWidth="1"/>
    <col min="23" max="24" width="7.375" style="2468" customWidth="1"/>
    <col min="25" max="16384" width="11.375" style="2468"/>
  </cols>
  <sheetData>
    <row r="1" spans="1:24" ht="17.7" x14ac:dyDescent="0.3">
      <c r="A1" s="2463" t="s">
        <v>633</v>
      </c>
      <c r="B1" s="2464" t="s">
        <v>1513</v>
      </c>
      <c r="C1" s="2465"/>
      <c r="D1" s="2466"/>
      <c r="E1" s="2466"/>
      <c r="F1" s="2467"/>
      <c r="G1" s="2467"/>
      <c r="H1" s="2467"/>
      <c r="I1" s="2467"/>
      <c r="J1" s="2467"/>
      <c r="K1" s="2467"/>
      <c r="L1" s="2467"/>
      <c r="M1" s="2467"/>
      <c r="N1" s="2467"/>
      <c r="O1" s="2467"/>
      <c r="P1" s="2467"/>
      <c r="Q1" s="2467"/>
      <c r="R1" s="2466"/>
      <c r="S1" s="2468"/>
    </row>
    <row r="2" spans="1:24" x14ac:dyDescent="0.3">
      <c r="B2" s="2470"/>
      <c r="C2" s="2471"/>
      <c r="D2" s="2472"/>
      <c r="E2" s="2471"/>
      <c r="F2" s="5524" t="s">
        <v>635</v>
      </c>
      <c r="G2" s="5524"/>
      <c r="H2" s="5524"/>
      <c r="I2" s="5524"/>
      <c r="J2" s="2473"/>
      <c r="K2" s="2474"/>
      <c r="L2" s="2472"/>
      <c r="M2" s="2471"/>
      <c r="N2" s="2471"/>
      <c r="O2" s="2471"/>
      <c r="P2" s="2472"/>
      <c r="Q2" s="2471"/>
      <c r="R2" s="2471"/>
      <c r="S2" s="2468"/>
    </row>
    <row r="3" spans="1:24" s="2475" customFormat="1" x14ac:dyDescent="0.3">
      <c r="A3" s="2468"/>
      <c r="C3" s="2476"/>
      <c r="D3" s="2476"/>
      <c r="E3" s="2476"/>
      <c r="F3" s="5524" t="s">
        <v>636</v>
      </c>
      <c r="G3" s="5524"/>
      <c r="H3" s="5524"/>
      <c r="I3" s="5524"/>
      <c r="J3" s="2477"/>
      <c r="K3" s="2476"/>
      <c r="L3" s="5524" t="s">
        <v>1321</v>
      </c>
      <c r="M3" s="5524"/>
      <c r="N3" s="5524"/>
      <c r="O3" s="2476"/>
      <c r="P3" s="5524" t="s">
        <v>387</v>
      </c>
      <c r="Q3" s="5524"/>
      <c r="R3" s="5524"/>
      <c r="S3" s="2468"/>
      <c r="T3" s="2469"/>
      <c r="U3" s="2468"/>
      <c r="V3" s="2468"/>
      <c r="W3" s="2468"/>
      <c r="X3" s="2468"/>
    </row>
    <row r="4" spans="1:24" s="2475" customFormat="1" x14ac:dyDescent="0.3">
      <c r="A4" s="2468"/>
      <c r="B4" s="2478" t="s">
        <v>20</v>
      </c>
      <c r="C4" s="5524" t="s">
        <v>373</v>
      </c>
      <c r="D4" s="5524"/>
      <c r="E4" s="2476"/>
      <c r="F4" s="5524" t="s">
        <v>637</v>
      </c>
      <c r="G4" s="5524"/>
      <c r="H4" s="5524"/>
      <c r="I4" s="5524"/>
      <c r="J4" s="2476"/>
      <c r="K4" s="2476"/>
      <c r="L4" s="5524" t="s">
        <v>386</v>
      </c>
      <c r="M4" s="5524"/>
      <c r="N4" s="5524"/>
      <c r="O4" s="2476"/>
      <c r="P4" s="5524" t="s">
        <v>1128</v>
      </c>
      <c r="Q4" s="5524"/>
      <c r="R4" s="5524"/>
      <c r="S4" s="2469"/>
      <c r="T4" s="2469"/>
      <c r="U4" s="2468"/>
      <c r="V4" s="2468"/>
      <c r="W4" s="2468"/>
      <c r="X4" s="2468"/>
    </row>
    <row r="5" spans="1:24" s="2475" customFormat="1" x14ac:dyDescent="0.3">
      <c r="A5" s="2468"/>
      <c r="B5" s="2478" t="s">
        <v>1954</v>
      </c>
      <c r="C5" s="5524" t="s">
        <v>1320</v>
      </c>
      <c r="D5" s="5524"/>
      <c r="E5" s="2476"/>
      <c r="F5" s="5524" t="s">
        <v>638</v>
      </c>
      <c r="G5" s="5524"/>
      <c r="H5" s="5524"/>
      <c r="I5" s="5524"/>
      <c r="J5" s="2477"/>
      <c r="K5" s="2476"/>
      <c r="L5" s="5524" t="s">
        <v>385</v>
      </c>
      <c r="M5" s="5524"/>
      <c r="N5" s="5524"/>
      <c r="O5" s="2476"/>
      <c r="P5" s="5524" t="s">
        <v>490</v>
      </c>
      <c r="Q5" s="5524"/>
      <c r="R5" s="5524"/>
      <c r="S5" s="2469"/>
      <c r="T5" s="2469"/>
      <c r="U5" s="2468"/>
      <c r="V5" s="2468"/>
      <c r="W5" s="2468"/>
      <c r="X5" s="2468"/>
    </row>
    <row r="6" spans="1:24" s="2475" customFormat="1" x14ac:dyDescent="0.2">
      <c r="A6" s="2468"/>
      <c r="C6" s="2471"/>
      <c r="D6" s="2476"/>
      <c r="E6" s="2476"/>
      <c r="F6" s="2476"/>
      <c r="G6" s="2471"/>
      <c r="H6" s="2476"/>
      <c r="I6" s="2476"/>
      <c r="J6" s="2479"/>
      <c r="K6" s="2471"/>
      <c r="L6" s="2471"/>
      <c r="M6" s="2476"/>
      <c r="N6" s="2476"/>
      <c r="O6" s="2476"/>
      <c r="P6" s="2471"/>
      <c r="Q6" s="2471"/>
      <c r="R6" s="2471"/>
      <c r="S6" s="2468"/>
      <c r="T6" s="2469"/>
      <c r="U6" s="2468"/>
      <c r="V6" s="2468"/>
      <c r="W6" s="2468"/>
      <c r="X6" s="2468"/>
    </row>
    <row r="7" spans="1:24" s="2475" customFormat="1" ht="31.6" customHeight="1" x14ac:dyDescent="0.2">
      <c r="A7" s="2468"/>
      <c r="B7" s="2480" t="s">
        <v>683</v>
      </c>
      <c r="C7" s="2481"/>
      <c r="D7" s="2482"/>
      <c r="E7" s="2483"/>
      <c r="F7" s="2484" t="str">
        <f>+F10</f>
        <v>Ene</v>
      </c>
      <c r="G7" s="2484" t="str">
        <f t="shared" ref="G7:Q7" si="0">+G10</f>
        <v>Feb</v>
      </c>
      <c r="H7" s="2484" t="str">
        <f t="shared" si="0"/>
        <v>Mar</v>
      </c>
      <c r="I7" s="2484" t="str">
        <f t="shared" si="0"/>
        <v>Abr</v>
      </c>
      <c r="J7" s="2484" t="str">
        <f t="shared" si="0"/>
        <v>May</v>
      </c>
      <c r="K7" s="2484" t="str">
        <f t="shared" si="0"/>
        <v>Jun</v>
      </c>
      <c r="L7" s="2484" t="str">
        <f t="shared" si="0"/>
        <v>Jul</v>
      </c>
      <c r="M7" s="2484" t="str">
        <f t="shared" si="0"/>
        <v>Ago</v>
      </c>
      <c r="N7" s="2484" t="str">
        <f t="shared" si="0"/>
        <v>Set</v>
      </c>
      <c r="O7" s="2484" t="str">
        <f t="shared" si="0"/>
        <v>Oct</v>
      </c>
      <c r="P7" s="2484" t="str">
        <f t="shared" si="0"/>
        <v>Nov</v>
      </c>
      <c r="Q7" s="2484" t="str">
        <f t="shared" si="0"/>
        <v>Dic</v>
      </c>
      <c r="R7" s="2485" t="s">
        <v>2348</v>
      </c>
      <c r="S7" s="2468"/>
      <c r="T7" s="2469"/>
      <c r="U7" s="2468"/>
      <c r="V7" s="2468"/>
      <c r="W7" s="2468"/>
      <c r="X7" s="2468"/>
    </row>
    <row r="8" spans="1:24" s="2475" customFormat="1" ht="15.05" thickBot="1" x14ac:dyDescent="0.25">
      <c r="A8" s="2468"/>
      <c r="B8" s="2466"/>
      <c r="C8" s="2466"/>
      <c r="D8" s="2468"/>
      <c r="E8" s="2466"/>
      <c r="F8" s="2486"/>
      <c r="G8" s="2486"/>
      <c r="H8" s="2486"/>
      <c r="I8" s="2466"/>
      <c r="J8" s="2466"/>
      <c r="K8" s="2468"/>
      <c r="L8" s="2468"/>
      <c r="M8" s="2468"/>
      <c r="N8" s="2468"/>
      <c r="O8" s="2468"/>
      <c r="P8" s="2468"/>
      <c r="Q8" s="2468"/>
      <c r="R8" s="2468"/>
      <c r="S8" s="2468"/>
      <c r="T8" s="2469"/>
      <c r="U8" s="2468"/>
      <c r="V8" s="2468"/>
      <c r="W8" s="2468"/>
      <c r="X8" s="2468"/>
    </row>
    <row r="9" spans="1:24" s="2475" customFormat="1" ht="15.9" customHeight="1" thickBot="1" x14ac:dyDescent="0.25">
      <c r="A9" s="2487">
        <f>+InsumosCultivos!A834+1</f>
        <v>69</v>
      </c>
      <c r="B9" s="2488" t="s">
        <v>20</v>
      </c>
      <c r="C9" s="2489" t="s">
        <v>1108</v>
      </c>
      <c r="D9" s="2490" t="s">
        <v>1113</v>
      </c>
      <c r="E9" s="2489"/>
      <c r="F9" s="2489"/>
      <c r="G9" s="2489"/>
      <c r="H9" s="2489"/>
      <c r="I9" s="2489"/>
      <c r="J9" s="2489"/>
      <c r="K9" s="2489"/>
      <c r="L9" s="2489"/>
      <c r="M9" s="2489"/>
      <c r="N9" s="2489"/>
      <c r="O9" s="2489"/>
      <c r="P9" s="2489"/>
      <c r="Q9" s="2489"/>
      <c r="R9" s="5525" t="s">
        <v>1332</v>
      </c>
      <c r="S9" s="2489"/>
      <c r="T9" s="2491"/>
      <c r="U9" s="2466"/>
      <c r="V9" s="2468"/>
      <c r="W9" s="2466"/>
      <c r="X9" s="2466"/>
    </row>
    <row r="10" spans="1:24" s="2466" customFormat="1" ht="15.9" customHeight="1" x14ac:dyDescent="0.2">
      <c r="B10" s="2492" t="s">
        <v>683</v>
      </c>
      <c r="C10" s="2493" t="s">
        <v>312</v>
      </c>
      <c r="D10" s="2494"/>
      <c r="E10" s="2495"/>
      <c r="F10" s="2496" t="str">
        <f>+UsoSuelo!G8</f>
        <v>Ene</v>
      </c>
      <c r="G10" s="2496" t="str">
        <f>+UsoSuelo!H8</f>
        <v>Feb</v>
      </c>
      <c r="H10" s="2496" t="str">
        <f>+UsoSuelo!I8</f>
        <v>Mar</v>
      </c>
      <c r="I10" s="2496" t="str">
        <f>+UsoSuelo!J8</f>
        <v>Abr</v>
      </c>
      <c r="J10" s="2496" t="str">
        <f>+UsoSuelo!K8</f>
        <v>May</v>
      </c>
      <c r="K10" s="2496" t="str">
        <f>+UsoSuelo!L8</f>
        <v>Jun</v>
      </c>
      <c r="L10" s="2496" t="str">
        <f>+UsoSuelo!M8</f>
        <v>Jul</v>
      </c>
      <c r="M10" s="2496" t="str">
        <f>+UsoSuelo!N8</f>
        <v>Ago</v>
      </c>
      <c r="N10" s="2496" t="str">
        <f>+UsoSuelo!O8</f>
        <v>Set</v>
      </c>
      <c r="O10" s="2496" t="str">
        <f>+UsoSuelo!P8</f>
        <v>Oct</v>
      </c>
      <c r="P10" s="2496" t="str">
        <f>+UsoSuelo!Q8</f>
        <v>Nov</v>
      </c>
      <c r="Q10" s="2496" t="str">
        <f>+UsoSuelo!R8</f>
        <v>Dic</v>
      </c>
      <c r="R10" s="5526"/>
      <c r="S10" s="2497" t="str">
        <f>+F10</f>
        <v>Ene</v>
      </c>
      <c r="T10" s="2498" t="str">
        <f>+G10</f>
        <v>Feb</v>
      </c>
      <c r="V10" s="2468"/>
    </row>
    <row r="11" spans="1:24" s="2508" customFormat="1" hidden="1" x14ac:dyDescent="0.2">
      <c r="A11" s="2499" t="s">
        <v>1124</v>
      </c>
      <c r="B11" s="2500" t="s">
        <v>392</v>
      </c>
      <c r="C11" s="2501"/>
      <c r="D11" s="2502"/>
      <c r="E11" s="2503"/>
      <c r="F11" s="2504" t="str">
        <f t="shared" ref="F11:Q11" si="1">IF(AND(F10="Ene"),"31",IF(AND(F10="Feb"),"28",IF(AND(F10="Mar"),"31",IF(AND(F10="Abr"),"30",IF(AND(F10="May"),"31",IF(AND(F10="Jun"),"30",IF(AND(F10="Jul"),"31",IF(AND(F10="Ago"),"31",IF(AND(F10="Set"),"30",IF(AND(F10="Oct"),"31",IF(AND(F10="Nov"),"30",IF(AND(F10="Dic"),"31"))))))))))))</f>
        <v>31</v>
      </c>
      <c r="G11" s="2504" t="str">
        <f t="shared" si="1"/>
        <v>28</v>
      </c>
      <c r="H11" s="2504" t="str">
        <f t="shared" si="1"/>
        <v>31</v>
      </c>
      <c r="I11" s="2504" t="str">
        <f t="shared" si="1"/>
        <v>30</v>
      </c>
      <c r="J11" s="2504" t="str">
        <f t="shared" si="1"/>
        <v>31</v>
      </c>
      <c r="K11" s="2504" t="str">
        <f t="shared" si="1"/>
        <v>30</v>
      </c>
      <c r="L11" s="2504" t="str">
        <f t="shared" si="1"/>
        <v>31</v>
      </c>
      <c r="M11" s="2504" t="str">
        <f t="shared" si="1"/>
        <v>31</v>
      </c>
      <c r="N11" s="2504" t="str">
        <f t="shared" si="1"/>
        <v>30</v>
      </c>
      <c r="O11" s="2504" t="str">
        <f t="shared" si="1"/>
        <v>31</v>
      </c>
      <c r="P11" s="2504" t="str">
        <f t="shared" si="1"/>
        <v>30</v>
      </c>
      <c r="Q11" s="2504" t="str">
        <f t="shared" si="1"/>
        <v>31</v>
      </c>
      <c r="R11" s="2505" t="s">
        <v>1111</v>
      </c>
      <c r="S11" s="2506"/>
      <c r="T11" s="2507"/>
    </row>
    <row r="12" spans="1:24" s="2466" customFormat="1" ht="15.9" customHeight="1" x14ac:dyDescent="0.2">
      <c r="B12" s="2509" t="s">
        <v>1363</v>
      </c>
      <c r="C12" s="2510" t="s">
        <v>357</v>
      </c>
      <c r="D12" s="2511"/>
      <c r="E12" s="2511"/>
      <c r="F12" s="2512">
        <f>+General!C69</f>
        <v>0</v>
      </c>
      <c r="G12" s="2513">
        <f>+F41</f>
        <v>0</v>
      </c>
      <c r="H12" s="2513">
        <f t="shared" ref="H12:P12" si="2">+G41</f>
        <v>0</v>
      </c>
      <c r="I12" s="2513">
        <f t="shared" si="2"/>
        <v>0</v>
      </c>
      <c r="J12" s="2513">
        <f t="shared" si="2"/>
        <v>0</v>
      </c>
      <c r="K12" s="2513">
        <f t="shared" si="2"/>
        <v>0</v>
      </c>
      <c r="L12" s="2513">
        <f t="shared" si="2"/>
        <v>0</v>
      </c>
      <c r="M12" s="2513">
        <f t="shared" si="2"/>
        <v>0</v>
      </c>
      <c r="N12" s="2513">
        <f t="shared" si="2"/>
        <v>0</v>
      </c>
      <c r="O12" s="2513">
        <f t="shared" si="2"/>
        <v>0</v>
      </c>
      <c r="P12" s="2513">
        <f t="shared" si="2"/>
        <v>0</v>
      </c>
      <c r="Q12" s="2513">
        <f>+P41</f>
        <v>0</v>
      </c>
      <c r="R12" s="2514"/>
      <c r="T12" s="2515"/>
      <c r="V12" s="2468"/>
    </row>
    <row r="13" spans="1:24" s="2466" customFormat="1" ht="15.9" customHeight="1" x14ac:dyDescent="0.2">
      <c r="B13" s="2516" t="s">
        <v>1247</v>
      </c>
      <c r="C13" s="2517" t="s">
        <v>356</v>
      </c>
      <c r="D13" s="2518"/>
      <c r="E13" s="2518"/>
      <c r="F13" s="2519">
        <f>+General!D69</f>
        <v>0</v>
      </c>
      <c r="G13" s="2520"/>
      <c r="H13" s="2521"/>
      <c r="I13" s="2521"/>
      <c r="J13" s="2521"/>
      <c r="K13" s="2521"/>
      <c r="L13" s="2521"/>
      <c r="M13" s="2521"/>
      <c r="N13" s="2521"/>
      <c r="O13" s="2521"/>
      <c r="P13" s="2521"/>
      <c r="Q13" s="2522"/>
      <c r="R13" s="2523"/>
      <c r="T13" s="2515"/>
      <c r="V13" s="2468"/>
    </row>
    <row r="14" spans="1:24" s="2466" customFormat="1" ht="15.9" customHeight="1" x14ac:dyDescent="0.2">
      <c r="B14" s="2524" t="s">
        <v>352</v>
      </c>
      <c r="C14" s="2525"/>
      <c r="D14" s="2525"/>
      <c r="E14" s="2525"/>
      <c r="F14" s="2525"/>
      <c r="G14" s="2526"/>
      <c r="H14" s="2526"/>
      <c r="I14" s="2526"/>
      <c r="J14" s="2526"/>
      <c r="K14" s="2526"/>
      <c r="L14" s="2526"/>
      <c r="M14" s="2526"/>
      <c r="N14" s="2526"/>
      <c r="O14" s="2526"/>
      <c r="P14" s="2526"/>
      <c r="Q14" s="2526"/>
      <c r="R14" s="2527"/>
      <c r="T14" s="2515"/>
      <c r="V14" s="2468"/>
      <c r="W14" s="2528"/>
      <c r="X14" s="2528"/>
    </row>
    <row r="15" spans="1:24" s="2466" customFormat="1" ht="15.9" customHeight="1" x14ac:dyDescent="0.2">
      <c r="B15" s="2529" t="s">
        <v>1932</v>
      </c>
      <c r="C15" s="2465" t="s">
        <v>354</v>
      </c>
      <c r="F15" s="2530"/>
      <c r="G15" s="2531"/>
      <c r="H15" s="5119"/>
      <c r="I15" s="5119"/>
      <c r="J15" s="5119"/>
      <c r="K15" s="5119"/>
      <c r="L15" s="5119"/>
      <c r="M15" s="5119"/>
      <c r="N15" s="5119"/>
      <c r="O15" s="5119"/>
      <c r="P15" s="5119"/>
      <c r="Q15" s="5120"/>
      <c r="R15" s="2212">
        <f>+SUM(F15:Q15)</f>
        <v>0</v>
      </c>
      <c r="S15" s="5121"/>
      <c r="T15" s="5122"/>
      <c r="V15" s="2468"/>
    </row>
    <row r="16" spans="1:24" s="2466" customFormat="1" ht="15.9" customHeight="1" x14ac:dyDescent="0.2">
      <c r="B16" s="2529" t="s">
        <v>1212</v>
      </c>
      <c r="C16" s="2465" t="s">
        <v>354</v>
      </c>
      <c r="F16" s="5123"/>
      <c r="G16" s="5124"/>
      <c r="H16" s="5124"/>
      <c r="I16" s="5124"/>
      <c r="J16" s="5124"/>
      <c r="K16" s="5124"/>
      <c r="L16" s="5124"/>
      <c r="M16" s="5124"/>
      <c r="N16" s="5124"/>
      <c r="O16" s="2532"/>
      <c r="P16" s="2532"/>
      <c r="Q16" s="2533"/>
      <c r="R16" s="2212">
        <f>+SUM(F16:Q16)</f>
        <v>0</v>
      </c>
      <c r="S16" s="390"/>
      <c r="T16" s="2534"/>
      <c r="V16" s="2468"/>
    </row>
    <row r="17" spans="2:22" s="2466" customFormat="1" ht="15.9" customHeight="1" x14ac:dyDescent="0.2">
      <c r="B17" s="2529" t="s">
        <v>1213</v>
      </c>
      <c r="C17" s="2465" t="s">
        <v>354</v>
      </c>
      <c r="F17" s="2535">
        <f>+F75</f>
        <v>0</v>
      </c>
      <c r="G17" s="2536">
        <f t="shared" ref="G17:Q17" si="3">+G75</f>
        <v>0</v>
      </c>
      <c r="H17" s="2536">
        <f t="shared" si="3"/>
        <v>0</v>
      </c>
      <c r="I17" s="2536">
        <f t="shared" si="3"/>
        <v>0</v>
      </c>
      <c r="J17" s="2536">
        <f t="shared" si="3"/>
        <v>0</v>
      </c>
      <c r="K17" s="2536">
        <f t="shared" si="3"/>
        <v>0</v>
      </c>
      <c r="L17" s="2536">
        <f t="shared" si="3"/>
        <v>0</v>
      </c>
      <c r="M17" s="2536">
        <f t="shared" si="3"/>
        <v>0</v>
      </c>
      <c r="N17" s="2536">
        <f t="shared" si="3"/>
        <v>0</v>
      </c>
      <c r="O17" s="2536">
        <f t="shared" si="3"/>
        <v>0</v>
      </c>
      <c r="P17" s="2536">
        <f t="shared" si="3"/>
        <v>0</v>
      </c>
      <c r="Q17" s="2537">
        <f t="shared" si="3"/>
        <v>0</v>
      </c>
      <c r="R17" s="2212">
        <f>+SUM(F17:Q17)</f>
        <v>0</v>
      </c>
      <c r="S17" s="390"/>
      <c r="T17" s="2534"/>
      <c r="V17" s="2468"/>
    </row>
    <row r="18" spans="2:22" s="2466" customFormat="1" ht="15.9" customHeight="1" thickBot="1" x14ac:dyDescent="0.25">
      <c r="B18" s="2538" t="s">
        <v>1417</v>
      </c>
      <c r="C18" s="2465" t="s">
        <v>354</v>
      </c>
      <c r="F18" s="2535">
        <f>+F82</f>
        <v>0</v>
      </c>
      <c r="G18" s="2536">
        <f t="shared" ref="G18:Q18" si="4">+G82</f>
        <v>0</v>
      </c>
      <c r="H18" s="2536">
        <f t="shared" si="4"/>
        <v>0</v>
      </c>
      <c r="I18" s="2536">
        <f t="shared" si="4"/>
        <v>0</v>
      </c>
      <c r="J18" s="2536">
        <f t="shared" si="4"/>
        <v>0</v>
      </c>
      <c r="K18" s="2536">
        <f t="shared" si="4"/>
        <v>0</v>
      </c>
      <c r="L18" s="2536">
        <f t="shared" si="4"/>
        <v>0</v>
      </c>
      <c r="M18" s="2536">
        <f t="shared" si="4"/>
        <v>0</v>
      </c>
      <c r="N18" s="2536">
        <f t="shared" si="4"/>
        <v>0</v>
      </c>
      <c r="O18" s="2536">
        <f t="shared" si="4"/>
        <v>0</v>
      </c>
      <c r="P18" s="2536">
        <f t="shared" si="4"/>
        <v>0</v>
      </c>
      <c r="Q18" s="2537">
        <f t="shared" si="4"/>
        <v>0</v>
      </c>
      <c r="R18" s="2212"/>
      <c r="S18" s="390"/>
      <c r="T18" s="2534"/>
      <c r="V18" s="2468"/>
    </row>
    <row r="19" spans="2:22" s="2466" customFormat="1" ht="15.9" customHeight="1" thickBot="1" x14ac:dyDescent="0.25">
      <c r="B19" s="2539" t="s">
        <v>1218</v>
      </c>
      <c r="C19" s="2540" t="s">
        <v>354</v>
      </c>
      <c r="D19" s="2541"/>
      <c r="E19" s="2541"/>
      <c r="F19" s="2542">
        <f>F15+F16+F17-F18</f>
        <v>0</v>
      </c>
      <c r="G19" s="2543">
        <f>G15+G16+G17-G18</f>
        <v>0</v>
      </c>
      <c r="H19" s="2543">
        <f>H15+H16+H17-H18</f>
        <v>0</v>
      </c>
      <c r="I19" s="2543">
        <f t="shared" ref="I19:Q19" si="5">I15+I16+I17-I18</f>
        <v>0</v>
      </c>
      <c r="J19" s="2543">
        <f t="shared" si="5"/>
        <v>0</v>
      </c>
      <c r="K19" s="2543">
        <f t="shared" si="5"/>
        <v>0</v>
      </c>
      <c r="L19" s="2543">
        <f t="shared" si="5"/>
        <v>0</v>
      </c>
      <c r="M19" s="2543">
        <f t="shared" si="5"/>
        <v>0</v>
      </c>
      <c r="N19" s="2543">
        <f t="shared" si="5"/>
        <v>0</v>
      </c>
      <c r="O19" s="2543">
        <f t="shared" si="5"/>
        <v>0</v>
      </c>
      <c r="P19" s="2543">
        <f t="shared" si="5"/>
        <v>0</v>
      </c>
      <c r="Q19" s="2544">
        <f t="shared" si="5"/>
        <v>0</v>
      </c>
      <c r="R19" s="2213">
        <f>+SUM(F19:Q19)</f>
        <v>0</v>
      </c>
      <c r="S19" s="390"/>
      <c r="T19" s="2534"/>
      <c r="V19" s="2468"/>
    </row>
    <row r="20" spans="2:22" s="2466" customFormat="1" ht="15.9" customHeight="1" x14ac:dyDescent="0.2">
      <c r="B20" s="2545" t="s">
        <v>1211</v>
      </c>
      <c r="C20" s="2517" t="s">
        <v>358</v>
      </c>
      <c r="D20" s="2518"/>
      <c r="E20" s="2518"/>
      <c r="F20" s="5125">
        <v>0.5</v>
      </c>
      <c r="G20" s="5126">
        <v>0.5</v>
      </c>
      <c r="H20" s="5126">
        <v>0.5</v>
      </c>
      <c r="I20" s="5126">
        <v>0.5</v>
      </c>
      <c r="J20" s="5126">
        <v>0.5</v>
      </c>
      <c r="K20" s="5126">
        <v>0.5</v>
      </c>
      <c r="L20" s="5126">
        <v>0.5</v>
      </c>
      <c r="M20" s="5126">
        <v>0.5</v>
      </c>
      <c r="N20" s="5126">
        <v>0.5</v>
      </c>
      <c r="O20" s="5126">
        <v>0.5</v>
      </c>
      <c r="P20" s="5126">
        <v>0.5</v>
      </c>
      <c r="Q20" s="5127">
        <v>0.5</v>
      </c>
      <c r="R20" s="2546"/>
      <c r="S20" s="2465"/>
      <c r="T20" s="2547"/>
      <c r="V20" s="2468"/>
    </row>
    <row r="21" spans="2:22" s="2466" customFormat="1" ht="15.9" customHeight="1" x14ac:dyDescent="0.2">
      <c r="B21" s="2529" t="s">
        <v>1214</v>
      </c>
      <c r="C21" s="2465" t="s">
        <v>354</v>
      </c>
      <c r="F21" s="5123"/>
      <c r="G21" s="5124"/>
      <c r="H21" s="5124"/>
      <c r="I21" s="5124"/>
      <c r="J21" s="5124"/>
      <c r="K21" s="5124"/>
      <c r="L21" s="5124"/>
      <c r="M21" s="5124"/>
      <c r="N21" s="5124"/>
      <c r="O21" s="5124"/>
      <c r="P21" s="5124"/>
      <c r="Q21" s="5128"/>
      <c r="R21" s="2212">
        <f>+SUM(F21:Q21)</f>
        <v>0</v>
      </c>
      <c r="S21" s="5129"/>
      <c r="T21" s="2534"/>
      <c r="V21" s="2468"/>
    </row>
    <row r="22" spans="2:22" s="2466" customFormat="1" ht="15.9" customHeight="1" x14ac:dyDescent="0.2">
      <c r="B22" s="2529" t="s">
        <v>1215</v>
      </c>
      <c r="C22" s="2465" t="s">
        <v>354</v>
      </c>
      <c r="F22" s="2535">
        <f>F107</f>
        <v>0</v>
      </c>
      <c r="G22" s="2536">
        <f>G107</f>
        <v>0</v>
      </c>
      <c r="H22" s="2536">
        <f>H107</f>
        <v>0</v>
      </c>
      <c r="I22" s="2536">
        <f>I135</f>
        <v>0</v>
      </c>
      <c r="J22" s="2536">
        <f>J135</f>
        <v>0</v>
      </c>
      <c r="K22" s="2536">
        <f>K135</f>
        <v>0</v>
      </c>
      <c r="L22" s="2536">
        <f>L163</f>
        <v>0</v>
      </c>
      <c r="M22" s="2536">
        <f>M163</f>
        <v>0</v>
      </c>
      <c r="N22" s="2536">
        <f>N163</f>
        <v>0</v>
      </c>
      <c r="O22" s="2536">
        <f>O191</f>
        <v>0</v>
      </c>
      <c r="P22" s="2536">
        <f>P191</f>
        <v>0</v>
      </c>
      <c r="Q22" s="2537">
        <f>Q191</f>
        <v>0</v>
      </c>
      <c r="R22" s="2212">
        <f>+SUM(F22:Q22)</f>
        <v>0</v>
      </c>
      <c r="S22" s="2465"/>
      <c r="T22" s="2547"/>
      <c r="V22" s="2468"/>
    </row>
    <row r="23" spans="2:22" s="2466" customFormat="1" ht="15.9" customHeight="1" thickBot="1" x14ac:dyDescent="0.25">
      <c r="B23" s="2529" t="s">
        <v>1419</v>
      </c>
      <c r="C23" s="2465" t="s">
        <v>354</v>
      </c>
      <c r="F23" s="2535">
        <f>+F113</f>
        <v>0</v>
      </c>
      <c r="G23" s="2536">
        <f>+G113</f>
        <v>0</v>
      </c>
      <c r="H23" s="2536">
        <f>+H113</f>
        <v>0</v>
      </c>
      <c r="I23" s="2536">
        <f>+I141</f>
        <v>0</v>
      </c>
      <c r="J23" s="2536">
        <f>+J141</f>
        <v>0</v>
      </c>
      <c r="K23" s="2536">
        <f>+K141</f>
        <v>0</v>
      </c>
      <c r="L23" s="2536">
        <f>+L169</f>
        <v>0</v>
      </c>
      <c r="M23" s="2536">
        <f>+M169</f>
        <v>0</v>
      </c>
      <c r="N23" s="2536">
        <f>+N169</f>
        <v>0</v>
      </c>
      <c r="O23" s="2536">
        <f>+O197</f>
        <v>0</v>
      </c>
      <c r="P23" s="2536">
        <f>+P197</f>
        <v>0</v>
      </c>
      <c r="Q23" s="2537">
        <f>+Q197</f>
        <v>0</v>
      </c>
      <c r="R23" s="2212">
        <f>+SUM(F23:Q23)</f>
        <v>0</v>
      </c>
      <c r="S23" s="2465"/>
      <c r="T23" s="2547"/>
      <c r="V23" s="2468"/>
    </row>
    <row r="24" spans="2:22" s="2466" customFormat="1" ht="15.9" customHeight="1" thickBot="1" x14ac:dyDescent="0.25">
      <c r="B24" s="2539" t="s">
        <v>1216</v>
      </c>
      <c r="C24" s="2540" t="s">
        <v>354</v>
      </c>
      <c r="D24" s="2541"/>
      <c r="E24" s="2541"/>
      <c r="F24" s="2542">
        <f>F21+F22-F23</f>
        <v>0</v>
      </c>
      <c r="G24" s="2543">
        <f t="shared" ref="G24:Q24" si="6">G21+G22-G23</f>
        <v>0</v>
      </c>
      <c r="H24" s="2543">
        <f t="shared" si="6"/>
        <v>0</v>
      </c>
      <c r="I24" s="2543">
        <f t="shared" si="6"/>
        <v>0</v>
      </c>
      <c r="J24" s="2543">
        <f t="shared" si="6"/>
        <v>0</v>
      </c>
      <c r="K24" s="2543">
        <f t="shared" si="6"/>
        <v>0</v>
      </c>
      <c r="L24" s="2543">
        <f t="shared" si="6"/>
        <v>0</v>
      </c>
      <c r="M24" s="2543">
        <f t="shared" si="6"/>
        <v>0</v>
      </c>
      <c r="N24" s="2543">
        <f t="shared" si="6"/>
        <v>0</v>
      </c>
      <c r="O24" s="2543">
        <f t="shared" si="6"/>
        <v>0</v>
      </c>
      <c r="P24" s="2543">
        <f t="shared" si="6"/>
        <v>0</v>
      </c>
      <c r="Q24" s="2544">
        <f t="shared" si="6"/>
        <v>0</v>
      </c>
      <c r="R24" s="2213">
        <f>+SUM(F24:Q24)</f>
        <v>0</v>
      </c>
      <c r="S24" s="2465"/>
      <c r="T24" s="2547"/>
      <c r="V24" s="2468"/>
    </row>
    <row r="25" spans="2:22" s="2466" customFormat="1" ht="15.9" customHeight="1" x14ac:dyDescent="0.2">
      <c r="B25" s="2545" t="s">
        <v>1217</v>
      </c>
      <c r="C25" s="2517" t="s">
        <v>358</v>
      </c>
      <c r="D25" s="2518"/>
      <c r="E25" s="2518"/>
      <c r="F25" s="5125">
        <v>0.5</v>
      </c>
      <c r="G25" s="5126">
        <v>0.5</v>
      </c>
      <c r="H25" s="5126">
        <v>0.5</v>
      </c>
      <c r="I25" s="5126">
        <v>0.5</v>
      </c>
      <c r="J25" s="5126">
        <v>0.5</v>
      </c>
      <c r="K25" s="5126">
        <v>0.5</v>
      </c>
      <c r="L25" s="5126">
        <v>0.5</v>
      </c>
      <c r="M25" s="5126">
        <v>0.5</v>
      </c>
      <c r="N25" s="5126">
        <v>0.5</v>
      </c>
      <c r="O25" s="5126">
        <v>0.5</v>
      </c>
      <c r="P25" s="5126">
        <v>0.5</v>
      </c>
      <c r="Q25" s="5127">
        <v>0.5</v>
      </c>
      <c r="R25" s="2546"/>
      <c r="S25" s="2465"/>
      <c r="T25" s="2547"/>
      <c r="V25" s="2468"/>
    </row>
    <row r="26" spans="2:22" s="2466" customFormat="1" ht="15.9" customHeight="1" x14ac:dyDescent="0.2">
      <c r="B26" s="2548" t="s">
        <v>364</v>
      </c>
      <c r="C26" s="2549" t="s">
        <v>354</v>
      </c>
      <c r="D26" s="2550"/>
      <c r="E26" s="2550"/>
      <c r="F26" s="2551">
        <f>+F17+F19+F22+F24</f>
        <v>0</v>
      </c>
      <c r="G26" s="2552">
        <f t="shared" ref="G26:Q26" si="7">+G17+G19+G22+G24</f>
        <v>0</v>
      </c>
      <c r="H26" s="2552">
        <f t="shared" si="7"/>
        <v>0</v>
      </c>
      <c r="I26" s="2552">
        <f t="shared" si="7"/>
        <v>0</v>
      </c>
      <c r="J26" s="2552">
        <f t="shared" si="7"/>
        <v>0</v>
      </c>
      <c r="K26" s="2552">
        <f t="shared" si="7"/>
        <v>0</v>
      </c>
      <c r="L26" s="2552">
        <f t="shared" si="7"/>
        <v>0</v>
      </c>
      <c r="M26" s="2552">
        <f t="shared" si="7"/>
        <v>0</v>
      </c>
      <c r="N26" s="2552">
        <f t="shared" si="7"/>
        <v>0</v>
      </c>
      <c r="O26" s="2552">
        <f t="shared" si="7"/>
        <v>0</v>
      </c>
      <c r="P26" s="2552">
        <f t="shared" si="7"/>
        <v>0</v>
      </c>
      <c r="Q26" s="2553">
        <f t="shared" si="7"/>
        <v>0</v>
      </c>
      <c r="R26" s="832">
        <f>+SUM(F26:Q26)</f>
        <v>0</v>
      </c>
      <c r="S26" s="2465"/>
      <c r="T26" s="2547"/>
      <c r="V26" s="2468"/>
    </row>
    <row r="27" spans="2:22" ht="15.9" customHeight="1" x14ac:dyDescent="0.2">
      <c r="B27" s="2524" t="s">
        <v>359</v>
      </c>
      <c r="C27" s="2525"/>
      <c r="D27" s="2525"/>
      <c r="E27" s="2525"/>
      <c r="F27" s="2525"/>
      <c r="G27" s="2526"/>
      <c r="H27" s="2526"/>
      <c r="I27" s="2526"/>
      <c r="J27" s="2526"/>
      <c r="K27" s="2526"/>
      <c r="L27" s="2526"/>
      <c r="M27" s="2526"/>
      <c r="N27" s="2526"/>
      <c r="O27" s="2526"/>
      <c r="P27" s="2526"/>
      <c r="Q27" s="2526"/>
      <c r="R27" s="2527"/>
      <c r="S27" s="2465"/>
      <c r="T27" s="2547"/>
    </row>
    <row r="28" spans="2:22" s="2475" customFormat="1" ht="15.9" customHeight="1" x14ac:dyDescent="0.2">
      <c r="B28" s="824" t="s">
        <v>1511</v>
      </c>
      <c r="C28" s="825" t="s">
        <v>357</v>
      </c>
      <c r="D28" s="2554">
        <f>+General!C96</f>
        <v>0</v>
      </c>
      <c r="E28" s="2555">
        <f>ROUND(D28*(R42+R86),0)</f>
        <v>0</v>
      </c>
      <c r="F28" s="5130"/>
      <c r="G28" s="5131"/>
      <c r="H28" s="5131"/>
      <c r="I28" s="5131"/>
      <c r="J28" s="5131"/>
      <c r="K28" s="5131"/>
      <c r="L28" s="5131"/>
      <c r="M28" s="5131"/>
      <c r="N28" s="5131"/>
      <c r="O28" s="5131"/>
      <c r="P28" s="5131"/>
      <c r="Q28" s="5132"/>
      <c r="R28" s="2214">
        <f>+SUM(F28:Q28)</f>
        <v>0</v>
      </c>
      <c r="S28" s="2556"/>
      <c r="T28" s="2557"/>
      <c r="V28" s="2468"/>
    </row>
    <row r="29" spans="2:22" ht="15.9" customHeight="1" x14ac:dyDescent="0.2">
      <c r="B29" s="389" t="s">
        <v>1220</v>
      </c>
      <c r="C29" s="390" t="s">
        <v>354</v>
      </c>
      <c r="D29" s="2466"/>
      <c r="E29" s="2466"/>
      <c r="F29" s="5133"/>
      <c r="G29" s="5134"/>
      <c r="H29" s="5134"/>
      <c r="I29" s="5134"/>
      <c r="J29" s="5134"/>
      <c r="K29" s="5134"/>
      <c r="L29" s="5134"/>
      <c r="M29" s="5134"/>
      <c r="N29" s="5134"/>
      <c r="O29" s="5134"/>
      <c r="P29" s="5134"/>
      <c r="Q29" s="5135"/>
      <c r="R29" s="2212">
        <f>+SUM(F29:Q29)</f>
        <v>0</v>
      </c>
      <c r="S29" s="2465"/>
      <c r="T29" s="2547"/>
    </row>
    <row r="30" spans="2:22" ht="15.9" customHeight="1" x14ac:dyDescent="0.2">
      <c r="B30" s="389" t="s">
        <v>1227</v>
      </c>
      <c r="C30" s="390" t="s">
        <v>356</v>
      </c>
      <c r="D30" s="2466"/>
      <c r="E30" s="2466"/>
      <c r="F30" s="5136"/>
      <c r="G30" s="5137"/>
      <c r="H30" s="5137"/>
      <c r="I30" s="5137"/>
      <c r="J30" s="5137"/>
      <c r="K30" s="5137"/>
      <c r="L30" s="5137"/>
      <c r="M30" s="5137"/>
      <c r="N30" s="5137"/>
      <c r="O30" s="5137"/>
      <c r="P30" s="5137"/>
      <c r="Q30" s="5138"/>
      <c r="R30" s="2558"/>
      <c r="S30" s="2465"/>
      <c r="T30" s="2547"/>
    </row>
    <row r="31" spans="2:22" ht="15.9" customHeight="1" thickBot="1" x14ac:dyDescent="0.25">
      <c r="B31" s="389" t="s">
        <v>1228</v>
      </c>
      <c r="C31" s="390" t="s">
        <v>362</v>
      </c>
      <c r="D31" s="2466"/>
      <c r="E31" s="2466"/>
      <c r="F31" s="5139"/>
      <c r="G31" s="5140"/>
      <c r="H31" s="5140"/>
      <c r="I31" s="5140"/>
      <c r="J31" s="5140"/>
      <c r="K31" s="5140"/>
      <c r="L31" s="5140"/>
      <c r="M31" s="5140"/>
      <c r="N31" s="5140"/>
      <c r="O31" s="5140"/>
      <c r="P31" s="5140"/>
      <c r="Q31" s="5141"/>
      <c r="R31" s="2558"/>
      <c r="S31" s="2465"/>
      <c r="T31" s="2547"/>
    </row>
    <row r="32" spans="2:22" ht="15.9" customHeight="1" thickBot="1" x14ac:dyDescent="0.25">
      <c r="B32" s="828" t="s">
        <v>1229</v>
      </c>
      <c r="C32" s="829" t="s">
        <v>354</v>
      </c>
      <c r="D32" s="2559"/>
      <c r="E32" s="2559"/>
      <c r="F32" s="5142"/>
      <c r="G32" s="5143"/>
      <c r="H32" s="5143"/>
      <c r="I32" s="5143"/>
      <c r="J32" s="5143"/>
      <c r="K32" s="5143"/>
      <c r="L32" s="5143"/>
      <c r="M32" s="5143"/>
      <c r="N32" s="5143"/>
      <c r="O32" s="5143"/>
      <c r="P32" s="5143"/>
      <c r="Q32" s="5144"/>
      <c r="R32" s="2215">
        <f>+SUM(F32:Q32)</f>
        <v>0</v>
      </c>
      <c r="S32" s="2465"/>
      <c r="T32" s="2547"/>
    </row>
    <row r="33" spans="2:22" ht="15.9" customHeight="1" x14ac:dyDescent="0.2">
      <c r="B33" s="828" t="s">
        <v>1486</v>
      </c>
      <c r="C33" s="829" t="s">
        <v>354</v>
      </c>
      <c r="D33" s="2559"/>
      <c r="E33" s="2559"/>
      <c r="F33" s="2560">
        <f>F28-F29-F32</f>
        <v>0</v>
      </c>
      <c r="G33" s="2561">
        <f>G28-G29-G32</f>
        <v>0</v>
      </c>
      <c r="H33" s="2561">
        <f t="shared" ref="H33:Q33" si="8">H28-H29-H32</f>
        <v>0</v>
      </c>
      <c r="I33" s="2561">
        <f t="shared" si="8"/>
        <v>0</v>
      </c>
      <c r="J33" s="2561">
        <f t="shared" si="8"/>
        <v>0</v>
      </c>
      <c r="K33" s="2561">
        <f t="shared" si="8"/>
        <v>0</v>
      </c>
      <c r="L33" s="2561">
        <f t="shared" si="8"/>
        <v>0</v>
      </c>
      <c r="M33" s="2561">
        <f t="shared" si="8"/>
        <v>0</v>
      </c>
      <c r="N33" s="2561">
        <f t="shared" si="8"/>
        <v>0</v>
      </c>
      <c r="O33" s="2561">
        <f t="shared" si="8"/>
        <v>0</v>
      </c>
      <c r="P33" s="2561">
        <f t="shared" si="8"/>
        <v>0</v>
      </c>
      <c r="Q33" s="2562">
        <f t="shared" si="8"/>
        <v>0</v>
      </c>
      <c r="R33" s="2215">
        <f>+SUM(F33:Q33)</f>
        <v>0</v>
      </c>
      <c r="S33" s="2465"/>
      <c r="T33" s="2547"/>
    </row>
    <row r="34" spans="2:22" ht="15.9" customHeight="1" x14ac:dyDescent="0.2">
      <c r="B34" s="389" t="s">
        <v>1466</v>
      </c>
      <c r="C34" s="390" t="s">
        <v>356</v>
      </c>
      <c r="D34" s="2466"/>
      <c r="E34" s="2466"/>
      <c r="F34" s="5123"/>
      <c r="G34" s="5124"/>
      <c r="H34" s="5124"/>
      <c r="I34" s="5124"/>
      <c r="J34" s="5124"/>
      <c r="K34" s="5124"/>
      <c r="L34" s="5124"/>
      <c r="M34" s="5124"/>
      <c r="N34" s="5124"/>
      <c r="O34" s="5124"/>
      <c r="P34" s="5124"/>
      <c r="Q34" s="5128"/>
      <c r="R34" s="2558"/>
      <c r="S34" s="2465"/>
      <c r="T34" s="2547"/>
    </row>
    <row r="35" spans="2:22" ht="15.9" customHeight="1" thickBot="1" x14ac:dyDescent="0.25">
      <c r="B35" s="830" t="s">
        <v>1221</v>
      </c>
      <c r="C35" s="831" t="s">
        <v>362</v>
      </c>
      <c r="D35" s="2563"/>
      <c r="E35" s="2563"/>
      <c r="F35" s="2564">
        <f>IF(F33&gt;0,Precios!$C$173,0)</f>
        <v>0</v>
      </c>
      <c r="G35" s="2565">
        <f>IF(G33&gt;0,Precios!$C$173,0)</f>
        <v>0</v>
      </c>
      <c r="H35" s="2565">
        <f>IF(H33&gt;0,Precios!$C$173,0)</f>
        <v>0</v>
      </c>
      <c r="I35" s="2565">
        <f>IF(I33&gt;0,Precios!$C$173,0)</f>
        <v>0</v>
      </c>
      <c r="J35" s="2565">
        <f>IF(J33&gt;0,Precios!$C$173,0)</f>
        <v>0</v>
      </c>
      <c r="K35" s="2565">
        <f>IF(K33&gt;0,Precios!$C$173,0)</f>
        <v>0</v>
      </c>
      <c r="L35" s="2565">
        <f>IF(L33&gt;0,Precios!$C$173,0)</f>
        <v>0</v>
      </c>
      <c r="M35" s="2565">
        <f>IF(M33&gt;0,Precios!$C$173,0)</f>
        <v>0</v>
      </c>
      <c r="N35" s="2565">
        <f>IF(N33&gt;0,Precios!$C$173,0)</f>
        <v>0</v>
      </c>
      <c r="O35" s="2565">
        <f>IF(O33&gt;0,Precios!$C$173,0)</f>
        <v>0</v>
      </c>
      <c r="P35" s="2565">
        <f>IF(P33&gt;0,Precios!$C$173,0)</f>
        <v>0</v>
      </c>
      <c r="Q35" s="2566">
        <f>IF(Q33&gt;0,Precios!$C$173,0)</f>
        <v>0</v>
      </c>
      <c r="R35" s="2567"/>
      <c r="S35" s="2465"/>
      <c r="T35" s="2547"/>
    </row>
    <row r="36" spans="2:22" ht="15.9" customHeight="1" thickBot="1" x14ac:dyDescent="0.25">
      <c r="B36" s="826" t="s">
        <v>1223</v>
      </c>
      <c r="C36" s="827" t="s">
        <v>354</v>
      </c>
      <c r="D36" s="2568">
        <f>General!C104</f>
        <v>0</v>
      </c>
      <c r="E36" s="2569">
        <f>ROUND(D36*F12,0)</f>
        <v>0</v>
      </c>
      <c r="F36" s="5142"/>
      <c r="G36" s="5143"/>
      <c r="H36" s="5143"/>
      <c r="I36" s="5143"/>
      <c r="J36" s="5143"/>
      <c r="K36" s="5143"/>
      <c r="L36" s="5143"/>
      <c r="M36" s="5143"/>
      <c r="N36" s="5143"/>
      <c r="O36" s="5143"/>
      <c r="P36" s="5143"/>
      <c r="Q36" s="5144"/>
      <c r="R36" s="2216">
        <f>+SUM(F36:Q36)</f>
        <v>0</v>
      </c>
      <c r="S36" s="2465"/>
      <c r="T36" s="2547"/>
    </row>
    <row r="37" spans="2:22" ht="15.9" customHeight="1" x14ac:dyDescent="0.2">
      <c r="B37" s="2570" t="s">
        <v>1219</v>
      </c>
      <c r="C37" s="2571" t="s">
        <v>354</v>
      </c>
      <c r="D37" s="2559"/>
      <c r="E37" s="2559"/>
      <c r="F37" s="2560">
        <f>+H15</f>
        <v>0</v>
      </c>
      <c r="G37" s="2561">
        <f>+I15</f>
        <v>0</v>
      </c>
      <c r="H37" s="2561">
        <f t="shared" ref="H37:N37" si="9">+J15</f>
        <v>0</v>
      </c>
      <c r="I37" s="2561">
        <f t="shared" si="9"/>
        <v>0</v>
      </c>
      <c r="J37" s="2561">
        <f t="shared" si="9"/>
        <v>0</v>
      </c>
      <c r="K37" s="2561">
        <f t="shared" si="9"/>
        <v>0</v>
      </c>
      <c r="L37" s="2561">
        <f t="shared" si="9"/>
        <v>0</v>
      </c>
      <c r="M37" s="2561">
        <f t="shared" si="9"/>
        <v>0</v>
      </c>
      <c r="N37" s="2561">
        <f t="shared" si="9"/>
        <v>0</v>
      </c>
      <c r="O37" s="2561">
        <f>+Q15</f>
        <v>0</v>
      </c>
      <c r="P37" s="2561">
        <f>+S15</f>
        <v>0</v>
      </c>
      <c r="Q37" s="2562">
        <f>+T15</f>
        <v>0</v>
      </c>
      <c r="R37" s="2572">
        <f>SUM(F37:Q37)</f>
        <v>0</v>
      </c>
      <c r="S37" s="2465"/>
      <c r="T37" s="2547"/>
    </row>
    <row r="38" spans="2:22" ht="15.9" customHeight="1" x14ac:dyDescent="0.2">
      <c r="B38" s="2529" t="s">
        <v>1222</v>
      </c>
      <c r="C38" s="2465" t="s">
        <v>354</v>
      </c>
      <c r="D38" s="2466"/>
      <c r="E38" s="2466"/>
      <c r="F38" s="5123"/>
      <c r="G38" s="5124"/>
      <c r="H38" s="5124"/>
      <c r="I38" s="5124"/>
      <c r="J38" s="5124"/>
      <c r="K38" s="5124"/>
      <c r="L38" s="5124"/>
      <c r="M38" s="5124"/>
      <c r="N38" s="5124"/>
      <c r="O38" s="5124"/>
      <c r="P38" s="5124"/>
      <c r="Q38" s="5128"/>
      <c r="R38" s="2573">
        <f>+SUM(F38:Q38)</f>
        <v>0</v>
      </c>
      <c r="S38" s="2465"/>
      <c r="T38" s="2547"/>
    </row>
    <row r="39" spans="2:22" ht="15.9" customHeight="1" x14ac:dyDescent="0.2">
      <c r="B39" s="2529" t="s">
        <v>363</v>
      </c>
      <c r="C39" s="2465" t="s">
        <v>357</v>
      </c>
      <c r="D39" s="2466"/>
      <c r="E39" s="2466"/>
      <c r="F39" s="2574">
        <f>+(IF(SUM($F$38:$Q$38)&lt;&gt;0,F38,F37))</f>
        <v>0</v>
      </c>
      <c r="G39" s="2575">
        <f t="shared" ref="G39:Q39" si="10">+(IF(SUM($F$38:$Q$38)&lt;&gt;0,G38,G37))</f>
        <v>0</v>
      </c>
      <c r="H39" s="2575">
        <f t="shared" si="10"/>
        <v>0</v>
      </c>
      <c r="I39" s="2575">
        <f t="shared" si="10"/>
        <v>0</v>
      </c>
      <c r="J39" s="2575">
        <f t="shared" si="10"/>
        <v>0</v>
      </c>
      <c r="K39" s="2575">
        <f t="shared" si="10"/>
        <v>0</v>
      </c>
      <c r="L39" s="2575">
        <f t="shared" si="10"/>
        <v>0</v>
      </c>
      <c r="M39" s="2575">
        <f t="shared" si="10"/>
        <v>0</v>
      </c>
      <c r="N39" s="2575">
        <f t="shared" si="10"/>
        <v>0</v>
      </c>
      <c r="O39" s="2575">
        <f>+(IF(SUM($F$38:$Q$38)&lt;&gt;0,O38,O37))</f>
        <v>0</v>
      </c>
      <c r="P39" s="2575">
        <f>+(IF(SUM($F$38:$Q$38)&lt;&gt;0,P38,P37))</f>
        <v>0</v>
      </c>
      <c r="Q39" s="2576">
        <f t="shared" si="10"/>
        <v>0</v>
      </c>
      <c r="R39" s="2212">
        <f>+SUM(F39:Q39)</f>
        <v>0</v>
      </c>
      <c r="S39" s="2465"/>
      <c r="T39" s="2547"/>
    </row>
    <row r="40" spans="2:22" ht="15.9" customHeight="1" x14ac:dyDescent="0.2">
      <c r="B40" s="2548" t="s">
        <v>365</v>
      </c>
      <c r="C40" s="2549"/>
      <c r="D40" s="2550"/>
      <c r="E40" s="2550"/>
      <c r="F40" s="2551">
        <f>+F29+F32+F33+F36+F39</f>
        <v>0</v>
      </c>
      <c r="G40" s="2552">
        <f t="shared" ref="G40:Q40" si="11">+G29+G32+G33+G36+G39</f>
        <v>0</v>
      </c>
      <c r="H40" s="2552">
        <f t="shared" si="11"/>
        <v>0</v>
      </c>
      <c r="I40" s="2552">
        <f t="shared" si="11"/>
        <v>0</v>
      </c>
      <c r="J40" s="2552">
        <f t="shared" si="11"/>
        <v>0</v>
      </c>
      <c r="K40" s="2552">
        <f t="shared" si="11"/>
        <v>0</v>
      </c>
      <c r="L40" s="2552">
        <f t="shared" si="11"/>
        <v>0</v>
      </c>
      <c r="M40" s="2552">
        <f t="shared" si="11"/>
        <v>0</v>
      </c>
      <c r="N40" s="2552">
        <f t="shared" si="11"/>
        <v>0</v>
      </c>
      <c r="O40" s="2552">
        <f>+O29+O32+O33+O36+O39</f>
        <v>0</v>
      </c>
      <c r="P40" s="2552">
        <f>+P29+P32+P33+P36+P39</f>
        <v>0</v>
      </c>
      <c r="Q40" s="2553">
        <f t="shared" si="11"/>
        <v>0</v>
      </c>
      <c r="R40" s="832">
        <f>+SUM(F40:Q40)</f>
        <v>0</v>
      </c>
      <c r="S40" s="2465"/>
      <c r="T40" s="2547"/>
    </row>
    <row r="41" spans="2:22" ht="15.9" customHeight="1" x14ac:dyDescent="0.2">
      <c r="B41" s="2509" t="s">
        <v>1364</v>
      </c>
      <c r="C41" s="2510" t="s">
        <v>357</v>
      </c>
      <c r="D41" s="2511"/>
      <c r="E41" s="2511"/>
      <c r="F41" s="2577">
        <f>+F12+F26-F40</f>
        <v>0</v>
      </c>
      <c r="G41" s="2578">
        <f t="shared" ref="G41:O41" si="12">+G12+G26-G40</f>
        <v>0</v>
      </c>
      <c r="H41" s="2578">
        <f t="shared" si="12"/>
        <v>0</v>
      </c>
      <c r="I41" s="2578">
        <f t="shared" si="12"/>
        <v>0</v>
      </c>
      <c r="J41" s="2578">
        <f>+J12+J26-J40</f>
        <v>0</v>
      </c>
      <c r="K41" s="2578">
        <f t="shared" si="12"/>
        <v>0</v>
      </c>
      <c r="L41" s="2578">
        <f t="shared" si="12"/>
        <v>0</v>
      </c>
      <c r="M41" s="2578">
        <f t="shared" si="12"/>
        <v>0</v>
      </c>
      <c r="N41" s="2578">
        <f t="shared" si="12"/>
        <v>0</v>
      </c>
      <c r="O41" s="2578">
        <f t="shared" si="12"/>
        <v>0</v>
      </c>
      <c r="P41" s="2579">
        <f>+P12+P26-P40</f>
        <v>0</v>
      </c>
      <c r="Q41" s="2580">
        <f>+Q12+Q26-Q40</f>
        <v>0</v>
      </c>
      <c r="R41" s="2581"/>
      <c r="S41" s="2465"/>
      <c r="T41" s="2547"/>
    </row>
    <row r="42" spans="2:22" ht="15.9" customHeight="1" x14ac:dyDescent="0.2">
      <c r="B42" s="2509" t="s">
        <v>308</v>
      </c>
      <c r="C42" s="2510"/>
      <c r="D42" s="2511"/>
      <c r="E42" s="2511"/>
      <c r="F42" s="2582">
        <f t="shared" ref="F42:O42" si="13">ROUND((F12+F41)/2,0)</f>
        <v>0</v>
      </c>
      <c r="G42" s="2583">
        <f t="shared" si="13"/>
        <v>0</v>
      </c>
      <c r="H42" s="2583">
        <f t="shared" si="13"/>
        <v>0</v>
      </c>
      <c r="I42" s="2583">
        <f t="shared" si="13"/>
        <v>0</v>
      </c>
      <c r="J42" s="2583">
        <f t="shared" si="13"/>
        <v>0</v>
      </c>
      <c r="K42" s="2583">
        <f t="shared" si="13"/>
        <v>0</v>
      </c>
      <c r="L42" s="2583">
        <f t="shared" si="13"/>
        <v>0</v>
      </c>
      <c r="M42" s="2583">
        <f t="shared" si="13"/>
        <v>0</v>
      </c>
      <c r="N42" s="2583">
        <f t="shared" si="13"/>
        <v>0</v>
      </c>
      <c r="O42" s="2583">
        <f t="shared" si="13"/>
        <v>0</v>
      </c>
      <c r="P42" s="2583">
        <f>ROUND((P12+P41)/2,0)</f>
        <v>0</v>
      </c>
      <c r="Q42" s="2584">
        <f>ROUND((Q12+Q41)/2,0)</f>
        <v>0</v>
      </c>
      <c r="R42" s="2585">
        <f>AVERAGE(F42:Q42)</f>
        <v>0</v>
      </c>
      <c r="S42" s="2465"/>
      <c r="T42" s="2547"/>
    </row>
    <row r="43" spans="2:22" s="2466" customFormat="1" ht="15.9" customHeight="1" x14ac:dyDescent="0.2">
      <c r="B43" s="2586" t="s">
        <v>1225</v>
      </c>
      <c r="C43" s="2587" t="s">
        <v>1224</v>
      </c>
      <c r="D43" s="2588"/>
      <c r="E43" s="2588"/>
      <c r="F43" s="5145"/>
      <c r="G43" s="5146"/>
      <c r="H43" s="5146"/>
      <c r="I43" s="5146"/>
      <c r="J43" s="5146"/>
      <c r="K43" s="5146"/>
      <c r="L43" s="5146"/>
      <c r="M43" s="5146"/>
      <c r="N43" s="5146"/>
      <c r="O43" s="5146"/>
      <c r="P43" s="5146"/>
      <c r="Q43" s="5147"/>
      <c r="R43" s="2589">
        <f>IFERROR(R46/R42/365,0)</f>
        <v>0</v>
      </c>
      <c r="S43" s="2590" t="e">
        <f>+R46/R42</f>
        <v>#DIV/0!</v>
      </c>
      <c r="T43" s="2547"/>
      <c r="V43" s="2468"/>
    </row>
    <row r="44" spans="2:22" s="2466" customFormat="1" ht="15.9" customHeight="1" x14ac:dyDescent="0.2">
      <c r="B44" s="2529" t="s">
        <v>1414</v>
      </c>
      <c r="C44" s="2465" t="s">
        <v>358</v>
      </c>
      <c r="F44" s="5148"/>
      <c r="G44" s="5149"/>
      <c r="H44" s="5149"/>
      <c r="I44" s="5149"/>
      <c r="J44" s="5149"/>
      <c r="K44" s="5149"/>
      <c r="L44" s="5149"/>
      <c r="M44" s="5149"/>
      <c r="N44" s="5149"/>
      <c r="O44" s="5149"/>
      <c r="P44" s="5149"/>
      <c r="Q44" s="5150"/>
      <c r="R44" s="2591">
        <f>IFERROR(SUMPRODUCT(F44:Q44,F46:Q46)/R46,0)</f>
        <v>0</v>
      </c>
      <c r="S44" s="2465"/>
      <c r="T44" s="2547"/>
      <c r="V44" s="2468"/>
    </row>
    <row r="45" spans="2:22" s="2466" customFormat="1" ht="15.9" customHeight="1" x14ac:dyDescent="0.2">
      <c r="B45" s="2529" t="s">
        <v>1415</v>
      </c>
      <c r="C45" s="2465" t="s">
        <v>358</v>
      </c>
      <c r="F45" s="5148"/>
      <c r="G45" s="5149"/>
      <c r="H45" s="5149"/>
      <c r="I45" s="5149"/>
      <c r="J45" s="5149"/>
      <c r="K45" s="5149"/>
      <c r="L45" s="5149"/>
      <c r="M45" s="5149"/>
      <c r="N45" s="5149"/>
      <c r="O45" s="5149"/>
      <c r="P45" s="5149"/>
      <c r="Q45" s="5150"/>
      <c r="R45" s="2591">
        <f>IFERROR(SUMPRODUCT(F45:Q45,F46:Q46)/R46,0)</f>
        <v>0</v>
      </c>
      <c r="S45" s="2465"/>
      <c r="T45" s="2547"/>
      <c r="V45" s="2468"/>
    </row>
    <row r="46" spans="2:22" s="2466" customFormat="1" ht="15.9" customHeight="1" x14ac:dyDescent="0.2">
      <c r="B46" s="2592" t="s">
        <v>366</v>
      </c>
      <c r="C46" s="2593" t="s">
        <v>367</v>
      </c>
      <c r="D46" s="2594"/>
      <c r="E46" s="2594"/>
      <c r="F46" s="2595">
        <f>+F42*F43*F11</f>
        <v>0</v>
      </c>
      <c r="G46" s="2596">
        <f>+G42*G43*G11</f>
        <v>0</v>
      </c>
      <c r="H46" s="2596">
        <f t="shared" ref="H46:Q46" si="14">+H42*H43*H11</f>
        <v>0</v>
      </c>
      <c r="I46" s="2596">
        <f t="shared" si="14"/>
        <v>0</v>
      </c>
      <c r="J46" s="2596">
        <f t="shared" si="14"/>
        <v>0</v>
      </c>
      <c r="K46" s="2596">
        <f t="shared" si="14"/>
        <v>0</v>
      </c>
      <c r="L46" s="2596">
        <f t="shared" si="14"/>
        <v>0</v>
      </c>
      <c r="M46" s="2596">
        <f t="shared" si="14"/>
        <v>0</v>
      </c>
      <c r="N46" s="2596">
        <f t="shared" si="14"/>
        <v>0</v>
      </c>
      <c r="O46" s="2596">
        <f t="shared" si="14"/>
        <v>0</v>
      </c>
      <c r="P46" s="2596">
        <f t="shared" si="14"/>
        <v>0</v>
      </c>
      <c r="Q46" s="2597">
        <f t="shared" si="14"/>
        <v>0</v>
      </c>
      <c r="R46" s="2598">
        <f>SUM(F46:Q46)</f>
        <v>0</v>
      </c>
      <c r="S46" s="2465"/>
      <c r="T46" s="2547"/>
      <c r="V46" s="2468"/>
    </row>
    <row r="47" spans="2:22" s="2466" customFormat="1" ht="15.9" customHeight="1" x14ac:dyDescent="0.2">
      <c r="B47" s="2529" t="s">
        <v>370</v>
      </c>
      <c r="C47" s="2465" t="s">
        <v>368</v>
      </c>
      <c r="F47" s="5151"/>
      <c r="G47" s="5152"/>
      <c r="H47" s="5152"/>
      <c r="I47" s="5152"/>
      <c r="J47" s="5152"/>
      <c r="K47" s="5152"/>
      <c r="L47" s="5152"/>
      <c r="M47" s="5152"/>
      <c r="N47" s="5152"/>
      <c r="O47" s="5152"/>
      <c r="P47" s="5152"/>
      <c r="Q47" s="5153"/>
      <c r="R47" s="2599">
        <f>SUM(F47:Q47)</f>
        <v>0</v>
      </c>
      <c r="S47" s="2465"/>
      <c r="T47" s="2547"/>
      <c r="V47" s="2468"/>
    </row>
    <row r="48" spans="2:22" s="2466" customFormat="1" ht="15.9" customHeight="1" x14ac:dyDescent="0.2">
      <c r="B48" s="2529" t="s">
        <v>369</v>
      </c>
      <c r="C48" s="2465" t="s">
        <v>367</v>
      </c>
      <c r="F48" s="2600">
        <f>(F293-F295-F296)*$G$63+(F313-F315-F316)*$G$62</f>
        <v>0</v>
      </c>
      <c r="G48" s="2601">
        <f t="shared" ref="G48:Q48" si="15">(G293-G295-G296)*$G$63+(G313-G315-G316)*$G$62</f>
        <v>0</v>
      </c>
      <c r="H48" s="2601">
        <f t="shared" si="15"/>
        <v>0</v>
      </c>
      <c r="I48" s="2601">
        <f t="shared" si="15"/>
        <v>0</v>
      </c>
      <c r="J48" s="2601">
        <f t="shared" si="15"/>
        <v>0</v>
      </c>
      <c r="K48" s="2601">
        <f t="shared" si="15"/>
        <v>0</v>
      </c>
      <c r="L48" s="2601">
        <f t="shared" si="15"/>
        <v>0</v>
      </c>
      <c r="M48" s="2601">
        <f t="shared" si="15"/>
        <v>0</v>
      </c>
      <c r="N48" s="2601">
        <f t="shared" si="15"/>
        <v>0</v>
      </c>
      <c r="O48" s="2601">
        <f t="shared" si="15"/>
        <v>0</v>
      </c>
      <c r="P48" s="2601">
        <f t="shared" si="15"/>
        <v>0</v>
      </c>
      <c r="Q48" s="2602">
        <f t="shared" si="15"/>
        <v>0</v>
      </c>
      <c r="R48" s="2599">
        <f>SUM(F48:Q48)</f>
        <v>0</v>
      </c>
      <c r="S48" s="2465"/>
      <c r="T48" s="2547"/>
      <c r="V48" s="2468"/>
    </row>
    <row r="49" spans="1:24" s="2466" customFormat="1" ht="15.9" customHeight="1" x14ac:dyDescent="0.2">
      <c r="B49" s="2545" t="s">
        <v>371</v>
      </c>
      <c r="C49" s="2517" t="s">
        <v>367</v>
      </c>
      <c r="D49" s="2518"/>
      <c r="E49" s="2518"/>
      <c r="F49" s="5154"/>
      <c r="G49" s="5155"/>
      <c r="H49" s="5155"/>
      <c r="I49" s="5155"/>
      <c r="J49" s="5155"/>
      <c r="K49" s="5155"/>
      <c r="L49" s="5155"/>
      <c r="M49" s="5155"/>
      <c r="N49" s="5155"/>
      <c r="O49" s="5155"/>
      <c r="P49" s="5155"/>
      <c r="Q49" s="5156"/>
      <c r="R49" s="2599">
        <f>SUM(F49:Q49)</f>
        <v>0</v>
      </c>
      <c r="S49" s="2465"/>
      <c r="T49" s="2547"/>
      <c r="V49" s="2468"/>
    </row>
    <row r="50" spans="1:24" s="2466" customFormat="1" ht="15.9" customHeight="1" thickBot="1" x14ac:dyDescent="0.25">
      <c r="B50" s="2603" t="s">
        <v>372</v>
      </c>
      <c r="C50" s="2604" t="s">
        <v>367</v>
      </c>
      <c r="D50" s="2605"/>
      <c r="E50" s="2605"/>
      <c r="F50" s="2606">
        <f>+F46-F48-F47-F49</f>
        <v>0</v>
      </c>
      <c r="G50" s="2607">
        <f t="shared" ref="G50:Q50" si="16">+G46-G48-G47-G49</f>
        <v>0</v>
      </c>
      <c r="H50" s="2607">
        <f t="shared" si="16"/>
        <v>0</v>
      </c>
      <c r="I50" s="2607">
        <f t="shared" si="16"/>
        <v>0</v>
      </c>
      <c r="J50" s="2607">
        <f t="shared" si="16"/>
        <v>0</v>
      </c>
      <c r="K50" s="2607">
        <f t="shared" si="16"/>
        <v>0</v>
      </c>
      <c r="L50" s="2607">
        <f t="shared" si="16"/>
        <v>0</v>
      </c>
      <c r="M50" s="2607">
        <f t="shared" si="16"/>
        <v>0</v>
      </c>
      <c r="N50" s="2607">
        <f t="shared" si="16"/>
        <v>0</v>
      </c>
      <c r="O50" s="2607">
        <f t="shared" si="16"/>
        <v>0</v>
      </c>
      <c r="P50" s="2607">
        <f t="shared" si="16"/>
        <v>0</v>
      </c>
      <c r="Q50" s="2608">
        <f t="shared" si="16"/>
        <v>0</v>
      </c>
      <c r="R50" s="2609">
        <f>SUM(F50:Q50)</f>
        <v>0</v>
      </c>
      <c r="S50" s="2610"/>
      <c r="T50" s="2611"/>
      <c r="V50" s="2468"/>
    </row>
    <row r="51" spans="1:24" ht="15.9" customHeight="1" x14ac:dyDescent="0.2">
      <c r="B51" s="2612"/>
      <c r="C51" s="2465"/>
      <c r="D51" s="2466"/>
      <c r="E51" s="2466"/>
      <c r="F51" s="2613"/>
      <c r="G51" s="2613"/>
      <c r="H51" s="2613"/>
      <c r="I51" s="2613"/>
      <c r="J51" s="2613"/>
      <c r="K51" s="2613"/>
      <c r="L51" s="2613"/>
      <c r="M51" s="2613"/>
      <c r="N51" s="2613"/>
      <c r="O51" s="2613"/>
      <c r="P51" s="2613"/>
      <c r="Q51" s="2613"/>
      <c r="R51" s="2614"/>
      <c r="S51" s="2465"/>
      <c r="T51" s="2468"/>
    </row>
    <row r="52" spans="1:24" ht="15.9" customHeight="1" thickBot="1" x14ac:dyDescent="0.25">
      <c r="B52" s="2612"/>
      <c r="C52" s="2465"/>
      <c r="D52" s="2466"/>
      <c r="E52" s="2466"/>
      <c r="F52" s="2613"/>
      <c r="G52" s="2613"/>
      <c r="H52" s="2613"/>
      <c r="I52" s="2613"/>
      <c r="J52" s="2613"/>
      <c r="K52" s="2613"/>
      <c r="L52" s="2613"/>
      <c r="M52" s="2613"/>
      <c r="N52" s="2613"/>
      <c r="O52" s="2613"/>
      <c r="P52" s="2613"/>
      <c r="Q52" s="2613"/>
      <c r="R52" s="2465"/>
      <c r="S52" s="2465"/>
      <c r="T52" s="2468"/>
    </row>
    <row r="53" spans="1:24" ht="15.9" customHeight="1" thickBot="1" x14ac:dyDescent="0.25">
      <c r="A53" s="2487">
        <f>+A9+1</f>
        <v>70</v>
      </c>
      <c r="B53" s="2615" t="s">
        <v>1623</v>
      </c>
      <c r="C53" s="2616"/>
      <c r="D53" s="2616"/>
      <c r="E53" s="2616"/>
      <c r="F53" s="2616"/>
      <c r="G53" s="2616"/>
      <c r="H53" s="2616"/>
      <c r="I53" s="2616"/>
      <c r="J53" s="2616"/>
      <c r="K53" s="2616"/>
      <c r="L53" s="2616"/>
      <c r="M53" s="2616"/>
      <c r="N53" s="2616"/>
      <c r="O53" s="2616"/>
      <c r="P53" s="2616"/>
      <c r="Q53" s="2617"/>
      <c r="R53" s="2618"/>
      <c r="S53" s="2618"/>
      <c r="T53" s="2619"/>
      <c r="U53" s="2618"/>
      <c r="V53" s="2618"/>
      <c r="W53" s="2618"/>
      <c r="X53" s="2618"/>
    </row>
    <row r="54" spans="1:24" ht="15.9" customHeight="1" x14ac:dyDescent="0.2">
      <c r="B54" s="2620" t="s">
        <v>1620</v>
      </c>
      <c r="C54" s="2621"/>
      <c r="D54" s="2621"/>
      <c r="E54" s="2621"/>
      <c r="F54" s="2622" t="str">
        <f>+F7</f>
        <v>Ene</v>
      </c>
      <c r="G54" s="2622" t="str">
        <f t="shared" ref="G54:Q54" si="17">+G7</f>
        <v>Feb</v>
      </c>
      <c r="H54" s="2622" t="str">
        <f t="shared" si="17"/>
        <v>Mar</v>
      </c>
      <c r="I54" s="2622" t="str">
        <f t="shared" si="17"/>
        <v>Abr</v>
      </c>
      <c r="J54" s="2622" t="str">
        <f t="shared" si="17"/>
        <v>May</v>
      </c>
      <c r="K54" s="2622" t="str">
        <f t="shared" si="17"/>
        <v>Jun</v>
      </c>
      <c r="L54" s="2622" t="str">
        <f t="shared" si="17"/>
        <v>Jul</v>
      </c>
      <c r="M54" s="2622" t="str">
        <f t="shared" si="17"/>
        <v>Ago</v>
      </c>
      <c r="N54" s="2622" t="str">
        <f t="shared" si="17"/>
        <v>Set</v>
      </c>
      <c r="O54" s="2622" t="str">
        <f t="shared" si="17"/>
        <v>Oct</v>
      </c>
      <c r="P54" s="2622" t="str">
        <f t="shared" si="17"/>
        <v>Nov</v>
      </c>
      <c r="Q54" s="2623" t="str">
        <f t="shared" si="17"/>
        <v>Dic</v>
      </c>
      <c r="R54" s="2468"/>
      <c r="S54" s="2468"/>
    </row>
    <row r="55" spans="1:24" ht="15.9" customHeight="1" x14ac:dyDescent="0.2">
      <c r="B55" s="2624" t="s">
        <v>1621</v>
      </c>
      <c r="C55" s="5157"/>
      <c r="D55" s="2625"/>
      <c r="E55" s="2626" t="s">
        <v>1617</v>
      </c>
      <c r="F55" s="2627"/>
      <c r="G55" s="2627"/>
      <c r="H55" s="2627"/>
      <c r="I55" s="2627"/>
      <c r="J55" s="2627"/>
      <c r="K55" s="2627"/>
      <c r="L55" s="2627"/>
      <c r="M55" s="2627"/>
      <c r="N55" s="2627"/>
      <c r="O55" s="2627"/>
      <c r="P55" s="2627"/>
      <c r="Q55" s="2628"/>
      <c r="R55" s="2468"/>
      <c r="S55" s="2468"/>
    </row>
    <row r="56" spans="1:24" s="2632" customFormat="1" ht="13.75" hidden="1" customHeight="1" x14ac:dyDescent="0.2">
      <c r="A56" s="2629" t="s">
        <v>1125</v>
      </c>
      <c r="B56" s="2630"/>
      <c r="C56" s="2631"/>
      <c r="E56" s="2631"/>
      <c r="F56" s="2633">
        <f>IF(AND($C$55="",F55=$C$357),1,0)</f>
        <v>0</v>
      </c>
      <c r="G56" s="2633">
        <f t="shared" ref="G56:Q56" si="18">IF(AND($C$55=0,G55=$C$357),1,0)</f>
        <v>0</v>
      </c>
      <c r="H56" s="2633">
        <f t="shared" si="18"/>
        <v>0</v>
      </c>
      <c r="I56" s="2633">
        <f t="shared" si="18"/>
        <v>0</v>
      </c>
      <c r="J56" s="2633">
        <f t="shared" si="18"/>
        <v>0</v>
      </c>
      <c r="K56" s="2633">
        <f t="shared" si="18"/>
        <v>0</v>
      </c>
      <c r="L56" s="2633">
        <f t="shared" si="18"/>
        <v>0</v>
      </c>
      <c r="M56" s="2633">
        <f t="shared" si="18"/>
        <v>0</v>
      </c>
      <c r="N56" s="2633">
        <f t="shared" si="18"/>
        <v>0</v>
      </c>
      <c r="O56" s="2633">
        <f t="shared" si="18"/>
        <v>0</v>
      </c>
      <c r="P56" s="2633">
        <f t="shared" si="18"/>
        <v>0</v>
      </c>
      <c r="Q56" s="2634">
        <f t="shared" si="18"/>
        <v>0</v>
      </c>
      <c r="T56" s="2635"/>
    </row>
    <row r="57" spans="1:24" s="2618" customFormat="1" ht="11" customHeight="1" thickBot="1" x14ac:dyDescent="0.25">
      <c r="A57" s="2636"/>
      <c r="B57" s="2637"/>
      <c r="C57" s="2638"/>
      <c r="D57" s="2639"/>
      <c r="E57" s="2474"/>
      <c r="F57" s="2556"/>
      <c r="G57" s="2556"/>
      <c r="H57" s="2556"/>
      <c r="I57" s="2556"/>
      <c r="J57" s="2556"/>
      <c r="K57" s="2556"/>
      <c r="L57" s="2556"/>
      <c r="M57" s="2556"/>
      <c r="N57" s="2556"/>
      <c r="O57" s="2556"/>
      <c r="P57" s="2556"/>
      <c r="Q57" s="2557"/>
      <c r="T57" s="2619"/>
    </row>
    <row r="58" spans="1:24" s="2618" customFormat="1" ht="13.75" customHeight="1" thickBot="1" x14ac:dyDescent="0.25">
      <c r="A58" s="2636"/>
      <c r="B58" s="2637"/>
      <c r="C58" s="2640"/>
      <c r="D58" s="2641"/>
      <c r="E58" s="5527" t="s">
        <v>1707</v>
      </c>
      <c r="F58" s="5528"/>
      <c r="G58" s="5528"/>
      <c r="H58" s="5528"/>
      <c r="I58" s="5529"/>
      <c r="J58" s="5527" t="s">
        <v>1706</v>
      </c>
      <c r="K58" s="5529"/>
      <c r="L58" s="2642"/>
      <c r="M58" s="2642"/>
      <c r="N58" s="2642"/>
      <c r="O58" s="2556"/>
      <c r="P58" s="2556"/>
      <c r="Q58" s="2557"/>
      <c r="T58" s="2619"/>
    </row>
    <row r="59" spans="1:24" ht="15.9" customHeight="1" x14ac:dyDescent="0.2">
      <c r="B59" s="2643"/>
      <c r="C59" s="2644"/>
      <c r="D59" s="2645"/>
      <c r="E59" s="2646" t="s">
        <v>12</v>
      </c>
      <c r="F59" s="2645" t="s">
        <v>1127</v>
      </c>
      <c r="G59" s="2645" t="s">
        <v>12</v>
      </c>
      <c r="H59" s="2645" t="s">
        <v>355</v>
      </c>
      <c r="I59" s="2647" t="s">
        <v>23</v>
      </c>
      <c r="J59" s="2648" t="s">
        <v>355</v>
      </c>
      <c r="K59" s="2649" t="s">
        <v>23</v>
      </c>
      <c r="L59" s="2650"/>
      <c r="M59" s="2618"/>
      <c r="N59" s="2618"/>
      <c r="O59" s="2466"/>
      <c r="P59" s="2466"/>
      <c r="Q59" s="2651"/>
      <c r="R59" s="2618"/>
      <c r="S59" s="2618"/>
      <c r="T59" s="2618"/>
      <c r="U59" s="2636"/>
      <c r="V59" s="2618"/>
      <c r="W59" s="2618"/>
      <c r="X59" s="2618"/>
    </row>
    <row r="60" spans="1:24" ht="15.9" customHeight="1" x14ac:dyDescent="0.2">
      <c r="B60" s="2652"/>
      <c r="C60" s="2613"/>
      <c r="D60" s="2653"/>
      <c r="E60" s="2654" t="s">
        <v>1177</v>
      </c>
      <c r="F60" s="2653" t="s">
        <v>1178</v>
      </c>
      <c r="G60" s="2653" t="s">
        <v>1177</v>
      </c>
      <c r="H60" s="2653" t="s">
        <v>1708</v>
      </c>
      <c r="I60" s="2655" t="s">
        <v>1181</v>
      </c>
      <c r="J60" s="2656" t="s">
        <v>1181</v>
      </c>
      <c r="K60" s="2655" t="s">
        <v>1181</v>
      </c>
      <c r="L60" s="2650"/>
      <c r="M60" s="2618"/>
      <c r="N60" s="2618"/>
      <c r="O60" s="2466"/>
      <c r="P60" s="2466"/>
      <c r="Q60" s="2651"/>
      <c r="R60" s="2618"/>
      <c r="S60" s="2618"/>
      <c r="T60" s="2618"/>
      <c r="U60" s="2636"/>
      <c r="V60" s="2618"/>
      <c r="W60" s="2618"/>
      <c r="X60" s="2618"/>
    </row>
    <row r="61" spans="1:24" ht="15.9" customHeight="1" x14ac:dyDescent="0.2">
      <c r="B61" s="2516"/>
      <c r="C61" s="2518"/>
      <c r="D61" s="2657"/>
      <c r="E61" s="2658" t="s">
        <v>1109</v>
      </c>
      <c r="F61" s="2657" t="s">
        <v>1179</v>
      </c>
      <c r="G61" s="2657" t="s">
        <v>1180</v>
      </c>
      <c r="H61" s="2657" t="s">
        <v>356</v>
      </c>
      <c r="I61" s="2659" t="s">
        <v>1091</v>
      </c>
      <c r="J61" s="2660" t="s">
        <v>356</v>
      </c>
      <c r="K61" s="2659" t="s">
        <v>1091</v>
      </c>
      <c r="L61" s="2650"/>
      <c r="M61" s="2618"/>
      <c r="N61" s="2618"/>
      <c r="O61" s="2466"/>
      <c r="P61" s="2466"/>
      <c r="Q61" s="2651"/>
      <c r="R61" s="2618"/>
      <c r="S61" s="2618"/>
      <c r="T61" s="2618"/>
      <c r="U61" s="2618"/>
      <c r="V61" s="2618"/>
      <c r="W61" s="2618"/>
      <c r="X61" s="2618"/>
    </row>
    <row r="62" spans="1:24" ht="15.9" customHeight="1" x14ac:dyDescent="0.2">
      <c r="B62" s="2661" t="s">
        <v>1622</v>
      </c>
      <c r="C62" s="2588"/>
      <c r="D62" s="2588"/>
      <c r="E62" s="2662"/>
      <c r="F62" s="2662"/>
      <c r="G62" s="2662">
        <f>IFERROR(E62*F62,0)</f>
        <v>0</v>
      </c>
      <c r="H62" s="2662"/>
      <c r="I62" s="2663"/>
      <c r="J62" s="2664"/>
      <c r="K62" s="2665"/>
      <c r="M62" s="2618"/>
      <c r="N62" s="2618"/>
      <c r="O62" s="2666">
        <f>+IF(C55=C357,1,0)</f>
        <v>0</v>
      </c>
      <c r="P62" s="2466"/>
      <c r="Q62" s="2651"/>
      <c r="R62" s="2618"/>
      <c r="S62" s="2556"/>
      <c r="T62" s="2618"/>
      <c r="U62" s="2636"/>
      <c r="V62" s="2618"/>
      <c r="W62" s="2618"/>
      <c r="X62" s="2618"/>
    </row>
    <row r="63" spans="1:24" ht="15.9" customHeight="1" thickBot="1" x14ac:dyDescent="0.25">
      <c r="B63" s="2667" t="s">
        <v>318</v>
      </c>
      <c r="C63" s="2668"/>
      <c r="D63" s="2668"/>
      <c r="E63" s="5158"/>
      <c r="F63" s="5159"/>
      <c r="G63" s="2669">
        <f>+E63*F63</f>
        <v>0</v>
      </c>
      <c r="H63" s="2669"/>
      <c r="I63" s="2670"/>
      <c r="J63" s="2671"/>
      <c r="K63" s="2672"/>
      <c r="L63" s="2673"/>
      <c r="M63" s="2673"/>
      <c r="N63" s="2673"/>
      <c r="O63" s="2668"/>
      <c r="P63" s="2668"/>
      <c r="Q63" s="2674"/>
      <c r="R63" s="2618"/>
      <c r="S63" s="2556"/>
      <c r="T63" s="2618"/>
      <c r="U63" s="2618"/>
      <c r="V63" s="2618"/>
      <c r="W63" s="2618"/>
      <c r="X63" s="2618"/>
    </row>
    <row r="64" spans="1:24" ht="15.9" customHeight="1" x14ac:dyDescent="0.2">
      <c r="B64" s="2675" t="s">
        <v>2108</v>
      </c>
      <c r="C64" s="2465"/>
      <c r="D64" s="2465"/>
      <c r="E64" s="2466"/>
      <c r="F64" s="2466"/>
      <c r="G64" s="2466"/>
      <c r="H64" s="2466"/>
      <c r="I64" s="2466"/>
      <c r="J64" s="2466"/>
      <c r="K64" s="2466"/>
      <c r="L64" s="2466"/>
      <c r="M64" s="2466"/>
      <c r="N64" s="2466"/>
      <c r="O64" s="2466"/>
      <c r="P64" s="2466"/>
      <c r="Q64" s="2466"/>
      <c r="R64" s="2466"/>
      <c r="S64" s="2466"/>
      <c r="T64" s="2468"/>
      <c r="U64" s="2469"/>
    </row>
    <row r="65" spans="1:24" ht="15.9" customHeight="1" x14ac:dyDescent="0.2">
      <c r="B65" s="2675" t="s">
        <v>2109</v>
      </c>
      <c r="C65" s="2465"/>
      <c r="D65" s="2466"/>
      <c r="E65" s="2466"/>
      <c r="F65" s="2466"/>
      <c r="G65" s="2466"/>
      <c r="H65" s="2465"/>
      <c r="I65" s="2466"/>
      <c r="J65" s="2466"/>
      <c r="K65" s="2466"/>
      <c r="L65" s="2466"/>
      <c r="M65" s="2468"/>
      <c r="N65" s="2468"/>
      <c r="O65" s="2468"/>
      <c r="P65" s="2468"/>
      <c r="Q65" s="2468"/>
      <c r="R65" s="2468"/>
      <c r="S65" s="2468"/>
    </row>
    <row r="66" spans="1:24" ht="15.9" customHeight="1" thickBot="1" x14ac:dyDescent="0.25">
      <c r="B66" s="2675"/>
      <c r="C66" s="2465"/>
      <c r="D66" s="2466"/>
      <c r="E66" s="2466"/>
      <c r="F66" s="2466"/>
      <c r="G66" s="2466"/>
      <c r="H66" s="2465"/>
      <c r="I66" s="2466"/>
      <c r="J66" s="2466"/>
      <c r="K66" s="2466"/>
      <c r="L66" s="2466"/>
      <c r="M66" s="2468"/>
      <c r="N66" s="2468"/>
      <c r="O66" s="2468"/>
      <c r="P66" s="2468"/>
      <c r="Q66" s="2468"/>
      <c r="R66" s="2468"/>
      <c r="S66" s="2468"/>
    </row>
    <row r="67" spans="1:24" s="2466" customFormat="1" ht="15.9" customHeight="1" thickBot="1" x14ac:dyDescent="0.25">
      <c r="A67" s="2487">
        <f>+A53+1</f>
        <v>71</v>
      </c>
      <c r="B67" s="2488" t="s">
        <v>373</v>
      </c>
      <c r="C67" s="2489" t="s">
        <v>1108</v>
      </c>
      <c r="D67" s="2489"/>
      <c r="E67" s="2489"/>
      <c r="F67" s="2489"/>
      <c r="G67" s="2489"/>
      <c r="H67" s="2489"/>
      <c r="I67" s="2489"/>
      <c r="J67" s="2489"/>
      <c r="K67" s="2489"/>
      <c r="L67" s="2489"/>
      <c r="M67" s="2489"/>
      <c r="N67" s="2489"/>
      <c r="O67" s="2489"/>
      <c r="P67" s="2489"/>
      <c r="Q67" s="2489"/>
      <c r="R67" s="2676" t="s">
        <v>1110</v>
      </c>
      <c r="S67" s="2677"/>
      <c r="T67" s="2678"/>
      <c r="V67" s="2468"/>
    </row>
    <row r="68" spans="1:24" s="2466" customFormat="1" ht="15.9" customHeight="1" x14ac:dyDescent="0.2">
      <c r="B68" s="2679" t="s">
        <v>683</v>
      </c>
      <c r="C68" s="2680"/>
      <c r="D68" s="2680"/>
      <c r="E68" s="2681"/>
      <c r="F68" s="2682" t="str">
        <f t="shared" ref="F68:Q68" si="19">+F10</f>
        <v>Ene</v>
      </c>
      <c r="G68" s="2683" t="str">
        <f t="shared" si="19"/>
        <v>Feb</v>
      </c>
      <c r="H68" s="2682" t="str">
        <f t="shared" si="19"/>
        <v>Mar</v>
      </c>
      <c r="I68" s="2682" t="str">
        <f t="shared" si="19"/>
        <v>Abr</v>
      </c>
      <c r="J68" s="2682" t="str">
        <f t="shared" si="19"/>
        <v>May</v>
      </c>
      <c r="K68" s="2682" t="str">
        <f t="shared" si="19"/>
        <v>Jun</v>
      </c>
      <c r="L68" s="2682" t="str">
        <f t="shared" si="19"/>
        <v>Jul</v>
      </c>
      <c r="M68" s="2682" t="str">
        <f t="shared" si="19"/>
        <v>Ago</v>
      </c>
      <c r="N68" s="2682" t="str">
        <f t="shared" si="19"/>
        <v>Set</v>
      </c>
      <c r="O68" s="2682" t="str">
        <f t="shared" si="19"/>
        <v>Oct</v>
      </c>
      <c r="P68" s="2682" t="str">
        <f t="shared" si="19"/>
        <v>Nov</v>
      </c>
      <c r="Q68" s="2684" t="str">
        <f t="shared" si="19"/>
        <v>Dic</v>
      </c>
      <c r="R68" s="2685" t="s">
        <v>1111</v>
      </c>
      <c r="S68" s="2686"/>
      <c r="T68" s="2686"/>
      <c r="V68" s="2468"/>
    </row>
    <row r="69" spans="1:24" s="2466" customFormat="1" x14ac:dyDescent="0.2">
      <c r="B69" s="2509" t="s">
        <v>1363</v>
      </c>
      <c r="C69" s="2510" t="s">
        <v>357</v>
      </c>
      <c r="D69" s="2511"/>
      <c r="E69" s="2511"/>
      <c r="F69" s="2687">
        <f>+General!C70</f>
        <v>0</v>
      </c>
      <c r="G69" s="2688">
        <f>+F85</f>
        <v>0</v>
      </c>
      <c r="H69" s="2688">
        <f t="shared" ref="H69:Q69" si="20">+G85</f>
        <v>0</v>
      </c>
      <c r="I69" s="2688">
        <f t="shared" si="20"/>
        <v>0</v>
      </c>
      <c r="J69" s="2688">
        <f t="shared" si="20"/>
        <v>0</v>
      </c>
      <c r="K69" s="2688">
        <f>+J85</f>
        <v>0</v>
      </c>
      <c r="L69" s="2688">
        <f t="shared" si="20"/>
        <v>0</v>
      </c>
      <c r="M69" s="2688">
        <f t="shared" si="20"/>
        <v>0</v>
      </c>
      <c r="N69" s="2688">
        <f t="shared" si="20"/>
        <v>0</v>
      </c>
      <c r="O69" s="2688">
        <f t="shared" si="20"/>
        <v>0</v>
      </c>
      <c r="P69" s="2688">
        <f t="shared" si="20"/>
        <v>0</v>
      </c>
      <c r="Q69" s="2689">
        <f t="shared" si="20"/>
        <v>0</v>
      </c>
      <c r="R69" s="2690"/>
      <c r="T69" s="2678"/>
      <c r="V69" s="2468"/>
    </row>
    <row r="70" spans="1:24" s="2466" customFormat="1" x14ac:dyDescent="0.2">
      <c r="B70" s="2516" t="s">
        <v>1247</v>
      </c>
      <c r="C70" s="2517" t="s">
        <v>356</v>
      </c>
      <c r="D70" s="2518"/>
      <c r="E70" s="2518"/>
      <c r="F70" s="2691">
        <f>+General!D70</f>
        <v>0</v>
      </c>
      <c r="G70" s="2692"/>
      <c r="H70" s="2549"/>
      <c r="I70" s="2549"/>
      <c r="J70" s="2549"/>
      <c r="K70" s="2549"/>
      <c r="L70" s="2549"/>
      <c r="M70" s="2549"/>
      <c r="N70" s="2549"/>
      <c r="O70" s="2549"/>
      <c r="P70" s="2549"/>
      <c r="Q70" s="2693"/>
      <c r="R70" s="2694"/>
      <c r="T70" s="2678"/>
      <c r="V70" s="2468"/>
    </row>
    <row r="71" spans="1:24" s="2466" customFormat="1" ht="15.9" customHeight="1" x14ac:dyDescent="0.2">
      <c r="B71" s="2524" t="s">
        <v>352</v>
      </c>
      <c r="C71" s="2525"/>
      <c r="D71" s="2525"/>
      <c r="E71" s="2525"/>
      <c r="F71" s="2525"/>
      <c r="G71" s="2525"/>
      <c r="H71" s="2525"/>
      <c r="I71" s="2525"/>
      <c r="J71" s="2525"/>
      <c r="K71" s="2525"/>
      <c r="L71" s="2525"/>
      <c r="M71" s="2525"/>
      <c r="N71" s="2525"/>
      <c r="O71" s="2525"/>
      <c r="P71" s="2525"/>
      <c r="Q71" s="2525"/>
      <c r="R71" s="2695"/>
      <c r="T71" s="2678"/>
      <c r="W71" s="2528"/>
      <c r="X71" s="2528"/>
    </row>
    <row r="72" spans="1:24" s="2678" customFormat="1" ht="15.9" customHeight="1" x14ac:dyDescent="0.2">
      <c r="B72" s="389" t="s">
        <v>1226</v>
      </c>
      <c r="C72" s="390" t="s">
        <v>354</v>
      </c>
      <c r="D72" s="2466"/>
      <c r="E72" s="2466"/>
      <c r="F72" s="5133"/>
      <c r="G72" s="5134"/>
      <c r="H72" s="5134"/>
      <c r="I72" s="5134"/>
      <c r="J72" s="5134"/>
      <c r="K72" s="5134"/>
      <c r="L72" s="5134"/>
      <c r="M72" s="5134"/>
      <c r="N72" s="5134"/>
      <c r="O72" s="5134"/>
      <c r="P72" s="5134"/>
      <c r="Q72" s="5135"/>
      <c r="R72" s="387">
        <f>+SUM(F72:Q72)</f>
        <v>0</v>
      </c>
      <c r="S72" s="400"/>
      <c r="T72" s="699"/>
    </row>
    <row r="73" spans="1:24" s="2678" customFormat="1" ht="15.9" customHeight="1" x14ac:dyDescent="0.2">
      <c r="A73" s="2619"/>
      <c r="B73" s="389" t="s">
        <v>299</v>
      </c>
      <c r="C73" s="390" t="s">
        <v>356</v>
      </c>
      <c r="D73" s="2466"/>
      <c r="E73" s="2466"/>
      <c r="F73" s="5136"/>
      <c r="G73" s="5137"/>
      <c r="H73" s="5137"/>
      <c r="I73" s="5137"/>
      <c r="J73" s="5137"/>
      <c r="K73" s="5137"/>
      <c r="L73" s="5137"/>
      <c r="M73" s="5137"/>
      <c r="N73" s="5137"/>
      <c r="O73" s="5137"/>
      <c r="P73" s="5137"/>
      <c r="Q73" s="5138"/>
      <c r="R73" s="393"/>
      <c r="S73" s="400"/>
      <c r="T73" s="699"/>
    </row>
    <row r="74" spans="1:24" s="2678" customFormat="1" ht="15.9" customHeight="1" thickBot="1" x14ac:dyDescent="0.25">
      <c r="B74" s="389" t="s">
        <v>23</v>
      </c>
      <c r="C74" s="390" t="s">
        <v>362</v>
      </c>
      <c r="D74" s="2466"/>
      <c r="E74" s="2466"/>
      <c r="F74" s="5139"/>
      <c r="G74" s="5140"/>
      <c r="H74" s="5140"/>
      <c r="I74" s="5140"/>
      <c r="J74" s="5140"/>
      <c r="K74" s="5140"/>
      <c r="L74" s="5140"/>
      <c r="M74" s="5140"/>
      <c r="N74" s="5140"/>
      <c r="O74" s="5140"/>
      <c r="P74" s="5140"/>
      <c r="Q74" s="5141"/>
      <c r="R74" s="393"/>
      <c r="S74" s="400"/>
      <c r="T74" s="699"/>
    </row>
    <row r="75" spans="1:24" s="2678" customFormat="1" ht="15.9" customHeight="1" x14ac:dyDescent="0.2">
      <c r="B75" s="833" t="s">
        <v>378</v>
      </c>
      <c r="C75" s="834" t="s">
        <v>354</v>
      </c>
      <c r="D75" s="835"/>
      <c r="E75" s="835"/>
      <c r="F75" s="5160"/>
      <c r="G75" s="5161"/>
      <c r="H75" s="5162"/>
      <c r="I75" s="5162"/>
      <c r="J75" s="5162"/>
      <c r="K75" s="5162"/>
      <c r="L75" s="5162"/>
      <c r="M75" s="5162"/>
      <c r="N75" s="5162"/>
      <c r="O75" s="5162"/>
      <c r="P75" s="5162"/>
      <c r="Q75" s="5163"/>
      <c r="R75" s="393">
        <f>+SUM(F75:Q75)</f>
        <v>0</v>
      </c>
      <c r="S75" s="400"/>
      <c r="T75" s="699"/>
    </row>
    <row r="76" spans="1:24" s="2678" customFormat="1" ht="15.9" customHeight="1" x14ac:dyDescent="0.2">
      <c r="B76" s="391" t="s">
        <v>374</v>
      </c>
      <c r="C76" s="392" t="s">
        <v>354</v>
      </c>
      <c r="D76" s="394"/>
      <c r="E76" s="394"/>
      <c r="F76" s="2696">
        <f t="shared" ref="F76:Q76" si="21">+F39</f>
        <v>0</v>
      </c>
      <c r="G76" s="2697">
        <f t="shared" si="21"/>
        <v>0</v>
      </c>
      <c r="H76" s="2697">
        <f t="shared" si="21"/>
        <v>0</v>
      </c>
      <c r="I76" s="2697">
        <f t="shared" si="21"/>
        <v>0</v>
      </c>
      <c r="J76" s="2697">
        <f t="shared" si="21"/>
        <v>0</v>
      </c>
      <c r="K76" s="2697">
        <f t="shared" si="21"/>
        <v>0</v>
      </c>
      <c r="L76" s="2697">
        <f t="shared" si="21"/>
        <v>0</v>
      </c>
      <c r="M76" s="2697">
        <f t="shared" si="21"/>
        <v>0</v>
      </c>
      <c r="N76" s="2697">
        <f t="shared" si="21"/>
        <v>0</v>
      </c>
      <c r="O76" s="2697">
        <f t="shared" si="21"/>
        <v>0</v>
      </c>
      <c r="P76" s="2697">
        <f t="shared" si="21"/>
        <v>0</v>
      </c>
      <c r="Q76" s="2698">
        <f t="shared" si="21"/>
        <v>0</v>
      </c>
      <c r="R76" s="2699">
        <f>+SUM(F76:Q76)</f>
        <v>0</v>
      </c>
      <c r="S76" s="400"/>
      <c r="T76" s="699"/>
    </row>
    <row r="77" spans="1:24" s="2466" customFormat="1" ht="15.9" customHeight="1" x14ac:dyDescent="0.2">
      <c r="B77" s="2548" t="s">
        <v>364</v>
      </c>
      <c r="C77" s="2549" t="s">
        <v>354</v>
      </c>
      <c r="D77" s="2550"/>
      <c r="E77" s="2550"/>
      <c r="F77" s="2700">
        <f>+F72+F76</f>
        <v>0</v>
      </c>
      <c r="G77" s="2552">
        <f>+G72+G76</f>
        <v>0</v>
      </c>
      <c r="H77" s="2701">
        <f t="shared" ref="H77:Q77" si="22">+H72+H76</f>
        <v>0</v>
      </c>
      <c r="I77" s="2701">
        <f t="shared" si="22"/>
        <v>0</v>
      </c>
      <c r="J77" s="2701">
        <f t="shared" si="22"/>
        <v>0</v>
      </c>
      <c r="K77" s="2701">
        <f t="shared" si="22"/>
        <v>0</v>
      </c>
      <c r="L77" s="2701">
        <f t="shared" si="22"/>
        <v>0</v>
      </c>
      <c r="M77" s="2701">
        <f t="shared" si="22"/>
        <v>0</v>
      </c>
      <c r="N77" s="2701">
        <f t="shared" si="22"/>
        <v>0</v>
      </c>
      <c r="O77" s="2701">
        <f t="shared" si="22"/>
        <v>0</v>
      </c>
      <c r="P77" s="2701">
        <f t="shared" si="22"/>
        <v>0</v>
      </c>
      <c r="Q77" s="2702">
        <f t="shared" si="22"/>
        <v>0</v>
      </c>
      <c r="R77" s="2703">
        <f>+SUM(F77:Q77)</f>
        <v>0</v>
      </c>
      <c r="S77" s="2465"/>
    </row>
    <row r="78" spans="1:24" ht="15.9" customHeight="1" x14ac:dyDescent="0.2">
      <c r="B78" s="2524" t="s">
        <v>359</v>
      </c>
      <c r="C78" s="2525"/>
      <c r="D78" s="2525"/>
      <c r="E78" s="2525"/>
      <c r="F78" s="2525"/>
      <c r="G78" s="2525"/>
      <c r="H78" s="2525"/>
      <c r="I78" s="2525"/>
      <c r="J78" s="2525"/>
      <c r="K78" s="2525"/>
      <c r="L78" s="2525"/>
      <c r="M78" s="2525"/>
      <c r="N78" s="2525"/>
      <c r="O78" s="2525"/>
      <c r="P78" s="2525"/>
      <c r="Q78" s="2525"/>
      <c r="R78" s="2695"/>
      <c r="S78" s="2465"/>
      <c r="T78" s="2468"/>
    </row>
    <row r="79" spans="1:24" ht="15.9" customHeight="1" x14ac:dyDescent="0.2">
      <c r="B79" s="389" t="s">
        <v>1282</v>
      </c>
      <c r="C79" s="390" t="s">
        <v>354</v>
      </c>
      <c r="D79" s="2466"/>
      <c r="E79" s="2466"/>
      <c r="F79" s="5133"/>
      <c r="G79" s="5134"/>
      <c r="H79" s="5134"/>
      <c r="I79" s="5134"/>
      <c r="J79" s="5134"/>
      <c r="K79" s="5134"/>
      <c r="L79" s="5134"/>
      <c r="M79" s="5134"/>
      <c r="N79" s="5134"/>
      <c r="O79" s="5134"/>
      <c r="P79" s="5134"/>
      <c r="Q79" s="5135"/>
      <c r="R79" s="387">
        <f>+SUM(F79:Q79)</f>
        <v>0</v>
      </c>
      <c r="S79" s="2465"/>
      <c r="T79" s="699"/>
    </row>
    <row r="80" spans="1:24" ht="15.9" customHeight="1" x14ac:dyDescent="0.2">
      <c r="B80" s="389" t="s">
        <v>355</v>
      </c>
      <c r="C80" s="390" t="s">
        <v>356</v>
      </c>
      <c r="D80" s="2466"/>
      <c r="E80" s="2466"/>
      <c r="F80" s="5136"/>
      <c r="G80" s="5137"/>
      <c r="H80" s="5137"/>
      <c r="I80" s="5137"/>
      <c r="J80" s="5137"/>
      <c r="K80" s="5137"/>
      <c r="L80" s="5137"/>
      <c r="M80" s="5137"/>
      <c r="N80" s="5137"/>
      <c r="O80" s="5137"/>
      <c r="P80" s="5137"/>
      <c r="Q80" s="5138"/>
      <c r="R80" s="2704"/>
      <c r="S80" s="2465"/>
      <c r="T80" s="2468"/>
    </row>
    <row r="81" spans="1:23" ht="15.9" customHeight="1" thickBot="1" x14ac:dyDescent="0.25">
      <c r="B81" s="389" t="s">
        <v>23</v>
      </c>
      <c r="C81" s="390" t="s">
        <v>362</v>
      </c>
      <c r="D81" s="2466"/>
      <c r="E81" s="2466"/>
      <c r="F81" s="5139"/>
      <c r="G81" s="5140"/>
      <c r="H81" s="5140"/>
      <c r="I81" s="5140"/>
      <c r="J81" s="5140"/>
      <c r="K81" s="5140"/>
      <c r="L81" s="5140"/>
      <c r="M81" s="5140"/>
      <c r="N81" s="5140"/>
      <c r="O81" s="5140"/>
      <c r="P81" s="5140"/>
      <c r="Q81" s="5141"/>
      <c r="R81" s="2704"/>
      <c r="S81" s="2465"/>
      <c r="T81" s="2468"/>
    </row>
    <row r="82" spans="1:23" ht="15.9" customHeight="1" x14ac:dyDescent="0.2">
      <c r="B82" s="836" t="s">
        <v>1416</v>
      </c>
      <c r="C82" s="837" t="s">
        <v>354</v>
      </c>
      <c r="D82" s="838"/>
      <c r="E82" s="838"/>
      <c r="F82" s="5164"/>
      <c r="G82" s="5165"/>
      <c r="H82" s="5166"/>
      <c r="I82" s="5166"/>
      <c r="J82" s="5166"/>
      <c r="K82" s="5166"/>
      <c r="L82" s="5166"/>
      <c r="M82" s="5166"/>
      <c r="N82" s="5166"/>
      <c r="O82" s="5166"/>
      <c r="P82" s="5166"/>
      <c r="Q82" s="5167"/>
      <c r="R82" s="2705">
        <f>+SUM(F82:Q82)</f>
        <v>0</v>
      </c>
      <c r="S82" s="2465"/>
      <c r="T82" s="2468"/>
    </row>
    <row r="83" spans="1:23" ht="15.9" customHeight="1" x14ac:dyDescent="0.2">
      <c r="B83" s="2652" t="s">
        <v>1418</v>
      </c>
      <c r="C83" s="2465" t="s">
        <v>354</v>
      </c>
      <c r="D83" s="2466"/>
      <c r="E83" s="2706"/>
      <c r="F83" s="2535">
        <f t="shared" ref="F83:Q83" si="23">+F19</f>
        <v>0</v>
      </c>
      <c r="G83" s="2536">
        <f t="shared" si="23"/>
        <v>0</v>
      </c>
      <c r="H83" s="2536">
        <f t="shared" si="23"/>
        <v>0</v>
      </c>
      <c r="I83" s="2536">
        <f t="shared" si="23"/>
        <v>0</v>
      </c>
      <c r="J83" s="2536">
        <f t="shared" si="23"/>
        <v>0</v>
      </c>
      <c r="K83" s="2536">
        <f t="shared" si="23"/>
        <v>0</v>
      </c>
      <c r="L83" s="2536">
        <f t="shared" si="23"/>
        <v>0</v>
      </c>
      <c r="M83" s="2536">
        <f t="shared" si="23"/>
        <v>0</v>
      </c>
      <c r="N83" s="2536">
        <f t="shared" si="23"/>
        <v>0</v>
      </c>
      <c r="O83" s="2536">
        <f t="shared" si="23"/>
        <v>0</v>
      </c>
      <c r="P83" s="2536">
        <f t="shared" si="23"/>
        <v>0</v>
      </c>
      <c r="Q83" s="2537">
        <f t="shared" si="23"/>
        <v>0</v>
      </c>
      <c r="R83" s="2704">
        <f>+SUM(F83:Q83)</f>
        <v>0</v>
      </c>
      <c r="S83" s="2465"/>
      <c r="T83" s="2468"/>
    </row>
    <row r="84" spans="1:23" ht="15.9" customHeight="1" x14ac:dyDescent="0.2">
      <c r="B84" s="2548" t="s">
        <v>365</v>
      </c>
      <c r="C84" s="2549"/>
      <c r="D84" s="2550"/>
      <c r="E84" s="2550"/>
      <c r="F84" s="2551">
        <f>+F79+F83</f>
        <v>0</v>
      </c>
      <c r="G84" s="2552">
        <f t="shared" ref="G84:Q84" si="24">+G79+G83</f>
        <v>0</v>
      </c>
      <c r="H84" s="2552">
        <f t="shared" si="24"/>
        <v>0</v>
      </c>
      <c r="I84" s="2552">
        <f t="shared" si="24"/>
        <v>0</v>
      </c>
      <c r="J84" s="2552">
        <f t="shared" si="24"/>
        <v>0</v>
      </c>
      <c r="K84" s="2552">
        <f t="shared" si="24"/>
        <v>0</v>
      </c>
      <c r="L84" s="2552">
        <f t="shared" si="24"/>
        <v>0</v>
      </c>
      <c r="M84" s="2552">
        <f t="shared" si="24"/>
        <v>0</v>
      </c>
      <c r="N84" s="2552">
        <f t="shared" si="24"/>
        <v>0</v>
      </c>
      <c r="O84" s="2552">
        <f t="shared" si="24"/>
        <v>0</v>
      </c>
      <c r="P84" s="2552">
        <f t="shared" si="24"/>
        <v>0</v>
      </c>
      <c r="Q84" s="2553">
        <f t="shared" si="24"/>
        <v>0</v>
      </c>
      <c r="R84" s="388">
        <f>+R79+R83</f>
        <v>0</v>
      </c>
      <c r="S84" s="2465"/>
      <c r="T84" s="2468"/>
    </row>
    <row r="85" spans="1:23" ht="15.9" customHeight="1" x14ac:dyDescent="0.2">
      <c r="B85" s="2509" t="s">
        <v>1364</v>
      </c>
      <c r="C85" s="2510" t="s">
        <v>357</v>
      </c>
      <c r="D85" s="2511"/>
      <c r="E85" s="2511"/>
      <c r="F85" s="2577">
        <f t="shared" ref="F85:Q85" si="25">F69+F77-F84</f>
        <v>0</v>
      </c>
      <c r="G85" s="2688">
        <f t="shared" si="25"/>
        <v>0</v>
      </c>
      <c r="H85" s="2688">
        <f t="shared" si="25"/>
        <v>0</v>
      </c>
      <c r="I85" s="2688">
        <f t="shared" si="25"/>
        <v>0</v>
      </c>
      <c r="J85" s="2688">
        <f t="shared" si="25"/>
        <v>0</v>
      </c>
      <c r="K85" s="2688">
        <f t="shared" si="25"/>
        <v>0</v>
      </c>
      <c r="L85" s="2688">
        <f t="shared" si="25"/>
        <v>0</v>
      </c>
      <c r="M85" s="2688">
        <f>M69+M77-M84</f>
        <v>0</v>
      </c>
      <c r="N85" s="2688">
        <f t="shared" si="25"/>
        <v>0</v>
      </c>
      <c r="O85" s="2688">
        <f t="shared" si="25"/>
        <v>0</v>
      </c>
      <c r="P85" s="2688">
        <f t="shared" si="25"/>
        <v>0</v>
      </c>
      <c r="Q85" s="2689">
        <f t="shared" si="25"/>
        <v>0</v>
      </c>
      <c r="R85" s="2703"/>
      <c r="S85" s="2465"/>
      <c r="T85" s="2468"/>
    </row>
    <row r="86" spans="1:23" ht="15.9" customHeight="1" thickBot="1" x14ac:dyDescent="0.25">
      <c r="B86" s="2671" t="s">
        <v>375</v>
      </c>
      <c r="C86" s="2610" t="s">
        <v>354</v>
      </c>
      <c r="D86" s="2668"/>
      <c r="E86" s="2668"/>
      <c r="F86" s="2707">
        <f t="shared" ref="F86:Q86" si="26">ROUND((F85+F69)/2,0)</f>
        <v>0</v>
      </c>
      <c r="G86" s="2708">
        <f t="shared" si="26"/>
        <v>0</v>
      </c>
      <c r="H86" s="2708">
        <f t="shared" si="26"/>
        <v>0</v>
      </c>
      <c r="I86" s="2708">
        <f t="shared" si="26"/>
        <v>0</v>
      </c>
      <c r="J86" s="2708">
        <f t="shared" si="26"/>
        <v>0</v>
      </c>
      <c r="K86" s="2708">
        <f t="shared" si="26"/>
        <v>0</v>
      </c>
      <c r="L86" s="2708">
        <f t="shared" si="26"/>
        <v>0</v>
      </c>
      <c r="M86" s="2708">
        <f t="shared" si="26"/>
        <v>0</v>
      </c>
      <c r="N86" s="2708">
        <f t="shared" si="26"/>
        <v>0</v>
      </c>
      <c r="O86" s="2708">
        <f t="shared" si="26"/>
        <v>0</v>
      </c>
      <c r="P86" s="2708">
        <f t="shared" si="26"/>
        <v>0</v>
      </c>
      <c r="Q86" s="2709">
        <f t="shared" si="26"/>
        <v>0</v>
      </c>
      <c r="R86" s="2710">
        <f>AVERAGE(F86:Q86)</f>
        <v>0</v>
      </c>
      <c r="S86" s="2468"/>
    </row>
    <row r="87" spans="1:23" ht="15.9" customHeight="1" x14ac:dyDescent="0.2">
      <c r="B87" s="2466"/>
      <c r="C87" s="2465"/>
      <c r="D87" s="2466"/>
      <c r="E87" s="2466"/>
      <c r="F87" s="2466"/>
      <c r="G87" s="2466"/>
      <c r="H87" s="2466"/>
      <c r="I87" s="2466"/>
      <c r="J87" s="2466"/>
      <c r="K87" s="2466"/>
      <c r="L87" s="2466"/>
      <c r="M87" s="2468"/>
      <c r="N87" s="2468"/>
      <c r="O87" s="2468"/>
      <c r="P87" s="2468"/>
      <c r="Q87" s="2468"/>
      <c r="R87" s="2468"/>
      <c r="S87" s="2468"/>
    </row>
    <row r="88" spans="1:23" ht="15.9" customHeight="1" thickBot="1" x14ac:dyDescent="0.25">
      <c r="B88" s="2466"/>
      <c r="C88" s="2465"/>
      <c r="D88" s="2466"/>
      <c r="E88" s="2466"/>
      <c r="F88" s="2466"/>
      <c r="G88" s="2466"/>
      <c r="H88" s="2466"/>
      <c r="I88" s="2466"/>
      <c r="J88" s="2466"/>
      <c r="K88" s="2466"/>
      <c r="L88" s="2466"/>
      <c r="M88" s="2468"/>
      <c r="N88" s="2468"/>
      <c r="O88" s="2468"/>
      <c r="P88" s="2468"/>
      <c r="Q88" s="2468"/>
      <c r="R88" s="2468"/>
      <c r="S88" s="2468"/>
    </row>
    <row r="89" spans="1:23" s="2466" customFormat="1" ht="15.9" customHeight="1" thickBot="1" x14ac:dyDescent="0.25">
      <c r="A89" s="2487">
        <f>+A67+1</f>
        <v>72</v>
      </c>
      <c r="B89" s="2488" t="s">
        <v>1300</v>
      </c>
      <c r="C89" s="2489" t="s">
        <v>1108</v>
      </c>
      <c r="D89" s="2490" t="s">
        <v>1301</v>
      </c>
      <c r="E89" s="2489"/>
      <c r="F89" s="2489"/>
      <c r="G89" s="2489"/>
      <c r="H89" s="2489"/>
      <c r="I89" s="2489"/>
      <c r="J89" s="2489"/>
      <c r="K89" s="2489"/>
      <c r="L89" s="2489"/>
      <c r="M89" s="2489"/>
      <c r="N89" s="2489"/>
      <c r="O89" s="2489"/>
      <c r="P89" s="2489"/>
      <c r="Q89" s="2489"/>
      <c r="R89" s="2491"/>
      <c r="S89" s="2677"/>
      <c r="T89" s="2678"/>
    </row>
    <row r="90" spans="1:23" s="2466" customFormat="1" ht="15.9" customHeight="1" thickBot="1" x14ac:dyDescent="0.25">
      <c r="A90" s="2468"/>
      <c r="B90" s="2711" t="s">
        <v>683</v>
      </c>
      <c r="C90" s="2712"/>
      <c r="D90" s="2712"/>
      <c r="E90" s="2713"/>
      <c r="F90" s="2622" t="str">
        <f t="shared" ref="F90:Q90" si="27">+F68</f>
        <v>Ene</v>
      </c>
      <c r="G90" s="2714" t="str">
        <f t="shared" si="27"/>
        <v>Feb</v>
      </c>
      <c r="H90" s="2622" t="str">
        <f t="shared" si="27"/>
        <v>Mar</v>
      </c>
      <c r="I90" s="2622" t="str">
        <f t="shared" si="27"/>
        <v>Abr</v>
      </c>
      <c r="J90" s="2622" t="str">
        <f t="shared" si="27"/>
        <v>May</v>
      </c>
      <c r="K90" s="2622" t="str">
        <f t="shared" si="27"/>
        <v>Jun</v>
      </c>
      <c r="L90" s="2622" t="str">
        <f t="shared" si="27"/>
        <v>Jul</v>
      </c>
      <c r="M90" s="2622" t="str">
        <f t="shared" si="27"/>
        <v>Ago</v>
      </c>
      <c r="N90" s="2622" t="str">
        <f t="shared" si="27"/>
        <v>Set</v>
      </c>
      <c r="O90" s="2622" t="str">
        <f t="shared" si="27"/>
        <v>Oct</v>
      </c>
      <c r="P90" s="2622" t="str">
        <f t="shared" si="27"/>
        <v>Nov</v>
      </c>
      <c r="Q90" s="2622" t="str">
        <f t="shared" si="27"/>
        <v>Dic</v>
      </c>
      <c r="R90" s="2715" t="s">
        <v>317</v>
      </c>
      <c r="S90" s="2677"/>
      <c r="T90" s="2678"/>
    </row>
    <row r="91" spans="1:23" s="2632" customFormat="1" ht="15.9" hidden="1" customHeight="1" x14ac:dyDescent="0.2">
      <c r="A91" s="2716" t="s">
        <v>1125</v>
      </c>
      <c r="B91" s="2717" t="s">
        <v>1641</v>
      </c>
      <c r="C91" s="2718"/>
      <c r="D91" s="2718"/>
      <c r="E91" s="2719"/>
      <c r="F91" s="2720">
        <f>+SUM(G15:G17)</f>
        <v>0</v>
      </c>
      <c r="G91" s="2718">
        <f t="shared" ref="G91:P91" si="28">+SUM(H15:H17)</f>
        <v>0</v>
      </c>
      <c r="H91" s="2718">
        <f t="shared" si="28"/>
        <v>0</v>
      </c>
      <c r="I91" s="2718">
        <f t="shared" si="28"/>
        <v>0</v>
      </c>
      <c r="J91" s="2718">
        <f t="shared" si="28"/>
        <v>0</v>
      </c>
      <c r="K91" s="2718">
        <f t="shared" si="28"/>
        <v>0</v>
      </c>
      <c r="L91" s="2718">
        <f t="shared" si="28"/>
        <v>0</v>
      </c>
      <c r="M91" s="2718">
        <f t="shared" si="28"/>
        <v>0</v>
      </c>
      <c r="N91" s="2718">
        <f t="shared" si="28"/>
        <v>0</v>
      </c>
      <c r="O91" s="2718">
        <f t="shared" si="28"/>
        <v>0</v>
      </c>
      <c r="P91" s="2718">
        <f t="shared" si="28"/>
        <v>0</v>
      </c>
      <c r="Q91" s="2718">
        <f>+SUM(S15:S17)</f>
        <v>0</v>
      </c>
      <c r="R91" s="2721"/>
      <c r="S91" s="2722"/>
      <c r="T91" s="2635"/>
    </row>
    <row r="92" spans="1:23" s="2632" customFormat="1" ht="15.9" hidden="1" customHeight="1" thickBot="1" x14ac:dyDescent="0.25">
      <c r="A92" s="2716" t="s">
        <v>1125</v>
      </c>
      <c r="B92" s="2717" t="s">
        <v>1642</v>
      </c>
      <c r="C92" s="2718"/>
      <c r="D92" s="2718"/>
      <c r="E92" s="2719"/>
      <c r="F92" s="2723">
        <f>+G21+G22</f>
        <v>0</v>
      </c>
      <c r="G92" s="2722">
        <f t="shared" ref="G92:P92" si="29">+H21+H22</f>
        <v>0</v>
      </c>
      <c r="H92" s="2722">
        <f t="shared" si="29"/>
        <v>0</v>
      </c>
      <c r="I92" s="2722">
        <f t="shared" si="29"/>
        <v>0</v>
      </c>
      <c r="J92" s="2722">
        <f t="shared" si="29"/>
        <v>0</v>
      </c>
      <c r="K92" s="2722">
        <f t="shared" si="29"/>
        <v>0</v>
      </c>
      <c r="L92" s="2722">
        <f t="shared" si="29"/>
        <v>0</v>
      </c>
      <c r="M92" s="2722">
        <f t="shared" si="29"/>
        <v>0</v>
      </c>
      <c r="N92" s="2722">
        <f t="shared" si="29"/>
        <v>0</v>
      </c>
      <c r="O92" s="2722">
        <f t="shared" si="29"/>
        <v>0</v>
      </c>
      <c r="P92" s="2722">
        <f t="shared" si="29"/>
        <v>0</v>
      </c>
      <c r="Q92" s="2722">
        <f>+S21+S22</f>
        <v>0</v>
      </c>
      <c r="R92" s="2721"/>
      <c r="S92" s="2722"/>
      <c r="T92" s="2635"/>
    </row>
    <row r="93" spans="1:23" ht="15.9" customHeight="1" thickBot="1" x14ac:dyDescent="0.25">
      <c r="B93" s="2724" t="s">
        <v>1112</v>
      </c>
      <c r="C93" s="2725"/>
      <c r="D93" s="2726"/>
      <c r="E93" s="2726"/>
      <c r="F93" s="2727">
        <f>+F92+F91</f>
        <v>0</v>
      </c>
      <c r="G93" s="2728">
        <f t="shared" ref="G93:Q93" si="30">+G92+G91</f>
        <v>0</v>
      </c>
      <c r="H93" s="2728">
        <f t="shared" si="30"/>
        <v>0</v>
      </c>
      <c r="I93" s="2728">
        <f t="shared" si="30"/>
        <v>0</v>
      </c>
      <c r="J93" s="2728">
        <f t="shared" si="30"/>
        <v>0</v>
      </c>
      <c r="K93" s="2728">
        <f t="shared" si="30"/>
        <v>0</v>
      </c>
      <c r="L93" s="2728">
        <f t="shared" si="30"/>
        <v>0</v>
      </c>
      <c r="M93" s="2728">
        <f t="shared" si="30"/>
        <v>0</v>
      </c>
      <c r="N93" s="2728">
        <f t="shared" si="30"/>
        <v>0</v>
      </c>
      <c r="O93" s="2728">
        <f t="shared" si="30"/>
        <v>0</v>
      </c>
      <c r="P93" s="2728">
        <f t="shared" si="30"/>
        <v>0</v>
      </c>
      <c r="Q93" s="2728">
        <f t="shared" si="30"/>
        <v>0</v>
      </c>
      <c r="R93" s="2729">
        <f>+AVERAGE(F93:Q93)</f>
        <v>0</v>
      </c>
      <c r="S93" s="2730" t="s">
        <v>415</v>
      </c>
      <c r="T93" s="2731"/>
      <c r="U93" s="2732"/>
      <c r="V93" s="2733"/>
    </row>
    <row r="94" spans="1:23" s="2733" customFormat="1" ht="15.9" customHeight="1" x14ac:dyDescent="0.2">
      <c r="A94" s="2468"/>
      <c r="B94" s="2453" t="s">
        <v>1673</v>
      </c>
      <c r="C94" s="2454" t="s">
        <v>552</v>
      </c>
      <c r="D94" s="2734"/>
      <c r="E94" s="2735"/>
      <c r="F94" s="5168"/>
      <c r="G94" s="5169"/>
      <c r="H94" s="5169"/>
      <c r="I94" s="5169"/>
      <c r="J94" s="5169"/>
      <c r="K94" s="5169"/>
      <c r="L94" s="5169"/>
      <c r="M94" s="5169"/>
      <c r="N94" s="5169"/>
      <c r="O94" s="5169"/>
      <c r="P94" s="5169"/>
      <c r="Q94" s="5169"/>
      <c r="R94" s="2455">
        <f>IFERROR(AVERAGE(F94:Q94),0)</f>
        <v>0</v>
      </c>
      <c r="S94" s="2736" t="s">
        <v>416</v>
      </c>
      <c r="T94" s="2737"/>
      <c r="U94" s="2738">
        <f>General!H28</f>
        <v>0</v>
      </c>
      <c r="W94" s="2739"/>
    </row>
    <row r="95" spans="1:23" s="2733" customFormat="1" ht="15.9" customHeight="1" thickBot="1" x14ac:dyDescent="0.25">
      <c r="A95" s="2468"/>
      <c r="B95" s="2456" t="s">
        <v>1674</v>
      </c>
      <c r="C95" s="2457" t="s">
        <v>551</v>
      </c>
      <c r="D95" s="2740"/>
      <c r="E95" s="2741"/>
      <c r="F95" s="5170"/>
      <c r="G95" s="5171"/>
      <c r="H95" s="5171"/>
      <c r="I95" s="5171"/>
      <c r="J95" s="5171"/>
      <c r="K95" s="5171"/>
      <c r="L95" s="5171"/>
      <c r="M95" s="5171"/>
      <c r="N95" s="5171"/>
      <c r="O95" s="5171"/>
      <c r="P95" s="5171"/>
      <c r="Q95" s="5171"/>
      <c r="R95" s="2458">
        <f>IFERROR(AVERAGE(F95:Q95),0)</f>
        <v>0</v>
      </c>
      <c r="S95" s="2742" t="s">
        <v>417</v>
      </c>
      <c r="T95" s="2668"/>
      <c r="U95" s="2743">
        <f>General!I28</f>
        <v>0</v>
      </c>
      <c r="W95" s="2739"/>
    </row>
    <row r="96" spans="1:23" ht="15.9" customHeight="1" x14ac:dyDescent="0.2">
      <c r="B96" s="2466"/>
      <c r="C96" s="2465"/>
      <c r="D96" s="2466"/>
      <c r="E96" s="2466"/>
      <c r="F96" s="2466"/>
      <c r="G96" s="2466"/>
      <c r="H96" s="2466"/>
      <c r="I96" s="2466"/>
      <c r="J96" s="2466"/>
      <c r="K96" s="2466"/>
      <c r="L96" s="2466"/>
      <c r="M96" s="2468"/>
      <c r="N96" s="2468"/>
      <c r="O96" s="2468"/>
      <c r="P96" s="2468"/>
      <c r="Q96" s="2468"/>
      <c r="R96" s="2468"/>
      <c r="S96" s="2468"/>
      <c r="T96" s="2468"/>
    </row>
    <row r="97" spans="1:20" ht="15.9" customHeight="1" thickBot="1" x14ac:dyDescent="0.25">
      <c r="B97" s="2466"/>
      <c r="C97" s="2465"/>
      <c r="D97" s="2466"/>
      <c r="E97" s="2466"/>
      <c r="F97" s="2466"/>
      <c r="G97" s="2466"/>
      <c r="H97" s="2466"/>
      <c r="I97" s="2466"/>
      <c r="J97" s="2466"/>
      <c r="K97" s="2466"/>
      <c r="L97" s="2466"/>
      <c r="M97" s="2468"/>
      <c r="N97" s="2468"/>
      <c r="O97" s="2468"/>
      <c r="P97" s="2468"/>
      <c r="Q97" s="2468"/>
      <c r="R97" s="2468"/>
      <c r="S97" s="2468"/>
      <c r="T97" s="2468"/>
    </row>
    <row r="98" spans="1:20" ht="15.9" customHeight="1" thickBot="1" x14ac:dyDescent="0.25">
      <c r="A98" s="2487">
        <f>+A89+1</f>
        <v>73</v>
      </c>
      <c r="B98" s="2488" t="s">
        <v>376</v>
      </c>
      <c r="C98" s="2489" t="s">
        <v>1108</v>
      </c>
      <c r="D98" s="2490"/>
      <c r="E98" s="2489"/>
      <c r="F98" s="2489"/>
      <c r="G98" s="2489"/>
      <c r="H98" s="2489"/>
      <c r="I98" s="2489"/>
      <c r="J98" s="2489"/>
      <c r="K98" s="2489"/>
      <c r="L98" s="2489"/>
      <c r="M98" s="2489"/>
      <c r="N98" s="2489"/>
      <c r="O98" s="2489"/>
      <c r="P98" s="2489"/>
      <c r="Q98" s="2489"/>
      <c r="R98" s="2491"/>
      <c r="S98" s="2468"/>
    </row>
    <row r="99" spans="1:20" ht="15.9" customHeight="1" x14ac:dyDescent="0.2">
      <c r="B99" s="2744" t="s">
        <v>377</v>
      </c>
      <c r="C99" s="2745"/>
      <c r="D99" s="2746"/>
      <c r="E99" s="2747"/>
      <c r="F99" s="2748"/>
      <c r="G99" s="2749"/>
      <c r="H99" s="2749"/>
      <c r="I99" s="2749"/>
      <c r="J99" s="2749"/>
      <c r="K99" s="2749"/>
      <c r="L99" s="2749"/>
      <c r="M99" s="2749"/>
      <c r="N99" s="2749"/>
      <c r="O99" s="2749"/>
      <c r="P99" s="2749"/>
      <c r="Q99" s="2750"/>
      <c r="R99" s="2751" t="s">
        <v>1110</v>
      </c>
      <c r="S99" s="2468"/>
    </row>
    <row r="100" spans="1:20" ht="15.9" customHeight="1" x14ac:dyDescent="0.2">
      <c r="B100" s="2679" t="s">
        <v>683</v>
      </c>
      <c r="C100" s="2680"/>
      <c r="D100" s="2680"/>
      <c r="E100" s="2681"/>
      <c r="F100" s="2752" t="str">
        <f>+F90</f>
        <v>Ene</v>
      </c>
      <c r="G100" s="2753" t="str">
        <f t="shared" ref="G100:Q100" si="31">+G90</f>
        <v>Feb</v>
      </c>
      <c r="H100" s="2753" t="str">
        <f t="shared" si="31"/>
        <v>Mar</v>
      </c>
      <c r="I100" s="2752" t="str">
        <f t="shared" si="31"/>
        <v>Abr</v>
      </c>
      <c r="J100" s="2753" t="str">
        <f t="shared" si="31"/>
        <v>May</v>
      </c>
      <c r="K100" s="2753" t="str">
        <f t="shared" si="31"/>
        <v>Jun</v>
      </c>
      <c r="L100" s="2753" t="str">
        <f t="shared" si="31"/>
        <v>Jul</v>
      </c>
      <c r="M100" s="2753" t="str">
        <f t="shared" si="31"/>
        <v>Ago</v>
      </c>
      <c r="N100" s="2753" t="str">
        <f t="shared" si="31"/>
        <v>Set</v>
      </c>
      <c r="O100" s="2753" t="str">
        <f t="shared" si="31"/>
        <v>Oct</v>
      </c>
      <c r="P100" s="2753" t="str">
        <f t="shared" si="31"/>
        <v>Nov</v>
      </c>
      <c r="Q100" s="2753" t="str">
        <f t="shared" si="31"/>
        <v>Dic</v>
      </c>
      <c r="R100" s="2685" t="s">
        <v>1111</v>
      </c>
      <c r="S100" s="2468"/>
    </row>
    <row r="101" spans="1:20" ht="15.9" customHeight="1" x14ac:dyDescent="0.2">
      <c r="B101" s="2509" t="s">
        <v>1363</v>
      </c>
      <c r="C101" s="2510" t="s">
        <v>357</v>
      </c>
      <c r="D101" s="2511"/>
      <c r="E101" s="2511"/>
      <c r="F101" s="2512">
        <f>+F21+G21+H21</f>
        <v>0</v>
      </c>
      <c r="G101" s="832">
        <f>+F117</f>
        <v>0</v>
      </c>
      <c r="H101" s="832">
        <f>+G117</f>
        <v>0</v>
      </c>
      <c r="I101" s="2520"/>
      <c r="J101" s="2521"/>
      <c r="K101" s="2521"/>
      <c r="L101" s="2521"/>
      <c r="M101" s="2521"/>
      <c r="N101" s="2521"/>
      <c r="O101" s="2521"/>
      <c r="P101" s="2521"/>
      <c r="Q101" s="2522"/>
      <c r="R101" s="2685"/>
      <c r="S101" s="2468"/>
    </row>
    <row r="102" spans="1:20" ht="15.9" customHeight="1" x14ac:dyDescent="0.2">
      <c r="B102" s="2516" t="s">
        <v>1452</v>
      </c>
      <c r="C102" s="2517" t="s">
        <v>356</v>
      </c>
      <c r="D102" s="2518"/>
      <c r="E102" s="2518"/>
      <c r="F102" s="2754">
        <f>+General!D71</f>
        <v>0</v>
      </c>
      <c r="G102" s="2755">
        <f>+F120</f>
        <v>0</v>
      </c>
      <c r="H102" s="2755">
        <f>+G120</f>
        <v>0</v>
      </c>
      <c r="I102" s="2518"/>
      <c r="J102" s="2518"/>
      <c r="K102" s="2518"/>
      <c r="L102" s="2518"/>
      <c r="M102" s="2518"/>
      <c r="N102" s="2518"/>
      <c r="O102" s="2518"/>
      <c r="P102" s="2518"/>
      <c r="Q102" s="2518"/>
      <c r="R102" s="2756"/>
      <c r="S102" s="2468"/>
    </row>
    <row r="103" spans="1:20" ht="15.9" customHeight="1" x14ac:dyDescent="0.2">
      <c r="B103" s="2524" t="s">
        <v>352</v>
      </c>
      <c r="C103" s="2525"/>
      <c r="D103" s="2525"/>
      <c r="E103" s="2525"/>
      <c r="F103" s="2757"/>
      <c r="G103" s="2757"/>
      <c r="H103" s="2757"/>
      <c r="I103" s="2758"/>
      <c r="J103" s="2758"/>
      <c r="K103" s="2758"/>
      <c r="L103" s="2758"/>
      <c r="M103" s="2758"/>
      <c r="N103" s="2758"/>
      <c r="O103" s="2758"/>
      <c r="P103" s="2758"/>
      <c r="Q103" s="2758"/>
      <c r="R103" s="2759"/>
      <c r="S103" s="2468"/>
    </row>
    <row r="104" spans="1:20" ht="15.9" customHeight="1" x14ac:dyDescent="0.2">
      <c r="B104" s="389" t="s">
        <v>1231</v>
      </c>
      <c r="C104" s="390" t="s">
        <v>354</v>
      </c>
      <c r="D104" s="2466"/>
      <c r="E104" s="2466"/>
      <c r="F104" s="5133"/>
      <c r="G104" s="5134"/>
      <c r="H104" s="5134"/>
      <c r="I104" s="2760"/>
      <c r="J104" s="2760"/>
      <c r="K104" s="2760"/>
      <c r="L104" s="2760"/>
      <c r="M104" s="2760"/>
      <c r="N104" s="2760"/>
      <c r="O104" s="2760"/>
      <c r="P104" s="2760"/>
      <c r="Q104" s="2761"/>
      <c r="R104" s="2762">
        <f>+SUM(F104:Q104)</f>
        <v>0</v>
      </c>
      <c r="S104" s="2468"/>
    </row>
    <row r="105" spans="1:20" ht="15.9" customHeight="1" x14ac:dyDescent="0.2">
      <c r="B105" s="389" t="s">
        <v>1283</v>
      </c>
      <c r="C105" s="390" t="s">
        <v>356</v>
      </c>
      <c r="D105" s="2466"/>
      <c r="E105" s="2466"/>
      <c r="F105" s="5136"/>
      <c r="G105" s="5137"/>
      <c r="H105" s="5137"/>
      <c r="I105" s="2466"/>
      <c r="J105" s="2466"/>
      <c r="K105" s="2466"/>
      <c r="L105" s="2466"/>
      <c r="M105" s="2466"/>
      <c r="N105" s="2466"/>
      <c r="O105" s="2466"/>
      <c r="P105" s="2466"/>
      <c r="Q105" s="2763"/>
      <c r="R105" s="2515"/>
      <c r="S105" s="2468"/>
    </row>
    <row r="106" spans="1:20" ht="15.9" customHeight="1" thickBot="1" x14ac:dyDescent="0.25">
      <c r="B106" s="389" t="s">
        <v>1284</v>
      </c>
      <c r="C106" s="390" t="s">
        <v>362</v>
      </c>
      <c r="D106" s="2466"/>
      <c r="E106" s="2466"/>
      <c r="F106" s="5139"/>
      <c r="G106" s="5140"/>
      <c r="H106" s="5140"/>
      <c r="I106" s="2466"/>
      <c r="J106" s="2466"/>
      <c r="K106" s="2466"/>
      <c r="L106" s="2466"/>
      <c r="M106" s="2466"/>
      <c r="N106" s="2466"/>
      <c r="O106" s="2466"/>
      <c r="P106" s="2466"/>
      <c r="Q106" s="2763"/>
      <c r="R106" s="2515"/>
      <c r="S106" s="2468"/>
    </row>
    <row r="107" spans="1:20" ht="15.9" customHeight="1" x14ac:dyDescent="0.2">
      <c r="B107" s="833" t="s">
        <v>382</v>
      </c>
      <c r="C107" s="834" t="s">
        <v>354</v>
      </c>
      <c r="D107" s="835"/>
      <c r="E107" s="835"/>
      <c r="F107" s="5160"/>
      <c r="G107" s="5161"/>
      <c r="H107" s="5172"/>
      <c r="I107" s="2466"/>
      <c r="J107" s="2466"/>
      <c r="K107" s="2466"/>
      <c r="L107" s="2466"/>
      <c r="M107" s="2466"/>
      <c r="N107" s="2466"/>
      <c r="O107" s="2466"/>
      <c r="P107" s="2466"/>
      <c r="Q107" s="2763"/>
      <c r="R107" s="2534">
        <f>+SUM(F107:H107)</f>
        <v>0</v>
      </c>
      <c r="S107" s="2468"/>
    </row>
    <row r="108" spans="1:20" ht="15.9" customHeight="1" x14ac:dyDescent="0.2">
      <c r="B108" s="2548" t="s">
        <v>364</v>
      </c>
      <c r="C108" s="2549" t="s">
        <v>354</v>
      </c>
      <c r="D108" s="2550"/>
      <c r="E108" s="2550"/>
      <c r="F108" s="2551">
        <f>+F104</f>
        <v>0</v>
      </c>
      <c r="G108" s="2552">
        <f>+G104</f>
        <v>0</v>
      </c>
      <c r="H108" s="2764">
        <f>+H104</f>
        <v>0</v>
      </c>
      <c r="I108" s="2765"/>
      <c r="J108" s="2766"/>
      <c r="K108" s="2766"/>
      <c r="L108" s="2766"/>
      <c r="M108" s="2766"/>
      <c r="N108" s="2766"/>
      <c r="O108" s="2766"/>
      <c r="P108" s="2766"/>
      <c r="Q108" s="2767"/>
      <c r="R108" s="403">
        <f>+SUM(F108:Q108)</f>
        <v>0</v>
      </c>
      <c r="S108" s="2468"/>
    </row>
    <row r="109" spans="1:20" ht="15.9" customHeight="1" x14ac:dyDescent="0.2">
      <c r="B109" s="2524" t="s">
        <v>359</v>
      </c>
      <c r="C109" s="2525"/>
      <c r="D109" s="2525"/>
      <c r="E109" s="2525"/>
      <c r="F109" s="2526"/>
      <c r="G109" s="2526"/>
      <c r="H109" s="2526"/>
      <c r="I109" s="2526"/>
      <c r="J109" s="2526"/>
      <c r="K109" s="2526"/>
      <c r="L109" s="2526"/>
      <c r="M109" s="2526"/>
      <c r="N109" s="2526"/>
      <c r="O109" s="2526"/>
      <c r="P109" s="2526"/>
      <c r="Q109" s="2526"/>
      <c r="R109" s="2768"/>
      <c r="S109" s="2468"/>
    </row>
    <row r="110" spans="1:20" ht="15.9" customHeight="1" x14ac:dyDescent="0.2">
      <c r="B110" s="389" t="s">
        <v>1232</v>
      </c>
      <c r="C110" s="390" t="s">
        <v>354</v>
      </c>
      <c r="D110" s="2466"/>
      <c r="E110" s="2466"/>
      <c r="F110" s="5133"/>
      <c r="G110" s="5134"/>
      <c r="H110" s="5134"/>
      <c r="I110" s="2760"/>
      <c r="J110" s="2760"/>
      <c r="K110" s="2760"/>
      <c r="L110" s="2760"/>
      <c r="M110" s="2760"/>
      <c r="N110" s="2760"/>
      <c r="O110" s="2760"/>
      <c r="P110" s="2760"/>
      <c r="Q110" s="2761"/>
      <c r="R110" s="404">
        <f>+SUM(F110:Q110)</f>
        <v>0</v>
      </c>
      <c r="S110" s="2468"/>
    </row>
    <row r="111" spans="1:20" ht="15.9" customHeight="1" x14ac:dyDescent="0.2">
      <c r="B111" s="389" t="s">
        <v>1286</v>
      </c>
      <c r="C111" s="390" t="s">
        <v>356</v>
      </c>
      <c r="D111" s="2466"/>
      <c r="E111" s="2466"/>
      <c r="F111" s="5136"/>
      <c r="G111" s="5137"/>
      <c r="H111" s="5137"/>
      <c r="I111" s="2466"/>
      <c r="J111" s="2466"/>
      <c r="K111" s="2466"/>
      <c r="L111" s="2466"/>
      <c r="M111" s="2466"/>
      <c r="N111" s="2466"/>
      <c r="O111" s="2466"/>
      <c r="P111" s="2466"/>
      <c r="Q111" s="2763"/>
      <c r="R111" s="2547"/>
      <c r="S111" s="2468"/>
    </row>
    <row r="112" spans="1:20" ht="15.9" customHeight="1" thickBot="1" x14ac:dyDescent="0.25">
      <c r="B112" s="389" t="s">
        <v>1287</v>
      </c>
      <c r="C112" s="390" t="s">
        <v>362</v>
      </c>
      <c r="D112" s="2466"/>
      <c r="E112" s="2466"/>
      <c r="F112" s="5139"/>
      <c r="G112" s="5140"/>
      <c r="H112" s="5140"/>
      <c r="I112" s="2466"/>
      <c r="J112" s="2466"/>
      <c r="K112" s="2466"/>
      <c r="L112" s="2466"/>
      <c r="M112" s="2466"/>
      <c r="N112" s="2466"/>
      <c r="O112" s="2466"/>
      <c r="P112" s="2466"/>
      <c r="Q112" s="2763"/>
      <c r="R112" s="2547"/>
      <c r="S112" s="2468"/>
    </row>
    <row r="113" spans="1:23" ht="15.9" customHeight="1" x14ac:dyDescent="0.2">
      <c r="B113" s="1314" t="s">
        <v>1420</v>
      </c>
      <c r="C113" s="1315" t="s">
        <v>354</v>
      </c>
      <c r="D113" s="1316"/>
      <c r="E113" s="1316"/>
      <c r="F113" s="5173"/>
      <c r="G113" s="5174"/>
      <c r="H113" s="5175"/>
      <c r="I113" s="2466"/>
      <c r="J113" s="2466"/>
      <c r="K113" s="2466"/>
      <c r="L113" s="2466"/>
      <c r="M113" s="2466"/>
      <c r="N113" s="2466"/>
      <c r="O113" s="2466"/>
      <c r="P113" s="2466"/>
      <c r="Q113" s="2763"/>
      <c r="R113" s="2534">
        <f>+SUM(F113:Q113)</f>
        <v>0</v>
      </c>
      <c r="S113" s="2468"/>
    </row>
    <row r="114" spans="1:23" ht="15.9" customHeight="1" x14ac:dyDescent="0.2">
      <c r="B114" s="391" t="s">
        <v>360</v>
      </c>
      <c r="C114" s="392" t="s">
        <v>354</v>
      </c>
      <c r="D114" s="2769">
        <f>General!C103</f>
        <v>0</v>
      </c>
      <c r="E114" s="2770">
        <f>ROUND(D114*F101,0)</f>
        <v>0</v>
      </c>
      <c r="F114" s="5176"/>
      <c r="G114" s="5177"/>
      <c r="H114" s="5178"/>
      <c r="I114" s="2549"/>
      <c r="J114" s="2549"/>
      <c r="K114" s="2549"/>
      <c r="L114" s="2549"/>
      <c r="M114" s="2549"/>
      <c r="N114" s="2549"/>
      <c r="O114" s="2549"/>
      <c r="P114" s="2549"/>
      <c r="Q114" s="2771"/>
      <c r="R114" s="1317">
        <f>+SUM(F114:Q114)</f>
        <v>0</v>
      </c>
      <c r="S114" s="2468"/>
    </row>
    <row r="115" spans="1:23" ht="15.9" customHeight="1" x14ac:dyDescent="0.2">
      <c r="B115" s="2652" t="s">
        <v>2110</v>
      </c>
      <c r="C115" s="2466"/>
      <c r="D115" s="2466"/>
      <c r="E115" s="2706"/>
      <c r="F115" s="2772">
        <f>F24</f>
        <v>0</v>
      </c>
      <c r="G115" s="2773">
        <f>G24</f>
        <v>0</v>
      </c>
      <c r="H115" s="2774">
        <f>H24</f>
        <v>0</v>
      </c>
      <c r="I115" s="2465"/>
      <c r="J115" s="2465"/>
      <c r="K115" s="2465"/>
      <c r="L115" s="2465"/>
      <c r="M115" s="2465"/>
      <c r="N115" s="2465"/>
      <c r="O115" s="2465"/>
      <c r="P115" s="2465"/>
      <c r="Q115" s="2775"/>
      <c r="R115" s="2557">
        <f>+SUM(F115:Q115)</f>
        <v>0</v>
      </c>
      <c r="S115" s="2468"/>
    </row>
    <row r="116" spans="1:23" ht="15.9" customHeight="1" x14ac:dyDescent="0.2">
      <c r="B116" s="2548" t="s">
        <v>365</v>
      </c>
      <c r="C116" s="2549"/>
      <c r="D116" s="2550"/>
      <c r="E116" s="2550"/>
      <c r="F116" s="2700">
        <f>+F110+F114+F115</f>
        <v>0</v>
      </c>
      <c r="G116" s="2701">
        <f>+G110+G114+G115</f>
        <v>0</v>
      </c>
      <c r="H116" s="2702">
        <f>+H110+H114+H115</f>
        <v>0</v>
      </c>
      <c r="I116" s="2549"/>
      <c r="J116" s="2549"/>
      <c r="K116" s="2549"/>
      <c r="L116" s="2549"/>
      <c r="M116" s="2549"/>
      <c r="N116" s="2549"/>
      <c r="O116" s="2549"/>
      <c r="P116" s="2549"/>
      <c r="Q116" s="2693"/>
      <c r="R116" s="403">
        <f>+SUM(F116:Q116)</f>
        <v>0</v>
      </c>
      <c r="S116" s="2468"/>
    </row>
    <row r="117" spans="1:23" ht="15.9" customHeight="1" x14ac:dyDescent="0.2">
      <c r="B117" s="2776" t="s">
        <v>1364</v>
      </c>
      <c r="C117" s="2777" t="s">
        <v>357</v>
      </c>
      <c r="D117" s="2778"/>
      <c r="E117" s="2778"/>
      <c r="F117" s="2779">
        <f>F101+F108-F116</f>
        <v>0</v>
      </c>
      <c r="G117" s="2780">
        <f>G101+G108-G116</f>
        <v>0</v>
      </c>
      <c r="H117" s="2781">
        <f>H101+H108-H116</f>
        <v>0</v>
      </c>
      <c r="I117" s="2782"/>
      <c r="J117" s="2782"/>
      <c r="K117" s="2782"/>
      <c r="L117" s="2782"/>
      <c r="M117" s="2782"/>
      <c r="N117" s="2782"/>
      <c r="O117" s="2782"/>
      <c r="P117" s="2782"/>
      <c r="Q117" s="2783"/>
      <c r="R117" s="2547"/>
      <c r="S117" s="2468"/>
    </row>
    <row r="118" spans="1:23" ht="15.9" customHeight="1" x14ac:dyDescent="0.2">
      <c r="B118" s="2509" t="s">
        <v>397</v>
      </c>
      <c r="C118" s="2784" t="s">
        <v>354</v>
      </c>
      <c r="D118" s="2511"/>
      <c r="E118" s="2511"/>
      <c r="F118" s="2785">
        <f>(F101+F117)/2</f>
        <v>0</v>
      </c>
      <c r="G118" s="2786">
        <f>(F117+G117)/2</f>
        <v>0</v>
      </c>
      <c r="H118" s="2787">
        <f>(G117+H117)/2</f>
        <v>0</v>
      </c>
      <c r="I118" s="2788"/>
      <c r="J118" s="2788"/>
      <c r="K118" s="2788"/>
      <c r="L118" s="2788"/>
      <c r="M118" s="2788"/>
      <c r="N118" s="2788"/>
      <c r="O118" s="2788"/>
      <c r="P118" s="2788"/>
      <c r="Q118" s="2789"/>
      <c r="R118" s="2790">
        <f>AVERAGE(F118:Q118)</f>
        <v>0</v>
      </c>
      <c r="S118" s="2468"/>
    </row>
    <row r="119" spans="1:23" ht="15.9" customHeight="1" x14ac:dyDescent="0.2">
      <c r="B119" s="2529" t="s">
        <v>1115</v>
      </c>
      <c r="C119" s="2465" t="s">
        <v>361</v>
      </c>
      <c r="D119" s="2466"/>
      <c r="E119" s="2470"/>
      <c r="F119" s="841">
        <f>IF(F101=0,0,(General!$C$91-$F$102)/($F$11+$G$11+$H$11))</f>
        <v>0</v>
      </c>
      <c r="G119" s="842">
        <f>+F119</f>
        <v>0</v>
      </c>
      <c r="H119" s="843">
        <f>+G119</f>
        <v>0</v>
      </c>
      <c r="I119" s="390"/>
      <c r="J119" s="390"/>
      <c r="K119" s="390"/>
      <c r="L119" s="390"/>
      <c r="M119" s="390"/>
      <c r="N119" s="390"/>
      <c r="O119" s="390"/>
      <c r="P119" s="390"/>
      <c r="Q119" s="2791"/>
      <c r="R119" s="2792">
        <f>IFERROR(AVERAGE(F119:Q119),0)</f>
        <v>0</v>
      </c>
      <c r="S119" s="2468"/>
    </row>
    <row r="120" spans="1:23" ht="15.9" customHeight="1" x14ac:dyDescent="0.2">
      <c r="B120" s="2529" t="s">
        <v>393</v>
      </c>
      <c r="C120" s="2465" t="s">
        <v>356</v>
      </c>
      <c r="D120" s="2466"/>
      <c r="E120" s="2470"/>
      <c r="F120" s="2535">
        <f>IFERROR((F101*(F102+F119*F11)+F104*F105-F110*F111-F114*(F102+F119*F11)-F115*(F102+F119*F11))/(F117),0)</f>
        <v>0</v>
      </c>
      <c r="G120" s="2536">
        <f>IFERROR((G101*(G102+G119*G11)+G104*G105-G110*G111-G114*(G102+G119*G11)-G115*(G102+G119*G11))/(G117),0)</f>
        <v>0</v>
      </c>
      <c r="H120" s="2537">
        <f>IFERROR((H101*(H102+H119*H11)+H104*H105-H110*H111-H114*(H102+H119*H11)-H115*(H102+H119*H11))/(H117),0)</f>
        <v>0</v>
      </c>
      <c r="I120" s="390"/>
      <c r="J120" s="390"/>
      <c r="K120" s="390"/>
      <c r="L120" s="390"/>
      <c r="M120" s="390"/>
      <c r="N120" s="390"/>
      <c r="O120" s="390"/>
      <c r="P120" s="390"/>
      <c r="Q120" s="2791"/>
      <c r="R120" s="2547"/>
      <c r="S120" s="2468"/>
    </row>
    <row r="121" spans="1:23" ht="15.9" customHeight="1" thickBot="1" x14ac:dyDescent="0.25">
      <c r="B121" s="2793" t="s">
        <v>394</v>
      </c>
      <c r="C121" s="2610" t="s">
        <v>356</v>
      </c>
      <c r="D121" s="2668"/>
      <c r="E121" s="2605"/>
      <c r="F121" s="2794">
        <f>IF(F118=0,0,AVERAGE(F102,F120))</f>
        <v>0</v>
      </c>
      <c r="G121" s="2795">
        <f>+AVERAGE(F120,G120)</f>
        <v>0</v>
      </c>
      <c r="H121" s="2796">
        <f>+AVERAGE(G120,H120)</f>
        <v>0</v>
      </c>
      <c r="I121" s="2797"/>
      <c r="J121" s="2797"/>
      <c r="K121" s="2797"/>
      <c r="L121" s="2797"/>
      <c r="M121" s="2797"/>
      <c r="N121" s="2797"/>
      <c r="O121" s="2797"/>
      <c r="P121" s="2797"/>
      <c r="Q121" s="2798"/>
      <c r="R121" s="2799">
        <f>IFERROR(SUMPRODUCT(F121:Q121,F118:Q118)/(SUM(F118:Q118)),0)</f>
        <v>0</v>
      </c>
      <c r="S121" s="2468"/>
    </row>
    <row r="122" spans="1:23" s="2805" customFormat="1" ht="15.9" hidden="1" customHeight="1" thickBot="1" x14ac:dyDescent="0.25">
      <c r="A122" s="2800"/>
      <c r="B122" s="700" t="s">
        <v>245</v>
      </c>
      <c r="C122" s="701" t="s">
        <v>361</v>
      </c>
      <c r="D122" s="2801"/>
      <c r="E122" s="2801"/>
      <c r="F122" s="2802"/>
      <c r="G122" s="2803"/>
      <c r="H122" s="2803"/>
      <c r="I122" s="2803"/>
      <c r="J122" s="2803"/>
      <c r="K122" s="2803"/>
      <c r="L122" s="2803"/>
      <c r="M122" s="2803"/>
      <c r="N122" s="2803"/>
      <c r="O122" s="2803"/>
      <c r="P122" s="2803"/>
      <c r="Q122" s="2803"/>
      <c r="R122" s="702"/>
      <c r="S122" s="2804"/>
      <c r="W122" s="2806"/>
    </row>
    <row r="123" spans="1:23" s="2805" customFormat="1" ht="15.9" hidden="1" customHeight="1" thickBot="1" x14ac:dyDescent="0.25">
      <c r="A123" s="2800" t="s">
        <v>1125</v>
      </c>
      <c r="B123" s="700" t="s">
        <v>422</v>
      </c>
      <c r="C123" s="701" t="s">
        <v>361</v>
      </c>
      <c r="D123" s="2801"/>
      <c r="E123" s="2801"/>
      <c r="F123" s="2807"/>
      <c r="G123" s="703"/>
      <c r="H123" s="703"/>
      <c r="I123" s="703"/>
      <c r="J123" s="703"/>
      <c r="K123" s="703"/>
      <c r="L123" s="703"/>
      <c r="M123" s="703"/>
      <c r="N123" s="703"/>
      <c r="O123" s="703"/>
      <c r="P123" s="703"/>
      <c r="Q123" s="703"/>
      <c r="R123" s="704"/>
      <c r="S123" s="2804"/>
      <c r="W123" s="2806"/>
    </row>
    <row r="124" spans="1:23" ht="15.9" customHeight="1" x14ac:dyDescent="0.2">
      <c r="B124" s="2466"/>
      <c r="C124" s="2465"/>
      <c r="D124" s="2466"/>
      <c r="E124" s="2466"/>
      <c r="F124" s="2466"/>
      <c r="G124" s="2466"/>
      <c r="H124" s="2466"/>
      <c r="I124" s="2466"/>
      <c r="J124" s="2466"/>
      <c r="K124" s="2466"/>
      <c r="L124" s="2466"/>
      <c r="M124" s="2468"/>
      <c r="N124" s="2468"/>
      <c r="O124" s="2468"/>
      <c r="P124" s="2468"/>
      <c r="Q124" s="2468"/>
      <c r="R124" s="2468"/>
      <c r="S124" s="2468"/>
    </row>
    <row r="125" spans="1:23" ht="15.9" customHeight="1" thickBot="1" x14ac:dyDescent="0.25">
      <c r="B125" s="2466"/>
      <c r="C125" s="2465"/>
      <c r="D125" s="2466"/>
      <c r="E125" s="2466"/>
      <c r="F125" s="2466"/>
      <c r="G125" s="2466"/>
      <c r="H125" s="2466"/>
      <c r="I125" s="2466"/>
      <c r="J125" s="2466"/>
      <c r="K125" s="2466"/>
      <c r="L125" s="2466"/>
      <c r="M125" s="2468"/>
      <c r="N125" s="2468"/>
      <c r="O125" s="2468"/>
      <c r="P125" s="2468"/>
      <c r="Q125" s="2468"/>
      <c r="R125" s="2468"/>
      <c r="S125" s="2468"/>
    </row>
    <row r="126" spans="1:23" ht="15.9" customHeight="1" thickBot="1" x14ac:dyDescent="0.25">
      <c r="A126" s="2487">
        <f>+A98+1</f>
        <v>74</v>
      </c>
      <c r="B126" s="2488" t="s">
        <v>376</v>
      </c>
      <c r="C126" s="2489" t="s">
        <v>1108</v>
      </c>
      <c r="D126" s="2490"/>
      <c r="E126" s="2489"/>
      <c r="F126" s="2489"/>
      <c r="G126" s="2489"/>
      <c r="H126" s="2489"/>
      <c r="I126" s="2489"/>
      <c r="J126" s="2489"/>
      <c r="K126" s="2489"/>
      <c r="L126" s="2489"/>
      <c r="M126" s="2489"/>
      <c r="N126" s="2489"/>
      <c r="O126" s="2489"/>
      <c r="P126" s="2489"/>
      <c r="Q126" s="2489"/>
      <c r="R126" s="2491"/>
      <c r="S126" s="2468"/>
    </row>
    <row r="127" spans="1:23" ht="15.9" customHeight="1" x14ac:dyDescent="0.2">
      <c r="B127" s="2744" t="s">
        <v>380</v>
      </c>
      <c r="C127" s="2745"/>
      <c r="D127" s="2746"/>
      <c r="E127" s="2747"/>
      <c r="F127" s="2748"/>
      <c r="G127" s="2749"/>
      <c r="H127" s="2749"/>
      <c r="I127" s="2749"/>
      <c r="J127" s="2749"/>
      <c r="K127" s="2749"/>
      <c r="L127" s="2749"/>
      <c r="M127" s="2749"/>
      <c r="N127" s="2749"/>
      <c r="O127" s="2749"/>
      <c r="P127" s="2749"/>
      <c r="Q127" s="2750"/>
      <c r="R127" s="2808" t="s">
        <v>1110</v>
      </c>
      <c r="S127" s="2468"/>
    </row>
    <row r="128" spans="1:23" ht="15.9" customHeight="1" x14ac:dyDescent="0.2">
      <c r="B128" s="2679" t="s">
        <v>683</v>
      </c>
      <c r="C128" s="2680"/>
      <c r="D128" s="2680"/>
      <c r="E128" s="2681"/>
      <c r="F128" s="2484" t="str">
        <f t="shared" ref="F128:Q128" si="32">+F100</f>
        <v>Ene</v>
      </c>
      <c r="G128" s="2809" t="str">
        <f t="shared" si="32"/>
        <v>Feb</v>
      </c>
      <c r="H128" s="2809" t="str">
        <f t="shared" si="32"/>
        <v>Mar</v>
      </c>
      <c r="I128" s="2484" t="str">
        <f t="shared" si="32"/>
        <v>Abr</v>
      </c>
      <c r="J128" s="2809" t="str">
        <f t="shared" si="32"/>
        <v>May</v>
      </c>
      <c r="K128" s="2809" t="str">
        <f t="shared" si="32"/>
        <v>Jun</v>
      </c>
      <c r="L128" s="2809" t="str">
        <f t="shared" si="32"/>
        <v>Jul</v>
      </c>
      <c r="M128" s="2809" t="str">
        <f t="shared" si="32"/>
        <v>Ago</v>
      </c>
      <c r="N128" s="2810" t="str">
        <f t="shared" si="32"/>
        <v>Set</v>
      </c>
      <c r="O128" s="2810" t="str">
        <f t="shared" si="32"/>
        <v>Oct</v>
      </c>
      <c r="P128" s="2810" t="str">
        <f t="shared" si="32"/>
        <v>Nov</v>
      </c>
      <c r="Q128" s="2810" t="str">
        <f t="shared" si="32"/>
        <v>Dic</v>
      </c>
      <c r="R128" s="2811" t="s">
        <v>1111</v>
      </c>
      <c r="S128" s="2468"/>
    </row>
    <row r="129" spans="1:20" ht="15.9" customHeight="1" x14ac:dyDescent="0.2">
      <c r="B129" s="2509" t="s">
        <v>1363</v>
      </c>
      <c r="C129" s="2510" t="s">
        <v>357</v>
      </c>
      <c r="D129" s="2511"/>
      <c r="E129" s="2511"/>
      <c r="F129" s="2577">
        <f>SUM(I21:K21)</f>
        <v>0</v>
      </c>
      <c r="G129" s="2688">
        <f>+F145</f>
        <v>0</v>
      </c>
      <c r="H129" s="2688">
        <f>+G145</f>
        <v>0</v>
      </c>
      <c r="I129" s="2688">
        <f>+H145</f>
        <v>0</v>
      </c>
      <c r="J129" s="2688">
        <f>+I145</f>
        <v>0</v>
      </c>
      <c r="K129" s="2689">
        <f>+J145</f>
        <v>0</v>
      </c>
      <c r="L129" s="2521"/>
      <c r="M129" s="2521"/>
      <c r="N129" s="2521"/>
      <c r="O129" s="2521"/>
      <c r="P129" s="2521"/>
      <c r="Q129" s="2522"/>
      <c r="R129" s="2812"/>
      <c r="S129" s="2468"/>
      <c r="T129" s="2468"/>
    </row>
    <row r="130" spans="1:20" ht="15.9" customHeight="1" x14ac:dyDescent="0.2">
      <c r="B130" s="2516" t="s">
        <v>1452</v>
      </c>
      <c r="C130" s="2517" t="s">
        <v>356</v>
      </c>
      <c r="D130" s="2518"/>
      <c r="E130" s="2518"/>
      <c r="F130" s="2813">
        <f>+General!D72</f>
        <v>0</v>
      </c>
      <c r="G130" s="2814">
        <f>+F148</f>
        <v>0</v>
      </c>
      <c r="H130" s="2814">
        <f>+G148</f>
        <v>0</v>
      </c>
      <c r="I130" s="2814">
        <f>+H148</f>
        <v>0</v>
      </c>
      <c r="J130" s="2814">
        <f>+I148</f>
        <v>0</v>
      </c>
      <c r="K130" s="2815">
        <f>+J148</f>
        <v>0</v>
      </c>
      <c r="L130" s="2466"/>
      <c r="M130" s="2466"/>
      <c r="N130" s="2466"/>
      <c r="O130" s="2466"/>
      <c r="P130" s="2466"/>
      <c r="Q130" s="2466"/>
      <c r="R130" s="2816"/>
      <c r="S130" s="2468"/>
      <c r="T130" s="2468"/>
    </row>
    <row r="131" spans="1:20" ht="15.9" customHeight="1" x14ac:dyDescent="0.2">
      <c r="B131" s="2524" t="s">
        <v>352</v>
      </c>
      <c r="C131" s="2525"/>
      <c r="D131" s="2525"/>
      <c r="E131" s="2525"/>
      <c r="F131" s="2526"/>
      <c r="G131" s="2525"/>
      <c r="H131" s="2525"/>
      <c r="I131" s="2525"/>
      <c r="J131" s="2525"/>
      <c r="K131" s="2525"/>
      <c r="L131" s="2525"/>
      <c r="M131" s="2525"/>
      <c r="N131" s="2525"/>
      <c r="O131" s="2525"/>
      <c r="P131" s="2525"/>
      <c r="Q131" s="2525"/>
      <c r="R131" s="2759"/>
      <c r="S131" s="2468"/>
      <c r="T131" s="2468"/>
    </row>
    <row r="132" spans="1:20" ht="15.9" customHeight="1" x14ac:dyDescent="0.2">
      <c r="A132" s="2475"/>
      <c r="B132" s="389" t="s">
        <v>1230</v>
      </c>
      <c r="C132" s="390" t="s">
        <v>354</v>
      </c>
      <c r="D132" s="2466"/>
      <c r="E132" s="2466"/>
      <c r="F132" s="5133"/>
      <c r="G132" s="5134"/>
      <c r="H132" s="5134"/>
      <c r="I132" s="5134"/>
      <c r="J132" s="5134"/>
      <c r="K132" s="5134"/>
      <c r="L132" s="2817"/>
      <c r="M132" s="2817"/>
      <c r="N132" s="2817"/>
      <c r="O132" s="2817"/>
      <c r="P132" s="2817"/>
      <c r="Q132" s="2818"/>
      <c r="R132" s="406">
        <f>+SUM(F132:Q132)</f>
        <v>0</v>
      </c>
      <c r="S132" s="2468"/>
      <c r="T132" s="2468"/>
    </row>
    <row r="133" spans="1:20" ht="15.9" customHeight="1" x14ac:dyDescent="0.2">
      <c r="B133" s="389" t="s">
        <v>1285</v>
      </c>
      <c r="C133" s="390" t="s">
        <v>356</v>
      </c>
      <c r="D133" s="2466"/>
      <c r="E133" s="2466"/>
      <c r="F133" s="5136"/>
      <c r="G133" s="5137"/>
      <c r="H133" s="5137"/>
      <c r="I133" s="5137"/>
      <c r="J133" s="5137"/>
      <c r="K133" s="5137"/>
      <c r="L133" s="2466"/>
      <c r="M133" s="2466"/>
      <c r="N133" s="2466"/>
      <c r="O133" s="2466"/>
      <c r="P133" s="2466"/>
      <c r="Q133" s="2819"/>
      <c r="R133" s="393"/>
      <c r="S133" s="2468"/>
      <c r="T133" s="2468"/>
    </row>
    <row r="134" spans="1:20" ht="15.9" customHeight="1" thickBot="1" x14ac:dyDescent="0.25">
      <c r="B134" s="389" t="s">
        <v>1288</v>
      </c>
      <c r="C134" s="390" t="s">
        <v>362</v>
      </c>
      <c r="D134" s="2466"/>
      <c r="E134" s="2466"/>
      <c r="F134" s="5139"/>
      <c r="G134" s="5140"/>
      <c r="H134" s="5140"/>
      <c r="I134" s="5140"/>
      <c r="J134" s="5140"/>
      <c r="K134" s="5140"/>
      <c r="L134" s="2466"/>
      <c r="M134" s="2466"/>
      <c r="N134" s="2466"/>
      <c r="O134" s="2466"/>
      <c r="P134" s="2466"/>
      <c r="Q134" s="2819"/>
      <c r="R134" s="393"/>
      <c r="S134" s="2468"/>
      <c r="T134" s="2468"/>
    </row>
    <row r="135" spans="1:20" ht="15.9" customHeight="1" x14ac:dyDescent="0.2">
      <c r="B135" s="833" t="s">
        <v>382</v>
      </c>
      <c r="C135" s="834" t="s">
        <v>354</v>
      </c>
      <c r="D135" s="835"/>
      <c r="E135" s="835"/>
      <c r="F135" s="2820"/>
      <c r="G135" s="2820"/>
      <c r="H135" s="2820"/>
      <c r="I135" s="5179"/>
      <c r="J135" s="5179"/>
      <c r="K135" s="5180"/>
      <c r="L135" s="2821"/>
      <c r="M135" s="2821"/>
      <c r="N135" s="2821"/>
      <c r="O135" s="2821"/>
      <c r="P135" s="2821"/>
      <c r="Q135" s="2822"/>
      <c r="R135" s="2704">
        <f>+SUM(I135:K135)</f>
        <v>0</v>
      </c>
      <c r="S135" s="2468"/>
      <c r="T135" s="2468"/>
    </row>
    <row r="136" spans="1:20" ht="15.9" customHeight="1" x14ac:dyDescent="0.2">
      <c r="B136" s="2548" t="s">
        <v>364</v>
      </c>
      <c r="C136" s="2549" t="s">
        <v>354</v>
      </c>
      <c r="D136" s="2550"/>
      <c r="E136" s="2550"/>
      <c r="F136" s="2823">
        <f t="shared" ref="F136:K136" si="33">+F132</f>
        <v>0</v>
      </c>
      <c r="G136" s="2824">
        <f t="shared" si="33"/>
        <v>0</v>
      </c>
      <c r="H136" s="2824">
        <f t="shared" si="33"/>
        <v>0</v>
      </c>
      <c r="I136" s="2824">
        <f t="shared" si="33"/>
        <v>0</v>
      </c>
      <c r="J136" s="2825">
        <f t="shared" si="33"/>
        <v>0</v>
      </c>
      <c r="K136" s="2826">
        <f t="shared" si="33"/>
        <v>0</v>
      </c>
      <c r="L136" s="2827"/>
      <c r="M136" s="2827"/>
      <c r="N136" s="2827"/>
      <c r="O136" s="2827"/>
      <c r="P136" s="2827"/>
      <c r="Q136" s="2828"/>
      <c r="R136" s="866">
        <f>+SUM(F136:Q136)</f>
        <v>0</v>
      </c>
      <c r="S136" s="2468"/>
      <c r="T136" s="2468"/>
    </row>
    <row r="137" spans="1:20" ht="15.9" customHeight="1" x14ac:dyDescent="0.2">
      <c r="B137" s="2829" t="s">
        <v>359</v>
      </c>
      <c r="C137" s="2526"/>
      <c r="D137" s="2526"/>
      <c r="E137" s="2526"/>
      <c r="F137" s="2526"/>
      <c r="G137" s="2526"/>
      <c r="H137" s="2526"/>
      <c r="I137" s="2526"/>
      <c r="J137" s="2526"/>
      <c r="K137" s="2526"/>
      <c r="L137" s="2526"/>
      <c r="M137" s="2526"/>
      <c r="N137" s="2526"/>
      <c r="O137" s="2526"/>
      <c r="P137" s="2526"/>
      <c r="Q137" s="2526"/>
      <c r="R137" s="2759"/>
      <c r="S137" s="2468"/>
      <c r="T137" s="2468"/>
    </row>
    <row r="138" spans="1:20" ht="15.9" customHeight="1" x14ac:dyDescent="0.2">
      <c r="B138" s="389" t="s">
        <v>1233</v>
      </c>
      <c r="C138" s="390" t="s">
        <v>354</v>
      </c>
      <c r="D138" s="2466"/>
      <c r="E138" s="2466"/>
      <c r="F138" s="5133"/>
      <c r="G138" s="5134"/>
      <c r="H138" s="5134"/>
      <c r="I138" s="5134"/>
      <c r="J138" s="5134"/>
      <c r="K138" s="5134"/>
      <c r="L138" s="2817"/>
      <c r="M138" s="2817"/>
      <c r="N138" s="2817"/>
      <c r="O138" s="2817"/>
      <c r="P138" s="2817"/>
      <c r="Q138" s="2818"/>
      <c r="R138" s="406">
        <f>+SUM(F138:Q138)</f>
        <v>0</v>
      </c>
      <c r="S138" s="2468"/>
      <c r="T138" s="2468"/>
    </row>
    <row r="139" spans="1:20" ht="15.9" customHeight="1" x14ac:dyDescent="0.2">
      <c r="B139" s="389" t="s">
        <v>1289</v>
      </c>
      <c r="C139" s="390" t="s">
        <v>356</v>
      </c>
      <c r="D139" s="2466"/>
      <c r="E139" s="2466"/>
      <c r="F139" s="5136"/>
      <c r="G139" s="5137"/>
      <c r="H139" s="5137"/>
      <c r="I139" s="5137"/>
      <c r="J139" s="5137"/>
      <c r="K139" s="5137"/>
      <c r="L139" s="2466"/>
      <c r="M139" s="2466"/>
      <c r="N139" s="2466"/>
      <c r="O139" s="2466"/>
      <c r="P139" s="2466"/>
      <c r="Q139" s="2819"/>
      <c r="R139" s="2704"/>
      <c r="S139" s="2468"/>
      <c r="T139" s="2468"/>
    </row>
    <row r="140" spans="1:20" ht="15.9" customHeight="1" thickBot="1" x14ac:dyDescent="0.25">
      <c r="B140" s="389" t="s">
        <v>428</v>
      </c>
      <c r="C140" s="390" t="s">
        <v>362</v>
      </c>
      <c r="D140" s="2466"/>
      <c r="E140" s="2466"/>
      <c r="F140" s="5139"/>
      <c r="G140" s="5140"/>
      <c r="H140" s="5140"/>
      <c r="I140" s="5140"/>
      <c r="J140" s="5140"/>
      <c r="K140" s="5140"/>
      <c r="L140" s="2466"/>
      <c r="M140" s="2466"/>
      <c r="N140" s="2466"/>
      <c r="O140" s="2466"/>
      <c r="P140" s="2466"/>
      <c r="Q140" s="2819"/>
      <c r="R140" s="2704"/>
      <c r="S140" s="2468"/>
      <c r="T140" s="2468"/>
    </row>
    <row r="141" spans="1:20" ht="15.9" customHeight="1" x14ac:dyDescent="0.2">
      <c r="B141" s="836" t="s">
        <v>1420</v>
      </c>
      <c r="C141" s="837" t="s">
        <v>354</v>
      </c>
      <c r="D141" s="2830"/>
      <c r="E141" s="2830"/>
      <c r="F141" s="5181"/>
      <c r="G141" s="5182"/>
      <c r="H141" s="5182"/>
      <c r="I141" s="5182"/>
      <c r="J141" s="5182"/>
      <c r="K141" s="5183"/>
      <c r="L141" s="2830"/>
      <c r="M141" s="2830"/>
      <c r="N141" s="2830"/>
      <c r="O141" s="2830"/>
      <c r="P141" s="2830"/>
      <c r="Q141" s="2831"/>
      <c r="R141" s="2832">
        <f>+SUM(F141:K141)</f>
        <v>0</v>
      </c>
      <c r="S141" s="2468"/>
      <c r="T141" s="2468"/>
    </row>
    <row r="142" spans="1:20" ht="15.9" customHeight="1" x14ac:dyDescent="0.2">
      <c r="B142" s="391" t="s">
        <v>360</v>
      </c>
      <c r="C142" s="392" t="s">
        <v>354</v>
      </c>
      <c r="D142" s="2769">
        <f>General!$C$103</f>
        <v>0</v>
      </c>
      <c r="E142" s="2770">
        <f>ROUND(D142*F129,0)</f>
        <v>0</v>
      </c>
      <c r="F142" s="2833"/>
      <c r="G142" s="2834"/>
      <c r="H142" s="2835"/>
      <c r="I142" s="5184"/>
      <c r="J142" s="5177"/>
      <c r="K142" s="5178"/>
      <c r="L142" s="2827"/>
      <c r="M142" s="2827"/>
      <c r="N142" s="2827"/>
      <c r="O142" s="2827"/>
      <c r="P142" s="2827"/>
      <c r="Q142" s="2828"/>
      <c r="R142" s="866">
        <f>+SUM(F142:Q142)</f>
        <v>0</v>
      </c>
      <c r="S142" s="2468"/>
      <c r="T142" s="2468"/>
    </row>
    <row r="143" spans="1:20" ht="15.9" customHeight="1" x14ac:dyDescent="0.2">
      <c r="B143" s="2836" t="s">
        <v>2111</v>
      </c>
      <c r="C143" s="2827"/>
      <c r="D143" s="2827"/>
      <c r="E143" s="2827"/>
      <c r="F143" s="2827"/>
      <c r="G143" s="2827"/>
      <c r="H143" s="2827"/>
      <c r="I143" s="2837">
        <f>+I21</f>
        <v>0</v>
      </c>
      <c r="J143" s="2838">
        <f>+J21</f>
        <v>0</v>
      </c>
      <c r="K143" s="2839">
        <f>+K21</f>
        <v>0</v>
      </c>
      <c r="L143" s="2827"/>
      <c r="M143" s="2827"/>
      <c r="N143" s="2827"/>
      <c r="O143" s="2827"/>
      <c r="P143" s="2827"/>
      <c r="Q143" s="2828"/>
      <c r="R143" s="866"/>
      <c r="S143" s="2468"/>
      <c r="T143" s="2468"/>
    </row>
    <row r="144" spans="1:20" ht="15.9" customHeight="1" x14ac:dyDescent="0.2">
      <c r="B144" s="2840" t="s">
        <v>365</v>
      </c>
      <c r="C144" s="2841"/>
      <c r="D144" s="2842"/>
      <c r="E144" s="2842"/>
      <c r="F144" s="2843">
        <f t="shared" ref="F144:K144" si="34">+F138+F142+F143</f>
        <v>0</v>
      </c>
      <c r="G144" s="2844">
        <f t="shared" si="34"/>
        <v>0</v>
      </c>
      <c r="H144" s="2844">
        <f t="shared" si="34"/>
        <v>0</v>
      </c>
      <c r="I144" s="2844">
        <f t="shared" si="34"/>
        <v>0</v>
      </c>
      <c r="J144" s="2844">
        <f t="shared" si="34"/>
        <v>0</v>
      </c>
      <c r="K144" s="2845">
        <f t="shared" si="34"/>
        <v>0</v>
      </c>
      <c r="L144" s="390"/>
      <c r="M144" s="390"/>
      <c r="N144" s="390"/>
      <c r="O144" s="2613"/>
      <c r="P144" s="2613"/>
      <c r="Q144" s="2613"/>
      <c r="R144" s="844">
        <f>+SUM(F144:Q144)</f>
        <v>0</v>
      </c>
      <c r="S144" s="2468"/>
    </row>
    <row r="145" spans="1:23" ht="15.9" customHeight="1" x14ac:dyDescent="0.2">
      <c r="B145" s="2509" t="s">
        <v>1364</v>
      </c>
      <c r="C145" s="2510" t="s">
        <v>357</v>
      </c>
      <c r="D145" s="2511"/>
      <c r="E145" s="2511"/>
      <c r="F145" s="2577">
        <f t="shared" ref="F145:K145" si="35">F129+F136-F144</f>
        <v>0</v>
      </c>
      <c r="G145" s="2688">
        <f t="shared" si="35"/>
        <v>0</v>
      </c>
      <c r="H145" s="2688">
        <f t="shared" si="35"/>
        <v>0</v>
      </c>
      <c r="I145" s="2688">
        <f t="shared" si="35"/>
        <v>0</v>
      </c>
      <c r="J145" s="2688">
        <f t="shared" si="35"/>
        <v>0</v>
      </c>
      <c r="K145" s="2689">
        <f t="shared" si="35"/>
        <v>0</v>
      </c>
      <c r="L145" s="2521"/>
      <c r="M145" s="2521"/>
      <c r="N145" s="2521"/>
      <c r="O145" s="2521"/>
      <c r="P145" s="2521"/>
      <c r="Q145" s="2522"/>
      <c r="R145" s="2846"/>
      <c r="S145" s="2468"/>
    </row>
    <row r="146" spans="1:23" ht="15.9" customHeight="1" thickBot="1" x14ac:dyDescent="0.25">
      <c r="B146" s="2847" t="s">
        <v>397</v>
      </c>
      <c r="C146" s="2848" t="s">
        <v>354</v>
      </c>
      <c r="D146" s="2849"/>
      <c r="E146" s="2849"/>
      <c r="F146" s="2850">
        <f>(F129+F145)/2</f>
        <v>0</v>
      </c>
      <c r="G146" s="2851">
        <f>(F145+G145)/2</f>
        <v>0</v>
      </c>
      <c r="H146" s="2851">
        <f>(G145+H145)/2</f>
        <v>0</v>
      </c>
      <c r="I146" s="2851">
        <f>(H145+I145)/2</f>
        <v>0</v>
      </c>
      <c r="J146" s="2851">
        <f>(I145+J145)/2</f>
        <v>0</v>
      </c>
      <c r="K146" s="2852">
        <f>(J145+K145)/2</f>
        <v>0</v>
      </c>
      <c r="L146" s="2853"/>
      <c r="M146" s="2853"/>
      <c r="N146" s="2853"/>
      <c r="O146" s="2853"/>
      <c r="P146" s="2853"/>
      <c r="Q146" s="2854"/>
      <c r="R146" s="2855">
        <f>AVERAGE(F146:Q146)</f>
        <v>0</v>
      </c>
      <c r="S146" s="2468"/>
    </row>
    <row r="147" spans="1:23" ht="15.9" customHeight="1" x14ac:dyDescent="0.2">
      <c r="B147" s="2529" t="s">
        <v>1115</v>
      </c>
      <c r="C147" s="2465" t="s">
        <v>361</v>
      </c>
      <c r="D147" s="2466"/>
      <c r="E147" s="2470"/>
      <c r="F147" s="845">
        <f>IF(F129=0,0,(General!$C$91-$F$130)/($F$11+$G$11+$H$11+$I$11+$J$11+K11))</f>
        <v>0</v>
      </c>
      <c r="G147" s="846">
        <f>IF(G129=0,0,(General!$C$91-$F$130)/($F$11+$G$11+$H$11+$I$11+$J$11+L11))</f>
        <v>0</v>
      </c>
      <c r="H147" s="846">
        <f>IF(H129=0,0,(General!$C$91-$F$130)/($F$11+$G$11+$H$11+$I$11+$J$11+M11))</f>
        <v>0</v>
      </c>
      <c r="I147" s="846">
        <f>IF(I129=0,0,(General!$C$91-$F$130)/($F$11+$G$11+$H$11+$I$11+$J$11+N11))</f>
        <v>0</v>
      </c>
      <c r="J147" s="846">
        <f>IF(J129=0,0,(General!$C$91-$F$130)/($F$11+$G$11+$H$11+$I$11+$J$11+O11))</f>
        <v>0</v>
      </c>
      <c r="K147" s="847">
        <f>IF(K129=0,0,(General!$C$91-$F$130)/($F$11+$G$11+$H$11+$I$11+$J$11+P11))</f>
        <v>0</v>
      </c>
      <c r="L147" s="2677"/>
      <c r="M147" s="2677"/>
      <c r="N147" s="2677"/>
      <c r="O147" s="2677"/>
      <c r="P147" s="2677"/>
      <c r="Q147" s="2677"/>
      <c r="R147" s="2856">
        <f>IFERROR(AVERAGE(F147:Q147),0)</f>
        <v>0</v>
      </c>
      <c r="S147" s="2468"/>
    </row>
    <row r="148" spans="1:23" ht="15.9" customHeight="1" x14ac:dyDescent="0.2">
      <c r="B148" s="2529" t="s">
        <v>393</v>
      </c>
      <c r="C148" s="2465" t="s">
        <v>356</v>
      </c>
      <c r="D148" s="2466"/>
      <c r="E148" s="2470"/>
      <c r="F148" s="2535">
        <f t="shared" ref="F148:K148" si="36">IFERROR((F129*(F130+F147*F11)+F132*F133-F138*F139-F142*(F130+F147*F11)-F143*(F130+F147*F11))/(F145),0)</f>
        <v>0</v>
      </c>
      <c r="G148" s="2536">
        <f t="shared" si="36"/>
        <v>0</v>
      </c>
      <c r="H148" s="2536">
        <f t="shared" si="36"/>
        <v>0</v>
      </c>
      <c r="I148" s="2536">
        <f t="shared" si="36"/>
        <v>0</v>
      </c>
      <c r="J148" s="2536">
        <f t="shared" si="36"/>
        <v>0</v>
      </c>
      <c r="K148" s="2537">
        <f t="shared" si="36"/>
        <v>0</v>
      </c>
      <c r="L148" s="2677"/>
      <c r="M148" s="2677"/>
      <c r="N148" s="2677"/>
      <c r="O148" s="2677"/>
      <c r="P148" s="2677"/>
      <c r="Q148" s="2677"/>
      <c r="R148" s="2704"/>
      <c r="S148" s="2468"/>
    </row>
    <row r="149" spans="1:23" ht="15.9" customHeight="1" thickBot="1" x14ac:dyDescent="0.25">
      <c r="B149" s="2793" t="s">
        <v>394</v>
      </c>
      <c r="C149" s="2610" t="s">
        <v>356</v>
      </c>
      <c r="D149" s="2668"/>
      <c r="E149" s="2605"/>
      <c r="F149" s="2794">
        <f t="shared" ref="F149:K149" si="37">IF(F129+F145=0,0,AVERAGE(F130,F148))</f>
        <v>0</v>
      </c>
      <c r="G149" s="2795">
        <f t="shared" si="37"/>
        <v>0</v>
      </c>
      <c r="H149" s="2795">
        <f t="shared" si="37"/>
        <v>0</v>
      </c>
      <c r="I149" s="2795">
        <f t="shared" si="37"/>
        <v>0</v>
      </c>
      <c r="J149" s="2795">
        <f t="shared" si="37"/>
        <v>0</v>
      </c>
      <c r="K149" s="2796">
        <f t="shared" si="37"/>
        <v>0</v>
      </c>
      <c r="L149" s="2797"/>
      <c r="M149" s="2797"/>
      <c r="N149" s="2797"/>
      <c r="O149" s="2797"/>
      <c r="P149" s="2797"/>
      <c r="Q149" s="2798"/>
      <c r="R149" s="2799">
        <f>IFERROR(SUMPRODUCT(F149:Q149,F146:Q146)/(SUM(F146:Q146)),0)</f>
        <v>0</v>
      </c>
      <c r="S149" s="2468"/>
    </row>
    <row r="150" spans="1:23" s="2805" customFormat="1" ht="15.9" hidden="1" customHeight="1" x14ac:dyDescent="0.2">
      <c r="A150" s="2800"/>
      <c r="B150" s="724" t="s">
        <v>245</v>
      </c>
      <c r="C150" s="725" t="s">
        <v>361</v>
      </c>
      <c r="D150" s="2857"/>
      <c r="E150" s="2857"/>
      <c r="F150" s="2858"/>
      <c r="G150" s="2859"/>
      <c r="H150" s="2859"/>
      <c r="I150" s="2859"/>
      <c r="J150" s="2859"/>
      <c r="K150" s="2859"/>
      <c r="L150" s="2859"/>
      <c r="M150" s="2859"/>
      <c r="N150" s="2859"/>
      <c r="O150" s="2859"/>
      <c r="P150" s="2859"/>
      <c r="Q150" s="2859"/>
      <c r="R150" s="726"/>
      <c r="S150" s="2804"/>
      <c r="W150" s="2806"/>
    </row>
    <row r="151" spans="1:23" s="2805" customFormat="1" ht="15.9" hidden="1" customHeight="1" thickBot="1" x14ac:dyDescent="0.25">
      <c r="A151" s="2800" t="s">
        <v>1125</v>
      </c>
      <c r="B151" s="700" t="s">
        <v>422</v>
      </c>
      <c r="C151" s="701" t="s">
        <v>361</v>
      </c>
      <c r="D151" s="2801"/>
      <c r="E151" s="2801"/>
      <c r="F151" s="2802"/>
      <c r="G151" s="2803"/>
      <c r="H151" s="2803"/>
      <c r="I151" s="2803"/>
      <c r="J151" s="2803"/>
      <c r="K151" s="2803"/>
      <c r="L151" s="2803"/>
      <c r="M151" s="2803"/>
      <c r="N151" s="2803"/>
      <c r="O151" s="2803"/>
      <c r="P151" s="2803"/>
      <c r="Q151" s="2803"/>
      <c r="R151" s="702"/>
      <c r="S151" s="2804"/>
      <c r="W151" s="2806"/>
    </row>
    <row r="152" spans="1:23" ht="15.9" customHeight="1" x14ac:dyDescent="0.2">
      <c r="B152" s="2466"/>
      <c r="C152" s="2465"/>
      <c r="D152" s="2466"/>
      <c r="E152" s="2466"/>
      <c r="F152" s="2466"/>
      <c r="G152" s="2466"/>
      <c r="H152" s="2466"/>
      <c r="I152" s="2466"/>
      <c r="J152" s="2466"/>
      <c r="K152" s="2466"/>
      <c r="L152" s="2466"/>
      <c r="M152" s="2468"/>
      <c r="N152" s="2468"/>
      <c r="O152" s="2468"/>
      <c r="P152" s="2468"/>
      <c r="Q152" s="2468"/>
      <c r="R152" s="2468"/>
      <c r="S152" s="2468"/>
    </row>
    <row r="153" spans="1:23" ht="15.9" customHeight="1" thickBot="1" x14ac:dyDescent="0.25">
      <c r="B153" s="2466"/>
      <c r="C153" s="2465"/>
      <c r="D153" s="2466"/>
      <c r="E153" s="2466"/>
      <c r="F153" s="2466"/>
      <c r="G153" s="2466"/>
      <c r="H153" s="2466"/>
      <c r="I153" s="2466"/>
      <c r="J153" s="2466"/>
      <c r="K153" s="2466"/>
      <c r="L153" s="2466"/>
      <c r="M153" s="2468"/>
      <c r="N153" s="2468"/>
      <c r="O153" s="2468"/>
      <c r="P153" s="2468"/>
      <c r="Q153" s="2468"/>
      <c r="R153" s="2468"/>
      <c r="S153" s="2468"/>
    </row>
    <row r="154" spans="1:23" ht="15.9" customHeight="1" thickBot="1" x14ac:dyDescent="0.25">
      <c r="A154" s="2487">
        <f>+A126+1</f>
        <v>75</v>
      </c>
      <c r="B154" s="2488" t="s">
        <v>376</v>
      </c>
      <c r="C154" s="2489" t="s">
        <v>1108</v>
      </c>
      <c r="D154" s="2490"/>
      <c r="E154" s="2489"/>
      <c r="F154" s="2489"/>
      <c r="G154" s="2489"/>
      <c r="H154" s="2489"/>
      <c r="I154" s="2489"/>
      <c r="J154" s="2489"/>
      <c r="K154" s="2489"/>
      <c r="L154" s="2489"/>
      <c r="M154" s="2489"/>
      <c r="N154" s="2489"/>
      <c r="O154" s="2489"/>
      <c r="P154" s="2489"/>
      <c r="Q154" s="2489"/>
      <c r="R154" s="2491"/>
      <c r="S154" s="2468"/>
    </row>
    <row r="155" spans="1:23" ht="15.9" customHeight="1" x14ac:dyDescent="0.2">
      <c r="B155" s="2744" t="s">
        <v>381</v>
      </c>
      <c r="C155" s="2745"/>
      <c r="D155" s="2746"/>
      <c r="E155" s="2747"/>
      <c r="F155" s="2748"/>
      <c r="G155" s="2749"/>
      <c r="H155" s="2749"/>
      <c r="I155" s="2749"/>
      <c r="J155" s="2749"/>
      <c r="K155" s="2749"/>
      <c r="L155" s="2749"/>
      <c r="M155" s="2749"/>
      <c r="N155" s="2749"/>
      <c r="O155" s="2749"/>
      <c r="P155" s="2749"/>
      <c r="Q155" s="2750"/>
      <c r="R155" s="2808" t="s">
        <v>1110</v>
      </c>
      <c r="S155" s="2468"/>
    </row>
    <row r="156" spans="1:23" ht="15.9" customHeight="1" x14ac:dyDescent="0.2">
      <c r="B156" s="2679" t="s">
        <v>683</v>
      </c>
      <c r="C156" s="2680"/>
      <c r="D156" s="2680"/>
      <c r="E156" s="2681"/>
      <c r="F156" s="2484" t="str">
        <f t="shared" ref="F156:Q156" si="38">+F128</f>
        <v>Ene</v>
      </c>
      <c r="G156" s="2809" t="str">
        <f t="shared" si="38"/>
        <v>Feb</v>
      </c>
      <c r="H156" s="2809" t="str">
        <f t="shared" si="38"/>
        <v>Mar</v>
      </c>
      <c r="I156" s="2484" t="str">
        <f t="shared" si="38"/>
        <v>Abr</v>
      </c>
      <c r="J156" s="2809" t="str">
        <f t="shared" si="38"/>
        <v>May</v>
      </c>
      <c r="K156" s="2809" t="str">
        <f t="shared" si="38"/>
        <v>Jun</v>
      </c>
      <c r="L156" s="2809" t="str">
        <f t="shared" si="38"/>
        <v>Jul</v>
      </c>
      <c r="M156" s="2809" t="str">
        <f t="shared" si="38"/>
        <v>Ago</v>
      </c>
      <c r="N156" s="2810" t="str">
        <f t="shared" si="38"/>
        <v>Set</v>
      </c>
      <c r="O156" s="2810" t="str">
        <f t="shared" si="38"/>
        <v>Oct</v>
      </c>
      <c r="P156" s="2810" t="str">
        <f t="shared" si="38"/>
        <v>Nov</v>
      </c>
      <c r="Q156" s="2810" t="str">
        <f t="shared" si="38"/>
        <v>Dic</v>
      </c>
      <c r="R156" s="2811" t="s">
        <v>1111</v>
      </c>
      <c r="S156" s="2468"/>
    </row>
    <row r="157" spans="1:23" ht="15.9" customHeight="1" x14ac:dyDescent="0.2">
      <c r="B157" s="2509" t="s">
        <v>1363</v>
      </c>
      <c r="C157" s="2510" t="s">
        <v>357</v>
      </c>
      <c r="D157" s="2511"/>
      <c r="E157" s="2511"/>
      <c r="F157" s="2512">
        <f>SUM(L21:N21)</f>
        <v>0</v>
      </c>
      <c r="G157" s="832">
        <f t="shared" ref="G157:M157" si="39">+F173</f>
        <v>0</v>
      </c>
      <c r="H157" s="832">
        <f t="shared" si="39"/>
        <v>0</v>
      </c>
      <c r="I157" s="832">
        <f t="shared" si="39"/>
        <v>0</v>
      </c>
      <c r="J157" s="832">
        <f t="shared" si="39"/>
        <v>0</v>
      </c>
      <c r="K157" s="832">
        <f t="shared" si="39"/>
        <v>0</v>
      </c>
      <c r="L157" s="832">
        <f t="shared" si="39"/>
        <v>0</v>
      </c>
      <c r="M157" s="832">
        <f t="shared" si="39"/>
        <v>0</v>
      </c>
      <c r="N157" s="832">
        <f>+M173</f>
        <v>0</v>
      </c>
      <c r="O157" s="2521"/>
      <c r="P157" s="2521"/>
      <c r="Q157" s="2522"/>
      <c r="R157" s="2812"/>
      <c r="S157" s="2468"/>
    </row>
    <row r="158" spans="1:23" ht="15.9" customHeight="1" x14ac:dyDescent="0.2">
      <c r="B158" s="2516" t="s">
        <v>1452</v>
      </c>
      <c r="C158" s="2517" t="s">
        <v>356</v>
      </c>
      <c r="D158" s="2518"/>
      <c r="E158" s="2518"/>
      <c r="F158" s="2813">
        <f>General!D73</f>
        <v>0</v>
      </c>
      <c r="G158" s="2814">
        <f>+F176</f>
        <v>0</v>
      </c>
      <c r="H158" s="2814">
        <f t="shared" ref="H158:N158" si="40">+G176</f>
        <v>0</v>
      </c>
      <c r="I158" s="2814">
        <f t="shared" si="40"/>
        <v>0</v>
      </c>
      <c r="J158" s="2814">
        <f t="shared" si="40"/>
        <v>0</v>
      </c>
      <c r="K158" s="2814">
        <f t="shared" si="40"/>
        <v>0</v>
      </c>
      <c r="L158" s="2814">
        <f t="shared" si="40"/>
        <v>0</v>
      </c>
      <c r="M158" s="2814">
        <f t="shared" si="40"/>
        <v>0</v>
      </c>
      <c r="N158" s="2860">
        <f t="shared" si="40"/>
        <v>0</v>
      </c>
      <c r="O158" s="2466"/>
      <c r="P158" s="2466"/>
      <c r="Q158" s="2466"/>
      <c r="R158" s="2816"/>
      <c r="S158" s="2468"/>
    </row>
    <row r="159" spans="1:23" ht="15.9" customHeight="1" x14ac:dyDescent="0.2">
      <c r="B159" s="2524" t="s">
        <v>352</v>
      </c>
      <c r="C159" s="2525"/>
      <c r="D159" s="2525"/>
      <c r="E159" s="2525"/>
      <c r="F159" s="2526"/>
      <c r="G159" s="2525"/>
      <c r="H159" s="2525"/>
      <c r="I159" s="2525"/>
      <c r="J159" s="2525"/>
      <c r="K159" s="2525"/>
      <c r="L159" s="2525"/>
      <c r="M159" s="2525"/>
      <c r="N159" s="2525"/>
      <c r="O159" s="2525"/>
      <c r="P159" s="2525"/>
      <c r="Q159" s="2525"/>
      <c r="R159" s="2759"/>
      <c r="S159" s="2468"/>
    </row>
    <row r="160" spans="1:23" ht="15.9" customHeight="1" x14ac:dyDescent="0.2">
      <c r="B160" s="389" t="s">
        <v>1234</v>
      </c>
      <c r="C160" s="390" t="s">
        <v>354</v>
      </c>
      <c r="D160" s="2466"/>
      <c r="E160" s="2466"/>
      <c r="F160" s="5133"/>
      <c r="G160" s="5134"/>
      <c r="H160" s="5134"/>
      <c r="I160" s="5134"/>
      <c r="J160" s="5134"/>
      <c r="K160" s="5134"/>
      <c r="L160" s="5134"/>
      <c r="M160" s="5134"/>
      <c r="N160" s="5134"/>
      <c r="O160" s="2817"/>
      <c r="P160" s="2817"/>
      <c r="Q160" s="2818"/>
      <c r="R160" s="406">
        <f>+SUM(F160:Q160)</f>
        <v>0</v>
      </c>
      <c r="S160" s="2468"/>
    </row>
    <row r="161" spans="2:20" ht="15.9" customHeight="1" x14ac:dyDescent="0.2">
      <c r="B161" s="389" t="s">
        <v>1291</v>
      </c>
      <c r="C161" s="390" t="s">
        <v>356</v>
      </c>
      <c r="D161" s="2466"/>
      <c r="E161" s="2466"/>
      <c r="F161" s="5136"/>
      <c r="G161" s="5137"/>
      <c r="H161" s="5137"/>
      <c r="I161" s="5137"/>
      <c r="J161" s="5137"/>
      <c r="K161" s="5137"/>
      <c r="L161" s="5137"/>
      <c r="M161" s="5137"/>
      <c r="N161" s="5137"/>
      <c r="O161" s="2466"/>
      <c r="P161" s="2466"/>
      <c r="Q161" s="2819"/>
      <c r="R161" s="393"/>
      <c r="S161" s="2468"/>
    </row>
    <row r="162" spans="2:20" ht="15.9" customHeight="1" thickBot="1" x14ac:dyDescent="0.25">
      <c r="B162" s="389" t="s">
        <v>1292</v>
      </c>
      <c r="C162" s="390" t="s">
        <v>362</v>
      </c>
      <c r="D162" s="2466"/>
      <c r="E162" s="2466"/>
      <c r="F162" s="5139"/>
      <c r="G162" s="5140"/>
      <c r="H162" s="5140"/>
      <c r="I162" s="5140"/>
      <c r="J162" s="5140"/>
      <c r="K162" s="5140"/>
      <c r="L162" s="5140"/>
      <c r="M162" s="5140"/>
      <c r="N162" s="5140"/>
      <c r="O162" s="2466"/>
      <c r="P162" s="2466"/>
      <c r="Q162" s="2819"/>
      <c r="R162" s="393"/>
      <c r="S162" s="2468"/>
      <c r="T162" s="2468"/>
    </row>
    <row r="163" spans="2:20" ht="15.9" customHeight="1" x14ac:dyDescent="0.2">
      <c r="B163" s="833" t="s">
        <v>1290</v>
      </c>
      <c r="C163" s="834" t="s">
        <v>354</v>
      </c>
      <c r="D163" s="835"/>
      <c r="E163" s="835"/>
      <c r="F163" s="2820"/>
      <c r="G163" s="2820"/>
      <c r="H163" s="2820"/>
      <c r="I163" s="2820"/>
      <c r="J163" s="2820"/>
      <c r="K163" s="2820"/>
      <c r="L163" s="5185"/>
      <c r="M163" s="5179"/>
      <c r="N163" s="5180"/>
      <c r="O163" s="2821"/>
      <c r="P163" s="2821"/>
      <c r="Q163" s="2822"/>
      <c r="R163" s="2704">
        <f>+SUM(L163:N163)</f>
        <v>0</v>
      </c>
      <c r="S163" s="2468"/>
      <c r="T163" s="2468"/>
    </row>
    <row r="164" spans="2:20" ht="15.9" customHeight="1" x14ac:dyDescent="0.2">
      <c r="B164" s="2548" t="s">
        <v>364</v>
      </c>
      <c r="C164" s="2549" t="s">
        <v>354</v>
      </c>
      <c r="D164" s="2550"/>
      <c r="E164" s="2550"/>
      <c r="F164" s="2823">
        <f>+F160</f>
        <v>0</v>
      </c>
      <c r="G164" s="2824">
        <f t="shared" ref="G164:N164" si="41">+G160</f>
        <v>0</v>
      </c>
      <c r="H164" s="2824">
        <f t="shared" si="41"/>
        <v>0</v>
      </c>
      <c r="I164" s="2824">
        <f t="shared" si="41"/>
        <v>0</v>
      </c>
      <c r="J164" s="2825">
        <f t="shared" si="41"/>
        <v>0</v>
      </c>
      <c r="K164" s="2861">
        <f t="shared" si="41"/>
        <v>0</v>
      </c>
      <c r="L164" s="2824">
        <f t="shared" si="41"/>
        <v>0</v>
      </c>
      <c r="M164" s="2825">
        <f t="shared" si="41"/>
        <v>0</v>
      </c>
      <c r="N164" s="2826">
        <f t="shared" si="41"/>
        <v>0</v>
      </c>
      <c r="O164" s="2827"/>
      <c r="P164" s="2827"/>
      <c r="Q164" s="2828"/>
      <c r="R164" s="866">
        <f>+SUM(F164:Q164)</f>
        <v>0</v>
      </c>
      <c r="S164" s="2468"/>
      <c r="T164" s="2468"/>
    </row>
    <row r="165" spans="2:20" ht="15.9" customHeight="1" x14ac:dyDescent="0.2">
      <c r="B165" s="2829" t="s">
        <v>359</v>
      </c>
      <c r="C165" s="2526"/>
      <c r="D165" s="2526"/>
      <c r="E165" s="2526"/>
      <c r="F165" s="2526"/>
      <c r="G165" s="2526"/>
      <c r="H165" s="2526"/>
      <c r="I165" s="2526"/>
      <c r="J165" s="2526"/>
      <c r="K165" s="2526"/>
      <c r="L165" s="2526"/>
      <c r="M165" s="2526"/>
      <c r="N165" s="2526"/>
      <c r="O165" s="2526"/>
      <c r="P165" s="2526"/>
      <c r="Q165" s="2526"/>
      <c r="R165" s="2759"/>
      <c r="S165" s="2468"/>
      <c r="T165" s="2468"/>
    </row>
    <row r="166" spans="2:20" ht="15.9" customHeight="1" x14ac:dyDescent="0.2">
      <c r="B166" s="389" t="s">
        <v>1235</v>
      </c>
      <c r="C166" s="390" t="s">
        <v>354</v>
      </c>
      <c r="D166" s="2466"/>
      <c r="E166" s="2466"/>
      <c r="F166" s="5133"/>
      <c r="G166" s="5134"/>
      <c r="H166" s="5134"/>
      <c r="I166" s="5134"/>
      <c r="J166" s="5134"/>
      <c r="K166" s="5134"/>
      <c r="L166" s="5134"/>
      <c r="M166" s="5134"/>
      <c r="N166" s="5134"/>
      <c r="O166" s="2817"/>
      <c r="P166" s="2817"/>
      <c r="Q166" s="2818"/>
      <c r="R166" s="406">
        <f>+SUM(F166:Q166)</f>
        <v>0</v>
      </c>
      <c r="S166" s="2468"/>
      <c r="T166" s="2468"/>
    </row>
    <row r="167" spans="2:20" ht="15.9" customHeight="1" x14ac:dyDescent="0.2">
      <c r="B167" s="389" t="s">
        <v>1289</v>
      </c>
      <c r="C167" s="390" t="s">
        <v>356</v>
      </c>
      <c r="D167" s="2466"/>
      <c r="E167" s="2466"/>
      <c r="F167" s="5136"/>
      <c r="G167" s="5137"/>
      <c r="H167" s="5137"/>
      <c r="I167" s="5137"/>
      <c r="J167" s="5137"/>
      <c r="K167" s="5137"/>
      <c r="L167" s="5137"/>
      <c r="M167" s="5137"/>
      <c r="N167" s="5137"/>
      <c r="O167" s="2466"/>
      <c r="P167" s="2466"/>
      <c r="Q167" s="2819"/>
      <c r="R167" s="2704"/>
      <c r="S167" s="2468"/>
      <c r="T167" s="2468"/>
    </row>
    <row r="168" spans="2:20" ht="15.9" customHeight="1" thickBot="1" x14ac:dyDescent="0.25">
      <c r="B168" s="389" t="s">
        <v>1293</v>
      </c>
      <c r="C168" s="390" t="s">
        <v>362</v>
      </c>
      <c r="D168" s="2466"/>
      <c r="E168" s="2466"/>
      <c r="F168" s="5139"/>
      <c r="G168" s="5140"/>
      <c r="H168" s="5140"/>
      <c r="I168" s="5140"/>
      <c r="J168" s="5140"/>
      <c r="K168" s="5140"/>
      <c r="L168" s="5140"/>
      <c r="M168" s="5140"/>
      <c r="N168" s="5140"/>
      <c r="O168" s="2466"/>
      <c r="P168" s="2466"/>
      <c r="Q168" s="2819"/>
      <c r="R168" s="2704"/>
      <c r="S168" s="2468"/>
      <c r="T168" s="2468"/>
    </row>
    <row r="169" spans="2:20" ht="15.9" customHeight="1" x14ac:dyDescent="0.2">
      <c r="B169" s="836" t="s">
        <v>1420</v>
      </c>
      <c r="C169" s="837" t="s">
        <v>354</v>
      </c>
      <c r="D169" s="2830"/>
      <c r="E169" s="2830"/>
      <c r="F169" s="2862"/>
      <c r="G169" s="2863"/>
      <c r="H169" s="2863"/>
      <c r="I169" s="2863"/>
      <c r="J169" s="2863"/>
      <c r="K169" s="2864"/>
      <c r="L169" s="5182"/>
      <c r="M169" s="5182"/>
      <c r="N169" s="5183"/>
      <c r="O169" s="2830"/>
      <c r="P169" s="2830"/>
      <c r="Q169" s="2831"/>
      <c r="R169" s="2832">
        <f>+SUM(L169:N169)</f>
        <v>0</v>
      </c>
      <c r="S169" s="2468"/>
      <c r="T169" s="2468"/>
    </row>
    <row r="170" spans="2:20" ht="15.9" customHeight="1" x14ac:dyDescent="0.2">
      <c r="B170" s="391" t="s">
        <v>360</v>
      </c>
      <c r="C170" s="392" t="s">
        <v>354</v>
      </c>
      <c r="D170" s="2769">
        <f>General!$C$103</f>
        <v>0</v>
      </c>
      <c r="E170" s="2770">
        <f>ROUND(D170*F157,0)</f>
        <v>0</v>
      </c>
      <c r="F170" s="2833"/>
      <c r="G170" s="2834"/>
      <c r="H170" s="2834"/>
      <c r="I170" s="2834"/>
      <c r="J170" s="2834"/>
      <c r="K170" s="2835"/>
      <c r="L170" s="5184"/>
      <c r="M170" s="5177"/>
      <c r="N170" s="5178"/>
      <c r="O170" s="2827"/>
      <c r="P170" s="2827"/>
      <c r="Q170" s="2828"/>
      <c r="R170" s="866">
        <f>+SUM(F170:Q170)</f>
        <v>0</v>
      </c>
      <c r="S170" s="2468"/>
      <c r="T170" s="2468"/>
    </row>
    <row r="171" spans="2:20" ht="15.9" customHeight="1" x14ac:dyDescent="0.2">
      <c r="B171" s="2836" t="s">
        <v>2111</v>
      </c>
      <c r="C171" s="2827"/>
      <c r="D171" s="2827"/>
      <c r="E171" s="2827"/>
      <c r="F171" s="2827"/>
      <c r="G171" s="2827"/>
      <c r="H171" s="2827"/>
      <c r="I171" s="2865"/>
      <c r="J171" s="2865"/>
      <c r="K171" s="2866"/>
      <c r="L171" s="2867">
        <f>+L21</f>
        <v>0</v>
      </c>
      <c r="M171" s="2838">
        <f>+M21</f>
        <v>0</v>
      </c>
      <c r="N171" s="2839">
        <f>+N21</f>
        <v>0</v>
      </c>
      <c r="O171" s="2827"/>
      <c r="P171" s="2827"/>
      <c r="Q171" s="2828"/>
      <c r="R171" s="866"/>
      <c r="S171" s="2468"/>
      <c r="T171" s="2468"/>
    </row>
    <row r="172" spans="2:20" ht="15.9" customHeight="1" x14ac:dyDescent="0.2">
      <c r="B172" s="2840" t="s">
        <v>365</v>
      </c>
      <c r="C172" s="2613"/>
      <c r="D172" s="2470"/>
      <c r="E172" s="2470"/>
      <c r="F172" s="2868">
        <f>+F166+F170+F171</f>
        <v>0</v>
      </c>
      <c r="G172" s="2869">
        <f t="shared" ref="G172:N172" si="42">+G166+G170+G171</f>
        <v>0</v>
      </c>
      <c r="H172" s="2869">
        <f t="shared" si="42"/>
        <v>0</v>
      </c>
      <c r="I172" s="2869">
        <f t="shared" si="42"/>
        <v>0</v>
      </c>
      <c r="J172" s="2869">
        <f t="shared" si="42"/>
        <v>0</v>
      </c>
      <c r="K172" s="2870">
        <f t="shared" si="42"/>
        <v>0</v>
      </c>
      <c r="L172" s="2871">
        <f t="shared" si="42"/>
        <v>0</v>
      </c>
      <c r="M172" s="2869">
        <f t="shared" si="42"/>
        <v>0</v>
      </c>
      <c r="N172" s="2872">
        <f t="shared" si="42"/>
        <v>0</v>
      </c>
      <c r="O172" s="2613"/>
      <c r="P172" s="2613"/>
      <c r="Q172" s="2613"/>
      <c r="R172" s="405">
        <f>+SUM(F172:Q172)</f>
        <v>0</v>
      </c>
      <c r="S172" s="2468"/>
      <c r="T172" s="2468"/>
    </row>
    <row r="173" spans="2:20" ht="15.9" customHeight="1" x14ac:dyDescent="0.2">
      <c r="B173" s="2509" t="s">
        <v>1364</v>
      </c>
      <c r="C173" s="2510" t="s">
        <v>357</v>
      </c>
      <c r="D173" s="2511"/>
      <c r="E173" s="2511"/>
      <c r="F173" s="2577">
        <f t="shared" ref="F173:N173" si="43">F157+F164-F172</f>
        <v>0</v>
      </c>
      <c r="G173" s="2688">
        <f t="shared" si="43"/>
        <v>0</v>
      </c>
      <c r="H173" s="2688">
        <f t="shared" si="43"/>
        <v>0</v>
      </c>
      <c r="I173" s="2688">
        <f t="shared" si="43"/>
        <v>0</v>
      </c>
      <c r="J173" s="2688">
        <f t="shared" si="43"/>
        <v>0</v>
      </c>
      <c r="K173" s="2873">
        <f t="shared" si="43"/>
        <v>0</v>
      </c>
      <c r="L173" s="2874">
        <f t="shared" si="43"/>
        <v>0</v>
      </c>
      <c r="M173" s="2688">
        <f t="shared" si="43"/>
        <v>0</v>
      </c>
      <c r="N173" s="2689">
        <f t="shared" si="43"/>
        <v>0</v>
      </c>
      <c r="O173" s="2521"/>
      <c r="P173" s="2521"/>
      <c r="Q173" s="2522"/>
      <c r="R173" s="2699"/>
      <c r="S173" s="2468"/>
      <c r="T173" s="2468"/>
    </row>
    <row r="174" spans="2:20" ht="15.9" customHeight="1" thickBot="1" x14ac:dyDescent="0.25">
      <c r="B174" s="2875" t="s">
        <v>397</v>
      </c>
      <c r="C174" s="2876" t="s">
        <v>354</v>
      </c>
      <c r="D174" s="2877"/>
      <c r="E174" s="2877"/>
      <c r="F174" s="2878">
        <f>(F157+F173)/2</f>
        <v>0</v>
      </c>
      <c r="G174" s="2879">
        <f t="shared" ref="G174:Q174" si="44">(F173+G173)/2</f>
        <v>0</v>
      </c>
      <c r="H174" s="2879">
        <f t="shared" si="44"/>
        <v>0</v>
      </c>
      <c r="I174" s="2879">
        <f t="shared" si="44"/>
        <v>0</v>
      </c>
      <c r="J174" s="2879">
        <f t="shared" si="44"/>
        <v>0</v>
      </c>
      <c r="K174" s="2880">
        <f t="shared" si="44"/>
        <v>0</v>
      </c>
      <c r="L174" s="2881">
        <f t="shared" si="44"/>
        <v>0</v>
      </c>
      <c r="M174" s="2879">
        <f t="shared" si="44"/>
        <v>0</v>
      </c>
      <c r="N174" s="2882">
        <f t="shared" si="44"/>
        <v>0</v>
      </c>
      <c r="O174" s="2883">
        <f t="shared" si="44"/>
        <v>0</v>
      </c>
      <c r="P174" s="2883">
        <f t="shared" si="44"/>
        <v>0</v>
      </c>
      <c r="Q174" s="2884">
        <f t="shared" si="44"/>
        <v>0</v>
      </c>
      <c r="R174" s="2885">
        <f>AVERAGE(F174:Q174)</f>
        <v>0</v>
      </c>
      <c r="S174" s="2468"/>
      <c r="T174" s="2468"/>
    </row>
    <row r="175" spans="2:20" ht="15.9" customHeight="1" x14ac:dyDescent="0.2">
      <c r="B175" s="2529" t="s">
        <v>1115</v>
      </c>
      <c r="C175" s="2465" t="s">
        <v>361</v>
      </c>
      <c r="D175" s="2466"/>
      <c r="E175" s="2470"/>
      <c r="F175" s="845">
        <f>IF(F157=0,0,(General!$C$91-$F$158)/($F$11+$G$11+$H$11+$I$11+$J$11+$K$11+$L$11+$M$11+$N$11))</f>
        <v>0</v>
      </c>
      <c r="G175" s="846">
        <f>IF(G157=0,0,(General!$C$91-$F$158)/($F$11+$G$11+$H$11+$I$11+$J$11+$K$11+$L$11+$M$11+$N$11))</f>
        <v>0</v>
      </c>
      <c r="H175" s="846">
        <f>IF(H157=0,0,(General!$C$91-$F$158)/($F$11+$G$11+$H$11+$I$11+$J$11+$K$11+$L$11+$M$11+$N$11))</f>
        <v>0</v>
      </c>
      <c r="I175" s="846">
        <f>IF(I157=0,0,(General!$C$91-$F$158)/($F$11+$G$11+$H$11+$I$11+$J$11+$K$11+$L$11+$M$11+$N$11))</f>
        <v>0</v>
      </c>
      <c r="J175" s="846">
        <f>IF(J157=0,0,(General!$C$91-$F$158)/($F$11+$G$11+$H$11+$I$11+$J$11+$K$11+$L$11+$M$11+$N$11))</f>
        <v>0</v>
      </c>
      <c r="K175" s="1318">
        <f>IF(K157=0,0,(General!$C$91-$F$158)/($F$11+$G$11+$H$11+$I$11+$J$11+$K$11+$L$11+$M$11+$N$11))</f>
        <v>0</v>
      </c>
      <c r="L175" s="1319">
        <f>IF(L157=0,0,(General!$C$91-$F$158)/($F$11+$G$11+$H$11+$I$11+$J$11+$K$11+$L$11+$M$11+$N$11))</f>
        <v>0</v>
      </c>
      <c r="M175" s="846">
        <f>IF(M157=0,0,(General!$C$91-$F$158)/($F$11+$G$11+$H$11+$I$11+$J$11+$K$11+$L$11+$M$11+$N$11))</f>
        <v>0</v>
      </c>
      <c r="N175" s="847">
        <f>IF(N157=0,0,(General!$C$91-$F$158)/($F$11+$G$11+$H$11+$I$11+$J$11+$K$11+$L$11+$M$11+$N$11))</f>
        <v>0</v>
      </c>
      <c r="O175" s="2677"/>
      <c r="P175" s="2677"/>
      <c r="Q175" s="2677"/>
      <c r="R175" s="2856">
        <f>IFERROR(AVERAGE(F175:Q175),0)</f>
        <v>0</v>
      </c>
      <c r="S175" s="2468"/>
      <c r="T175" s="2468"/>
    </row>
    <row r="176" spans="2:20" ht="15.9" customHeight="1" x14ac:dyDescent="0.2">
      <c r="B176" s="2529" t="s">
        <v>393</v>
      </c>
      <c r="C176" s="2465" t="s">
        <v>356</v>
      </c>
      <c r="D176" s="2466"/>
      <c r="E176" s="2470"/>
      <c r="F176" s="2535">
        <f>IFERROR((F157*(F158+F175*F11)+F160*F161-F166*F167-F170*(F158+F175*F11)-F171*(F158+F175*F11))/(F173),0)</f>
        <v>0</v>
      </c>
      <c r="G176" s="2536">
        <f t="shared" ref="G176:N176" si="45">IFERROR((G157*(G158+G175*G11)+G160*G161-G166*G167-G170*(G158+G175*G11)-G171*(G158+G175*G11))/(G173),0)</f>
        <v>0</v>
      </c>
      <c r="H176" s="2536">
        <f t="shared" si="45"/>
        <v>0</v>
      </c>
      <c r="I176" s="2536">
        <f t="shared" si="45"/>
        <v>0</v>
      </c>
      <c r="J176" s="2536">
        <f t="shared" si="45"/>
        <v>0</v>
      </c>
      <c r="K176" s="2886">
        <f t="shared" si="45"/>
        <v>0</v>
      </c>
      <c r="L176" s="2887">
        <f t="shared" si="45"/>
        <v>0</v>
      </c>
      <c r="M176" s="2536">
        <f t="shared" si="45"/>
        <v>0</v>
      </c>
      <c r="N176" s="2537">
        <f t="shared" si="45"/>
        <v>0</v>
      </c>
      <c r="O176" s="2677"/>
      <c r="P176" s="2677"/>
      <c r="Q176" s="2677"/>
      <c r="R176" s="2704"/>
      <c r="S176" s="2468"/>
      <c r="T176" s="2468"/>
    </row>
    <row r="177" spans="1:23" ht="15.9" customHeight="1" thickBot="1" x14ac:dyDescent="0.25">
      <c r="B177" s="2793" t="s">
        <v>394</v>
      </c>
      <c r="C177" s="2610" t="s">
        <v>356</v>
      </c>
      <c r="D177" s="2668"/>
      <c r="E177" s="2605"/>
      <c r="F177" s="2794">
        <f>IF(F157+F173=0,0,AVERAGE(F158,F176))</f>
        <v>0</v>
      </c>
      <c r="G177" s="2795">
        <f t="shared" ref="G177:N177" si="46">IF(G157+G173=0,0,AVERAGE(G158,G176))</f>
        <v>0</v>
      </c>
      <c r="H177" s="2795">
        <f t="shared" si="46"/>
        <v>0</v>
      </c>
      <c r="I177" s="2795">
        <f t="shared" si="46"/>
        <v>0</v>
      </c>
      <c r="J177" s="2795">
        <f t="shared" si="46"/>
        <v>0</v>
      </c>
      <c r="K177" s="2888">
        <f t="shared" si="46"/>
        <v>0</v>
      </c>
      <c r="L177" s="2889">
        <f t="shared" si="46"/>
        <v>0</v>
      </c>
      <c r="M177" s="2795">
        <f t="shared" si="46"/>
        <v>0</v>
      </c>
      <c r="N177" s="2796">
        <f t="shared" si="46"/>
        <v>0</v>
      </c>
      <c r="O177" s="2797"/>
      <c r="P177" s="2797"/>
      <c r="Q177" s="2798"/>
      <c r="R177" s="2799">
        <f>IFERROR(SUMPRODUCT(F177:Q177,F174:Q174)/(SUM(F174:Q174)),0)</f>
        <v>0</v>
      </c>
      <c r="S177" s="2468"/>
    </row>
    <row r="178" spans="1:23" s="2805" customFormat="1" ht="15.9" hidden="1" customHeight="1" x14ac:dyDescent="0.2">
      <c r="A178" s="2800"/>
      <c r="B178" s="721" t="s">
        <v>245</v>
      </c>
      <c r="C178" s="722" t="s">
        <v>361</v>
      </c>
      <c r="D178" s="2890"/>
      <c r="E178" s="2890"/>
      <c r="F178" s="2891"/>
      <c r="G178" s="2892"/>
      <c r="H178" s="2892"/>
      <c r="I178" s="2892"/>
      <c r="J178" s="2892"/>
      <c r="K178" s="2892"/>
      <c r="L178" s="2892"/>
      <c r="M178" s="2892"/>
      <c r="N178" s="2892"/>
      <c r="O178" s="2892"/>
      <c r="P178" s="2892"/>
      <c r="Q178" s="2892"/>
      <c r="R178" s="723"/>
      <c r="S178" s="2804"/>
      <c r="W178" s="2806"/>
    </row>
    <row r="179" spans="1:23" s="2805" customFormat="1" ht="15.9" hidden="1" customHeight="1" thickBot="1" x14ac:dyDescent="0.25">
      <c r="A179" s="2800" t="s">
        <v>1125</v>
      </c>
      <c r="B179" s="700" t="s">
        <v>422</v>
      </c>
      <c r="C179" s="701" t="s">
        <v>361</v>
      </c>
      <c r="D179" s="2801"/>
      <c r="E179" s="2801"/>
      <c r="F179" s="2802"/>
      <c r="G179" s="2803"/>
      <c r="H179" s="2803"/>
      <c r="I179" s="2803"/>
      <c r="J179" s="2803"/>
      <c r="K179" s="2803"/>
      <c r="L179" s="2803"/>
      <c r="M179" s="2803"/>
      <c r="N179" s="2803"/>
      <c r="O179" s="2803"/>
      <c r="P179" s="2803"/>
      <c r="Q179" s="2803"/>
      <c r="R179" s="702"/>
      <c r="S179" s="2804"/>
      <c r="W179" s="2806"/>
    </row>
    <row r="180" spans="1:23" ht="15.9" customHeight="1" x14ac:dyDescent="0.2">
      <c r="B180" s="2466"/>
      <c r="C180" s="2465"/>
      <c r="D180" s="2466"/>
      <c r="E180" s="2466"/>
      <c r="F180" s="2466"/>
      <c r="G180" s="2466"/>
      <c r="H180" s="2466"/>
      <c r="I180" s="2466"/>
      <c r="J180" s="2466"/>
      <c r="K180" s="2466"/>
      <c r="L180" s="2466"/>
      <c r="M180" s="2468"/>
      <c r="N180" s="2468"/>
      <c r="O180" s="2468"/>
      <c r="P180" s="2468"/>
      <c r="Q180" s="2468"/>
      <c r="R180" s="2468"/>
      <c r="S180" s="2468"/>
    </row>
    <row r="181" spans="1:23" ht="15.9" customHeight="1" thickBot="1" x14ac:dyDescent="0.25">
      <c r="B181" s="2466"/>
      <c r="C181" s="2465"/>
      <c r="D181" s="2466"/>
      <c r="E181" s="2466"/>
      <c r="F181" s="2466"/>
      <c r="G181" s="2466"/>
      <c r="H181" s="2466"/>
      <c r="I181" s="2466"/>
      <c r="J181" s="2466"/>
      <c r="K181" s="2466"/>
      <c r="L181" s="2466"/>
      <c r="M181" s="2468"/>
      <c r="N181" s="2468"/>
      <c r="O181" s="2468"/>
      <c r="P181" s="2468"/>
      <c r="Q181" s="2468"/>
      <c r="R181" s="2468"/>
      <c r="S181" s="2468"/>
    </row>
    <row r="182" spans="1:23" ht="15.9" customHeight="1" thickBot="1" x14ac:dyDescent="0.25">
      <c r="A182" s="2487">
        <f>+A154+1</f>
        <v>76</v>
      </c>
      <c r="B182" s="2488" t="s">
        <v>606</v>
      </c>
      <c r="C182" s="2489" t="s">
        <v>1108</v>
      </c>
      <c r="D182" s="2490"/>
      <c r="E182" s="2489"/>
      <c r="F182" s="2489"/>
      <c r="G182" s="2489"/>
      <c r="H182" s="2489"/>
      <c r="I182" s="2489"/>
      <c r="J182" s="2489"/>
      <c r="K182" s="2489"/>
      <c r="L182" s="2489"/>
      <c r="M182" s="2489"/>
      <c r="N182" s="2489"/>
      <c r="O182" s="2489"/>
      <c r="P182" s="2489"/>
      <c r="Q182" s="2489"/>
      <c r="R182" s="2491"/>
      <c r="S182" s="2468"/>
    </row>
    <row r="183" spans="1:23" ht="15.9" customHeight="1" x14ac:dyDescent="0.2">
      <c r="B183" s="2744" t="s">
        <v>383</v>
      </c>
      <c r="C183" s="2745"/>
      <c r="D183" s="2746"/>
      <c r="E183" s="2747"/>
      <c r="F183" s="2748"/>
      <c r="G183" s="2749"/>
      <c r="H183" s="2749"/>
      <c r="I183" s="2749"/>
      <c r="J183" s="2749"/>
      <c r="K183" s="2749"/>
      <c r="L183" s="2749"/>
      <c r="M183" s="2749"/>
      <c r="N183" s="2749"/>
      <c r="O183" s="2749"/>
      <c r="P183" s="2749"/>
      <c r="Q183" s="2750"/>
      <c r="R183" s="2808"/>
      <c r="S183" s="2468"/>
    </row>
    <row r="184" spans="1:23" ht="15.9" customHeight="1" x14ac:dyDescent="0.2">
      <c r="B184" s="2679" t="s">
        <v>683</v>
      </c>
      <c r="C184" s="2680"/>
      <c r="D184" s="2680"/>
      <c r="E184" s="2681"/>
      <c r="F184" s="2484" t="str">
        <f t="shared" ref="F184:Q184" si="47">+F156</f>
        <v>Ene</v>
      </c>
      <c r="G184" s="2809" t="str">
        <f t="shared" si="47"/>
        <v>Feb</v>
      </c>
      <c r="H184" s="2809" t="str">
        <f t="shared" si="47"/>
        <v>Mar</v>
      </c>
      <c r="I184" s="2484" t="str">
        <f t="shared" si="47"/>
        <v>Abr</v>
      </c>
      <c r="J184" s="2809" t="str">
        <f t="shared" si="47"/>
        <v>May</v>
      </c>
      <c r="K184" s="2809" t="str">
        <f t="shared" si="47"/>
        <v>Jun</v>
      </c>
      <c r="L184" s="2809" t="str">
        <f t="shared" si="47"/>
        <v>Jul</v>
      </c>
      <c r="M184" s="2809" t="str">
        <f t="shared" si="47"/>
        <v>Ago</v>
      </c>
      <c r="N184" s="2810" t="str">
        <f t="shared" si="47"/>
        <v>Set</v>
      </c>
      <c r="O184" s="2810" t="str">
        <f t="shared" si="47"/>
        <v>Oct</v>
      </c>
      <c r="P184" s="2810" t="str">
        <f t="shared" si="47"/>
        <v>Nov</v>
      </c>
      <c r="Q184" s="2810" t="str">
        <f t="shared" si="47"/>
        <v>Dic</v>
      </c>
      <c r="R184" s="2811" t="s">
        <v>1110</v>
      </c>
      <c r="S184" s="2468"/>
    </row>
    <row r="185" spans="1:23" ht="15.9" customHeight="1" x14ac:dyDescent="0.2">
      <c r="B185" s="2509" t="s">
        <v>1363</v>
      </c>
      <c r="C185" s="2510" t="s">
        <v>357</v>
      </c>
      <c r="D185" s="2511"/>
      <c r="E185" s="2511"/>
      <c r="F185" s="2512">
        <f>SUM(O21:Q21)</f>
        <v>0</v>
      </c>
      <c r="G185" s="832">
        <f t="shared" ref="G185:Q185" si="48">+F201</f>
        <v>0</v>
      </c>
      <c r="H185" s="832">
        <f t="shared" si="48"/>
        <v>0</v>
      </c>
      <c r="I185" s="832">
        <f t="shared" si="48"/>
        <v>0</v>
      </c>
      <c r="J185" s="832">
        <f t="shared" si="48"/>
        <v>0</v>
      </c>
      <c r="K185" s="832">
        <f t="shared" si="48"/>
        <v>0</v>
      </c>
      <c r="L185" s="832">
        <f t="shared" si="48"/>
        <v>0</v>
      </c>
      <c r="M185" s="832">
        <f t="shared" si="48"/>
        <v>0</v>
      </c>
      <c r="N185" s="832">
        <f t="shared" si="48"/>
        <v>0</v>
      </c>
      <c r="O185" s="832">
        <f t="shared" si="48"/>
        <v>0</v>
      </c>
      <c r="P185" s="832">
        <f t="shared" si="48"/>
        <v>0</v>
      </c>
      <c r="Q185" s="832">
        <f t="shared" si="48"/>
        <v>0</v>
      </c>
      <c r="R185" s="2812" t="s">
        <v>1111</v>
      </c>
      <c r="S185" s="2468"/>
    </row>
    <row r="186" spans="1:23" ht="15.9" customHeight="1" x14ac:dyDescent="0.2">
      <c r="B186" s="2516" t="s">
        <v>1452</v>
      </c>
      <c r="C186" s="2517" t="s">
        <v>356</v>
      </c>
      <c r="D186" s="2518"/>
      <c r="E186" s="2518"/>
      <c r="F186" s="2813">
        <f>General!D74</f>
        <v>0</v>
      </c>
      <c r="G186" s="2814">
        <f>+F204</f>
        <v>0</v>
      </c>
      <c r="H186" s="2814">
        <f t="shared" ref="H186:Q186" si="49">+G204</f>
        <v>0</v>
      </c>
      <c r="I186" s="2814">
        <f t="shared" si="49"/>
        <v>0</v>
      </c>
      <c r="J186" s="2814">
        <f t="shared" si="49"/>
        <v>0</v>
      </c>
      <c r="K186" s="2814">
        <f t="shared" si="49"/>
        <v>0</v>
      </c>
      <c r="L186" s="2814">
        <f t="shared" si="49"/>
        <v>0</v>
      </c>
      <c r="M186" s="2814">
        <f t="shared" si="49"/>
        <v>0</v>
      </c>
      <c r="N186" s="2814">
        <f t="shared" si="49"/>
        <v>0</v>
      </c>
      <c r="O186" s="2814">
        <f t="shared" si="49"/>
        <v>0</v>
      </c>
      <c r="P186" s="2814">
        <f t="shared" si="49"/>
        <v>0</v>
      </c>
      <c r="Q186" s="2814">
        <f t="shared" si="49"/>
        <v>0</v>
      </c>
      <c r="R186" s="2816"/>
      <c r="S186" s="2468"/>
    </row>
    <row r="187" spans="1:23" ht="15.9" customHeight="1" x14ac:dyDescent="0.2">
      <c r="B187" s="2524" t="s">
        <v>352</v>
      </c>
      <c r="C187" s="2525"/>
      <c r="D187" s="2525"/>
      <c r="E187" s="2525"/>
      <c r="F187" s="2526"/>
      <c r="G187" s="2525"/>
      <c r="H187" s="2525"/>
      <c r="I187" s="2525"/>
      <c r="J187" s="2525"/>
      <c r="K187" s="2525"/>
      <c r="L187" s="2525"/>
      <c r="M187" s="2525"/>
      <c r="N187" s="2525"/>
      <c r="O187" s="2525"/>
      <c r="P187" s="2525"/>
      <c r="Q187" s="2525"/>
      <c r="R187" s="2759"/>
      <c r="S187" s="2468"/>
    </row>
    <row r="188" spans="1:23" ht="15.9" customHeight="1" x14ac:dyDescent="0.2">
      <c r="B188" s="389" t="s">
        <v>1236</v>
      </c>
      <c r="C188" s="390" t="s">
        <v>354</v>
      </c>
      <c r="D188" s="2466"/>
      <c r="E188" s="2466"/>
      <c r="F188" s="5133"/>
      <c r="G188" s="5134"/>
      <c r="H188" s="5134"/>
      <c r="I188" s="5134"/>
      <c r="J188" s="5134"/>
      <c r="K188" s="5134"/>
      <c r="L188" s="5134"/>
      <c r="M188" s="5134"/>
      <c r="N188" s="5134"/>
      <c r="O188" s="5134"/>
      <c r="P188" s="5134"/>
      <c r="Q188" s="5135"/>
      <c r="R188" s="406">
        <f>+SUM(F188:Q188)</f>
        <v>0</v>
      </c>
      <c r="S188" s="2468"/>
    </row>
    <row r="189" spans="1:23" ht="15.9" customHeight="1" x14ac:dyDescent="0.2">
      <c r="B189" s="389" t="s">
        <v>1285</v>
      </c>
      <c r="C189" s="390" t="s">
        <v>356</v>
      </c>
      <c r="D189" s="2466"/>
      <c r="E189" s="2466"/>
      <c r="F189" s="5136"/>
      <c r="G189" s="5137"/>
      <c r="H189" s="5137"/>
      <c r="I189" s="5137"/>
      <c r="J189" s="5137"/>
      <c r="K189" s="5137"/>
      <c r="L189" s="5137"/>
      <c r="M189" s="5137"/>
      <c r="N189" s="5137"/>
      <c r="O189" s="5137"/>
      <c r="P189" s="5137"/>
      <c r="Q189" s="5138"/>
      <c r="R189" s="393"/>
      <c r="S189" s="2468"/>
    </row>
    <row r="190" spans="1:23" ht="15.9" customHeight="1" thickBot="1" x14ac:dyDescent="0.25">
      <c r="B190" s="389" t="s">
        <v>1288</v>
      </c>
      <c r="C190" s="390" t="s">
        <v>362</v>
      </c>
      <c r="D190" s="2466"/>
      <c r="E190" s="2466"/>
      <c r="F190" s="5139"/>
      <c r="G190" s="5140"/>
      <c r="H190" s="5140"/>
      <c r="I190" s="5140"/>
      <c r="J190" s="5140"/>
      <c r="K190" s="5140"/>
      <c r="L190" s="5140"/>
      <c r="M190" s="5140"/>
      <c r="N190" s="5140"/>
      <c r="O190" s="5140"/>
      <c r="P190" s="5140"/>
      <c r="Q190" s="5141"/>
      <c r="R190" s="393"/>
      <c r="S190" s="2468"/>
    </row>
    <row r="191" spans="1:23" ht="15.9" customHeight="1" x14ac:dyDescent="0.2">
      <c r="B191" s="833" t="s">
        <v>1290</v>
      </c>
      <c r="C191" s="834" t="s">
        <v>354</v>
      </c>
      <c r="D191" s="835"/>
      <c r="E191" s="835"/>
      <c r="F191" s="2820"/>
      <c r="G191" s="2820"/>
      <c r="H191" s="2820"/>
      <c r="I191" s="2820"/>
      <c r="J191" s="2820"/>
      <c r="K191" s="2820"/>
      <c r="L191" s="2820"/>
      <c r="M191" s="2820"/>
      <c r="N191" s="2893"/>
      <c r="O191" s="5185"/>
      <c r="P191" s="5179"/>
      <c r="Q191" s="5179"/>
      <c r="R191" s="2704">
        <f>+SUM(O191:Q191)</f>
        <v>0</v>
      </c>
      <c r="S191" s="2468"/>
    </row>
    <row r="192" spans="1:23" ht="15.9" customHeight="1" x14ac:dyDescent="0.2">
      <c r="B192" s="2548" t="s">
        <v>364</v>
      </c>
      <c r="C192" s="2549" t="s">
        <v>354</v>
      </c>
      <c r="D192" s="2550"/>
      <c r="E192" s="2550"/>
      <c r="F192" s="2824">
        <f>+F188</f>
        <v>0</v>
      </c>
      <c r="G192" s="2824">
        <f t="shared" ref="G192:Q192" si="50">+G188</f>
        <v>0</v>
      </c>
      <c r="H192" s="2824">
        <f t="shared" si="50"/>
        <v>0</v>
      </c>
      <c r="I192" s="2824">
        <f t="shared" si="50"/>
        <v>0</v>
      </c>
      <c r="J192" s="2825">
        <f t="shared" si="50"/>
        <v>0</v>
      </c>
      <c r="K192" s="2861">
        <f t="shared" si="50"/>
        <v>0</v>
      </c>
      <c r="L192" s="2824">
        <f t="shared" si="50"/>
        <v>0</v>
      </c>
      <c r="M192" s="2825">
        <f t="shared" si="50"/>
        <v>0</v>
      </c>
      <c r="N192" s="2861">
        <f t="shared" si="50"/>
        <v>0</v>
      </c>
      <c r="O192" s="2824">
        <f t="shared" si="50"/>
        <v>0</v>
      </c>
      <c r="P192" s="2825">
        <f t="shared" si="50"/>
        <v>0</v>
      </c>
      <c r="Q192" s="2861">
        <f t="shared" si="50"/>
        <v>0</v>
      </c>
      <c r="R192" s="866">
        <f>+SUM(F192:Q192)</f>
        <v>0</v>
      </c>
      <c r="S192" s="2468"/>
    </row>
    <row r="193" spans="1:23" ht="15.9" customHeight="1" x14ac:dyDescent="0.2">
      <c r="B193" s="2829" t="s">
        <v>359</v>
      </c>
      <c r="C193" s="2526"/>
      <c r="D193" s="2526"/>
      <c r="E193" s="2526"/>
      <c r="F193" s="2526"/>
      <c r="G193" s="2526"/>
      <c r="H193" s="2526"/>
      <c r="I193" s="2526"/>
      <c r="J193" s="2526"/>
      <c r="K193" s="2526"/>
      <c r="L193" s="2526"/>
      <c r="M193" s="2526"/>
      <c r="N193" s="2526"/>
      <c r="O193" s="2526"/>
      <c r="P193" s="2526"/>
      <c r="Q193" s="2526"/>
      <c r="R193" s="2759"/>
      <c r="S193" s="2468"/>
    </row>
    <row r="194" spans="1:23" ht="15.9" customHeight="1" x14ac:dyDescent="0.2">
      <c r="B194" s="389" t="s">
        <v>1237</v>
      </c>
      <c r="C194" s="390" t="s">
        <v>354</v>
      </c>
      <c r="D194" s="2466"/>
      <c r="E194" s="2466"/>
      <c r="F194" s="5133"/>
      <c r="G194" s="5134"/>
      <c r="H194" s="5134"/>
      <c r="I194" s="5134"/>
      <c r="J194" s="5134"/>
      <c r="K194" s="5134"/>
      <c r="L194" s="5134"/>
      <c r="M194" s="5134"/>
      <c r="N194" s="5134"/>
      <c r="O194" s="5134"/>
      <c r="P194" s="5134"/>
      <c r="Q194" s="5135"/>
      <c r="R194" s="407">
        <f>+SUM(F194:Q194)</f>
        <v>0</v>
      </c>
      <c r="S194" s="2468"/>
    </row>
    <row r="195" spans="1:23" ht="15.9" customHeight="1" x14ac:dyDescent="0.2">
      <c r="B195" s="389" t="s">
        <v>1289</v>
      </c>
      <c r="C195" s="390" t="s">
        <v>356</v>
      </c>
      <c r="D195" s="2466"/>
      <c r="E195" s="2466"/>
      <c r="F195" s="5136"/>
      <c r="G195" s="5137"/>
      <c r="H195" s="5137"/>
      <c r="I195" s="5137"/>
      <c r="J195" s="5137"/>
      <c r="K195" s="5137"/>
      <c r="L195" s="5137"/>
      <c r="M195" s="5137"/>
      <c r="N195" s="5137"/>
      <c r="O195" s="5137"/>
      <c r="P195" s="5137"/>
      <c r="Q195" s="5138"/>
      <c r="R195" s="2547"/>
      <c r="S195" s="2468"/>
    </row>
    <row r="196" spans="1:23" ht="15.9" customHeight="1" thickBot="1" x14ac:dyDescent="0.25">
      <c r="B196" s="389" t="s">
        <v>428</v>
      </c>
      <c r="C196" s="390" t="s">
        <v>362</v>
      </c>
      <c r="D196" s="2466"/>
      <c r="E196" s="2466"/>
      <c r="F196" s="5139"/>
      <c r="G196" s="5140"/>
      <c r="H196" s="5140"/>
      <c r="I196" s="5140"/>
      <c r="J196" s="5140"/>
      <c r="K196" s="5140"/>
      <c r="L196" s="5140"/>
      <c r="M196" s="5140"/>
      <c r="N196" s="5140"/>
      <c r="O196" s="5140"/>
      <c r="P196" s="5140"/>
      <c r="Q196" s="5141"/>
      <c r="R196" s="2547"/>
      <c r="S196" s="2468"/>
    </row>
    <row r="197" spans="1:23" ht="15.9" customHeight="1" x14ac:dyDescent="0.2">
      <c r="B197" s="836" t="s">
        <v>1420</v>
      </c>
      <c r="C197" s="837" t="s">
        <v>354</v>
      </c>
      <c r="D197" s="2830"/>
      <c r="E197" s="2830"/>
      <c r="F197" s="2894"/>
      <c r="G197" s="2863"/>
      <c r="H197" s="2863"/>
      <c r="I197" s="2863"/>
      <c r="J197" s="2863"/>
      <c r="K197" s="2863"/>
      <c r="L197" s="2863"/>
      <c r="M197" s="2863"/>
      <c r="N197" s="2895"/>
      <c r="O197" s="5186"/>
      <c r="P197" s="5186"/>
      <c r="Q197" s="5187"/>
      <c r="R197" s="2896"/>
      <c r="S197" s="2468"/>
    </row>
    <row r="198" spans="1:23" ht="15.9" customHeight="1" x14ac:dyDescent="0.2">
      <c r="B198" s="391" t="s">
        <v>360</v>
      </c>
      <c r="C198" s="392" t="s">
        <v>354</v>
      </c>
      <c r="D198" s="2769">
        <f>General!$C$103</f>
        <v>0</v>
      </c>
      <c r="E198" s="2897">
        <f>ROUND(D198*F185,0)</f>
        <v>0</v>
      </c>
      <c r="F198" s="2898"/>
      <c r="G198" s="2834"/>
      <c r="H198" s="2834"/>
      <c r="I198" s="2834"/>
      <c r="J198" s="2834"/>
      <c r="K198" s="2834"/>
      <c r="L198" s="2834"/>
      <c r="M198" s="2834"/>
      <c r="N198" s="2835"/>
      <c r="O198" s="5184"/>
      <c r="P198" s="5177"/>
      <c r="Q198" s="5178"/>
      <c r="R198" s="1311">
        <f>+SUM(F198:Q198)</f>
        <v>0</v>
      </c>
      <c r="S198" s="2468"/>
    </row>
    <row r="199" spans="1:23" ht="15.9" customHeight="1" x14ac:dyDescent="0.2">
      <c r="B199" s="2836" t="s">
        <v>2111</v>
      </c>
      <c r="C199" s="2827"/>
      <c r="D199" s="2827"/>
      <c r="E199" s="2827"/>
      <c r="F199" s="2827"/>
      <c r="G199" s="2827"/>
      <c r="H199" s="2827"/>
      <c r="I199" s="2865"/>
      <c r="J199" s="2865"/>
      <c r="K199" s="2865"/>
      <c r="L199" s="2865"/>
      <c r="M199" s="2865"/>
      <c r="N199" s="2899"/>
      <c r="O199" s="2697">
        <f>+O21</f>
        <v>0</v>
      </c>
      <c r="P199" s="2697">
        <f>+P21</f>
        <v>0</v>
      </c>
      <c r="Q199" s="2698">
        <f>+Q21</f>
        <v>0</v>
      </c>
      <c r="R199" s="1311"/>
      <c r="S199" s="2468"/>
    </row>
    <row r="200" spans="1:23" ht="15.9" customHeight="1" x14ac:dyDescent="0.2">
      <c r="B200" s="2840" t="s">
        <v>365</v>
      </c>
      <c r="C200" s="2613"/>
      <c r="D200" s="2470"/>
      <c r="E200" s="2470"/>
      <c r="F200" s="2900">
        <f>+F194+F198+F199</f>
        <v>0</v>
      </c>
      <c r="G200" s="2901">
        <f t="shared" ref="G200:Q200" si="51">+G194+G198+G199</f>
        <v>0</v>
      </c>
      <c r="H200" s="2901">
        <f t="shared" si="51"/>
        <v>0</v>
      </c>
      <c r="I200" s="2901">
        <f t="shared" si="51"/>
        <v>0</v>
      </c>
      <c r="J200" s="2901">
        <f t="shared" si="51"/>
        <v>0</v>
      </c>
      <c r="K200" s="2901">
        <f t="shared" si="51"/>
        <v>0</v>
      </c>
      <c r="L200" s="2901">
        <f t="shared" si="51"/>
        <v>0</v>
      </c>
      <c r="M200" s="2901">
        <f t="shared" si="51"/>
        <v>0</v>
      </c>
      <c r="N200" s="2901">
        <f t="shared" si="51"/>
        <v>0</v>
      </c>
      <c r="O200" s="2901">
        <f t="shared" si="51"/>
        <v>0</v>
      </c>
      <c r="P200" s="2901">
        <f t="shared" si="51"/>
        <v>0</v>
      </c>
      <c r="Q200" s="2902">
        <f t="shared" si="51"/>
        <v>0</v>
      </c>
      <c r="R200" s="405"/>
      <c r="S200" s="2468"/>
    </row>
    <row r="201" spans="1:23" ht="15.9" customHeight="1" x14ac:dyDescent="0.2">
      <c r="B201" s="2509" t="s">
        <v>1364</v>
      </c>
      <c r="C201" s="2510" t="s">
        <v>357</v>
      </c>
      <c r="D201" s="2511"/>
      <c r="E201" s="2511"/>
      <c r="F201" s="2903">
        <f t="shared" ref="F201:Q201" si="52">F185+F192-F200</f>
        <v>0</v>
      </c>
      <c r="G201" s="2904">
        <f t="shared" si="52"/>
        <v>0</v>
      </c>
      <c r="H201" s="2904">
        <f t="shared" si="52"/>
        <v>0</v>
      </c>
      <c r="I201" s="2904">
        <f t="shared" si="52"/>
        <v>0</v>
      </c>
      <c r="J201" s="2904">
        <f t="shared" si="52"/>
        <v>0</v>
      </c>
      <c r="K201" s="2904">
        <f t="shared" si="52"/>
        <v>0</v>
      </c>
      <c r="L201" s="2904">
        <f t="shared" si="52"/>
        <v>0</v>
      </c>
      <c r="M201" s="2904">
        <f t="shared" si="52"/>
        <v>0</v>
      </c>
      <c r="N201" s="2904">
        <f t="shared" si="52"/>
        <v>0</v>
      </c>
      <c r="O201" s="2904">
        <f t="shared" si="52"/>
        <v>0</v>
      </c>
      <c r="P201" s="2904">
        <f t="shared" si="52"/>
        <v>0</v>
      </c>
      <c r="Q201" s="2905">
        <f t="shared" si="52"/>
        <v>0</v>
      </c>
      <c r="R201" s="2906"/>
      <c r="S201" s="2468"/>
    </row>
    <row r="202" spans="1:23" ht="15.9" customHeight="1" thickBot="1" x14ac:dyDescent="0.25">
      <c r="B202" s="2875" t="s">
        <v>397</v>
      </c>
      <c r="C202" s="2876" t="s">
        <v>354</v>
      </c>
      <c r="D202" s="2877"/>
      <c r="E202" s="2877"/>
      <c r="F202" s="2907">
        <f>(F185+F201)/2</f>
        <v>0</v>
      </c>
      <c r="G202" s="2908">
        <f t="shared" ref="G202:Q202" si="53">(F201+G201)/2</f>
        <v>0</v>
      </c>
      <c r="H202" s="2908">
        <f t="shared" si="53"/>
        <v>0</v>
      </c>
      <c r="I202" s="2908">
        <f t="shared" si="53"/>
        <v>0</v>
      </c>
      <c r="J202" s="2908">
        <f t="shared" si="53"/>
        <v>0</v>
      </c>
      <c r="K202" s="2908">
        <f t="shared" si="53"/>
        <v>0</v>
      </c>
      <c r="L202" s="2908">
        <f t="shared" si="53"/>
        <v>0</v>
      </c>
      <c r="M202" s="2908">
        <f t="shared" si="53"/>
        <v>0</v>
      </c>
      <c r="N202" s="2908">
        <f t="shared" si="53"/>
        <v>0</v>
      </c>
      <c r="O202" s="2908">
        <f t="shared" si="53"/>
        <v>0</v>
      </c>
      <c r="P202" s="2908">
        <f t="shared" si="53"/>
        <v>0</v>
      </c>
      <c r="Q202" s="2909">
        <f t="shared" si="53"/>
        <v>0</v>
      </c>
      <c r="R202" s="2910">
        <f>AVERAGE(F202:Q202)</f>
        <v>0</v>
      </c>
      <c r="S202" s="2468"/>
    </row>
    <row r="203" spans="1:23" ht="15.9" customHeight="1" x14ac:dyDescent="0.2">
      <c r="B203" s="2529" t="s">
        <v>1115</v>
      </c>
      <c r="C203" s="2465" t="s">
        <v>361</v>
      </c>
      <c r="D203" s="2466"/>
      <c r="E203" s="2470"/>
      <c r="F203" s="1308">
        <f>IF(F185=0,0,(General!$C$91-$F$186)/+($F$11+$G$11+$H$11+$I$11+$J$11+$K$11+$L$11+$M$11+$N$11+$O$11+$P$11+$Q$11))</f>
        <v>0</v>
      </c>
      <c r="G203" s="1309">
        <f>IF(G185=0,0,(General!$C$91-$F$186)/+($F$11+$G$11+$H$11+$I$11+$J$11+$K$11+$L$11+$M$11+$N$11+$O$11+$P$11+$Q$11))</f>
        <v>0</v>
      </c>
      <c r="H203" s="1309">
        <f>IF(H185=0,0,(General!$C$91-$F$186)/+($F$11+$G$11+$H$11+$I$11+$J$11+$K$11+$L$11+$M$11+$N$11+$O$11+$P$11+$Q$11))</f>
        <v>0</v>
      </c>
      <c r="I203" s="1309">
        <f>IF(I185=0,0,(General!$C$91-$F$186)/+($F$11+$G$11+$H$11+$I$11+$J$11+$K$11+$L$11+$M$11+$N$11+$O$11+$P$11+$Q$11))</f>
        <v>0</v>
      </c>
      <c r="J203" s="1309">
        <f>IF(J185=0,0,(General!$C$91-$F$186)/+($F$11+$G$11+$H$11+$I$11+$J$11+$K$11+$L$11+$M$11+$N$11+$O$11+$P$11+$Q$11))</f>
        <v>0</v>
      </c>
      <c r="K203" s="1309">
        <f>IF(K185=0,0,(General!$C$91-$F$186)/+($F$11+$G$11+$H$11+$I$11+$J$11+$K$11+$L$11+$M$11+$N$11+$O$11+$P$11+$Q$11))</f>
        <v>0</v>
      </c>
      <c r="L203" s="1309">
        <f>IF(L185=0,0,(General!$C$91-$F$186)/+($F$11+$G$11+$H$11+$I$11+$J$11+$K$11+$L$11+$M$11+$N$11+$O$11+$P$11+$Q$11))</f>
        <v>0</v>
      </c>
      <c r="M203" s="1309">
        <f>IF(M185=0,0,(General!$C$91-$F$186)/+($F$11+$G$11+$H$11+$I$11+$J$11+$K$11+$L$11+$M$11+$N$11+$O$11+$P$11+$Q$11))</f>
        <v>0</v>
      </c>
      <c r="N203" s="1309">
        <f>IF(N185=0,0,(General!$C$91-$F$186)/+($F$11+$G$11+$H$11+$I$11+$J$11+$K$11+$L$11+$M$11+$N$11+$O$11+$P$11+$Q$11))</f>
        <v>0</v>
      </c>
      <c r="O203" s="1309">
        <f>IF(O185=0,0,(General!$C$91-$F$186)/+($F$11+$G$11+$H$11+$I$11+$J$11+$K$11+$L$11+$M$11+$N$11+$O$11+$P$11+$Q$11))</f>
        <v>0</v>
      </c>
      <c r="P203" s="1309">
        <f>IF(P185=0,0,(General!$C$91-$F$186)/+($F$11+$G$11+$H$11+$I$11+$J$11+$K$11+$L$11+$M$11+$N$11+$O$11+$P$11+$Q$11))</f>
        <v>0</v>
      </c>
      <c r="Q203" s="1310">
        <f>IF(Q185=0,0,(General!$C$91-$F$186)/+($F$11+$G$11+$H$11+$I$11+$J$11+$K$11+$L$11+$M$11+$N$11+$O$11+$P$11+$Q$11))</f>
        <v>0</v>
      </c>
      <c r="R203" s="2792">
        <f>IFERROR(AVERAGE(F203:Q203),0)</f>
        <v>0</v>
      </c>
      <c r="S203" s="2468"/>
    </row>
    <row r="204" spans="1:23" ht="15.9" customHeight="1" x14ac:dyDescent="0.2">
      <c r="B204" s="2529" t="s">
        <v>393</v>
      </c>
      <c r="C204" s="2465" t="s">
        <v>356</v>
      </c>
      <c r="D204" s="2466"/>
      <c r="E204" s="2470"/>
      <c r="F204" s="2911">
        <f>IFERROR((F185*(F186+F203*F11)+F188*F189-F194*F195-F198*(F186+F203*F11)-F199*(F186+F203*F11))/(F201),0)</f>
        <v>0</v>
      </c>
      <c r="G204" s="2912">
        <f t="shared" ref="G204:Q204" si="54">IFERROR((G185*(G186+G203*G11)+G188*G189-G194*G195-G198*(G186+G203*G11)-G199*(G186+G203*G11))/(G201),0)</f>
        <v>0</v>
      </c>
      <c r="H204" s="2912">
        <f t="shared" si="54"/>
        <v>0</v>
      </c>
      <c r="I204" s="2912">
        <f t="shared" si="54"/>
        <v>0</v>
      </c>
      <c r="J204" s="2912">
        <f t="shared" si="54"/>
        <v>0</v>
      </c>
      <c r="K204" s="2912">
        <f t="shared" si="54"/>
        <v>0</v>
      </c>
      <c r="L204" s="2912">
        <f t="shared" si="54"/>
        <v>0</v>
      </c>
      <c r="M204" s="2912">
        <f t="shared" si="54"/>
        <v>0</v>
      </c>
      <c r="N204" s="2912">
        <f t="shared" si="54"/>
        <v>0</v>
      </c>
      <c r="O204" s="2912">
        <f t="shared" si="54"/>
        <v>0</v>
      </c>
      <c r="P204" s="2912">
        <f t="shared" si="54"/>
        <v>0</v>
      </c>
      <c r="Q204" s="2913">
        <f t="shared" si="54"/>
        <v>0</v>
      </c>
      <c r="R204" s="2547"/>
      <c r="S204" s="2468"/>
    </row>
    <row r="205" spans="1:23" ht="15.9" customHeight="1" thickBot="1" x14ac:dyDescent="0.25">
      <c r="B205" s="2793" t="s">
        <v>394</v>
      </c>
      <c r="C205" s="2610" t="s">
        <v>356</v>
      </c>
      <c r="D205" s="2668"/>
      <c r="E205" s="2605"/>
      <c r="F205" s="2914">
        <f>IF(F185+F201=0,0,AVERAGE(F186,F204))</f>
        <v>0</v>
      </c>
      <c r="G205" s="2915">
        <f t="shared" ref="G205:Q205" si="55">IF(G185+G201=0,0,AVERAGE(G186,G204))</f>
        <v>0</v>
      </c>
      <c r="H205" s="2915">
        <f t="shared" si="55"/>
        <v>0</v>
      </c>
      <c r="I205" s="2915">
        <f t="shared" si="55"/>
        <v>0</v>
      </c>
      <c r="J205" s="2915">
        <f t="shared" si="55"/>
        <v>0</v>
      </c>
      <c r="K205" s="2915">
        <f t="shared" si="55"/>
        <v>0</v>
      </c>
      <c r="L205" s="2915">
        <f t="shared" si="55"/>
        <v>0</v>
      </c>
      <c r="M205" s="2915">
        <f t="shared" si="55"/>
        <v>0</v>
      </c>
      <c r="N205" s="2915">
        <f t="shared" si="55"/>
        <v>0</v>
      </c>
      <c r="O205" s="2915">
        <f t="shared" si="55"/>
        <v>0</v>
      </c>
      <c r="P205" s="2915">
        <f t="shared" si="55"/>
        <v>0</v>
      </c>
      <c r="Q205" s="2916">
        <f t="shared" si="55"/>
        <v>0</v>
      </c>
      <c r="R205" s="2799">
        <f>IFERROR((SUMPRODUCT(F205:Q205,F202:Q202)/(SUM(F202:Q202))),0)</f>
        <v>0</v>
      </c>
      <c r="S205" s="2468"/>
    </row>
    <row r="206" spans="1:23" s="2805" customFormat="1" ht="15.9" hidden="1" customHeight="1" x14ac:dyDescent="0.2">
      <c r="A206" s="2800"/>
      <c r="B206" s="721" t="s">
        <v>245</v>
      </c>
      <c r="C206" s="722" t="s">
        <v>361</v>
      </c>
      <c r="D206" s="2890"/>
      <c r="E206" s="2890"/>
      <c r="F206" s="2891"/>
      <c r="G206" s="2892"/>
      <c r="H206" s="2892"/>
      <c r="I206" s="2892"/>
      <c r="J206" s="2892"/>
      <c r="K206" s="2892"/>
      <c r="L206" s="2892"/>
      <c r="M206" s="2892"/>
      <c r="N206" s="2892"/>
      <c r="O206" s="2892"/>
      <c r="P206" s="2892"/>
      <c r="Q206" s="2892"/>
      <c r="R206" s="723"/>
      <c r="S206" s="2804"/>
      <c r="W206" s="2806"/>
    </row>
    <row r="207" spans="1:23" s="2805" customFormat="1" ht="15.9" hidden="1" customHeight="1" thickBot="1" x14ac:dyDescent="0.25">
      <c r="A207" s="2800" t="s">
        <v>1125</v>
      </c>
      <c r="B207" s="700" t="s">
        <v>422</v>
      </c>
      <c r="C207" s="701" t="s">
        <v>361</v>
      </c>
      <c r="D207" s="2801"/>
      <c r="E207" s="2801"/>
      <c r="F207" s="2802"/>
      <c r="G207" s="2803"/>
      <c r="H207" s="2803"/>
      <c r="I207" s="2803"/>
      <c r="J207" s="2803"/>
      <c r="K207" s="2803"/>
      <c r="L207" s="2803"/>
      <c r="M207" s="2803"/>
      <c r="N207" s="2803"/>
      <c r="O207" s="2803"/>
      <c r="P207" s="2803"/>
      <c r="Q207" s="2803"/>
      <c r="R207" s="702"/>
      <c r="S207" s="2804"/>
      <c r="W207" s="2806"/>
    </row>
    <row r="208" spans="1:23" ht="15.9" customHeight="1" x14ac:dyDescent="0.2">
      <c r="B208" s="2468"/>
      <c r="C208" s="2917"/>
      <c r="D208" s="2468"/>
      <c r="E208" s="2468"/>
      <c r="F208" s="2468"/>
      <c r="G208" s="2468"/>
      <c r="H208" s="2468"/>
      <c r="I208" s="2468"/>
      <c r="J208" s="2468"/>
      <c r="K208" s="2468"/>
      <c r="L208" s="2468"/>
      <c r="M208" s="2468"/>
      <c r="N208" s="2468"/>
      <c r="O208" s="2468"/>
      <c r="P208" s="2468"/>
      <c r="Q208" s="2468"/>
      <c r="R208" s="2465"/>
      <c r="S208" s="2465"/>
      <c r="T208" s="2468"/>
    </row>
    <row r="209" spans="1:20" ht="15.9" customHeight="1" thickBot="1" x14ac:dyDescent="0.25">
      <c r="B209" s="2468"/>
      <c r="C209" s="2917"/>
      <c r="D209" s="2468"/>
      <c r="E209" s="2468"/>
      <c r="F209" s="2468"/>
      <c r="G209" s="2468"/>
      <c r="H209" s="2468"/>
      <c r="I209" s="2468"/>
      <c r="J209" s="2468"/>
      <c r="K209" s="2468"/>
      <c r="L209" s="2468"/>
      <c r="M209" s="2468"/>
      <c r="N209" s="2468"/>
      <c r="O209" s="2468"/>
      <c r="P209" s="2468"/>
      <c r="Q209" s="2468"/>
      <c r="R209" s="2465"/>
      <c r="S209" s="2465"/>
      <c r="T209" s="2468"/>
    </row>
    <row r="210" spans="1:20" ht="15.9" customHeight="1" thickBot="1" x14ac:dyDescent="0.25">
      <c r="A210" s="2487">
        <f>+A182+1</f>
        <v>77</v>
      </c>
      <c r="B210" s="2918" t="s">
        <v>607</v>
      </c>
      <c r="C210" s="2919" t="s">
        <v>1238</v>
      </c>
      <c r="D210" s="2919"/>
      <c r="E210" s="2920"/>
      <c r="F210" s="2920"/>
      <c r="G210" s="2920"/>
      <c r="H210" s="2920"/>
      <c r="I210" s="2920"/>
      <c r="J210" s="2920"/>
      <c r="K210" s="2920"/>
      <c r="L210" s="2920"/>
      <c r="M210" s="2920"/>
      <c r="N210" s="2920"/>
      <c r="O210" s="2920"/>
      <c r="P210" s="2920"/>
      <c r="Q210" s="2920"/>
      <c r="R210" s="2921"/>
      <c r="S210" s="2468"/>
    </row>
    <row r="211" spans="1:20" ht="15.9" customHeight="1" x14ac:dyDescent="0.2">
      <c r="B211" s="2922" t="s">
        <v>683</v>
      </c>
      <c r="C211" s="2923"/>
      <c r="D211" s="2923"/>
      <c r="E211" s="2924"/>
      <c r="F211" s="2925" t="str">
        <f t="shared" ref="F211:Q211" si="56">+F184</f>
        <v>Ene</v>
      </c>
      <c r="G211" s="2497" t="str">
        <f t="shared" si="56"/>
        <v>Feb</v>
      </c>
      <c r="H211" s="2497" t="str">
        <f t="shared" si="56"/>
        <v>Mar</v>
      </c>
      <c r="I211" s="2925" t="str">
        <f t="shared" si="56"/>
        <v>Abr</v>
      </c>
      <c r="J211" s="2497" t="str">
        <f t="shared" si="56"/>
        <v>May</v>
      </c>
      <c r="K211" s="2497" t="str">
        <f t="shared" si="56"/>
        <v>Jun</v>
      </c>
      <c r="L211" s="2497" t="str">
        <f t="shared" si="56"/>
        <v>Jul</v>
      </c>
      <c r="M211" s="2497" t="str">
        <f t="shared" si="56"/>
        <v>Ago</v>
      </c>
      <c r="N211" s="2497" t="str">
        <f t="shared" si="56"/>
        <v>Set</v>
      </c>
      <c r="O211" s="2925" t="str">
        <f t="shared" si="56"/>
        <v>Oct</v>
      </c>
      <c r="P211" s="2925" t="str">
        <f t="shared" si="56"/>
        <v>Nov</v>
      </c>
      <c r="Q211" s="2925" t="str">
        <f t="shared" si="56"/>
        <v>Dic</v>
      </c>
      <c r="R211" s="2926" t="s">
        <v>1110</v>
      </c>
      <c r="S211" s="2468"/>
    </row>
    <row r="212" spans="1:20" ht="15.9" customHeight="1" x14ac:dyDescent="0.2">
      <c r="B212" s="2509" t="s">
        <v>1363</v>
      </c>
      <c r="C212" s="2510" t="s">
        <v>357</v>
      </c>
      <c r="D212" s="2511"/>
      <c r="E212" s="2511"/>
      <c r="F212" s="2927">
        <f>+General!C75</f>
        <v>0</v>
      </c>
      <c r="G212" s="832">
        <f t="shared" ref="G212:Q212" si="57">+F228</f>
        <v>0</v>
      </c>
      <c r="H212" s="832">
        <f t="shared" si="57"/>
        <v>0</v>
      </c>
      <c r="I212" s="832">
        <f t="shared" si="57"/>
        <v>0</v>
      </c>
      <c r="J212" s="832">
        <f t="shared" si="57"/>
        <v>0</v>
      </c>
      <c r="K212" s="832">
        <f t="shared" si="57"/>
        <v>0</v>
      </c>
      <c r="L212" s="832">
        <f t="shared" si="57"/>
        <v>0</v>
      </c>
      <c r="M212" s="832">
        <f t="shared" si="57"/>
        <v>0</v>
      </c>
      <c r="N212" s="832">
        <f t="shared" si="57"/>
        <v>0</v>
      </c>
      <c r="O212" s="832">
        <f t="shared" si="57"/>
        <v>0</v>
      </c>
      <c r="P212" s="832">
        <f t="shared" si="57"/>
        <v>0</v>
      </c>
      <c r="Q212" s="832">
        <f t="shared" si="57"/>
        <v>0</v>
      </c>
      <c r="R212" s="2659" t="s">
        <v>1111</v>
      </c>
      <c r="S212" s="2468"/>
      <c r="T212" s="2468"/>
    </row>
    <row r="213" spans="1:20" ht="15.9" customHeight="1" x14ac:dyDescent="0.2">
      <c r="B213" s="2516" t="s">
        <v>1246</v>
      </c>
      <c r="C213" s="2517" t="s">
        <v>356</v>
      </c>
      <c r="D213" s="2518"/>
      <c r="E213" s="2518"/>
      <c r="F213" s="2928">
        <f>+General!D75</f>
        <v>0</v>
      </c>
      <c r="G213" s="2929">
        <f>+F231</f>
        <v>0</v>
      </c>
      <c r="H213" s="2929">
        <f t="shared" ref="H213:Q213" si="58">+G231</f>
        <v>0</v>
      </c>
      <c r="I213" s="2929">
        <f t="shared" si="58"/>
        <v>0</v>
      </c>
      <c r="J213" s="2929">
        <f>+I231</f>
        <v>0</v>
      </c>
      <c r="K213" s="2929">
        <f t="shared" si="58"/>
        <v>0</v>
      </c>
      <c r="L213" s="2929">
        <f t="shared" si="58"/>
        <v>0</v>
      </c>
      <c r="M213" s="2929">
        <f t="shared" si="58"/>
        <v>0</v>
      </c>
      <c r="N213" s="2929">
        <f t="shared" si="58"/>
        <v>0</v>
      </c>
      <c r="O213" s="2929">
        <f t="shared" si="58"/>
        <v>0</v>
      </c>
      <c r="P213" s="2929">
        <f t="shared" si="58"/>
        <v>0</v>
      </c>
      <c r="Q213" s="2815">
        <f t="shared" si="58"/>
        <v>0</v>
      </c>
      <c r="R213" s="2930"/>
      <c r="S213" s="2468"/>
      <c r="T213" s="2468"/>
    </row>
    <row r="214" spans="1:20" ht="15.9" customHeight="1" x14ac:dyDescent="0.2">
      <c r="B214" s="2524" t="s">
        <v>352</v>
      </c>
      <c r="C214" s="2525"/>
      <c r="D214" s="2525"/>
      <c r="E214" s="2525"/>
      <c r="F214" s="2931"/>
      <c r="G214" s="2932"/>
      <c r="H214" s="2932"/>
      <c r="I214" s="2932"/>
      <c r="J214" s="2932"/>
      <c r="K214" s="2932"/>
      <c r="L214" s="2932"/>
      <c r="M214" s="2932"/>
      <c r="N214" s="2932"/>
      <c r="O214" s="2932"/>
      <c r="P214" s="2932"/>
      <c r="Q214" s="2932"/>
      <c r="R214" s="2768"/>
      <c r="S214" s="2468"/>
      <c r="T214" s="2468"/>
    </row>
    <row r="215" spans="1:20" ht="15.9" customHeight="1" x14ac:dyDescent="0.2">
      <c r="B215" s="389" t="s">
        <v>1239</v>
      </c>
      <c r="C215" s="390" t="s">
        <v>354</v>
      </c>
      <c r="D215" s="2466"/>
      <c r="E215" s="2466"/>
      <c r="F215" s="5133"/>
      <c r="G215" s="5134"/>
      <c r="H215" s="5134"/>
      <c r="I215" s="5134"/>
      <c r="J215" s="5134"/>
      <c r="K215" s="5134"/>
      <c r="L215" s="5134"/>
      <c r="M215" s="5134"/>
      <c r="N215" s="5134"/>
      <c r="O215" s="5134"/>
      <c r="P215" s="5134"/>
      <c r="Q215" s="5135"/>
      <c r="R215" s="407">
        <f>+SUM(F215:Q215)</f>
        <v>0</v>
      </c>
      <c r="S215" s="2468"/>
      <c r="T215" s="2468"/>
    </row>
    <row r="216" spans="1:20" ht="15.9" customHeight="1" x14ac:dyDescent="0.2">
      <c r="B216" s="389" t="s">
        <v>1285</v>
      </c>
      <c r="C216" s="390" t="s">
        <v>356</v>
      </c>
      <c r="D216" s="2466"/>
      <c r="E216" s="2466"/>
      <c r="F216" s="5136"/>
      <c r="G216" s="5137"/>
      <c r="H216" s="5137"/>
      <c r="I216" s="5137"/>
      <c r="J216" s="5137"/>
      <c r="K216" s="5137"/>
      <c r="L216" s="5137"/>
      <c r="M216" s="5137"/>
      <c r="N216" s="5137"/>
      <c r="O216" s="5137"/>
      <c r="P216" s="5137"/>
      <c r="Q216" s="5138"/>
      <c r="R216" s="408"/>
      <c r="S216" s="2468"/>
      <c r="T216" s="2468"/>
    </row>
    <row r="217" spans="1:20" ht="15.9" customHeight="1" thickBot="1" x14ac:dyDescent="0.25">
      <c r="B217" s="389" t="s">
        <v>1288</v>
      </c>
      <c r="C217" s="390" t="s">
        <v>362</v>
      </c>
      <c r="D217" s="2466"/>
      <c r="E217" s="2466"/>
      <c r="F217" s="5139"/>
      <c r="G217" s="5140"/>
      <c r="H217" s="5140"/>
      <c r="I217" s="5140"/>
      <c r="J217" s="5140"/>
      <c r="K217" s="5140"/>
      <c r="L217" s="5140"/>
      <c r="M217" s="5140"/>
      <c r="N217" s="5140"/>
      <c r="O217" s="5140"/>
      <c r="P217" s="5140"/>
      <c r="Q217" s="5141"/>
      <c r="R217" s="408"/>
      <c r="S217" s="2468"/>
      <c r="T217" s="2468"/>
    </row>
    <row r="218" spans="1:20" ht="15.9" customHeight="1" x14ac:dyDescent="0.2">
      <c r="B218" s="2548" t="s">
        <v>364</v>
      </c>
      <c r="C218" s="2549" t="s">
        <v>354</v>
      </c>
      <c r="D218" s="2550"/>
      <c r="E218" s="2933"/>
      <c r="F218" s="2934">
        <f>+F215</f>
        <v>0</v>
      </c>
      <c r="G218" s="2929">
        <f t="shared" ref="G218:Q218" si="59">+G215</f>
        <v>0</v>
      </c>
      <c r="H218" s="2929">
        <f t="shared" si="59"/>
        <v>0</v>
      </c>
      <c r="I218" s="2929">
        <f t="shared" si="59"/>
        <v>0</v>
      </c>
      <c r="J218" s="2929">
        <f t="shared" si="59"/>
        <v>0</v>
      </c>
      <c r="K218" s="2929">
        <f t="shared" si="59"/>
        <v>0</v>
      </c>
      <c r="L218" s="2929">
        <f t="shared" si="59"/>
        <v>0</v>
      </c>
      <c r="M218" s="2929">
        <f t="shared" si="59"/>
        <v>0</v>
      </c>
      <c r="N218" s="2929">
        <f t="shared" si="59"/>
        <v>0</v>
      </c>
      <c r="O218" s="2929">
        <f t="shared" si="59"/>
        <v>0</v>
      </c>
      <c r="P218" s="2929">
        <f t="shared" si="59"/>
        <v>0</v>
      </c>
      <c r="Q218" s="2815">
        <f t="shared" si="59"/>
        <v>0</v>
      </c>
      <c r="R218" s="2790">
        <f>+SUM(F218:Q218)</f>
        <v>0</v>
      </c>
      <c r="S218" s="2468"/>
      <c r="T218" s="2468"/>
    </row>
    <row r="219" spans="1:20" ht="15.9" customHeight="1" x14ac:dyDescent="0.2">
      <c r="B219" s="2829" t="s">
        <v>359</v>
      </c>
      <c r="C219" s="2526"/>
      <c r="D219" s="2526"/>
      <c r="E219" s="2526"/>
      <c r="F219" s="2931"/>
      <c r="G219" s="2931"/>
      <c r="H219" s="2931"/>
      <c r="I219" s="2931"/>
      <c r="J219" s="2931"/>
      <c r="K219" s="2931"/>
      <c r="L219" s="2931"/>
      <c r="M219" s="2931"/>
      <c r="N219" s="2931"/>
      <c r="O219" s="2931"/>
      <c r="P219" s="2931"/>
      <c r="Q219" s="2931"/>
      <c r="R219" s="2759"/>
      <c r="S219" s="2468"/>
      <c r="T219" s="2468"/>
    </row>
    <row r="220" spans="1:20" ht="15.9" customHeight="1" x14ac:dyDescent="0.2">
      <c r="B220" s="389" t="s">
        <v>1240</v>
      </c>
      <c r="C220" s="390" t="s">
        <v>354</v>
      </c>
      <c r="D220" s="2466"/>
      <c r="E220" s="2466"/>
      <c r="F220" s="5133"/>
      <c r="G220" s="5134"/>
      <c r="H220" s="5134"/>
      <c r="I220" s="5134"/>
      <c r="J220" s="5134"/>
      <c r="K220" s="5134"/>
      <c r="L220" s="5134"/>
      <c r="M220" s="5134"/>
      <c r="N220" s="5134"/>
      <c r="O220" s="5134"/>
      <c r="P220" s="5134"/>
      <c r="Q220" s="5135"/>
      <c r="R220" s="407">
        <f>+SUM(F220:Q220)</f>
        <v>0</v>
      </c>
      <c r="S220" s="2468"/>
      <c r="T220" s="2468"/>
    </row>
    <row r="221" spans="1:20" ht="15.9" customHeight="1" x14ac:dyDescent="0.2">
      <c r="B221" s="389" t="s">
        <v>1289</v>
      </c>
      <c r="C221" s="390" t="s">
        <v>356</v>
      </c>
      <c r="D221" s="2466"/>
      <c r="E221" s="2466"/>
      <c r="F221" s="5136"/>
      <c r="G221" s="5137"/>
      <c r="H221" s="5137"/>
      <c r="I221" s="5137"/>
      <c r="J221" s="5137"/>
      <c r="K221" s="5137"/>
      <c r="L221" s="5137"/>
      <c r="M221" s="5137"/>
      <c r="N221" s="5137"/>
      <c r="O221" s="5137"/>
      <c r="P221" s="5137"/>
      <c r="Q221" s="5138"/>
      <c r="R221" s="2547"/>
      <c r="S221" s="2468"/>
      <c r="T221" s="2468"/>
    </row>
    <row r="222" spans="1:20" ht="15.9" customHeight="1" thickBot="1" x14ac:dyDescent="0.25">
      <c r="B222" s="389" t="s">
        <v>428</v>
      </c>
      <c r="C222" s="390" t="s">
        <v>362</v>
      </c>
      <c r="D222" s="2466"/>
      <c r="E222" s="2466"/>
      <c r="F222" s="5139"/>
      <c r="G222" s="5140"/>
      <c r="H222" s="5140"/>
      <c r="I222" s="5140"/>
      <c r="J222" s="5140"/>
      <c r="K222" s="5140"/>
      <c r="L222" s="5140"/>
      <c r="M222" s="5140"/>
      <c r="N222" s="5140"/>
      <c r="O222" s="5140"/>
      <c r="P222" s="5140"/>
      <c r="Q222" s="5141"/>
      <c r="R222" s="2547"/>
      <c r="S222" s="2468"/>
      <c r="T222" s="2468"/>
    </row>
    <row r="223" spans="1:20" ht="15.9" customHeight="1" thickBot="1" x14ac:dyDescent="0.25">
      <c r="B223" s="839" t="s">
        <v>360</v>
      </c>
      <c r="C223" s="840" t="s">
        <v>354</v>
      </c>
      <c r="D223" s="2935">
        <f>General!$C$103</f>
        <v>0</v>
      </c>
      <c r="E223" s="2936">
        <f>ROUND(D223*F212,0)</f>
        <v>0</v>
      </c>
      <c r="F223" s="5188"/>
      <c r="G223" s="5188"/>
      <c r="H223" s="5188"/>
      <c r="I223" s="5188"/>
      <c r="J223" s="5188"/>
      <c r="K223" s="5188"/>
      <c r="L223" s="5188"/>
      <c r="M223" s="5188"/>
      <c r="N223" s="5188"/>
      <c r="O223" s="5188"/>
      <c r="P223" s="5188"/>
      <c r="Q223" s="5189"/>
      <c r="R223" s="1312">
        <f>+SUM(F223:Q223)</f>
        <v>0</v>
      </c>
      <c r="S223" s="2468"/>
      <c r="T223" s="2468"/>
    </row>
    <row r="224" spans="1:20" ht="15.9" customHeight="1" x14ac:dyDescent="0.2">
      <c r="B224" s="389" t="s">
        <v>1241</v>
      </c>
      <c r="C224" s="390" t="s">
        <v>354</v>
      </c>
      <c r="D224" s="2466"/>
      <c r="E224" s="2466"/>
      <c r="F224" s="5123"/>
      <c r="G224" s="5124"/>
      <c r="H224" s="5124"/>
      <c r="I224" s="5124"/>
      <c r="J224" s="5124"/>
      <c r="K224" s="5124"/>
      <c r="L224" s="5124"/>
      <c r="M224" s="5124"/>
      <c r="N224" s="5124"/>
      <c r="O224" s="5124"/>
      <c r="P224" s="5124"/>
      <c r="Q224" s="5128"/>
      <c r="R224" s="404">
        <f>+SUM(F224:Q224)</f>
        <v>0</v>
      </c>
      <c r="S224" s="2468"/>
      <c r="T224" s="2468"/>
    </row>
    <row r="225" spans="1:23" ht="15.9" customHeight="1" x14ac:dyDescent="0.2">
      <c r="B225" s="399" t="s">
        <v>299</v>
      </c>
      <c r="C225" s="390" t="s">
        <v>356</v>
      </c>
      <c r="D225" s="2466"/>
      <c r="E225" s="2466"/>
      <c r="F225" s="5123"/>
      <c r="G225" s="5124"/>
      <c r="H225" s="5124"/>
      <c r="I225" s="5124"/>
      <c r="J225" s="5124"/>
      <c r="K225" s="5124"/>
      <c r="L225" s="5124"/>
      <c r="M225" s="5124"/>
      <c r="N225" s="5124"/>
      <c r="O225" s="5124"/>
      <c r="P225" s="5124"/>
      <c r="Q225" s="5128"/>
      <c r="R225" s="2547"/>
      <c r="S225" s="2468"/>
      <c r="T225" s="2468"/>
    </row>
    <row r="226" spans="1:23" ht="15.9" customHeight="1" x14ac:dyDescent="0.2">
      <c r="B226" s="389" t="s">
        <v>23</v>
      </c>
      <c r="C226" s="390" t="s">
        <v>362</v>
      </c>
      <c r="D226" s="2466"/>
      <c r="E226" s="2466"/>
      <c r="F226" s="2937">
        <f>IF(F224&gt;0,Precios!$C$168,0)</f>
        <v>0</v>
      </c>
      <c r="G226" s="2532">
        <f>IF(G224&gt;0,Precios!$C$168,0)</f>
        <v>0</v>
      </c>
      <c r="H226" s="2532">
        <f>IF(H224&gt;0,Precios!$C$168,0)</f>
        <v>0</v>
      </c>
      <c r="I226" s="2532">
        <f>IF(I224&gt;0,Precios!$C$168,0)</f>
        <v>0</v>
      </c>
      <c r="J226" s="2532">
        <f>IF(J224&gt;0,Precios!$C$168,0)</f>
        <v>0</v>
      </c>
      <c r="K226" s="2532">
        <f>IF(K224&gt;0,Precios!$C$168,0)</f>
        <v>0</v>
      </c>
      <c r="L226" s="2532">
        <f>IF(L224&gt;0,Precios!$C$168,0)</f>
        <v>0</v>
      </c>
      <c r="M226" s="2532">
        <f>IF(M224&gt;0,Precios!$C$168,0)</f>
        <v>0</v>
      </c>
      <c r="N226" s="2532">
        <f>IF(N224&gt;0,Precios!$C$168,0)</f>
        <v>0</v>
      </c>
      <c r="O226" s="2532">
        <f>IF(O224&gt;0,Precios!$C$168,0)</f>
        <v>0</v>
      </c>
      <c r="P226" s="2532">
        <f>IF(P224&gt;0,Precios!$C$168,0)</f>
        <v>0</v>
      </c>
      <c r="Q226" s="2533">
        <f>IF(Q224&gt;0,Precios!$C$168,0)</f>
        <v>0</v>
      </c>
      <c r="R226" s="2547"/>
      <c r="S226" s="2468"/>
      <c r="T226" s="2468"/>
    </row>
    <row r="227" spans="1:23" ht="15.9" customHeight="1" x14ac:dyDescent="0.2">
      <c r="B227" s="2548" t="s">
        <v>365</v>
      </c>
      <c r="C227" s="2549"/>
      <c r="D227" s="2550"/>
      <c r="E227" s="2550"/>
      <c r="F227" s="2928">
        <f>+F220+F223+F224</f>
        <v>0</v>
      </c>
      <c r="G227" s="2929">
        <f t="shared" ref="G227:Q227" si="60">+G220+G223+G224</f>
        <v>0</v>
      </c>
      <c r="H227" s="2929">
        <f t="shared" si="60"/>
        <v>0</v>
      </c>
      <c r="I227" s="2929">
        <f t="shared" si="60"/>
        <v>0</v>
      </c>
      <c r="J227" s="2929">
        <f t="shared" si="60"/>
        <v>0</v>
      </c>
      <c r="K227" s="2929">
        <f t="shared" si="60"/>
        <v>0</v>
      </c>
      <c r="L227" s="2929">
        <f t="shared" si="60"/>
        <v>0</v>
      </c>
      <c r="M227" s="2929">
        <f t="shared" si="60"/>
        <v>0</v>
      </c>
      <c r="N227" s="2929">
        <f t="shared" si="60"/>
        <v>0</v>
      </c>
      <c r="O227" s="2929">
        <f t="shared" si="60"/>
        <v>0</v>
      </c>
      <c r="P227" s="2929">
        <f t="shared" si="60"/>
        <v>0</v>
      </c>
      <c r="Q227" s="2815">
        <f t="shared" si="60"/>
        <v>0</v>
      </c>
      <c r="R227" s="2790">
        <f>+SUM(F227:Q227)</f>
        <v>0</v>
      </c>
      <c r="S227" s="2468"/>
      <c r="T227" s="2468"/>
    </row>
    <row r="228" spans="1:23" ht="15.9" customHeight="1" x14ac:dyDescent="0.2">
      <c r="B228" s="2938" t="s">
        <v>1364</v>
      </c>
      <c r="C228" s="2939" t="s">
        <v>357</v>
      </c>
      <c r="D228" s="2940"/>
      <c r="E228" s="2940"/>
      <c r="F228" s="2941">
        <f t="shared" ref="F228:Q228" si="61">F212+F218-F227</f>
        <v>0</v>
      </c>
      <c r="G228" s="2942">
        <f t="shared" si="61"/>
        <v>0</v>
      </c>
      <c r="H228" s="2942">
        <f t="shared" si="61"/>
        <v>0</v>
      </c>
      <c r="I228" s="2942">
        <f t="shared" si="61"/>
        <v>0</v>
      </c>
      <c r="J228" s="2942">
        <f t="shared" si="61"/>
        <v>0</v>
      </c>
      <c r="K228" s="2942">
        <f t="shared" si="61"/>
        <v>0</v>
      </c>
      <c r="L228" s="2942">
        <f t="shared" si="61"/>
        <v>0</v>
      </c>
      <c r="M228" s="2942">
        <f t="shared" si="61"/>
        <v>0</v>
      </c>
      <c r="N228" s="2942">
        <f t="shared" si="61"/>
        <v>0</v>
      </c>
      <c r="O228" s="2942">
        <f t="shared" si="61"/>
        <v>0</v>
      </c>
      <c r="P228" s="2942">
        <f t="shared" si="61"/>
        <v>0</v>
      </c>
      <c r="Q228" s="2943">
        <f t="shared" si="61"/>
        <v>0</v>
      </c>
      <c r="R228" s="2547"/>
      <c r="S228" s="2468"/>
      <c r="T228" s="2468"/>
    </row>
    <row r="229" spans="1:23" ht="15.9" customHeight="1" x14ac:dyDescent="0.2">
      <c r="B229" s="2944" t="s">
        <v>397</v>
      </c>
      <c r="C229" s="2945" t="s">
        <v>354</v>
      </c>
      <c r="D229" s="2946"/>
      <c r="E229" s="2946"/>
      <c r="F229" s="2947">
        <f>(F212+F228)/2</f>
        <v>0</v>
      </c>
      <c r="G229" s="2948">
        <f t="shared" ref="G229:Q229" si="62">(F228+G228)/2</f>
        <v>0</v>
      </c>
      <c r="H229" s="2948">
        <f t="shared" si="62"/>
        <v>0</v>
      </c>
      <c r="I229" s="2948">
        <f t="shared" si="62"/>
        <v>0</v>
      </c>
      <c r="J229" s="2948">
        <f t="shared" si="62"/>
        <v>0</v>
      </c>
      <c r="K229" s="2948">
        <f t="shared" si="62"/>
        <v>0</v>
      </c>
      <c r="L229" s="2948">
        <f t="shared" si="62"/>
        <v>0</v>
      </c>
      <c r="M229" s="2948">
        <f t="shared" si="62"/>
        <v>0</v>
      </c>
      <c r="N229" s="2948">
        <f t="shared" si="62"/>
        <v>0</v>
      </c>
      <c r="O229" s="2948">
        <f t="shared" si="62"/>
        <v>0</v>
      </c>
      <c r="P229" s="2948">
        <f t="shared" si="62"/>
        <v>0</v>
      </c>
      <c r="Q229" s="2949">
        <f t="shared" si="62"/>
        <v>0</v>
      </c>
      <c r="R229" s="2790">
        <f>AVERAGE(F229:Q229)</f>
        <v>0</v>
      </c>
      <c r="S229" s="2468"/>
      <c r="T229" s="2468"/>
    </row>
    <row r="230" spans="1:23" ht="15.9" customHeight="1" x14ac:dyDescent="0.2">
      <c r="B230" s="2529" t="s">
        <v>1115</v>
      </c>
      <c r="C230" s="2465" t="s">
        <v>361</v>
      </c>
      <c r="D230" s="2466"/>
      <c r="E230" s="2470"/>
      <c r="F230" s="5190">
        <v>0.65</v>
      </c>
      <c r="G230" s="5191">
        <v>0.65</v>
      </c>
      <c r="H230" s="5191">
        <v>0.65</v>
      </c>
      <c r="I230" s="5191">
        <v>0.65</v>
      </c>
      <c r="J230" s="5191">
        <v>0.65</v>
      </c>
      <c r="K230" s="5191">
        <v>0.65</v>
      </c>
      <c r="L230" s="5191">
        <v>0.65</v>
      </c>
      <c r="M230" s="5191">
        <v>0.65</v>
      </c>
      <c r="N230" s="5191">
        <v>0.65</v>
      </c>
      <c r="O230" s="5191">
        <v>0.65</v>
      </c>
      <c r="P230" s="5191">
        <v>0.65</v>
      </c>
      <c r="Q230" s="5192">
        <v>0.65</v>
      </c>
      <c r="R230" s="2792">
        <f>IFERROR(AVERAGE(F230:Q230),0)</f>
        <v>0.65000000000000013</v>
      </c>
      <c r="S230" s="2950">
        <f>(General!C93-General!C94)/((General!C92-9)*30.5-6*30.5)</f>
        <v>0</v>
      </c>
      <c r="T230" s="2469" t="s">
        <v>1763</v>
      </c>
    </row>
    <row r="231" spans="1:23" ht="15.9" customHeight="1" x14ac:dyDescent="0.2">
      <c r="B231" s="2529" t="s">
        <v>393</v>
      </c>
      <c r="C231" s="2465" t="s">
        <v>356</v>
      </c>
      <c r="D231" s="2466"/>
      <c r="E231" s="2470"/>
      <c r="F231" s="2951">
        <f t="shared" ref="F231:Q231" si="63">IFERROR((F212*(F213+F230*F11)+(F215*F216)-(F220*F221)-(F223*(F213+F230*F11))-(F224*F225))/F228,0)</f>
        <v>0</v>
      </c>
      <c r="G231" s="2773">
        <f t="shared" si="63"/>
        <v>0</v>
      </c>
      <c r="H231" s="2773">
        <f t="shared" si="63"/>
        <v>0</v>
      </c>
      <c r="I231" s="2773">
        <f t="shared" si="63"/>
        <v>0</v>
      </c>
      <c r="J231" s="2773">
        <f t="shared" si="63"/>
        <v>0</v>
      </c>
      <c r="K231" s="2773">
        <f t="shared" si="63"/>
        <v>0</v>
      </c>
      <c r="L231" s="2773">
        <f t="shared" si="63"/>
        <v>0</v>
      </c>
      <c r="M231" s="2773">
        <f t="shared" si="63"/>
        <v>0</v>
      </c>
      <c r="N231" s="2773">
        <f t="shared" si="63"/>
        <v>0</v>
      </c>
      <c r="O231" s="2773">
        <f t="shared" si="63"/>
        <v>0</v>
      </c>
      <c r="P231" s="2773">
        <f t="shared" si="63"/>
        <v>0</v>
      </c>
      <c r="Q231" s="2774">
        <f t="shared" si="63"/>
        <v>0</v>
      </c>
      <c r="R231" s="2547"/>
      <c r="S231" s="2468"/>
      <c r="T231" s="2469" t="s">
        <v>1764</v>
      </c>
    </row>
    <row r="232" spans="1:23" ht="15.9" customHeight="1" thickBot="1" x14ac:dyDescent="0.25">
      <c r="B232" s="2793" t="s">
        <v>394</v>
      </c>
      <c r="C232" s="2610" t="s">
        <v>356</v>
      </c>
      <c r="D232" s="2668"/>
      <c r="E232" s="2605"/>
      <c r="F232" s="2794">
        <f>IF(F212+F228=0,0,AVERAGE(F213,F231))</f>
        <v>0</v>
      </c>
      <c r="G232" s="2795">
        <f t="shared" ref="G232:Q232" si="64">IF(G212+G228=0,0,AVERAGE(G213,G231))</f>
        <v>0</v>
      </c>
      <c r="H232" s="2795">
        <f t="shared" si="64"/>
        <v>0</v>
      </c>
      <c r="I232" s="2795">
        <f t="shared" si="64"/>
        <v>0</v>
      </c>
      <c r="J232" s="2795">
        <f t="shared" si="64"/>
        <v>0</v>
      </c>
      <c r="K232" s="2795">
        <f t="shared" si="64"/>
        <v>0</v>
      </c>
      <c r="L232" s="2795">
        <f t="shared" si="64"/>
        <v>0</v>
      </c>
      <c r="M232" s="2795">
        <f t="shared" si="64"/>
        <v>0</v>
      </c>
      <c r="N232" s="2795">
        <f t="shared" si="64"/>
        <v>0</v>
      </c>
      <c r="O232" s="2795">
        <f t="shared" si="64"/>
        <v>0</v>
      </c>
      <c r="P232" s="2795">
        <f t="shared" si="64"/>
        <v>0</v>
      </c>
      <c r="Q232" s="2796">
        <f t="shared" si="64"/>
        <v>0</v>
      </c>
      <c r="R232" s="2799">
        <f>IFERROR(SUMPRODUCT(F232:Q232,F229:Q229)/(SUM(F229:Q229)),0)</f>
        <v>0</v>
      </c>
      <c r="S232" s="2468"/>
      <c r="T232" s="2469" t="s">
        <v>1765</v>
      </c>
    </row>
    <row r="233" spans="1:23" s="2805" customFormat="1" ht="15.9" hidden="1" customHeight="1" x14ac:dyDescent="0.2">
      <c r="A233" s="2800"/>
      <c r="B233" s="721" t="s">
        <v>245</v>
      </c>
      <c r="C233" s="722" t="s">
        <v>361</v>
      </c>
      <c r="D233" s="2890"/>
      <c r="E233" s="2890"/>
      <c r="F233" s="2891"/>
      <c r="G233" s="2892"/>
      <c r="H233" s="2892"/>
      <c r="I233" s="2892"/>
      <c r="J233" s="2892"/>
      <c r="K233" s="2892"/>
      <c r="L233" s="2892"/>
      <c r="M233" s="2892"/>
      <c r="N233" s="2892"/>
      <c r="O233" s="2892"/>
      <c r="P233" s="2892"/>
      <c r="Q233" s="2892"/>
      <c r="R233" s="723"/>
      <c r="S233" s="2804"/>
      <c r="W233" s="2806"/>
    </row>
    <row r="234" spans="1:23" s="2805" customFormat="1" ht="15.9" hidden="1" customHeight="1" thickBot="1" x14ac:dyDescent="0.25">
      <c r="A234" s="2800" t="s">
        <v>1125</v>
      </c>
      <c r="B234" s="700" t="s">
        <v>422</v>
      </c>
      <c r="C234" s="701" t="s">
        <v>361</v>
      </c>
      <c r="D234" s="2801"/>
      <c r="E234" s="2801"/>
      <c r="F234" s="2802"/>
      <c r="G234" s="2803"/>
      <c r="H234" s="2803"/>
      <c r="I234" s="2803"/>
      <c r="J234" s="2803"/>
      <c r="K234" s="2803"/>
      <c r="L234" s="2803"/>
      <c r="M234" s="2803"/>
      <c r="N234" s="2803"/>
      <c r="O234" s="2803"/>
      <c r="P234" s="2803"/>
      <c r="Q234" s="2803"/>
      <c r="R234" s="702"/>
      <c r="S234" s="2804"/>
      <c r="W234" s="2806"/>
    </row>
    <row r="235" spans="1:23" ht="15.9" customHeight="1" x14ac:dyDescent="0.2">
      <c r="B235" s="2612"/>
      <c r="C235" s="2465"/>
      <c r="D235" s="2466"/>
      <c r="E235" s="2466"/>
      <c r="F235" s="2613"/>
      <c r="G235" s="2613"/>
      <c r="H235" s="2613"/>
      <c r="I235" s="2613"/>
      <c r="J235" s="2613"/>
      <c r="K235" s="2613"/>
      <c r="L235" s="2613"/>
      <c r="M235" s="2613"/>
      <c r="N235" s="2613"/>
      <c r="O235" s="2613"/>
      <c r="P235" s="2613"/>
      <c r="Q235" s="2613"/>
      <c r="R235" s="2465"/>
      <c r="S235" s="2465"/>
      <c r="T235" s="2468" t="s">
        <v>1766</v>
      </c>
    </row>
    <row r="236" spans="1:23" ht="15.9" customHeight="1" thickBot="1" x14ac:dyDescent="0.25">
      <c r="B236" s="2612"/>
      <c r="C236" s="2465"/>
      <c r="D236" s="2466"/>
      <c r="E236" s="2466"/>
      <c r="F236" s="2613"/>
      <c r="G236" s="2613"/>
      <c r="H236" s="2613"/>
      <c r="I236" s="2613"/>
      <c r="J236" s="2613"/>
      <c r="K236" s="2613"/>
      <c r="L236" s="2613"/>
      <c r="M236" s="2613"/>
      <c r="N236" s="2613"/>
      <c r="O236" s="2613"/>
      <c r="P236" s="2613"/>
      <c r="Q236" s="2613"/>
      <c r="R236" s="2465"/>
      <c r="S236" s="2465"/>
      <c r="T236" s="2468"/>
    </row>
    <row r="237" spans="1:23" ht="15.9" customHeight="1" thickBot="1" x14ac:dyDescent="0.25">
      <c r="A237" s="2487">
        <f>+A210+1</f>
        <v>78</v>
      </c>
      <c r="B237" s="2488" t="s">
        <v>386</v>
      </c>
      <c r="C237" s="2489"/>
      <c r="D237" s="2490"/>
      <c r="E237" s="2489"/>
      <c r="F237" s="2489"/>
      <c r="G237" s="2489"/>
      <c r="H237" s="2489"/>
      <c r="I237" s="2489"/>
      <c r="J237" s="2489"/>
      <c r="K237" s="2489"/>
      <c r="L237" s="2489"/>
      <c r="M237" s="2489"/>
      <c r="N237" s="2489"/>
      <c r="O237" s="2489"/>
      <c r="P237" s="2489"/>
      <c r="Q237" s="2489"/>
      <c r="R237" s="2491"/>
      <c r="S237" s="2468"/>
    </row>
    <row r="238" spans="1:23" ht="15.9" customHeight="1" x14ac:dyDescent="0.2">
      <c r="B238" s="2679" t="s">
        <v>683</v>
      </c>
      <c r="C238" s="2680"/>
      <c r="D238" s="2680"/>
      <c r="E238" s="2681"/>
      <c r="F238" s="2484" t="str">
        <f>+F211</f>
        <v>Ene</v>
      </c>
      <c r="G238" s="2809" t="str">
        <f t="shared" ref="G238:Q238" si="65">+G211</f>
        <v>Feb</v>
      </c>
      <c r="H238" s="2809" t="str">
        <f t="shared" si="65"/>
        <v>Mar</v>
      </c>
      <c r="I238" s="2484" t="str">
        <f t="shared" si="65"/>
        <v>Abr</v>
      </c>
      <c r="J238" s="2809" t="str">
        <f t="shared" si="65"/>
        <v>May</v>
      </c>
      <c r="K238" s="2809" t="str">
        <f t="shared" si="65"/>
        <v>Jun</v>
      </c>
      <c r="L238" s="2809" t="str">
        <f t="shared" si="65"/>
        <v>Jul</v>
      </c>
      <c r="M238" s="2809" t="str">
        <f t="shared" si="65"/>
        <v>Ago</v>
      </c>
      <c r="N238" s="2809" t="str">
        <f t="shared" si="65"/>
        <v>Set</v>
      </c>
      <c r="O238" s="2484" t="str">
        <f t="shared" si="65"/>
        <v>Oct</v>
      </c>
      <c r="P238" s="2484" t="str">
        <f t="shared" si="65"/>
        <v>Nov</v>
      </c>
      <c r="Q238" s="2484" t="str">
        <f t="shared" si="65"/>
        <v>Dic</v>
      </c>
      <c r="R238" s="2808" t="s">
        <v>1110</v>
      </c>
      <c r="S238" s="2468"/>
    </row>
    <row r="239" spans="1:23" ht="15.9" customHeight="1" x14ac:dyDescent="0.2">
      <c r="B239" s="2509" t="s">
        <v>1363</v>
      </c>
      <c r="C239" s="2510" t="s">
        <v>357</v>
      </c>
      <c r="D239" s="2511"/>
      <c r="E239" s="2511"/>
      <c r="F239" s="2927">
        <f>+General!C76</f>
        <v>0</v>
      </c>
      <c r="G239" s="832">
        <f t="shared" ref="G239:Q239" si="66">+F254</f>
        <v>0</v>
      </c>
      <c r="H239" s="832">
        <f t="shared" si="66"/>
        <v>0</v>
      </c>
      <c r="I239" s="832">
        <f t="shared" si="66"/>
        <v>0</v>
      </c>
      <c r="J239" s="832">
        <f t="shared" si="66"/>
        <v>0</v>
      </c>
      <c r="K239" s="832">
        <f t="shared" si="66"/>
        <v>0</v>
      </c>
      <c r="L239" s="832">
        <f t="shared" si="66"/>
        <v>0</v>
      </c>
      <c r="M239" s="832">
        <f>+L254</f>
        <v>0</v>
      </c>
      <c r="N239" s="832">
        <f t="shared" si="66"/>
        <v>0</v>
      </c>
      <c r="O239" s="832">
        <f t="shared" si="66"/>
        <v>0</v>
      </c>
      <c r="P239" s="832">
        <f t="shared" si="66"/>
        <v>0</v>
      </c>
      <c r="Q239" s="832">
        <f t="shared" si="66"/>
        <v>0</v>
      </c>
      <c r="R239" s="2952" t="s">
        <v>1111</v>
      </c>
      <c r="S239" s="2468"/>
    </row>
    <row r="240" spans="1:23" ht="15.9" customHeight="1" x14ac:dyDescent="0.2">
      <c r="B240" s="2516" t="s">
        <v>1246</v>
      </c>
      <c r="C240" s="2517" t="s">
        <v>356</v>
      </c>
      <c r="D240" s="2518"/>
      <c r="E240" s="2518"/>
      <c r="F240" s="2953">
        <f>+General!D76</f>
        <v>0</v>
      </c>
      <c r="G240" s="2929">
        <f>+F257</f>
        <v>0</v>
      </c>
      <c r="H240" s="2929">
        <f t="shared" ref="H240:Q240" si="67">+G257</f>
        <v>0</v>
      </c>
      <c r="I240" s="2929">
        <f t="shared" si="67"/>
        <v>0</v>
      </c>
      <c r="J240" s="2929">
        <f t="shared" si="67"/>
        <v>0</v>
      </c>
      <c r="K240" s="2929">
        <f t="shared" si="67"/>
        <v>0</v>
      </c>
      <c r="L240" s="2929">
        <f t="shared" si="67"/>
        <v>0</v>
      </c>
      <c r="M240" s="2929">
        <f t="shared" si="67"/>
        <v>0</v>
      </c>
      <c r="N240" s="2929">
        <f t="shared" si="67"/>
        <v>0</v>
      </c>
      <c r="O240" s="2929">
        <f t="shared" si="67"/>
        <v>0</v>
      </c>
      <c r="P240" s="2929">
        <f t="shared" si="67"/>
        <v>0</v>
      </c>
      <c r="Q240" s="2954">
        <f t="shared" si="67"/>
        <v>0</v>
      </c>
      <c r="R240" s="2930"/>
      <c r="S240" s="2468"/>
    </row>
    <row r="241" spans="2:22" ht="15.9" customHeight="1" x14ac:dyDescent="0.2">
      <c r="B241" s="2524" t="s">
        <v>352</v>
      </c>
      <c r="C241" s="2525"/>
      <c r="D241" s="2525"/>
      <c r="E241" s="2525"/>
      <c r="F241" s="2931"/>
      <c r="G241" s="2932"/>
      <c r="H241" s="2932"/>
      <c r="I241" s="2932"/>
      <c r="J241" s="2932"/>
      <c r="K241" s="2932"/>
      <c r="L241" s="2932"/>
      <c r="M241" s="2932"/>
      <c r="N241" s="2932"/>
      <c r="O241" s="2932"/>
      <c r="P241" s="2932"/>
      <c r="Q241" s="2932"/>
      <c r="R241" s="2768"/>
      <c r="S241" s="2468"/>
    </row>
    <row r="242" spans="2:22" ht="15.9" customHeight="1" x14ac:dyDescent="0.2">
      <c r="B242" s="389" t="s">
        <v>1242</v>
      </c>
      <c r="C242" s="390" t="s">
        <v>354</v>
      </c>
      <c r="D242" s="2466"/>
      <c r="E242" s="2466"/>
      <c r="F242" s="5133"/>
      <c r="G242" s="5134"/>
      <c r="H242" s="5134"/>
      <c r="I242" s="5134"/>
      <c r="J242" s="5134"/>
      <c r="K242" s="5134"/>
      <c r="L242" s="5134"/>
      <c r="M242" s="5134"/>
      <c r="N242" s="5134"/>
      <c r="O242" s="5134"/>
      <c r="P242" s="5134"/>
      <c r="Q242" s="5135"/>
      <c r="R242" s="407">
        <f>+SUM(F242:Q242)</f>
        <v>0</v>
      </c>
      <c r="S242" s="2468"/>
    </row>
    <row r="243" spans="2:22" ht="15.9" customHeight="1" x14ac:dyDescent="0.2">
      <c r="B243" s="389" t="s">
        <v>1291</v>
      </c>
      <c r="C243" s="390" t="s">
        <v>356</v>
      </c>
      <c r="D243" s="2466"/>
      <c r="E243" s="2466"/>
      <c r="F243" s="5136"/>
      <c r="G243" s="5137"/>
      <c r="H243" s="5137"/>
      <c r="I243" s="5137"/>
      <c r="J243" s="5137"/>
      <c r="K243" s="5137"/>
      <c r="L243" s="5137"/>
      <c r="M243" s="5137"/>
      <c r="N243" s="5137"/>
      <c r="O243" s="5137"/>
      <c r="P243" s="5137"/>
      <c r="Q243" s="5138"/>
      <c r="R243" s="408"/>
      <c r="S243" s="2468"/>
    </row>
    <row r="244" spans="2:22" ht="15.9" customHeight="1" thickBot="1" x14ac:dyDescent="0.25">
      <c r="B244" s="389" t="s">
        <v>1284</v>
      </c>
      <c r="C244" s="390" t="s">
        <v>362</v>
      </c>
      <c r="D244" s="2466"/>
      <c r="E244" s="2466"/>
      <c r="F244" s="5139"/>
      <c r="G244" s="5140"/>
      <c r="H244" s="5140"/>
      <c r="I244" s="5140"/>
      <c r="J244" s="5140"/>
      <c r="K244" s="5140"/>
      <c r="L244" s="5140"/>
      <c r="M244" s="5140"/>
      <c r="N244" s="5140"/>
      <c r="O244" s="5140"/>
      <c r="P244" s="5140"/>
      <c r="Q244" s="5141"/>
      <c r="R244" s="408"/>
      <c r="S244" s="2468"/>
    </row>
    <row r="245" spans="2:22" ht="15.9" customHeight="1" thickBot="1" x14ac:dyDescent="0.25">
      <c r="B245" s="826" t="s">
        <v>1294</v>
      </c>
      <c r="C245" s="848" t="s">
        <v>354</v>
      </c>
      <c r="D245" s="848"/>
      <c r="E245" s="848"/>
      <c r="F245" s="848"/>
      <c r="G245" s="848"/>
      <c r="H245" s="827"/>
      <c r="I245" s="2955"/>
      <c r="J245" s="2956">
        <f>+G300</f>
        <v>0</v>
      </c>
      <c r="K245" s="2956">
        <f>+H300</f>
        <v>0</v>
      </c>
      <c r="L245" s="2956">
        <f t="shared" ref="L245:Q245" si="68">+I300</f>
        <v>0</v>
      </c>
      <c r="M245" s="2956">
        <f t="shared" si="68"/>
        <v>0</v>
      </c>
      <c r="N245" s="2956">
        <f t="shared" si="68"/>
        <v>0</v>
      </c>
      <c r="O245" s="2956">
        <f t="shared" si="68"/>
        <v>0</v>
      </c>
      <c r="P245" s="2956">
        <f t="shared" si="68"/>
        <v>0</v>
      </c>
      <c r="Q245" s="2957">
        <f t="shared" si="68"/>
        <v>0</v>
      </c>
      <c r="R245" s="408"/>
      <c r="S245" s="2468"/>
    </row>
    <row r="246" spans="2:22" ht="15.9" customHeight="1" x14ac:dyDescent="0.2">
      <c r="B246" s="389" t="s">
        <v>355</v>
      </c>
      <c r="C246" s="400" t="s">
        <v>356</v>
      </c>
      <c r="D246" s="400"/>
      <c r="E246" s="400"/>
      <c r="F246" s="400"/>
      <c r="G246" s="400"/>
      <c r="H246" s="400"/>
      <c r="I246" s="400"/>
      <c r="J246" s="390"/>
      <c r="K246" s="2536">
        <f>General!$C$94</f>
        <v>0</v>
      </c>
      <c r="L246" s="2536">
        <f>General!$C$94</f>
        <v>0</v>
      </c>
      <c r="M246" s="2536">
        <f>General!$C$94</f>
        <v>0</v>
      </c>
      <c r="N246" s="2536">
        <f>General!$C$94</f>
        <v>0</v>
      </c>
      <c r="O246" s="2536">
        <f>General!$C$94</f>
        <v>0</v>
      </c>
      <c r="P246" s="2536">
        <f>General!$C$94</f>
        <v>0</v>
      </c>
      <c r="Q246" s="2537">
        <f>General!$C$94</f>
        <v>0</v>
      </c>
      <c r="R246" s="408"/>
      <c r="S246" s="2468"/>
    </row>
    <row r="247" spans="2:22" ht="15.9" customHeight="1" x14ac:dyDescent="0.2">
      <c r="B247" s="2548" t="s">
        <v>364</v>
      </c>
      <c r="C247" s="2549" t="s">
        <v>354</v>
      </c>
      <c r="D247" s="2550"/>
      <c r="E247" s="2958"/>
      <c r="F247" s="2959">
        <f>+F242+F245</f>
        <v>0</v>
      </c>
      <c r="G247" s="2959">
        <f t="shared" ref="G247:Q247" si="69">+G242+G245</f>
        <v>0</v>
      </c>
      <c r="H247" s="2959">
        <f t="shared" si="69"/>
        <v>0</v>
      </c>
      <c r="I247" s="2959">
        <f t="shared" si="69"/>
        <v>0</v>
      </c>
      <c r="J247" s="2959">
        <f t="shared" si="69"/>
        <v>0</v>
      </c>
      <c r="K247" s="2959">
        <f t="shared" si="69"/>
        <v>0</v>
      </c>
      <c r="L247" s="2959">
        <f t="shared" si="69"/>
        <v>0</v>
      </c>
      <c r="M247" s="2959">
        <f t="shared" si="69"/>
        <v>0</v>
      </c>
      <c r="N247" s="2959">
        <f t="shared" si="69"/>
        <v>0</v>
      </c>
      <c r="O247" s="2959">
        <f t="shared" si="69"/>
        <v>0</v>
      </c>
      <c r="P247" s="2959">
        <f t="shared" si="69"/>
        <v>0</v>
      </c>
      <c r="Q247" s="2959">
        <f t="shared" si="69"/>
        <v>0</v>
      </c>
      <c r="R247" s="2960">
        <f>+SUM(F247:Q247)</f>
        <v>0</v>
      </c>
      <c r="S247" s="2468"/>
    </row>
    <row r="248" spans="2:22" ht="15.9" customHeight="1" x14ac:dyDescent="0.2">
      <c r="B248" s="2829" t="s">
        <v>359</v>
      </c>
      <c r="C248" s="2526"/>
      <c r="D248" s="2526"/>
      <c r="E248" s="2526"/>
      <c r="F248" s="2961"/>
      <c r="G248" s="2931"/>
      <c r="H248" s="2931"/>
      <c r="I248" s="2931"/>
      <c r="J248" s="2931"/>
      <c r="K248" s="2931"/>
      <c r="L248" s="2931"/>
      <c r="M248" s="2931"/>
      <c r="N248" s="2931"/>
      <c r="O248" s="2931"/>
      <c r="P248" s="2931"/>
      <c r="Q248" s="2931"/>
      <c r="R248" s="2759"/>
      <c r="S248" s="2468"/>
    </row>
    <row r="249" spans="2:22" ht="15.9" customHeight="1" x14ac:dyDescent="0.2">
      <c r="B249" s="389" t="s">
        <v>1243</v>
      </c>
      <c r="C249" s="390" t="s">
        <v>354</v>
      </c>
      <c r="D249" s="2466"/>
      <c r="E249" s="2466"/>
      <c r="F249" s="5133"/>
      <c r="G249" s="5134"/>
      <c r="H249" s="5134"/>
      <c r="I249" s="5134"/>
      <c r="J249" s="5134"/>
      <c r="K249" s="5134"/>
      <c r="L249" s="5134"/>
      <c r="M249" s="5134"/>
      <c r="N249" s="5134"/>
      <c r="O249" s="5134"/>
      <c r="P249" s="5134"/>
      <c r="Q249" s="5135"/>
      <c r="R249" s="407">
        <f>+SUM(F249:Q249)</f>
        <v>0</v>
      </c>
      <c r="S249" s="2468"/>
    </row>
    <row r="250" spans="2:22" ht="15.9" customHeight="1" x14ac:dyDescent="0.2">
      <c r="B250" s="389" t="s">
        <v>1295</v>
      </c>
      <c r="C250" s="390" t="s">
        <v>356</v>
      </c>
      <c r="D250" s="2466"/>
      <c r="E250" s="2466"/>
      <c r="F250" s="5136"/>
      <c r="G250" s="5137"/>
      <c r="H250" s="5137"/>
      <c r="I250" s="5137"/>
      <c r="J250" s="5137"/>
      <c r="K250" s="5137"/>
      <c r="L250" s="5137"/>
      <c r="M250" s="5137"/>
      <c r="N250" s="5137"/>
      <c r="O250" s="5137"/>
      <c r="P250" s="5137"/>
      <c r="Q250" s="5138"/>
      <c r="R250" s="2547"/>
      <c r="S250" s="2468"/>
    </row>
    <row r="251" spans="2:22" ht="15.9" customHeight="1" thickBot="1" x14ac:dyDescent="0.25">
      <c r="B251" s="389" t="s">
        <v>1293</v>
      </c>
      <c r="C251" s="390" t="s">
        <v>362</v>
      </c>
      <c r="D251" s="2466"/>
      <c r="E251" s="2466"/>
      <c r="F251" s="5139"/>
      <c r="G251" s="5140"/>
      <c r="H251" s="5140"/>
      <c r="I251" s="5140"/>
      <c r="J251" s="5140"/>
      <c r="K251" s="5140"/>
      <c r="L251" s="5140"/>
      <c r="M251" s="5140"/>
      <c r="N251" s="5140"/>
      <c r="O251" s="5140"/>
      <c r="P251" s="5140"/>
      <c r="Q251" s="5141"/>
      <c r="R251" s="2547"/>
      <c r="S251" s="2468"/>
    </row>
    <row r="252" spans="2:22" ht="15.9" customHeight="1" thickBot="1" x14ac:dyDescent="0.25">
      <c r="B252" s="826" t="s">
        <v>360</v>
      </c>
      <c r="C252" s="827" t="s">
        <v>354</v>
      </c>
      <c r="D252" s="2962">
        <f>General!$C$103</f>
        <v>0</v>
      </c>
      <c r="E252" s="2963">
        <f>ROUND(D252*F239,0)</f>
        <v>0</v>
      </c>
      <c r="F252" s="5142"/>
      <c r="G252" s="5143"/>
      <c r="H252" s="5143"/>
      <c r="I252" s="5143"/>
      <c r="J252" s="5143"/>
      <c r="K252" s="5143"/>
      <c r="L252" s="5143"/>
      <c r="M252" s="5143"/>
      <c r="N252" s="5143"/>
      <c r="O252" s="5143"/>
      <c r="P252" s="5143"/>
      <c r="Q252" s="5144"/>
      <c r="R252" s="1312">
        <f>+SUM(F252:Q252)</f>
        <v>0</v>
      </c>
      <c r="S252" s="2468"/>
    </row>
    <row r="253" spans="2:22" ht="15.9" customHeight="1" x14ac:dyDescent="0.2">
      <c r="B253" s="2840" t="s">
        <v>365</v>
      </c>
      <c r="C253" s="2613" t="s">
        <v>354</v>
      </c>
      <c r="D253" s="2470"/>
      <c r="E253" s="2470"/>
      <c r="F253" s="2964">
        <f>+F249+F252</f>
        <v>0</v>
      </c>
      <c r="G253" s="2965">
        <f t="shared" ref="G253:Q253" si="70">+G249+G252</f>
        <v>0</v>
      </c>
      <c r="H253" s="2965">
        <f t="shared" si="70"/>
        <v>0</v>
      </c>
      <c r="I253" s="2965">
        <f t="shared" si="70"/>
        <v>0</v>
      </c>
      <c r="J253" s="2965">
        <f t="shared" si="70"/>
        <v>0</v>
      </c>
      <c r="K253" s="2965">
        <f t="shared" si="70"/>
        <v>0</v>
      </c>
      <c r="L253" s="2965">
        <f t="shared" si="70"/>
        <v>0</v>
      </c>
      <c r="M253" s="2965">
        <f t="shared" si="70"/>
        <v>0</v>
      </c>
      <c r="N253" s="2965">
        <f t="shared" si="70"/>
        <v>0</v>
      </c>
      <c r="O253" s="2965">
        <f t="shared" si="70"/>
        <v>0</v>
      </c>
      <c r="P253" s="2965">
        <f t="shared" si="70"/>
        <v>0</v>
      </c>
      <c r="Q253" s="2966">
        <f t="shared" si="70"/>
        <v>0</v>
      </c>
      <c r="R253" s="849"/>
      <c r="S253" s="2468"/>
    </row>
    <row r="254" spans="2:22" ht="15.9" customHeight="1" x14ac:dyDescent="0.2">
      <c r="B254" s="2509" t="s">
        <v>1364</v>
      </c>
      <c r="C254" s="2510" t="s">
        <v>357</v>
      </c>
      <c r="D254" s="2511"/>
      <c r="E254" s="2511"/>
      <c r="F254" s="2577">
        <f t="shared" ref="F254:Q254" si="71">F239+F247-F253</f>
        <v>0</v>
      </c>
      <c r="G254" s="2688">
        <f t="shared" si="71"/>
        <v>0</v>
      </c>
      <c r="H254" s="2688">
        <f t="shared" si="71"/>
        <v>0</v>
      </c>
      <c r="I254" s="2688">
        <f t="shared" si="71"/>
        <v>0</v>
      </c>
      <c r="J254" s="2688">
        <f t="shared" si="71"/>
        <v>0</v>
      </c>
      <c r="K254" s="2688">
        <f t="shared" si="71"/>
        <v>0</v>
      </c>
      <c r="L254" s="2688">
        <f t="shared" si="71"/>
        <v>0</v>
      </c>
      <c r="M254" s="2688">
        <f t="shared" si="71"/>
        <v>0</v>
      </c>
      <c r="N254" s="2688">
        <f t="shared" si="71"/>
        <v>0</v>
      </c>
      <c r="O254" s="2688">
        <f t="shared" si="71"/>
        <v>0</v>
      </c>
      <c r="P254" s="2688">
        <f t="shared" si="71"/>
        <v>0</v>
      </c>
      <c r="Q254" s="2689">
        <f t="shared" si="71"/>
        <v>0</v>
      </c>
      <c r="R254" s="2967"/>
      <c r="S254" s="2468"/>
    </row>
    <row r="255" spans="2:22" ht="15.9" customHeight="1" x14ac:dyDescent="0.2">
      <c r="B255" s="2944" t="s">
        <v>397</v>
      </c>
      <c r="C255" s="2945" t="s">
        <v>354</v>
      </c>
      <c r="D255" s="2946"/>
      <c r="E255" s="2946"/>
      <c r="F255" s="2947">
        <f>(F239+F254)/2</f>
        <v>0</v>
      </c>
      <c r="G255" s="2948">
        <f t="shared" ref="G255:Q255" si="72">(F254+G254)/2</f>
        <v>0</v>
      </c>
      <c r="H255" s="2948">
        <f t="shared" si="72"/>
        <v>0</v>
      </c>
      <c r="I255" s="2948">
        <f t="shared" si="72"/>
        <v>0</v>
      </c>
      <c r="J255" s="2948">
        <f t="shared" si="72"/>
        <v>0</v>
      </c>
      <c r="K255" s="2948">
        <f t="shared" si="72"/>
        <v>0</v>
      </c>
      <c r="L255" s="2948">
        <f t="shared" si="72"/>
        <v>0</v>
      </c>
      <c r="M255" s="2948">
        <f t="shared" si="72"/>
        <v>0</v>
      </c>
      <c r="N255" s="2948">
        <f t="shared" si="72"/>
        <v>0</v>
      </c>
      <c r="O255" s="2948">
        <f t="shared" si="72"/>
        <v>0</v>
      </c>
      <c r="P255" s="2948">
        <f t="shared" si="72"/>
        <v>0</v>
      </c>
      <c r="Q255" s="2949">
        <f t="shared" si="72"/>
        <v>0</v>
      </c>
      <c r="R255" s="2790">
        <f>AVERAGE(F255:Q255)</f>
        <v>0</v>
      </c>
      <c r="S255" s="2468"/>
    </row>
    <row r="256" spans="2:22" ht="15.9" customHeight="1" x14ac:dyDescent="0.2">
      <c r="B256" s="2586" t="s">
        <v>1115</v>
      </c>
      <c r="C256" s="2587" t="s">
        <v>361</v>
      </c>
      <c r="D256" s="2588"/>
      <c r="E256" s="2968"/>
      <c r="F256" s="5190">
        <v>0.65</v>
      </c>
      <c r="G256" s="5191">
        <v>0.65</v>
      </c>
      <c r="H256" s="5191">
        <v>0.65</v>
      </c>
      <c r="I256" s="5191">
        <v>0.65</v>
      </c>
      <c r="J256" s="5191">
        <v>0.65</v>
      </c>
      <c r="K256" s="5191">
        <v>0.65</v>
      </c>
      <c r="L256" s="5191">
        <v>0.65</v>
      </c>
      <c r="M256" s="5191">
        <v>0.65</v>
      </c>
      <c r="N256" s="5191">
        <v>0.65</v>
      </c>
      <c r="O256" s="5191">
        <v>0.65</v>
      </c>
      <c r="P256" s="5191">
        <v>0.65</v>
      </c>
      <c r="Q256" s="5192">
        <v>0.65</v>
      </c>
      <c r="R256" s="2792">
        <f>IFERROR(AVERAGE(F256:Q256),0)</f>
        <v>0.65000000000000013</v>
      </c>
      <c r="S256" s="2969"/>
      <c r="T256" s="2970"/>
      <c r="U256" s="2475"/>
      <c r="V256" s="2475"/>
    </row>
    <row r="257" spans="1:23" ht="15.9" customHeight="1" x14ac:dyDescent="0.2">
      <c r="B257" s="2529" t="s">
        <v>393</v>
      </c>
      <c r="C257" s="2465" t="s">
        <v>356</v>
      </c>
      <c r="D257" s="2466"/>
      <c r="E257" s="2470"/>
      <c r="F257" s="2535">
        <f t="shared" ref="F257:Q257" si="73">IFERROR((F239*(F240+F256*F11)+F242*F243-F249*F250-F252*(F240+(F256*F11)))/F254,0)</f>
        <v>0</v>
      </c>
      <c r="G257" s="2536">
        <f t="shared" si="73"/>
        <v>0</v>
      </c>
      <c r="H257" s="2536">
        <f t="shared" si="73"/>
        <v>0</v>
      </c>
      <c r="I257" s="2536">
        <f t="shared" si="73"/>
        <v>0</v>
      </c>
      <c r="J257" s="2536">
        <f t="shared" si="73"/>
        <v>0</v>
      </c>
      <c r="K257" s="2536">
        <f>IFERROR((K239*(K240+K256*K11)+K242*K243-K249*K250-K252*(K240+(K256*K11)))/K254,0)</f>
        <v>0</v>
      </c>
      <c r="L257" s="2536">
        <f t="shared" si="73"/>
        <v>0</v>
      </c>
      <c r="M257" s="2536">
        <f t="shared" si="73"/>
        <v>0</v>
      </c>
      <c r="N257" s="2536">
        <f t="shared" si="73"/>
        <v>0</v>
      </c>
      <c r="O257" s="2536">
        <f t="shared" si="73"/>
        <v>0</v>
      </c>
      <c r="P257" s="2536">
        <f t="shared" si="73"/>
        <v>0</v>
      </c>
      <c r="Q257" s="2537">
        <f t="shared" si="73"/>
        <v>0</v>
      </c>
      <c r="R257" s="2547"/>
      <c r="T257" s="2970"/>
      <c r="U257" s="2475"/>
      <c r="V257" s="2475"/>
    </row>
    <row r="258" spans="1:23" ht="15.9" customHeight="1" thickBot="1" x14ac:dyDescent="0.25">
      <c r="B258" s="2793" t="s">
        <v>394</v>
      </c>
      <c r="C258" s="2610" t="s">
        <v>356</v>
      </c>
      <c r="D258" s="2668"/>
      <c r="E258" s="2605"/>
      <c r="F258" s="2794">
        <f>AVERAGE(F240,F257)</f>
        <v>0</v>
      </c>
      <c r="G258" s="2795">
        <f>AVERAGE(F257,G257)</f>
        <v>0</v>
      </c>
      <c r="H258" s="2795">
        <f t="shared" ref="H258:Q258" si="74">AVERAGE(G257,H257)</f>
        <v>0</v>
      </c>
      <c r="I258" s="2795">
        <f t="shared" si="74"/>
        <v>0</v>
      </c>
      <c r="J258" s="2795">
        <f t="shared" si="74"/>
        <v>0</v>
      </c>
      <c r="K258" s="2795">
        <f>AVERAGE(J257,K257)</f>
        <v>0</v>
      </c>
      <c r="L258" s="2795">
        <f t="shared" si="74"/>
        <v>0</v>
      </c>
      <c r="M258" s="2795">
        <f t="shared" si="74"/>
        <v>0</v>
      </c>
      <c r="N258" s="2795">
        <f t="shared" si="74"/>
        <v>0</v>
      </c>
      <c r="O258" s="2795">
        <f t="shared" si="74"/>
        <v>0</v>
      </c>
      <c r="P258" s="2795">
        <f t="shared" si="74"/>
        <v>0</v>
      </c>
      <c r="Q258" s="2796">
        <f t="shared" si="74"/>
        <v>0</v>
      </c>
      <c r="R258" s="2799">
        <f>IFERROR(SUMPRODUCT(F258:Q258,F255:Q255)/(SUM(F255:Q255)),0)</f>
        <v>0</v>
      </c>
      <c r="S258" s="2468"/>
    </row>
    <row r="259" spans="1:23" s="2973" customFormat="1" ht="15.9" hidden="1" customHeight="1" x14ac:dyDescent="0.2">
      <c r="A259" s="2800"/>
      <c r="B259" s="721" t="s">
        <v>245</v>
      </c>
      <c r="C259" s="722" t="s">
        <v>361</v>
      </c>
      <c r="D259" s="2890"/>
      <c r="E259" s="2890"/>
      <c r="F259" s="2971"/>
      <c r="G259" s="727"/>
      <c r="H259" s="727"/>
      <c r="I259" s="727"/>
      <c r="J259" s="727"/>
      <c r="K259" s="727"/>
      <c r="L259" s="727"/>
      <c r="M259" s="727"/>
      <c r="N259" s="727"/>
      <c r="O259" s="727"/>
      <c r="P259" s="727"/>
      <c r="Q259" s="727"/>
      <c r="R259" s="728"/>
      <c r="S259" s="2804"/>
      <c r="T259" s="2972"/>
    </row>
    <row r="260" spans="1:23" s="2805" customFormat="1" ht="15.9" hidden="1" customHeight="1" thickBot="1" x14ac:dyDescent="0.25">
      <c r="A260" s="2800" t="s">
        <v>1125</v>
      </c>
      <c r="B260" s="700" t="s">
        <v>422</v>
      </c>
      <c r="C260" s="701" t="s">
        <v>361</v>
      </c>
      <c r="D260" s="2801"/>
      <c r="E260" s="2801"/>
      <c r="F260" s="2802"/>
      <c r="G260" s="2803"/>
      <c r="H260" s="2803"/>
      <c r="I260" s="2803"/>
      <c r="J260" s="2803"/>
      <c r="K260" s="2803"/>
      <c r="L260" s="2803"/>
      <c r="M260" s="2803"/>
      <c r="N260" s="2803"/>
      <c r="O260" s="2803"/>
      <c r="P260" s="2803"/>
      <c r="Q260" s="2974"/>
      <c r="R260" s="704"/>
      <c r="S260" s="2804" t="s">
        <v>1118</v>
      </c>
      <c r="W260" s="2806"/>
    </row>
    <row r="261" spans="1:23" s="2466" customFormat="1" ht="15.9" customHeight="1" x14ac:dyDescent="0.2">
      <c r="C261" s="2465"/>
      <c r="F261" s="2677"/>
      <c r="G261" s="2677"/>
      <c r="H261" s="2677"/>
      <c r="I261" s="2677"/>
      <c r="J261" s="2677"/>
      <c r="K261" s="2677"/>
      <c r="L261" s="2677"/>
      <c r="M261" s="2677"/>
      <c r="N261" s="2677"/>
      <c r="O261" s="2677"/>
      <c r="P261" s="2677"/>
      <c r="Q261" s="2677"/>
      <c r="T261" s="2678"/>
    </row>
    <row r="262" spans="1:23" s="2466" customFormat="1" ht="15.9" customHeight="1" thickBot="1" x14ac:dyDescent="0.25">
      <c r="C262" s="2465"/>
      <c r="F262" s="2677"/>
      <c r="G262" s="2677"/>
      <c r="H262" s="2677"/>
      <c r="I262" s="2677"/>
      <c r="J262" s="2677"/>
      <c r="K262" s="2677"/>
      <c r="L262" s="2677"/>
      <c r="M262" s="2677"/>
      <c r="N262" s="2677"/>
      <c r="O262" s="2677"/>
      <c r="P262" s="2677"/>
      <c r="Q262" s="2677"/>
      <c r="T262" s="2678"/>
    </row>
    <row r="263" spans="1:23" ht="15.9" customHeight="1" thickBot="1" x14ac:dyDescent="0.25">
      <c r="A263" s="2487">
        <f>+A237+1</f>
        <v>79</v>
      </c>
      <c r="B263" s="2488" t="s">
        <v>385</v>
      </c>
      <c r="C263" s="2489"/>
      <c r="D263" s="2490"/>
      <c r="E263" s="2489"/>
      <c r="F263" s="2489"/>
      <c r="G263" s="2489"/>
      <c r="H263" s="2489"/>
      <c r="I263" s="2489"/>
      <c r="J263" s="2489"/>
      <c r="K263" s="2489"/>
      <c r="L263" s="2489"/>
      <c r="M263" s="2489"/>
      <c r="N263" s="2489"/>
      <c r="O263" s="2489"/>
      <c r="P263" s="2489"/>
      <c r="Q263" s="2489"/>
      <c r="R263" s="2491"/>
      <c r="S263" s="2468"/>
    </row>
    <row r="264" spans="1:23" ht="15.9" customHeight="1" x14ac:dyDescent="0.2">
      <c r="B264" s="2679" t="s">
        <v>683</v>
      </c>
      <c r="C264" s="2680"/>
      <c r="D264" s="2680"/>
      <c r="E264" s="2681"/>
      <c r="F264" s="2682" t="str">
        <f>+F238</f>
        <v>Ene</v>
      </c>
      <c r="G264" s="2682" t="str">
        <f t="shared" ref="G264:Q264" si="75">+G238</f>
        <v>Feb</v>
      </c>
      <c r="H264" s="2682" t="str">
        <f t="shared" si="75"/>
        <v>Mar</v>
      </c>
      <c r="I264" s="2682" t="str">
        <f t="shared" si="75"/>
        <v>Abr</v>
      </c>
      <c r="J264" s="2682" t="str">
        <f t="shared" si="75"/>
        <v>May</v>
      </c>
      <c r="K264" s="2682" t="str">
        <f t="shared" si="75"/>
        <v>Jun</v>
      </c>
      <c r="L264" s="2682" t="str">
        <f t="shared" si="75"/>
        <v>Jul</v>
      </c>
      <c r="M264" s="2682" t="str">
        <f t="shared" si="75"/>
        <v>Ago</v>
      </c>
      <c r="N264" s="2682" t="str">
        <f t="shared" si="75"/>
        <v>Set</v>
      </c>
      <c r="O264" s="2682" t="str">
        <f t="shared" si="75"/>
        <v>Oct</v>
      </c>
      <c r="P264" s="2682" t="str">
        <f t="shared" si="75"/>
        <v>Nov</v>
      </c>
      <c r="Q264" s="2682" t="str">
        <f t="shared" si="75"/>
        <v>Dic</v>
      </c>
      <c r="R264" s="2808" t="s">
        <v>1110</v>
      </c>
      <c r="S264" s="2468"/>
    </row>
    <row r="265" spans="1:23" ht="15.9" customHeight="1" x14ac:dyDescent="0.2">
      <c r="B265" s="2509" t="s">
        <v>1363</v>
      </c>
      <c r="C265" s="2510" t="s">
        <v>357</v>
      </c>
      <c r="D265" s="2511"/>
      <c r="E265" s="2511"/>
      <c r="F265" s="2927">
        <f>+General!C77</f>
        <v>0</v>
      </c>
      <c r="G265" s="832">
        <f t="shared" ref="G265:Q265" si="76">+F279</f>
        <v>0</v>
      </c>
      <c r="H265" s="832">
        <f t="shared" si="76"/>
        <v>0</v>
      </c>
      <c r="I265" s="832">
        <f t="shared" si="76"/>
        <v>0</v>
      </c>
      <c r="J265" s="832">
        <f t="shared" si="76"/>
        <v>0</v>
      </c>
      <c r="K265" s="832">
        <f t="shared" si="76"/>
        <v>0</v>
      </c>
      <c r="L265" s="832">
        <f t="shared" si="76"/>
        <v>0</v>
      </c>
      <c r="M265" s="832">
        <f t="shared" si="76"/>
        <v>0</v>
      </c>
      <c r="N265" s="832">
        <f t="shared" si="76"/>
        <v>0</v>
      </c>
      <c r="O265" s="832">
        <f t="shared" si="76"/>
        <v>0</v>
      </c>
      <c r="P265" s="832">
        <f t="shared" si="76"/>
        <v>0</v>
      </c>
      <c r="Q265" s="832">
        <f t="shared" si="76"/>
        <v>0</v>
      </c>
      <c r="R265" s="2952" t="s">
        <v>1111</v>
      </c>
      <c r="S265" s="2468"/>
    </row>
    <row r="266" spans="1:23" ht="15.9" customHeight="1" x14ac:dyDescent="0.2">
      <c r="B266" s="2524" t="s">
        <v>352</v>
      </c>
      <c r="C266" s="2525"/>
      <c r="D266" s="2525"/>
      <c r="E266" s="2525"/>
      <c r="F266" s="2931"/>
      <c r="G266" s="2931"/>
      <c r="H266" s="2931"/>
      <c r="I266" s="2931"/>
      <c r="J266" s="2931"/>
      <c r="K266" s="2931"/>
      <c r="L266" s="2931"/>
      <c r="M266" s="2931"/>
      <c r="N266" s="2931"/>
      <c r="O266" s="2931"/>
      <c r="P266" s="2931"/>
      <c r="Q266" s="2931"/>
      <c r="R266" s="2768"/>
      <c r="S266" s="2468"/>
    </row>
    <row r="267" spans="1:23" ht="15.9" customHeight="1" x14ac:dyDescent="0.2">
      <c r="B267" s="389" t="s">
        <v>1244</v>
      </c>
      <c r="C267" s="390" t="s">
        <v>354</v>
      </c>
      <c r="D267" s="2466"/>
      <c r="E267" s="2466"/>
      <c r="F267" s="5133"/>
      <c r="G267" s="5134"/>
      <c r="H267" s="5134"/>
      <c r="I267" s="5134"/>
      <c r="J267" s="5134"/>
      <c r="K267" s="5134"/>
      <c r="L267" s="5134"/>
      <c r="M267" s="5134"/>
      <c r="N267" s="5134"/>
      <c r="O267" s="5134"/>
      <c r="P267" s="5134"/>
      <c r="Q267" s="5135"/>
      <c r="R267" s="407">
        <f>+SUM(F267:Q267)</f>
        <v>0</v>
      </c>
      <c r="S267" s="2468"/>
    </row>
    <row r="268" spans="1:23" ht="15.9" customHeight="1" x14ac:dyDescent="0.2">
      <c r="B268" s="389" t="s">
        <v>1291</v>
      </c>
      <c r="C268" s="390" t="s">
        <v>356</v>
      </c>
      <c r="D268" s="2466"/>
      <c r="E268" s="2466"/>
      <c r="F268" s="5136"/>
      <c r="G268" s="5137"/>
      <c r="H268" s="5137"/>
      <c r="I268" s="5137"/>
      <c r="J268" s="5137"/>
      <c r="K268" s="5137"/>
      <c r="L268" s="5137"/>
      <c r="M268" s="5137"/>
      <c r="N268" s="5137"/>
      <c r="O268" s="5137"/>
      <c r="P268" s="5137"/>
      <c r="Q268" s="5138"/>
      <c r="R268" s="408"/>
      <c r="S268" s="2468"/>
    </row>
    <row r="269" spans="1:23" ht="15.9" customHeight="1" thickBot="1" x14ac:dyDescent="0.25">
      <c r="B269" s="389" t="s">
        <v>1292</v>
      </c>
      <c r="C269" s="390" t="s">
        <v>362</v>
      </c>
      <c r="D269" s="2466"/>
      <c r="E269" s="2466"/>
      <c r="F269" s="5139"/>
      <c r="G269" s="5140"/>
      <c r="H269" s="5140"/>
      <c r="I269" s="5140"/>
      <c r="J269" s="5140"/>
      <c r="K269" s="5140"/>
      <c r="L269" s="5140"/>
      <c r="M269" s="5140"/>
      <c r="N269" s="5140"/>
      <c r="O269" s="5140"/>
      <c r="P269" s="5140"/>
      <c r="Q269" s="5141"/>
      <c r="R269" s="408"/>
      <c r="S269" s="2468"/>
    </row>
    <row r="270" spans="1:23" ht="15.9" customHeight="1" x14ac:dyDescent="0.2">
      <c r="B270" s="828" t="s">
        <v>1296</v>
      </c>
      <c r="C270" s="829" t="s">
        <v>354</v>
      </c>
      <c r="D270" s="850"/>
      <c r="E270" s="850"/>
      <c r="F270" s="850"/>
      <c r="G270" s="2975">
        <f>G300</f>
        <v>0</v>
      </c>
      <c r="H270" s="2975">
        <f>H300</f>
        <v>0</v>
      </c>
      <c r="I270" s="2976">
        <f t="shared" ref="I270:Q270" si="77">I300</f>
        <v>0</v>
      </c>
      <c r="J270" s="2976">
        <f t="shared" si="77"/>
        <v>0</v>
      </c>
      <c r="K270" s="2976">
        <f t="shared" si="77"/>
        <v>0</v>
      </c>
      <c r="L270" s="2976">
        <f t="shared" si="77"/>
        <v>0</v>
      </c>
      <c r="M270" s="2976">
        <f t="shared" si="77"/>
        <v>0</v>
      </c>
      <c r="N270" s="2976">
        <f t="shared" si="77"/>
        <v>0</v>
      </c>
      <c r="O270" s="2976">
        <f t="shared" si="77"/>
        <v>0</v>
      </c>
      <c r="P270" s="2976">
        <f t="shared" si="77"/>
        <v>0</v>
      </c>
      <c r="Q270" s="2977">
        <f t="shared" si="77"/>
        <v>0</v>
      </c>
      <c r="R270" s="851">
        <f>+SUM(F270:Q270)</f>
        <v>0</v>
      </c>
      <c r="S270" s="2468"/>
    </row>
    <row r="271" spans="1:23" ht="15.9" customHeight="1" x14ac:dyDescent="0.2">
      <c r="B271" s="2548" t="s">
        <v>364</v>
      </c>
      <c r="C271" s="2549" t="s">
        <v>354</v>
      </c>
      <c r="D271" s="2550"/>
      <c r="E271" s="2958"/>
      <c r="F271" s="2959">
        <f>+F267+F270</f>
        <v>0</v>
      </c>
      <c r="G271" s="2959">
        <f t="shared" ref="G271:Q271" si="78">+G267+G270</f>
        <v>0</v>
      </c>
      <c r="H271" s="2959">
        <f t="shared" si="78"/>
        <v>0</v>
      </c>
      <c r="I271" s="2959">
        <f t="shared" si="78"/>
        <v>0</v>
      </c>
      <c r="J271" s="2959">
        <f t="shared" si="78"/>
        <v>0</v>
      </c>
      <c r="K271" s="2959">
        <f t="shared" si="78"/>
        <v>0</v>
      </c>
      <c r="L271" s="2959">
        <f t="shared" si="78"/>
        <v>0</v>
      </c>
      <c r="M271" s="2959">
        <f t="shared" si="78"/>
        <v>0</v>
      </c>
      <c r="N271" s="2959">
        <f t="shared" si="78"/>
        <v>0</v>
      </c>
      <c r="O271" s="2959">
        <f t="shared" si="78"/>
        <v>0</v>
      </c>
      <c r="P271" s="2959">
        <f t="shared" si="78"/>
        <v>0</v>
      </c>
      <c r="Q271" s="2959">
        <f t="shared" si="78"/>
        <v>0</v>
      </c>
      <c r="R271" s="2960">
        <f>+SUM(F271:Q271)</f>
        <v>0</v>
      </c>
      <c r="S271" s="2468"/>
    </row>
    <row r="272" spans="1:23" ht="15.9" customHeight="1" x14ac:dyDescent="0.2">
      <c r="B272" s="2829" t="s">
        <v>359</v>
      </c>
      <c r="C272" s="2526"/>
      <c r="D272" s="2526"/>
      <c r="E272" s="2526"/>
      <c r="F272" s="2931"/>
      <c r="G272" s="2931"/>
      <c r="H272" s="2931"/>
      <c r="I272" s="2931"/>
      <c r="J272" s="2931"/>
      <c r="K272" s="2931"/>
      <c r="L272" s="2931"/>
      <c r="M272" s="2931"/>
      <c r="N272" s="2931"/>
      <c r="O272" s="2931"/>
      <c r="P272" s="2931"/>
      <c r="Q272" s="2931"/>
      <c r="R272" s="2759"/>
      <c r="S272" s="2468"/>
    </row>
    <row r="273" spans="1:23" ht="15.9" customHeight="1" x14ac:dyDescent="0.2">
      <c r="B273" s="389" t="s">
        <v>1245</v>
      </c>
      <c r="C273" s="390" t="s">
        <v>354</v>
      </c>
      <c r="D273" s="2466"/>
      <c r="E273" s="2466"/>
      <c r="F273" s="5133"/>
      <c r="G273" s="5134"/>
      <c r="H273" s="5134"/>
      <c r="I273" s="5134"/>
      <c r="J273" s="5134"/>
      <c r="K273" s="5134"/>
      <c r="L273" s="5134"/>
      <c r="M273" s="5134"/>
      <c r="N273" s="5134"/>
      <c r="O273" s="5134"/>
      <c r="P273" s="5134"/>
      <c r="Q273" s="5135"/>
      <c r="R273" s="407">
        <f>+SUM(F273:Q273)</f>
        <v>0</v>
      </c>
      <c r="S273" s="2468"/>
    </row>
    <row r="274" spans="1:23" ht="15.9" customHeight="1" x14ac:dyDescent="0.2">
      <c r="B274" s="389" t="s">
        <v>1295</v>
      </c>
      <c r="C274" s="390" t="s">
        <v>356</v>
      </c>
      <c r="D274" s="2466"/>
      <c r="E274" s="2466"/>
      <c r="F274" s="5136"/>
      <c r="G274" s="5137"/>
      <c r="H274" s="5137"/>
      <c r="I274" s="5137"/>
      <c r="J274" s="5137"/>
      <c r="K274" s="5137"/>
      <c r="L274" s="5137"/>
      <c r="M274" s="5137"/>
      <c r="N274" s="5137"/>
      <c r="O274" s="5137"/>
      <c r="P274" s="5137"/>
      <c r="Q274" s="5138"/>
      <c r="R274" s="2547"/>
      <c r="S274" s="2468"/>
    </row>
    <row r="275" spans="1:23" ht="15.9" customHeight="1" thickBot="1" x14ac:dyDescent="0.25">
      <c r="B275" s="389" t="s">
        <v>1293</v>
      </c>
      <c r="C275" s="390" t="s">
        <v>362</v>
      </c>
      <c r="D275" s="2466"/>
      <c r="E275" s="2466"/>
      <c r="F275" s="5139"/>
      <c r="G275" s="5140"/>
      <c r="H275" s="5140"/>
      <c r="I275" s="5140"/>
      <c r="J275" s="5140"/>
      <c r="K275" s="5140"/>
      <c r="L275" s="5140"/>
      <c r="M275" s="5140"/>
      <c r="N275" s="5140"/>
      <c r="O275" s="5140"/>
      <c r="P275" s="5140"/>
      <c r="Q275" s="5141"/>
      <c r="R275" s="2547"/>
      <c r="S275" s="2468"/>
    </row>
    <row r="276" spans="1:23" ht="15.9" customHeight="1" thickBot="1" x14ac:dyDescent="0.25">
      <c r="B276" s="828" t="s">
        <v>360</v>
      </c>
      <c r="C276" s="852" t="s">
        <v>354</v>
      </c>
      <c r="D276" s="2978">
        <f>General!$C$103</f>
        <v>0</v>
      </c>
      <c r="E276" s="2979">
        <f>ROUND(D276*(F265),0)</f>
        <v>0</v>
      </c>
      <c r="F276" s="5193"/>
      <c r="G276" s="5194"/>
      <c r="H276" s="5194"/>
      <c r="I276" s="5194"/>
      <c r="J276" s="5194"/>
      <c r="K276" s="5194"/>
      <c r="L276" s="5194"/>
      <c r="M276" s="5194"/>
      <c r="N276" s="5194"/>
      <c r="O276" s="5194"/>
      <c r="P276" s="5194"/>
      <c r="Q276" s="5195"/>
      <c r="R276" s="853">
        <f>+SUM(F276:Q276)</f>
        <v>0</v>
      </c>
      <c r="S276" s="2468"/>
    </row>
    <row r="277" spans="1:23" ht="15.9" customHeight="1" x14ac:dyDescent="0.2">
      <c r="B277" s="828" t="s">
        <v>395</v>
      </c>
      <c r="C277" s="829" t="s">
        <v>354</v>
      </c>
      <c r="D277" s="2559"/>
      <c r="E277" s="2559"/>
      <c r="F277" s="2571"/>
      <c r="G277" s="2571"/>
      <c r="H277" s="2571"/>
      <c r="I277" s="2571"/>
      <c r="J277" s="2980">
        <f>G270</f>
        <v>0</v>
      </c>
      <c r="K277" s="2980">
        <f>H270</f>
        <v>0</v>
      </c>
      <c r="L277" s="2980">
        <f t="shared" ref="L277:Q277" si="79">I270</f>
        <v>0</v>
      </c>
      <c r="M277" s="2980">
        <f t="shared" si="79"/>
        <v>0</v>
      </c>
      <c r="N277" s="2980">
        <f t="shared" si="79"/>
        <v>0</v>
      </c>
      <c r="O277" s="2980">
        <f t="shared" si="79"/>
        <v>0</v>
      </c>
      <c r="P277" s="2980">
        <f t="shared" si="79"/>
        <v>0</v>
      </c>
      <c r="Q277" s="2981">
        <f t="shared" si="79"/>
        <v>0</v>
      </c>
      <c r="R277" s="851">
        <f>+SUM(F277:Q277)</f>
        <v>0</v>
      </c>
      <c r="S277" s="2468"/>
    </row>
    <row r="278" spans="1:23" ht="15.9" customHeight="1" x14ac:dyDescent="0.2">
      <c r="B278" s="2548" t="s">
        <v>365</v>
      </c>
      <c r="C278" s="2549"/>
      <c r="D278" s="2550"/>
      <c r="E278" s="2958"/>
      <c r="F278" s="2982">
        <f>+F273+F276+F277</f>
        <v>0</v>
      </c>
      <c r="G278" s="2982">
        <f t="shared" ref="G278:Q278" si="80">+G273+G276+G277</f>
        <v>0</v>
      </c>
      <c r="H278" s="2982">
        <f t="shared" si="80"/>
        <v>0</v>
      </c>
      <c r="I278" s="2982">
        <f t="shared" si="80"/>
        <v>0</v>
      </c>
      <c r="J278" s="2982">
        <f t="shared" si="80"/>
        <v>0</v>
      </c>
      <c r="K278" s="2982">
        <f t="shared" si="80"/>
        <v>0</v>
      </c>
      <c r="L278" s="2982">
        <f t="shared" si="80"/>
        <v>0</v>
      </c>
      <c r="M278" s="2982">
        <f t="shared" si="80"/>
        <v>0</v>
      </c>
      <c r="N278" s="2982">
        <f t="shared" si="80"/>
        <v>0</v>
      </c>
      <c r="O278" s="2982">
        <f t="shared" si="80"/>
        <v>0</v>
      </c>
      <c r="P278" s="2982">
        <f t="shared" si="80"/>
        <v>0</v>
      </c>
      <c r="Q278" s="2982">
        <f t="shared" si="80"/>
        <v>0</v>
      </c>
      <c r="R278" s="2960">
        <f>+SUM(F278:Q278)</f>
        <v>0</v>
      </c>
      <c r="S278" s="2468"/>
    </row>
    <row r="279" spans="1:23" ht="15.9" customHeight="1" thickBot="1" x14ac:dyDescent="0.25">
      <c r="B279" s="2983" t="s">
        <v>1364</v>
      </c>
      <c r="C279" s="2984" t="s">
        <v>357</v>
      </c>
      <c r="D279" s="2726"/>
      <c r="E279" s="2726"/>
      <c r="F279" s="2985">
        <f t="shared" ref="F279:Q279" si="81">F265+F271-F278</f>
        <v>0</v>
      </c>
      <c r="G279" s="2578">
        <f t="shared" si="81"/>
        <v>0</v>
      </c>
      <c r="H279" s="2578">
        <f t="shared" si="81"/>
        <v>0</v>
      </c>
      <c r="I279" s="2578">
        <f t="shared" si="81"/>
        <v>0</v>
      </c>
      <c r="J279" s="2578">
        <f t="shared" si="81"/>
        <v>0</v>
      </c>
      <c r="K279" s="2578">
        <f t="shared" si="81"/>
        <v>0</v>
      </c>
      <c r="L279" s="2578">
        <f t="shared" si="81"/>
        <v>0</v>
      </c>
      <c r="M279" s="2578">
        <f t="shared" si="81"/>
        <v>0</v>
      </c>
      <c r="N279" s="2578">
        <f t="shared" si="81"/>
        <v>0</v>
      </c>
      <c r="O279" s="2578">
        <f t="shared" si="81"/>
        <v>0</v>
      </c>
      <c r="P279" s="2578">
        <f t="shared" si="81"/>
        <v>0</v>
      </c>
      <c r="Q279" s="2580">
        <f t="shared" si="81"/>
        <v>0</v>
      </c>
      <c r="R279" s="2986"/>
      <c r="S279" s="2468"/>
    </row>
    <row r="280" spans="1:23" ht="15.9" customHeight="1" thickBot="1" x14ac:dyDescent="0.25">
      <c r="B280" s="2987" t="s">
        <v>397</v>
      </c>
      <c r="C280" s="2988" t="s">
        <v>354</v>
      </c>
      <c r="D280" s="2989"/>
      <c r="E280" s="2989"/>
      <c r="F280" s="2990">
        <f>(F265+F279)/2</f>
        <v>0</v>
      </c>
      <c r="G280" s="2991">
        <f t="shared" ref="G280:Q280" si="82">(F279+G279)/2</f>
        <v>0</v>
      </c>
      <c r="H280" s="2991">
        <f t="shared" si="82"/>
        <v>0</v>
      </c>
      <c r="I280" s="2991">
        <f t="shared" si="82"/>
        <v>0</v>
      </c>
      <c r="J280" s="2991">
        <f t="shared" si="82"/>
        <v>0</v>
      </c>
      <c r="K280" s="2991">
        <f t="shared" si="82"/>
        <v>0</v>
      </c>
      <c r="L280" s="2991">
        <f t="shared" si="82"/>
        <v>0</v>
      </c>
      <c r="M280" s="2991">
        <f t="shared" si="82"/>
        <v>0</v>
      </c>
      <c r="N280" s="2991">
        <f t="shared" si="82"/>
        <v>0</v>
      </c>
      <c r="O280" s="2991">
        <f t="shared" si="82"/>
        <v>0</v>
      </c>
      <c r="P280" s="2991">
        <f t="shared" si="82"/>
        <v>0</v>
      </c>
      <c r="Q280" s="2992">
        <f t="shared" si="82"/>
        <v>0</v>
      </c>
      <c r="R280" s="2993">
        <f>AVERAGE(F280:Q280)</f>
        <v>0</v>
      </c>
      <c r="S280" s="2731" t="s">
        <v>415</v>
      </c>
      <c r="T280" s="2731"/>
      <c r="U280" s="2732"/>
    </row>
    <row r="281" spans="1:23" s="2733" customFormat="1" ht="15.9" customHeight="1" thickBot="1" x14ac:dyDescent="0.25">
      <c r="B281" s="1306" t="s">
        <v>1673</v>
      </c>
      <c r="C281" s="827" t="s">
        <v>552</v>
      </c>
      <c r="D281" s="2994"/>
      <c r="E281" s="854"/>
      <c r="F281" s="5196">
        <v>3</v>
      </c>
      <c r="G281" s="5197">
        <v>3</v>
      </c>
      <c r="H281" s="5197">
        <v>3</v>
      </c>
      <c r="I281" s="5197">
        <v>3</v>
      </c>
      <c r="J281" s="5197">
        <v>3</v>
      </c>
      <c r="K281" s="5197">
        <v>3</v>
      </c>
      <c r="L281" s="5197">
        <v>3</v>
      </c>
      <c r="M281" s="5197">
        <v>3</v>
      </c>
      <c r="N281" s="5197">
        <v>3</v>
      </c>
      <c r="O281" s="5197">
        <v>3</v>
      </c>
      <c r="P281" s="5197">
        <v>3</v>
      </c>
      <c r="Q281" s="5198">
        <v>3</v>
      </c>
      <c r="R281" s="2995"/>
      <c r="S281" s="2737" t="s">
        <v>416</v>
      </c>
      <c r="T281" s="2737"/>
      <c r="U281" s="2738">
        <f>$U$94</f>
        <v>0</v>
      </c>
      <c r="W281" s="2739"/>
    </row>
    <row r="282" spans="1:23" s="2733" customFormat="1" ht="15.9" customHeight="1" thickBot="1" x14ac:dyDescent="0.25">
      <c r="B282" s="1307" t="s">
        <v>1674</v>
      </c>
      <c r="C282" s="398" t="s">
        <v>1579</v>
      </c>
      <c r="D282" s="2742"/>
      <c r="E282" s="2996"/>
      <c r="F282" s="5199">
        <v>3</v>
      </c>
      <c r="G282" s="5200">
        <v>3</v>
      </c>
      <c r="H282" s="5200">
        <v>3</v>
      </c>
      <c r="I282" s="5200">
        <v>3</v>
      </c>
      <c r="J282" s="5200">
        <v>3</v>
      </c>
      <c r="K282" s="5200">
        <v>3</v>
      </c>
      <c r="L282" s="5200">
        <v>3</v>
      </c>
      <c r="M282" s="5200">
        <v>3</v>
      </c>
      <c r="N282" s="5200">
        <v>3</v>
      </c>
      <c r="O282" s="5200">
        <v>3</v>
      </c>
      <c r="P282" s="5200">
        <v>3</v>
      </c>
      <c r="Q282" s="5201">
        <v>3</v>
      </c>
      <c r="R282" s="706"/>
      <c r="S282" s="2742" t="s">
        <v>417</v>
      </c>
      <c r="T282" s="2668"/>
      <c r="U282" s="2743">
        <f>$U$95</f>
        <v>0</v>
      </c>
      <c r="W282" s="2739"/>
    </row>
    <row r="283" spans="1:23" s="2466" customFormat="1" ht="15.9" customHeight="1" x14ac:dyDescent="0.2">
      <c r="C283" s="2465"/>
      <c r="F283" s="2677"/>
      <c r="G283" s="2677"/>
      <c r="H283" s="2677"/>
      <c r="I283" s="2677"/>
      <c r="J283" s="2677"/>
      <c r="K283" s="2677"/>
      <c r="L283" s="2677"/>
      <c r="M283" s="2677"/>
      <c r="N283" s="2677"/>
      <c r="O283" s="2677"/>
      <c r="P283" s="2677"/>
      <c r="Q283" s="2677"/>
    </row>
    <row r="284" spans="1:23" s="2466" customFormat="1" ht="15.9" customHeight="1" thickBot="1" x14ac:dyDescent="0.25">
      <c r="C284" s="2465"/>
      <c r="F284" s="2677"/>
      <c r="G284" s="2677"/>
      <c r="H284" s="2677"/>
      <c r="I284" s="2677"/>
      <c r="J284" s="2677"/>
      <c r="K284" s="2677"/>
      <c r="L284" s="2677"/>
      <c r="M284" s="2677"/>
      <c r="N284" s="2677"/>
      <c r="O284" s="2677"/>
      <c r="P284" s="2677"/>
      <c r="Q284" s="2677"/>
    </row>
    <row r="285" spans="1:23" ht="15.9" customHeight="1" thickBot="1" x14ac:dyDescent="0.25">
      <c r="A285" s="2487">
        <f>+A263+1</f>
        <v>80</v>
      </c>
      <c r="B285" s="2488" t="s">
        <v>1129</v>
      </c>
      <c r="C285" s="2490" t="s">
        <v>1328</v>
      </c>
      <c r="D285" s="2490"/>
      <c r="E285" s="2489"/>
      <c r="F285" s="2489"/>
      <c r="G285" s="2489"/>
      <c r="H285" s="2489"/>
      <c r="I285" s="2489"/>
      <c r="J285" s="2489"/>
      <c r="K285" s="2489"/>
      <c r="L285" s="2489"/>
      <c r="M285" s="2489"/>
      <c r="N285" s="2489"/>
      <c r="O285" s="2489"/>
      <c r="P285" s="2489"/>
      <c r="Q285" s="2489"/>
      <c r="R285" s="2491"/>
      <c r="S285" s="2468"/>
    </row>
    <row r="286" spans="1:23" ht="15.9" customHeight="1" x14ac:dyDescent="0.2">
      <c r="B286" s="2679" t="s">
        <v>683</v>
      </c>
      <c r="C286" s="2680"/>
      <c r="D286" s="2680"/>
      <c r="E286" s="2681"/>
      <c r="F286" s="2682" t="str">
        <f>+F264</f>
        <v>Ene</v>
      </c>
      <c r="G286" s="2682" t="str">
        <f t="shared" ref="G286:Q286" si="83">+G264</f>
        <v>Feb</v>
      </c>
      <c r="H286" s="2682" t="str">
        <f t="shared" si="83"/>
        <v>Mar</v>
      </c>
      <c r="I286" s="2682" t="str">
        <f t="shared" si="83"/>
        <v>Abr</v>
      </c>
      <c r="J286" s="2682" t="str">
        <f t="shared" si="83"/>
        <v>May</v>
      </c>
      <c r="K286" s="2682" t="str">
        <f t="shared" si="83"/>
        <v>Jun</v>
      </c>
      <c r="L286" s="2682" t="str">
        <f t="shared" si="83"/>
        <v>Jul</v>
      </c>
      <c r="M286" s="2682" t="str">
        <f t="shared" si="83"/>
        <v>Ago</v>
      </c>
      <c r="N286" s="2682" t="str">
        <f t="shared" si="83"/>
        <v>Set</v>
      </c>
      <c r="O286" s="2682" t="str">
        <f t="shared" si="83"/>
        <v>Oct</v>
      </c>
      <c r="P286" s="2682" t="str">
        <f t="shared" si="83"/>
        <v>Nov</v>
      </c>
      <c r="Q286" s="2682" t="str">
        <f t="shared" si="83"/>
        <v>Dic</v>
      </c>
      <c r="R286" s="2808" t="s">
        <v>1110</v>
      </c>
      <c r="S286" s="2468"/>
    </row>
    <row r="287" spans="1:23" ht="15.9" customHeight="1" x14ac:dyDescent="0.2">
      <c r="B287" s="2509" t="s">
        <v>1363</v>
      </c>
      <c r="C287" s="2510" t="s">
        <v>357</v>
      </c>
      <c r="D287" s="2511"/>
      <c r="E287" s="2511"/>
      <c r="F287" s="2512">
        <f>+General!C78</f>
        <v>0</v>
      </c>
      <c r="G287" s="832">
        <f t="shared" ref="G287:Q287" si="84">+F302</f>
        <v>0</v>
      </c>
      <c r="H287" s="832">
        <f t="shared" si="84"/>
        <v>0</v>
      </c>
      <c r="I287" s="832">
        <f t="shared" si="84"/>
        <v>0</v>
      </c>
      <c r="J287" s="832">
        <f t="shared" si="84"/>
        <v>0</v>
      </c>
      <c r="K287" s="832">
        <f t="shared" si="84"/>
        <v>0</v>
      </c>
      <c r="L287" s="832">
        <f t="shared" si="84"/>
        <v>0</v>
      </c>
      <c r="M287" s="832">
        <f t="shared" si="84"/>
        <v>0</v>
      </c>
      <c r="N287" s="832">
        <f t="shared" si="84"/>
        <v>0</v>
      </c>
      <c r="O287" s="832">
        <f t="shared" si="84"/>
        <v>0</v>
      </c>
      <c r="P287" s="832">
        <f t="shared" si="84"/>
        <v>0</v>
      </c>
      <c r="Q287" s="832">
        <f t="shared" si="84"/>
        <v>0</v>
      </c>
      <c r="R287" s="2952" t="s">
        <v>1111</v>
      </c>
      <c r="S287" s="2468"/>
    </row>
    <row r="288" spans="1:23" ht="15.9" customHeight="1" x14ac:dyDescent="0.2">
      <c r="B288" s="2524" t="s">
        <v>352</v>
      </c>
      <c r="C288" s="2525"/>
      <c r="D288" s="2525"/>
      <c r="E288" s="2525"/>
      <c r="F288" s="2932"/>
      <c r="G288" s="2932"/>
      <c r="H288" s="2932"/>
      <c r="I288" s="2932"/>
      <c r="J288" s="2932"/>
      <c r="K288" s="2932"/>
      <c r="L288" s="2932"/>
      <c r="M288" s="2932"/>
      <c r="N288" s="2932"/>
      <c r="O288" s="2932"/>
      <c r="P288" s="2932"/>
      <c r="Q288" s="2932"/>
      <c r="R288" s="2768"/>
      <c r="S288" s="2468"/>
    </row>
    <row r="289" spans="2:23" ht="15.9" customHeight="1" x14ac:dyDescent="0.2">
      <c r="B289" s="389" t="s">
        <v>1250</v>
      </c>
      <c r="C289" s="390" t="s">
        <v>354</v>
      </c>
      <c r="D289" s="2466"/>
      <c r="E289" s="2466"/>
      <c r="F289" s="5133"/>
      <c r="G289" s="5134"/>
      <c r="H289" s="5134"/>
      <c r="I289" s="5134"/>
      <c r="J289" s="5134"/>
      <c r="K289" s="5134"/>
      <c r="L289" s="5134"/>
      <c r="M289" s="5134"/>
      <c r="N289" s="5134"/>
      <c r="O289" s="5134"/>
      <c r="P289" s="5134"/>
      <c r="Q289" s="5135"/>
      <c r="R289" s="407">
        <f>+SUM(F289:Q289)</f>
        <v>0</v>
      </c>
      <c r="S289" s="2468"/>
    </row>
    <row r="290" spans="2:23" ht="15.9" customHeight="1" x14ac:dyDescent="0.2">
      <c r="B290" s="389" t="s">
        <v>1285</v>
      </c>
      <c r="C290" s="390" t="s">
        <v>356</v>
      </c>
      <c r="D290" s="2466"/>
      <c r="E290" s="2466"/>
      <c r="F290" s="5136"/>
      <c r="G290" s="5137"/>
      <c r="H290" s="5137"/>
      <c r="I290" s="5137"/>
      <c r="J290" s="5137"/>
      <c r="K290" s="5137"/>
      <c r="L290" s="5137"/>
      <c r="M290" s="5137"/>
      <c r="N290" s="5137"/>
      <c r="O290" s="5137"/>
      <c r="P290" s="5137"/>
      <c r="Q290" s="5138"/>
      <c r="R290" s="408"/>
      <c r="S290" s="2468"/>
    </row>
    <row r="291" spans="2:23" ht="15.9" customHeight="1" thickBot="1" x14ac:dyDescent="0.25">
      <c r="B291" s="389" t="s">
        <v>1288</v>
      </c>
      <c r="C291" s="390" t="s">
        <v>362</v>
      </c>
      <c r="D291" s="2466"/>
      <c r="E291" s="2466"/>
      <c r="F291" s="5139"/>
      <c r="G291" s="5140"/>
      <c r="H291" s="5140"/>
      <c r="I291" s="5140"/>
      <c r="J291" s="5140"/>
      <c r="K291" s="5140"/>
      <c r="L291" s="5140"/>
      <c r="M291" s="5140"/>
      <c r="N291" s="5140"/>
      <c r="O291" s="5140"/>
      <c r="P291" s="5140"/>
      <c r="Q291" s="5141"/>
      <c r="R291" s="408"/>
      <c r="S291" s="2468"/>
    </row>
    <row r="292" spans="2:23" ht="15.9" customHeight="1" x14ac:dyDescent="0.2">
      <c r="B292" s="828" t="s">
        <v>379</v>
      </c>
      <c r="C292" s="829" t="s">
        <v>354</v>
      </c>
      <c r="D292" s="850"/>
      <c r="E292" s="855"/>
      <c r="F292" s="2997">
        <f t="shared" ref="F292:Q292" si="85">ROUND(((F19+F17)*F20+(F24+F22)*F25),0)</f>
        <v>0</v>
      </c>
      <c r="G292" s="2976">
        <f t="shared" si="85"/>
        <v>0</v>
      </c>
      <c r="H292" s="2976">
        <f t="shared" si="85"/>
        <v>0</v>
      </c>
      <c r="I292" s="2976">
        <f t="shared" si="85"/>
        <v>0</v>
      </c>
      <c r="J292" s="2976">
        <f t="shared" si="85"/>
        <v>0</v>
      </c>
      <c r="K292" s="2976">
        <f t="shared" si="85"/>
        <v>0</v>
      </c>
      <c r="L292" s="2976">
        <f t="shared" si="85"/>
        <v>0</v>
      </c>
      <c r="M292" s="2976">
        <f t="shared" si="85"/>
        <v>0</v>
      </c>
      <c r="N292" s="2976">
        <f t="shared" si="85"/>
        <v>0</v>
      </c>
      <c r="O292" s="2976">
        <f t="shared" si="85"/>
        <v>0</v>
      </c>
      <c r="P292" s="2976">
        <f t="shared" si="85"/>
        <v>0</v>
      </c>
      <c r="Q292" s="2977">
        <f t="shared" si="85"/>
        <v>0</v>
      </c>
      <c r="R292" s="1313">
        <f>+SUM(F292:Q292)</f>
        <v>0</v>
      </c>
      <c r="S292" s="2468"/>
    </row>
    <row r="293" spans="2:23" ht="15.9" customHeight="1" x14ac:dyDescent="0.2">
      <c r="B293" s="2548" t="s">
        <v>364</v>
      </c>
      <c r="C293" s="2549" t="s">
        <v>354</v>
      </c>
      <c r="D293" s="2550"/>
      <c r="E293" s="2958"/>
      <c r="F293" s="2959">
        <f t="shared" ref="F293:Q293" si="86">+F289+F292</f>
        <v>0</v>
      </c>
      <c r="G293" s="2959">
        <f t="shared" si="86"/>
        <v>0</v>
      </c>
      <c r="H293" s="2959">
        <f t="shared" si="86"/>
        <v>0</v>
      </c>
      <c r="I293" s="2959">
        <f t="shared" si="86"/>
        <v>0</v>
      </c>
      <c r="J293" s="2959">
        <f t="shared" si="86"/>
        <v>0</v>
      </c>
      <c r="K293" s="2959">
        <f t="shared" si="86"/>
        <v>0</v>
      </c>
      <c r="L293" s="2959">
        <f t="shared" si="86"/>
        <v>0</v>
      </c>
      <c r="M293" s="2959">
        <f t="shared" si="86"/>
        <v>0</v>
      </c>
      <c r="N293" s="2959">
        <f t="shared" si="86"/>
        <v>0</v>
      </c>
      <c r="O293" s="2959">
        <f t="shared" si="86"/>
        <v>0</v>
      </c>
      <c r="P293" s="2959">
        <f t="shared" si="86"/>
        <v>0</v>
      </c>
      <c r="Q293" s="2959">
        <f t="shared" si="86"/>
        <v>0</v>
      </c>
      <c r="R293" s="403">
        <f>+SUM(F293:Q293)</f>
        <v>0</v>
      </c>
      <c r="S293" s="2468"/>
    </row>
    <row r="294" spans="2:23" ht="15.9" customHeight="1" x14ac:dyDescent="0.2">
      <c r="B294" s="2524" t="s">
        <v>359</v>
      </c>
      <c r="C294" s="2525"/>
      <c r="D294" s="2525"/>
      <c r="E294" s="2525"/>
      <c r="F294" s="2932"/>
      <c r="G294" s="2932"/>
      <c r="H294" s="2932"/>
      <c r="I294" s="2932"/>
      <c r="J294" s="2932"/>
      <c r="K294" s="2932"/>
      <c r="L294" s="2932"/>
      <c r="M294" s="2932"/>
      <c r="N294" s="2932"/>
      <c r="O294" s="2932"/>
      <c r="P294" s="2932"/>
      <c r="Q294" s="2932"/>
      <c r="R294" s="2768"/>
      <c r="S294" s="2468"/>
    </row>
    <row r="295" spans="2:23" ht="15.9" customHeight="1" thickBot="1" x14ac:dyDescent="0.25">
      <c r="B295" s="399" t="s">
        <v>1116</v>
      </c>
      <c r="C295" s="400" t="s">
        <v>354</v>
      </c>
      <c r="D295" s="400"/>
      <c r="E295" s="2998">
        <f>General!$C$101</f>
        <v>0</v>
      </c>
      <c r="F295" s="2868">
        <f t="shared" ref="F295:Q295" si="87">ROUND((((F19+F17)*F20+(F24+F22)*F25)*$E$295),0)</f>
        <v>0</v>
      </c>
      <c r="G295" s="2869">
        <f t="shared" si="87"/>
        <v>0</v>
      </c>
      <c r="H295" s="2869">
        <f t="shared" si="87"/>
        <v>0</v>
      </c>
      <c r="I295" s="2869">
        <f t="shared" si="87"/>
        <v>0</v>
      </c>
      <c r="J295" s="2869">
        <f t="shared" si="87"/>
        <v>0</v>
      </c>
      <c r="K295" s="2869">
        <f t="shared" si="87"/>
        <v>0</v>
      </c>
      <c r="L295" s="2869">
        <f t="shared" si="87"/>
        <v>0</v>
      </c>
      <c r="M295" s="2869">
        <f t="shared" si="87"/>
        <v>0</v>
      </c>
      <c r="N295" s="2869">
        <f t="shared" si="87"/>
        <v>0</v>
      </c>
      <c r="O295" s="2869">
        <f t="shared" si="87"/>
        <v>0</v>
      </c>
      <c r="P295" s="2869">
        <f t="shared" si="87"/>
        <v>0</v>
      </c>
      <c r="Q295" s="2872">
        <f t="shared" si="87"/>
        <v>0</v>
      </c>
      <c r="R295" s="408">
        <f>+SUM(F295:Q295)</f>
        <v>0</v>
      </c>
      <c r="S295" s="2468"/>
    </row>
    <row r="296" spans="2:23" ht="15.9" customHeight="1" x14ac:dyDescent="0.2">
      <c r="B296" s="389" t="s">
        <v>1251</v>
      </c>
      <c r="C296" s="390" t="s">
        <v>354</v>
      </c>
      <c r="D296" s="2466"/>
      <c r="E296" s="2466"/>
      <c r="F296" s="5133"/>
      <c r="G296" s="5134"/>
      <c r="H296" s="5134"/>
      <c r="I296" s="5134"/>
      <c r="J296" s="5134"/>
      <c r="K296" s="5134"/>
      <c r="L296" s="5134"/>
      <c r="M296" s="5134"/>
      <c r="N296" s="5134"/>
      <c r="O296" s="5134"/>
      <c r="P296" s="5134"/>
      <c r="Q296" s="5135"/>
      <c r="R296" s="851">
        <f>+SUM(F296:Q296)</f>
        <v>0</v>
      </c>
      <c r="S296" s="2468"/>
    </row>
    <row r="297" spans="2:23" ht="15.9" customHeight="1" x14ac:dyDescent="0.2">
      <c r="B297" s="389" t="s">
        <v>1289</v>
      </c>
      <c r="C297" s="390" t="s">
        <v>356</v>
      </c>
      <c r="D297" s="2466"/>
      <c r="E297" s="2466"/>
      <c r="F297" s="5136"/>
      <c r="G297" s="5137"/>
      <c r="H297" s="5137"/>
      <c r="I297" s="5137"/>
      <c r="J297" s="5137"/>
      <c r="K297" s="5137"/>
      <c r="L297" s="5137"/>
      <c r="M297" s="5137"/>
      <c r="N297" s="5137"/>
      <c r="O297" s="5137"/>
      <c r="P297" s="5137"/>
      <c r="Q297" s="5138"/>
      <c r="R297" s="2547"/>
      <c r="S297" s="2468"/>
    </row>
    <row r="298" spans="2:23" ht="15.9" customHeight="1" thickBot="1" x14ac:dyDescent="0.25">
      <c r="B298" s="389" t="s">
        <v>1293</v>
      </c>
      <c r="C298" s="390" t="s">
        <v>362</v>
      </c>
      <c r="D298" s="2466"/>
      <c r="E298" s="2466"/>
      <c r="F298" s="5139"/>
      <c r="G298" s="5140"/>
      <c r="H298" s="5140"/>
      <c r="I298" s="5140"/>
      <c r="J298" s="5140"/>
      <c r="K298" s="5140"/>
      <c r="L298" s="5140"/>
      <c r="M298" s="5140"/>
      <c r="N298" s="5140"/>
      <c r="O298" s="5140"/>
      <c r="P298" s="5140"/>
      <c r="Q298" s="5141"/>
      <c r="R298" s="2999"/>
      <c r="S298" s="2468"/>
    </row>
    <row r="299" spans="2:23" ht="15.9" customHeight="1" thickBot="1" x14ac:dyDescent="0.25">
      <c r="B299" s="826" t="s">
        <v>360</v>
      </c>
      <c r="C299" s="827" t="s">
        <v>354</v>
      </c>
      <c r="D299" s="2962">
        <f>General!$C$102</f>
        <v>0</v>
      </c>
      <c r="E299" s="2963">
        <f>ROUND((R293*D299),0)</f>
        <v>0</v>
      </c>
      <c r="F299" s="5142"/>
      <c r="G299" s="5143"/>
      <c r="H299" s="5143"/>
      <c r="I299" s="5143"/>
      <c r="J299" s="5143"/>
      <c r="K299" s="5143"/>
      <c r="L299" s="5143"/>
      <c r="M299" s="5143"/>
      <c r="N299" s="5143"/>
      <c r="O299" s="5143"/>
      <c r="P299" s="5143"/>
      <c r="Q299" s="5144"/>
      <c r="R299" s="1312">
        <f>+SUM(F299:Q299)</f>
        <v>0</v>
      </c>
      <c r="S299" s="2468"/>
    </row>
    <row r="300" spans="2:23" ht="15.9" customHeight="1" x14ac:dyDescent="0.2">
      <c r="B300" s="389" t="s">
        <v>1248</v>
      </c>
      <c r="C300" s="390" t="s">
        <v>354</v>
      </c>
      <c r="D300" s="2466"/>
      <c r="E300" s="2466"/>
      <c r="F300" s="3000"/>
      <c r="G300" s="2536">
        <f>+F287/2</f>
        <v>0</v>
      </c>
      <c r="H300" s="2536">
        <f>F292-F295-F296-F299+F287/2</f>
        <v>0</v>
      </c>
      <c r="I300" s="2536">
        <f>G292-G295-G296-G299</f>
        <v>0</v>
      </c>
      <c r="J300" s="2536">
        <f>H292-H295-H296-H299</f>
        <v>0</v>
      </c>
      <c r="K300" s="2575">
        <f t="shared" ref="K300:Q300" si="88">I292-I295-I296-I299</f>
        <v>0</v>
      </c>
      <c r="L300" s="2575">
        <f t="shared" si="88"/>
        <v>0</v>
      </c>
      <c r="M300" s="2575">
        <f t="shared" si="88"/>
        <v>0</v>
      </c>
      <c r="N300" s="2575">
        <f t="shared" si="88"/>
        <v>0</v>
      </c>
      <c r="O300" s="2575">
        <f t="shared" si="88"/>
        <v>0</v>
      </c>
      <c r="P300" s="2536">
        <f t="shared" si="88"/>
        <v>0</v>
      </c>
      <c r="Q300" s="2537">
        <f t="shared" si="88"/>
        <v>0</v>
      </c>
      <c r="R300" s="404">
        <f>+SUM(F300:Q300)</f>
        <v>0</v>
      </c>
      <c r="S300" s="2468"/>
    </row>
    <row r="301" spans="2:23" ht="15.9" customHeight="1" x14ac:dyDescent="0.2">
      <c r="B301" s="2548" t="s">
        <v>365</v>
      </c>
      <c r="C301" s="2549"/>
      <c r="D301" s="2550"/>
      <c r="E301" s="2550"/>
      <c r="F301" s="2551">
        <f>+F296+F299+F300+F295</f>
        <v>0</v>
      </c>
      <c r="G301" s="2552">
        <f>+G296+G299+G300+G295</f>
        <v>0</v>
      </c>
      <c r="H301" s="2552">
        <f>+H296+H299+H300+H295</f>
        <v>0</v>
      </c>
      <c r="I301" s="2552">
        <f t="shared" ref="I301:Q301" si="89">+I296+I299+I300+I295</f>
        <v>0</v>
      </c>
      <c r="J301" s="2552">
        <f t="shared" si="89"/>
        <v>0</v>
      </c>
      <c r="K301" s="2552">
        <f t="shared" si="89"/>
        <v>0</v>
      </c>
      <c r="L301" s="2552">
        <f t="shared" si="89"/>
        <v>0</v>
      </c>
      <c r="M301" s="2552">
        <f t="shared" si="89"/>
        <v>0</v>
      </c>
      <c r="N301" s="2552">
        <f t="shared" si="89"/>
        <v>0</v>
      </c>
      <c r="O301" s="2552">
        <f t="shared" si="89"/>
        <v>0</v>
      </c>
      <c r="P301" s="2552">
        <f t="shared" si="89"/>
        <v>0</v>
      </c>
      <c r="Q301" s="2553">
        <f t="shared" si="89"/>
        <v>0</v>
      </c>
      <c r="R301" s="403">
        <f>+SUM(F301:Q301)</f>
        <v>0</v>
      </c>
      <c r="S301" s="2468"/>
      <c r="T301" s="2468"/>
    </row>
    <row r="302" spans="2:23" ht="15.9" customHeight="1" thickBot="1" x14ac:dyDescent="0.25">
      <c r="B302" s="2509" t="s">
        <v>1364</v>
      </c>
      <c r="C302" s="2510" t="s">
        <v>357</v>
      </c>
      <c r="D302" s="2511"/>
      <c r="E302" s="2511"/>
      <c r="F302" s="2577">
        <f>F287+F293-F301</f>
        <v>0</v>
      </c>
      <c r="G302" s="2688">
        <f t="shared" ref="G302:Q302" si="90">G287+G293-G301</f>
        <v>0</v>
      </c>
      <c r="H302" s="2688">
        <f t="shared" si="90"/>
        <v>0</v>
      </c>
      <c r="I302" s="2688">
        <f t="shared" si="90"/>
        <v>0</v>
      </c>
      <c r="J302" s="2688">
        <f t="shared" si="90"/>
        <v>0</v>
      </c>
      <c r="K302" s="2688">
        <f t="shared" si="90"/>
        <v>0</v>
      </c>
      <c r="L302" s="2688">
        <f t="shared" si="90"/>
        <v>0</v>
      </c>
      <c r="M302" s="2688">
        <f t="shared" si="90"/>
        <v>0</v>
      </c>
      <c r="N302" s="2688">
        <f t="shared" si="90"/>
        <v>0</v>
      </c>
      <c r="O302" s="2688">
        <f t="shared" si="90"/>
        <v>0</v>
      </c>
      <c r="P302" s="2688">
        <f t="shared" si="90"/>
        <v>0</v>
      </c>
      <c r="Q302" s="2689">
        <f t="shared" si="90"/>
        <v>0</v>
      </c>
      <c r="R302" s="2906"/>
      <c r="S302" s="2468"/>
      <c r="T302" s="2468"/>
    </row>
    <row r="303" spans="2:23" ht="15.9" customHeight="1" thickBot="1" x14ac:dyDescent="0.25">
      <c r="B303" s="2776" t="s">
        <v>397</v>
      </c>
      <c r="C303" s="3001" t="s">
        <v>354</v>
      </c>
      <c r="D303" s="2778"/>
      <c r="E303" s="3002"/>
      <c r="F303" s="3003">
        <f>(F287+F302)/2</f>
        <v>0</v>
      </c>
      <c r="G303" s="3004">
        <f t="shared" ref="G303:Q303" si="91">(F302+G302)/2</f>
        <v>0</v>
      </c>
      <c r="H303" s="3004">
        <f t="shared" si="91"/>
        <v>0</v>
      </c>
      <c r="I303" s="3004">
        <f t="shared" si="91"/>
        <v>0</v>
      </c>
      <c r="J303" s="3004">
        <f>(I302+J302)/2</f>
        <v>0</v>
      </c>
      <c r="K303" s="3004">
        <f t="shared" si="91"/>
        <v>0</v>
      </c>
      <c r="L303" s="3004">
        <f t="shared" si="91"/>
        <v>0</v>
      </c>
      <c r="M303" s="3004">
        <f t="shared" si="91"/>
        <v>0</v>
      </c>
      <c r="N303" s="3004">
        <f t="shared" si="91"/>
        <v>0</v>
      </c>
      <c r="O303" s="3004">
        <f t="shared" si="91"/>
        <v>0</v>
      </c>
      <c r="P303" s="3004">
        <f t="shared" si="91"/>
        <v>0</v>
      </c>
      <c r="Q303" s="3005">
        <f t="shared" si="91"/>
        <v>0</v>
      </c>
      <c r="R303" s="2534">
        <f>AVERAGE(F303:Q303)</f>
        <v>0</v>
      </c>
      <c r="S303" s="2731" t="s">
        <v>415</v>
      </c>
      <c r="T303" s="2731"/>
      <c r="U303" s="2732"/>
    </row>
    <row r="304" spans="2:23" s="2733" customFormat="1" ht="15.9" customHeight="1" x14ac:dyDescent="0.2">
      <c r="B304" s="828" t="s">
        <v>1673</v>
      </c>
      <c r="C304" s="829" t="s">
        <v>552</v>
      </c>
      <c r="D304" s="3006"/>
      <c r="E304" s="857"/>
      <c r="F304" s="5202">
        <v>1.5</v>
      </c>
      <c r="G304" s="5202">
        <v>1.5</v>
      </c>
      <c r="H304" s="5202">
        <v>1.5</v>
      </c>
      <c r="I304" s="5202">
        <v>1.5</v>
      </c>
      <c r="J304" s="5202">
        <v>1.5</v>
      </c>
      <c r="K304" s="5202">
        <v>1.5</v>
      </c>
      <c r="L304" s="5202">
        <v>1.5</v>
      </c>
      <c r="M304" s="5202">
        <v>1.5</v>
      </c>
      <c r="N304" s="5202">
        <v>1.5</v>
      </c>
      <c r="O304" s="5202">
        <v>1.5</v>
      </c>
      <c r="P304" s="5202">
        <v>1.5</v>
      </c>
      <c r="Q304" s="5202">
        <v>1.5</v>
      </c>
      <c r="R304" s="3007"/>
      <c r="S304" s="2737" t="s">
        <v>416</v>
      </c>
      <c r="T304" s="2737"/>
      <c r="U304" s="2738">
        <f>$U$94</f>
        <v>0</v>
      </c>
      <c r="W304" s="2739"/>
    </row>
    <row r="305" spans="1:23" s="2733" customFormat="1" ht="15.9" customHeight="1" thickBot="1" x14ac:dyDescent="0.25">
      <c r="B305" s="397" t="s">
        <v>1674</v>
      </c>
      <c r="C305" s="398" t="s">
        <v>551</v>
      </c>
      <c r="D305" s="2742"/>
      <c r="E305" s="2996"/>
      <c r="F305" s="5199">
        <v>1</v>
      </c>
      <c r="G305" s="5203">
        <v>1</v>
      </c>
      <c r="H305" s="5203">
        <v>1</v>
      </c>
      <c r="I305" s="5200">
        <v>1</v>
      </c>
      <c r="J305" s="5200">
        <v>1</v>
      </c>
      <c r="K305" s="5200">
        <v>1</v>
      </c>
      <c r="L305" s="5200">
        <v>1</v>
      </c>
      <c r="M305" s="5200">
        <v>1</v>
      </c>
      <c r="N305" s="5200">
        <v>1</v>
      </c>
      <c r="O305" s="5200">
        <v>1</v>
      </c>
      <c r="P305" s="5200">
        <v>1</v>
      </c>
      <c r="Q305" s="5201">
        <v>1</v>
      </c>
      <c r="R305" s="706"/>
      <c r="S305" s="2742" t="s">
        <v>417</v>
      </c>
      <c r="T305" s="2668"/>
      <c r="U305" s="2743">
        <f>$U$95</f>
        <v>0</v>
      </c>
      <c r="W305" s="2739"/>
    </row>
    <row r="306" spans="1:23" s="2466" customFormat="1" ht="15.9" customHeight="1" x14ac:dyDescent="0.2">
      <c r="C306" s="2465"/>
      <c r="F306" s="2677"/>
      <c r="G306" s="2677"/>
      <c r="H306" s="2677"/>
      <c r="I306" s="2677"/>
      <c r="J306" s="2677"/>
      <c r="K306" s="2677"/>
      <c r="L306" s="2677"/>
      <c r="M306" s="2677"/>
      <c r="N306" s="2677"/>
      <c r="O306" s="2677"/>
      <c r="P306" s="2677"/>
      <c r="Q306" s="2677"/>
      <c r="T306" s="2678"/>
    </row>
    <row r="307" spans="1:23" s="2466" customFormat="1" ht="15.9" customHeight="1" thickBot="1" x14ac:dyDescent="0.25">
      <c r="C307" s="2465"/>
      <c r="F307" s="2677"/>
      <c r="G307" s="2677"/>
      <c r="H307" s="2677"/>
      <c r="I307" s="2677"/>
      <c r="J307" s="2677"/>
      <c r="K307" s="2677"/>
      <c r="L307" s="2677"/>
      <c r="M307" s="2677"/>
      <c r="N307" s="2677"/>
      <c r="O307" s="2677"/>
      <c r="P307" s="2677"/>
      <c r="Q307" s="2677"/>
      <c r="T307" s="2678"/>
    </row>
    <row r="308" spans="1:23" ht="15.9" customHeight="1" thickBot="1" x14ac:dyDescent="0.25">
      <c r="A308" s="2487">
        <f>+A285+1</f>
        <v>81</v>
      </c>
      <c r="B308" s="2488" t="s">
        <v>1130</v>
      </c>
      <c r="C308" s="2490" t="s">
        <v>1249</v>
      </c>
      <c r="D308" s="2490"/>
      <c r="E308" s="2489"/>
      <c r="F308" s="2489"/>
      <c r="G308" s="2489"/>
      <c r="H308" s="2489"/>
      <c r="I308" s="2489"/>
      <c r="J308" s="2489"/>
      <c r="K308" s="2489"/>
      <c r="L308" s="2489"/>
      <c r="M308" s="2489"/>
      <c r="N308" s="2489"/>
      <c r="O308" s="2489"/>
      <c r="P308" s="2489"/>
      <c r="Q308" s="2489"/>
      <c r="R308" s="2491"/>
      <c r="S308" s="2468"/>
    </row>
    <row r="309" spans="1:23" ht="15.9" customHeight="1" x14ac:dyDescent="0.2">
      <c r="B309" s="2679" t="s">
        <v>683</v>
      </c>
      <c r="C309" s="2680"/>
      <c r="D309" s="2680"/>
      <c r="E309" s="2681"/>
      <c r="F309" s="2682" t="str">
        <f t="shared" ref="F309:Q309" si="92">+F286</f>
        <v>Ene</v>
      </c>
      <c r="G309" s="2682" t="str">
        <f t="shared" si="92"/>
        <v>Feb</v>
      </c>
      <c r="H309" s="2682" t="str">
        <f t="shared" si="92"/>
        <v>Mar</v>
      </c>
      <c r="I309" s="2682" t="str">
        <f t="shared" si="92"/>
        <v>Abr</v>
      </c>
      <c r="J309" s="2682" t="str">
        <f t="shared" si="92"/>
        <v>May</v>
      </c>
      <c r="K309" s="2682" t="str">
        <f t="shared" si="92"/>
        <v>Jun</v>
      </c>
      <c r="L309" s="2682" t="str">
        <f t="shared" si="92"/>
        <v>Jul</v>
      </c>
      <c r="M309" s="2682" t="str">
        <f t="shared" si="92"/>
        <v>Ago</v>
      </c>
      <c r="N309" s="2682" t="str">
        <f t="shared" si="92"/>
        <v>Set</v>
      </c>
      <c r="O309" s="2682" t="str">
        <f t="shared" si="92"/>
        <v>Oct</v>
      </c>
      <c r="P309" s="2682" t="str">
        <f t="shared" si="92"/>
        <v>Nov</v>
      </c>
      <c r="Q309" s="2682" t="str">
        <f t="shared" si="92"/>
        <v>Dic</v>
      </c>
      <c r="R309" s="2808" t="s">
        <v>1110</v>
      </c>
      <c r="S309" s="2468"/>
    </row>
    <row r="310" spans="1:23" ht="15.9" customHeight="1" x14ac:dyDescent="0.2">
      <c r="B310" s="2509" t="s">
        <v>1363</v>
      </c>
      <c r="C310" s="2510" t="s">
        <v>357</v>
      </c>
      <c r="D310" s="2511"/>
      <c r="E310" s="2511"/>
      <c r="F310" s="2512">
        <f>+General!C79</f>
        <v>0</v>
      </c>
      <c r="G310" s="832">
        <f t="shared" ref="G310:Q310" si="93">+F325</f>
        <v>0</v>
      </c>
      <c r="H310" s="832">
        <f t="shared" si="93"/>
        <v>0</v>
      </c>
      <c r="I310" s="832">
        <f t="shared" si="93"/>
        <v>0</v>
      </c>
      <c r="J310" s="832">
        <f t="shared" si="93"/>
        <v>0</v>
      </c>
      <c r="K310" s="832">
        <f t="shared" si="93"/>
        <v>0</v>
      </c>
      <c r="L310" s="832">
        <f t="shared" si="93"/>
        <v>0</v>
      </c>
      <c r="M310" s="832">
        <f t="shared" si="93"/>
        <v>0</v>
      </c>
      <c r="N310" s="832">
        <f t="shared" si="93"/>
        <v>0</v>
      </c>
      <c r="O310" s="832">
        <f t="shared" si="93"/>
        <v>0</v>
      </c>
      <c r="P310" s="832">
        <f t="shared" si="93"/>
        <v>0</v>
      </c>
      <c r="Q310" s="832">
        <f t="shared" si="93"/>
        <v>0</v>
      </c>
      <c r="R310" s="2952" t="s">
        <v>1111</v>
      </c>
      <c r="S310" s="2468"/>
    </row>
    <row r="311" spans="1:23" ht="15.9" customHeight="1" x14ac:dyDescent="0.2">
      <c r="B311" s="2524" t="s">
        <v>352</v>
      </c>
      <c r="C311" s="2525"/>
      <c r="D311" s="2525"/>
      <c r="E311" s="2525"/>
      <c r="F311" s="2932"/>
      <c r="G311" s="2932"/>
      <c r="H311" s="2932"/>
      <c r="I311" s="2932"/>
      <c r="J311" s="2932"/>
      <c r="K311" s="2932"/>
      <c r="L311" s="2932"/>
      <c r="M311" s="2932"/>
      <c r="N311" s="2932"/>
      <c r="O311" s="2932"/>
      <c r="P311" s="2932"/>
      <c r="Q311" s="2932"/>
      <c r="R311" s="2768"/>
      <c r="S311" s="2468"/>
    </row>
    <row r="312" spans="1:23" ht="15.9" customHeight="1" thickBot="1" x14ac:dyDescent="0.25">
      <c r="B312" s="389" t="s">
        <v>379</v>
      </c>
      <c r="C312" s="390" t="s">
        <v>354</v>
      </c>
      <c r="D312" s="400"/>
      <c r="E312" s="707"/>
      <c r="F312" s="2868">
        <f t="shared" ref="F312:Q312" si="94">ROUND((F15+F16+F17)*(1-F20)+(F21+F22)*(1-F25),0)</f>
        <v>0</v>
      </c>
      <c r="G312" s="2869">
        <f t="shared" si="94"/>
        <v>0</v>
      </c>
      <c r="H312" s="2869">
        <f t="shared" si="94"/>
        <v>0</v>
      </c>
      <c r="I312" s="2869">
        <f t="shared" si="94"/>
        <v>0</v>
      </c>
      <c r="J312" s="2869">
        <f t="shared" si="94"/>
        <v>0</v>
      </c>
      <c r="K312" s="2869">
        <f t="shared" si="94"/>
        <v>0</v>
      </c>
      <c r="L312" s="2869">
        <f t="shared" si="94"/>
        <v>0</v>
      </c>
      <c r="M312" s="2869">
        <f t="shared" si="94"/>
        <v>0</v>
      </c>
      <c r="N312" s="2869">
        <f t="shared" si="94"/>
        <v>0</v>
      </c>
      <c r="O312" s="2869">
        <f t="shared" si="94"/>
        <v>0</v>
      </c>
      <c r="P312" s="2869">
        <f t="shared" si="94"/>
        <v>0</v>
      </c>
      <c r="Q312" s="2872">
        <f t="shared" si="94"/>
        <v>0</v>
      </c>
      <c r="R312" s="1324"/>
      <c r="S312" s="2468"/>
    </row>
    <row r="313" spans="1:23" ht="15.9" customHeight="1" x14ac:dyDescent="0.2">
      <c r="B313" s="3008" t="s">
        <v>364</v>
      </c>
      <c r="C313" s="3009" t="s">
        <v>354</v>
      </c>
      <c r="D313" s="3010"/>
      <c r="E313" s="3011"/>
      <c r="F313" s="3012">
        <f>+F312</f>
        <v>0</v>
      </c>
      <c r="G313" s="3013">
        <f>+G312</f>
        <v>0</v>
      </c>
      <c r="H313" s="3013">
        <f t="shared" ref="H313:Q313" si="95">+H312</f>
        <v>0</v>
      </c>
      <c r="I313" s="3013">
        <f t="shared" si="95"/>
        <v>0</v>
      </c>
      <c r="J313" s="3013">
        <f t="shared" si="95"/>
        <v>0</v>
      </c>
      <c r="K313" s="3013">
        <f t="shared" si="95"/>
        <v>0</v>
      </c>
      <c r="L313" s="3013">
        <f t="shared" si="95"/>
        <v>0</v>
      </c>
      <c r="M313" s="3013">
        <f t="shared" si="95"/>
        <v>0</v>
      </c>
      <c r="N313" s="3013">
        <f t="shared" si="95"/>
        <v>0</v>
      </c>
      <c r="O313" s="3013">
        <f t="shared" si="95"/>
        <v>0</v>
      </c>
      <c r="P313" s="3013">
        <f t="shared" si="95"/>
        <v>0</v>
      </c>
      <c r="Q313" s="3014">
        <f t="shared" si="95"/>
        <v>0</v>
      </c>
      <c r="R313" s="1325">
        <f>+SUM(F313:Q313)</f>
        <v>0</v>
      </c>
      <c r="S313" s="2468"/>
    </row>
    <row r="314" spans="1:23" ht="15.9" customHeight="1" x14ac:dyDescent="0.2">
      <c r="B314" s="2524" t="s">
        <v>359</v>
      </c>
      <c r="C314" s="2525"/>
      <c r="D314" s="2525"/>
      <c r="E314" s="2525"/>
      <c r="F314" s="2932"/>
      <c r="G314" s="2932"/>
      <c r="H314" s="2932"/>
      <c r="I314" s="2932"/>
      <c r="J314" s="2932"/>
      <c r="K314" s="2932"/>
      <c r="L314" s="2932"/>
      <c r="M314" s="2932"/>
      <c r="N314" s="2932"/>
      <c r="O314" s="2932"/>
      <c r="P314" s="2932"/>
      <c r="Q314" s="2932"/>
      <c r="R314" s="2768"/>
      <c r="S314" s="2468"/>
    </row>
    <row r="315" spans="1:23" ht="15.9" customHeight="1" thickBot="1" x14ac:dyDescent="0.25">
      <c r="B315" s="858" t="s">
        <v>1116</v>
      </c>
      <c r="C315" s="859" t="s">
        <v>354</v>
      </c>
      <c r="D315" s="859"/>
      <c r="E315" s="3015">
        <f>General!$C$101</f>
        <v>0</v>
      </c>
      <c r="F315" s="3016">
        <f t="shared" ref="F315:Q315" si="96">ROUND((((F19+F17)*F20+(F24+F22)*F25)*$E$295),0)</f>
        <v>0</v>
      </c>
      <c r="G315" s="3017">
        <f t="shared" si="96"/>
        <v>0</v>
      </c>
      <c r="H315" s="3017">
        <f t="shared" si="96"/>
        <v>0</v>
      </c>
      <c r="I315" s="3017">
        <f t="shared" si="96"/>
        <v>0</v>
      </c>
      <c r="J315" s="3017">
        <f t="shared" si="96"/>
        <v>0</v>
      </c>
      <c r="K315" s="3017">
        <f t="shared" si="96"/>
        <v>0</v>
      </c>
      <c r="L315" s="3017">
        <f t="shared" si="96"/>
        <v>0</v>
      </c>
      <c r="M315" s="3017">
        <f t="shared" si="96"/>
        <v>0</v>
      </c>
      <c r="N315" s="3017">
        <f t="shared" si="96"/>
        <v>0</v>
      </c>
      <c r="O315" s="3017">
        <f t="shared" si="96"/>
        <v>0</v>
      </c>
      <c r="P315" s="3017">
        <f t="shared" si="96"/>
        <v>0</v>
      </c>
      <c r="Q315" s="3018">
        <f t="shared" si="96"/>
        <v>0</v>
      </c>
      <c r="R315" s="860">
        <f>+SUM(F315:Q315)</f>
        <v>0</v>
      </c>
      <c r="S315" s="2468"/>
    </row>
    <row r="316" spans="1:23" ht="15.9" customHeight="1" thickBot="1" x14ac:dyDescent="0.25">
      <c r="B316" s="401" t="s">
        <v>634</v>
      </c>
      <c r="C316" s="402" t="s">
        <v>354</v>
      </c>
      <c r="D316" s="3019"/>
      <c r="E316" s="2468"/>
      <c r="F316" s="3020">
        <f t="shared" ref="F316:Q316" si="97">+ROUND(IF(OR($D$317=1,F317=1),F313-F315,0),0)</f>
        <v>0</v>
      </c>
      <c r="G316" s="3021">
        <f t="shared" si="97"/>
        <v>0</v>
      </c>
      <c r="H316" s="3021">
        <f t="shared" si="97"/>
        <v>0</v>
      </c>
      <c r="I316" s="3021">
        <f t="shared" si="97"/>
        <v>0</v>
      </c>
      <c r="J316" s="3021">
        <f t="shared" si="97"/>
        <v>0</v>
      </c>
      <c r="K316" s="3021">
        <f t="shared" si="97"/>
        <v>0</v>
      </c>
      <c r="L316" s="3021">
        <f t="shared" si="97"/>
        <v>0</v>
      </c>
      <c r="M316" s="3021">
        <f t="shared" si="97"/>
        <v>0</v>
      </c>
      <c r="N316" s="3021">
        <f t="shared" si="97"/>
        <v>0</v>
      </c>
      <c r="O316" s="3021">
        <f t="shared" si="97"/>
        <v>0</v>
      </c>
      <c r="P316" s="3021">
        <f t="shared" si="97"/>
        <v>0</v>
      </c>
      <c r="Q316" s="3022">
        <f t="shared" si="97"/>
        <v>0</v>
      </c>
      <c r="R316" s="387"/>
      <c r="S316" s="2468"/>
    </row>
    <row r="317" spans="1:23" s="2716" customFormat="1" ht="15.9" hidden="1" customHeight="1" x14ac:dyDescent="0.2">
      <c r="A317" s="3023" t="s">
        <v>1125</v>
      </c>
      <c r="B317" s="2632" t="s">
        <v>1624</v>
      </c>
      <c r="C317" s="955" t="s">
        <v>1626</v>
      </c>
      <c r="D317" s="2631">
        <f>+O62</f>
        <v>0</v>
      </c>
      <c r="E317" s="2632" t="s">
        <v>1625</v>
      </c>
      <c r="F317" s="3024">
        <f>+F56</f>
        <v>0</v>
      </c>
      <c r="G317" s="3024">
        <f t="shared" ref="G317:Q317" si="98">+G56</f>
        <v>0</v>
      </c>
      <c r="H317" s="3024">
        <f t="shared" si="98"/>
        <v>0</v>
      </c>
      <c r="I317" s="3024">
        <f t="shared" si="98"/>
        <v>0</v>
      </c>
      <c r="J317" s="3024">
        <f t="shared" si="98"/>
        <v>0</v>
      </c>
      <c r="K317" s="3024">
        <f t="shared" si="98"/>
        <v>0</v>
      </c>
      <c r="L317" s="3024">
        <f t="shared" si="98"/>
        <v>0</v>
      </c>
      <c r="M317" s="3024">
        <f t="shared" si="98"/>
        <v>0</v>
      </c>
      <c r="N317" s="3024">
        <f t="shared" si="98"/>
        <v>0</v>
      </c>
      <c r="O317" s="3024">
        <f t="shared" si="98"/>
        <v>0</v>
      </c>
      <c r="P317" s="3024">
        <f t="shared" si="98"/>
        <v>0</v>
      </c>
      <c r="Q317" s="3024">
        <f t="shared" si="98"/>
        <v>0</v>
      </c>
      <c r="R317" s="956"/>
      <c r="T317" s="3025"/>
    </row>
    <row r="318" spans="1:23" s="2508" customFormat="1" ht="15.9" hidden="1" customHeight="1" x14ac:dyDescent="0.2">
      <c r="A318" s="3023" t="s">
        <v>1125</v>
      </c>
      <c r="B318" s="709" t="s">
        <v>1264</v>
      </c>
      <c r="C318" s="710" t="s">
        <v>356</v>
      </c>
      <c r="D318" s="2506"/>
      <c r="E318" s="2506"/>
      <c r="F318" s="3026">
        <f>+$J$62</f>
        <v>0</v>
      </c>
      <c r="G318" s="3027">
        <f>+F318</f>
        <v>0</v>
      </c>
      <c r="H318" s="3028">
        <f t="shared" ref="H318:Q318" si="99">+G318</f>
        <v>0</v>
      </c>
      <c r="I318" s="3028">
        <f t="shared" si="99"/>
        <v>0</v>
      </c>
      <c r="J318" s="3028">
        <f>+I318</f>
        <v>0</v>
      </c>
      <c r="K318" s="3028">
        <f t="shared" si="99"/>
        <v>0</v>
      </c>
      <c r="L318" s="3028">
        <f t="shared" si="99"/>
        <v>0</v>
      </c>
      <c r="M318" s="3028">
        <f t="shared" si="99"/>
        <v>0</v>
      </c>
      <c r="N318" s="3028">
        <f t="shared" si="99"/>
        <v>0</v>
      </c>
      <c r="O318" s="3028">
        <f t="shared" si="99"/>
        <v>0</v>
      </c>
      <c r="P318" s="3028">
        <f t="shared" si="99"/>
        <v>0</v>
      </c>
      <c r="Q318" s="3029">
        <f t="shared" si="99"/>
        <v>0</v>
      </c>
      <c r="R318" s="3030"/>
      <c r="T318" s="3031"/>
    </row>
    <row r="319" spans="1:23" s="2508" customFormat="1" ht="15.9" hidden="1" customHeight="1" thickBot="1" x14ac:dyDescent="0.25">
      <c r="A319" s="3023" t="s">
        <v>1125</v>
      </c>
      <c r="B319" s="709" t="s">
        <v>1302</v>
      </c>
      <c r="C319" s="710" t="s">
        <v>362</v>
      </c>
      <c r="D319" s="2506"/>
      <c r="E319" s="2506"/>
      <c r="F319" s="3032">
        <f>+$K$62</f>
        <v>0</v>
      </c>
      <c r="G319" s="3033">
        <f t="shared" ref="G319:Q319" si="100">+$K$62</f>
        <v>0</v>
      </c>
      <c r="H319" s="3033">
        <f t="shared" si="100"/>
        <v>0</v>
      </c>
      <c r="I319" s="3033">
        <f t="shared" si="100"/>
        <v>0</v>
      </c>
      <c r="J319" s="3033">
        <f t="shared" si="100"/>
        <v>0</v>
      </c>
      <c r="K319" s="3033">
        <f t="shared" si="100"/>
        <v>0</v>
      </c>
      <c r="L319" s="3033">
        <f t="shared" si="100"/>
        <v>0</v>
      </c>
      <c r="M319" s="3033">
        <f t="shared" si="100"/>
        <v>0</v>
      </c>
      <c r="N319" s="3033">
        <f t="shared" si="100"/>
        <v>0</v>
      </c>
      <c r="O319" s="3033">
        <f t="shared" si="100"/>
        <v>0</v>
      </c>
      <c r="P319" s="3033">
        <f t="shared" si="100"/>
        <v>0</v>
      </c>
      <c r="Q319" s="3034">
        <f t="shared" si="100"/>
        <v>0</v>
      </c>
      <c r="R319" s="3030"/>
      <c r="T319" s="3031"/>
    </row>
    <row r="320" spans="1:23" ht="15.9" customHeight="1" thickBot="1" x14ac:dyDescent="0.25">
      <c r="B320" s="826" t="s">
        <v>360</v>
      </c>
      <c r="C320" s="827" t="s">
        <v>354</v>
      </c>
      <c r="D320" s="2962">
        <f>General!C102</f>
        <v>0</v>
      </c>
      <c r="E320" s="3035">
        <f>IF(D317=1,0,ROUND(D320*(R313),0))</f>
        <v>0</v>
      </c>
      <c r="F320" s="5204"/>
      <c r="G320" s="5205"/>
      <c r="H320" s="5205"/>
      <c r="I320" s="5205"/>
      <c r="J320" s="5205"/>
      <c r="K320" s="5205"/>
      <c r="L320" s="5205"/>
      <c r="M320" s="5205"/>
      <c r="N320" s="5205"/>
      <c r="O320" s="5205"/>
      <c r="P320" s="5205"/>
      <c r="Q320" s="5206"/>
      <c r="R320" s="861">
        <f>+SUM(F320:Q320)</f>
        <v>0</v>
      </c>
      <c r="S320" s="2468"/>
    </row>
    <row r="321" spans="1:24" ht="15.9" customHeight="1" x14ac:dyDescent="0.2">
      <c r="B321" s="389" t="s">
        <v>1486</v>
      </c>
      <c r="C321" s="390" t="s">
        <v>354</v>
      </c>
      <c r="D321" s="2466"/>
      <c r="E321" s="2466"/>
      <c r="F321" s="3000"/>
      <c r="G321" s="2536"/>
      <c r="H321" s="3036">
        <f>+F312-F315-F316-F320</f>
        <v>0</v>
      </c>
      <c r="I321" s="3036">
        <f>+G312-G315-G316-G320</f>
        <v>0</v>
      </c>
      <c r="J321" s="2912">
        <f t="shared" ref="J321:Q321" si="101">+H312-H315-H316-H320</f>
        <v>0</v>
      </c>
      <c r="K321" s="2912">
        <f t="shared" si="101"/>
        <v>0</v>
      </c>
      <c r="L321" s="2912">
        <f t="shared" si="101"/>
        <v>0</v>
      </c>
      <c r="M321" s="2912">
        <f t="shared" si="101"/>
        <v>0</v>
      </c>
      <c r="N321" s="2912">
        <f t="shared" si="101"/>
        <v>0</v>
      </c>
      <c r="O321" s="2912">
        <f t="shared" si="101"/>
        <v>0</v>
      </c>
      <c r="P321" s="2912">
        <f t="shared" si="101"/>
        <v>0</v>
      </c>
      <c r="Q321" s="2913">
        <f t="shared" si="101"/>
        <v>0</v>
      </c>
      <c r="R321" s="387"/>
      <c r="S321" s="2468"/>
    </row>
    <row r="322" spans="1:24" s="2508" customFormat="1" ht="15.9" hidden="1" customHeight="1" x14ac:dyDescent="0.2">
      <c r="A322" s="3023" t="s">
        <v>1125</v>
      </c>
      <c r="B322" s="709" t="s">
        <v>1467</v>
      </c>
      <c r="C322" s="710" t="s">
        <v>356</v>
      </c>
      <c r="D322" s="2506"/>
      <c r="E322" s="2506"/>
      <c r="F322" s="3037">
        <f>+$H$62</f>
        <v>0</v>
      </c>
      <c r="G322" s="3028">
        <f t="shared" ref="G322:Q322" si="102">+$H$62</f>
        <v>0</v>
      </c>
      <c r="H322" s="3028">
        <f t="shared" si="102"/>
        <v>0</v>
      </c>
      <c r="I322" s="3028">
        <f t="shared" si="102"/>
        <v>0</v>
      </c>
      <c r="J322" s="3028">
        <f t="shared" si="102"/>
        <v>0</v>
      </c>
      <c r="K322" s="3028">
        <f t="shared" si="102"/>
        <v>0</v>
      </c>
      <c r="L322" s="3028">
        <f t="shared" si="102"/>
        <v>0</v>
      </c>
      <c r="M322" s="3028">
        <f t="shared" si="102"/>
        <v>0</v>
      </c>
      <c r="N322" s="3028">
        <f t="shared" si="102"/>
        <v>0</v>
      </c>
      <c r="O322" s="3028">
        <f t="shared" si="102"/>
        <v>0</v>
      </c>
      <c r="P322" s="3028">
        <f t="shared" si="102"/>
        <v>0</v>
      </c>
      <c r="Q322" s="3029">
        <f t="shared" si="102"/>
        <v>0</v>
      </c>
      <c r="R322" s="711"/>
      <c r="T322" s="3031"/>
    </row>
    <row r="323" spans="1:24" s="2508" customFormat="1" ht="15.9" hidden="1" customHeight="1" x14ac:dyDescent="0.2">
      <c r="A323" s="3023" t="s">
        <v>1125</v>
      </c>
      <c r="B323" s="709" t="s">
        <v>1468</v>
      </c>
      <c r="C323" s="710" t="s">
        <v>362</v>
      </c>
      <c r="D323" s="2506"/>
      <c r="E323" s="2506"/>
      <c r="F323" s="3032">
        <f>+$I$62</f>
        <v>0</v>
      </c>
      <c r="G323" s="3032">
        <f>+$I$62</f>
        <v>0</v>
      </c>
      <c r="H323" s="3033">
        <f t="shared" ref="H323:Q323" si="103">+$I$62</f>
        <v>0</v>
      </c>
      <c r="I323" s="3033">
        <f t="shared" si="103"/>
        <v>0</v>
      </c>
      <c r="J323" s="3033">
        <f t="shared" si="103"/>
        <v>0</v>
      </c>
      <c r="K323" s="3033">
        <f t="shared" si="103"/>
        <v>0</v>
      </c>
      <c r="L323" s="3033">
        <f t="shared" si="103"/>
        <v>0</v>
      </c>
      <c r="M323" s="3033">
        <f t="shared" si="103"/>
        <v>0</v>
      </c>
      <c r="N323" s="3033">
        <f t="shared" si="103"/>
        <v>0</v>
      </c>
      <c r="O323" s="3033">
        <f t="shared" si="103"/>
        <v>0</v>
      </c>
      <c r="P323" s="3033">
        <f t="shared" si="103"/>
        <v>0</v>
      </c>
      <c r="Q323" s="3034">
        <f t="shared" si="103"/>
        <v>0</v>
      </c>
      <c r="R323" s="711"/>
      <c r="T323" s="3031"/>
    </row>
    <row r="324" spans="1:24" ht="15.9" customHeight="1" x14ac:dyDescent="0.2">
      <c r="B324" s="2548" t="s">
        <v>365</v>
      </c>
      <c r="C324" s="2549"/>
      <c r="D324" s="2550"/>
      <c r="E324" s="2958"/>
      <c r="F324" s="3038">
        <f t="shared" ref="F324:Q324" si="104">F320+F321+F315+F316</f>
        <v>0</v>
      </c>
      <c r="G324" s="3039">
        <f t="shared" si="104"/>
        <v>0</v>
      </c>
      <c r="H324" s="3039">
        <f t="shared" si="104"/>
        <v>0</v>
      </c>
      <c r="I324" s="3039">
        <f t="shared" si="104"/>
        <v>0</v>
      </c>
      <c r="J324" s="3039">
        <f t="shared" si="104"/>
        <v>0</v>
      </c>
      <c r="K324" s="3039">
        <f t="shared" si="104"/>
        <v>0</v>
      </c>
      <c r="L324" s="3039">
        <f t="shared" si="104"/>
        <v>0</v>
      </c>
      <c r="M324" s="3039">
        <f t="shared" si="104"/>
        <v>0</v>
      </c>
      <c r="N324" s="3039">
        <f t="shared" si="104"/>
        <v>0</v>
      </c>
      <c r="O324" s="3039">
        <f t="shared" si="104"/>
        <v>0</v>
      </c>
      <c r="P324" s="3039">
        <f t="shared" si="104"/>
        <v>0</v>
      </c>
      <c r="Q324" s="3040">
        <f t="shared" si="104"/>
        <v>0</v>
      </c>
      <c r="R324" s="388">
        <f>+SUM(F324:Q324)</f>
        <v>0</v>
      </c>
      <c r="S324" s="2468"/>
    </row>
    <row r="325" spans="1:24" ht="15.9" customHeight="1" x14ac:dyDescent="0.2">
      <c r="B325" s="2776" t="s">
        <v>1364</v>
      </c>
      <c r="C325" s="2777" t="s">
        <v>357</v>
      </c>
      <c r="D325" s="2778"/>
      <c r="E325" s="2778"/>
      <c r="F325" s="3041">
        <f t="shared" ref="F325:Q325" si="105">ROUND((F310+F313-F324),0)</f>
        <v>0</v>
      </c>
      <c r="G325" s="3042">
        <f t="shared" si="105"/>
        <v>0</v>
      </c>
      <c r="H325" s="3042">
        <f t="shared" si="105"/>
        <v>0</v>
      </c>
      <c r="I325" s="3042">
        <f t="shared" si="105"/>
        <v>0</v>
      </c>
      <c r="J325" s="3042">
        <f t="shared" si="105"/>
        <v>0</v>
      </c>
      <c r="K325" s="3042">
        <f t="shared" si="105"/>
        <v>0</v>
      </c>
      <c r="L325" s="3042">
        <f t="shared" si="105"/>
        <v>0</v>
      </c>
      <c r="M325" s="3042">
        <f t="shared" si="105"/>
        <v>0</v>
      </c>
      <c r="N325" s="3042">
        <f t="shared" si="105"/>
        <v>0</v>
      </c>
      <c r="O325" s="3042">
        <f t="shared" si="105"/>
        <v>0</v>
      </c>
      <c r="P325" s="3042">
        <f t="shared" si="105"/>
        <v>0</v>
      </c>
      <c r="Q325" s="3043">
        <f t="shared" si="105"/>
        <v>0</v>
      </c>
      <c r="R325" s="2704"/>
      <c r="S325" s="2468"/>
    </row>
    <row r="326" spans="1:24" ht="15.9" customHeight="1" thickBot="1" x14ac:dyDescent="0.25">
      <c r="B326" s="2509" t="s">
        <v>397</v>
      </c>
      <c r="C326" s="2784" t="s">
        <v>354</v>
      </c>
      <c r="D326" s="2511"/>
      <c r="E326" s="3044"/>
      <c r="F326" s="3045">
        <f>(F310+F325)/2</f>
        <v>0</v>
      </c>
      <c r="G326" s="3046">
        <f t="shared" ref="G326:Q326" si="106">(F325+G325)/2</f>
        <v>0</v>
      </c>
      <c r="H326" s="3046">
        <f t="shared" si="106"/>
        <v>0</v>
      </c>
      <c r="I326" s="3046">
        <f t="shared" si="106"/>
        <v>0</v>
      </c>
      <c r="J326" s="3046">
        <f t="shared" si="106"/>
        <v>0</v>
      </c>
      <c r="K326" s="3046">
        <f t="shared" si="106"/>
        <v>0</v>
      </c>
      <c r="L326" s="3046">
        <f t="shared" si="106"/>
        <v>0</v>
      </c>
      <c r="M326" s="3046">
        <f t="shared" si="106"/>
        <v>0</v>
      </c>
      <c r="N326" s="3046">
        <f t="shared" si="106"/>
        <v>0</v>
      </c>
      <c r="O326" s="3046">
        <f t="shared" si="106"/>
        <v>0</v>
      </c>
      <c r="P326" s="3046">
        <f t="shared" si="106"/>
        <v>0</v>
      </c>
      <c r="Q326" s="3047">
        <f t="shared" si="106"/>
        <v>0</v>
      </c>
      <c r="R326" s="3048">
        <f>AVERAGE(F326:Q326)</f>
        <v>0</v>
      </c>
      <c r="S326" s="2468"/>
    </row>
    <row r="327" spans="1:24" s="2733" customFormat="1" ht="15.9" customHeight="1" x14ac:dyDescent="0.2">
      <c r="B327" s="828" t="s">
        <v>1673</v>
      </c>
      <c r="C327" s="829" t="s">
        <v>552</v>
      </c>
      <c r="D327" s="3006"/>
      <c r="E327" s="857"/>
      <c r="F327" s="5202"/>
      <c r="G327" s="5207"/>
      <c r="H327" s="5207"/>
      <c r="I327" s="5207"/>
      <c r="J327" s="5207"/>
      <c r="K327" s="5207"/>
      <c r="L327" s="5207"/>
      <c r="M327" s="5207"/>
      <c r="N327" s="5207"/>
      <c r="O327" s="5207"/>
      <c r="P327" s="5207"/>
      <c r="Q327" s="5208"/>
      <c r="R327" s="3049"/>
      <c r="W327" s="2739"/>
    </row>
    <row r="328" spans="1:24" s="2474" customFormat="1" ht="15.9" customHeight="1" thickBot="1" x14ac:dyDescent="0.25">
      <c r="A328" s="2471"/>
      <c r="B328" s="397" t="s">
        <v>1674</v>
      </c>
      <c r="C328" s="398" t="s">
        <v>551</v>
      </c>
      <c r="D328" s="2742"/>
      <c r="E328" s="2996"/>
      <c r="F328" s="5199"/>
      <c r="G328" s="5203"/>
      <c r="H328" s="5203"/>
      <c r="I328" s="5200"/>
      <c r="J328" s="5200"/>
      <c r="K328" s="5200"/>
      <c r="L328" s="5200"/>
      <c r="M328" s="5200"/>
      <c r="N328" s="5200"/>
      <c r="O328" s="5200"/>
      <c r="P328" s="5200"/>
      <c r="Q328" s="5201"/>
      <c r="R328" s="708"/>
      <c r="S328" s="2471"/>
      <c r="T328" s="2471"/>
      <c r="U328" s="2471"/>
      <c r="V328" s="2471"/>
      <c r="W328" s="3050"/>
      <c r="X328" s="2471"/>
    </row>
    <row r="329" spans="1:24" s="2474" customFormat="1" ht="15.9" customHeight="1" thickBot="1" x14ac:dyDescent="0.25">
      <c r="A329" s="2471"/>
      <c r="B329" s="712"/>
      <c r="C329" s="390"/>
      <c r="D329" s="2471"/>
      <c r="E329" s="712"/>
      <c r="F329" s="712"/>
      <c r="G329" s="712"/>
      <c r="H329" s="712"/>
      <c r="I329" s="712"/>
      <c r="J329" s="712"/>
      <c r="K329" s="712"/>
      <c r="L329" s="712"/>
      <c r="M329" s="712"/>
      <c r="N329" s="712"/>
      <c r="O329" s="712"/>
      <c r="P329" s="712"/>
      <c r="Q329" s="712"/>
      <c r="R329" s="712"/>
      <c r="S329" s="2471"/>
      <c r="T329" s="2471"/>
      <c r="U329" s="2471"/>
      <c r="V329" s="2471"/>
      <c r="W329" s="3050"/>
      <c r="X329" s="2471"/>
    </row>
    <row r="330" spans="1:24" s="2466" customFormat="1" ht="15.9" customHeight="1" thickBot="1" x14ac:dyDescent="0.25">
      <c r="A330" s="2487">
        <f>+A308+1</f>
        <v>82</v>
      </c>
      <c r="B330" s="2488" t="s">
        <v>490</v>
      </c>
      <c r="C330" s="2489"/>
      <c r="D330" s="2490"/>
      <c r="E330" s="2489"/>
      <c r="F330" s="2489"/>
      <c r="G330" s="2489"/>
      <c r="H330" s="2489"/>
      <c r="I330" s="2489"/>
      <c r="J330" s="2489"/>
      <c r="K330" s="2489"/>
      <c r="L330" s="2489"/>
      <c r="M330" s="2489"/>
      <c r="N330" s="2489"/>
      <c r="O330" s="2489"/>
      <c r="P330" s="2489"/>
      <c r="Q330" s="2489"/>
      <c r="R330" s="2491"/>
      <c r="S330" s="2468"/>
      <c r="T330" s="2678"/>
    </row>
    <row r="331" spans="1:24" s="2466" customFormat="1" ht="15.9" customHeight="1" x14ac:dyDescent="0.2">
      <c r="A331" s="2468"/>
      <c r="B331" s="2679" t="s">
        <v>683</v>
      </c>
      <c r="C331" s="2680"/>
      <c r="D331" s="2680"/>
      <c r="E331" s="2681"/>
      <c r="F331" s="2682" t="str">
        <f t="shared" ref="F331:Q331" si="107">+F309</f>
        <v>Ene</v>
      </c>
      <c r="G331" s="2682" t="str">
        <f t="shared" si="107"/>
        <v>Feb</v>
      </c>
      <c r="H331" s="2682" t="str">
        <f t="shared" si="107"/>
        <v>Mar</v>
      </c>
      <c r="I331" s="2682" t="str">
        <f t="shared" si="107"/>
        <v>Abr</v>
      </c>
      <c r="J331" s="2682" t="str">
        <f t="shared" si="107"/>
        <v>May</v>
      </c>
      <c r="K331" s="2682" t="str">
        <f t="shared" si="107"/>
        <v>Jun</v>
      </c>
      <c r="L331" s="2682" t="str">
        <f t="shared" si="107"/>
        <v>Jul</v>
      </c>
      <c r="M331" s="2682" t="str">
        <f t="shared" si="107"/>
        <v>Ago</v>
      </c>
      <c r="N331" s="2682" t="str">
        <f t="shared" si="107"/>
        <v>Set</v>
      </c>
      <c r="O331" s="2682" t="str">
        <f t="shared" si="107"/>
        <v>Oct</v>
      </c>
      <c r="P331" s="2682" t="str">
        <f t="shared" si="107"/>
        <v>Nov</v>
      </c>
      <c r="Q331" s="2682" t="str">
        <f t="shared" si="107"/>
        <v>Dic</v>
      </c>
      <c r="R331" s="2808" t="s">
        <v>1110</v>
      </c>
      <c r="S331" s="2468"/>
      <c r="T331" s="2678"/>
    </row>
    <row r="332" spans="1:24" s="2466" customFormat="1" ht="15.9" customHeight="1" x14ac:dyDescent="0.2">
      <c r="A332" s="2468"/>
      <c r="B332" s="2509" t="s">
        <v>1363</v>
      </c>
      <c r="C332" s="2510" t="s">
        <v>357</v>
      </c>
      <c r="D332" s="2511"/>
      <c r="E332" s="2511"/>
      <c r="F332" s="2512">
        <f>+General!C80</f>
        <v>0</v>
      </c>
      <c r="G332" s="832">
        <f t="shared" ref="G332:Q332" si="108">+F345</f>
        <v>0</v>
      </c>
      <c r="H332" s="832">
        <f t="shared" si="108"/>
        <v>0</v>
      </c>
      <c r="I332" s="832">
        <f t="shared" si="108"/>
        <v>0</v>
      </c>
      <c r="J332" s="832">
        <f t="shared" si="108"/>
        <v>0</v>
      </c>
      <c r="K332" s="832">
        <f t="shared" si="108"/>
        <v>0</v>
      </c>
      <c r="L332" s="832">
        <f t="shared" si="108"/>
        <v>0</v>
      </c>
      <c r="M332" s="832">
        <f t="shared" si="108"/>
        <v>0</v>
      </c>
      <c r="N332" s="832">
        <f t="shared" si="108"/>
        <v>0</v>
      </c>
      <c r="O332" s="832">
        <f t="shared" si="108"/>
        <v>0</v>
      </c>
      <c r="P332" s="832">
        <f t="shared" si="108"/>
        <v>0</v>
      </c>
      <c r="Q332" s="832">
        <f t="shared" si="108"/>
        <v>0</v>
      </c>
      <c r="R332" s="2952" t="s">
        <v>1111</v>
      </c>
      <c r="S332" s="411"/>
      <c r="T332" s="400"/>
    </row>
    <row r="333" spans="1:24" s="2466" customFormat="1" ht="15.9" customHeight="1" x14ac:dyDescent="0.2">
      <c r="A333" s="2468"/>
      <c r="B333" s="2516" t="s">
        <v>1246</v>
      </c>
      <c r="C333" s="400" t="s">
        <v>356</v>
      </c>
      <c r="D333" s="400"/>
      <c r="E333" s="400"/>
      <c r="F333" s="3051">
        <f>+General!D80</f>
        <v>0</v>
      </c>
      <c r="G333" s="3052">
        <f>+F348</f>
        <v>0</v>
      </c>
      <c r="H333" s="3052">
        <f t="shared" ref="H333:Q333" si="109">+G348</f>
        <v>0</v>
      </c>
      <c r="I333" s="3052">
        <f t="shared" si="109"/>
        <v>0</v>
      </c>
      <c r="J333" s="3052">
        <f t="shared" si="109"/>
        <v>0</v>
      </c>
      <c r="K333" s="3052">
        <f t="shared" si="109"/>
        <v>0</v>
      </c>
      <c r="L333" s="3052">
        <f t="shared" si="109"/>
        <v>0</v>
      </c>
      <c r="M333" s="3052">
        <f t="shared" si="109"/>
        <v>0</v>
      </c>
      <c r="N333" s="3052">
        <f t="shared" si="109"/>
        <v>0</v>
      </c>
      <c r="O333" s="3052">
        <f t="shared" si="109"/>
        <v>0</v>
      </c>
      <c r="P333" s="3052">
        <f t="shared" si="109"/>
        <v>0</v>
      </c>
      <c r="Q333" s="3053">
        <f t="shared" si="109"/>
        <v>0</v>
      </c>
      <c r="R333" s="2515"/>
      <c r="S333" s="2468"/>
      <c r="T333" s="2678"/>
    </row>
    <row r="334" spans="1:24" ht="15.9" customHeight="1" x14ac:dyDescent="0.2">
      <c r="B334" s="2524" t="s">
        <v>352</v>
      </c>
      <c r="C334" s="2525"/>
      <c r="D334" s="2525"/>
      <c r="E334" s="2525"/>
      <c r="F334" s="2932"/>
      <c r="G334" s="2932"/>
      <c r="H334" s="2932"/>
      <c r="I334" s="2932"/>
      <c r="J334" s="2932"/>
      <c r="K334" s="2932"/>
      <c r="L334" s="2932"/>
      <c r="M334" s="2932"/>
      <c r="N334" s="2932"/>
      <c r="O334" s="2932"/>
      <c r="P334" s="2932"/>
      <c r="Q334" s="2932"/>
      <c r="R334" s="2768"/>
      <c r="S334" s="2468"/>
    </row>
    <row r="335" spans="1:24" ht="15.9" customHeight="1" x14ac:dyDescent="0.2">
      <c r="B335" s="389" t="s">
        <v>1252</v>
      </c>
      <c r="C335" s="390" t="s">
        <v>354</v>
      </c>
      <c r="D335" s="2466"/>
      <c r="E335" s="2466"/>
      <c r="F335" s="5133"/>
      <c r="G335" s="5134"/>
      <c r="H335" s="5134"/>
      <c r="I335" s="5134"/>
      <c r="J335" s="5134"/>
      <c r="K335" s="5134"/>
      <c r="L335" s="5134"/>
      <c r="M335" s="5134"/>
      <c r="N335" s="5134"/>
      <c r="O335" s="5134"/>
      <c r="P335" s="5134"/>
      <c r="Q335" s="5135"/>
      <c r="R335" s="406">
        <f>+SUM(F335:Q335)</f>
        <v>0</v>
      </c>
      <c r="S335" s="2468"/>
    </row>
    <row r="336" spans="1:24" ht="15.9" customHeight="1" x14ac:dyDescent="0.2">
      <c r="B336" s="389" t="s">
        <v>1291</v>
      </c>
      <c r="C336" s="390" t="s">
        <v>356</v>
      </c>
      <c r="D336" s="2466"/>
      <c r="E336" s="2466"/>
      <c r="F336" s="5136"/>
      <c r="G336" s="5137"/>
      <c r="H336" s="5137"/>
      <c r="I336" s="5137"/>
      <c r="J336" s="5137"/>
      <c r="K336" s="5137"/>
      <c r="L336" s="5137"/>
      <c r="M336" s="5137"/>
      <c r="N336" s="5137"/>
      <c r="O336" s="5137"/>
      <c r="P336" s="5137"/>
      <c r="Q336" s="5138"/>
      <c r="R336" s="393"/>
      <c r="S336" s="2468"/>
    </row>
    <row r="337" spans="2:23" ht="15.9" hidden="1" customHeight="1" x14ac:dyDescent="0.2">
      <c r="B337" s="389" t="s">
        <v>1292</v>
      </c>
      <c r="C337" s="390" t="s">
        <v>362</v>
      </c>
      <c r="D337" s="400"/>
      <c r="E337" s="400"/>
      <c r="F337" s="5209"/>
      <c r="G337" s="5210"/>
      <c r="H337" s="5210"/>
      <c r="I337" s="5210"/>
      <c r="J337" s="5210"/>
      <c r="K337" s="5210"/>
      <c r="L337" s="5210"/>
      <c r="M337" s="5210"/>
      <c r="N337" s="5210"/>
      <c r="O337" s="5210"/>
      <c r="P337" s="5210"/>
      <c r="Q337" s="5211"/>
      <c r="R337" s="393"/>
      <c r="S337" s="2468"/>
    </row>
    <row r="338" spans="2:23" ht="15.9" customHeight="1" x14ac:dyDescent="0.2">
      <c r="B338" s="3054" t="s">
        <v>364</v>
      </c>
      <c r="C338" s="3055" t="s">
        <v>354</v>
      </c>
      <c r="D338" s="3056"/>
      <c r="E338" s="3056"/>
      <c r="F338" s="2959">
        <f>+F335</f>
        <v>0</v>
      </c>
      <c r="G338" s="2959">
        <f t="shared" ref="G338:Q338" si="110">+G335</f>
        <v>0</v>
      </c>
      <c r="H338" s="2959">
        <f t="shared" si="110"/>
        <v>0</v>
      </c>
      <c r="I338" s="2959">
        <f t="shared" si="110"/>
        <v>0</v>
      </c>
      <c r="J338" s="2959">
        <f t="shared" si="110"/>
        <v>0</v>
      </c>
      <c r="K338" s="2959">
        <f t="shared" si="110"/>
        <v>0</v>
      </c>
      <c r="L338" s="2959">
        <f t="shared" si="110"/>
        <v>0</v>
      </c>
      <c r="M338" s="2959">
        <f t="shared" si="110"/>
        <v>0</v>
      </c>
      <c r="N338" s="2959">
        <f t="shared" si="110"/>
        <v>0</v>
      </c>
      <c r="O338" s="2959">
        <f t="shared" si="110"/>
        <v>0</v>
      </c>
      <c r="P338" s="2959">
        <f t="shared" si="110"/>
        <v>0</v>
      </c>
      <c r="Q338" s="2959">
        <f t="shared" si="110"/>
        <v>0</v>
      </c>
      <c r="R338" s="388">
        <f>+SUM(F338:Q338)</f>
        <v>0</v>
      </c>
      <c r="S338" s="2468"/>
    </row>
    <row r="339" spans="2:23" ht="15.9" customHeight="1" x14ac:dyDescent="0.2">
      <c r="B339" s="2524" t="s">
        <v>359</v>
      </c>
      <c r="C339" s="2525"/>
      <c r="D339" s="2525"/>
      <c r="E339" s="2525"/>
      <c r="F339" s="2932"/>
      <c r="G339" s="2932"/>
      <c r="H339" s="2932"/>
      <c r="I339" s="2932"/>
      <c r="J339" s="2932"/>
      <c r="K339" s="2932"/>
      <c r="L339" s="2932"/>
      <c r="M339" s="2932"/>
      <c r="N339" s="2932"/>
      <c r="O339" s="2932"/>
      <c r="P339" s="2932"/>
      <c r="Q339" s="2932"/>
      <c r="R339" s="2768"/>
      <c r="S339" s="2468"/>
    </row>
    <row r="340" spans="2:23" ht="15.9" customHeight="1" x14ac:dyDescent="0.2">
      <c r="B340" s="389" t="s">
        <v>1253</v>
      </c>
      <c r="C340" s="390" t="s">
        <v>354</v>
      </c>
      <c r="D340" s="2466"/>
      <c r="E340" s="2466"/>
      <c r="F340" s="5133"/>
      <c r="G340" s="5134"/>
      <c r="H340" s="5134"/>
      <c r="I340" s="5134"/>
      <c r="J340" s="5134"/>
      <c r="K340" s="5134"/>
      <c r="L340" s="5134"/>
      <c r="M340" s="5134"/>
      <c r="N340" s="5134"/>
      <c r="O340" s="5134"/>
      <c r="P340" s="5134"/>
      <c r="Q340" s="5135"/>
      <c r="R340" s="406">
        <f>+SUM(F340:Q340)</f>
        <v>0</v>
      </c>
      <c r="S340" s="2468"/>
    </row>
    <row r="341" spans="2:23" ht="15.9" customHeight="1" thickBot="1" x14ac:dyDescent="0.25">
      <c r="B341" s="389" t="s">
        <v>1295</v>
      </c>
      <c r="C341" s="390" t="s">
        <v>356</v>
      </c>
      <c r="D341" s="2466"/>
      <c r="E341" s="2466"/>
      <c r="F341" s="5136"/>
      <c r="G341" s="5137"/>
      <c r="H341" s="5137"/>
      <c r="I341" s="5137"/>
      <c r="J341" s="5137"/>
      <c r="K341" s="5137"/>
      <c r="L341" s="5137"/>
      <c r="M341" s="5137"/>
      <c r="N341" s="5137"/>
      <c r="O341" s="5137"/>
      <c r="P341" s="5137"/>
      <c r="Q341" s="5138"/>
      <c r="R341" s="393"/>
      <c r="S341" s="2468"/>
    </row>
    <row r="342" spans="2:23" ht="15.9" hidden="1" customHeight="1" thickBot="1" x14ac:dyDescent="0.25">
      <c r="B342" s="389" t="s">
        <v>1293</v>
      </c>
      <c r="C342" s="390" t="s">
        <v>362</v>
      </c>
      <c r="D342" s="400"/>
      <c r="E342" s="400"/>
      <c r="F342" s="5123"/>
      <c r="G342" s="5124"/>
      <c r="H342" s="5124"/>
      <c r="I342" s="5124"/>
      <c r="J342" s="5124"/>
      <c r="K342" s="5124"/>
      <c r="L342" s="5124"/>
      <c r="M342" s="5124"/>
      <c r="N342" s="5124"/>
      <c r="O342" s="5124"/>
      <c r="P342" s="5124"/>
      <c r="Q342" s="5128"/>
      <c r="R342" s="393"/>
      <c r="S342" s="2468"/>
    </row>
    <row r="343" spans="2:23" ht="15.9" customHeight="1" x14ac:dyDescent="0.2">
      <c r="B343" s="862" t="s">
        <v>1117</v>
      </c>
      <c r="C343" s="863" t="s">
        <v>354</v>
      </c>
      <c r="D343" s="3057">
        <f>General!$C$105</f>
        <v>0</v>
      </c>
      <c r="E343" s="3058">
        <f>ROUND(D343*(F332),0)</f>
        <v>0</v>
      </c>
      <c r="F343" s="5212"/>
      <c r="G343" s="5213"/>
      <c r="H343" s="5213"/>
      <c r="I343" s="5213"/>
      <c r="J343" s="5213"/>
      <c r="K343" s="5213"/>
      <c r="L343" s="5213"/>
      <c r="M343" s="5213"/>
      <c r="N343" s="5213"/>
      <c r="O343" s="5213"/>
      <c r="P343" s="5213"/>
      <c r="Q343" s="5214"/>
      <c r="R343" s="864">
        <f>+SUM(F343:Q343)</f>
        <v>0</v>
      </c>
      <c r="S343" s="2468"/>
    </row>
    <row r="344" spans="2:23" ht="15.9" customHeight="1" x14ac:dyDescent="0.2">
      <c r="B344" s="3054" t="s">
        <v>365</v>
      </c>
      <c r="C344" s="3055" t="s">
        <v>354</v>
      </c>
      <c r="D344" s="3056"/>
      <c r="E344" s="3056"/>
      <c r="F344" s="2551">
        <f>+F340+F343</f>
        <v>0</v>
      </c>
      <c r="G344" s="2552">
        <f t="shared" ref="G344:Q344" si="111">+G340+G343</f>
        <v>0</v>
      </c>
      <c r="H344" s="2552">
        <f t="shared" si="111"/>
        <v>0</v>
      </c>
      <c r="I344" s="2552">
        <f t="shared" si="111"/>
        <v>0</v>
      </c>
      <c r="J344" s="2552">
        <f t="shared" si="111"/>
        <v>0</v>
      </c>
      <c r="K344" s="2552">
        <f t="shared" si="111"/>
        <v>0</v>
      </c>
      <c r="L344" s="2552">
        <f t="shared" si="111"/>
        <v>0</v>
      </c>
      <c r="M344" s="2552">
        <f t="shared" si="111"/>
        <v>0</v>
      </c>
      <c r="N344" s="2552">
        <f t="shared" si="111"/>
        <v>0</v>
      </c>
      <c r="O344" s="2552">
        <f t="shared" si="111"/>
        <v>0</v>
      </c>
      <c r="P344" s="2552">
        <f t="shared" si="111"/>
        <v>0</v>
      </c>
      <c r="Q344" s="2553">
        <f t="shared" si="111"/>
        <v>0</v>
      </c>
      <c r="R344" s="388"/>
      <c r="S344" s="2468"/>
    </row>
    <row r="345" spans="2:23" ht="15.9" customHeight="1" x14ac:dyDescent="0.2">
      <c r="B345" s="2938" t="s">
        <v>1364</v>
      </c>
      <c r="C345" s="2939" t="s">
        <v>357</v>
      </c>
      <c r="D345" s="2940"/>
      <c r="E345" s="2940"/>
      <c r="F345" s="2941">
        <f t="shared" ref="F345:Q345" si="112">F332+F338-F344</f>
        <v>0</v>
      </c>
      <c r="G345" s="2942">
        <f t="shared" si="112"/>
        <v>0</v>
      </c>
      <c r="H345" s="2942">
        <f t="shared" si="112"/>
        <v>0</v>
      </c>
      <c r="I345" s="2942">
        <f t="shared" si="112"/>
        <v>0</v>
      </c>
      <c r="J345" s="2942">
        <f t="shared" si="112"/>
        <v>0</v>
      </c>
      <c r="K345" s="2942">
        <f t="shared" si="112"/>
        <v>0</v>
      </c>
      <c r="L345" s="2942">
        <f t="shared" si="112"/>
        <v>0</v>
      </c>
      <c r="M345" s="2942">
        <f t="shared" si="112"/>
        <v>0</v>
      </c>
      <c r="N345" s="2942">
        <f t="shared" si="112"/>
        <v>0</v>
      </c>
      <c r="O345" s="2942">
        <f t="shared" si="112"/>
        <v>0</v>
      </c>
      <c r="P345" s="2942">
        <f t="shared" si="112"/>
        <v>0</v>
      </c>
      <c r="Q345" s="2943">
        <f t="shared" si="112"/>
        <v>0</v>
      </c>
      <c r="R345" s="2704"/>
      <c r="S345" s="2468"/>
    </row>
    <row r="346" spans="2:23" ht="15.9" customHeight="1" x14ac:dyDescent="0.2">
      <c r="B346" s="2944" t="s">
        <v>397</v>
      </c>
      <c r="C346" s="2945" t="s">
        <v>354</v>
      </c>
      <c r="D346" s="2946"/>
      <c r="E346" s="2946"/>
      <c r="F346" s="3059">
        <f>(A.Ganaderos!F30+F345)/2</f>
        <v>0</v>
      </c>
      <c r="G346" s="3060">
        <f t="shared" ref="G346:Q346" si="113">(F345+G345)/2</f>
        <v>0</v>
      </c>
      <c r="H346" s="3060">
        <f t="shared" si="113"/>
        <v>0</v>
      </c>
      <c r="I346" s="3060">
        <f t="shared" si="113"/>
        <v>0</v>
      </c>
      <c r="J346" s="3060">
        <f t="shared" si="113"/>
        <v>0</v>
      </c>
      <c r="K346" s="3060">
        <f t="shared" si="113"/>
        <v>0</v>
      </c>
      <c r="L346" s="3060">
        <f t="shared" si="113"/>
        <v>0</v>
      </c>
      <c r="M346" s="3060">
        <f t="shared" si="113"/>
        <v>0</v>
      </c>
      <c r="N346" s="3060">
        <f t="shared" si="113"/>
        <v>0</v>
      </c>
      <c r="O346" s="3060">
        <f t="shared" si="113"/>
        <v>0</v>
      </c>
      <c r="P346" s="3060">
        <f t="shared" si="113"/>
        <v>0</v>
      </c>
      <c r="Q346" s="3061">
        <f t="shared" si="113"/>
        <v>0</v>
      </c>
      <c r="R346" s="3062">
        <f>AVERAGE(F346:Q346)</f>
        <v>0</v>
      </c>
      <c r="S346" s="2468"/>
    </row>
    <row r="347" spans="2:23" ht="15.9" customHeight="1" x14ac:dyDescent="0.2">
      <c r="B347" s="2586" t="s">
        <v>1115</v>
      </c>
      <c r="C347" s="2587" t="s">
        <v>361</v>
      </c>
      <c r="D347" s="2588"/>
      <c r="E347" s="2968"/>
      <c r="F347" s="5215">
        <v>0</v>
      </c>
      <c r="G347" s="5216">
        <v>0</v>
      </c>
      <c r="H347" s="5216">
        <v>0</v>
      </c>
      <c r="I347" s="5216">
        <v>0</v>
      </c>
      <c r="J347" s="5216">
        <v>0</v>
      </c>
      <c r="K347" s="5216">
        <v>0</v>
      </c>
      <c r="L347" s="5216">
        <v>0</v>
      </c>
      <c r="M347" s="5216">
        <v>0</v>
      </c>
      <c r="N347" s="5216">
        <v>0</v>
      </c>
      <c r="O347" s="5216">
        <v>0</v>
      </c>
      <c r="P347" s="5216">
        <v>0</v>
      </c>
      <c r="Q347" s="5217">
        <v>0</v>
      </c>
      <c r="R347" s="3063">
        <f>IFERROR(AVERAGE(F347:Q347),0)</f>
        <v>0</v>
      </c>
      <c r="S347" s="2468"/>
    </row>
    <row r="348" spans="2:23" ht="15.9" customHeight="1" x14ac:dyDescent="0.2">
      <c r="B348" s="2529" t="s">
        <v>393</v>
      </c>
      <c r="C348" s="2465" t="s">
        <v>356</v>
      </c>
      <c r="D348" s="2466"/>
      <c r="E348" s="2470"/>
      <c r="F348" s="2535">
        <f>IFERROR((F332*(F333+F347*F11)+F335*F336-F340*F341-F343*(F333+F347*F11))/F345,0)</f>
        <v>0</v>
      </c>
      <c r="G348" s="2536">
        <f t="shared" ref="G348:Q348" si="114">IFERROR((G332*(G333+G347*G11)+G335*G336-G340*G341-G343*(G333+G347*G11))/G345,0)</f>
        <v>0</v>
      </c>
      <c r="H348" s="2536">
        <f t="shared" si="114"/>
        <v>0</v>
      </c>
      <c r="I348" s="2536">
        <f t="shared" si="114"/>
        <v>0</v>
      </c>
      <c r="J348" s="2536">
        <f t="shared" si="114"/>
        <v>0</v>
      </c>
      <c r="K348" s="2536">
        <f t="shared" si="114"/>
        <v>0</v>
      </c>
      <c r="L348" s="2536">
        <f t="shared" si="114"/>
        <v>0</v>
      </c>
      <c r="M348" s="2536">
        <f t="shared" si="114"/>
        <v>0</v>
      </c>
      <c r="N348" s="2536">
        <f t="shared" si="114"/>
        <v>0</v>
      </c>
      <c r="O348" s="2536">
        <f t="shared" si="114"/>
        <v>0</v>
      </c>
      <c r="P348" s="2536">
        <f t="shared" si="114"/>
        <v>0</v>
      </c>
      <c r="Q348" s="2537">
        <f t="shared" si="114"/>
        <v>0</v>
      </c>
      <c r="R348" s="2547"/>
      <c r="T348" s="2970"/>
      <c r="U348" s="2475"/>
      <c r="V348" s="2475"/>
    </row>
    <row r="349" spans="2:23" ht="15.9" customHeight="1" thickBot="1" x14ac:dyDescent="0.25">
      <c r="B349" s="2793" t="s">
        <v>394</v>
      </c>
      <c r="C349" s="2610" t="s">
        <v>356</v>
      </c>
      <c r="D349" s="2668"/>
      <c r="E349" s="2605"/>
      <c r="F349" s="2794">
        <f>AVERAGE(F333,F348)</f>
        <v>0</v>
      </c>
      <c r="G349" s="2795">
        <f t="shared" ref="G349:Q349" si="115">AVERAGE(F348,G348)</f>
        <v>0</v>
      </c>
      <c r="H349" s="2795">
        <f t="shared" si="115"/>
        <v>0</v>
      </c>
      <c r="I349" s="2795">
        <f t="shared" si="115"/>
        <v>0</v>
      </c>
      <c r="J349" s="2795">
        <f t="shared" si="115"/>
        <v>0</v>
      </c>
      <c r="K349" s="2795">
        <f t="shared" si="115"/>
        <v>0</v>
      </c>
      <c r="L349" s="2795">
        <f t="shared" si="115"/>
        <v>0</v>
      </c>
      <c r="M349" s="2795">
        <f t="shared" si="115"/>
        <v>0</v>
      </c>
      <c r="N349" s="2795">
        <f t="shared" si="115"/>
        <v>0</v>
      </c>
      <c r="O349" s="2795">
        <f t="shared" si="115"/>
        <v>0</v>
      </c>
      <c r="P349" s="2795">
        <f t="shared" si="115"/>
        <v>0</v>
      </c>
      <c r="Q349" s="2796">
        <f t="shared" si="115"/>
        <v>0</v>
      </c>
      <c r="R349" s="2799">
        <f>IFERROR(SUMPRODUCT(F349:Q349,F346:Q346)/(SUM(F346:Q346)),0)</f>
        <v>0</v>
      </c>
      <c r="S349" s="2468"/>
    </row>
    <row r="350" spans="2:23" s="2476" customFormat="1" ht="15.9" customHeight="1" x14ac:dyDescent="0.2">
      <c r="B350" s="717"/>
      <c r="C350" s="718"/>
      <c r="D350" s="2474"/>
      <c r="E350" s="2474"/>
      <c r="F350" s="3064"/>
      <c r="G350" s="719"/>
      <c r="H350" s="719"/>
      <c r="I350" s="719"/>
      <c r="J350" s="719"/>
      <c r="K350" s="719"/>
      <c r="L350" s="719"/>
      <c r="M350" s="719"/>
      <c r="N350" s="719"/>
      <c r="O350" s="719"/>
      <c r="P350" s="719"/>
      <c r="Q350" s="719"/>
      <c r="R350" s="719"/>
      <c r="S350" s="2474"/>
      <c r="T350" s="2618"/>
      <c r="U350" s="3065"/>
      <c r="W350" s="3066"/>
    </row>
    <row r="351" spans="2:23" s="2476" customFormat="1" ht="15.9" customHeight="1" x14ac:dyDescent="0.2">
      <c r="B351" s="717"/>
      <c r="C351" s="718"/>
      <c r="D351" s="2474"/>
      <c r="E351" s="2474"/>
      <c r="F351" s="3064"/>
      <c r="G351" s="719"/>
      <c r="H351" s="719"/>
      <c r="I351" s="719"/>
      <c r="J351" s="719"/>
      <c r="K351" s="719"/>
      <c r="L351" s="719"/>
      <c r="M351" s="719"/>
      <c r="N351" s="719"/>
      <c r="O351" s="719"/>
      <c r="P351" s="719"/>
      <c r="Q351" s="719"/>
      <c r="R351" s="719"/>
      <c r="S351" s="2474"/>
      <c r="T351" s="2618"/>
      <c r="U351" s="3065"/>
      <c r="W351" s="3066"/>
    </row>
    <row r="352" spans="2:23" s="2476" customFormat="1" x14ac:dyDescent="0.2">
      <c r="B352" s="717"/>
      <c r="C352" s="718"/>
      <c r="D352" s="2474"/>
      <c r="E352" s="2474"/>
      <c r="F352" s="3064"/>
      <c r="G352" s="719"/>
      <c r="H352" s="719"/>
      <c r="I352" s="719"/>
      <c r="J352" s="719"/>
      <c r="K352" s="719"/>
      <c r="L352" s="719"/>
      <c r="M352" s="719"/>
      <c r="N352" s="719"/>
      <c r="O352" s="719"/>
      <c r="P352" s="719"/>
      <c r="Q352" s="719"/>
      <c r="R352" s="719"/>
      <c r="S352" s="2474"/>
      <c r="T352" s="2618"/>
      <c r="U352" s="3065"/>
      <c r="W352" s="3066"/>
    </row>
    <row r="353" spans="1:24" s="2476" customFormat="1" ht="15.9" customHeight="1" x14ac:dyDescent="0.2">
      <c r="B353" s="717"/>
      <c r="C353" s="718"/>
      <c r="D353" s="2474"/>
      <c r="E353" s="2474"/>
      <c r="F353" s="3064"/>
      <c r="G353" s="719"/>
      <c r="H353" s="719"/>
      <c r="I353" s="719"/>
      <c r="J353" s="719"/>
      <c r="K353" s="719"/>
      <c r="L353" s="719"/>
      <c r="M353" s="719"/>
      <c r="N353" s="719"/>
      <c r="O353" s="719"/>
      <c r="P353" s="719"/>
      <c r="Q353" s="719"/>
      <c r="R353" s="719"/>
      <c r="S353" s="2474"/>
      <c r="T353" s="2618"/>
      <c r="U353" s="3065"/>
      <c r="W353" s="3066"/>
    </row>
    <row r="354" spans="1:24" s="2476" customFormat="1" ht="27" hidden="1" customHeight="1" x14ac:dyDescent="0.2">
      <c r="A354" s="3067"/>
      <c r="B354" s="2149" t="s">
        <v>1126</v>
      </c>
      <c r="C354" s="2147"/>
      <c r="D354" s="3068"/>
      <c r="E354" s="3068"/>
      <c r="F354" s="3069"/>
      <c r="G354" s="2148"/>
      <c r="H354" s="2148"/>
      <c r="I354" s="2148"/>
      <c r="J354" s="2148"/>
      <c r="K354" s="2148"/>
      <c r="L354" s="2148"/>
      <c r="M354" s="2148"/>
      <c r="N354" s="2148"/>
      <c r="O354" s="2148"/>
      <c r="P354" s="2148"/>
      <c r="Q354" s="2148"/>
      <c r="R354" s="2148"/>
      <c r="S354" s="3068"/>
      <c r="T354" s="2618"/>
      <c r="U354" s="3065"/>
      <c r="W354" s="3066"/>
    </row>
    <row r="355" spans="1:24" s="2476" customFormat="1" ht="12.6" hidden="1" customHeight="1" x14ac:dyDescent="0.2">
      <c r="B355" s="2150"/>
      <c r="C355" s="718"/>
      <c r="D355" s="2474"/>
      <c r="E355" s="2474"/>
      <c r="F355" s="3070"/>
      <c r="G355" s="719"/>
      <c r="H355" s="719"/>
      <c r="I355" s="719"/>
      <c r="J355" s="719"/>
      <c r="K355" s="719"/>
      <c r="L355" s="719"/>
      <c r="M355" s="719"/>
      <c r="N355" s="719"/>
      <c r="O355" s="719"/>
      <c r="P355" s="719"/>
      <c r="Q355" s="719"/>
      <c r="R355" s="719"/>
      <c r="S355" s="2474"/>
      <c r="T355" s="2618"/>
      <c r="U355" s="3065"/>
      <c r="W355" s="3066"/>
    </row>
    <row r="356" spans="1:24" s="3076" customFormat="1" ht="17.55" hidden="1" customHeight="1" x14ac:dyDescent="0.2">
      <c r="A356" s="3071">
        <v>1113</v>
      </c>
      <c r="B356" s="2217" t="s">
        <v>2062</v>
      </c>
      <c r="C356" s="2218"/>
      <c r="D356" s="3072"/>
      <c r="E356" s="3072"/>
      <c r="F356" s="3073"/>
      <c r="G356" s="2219"/>
      <c r="H356" s="2219"/>
      <c r="I356" s="2219"/>
      <c r="J356" s="2219"/>
      <c r="K356" s="2219"/>
      <c r="L356" s="2219"/>
      <c r="M356" s="2219"/>
      <c r="N356" s="2219"/>
      <c r="O356" s="2219"/>
      <c r="P356" s="2219"/>
      <c r="Q356" s="2219"/>
      <c r="R356" s="2219"/>
      <c r="S356" s="3072"/>
      <c r="T356" s="3074"/>
      <c r="U356" s="3075"/>
      <c r="W356" s="3077"/>
    </row>
    <row r="357" spans="1:24" s="2476" customFormat="1" ht="15.9" hidden="1" customHeight="1" x14ac:dyDescent="0.2">
      <c r="B357" s="717"/>
      <c r="C357" s="3078" t="s">
        <v>1619</v>
      </c>
      <c r="D357" s="2474"/>
      <c r="E357" s="3079" t="s">
        <v>252</v>
      </c>
      <c r="F357" s="3064"/>
      <c r="G357" s="719"/>
      <c r="H357" s="719"/>
      <c r="I357" s="719"/>
      <c r="J357" s="719"/>
      <c r="K357" s="719"/>
      <c r="L357" s="719"/>
      <c r="M357" s="719"/>
      <c r="N357" s="719"/>
      <c r="O357" s="719"/>
      <c r="P357" s="719"/>
      <c r="Q357" s="719"/>
      <c r="R357" s="719"/>
      <c r="S357" s="2474"/>
      <c r="T357" s="2618"/>
      <c r="U357" s="3065"/>
      <c r="W357" s="3066"/>
    </row>
    <row r="358" spans="1:24" s="2618" customFormat="1" ht="15.9" hidden="1" customHeight="1" x14ac:dyDescent="0.2">
      <c r="C358" s="3078" t="s">
        <v>1618</v>
      </c>
      <c r="E358" s="3079" t="s">
        <v>253</v>
      </c>
      <c r="F358" s="2686"/>
      <c r="G358" s="2686"/>
      <c r="H358" s="2686"/>
      <c r="I358" s="2686"/>
      <c r="J358" s="2686"/>
      <c r="K358" s="2686"/>
      <c r="L358" s="2686"/>
      <c r="M358" s="2686"/>
      <c r="N358" s="2686"/>
      <c r="O358" s="2686"/>
      <c r="P358" s="2686"/>
      <c r="Q358" s="2686"/>
      <c r="T358" s="2619"/>
    </row>
    <row r="359" spans="1:24" s="2475" customFormat="1" ht="15.9" hidden="1" customHeight="1" x14ac:dyDescent="0.2">
      <c r="C359" s="2556"/>
      <c r="D359" s="2618"/>
      <c r="E359" s="3079" t="s">
        <v>254</v>
      </c>
      <c r="F359" s="2618"/>
      <c r="G359" s="2618"/>
      <c r="H359" s="2618"/>
      <c r="I359" s="2618"/>
      <c r="J359" s="2618"/>
      <c r="K359" s="2618"/>
      <c r="L359" s="2618"/>
      <c r="T359" s="2970"/>
    </row>
    <row r="360" spans="1:24" s="2475" customFormat="1" ht="15.9" hidden="1" customHeight="1" x14ac:dyDescent="0.2">
      <c r="C360" s="2556"/>
      <c r="D360" s="2618"/>
      <c r="E360" s="3080"/>
      <c r="F360" s="2618"/>
      <c r="G360" s="2618"/>
      <c r="H360" s="2618"/>
      <c r="I360" s="2618"/>
      <c r="J360" s="2618"/>
      <c r="K360" s="2618"/>
      <c r="L360" s="2618"/>
      <c r="T360" s="2970"/>
    </row>
    <row r="361" spans="1:24" s="3081" customFormat="1" ht="15.9" hidden="1" customHeight="1" thickBot="1" x14ac:dyDescent="0.25">
      <c r="B361" s="3082" t="s">
        <v>1963</v>
      </c>
      <c r="C361" s="3083"/>
      <c r="D361" s="3082"/>
      <c r="E361" s="3082"/>
      <c r="F361" s="3082"/>
      <c r="G361" s="3082"/>
      <c r="H361" s="3082"/>
      <c r="I361" s="3082"/>
      <c r="J361" s="3082"/>
      <c r="K361" s="3082"/>
      <c r="L361" s="3082"/>
      <c r="M361" s="3082"/>
      <c r="N361" s="3082"/>
      <c r="O361" s="3082"/>
      <c r="P361" s="3082"/>
      <c r="Q361" s="3082"/>
      <c r="R361" s="3082"/>
      <c r="S361" s="3084"/>
      <c r="T361" s="3085"/>
      <c r="X361" s="3086"/>
    </row>
    <row r="362" spans="1:24" s="2475" customFormat="1" ht="15.9" hidden="1" customHeight="1" thickTop="1" x14ac:dyDescent="0.2">
      <c r="A362" s="3071">
        <v>1114</v>
      </c>
      <c r="B362" s="3087" t="s">
        <v>1962</v>
      </c>
      <c r="C362" s="3088" t="s">
        <v>1141</v>
      </c>
      <c r="D362" s="3088"/>
      <c r="E362" s="3088" t="s">
        <v>1160</v>
      </c>
      <c r="F362" s="3089">
        <f t="shared" ref="F362:Q362" si="116">+F29*F30*F31</f>
        <v>0</v>
      </c>
      <c r="G362" s="3090">
        <f t="shared" si="116"/>
        <v>0</v>
      </c>
      <c r="H362" s="3090">
        <f t="shared" si="116"/>
        <v>0</v>
      </c>
      <c r="I362" s="3090">
        <f t="shared" si="116"/>
        <v>0</v>
      </c>
      <c r="J362" s="3090">
        <f t="shared" si="116"/>
        <v>0</v>
      </c>
      <c r="K362" s="3090">
        <f t="shared" si="116"/>
        <v>0</v>
      </c>
      <c r="L362" s="3090">
        <f t="shared" si="116"/>
        <v>0</v>
      </c>
      <c r="M362" s="3090">
        <f t="shared" si="116"/>
        <v>0</v>
      </c>
      <c r="N362" s="3090">
        <f t="shared" si="116"/>
        <v>0</v>
      </c>
      <c r="O362" s="3090">
        <f t="shared" si="116"/>
        <v>0</v>
      </c>
      <c r="P362" s="3090">
        <f t="shared" si="116"/>
        <v>0</v>
      </c>
      <c r="Q362" s="3091">
        <f t="shared" si="116"/>
        <v>0</v>
      </c>
      <c r="R362" s="3092"/>
      <c r="T362" s="2970"/>
    </row>
    <row r="363" spans="1:24" s="2475" customFormat="1" ht="15.9" hidden="1" customHeight="1" x14ac:dyDescent="0.2">
      <c r="B363" s="3093"/>
      <c r="C363" s="2625"/>
      <c r="D363" s="2625"/>
      <c r="E363" s="2625" t="s">
        <v>242</v>
      </c>
      <c r="F363" s="3094">
        <f t="shared" ref="F363:Q363" si="117">+F32*$F$13*F35</f>
        <v>0</v>
      </c>
      <c r="G363" s="3078">
        <f t="shared" si="117"/>
        <v>0</v>
      </c>
      <c r="H363" s="3078">
        <f t="shared" si="117"/>
        <v>0</v>
      </c>
      <c r="I363" s="3078">
        <f t="shared" si="117"/>
        <v>0</v>
      </c>
      <c r="J363" s="3078">
        <f t="shared" si="117"/>
        <v>0</v>
      </c>
      <c r="K363" s="3078">
        <f t="shared" si="117"/>
        <v>0</v>
      </c>
      <c r="L363" s="3078">
        <f t="shared" si="117"/>
        <v>0</v>
      </c>
      <c r="M363" s="3078">
        <f t="shared" si="117"/>
        <v>0</v>
      </c>
      <c r="N363" s="3078">
        <f t="shared" si="117"/>
        <v>0</v>
      </c>
      <c r="O363" s="3078">
        <f t="shared" si="117"/>
        <v>0</v>
      </c>
      <c r="P363" s="3078">
        <f t="shared" si="117"/>
        <v>0</v>
      </c>
      <c r="Q363" s="3095">
        <f t="shared" si="117"/>
        <v>0</v>
      </c>
      <c r="R363" s="3096"/>
      <c r="T363" s="2970"/>
    </row>
    <row r="364" spans="1:24" s="2475" customFormat="1" ht="15.9" hidden="1" customHeight="1" x14ac:dyDescent="0.2">
      <c r="B364" s="3093"/>
      <c r="C364" s="2625"/>
      <c r="D364" s="2625"/>
      <c r="E364" s="2625" t="s">
        <v>1961</v>
      </c>
      <c r="F364" s="3078">
        <f t="shared" ref="F364:Q364" si="118">F33*F34*F335</f>
        <v>0</v>
      </c>
      <c r="G364" s="3078">
        <f t="shared" si="118"/>
        <v>0</v>
      </c>
      <c r="H364" s="3078">
        <f t="shared" si="118"/>
        <v>0</v>
      </c>
      <c r="I364" s="3078">
        <f t="shared" si="118"/>
        <v>0</v>
      </c>
      <c r="J364" s="3078">
        <f t="shared" si="118"/>
        <v>0</v>
      </c>
      <c r="K364" s="3078">
        <f t="shared" si="118"/>
        <v>0</v>
      </c>
      <c r="L364" s="3078">
        <f t="shared" si="118"/>
        <v>0</v>
      </c>
      <c r="M364" s="3078">
        <f t="shared" si="118"/>
        <v>0</v>
      </c>
      <c r="N364" s="3078">
        <f t="shared" si="118"/>
        <v>0</v>
      </c>
      <c r="O364" s="3078">
        <f t="shared" si="118"/>
        <v>0</v>
      </c>
      <c r="P364" s="3078">
        <f t="shared" si="118"/>
        <v>0</v>
      </c>
      <c r="Q364" s="3095">
        <f t="shared" si="118"/>
        <v>0</v>
      </c>
      <c r="R364" s="3096"/>
      <c r="T364" s="2970"/>
    </row>
    <row r="365" spans="1:24" s="2475" customFormat="1" ht="15.9" hidden="1" customHeight="1" x14ac:dyDescent="0.2">
      <c r="B365" s="3093"/>
      <c r="C365" s="2625" t="s">
        <v>1959</v>
      </c>
      <c r="D365" s="2625"/>
      <c r="E365" s="2625"/>
      <c r="F365" s="3078">
        <f t="shared" ref="F365:Q365" si="119">+F79*F80*F81</f>
        <v>0</v>
      </c>
      <c r="G365" s="3078">
        <f t="shared" si="119"/>
        <v>0</v>
      </c>
      <c r="H365" s="3078">
        <f t="shared" si="119"/>
        <v>0</v>
      </c>
      <c r="I365" s="3078">
        <f t="shared" si="119"/>
        <v>0</v>
      </c>
      <c r="J365" s="3078">
        <f t="shared" si="119"/>
        <v>0</v>
      </c>
      <c r="K365" s="3078">
        <f t="shared" si="119"/>
        <v>0</v>
      </c>
      <c r="L365" s="3078">
        <f t="shared" si="119"/>
        <v>0</v>
      </c>
      <c r="M365" s="3078">
        <f t="shared" si="119"/>
        <v>0</v>
      </c>
      <c r="N365" s="3078">
        <f t="shared" si="119"/>
        <v>0</v>
      </c>
      <c r="O365" s="3078">
        <f t="shared" si="119"/>
        <v>0</v>
      </c>
      <c r="P365" s="3078">
        <f t="shared" si="119"/>
        <v>0</v>
      </c>
      <c r="Q365" s="3095">
        <f t="shared" si="119"/>
        <v>0</v>
      </c>
      <c r="R365" s="3096"/>
      <c r="T365" s="2970"/>
    </row>
    <row r="366" spans="1:24" s="2475" customFormat="1" ht="15.9" hidden="1" customHeight="1" x14ac:dyDescent="0.2">
      <c r="B366" s="3093"/>
      <c r="C366" s="2625" t="s">
        <v>399</v>
      </c>
      <c r="D366" s="2625"/>
      <c r="E366" s="2625"/>
      <c r="F366" s="3078">
        <f t="shared" ref="F366:Q366" si="120">+F110*F111*F112</f>
        <v>0</v>
      </c>
      <c r="G366" s="3078">
        <f t="shared" si="120"/>
        <v>0</v>
      </c>
      <c r="H366" s="3078">
        <f t="shared" si="120"/>
        <v>0</v>
      </c>
      <c r="I366" s="3078">
        <f t="shared" si="120"/>
        <v>0</v>
      </c>
      <c r="J366" s="3078">
        <f t="shared" si="120"/>
        <v>0</v>
      </c>
      <c r="K366" s="3078">
        <f t="shared" si="120"/>
        <v>0</v>
      </c>
      <c r="L366" s="3078">
        <f t="shared" si="120"/>
        <v>0</v>
      </c>
      <c r="M366" s="3078">
        <f t="shared" si="120"/>
        <v>0</v>
      </c>
      <c r="N366" s="3078">
        <f t="shared" si="120"/>
        <v>0</v>
      </c>
      <c r="O366" s="3078">
        <f t="shared" si="120"/>
        <v>0</v>
      </c>
      <c r="P366" s="3078">
        <f t="shared" si="120"/>
        <v>0</v>
      </c>
      <c r="Q366" s="3095">
        <f t="shared" si="120"/>
        <v>0</v>
      </c>
      <c r="R366" s="3096"/>
      <c r="T366" s="2970"/>
    </row>
    <row r="367" spans="1:24" s="2475" customFormat="1" ht="15.9" hidden="1" customHeight="1" x14ac:dyDescent="0.2">
      <c r="B367" s="3093"/>
      <c r="C367" s="2625" t="s">
        <v>400</v>
      </c>
      <c r="D367" s="2625"/>
      <c r="E367" s="2625"/>
      <c r="F367" s="3078">
        <f t="shared" ref="F367:Q367" si="121">+F138*F139*F140</f>
        <v>0</v>
      </c>
      <c r="G367" s="3078">
        <f t="shared" si="121"/>
        <v>0</v>
      </c>
      <c r="H367" s="3078">
        <f t="shared" si="121"/>
        <v>0</v>
      </c>
      <c r="I367" s="3078">
        <f t="shared" si="121"/>
        <v>0</v>
      </c>
      <c r="J367" s="3078">
        <f t="shared" si="121"/>
        <v>0</v>
      </c>
      <c r="K367" s="3078">
        <f t="shared" si="121"/>
        <v>0</v>
      </c>
      <c r="L367" s="3078">
        <f t="shared" si="121"/>
        <v>0</v>
      </c>
      <c r="M367" s="3078">
        <f t="shared" si="121"/>
        <v>0</v>
      </c>
      <c r="N367" s="3078">
        <f t="shared" si="121"/>
        <v>0</v>
      </c>
      <c r="O367" s="3078">
        <f t="shared" si="121"/>
        <v>0</v>
      </c>
      <c r="P367" s="3078">
        <f t="shared" si="121"/>
        <v>0</v>
      </c>
      <c r="Q367" s="3095">
        <f t="shared" si="121"/>
        <v>0</v>
      </c>
      <c r="R367" s="3096"/>
      <c r="T367" s="2970"/>
    </row>
    <row r="368" spans="1:24" s="2475" customFormat="1" ht="15.9" hidden="1" customHeight="1" x14ac:dyDescent="0.2">
      <c r="B368" s="3093"/>
      <c r="C368" s="2625" t="s">
        <v>401</v>
      </c>
      <c r="D368" s="2625"/>
      <c r="E368" s="2625"/>
      <c r="F368" s="3078">
        <f t="shared" ref="F368:Q368" si="122">+F166*F167*F168</f>
        <v>0</v>
      </c>
      <c r="G368" s="3078">
        <f t="shared" si="122"/>
        <v>0</v>
      </c>
      <c r="H368" s="3078">
        <f t="shared" si="122"/>
        <v>0</v>
      </c>
      <c r="I368" s="3078">
        <f t="shared" si="122"/>
        <v>0</v>
      </c>
      <c r="J368" s="3078">
        <f t="shared" si="122"/>
        <v>0</v>
      </c>
      <c r="K368" s="3078">
        <f t="shared" si="122"/>
        <v>0</v>
      </c>
      <c r="L368" s="3078">
        <f t="shared" si="122"/>
        <v>0</v>
      </c>
      <c r="M368" s="3078">
        <f t="shared" si="122"/>
        <v>0</v>
      </c>
      <c r="N368" s="3078">
        <f t="shared" si="122"/>
        <v>0</v>
      </c>
      <c r="O368" s="3078">
        <f t="shared" si="122"/>
        <v>0</v>
      </c>
      <c r="P368" s="3078">
        <f t="shared" si="122"/>
        <v>0</v>
      </c>
      <c r="Q368" s="3095">
        <f t="shared" si="122"/>
        <v>0</v>
      </c>
      <c r="R368" s="3096"/>
      <c r="T368" s="2970"/>
    </row>
    <row r="369" spans="1:20" s="2475" customFormat="1" ht="15.9" hidden="1" customHeight="1" x14ac:dyDescent="0.2">
      <c r="B369" s="3093"/>
      <c r="C369" s="2625" t="s">
        <v>402</v>
      </c>
      <c r="D369" s="2625"/>
      <c r="E369" s="2625"/>
      <c r="F369" s="3078">
        <f t="shared" ref="F369:Q369" si="123">+F194*F195*F196</f>
        <v>0</v>
      </c>
      <c r="G369" s="3078">
        <f t="shared" si="123"/>
        <v>0</v>
      </c>
      <c r="H369" s="3078">
        <f t="shared" si="123"/>
        <v>0</v>
      </c>
      <c r="I369" s="3078">
        <f t="shared" si="123"/>
        <v>0</v>
      </c>
      <c r="J369" s="3078">
        <f t="shared" si="123"/>
        <v>0</v>
      </c>
      <c r="K369" s="3078">
        <f t="shared" si="123"/>
        <v>0</v>
      </c>
      <c r="L369" s="3078">
        <f t="shared" si="123"/>
        <v>0</v>
      </c>
      <c r="M369" s="3078">
        <f t="shared" si="123"/>
        <v>0</v>
      </c>
      <c r="N369" s="3078">
        <f t="shared" si="123"/>
        <v>0</v>
      </c>
      <c r="O369" s="3078">
        <f t="shared" si="123"/>
        <v>0</v>
      </c>
      <c r="P369" s="3078">
        <f t="shared" si="123"/>
        <v>0</v>
      </c>
      <c r="Q369" s="3095">
        <f t="shared" si="123"/>
        <v>0</v>
      </c>
      <c r="R369" s="3096"/>
      <c r="T369" s="2970"/>
    </row>
    <row r="370" spans="1:20" s="2475" customFormat="1" ht="15.9" hidden="1" customHeight="1" x14ac:dyDescent="0.2">
      <c r="B370" s="3093"/>
      <c r="C370" s="2625" t="s">
        <v>607</v>
      </c>
      <c r="D370" s="2625"/>
      <c r="E370" s="2625" t="s">
        <v>1160</v>
      </c>
      <c r="F370" s="3078">
        <f t="shared" ref="F370:Q370" si="124">+F220*F221*F222</f>
        <v>0</v>
      </c>
      <c r="G370" s="3078">
        <f t="shared" si="124"/>
        <v>0</v>
      </c>
      <c r="H370" s="3078">
        <f t="shared" si="124"/>
        <v>0</v>
      </c>
      <c r="I370" s="3078">
        <f t="shared" si="124"/>
        <v>0</v>
      </c>
      <c r="J370" s="3078">
        <f t="shared" si="124"/>
        <v>0</v>
      </c>
      <c r="K370" s="3078">
        <f t="shared" si="124"/>
        <v>0</v>
      </c>
      <c r="L370" s="3078">
        <f t="shared" si="124"/>
        <v>0</v>
      </c>
      <c r="M370" s="3078">
        <f t="shared" si="124"/>
        <v>0</v>
      </c>
      <c r="N370" s="3078">
        <f t="shared" si="124"/>
        <v>0</v>
      </c>
      <c r="O370" s="3078">
        <f t="shared" si="124"/>
        <v>0</v>
      </c>
      <c r="P370" s="3078">
        <f t="shared" si="124"/>
        <v>0</v>
      </c>
      <c r="Q370" s="3095">
        <f t="shared" si="124"/>
        <v>0</v>
      </c>
      <c r="R370" s="3096"/>
      <c r="T370" s="2970"/>
    </row>
    <row r="371" spans="1:20" s="2475" customFormat="1" ht="15.9" hidden="1" customHeight="1" x14ac:dyDescent="0.2">
      <c r="B371" s="3093"/>
      <c r="C371" s="2625"/>
      <c r="D371" s="2625"/>
      <c r="E371" s="2625" t="s">
        <v>242</v>
      </c>
      <c r="F371" s="3094">
        <f t="shared" ref="F371:Q371" si="125">+F224*F225*F226</f>
        <v>0</v>
      </c>
      <c r="G371" s="3078">
        <f t="shared" si="125"/>
        <v>0</v>
      </c>
      <c r="H371" s="3078">
        <f t="shared" si="125"/>
        <v>0</v>
      </c>
      <c r="I371" s="3078">
        <f t="shared" si="125"/>
        <v>0</v>
      </c>
      <c r="J371" s="3078">
        <f t="shared" si="125"/>
        <v>0</v>
      </c>
      <c r="K371" s="3078">
        <f t="shared" si="125"/>
        <v>0</v>
      </c>
      <c r="L371" s="3078">
        <f t="shared" si="125"/>
        <v>0</v>
      </c>
      <c r="M371" s="3078">
        <f t="shared" si="125"/>
        <v>0</v>
      </c>
      <c r="N371" s="3078">
        <f t="shared" si="125"/>
        <v>0</v>
      </c>
      <c r="O371" s="3078">
        <f t="shared" si="125"/>
        <v>0</v>
      </c>
      <c r="P371" s="3078">
        <f t="shared" si="125"/>
        <v>0</v>
      </c>
      <c r="Q371" s="3095">
        <f t="shared" si="125"/>
        <v>0</v>
      </c>
      <c r="R371" s="3096"/>
      <c r="T371" s="2970"/>
    </row>
    <row r="372" spans="1:20" s="2475" customFormat="1" ht="15.9" hidden="1" customHeight="1" x14ac:dyDescent="0.2">
      <c r="B372" s="3093"/>
      <c r="C372" s="2625" t="s">
        <v>386</v>
      </c>
      <c r="D372" s="2625"/>
      <c r="E372" s="2625"/>
      <c r="F372" s="3078">
        <f t="shared" ref="F372:Q372" si="126">+F249*F250*F251</f>
        <v>0</v>
      </c>
      <c r="G372" s="3078">
        <f t="shared" si="126"/>
        <v>0</v>
      </c>
      <c r="H372" s="3078">
        <f t="shared" si="126"/>
        <v>0</v>
      </c>
      <c r="I372" s="3078">
        <f t="shared" si="126"/>
        <v>0</v>
      </c>
      <c r="J372" s="3078">
        <f t="shared" si="126"/>
        <v>0</v>
      </c>
      <c r="K372" s="3078">
        <f t="shared" si="126"/>
        <v>0</v>
      </c>
      <c r="L372" s="3078">
        <f t="shared" si="126"/>
        <v>0</v>
      </c>
      <c r="M372" s="3078">
        <f t="shared" si="126"/>
        <v>0</v>
      </c>
      <c r="N372" s="3078">
        <f t="shared" si="126"/>
        <v>0</v>
      </c>
      <c r="O372" s="3078">
        <f t="shared" si="126"/>
        <v>0</v>
      </c>
      <c r="P372" s="3078">
        <f t="shared" si="126"/>
        <v>0</v>
      </c>
      <c r="Q372" s="3095">
        <f t="shared" si="126"/>
        <v>0</v>
      </c>
      <c r="R372" s="3096"/>
      <c r="T372" s="2970"/>
    </row>
    <row r="373" spans="1:20" s="2475" customFormat="1" ht="15.9" hidden="1" customHeight="1" x14ac:dyDescent="0.2">
      <c r="B373" s="3093"/>
      <c r="C373" s="2625" t="s">
        <v>385</v>
      </c>
      <c r="D373" s="2625"/>
      <c r="E373" s="2625"/>
      <c r="F373" s="3078">
        <f t="shared" ref="F373:Q373" si="127">+F273*F274*F275</f>
        <v>0</v>
      </c>
      <c r="G373" s="3078">
        <f t="shared" si="127"/>
        <v>0</v>
      </c>
      <c r="H373" s="3078">
        <f t="shared" si="127"/>
        <v>0</v>
      </c>
      <c r="I373" s="3078">
        <f t="shared" si="127"/>
        <v>0</v>
      </c>
      <c r="J373" s="3078">
        <f t="shared" si="127"/>
        <v>0</v>
      </c>
      <c r="K373" s="3078">
        <f t="shared" si="127"/>
        <v>0</v>
      </c>
      <c r="L373" s="3078">
        <f t="shared" si="127"/>
        <v>0</v>
      </c>
      <c r="M373" s="3078">
        <f t="shared" si="127"/>
        <v>0</v>
      </c>
      <c r="N373" s="3078">
        <f t="shared" si="127"/>
        <v>0</v>
      </c>
      <c r="O373" s="3078">
        <f t="shared" si="127"/>
        <v>0</v>
      </c>
      <c r="P373" s="3078">
        <f t="shared" si="127"/>
        <v>0</v>
      </c>
      <c r="Q373" s="3095">
        <f t="shared" si="127"/>
        <v>0</v>
      </c>
      <c r="R373" s="3096"/>
      <c r="T373" s="2970"/>
    </row>
    <row r="374" spans="1:20" s="2475" customFormat="1" ht="15.9" hidden="1" customHeight="1" x14ac:dyDescent="0.2">
      <c r="B374" s="3093"/>
      <c r="C374" s="2625" t="s">
        <v>1129</v>
      </c>
      <c r="D374" s="2625"/>
      <c r="E374" s="2625"/>
      <c r="F374" s="3078">
        <f t="shared" ref="F374:Q374" si="128">+F296*F297*F298</f>
        <v>0</v>
      </c>
      <c r="G374" s="3078">
        <f t="shared" si="128"/>
        <v>0</v>
      </c>
      <c r="H374" s="3078">
        <f t="shared" si="128"/>
        <v>0</v>
      </c>
      <c r="I374" s="3078">
        <f t="shared" si="128"/>
        <v>0</v>
      </c>
      <c r="J374" s="3078">
        <f t="shared" si="128"/>
        <v>0</v>
      </c>
      <c r="K374" s="3078">
        <f t="shared" si="128"/>
        <v>0</v>
      </c>
      <c r="L374" s="3078">
        <f t="shared" si="128"/>
        <v>0</v>
      </c>
      <c r="M374" s="3078">
        <f t="shared" si="128"/>
        <v>0</v>
      </c>
      <c r="N374" s="3078">
        <f t="shared" si="128"/>
        <v>0</v>
      </c>
      <c r="O374" s="3078">
        <f t="shared" si="128"/>
        <v>0</v>
      </c>
      <c r="P374" s="3078">
        <f t="shared" si="128"/>
        <v>0</v>
      </c>
      <c r="Q374" s="3095">
        <f t="shared" si="128"/>
        <v>0</v>
      </c>
      <c r="R374" s="3096"/>
      <c r="T374" s="2970"/>
    </row>
    <row r="375" spans="1:20" s="2475" customFormat="1" ht="15.9" hidden="1" customHeight="1" x14ac:dyDescent="0.2">
      <c r="B375" s="3093"/>
      <c r="C375" s="2625" t="s">
        <v>1960</v>
      </c>
      <c r="D375" s="2625"/>
      <c r="E375" s="2625" t="s">
        <v>1841</v>
      </c>
      <c r="F375" s="3094">
        <f>+F316*F318*F319</f>
        <v>0</v>
      </c>
      <c r="G375" s="3094">
        <f t="shared" ref="G375:Q375" si="129">+G316*G318*G319</f>
        <v>0</v>
      </c>
      <c r="H375" s="3094">
        <f t="shared" si="129"/>
        <v>0</v>
      </c>
      <c r="I375" s="3094">
        <f t="shared" si="129"/>
        <v>0</v>
      </c>
      <c r="J375" s="3094">
        <f t="shared" si="129"/>
        <v>0</v>
      </c>
      <c r="K375" s="3094">
        <f t="shared" si="129"/>
        <v>0</v>
      </c>
      <c r="L375" s="3094">
        <f t="shared" si="129"/>
        <v>0</v>
      </c>
      <c r="M375" s="3094">
        <f t="shared" si="129"/>
        <v>0</v>
      </c>
      <c r="N375" s="3094">
        <f t="shared" si="129"/>
        <v>0</v>
      </c>
      <c r="O375" s="3094">
        <f t="shared" si="129"/>
        <v>0</v>
      </c>
      <c r="P375" s="3094">
        <f t="shared" si="129"/>
        <v>0</v>
      </c>
      <c r="Q375" s="3094">
        <f t="shared" si="129"/>
        <v>0</v>
      </c>
      <c r="R375" s="3096"/>
      <c r="T375" s="2970"/>
    </row>
    <row r="376" spans="1:20" s="2475" customFormat="1" ht="15.9" hidden="1" customHeight="1" x14ac:dyDescent="0.2">
      <c r="B376" s="3093"/>
      <c r="C376" s="2625"/>
      <c r="D376" s="2625"/>
      <c r="E376" s="2625" t="s">
        <v>1842</v>
      </c>
      <c r="F376" s="3094">
        <f t="shared" ref="F376:Q376" si="130">+F321*F322*F323</f>
        <v>0</v>
      </c>
      <c r="G376" s="3078">
        <f t="shared" si="130"/>
        <v>0</v>
      </c>
      <c r="H376" s="3078">
        <f t="shared" si="130"/>
        <v>0</v>
      </c>
      <c r="I376" s="3078">
        <f t="shared" si="130"/>
        <v>0</v>
      </c>
      <c r="J376" s="3078">
        <f t="shared" si="130"/>
        <v>0</v>
      </c>
      <c r="K376" s="3078">
        <f t="shared" si="130"/>
        <v>0</v>
      </c>
      <c r="L376" s="3078">
        <f t="shared" si="130"/>
        <v>0</v>
      </c>
      <c r="M376" s="3078">
        <f t="shared" si="130"/>
        <v>0</v>
      </c>
      <c r="N376" s="3078">
        <f t="shared" si="130"/>
        <v>0</v>
      </c>
      <c r="O376" s="3078">
        <f t="shared" si="130"/>
        <v>0</v>
      </c>
      <c r="P376" s="3078">
        <f t="shared" si="130"/>
        <v>0</v>
      </c>
      <c r="Q376" s="3095">
        <f t="shared" si="130"/>
        <v>0</v>
      </c>
      <c r="R376" s="3096"/>
      <c r="T376" s="2970"/>
    </row>
    <row r="377" spans="1:20" s="2475" customFormat="1" ht="15.9" hidden="1" customHeight="1" x14ac:dyDescent="0.2">
      <c r="B377" s="3093"/>
      <c r="C377" s="2625" t="s">
        <v>490</v>
      </c>
      <c r="D377" s="2625"/>
      <c r="E377" s="2625"/>
      <c r="F377" s="3078">
        <f t="shared" ref="F377:Q377" si="131">+F340*F341*F342</f>
        <v>0</v>
      </c>
      <c r="G377" s="3078">
        <f t="shared" si="131"/>
        <v>0</v>
      </c>
      <c r="H377" s="3078">
        <f t="shared" si="131"/>
        <v>0</v>
      </c>
      <c r="I377" s="3078">
        <f t="shared" si="131"/>
        <v>0</v>
      </c>
      <c r="J377" s="3078">
        <f t="shared" si="131"/>
        <v>0</v>
      </c>
      <c r="K377" s="3078">
        <f t="shared" si="131"/>
        <v>0</v>
      </c>
      <c r="L377" s="3078">
        <f t="shared" si="131"/>
        <v>0</v>
      </c>
      <c r="M377" s="3078">
        <f t="shared" si="131"/>
        <v>0</v>
      </c>
      <c r="N377" s="3078">
        <f t="shared" si="131"/>
        <v>0</v>
      </c>
      <c r="O377" s="3078">
        <f t="shared" si="131"/>
        <v>0</v>
      </c>
      <c r="P377" s="3078">
        <f t="shared" si="131"/>
        <v>0</v>
      </c>
      <c r="Q377" s="3095">
        <f t="shared" si="131"/>
        <v>0</v>
      </c>
      <c r="R377" s="3097"/>
      <c r="T377" s="2970"/>
    </row>
    <row r="378" spans="1:20" s="2475" customFormat="1" ht="15.9" hidden="1" customHeight="1" thickBot="1" x14ac:dyDescent="0.25">
      <c r="B378" s="3098" t="s">
        <v>1131</v>
      </c>
      <c r="C378" s="3099"/>
      <c r="D378" s="3099"/>
      <c r="E378" s="3099"/>
      <c r="F378" s="3100">
        <f>+SUM(F362:F377)</f>
        <v>0</v>
      </c>
      <c r="G378" s="3101">
        <f t="shared" ref="G378:Q378" si="132">+SUM(G362:G377)</f>
        <v>0</v>
      </c>
      <c r="H378" s="3101">
        <f t="shared" si="132"/>
        <v>0</v>
      </c>
      <c r="I378" s="3101">
        <f t="shared" si="132"/>
        <v>0</v>
      </c>
      <c r="J378" s="3101">
        <f t="shared" si="132"/>
        <v>0</v>
      </c>
      <c r="K378" s="3101">
        <f t="shared" si="132"/>
        <v>0</v>
      </c>
      <c r="L378" s="3101">
        <f t="shared" si="132"/>
        <v>0</v>
      </c>
      <c r="M378" s="3101">
        <f t="shared" si="132"/>
        <v>0</v>
      </c>
      <c r="N378" s="3101">
        <f t="shared" si="132"/>
        <v>0</v>
      </c>
      <c r="O378" s="3101">
        <f t="shared" si="132"/>
        <v>0</v>
      </c>
      <c r="P378" s="3101">
        <f t="shared" si="132"/>
        <v>0</v>
      </c>
      <c r="Q378" s="3102">
        <f t="shared" si="132"/>
        <v>0</v>
      </c>
      <c r="R378" s="3103">
        <f>+SUM(F378:Q378)</f>
        <v>0</v>
      </c>
      <c r="T378" s="2970"/>
    </row>
    <row r="379" spans="1:20" s="2475" customFormat="1" ht="15.75" hidden="1" thickTop="1" thickBot="1" x14ac:dyDescent="0.25">
      <c r="B379" s="2618"/>
      <c r="C379" s="2556"/>
      <c r="D379" s="2618"/>
      <c r="E379" s="2618"/>
      <c r="F379" s="2618"/>
      <c r="G379" s="2618"/>
      <c r="H379" s="2618"/>
      <c r="I379" s="2618"/>
      <c r="J379" s="2618"/>
      <c r="K379" s="2618"/>
      <c r="L379" s="2618"/>
      <c r="M379" s="2618"/>
      <c r="N379" s="2618"/>
      <c r="O379" s="2618"/>
      <c r="P379" s="2618"/>
      <c r="Q379" s="2618"/>
      <c r="R379" s="2618"/>
      <c r="T379" s="2970"/>
    </row>
    <row r="380" spans="1:20" s="2475" customFormat="1" ht="15.9" hidden="1" customHeight="1" thickTop="1" x14ac:dyDescent="0.2">
      <c r="A380" s="3071">
        <v>1115</v>
      </c>
      <c r="B380" s="3087" t="s">
        <v>390</v>
      </c>
      <c r="C380" s="3088" t="s">
        <v>373</v>
      </c>
      <c r="D380" s="3088"/>
      <c r="E380" s="3104"/>
      <c r="F380" s="3090">
        <f t="shared" ref="F380:Q380" si="133">+F72*F73*F74</f>
        <v>0</v>
      </c>
      <c r="G380" s="3090">
        <f t="shared" si="133"/>
        <v>0</v>
      </c>
      <c r="H380" s="3090">
        <f t="shared" si="133"/>
        <v>0</v>
      </c>
      <c r="I380" s="3090">
        <f t="shared" si="133"/>
        <v>0</v>
      </c>
      <c r="J380" s="3090">
        <f t="shared" si="133"/>
        <v>0</v>
      </c>
      <c r="K380" s="3090">
        <f t="shared" si="133"/>
        <v>0</v>
      </c>
      <c r="L380" s="3090">
        <f t="shared" si="133"/>
        <v>0</v>
      </c>
      <c r="M380" s="3090">
        <f t="shared" si="133"/>
        <v>0</v>
      </c>
      <c r="N380" s="3090">
        <f t="shared" si="133"/>
        <v>0</v>
      </c>
      <c r="O380" s="3090">
        <f t="shared" si="133"/>
        <v>0</v>
      </c>
      <c r="P380" s="3090">
        <f t="shared" si="133"/>
        <v>0</v>
      </c>
      <c r="Q380" s="3091">
        <f t="shared" si="133"/>
        <v>0</v>
      </c>
      <c r="R380" s="3105"/>
      <c r="T380" s="2970"/>
    </row>
    <row r="381" spans="1:20" s="2475" customFormat="1" ht="15.9" hidden="1" customHeight="1" x14ac:dyDescent="0.2">
      <c r="B381" s="3093"/>
      <c r="C381" s="2625" t="s">
        <v>399</v>
      </c>
      <c r="D381" s="2625"/>
      <c r="E381" s="3106"/>
      <c r="F381" s="3078">
        <f t="shared" ref="F381:Q381" si="134">+F104*F105*F106</f>
        <v>0</v>
      </c>
      <c r="G381" s="3078">
        <f t="shared" si="134"/>
        <v>0</v>
      </c>
      <c r="H381" s="3078">
        <f t="shared" si="134"/>
        <v>0</v>
      </c>
      <c r="I381" s="3078">
        <f t="shared" si="134"/>
        <v>0</v>
      </c>
      <c r="J381" s="3078">
        <f t="shared" si="134"/>
        <v>0</v>
      </c>
      <c r="K381" s="3078">
        <f t="shared" si="134"/>
        <v>0</v>
      </c>
      <c r="L381" s="3078">
        <f t="shared" si="134"/>
        <v>0</v>
      </c>
      <c r="M381" s="3078">
        <f t="shared" si="134"/>
        <v>0</v>
      </c>
      <c r="N381" s="3078">
        <f t="shared" si="134"/>
        <v>0</v>
      </c>
      <c r="O381" s="3078">
        <f t="shared" si="134"/>
        <v>0</v>
      </c>
      <c r="P381" s="3078">
        <f t="shared" si="134"/>
        <v>0</v>
      </c>
      <c r="Q381" s="3095">
        <f t="shared" si="134"/>
        <v>0</v>
      </c>
      <c r="R381" s="3107"/>
      <c r="T381" s="2970"/>
    </row>
    <row r="382" spans="1:20" s="2475" customFormat="1" ht="15.9" hidden="1" customHeight="1" x14ac:dyDescent="0.2">
      <c r="B382" s="3093"/>
      <c r="C382" s="2625" t="s">
        <v>400</v>
      </c>
      <c r="D382" s="2625"/>
      <c r="E382" s="3106"/>
      <c r="F382" s="3078">
        <f t="shared" ref="F382:Q382" si="135">+F132*F133*F134</f>
        <v>0</v>
      </c>
      <c r="G382" s="3078">
        <f t="shared" si="135"/>
        <v>0</v>
      </c>
      <c r="H382" s="3078">
        <f t="shared" si="135"/>
        <v>0</v>
      </c>
      <c r="I382" s="3078">
        <f t="shared" si="135"/>
        <v>0</v>
      </c>
      <c r="J382" s="3078">
        <f t="shared" si="135"/>
        <v>0</v>
      </c>
      <c r="K382" s="3078">
        <f t="shared" si="135"/>
        <v>0</v>
      </c>
      <c r="L382" s="3078">
        <f t="shared" si="135"/>
        <v>0</v>
      </c>
      <c r="M382" s="3078">
        <f t="shared" si="135"/>
        <v>0</v>
      </c>
      <c r="N382" s="3078">
        <f t="shared" si="135"/>
        <v>0</v>
      </c>
      <c r="O382" s="3078">
        <f t="shared" si="135"/>
        <v>0</v>
      </c>
      <c r="P382" s="3078">
        <f t="shared" si="135"/>
        <v>0</v>
      </c>
      <c r="Q382" s="3095">
        <f t="shared" si="135"/>
        <v>0</v>
      </c>
      <c r="R382" s="3107"/>
      <c r="T382" s="2970"/>
    </row>
    <row r="383" spans="1:20" s="2475" customFormat="1" ht="15.9" hidden="1" customHeight="1" x14ac:dyDescent="0.2">
      <c r="B383" s="3093"/>
      <c r="C383" s="2625" t="s">
        <v>401</v>
      </c>
      <c r="D383" s="2625"/>
      <c r="E383" s="3106"/>
      <c r="F383" s="3078">
        <f t="shared" ref="F383:Q383" si="136">+F160*F161*F162</f>
        <v>0</v>
      </c>
      <c r="G383" s="3078">
        <f t="shared" si="136"/>
        <v>0</v>
      </c>
      <c r="H383" s="3078">
        <f t="shared" si="136"/>
        <v>0</v>
      </c>
      <c r="I383" s="3078">
        <f t="shared" si="136"/>
        <v>0</v>
      </c>
      <c r="J383" s="3078">
        <f t="shared" si="136"/>
        <v>0</v>
      </c>
      <c r="K383" s="3078">
        <f t="shared" si="136"/>
        <v>0</v>
      </c>
      <c r="L383" s="3078">
        <f t="shared" si="136"/>
        <v>0</v>
      </c>
      <c r="M383" s="3078">
        <f t="shared" si="136"/>
        <v>0</v>
      </c>
      <c r="N383" s="3078">
        <f t="shared" si="136"/>
        <v>0</v>
      </c>
      <c r="O383" s="3078">
        <f t="shared" si="136"/>
        <v>0</v>
      </c>
      <c r="P383" s="3078">
        <f t="shared" si="136"/>
        <v>0</v>
      </c>
      <c r="Q383" s="3095">
        <f t="shared" si="136"/>
        <v>0</v>
      </c>
      <c r="R383" s="3107"/>
      <c r="T383" s="2970"/>
    </row>
    <row r="384" spans="1:20" s="2475" customFormat="1" ht="15.9" hidden="1" customHeight="1" x14ac:dyDescent="0.2">
      <c r="B384" s="3093"/>
      <c r="C384" s="2625" t="s">
        <v>197</v>
      </c>
      <c r="D384" s="2625"/>
      <c r="E384" s="3106"/>
      <c r="F384" s="3078">
        <f t="shared" ref="F384:Q384" si="137">+F188*F189*F190</f>
        <v>0</v>
      </c>
      <c r="G384" s="3078">
        <f t="shared" si="137"/>
        <v>0</v>
      </c>
      <c r="H384" s="3078">
        <f t="shared" si="137"/>
        <v>0</v>
      </c>
      <c r="I384" s="3078">
        <f t="shared" si="137"/>
        <v>0</v>
      </c>
      <c r="J384" s="3078">
        <f t="shared" si="137"/>
        <v>0</v>
      </c>
      <c r="K384" s="3078">
        <f t="shared" si="137"/>
        <v>0</v>
      </c>
      <c r="L384" s="3078">
        <f t="shared" si="137"/>
        <v>0</v>
      </c>
      <c r="M384" s="3078">
        <f t="shared" si="137"/>
        <v>0</v>
      </c>
      <c r="N384" s="3078">
        <f t="shared" si="137"/>
        <v>0</v>
      </c>
      <c r="O384" s="3078">
        <f t="shared" si="137"/>
        <v>0</v>
      </c>
      <c r="P384" s="3078">
        <f t="shared" si="137"/>
        <v>0</v>
      </c>
      <c r="Q384" s="3095">
        <f t="shared" si="137"/>
        <v>0</v>
      </c>
      <c r="R384" s="3107"/>
      <c r="T384" s="2970"/>
    </row>
    <row r="385" spans="1:24" s="2475" customFormat="1" ht="15.9" hidden="1" customHeight="1" x14ac:dyDescent="0.2">
      <c r="B385" s="3093"/>
      <c r="C385" s="2625" t="s">
        <v>607</v>
      </c>
      <c r="D385" s="2625"/>
      <c r="E385" s="3106"/>
      <c r="F385" s="3078">
        <f t="shared" ref="F385:Q385" si="138">+F215*F216*F217</f>
        <v>0</v>
      </c>
      <c r="G385" s="3078">
        <f t="shared" si="138"/>
        <v>0</v>
      </c>
      <c r="H385" s="3078">
        <f t="shared" si="138"/>
        <v>0</v>
      </c>
      <c r="I385" s="3078">
        <f t="shared" si="138"/>
        <v>0</v>
      </c>
      <c r="J385" s="3078">
        <f t="shared" si="138"/>
        <v>0</v>
      </c>
      <c r="K385" s="3078">
        <f t="shared" si="138"/>
        <v>0</v>
      </c>
      <c r="L385" s="3078">
        <f t="shared" si="138"/>
        <v>0</v>
      </c>
      <c r="M385" s="3078">
        <f t="shared" si="138"/>
        <v>0</v>
      </c>
      <c r="N385" s="3078">
        <f t="shared" si="138"/>
        <v>0</v>
      </c>
      <c r="O385" s="3078">
        <f t="shared" si="138"/>
        <v>0</v>
      </c>
      <c r="P385" s="3078">
        <f t="shared" si="138"/>
        <v>0</v>
      </c>
      <c r="Q385" s="3095">
        <f t="shared" si="138"/>
        <v>0</v>
      </c>
      <c r="R385" s="3107"/>
      <c r="T385" s="2970"/>
    </row>
    <row r="386" spans="1:24" s="2475" customFormat="1" ht="15.9" hidden="1" customHeight="1" x14ac:dyDescent="0.2">
      <c r="B386" s="3093"/>
      <c r="C386" s="2625" t="s">
        <v>386</v>
      </c>
      <c r="D386" s="2625"/>
      <c r="E386" s="3106"/>
      <c r="F386" s="3078">
        <f t="shared" ref="F386:Q386" si="139">+F242*F243*F244</f>
        <v>0</v>
      </c>
      <c r="G386" s="3078">
        <f t="shared" si="139"/>
        <v>0</v>
      </c>
      <c r="H386" s="3078">
        <f t="shared" si="139"/>
        <v>0</v>
      </c>
      <c r="I386" s="3078">
        <f t="shared" si="139"/>
        <v>0</v>
      </c>
      <c r="J386" s="3078">
        <f t="shared" si="139"/>
        <v>0</v>
      </c>
      <c r="K386" s="3078">
        <f t="shared" si="139"/>
        <v>0</v>
      </c>
      <c r="L386" s="3078">
        <f t="shared" si="139"/>
        <v>0</v>
      </c>
      <c r="M386" s="3078">
        <f t="shared" si="139"/>
        <v>0</v>
      </c>
      <c r="N386" s="3078">
        <f t="shared" si="139"/>
        <v>0</v>
      </c>
      <c r="O386" s="3078">
        <f t="shared" si="139"/>
        <v>0</v>
      </c>
      <c r="P386" s="3078">
        <f t="shared" si="139"/>
        <v>0</v>
      </c>
      <c r="Q386" s="3095">
        <f t="shared" si="139"/>
        <v>0</v>
      </c>
      <c r="R386" s="3107"/>
      <c r="T386" s="2970"/>
    </row>
    <row r="387" spans="1:24" s="2475" customFormat="1" ht="15.9" hidden="1" customHeight="1" x14ac:dyDescent="0.2">
      <c r="B387" s="3093"/>
      <c r="C387" s="2625" t="s">
        <v>385</v>
      </c>
      <c r="D387" s="2625"/>
      <c r="E387" s="3106"/>
      <c r="F387" s="3078">
        <f t="shared" ref="F387:Q387" si="140">+F267*F268*F269</f>
        <v>0</v>
      </c>
      <c r="G387" s="3078">
        <f t="shared" si="140"/>
        <v>0</v>
      </c>
      <c r="H387" s="3078">
        <f t="shared" si="140"/>
        <v>0</v>
      </c>
      <c r="I387" s="3078">
        <f t="shared" si="140"/>
        <v>0</v>
      </c>
      <c r="J387" s="3078">
        <f t="shared" si="140"/>
        <v>0</v>
      </c>
      <c r="K387" s="3078">
        <f t="shared" si="140"/>
        <v>0</v>
      </c>
      <c r="L387" s="3078">
        <f t="shared" si="140"/>
        <v>0</v>
      </c>
      <c r="M387" s="3078">
        <f t="shared" si="140"/>
        <v>0</v>
      </c>
      <c r="N387" s="3078">
        <f t="shared" si="140"/>
        <v>0</v>
      </c>
      <c r="O387" s="3078">
        <f t="shared" si="140"/>
        <v>0</v>
      </c>
      <c r="P387" s="3078">
        <f t="shared" si="140"/>
        <v>0</v>
      </c>
      <c r="Q387" s="3095">
        <f t="shared" si="140"/>
        <v>0</v>
      </c>
      <c r="R387" s="3107"/>
      <c r="T387" s="2970"/>
    </row>
    <row r="388" spans="1:24" s="2475" customFormat="1" ht="15.9" hidden="1" customHeight="1" x14ac:dyDescent="0.2">
      <c r="B388" s="3093"/>
      <c r="C388" s="2625" t="s">
        <v>1129</v>
      </c>
      <c r="D388" s="2625"/>
      <c r="E388" s="3106"/>
      <c r="F388" s="3078">
        <f t="shared" ref="F388:Q388" si="141">+F289*F290*F291</f>
        <v>0</v>
      </c>
      <c r="G388" s="3078">
        <f t="shared" si="141"/>
        <v>0</v>
      </c>
      <c r="H388" s="3078">
        <f t="shared" si="141"/>
        <v>0</v>
      </c>
      <c r="I388" s="3078">
        <f t="shared" si="141"/>
        <v>0</v>
      </c>
      <c r="J388" s="3078">
        <f t="shared" si="141"/>
        <v>0</v>
      </c>
      <c r="K388" s="3078">
        <f t="shared" si="141"/>
        <v>0</v>
      </c>
      <c r="L388" s="3078">
        <f t="shared" si="141"/>
        <v>0</v>
      </c>
      <c r="M388" s="3078">
        <f t="shared" si="141"/>
        <v>0</v>
      </c>
      <c r="N388" s="3078">
        <f t="shared" si="141"/>
        <v>0</v>
      </c>
      <c r="O388" s="3078">
        <f t="shared" si="141"/>
        <v>0</v>
      </c>
      <c r="P388" s="3078">
        <f t="shared" si="141"/>
        <v>0</v>
      </c>
      <c r="Q388" s="3095">
        <f t="shared" si="141"/>
        <v>0</v>
      </c>
      <c r="R388" s="3107"/>
      <c r="T388" s="2970"/>
    </row>
    <row r="389" spans="1:24" s="2475" customFormat="1" ht="15.9" hidden="1" customHeight="1" x14ac:dyDescent="0.2">
      <c r="B389" s="3093"/>
      <c r="C389" s="2625" t="s">
        <v>490</v>
      </c>
      <c r="D389" s="2625"/>
      <c r="E389" s="3106"/>
      <c r="F389" s="3078">
        <f t="shared" ref="F389:Q389" si="142">+F335*F336*F337</f>
        <v>0</v>
      </c>
      <c r="G389" s="3078">
        <f t="shared" si="142"/>
        <v>0</v>
      </c>
      <c r="H389" s="3078">
        <f t="shared" si="142"/>
        <v>0</v>
      </c>
      <c r="I389" s="3078">
        <f t="shared" si="142"/>
        <v>0</v>
      </c>
      <c r="J389" s="3078">
        <f t="shared" si="142"/>
        <v>0</v>
      </c>
      <c r="K389" s="3078">
        <f t="shared" si="142"/>
        <v>0</v>
      </c>
      <c r="L389" s="3078">
        <f t="shared" si="142"/>
        <v>0</v>
      </c>
      <c r="M389" s="3078">
        <f t="shared" si="142"/>
        <v>0</v>
      </c>
      <c r="N389" s="3078">
        <f t="shared" si="142"/>
        <v>0</v>
      </c>
      <c r="O389" s="3078">
        <f t="shared" si="142"/>
        <v>0</v>
      </c>
      <c r="P389" s="3078">
        <f t="shared" si="142"/>
        <v>0</v>
      </c>
      <c r="Q389" s="3095">
        <f t="shared" si="142"/>
        <v>0</v>
      </c>
      <c r="R389" s="3107"/>
      <c r="T389" s="2970"/>
    </row>
    <row r="390" spans="1:24" s="2475" customFormat="1" ht="15.9" hidden="1" customHeight="1" thickBot="1" x14ac:dyDescent="0.25">
      <c r="B390" s="3098" t="s">
        <v>1134</v>
      </c>
      <c r="C390" s="3099"/>
      <c r="D390" s="3099"/>
      <c r="E390" s="3108"/>
      <c r="F390" s="3101">
        <f>+SUM(F380:F389)</f>
        <v>0</v>
      </c>
      <c r="G390" s="3101">
        <f t="shared" ref="G390:Q390" si="143">+SUM(G380:G389)</f>
        <v>0</v>
      </c>
      <c r="H390" s="3101">
        <f t="shared" si="143"/>
        <v>0</v>
      </c>
      <c r="I390" s="3101">
        <f t="shared" si="143"/>
        <v>0</v>
      </c>
      <c r="J390" s="3101">
        <f t="shared" si="143"/>
        <v>0</v>
      </c>
      <c r="K390" s="3101">
        <f t="shared" si="143"/>
        <v>0</v>
      </c>
      <c r="L390" s="3101">
        <f t="shared" si="143"/>
        <v>0</v>
      </c>
      <c r="M390" s="3101">
        <f t="shared" si="143"/>
        <v>0</v>
      </c>
      <c r="N390" s="3101">
        <f t="shared" si="143"/>
        <v>0</v>
      </c>
      <c r="O390" s="3101">
        <f t="shared" si="143"/>
        <v>0</v>
      </c>
      <c r="P390" s="3101">
        <f t="shared" si="143"/>
        <v>0</v>
      </c>
      <c r="Q390" s="3102">
        <f t="shared" si="143"/>
        <v>0</v>
      </c>
      <c r="R390" s="3109">
        <f>+SUM(F390:Q390)</f>
        <v>0</v>
      </c>
      <c r="T390" s="2970"/>
    </row>
    <row r="391" spans="1:24" s="2475" customFormat="1" ht="15.9" hidden="1" customHeight="1" thickTop="1" x14ac:dyDescent="0.2">
      <c r="B391" s="2618"/>
      <c r="C391" s="2618"/>
      <c r="D391" s="2618"/>
      <c r="E391" s="2618"/>
      <c r="F391" s="2618"/>
      <c r="G391" s="2618"/>
      <c r="H391" s="2618"/>
      <c r="I391" s="2618"/>
      <c r="J391" s="2618"/>
      <c r="K391" s="2618"/>
      <c r="L391" s="2618"/>
      <c r="M391" s="2618"/>
      <c r="N391" s="2618"/>
      <c r="O391" s="2618"/>
      <c r="P391" s="2618"/>
      <c r="Q391" s="2618"/>
      <c r="R391" s="2618"/>
      <c r="T391" s="2970"/>
    </row>
    <row r="392" spans="1:24" s="3081" customFormat="1" ht="15.9" hidden="1" customHeight="1" thickBot="1" x14ac:dyDescent="0.25">
      <c r="B392" s="3082" t="s">
        <v>1964</v>
      </c>
      <c r="C392" s="3083"/>
      <c r="D392" s="3082"/>
      <c r="E392" s="3082"/>
      <c r="F392" s="3082"/>
      <c r="G392" s="3082"/>
      <c r="H392" s="3082"/>
      <c r="I392" s="3082"/>
      <c r="J392" s="3082"/>
      <c r="K392" s="3082"/>
      <c r="L392" s="3082"/>
      <c r="M392" s="3082"/>
      <c r="N392" s="3082"/>
      <c r="O392" s="3082"/>
      <c r="P392" s="3082"/>
      <c r="Q392" s="3082"/>
      <c r="R392" s="3082"/>
      <c r="T392" s="3085"/>
      <c r="X392" s="3086"/>
    </row>
    <row r="393" spans="1:24" s="2475" customFormat="1" ht="15.9" hidden="1" customHeight="1" thickTop="1" x14ac:dyDescent="0.2">
      <c r="A393" s="3071">
        <v>1116</v>
      </c>
      <c r="B393" s="3087" t="s">
        <v>1148</v>
      </c>
      <c r="C393" s="3088" t="s">
        <v>1958</v>
      </c>
      <c r="D393" s="3088"/>
      <c r="E393" s="3088" t="s">
        <v>1162</v>
      </c>
      <c r="F393" s="3089">
        <f t="shared" ref="F393:Q393" si="144">+F29*F30+F32*$F$13</f>
        <v>0</v>
      </c>
      <c r="G393" s="3090">
        <f t="shared" si="144"/>
        <v>0</v>
      </c>
      <c r="H393" s="3090">
        <f t="shared" si="144"/>
        <v>0</v>
      </c>
      <c r="I393" s="3090">
        <f t="shared" si="144"/>
        <v>0</v>
      </c>
      <c r="J393" s="3090">
        <f t="shared" si="144"/>
        <v>0</v>
      </c>
      <c r="K393" s="3090">
        <f t="shared" si="144"/>
        <v>0</v>
      </c>
      <c r="L393" s="3090">
        <f t="shared" si="144"/>
        <v>0</v>
      </c>
      <c r="M393" s="3090">
        <f t="shared" si="144"/>
        <v>0</v>
      </c>
      <c r="N393" s="3090">
        <f t="shared" si="144"/>
        <v>0</v>
      </c>
      <c r="O393" s="3090">
        <f t="shared" si="144"/>
        <v>0</v>
      </c>
      <c r="P393" s="3090">
        <f t="shared" si="144"/>
        <v>0</v>
      </c>
      <c r="Q393" s="3091">
        <f t="shared" si="144"/>
        <v>0</v>
      </c>
      <c r="R393" s="3092"/>
      <c r="S393" s="2618"/>
      <c r="T393" s="2970"/>
    </row>
    <row r="394" spans="1:24" s="2475" customFormat="1" ht="15.9" hidden="1" customHeight="1" x14ac:dyDescent="0.2">
      <c r="B394" s="3093"/>
      <c r="C394" s="2625" t="str">
        <f t="shared" ref="C394:C399" si="145">+C365</f>
        <v>Vacas Secas</v>
      </c>
      <c r="D394" s="2625"/>
      <c r="E394" s="2625"/>
      <c r="F394" s="3094">
        <f t="shared" ref="F394:Q394" si="146">+F79*F80</f>
        <v>0</v>
      </c>
      <c r="G394" s="3078">
        <f t="shared" si="146"/>
        <v>0</v>
      </c>
      <c r="H394" s="3078">
        <f t="shared" si="146"/>
        <v>0</v>
      </c>
      <c r="I394" s="3078">
        <f t="shared" si="146"/>
        <v>0</v>
      </c>
      <c r="J394" s="3078">
        <f t="shared" si="146"/>
        <v>0</v>
      </c>
      <c r="K394" s="3078">
        <f t="shared" si="146"/>
        <v>0</v>
      </c>
      <c r="L394" s="3078">
        <f t="shared" si="146"/>
        <v>0</v>
      </c>
      <c r="M394" s="3078">
        <f t="shared" si="146"/>
        <v>0</v>
      </c>
      <c r="N394" s="3078">
        <f t="shared" si="146"/>
        <v>0</v>
      </c>
      <c r="O394" s="3078">
        <f t="shared" si="146"/>
        <v>0</v>
      </c>
      <c r="P394" s="3078">
        <f t="shared" si="146"/>
        <v>0</v>
      </c>
      <c r="Q394" s="3095">
        <f t="shared" si="146"/>
        <v>0</v>
      </c>
      <c r="R394" s="3096"/>
      <c r="S394" s="2618"/>
      <c r="T394" s="2970"/>
    </row>
    <row r="395" spans="1:24" s="2475" customFormat="1" ht="15.9" hidden="1" customHeight="1" x14ac:dyDescent="0.2">
      <c r="B395" s="3093"/>
      <c r="C395" s="2625" t="str">
        <f t="shared" si="145"/>
        <v>Vaquillonas preñadas a parir en el 1er trimestre</v>
      </c>
      <c r="D395" s="2625"/>
      <c r="E395" s="2625"/>
      <c r="F395" s="3078">
        <f t="shared" ref="F395:Q395" si="147">+F110*F111</f>
        <v>0</v>
      </c>
      <c r="G395" s="3078">
        <f t="shared" si="147"/>
        <v>0</v>
      </c>
      <c r="H395" s="3078">
        <f t="shared" si="147"/>
        <v>0</v>
      </c>
      <c r="I395" s="3078">
        <f t="shared" si="147"/>
        <v>0</v>
      </c>
      <c r="J395" s="3078">
        <f t="shared" si="147"/>
        <v>0</v>
      </c>
      <c r="K395" s="3078">
        <f t="shared" si="147"/>
        <v>0</v>
      </c>
      <c r="L395" s="3078">
        <f t="shared" si="147"/>
        <v>0</v>
      </c>
      <c r="M395" s="3078">
        <f t="shared" si="147"/>
        <v>0</v>
      </c>
      <c r="N395" s="3078">
        <f t="shared" si="147"/>
        <v>0</v>
      </c>
      <c r="O395" s="3078">
        <f t="shared" si="147"/>
        <v>0</v>
      </c>
      <c r="P395" s="3078">
        <f t="shared" si="147"/>
        <v>0</v>
      </c>
      <c r="Q395" s="3095">
        <f t="shared" si="147"/>
        <v>0</v>
      </c>
      <c r="R395" s="3096"/>
      <c r="S395" s="2618"/>
      <c r="T395" s="2970"/>
    </row>
    <row r="396" spans="1:24" s="2475" customFormat="1" ht="15.9" hidden="1" customHeight="1" x14ac:dyDescent="0.2">
      <c r="B396" s="3093"/>
      <c r="C396" s="2625" t="str">
        <f t="shared" si="145"/>
        <v>Vaquillonas preñadas a parir en el 2do trimestre</v>
      </c>
      <c r="D396" s="2625"/>
      <c r="E396" s="2625"/>
      <c r="F396" s="3078">
        <f t="shared" ref="F396:Q396" si="148">+F138*F139</f>
        <v>0</v>
      </c>
      <c r="G396" s="3078">
        <f t="shared" si="148"/>
        <v>0</v>
      </c>
      <c r="H396" s="3078">
        <f t="shared" si="148"/>
        <v>0</v>
      </c>
      <c r="I396" s="3078">
        <f t="shared" si="148"/>
        <v>0</v>
      </c>
      <c r="J396" s="3078">
        <f t="shared" si="148"/>
        <v>0</v>
      </c>
      <c r="K396" s="3078">
        <f t="shared" si="148"/>
        <v>0</v>
      </c>
      <c r="L396" s="3078">
        <f t="shared" si="148"/>
        <v>0</v>
      </c>
      <c r="M396" s="3078">
        <f t="shared" si="148"/>
        <v>0</v>
      </c>
      <c r="N396" s="3078">
        <f t="shared" si="148"/>
        <v>0</v>
      </c>
      <c r="O396" s="3078">
        <f t="shared" si="148"/>
        <v>0</v>
      </c>
      <c r="P396" s="3078">
        <f t="shared" si="148"/>
        <v>0</v>
      </c>
      <c r="Q396" s="3095">
        <f t="shared" si="148"/>
        <v>0</v>
      </c>
      <c r="R396" s="3096"/>
      <c r="S396" s="2618"/>
      <c r="T396" s="2970"/>
    </row>
    <row r="397" spans="1:24" s="2475" customFormat="1" ht="15.9" hidden="1" customHeight="1" x14ac:dyDescent="0.2">
      <c r="B397" s="3093"/>
      <c r="C397" s="2625" t="str">
        <f t="shared" si="145"/>
        <v>Vaquillonas preñadas a parir en el 3er trimestre</v>
      </c>
      <c r="D397" s="2625"/>
      <c r="E397" s="2625"/>
      <c r="F397" s="3078">
        <f t="shared" ref="F397:Q397" si="149">+F166*F167</f>
        <v>0</v>
      </c>
      <c r="G397" s="3078">
        <f t="shared" si="149"/>
        <v>0</v>
      </c>
      <c r="H397" s="3078">
        <f t="shared" si="149"/>
        <v>0</v>
      </c>
      <c r="I397" s="3078">
        <f t="shared" si="149"/>
        <v>0</v>
      </c>
      <c r="J397" s="3078">
        <f t="shared" si="149"/>
        <v>0</v>
      </c>
      <c r="K397" s="3078">
        <f t="shared" si="149"/>
        <v>0</v>
      </c>
      <c r="L397" s="3078">
        <f t="shared" si="149"/>
        <v>0</v>
      </c>
      <c r="M397" s="3078">
        <f t="shared" si="149"/>
        <v>0</v>
      </c>
      <c r="N397" s="3078">
        <f t="shared" si="149"/>
        <v>0</v>
      </c>
      <c r="O397" s="3078">
        <f t="shared" si="149"/>
        <v>0</v>
      </c>
      <c r="P397" s="3078">
        <f t="shared" si="149"/>
        <v>0</v>
      </c>
      <c r="Q397" s="3095">
        <f t="shared" si="149"/>
        <v>0</v>
      </c>
      <c r="R397" s="3096"/>
      <c r="S397" s="2618"/>
      <c r="T397" s="2970"/>
    </row>
    <row r="398" spans="1:24" s="2475" customFormat="1" ht="15.9" hidden="1" customHeight="1" x14ac:dyDescent="0.2">
      <c r="B398" s="3093"/>
      <c r="C398" s="2625" t="str">
        <f t="shared" si="145"/>
        <v>Vaquillonas preñadas a parir en el 4to trimestre</v>
      </c>
      <c r="D398" s="2625"/>
      <c r="E398" s="2625"/>
      <c r="F398" s="3078">
        <f t="shared" ref="F398:Q398" si="150">+F194*F195</f>
        <v>0</v>
      </c>
      <c r="G398" s="3078">
        <f t="shared" si="150"/>
        <v>0</v>
      </c>
      <c r="H398" s="3078">
        <f t="shared" si="150"/>
        <v>0</v>
      </c>
      <c r="I398" s="3078">
        <f t="shared" si="150"/>
        <v>0</v>
      </c>
      <c r="J398" s="3078">
        <f t="shared" si="150"/>
        <v>0</v>
      </c>
      <c r="K398" s="3078">
        <f t="shared" si="150"/>
        <v>0</v>
      </c>
      <c r="L398" s="3078">
        <f t="shared" si="150"/>
        <v>0</v>
      </c>
      <c r="M398" s="3078">
        <f t="shared" si="150"/>
        <v>0</v>
      </c>
      <c r="N398" s="3078">
        <f t="shared" si="150"/>
        <v>0</v>
      </c>
      <c r="O398" s="3078">
        <f t="shared" si="150"/>
        <v>0</v>
      </c>
      <c r="P398" s="3078">
        <f t="shared" si="150"/>
        <v>0</v>
      </c>
      <c r="Q398" s="3095">
        <f t="shared" si="150"/>
        <v>0</v>
      </c>
      <c r="R398" s="3096"/>
      <c r="S398" s="2618"/>
      <c r="T398" s="2970"/>
    </row>
    <row r="399" spans="1:24" s="2475" customFormat="1" ht="15.9" hidden="1" customHeight="1" x14ac:dyDescent="0.2">
      <c r="B399" s="3093"/>
      <c r="C399" s="2625" t="str">
        <f t="shared" si="145"/>
        <v>Vaquillonas</v>
      </c>
      <c r="D399" s="2625"/>
      <c r="E399" s="2625" t="s">
        <v>1162</v>
      </c>
      <c r="F399" s="3078">
        <f t="shared" ref="F399:Q399" si="151">+F220*F221+F224*F225</f>
        <v>0</v>
      </c>
      <c r="G399" s="3078">
        <f t="shared" si="151"/>
        <v>0</v>
      </c>
      <c r="H399" s="3078">
        <f t="shared" si="151"/>
        <v>0</v>
      </c>
      <c r="I399" s="3078">
        <f t="shared" si="151"/>
        <v>0</v>
      </c>
      <c r="J399" s="3078">
        <f t="shared" si="151"/>
        <v>0</v>
      </c>
      <c r="K399" s="3078">
        <f t="shared" si="151"/>
        <v>0</v>
      </c>
      <c r="L399" s="3078">
        <f t="shared" si="151"/>
        <v>0</v>
      </c>
      <c r="M399" s="3078">
        <f t="shared" si="151"/>
        <v>0</v>
      </c>
      <c r="N399" s="3078">
        <f t="shared" si="151"/>
        <v>0</v>
      </c>
      <c r="O399" s="3078">
        <f t="shared" si="151"/>
        <v>0</v>
      </c>
      <c r="P399" s="3078">
        <f t="shared" si="151"/>
        <v>0</v>
      </c>
      <c r="Q399" s="3095">
        <f t="shared" si="151"/>
        <v>0</v>
      </c>
      <c r="R399" s="3096"/>
      <c r="S399" s="2618"/>
      <c r="T399" s="2970"/>
    </row>
    <row r="400" spans="1:24" s="2475" customFormat="1" ht="15.9" hidden="1" customHeight="1" x14ac:dyDescent="0.2">
      <c r="B400" s="3093"/>
      <c r="C400" s="2625" t="str">
        <f>+C372</f>
        <v xml:space="preserve">Terneras &gt; 6 meses </v>
      </c>
      <c r="D400" s="2625"/>
      <c r="E400" s="2625"/>
      <c r="F400" s="3078">
        <f t="shared" ref="F400:Q400" si="152">+F249*F250</f>
        <v>0</v>
      </c>
      <c r="G400" s="3078">
        <f t="shared" si="152"/>
        <v>0</v>
      </c>
      <c r="H400" s="3078">
        <f t="shared" si="152"/>
        <v>0</v>
      </c>
      <c r="I400" s="3078">
        <f t="shared" si="152"/>
        <v>0</v>
      </c>
      <c r="J400" s="3078">
        <f t="shared" si="152"/>
        <v>0</v>
      </c>
      <c r="K400" s="3078">
        <f t="shared" si="152"/>
        <v>0</v>
      </c>
      <c r="L400" s="3078">
        <f t="shared" si="152"/>
        <v>0</v>
      </c>
      <c r="M400" s="3078">
        <f t="shared" si="152"/>
        <v>0</v>
      </c>
      <c r="N400" s="3078">
        <f t="shared" si="152"/>
        <v>0</v>
      </c>
      <c r="O400" s="3078">
        <f t="shared" si="152"/>
        <v>0</v>
      </c>
      <c r="P400" s="3078">
        <f t="shared" si="152"/>
        <v>0</v>
      </c>
      <c r="Q400" s="3095">
        <f t="shared" si="152"/>
        <v>0</v>
      </c>
      <c r="R400" s="3096"/>
      <c r="S400" s="2618"/>
      <c r="T400" s="2970"/>
    </row>
    <row r="401" spans="1:20" s="2475" customFormat="1" ht="15.9" hidden="1" customHeight="1" x14ac:dyDescent="0.2">
      <c r="B401" s="3093"/>
      <c r="C401" s="2625" t="str">
        <f>+C373</f>
        <v>Terneras &gt; 2 meses &lt; 6 meses</v>
      </c>
      <c r="D401" s="2625"/>
      <c r="E401" s="2625"/>
      <c r="F401" s="3078">
        <f t="shared" ref="F401:Q401" si="153">+F273*F274</f>
        <v>0</v>
      </c>
      <c r="G401" s="3078">
        <f t="shared" si="153"/>
        <v>0</v>
      </c>
      <c r="H401" s="3078">
        <f t="shared" si="153"/>
        <v>0</v>
      </c>
      <c r="I401" s="3078">
        <f t="shared" si="153"/>
        <v>0</v>
      </c>
      <c r="J401" s="3078">
        <f t="shared" si="153"/>
        <v>0</v>
      </c>
      <c r="K401" s="3078">
        <f t="shared" si="153"/>
        <v>0</v>
      </c>
      <c r="L401" s="3078">
        <f t="shared" si="153"/>
        <v>0</v>
      </c>
      <c r="M401" s="3078">
        <f t="shared" si="153"/>
        <v>0</v>
      </c>
      <c r="N401" s="3078">
        <f t="shared" si="153"/>
        <v>0</v>
      </c>
      <c r="O401" s="3078">
        <f t="shared" si="153"/>
        <v>0</v>
      </c>
      <c r="P401" s="3078">
        <f t="shared" si="153"/>
        <v>0</v>
      </c>
      <c r="Q401" s="3095">
        <f t="shared" si="153"/>
        <v>0</v>
      </c>
      <c r="R401" s="3096"/>
      <c r="S401" s="2618"/>
      <c r="T401" s="2970"/>
    </row>
    <row r="402" spans="1:20" s="2475" customFormat="1" ht="15.9" hidden="1" customHeight="1" x14ac:dyDescent="0.2">
      <c r="B402" s="3093"/>
      <c r="C402" s="2625" t="str">
        <f>+C374</f>
        <v>Terneras Lactantes (&lt;2 m)</v>
      </c>
      <c r="D402" s="2625"/>
      <c r="E402" s="2625"/>
      <c r="F402" s="3094">
        <f t="shared" ref="F402:Q402" si="154">+F296*F297</f>
        <v>0</v>
      </c>
      <c r="G402" s="3078">
        <f t="shared" si="154"/>
        <v>0</v>
      </c>
      <c r="H402" s="3078">
        <f t="shared" si="154"/>
        <v>0</v>
      </c>
      <c r="I402" s="3078">
        <f t="shared" si="154"/>
        <v>0</v>
      </c>
      <c r="J402" s="3078">
        <f t="shared" si="154"/>
        <v>0</v>
      </c>
      <c r="K402" s="3078">
        <f t="shared" si="154"/>
        <v>0</v>
      </c>
      <c r="L402" s="3078">
        <f t="shared" si="154"/>
        <v>0</v>
      </c>
      <c r="M402" s="3078">
        <f t="shared" si="154"/>
        <v>0</v>
      </c>
      <c r="N402" s="3078">
        <f t="shared" si="154"/>
        <v>0</v>
      </c>
      <c r="O402" s="3078">
        <f t="shared" si="154"/>
        <v>0</v>
      </c>
      <c r="P402" s="3078">
        <f t="shared" si="154"/>
        <v>0</v>
      </c>
      <c r="Q402" s="3095">
        <f t="shared" si="154"/>
        <v>0</v>
      </c>
      <c r="R402" s="3096"/>
      <c r="S402" s="2618"/>
      <c r="T402" s="2970"/>
    </row>
    <row r="403" spans="1:20" s="2475" customFormat="1" ht="15.9" hidden="1" customHeight="1" x14ac:dyDescent="0.2">
      <c r="B403" s="3093"/>
      <c r="C403" s="2625" t="str">
        <f>+C375</f>
        <v xml:space="preserve">Terneros Lectantes </v>
      </c>
      <c r="D403" s="2625"/>
      <c r="E403" s="2625" t="s">
        <v>1155</v>
      </c>
      <c r="F403" s="3078">
        <f t="shared" ref="F403:Q403" si="155">+F316*F318+F321*F322</f>
        <v>0</v>
      </c>
      <c r="G403" s="3078">
        <f t="shared" si="155"/>
        <v>0</v>
      </c>
      <c r="H403" s="3078">
        <f t="shared" si="155"/>
        <v>0</v>
      </c>
      <c r="I403" s="3078">
        <f t="shared" si="155"/>
        <v>0</v>
      </c>
      <c r="J403" s="3078">
        <f t="shared" si="155"/>
        <v>0</v>
      </c>
      <c r="K403" s="3078">
        <f t="shared" si="155"/>
        <v>0</v>
      </c>
      <c r="L403" s="3078">
        <f t="shared" si="155"/>
        <v>0</v>
      </c>
      <c r="M403" s="3078">
        <f t="shared" si="155"/>
        <v>0</v>
      </c>
      <c r="N403" s="3078">
        <f t="shared" si="155"/>
        <v>0</v>
      </c>
      <c r="O403" s="3078">
        <f t="shared" si="155"/>
        <v>0</v>
      </c>
      <c r="P403" s="3078">
        <f t="shared" si="155"/>
        <v>0</v>
      </c>
      <c r="Q403" s="3095">
        <f t="shared" si="155"/>
        <v>0</v>
      </c>
      <c r="R403" s="3096"/>
      <c r="S403" s="2618"/>
      <c r="T403" s="2970"/>
    </row>
    <row r="404" spans="1:20" s="2475" customFormat="1" ht="15.9" hidden="1" customHeight="1" x14ac:dyDescent="0.2">
      <c r="B404" s="3093"/>
      <c r="C404" s="2625" t="str">
        <f>+E364</f>
        <v xml:space="preserve"> Cesión a Ganadería</v>
      </c>
      <c r="D404" s="2625"/>
      <c r="E404" s="2625"/>
      <c r="F404" s="3078">
        <f t="shared" ref="F404:Q404" si="156">F33*F34</f>
        <v>0</v>
      </c>
      <c r="G404" s="3078">
        <f t="shared" si="156"/>
        <v>0</v>
      </c>
      <c r="H404" s="3078">
        <f t="shared" si="156"/>
        <v>0</v>
      </c>
      <c r="I404" s="3078">
        <f t="shared" si="156"/>
        <v>0</v>
      </c>
      <c r="J404" s="3078">
        <f t="shared" si="156"/>
        <v>0</v>
      </c>
      <c r="K404" s="3078">
        <f t="shared" si="156"/>
        <v>0</v>
      </c>
      <c r="L404" s="3078">
        <f t="shared" si="156"/>
        <v>0</v>
      </c>
      <c r="M404" s="3078">
        <f t="shared" si="156"/>
        <v>0</v>
      </c>
      <c r="N404" s="3078">
        <f t="shared" si="156"/>
        <v>0</v>
      </c>
      <c r="O404" s="3078">
        <f t="shared" si="156"/>
        <v>0</v>
      </c>
      <c r="P404" s="3078">
        <f t="shared" si="156"/>
        <v>0</v>
      </c>
      <c r="Q404" s="3095">
        <f t="shared" si="156"/>
        <v>0</v>
      </c>
      <c r="R404" s="3096"/>
      <c r="S404" s="2618"/>
      <c r="T404" s="2970"/>
    </row>
    <row r="405" spans="1:20" s="2475" customFormat="1" ht="15.9" hidden="1" customHeight="1" x14ac:dyDescent="0.2">
      <c r="B405" s="3093"/>
      <c r="C405" s="2625" t="str">
        <f>+C377</f>
        <v>Toros</v>
      </c>
      <c r="D405" s="2625"/>
      <c r="E405" s="2625"/>
      <c r="F405" s="3078">
        <f t="shared" ref="F405:Q405" si="157">F340*F341</f>
        <v>0</v>
      </c>
      <c r="G405" s="3078">
        <f t="shared" si="157"/>
        <v>0</v>
      </c>
      <c r="H405" s="3078">
        <f t="shared" si="157"/>
        <v>0</v>
      </c>
      <c r="I405" s="3078">
        <f t="shared" si="157"/>
        <v>0</v>
      </c>
      <c r="J405" s="3078">
        <f t="shared" si="157"/>
        <v>0</v>
      </c>
      <c r="K405" s="3078">
        <f t="shared" si="157"/>
        <v>0</v>
      </c>
      <c r="L405" s="3078">
        <f t="shared" si="157"/>
        <v>0</v>
      </c>
      <c r="M405" s="3078">
        <f t="shared" si="157"/>
        <v>0</v>
      </c>
      <c r="N405" s="3078">
        <f t="shared" si="157"/>
        <v>0</v>
      </c>
      <c r="O405" s="3078">
        <f t="shared" si="157"/>
        <v>0</v>
      </c>
      <c r="P405" s="3078">
        <f t="shared" si="157"/>
        <v>0</v>
      </c>
      <c r="Q405" s="3095">
        <f t="shared" si="157"/>
        <v>0</v>
      </c>
      <c r="R405" s="3097"/>
      <c r="S405" s="2618"/>
      <c r="T405" s="2970"/>
    </row>
    <row r="406" spans="1:20" s="2475" customFormat="1" ht="15.9" hidden="1" customHeight="1" thickBot="1" x14ac:dyDescent="0.25">
      <c r="B406" s="3098" t="s">
        <v>1149</v>
      </c>
      <c r="C406" s="3099"/>
      <c r="D406" s="3099"/>
      <c r="E406" s="3099"/>
      <c r="F406" s="3100">
        <f t="shared" ref="F406:Q406" si="158">+SUM(F393:F405)</f>
        <v>0</v>
      </c>
      <c r="G406" s="3101">
        <f t="shared" si="158"/>
        <v>0</v>
      </c>
      <c r="H406" s="3101">
        <f t="shared" si="158"/>
        <v>0</v>
      </c>
      <c r="I406" s="3101">
        <f t="shared" si="158"/>
        <v>0</v>
      </c>
      <c r="J406" s="3101">
        <f t="shared" si="158"/>
        <v>0</v>
      </c>
      <c r="K406" s="3101">
        <f t="shared" si="158"/>
        <v>0</v>
      </c>
      <c r="L406" s="3101">
        <f t="shared" si="158"/>
        <v>0</v>
      </c>
      <c r="M406" s="3101">
        <f t="shared" si="158"/>
        <v>0</v>
      </c>
      <c r="N406" s="3101">
        <f t="shared" si="158"/>
        <v>0</v>
      </c>
      <c r="O406" s="3101">
        <f t="shared" si="158"/>
        <v>0</v>
      </c>
      <c r="P406" s="3101">
        <f t="shared" si="158"/>
        <v>0</v>
      </c>
      <c r="Q406" s="3102">
        <f t="shared" si="158"/>
        <v>0</v>
      </c>
      <c r="R406" s="3103">
        <f>+SUM(F406:Q406)</f>
        <v>0</v>
      </c>
      <c r="S406" s="2618"/>
      <c r="T406" s="2970"/>
    </row>
    <row r="407" spans="1:20" s="2618" customFormat="1" ht="14.4" hidden="1" customHeight="1" thickTop="1" thickBot="1" x14ac:dyDescent="0.25">
      <c r="C407" s="2625"/>
      <c r="D407" s="2625"/>
      <c r="E407" s="2625"/>
      <c r="F407" s="3110"/>
      <c r="G407" s="2625"/>
      <c r="H407" s="2625"/>
      <c r="I407" s="2625"/>
      <c r="J407" s="2625"/>
      <c r="K407" s="2625"/>
      <c r="L407" s="2625"/>
      <c r="M407" s="2625"/>
      <c r="N407" s="2625"/>
      <c r="O407" s="2625"/>
      <c r="P407" s="2625"/>
      <c r="Q407" s="2625"/>
      <c r="T407" s="2619"/>
    </row>
    <row r="408" spans="1:20" s="2475" customFormat="1" ht="15.9" hidden="1" customHeight="1" thickTop="1" x14ac:dyDescent="0.2">
      <c r="A408" s="3071">
        <v>1117</v>
      </c>
      <c r="B408" s="3087" t="s">
        <v>1151</v>
      </c>
      <c r="C408" s="3088" t="str">
        <f t="shared" ref="C408:C416" si="159">+C394</f>
        <v>Vacas Secas</v>
      </c>
      <c r="D408" s="3088"/>
      <c r="E408" s="3104"/>
      <c r="F408" s="3090">
        <f t="shared" ref="F408:Q408" si="160">+F72*F73</f>
        <v>0</v>
      </c>
      <c r="G408" s="3090">
        <f t="shared" si="160"/>
        <v>0</v>
      </c>
      <c r="H408" s="3090">
        <f t="shared" si="160"/>
        <v>0</v>
      </c>
      <c r="I408" s="3090">
        <f t="shared" si="160"/>
        <v>0</v>
      </c>
      <c r="J408" s="3090">
        <f t="shared" si="160"/>
        <v>0</v>
      </c>
      <c r="K408" s="3090">
        <f t="shared" si="160"/>
        <v>0</v>
      </c>
      <c r="L408" s="3090">
        <f t="shared" si="160"/>
        <v>0</v>
      </c>
      <c r="M408" s="3090">
        <f t="shared" si="160"/>
        <v>0</v>
      </c>
      <c r="N408" s="3090">
        <f t="shared" si="160"/>
        <v>0</v>
      </c>
      <c r="O408" s="3090">
        <f t="shared" si="160"/>
        <v>0</v>
      </c>
      <c r="P408" s="3090">
        <f t="shared" si="160"/>
        <v>0</v>
      </c>
      <c r="Q408" s="3091">
        <f t="shared" si="160"/>
        <v>0</v>
      </c>
      <c r="R408" s="3105"/>
      <c r="S408" s="2618"/>
      <c r="T408" s="2970"/>
    </row>
    <row r="409" spans="1:20" s="2475" customFormat="1" ht="15.9" hidden="1" customHeight="1" x14ac:dyDescent="0.2">
      <c r="B409" s="3093"/>
      <c r="C409" s="2625" t="str">
        <f t="shared" si="159"/>
        <v>Vaquillonas preñadas a parir en el 1er trimestre</v>
      </c>
      <c r="D409" s="2625"/>
      <c r="E409" s="3106"/>
      <c r="F409" s="3078">
        <f t="shared" ref="F409:Q409" si="161">+F104*F105</f>
        <v>0</v>
      </c>
      <c r="G409" s="3078">
        <f t="shared" si="161"/>
        <v>0</v>
      </c>
      <c r="H409" s="3078">
        <f t="shared" si="161"/>
        <v>0</v>
      </c>
      <c r="I409" s="3078">
        <f t="shared" si="161"/>
        <v>0</v>
      </c>
      <c r="J409" s="3078">
        <f t="shared" si="161"/>
        <v>0</v>
      </c>
      <c r="K409" s="3078">
        <f t="shared" si="161"/>
        <v>0</v>
      </c>
      <c r="L409" s="3078">
        <f t="shared" si="161"/>
        <v>0</v>
      </c>
      <c r="M409" s="3078">
        <f t="shared" si="161"/>
        <v>0</v>
      </c>
      <c r="N409" s="3078">
        <f t="shared" si="161"/>
        <v>0</v>
      </c>
      <c r="O409" s="3078">
        <f t="shared" si="161"/>
        <v>0</v>
      </c>
      <c r="P409" s="3078">
        <f t="shared" si="161"/>
        <v>0</v>
      </c>
      <c r="Q409" s="3095">
        <f t="shared" si="161"/>
        <v>0</v>
      </c>
      <c r="R409" s="3107"/>
      <c r="S409" s="2618"/>
      <c r="T409" s="2970"/>
    </row>
    <row r="410" spans="1:20" s="2475" customFormat="1" ht="15.9" hidden="1" customHeight="1" x14ac:dyDescent="0.2">
      <c r="B410" s="3093"/>
      <c r="C410" s="2625" t="str">
        <f t="shared" si="159"/>
        <v>Vaquillonas preñadas a parir en el 2do trimestre</v>
      </c>
      <c r="D410" s="2625"/>
      <c r="E410" s="3106"/>
      <c r="F410" s="3078">
        <f t="shared" ref="F410:Q410" si="162">+F132*F133</f>
        <v>0</v>
      </c>
      <c r="G410" s="3078">
        <f t="shared" si="162"/>
        <v>0</v>
      </c>
      <c r="H410" s="3078">
        <f t="shared" si="162"/>
        <v>0</v>
      </c>
      <c r="I410" s="3078">
        <f t="shared" si="162"/>
        <v>0</v>
      </c>
      <c r="J410" s="3078">
        <f t="shared" si="162"/>
        <v>0</v>
      </c>
      <c r="K410" s="3078">
        <f t="shared" si="162"/>
        <v>0</v>
      </c>
      <c r="L410" s="3078">
        <f t="shared" si="162"/>
        <v>0</v>
      </c>
      <c r="M410" s="3078">
        <f t="shared" si="162"/>
        <v>0</v>
      </c>
      <c r="N410" s="3078">
        <f t="shared" si="162"/>
        <v>0</v>
      </c>
      <c r="O410" s="3078">
        <f t="shared" si="162"/>
        <v>0</v>
      </c>
      <c r="P410" s="3078">
        <f t="shared" si="162"/>
        <v>0</v>
      </c>
      <c r="Q410" s="3095">
        <f t="shared" si="162"/>
        <v>0</v>
      </c>
      <c r="R410" s="3107"/>
      <c r="S410" s="2618"/>
      <c r="T410" s="2970"/>
    </row>
    <row r="411" spans="1:20" s="2475" customFormat="1" ht="15.9" hidden="1" customHeight="1" x14ac:dyDescent="0.2">
      <c r="B411" s="3093"/>
      <c r="C411" s="2625" t="str">
        <f t="shared" si="159"/>
        <v>Vaquillonas preñadas a parir en el 3er trimestre</v>
      </c>
      <c r="D411" s="2625"/>
      <c r="E411" s="3106"/>
      <c r="F411" s="3078">
        <f t="shared" ref="F411:Q411" si="163">+F161*F160</f>
        <v>0</v>
      </c>
      <c r="G411" s="3078">
        <f t="shared" si="163"/>
        <v>0</v>
      </c>
      <c r="H411" s="3078">
        <f t="shared" si="163"/>
        <v>0</v>
      </c>
      <c r="I411" s="3078">
        <f t="shared" si="163"/>
        <v>0</v>
      </c>
      <c r="J411" s="3078">
        <f t="shared" si="163"/>
        <v>0</v>
      </c>
      <c r="K411" s="3078">
        <f t="shared" si="163"/>
        <v>0</v>
      </c>
      <c r="L411" s="3078">
        <f t="shared" si="163"/>
        <v>0</v>
      </c>
      <c r="M411" s="3078">
        <f t="shared" si="163"/>
        <v>0</v>
      </c>
      <c r="N411" s="3078">
        <f t="shared" si="163"/>
        <v>0</v>
      </c>
      <c r="O411" s="3078">
        <f t="shared" si="163"/>
        <v>0</v>
      </c>
      <c r="P411" s="3078">
        <f t="shared" si="163"/>
        <v>0</v>
      </c>
      <c r="Q411" s="3095">
        <f t="shared" si="163"/>
        <v>0</v>
      </c>
      <c r="R411" s="3107"/>
      <c r="S411" s="2618"/>
      <c r="T411" s="2970"/>
    </row>
    <row r="412" spans="1:20" s="2475" customFormat="1" ht="15.9" hidden="1" customHeight="1" x14ac:dyDescent="0.2">
      <c r="B412" s="3093"/>
      <c r="C412" s="2625" t="str">
        <f t="shared" si="159"/>
        <v>Vaquillonas preñadas a parir en el 4to trimestre</v>
      </c>
      <c r="D412" s="2625"/>
      <c r="E412" s="3106"/>
      <c r="F412" s="3078">
        <f t="shared" ref="F412:Q412" si="164">+F188*F189</f>
        <v>0</v>
      </c>
      <c r="G412" s="3078">
        <f t="shared" si="164"/>
        <v>0</v>
      </c>
      <c r="H412" s="3078">
        <f t="shared" si="164"/>
        <v>0</v>
      </c>
      <c r="I412" s="3078">
        <f t="shared" si="164"/>
        <v>0</v>
      </c>
      <c r="J412" s="3078">
        <f t="shared" si="164"/>
        <v>0</v>
      </c>
      <c r="K412" s="3078">
        <f t="shared" si="164"/>
        <v>0</v>
      </c>
      <c r="L412" s="3078">
        <f t="shared" si="164"/>
        <v>0</v>
      </c>
      <c r="M412" s="3078">
        <f t="shared" si="164"/>
        <v>0</v>
      </c>
      <c r="N412" s="3078">
        <f t="shared" si="164"/>
        <v>0</v>
      </c>
      <c r="O412" s="3078">
        <f t="shared" si="164"/>
        <v>0</v>
      </c>
      <c r="P412" s="3078">
        <f t="shared" si="164"/>
        <v>0</v>
      </c>
      <c r="Q412" s="3095">
        <f t="shared" si="164"/>
        <v>0</v>
      </c>
      <c r="R412" s="3107"/>
      <c r="S412" s="2618"/>
      <c r="T412" s="2970"/>
    </row>
    <row r="413" spans="1:20" s="2475" customFormat="1" ht="15.9" hidden="1" customHeight="1" x14ac:dyDescent="0.2">
      <c r="B413" s="3093"/>
      <c r="C413" s="2625" t="str">
        <f t="shared" si="159"/>
        <v>Vaquillonas</v>
      </c>
      <c r="D413" s="2625"/>
      <c r="E413" s="3106"/>
      <c r="F413" s="3078">
        <f t="shared" ref="F413:Q413" si="165">+F215*F216</f>
        <v>0</v>
      </c>
      <c r="G413" s="3078">
        <f t="shared" si="165"/>
        <v>0</v>
      </c>
      <c r="H413" s="3078">
        <f t="shared" si="165"/>
        <v>0</v>
      </c>
      <c r="I413" s="3078">
        <f t="shared" si="165"/>
        <v>0</v>
      </c>
      <c r="J413" s="3078">
        <f t="shared" si="165"/>
        <v>0</v>
      </c>
      <c r="K413" s="3078">
        <f t="shared" si="165"/>
        <v>0</v>
      </c>
      <c r="L413" s="3078">
        <f t="shared" si="165"/>
        <v>0</v>
      </c>
      <c r="M413" s="3078">
        <f t="shared" si="165"/>
        <v>0</v>
      </c>
      <c r="N413" s="3078">
        <f t="shared" si="165"/>
        <v>0</v>
      </c>
      <c r="O413" s="3078">
        <f t="shared" si="165"/>
        <v>0</v>
      </c>
      <c r="P413" s="3078">
        <f t="shared" si="165"/>
        <v>0</v>
      </c>
      <c r="Q413" s="3095">
        <f t="shared" si="165"/>
        <v>0</v>
      </c>
      <c r="R413" s="3107"/>
      <c r="S413" s="2618"/>
      <c r="T413" s="2970"/>
    </row>
    <row r="414" spans="1:20" s="2475" customFormat="1" ht="15.9" hidden="1" customHeight="1" x14ac:dyDescent="0.2">
      <c r="B414" s="3093"/>
      <c r="C414" s="2625" t="str">
        <f t="shared" si="159"/>
        <v xml:space="preserve">Terneras &gt; 6 meses </v>
      </c>
      <c r="D414" s="2625"/>
      <c r="E414" s="3106"/>
      <c r="F414" s="3078">
        <f t="shared" ref="F414:Q414" si="166">+F242*F243</f>
        <v>0</v>
      </c>
      <c r="G414" s="3078">
        <f t="shared" si="166"/>
        <v>0</v>
      </c>
      <c r="H414" s="3078">
        <f t="shared" si="166"/>
        <v>0</v>
      </c>
      <c r="I414" s="3078">
        <f t="shared" si="166"/>
        <v>0</v>
      </c>
      <c r="J414" s="3078">
        <f t="shared" si="166"/>
        <v>0</v>
      </c>
      <c r="K414" s="3078">
        <f t="shared" si="166"/>
        <v>0</v>
      </c>
      <c r="L414" s="3078">
        <f t="shared" si="166"/>
        <v>0</v>
      </c>
      <c r="M414" s="3078">
        <f t="shared" si="166"/>
        <v>0</v>
      </c>
      <c r="N414" s="3078">
        <f t="shared" si="166"/>
        <v>0</v>
      </c>
      <c r="O414" s="3078">
        <f t="shared" si="166"/>
        <v>0</v>
      </c>
      <c r="P414" s="3078">
        <f t="shared" si="166"/>
        <v>0</v>
      </c>
      <c r="Q414" s="3095">
        <f t="shared" si="166"/>
        <v>0</v>
      </c>
      <c r="R414" s="3107"/>
      <c r="S414" s="2618"/>
      <c r="T414" s="2970"/>
    </row>
    <row r="415" spans="1:20" s="2475" customFormat="1" ht="15.9" hidden="1" customHeight="1" x14ac:dyDescent="0.2">
      <c r="B415" s="3093"/>
      <c r="C415" s="2625" t="str">
        <f t="shared" si="159"/>
        <v>Terneras &gt; 2 meses &lt; 6 meses</v>
      </c>
      <c r="D415" s="2625"/>
      <c r="E415" s="3106"/>
      <c r="F415" s="3078">
        <f t="shared" ref="F415:Q415" si="167">+F267*F268</f>
        <v>0</v>
      </c>
      <c r="G415" s="3078">
        <f t="shared" si="167"/>
        <v>0</v>
      </c>
      <c r="H415" s="3078">
        <f t="shared" si="167"/>
        <v>0</v>
      </c>
      <c r="I415" s="3078">
        <f t="shared" si="167"/>
        <v>0</v>
      </c>
      <c r="J415" s="3078">
        <f t="shared" si="167"/>
        <v>0</v>
      </c>
      <c r="K415" s="3078">
        <f t="shared" si="167"/>
        <v>0</v>
      </c>
      <c r="L415" s="3078">
        <f t="shared" si="167"/>
        <v>0</v>
      </c>
      <c r="M415" s="3078">
        <f t="shared" si="167"/>
        <v>0</v>
      </c>
      <c r="N415" s="3078">
        <f t="shared" si="167"/>
        <v>0</v>
      </c>
      <c r="O415" s="3078">
        <f t="shared" si="167"/>
        <v>0</v>
      </c>
      <c r="P415" s="3078">
        <f t="shared" si="167"/>
        <v>0</v>
      </c>
      <c r="Q415" s="3095">
        <f t="shared" si="167"/>
        <v>0</v>
      </c>
      <c r="R415" s="3107"/>
      <c r="S415" s="2618"/>
      <c r="T415" s="2970"/>
    </row>
    <row r="416" spans="1:20" s="2475" customFormat="1" ht="15.9" hidden="1" customHeight="1" x14ac:dyDescent="0.2">
      <c r="B416" s="3093"/>
      <c r="C416" s="2625" t="str">
        <f t="shared" si="159"/>
        <v>Terneras Lactantes (&lt;2 m)</v>
      </c>
      <c r="D416" s="2625"/>
      <c r="E416" s="3106"/>
      <c r="F416" s="3078">
        <f t="shared" ref="F416:Q416" si="168">+F289*F290</f>
        <v>0</v>
      </c>
      <c r="G416" s="3078">
        <f t="shared" si="168"/>
        <v>0</v>
      </c>
      <c r="H416" s="3078">
        <f t="shared" si="168"/>
        <v>0</v>
      </c>
      <c r="I416" s="3078">
        <f t="shared" si="168"/>
        <v>0</v>
      </c>
      <c r="J416" s="3078">
        <f t="shared" si="168"/>
        <v>0</v>
      </c>
      <c r="K416" s="3078">
        <f t="shared" si="168"/>
        <v>0</v>
      </c>
      <c r="L416" s="3078">
        <f t="shared" si="168"/>
        <v>0</v>
      </c>
      <c r="M416" s="3078">
        <f t="shared" si="168"/>
        <v>0</v>
      </c>
      <c r="N416" s="3078">
        <f t="shared" si="168"/>
        <v>0</v>
      </c>
      <c r="O416" s="3078">
        <f t="shared" si="168"/>
        <v>0</v>
      </c>
      <c r="P416" s="3078">
        <f t="shared" si="168"/>
        <v>0</v>
      </c>
      <c r="Q416" s="3095">
        <f t="shared" si="168"/>
        <v>0</v>
      </c>
      <c r="R416" s="3107"/>
      <c r="S416" s="2618"/>
      <c r="T416" s="2970"/>
    </row>
    <row r="417" spans="1:24" s="2475" customFormat="1" ht="15.9" hidden="1" customHeight="1" x14ac:dyDescent="0.2">
      <c r="B417" s="3093"/>
      <c r="C417" s="2625" t="str">
        <f>+C405</f>
        <v>Toros</v>
      </c>
      <c r="D417" s="2625"/>
      <c r="E417" s="3106"/>
      <c r="F417" s="3078">
        <f t="shared" ref="F417:Q417" si="169">+F335*F336</f>
        <v>0</v>
      </c>
      <c r="G417" s="3078">
        <f t="shared" si="169"/>
        <v>0</v>
      </c>
      <c r="H417" s="3078">
        <f t="shared" si="169"/>
        <v>0</v>
      </c>
      <c r="I417" s="3078">
        <f t="shared" si="169"/>
        <v>0</v>
      </c>
      <c r="J417" s="3078">
        <f t="shared" si="169"/>
        <v>0</v>
      </c>
      <c r="K417" s="3078">
        <f t="shared" si="169"/>
        <v>0</v>
      </c>
      <c r="L417" s="3078">
        <f t="shared" si="169"/>
        <v>0</v>
      </c>
      <c r="M417" s="3078">
        <f t="shared" si="169"/>
        <v>0</v>
      </c>
      <c r="N417" s="3078">
        <f t="shared" si="169"/>
        <v>0</v>
      </c>
      <c r="O417" s="3078">
        <f t="shared" si="169"/>
        <v>0</v>
      </c>
      <c r="P417" s="3078">
        <f t="shared" si="169"/>
        <v>0</v>
      </c>
      <c r="Q417" s="3095">
        <f t="shared" si="169"/>
        <v>0</v>
      </c>
      <c r="R417" s="3107"/>
      <c r="S417" s="2618"/>
      <c r="T417" s="2970"/>
    </row>
    <row r="418" spans="1:24" s="2475" customFormat="1" ht="15.9" hidden="1" customHeight="1" thickBot="1" x14ac:dyDescent="0.25">
      <c r="B418" s="3098" t="str">
        <f>+B408</f>
        <v xml:space="preserve">kg COMPRA LECHERIA </v>
      </c>
      <c r="C418" s="3099"/>
      <c r="D418" s="3099"/>
      <c r="E418" s="3108"/>
      <c r="F418" s="3101">
        <f>+SUM(F408:F417)</f>
        <v>0</v>
      </c>
      <c r="G418" s="3101">
        <f t="shared" ref="G418:Q418" si="170">+SUM(G408:G417)</f>
        <v>0</v>
      </c>
      <c r="H418" s="3101">
        <f t="shared" si="170"/>
        <v>0</v>
      </c>
      <c r="I418" s="3101">
        <f t="shared" si="170"/>
        <v>0</v>
      </c>
      <c r="J418" s="3101">
        <f t="shared" si="170"/>
        <v>0</v>
      </c>
      <c r="K418" s="3101">
        <f t="shared" si="170"/>
        <v>0</v>
      </c>
      <c r="L418" s="3101">
        <f t="shared" si="170"/>
        <v>0</v>
      </c>
      <c r="M418" s="3101">
        <f t="shared" si="170"/>
        <v>0</v>
      </c>
      <c r="N418" s="3101">
        <f t="shared" si="170"/>
        <v>0</v>
      </c>
      <c r="O418" s="3101">
        <f t="shared" si="170"/>
        <v>0</v>
      </c>
      <c r="P418" s="3101">
        <f t="shared" si="170"/>
        <v>0</v>
      </c>
      <c r="Q418" s="3102">
        <f t="shared" si="170"/>
        <v>0</v>
      </c>
      <c r="R418" s="3109">
        <f>+SUM(F418:Q418)</f>
        <v>0</v>
      </c>
      <c r="S418" s="2618"/>
      <c r="T418" s="2970"/>
    </row>
    <row r="419" spans="1:24" ht="15.75" hidden="1" thickTop="1" thickBot="1" x14ac:dyDescent="0.25"/>
    <row r="420" spans="1:24" s="3117" customFormat="1" ht="15.9" hidden="1" customHeight="1" thickTop="1" x14ac:dyDescent="0.2">
      <c r="A420" s="3071">
        <v>1118</v>
      </c>
      <c r="B420" s="3111" t="s">
        <v>1941</v>
      </c>
      <c r="C420" s="3112"/>
      <c r="D420" s="3113"/>
      <c r="E420" s="3113"/>
      <c r="F420" s="3114"/>
      <c r="G420" s="3115"/>
      <c r="H420" s="3071">
        <v>1119</v>
      </c>
      <c r="I420" s="3082" t="s">
        <v>1942</v>
      </c>
      <c r="J420" s="3082"/>
      <c r="K420" s="3082"/>
      <c r="L420" s="3082"/>
      <c r="M420" s="3082"/>
      <c r="N420" s="3082"/>
      <c r="O420" s="3115"/>
      <c r="P420" s="3115"/>
      <c r="Q420" s="3115"/>
      <c r="R420" s="3115"/>
      <c r="S420" s="3115"/>
      <c r="T420" s="3116"/>
    </row>
    <row r="421" spans="1:24" ht="15.9" hidden="1" customHeight="1" x14ac:dyDescent="0.2">
      <c r="B421" s="2639" t="s">
        <v>2054</v>
      </c>
      <c r="C421" s="3118"/>
      <c r="D421" s="3119"/>
      <c r="E421" s="3119"/>
      <c r="F421" s="3119" t="s">
        <v>832</v>
      </c>
      <c r="G421" s="2466"/>
      <c r="H421" s="2466"/>
      <c r="I421" s="3120" t="str">
        <f>+Ingresos!B724</f>
        <v>Soja</v>
      </c>
      <c r="J421" s="2619"/>
      <c r="M421" s="2618"/>
      <c r="N421" s="2618"/>
      <c r="O421" s="2466"/>
      <c r="P421" s="2466"/>
      <c r="Q421" s="2466"/>
      <c r="R421" s="2466"/>
      <c r="S421" s="2466"/>
      <c r="T421" s="2466"/>
      <c r="U421" s="2466"/>
      <c r="V421" s="2466"/>
      <c r="W421" s="2466"/>
      <c r="X421" s="2466"/>
    </row>
    <row r="422" spans="1:24" ht="15.9" hidden="1" customHeight="1" x14ac:dyDescent="0.2">
      <c r="B422" s="3121" t="str">
        <f>+Ingresos!B704</f>
        <v>Vacas en Ordeñe</v>
      </c>
      <c r="C422" s="2619"/>
      <c r="D422" s="2556"/>
      <c r="E422" s="2556"/>
      <c r="F422" s="3122">
        <f>+SUM(F29:Q29)</f>
        <v>0</v>
      </c>
      <c r="G422" s="2466"/>
      <c r="H422" s="2466"/>
      <c r="I422" s="3120" t="str">
        <f>+Ingresos!B725</f>
        <v>Soja 2ª</v>
      </c>
      <c r="J422" s="2619"/>
      <c r="M422" s="2618"/>
      <c r="N422" s="2556"/>
      <c r="O422" s="2466"/>
      <c r="P422" s="2466"/>
      <c r="Q422" s="2466"/>
      <c r="R422" s="2466"/>
      <c r="S422" s="2466"/>
      <c r="T422" s="2466"/>
      <c r="U422" s="2466"/>
      <c r="V422" s="2466"/>
      <c r="W422" s="2466"/>
      <c r="X422" s="2466"/>
    </row>
    <row r="423" spans="1:24" ht="15.9" hidden="1" customHeight="1" x14ac:dyDescent="0.2">
      <c r="B423" s="3121" t="str">
        <f>+Ingresos!B705</f>
        <v>Vacas Secas</v>
      </c>
      <c r="C423" s="2619"/>
      <c r="D423" s="2556"/>
      <c r="E423" s="2556"/>
      <c r="F423" s="3122">
        <f>+SUM(F79:Q79)</f>
        <v>0</v>
      </c>
      <c r="G423" s="2466"/>
      <c r="H423" s="2466"/>
      <c r="I423" s="3120" t="str">
        <f>+Ingresos!B726</f>
        <v>Maíz Grano</v>
      </c>
      <c r="J423" s="2619"/>
      <c r="K423" s="2556"/>
      <c r="L423" s="2556"/>
      <c r="M423" s="2556"/>
      <c r="N423" s="2618"/>
      <c r="O423" s="2466"/>
      <c r="P423" s="2466"/>
      <c r="Q423" s="2466"/>
      <c r="R423" s="2466"/>
      <c r="S423" s="2466"/>
      <c r="T423" s="2466"/>
      <c r="U423" s="2466"/>
      <c r="V423" s="2466"/>
      <c r="W423" s="2466"/>
      <c r="X423" s="2466"/>
    </row>
    <row r="424" spans="1:24" ht="15.9" hidden="1" customHeight="1" x14ac:dyDescent="0.2">
      <c r="B424" s="3121" t="str">
        <f>+Ingresos!B706</f>
        <v>Vaquillonas preñadas a parir en el 1er trimestre</v>
      </c>
      <c r="C424" s="2619"/>
      <c r="D424" s="2556"/>
      <c r="E424" s="2556"/>
      <c r="F424" s="3122">
        <f>+SUM(F110:Q110)</f>
        <v>0</v>
      </c>
      <c r="G424" s="2466"/>
      <c r="H424" s="2466"/>
      <c r="I424" s="3120" t="str">
        <f>+Ingresos!B727</f>
        <v>Sorgo grano</v>
      </c>
      <c r="J424" s="2619"/>
      <c r="M424" s="2618"/>
      <c r="N424" s="2618"/>
      <c r="O424" s="2466"/>
      <c r="P424" s="2466"/>
      <c r="Q424" s="2466"/>
      <c r="R424" s="2466"/>
      <c r="S424" s="2466"/>
      <c r="T424" s="2466"/>
      <c r="U424" s="2466"/>
      <c r="V424" s="2466"/>
      <c r="W424" s="2466"/>
      <c r="X424" s="2466"/>
    </row>
    <row r="425" spans="1:24" ht="15.9" hidden="1" customHeight="1" x14ac:dyDescent="0.2">
      <c r="B425" s="3121" t="str">
        <f>+Ingresos!B707</f>
        <v>Vaquillonas preñadas a parir en el 2do trimestre</v>
      </c>
      <c r="C425" s="2619"/>
      <c r="D425" s="2556"/>
      <c r="E425" s="2556"/>
      <c r="F425" s="3122">
        <f>+SUM(F138:Q138)</f>
        <v>0</v>
      </c>
      <c r="G425" s="2466"/>
      <c r="H425" s="2466"/>
      <c r="I425" s="3120" t="str">
        <f>+Ingresos!B728</f>
        <v>Trigo grano</v>
      </c>
      <c r="J425" s="2619"/>
      <c r="M425" s="2618"/>
      <c r="N425" s="2618"/>
      <c r="O425" s="2466"/>
      <c r="P425" s="2466"/>
      <c r="Q425" s="2466"/>
      <c r="R425" s="2466"/>
      <c r="S425" s="2466"/>
      <c r="T425" s="2466"/>
      <c r="U425" s="2466"/>
      <c r="V425" s="2466"/>
      <c r="W425" s="2466"/>
      <c r="X425" s="2466"/>
    </row>
    <row r="426" spans="1:24" ht="15.9" hidden="1" customHeight="1" x14ac:dyDescent="0.2">
      <c r="B426" s="3121" t="str">
        <f>+Ingresos!B708</f>
        <v>Vaquillonas preñadas a parir en el 3er trimestre</v>
      </c>
      <c r="C426" s="2619"/>
      <c r="D426" s="2556"/>
      <c r="E426" s="2556"/>
      <c r="F426" s="3122">
        <f>+SUM(F166:Q166)</f>
        <v>0</v>
      </c>
      <c r="G426" s="2466"/>
      <c r="H426" s="2466"/>
      <c r="I426" s="3120" t="str">
        <f>+Ingresos!B729</f>
        <v>Cebada grano</v>
      </c>
      <c r="J426" s="2619"/>
      <c r="M426" s="2618"/>
      <c r="N426" s="2618"/>
      <c r="O426" s="2466"/>
      <c r="P426" s="2466"/>
      <c r="Q426" s="2466"/>
      <c r="R426" s="2466"/>
      <c r="S426" s="2466"/>
      <c r="T426" s="2466"/>
      <c r="U426" s="2466"/>
      <c r="V426" s="2466"/>
      <c r="W426" s="2466"/>
      <c r="X426" s="2466"/>
    </row>
    <row r="427" spans="1:24" ht="15.9" hidden="1" customHeight="1" x14ac:dyDescent="0.2">
      <c r="B427" s="3121" t="str">
        <f>+Ingresos!B709</f>
        <v>Vaquillonas preñadas a parir en el 4to trimestre</v>
      </c>
      <c r="C427" s="2619"/>
      <c r="D427" s="2556"/>
      <c r="E427" s="2556"/>
      <c r="F427" s="3122">
        <f>+SUM(F194:Q194)</f>
        <v>0</v>
      </c>
      <c r="G427" s="2466"/>
      <c r="H427" s="2466"/>
      <c r="I427" s="3120" t="str">
        <f>+Ingresos!B730</f>
        <v>Avena grano</v>
      </c>
      <c r="J427" s="2619"/>
      <c r="M427" s="2618"/>
      <c r="N427" s="2556"/>
      <c r="O427" s="2466"/>
      <c r="P427" s="2466"/>
      <c r="Q427" s="2466"/>
      <c r="R427" s="2466"/>
      <c r="S427" s="2466"/>
      <c r="T427" s="2466"/>
      <c r="U427" s="2466"/>
      <c r="V427" s="2466"/>
      <c r="W427" s="2466"/>
      <c r="X427" s="2466"/>
    </row>
    <row r="428" spans="1:24" ht="15.9" hidden="1" customHeight="1" x14ac:dyDescent="0.2">
      <c r="B428" s="3121" t="str">
        <f>+Ingresos!B710</f>
        <v>Vaquillonas</v>
      </c>
      <c r="C428" s="2619"/>
      <c r="D428" s="2556"/>
      <c r="E428" s="2556"/>
      <c r="F428" s="3122">
        <f>+SUM(F220:Q220)</f>
        <v>0</v>
      </c>
      <c r="G428" s="2466"/>
      <c r="H428" s="2466"/>
      <c r="I428" s="3120" t="str">
        <f>+Ingresos!B731</f>
        <v>Colza grano</v>
      </c>
      <c r="J428" s="2619"/>
      <c r="K428" s="2556"/>
      <c r="L428" s="2556"/>
      <c r="M428" s="2556"/>
      <c r="N428" s="2618"/>
      <c r="O428" s="2466"/>
      <c r="P428" s="2466"/>
      <c r="Q428" s="2466"/>
      <c r="R428" s="2466"/>
      <c r="S428" s="2466"/>
      <c r="T428" s="2466"/>
      <c r="U428" s="2466"/>
      <c r="V428" s="2466"/>
      <c r="W428" s="2466"/>
      <c r="X428" s="2466"/>
    </row>
    <row r="429" spans="1:24" ht="15.9" hidden="1" customHeight="1" x14ac:dyDescent="0.2">
      <c r="B429" s="3121" t="str">
        <f>+Ingresos!B711</f>
        <v xml:space="preserve">Terneras &gt; 6 meses </v>
      </c>
      <c r="C429" s="2619"/>
      <c r="D429" s="2556"/>
      <c r="E429" s="2556"/>
      <c r="F429" s="3122">
        <f>+SUM(F249:Q249)</f>
        <v>0</v>
      </c>
      <c r="G429" s="2466"/>
      <c r="H429" s="2466"/>
      <c r="I429" s="3120">
        <f>+Ingresos!B732</f>
        <v>0</v>
      </c>
      <c r="J429" s="2619"/>
      <c r="M429" s="2618"/>
      <c r="N429" s="2618"/>
      <c r="O429" s="2466"/>
      <c r="P429" s="2466"/>
      <c r="Q429" s="2466"/>
      <c r="R429" s="2466"/>
      <c r="S429" s="2466"/>
      <c r="T429" s="2466"/>
      <c r="U429" s="2466"/>
      <c r="V429" s="2466"/>
      <c r="W429" s="2466"/>
      <c r="X429" s="2466"/>
    </row>
    <row r="430" spans="1:24" ht="15.9" hidden="1" customHeight="1" x14ac:dyDescent="0.2">
      <c r="B430" s="3121" t="str">
        <f>+Ingresos!B712</f>
        <v>Terneras &gt; 2 meses &lt; 6 meses</v>
      </c>
      <c r="C430" s="2619"/>
      <c r="D430" s="2556"/>
      <c r="E430" s="2556"/>
      <c r="F430" s="3122">
        <f>+SUM(F273:Q273)</f>
        <v>0</v>
      </c>
      <c r="G430" s="2466"/>
      <c r="H430" s="2466"/>
      <c r="I430" s="3120">
        <f>+Ingresos!B733</f>
        <v>0</v>
      </c>
      <c r="J430" s="2619"/>
      <c r="M430" s="2618"/>
      <c r="N430" s="2618"/>
      <c r="O430" s="2466"/>
      <c r="P430" s="2466"/>
      <c r="Q430" s="2466"/>
      <c r="R430" s="2466"/>
      <c r="S430" s="2466"/>
      <c r="T430" s="2466"/>
      <c r="U430" s="2466"/>
      <c r="V430" s="2466"/>
      <c r="W430" s="2466"/>
      <c r="X430" s="2466"/>
    </row>
    <row r="431" spans="1:24" ht="15.9" hidden="1" customHeight="1" x14ac:dyDescent="0.2">
      <c r="B431" s="3121" t="str">
        <f>+Ingresos!B713</f>
        <v>Terneras Lactantes (&lt;2 m)</v>
      </c>
      <c r="C431" s="2619"/>
      <c r="D431" s="2556"/>
      <c r="E431" s="2556"/>
      <c r="F431" s="3122">
        <f>+SUM(F296:Q296)</f>
        <v>0</v>
      </c>
      <c r="G431" s="2466"/>
      <c r="H431" s="2466"/>
      <c r="I431" s="3120">
        <f>+Ingresos!B734</f>
        <v>0</v>
      </c>
      <c r="J431" s="2619"/>
      <c r="M431" s="2618"/>
      <c r="N431" s="2618"/>
      <c r="O431" s="2466"/>
      <c r="P431" s="2466"/>
      <c r="Q431" s="2466"/>
      <c r="R431" s="2466"/>
      <c r="S431" s="2466"/>
      <c r="T431" s="2466"/>
      <c r="U431" s="2466"/>
      <c r="V431" s="2466"/>
      <c r="W431" s="2466"/>
      <c r="X431" s="2466"/>
    </row>
    <row r="432" spans="1:24" ht="15.9" hidden="1" customHeight="1" x14ac:dyDescent="0.2">
      <c r="B432" s="3093" t="s">
        <v>1128</v>
      </c>
      <c r="C432" s="2618"/>
      <c r="F432" s="3123">
        <f>+SUM(F316:Q316)</f>
        <v>0</v>
      </c>
      <c r="G432" s="2466"/>
      <c r="H432" s="2466"/>
      <c r="I432" s="3120">
        <f>+Ingresos!B735</f>
        <v>0</v>
      </c>
      <c r="J432" s="2619"/>
      <c r="M432" s="2618"/>
      <c r="N432" s="2556"/>
      <c r="O432" s="2466"/>
      <c r="P432" s="2466"/>
      <c r="Q432" s="2466"/>
      <c r="R432" s="2466"/>
      <c r="S432" s="2466"/>
      <c r="T432" s="2466"/>
      <c r="U432" s="2466"/>
      <c r="V432" s="2466"/>
      <c r="W432" s="2466"/>
      <c r="X432" s="2466"/>
    </row>
    <row r="433" spans="2:24" ht="15.9" hidden="1" customHeight="1" x14ac:dyDescent="0.2">
      <c r="B433" s="3121" t="str">
        <f>+Ingresos!B715</f>
        <v>Toros</v>
      </c>
      <c r="C433" s="2619"/>
      <c r="D433" s="2556"/>
      <c r="E433" s="2556"/>
      <c r="F433" s="3122">
        <f>+SUM(F340:Q340)</f>
        <v>0</v>
      </c>
      <c r="G433" s="2466"/>
      <c r="H433" s="2466"/>
      <c r="I433" s="3120" t="str">
        <f>+Ingresos!B736</f>
        <v xml:space="preserve">Alfalfa semillero </v>
      </c>
      <c r="J433" s="2619"/>
      <c r="K433" s="2556"/>
      <c r="L433" s="2556"/>
      <c r="M433" s="2556"/>
      <c r="N433" s="2618"/>
      <c r="O433" s="2466"/>
      <c r="P433" s="2466"/>
      <c r="Q433" s="2466"/>
      <c r="R433" s="2466"/>
      <c r="S433" s="2466"/>
      <c r="T433" s="2466"/>
      <c r="U433" s="2466"/>
      <c r="V433" s="2466"/>
      <c r="W433" s="2466"/>
      <c r="X433" s="2466"/>
    </row>
    <row r="434" spans="2:24" ht="15.9" hidden="1" customHeight="1" x14ac:dyDescent="0.2">
      <c r="B434" s="2625"/>
      <c r="C434" s="2625"/>
      <c r="D434" s="2625"/>
      <c r="E434" s="2625"/>
      <c r="F434" s="2625"/>
      <c r="G434" s="2466"/>
      <c r="H434" s="2466"/>
      <c r="I434" s="3120" t="str">
        <f>+Ingresos!B737</f>
        <v xml:space="preserve">TR semillero </v>
      </c>
      <c r="J434" s="2619"/>
      <c r="M434" s="2618"/>
      <c r="N434" s="2618"/>
      <c r="O434" s="2466"/>
      <c r="P434" s="2466"/>
      <c r="Q434" s="2466"/>
      <c r="R434" s="2466"/>
      <c r="S434" s="2466"/>
      <c r="T434" s="2466"/>
      <c r="U434" s="2466"/>
      <c r="V434" s="2466"/>
      <c r="W434" s="2466"/>
      <c r="X434" s="2466"/>
    </row>
    <row r="435" spans="2:24" ht="15.9" hidden="1" customHeight="1" x14ac:dyDescent="0.2">
      <c r="B435" s="3121" t="s">
        <v>2055</v>
      </c>
      <c r="C435" s="2619"/>
      <c r="D435" s="2556"/>
      <c r="E435" s="2556"/>
      <c r="F435" s="3124"/>
      <c r="G435" s="2466"/>
      <c r="H435" s="2466"/>
      <c r="I435" s="3120" t="str">
        <f>+Ingresos!B738</f>
        <v xml:space="preserve">TB semillero </v>
      </c>
      <c r="J435" s="2619"/>
      <c r="M435" s="2618"/>
      <c r="N435" s="2618"/>
      <c r="O435" s="2466"/>
      <c r="P435" s="2466"/>
      <c r="Q435" s="2466"/>
      <c r="R435" s="2466"/>
      <c r="S435" s="2466"/>
      <c r="T435" s="2466"/>
      <c r="U435" s="2466"/>
      <c r="V435" s="2466"/>
      <c r="W435" s="2466"/>
      <c r="X435" s="2466"/>
    </row>
    <row r="436" spans="2:24" ht="15.9" hidden="1" customHeight="1" x14ac:dyDescent="0.2">
      <c r="B436" s="3121" t="str">
        <f>+Ingresos!B717</f>
        <v>Vacas descarte - Ganadería</v>
      </c>
      <c r="C436" s="2619"/>
      <c r="D436" s="2556"/>
      <c r="E436" s="2556"/>
      <c r="F436" s="3122">
        <f>+SUM(A.Ganaderos!F20:Q20)</f>
        <v>0</v>
      </c>
      <c r="G436" s="2466"/>
      <c r="H436" s="2466"/>
      <c r="I436" s="3120" t="str">
        <f>+Ingresos!B739</f>
        <v xml:space="preserve">Achicoria Semillero </v>
      </c>
      <c r="J436" s="2619"/>
      <c r="M436" s="2618"/>
      <c r="N436" s="2618"/>
      <c r="O436" s="2466"/>
      <c r="P436" s="2466"/>
      <c r="Q436" s="2466"/>
      <c r="R436" s="2466"/>
      <c r="S436" s="2466"/>
      <c r="T436" s="2466"/>
      <c r="U436" s="2466"/>
      <c r="V436" s="2466"/>
      <c r="W436" s="2466"/>
      <c r="X436" s="2466"/>
    </row>
    <row r="437" spans="2:24" ht="15.9" hidden="1" customHeight="1" x14ac:dyDescent="0.2">
      <c r="B437" s="3121" t="str">
        <f>+Ingresos!B718</f>
        <v>Novillos - 2 a 3 años</v>
      </c>
      <c r="C437" s="2619"/>
      <c r="D437" s="2556"/>
      <c r="E437" s="2556"/>
      <c r="F437" s="3122">
        <f>+SUM(A.Ganaderos!F43:Q43)</f>
        <v>0</v>
      </c>
      <c r="G437" s="2466"/>
      <c r="H437" s="2466"/>
      <c r="I437" s="3120">
        <f>+Ingresos!B740</f>
        <v>0</v>
      </c>
      <c r="J437" s="2619"/>
      <c r="M437" s="2618"/>
      <c r="N437" s="2556"/>
      <c r="O437" s="2466"/>
      <c r="P437" s="2466"/>
      <c r="Q437" s="2466"/>
      <c r="R437" s="2466"/>
      <c r="S437" s="2466"/>
      <c r="T437" s="2466"/>
      <c r="U437" s="2466"/>
      <c r="V437" s="2466"/>
      <c r="W437" s="2466"/>
      <c r="X437" s="2466"/>
    </row>
    <row r="438" spans="2:24" ht="15.9" hidden="1" customHeight="1" x14ac:dyDescent="0.2">
      <c r="B438" s="3121" t="str">
        <f>+Ingresos!B719</f>
        <v>Novillos - 1 a 2 años</v>
      </c>
      <c r="C438" s="2619"/>
      <c r="D438" s="2556"/>
      <c r="E438" s="2556"/>
      <c r="F438" s="3122">
        <f>+SUM(A.Ganaderos!F70:Q70)</f>
        <v>0</v>
      </c>
      <c r="G438" s="2466"/>
      <c r="H438" s="2466"/>
      <c r="I438" s="3120">
        <f>+Ingresos!B741</f>
        <v>0</v>
      </c>
      <c r="J438" s="2619"/>
      <c r="K438" s="2556"/>
      <c r="L438" s="2556"/>
      <c r="M438" s="2556"/>
      <c r="N438" s="2618"/>
      <c r="O438" s="2466"/>
      <c r="P438" s="2466"/>
      <c r="Q438" s="2466"/>
      <c r="R438" s="2466"/>
      <c r="S438" s="2466"/>
      <c r="T438" s="2466"/>
      <c r="U438" s="2466"/>
      <c r="V438" s="2466"/>
      <c r="W438" s="2466"/>
      <c r="X438" s="2466"/>
    </row>
    <row r="439" spans="2:24" ht="15.9" hidden="1" customHeight="1" x14ac:dyDescent="0.2">
      <c r="B439" s="3121" t="str">
        <f>+Ingresos!B720</f>
        <v>Terneros &gt; 6 meses &lt; 1 año</v>
      </c>
      <c r="C439" s="2619"/>
      <c r="D439" s="2556"/>
      <c r="E439" s="2556"/>
      <c r="F439" s="3122">
        <f>+SUM(A.Ganaderos!F99:Q99)</f>
        <v>0</v>
      </c>
      <c r="G439" s="2466"/>
      <c r="H439" s="2466"/>
      <c r="I439" s="3120">
        <f>+Ingresos!B742</f>
        <v>0</v>
      </c>
      <c r="J439" s="2619"/>
      <c r="M439" s="2618"/>
      <c r="N439" s="2618"/>
      <c r="O439" s="2466"/>
      <c r="P439" s="2466"/>
      <c r="Q439" s="2466"/>
      <c r="R439" s="2466"/>
      <c r="S439" s="2466"/>
      <c r="T439" s="2466"/>
      <c r="U439" s="2466"/>
      <c r="V439" s="2466"/>
      <c r="W439" s="2466"/>
      <c r="X439" s="2466"/>
    </row>
    <row r="440" spans="2:24" ht="15.9" hidden="1" customHeight="1" thickBot="1" x14ac:dyDescent="0.25">
      <c r="B440" s="3125" t="str">
        <f>+Ingresos!B721</f>
        <v>Terneros &lt;  6 meses</v>
      </c>
      <c r="C440" s="3126"/>
      <c r="D440" s="3127"/>
      <c r="E440" s="3127"/>
      <c r="F440" s="3128">
        <f>+SUM(A.Ganaderos!F128:Q128)</f>
        <v>0</v>
      </c>
      <c r="G440" s="2466"/>
      <c r="H440" s="2466"/>
      <c r="I440" s="3120">
        <f>+Ingresos!B743</f>
        <v>0</v>
      </c>
      <c r="J440" s="2619"/>
      <c r="M440" s="2618"/>
      <c r="N440" s="2618"/>
      <c r="O440" s="2466"/>
      <c r="P440" s="2466"/>
      <c r="Q440" s="2466"/>
      <c r="R440" s="2466"/>
      <c r="S440" s="2466"/>
      <c r="T440" s="2466"/>
      <c r="U440" s="2466"/>
      <c r="V440" s="2466"/>
      <c r="W440" s="2466"/>
      <c r="X440" s="2466"/>
    </row>
    <row r="441" spans="2:24" ht="15.9" hidden="1" customHeight="1" thickTop="1" x14ac:dyDescent="0.2">
      <c r="B441" s="3129"/>
      <c r="D441" s="2556"/>
      <c r="E441" s="2556"/>
      <c r="F441" s="718"/>
      <c r="G441" s="2466"/>
      <c r="H441" s="2466"/>
      <c r="I441" s="3120">
        <f>+Ingresos!B744</f>
        <v>0</v>
      </c>
      <c r="J441" s="2619"/>
      <c r="M441" s="2618"/>
      <c r="N441" s="2618"/>
      <c r="O441" s="2466"/>
      <c r="P441" s="2466"/>
      <c r="Q441" s="2466"/>
      <c r="R441" s="2466"/>
      <c r="S441" s="2466"/>
      <c r="T441" s="2466"/>
      <c r="U441" s="2466"/>
      <c r="V441" s="2466"/>
      <c r="W441" s="2466"/>
      <c r="X441" s="2466"/>
    </row>
    <row r="442" spans="2:24" ht="15.9" hidden="1" customHeight="1" x14ac:dyDescent="0.2">
      <c r="B442" s="3129"/>
      <c r="C442" s="2619"/>
      <c r="G442" s="2466"/>
      <c r="H442" s="2466"/>
      <c r="I442" s="3120" t="str">
        <f>+Ingresos!B745</f>
        <v xml:space="preserve">Dactylis Semillero </v>
      </c>
      <c r="J442" s="2619"/>
      <c r="M442" s="2618"/>
      <c r="N442" s="2556"/>
      <c r="O442" s="2466"/>
      <c r="P442" s="2466"/>
      <c r="Q442" s="2466"/>
      <c r="R442" s="2466"/>
      <c r="S442" s="2466"/>
      <c r="T442" s="2466"/>
      <c r="U442" s="2466"/>
      <c r="V442" s="2466"/>
      <c r="W442" s="2466"/>
      <c r="X442" s="2466"/>
    </row>
    <row r="443" spans="2:24" ht="15.9" hidden="1" customHeight="1" x14ac:dyDescent="0.2">
      <c r="B443" s="2466"/>
      <c r="C443" s="2917"/>
      <c r="D443" s="2468"/>
      <c r="E443" s="2468"/>
      <c r="F443" s="2466"/>
      <c r="G443" s="2466"/>
      <c r="H443" s="2466"/>
      <c r="I443" s="3120" t="str">
        <f>+Ingresos!B746</f>
        <v xml:space="preserve">Festuca Semillero </v>
      </c>
      <c r="J443" s="2619"/>
      <c r="K443" s="2556"/>
      <c r="L443" s="2556"/>
      <c r="M443" s="2556"/>
      <c r="N443" s="2618"/>
      <c r="O443" s="2466"/>
      <c r="P443" s="2466"/>
      <c r="Q443" s="2466"/>
      <c r="R443" s="2466"/>
      <c r="S443" s="2466"/>
      <c r="T443" s="2466"/>
      <c r="U443" s="2466"/>
      <c r="V443" s="2466"/>
      <c r="W443" s="2466"/>
      <c r="X443" s="2466"/>
    </row>
    <row r="444" spans="2:24" ht="15.9" hidden="1" customHeight="1" x14ac:dyDescent="0.2">
      <c r="B444" s="2466"/>
      <c r="C444" s="2917"/>
      <c r="D444" s="2468"/>
      <c r="E444" s="2468"/>
      <c r="F444" s="2466"/>
      <c r="G444" s="2466"/>
      <c r="H444" s="2466"/>
      <c r="I444" s="3120" t="str">
        <f>+Ingresos!B747</f>
        <v xml:space="preserve">Rg semillero </v>
      </c>
      <c r="J444" s="2619"/>
      <c r="M444" s="2618"/>
      <c r="N444" s="2618"/>
      <c r="O444" s="2466"/>
      <c r="P444" s="2466"/>
      <c r="Q444" s="2466"/>
      <c r="R444" s="2466"/>
      <c r="S444" s="2466"/>
      <c r="T444" s="2466"/>
      <c r="U444" s="2466"/>
      <c r="V444" s="2466"/>
      <c r="W444" s="2466"/>
      <c r="X444" s="2466"/>
    </row>
    <row r="445" spans="2:24" ht="15.9" hidden="1" customHeight="1" x14ac:dyDescent="0.2">
      <c r="B445" s="2466"/>
      <c r="C445" s="2917"/>
      <c r="D445" s="2468"/>
      <c r="E445" s="2468"/>
      <c r="F445" s="2466"/>
      <c r="G445" s="2466"/>
      <c r="H445" s="2466"/>
      <c r="I445" s="3120">
        <f>+Ingresos!B748</f>
        <v>0</v>
      </c>
      <c r="J445" s="2619"/>
      <c r="M445" s="2618"/>
      <c r="N445" s="2618"/>
      <c r="O445" s="2466"/>
      <c r="P445" s="2466"/>
      <c r="Q445" s="2466"/>
      <c r="R445" s="2466"/>
      <c r="S445" s="2466"/>
      <c r="T445" s="2466"/>
      <c r="U445" s="2466"/>
      <c r="V445" s="2466"/>
      <c r="W445" s="2466"/>
      <c r="X445" s="2466"/>
    </row>
    <row r="446" spans="2:24" ht="15.9" hidden="1" customHeight="1" x14ac:dyDescent="0.2">
      <c r="B446" s="2466"/>
      <c r="C446" s="2917"/>
      <c r="D446" s="2468"/>
      <c r="E446" s="2468"/>
      <c r="F446" s="2466"/>
      <c r="G446" s="2466"/>
      <c r="H446" s="2466"/>
      <c r="I446" s="3120">
        <f>+Ingresos!B749</f>
        <v>0</v>
      </c>
      <c r="J446" s="2619"/>
      <c r="M446" s="2618"/>
      <c r="N446" s="2618"/>
      <c r="O446" s="2466"/>
      <c r="P446" s="2466"/>
      <c r="Q446" s="2466"/>
      <c r="R446" s="2466"/>
      <c r="S446" s="2466"/>
      <c r="T446" s="2466"/>
      <c r="U446" s="2466"/>
      <c r="V446" s="2466"/>
      <c r="W446" s="2466"/>
      <c r="X446" s="2466"/>
    </row>
    <row r="447" spans="2:24" ht="15.9" hidden="1" customHeight="1" x14ac:dyDescent="0.2">
      <c r="B447" s="2466"/>
      <c r="C447" s="2917"/>
      <c r="D447" s="2468"/>
      <c r="E447" s="2468"/>
      <c r="F447" s="2466"/>
      <c r="G447" s="2466"/>
      <c r="H447" s="2466"/>
      <c r="I447" s="3120">
        <f>+Ingresos!B750</f>
        <v>0</v>
      </c>
      <c r="J447" s="2619"/>
      <c r="M447" s="2618"/>
      <c r="N447" s="2556"/>
      <c r="O447" s="2466"/>
      <c r="P447" s="2466"/>
      <c r="Q447" s="2466"/>
      <c r="R447" s="2466"/>
      <c r="S447" s="2466"/>
      <c r="T447" s="2466"/>
      <c r="U447" s="2466"/>
      <c r="V447" s="2466"/>
      <c r="W447" s="2466"/>
      <c r="X447" s="2466"/>
    </row>
    <row r="448" spans="2:24" ht="15.9" hidden="1" customHeight="1" x14ac:dyDescent="0.2">
      <c r="B448" s="2466"/>
      <c r="C448" s="2917"/>
      <c r="D448" s="2468"/>
      <c r="E448" s="2468"/>
      <c r="F448" s="2466"/>
      <c r="G448" s="2466"/>
      <c r="H448" s="2466"/>
      <c r="I448" s="3120">
        <f>+Ingresos!B751</f>
        <v>0</v>
      </c>
      <c r="J448" s="2619"/>
      <c r="K448" s="2556"/>
      <c r="L448" s="2556"/>
      <c r="M448" s="2556"/>
      <c r="N448" s="2618"/>
      <c r="O448" s="2466"/>
      <c r="P448" s="2466"/>
      <c r="Q448" s="2466"/>
      <c r="R448" s="2466"/>
      <c r="S448" s="2466"/>
      <c r="T448" s="2466"/>
      <c r="U448" s="2466"/>
      <c r="V448" s="2466"/>
      <c r="W448" s="2466"/>
      <c r="X448" s="2466"/>
    </row>
    <row r="449" spans="1:24" ht="15.9" hidden="1" customHeight="1" x14ac:dyDescent="0.2">
      <c r="B449" s="2466"/>
      <c r="C449" s="2917"/>
      <c r="D449" s="2468"/>
      <c r="E449" s="2468"/>
      <c r="F449" s="2466"/>
      <c r="G449" s="2466"/>
      <c r="H449" s="2466"/>
      <c r="I449" s="3120">
        <f>+Ingresos!B752</f>
        <v>0</v>
      </c>
      <c r="J449" s="2619"/>
      <c r="M449" s="2618"/>
      <c r="N449" s="2618"/>
      <c r="O449" s="2466"/>
      <c r="P449" s="2466"/>
      <c r="Q449" s="2466"/>
      <c r="R449" s="2466"/>
      <c r="S449" s="2466"/>
      <c r="T449" s="2466"/>
      <c r="U449" s="2466"/>
      <c r="V449" s="2466"/>
      <c r="W449" s="2466"/>
      <c r="X449" s="2466"/>
    </row>
    <row r="450" spans="1:24" ht="15.9" hidden="1" customHeight="1" x14ac:dyDescent="0.2">
      <c r="B450" s="2466"/>
      <c r="C450" s="2917"/>
      <c r="D450" s="2468"/>
      <c r="E450" s="2468"/>
      <c r="F450" s="2466"/>
      <c r="G450" s="2466"/>
      <c r="H450" s="2466"/>
      <c r="I450" s="3120">
        <f>+Ingresos!B753</f>
        <v>0</v>
      </c>
      <c r="J450" s="2619"/>
      <c r="M450" s="2618"/>
      <c r="N450" s="2618"/>
      <c r="O450" s="2466"/>
      <c r="P450" s="2466"/>
      <c r="Q450" s="2466"/>
      <c r="R450" s="2466"/>
      <c r="S450" s="2466"/>
      <c r="T450" s="2466"/>
      <c r="U450" s="2466"/>
      <c r="V450" s="2466"/>
      <c r="W450" s="2466"/>
      <c r="X450" s="2466"/>
    </row>
    <row r="451" spans="1:24" ht="15.9" hidden="1" customHeight="1" thickBot="1" x14ac:dyDescent="0.25">
      <c r="B451" s="2466"/>
      <c r="C451" s="2917"/>
      <c r="D451" s="2468"/>
      <c r="E451" s="2468"/>
      <c r="F451" s="2466"/>
      <c r="G451" s="2466"/>
      <c r="H451" s="2466"/>
      <c r="I451" s="2466"/>
      <c r="J451" s="2466"/>
      <c r="K451" s="2466"/>
      <c r="L451" s="2466"/>
      <c r="M451" s="2466"/>
      <c r="N451" s="2466"/>
      <c r="O451" s="2466"/>
      <c r="P451" s="2466"/>
      <c r="Q451" s="2466"/>
      <c r="R451" s="2466"/>
      <c r="S451" s="2466"/>
    </row>
    <row r="452" spans="1:24" s="3135" customFormat="1" ht="17.7" hidden="1" x14ac:dyDescent="0.2">
      <c r="A452" s="3071">
        <v>1120</v>
      </c>
      <c r="B452" s="3130" t="s">
        <v>2057</v>
      </c>
      <c r="C452" s="3131"/>
      <c r="D452" s="3131"/>
      <c r="E452" s="3131"/>
      <c r="F452" s="3132"/>
      <c r="G452" s="3133"/>
      <c r="H452" s="3133"/>
      <c r="I452" s="3133"/>
      <c r="J452" s="3133"/>
      <c r="K452" s="3133"/>
      <c r="L452" s="3133"/>
      <c r="M452" s="3133"/>
      <c r="N452" s="3133"/>
      <c r="O452" s="3133"/>
      <c r="P452" s="3133"/>
      <c r="Q452" s="3134"/>
      <c r="T452" s="3136"/>
    </row>
    <row r="453" spans="1:24" s="2917" customFormat="1" hidden="1" x14ac:dyDescent="0.2">
      <c r="B453" s="3137" t="s">
        <v>1604</v>
      </c>
      <c r="C453" s="2556"/>
      <c r="D453" s="2556"/>
      <c r="E453" s="2556"/>
      <c r="F453" s="3138">
        <f>+F86*$F$70</f>
        <v>0</v>
      </c>
      <c r="G453" s="3139">
        <f t="shared" ref="G453:Q453" si="171">+G86*$F$70</f>
        <v>0</v>
      </c>
      <c r="H453" s="3139">
        <f t="shared" si="171"/>
        <v>0</v>
      </c>
      <c r="I453" s="3139">
        <f t="shared" si="171"/>
        <v>0</v>
      </c>
      <c r="J453" s="3139">
        <f t="shared" si="171"/>
        <v>0</v>
      </c>
      <c r="K453" s="3139">
        <f t="shared" si="171"/>
        <v>0</v>
      </c>
      <c r="L453" s="3139">
        <f t="shared" si="171"/>
        <v>0</v>
      </c>
      <c r="M453" s="3139">
        <f t="shared" si="171"/>
        <v>0</v>
      </c>
      <c r="N453" s="3139">
        <f>+N86*$F$70</f>
        <v>0</v>
      </c>
      <c r="O453" s="3139">
        <f t="shared" si="171"/>
        <v>0</v>
      </c>
      <c r="P453" s="3139">
        <f t="shared" si="171"/>
        <v>0</v>
      </c>
      <c r="Q453" s="3140">
        <f t="shared" si="171"/>
        <v>0</v>
      </c>
      <c r="T453" s="3141"/>
    </row>
    <row r="454" spans="1:24" s="2917" customFormat="1" ht="15.05" hidden="1" thickBot="1" x14ac:dyDescent="0.25">
      <c r="B454" s="3137" t="s">
        <v>1935</v>
      </c>
      <c r="C454" s="2556"/>
      <c r="D454" s="2556"/>
      <c r="E454" s="2556"/>
      <c r="F454" s="3138">
        <f>+$F$70*SUM(G15:G17)</f>
        <v>0</v>
      </c>
      <c r="G454" s="3139">
        <f t="shared" ref="G454:P454" si="172">+$F$70*SUM(H15:H17)</f>
        <v>0</v>
      </c>
      <c r="H454" s="3139">
        <f t="shared" si="172"/>
        <v>0</v>
      </c>
      <c r="I454" s="3139">
        <f t="shared" si="172"/>
        <v>0</v>
      </c>
      <c r="J454" s="3139">
        <f t="shared" si="172"/>
        <v>0</v>
      </c>
      <c r="K454" s="3139">
        <f t="shared" si="172"/>
        <v>0</v>
      </c>
      <c r="L454" s="3139">
        <f t="shared" si="172"/>
        <v>0</v>
      </c>
      <c r="M454" s="3139">
        <f t="shared" si="172"/>
        <v>0</v>
      </c>
      <c r="N454" s="3139">
        <f t="shared" si="172"/>
        <v>0</v>
      </c>
      <c r="O454" s="3139">
        <f t="shared" si="172"/>
        <v>0</v>
      </c>
      <c r="P454" s="3139">
        <f t="shared" si="172"/>
        <v>0</v>
      </c>
      <c r="Q454" s="3140">
        <f>+$F$70*SUM(S15:S17)</f>
        <v>0</v>
      </c>
      <c r="T454" s="3141"/>
    </row>
    <row r="455" spans="1:24" s="2917" customFormat="1" ht="15.05" hidden="1" thickBot="1" x14ac:dyDescent="0.25">
      <c r="B455" s="3142" t="s">
        <v>2056</v>
      </c>
      <c r="C455" s="3143"/>
      <c r="D455" s="3143"/>
      <c r="E455" s="3143"/>
      <c r="F455" s="3144">
        <f t="shared" ref="F455:Q455" si="173">+F453-F454</f>
        <v>0</v>
      </c>
      <c r="G455" s="3145">
        <f t="shared" si="173"/>
        <v>0</v>
      </c>
      <c r="H455" s="3145">
        <f t="shared" si="173"/>
        <v>0</v>
      </c>
      <c r="I455" s="3145">
        <f t="shared" si="173"/>
        <v>0</v>
      </c>
      <c r="J455" s="3145">
        <f t="shared" si="173"/>
        <v>0</v>
      </c>
      <c r="K455" s="3145">
        <f t="shared" si="173"/>
        <v>0</v>
      </c>
      <c r="L455" s="3145">
        <f t="shared" si="173"/>
        <v>0</v>
      </c>
      <c r="M455" s="3145">
        <f t="shared" si="173"/>
        <v>0</v>
      </c>
      <c r="N455" s="3145">
        <f t="shared" si="173"/>
        <v>0</v>
      </c>
      <c r="O455" s="3145">
        <f t="shared" si="173"/>
        <v>0</v>
      </c>
      <c r="P455" s="3145">
        <f t="shared" si="173"/>
        <v>0</v>
      </c>
      <c r="Q455" s="3146">
        <f t="shared" si="173"/>
        <v>0</v>
      </c>
      <c r="T455" s="3141"/>
    </row>
    <row r="456" spans="1:24" s="2917" customFormat="1" hidden="1" x14ac:dyDescent="0.2">
      <c r="B456" s="3137" t="s">
        <v>194</v>
      </c>
      <c r="C456" s="2556"/>
      <c r="D456" s="2556"/>
      <c r="E456" s="2556"/>
      <c r="F456" s="3138">
        <f t="shared" ref="F456:Q456" si="174">F118*F121</f>
        <v>0</v>
      </c>
      <c r="G456" s="3139">
        <f t="shared" si="174"/>
        <v>0</v>
      </c>
      <c r="H456" s="3139">
        <f t="shared" si="174"/>
        <v>0</v>
      </c>
      <c r="I456" s="3139">
        <f t="shared" si="174"/>
        <v>0</v>
      </c>
      <c r="J456" s="3139">
        <f t="shared" si="174"/>
        <v>0</v>
      </c>
      <c r="K456" s="3139">
        <f t="shared" si="174"/>
        <v>0</v>
      </c>
      <c r="L456" s="3139">
        <f t="shared" si="174"/>
        <v>0</v>
      </c>
      <c r="M456" s="3139">
        <f t="shared" si="174"/>
        <v>0</v>
      </c>
      <c r="N456" s="3139">
        <f t="shared" si="174"/>
        <v>0</v>
      </c>
      <c r="O456" s="3139">
        <f t="shared" si="174"/>
        <v>0</v>
      </c>
      <c r="P456" s="3139">
        <f t="shared" si="174"/>
        <v>0</v>
      </c>
      <c r="Q456" s="3140">
        <f t="shared" si="174"/>
        <v>0</v>
      </c>
      <c r="T456" s="3141"/>
    </row>
    <row r="457" spans="1:24" s="2917" customFormat="1" hidden="1" x14ac:dyDescent="0.2">
      <c r="B457" s="3137" t="s">
        <v>195</v>
      </c>
      <c r="C457" s="2556"/>
      <c r="D457" s="2556"/>
      <c r="E457" s="2556"/>
      <c r="F457" s="3138">
        <f t="shared" ref="F457:Q457" si="175">F146*F149</f>
        <v>0</v>
      </c>
      <c r="G457" s="3139">
        <f t="shared" si="175"/>
        <v>0</v>
      </c>
      <c r="H457" s="3139">
        <f t="shared" si="175"/>
        <v>0</v>
      </c>
      <c r="I457" s="3139">
        <f t="shared" si="175"/>
        <v>0</v>
      </c>
      <c r="J457" s="3139">
        <f t="shared" si="175"/>
        <v>0</v>
      </c>
      <c r="K457" s="3139">
        <f t="shared" si="175"/>
        <v>0</v>
      </c>
      <c r="L457" s="3139">
        <f t="shared" si="175"/>
        <v>0</v>
      </c>
      <c r="M457" s="3139">
        <f t="shared" si="175"/>
        <v>0</v>
      </c>
      <c r="N457" s="3139">
        <f t="shared" si="175"/>
        <v>0</v>
      </c>
      <c r="O457" s="3139">
        <f t="shared" si="175"/>
        <v>0</v>
      </c>
      <c r="P457" s="3139">
        <f t="shared" si="175"/>
        <v>0</v>
      </c>
      <c r="Q457" s="3140">
        <f t="shared" si="175"/>
        <v>0</v>
      </c>
      <c r="T457" s="3141"/>
    </row>
    <row r="458" spans="1:24" s="2917" customFormat="1" hidden="1" x14ac:dyDescent="0.2">
      <c r="B458" s="3137" t="s">
        <v>196</v>
      </c>
      <c r="C458" s="2556"/>
      <c r="D458" s="2556"/>
      <c r="E458" s="2556"/>
      <c r="F458" s="3138">
        <f t="shared" ref="F458:Q458" si="176">F174*F177</f>
        <v>0</v>
      </c>
      <c r="G458" s="3139">
        <f t="shared" si="176"/>
        <v>0</v>
      </c>
      <c r="H458" s="3139">
        <f t="shared" si="176"/>
        <v>0</v>
      </c>
      <c r="I458" s="3139">
        <f t="shared" si="176"/>
        <v>0</v>
      </c>
      <c r="J458" s="3139">
        <f t="shared" si="176"/>
        <v>0</v>
      </c>
      <c r="K458" s="3139">
        <f t="shared" si="176"/>
        <v>0</v>
      </c>
      <c r="L458" s="3139">
        <f t="shared" si="176"/>
        <v>0</v>
      </c>
      <c r="M458" s="3139">
        <f t="shared" si="176"/>
        <v>0</v>
      </c>
      <c r="N458" s="3139">
        <f t="shared" si="176"/>
        <v>0</v>
      </c>
      <c r="O458" s="3139">
        <f t="shared" si="176"/>
        <v>0</v>
      </c>
      <c r="P458" s="3139">
        <f t="shared" si="176"/>
        <v>0</v>
      </c>
      <c r="Q458" s="3140">
        <f t="shared" si="176"/>
        <v>0</v>
      </c>
      <c r="T458" s="3141"/>
    </row>
    <row r="459" spans="1:24" s="2917" customFormat="1" hidden="1" x14ac:dyDescent="0.2">
      <c r="B459" s="3137" t="s">
        <v>197</v>
      </c>
      <c r="C459" s="2556"/>
      <c r="D459" s="2556"/>
      <c r="E459" s="2556"/>
      <c r="F459" s="3138">
        <f t="shared" ref="F459:Q459" si="177">F202*F205</f>
        <v>0</v>
      </c>
      <c r="G459" s="3139">
        <f t="shared" si="177"/>
        <v>0</v>
      </c>
      <c r="H459" s="3139">
        <f t="shared" si="177"/>
        <v>0</v>
      </c>
      <c r="I459" s="3139">
        <f t="shared" si="177"/>
        <v>0</v>
      </c>
      <c r="J459" s="3139">
        <f t="shared" si="177"/>
        <v>0</v>
      </c>
      <c r="K459" s="3139">
        <f t="shared" si="177"/>
        <v>0</v>
      </c>
      <c r="L459" s="3139">
        <f t="shared" si="177"/>
        <v>0</v>
      </c>
      <c r="M459" s="3139">
        <f t="shared" si="177"/>
        <v>0</v>
      </c>
      <c r="N459" s="3139">
        <f t="shared" si="177"/>
        <v>0</v>
      </c>
      <c r="O459" s="3139">
        <f t="shared" si="177"/>
        <v>0</v>
      </c>
      <c r="P459" s="3139">
        <f t="shared" si="177"/>
        <v>0</v>
      </c>
      <c r="Q459" s="3140">
        <f t="shared" si="177"/>
        <v>0</v>
      </c>
      <c r="T459" s="3141"/>
    </row>
    <row r="460" spans="1:24" s="2917" customFormat="1" hidden="1" x14ac:dyDescent="0.2">
      <c r="B460" s="3137" t="s">
        <v>198</v>
      </c>
      <c r="C460" s="2556"/>
      <c r="D460" s="2556"/>
      <c r="E460" s="2556"/>
      <c r="F460" s="3138">
        <f t="shared" ref="F460:Q460" si="178">F229*F232</f>
        <v>0</v>
      </c>
      <c r="G460" s="3139">
        <f t="shared" si="178"/>
        <v>0</v>
      </c>
      <c r="H460" s="3139">
        <f t="shared" si="178"/>
        <v>0</v>
      </c>
      <c r="I460" s="3139">
        <f t="shared" si="178"/>
        <v>0</v>
      </c>
      <c r="J460" s="3139">
        <f t="shared" si="178"/>
        <v>0</v>
      </c>
      <c r="K460" s="3139">
        <f t="shared" si="178"/>
        <v>0</v>
      </c>
      <c r="L460" s="3139">
        <f t="shared" si="178"/>
        <v>0</v>
      </c>
      <c r="M460" s="3139">
        <f t="shared" si="178"/>
        <v>0</v>
      </c>
      <c r="N460" s="3139">
        <f t="shared" si="178"/>
        <v>0</v>
      </c>
      <c r="O460" s="3139">
        <f t="shared" si="178"/>
        <v>0</v>
      </c>
      <c r="P460" s="3139">
        <f t="shared" si="178"/>
        <v>0</v>
      </c>
      <c r="Q460" s="3140">
        <f t="shared" si="178"/>
        <v>0</v>
      </c>
      <c r="T460" s="3141"/>
    </row>
    <row r="461" spans="1:24" s="2917" customFormat="1" hidden="1" x14ac:dyDescent="0.2">
      <c r="B461" s="3137" t="s">
        <v>398</v>
      </c>
      <c r="C461" s="2556"/>
      <c r="D461" s="2556"/>
      <c r="E461" s="2556"/>
      <c r="F461" s="3138">
        <f t="shared" ref="F461:Q461" si="179">F255*F258</f>
        <v>0</v>
      </c>
      <c r="G461" s="3139">
        <f t="shared" si="179"/>
        <v>0</v>
      </c>
      <c r="H461" s="3139">
        <f t="shared" si="179"/>
        <v>0</v>
      </c>
      <c r="I461" s="3139">
        <f t="shared" si="179"/>
        <v>0</v>
      </c>
      <c r="J461" s="3139">
        <f t="shared" si="179"/>
        <v>0</v>
      </c>
      <c r="K461" s="3139">
        <f t="shared" si="179"/>
        <v>0</v>
      </c>
      <c r="L461" s="3139">
        <f t="shared" si="179"/>
        <v>0</v>
      </c>
      <c r="M461" s="3139">
        <f t="shared" si="179"/>
        <v>0</v>
      </c>
      <c r="N461" s="3139">
        <f t="shared" si="179"/>
        <v>0</v>
      </c>
      <c r="O461" s="3139">
        <f t="shared" si="179"/>
        <v>0</v>
      </c>
      <c r="P461" s="3139">
        <f t="shared" si="179"/>
        <v>0</v>
      </c>
      <c r="Q461" s="3140">
        <f t="shared" si="179"/>
        <v>0</v>
      </c>
      <c r="T461" s="3141"/>
    </row>
    <row r="462" spans="1:24" s="2917" customFormat="1" ht="15.05" hidden="1" thickBot="1" x14ac:dyDescent="0.25">
      <c r="B462" s="3137" t="s">
        <v>490</v>
      </c>
      <c r="C462" s="2556"/>
      <c r="D462" s="2556"/>
      <c r="E462" s="2556"/>
      <c r="F462" s="3138">
        <f t="shared" ref="F462:Q462" si="180">F349*F345</f>
        <v>0</v>
      </c>
      <c r="G462" s="3139">
        <f t="shared" si="180"/>
        <v>0</v>
      </c>
      <c r="H462" s="3139">
        <f t="shared" si="180"/>
        <v>0</v>
      </c>
      <c r="I462" s="3139">
        <f t="shared" si="180"/>
        <v>0</v>
      </c>
      <c r="J462" s="3139">
        <f t="shared" si="180"/>
        <v>0</v>
      </c>
      <c r="K462" s="3139">
        <f t="shared" si="180"/>
        <v>0</v>
      </c>
      <c r="L462" s="3139">
        <f t="shared" si="180"/>
        <v>0</v>
      </c>
      <c r="M462" s="3139">
        <f t="shared" si="180"/>
        <v>0</v>
      </c>
      <c r="N462" s="3139">
        <f t="shared" si="180"/>
        <v>0</v>
      </c>
      <c r="O462" s="3139">
        <f t="shared" si="180"/>
        <v>0</v>
      </c>
      <c r="P462" s="3139">
        <f t="shared" si="180"/>
        <v>0</v>
      </c>
      <c r="Q462" s="3140">
        <f t="shared" si="180"/>
        <v>0</v>
      </c>
      <c r="T462" s="3141"/>
    </row>
    <row r="463" spans="1:24" s="3147" customFormat="1" ht="15.05" hidden="1" thickBot="1" x14ac:dyDescent="0.25">
      <c r="B463" s="3148" t="s">
        <v>1936</v>
      </c>
      <c r="C463" s="3143"/>
      <c r="D463" s="3143"/>
      <c r="E463" s="3143"/>
      <c r="F463" s="3144">
        <f>SUM(F456:F462)</f>
        <v>0</v>
      </c>
      <c r="G463" s="3145">
        <f t="shared" ref="G463:Q463" si="181">SUM(G456:G462)</f>
        <v>0</v>
      </c>
      <c r="H463" s="3145">
        <f t="shared" si="181"/>
        <v>0</v>
      </c>
      <c r="I463" s="3145">
        <f t="shared" si="181"/>
        <v>0</v>
      </c>
      <c r="J463" s="3145">
        <f t="shared" si="181"/>
        <v>0</v>
      </c>
      <c r="K463" s="3145">
        <f t="shared" si="181"/>
        <v>0</v>
      </c>
      <c r="L463" s="3145">
        <f t="shared" si="181"/>
        <v>0</v>
      </c>
      <c r="M463" s="3145">
        <f t="shared" si="181"/>
        <v>0</v>
      </c>
      <c r="N463" s="3145">
        <f t="shared" si="181"/>
        <v>0</v>
      </c>
      <c r="O463" s="3145">
        <f t="shared" si="181"/>
        <v>0</v>
      </c>
      <c r="P463" s="3145">
        <f t="shared" si="181"/>
        <v>0</v>
      </c>
      <c r="Q463" s="3146">
        <f t="shared" si="181"/>
        <v>0</v>
      </c>
      <c r="T463" s="3149"/>
    </row>
    <row r="464" spans="1:24" s="3147" customFormat="1" hidden="1" x14ac:dyDescent="0.2">
      <c r="B464" s="3137" t="s">
        <v>2290</v>
      </c>
      <c r="C464" s="2556"/>
      <c r="D464" s="2556"/>
      <c r="E464" s="2556"/>
      <c r="F464" s="3138">
        <f>+G24*G121</f>
        <v>0</v>
      </c>
      <c r="G464" s="3139">
        <f>+H24*H121</f>
        <v>0</v>
      </c>
      <c r="H464" s="3139">
        <f>+I24*I149</f>
        <v>0</v>
      </c>
      <c r="I464" s="3139">
        <f>+J24*J149</f>
        <v>0</v>
      </c>
      <c r="J464" s="3139">
        <f>+K24*K149</f>
        <v>0</v>
      </c>
      <c r="K464" s="3139">
        <f>+L24*L177</f>
        <v>0</v>
      </c>
      <c r="L464" s="3139">
        <f>+M24*M177</f>
        <v>0</v>
      </c>
      <c r="M464" s="3139">
        <f>+N24*N177</f>
        <v>0</v>
      </c>
      <c r="N464" s="3139">
        <f>+O24*O205</f>
        <v>0</v>
      </c>
      <c r="O464" s="3139">
        <f>+P24*P205</f>
        <v>0</v>
      </c>
      <c r="P464" s="3139">
        <f>+Q24*Q205</f>
        <v>0</v>
      </c>
      <c r="Q464" s="3140">
        <f>+S24*Q205</f>
        <v>0</v>
      </c>
      <c r="T464" s="3149"/>
    </row>
    <row r="465" spans="1:24" s="2917" customFormat="1" ht="15.05" hidden="1" thickBot="1" x14ac:dyDescent="0.25">
      <c r="B465" s="3150" t="s">
        <v>1937</v>
      </c>
      <c r="C465" s="3151"/>
      <c r="D465" s="3151"/>
      <c r="E465" s="3151"/>
      <c r="F465" s="3152">
        <f>+F463+F455-F464</f>
        <v>0</v>
      </c>
      <c r="G465" s="3152">
        <f t="shared" ref="G465:P465" si="182">+G463+G455-G464</f>
        <v>0</v>
      </c>
      <c r="H465" s="3152">
        <f t="shared" si="182"/>
        <v>0</v>
      </c>
      <c r="I465" s="3152">
        <f t="shared" si="182"/>
        <v>0</v>
      </c>
      <c r="J465" s="3152">
        <f t="shared" si="182"/>
        <v>0</v>
      </c>
      <c r="K465" s="3152">
        <f t="shared" si="182"/>
        <v>0</v>
      </c>
      <c r="L465" s="3152">
        <f t="shared" si="182"/>
        <v>0</v>
      </c>
      <c r="M465" s="3152">
        <f t="shared" si="182"/>
        <v>0</v>
      </c>
      <c r="N465" s="3152">
        <f t="shared" si="182"/>
        <v>0</v>
      </c>
      <c r="O465" s="3152">
        <f t="shared" si="182"/>
        <v>0</v>
      </c>
      <c r="P465" s="3152">
        <f t="shared" si="182"/>
        <v>0</v>
      </c>
      <c r="Q465" s="3152">
        <f>+Q463+Q455-Q464</f>
        <v>0</v>
      </c>
      <c r="R465" s="390"/>
      <c r="T465" s="3141"/>
    </row>
    <row r="466" spans="1:24" s="3153" customFormat="1" ht="15.05" hidden="1" thickBot="1" x14ac:dyDescent="0.25">
      <c r="B466" s="3150" t="s">
        <v>1938</v>
      </c>
      <c r="C466" s="3151"/>
      <c r="D466" s="3151"/>
      <c r="E466" s="3151"/>
      <c r="F466" s="3152">
        <f t="shared" ref="F466:Q466" si="183">+F118+F146+F174+F202+F229+F255+F346-F93+F86</f>
        <v>0</v>
      </c>
      <c r="G466" s="3152">
        <f t="shared" si="183"/>
        <v>0</v>
      </c>
      <c r="H466" s="3152">
        <f t="shared" si="183"/>
        <v>0</v>
      </c>
      <c r="I466" s="3152">
        <f t="shared" si="183"/>
        <v>0</v>
      </c>
      <c r="J466" s="3152">
        <f t="shared" si="183"/>
        <v>0</v>
      </c>
      <c r="K466" s="3152">
        <f t="shared" si="183"/>
        <v>0</v>
      </c>
      <c r="L466" s="3152">
        <f t="shared" si="183"/>
        <v>0</v>
      </c>
      <c r="M466" s="3152">
        <f t="shared" si="183"/>
        <v>0</v>
      </c>
      <c r="N466" s="3152">
        <f t="shared" si="183"/>
        <v>0</v>
      </c>
      <c r="O466" s="3152">
        <f t="shared" si="183"/>
        <v>0</v>
      </c>
      <c r="P466" s="3152">
        <f t="shared" si="183"/>
        <v>0</v>
      </c>
      <c r="Q466" s="3152">
        <f t="shared" si="183"/>
        <v>0</v>
      </c>
      <c r="R466" s="718"/>
      <c r="T466" s="3154"/>
    </row>
    <row r="467" spans="1:24" s="3153" customFormat="1" ht="15.05" hidden="1" thickBot="1" x14ac:dyDescent="0.25">
      <c r="B467" s="2474"/>
      <c r="C467" s="2556"/>
      <c r="D467" s="2556"/>
      <c r="E467" s="2556"/>
      <c r="F467" s="3139" t="e">
        <f>+F465/F466</f>
        <v>#DIV/0!</v>
      </c>
      <c r="G467" s="3139" t="e">
        <f t="shared" ref="G467:P467" si="184">+G465/G466</f>
        <v>#DIV/0!</v>
      </c>
      <c r="H467" s="3139" t="e">
        <f t="shared" si="184"/>
        <v>#DIV/0!</v>
      </c>
      <c r="I467" s="3139" t="e">
        <f t="shared" si="184"/>
        <v>#DIV/0!</v>
      </c>
      <c r="J467" s="3139" t="e">
        <f t="shared" si="184"/>
        <v>#DIV/0!</v>
      </c>
      <c r="K467" s="3139" t="e">
        <f t="shared" si="184"/>
        <v>#DIV/0!</v>
      </c>
      <c r="L467" s="3139" t="e">
        <f t="shared" si="184"/>
        <v>#DIV/0!</v>
      </c>
      <c r="M467" s="3139" t="e">
        <f t="shared" si="184"/>
        <v>#DIV/0!</v>
      </c>
      <c r="N467" s="3139" t="e">
        <f>+N465/N466</f>
        <v>#DIV/0!</v>
      </c>
      <c r="O467" s="3139" t="e">
        <f t="shared" si="184"/>
        <v>#DIV/0!</v>
      </c>
      <c r="P467" s="3139" t="e">
        <f t="shared" si="184"/>
        <v>#DIV/0!</v>
      </c>
      <c r="Q467" s="3139" t="e">
        <f>+Q465/Q466</f>
        <v>#DIV/0!</v>
      </c>
      <c r="R467" s="718"/>
      <c r="T467" s="3154"/>
    </row>
    <row r="468" spans="1:24" s="3117" customFormat="1" ht="15.9" hidden="1" customHeight="1" thickTop="1" x14ac:dyDescent="0.2">
      <c r="A468" s="3071">
        <v>1121</v>
      </c>
      <c r="B468" s="3082" t="s">
        <v>1495</v>
      </c>
      <c r="C468" s="3083"/>
      <c r="D468" s="3082"/>
      <c r="E468" s="3082"/>
      <c r="F468" s="3083"/>
      <c r="G468" s="3083"/>
      <c r="H468" s="3083"/>
      <c r="I468" s="3083"/>
      <c r="J468" s="3083"/>
      <c r="K468" s="3083"/>
      <c r="L468" s="3083"/>
      <c r="M468" s="3155"/>
      <c r="N468" s="3155"/>
      <c r="O468" s="3155"/>
      <c r="P468" s="3155"/>
      <c r="Q468" s="3155"/>
      <c r="R468" s="3084"/>
      <c r="S468" s="3084"/>
      <c r="T468" s="3156"/>
      <c r="U468" s="3084"/>
      <c r="V468" s="3084"/>
      <c r="W468" s="3111" t="s">
        <v>1146</v>
      </c>
      <c r="X468" s="3114"/>
    </row>
    <row r="469" spans="1:24" s="2475" customFormat="1" ht="15.9" hidden="1" customHeight="1" thickBot="1" x14ac:dyDescent="0.25">
      <c r="B469" s="2618"/>
      <c r="C469" s="2556"/>
      <c r="D469" s="2618"/>
      <c r="E469" s="2618"/>
      <c r="F469" s="2556"/>
      <c r="G469" s="2556"/>
      <c r="H469" s="2556"/>
      <c r="I469" s="2556"/>
      <c r="J469" s="2556"/>
      <c r="K469" s="2556"/>
      <c r="L469" s="2556"/>
      <c r="M469" s="3153"/>
      <c r="N469" s="3153"/>
      <c r="O469" s="3153"/>
      <c r="P469" s="3153"/>
      <c r="Q469" s="3153"/>
      <c r="T469" s="2970"/>
      <c r="W469" s="3093"/>
      <c r="X469" s="3107"/>
    </row>
    <row r="470" spans="1:24" ht="15.9" hidden="1" customHeight="1" thickTop="1" x14ac:dyDescent="0.3">
      <c r="A470" s="3071">
        <v>1122</v>
      </c>
      <c r="B470" s="3157" t="s">
        <v>1494</v>
      </c>
      <c r="C470" s="3112"/>
      <c r="D470" s="3113"/>
      <c r="E470" s="3113"/>
      <c r="F470" s="3112"/>
      <c r="G470" s="3112"/>
      <c r="H470" s="3112"/>
      <c r="I470" s="3112"/>
      <c r="J470" s="3112"/>
      <c r="K470" s="3112"/>
      <c r="L470" s="3112"/>
      <c r="M470" s="3112"/>
      <c r="N470" s="3112"/>
      <c r="O470" s="3112"/>
      <c r="P470" s="3112"/>
      <c r="Q470" s="3112"/>
      <c r="R470" s="5530" t="s">
        <v>403</v>
      </c>
      <c r="S470" s="5530"/>
      <c r="T470" s="5531"/>
      <c r="W470" s="3158"/>
      <c r="X470" s="3159"/>
    </row>
    <row r="471" spans="1:24" ht="15.9" hidden="1" customHeight="1" x14ac:dyDescent="0.2">
      <c r="B471" s="3160" t="s">
        <v>13</v>
      </c>
      <c r="C471" s="2517" t="s">
        <v>145</v>
      </c>
      <c r="D471" s="2517" t="s">
        <v>23</v>
      </c>
      <c r="E471" s="2517" t="s">
        <v>1498</v>
      </c>
      <c r="F471" s="2517" t="s">
        <v>1496</v>
      </c>
      <c r="G471" s="2517" t="s">
        <v>2326</v>
      </c>
      <c r="H471" s="2517" t="s">
        <v>2246</v>
      </c>
      <c r="I471" s="2517"/>
      <c r="J471" s="2517"/>
      <c r="K471" s="2517"/>
      <c r="L471" s="2517"/>
      <c r="M471" s="2517"/>
      <c r="N471" s="2517"/>
      <c r="O471" s="2517" t="s">
        <v>1497</v>
      </c>
      <c r="P471" s="2517"/>
      <c r="Q471" s="3161" t="s">
        <v>2247</v>
      </c>
      <c r="R471" s="3162" t="s">
        <v>404</v>
      </c>
      <c r="S471" s="3162" t="s">
        <v>30</v>
      </c>
      <c r="T471" s="3163" t="s">
        <v>145</v>
      </c>
      <c r="W471" s="3158" t="s">
        <v>404</v>
      </c>
      <c r="X471" s="3159" t="s">
        <v>30</v>
      </c>
    </row>
    <row r="472" spans="1:24" ht="15.9" hidden="1" customHeight="1" x14ac:dyDescent="0.2">
      <c r="B472" s="3164" t="str">
        <f>Precios!B162</f>
        <v>Vacas en ordeñe</v>
      </c>
      <c r="C472" s="3165">
        <f>+General!D69</f>
        <v>0</v>
      </c>
      <c r="D472" s="2556">
        <f>Precios!C162</f>
        <v>1000</v>
      </c>
      <c r="E472" s="2556" t="str">
        <f>Precios!D162</f>
        <v>cabeza</v>
      </c>
      <c r="F472" s="3139">
        <f>F12</f>
        <v>0</v>
      </c>
      <c r="G472" s="2556"/>
      <c r="H472" s="2556">
        <f t="shared" ref="H472:H477" si="185">+F472*D472</f>
        <v>0</v>
      </c>
      <c r="I472" s="2556"/>
      <c r="J472" s="2556"/>
      <c r="K472" s="2556"/>
      <c r="L472" s="2556"/>
      <c r="M472" s="2556"/>
      <c r="N472" s="2556"/>
      <c r="O472" s="718">
        <f>+Q41</f>
        <v>0</v>
      </c>
      <c r="P472" s="718"/>
      <c r="Q472" s="3166">
        <f t="shared" ref="Q472:Q477" si="186">+O472*D472</f>
        <v>0</v>
      </c>
      <c r="R472" s="3080">
        <f t="shared" ref="R472:R477" si="187">O472-F472</f>
        <v>0</v>
      </c>
      <c r="S472" s="2618">
        <f t="shared" ref="S472:S483" si="188">R472*D472</f>
        <v>0</v>
      </c>
      <c r="T472" s="3167">
        <f t="shared" ref="T472:T477" si="189">+R472*C472</f>
        <v>0</v>
      </c>
      <c r="W472" s="3158">
        <f t="shared" ref="W472:W477" si="190">(O472+F472)/2</f>
        <v>0</v>
      </c>
      <c r="X472" s="3159">
        <f>+W472*D472</f>
        <v>0</v>
      </c>
    </row>
    <row r="473" spans="1:24" ht="15.9" hidden="1" customHeight="1" x14ac:dyDescent="0.2">
      <c r="B473" s="3164" t="str">
        <f>Precios!B163</f>
        <v xml:space="preserve">Vacas secas </v>
      </c>
      <c r="C473" s="3165">
        <f>+General!D70</f>
        <v>0</v>
      </c>
      <c r="D473" s="2556">
        <f>Precios!C163</f>
        <v>1000</v>
      </c>
      <c r="E473" s="2556" t="str">
        <f>Precios!D163</f>
        <v>cabeza</v>
      </c>
      <c r="F473" s="2556">
        <f>F69</f>
        <v>0</v>
      </c>
      <c r="G473" s="2556"/>
      <c r="H473" s="2556">
        <f t="shared" si="185"/>
        <v>0</v>
      </c>
      <c r="I473" s="2556"/>
      <c r="J473" s="2556"/>
      <c r="K473" s="2556"/>
      <c r="L473" s="2556"/>
      <c r="M473" s="2556"/>
      <c r="N473" s="2556"/>
      <c r="O473" s="3139">
        <f>Q85</f>
        <v>0</v>
      </c>
      <c r="P473" s="3139"/>
      <c r="Q473" s="3166">
        <f t="shared" si="186"/>
        <v>0</v>
      </c>
      <c r="R473" s="3080">
        <f t="shared" si="187"/>
        <v>0</v>
      </c>
      <c r="S473" s="2618">
        <f t="shared" si="188"/>
        <v>0</v>
      </c>
      <c r="T473" s="3167">
        <f t="shared" si="189"/>
        <v>0</v>
      </c>
      <c r="W473" s="3158">
        <f t="shared" si="190"/>
        <v>0</v>
      </c>
      <c r="X473" s="3159">
        <f t="shared" ref="X473:X483" si="191">+W473*D473</f>
        <v>0</v>
      </c>
    </row>
    <row r="474" spans="1:24" ht="15.9" hidden="1" customHeight="1" x14ac:dyDescent="0.2">
      <c r="B474" s="3164" t="str">
        <f>Precios!B164</f>
        <v>Vaquillonas preñadas a parir en el 1er trimestre</v>
      </c>
      <c r="C474" s="3165">
        <f>+General!D71</f>
        <v>0</v>
      </c>
      <c r="D474" s="2556">
        <f>Precios!C164</f>
        <v>1100</v>
      </c>
      <c r="E474" s="2556" t="str">
        <f>Precios!D164</f>
        <v>cabeza</v>
      </c>
      <c r="F474" s="2556">
        <f>F101</f>
        <v>0</v>
      </c>
      <c r="G474" s="2556"/>
      <c r="H474" s="2556">
        <f t="shared" si="185"/>
        <v>0</v>
      </c>
      <c r="I474" s="2556"/>
      <c r="J474" s="2556"/>
      <c r="K474" s="2556"/>
      <c r="L474" s="2556"/>
      <c r="M474" s="2556"/>
      <c r="N474" s="2556"/>
      <c r="O474" s="718">
        <f>Q117</f>
        <v>0</v>
      </c>
      <c r="P474" s="718"/>
      <c r="Q474" s="3166">
        <f t="shared" si="186"/>
        <v>0</v>
      </c>
      <c r="R474" s="3080">
        <f t="shared" si="187"/>
        <v>0</v>
      </c>
      <c r="S474" s="2618">
        <f t="shared" si="188"/>
        <v>0</v>
      </c>
      <c r="T474" s="3167">
        <f t="shared" si="189"/>
        <v>0</v>
      </c>
      <c r="W474" s="3158">
        <f t="shared" si="190"/>
        <v>0</v>
      </c>
      <c r="X474" s="3159">
        <f t="shared" si="191"/>
        <v>0</v>
      </c>
    </row>
    <row r="475" spans="1:24" ht="15.9" hidden="1" customHeight="1" x14ac:dyDescent="0.2">
      <c r="B475" s="3164" t="str">
        <f>Precios!B165</f>
        <v>Vaquillonas preñadas a parir en el 2do trimestre</v>
      </c>
      <c r="C475" s="3165">
        <f>+General!D72</f>
        <v>0</v>
      </c>
      <c r="D475" s="2556">
        <f>Precios!C165</f>
        <v>1100</v>
      </c>
      <c r="E475" s="2556" t="str">
        <f>Precios!D165</f>
        <v>cabeza</v>
      </c>
      <c r="F475" s="2556">
        <f>F129</f>
        <v>0</v>
      </c>
      <c r="G475" s="2556"/>
      <c r="H475" s="2556">
        <f t="shared" si="185"/>
        <v>0</v>
      </c>
      <c r="I475" s="2556"/>
      <c r="J475" s="2556"/>
      <c r="K475" s="2556"/>
      <c r="L475" s="2556"/>
      <c r="M475" s="2556"/>
      <c r="N475" s="2556"/>
      <c r="O475" s="718">
        <f>Q145</f>
        <v>0</v>
      </c>
      <c r="P475" s="718"/>
      <c r="Q475" s="3166">
        <f t="shared" si="186"/>
        <v>0</v>
      </c>
      <c r="R475" s="3080">
        <f t="shared" si="187"/>
        <v>0</v>
      </c>
      <c r="S475" s="2618">
        <f t="shared" si="188"/>
        <v>0</v>
      </c>
      <c r="T475" s="3167">
        <f t="shared" si="189"/>
        <v>0</v>
      </c>
      <c r="W475" s="3158">
        <f t="shared" si="190"/>
        <v>0</v>
      </c>
      <c r="X475" s="3159">
        <f t="shared" si="191"/>
        <v>0</v>
      </c>
    </row>
    <row r="476" spans="1:24" ht="15.9" hidden="1" customHeight="1" x14ac:dyDescent="0.2">
      <c r="B476" s="3164" t="str">
        <f>Precios!B166</f>
        <v>Vaquillonas preñadas a parir en el 3er trimestre</v>
      </c>
      <c r="C476" s="3165">
        <f>+General!D73</f>
        <v>0</v>
      </c>
      <c r="D476" s="2556">
        <f>Precios!C166</f>
        <v>630</v>
      </c>
      <c r="E476" s="2556" t="str">
        <f>Precios!D166</f>
        <v>cabeza</v>
      </c>
      <c r="F476" s="718">
        <f>F157</f>
        <v>0</v>
      </c>
      <c r="G476" s="2556"/>
      <c r="H476" s="2556">
        <f t="shared" si="185"/>
        <v>0</v>
      </c>
      <c r="I476" s="2556"/>
      <c r="J476" s="2556"/>
      <c r="K476" s="2556"/>
      <c r="L476" s="2556"/>
      <c r="M476" s="2556"/>
      <c r="N476" s="2556"/>
      <c r="O476" s="718">
        <f>Q173</f>
        <v>0</v>
      </c>
      <c r="P476" s="718"/>
      <c r="Q476" s="3166">
        <f t="shared" si="186"/>
        <v>0</v>
      </c>
      <c r="R476" s="3080">
        <f t="shared" si="187"/>
        <v>0</v>
      </c>
      <c r="S476" s="2618">
        <f t="shared" si="188"/>
        <v>0</v>
      </c>
      <c r="T476" s="3167">
        <f t="shared" si="189"/>
        <v>0</v>
      </c>
      <c r="W476" s="3158">
        <f t="shared" si="190"/>
        <v>0</v>
      </c>
      <c r="X476" s="3159">
        <f t="shared" si="191"/>
        <v>0</v>
      </c>
    </row>
    <row r="477" spans="1:24" ht="15.9" hidden="1" customHeight="1" x14ac:dyDescent="0.2">
      <c r="B477" s="3164" t="str">
        <f>Precios!B167</f>
        <v>Vaquillonas preñadas a parir en el 4to trimestre</v>
      </c>
      <c r="C477" s="3165">
        <f>+General!D74</f>
        <v>0</v>
      </c>
      <c r="D477" s="2556">
        <f>Precios!C167</f>
        <v>630</v>
      </c>
      <c r="E477" s="2556" t="str">
        <f>Precios!D167</f>
        <v>cabeza</v>
      </c>
      <c r="F477" s="718">
        <f>F185</f>
        <v>0</v>
      </c>
      <c r="G477" s="2556"/>
      <c r="H477" s="2556">
        <f t="shared" si="185"/>
        <v>0</v>
      </c>
      <c r="I477" s="2556"/>
      <c r="J477" s="2556"/>
      <c r="K477" s="2556"/>
      <c r="L477" s="2556"/>
      <c r="M477" s="2556"/>
      <c r="N477" s="2556"/>
      <c r="O477" s="718">
        <f>Q201</f>
        <v>0</v>
      </c>
      <c r="P477" s="718"/>
      <c r="Q477" s="3166">
        <f t="shared" si="186"/>
        <v>0</v>
      </c>
      <c r="R477" s="3080">
        <f t="shared" si="187"/>
        <v>0</v>
      </c>
      <c r="S477" s="2618">
        <f t="shared" si="188"/>
        <v>0</v>
      </c>
      <c r="T477" s="3167">
        <f t="shared" si="189"/>
        <v>0</v>
      </c>
      <c r="W477" s="3158">
        <f t="shared" si="190"/>
        <v>0</v>
      </c>
      <c r="X477" s="3159">
        <f t="shared" si="191"/>
        <v>0</v>
      </c>
    </row>
    <row r="478" spans="1:24" ht="15.9" hidden="1" customHeight="1" x14ac:dyDescent="0.2">
      <c r="B478" s="3164" t="str">
        <f>Precios!B168</f>
        <v xml:space="preserve">Vaquillonas sin entorar </v>
      </c>
      <c r="C478" s="3165">
        <f>+General!D75</f>
        <v>0</v>
      </c>
      <c r="D478" s="2556">
        <f>Precios!C168</f>
        <v>2</v>
      </c>
      <c r="E478" s="2556" t="str">
        <f>Precios!D168</f>
        <v>kg PV</v>
      </c>
      <c r="F478" s="3139">
        <f>+F212</f>
        <v>0</v>
      </c>
      <c r="G478" s="2556">
        <f>F212*F213</f>
        <v>0</v>
      </c>
      <c r="H478" s="2556">
        <f>+G478*D478</f>
        <v>0</v>
      </c>
      <c r="I478" s="2556"/>
      <c r="J478" s="2556"/>
      <c r="K478" s="2556"/>
      <c r="L478" s="2556"/>
      <c r="M478" s="2556"/>
      <c r="N478" s="2556"/>
      <c r="O478" s="3139">
        <f>+Q212</f>
        <v>0</v>
      </c>
      <c r="P478" s="3139">
        <f>Q231*Q228</f>
        <v>0</v>
      </c>
      <c r="Q478" s="3166">
        <f>+P478*D478</f>
        <v>0</v>
      </c>
      <c r="R478" s="3080">
        <f>P478-G478</f>
        <v>0</v>
      </c>
      <c r="S478" s="2618">
        <f t="shared" si="188"/>
        <v>0</v>
      </c>
      <c r="T478" s="3168">
        <f>+R478</f>
        <v>0</v>
      </c>
      <c r="W478" s="3158">
        <f>(P478+G478)/2</f>
        <v>0</v>
      </c>
      <c r="X478" s="3159">
        <f t="shared" si="191"/>
        <v>0</v>
      </c>
    </row>
    <row r="479" spans="1:24" ht="15.9" hidden="1" customHeight="1" x14ac:dyDescent="0.2">
      <c r="B479" s="3164" t="str">
        <f>Precios!B169</f>
        <v xml:space="preserve">Terneras &gt; 6 meses </v>
      </c>
      <c r="C479" s="3165">
        <f>+General!D76</f>
        <v>0</v>
      </c>
      <c r="D479" s="2556">
        <f>Precios!C169</f>
        <v>2</v>
      </c>
      <c r="E479" s="2556" t="str">
        <f>Precios!D169</f>
        <v>kg PV</v>
      </c>
      <c r="F479" s="3139">
        <f>+F239</f>
        <v>0</v>
      </c>
      <c r="G479" s="2556">
        <f>F239*F240</f>
        <v>0</v>
      </c>
      <c r="H479" s="2556">
        <f>+G479*D479</f>
        <v>0</v>
      </c>
      <c r="I479" s="2556"/>
      <c r="J479" s="2556"/>
      <c r="K479" s="2556"/>
      <c r="L479" s="2556"/>
      <c r="M479" s="2556"/>
      <c r="N479" s="2556"/>
      <c r="O479" s="3139">
        <f>+Q239</f>
        <v>0</v>
      </c>
      <c r="P479" s="3139">
        <f>Q254*Q257</f>
        <v>0</v>
      </c>
      <c r="Q479" s="3166">
        <f>+P479*D479</f>
        <v>0</v>
      </c>
      <c r="R479" s="3080">
        <f>P479-G479</f>
        <v>0</v>
      </c>
      <c r="S479" s="3080">
        <f t="shared" si="188"/>
        <v>0</v>
      </c>
      <c r="T479" s="3168">
        <f>+R479</f>
        <v>0</v>
      </c>
      <c r="W479" s="3158">
        <f>(P479+G479)/2</f>
        <v>0</v>
      </c>
      <c r="X479" s="3159">
        <f t="shared" si="191"/>
        <v>0</v>
      </c>
    </row>
    <row r="480" spans="1:24" ht="15.9" hidden="1" customHeight="1" x14ac:dyDescent="0.2">
      <c r="B480" s="3164" t="str">
        <f>Precios!B170</f>
        <v>Terneras &gt; 2 meses &lt; 6 meses</v>
      </c>
      <c r="C480" s="3165">
        <v>140</v>
      </c>
      <c r="D480" s="2556">
        <f>Precios!C170</f>
        <v>200</v>
      </c>
      <c r="E480" s="2556" t="str">
        <f>Precios!D170</f>
        <v>cabeza</v>
      </c>
      <c r="F480" s="718">
        <f>F265</f>
        <v>0</v>
      </c>
      <c r="G480" s="2556"/>
      <c r="H480" s="2556">
        <f>+F480*D480</f>
        <v>0</v>
      </c>
      <c r="I480" s="2556"/>
      <c r="J480" s="2556"/>
      <c r="K480" s="2556"/>
      <c r="L480" s="2556"/>
      <c r="M480" s="2556"/>
      <c r="N480" s="2556"/>
      <c r="O480" s="718">
        <f>Q279</f>
        <v>0</v>
      </c>
      <c r="P480" s="718"/>
      <c r="Q480" s="3166">
        <f>+O480*D480</f>
        <v>0</v>
      </c>
      <c r="R480" s="3080">
        <f>O480-F480</f>
        <v>0</v>
      </c>
      <c r="S480" s="2618">
        <f t="shared" si="188"/>
        <v>0</v>
      </c>
      <c r="T480" s="3167">
        <f>+R480*C480</f>
        <v>0</v>
      </c>
      <c r="W480" s="3158">
        <f>(O480+F480)/2</f>
        <v>0</v>
      </c>
      <c r="X480" s="3159">
        <f t="shared" si="191"/>
        <v>0</v>
      </c>
    </row>
    <row r="481" spans="1:24" ht="15.9" hidden="1" customHeight="1" x14ac:dyDescent="0.2">
      <c r="B481" s="3164" t="str">
        <f>Precios!B171</f>
        <v xml:space="preserve">Terneras Lactantes </v>
      </c>
      <c r="C481" s="3165">
        <v>50</v>
      </c>
      <c r="D481" s="2556">
        <f>Precios!C171</f>
        <v>128</v>
      </c>
      <c r="E481" s="2556" t="str">
        <f>Precios!D171</f>
        <v>cabeza</v>
      </c>
      <c r="F481" s="718">
        <f>F287</f>
        <v>0</v>
      </c>
      <c r="G481" s="2556"/>
      <c r="H481" s="2556">
        <f>+F481*D481</f>
        <v>0</v>
      </c>
      <c r="I481" s="2556"/>
      <c r="J481" s="2556"/>
      <c r="K481" s="2556"/>
      <c r="L481" s="2556"/>
      <c r="M481" s="2556"/>
      <c r="N481" s="2556"/>
      <c r="O481" s="718">
        <f>Q302</f>
        <v>0</v>
      </c>
      <c r="P481" s="718"/>
      <c r="Q481" s="3166">
        <f>+O481*D481</f>
        <v>0</v>
      </c>
      <c r="R481" s="3080">
        <f>O481-F481</f>
        <v>0</v>
      </c>
      <c r="S481" s="2618">
        <f t="shared" si="188"/>
        <v>0</v>
      </c>
      <c r="T481" s="3167">
        <f>+R481*C481</f>
        <v>0</v>
      </c>
      <c r="W481" s="3158">
        <f>(O481+F481)/2</f>
        <v>0</v>
      </c>
      <c r="X481" s="3159">
        <f t="shared" si="191"/>
        <v>0</v>
      </c>
    </row>
    <row r="482" spans="1:24" ht="15.9" hidden="1" customHeight="1" x14ac:dyDescent="0.2">
      <c r="B482" s="3164" t="s">
        <v>1136</v>
      </c>
      <c r="C482" s="3165">
        <v>50</v>
      </c>
      <c r="D482" s="3139">
        <f>+Precios!C172</f>
        <v>100</v>
      </c>
      <c r="E482" s="718" t="str">
        <f>+Precios!D172</f>
        <v>cabeza</v>
      </c>
      <c r="F482" s="718">
        <f>+F310</f>
        <v>0</v>
      </c>
      <c r="G482" s="2556"/>
      <c r="H482" s="2556">
        <f>+F482*D482</f>
        <v>0</v>
      </c>
      <c r="I482" s="2556"/>
      <c r="J482" s="2556"/>
      <c r="K482" s="2556"/>
      <c r="L482" s="2556"/>
      <c r="M482" s="2556"/>
      <c r="N482" s="2556"/>
      <c r="O482" s="718">
        <f>+Q325</f>
        <v>0</v>
      </c>
      <c r="P482" s="718"/>
      <c r="Q482" s="3166">
        <f>+O482*D482</f>
        <v>0</v>
      </c>
      <c r="R482" s="3080">
        <f>O482-F482</f>
        <v>0</v>
      </c>
      <c r="S482" s="2618">
        <f t="shared" si="188"/>
        <v>0</v>
      </c>
      <c r="T482" s="3167">
        <f>+R482*C482</f>
        <v>0</v>
      </c>
      <c r="W482" s="3158">
        <f>(O482+F482)/2</f>
        <v>0</v>
      </c>
      <c r="X482" s="3159">
        <f t="shared" si="191"/>
        <v>0</v>
      </c>
    </row>
    <row r="483" spans="1:24" ht="15.9" hidden="1" customHeight="1" x14ac:dyDescent="0.2">
      <c r="B483" s="3164" t="str">
        <f>Precios!B174</f>
        <v xml:space="preserve">Toros </v>
      </c>
      <c r="C483" s="3165">
        <f>+General!D80</f>
        <v>0</v>
      </c>
      <c r="D483" s="2556">
        <f>Precios!C174</f>
        <v>1500</v>
      </c>
      <c r="E483" s="2556" t="str">
        <f>Precios!D174</f>
        <v>cabeza</v>
      </c>
      <c r="F483" s="718">
        <f>A.Ganaderos!F30</f>
        <v>0</v>
      </c>
      <c r="G483" s="2556"/>
      <c r="H483" s="2556">
        <f>+F483*D483</f>
        <v>0</v>
      </c>
      <c r="I483" s="2556"/>
      <c r="J483" s="2556"/>
      <c r="K483" s="2556"/>
      <c r="L483" s="2556"/>
      <c r="M483" s="2556"/>
      <c r="N483" s="2556"/>
      <c r="O483" s="718">
        <f>Q345</f>
        <v>0</v>
      </c>
      <c r="P483" s="718"/>
      <c r="Q483" s="3166">
        <f>+O483*D483</f>
        <v>0</v>
      </c>
      <c r="R483" s="3080">
        <f>O483-F483</f>
        <v>0</v>
      </c>
      <c r="S483" s="2618">
        <f t="shared" si="188"/>
        <v>0</v>
      </c>
      <c r="T483" s="3167">
        <f>+R483*C483</f>
        <v>0</v>
      </c>
      <c r="W483" s="3158">
        <f>(O483+F483)/2</f>
        <v>0</v>
      </c>
      <c r="X483" s="3159">
        <f t="shared" si="191"/>
        <v>0</v>
      </c>
    </row>
    <row r="484" spans="1:24" ht="15.9" hidden="1" customHeight="1" thickBot="1" x14ac:dyDescent="0.25">
      <c r="B484" s="3169" t="s">
        <v>405</v>
      </c>
      <c r="C484" s="3170"/>
      <c r="D484" s="3171"/>
      <c r="E484" s="3171"/>
      <c r="F484" s="3172">
        <f>+SUM(F472:F483)</f>
        <v>0</v>
      </c>
      <c r="G484" s="3172"/>
      <c r="H484" s="3172">
        <f>+SUM(H472:H483)</f>
        <v>0</v>
      </c>
      <c r="I484" s="3171"/>
      <c r="J484" s="3171"/>
      <c r="K484" s="3171"/>
      <c r="L484" s="3171"/>
      <c r="M484" s="3171"/>
      <c r="N484" s="3171"/>
      <c r="O484" s="3172">
        <f>+SUM(O472:O483)</f>
        <v>0</v>
      </c>
      <c r="P484" s="3172"/>
      <c r="Q484" s="3172">
        <f>+SUM(Q472:Q483)</f>
        <v>0</v>
      </c>
      <c r="R484" s="3173"/>
      <c r="S484" s="3174">
        <f>SUM(S472:S483)</f>
        <v>0</v>
      </c>
      <c r="T484" s="3109">
        <f>SUM(T472:T483)</f>
        <v>0</v>
      </c>
      <c r="U484" s="3175"/>
      <c r="V484" s="3175"/>
      <c r="W484" s="3169"/>
      <c r="X484" s="3109">
        <f>SUM(X472:X483)</f>
        <v>0</v>
      </c>
    </row>
    <row r="485" spans="1:24" s="2475" customFormat="1" ht="15.9" hidden="1" customHeight="1" thickTop="1" thickBot="1" x14ac:dyDescent="0.25">
      <c r="B485" s="2618"/>
      <c r="C485" s="3176"/>
      <c r="D485" s="2556"/>
      <c r="E485" s="2556"/>
      <c r="F485" s="718"/>
      <c r="G485" s="2556"/>
      <c r="H485" s="2556"/>
      <c r="I485" s="2556"/>
      <c r="J485" s="2556"/>
      <c r="K485" s="2556"/>
      <c r="L485" s="2556"/>
      <c r="M485" s="3153"/>
      <c r="N485" s="3153"/>
      <c r="O485" s="3153"/>
      <c r="P485" s="3153"/>
      <c r="Q485" s="3177"/>
      <c r="R485" s="3178"/>
      <c r="T485" s="2970"/>
    </row>
    <row r="486" spans="1:24" s="3081" customFormat="1" ht="15.9" hidden="1" customHeight="1" thickTop="1" x14ac:dyDescent="0.2">
      <c r="A486" s="3071">
        <v>1123</v>
      </c>
      <c r="B486" s="3179" t="s">
        <v>2058</v>
      </c>
      <c r="C486" s="3180"/>
      <c r="D486" s="3112"/>
      <c r="E486" s="3112"/>
      <c r="F486" s="3181"/>
      <c r="G486" s="3112"/>
      <c r="H486" s="3112"/>
      <c r="I486" s="3112"/>
      <c r="J486" s="3112"/>
      <c r="K486" s="3112"/>
      <c r="L486" s="3112"/>
      <c r="M486" s="3112"/>
      <c r="N486" s="3112"/>
      <c r="O486" s="3112"/>
      <c r="P486" s="3112"/>
      <c r="Q486" s="3181"/>
      <c r="R486" s="3182"/>
      <c r="T486" s="3085"/>
    </row>
    <row r="487" spans="1:24" s="2475" customFormat="1" ht="15.9" hidden="1" customHeight="1" x14ac:dyDescent="0.2">
      <c r="B487" s="3183" t="s">
        <v>1583</v>
      </c>
      <c r="C487" s="2474"/>
      <c r="D487" s="2556"/>
      <c r="E487" s="2556"/>
      <c r="F487" s="3184" t="str">
        <f t="shared" ref="F487:R487" si="192">+F7</f>
        <v>Ene</v>
      </c>
      <c r="G487" s="3184" t="str">
        <f t="shared" si="192"/>
        <v>Feb</v>
      </c>
      <c r="H487" s="3184" t="str">
        <f t="shared" si="192"/>
        <v>Mar</v>
      </c>
      <c r="I487" s="3184" t="str">
        <f t="shared" si="192"/>
        <v>Abr</v>
      </c>
      <c r="J487" s="3184" t="str">
        <f t="shared" si="192"/>
        <v>May</v>
      </c>
      <c r="K487" s="3184" t="str">
        <f t="shared" si="192"/>
        <v>Jun</v>
      </c>
      <c r="L487" s="3184" t="str">
        <f t="shared" si="192"/>
        <v>Jul</v>
      </c>
      <c r="M487" s="3184" t="str">
        <f t="shared" si="192"/>
        <v>Ago</v>
      </c>
      <c r="N487" s="3184" t="str">
        <f t="shared" si="192"/>
        <v>Set</v>
      </c>
      <c r="O487" s="3184" t="str">
        <f t="shared" si="192"/>
        <v>Oct</v>
      </c>
      <c r="P487" s="3184" t="str">
        <f t="shared" si="192"/>
        <v>Nov</v>
      </c>
      <c r="Q487" s="3184" t="str">
        <f t="shared" si="192"/>
        <v>Dic</v>
      </c>
      <c r="R487" s="3185" t="str">
        <f t="shared" si="192"/>
        <v>Totales /Promedio</v>
      </c>
      <c r="T487" s="2970"/>
    </row>
    <row r="488" spans="1:24" s="2475" customFormat="1" ht="15.9" hidden="1" customHeight="1" x14ac:dyDescent="0.2">
      <c r="B488" s="3186" t="s">
        <v>1581</v>
      </c>
      <c r="C488" s="3187"/>
      <c r="D488" s="3188"/>
      <c r="E488" s="3189"/>
      <c r="F488" s="3190">
        <f>IFERROR((UsoSuelo!AS736+UsoSuelo!AS737)/(UsoSuelo!S736+UsoSuelo!S737),2.3)</f>
        <v>2.2999999999999998</v>
      </c>
      <c r="G488" s="3190">
        <f>IFERROR((UsoSuelo!AT736+UsoSuelo!AT737)/(UsoSuelo!T736+UsoSuelo!T737),2.3)</f>
        <v>2.2999999999999998</v>
      </c>
      <c r="H488" s="3190">
        <f>IFERROR((UsoSuelo!AU736+UsoSuelo!AU737)/(UsoSuelo!U736+UsoSuelo!U737),2.3)</f>
        <v>2.2999999999999998</v>
      </c>
      <c r="I488" s="3190">
        <f>IFERROR((UsoSuelo!AV736+UsoSuelo!AV737)/(UsoSuelo!V736+UsoSuelo!V737),2.3)</f>
        <v>2.2999999999999998</v>
      </c>
      <c r="J488" s="3190">
        <f>IFERROR((UsoSuelo!AW736+UsoSuelo!AW737)/(UsoSuelo!W736+UsoSuelo!W737),2.3)</f>
        <v>2.2999999999999998</v>
      </c>
      <c r="K488" s="3190">
        <f>IFERROR((UsoSuelo!AX736+UsoSuelo!AX737)/(UsoSuelo!X736+UsoSuelo!X737),2.3)</f>
        <v>2.2999999999999998</v>
      </c>
      <c r="L488" s="3190">
        <f>IFERROR((UsoSuelo!AY736+UsoSuelo!AY737)/(UsoSuelo!Y736+UsoSuelo!Y737),2.3)</f>
        <v>2.2999999999999998</v>
      </c>
      <c r="M488" s="3190">
        <f>IFERROR((UsoSuelo!AZ736+UsoSuelo!AZ737)/(UsoSuelo!Z736+UsoSuelo!Z737),2.3)</f>
        <v>2.2999999999999998</v>
      </c>
      <c r="N488" s="3190">
        <f>IFERROR((UsoSuelo!BA736+UsoSuelo!BA737)/(UsoSuelo!AA736+UsoSuelo!AA737),2.3)</f>
        <v>2.2999999999999998</v>
      </c>
      <c r="O488" s="3190">
        <f>IFERROR((UsoSuelo!BB736+UsoSuelo!BB737)/(UsoSuelo!AB736+UsoSuelo!AB737),2.3)</f>
        <v>2.2999999999999998</v>
      </c>
      <c r="P488" s="3190">
        <f>IFERROR((UsoSuelo!BC736+UsoSuelo!BC737)/(UsoSuelo!AC736+UsoSuelo!AC737),2.3)</f>
        <v>2.2999999999999998</v>
      </c>
      <c r="Q488" s="3190">
        <f>IFERROR((UsoSuelo!BD736+UsoSuelo!BD737)/(UsoSuelo!AD736+UsoSuelo!AD737),2.3)</f>
        <v>2.2999999999999998</v>
      </c>
      <c r="R488" s="3191">
        <f>IFERROR((SUM(UsoSuelo!AS736:BD737)/SUM(UsoSuelo!S736:AD737)),0)</f>
        <v>0</v>
      </c>
      <c r="T488" s="2970"/>
    </row>
    <row r="489" spans="1:24" s="2475" customFormat="1" ht="15.9" hidden="1" customHeight="1" x14ac:dyDescent="0.2">
      <c r="B489" s="3186" t="s">
        <v>1582</v>
      </c>
      <c r="C489" s="3187"/>
      <c r="D489" s="3188"/>
      <c r="E489" s="3189"/>
      <c r="F489" s="3190">
        <f>IFERROR((UsoSuelo!AS807+UsoSuelo!AS808)/(UsoSuelo!S807+UsoSuelo!S808),2.3)</f>
        <v>2.2999999999999998</v>
      </c>
      <c r="G489" s="3190">
        <f>IFERROR((UsoSuelo!AT807+UsoSuelo!AT808)/(UsoSuelo!T807+UsoSuelo!T808),2.3)</f>
        <v>2.2999999999999998</v>
      </c>
      <c r="H489" s="3190">
        <f>IFERROR((UsoSuelo!AU807+UsoSuelo!AU808)/(UsoSuelo!U807+UsoSuelo!U808),2.3)</f>
        <v>2.2999999999999998</v>
      </c>
      <c r="I489" s="3190">
        <f>IFERROR((UsoSuelo!AV807+UsoSuelo!AV808)/(UsoSuelo!V807+UsoSuelo!V808),2.3)</f>
        <v>2.2999999999999998</v>
      </c>
      <c r="J489" s="3190">
        <f>IFERROR((UsoSuelo!AW807+UsoSuelo!AW808)/(UsoSuelo!W807+UsoSuelo!W808),2.3)</f>
        <v>2.2999999999999998</v>
      </c>
      <c r="K489" s="3190">
        <f>IFERROR((UsoSuelo!AX807+UsoSuelo!AX808)/(UsoSuelo!X807+UsoSuelo!X808),2.3)</f>
        <v>2.2999999999999998</v>
      </c>
      <c r="L489" s="3190">
        <f>IFERROR((UsoSuelo!AY807+UsoSuelo!AY808)/(UsoSuelo!Y807+UsoSuelo!Y808),2.3)</f>
        <v>2.2999999999999998</v>
      </c>
      <c r="M489" s="3190">
        <f>IFERROR((UsoSuelo!AZ807+UsoSuelo!AZ808)/(UsoSuelo!Z807+UsoSuelo!Z808),2.3)</f>
        <v>2.2999999999999998</v>
      </c>
      <c r="N489" s="3190">
        <f>IFERROR((UsoSuelo!BA807+UsoSuelo!BA808)/(UsoSuelo!AA807+UsoSuelo!AA808),2.3)</f>
        <v>2.2999999999999998</v>
      </c>
      <c r="O489" s="3190">
        <f>IFERROR((UsoSuelo!BB807+UsoSuelo!BB808)/(UsoSuelo!AB807+UsoSuelo!AB808),2.3)</f>
        <v>2.2999999999999998</v>
      </c>
      <c r="P489" s="3190">
        <f>IFERROR((UsoSuelo!BC807+UsoSuelo!BC808)/(UsoSuelo!AC807+UsoSuelo!AC808),2.3)</f>
        <v>2.2999999999999998</v>
      </c>
      <c r="Q489" s="3190">
        <f>IFERROR((UsoSuelo!BD807+UsoSuelo!BD808)/(UsoSuelo!AD807+UsoSuelo!AD808),2.3)</f>
        <v>2.2999999999999998</v>
      </c>
      <c r="R489" s="3191">
        <f>IFERROR(SUM(UsoSuelo!AS807:BD808)/SUM(UsoSuelo!S807:AD808),0)</f>
        <v>0</v>
      </c>
      <c r="T489" s="2970"/>
    </row>
    <row r="490" spans="1:24" s="2475" customFormat="1" ht="15.9" hidden="1" customHeight="1" x14ac:dyDescent="0.2">
      <c r="B490" s="3186" t="s">
        <v>1455</v>
      </c>
      <c r="C490" s="3187"/>
      <c r="D490" s="3188"/>
      <c r="E490" s="3189"/>
      <c r="F490" s="3190">
        <f>IFERROR((UsoSuelo!AS878+UsoSuelo!AS879)/(UsoSuelo!S878+UsoSuelo!S879),2.3)</f>
        <v>2.2999999999999998</v>
      </c>
      <c r="G490" s="3190">
        <f>IFERROR((UsoSuelo!AT878+UsoSuelo!AT879)/(UsoSuelo!T878+UsoSuelo!T879),2.3)</f>
        <v>2.2999999999999998</v>
      </c>
      <c r="H490" s="3190">
        <f>IFERROR((UsoSuelo!AU878+UsoSuelo!AU879)/(UsoSuelo!U878+UsoSuelo!U879),2.3)</f>
        <v>2.2999999999999998</v>
      </c>
      <c r="I490" s="3190">
        <f>IFERROR((UsoSuelo!AV878+UsoSuelo!AV879)/(UsoSuelo!V878+UsoSuelo!V879),2.3)</f>
        <v>2.2999999999999998</v>
      </c>
      <c r="J490" s="3190">
        <f>IFERROR((UsoSuelo!AW878+UsoSuelo!AW879)/(UsoSuelo!W878+UsoSuelo!W879),2.3)</f>
        <v>2.2999999999999998</v>
      </c>
      <c r="K490" s="3190">
        <f>IFERROR((UsoSuelo!AX878+UsoSuelo!AX879)/(UsoSuelo!X878+UsoSuelo!X879),2.3)</f>
        <v>2.2999999999999998</v>
      </c>
      <c r="L490" s="3190">
        <f>IFERROR((UsoSuelo!AY878+UsoSuelo!AY879)/(UsoSuelo!Y878+UsoSuelo!Y879),2.3)</f>
        <v>2.2999999999999998</v>
      </c>
      <c r="M490" s="3190">
        <f>IFERROR((UsoSuelo!AZ878+UsoSuelo!AZ879)/(UsoSuelo!Z878+UsoSuelo!Z879),2.3)</f>
        <v>2.2999999999999998</v>
      </c>
      <c r="N490" s="3190">
        <f>IFERROR((UsoSuelo!BA878+UsoSuelo!BA879)/(UsoSuelo!AA878+UsoSuelo!AA879),2.3)</f>
        <v>2.2999999999999998</v>
      </c>
      <c r="O490" s="3190">
        <f>IFERROR((UsoSuelo!BB878+UsoSuelo!BB879)/(UsoSuelo!AB878+UsoSuelo!AB879),2.3)</f>
        <v>2.2999999999999998</v>
      </c>
      <c r="P490" s="3190">
        <f>IFERROR((UsoSuelo!BC878+UsoSuelo!BC879)/(UsoSuelo!AC878+UsoSuelo!AC879),2.3)</f>
        <v>2.2999999999999998</v>
      </c>
      <c r="Q490" s="3190">
        <f>IFERROR((UsoSuelo!BD878+UsoSuelo!BD879)/(UsoSuelo!AD878+UsoSuelo!AD879),2.3)</f>
        <v>2.2999999999999998</v>
      </c>
      <c r="R490" s="3191">
        <f>IFERROR(SUM(UsoSuelo!AS878:BD879)/SUM(UsoSuelo!S878:AD879),0)</f>
        <v>0</v>
      </c>
      <c r="T490" s="2970"/>
    </row>
    <row r="491" spans="1:24" s="2475" customFormat="1" ht="15.9" hidden="1" customHeight="1" thickBot="1" x14ac:dyDescent="0.25">
      <c r="B491" s="3192" t="s">
        <v>230</v>
      </c>
      <c r="C491" s="3193"/>
      <c r="D491" s="3194"/>
      <c r="E491" s="3195"/>
      <c r="F491" s="3196">
        <f>IFERROR((UsoSuelo!AS736+UsoSuelo!AS737+UsoSuelo!AS807+UsoSuelo!AS808+UsoSuelo!AS878+UsoSuelo!AS879)/(UsoSuelo!S736+UsoSuelo!S737+UsoSuelo!S807+UsoSuelo!S808+UsoSuelo!S878+UsoSuelo!S879),0)</f>
        <v>0</v>
      </c>
      <c r="G491" s="3196">
        <f>IFERROR((UsoSuelo!AT736+UsoSuelo!AT737+UsoSuelo!AT807+UsoSuelo!AT808+UsoSuelo!AT878+UsoSuelo!AT879)/(UsoSuelo!T736+UsoSuelo!T737+UsoSuelo!T807+UsoSuelo!T808+UsoSuelo!T878+UsoSuelo!T879),0)</f>
        <v>0</v>
      </c>
      <c r="H491" s="3196">
        <f>IFERROR((UsoSuelo!AU736+UsoSuelo!AU737+UsoSuelo!AU807+UsoSuelo!AU808+UsoSuelo!AU878+UsoSuelo!AU879)/(UsoSuelo!U736+UsoSuelo!U737+UsoSuelo!U807+UsoSuelo!U808+UsoSuelo!U878+UsoSuelo!U879),0)</f>
        <v>0</v>
      </c>
      <c r="I491" s="3196">
        <f>IFERROR((UsoSuelo!AV736+UsoSuelo!AV737+UsoSuelo!AV807+UsoSuelo!AV808+UsoSuelo!AV878+UsoSuelo!AV879)/(UsoSuelo!V736+UsoSuelo!V737+UsoSuelo!V807+UsoSuelo!V808+UsoSuelo!V878+UsoSuelo!V879),0)</f>
        <v>0</v>
      </c>
      <c r="J491" s="3196">
        <f>IFERROR((UsoSuelo!AW736+UsoSuelo!AW737+UsoSuelo!AW807+UsoSuelo!AW808+UsoSuelo!AW878+UsoSuelo!AW879)/(UsoSuelo!W736+UsoSuelo!W737+UsoSuelo!W807+UsoSuelo!W808+UsoSuelo!W878+UsoSuelo!W879),0)</f>
        <v>0</v>
      </c>
      <c r="K491" s="3196">
        <f>IFERROR((UsoSuelo!AX736+UsoSuelo!AX737+UsoSuelo!AX807+UsoSuelo!AX808+UsoSuelo!AX878+UsoSuelo!AX879)/(UsoSuelo!X736+UsoSuelo!X737+UsoSuelo!X807+UsoSuelo!X808+UsoSuelo!X878+UsoSuelo!X879),0)</f>
        <v>0</v>
      </c>
      <c r="L491" s="3196">
        <f>IFERROR((UsoSuelo!AY736+UsoSuelo!AY737+UsoSuelo!AY807+UsoSuelo!AY808+UsoSuelo!AY878+UsoSuelo!AY879)/(UsoSuelo!Y736+UsoSuelo!Y737+UsoSuelo!Y807+UsoSuelo!Y808+UsoSuelo!Y878+UsoSuelo!Y879),0)</f>
        <v>0</v>
      </c>
      <c r="M491" s="3196">
        <f>IFERROR((UsoSuelo!AZ736+UsoSuelo!AZ737+UsoSuelo!AZ807+UsoSuelo!AZ808+UsoSuelo!AZ878+UsoSuelo!AZ879)/(UsoSuelo!Z736+UsoSuelo!Z737+UsoSuelo!Z807+UsoSuelo!Z808+UsoSuelo!Z878+UsoSuelo!Z879),0)</f>
        <v>0</v>
      </c>
      <c r="N491" s="3196">
        <f>IFERROR((UsoSuelo!BA736+UsoSuelo!BA737+UsoSuelo!BA807+UsoSuelo!BA808+UsoSuelo!BA878+UsoSuelo!BA879)/(UsoSuelo!AA736+UsoSuelo!AA737+UsoSuelo!AA807+UsoSuelo!AA808+UsoSuelo!AA878+UsoSuelo!AA879),0)</f>
        <v>0</v>
      </c>
      <c r="O491" s="3196">
        <f>IFERROR((UsoSuelo!BB736+UsoSuelo!BB737+UsoSuelo!BB807+UsoSuelo!BB808+UsoSuelo!BB878+UsoSuelo!BB879)/(UsoSuelo!AB736+UsoSuelo!AB737+UsoSuelo!AB807+UsoSuelo!AB808+UsoSuelo!AB878+UsoSuelo!AB879),0)</f>
        <v>0</v>
      </c>
      <c r="P491" s="3196">
        <f>IFERROR((UsoSuelo!BC736+UsoSuelo!BC737+UsoSuelo!BC807+UsoSuelo!BC808+UsoSuelo!BC878+UsoSuelo!BC879)/(UsoSuelo!AC736+UsoSuelo!AC737+UsoSuelo!AC807+UsoSuelo!AC808+UsoSuelo!AC878+UsoSuelo!AC879),0)</f>
        <v>0</v>
      </c>
      <c r="Q491" s="3196">
        <f>IFERROR((UsoSuelo!BD736+UsoSuelo!BD737+UsoSuelo!BD807+UsoSuelo!BD808+UsoSuelo!BD878+UsoSuelo!BD879)/(UsoSuelo!AD736+UsoSuelo!AD737+UsoSuelo!AD807+UsoSuelo!AD808+UsoSuelo!AD878+UsoSuelo!AD879),0)</f>
        <v>0</v>
      </c>
      <c r="R491" s="3197">
        <f>IFERROR(((SUM(UsoSuelo!AS807:BD808)+SUM(UsoSuelo!AS807:BD808)+SUM(UsoSuelo!AS878:BD879))/(SUM(UsoSuelo!S807:AD808)+SUM(UsoSuelo!S807:AD808)+SUM(UsoSuelo!S878:AD879))),0)</f>
        <v>0</v>
      </c>
      <c r="T491" s="2970"/>
    </row>
    <row r="492" spans="1:24" s="2475" customFormat="1" ht="15.9" hidden="1" customHeight="1" thickTop="1" thickBot="1" x14ac:dyDescent="0.25">
      <c r="B492" s="2618"/>
      <c r="C492" s="3176"/>
      <c r="D492" s="2556"/>
      <c r="E492" s="2556"/>
      <c r="F492" s="718"/>
      <c r="G492" s="2556"/>
      <c r="H492" s="2556"/>
      <c r="I492" s="2556"/>
      <c r="J492" s="2556"/>
      <c r="K492" s="2556"/>
      <c r="L492" s="2556"/>
      <c r="M492" s="3153"/>
      <c r="N492" s="3153"/>
      <c r="O492" s="3153"/>
      <c r="P492" s="3153"/>
      <c r="Q492" s="3177"/>
      <c r="R492" s="3178"/>
      <c r="T492" s="2970"/>
    </row>
    <row r="493" spans="1:24" s="3081" customFormat="1" ht="15.9" hidden="1" customHeight="1" thickTop="1" x14ac:dyDescent="0.2">
      <c r="A493" s="3071">
        <v>1124</v>
      </c>
      <c r="B493" s="3179" t="s">
        <v>2059</v>
      </c>
      <c r="C493" s="3180"/>
      <c r="D493" s="3112"/>
      <c r="E493" s="3112"/>
      <c r="F493" s="3181"/>
      <c r="G493" s="3112"/>
      <c r="H493" s="3112"/>
      <c r="I493" s="3112"/>
      <c r="J493" s="3112"/>
      <c r="K493" s="3112"/>
      <c r="L493" s="3112"/>
      <c r="M493" s="3112"/>
      <c r="N493" s="3112"/>
      <c r="O493" s="3112"/>
      <c r="P493" s="3112"/>
      <c r="Q493" s="3181"/>
      <c r="R493" s="3182"/>
      <c r="T493" s="3085"/>
    </row>
    <row r="494" spans="1:24" s="2475" customFormat="1" ht="15.9" hidden="1" customHeight="1" x14ac:dyDescent="0.2">
      <c r="B494" s="3186" t="s">
        <v>1582</v>
      </c>
      <c r="C494" s="3187"/>
      <c r="D494" s="3188"/>
      <c r="E494" s="3189"/>
      <c r="F494" s="3190">
        <f t="shared" ref="F494:R494" si="193">+F489/0.82/4.4*100</f>
        <v>63.747228381374711</v>
      </c>
      <c r="G494" s="3190">
        <f t="shared" si="193"/>
        <v>63.747228381374711</v>
      </c>
      <c r="H494" s="3190">
        <f t="shared" si="193"/>
        <v>63.747228381374711</v>
      </c>
      <c r="I494" s="3190">
        <f t="shared" si="193"/>
        <v>63.747228381374711</v>
      </c>
      <c r="J494" s="3190">
        <f t="shared" si="193"/>
        <v>63.747228381374711</v>
      </c>
      <c r="K494" s="3190">
        <f t="shared" si="193"/>
        <v>63.747228381374711</v>
      </c>
      <c r="L494" s="3190">
        <f t="shared" si="193"/>
        <v>63.747228381374711</v>
      </c>
      <c r="M494" s="3190">
        <f t="shared" si="193"/>
        <v>63.747228381374711</v>
      </c>
      <c r="N494" s="3190">
        <f t="shared" si="193"/>
        <v>63.747228381374711</v>
      </c>
      <c r="O494" s="3190">
        <f t="shared" si="193"/>
        <v>63.747228381374711</v>
      </c>
      <c r="P494" s="3190">
        <f t="shared" si="193"/>
        <v>63.747228381374711</v>
      </c>
      <c r="Q494" s="3190">
        <f t="shared" si="193"/>
        <v>63.747228381374711</v>
      </c>
      <c r="R494" s="3191">
        <f t="shared" si="193"/>
        <v>0</v>
      </c>
      <c r="T494" s="2970"/>
    </row>
    <row r="495" spans="1:24" s="2475" customFormat="1" ht="15.9" hidden="1" customHeight="1" x14ac:dyDescent="0.2">
      <c r="B495" s="3186" t="s">
        <v>1455</v>
      </c>
      <c r="C495" s="3187"/>
      <c r="D495" s="3188"/>
      <c r="E495" s="3189"/>
      <c r="F495" s="3190">
        <f t="shared" ref="F495:R495" si="194">+F490/0.82/4.4*100</f>
        <v>63.747228381374711</v>
      </c>
      <c r="G495" s="3190">
        <f t="shared" si="194"/>
        <v>63.747228381374711</v>
      </c>
      <c r="H495" s="3190">
        <f t="shared" si="194"/>
        <v>63.747228381374711</v>
      </c>
      <c r="I495" s="3190">
        <f t="shared" si="194"/>
        <v>63.747228381374711</v>
      </c>
      <c r="J495" s="3190">
        <f t="shared" si="194"/>
        <v>63.747228381374711</v>
      </c>
      <c r="K495" s="3190">
        <f t="shared" si="194"/>
        <v>63.747228381374711</v>
      </c>
      <c r="L495" s="3190">
        <f t="shared" si="194"/>
        <v>63.747228381374711</v>
      </c>
      <c r="M495" s="3190">
        <f t="shared" si="194"/>
        <v>63.747228381374711</v>
      </c>
      <c r="N495" s="3190">
        <f t="shared" si="194"/>
        <v>63.747228381374711</v>
      </c>
      <c r="O495" s="3190">
        <f t="shared" si="194"/>
        <v>63.747228381374711</v>
      </c>
      <c r="P495" s="3190">
        <f t="shared" si="194"/>
        <v>63.747228381374711</v>
      </c>
      <c r="Q495" s="3190">
        <f t="shared" si="194"/>
        <v>63.747228381374711</v>
      </c>
      <c r="R495" s="3191">
        <f t="shared" si="194"/>
        <v>0</v>
      </c>
      <c r="T495" s="2970"/>
    </row>
    <row r="496" spans="1:24" s="2475" customFormat="1" ht="15.9" hidden="1" customHeight="1" x14ac:dyDescent="0.2">
      <c r="B496" s="2618"/>
      <c r="C496" s="3176"/>
      <c r="D496" s="2556"/>
      <c r="E496" s="2556"/>
      <c r="F496" s="718"/>
      <c r="G496" s="2556"/>
      <c r="H496" s="2556"/>
      <c r="I496" s="2556"/>
      <c r="J496" s="2556"/>
      <c r="K496" s="2556"/>
      <c r="L496" s="2556"/>
      <c r="M496" s="3153"/>
      <c r="N496" s="3153"/>
      <c r="O496" s="3153"/>
      <c r="P496" s="3153"/>
      <c r="Q496" s="3177"/>
      <c r="R496" s="3178"/>
      <c r="T496" s="2970"/>
    </row>
    <row r="497" spans="1:24" hidden="1" x14ac:dyDescent="0.2"/>
    <row r="498" spans="1:24" s="3204" customFormat="1" ht="15.9" hidden="1" customHeight="1" thickBot="1" x14ac:dyDescent="0.25">
      <c r="A498" s="3071">
        <v>1125</v>
      </c>
      <c r="B498" s="3198" t="s">
        <v>1493</v>
      </c>
      <c r="C498" s="3199"/>
      <c r="D498" s="3199"/>
      <c r="E498" s="3199"/>
      <c r="F498" s="3200"/>
      <c r="G498" s="3200"/>
      <c r="H498" s="3200"/>
      <c r="I498" s="3200"/>
      <c r="J498" s="3200"/>
      <c r="K498" s="3200"/>
      <c r="L498" s="3200"/>
      <c r="M498" s="3200"/>
      <c r="N498" s="3200"/>
      <c r="O498" s="3200"/>
      <c r="P498" s="3200"/>
      <c r="Q498" s="3200"/>
      <c r="R498" s="3201"/>
      <c r="S498" s="3202"/>
      <c r="T498" s="3203"/>
    </row>
    <row r="499" spans="1:24" ht="15.9" hidden="1" customHeight="1" thickTop="1" x14ac:dyDescent="0.2">
      <c r="B499" s="3205" t="s">
        <v>1965</v>
      </c>
      <c r="C499" s="3206"/>
      <c r="D499" s="3206"/>
      <c r="E499" s="3207"/>
      <c r="F499" s="3208"/>
      <c r="G499" s="3208"/>
      <c r="H499" s="3208"/>
      <c r="I499" s="3208"/>
      <c r="J499" s="3208"/>
      <c r="K499" s="3208"/>
      <c r="L499" s="3208"/>
      <c r="M499" s="3208"/>
      <c r="N499" s="3208"/>
      <c r="O499" s="3208"/>
      <c r="P499" s="3208"/>
      <c r="Q499" s="3209"/>
      <c r="R499" s="2468"/>
      <c r="S499" s="2468"/>
    </row>
    <row r="500" spans="1:24" s="2466" customFormat="1" ht="15.9" hidden="1" customHeight="1" x14ac:dyDescent="0.2">
      <c r="B500" s="3210" t="s">
        <v>88</v>
      </c>
      <c r="C500" s="3211"/>
      <c r="D500" s="3211"/>
      <c r="E500" s="3211"/>
      <c r="F500" s="3212">
        <f t="shared" ref="F500:Q500" si="195">((0.13*($F$13/1.08)^(0.67)+($F$13*0.002))/(F488/4.4*0.35+0.503))</f>
        <v>0</v>
      </c>
      <c r="G500" s="3212">
        <f t="shared" si="195"/>
        <v>0</v>
      </c>
      <c r="H500" s="3212">
        <f t="shared" si="195"/>
        <v>0</v>
      </c>
      <c r="I500" s="3212">
        <f t="shared" si="195"/>
        <v>0</v>
      </c>
      <c r="J500" s="3212">
        <f t="shared" si="195"/>
        <v>0</v>
      </c>
      <c r="K500" s="3212">
        <f t="shared" si="195"/>
        <v>0</v>
      </c>
      <c r="L500" s="3212">
        <f t="shared" si="195"/>
        <v>0</v>
      </c>
      <c r="M500" s="3212">
        <f t="shared" si="195"/>
        <v>0</v>
      </c>
      <c r="N500" s="3212">
        <f t="shared" si="195"/>
        <v>0</v>
      </c>
      <c r="O500" s="3212">
        <f t="shared" si="195"/>
        <v>0</v>
      </c>
      <c r="P500" s="3212">
        <f t="shared" si="195"/>
        <v>0</v>
      </c>
      <c r="Q500" s="3213">
        <f t="shared" si="195"/>
        <v>0</v>
      </c>
      <c r="R500" s="2468"/>
      <c r="S500" s="2468"/>
      <c r="T500" s="2469"/>
      <c r="U500" s="2468"/>
      <c r="V500" s="2468"/>
      <c r="W500" s="2468"/>
      <c r="X500" s="2468"/>
    </row>
    <row r="501" spans="1:24" ht="15.9" hidden="1" customHeight="1" x14ac:dyDescent="0.2">
      <c r="B501" s="3214" t="s">
        <v>87</v>
      </c>
      <c r="C501" s="3211"/>
      <c r="D501" s="3211"/>
      <c r="E501" s="3211"/>
      <c r="F501" s="3212">
        <f>F500*General!$C$97</f>
        <v>0</v>
      </c>
      <c r="G501" s="3212">
        <f>G500*General!$C$97</f>
        <v>0</v>
      </c>
      <c r="H501" s="3212">
        <f>H500*General!$C$97</f>
        <v>0</v>
      </c>
      <c r="I501" s="3212">
        <f>I500*General!$C$97</f>
        <v>0</v>
      </c>
      <c r="J501" s="3212">
        <f>J500*General!$C$97</f>
        <v>0</v>
      </c>
      <c r="K501" s="3212">
        <f>K500*General!$C$97</f>
        <v>0</v>
      </c>
      <c r="L501" s="3212">
        <f>L500*General!$C$97</f>
        <v>0</v>
      </c>
      <c r="M501" s="3212">
        <f>M500*General!$C$97</f>
        <v>0</v>
      </c>
      <c r="N501" s="3212">
        <f>N500*General!$C$97</f>
        <v>0</v>
      </c>
      <c r="O501" s="3212">
        <f>O500*General!$C$97</f>
        <v>0</v>
      </c>
      <c r="P501" s="3212">
        <f>P500*General!$C$97</f>
        <v>0</v>
      </c>
      <c r="Q501" s="3213">
        <f>Q500*General!$C$97</f>
        <v>0</v>
      </c>
      <c r="R501" s="2468"/>
      <c r="S501" s="2468"/>
      <c r="T501" s="2468"/>
      <c r="U501" s="2469"/>
    </row>
    <row r="502" spans="1:24" ht="15.9" hidden="1" customHeight="1" x14ac:dyDescent="0.2">
      <c r="B502" s="3214" t="s">
        <v>151</v>
      </c>
      <c r="C502" s="3211"/>
      <c r="D502" s="3211"/>
      <c r="E502" s="3211"/>
      <c r="F502" s="3215">
        <f t="shared" ref="F502:Q502" si="196">(0.361+0.097*F44*100)*(F43)/((F488)/4.4*0.35+0.42)</f>
        <v>0</v>
      </c>
      <c r="G502" s="3215">
        <f t="shared" si="196"/>
        <v>0</v>
      </c>
      <c r="H502" s="3215">
        <f t="shared" si="196"/>
        <v>0</v>
      </c>
      <c r="I502" s="3215">
        <f t="shared" si="196"/>
        <v>0</v>
      </c>
      <c r="J502" s="3215">
        <f t="shared" si="196"/>
        <v>0</v>
      </c>
      <c r="K502" s="3215">
        <f t="shared" si="196"/>
        <v>0</v>
      </c>
      <c r="L502" s="3215">
        <f t="shared" si="196"/>
        <v>0</v>
      </c>
      <c r="M502" s="3215">
        <f t="shared" si="196"/>
        <v>0</v>
      </c>
      <c r="N502" s="3215">
        <f t="shared" si="196"/>
        <v>0</v>
      </c>
      <c r="O502" s="3215">
        <f t="shared" si="196"/>
        <v>0</v>
      </c>
      <c r="P502" s="3215">
        <f t="shared" si="196"/>
        <v>0</v>
      </c>
      <c r="Q502" s="3216">
        <f t="shared" si="196"/>
        <v>0</v>
      </c>
      <c r="R502" s="2468"/>
      <c r="S502" s="2468"/>
      <c r="T502" s="2468"/>
      <c r="U502" s="2469"/>
    </row>
    <row r="503" spans="1:24" ht="15.9" hidden="1" customHeight="1" x14ac:dyDescent="0.2">
      <c r="B503" s="3217" t="s">
        <v>153</v>
      </c>
      <c r="C503" s="3211"/>
      <c r="D503" s="3211"/>
      <c r="E503" s="3211"/>
      <c r="F503" s="3212">
        <f t="shared" ref="F503:Q503" si="197">IF(F42&gt;0,F501+F500+1.9+F502,0)</f>
        <v>0</v>
      </c>
      <c r="G503" s="3212">
        <f t="shared" si="197"/>
        <v>0</v>
      </c>
      <c r="H503" s="3212">
        <f t="shared" si="197"/>
        <v>0</v>
      </c>
      <c r="I503" s="3212">
        <f t="shared" si="197"/>
        <v>0</v>
      </c>
      <c r="J503" s="3212">
        <f t="shared" si="197"/>
        <v>0</v>
      </c>
      <c r="K503" s="3212">
        <f t="shared" si="197"/>
        <v>0</v>
      </c>
      <c r="L503" s="3212">
        <f t="shared" si="197"/>
        <v>0</v>
      </c>
      <c r="M503" s="3212">
        <f t="shared" si="197"/>
        <v>0</v>
      </c>
      <c r="N503" s="3212">
        <f t="shared" si="197"/>
        <v>0</v>
      </c>
      <c r="O503" s="3212">
        <f t="shared" si="197"/>
        <v>0</v>
      </c>
      <c r="P503" s="3212">
        <f t="shared" si="197"/>
        <v>0</v>
      </c>
      <c r="Q503" s="3213">
        <f t="shared" si="197"/>
        <v>0</v>
      </c>
      <c r="R503" s="2468"/>
      <c r="S503" s="2468"/>
      <c r="T503" s="2468"/>
      <c r="U503" s="2469"/>
    </row>
    <row r="504" spans="1:24" ht="15.9" hidden="1" customHeight="1" x14ac:dyDescent="0.2">
      <c r="B504" s="3217" t="s">
        <v>152</v>
      </c>
      <c r="C504" s="3211"/>
      <c r="D504" s="3211"/>
      <c r="E504" s="3211"/>
      <c r="F504" s="3212">
        <f t="shared" ref="F504:Q504" si="198">F503/F488</f>
        <v>0</v>
      </c>
      <c r="G504" s="3212">
        <f t="shared" si="198"/>
        <v>0</v>
      </c>
      <c r="H504" s="3212">
        <f t="shared" si="198"/>
        <v>0</v>
      </c>
      <c r="I504" s="3212">
        <f t="shared" si="198"/>
        <v>0</v>
      </c>
      <c r="J504" s="3212">
        <f t="shared" si="198"/>
        <v>0</v>
      </c>
      <c r="K504" s="3212">
        <f t="shared" si="198"/>
        <v>0</v>
      </c>
      <c r="L504" s="3212">
        <f t="shared" si="198"/>
        <v>0</v>
      </c>
      <c r="M504" s="3212">
        <f t="shared" si="198"/>
        <v>0</v>
      </c>
      <c r="N504" s="3212">
        <f t="shared" si="198"/>
        <v>0</v>
      </c>
      <c r="O504" s="3212">
        <f t="shared" si="198"/>
        <v>0</v>
      </c>
      <c r="P504" s="3212">
        <f t="shared" si="198"/>
        <v>0</v>
      </c>
      <c r="Q504" s="3213">
        <f t="shared" si="198"/>
        <v>0</v>
      </c>
      <c r="R504" s="2468"/>
      <c r="S504" s="2468"/>
      <c r="T504" s="2468"/>
      <c r="U504" s="2469"/>
    </row>
    <row r="505" spans="1:24" ht="15.9" hidden="1" customHeight="1" x14ac:dyDescent="0.2">
      <c r="B505" s="1757" t="s">
        <v>413</v>
      </c>
      <c r="C505" s="3218"/>
      <c r="D505" s="3218"/>
      <c r="E505" s="3218"/>
      <c r="F505" s="3219">
        <f t="shared" ref="F505:Q505" si="199">+IF($F$13*0.5903+136+82*F43&gt;(F504*150),$F$13*0.5903+136+82*F43,F504*150)</f>
        <v>136</v>
      </c>
      <c r="G505" s="3219">
        <f t="shared" si="199"/>
        <v>136</v>
      </c>
      <c r="H505" s="3219">
        <f t="shared" si="199"/>
        <v>136</v>
      </c>
      <c r="I505" s="3219">
        <f t="shared" si="199"/>
        <v>136</v>
      </c>
      <c r="J505" s="3219">
        <f t="shared" si="199"/>
        <v>136</v>
      </c>
      <c r="K505" s="3219">
        <f t="shared" si="199"/>
        <v>136</v>
      </c>
      <c r="L505" s="3219">
        <f t="shared" si="199"/>
        <v>136</v>
      </c>
      <c r="M505" s="3219">
        <f t="shared" si="199"/>
        <v>136</v>
      </c>
      <c r="N505" s="3219">
        <f t="shared" si="199"/>
        <v>136</v>
      </c>
      <c r="O505" s="3219">
        <f t="shared" si="199"/>
        <v>136</v>
      </c>
      <c r="P505" s="3219">
        <f t="shared" si="199"/>
        <v>136</v>
      </c>
      <c r="Q505" s="1756">
        <f t="shared" si="199"/>
        <v>136</v>
      </c>
      <c r="R505" s="2468"/>
      <c r="S505" s="2468"/>
      <c r="T505" s="2468"/>
      <c r="U505" s="2469"/>
    </row>
    <row r="506" spans="1:24" ht="15.9" hidden="1" customHeight="1" thickBot="1" x14ac:dyDescent="0.25">
      <c r="B506" s="3220" t="s">
        <v>414</v>
      </c>
      <c r="C506" s="3221"/>
      <c r="D506" s="3221"/>
      <c r="E506" s="3221"/>
      <c r="F506" s="3222">
        <f t="shared" ref="F506:Q506" si="200">IF(F42&gt;0,(F505/1000/F504),0)</f>
        <v>0</v>
      </c>
      <c r="G506" s="3222">
        <f t="shared" si="200"/>
        <v>0</v>
      </c>
      <c r="H506" s="3222">
        <f t="shared" si="200"/>
        <v>0</v>
      </c>
      <c r="I506" s="3222">
        <f t="shared" si="200"/>
        <v>0</v>
      </c>
      <c r="J506" s="3222">
        <f t="shared" si="200"/>
        <v>0</v>
      </c>
      <c r="K506" s="3222">
        <f t="shared" si="200"/>
        <v>0</v>
      </c>
      <c r="L506" s="3222">
        <f t="shared" si="200"/>
        <v>0</v>
      </c>
      <c r="M506" s="3222">
        <f t="shared" si="200"/>
        <v>0</v>
      </c>
      <c r="N506" s="3222">
        <f t="shared" si="200"/>
        <v>0</v>
      </c>
      <c r="O506" s="3222">
        <f t="shared" si="200"/>
        <v>0</v>
      </c>
      <c r="P506" s="3222">
        <f t="shared" si="200"/>
        <v>0</v>
      </c>
      <c r="Q506" s="3223">
        <f t="shared" si="200"/>
        <v>0</v>
      </c>
      <c r="R506" s="2468"/>
      <c r="S506" s="2468"/>
      <c r="T506" s="2468"/>
      <c r="U506" s="2469"/>
    </row>
    <row r="507" spans="1:24" ht="15.9" hidden="1" customHeight="1" thickTop="1" thickBot="1" x14ac:dyDescent="0.25">
      <c r="B507" s="2612"/>
      <c r="C507" s="3224"/>
      <c r="D507" s="3224"/>
      <c r="E507" s="3224"/>
      <c r="F507" s="3225"/>
      <c r="G507" s="3225"/>
      <c r="H507" s="3225"/>
      <c r="I507" s="3225"/>
      <c r="J507" s="2466"/>
      <c r="K507" s="2466"/>
      <c r="L507" s="2466"/>
      <c r="M507" s="2466"/>
      <c r="N507" s="2468"/>
      <c r="O507" s="2468"/>
      <c r="P507" s="2468"/>
      <c r="Q507" s="2468"/>
      <c r="R507" s="2468"/>
      <c r="S507" s="2468"/>
      <c r="T507" s="2468"/>
      <c r="U507" s="2469"/>
    </row>
    <row r="508" spans="1:24" ht="15.9" hidden="1" customHeight="1" thickTop="1" x14ac:dyDescent="0.2">
      <c r="A508" s="3071">
        <v>1126</v>
      </c>
      <c r="B508" s="3205" t="s">
        <v>1966</v>
      </c>
      <c r="C508" s="3206"/>
      <c r="D508" s="3206"/>
      <c r="E508" s="3207"/>
      <c r="F508" s="3208"/>
      <c r="G508" s="3208"/>
      <c r="H508" s="3208"/>
      <c r="I508" s="3208"/>
      <c r="J508" s="3208"/>
      <c r="K508" s="3208"/>
      <c r="L508" s="3208"/>
      <c r="M508" s="3208"/>
      <c r="N508" s="3208"/>
      <c r="O508" s="3208"/>
      <c r="P508" s="3208"/>
      <c r="Q508" s="3209"/>
      <c r="R508" s="2468"/>
      <c r="S508" s="2468"/>
      <c r="T508" s="2468"/>
      <c r="U508" s="2469"/>
    </row>
    <row r="509" spans="1:24" ht="15.9" hidden="1" customHeight="1" x14ac:dyDescent="0.2">
      <c r="B509" s="3210" t="s">
        <v>88</v>
      </c>
      <c r="C509" s="3211"/>
      <c r="D509" s="3211"/>
      <c r="E509" s="3211"/>
      <c r="F509" s="3212">
        <f t="shared" ref="F509:Q509" si="201">((0.13*($F$70/1.08)^(0.67)+($F$70*0.002))/((F489)/4.4*0.35+0.503))</f>
        <v>0</v>
      </c>
      <c r="G509" s="3212">
        <f t="shared" si="201"/>
        <v>0</v>
      </c>
      <c r="H509" s="3212">
        <f t="shared" si="201"/>
        <v>0</v>
      </c>
      <c r="I509" s="3212">
        <f t="shared" si="201"/>
        <v>0</v>
      </c>
      <c r="J509" s="3212">
        <f t="shared" si="201"/>
        <v>0</v>
      </c>
      <c r="K509" s="3212">
        <f t="shared" si="201"/>
        <v>0</v>
      </c>
      <c r="L509" s="3212">
        <f t="shared" si="201"/>
        <v>0</v>
      </c>
      <c r="M509" s="3212">
        <f t="shared" si="201"/>
        <v>0</v>
      </c>
      <c r="N509" s="3212">
        <f t="shared" si="201"/>
        <v>0</v>
      </c>
      <c r="O509" s="3212">
        <f t="shared" si="201"/>
        <v>0</v>
      </c>
      <c r="P509" s="3212">
        <f t="shared" si="201"/>
        <v>0</v>
      </c>
      <c r="Q509" s="3213">
        <f t="shared" si="201"/>
        <v>0</v>
      </c>
      <c r="R509" s="2468"/>
      <c r="S509" s="2468"/>
      <c r="T509" s="2468"/>
      <c r="U509" s="2469"/>
    </row>
    <row r="510" spans="1:24" ht="15.9" hidden="1" customHeight="1" x14ac:dyDescent="0.2">
      <c r="B510" s="3214" t="s">
        <v>87</v>
      </c>
      <c r="C510" s="3211"/>
      <c r="D510" s="3211"/>
      <c r="E510" s="3211"/>
      <c r="F510" s="3212">
        <f>F509*General!$C$97</f>
        <v>0</v>
      </c>
      <c r="G510" s="3212">
        <f>G509*General!$C$97</f>
        <v>0</v>
      </c>
      <c r="H510" s="3212">
        <f>H509*General!$C$97</f>
        <v>0</v>
      </c>
      <c r="I510" s="3212">
        <f>I509*General!$C$97</f>
        <v>0</v>
      </c>
      <c r="J510" s="3212">
        <f>J509*General!$C$97</f>
        <v>0</v>
      </c>
      <c r="K510" s="3212">
        <f>K509*General!$C$97</f>
        <v>0</v>
      </c>
      <c r="L510" s="3212">
        <f>L509*General!$C$97</f>
        <v>0</v>
      </c>
      <c r="M510" s="3212">
        <f>M509*General!$C$97</f>
        <v>0</v>
      </c>
      <c r="N510" s="3212">
        <f>N509*General!$C$97</f>
        <v>0</v>
      </c>
      <c r="O510" s="3212">
        <f>O509*General!$C$97</f>
        <v>0</v>
      </c>
      <c r="P510" s="3212">
        <f>P509*General!$C$97</f>
        <v>0</v>
      </c>
      <c r="Q510" s="3213">
        <f>Q509*General!$C$97</f>
        <v>0</v>
      </c>
      <c r="R510" s="2468"/>
      <c r="S510" s="2468"/>
      <c r="T510" s="2468"/>
      <c r="U510" s="2469"/>
    </row>
    <row r="511" spans="1:24" ht="15.9" hidden="1" customHeight="1" x14ac:dyDescent="0.2">
      <c r="B511" s="3214" t="s">
        <v>154</v>
      </c>
      <c r="C511" s="3211"/>
      <c r="D511" s="3211"/>
      <c r="E511" s="3211"/>
      <c r="F511" s="3215">
        <f>3.4+5.8/2</f>
        <v>6.3</v>
      </c>
      <c r="G511" s="3215">
        <f t="shared" ref="G511:Q511" si="202">3.4+5.8/2</f>
        <v>6.3</v>
      </c>
      <c r="H511" s="3215">
        <f t="shared" si="202"/>
        <v>6.3</v>
      </c>
      <c r="I511" s="3215">
        <f t="shared" si="202"/>
        <v>6.3</v>
      </c>
      <c r="J511" s="3215">
        <f t="shared" si="202"/>
        <v>6.3</v>
      </c>
      <c r="K511" s="3215">
        <f t="shared" si="202"/>
        <v>6.3</v>
      </c>
      <c r="L511" s="3215">
        <f t="shared" si="202"/>
        <v>6.3</v>
      </c>
      <c r="M511" s="3215">
        <f t="shared" si="202"/>
        <v>6.3</v>
      </c>
      <c r="N511" s="3215">
        <f t="shared" si="202"/>
        <v>6.3</v>
      </c>
      <c r="O511" s="3215">
        <f t="shared" si="202"/>
        <v>6.3</v>
      </c>
      <c r="P511" s="3215">
        <f t="shared" si="202"/>
        <v>6.3</v>
      </c>
      <c r="Q511" s="3216">
        <f t="shared" si="202"/>
        <v>6.3</v>
      </c>
      <c r="R511" s="2468"/>
      <c r="S511" s="2468"/>
      <c r="T511" s="2468"/>
      <c r="U511" s="2469"/>
    </row>
    <row r="512" spans="1:24" ht="15.9" hidden="1" customHeight="1" x14ac:dyDescent="0.2">
      <c r="B512" s="1757" t="s">
        <v>153</v>
      </c>
      <c r="C512" s="3218"/>
      <c r="D512" s="3218"/>
      <c r="E512" s="3218"/>
      <c r="F512" s="3219">
        <f t="shared" ref="F512:Q512" si="203">IF(F86&gt;0,F511+F509+F510,0)</f>
        <v>0</v>
      </c>
      <c r="G512" s="3219">
        <f t="shared" si="203"/>
        <v>0</v>
      </c>
      <c r="H512" s="3219">
        <f t="shared" si="203"/>
        <v>0</v>
      </c>
      <c r="I512" s="3219">
        <f t="shared" si="203"/>
        <v>0</v>
      </c>
      <c r="J512" s="3219">
        <f t="shared" si="203"/>
        <v>0</v>
      </c>
      <c r="K512" s="3219">
        <f t="shared" si="203"/>
        <v>0</v>
      </c>
      <c r="L512" s="3219">
        <f t="shared" si="203"/>
        <v>0</v>
      </c>
      <c r="M512" s="3219">
        <f t="shared" si="203"/>
        <v>0</v>
      </c>
      <c r="N512" s="3219">
        <f t="shared" si="203"/>
        <v>0</v>
      </c>
      <c r="O512" s="3219">
        <f t="shared" si="203"/>
        <v>0</v>
      </c>
      <c r="P512" s="3219">
        <f t="shared" si="203"/>
        <v>0</v>
      </c>
      <c r="Q512" s="1756">
        <f t="shared" si="203"/>
        <v>0</v>
      </c>
      <c r="R512" s="2468"/>
      <c r="S512" s="2468"/>
      <c r="T512" s="2468"/>
      <c r="U512" s="2469"/>
    </row>
    <row r="513" spans="1:21" ht="15.9" hidden="1" customHeight="1" thickBot="1" x14ac:dyDescent="0.25">
      <c r="B513" s="3220" t="s">
        <v>152</v>
      </c>
      <c r="C513" s="3221"/>
      <c r="D513" s="3221"/>
      <c r="E513" s="3221"/>
      <c r="F513" s="3226">
        <f t="shared" ref="F513:Q513" si="204">F512/F489</f>
        <v>0</v>
      </c>
      <c r="G513" s="3226">
        <f t="shared" si="204"/>
        <v>0</v>
      </c>
      <c r="H513" s="3226">
        <f t="shared" si="204"/>
        <v>0</v>
      </c>
      <c r="I513" s="3226">
        <f t="shared" si="204"/>
        <v>0</v>
      </c>
      <c r="J513" s="3226">
        <f t="shared" si="204"/>
        <v>0</v>
      </c>
      <c r="K513" s="3226">
        <f t="shared" si="204"/>
        <v>0</v>
      </c>
      <c r="L513" s="3226">
        <f t="shared" si="204"/>
        <v>0</v>
      </c>
      <c r="M513" s="3226">
        <f t="shared" si="204"/>
        <v>0</v>
      </c>
      <c r="N513" s="3226">
        <f t="shared" si="204"/>
        <v>0</v>
      </c>
      <c r="O513" s="3226">
        <f t="shared" si="204"/>
        <v>0</v>
      </c>
      <c r="P513" s="3226">
        <f t="shared" si="204"/>
        <v>0</v>
      </c>
      <c r="Q513" s="3227">
        <f t="shared" si="204"/>
        <v>0</v>
      </c>
      <c r="R513" s="2468"/>
      <c r="S513" s="2468"/>
      <c r="T513" s="2468"/>
      <c r="U513" s="2469"/>
    </row>
    <row r="514" spans="1:21" ht="15.9" hidden="1" customHeight="1" thickTop="1" thickBot="1" x14ac:dyDescent="0.25">
      <c r="B514" s="2612"/>
      <c r="C514" s="3224"/>
      <c r="D514" s="3224"/>
      <c r="E514" s="3224"/>
      <c r="F514" s="3225"/>
      <c r="G514" s="3225"/>
      <c r="H514" s="3225"/>
      <c r="I514" s="3225"/>
      <c r="J514" s="2466"/>
      <c r="K514" s="2466"/>
      <c r="L514" s="2466"/>
      <c r="M514" s="2466"/>
      <c r="N514" s="2468"/>
      <c r="O514" s="2468"/>
      <c r="P514" s="2468"/>
      <c r="Q514" s="2468"/>
      <c r="R514" s="2468"/>
      <c r="S514" s="2468"/>
      <c r="T514" s="2468"/>
      <c r="U514" s="2469"/>
    </row>
    <row r="515" spans="1:21" ht="15.9" hidden="1" customHeight="1" thickTop="1" x14ac:dyDescent="0.2">
      <c r="A515" s="3071">
        <v>1127</v>
      </c>
      <c r="B515" s="3205" t="s">
        <v>194</v>
      </c>
      <c r="C515" s="3206"/>
      <c r="D515" s="3206"/>
      <c r="E515" s="3207"/>
      <c r="F515" s="3208"/>
      <c r="G515" s="3208"/>
      <c r="H515" s="3208"/>
      <c r="I515" s="3208"/>
      <c r="J515" s="3208"/>
      <c r="K515" s="3208"/>
      <c r="L515" s="3208"/>
      <c r="M515" s="3208"/>
      <c r="N515" s="3208"/>
      <c r="O515" s="3208"/>
      <c r="P515" s="3208"/>
      <c r="Q515" s="3209"/>
      <c r="R515" s="2468"/>
      <c r="S515" s="2468"/>
      <c r="T515" s="2468"/>
      <c r="U515" s="2469"/>
    </row>
    <row r="516" spans="1:21" ht="15.9" hidden="1" customHeight="1" x14ac:dyDescent="0.2">
      <c r="B516" s="3210" t="s">
        <v>89</v>
      </c>
      <c r="C516" s="3211"/>
      <c r="D516" s="3211"/>
      <c r="E516" s="3211"/>
      <c r="F516" s="3212">
        <f t="shared" ref="F516:Q516" si="205">+F494</f>
        <v>63.747228381374711</v>
      </c>
      <c r="G516" s="3212">
        <f t="shared" si="205"/>
        <v>63.747228381374711</v>
      </c>
      <c r="H516" s="3212">
        <f t="shared" si="205"/>
        <v>63.747228381374711</v>
      </c>
      <c r="I516" s="3212">
        <f t="shared" si="205"/>
        <v>63.747228381374711</v>
      </c>
      <c r="J516" s="3212">
        <f t="shared" si="205"/>
        <v>63.747228381374711</v>
      </c>
      <c r="K516" s="3212">
        <f t="shared" si="205"/>
        <v>63.747228381374711</v>
      </c>
      <c r="L516" s="3212">
        <f t="shared" si="205"/>
        <v>63.747228381374711</v>
      </c>
      <c r="M516" s="3212">
        <f t="shared" si="205"/>
        <v>63.747228381374711</v>
      </c>
      <c r="N516" s="3212">
        <f t="shared" si="205"/>
        <v>63.747228381374711</v>
      </c>
      <c r="O516" s="3212">
        <f t="shared" si="205"/>
        <v>63.747228381374711</v>
      </c>
      <c r="P516" s="3212">
        <f t="shared" si="205"/>
        <v>63.747228381374711</v>
      </c>
      <c r="Q516" s="3213">
        <f t="shared" si="205"/>
        <v>63.747228381374711</v>
      </c>
      <c r="R516" s="2468"/>
      <c r="S516" s="2468"/>
      <c r="T516" s="2468"/>
      <c r="U516" s="2469"/>
    </row>
    <row r="517" spans="1:21" ht="15.9" hidden="1" customHeight="1" x14ac:dyDescent="0.2">
      <c r="B517" s="3214" t="s">
        <v>150</v>
      </c>
      <c r="C517" s="3211"/>
      <c r="D517" s="3211"/>
      <c r="E517" s="3211"/>
      <c r="F517" s="3212">
        <f>IFERROR((((0.13*(F121/1.08)^(0.67)+F121*0.002)*(1+0.25))/(((F516*(18.8/4.148)*0.82/100)/(18.8/4.148)*0.35+0.503)*LN(((F516*(18.8/4.148)*0.82/100)/(18.8/4.148)*0.35+0.503)/((F516*(18.8/4.148)*0.82/100)/(18.8/4.148)*0.78+0.006))))*LN((((F516*(18.8/4.148)*0.82/100)/(18.8/4.148)*0.35+0.503)/(((F516*(18.8/4.148)*0.82/100)/(18.8/4.148)*0.35+0.503)-((F516*(18.8/4.148)*0.82/100)/(18.8/4.148)*0.78+0.006)))/((((F516*(18.8/4.148)*0.82/100)/(18.8/4.148)*0.35+0.503)/(((F516*(18.8/4.148)*0.82/100)/(18.8/4.148)*0.35+0.503)-((F516*(18.8/4.148)*0.82/100)/(18.8/4.148)*0.78+0.006)))-(((4.1+0.0332*F121-0.000009*(F121)^(2))/(4.184-0.6171*F119))*F119/((0.13*(F121/1.08)^(0.67)+F121*0.002)*(1+0.25)))-1)),0)</f>
        <v>0</v>
      </c>
      <c r="G517" s="3212">
        <f>IFERROR((((0.13*(G121/1.08)^(0.67)+G121*0.002)*(1+0.25))/(((G516*(18.8/4.148)*0.82/100)/(18.8/4.148)*0.35+0.503)*LN(((G516*(18.8/4.148)*0.82/100)/(18.8/4.148)*0.35+0.503)/((G516*(18.8/4.148)*0.82/100)/(18.8/4.148)*0.78+0.006))))*LN((((G516*(18.8/4.148)*0.82/100)/(18.8/4.148)*0.35+0.503)/(((G516*(18.8/4.148)*0.82/100)/(18.8/4.148)*0.35+0.503)-((G516*(18.8/4.148)*0.82/100)/(18.8/4.148)*0.78+0.006)))/((((G516*(18.8/4.148)*0.82/100)/(18.8/4.148)*0.35+0.503)/(((G516*(18.8/4.148)*0.82/100)/(18.8/4.148)*0.35+0.503)-((G516*(18.8/4.148)*0.82/100)/(18.8/4.148)*0.78+0.006)))-(((4.1+0.0332*G121-0.000009*(G121)^(2))/(4.184-0.6171*G119))*G119/((0.13*(G121/1.08)^(0.67)+G121*0.002)*(1+0.25)))-1)),0)</f>
        <v>0</v>
      </c>
      <c r="H517" s="3212">
        <f>IFERROR((((0.13*(H121/1.08)^(0.67)+H121*0.002)*(1+0.25))/(((H516*(18.8/4.148)*0.82/100)/(18.8/4.148)*0.35+0.503)*LN(((H516*(18.8/4.148)*0.82/100)/(18.8/4.148)*0.35+0.503)/((H516*(18.8/4.148)*0.82/100)/(18.8/4.148)*0.78+0.006))))*LN((((H516*(18.8/4.148)*0.82/100)/(18.8/4.148)*0.35+0.503)/(((H516*(18.8/4.148)*0.82/100)/(18.8/4.148)*0.35+0.503)-((H516*(18.8/4.148)*0.82/100)/(18.8/4.148)*0.78+0.006)))/((((H516*(18.8/4.148)*0.82/100)/(18.8/4.148)*0.35+0.503)/(((H516*(18.8/4.148)*0.82/100)/(18.8/4.148)*0.35+0.503)-((H516*(18.8/4.148)*0.82/100)/(18.8/4.148)*0.78+0.006)))-(((4.1+0.0332*H121-0.000009*(H121)^(2))/(4.184-0.6171*H119))*H119/((0.13*(H121/1.08)^(0.67)+H121*0.002)*(1+0.25)))-1)),0)</f>
        <v>0</v>
      </c>
      <c r="I517" s="3228"/>
      <c r="J517" s="3229"/>
      <c r="K517" s="3229"/>
      <c r="L517" s="3229"/>
      <c r="M517" s="3229"/>
      <c r="N517" s="3229"/>
      <c r="O517" s="3229"/>
      <c r="P517" s="3229"/>
      <c r="Q517" s="3230"/>
      <c r="R517" s="2468"/>
      <c r="S517" s="2468"/>
      <c r="T517" s="2468"/>
      <c r="U517" s="2469"/>
    </row>
    <row r="518" spans="1:21" ht="15.9" hidden="1" customHeight="1" x14ac:dyDescent="0.2">
      <c r="B518" s="3214" t="s">
        <v>199</v>
      </c>
      <c r="C518" s="3211"/>
      <c r="D518" s="3211"/>
      <c r="E518" s="3211"/>
      <c r="F518" s="3215">
        <v>3.4</v>
      </c>
      <c r="G518" s="3215">
        <v>5.8</v>
      </c>
      <c r="H518" s="3215">
        <v>6.8</v>
      </c>
      <c r="I518" s="3231"/>
      <c r="J518" s="3232"/>
      <c r="K518" s="3232"/>
      <c r="L518" s="3232"/>
      <c r="M518" s="3232"/>
      <c r="N518" s="3232"/>
      <c r="O518" s="3232"/>
      <c r="P518" s="3232"/>
      <c r="Q518" s="3233"/>
      <c r="R518" s="2468"/>
      <c r="S518" s="2468"/>
      <c r="T518" s="2468"/>
      <c r="U518" s="2469"/>
    </row>
    <row r="519" spans="1:21" ht="15.9" hidden="1" customHeight="1" x14ac:dyDescent="0.2">
      <c r="B519" s="1757" t="s">
        <v>565</v>
      </c>
      <c r="C519" s="3218"/>
      <c r="D519" s="3218"/>
      <c r="E519" s="3218"/>
      <c r="F519" s="3219">
        <f>+F517*(1+General!$C$97)</f>
        <v>0</v>
      </c>
      <c r="G519" s="3219">
        <f>+G517*(1+General!$C$97)</f>
        <v>0</v>
      </c>
      <c r="H519" s="3219">
        <f>+H517*(1+General!$C$97)</f>
        <v>0</v>
      </c>
      <c r="I519" s="3234"/>
      <c r="J519" s="3235"/>
      <c r="K519" s="3235"/>
      <c r="L519" s="3235"/>
      <c r="M519" s="3235"/>
      <c r="N519" s="3235"/>
      <c r="O519" s="3235"/>
      <c r="P519" s="3235"/>
      <c r="Q519" s="3236"/>
      <c r="R519" s="2468"/>
      <c r="S519" s="2468"/>
      <c r="T519" s="2468"/>
      <c r="U519" s="2469"/>
    </row>
    <row r="520" spans="1:21" ht="15.9" hidden="1" customHeight="1" x14ac:dyDescent="0.2">
      <c r="B520" s="1757" t="s">
        <v>200</v>
      </c>
      <c r="C520" s="3218"/>
      <c r="D520" s="3218"/>
      <c r="E520" s="3218"/>
      <c r="F520" s="3219">
        <f>IF(F118&gt;0,F518+F519,0)</f>
        <v>0</v>
      </c>
      <c r="G520" s="3219">
        <f>IF(G118&gt;0,G518+G519,0)</f>
        <v>0</v>
      </c>
      <c r="H520" s="3219">
        <f>IF(H118&gt;0,H518+H519,0)</f>
        <v>0</v>
      </c>
      <c r="I520" s="3234"/>
      <c r="J520" s="3235"/>
      <c r="K520" s="3235"/>
      <c r="L520" s="3235"/>
      <c r="M520" s="3235"/>
      <c r="N520" s="3235"/>
      <c r="O520" s="3235"/>
      <c r="P520" s="3235"/>
      <c r="Q520" s="3236"/>
      <c r="R520" s="2468"/>
      <c r="S520" s="2468"/>
      <c r="T520" s="2468"/>
      <c r="U520" s="2469"/>
    </row>
    <row r="521" spans="1:21" ht="15.9" hidden="1" customHeight="1" thickBot="1" x14ac:dyDescent="0.25">
      <c r="B521" s="3220" t="s">
        <v>152</v>
      </c>
      <c r="C521" s="3221"/>
      <c r="D521" s="3221"/>
      <c r="E521" s="3221"/>
      <c r="F521" s="3226">
        <f>F520/(F516*4.4*0.82/100)</f>
        <v>0</v>
      </c>
      <c r="G521" s="3226">
        <f>G520/(G516*4.4*0.82/100)</f>
        <v>0</v>
      </c>
      <c r="H521" s="3226">
        <f>H520/(H516*4.4*0.82/100)</f>
        <v>0</v>
      </c>
      <c r="I521" s="3237"/>
      <c r="J521" s="3238"/>
      <c r="K521" s="3238"/>
      <c r="L521" s="3238"/>
      <c r="M521" s="3238"/>
      <c r="N521" s="3238"/>
      <c r="O521" s="3238"/>
      <c r="P521" s="3238"/>
      <c r="Q521" s="3239"/>
      <c r="R521" s="2468"/>
      <c r="S521" s="2468"/>
      <c r="T521" s="2468"/>
      <c r="U521" s="2469"/>
    </row>
    <row r="522" spans="1:21" ht="15.9" hidden="1" customHeight="1" thickTop="1" thickBot="1" x14ac:dyDescent="0.25">
      <c r="B522" s="2678"/>
      <c r="C522" s="3211"/>
      <c r="D522" s="3211"/>
      <c r="E522" s="3211"/>
      <c r="F522" s="3211"/>
      <c r="G522" s="3211"/>
      <c r="H522" s="3211"/>
      <c r="I522" s="3211"/>
      <c r="J522" s="2466"/>
      <c r="K522" s="2466"/>
      <c r="L522" s="2466"/>
      <c r="M522" s="2466"/>
      <c r="N522" s="2468"/>
      <c r="O522" s="2468"/>
      <c r="P522" s="2468"/>
      <c r="Q522" s="2468"/>
      <c r="R522" s="2468"/>
      <c r="S522" s="2468"/>
      <c r="T522" s="2468"/>
      <c r="U522" s="2469"/>
    </row>
    <row r="523" spans="1:21" ht="15.9" hidden="1" customHeight="1" thickTop="1" x14ac:dyDescent="0.2">
      <c r="A523" s="3071">
        <v>1128</v>
      </c>
      <c r="B523" s="3205" t="s">
        <v>195</v>
      </c>
      <c r="C523" s="3206"/>
      <c r="D523" s="3206"/>
      <c r="E523" s="3207"/>
      <c r="F523" s="3208"/>
      <c r="G523" s="3208"/>
      <c r="H523" s="3208"/>
      <c r="I523" s="3208"/>
      <c r="J523" s="3208"/>
      <c r="K523" s="3208"/>
      <c r="L523" s="3208"/>
      <c r="M523" s="3208"/>
      <c r="N523" s="3208"/>
      <c r="O523" s="3208"/>
      <c r="P523" s="3208"/>
      <c r="Q523" s="3209"/>
      <c r="R523" s="2468"/>
      <c r="S523" s="2468"/>
      <c r="T523" s="2468"/>
      <c r="U523" s="2469"/>
    </row>
    <row r="524" spans="1:21" ht="15.9" hidden="1" customHeight="1" x14ac:dyDescent="0.2">
      <c r="B524" s="3210" t="s">
        <v>150</v>
      </c>
      <c r="C524" s="3211"/>
      <c r="D524" s="3211"/>
      <c r="E524" s="3211"/>
      <c r="F524" s="3212">
        <f t="shared" ref="F524:K524" si="206">IFERROR((((0.13*(F149/1.08)^(0.67)+F149*0.002)*(1+0.25))/(((F516*(18.8/4.148)*0.82/100)/(18.8/4.148)*0.35+0.503)*LN(((F516*(18.8/4.148)*0.82/100)/(18.8/4.148)*0.35+0.503)/((F516*(18.8/4.148)*0.82/100)/(18.8/4.148)*0.78+0.006))))*LN((((F516*(18.8/4.148)*0.82/100)/(18.8/4.148)*0.35+0.503)/(((F516*(18.8/4.148)*0.82/100)/(18.8/4.148)*0.35+0.503)-((F516*(18.8/4.148)*0.82/100)/(18.8/4.148)*0.78+0.006)))/((((F516*(18.8/4.148)*0.82/100)/(18.8/4.148)*0.35+0.503)/(((F516*(18.8/4.148)*0.82/100)/(18.8/4.148)*0.35+0.503)-((F516*(18.8/4.148)*0.82/100)/(18.8/4.148)*0.78+0.006)))-(((4.1+0.0332*F149-0.000009*(F149)^(2))/(4.184-0.6171*F147))*F147/((0.13*(F149/1.08)^(0.67)+F149*0.002)*(1+0.25)))-1)),0)</f>
        <v>0</v>
      </c>
      <c r="G524" s="3212">
        <f t="shared" si="206"/>
        <v>0</v>
      </c>
      <c r="H524" s="3212">
        <f t="shared" si="206"/>
        <v>0</v>
      </c>
      <c r="I524" s="3212">
        <f t="shared" si="206"/>
        <v>0</v>
      </c>
      <c r="J524" s="3212">
        <f t="shared" si="206"/>
        <v>0</v>
      </c>
      <c r="K524" s="3212">
        <f t="shared" si="206"/>
        <v>0</v>
      </c>
      <c r="L524" s="3228"/>
      <c r="M524" s="3229"/>
      <c r="N524" s="3229"/>
      <c r="O524" s="3229"/>
      <c r="P524" s="3229"/>
      <c r="Q524" s="3230"/>
      <c r="R524" s="2468"/>
      <c r="S524" s="2468"/>
      <c r="T524" s="2468"/>
      <c r="U524" s="2469"/>
    </row>
    <row r="525" spans="1:21" ht="15.9" hidden="1" customHeight="1" x14ac:dyDescent="0.2">
      <c r="B525" s="3214" t="s">
        <v>199</v>
      </c>
      <c r="C525" s="3211"/>
      <c r="D525" s="3211"/>
      <c r="E525" s="3211"/>
      <c r="F525" s="3212">
        <v>0</v>
      </c>
      <c r="G525" s="3212">
        <v>0</v>
      </c>
      <c r="H525" s="3212">
        <v>0</v>
      </c>
      <c r="I525" s="3212">
        <v>3.4</v>
      </c>
      <c r="J525" s="3212">
        <v>5.8</v>
      </c>
      <c r="K525" s="3212">
        <v>6.8</v>
      </c>
      <c r="L525" s="3240"/>
      <c r="M525" s="3241"/>
      <c r="N525" s="3241"/>
      <c r="O525" s="3241"/>
      <c r="P525" s="3241"/>
      <c r="Q525" s="3242"/>
      <c r="R525" s="2468"/>
      <c r="S525" s="2468"/>
      <c r="T525" s="2468"/>
      <c r="U525" s="2469"/>
    </row>
    <row r="526" spans="1:21" ht="15.9" hidden="1" customHeight="1" x14ac:dyDescent="0.2">
      <c r="B526" s="3214" t="s">
        <v>565</v>
      </c>
      <c r="C526" s="3211"/>
      <c r="D526" s="3211"/>
      <c r="E526" s="3211"/>
      <c r="F526" s="3215">
        <f>+F524*(1+General!$C$97)</f>
        <v>0</v>
      </c>
      <c r="G526" s="3215">
        <f>+G524*(1+General!$C$97)</f>
        <v>0</v>
      </c>
      <c r="H526" s="3215">
        <f>+H524*(1+General!$C$97)</f>
        <v>0</v>
      </c>
      <c r="I526" s="3215">
        <f>+I524*(1+General!$C$97)</f>
        <v>0</v>
      </c>
      <c r="J526" s="3215">
        <f>+J524*(1+General!$C$97)</f>
        <v>0</v>
      </c>
      <c r="K526" s="3215">
        <f>+K524*(1+General!$C$97)</f>
        <v>0</v>
      </c>
      <c r="L526" s="3232"/>
      <c r="M526" s="3232"/>
      <c r="N526" s="3232"/>
      <c r="O526" s="3232"/>
      <c r="P526" s="3232"/>
      <c r="Q526" s="3233"/>
      <c r="R526" s="2468"/>
      <c r="S526" s="2468"/>
      <c r="T526" s="2468"/>
      <c r="U526" s="2469"/>
    </row>
    <row r="527" spans="1:21" ht="15.9" hidden="1" customHeight="1" x14ac:dyDescent="0.2">
      <c r="B527" s="1757" t="s">
        <v>200</v>
      </c>
      <c r="C527" s="3218"/>
      <c r="D527" s="3218"/>
      <c r="E527" s="3218"/>
      <c r="F527" s="3219">
        <f t="shared" ref="F527:K527" si="207">IF(F146&gt;0,SUM(F525:F526),0)</f>
        <v>0</v>
      </c>
      <c r="G527" s="3219">
        <f t="shared" si="207"/>
        <v>0</v>
      </c>
      <c r="H527" s="3219">
        <f t="shared" si="207"/>
        <v>0</v>
      </c>
      <c r="I527" s="3219">
        <f t="shared" si="207"/>
        <v>0</v>
      </c>
      <c r="J527" s="3219">
        <f t="shared" si="207"/>
        <v>0</v>
      </c>
      <c r="K527" s="3219">
        <f t="shared" si="207"/>
        <v>0</v>
      </c>
      <c r="L527" s="3235"/>
      <c r="M527" s="3235"/>
      <c r="N527" s="3235"/>
      <c r="O527" s="3235"/>
      <c r="P527" s="3235"/>
      <c r="Q527" s="3236"/>
      <c r="R527" s="2468"/>
      <c r="S527" s="2468"/>
      <c r="T527" s="2468"/>
      <c r="U527" s="2469"/>
    </row>
    <row r="528" spans="1:21" ht="15.9" hidden="1" customHeight="1" thickBot="1" x14ac:dyDescent="0.25">
      <c r="B528" s="3220" t="s">
        <v>152</v>
      </c>
      <c r="C528" s="3221"/>
      <c r="D528" s="3221"/>
      <c r="E528" s="3221"/>
      <c r="F528" s="3226">
        <f t="shared" ref="F528:K528" si="208">F527/(F516*4.4*0.82/100)</f>
        <v>0</v>
      </c>
      <c r="G528" s="3226">
        <f t="shared" si="208"/>
        <v>0</v>
      </c>
      <c r="H528" s="3226">
        <f t="shared" si="208"/>
        <v>0</v>
      </c>
      <c r="I528" s="3226">
        <f t="shared" si="208"/>
        <v>0</v>
      </c>
      <c r="J528" s="3226">
        <f t="shared" si="208"/>
        <v>0</v>
      </c>
      <c r="K528" s="3226">
        <f t="shared" si="208"/>
        <v>0</v>
      </c>
      <c r="L528" s="3238"/>
      <c r="M528" s="3238"/>
      <c r="N528" s="3238"/>
      <c r="O528" s="3238"/>
      <c r="P528" s="3238"/>
      <c r="Q528" s="3239"/>
      <c r="R528" s="2468"/>
      <c r="S528" s="2468"/>
      <c r="T528" s="2468"/>
      <c r="U528" s="2469"/>
    </row>
    <row r="529" spans="1:21" ht="15.9" hidden="1" customHeight="1" thickTop="1" thickBot="1" x14ac:dyDescent="0.25">
      <c r="B529" s="3243"/>
      <c r="C529" s="3211"/>
      <c r="D529" s="3211"/>
      <c r="E529" s="3211"/>
      <c r="F529" s="3211"/>
      <c r="G529" s="3211"/>
      <c r="H529" s="3211"/>
      <c r="I529" s="3211"/>
      <c r="J529" s="2466"/>
      <c r="K529" s="2466"/>
      <c r="L529" s="2466"/>
      <c r="M529" s="2466"/>
      <c r="N529" s="2468"/>
      <c r="O529" s="2468"/>
      <c r="P529" s="2468"/>
      <c r="Q529" s="2468"/>
      <c r="R529" s="2468"/>
      <c r="S529" s="2468"/>
      <c r="T529" s="2468"/>
      <c r="U529" s="2469"/>
    </row>
    <row r="530" spans="1:21" ht="15.9" hidden="1" customHeight="1" thickTop="1" x14ac:dyDescent="0.2">
      <c r="A530" s="3071">
        <v>1129</v>
      </c>
      <c r="B530" s="3205" t="s">
        <v>196</v>
      </c>
      <c r="C530" s="3206"/>
      <c r="D530" s="3206"/>
      <c r="E530" s="3207"/>
      <c r="F530" s="3208"/>
      <c r="G530" s="3208"/>
      <c r="H530" s="3208"/>
      <c r="I530" s="3208"/>
      <c r="J530" s="3208"/>
      <c r="K530" s="3208"/>
      <c r="L530" s="3208"/>
      <c r="M530" s="3208"/>
      <c r="N530" s="3208"/>
      <c r="O530" s="3208"/>
      <c r="P530" s="3208"/>
      <c r="Q530" s="3209"/>
      <c r="R530" s="2468"/>
      <c r="S530" s="2468"/>
      <c r="T530" s="2468"/>
      <c r="U530" s="2469"/>
    </row>
    <row r="531" spans="1:21" ht="15.9" hidden="1" customHeight="1" x14ac:dyDescent="0.2">
      <c r="B531" s="3210" t="s">
        <v>150</v>
      </c>
      <c r="C531" s="3211"/>
      <c r="D531" s="3211"/>
      <c r="E531" s="3211"/>
      <c r="F531" s="3212">
        <f t="shared" ref="F531:N531" si="209">IF(F174&gt;0,(((0.13*(F177/1.08)^(0.67)+F177*0.002)*(1+0.25))/(((F516*(18.8/4.148)*0.82/100)/(18.8/4.148)*0.35+0.503)*LN(((F516*(18.8/4.148)*0.82/100)/(18.8/4.148)*0.35+0.503)/((F516*(18.8/4.148)*0.82/100)/(18.8/4.148)*0.78+0.006))))*LN((((F516*(18.8/4.148)*0.82/100)/(18.8/4.148)*0.35+0.503)/(((F516*(18.8/4.148)*0.82/100)/(18.8/4.148)*0.35+0.503)-((F516*(18.8/4.148)*0.82/100)/(18.8/4.148)*0.78+0.006)))/((((F516*(18.8/4.148)*0.82/100)/(18.8/4.148)*0.35+0.503)/(((F516*(18.8/4.148)*0.82/100)/(18.8/4.148)*0.35+0.503)-((F516*(18.8/4.148)*0.82/100)/(18.8/4.148)*0.78+0.006)))-(((4.1+0.0332*F177-0.000009*(F177)^(2))/(4.184-0.6171*F175))*F175/((0.13*(F177/1.08)^(0.67)+F177*0.002)*(1+0.25)))-1)),0)</f>
        <v>0</v>
      </c>
      <c r="G531" s="3212">
        <f t="shared" si="209"/>
        <v>0</v>
      </c>
      <c r="H531" s="3212">
        <f t="shared" si="209"/>
        <v>0</v>
      </c>
      <c r="I531" s="3212">
        <f t="shared" si="209"/>
        <v>0</v>
      </c>
      <c r="J531" s="3212">
        <f t="shared" si="209"/>
        <v>0</v>
      </c>
      <c r="K531" s="3212">
        <f t="shared" si="209"/>
        <v>0</v>
      </c>
      <c r="L531" s="3212">
        <f t="shared" si="209"/>
        <v>0</v>
      </c>
      <c r="M531" s="3212">
        <f t="shared" si="209"/>
        <v>0</v>
      </c>
      <c r="N531" s="3212">
        <f t="shared" si="209"/>
        <v>0</v>
      </c>
      <c r="O531" s="3229"/>
      <c r="P531" s="3229"/>
      <c r="Q531" s="3230"/>
      <c r="R531" s="2468"/>
      <c r="S531" s="2468"/>
      <c r="T531" s="2468"/>
      <c r="U531" s="2469"/>
    </row>
    <row r="532" spans="1:21" ht="15.9" hidden="1" customHeight="1" x14ac:dyDescent="0.2">
      <c r="B532" s="3214" t="s">
        <v>199</v>
      </c>
      <c r="C532" s="3211"/>
      <c r="D532" s="3211"/>
      <c r="E532" s="3211"/>
      <c r="F532" s="3212"/>
      <c r="G532" s="3212"/>
      <c r="H532" s="3212"/>
      <c r="I532" s="3212"/>
      <c r="J532" s="3212"/>
      <c r="K532" s="3212"/>
      <c r="L532" s="3212">
        <v>3.4</v>
      </c>
      <c r="M532" s="3212">
        <v>5.8</v>
      </c>
      <c r="N532" s="3212">
        <v>6.8</v>
      </c>
      <c r="O532" s="3241"/>
      <c r="P532" s="3241"/>
      <c r="Q532" s="3242"/>
      <c r="R532" s="2468"/>
      <c r="S532" s="2468"/>
      <c r="T532" s="2468"/>
      <c r="U532" s="2469"/>
    </row>
    <row r="533" spans="1:21" ht="15.9" hidden="1" customHeight="1" x14ac:dyDescent="0.2">
      <c r="B533" s="3214" t="s">
        <v>565</v>
      </c>
      <c r="C533" s="3211"/>
      <c r="D533" s="3211"/>
      <c r="E533" s="3211"/>
      <c r="F533" s="3215">
        <f>+F531*(1+General!$C$97)</f>
        <v>0</v>
      </c>
      <c r="G533" s="3215">
        <f>+G531*(1+General!$C$97)</f>
        <v>0</v>
      </c>
      <c r="H533" s="3215">
        <f>+H531*(1+General!$C$97)</f>
        <v>0</v>
      </c>
      <c r="I533" s="3215">
        <f>+I531*(1+General!$C$97)</f>
        <v>0</v>
      </c>
      <c r="J533" s="3215">
        <f>+J531*(1+General!$C$97)</f>
        <v>0</v>
      </c>
      <c r="K533" s="3215">
        <f>+K531*(1+General!$C$97)</f>
        <v>0</v>
      </c>
      <c r="L533" s="3215">
        <f>+L531*(1+General!$C$97)</f>
        <v>0</v>
      </c>
      <c r="M533" s="3215">
        <f>+M531*(1+General!$C$97)</f>
        <v>0</v>
      </c>
      <c r="N533" s="3215">
        <f>+N531*(1+General!$C$97)</f>
        <v>0</v>
      </c>
      <c r="O533" s="3232"/>
      <c r="P533" s="3232"/>
      <c r="Q533" s="3233"/>
      <c r="R533" s="2468"/>
      <c r="S533" s="2468"/>
      <c r="T533" s="2468"/>
      <c r="U533" s="2469"/>
    </row>
    <row r="534" spans="1:21" ht="15.9" hidden="1" customHeight="1" x14ac:dyDescent="0.2">
      <c r="B534" s="1757" t="s">
        <v>200</v>
      </c>
      <c r="C534" s="3218"/>
      <c r="D534" s="3218"/>
      <c r="E534" s="3218"/>
      <c r="F534" s="3219">
        <f>SUM(F532:F533)</f>
        <v>0</v>
      </c>
      <c r="G534" s="3219">
        <f t="shared" ref="G534:M534" si="210">SUM(G532:G533)</f>
        <v>0</v>
      </c>
      <c r="H534" s="3219">
        <f t="shared" si="210"/>
        <v>0</v>
      </c>
      <c r="I534" s="3219">
        <f t="shared" si="210"/>
        <v>0</v>
      </c>
      <c r="J534" s="3219">
        <f t="shared" si="210"/>
        <v>0</v>
      </c>
      <c r="K534" s="3219">
        <f t="shared" si="210"/>
        <v>0</v>
      </c>
      <c r="L534" s="3219">
        <f t="shared" si="210"/>
        <v>3.4</v>
      </c>
      <c r="M534" s="3219">
        <f t="shared" si="210"/>
        <v>5.8</v>
      </c>
      <c r="N534" s="3219">
        <f>SUM(N532:N533)</f>
        <v>6.8</v>
      </c>
      <c r="O534" s="3235"/>
      <c r="P534" s="3235"/>
      <c r="Q534" s="3236"/>
      <c r="R534" s="2468"/>
      <c r="S534" s="2468"/>
      <c r="T534" s="2468"/>
      <c r="U534" s="2469"/>
    </row>
    <row r="535" spans="1:21" ht="15.9" hidden="1" customHeight="1" thickBot="1" x14ac:dyDescent="0.25">
      <c r="B535" s="3220" t="s">
        <v>152</v>
      </c>
      <c r="C535" s="3221"/>
      <c r="D535" s="3221"/>
      <c r="E535" s="3221"/>
      <c r="F535" s="3226">
        <f t="shared" ref="F535:N535" si="211">F534/(F516*4.4*0.82/100)</f>
        <v>0</v>
      </c>
      <c r="G535" s="3226">
        <f t="shared" si="211"/>
        <v>0</v>
      </c>
      <c r="H535" s="3226">
        <f t="shared" si="211"/>
        <v>0</v>
      </c>
      <c r="I535" s="3226">
        <f t="shared" si="211"/>
        <v>0</v>
      </c>
      <c r="J535" s="3226">
        <f t="shared" si="211"/>
        <v>0</v>
      </c>
      <c r="K535" s="3226">
        <f t="shared" si="211"/>
        <v>0</v>
      </c>
      <c r="L535" s="3226">
        <f t="shared" si="211"/>
        <v>1.4782608695652177</v>
      </c>
      <c r="M535" s="3226">
        <f t="shared" si="211"/>
        <v>2.5217391304347831</v>
      </c>
      <c r="N535" s="3226">
        <f t="shared" si="211"/>
        <v>2.9565217391304355</v>
      </c>
      <c r="O535" s="3238"/>
      <c r="P535" s="3238"/>
      <c r="Q535" s="3239"/>
      <c r="R535" s="2468"/>
      <c r="S535" s="2468"/>
      <c r="T535" s="2468"/>
      <c r="U535" s="2469"/>
    </row>
    <row r="536" spans="1:21" ht="15.9" hidden="1" customHeight="1" thickTop="1" thickBot="1" x14ac:dyDescent="0.25">
      <c r="B536" s="2678"/>
      <c r="C536" s="3211"/>
      <c r="D536" s="3211"/>
      <c r="E536" s="3211"/>
      <c r="F536" s="3211"/>
      <c r="G536" s="3211"/>
      <c r="H536" s="3211"/>
      <c r="I536" s="3211"/>
      <c r="J536" s="2466"/>
      <c r="K536" s="2466"/>
      <c r="L536" s="2466"/>
      <c r="M536" s="2466"/>
      <c r="N536" s="2468"/>
      <c r="O536" s="2466"/>
      <c r="P536" s="2466"/>
      <c r="Q536" s="2466"/>
      <c r="R536" s="2468"/>
      <c r="S536" s="2468"/>
      <c r="T536" s="2468"/>
      <c r="U536" s="2469"/>
    </row>
    <row r="537" spans="1:21" ht="15.9" hidden="1" customHeight="1" thickTop="1" x14ac:dyDescent="0.2">
      <c r="A537" s="3071">
        <v>1130</v>
      </c>
      <c r="B537" s="3205" t="s">
        <v>197</v>
      </c>
      <c r="C537" s="3206"/>
      <c r="D537" s="3206"/>
      <c r="E537" s="3207"/>
      <c r="F537" s="3208"/>
      <c r="G537" s="3208"/>
      <c r="H537" s="3208"/>
      <c r="I537" s="3208"/>
      <c r="J537" s="3208"/>
      <c r="K537" s="3208"/>
      <c r="L537" s="3208"/>
      <c r="M537" s="3208"/>
      <c r="N537" s="3208"/>
      <c r="O537" s="3208"/>
      <c r="P537" s="3208"/>
      <c r="Q537" s="3209"/>
      <c r="R537" s="2468"/>
      <c r="S537" s="2468"/>
      <c r="T537" s="2468"/>
      <c r="U537" s="2469"/>
    </row>
    <row r="538" spans="1:21" ht="15.9" hidden="1" customHeight="1" x14ac:dyDescent="0.2">
      <c r="B538" s="3210" t="s">
        <v>150</v>
      </c>
      <c r="C538" s="3211"/>
      <c r="D538" s="3211"/>
      <c r="E538" s="3211"/>
      <c r="F538" s="3212">
        <f t="shared" ref="F538:Q538" si="212">IF(F202&gt;0,(((0.13*(F205/1.08)^(0.67)+F205*0.002)*(1+0.25))/(((F516*(18.8/4.148)*0.82/100)/(18.8/4.148)*0.35+0.503)*LN(((F516*(18.8/4.148)*0.82/100)/(18.8/4.148)*0.35+0.503)/((F516*(18.8/4.148)*0.82/100)/(18.8/4.148)*0.78+0.006))))*LN((((F516*(18.8/4.148)*0.82/100)/(18.8/4.148)*0.35+0.503)/(((F516*(18.8/4.148)*0.82/100)/(18.8/4.148)*0.35+0.503)-((F516*(18.8/4.148)*0.82/100)/(18.8/4.148)*0.78+0.006)))/((((F516*(18.8/4.148)*0.82/100)/(18.8/4.148)*0.35+0.503)/(((F516*(18.8/4.148)*0.82/100)/(18.8/4.148)*0.35+0.503)-((F516*(18.8/4.148)*0.82/100)/(18.8/4.148)*0.78+0.006)))-(((4.1+0.0332*F205-0.000009*(F205)^(2))/(4.184-0.6171*F203))*F203/((0.13*(F205/1.08)^(0.67)+F205*0.002)*(1+0.25)))-1)),0)</f>
        <v>0</v>
      </c>
      <c r="G538" s="3212">
        <f t="shared" si="212"/>
        <v>0</v>
      </c>
      <c r="H538" s="3212">
        <f t="shared" si="212"/>
        <v>0</v>
      </c>
      <c r="I538" s="3212">
        <f t="shared" si="212"/>
        <v>0</v>
      </c>
      <c r="J538" s="3212">
        <f t="shared" si="212"/>
        <v>0</v>
      </c>
      <c r="K538" s="3212">
        <f t="shared" si="212"/>
        <v>0</v>
      </c>
      <c r="L538" s="3212">
        <f t="shared" si="212"/>
        <v>0</v>
      </c>
      <c r="M538" s="3212">
        <f t="shared" si="212"/>
        <v>0</v>
      </c>
      <c r="N538" s="3212">
        <f t="shared" si="212"/>
        <v>0</v>
      </c>
      <c r="O538" s="3212">
        <f t="shared" si="212"/>
        <v>0</v>
      </c>
      <c r="P538" s="3212">
        <f t="shared" si="212"/>
        <v>0</v>
      </c>
      <c r="Q538" s="3213">
        <f t="shared" si="212"/>
        <v>0</v>
      </c>
      <c r="R538" s="2468"/>
      <c r="S538" s="2468"/>
      <c r="T538" s="2468"/>
      <c r="U538" s="2469"/>
    </row>
    <row r="539" spans="1:21" ht="15.9" hidden="1" customHeight="1" x14ac:dyDescent="0.2">
      <c r="B539" s="3214" t="s">
        <v>199</v>
      </c>
      <c r="C539" s="3211"/>
      <c r="D539" s="3211"/>
      <c r="E539" s="3211"/>
      <c r="F539" s="3212"/>
      <c r="G539" s="3212"/>
      <c r="H539" s="3212"/>
      <c r="I539" s="3212"/>
      <c r="J539" s="3212"/>
      <c r="K539" s="3212"/>
      <c r="L539" s="3212"/>
      <c r="M539" s="3212"/>
      <c r="N539" s="3212"/>
      <c r="O539" s="3212">
        <v>3.4</v>
      </c>
      <c r="P539" s="3212">
        <v>5.8</v>
      </c>
      <c r="Q539" s="3213">
        <v>6.8</v>
      </c>
      <c r="R539" s="2468"/>
      <c r="S539" s="2468"/>
      <c r="T539" s="2468"/>
      <c r="U539" s="2469"/>
    </row>
    <row r="540" spans="1:21" ht="15.9" hidden="1" customHeight="1" x14ac:dyDescent="0.2">
      <c r="B540" s="3214" t="s">
        <v>565</v>
      </c>
      <c r="C540" s="3211"/>
      <c r="D540" s="3211"/>
      <c r="E540" s="3211"/>
      <c r="F540" s="3215">
        <f>+F538*(1+General!$C$97)</f>
        <v>0</v>
      </c>
      <c r="G540" s="3215">
        <f>+G538*(1+General!$C$97)</f>
        <v>0</v>
      </c>
      <c r="H540" s="3215">
        <f>+H538*(1+General!$C$97)</f>
        <v>0</v>
      </c>
      <c r="I540" s="3215">
        <f>+I538*(1+General!$C$97)</f>
        <v>0</v>
      </c>
      <c r="J540" s="3215">
        <f>+J538*(1+General!$C$97)</f>
        <v>0</v>
      </c>
      <c r="K540" s="3215">
        <f>+K538*(1+General!$C$97)</f>
        <v>0</v>
      </c>
      <c r="L540" s="3215">
        <f>+L538*(1+General!$C$97)</f>
        <v>0</v>
      </c>
      <c r="M540" s="3215">
        <f>+M538*(1+General!$C$97)</f>
        <v>0</v>
      </c>
      <c r="N540" s="3215">
        <f>+N538*(1+General!$C$97)</f>
        <v>0</v>
      </c>
      <c r="O540" s="3215">
        <f>+O538*(1+General!$C$97)</f>
        <v>0</v>
      </c>
      <c r="P540" s="3215">
        <f>+P538*(1+General!$C$97)</f>
        <v>0</v>
      </c>
      <c r="Q540" s="3216">
        <f>+Q538*(1+General!$C$97)</f>
        <v>0</v>
      </c>
      <c r="R540" s="2468"/>
      <c r="S540" s="2468"/>
      <c r="T540" s="2468"/>
      <c r="U540" s="2469"/>
    </row>
    <row r="541" spans="1:21" ht="15.9" hidden="1" customHeight="1" x14ac:dyDescent="0.2">
      <c r="B541" s="1757" t="s">
        <v>238</v>
      </c>
      <c r="C541" s="3218"/>
      <c r="D541" s="3218"/>
      <c r="E541" s="3218"/>
      <c r="F541" s="3219">
        <f>SUM(F539:F540)</f>
        <v>0</v>
      </c>
      <c r="G541" s="3219">
        <f t="shared" ref="G541:P541" si="213">SUM(G539:G540)</f>
        <v>0</v>
      </c>
      <c r="H541" s="3219">
        <f t="shared" si="213"/>
        <v>0</v>
      </c>
      <c r="I541" s="3219">
        <f t="shared" si="213"/>
        <v>0</v>
      </c>
      <c r="J541" s="3219">
        <f t="shared" si="213"/>
        <v>0</v>
      </c>
      <c r="K541" s="3219">
        <f t="shared" si="213"/>
        <v>0</v>
      </c>
      <c r="L541" s="3219">
        <f t="shared" si="213"/>
        <v>0</v>
      </c>
      <c r="M541" s="3219">
        <f t="shared" si="213"/>
        <v>0</v>
      </c>
      <c r="N541" s="3219">
        <f t="shared" si="213"/>
        <v>0</v>
      </c>
      <c r="O541" s="3219">
        <f t="shared" si="213"/>
        <v>3.4</v>
      </c>
      <c r="P541" s="3219">
        <f t="shared" si="213"/>
        <v>5.8</v>
      </c>
      <c r="Q541" s="1756">
        <f>SUM(Q539:Q540)</f>
        <v>6.8</v>
      </c>
      <c r="R541" s="2468"/>
      <c r="S541" s="2468"/>
      <c r="T541" s="2468"/>
      <c r="U541" s="2469"/>
    </row>
    <row r="542" spans="1:21" ht="15.9" hidden="1" customHeight="1" thickBot="1" x14ac:dyDescent="0.25">
      <c r="B542" s="3220" t="s">
        <v>152</v>
      </c>
      <c r="C542" s="3221"/>
      <c r="D542" s="3221"/>
      <c r="E542" s="3221"/>
      <c r="F542" s="3226">
        <f t="shared" ref="F542:Q542" si="214">F541/(F516*4.4*0.82/100)</f>
        <v>0</v>
      </c>
      <c r="G542" s="3226">
        <f t="shared" si="214"/>
        <v>0</v>
      </c>
      <c r="H542" s="3226">
        <f t="shared" si="214"/>
        <v>0</v>
      </c>
      <c r="I542" s="3226">
        <f t="shared" si="214"/>
        <v>0</v>
      </c>
      <c r="J542" s="3226">
        <f t="shared" si="214"/>
        <v>0</v>
      </c>
      <c r="K542" s="3226">
        <f t="shared" si="214"/>
        <v>0</v>
      </c>
      <c r="L542" s="3226">
        <f t="shared" si="214"/>
        <v>0</v>
      </c>
      <c r="M542" s="3226">
        <f t="shared" si="214"/>
        <v>0</v>
      </c>
      <c r="N542" s="3226">
        <f t="shared" si="214"/>
        <v>0</v>
      </c>
      <c r="O542" s="3226">
        <f t="shared" si="214"/>
        <v>1.4782608695652177</v>
      </c>
      <c r="P542" s="3226">
        <f t="shared" si="214"/>
        <v>2.5217391304347831</v>
      </c>
      <c r="Q542" s="3227">
        <f t="shared" si="214"/>
        <v>2.9565217391304355</v>
      </c>
      <c r="R542" s="2468"/>
      <c r="S542" s="2468"/>
      <c r="T542" s="2468"/>
      <c r="U542" s="2469"/>
    </row>
    <row r="543" spans="1:21" ht="15.9" hidden="1" customHeight="1" thickTop="1" thickBot="1" x14ac:dyDescent="0.25">
      <c r="B543" s="2678"/>
      <c r="C543" s="3211"/>
      <c r="D543" s="3211"/>
      <c r="E543" s="3211"/>
      <c r="F543" s="3211"/>
      <c r="G543" s="3211"/>
      <c r="H543" s="3211"/>
      <c r="I543" s="3211"/>
      <c r="J543" s="2466"/>
      <c r="K543" s="2466"/>
      <c r="L543" s="2466"/>
      <c r="M543" s="2466"/>
      <c r="N543" s="2468"/>
      <c r="O543" s="2468"/>
      <c r="P543" s="2468"/>
      <c r="Q543" s="2468"/>
      <c r="R543" s="2468"/>
      <c r="S543" s="2468"/>
      <c r="T543" s="2468"/>
      <c r="U543" s="2469"/>
    </row>
    <row r="544" spans="1:21" ht="15.9" hidden="1" customHeight="1" thickTop="1" x14ac:dyDescent="0.2">
      <c r="A544" s="3071">
        <v>1131</v>
      </c>
      <c r="B544" s="3205" t="s">
        <v>198</v>
      </c>
      <c r="C544" s="3206"/>
      <c r="D544" s="3206"/>
      <c r="E544" s="3207"/>
      <c r="F544" s="3208"/>
      <c r="G544" s="3208"/>
      <c r="H544" s="3208"/>
      <c r="I544" s="3208"/>
      <c r="J544" s="3208"/>
      <c r="K544" s="3208"/>
      <c r="L544" s="3208"/>
      <c r="M544" s="3208"/>
      <c r="N544" s="3208"/>
      <c r="O544" s="3208"/>
      <c r="P544" s="3208"/>
      <c r="Q544" s="3209"/>
      <c r="R544" s="2468"/>
      <c r="S544" s="2468"/>
      <c r="T544" s="2468"/>
      <c r="U544" s="2469"/>
    </row>
    <row r="545" spans="1:21" ht="15.9" hidden="1" customHeight="1" x14ac:dyDescent="0.2">
      <c r="B545" s="3210" t="s">
        <v>150</v>
      </c>
      <c r="C545" s="3211"/>
      <c r="D545" s="3211"/>
      <c r="E545" s="3211"/>
      <c r="F545" s="3212">
        <f t="shared" ref="F545:Q545" si="215">IF(F229&gt;0,(((0.13*(F232/1.08)^(0.67)+F232*0.002)*(1+0.25))/(((F516*(18.8/4.148)*0.82/100)/(18.8/4.148)*0.35+0.503)*LN(((F516*(18.8/4.148)*0.82/100)/(18.8/4.148)*0.35+0.503)/((F516*(18.8/4.148)*0.82/100)/(18.8/4.148)*0.78+0.006))))*LN((((F516*(18.8/4.148)*0.82/100)/(18.8/4.148)*0.35+0.503)/(((F516*(18.8/4.148)*0.82/100)/(18.8/4.148)*0.35+0.503)-((F516*(18.8/4.148)*0.82/100)/(18.8/4.148)*0.78+0.006)))/((((F516*(18.8/4.148)*0.82/100)/(18.8/4.148)*0.35+0.503)/(((F516*(18.8/4.148)*0.82/100)/(18.8/4.148)*0.35+0.503)-((F516*(18.8/4.148)*0.82/100)/(18.8/4.148)*0.78+0.006)))-(((4.1+0.0332*F232-0.000009*(F232)^(2))/(4.184-0.6171*F230))*F230/((0.13*(F232/1.08)^(0.67)+F232*0.002)*(1+0.25)))-1)),0)</f>
        <v>0</v>
      </c>
      <c r="G545" s="3212">
        <f t="shared" si="215"/>
        <v>0</v>
      </c>
      <c r="H545" s="3212">
        <f t="shared" si="215"/>
        <v>0</v>
      </c>
      <c r="I545" s="3212">
        <f t="shared" si="215"/>
        <v>0</v>
      </c>
      <c r="J545" s="3212">
        <f t="shared" si="215"/>
        <v>0</v>
      </c>
      <c r="K545" s="3212">
        <f t="shared" si="215"/>
        <v>0</v>
      </c>
      <c r="L545" s="3212">
        <f t="shared" si="215"/>
        <v>0</v>
      </c>
      <c r="M545" s="3212">
        <f t="shared" si="215"/>
        <v>0</v>
      </c>
      <c r="N545" s="3212">
        <f t="shared" si="215"/>
        <v>0</v>
      </c>
      <c r="O545" s="3212">
        <f t="shared" si="215"/>
        <v>0</v>
      </c>
      <c r="P545" s="3212">
        <f t="shared" si="215"/>
        <v>0</v>
      </c>
      <c r="Q545" s="3213">
        <f t="shared" si="215"/>
        <v>0</v>
      </c>
      <c r="R545" s="2468"/>
      <c r="S545" s="2468"/>
      <c r="T545" s="2468"/>
      <c r="U545" s="2469"/>
    </row>
    <row r="546" spans="1:21" ht="15.9" hidden="1" customHeight="1" x14ac:dyDescent="0.2">
      <c r="B546" s="1757" t="s">
        <v>566</v>
      </c>
      <c r="C546" s="3218"/>
      <c r="D546" s="3218"/>
      <c r="E546" s="3218"/>
      <c r="F546" s="3219">
        <f>+F545*(1+General!$C$97)</f>
        <v>0</v>
      </c>
      <c r="G546" s="3219">
        <f>+G545*(1+General!$C$97)</f>
        <v>0</v>
      </c>
      <c r="H546" s="3219">
        <f>+H545*(1+General!$C$97)</f>
        <v>0</v>
      </c>
      <c r="I546" s="3219">
        <f>+I545*(1+General!$C$97)</f>
        <v>0</v>
      </c>
      <c r="J546" s="3219">
        <f>+J545*(1+General!$C$97)</f>
        <v>0</v>
      </c>
      <c r="K546" s="3219">
        <f>+K545*(1+General!$C$97)</f>
        <v>0</v>
      </c>
      <c r="L546" s="3219">
        <f>+L545*(1+General!$C$97)</f>
        <v>0</v>
      </c>
      <c r="M546" s="3219">
        <f>+M545*(1+General!$C$97)</f>
        <v>0</v>
      </c>
      <c r="N546" s="3219">
        <f>+N545*(1+General!$C$97)</f>
        <v>0</v>
      </c>
      <c r="O546" s="3219">
        <f>+O545*(1+General!$C$97)</f>
        <v>0</v>
      </c>
      <c r="P546" s="3219">
        <f>+P545*(1+General!$C$97)</f>
        <v>0</v>
      </c>
      <c r="Q546" s="1756">
        <f>+Q545*(1+General!$C$97)</f>
        <v>0</v>
      </c>
      <c r="R546" s="2468"/>
      <c r="S546" s="2468"/>
      <c r="T546" s="2468"/>
      <c r="U546" s="2469"/>
    </row>
    <row r="547" spans="1:21" ht="15.9" hidden="1" customHeight="1" thickBot="1" x14ac:dyDescent="0.25">
      <c r="B547" s="3220" t="s">
        <v>152</v>
      </c>
      <c r="C547" s="3221"/>
      <c r="D547" s="3221"/>
      <c r="E547" s="3221"/>
      <c r="F547" s="3226">
        <f>F546/(F516*4.4*0.82/100)</f>
        <v>0</v>
      </c>
      <c r="G547" s="3226">
        <f t="shared" ref="G547:Q547" si="216">G546/(G516*4.4*0.82/100)</f>
        <v>0</v>
      </c>
      <c r="H547" s="3226">
        <f t="shared" si="216"/>
        <v>0</v>
      </c>
      <c r="I547" s="3226">
        <f t="shared" si="216"/>
        <v>0</v>
      </c>
      <c r="J547" s="3226">
        <f t="shared" si="216"/>
        <v>0</v>
      </c>
      <c r="K547" s="3226">
        <f t="shared" si="216"/>
        <v>0</v>
      </c>
      <c r="L547" s="3226">
        <f t="shared" si="216"/>
        <v>0</v>
      </c>
      <c r="M547" s="3226">
        <f t="shared" si="216"/>
        <v>0</v>
      </c>
      <c r="N547" s="3226">
        <f t="shared" si="216"/>
        <v>0</v>
      </c>
      <c r="O547" s="3226">
        <f t="shared" si="216"/>
        <v>0</v>
      </c>
      <c r="P547" s="3226">
        <f t="shared" si="216"/>
        <v>0</v>
      </c>
      <c r="Q547" s="3227">
        <f t="shared" si="216"/>
        <v>0</v>
      </c>
      <c r="R547" s="2468"/>
      <c r="S547" s="2468"/>
      <c r="T547" s="2468"/>
      <c r="U547" s="2469"/>
    </row>
    <row r="548" spans="1:21" ht="15.9" hidden="1" customHeight="1" thickTop="1" thickBot="1" x14ac:dyDescent="0.25">
      <c r="B548" s="2678"/>
      <c r="C548" s="3211"/>
      <c r="D548" s="3211"/>
      <c r="E548" s="3211"/>
      <c r="F548" s="3211"/>
      <c r="H548" s="3211"/>
      <c r="I548" s="3211"/>
      <c r="J548" s="2466"/>
      <c r="K548" s="2466"/>
      <c r="L548" s="2466"/>
      <c r="M548" s="2466"/>
      <c r="N548" s="2468"/>
      <c r="O548" s="2468"/>
      <c r="P548" s="2468"/>
      <c r="Q548" s="2468"/>
      <c r="R548" s="2468"/>
      <c r="S548" s="2468"/>
      <c r="T548" s="2468"/>
      <c r="U548" s="2469"/>
    </row>
    <row r="549" spans="1:21" ht="15.9" hidden="1" customHeight="1" thickTop="1" x14ac:dyDescent="0.2">
      <c r="A549" s="3071">
        <v>1132</v>
      </c>
      <c r="B549" s="3205" t="s">
        <v>398</v>
      </c>
      <c r="C549" s="3206"/>
      <c r="D549" s="3206"/>
      <c r="E549" s="3207"/>
      <c r="F549" s="3208"/>
      <c r="G549" s="3208"/>
      <c r="H549" s="3208"/>
      <c r="I549" s="3208"/>
      <c r="J549" s="3208"/>
      <c r="K549" s="3208"/>
      <c r="L549" s="3208"/>
      <c r="M549" s="3208"/>
      <c r="N549" s="3208"/>
      <c r="O549" s="3208"/>
      <c r="P549" s="3208"/>
      <c r="Q549" s="3209"/>
      <c r="R549" s="2468"/>
      <c r="S549" s="2468"/>
      <c r="T549" s="2468"/>
      <c r="U549" s="2469"/>
    </row>
    <row r="550" spans="1:21" ht="15.9" hidden="1" customHeight="1" x14ac:dyDescent="0.2">
      <c r="B550" s="3210" t="s">
        <v>150</v>
      </c>
      <c r="C550" s="3211"/>
      <c r="D550" s="3211"/>
      <c r="E550" s="3211"/>
      <c r="F550" s="3212">
        <f t="shared" ref="F550:Q550" si="217">IFERROR((IF(F255&gt;0,(((0.13*(F258/1.08)^(0.67)+F258*0.002)*(1+0.25))/(((F516*(18.8/4.148)*0.82/100)/(18.8/4.148)*0.35+0.503)*LN(((F516*(18.8/4.148)*0.82/100)/(18.8/4.148)*0.35+0.503)/((F516*(18.8/4.148)*0.82/100)/(18.8/4.148)*0.78+0.006))))*LN((((F516*(18.8/4.148)*0.82/100)/(18.8/4.148)*0.35+0.503)/(((F516*(18.8/4.148)*0.82/100)/(18.8/4.148)*0.35+0.503)-((F516*(18.8/4.148)*0.82/100)/(18.8/4.148)*0.78+0.006)))/((((F516*(18.8/4.148)*0.82/100)/(18.8/4.148)*0.35+0.503)/(((F516*(18.8/4.148)*0.82/100)/(18.8/4.148)*0.35+0.503)-((F516*(18.8/4.148)*0.82/100)/(18.8/4.148)*0.78+0.006)))-(((4.1+0.0332*F258-0.000009*(F258)^(2))/(4.184-0.6171*F256))*F256/((0.13*(F258/1.08)^(0.67)+F258*0.002)*(1+0.25)))-1)),0)),0)</f>
        <v>0</v>
      </c>
      <c r="G550" s="3212">
        <f t="shared" si="217"/>
        <v>0</v>
      </c>
      <c r="H550" s="3212">
        <f t="shared" si="217"/>
        <v>0</v>
      </c>
      <c r="I550" s="3212">
        <f t="shared" si="217"/>
        <v>0</v>
      </c>
      <c r="J550" s="3212">
        <f t="shared" si="217"/>
        <v>0</v>
      </c>
      <c r="K550" s="3212">
        <f t="shared" si="217"/>
        <v>0</v>
      </c>
      <c r="L550" s="3212">
        <f t="shared" si="217"/>
        <v>0</v>
      </c>
      <c r="M550" s="3212">
        <f t="shared" si="217"/>
        <v>0</v>
      </c>
      <c r="N550" s="3212">
        <f t="shared" si="217"/>
        <v>0</v>
      </c>
      <c r="O550" s="3212">
        <f t="shared" si="217"/>
        <v>0</v>
      </c>
      <c r="P550" s="3212">
        <f t="shared" si="217"/>
        <v>0</v>
      </c>
      <c r="Q550" s="3212">
        <f t="shared" si="217"/>
        <v>0</v>
      </c>
      <c r="R550" s="2468"/>
      <c r="S550" s="2468"/>
      <c r="T550" s="2468"/>
      <c r="U550" s="2469"/>
    </row>
    <row r="551" spans="1:21" ht="15.9" hidden="1" customHeight="1" thickBot="1" x14ac:dyDescent="0.25">
      <c r="B551" s="3220" t="s">
        <v>152</v>
      </c>
      <c r="C551" s="3221"/>
      <c r="D551" s="3221"/>
      <c r="E551" s="3221"/>
      <c r="F551" s="3226">
        <f>F550/(F516*4.4*0.82/100)</f>
        <v>0</v>
      </c>
      <c r="G551" s="3226">
        <f t="shared" ref="G551:Q551" si="218">G550/(G516*4.4*0.82/100)</f>
        <v>0</v>
      </c>
      <c r="H551" s="3226">
        <f t="shared" si="218"/>
        <v>0</v>
      </c>
      <c r="I551" s="3226">
        <f t="shared" si="218"/>
        <v>0</v>
      </c>
      <c r="J551" s="3226">
        <f t="shared" si="218"/>
        <v>0</v>
      </c>
      <c r="K551" s="3226">
        <f t="shared" si="218"/>
        <v>0</v>
      </c>
      <c r="L551" s="3226">
        <f t="shared" si="218"/>
        <v>0</v>
      </c>
      <c r="M551" s="3226">
        <f t="shared" si="218"/>
        <v>0</v>
      </c>
      <c r="N551" s="3226">
        <f t="shared" si="218"/>
        <v>0</v>
      </c>
      <c r="O551" s="3226">
        <f t="shared" si="218"/>
        <v>0</v>
      </c>
      <c r="P551" s="3226">
        <f t="shared" si="218"/>
        <v>0</v>
      </c>
      <c r="Q551" s="3227">
        <f t="shared" si="218"/>
        <v>0</v>
      </c>
      <c r="R551" s="2468"/>
      <c r="S551" s="2468"/>
      <c r="T551" s="2468"/>
      <c r="U551" s="2469"/>
    </row>
    <row r="552" spans="1:21" ht="15.9" hidden="1" customHeight="1" thickTop="1" thickBot="1" x14ac:dyDescent="0.25">
      <c r="B552" s="2612"/>
      <c r="C552" s="3211"/>
      <c r="D552" s="3211"/>
      <c r="E552" s="3211"/>
      <c r="F552" s="3244"/>
      <c r="G552" s="3244"/>
      <c r="H552" s="3244"/>
      <c r="I552" s="3244"/>
      <c r="J552" s="3244"/>
      <c r="K552" s="3244"/>
      <c r="L552" s="3244"/>
      <c r="M552" s="3244"/>
      <c r="N552" s="3244"/>
      <c r="O552" s="3244"/>
      <c r="P552" s="3244"/>
      <c r="Q552" s="3244"/>
      <c r="R552" s="2468"/>
      <c r="S552" s="2468"/>
      <c r="T552" s="2468"/>
      <c r="U552" s="2469"/>
    </row>
    <row r="553" spans="1:21" ht="15.9" hidden="1" customHeight="1" thickTop="1" x14ac:dyDescent="0.2">
      <c r="A553" s="3071">
        <v>1133</v>
      </c>
      <c r="B553" s="3205" t="str">
        <f>+B330</f>
        <v>Toros</v>
      </c>
      <c r="C553" s="3206"/>
      <c r="D553" s="3206"/>
      <c r="E553" s="3207"/>
      <c r="F553" s="3208"/>
      <c r="G553" s="3208"/>
      <c r="H553" s="3208"/>
      <c r="I553" s="3208"/>
      <c r="J553" s="3208"/>
      <c r="K553" s="3208"/>
      <c r="L553" s="3208"/>
      <c r="M553" s="3208"/>
      <c r="N553" s="3208"/>
      <c r="O553" s="3208"/>
      <c r="P553" s="3208"/>
      <c r="Q553" s="3209"/>
      <c r="R553" s="2468"/>
      <c r="S553" s="2468"/>
      <c r="T553" s="2468"/>
      <c r="U553" s="2469"/>
    </row>
    <row r="554" spans="1:21" ht="15.9" hidden="1" customHeight="1" x14ac:dyDescent="0.2">
      <c r="B554" s="3210" t="s">
        <v>234</v>
      </c>
      <c r="C554" s="3211"/>
      <c r="D554" s="3211"/>
      <c r="E554" s="3211"/>
      <c r="F554" s="3212">
        <f t="shared" ref="F554:Q554" si="219">(0.077*F349^0.75)/0.61</f>
        <v>0</v>
      </c>
      <c r="G554" s="3212">
        <f t="shared" si="219"/>
        <v>0</v>
      </c>
      <c r="H554" s="3212">
        <f t="shared" si="219"/>
        <v>0</v>
      </c>
      <c r="I554" s="3212">
        <f t="shared" si="219"/>
        <v>0</v>
      </c>
      <c r="J554" s="3212">
        <f t="shared" si="219"/>
        <v>0</v>
      </c>
      <c r="K554" s="3212">
        <f t="shared" si="219"/>
        <v>0</v>
      </c>
      <c r="L554" s="3212">
        <f t="shared" si="219"/>
        <v>0</v>
      </c>
      <c r="M554" s="3212">
        <f t="shared" si="219"/>
        <v>0</v>
      </c>
      <c r="N554" s="3212">
        <f t="shared" si="219"/>
        <v>0</v>
      </c>
      <c r="O554" s="3212">
        <f t="shared" si="219"/>
        <v>0</v>
      </c>
      <c r="P554" s="3212">
        <f t="shared" si="219"/>
        <v>0</v>
      </c>
      <c r="Q554" s="3213">
        <f t="shared" si="219"/>
        <v>0</v>
      </c>
      <c r="R554" s="2468"/>
      <c r="S554" s="2468"/>
      <c r="T554" s="2468"/>
      <c r="U554" s="2469"/>
    </row>
    <row r="555" spans="1:21" ht="15.9" hidden="1" customHeight="1" x14ac:dyDescent="0.2">
      <c r="B555" s="3210" t="s">
        <v>566</v>
      </c>
      <c r="C555" s="3211"/>
      <c r="D555" s="3211"/>
      <c r="E555" s="3211"/>
      <c r="F555" s="3212">
        <f>F554*General!$C$97</f>
        <v>0</v>
      </c>
      <c r="G555" s="3212">
        <f>G554*General!$C$97</f>
        <v>0</v>
      </c>
      <c r="H555" s="3212">
        <f>H554*General!$C$97</f>
        <v>0</v>
      </c>
      <c r="I555" s="3212">
        <f>I554*General!$C$97</f>
        <v>0</v>
      </c>
      <c r="J555" s="3212">
        <f>J554*General!$C$97</f>
        <v>0</v>
      </c>
      <c r="K555" s="3212">
        <f>K554*General!$C$97</f>
        <v>0</v>
      </c>
      <c r="L555" s="3212">
        <f>L554*General!$C$97</f>
        <v>0</v>
      </c>
      <c r="M555" s="3212">
        <f>M554*General!$C$97</f>
        <v>0</v>
      </c>
      <c r="N555" s="3212">
        <f>N554*General!$C$97</f>
        <v>0</v>
      </c>
      <c r="O555" s="3212">
        <f>O554*General!$C$97</f>
        <v>0</v>
      </c>
      <c r="P555" s="3212">
        <f>P554*General!$C$97</f>
        <v>0</v>
      </c>
      <c r="Q555" s="3213">
        <f>Q554*General!$C$97</f>
        <v>0</v>
      </c>
      <c r="R555" s="2468"/>
      <c r="S555" s="2468"/>
      <c r="T555" s="2468"/>
      <c r="U555" s="2469"/>
    </row>
    <row r="556" spans="1:21" ht="15.9" hidden="1" customHeight="1" x14ac:dyDescent="0.2">
      <c r="B556" s="3210" t="s">
        <v>235</v>
      </c>
      <c r="C556" s="3211"/>
      <c r="D556" s="3211"/>
      <c r="E556" s="3211"/>
      <c r="F556" s="3212">
        <f t="shared" ref="F556:Q556" si="220">0.0557*F349^0.75*F347^1.097</f>
        <v>0</v>
      </c>
      <c r="G556" s="3212">
        <f t="shared" si="220"/>
        <v>0</v>
      </c>
      <c r="H556" s="3212">
        <f t="shared" si="220"/>
        <v>0</v>
      </c>
      <c r="I556" s="3212">
        <f t="shared" si="220"/>
        <v>0</v>
      </c>
      <c r="J556" s="3212">
        <f t="shared" si="220"/>
        <v>0</v>
      </c>
      <c r="K556" s="3212">
        <f t="shared" si="220"/>
        <v>0</v>
      </c>
      <c r="L556" s="3212">
        <f t="shared" si="220"/>
        <v>0</v>
      </c>
      <c r="M556" s="3212">
        <f t="shared" si="220"/>
        <v>0</v>
      </c>
      <c r="N556" s="3212">
        <f t="shared" si="220"/>
        <v>0</v>
      </c>
      <c r="O556" s="3212">
        <f t="shared" si="220"/>
        <v>0</v>
      </c>
      <c r="P556" s="3212">
        <f t="shared" si="220"/>
        <v>0</v>
      </c>
      <c r="Q556" s="3213">
        <f t="shared" si="220"/>
        <v>0</v>
      </c>
      <c r="R556" s="2468"/>
      <c r="S556" s="2468"/>
      <c r="T556" s="2468"/>
      <c r="U556" s="2469"/>
    </row>
    <row r="557" spans="1:21" ht="15.9" hidden="1" customHeight="1" x14ac:dyDescent="0.2">
      <c r="B557" s="3210" t="s">
        <v>236</v>
      </c>
      <c r="C557" s="3211"/>
      <c r="D557" s="3211"/>
      <c r="E557" s="3211"/>
      <c r="F557" s="3212">
        <f>SUM(F554:F556)</f>
        <v>0</v>
      </c>
      <c r="G557" s="3212">
        <f t="shared" ref="G557:Q557" si="221">SUM(G554:G556)</f>
        <v>0</v>
      </c>
      <c r="H557" s="3212">
        <f t="shared" si="221"/>
        <v>0</v>
      </c>
      <c r="I557" s="3212">
        <f t="shared" si="221"/>
        <v>0</v>
      </c>
      <c r="J557" s="3212">
        <f t="shared" si="221"/>
        <v>0</v>
      </c>
      <c r="K557" s="3212">
        <f t="shared" si="221"/>
        <v>0</v>
      </c>
      <c r="L557" s="3212">
        <f t="shared" si="221"/>
        <v>0</v>
      </c>
      <c r="M557" s="3212">
        <f t="shared" si="221"/>
        <v>0</v>
      </c>
      <c r="N557" s="3212">
        <f t="shared" si="221"/>
        <v>0</v>
      </c>
      <c r="O557" s="3212">
        <f t="shared" si="221"/>
        <v>0</v>
      </c>
      <c r="P557" s="3212">
        <f t="shared" si="221"/>
        <v>0</v>
      </c>
      <c r="Q557" s="3213">
        <f t="shared" si="221"/>
        <v>0</v>
      </c>
      <c r="R557" s="2468"/>
      <c r="S557" s="2468"/>
      <c r="T557" s="2468"/>
      <c r="U557" s="2469"/>
    </row>
    <row r="558" spans="1:21" ht="15.9" hidden="1" customHeight="1" thickBot="1" x14ac:dyDescent="0.25">
      <c r="B558" s="3220" t="s">
        <v>241</v>
      </c>
      <c r="C558" s="3221"/>
      <c r="D558" s="3221"/>
      <c r="E558" s="3221"/>
      <c r="F558" s="3226">
        <f t="shared" ref="F558:Q558" si="222">F557/F489</f>
        <v>0</v>
      </c>
      <c r="G558" s="3226">
        <f t="shared" si="222"/>
        <v>0</v>
      </c>
      <c r="H558" s="3226">
        <f t="shared" si="222"/>
        <v>0</v>
      </c>
      <c r="I558" s="3226">
        <f t="shared" si="222"/>
        <v>0</v>
      </c>
      <c r="J558" s="3226">
        <f t="shared" si="222"/>
        <v>0</v>
      </c>
      <c r="K558" s="3226">
        <f t="shared" si="222"/>
        <v>0</v>
      </c>
      <c r="L558" s="3226">
        <f t="shared" si="222"/>
        <v>0</v>
      </c>
      <c r="M558" s="3226">
        <f t="shared" si="222"/>
        <v>0</v>
      </c>
      <c r="N558" s="3226">
        <f t="shared" si="222"/>
        <v>0</v>
      </c>
      <c r="O558" s="3226">
        <f t="shared" si="222"/>
        <v>0</v>
      </c>
      <c r="P558" s="3226">
        <f t="shared" si="222"/>
        <v>0</v>
      </c>
      <c r="Q558" s="3227">
        <f t="shared" si="222"/>
        <v>0</v>
      </c>
      <c r="R558" s="2468"/>
      <c r="S558" s="2468"/>
      <c r="T558" s="2468"/>
      <c r="U558" s="2469"/>
    </row>
    <row r="559" spans="1:21" ht="15.9" hidden="1" customHeight="1" thickTop="1" x14ac:dyDescent="0.2">
      <c r="B559" s="2612"/>
      <c r="C559" s="3211"/>
      <c r="D559" s="3211"/>
      <c r="E559" s="3211"/>
      <c r="F559" s="3245"/>
      <c r="G559" s="3245"/>
      <c r="H559" s="3245"/>
      <c r="I559" s="3245"/>
      <c r="J559" s="3245"/>
      <c r="K559" s="3245"/>
      <c r="L559" s="3245"/>
      <c r="M559" s="3245"/>
      <c r="N559" s="3245"/>
      <c r="O559" s="3245"/>
      <c r="P559" s="3245"/>
      <c r="Q559" s="3245"/>
      <c r="R559" s="2468"/>
      <c r="S559" s="2468"/>
      <c r="T559" s="2468"/>
      <c r="U559" s="2469"/>
    </row>
    <row r="560" spans="1:21" s="3204" customFormat="1" ht="15.9" hidden="1" customHeight="1" thickBot="1" x14ac:dyDescent="0.25">
      <c r="B560" s="3198" t="s">
        <v>1934</v>
      </c>
      <c r="C560" s="3246"/>
      <c r="D560" s="3246"/>
      <c r="E560" s="3246"/>
      <c r="F560" s="3247"/>
      <c r="G560" s="3247"/>
      <c r="H560" s="3247"/>
      <c r="I560" s="3247"/>
      <c r="J560" s="3247"/>
      <c r="K560" s="3247"/>
      <c r="L560" s="3247"/>
      <c r="M560" s="3247"/>
      <c r="N560" s="3247"/>
      <c r="O560" s="3247"/>
      <c r="P560" s="3247"/>
      <c r="Q560" s="3247"/>
      <c r="U560" s="3248"/>
    </row>
    <row r="561" spans="1:21" ht="15.9" hidden="1" customHeight="1" thickTop="1" x14ac:dyDescent="0.2">
      <c r="A561" s="3071">
        <v>1134</v>
      </c>
      <c r="B561" s="3087" t="s">
        <v>2060</v>
      </c>
      <c r="C561" s="3249"/>
      <c r="D561" s="3249"/>
      <c r="E561" s="3249"/>
      <c r="F561" s="3250"/>
      <c r="G561" s="3250"/>
      <c r="H561" s="3250"/>
      <c r="I561" s="3250"/>
      <c r="J561" s="3250"/>
      <c r="K561" s="3250"/>
      <c r="L561" s="3250"/>
      <c r="M561" s="3250"/>
      <c r="N561" s="3250"/>
      <c r="O561" s="3250"/>
      <c r="P561" s="3250"/>
      <c r="Q561" s="3251"/>
      <c r="R561" s="2468"/>
      <c r="S561" s="2468"/>
      <c r="T561" s="2468"/>
      <c r="U561" s="2469"/>
    </row>
    <row r="562" spans="1:21" ht="15.9" hidden="1" customHeight="1" x14ac:dyDescent="0.2">
      <c r="B562" s="3252" t="s">
        <v>1967</v>
      </c>
      <c r="C562" s="3218"/>
      <c r="D562" s="3218"/>
      <c r="E562" s="3218"/>
      <c r="F562" s="3139">
        <f t="shared" ref="F562:Q562" si="223">F512*F86*F11</f>
        <v>0</v>
      </c>
      <c r="G562" s="3139">
        <f t="shared" si="223"/>
        <v>0</v>
      </c>
      <c r="H562" s="3139">
        <f t="shared" si="223"/>
        <v>0</v>
      </c>
      <c r="I562" s="3139">
        <f t="shared" si="223"/>
        <v>0</v>
      </c>
      <c r="J562" s="3139">
        <f t="shared" si="223"/>
        <v>0</v>
      </c>
      <c r="K562" s="3139">
        <f t="shared" si="223"/>
        <v>0</v>
      </c>
      <c r="L562" s="3139">
        <f t="shared" si="223"/>
        <v>0</v>
      </c>
      <c r="M562" s="3139">
        <f t="shared" si="223"/>
        <v>0</v>
      </c>
      <c r="N562" s="3139">
        <f t="shared" si="223"/>
        <v>0</v>
      </c>
      <c r="O562" s="3139">
        <f t="shared" si="223"/>
        <v>0</v>
      </c>
      <c r="P562" s="3139">
        <f t="shared" si="223"/>
        <v>0</v>
      </c>
      <c r="Q562" s="3123">
        <f t="shared" si="223"/>
        <v>0</v>
      </c>
      <c r="R562" s="2468"/>
      <c r="S562" s="2468"/>
      <c r="T562" s="2468"/>
      <c r="U562" s="2469"/>
    </row>
    <row r="563" spans="1:21" ht="15.9" hidden="1" customHeight="1" x14ac:dyDescent="0.2">
      <c r="B563" s="3253" t="s">
        <v>1606</v>
      </c>
      <c r="C563" s="3254"/>
      <c r="D563" s="3254"/>
      <c r="E563" s="3254"/>
      <c r="F563" s="3255">
        <f t="shared" ref="F563:P563" si="224">+SUM(G15:G17)*F513*F11</f>
        <v>0</v>
      </c>
      <c r="G563" s="3255">
        <f t="shared" si="224"/>
        <v>0</v>
      </c>
      <c r="H563" s="3255">
        <f t="shared" si="224"/>
        <v>0</v>
      </c>
      <c r="I563" s="3255">
        <f t="shared" si="224"/>
        <v>0</v>
      </c>
      <c r="J563" s="3255">
        <f t="shared" si="224"/>
        <v>0</v>
      </c>
      <c r="K563" s="3255">
        <f t="shared" si="224"/>
        <v>0</v>
      </c>
      <c r="L563" s="3255">
        <f t="shared" si="224"/>
        <v>0</v>
      </c>
      <c r="M563" s="3255">
        <f t="shared" si="224"/>
        <v>0</v>
      </c>
      <c r="N563" s="3255">
        <f t="shared" si="224"/>
        <v>0</v>
      </c>
      <c r="O563" s="3255">
        <f t="shared" si="224"/>
        <v>0</v>
      </c>
      <c r="P563" s="3255">
        <f t="shared" si="224"/>
        <v>0</v>
      </c>
      <c r="Q563" s="3256">
        <f>+SUM(S15:S17)*Q513*Q11</f>
        <v>0</v>
      </c>
      <c r="R563" s="2468"/>
      <c r="S563" s="2468"/>
      <c r="T563" s="2468"/>
      <c r="U563" s="2469"/>
    </row>
    <row r="564" spans="1:21" ht="15.9" hidden="1" customHeight="1" x14ac:dyDescent="0.2">
      <c r="B564" s="3252" t="str">
        <f>B515</f>
        <v>Vaquillonas a parir en el 1 er trimestre</v>
      </c>
      <c r="C564" s="3218"/>
      <c r="D564" s="3218"/>
      <c r="E564" s="3218"/>
      <c r="F564" s="3139">
        <f t="shared" ref="F564:Q564" si="225">F517*F118*F118</f>
        <v>0</v>
      </c>
      <c r="G564" s="3139">
        <f t="shared" si="225"/>
        <v>0</v>
      </c>
      <c r="H564" s="3139">
        <f t="shared" si="225"/>
        <v>0</v>
      </c>
      <c r="I564" s="3139">
        <f t="shared" si="225"/>
        <v>0</v>
      </c>
      <c r="J564" s="3139">
        <f t="shared" si="225"/>
        <v>0</v>
      </c>
      <c r="K564" s="3139">
        <f t="shared" si="225"/>
        <v>0</v>
      </c>
      <c r="L564" s="3139">
        <f t="shared" si="225"/>
        <v>0</v>
      </c>
      <c r="M564" s="3139">
        <f t="shared" si="225"/>
        <v>0</v>
      </c>
      <c r="N564" s="3139">
        <f t="shared" si="225"/>
        <v>0</v>
      </c>
      <c r="O564" s="3139">
        <f t="shared" si="225"/>
        <v>0</v>
      </c>
      <c r="P564" s="3139">
        <f t="shared" si="225"/>
        <v>0</v>
      </c>
      <c r="Q564" s="3123">
        <f t="shared" si="225"/>
        <v>0</v>
      </c>
      <c r="R564" s="2468"/>
      <c r="S564" s="2468"/>
      <c r="T564" s="2468"/>
      <c r="U564" s="2469"/>
    </row>
    <row r="565" spans="1:21" ht="15.9" hidden="1" customHeight="1" x14ac:dyDescent="0.2">
      <c r="B565" s="3252" t="str">
        <f>B523</f>
        <v>Vaquillonas a parir en el 2do trimestre</v>
      </c>
      <c r="C565" s="3218"/>
      <c r="D565" s="3218"/>
      <c r="E565" s="3218"/>
      <c r="F565" s="3139">
        <f t="shared" ref="F565:Q565" si="226">F527*F146*F11</f>
        <v>0</v>
      </c>
      <c r="G565" s="3139">
        <f t="shared" si="226"/>
        <v>0</v>
      </c>
      <c r="H565" s="3139">
        <f t="shared" si="226"/>
        <v>0</v>
      </c>
      <c r="I565" s="3139">
        <f t="shared" si="226"/>
        <v>0</v>
      </c>
      <c r="J565" s="3139">
        <f t="shared" si="226"/>
        <v>0</v>
      </c>
      <c r="K565" s="3139">
        <f t="shared" si="226"/>
        <v>0</v>
      </c>
      <c r="L565" s="3139">
        <f t="shared" si="226"/>
        <v>0</v>
      </c>
      <c r="M565" s="3139">
        <f t="shared" si="226"/>
        <v>0</v>
      </c>
      <c r="N565" s="3139">
        <f t="shared" si="226"/>
        <v>0</v>
      </c>
      <c r="O565" s="3139">
        <f t="shared" si="226"/>
        <v>0</v>
      </c>
      <c r="P565" s="3139">
        <f t="shared" si="226"/>
        <v>0</v>
      </c>
      <c r="Q565" s="3123">
        <f t="shared" si="226"/>
        <v>0</v>
      </c>
      <c r="R565" s="2468"/>
      <c r="S565" s="2468"/>
      <c r="T565" s="2468"/>
      <c r="U565" s="2469"/>
    </row>
    <row r="566" spans="1:21" ht="15.9" hidden="1" customHeight="1" x14ac:dyDescent="0.2">
      <c r="B566" s="3252" t="str">
        <f>B530</f>
        <v>Vaquillonas a parir en el 3er trimestre</v>
      </c>
      <c r="C566" s="3218"/>
      <c r="D566" s="3218"/>
      <c r="E566" s="3218"/>
      <c r="F566" s="3139">
        <f t="shared" ref="F566:Q566" si="227">F534*F174*F11</f>
        <v>0</v>
      </c>
      <c r="G566" s="3139">
        <f t="shared" si="227"/>
        <v>0</v>
      </c>
      <c r="H566" s="3139">
        <f t="shared" si="227"/>
        <v>0</v>
      </c>
      <c r="I566" s="3139">
        <f t="shared" si="227"/>
        <v>0</v>
      </c>
      <c r="J566" s="3139">
        <f t="shared" si="227"/>
        <v>0</v>
      </c>
      <c r="K566" s="3139">
        <f t="shared" si="227"/>
        <v>0</v>
      </c>
      <c r="L566" s="3139">
        <f t="shared" si="227"/>
        <v>0</v>
      </c>
      <c r="M566" s="3139">
        <f t="shared" si="227"/>
        <v>0</v>
      </c>
      <c r="N566" s="3139">
        <f t="shared" si="227"/>
        <v>0</v>
      </c>
      <c r="O566" s="3139">
        <f t="shared" si="227"/>
        <v>0</v>
      </c>
      <c r="P566" s="3139">
        <f t="shared" si="227"/>
        <v>0</v>
      </c>
      <c r="Q566" s="3123">
        <f t="shared" si="227"/>
        <v>0</v>
      </c>
      <c r="R566" s="2468"/>
      <c r="S566" s="2468"/>
      <c r="T566" s="2468"/>
      <c r="U566" s="2469"/>
    </row>
    <row r="567" spans="1:21" ht="15.9" hidden="1" customHeight="1" x14ac:dyDescent="0.2">
      <c r="B567" s="3252" t="str">
        <f>B537</f>
        <v>Vaquillonas a parir en el 4to trimestre</v>
      </c>
      <c r="C567" s="3218"/>
      <c r="D567" s="3218"/>
      <c r="E567" s="3218"/>
      <c r="F567" s="3139">
        <f t="shared" ref="F567:Q567" si="228">F541*F202*F11</f>
        <v>0</v>
      </c>
      <c r="G567" s="3139">
        <f t="shared" si="228"/>
        <v>0</v>
      </c>
      <c r="H567" s="3139">
        <f t="shared" si="228"/>
        <v>0</v>
      </c>
      <c r="I567" s="3139">
        <f t="shared" si="228"/>
        <v>0</v>
      </c>
      <c r="J567" s="3139">
        <f t="shared" si="228"/>
        <v>0</v>
      </c>
      <c r="K567" s="3139">
        <f t="shared" si="228"/>
        <v>0</v>
      </c>
      <c r="L567" s="3139">
        <f t="shared" si="228"/>
        <v>0</v>
      </c>
      <c r="M567" s="3139">
        <f t="shared" si="228"/>
        <v>0</v>
      </c>
      <c r="N567" s="3139">
        <f t="shared" si="228"/>
        <v>0</v>
      </c>
      <c r="O567" s="3139">
        <f t="shared" si="228"/>
        <v>0</v>
      </c>
      <c r="P567" s="3139">
        <f t="shared" si="228"/>
        <v>0</v>
      </c>
      <c r="Q567" s="3123">
        <f t="shared" si="228"/>
        <v>0</v>
      </c>
      <c r="R567" s="2468"/>
      <c r="S567" s="2468"/>
      <c r="T567" s="2468"/>
      <c r="U567" s="2469"/>
    </row>
    <row r="568" spans="1:21" ht="15.9" hidden="1" customHeight="1" x14ac:dyDescent="0.2">
      <c r="B568" s="3252" t="str">
        <f>B544</f>
        <v>Vaquillonas sin entorar</v>
      </c>
      <c r="C568" s="3218"/>
      <c r="D568" s="3218"/>
      <c r="E568" s="3218"/>
      <c r="F568" s="3139">
        <f t="shared" ref="F568:Q568" si="229">F545*F229*F11</f>
        <v>0</v>
      </c>
      <c r="G568" s="3139">
        <f t="shared" si="229"/>
        <v>0</v>
      </c>
      <c r="H568" s="3139">
        <f t="shared" si="229"/>
        <v>0</v>
      </c>
      <c r="I568" s="3139">
        <f t="shared" si="229"/>
        <v>0</v>
      </c>
      <c r="J568" s="3139">
        <f t="shared" si="229"/>
        <v>0</v>
      </c>
      <c r="K568" s="3139">
        <f t="shared" si="229"/>
        <v>0</v>
      </c>
      <c r="L568" s="3139">
        <f t="shared" si="229"/>
        <v>0</v>
      </c>
      <c r="M568" s="3139">
        <f t="shared" si="229"/>
        <v>0</v>
      </c>
      <c r="N568" s="3139">
        <f t="shared" si="229"/>
        <v>0</v>
      </c>
      <c r="O568" s="3139">
        <f t="shared" si="229"/>
        <v>0</v>
      </c>
      <c r="P568" s="3139">
        <f t="shared" si="229"/>
        <v>0</v>
      </c>
      <c r="Q568" s="3123">
        <f t="shared" si="229"/>
        <v>0</v>
      </c>
      <c r="R568" s="2468"/>
      <c r="S568" s="2468"/>
      <c r="T568" s="2468"/>
      <c r="U568" s="2469"/>
    </row>
    <row r="569" spans="1:21" ht="15.9" hidden="1" customHeight="1" x14ac:dyDescent="0.2">
      <c r="B569" s="3252" t="str">
        <f>B549</f>
        <v xml:space="preserve">Terneras +6m </v>
      </c>
      <c r="C569" s="3218"/>
      <c r="D569" s="3218"/>
      <c r="E569" s="3218"/>
      <c r="F569" s="3139">
        <f t="shared" ref="F569:Q569" si="230">F550*F255*F11</f>
        <v>0</v>
      </c>
      <c r="G569" s="3139">
        <f t="shared" si="230"/>
        <v>0</v>
      </c>
      <c r="H569" s="3139">
        <f t="shared" si="230"/>
        <v>0</v>
      </c>
      <c r="I569" s="3139">
        <f t="shared" si="230"/>
        <v>0</v>
      </c>
      <c r="J569" s="3139">
        <f t="shared" si="230"/>
        <v>0</v>
      </c>
      <c r="K569" s="3139">
        <f t="shared" si="230"/>
        <v>0</v>
      </c>
      <c r="L569" s="3139">
        <f t="shared" si="230"/>
        <v>0</v>
      </c>
      <c r="M569" s="3139">
        <f t="shared" si="230"/>
        <v>0</v>
      </c>
      <c r="N569" s="3139">
        <f t="shared" si="230"/>
        <v>0</v>
      </c>
      <c r="O569" s="3139">
        <f t="shared" si="230"/>
        <v>0</v>
      </c>
      <c r="P569" s="3139">
        <f t="shared" si="230"/>
        <v>0</v>
      </c>
      <c r="Q569" s="3123">
        <f t="shared" si="230"/>
        <v>0</v>
      </c>
      <c r="R569" s="2468"/>
      <c r="S569" s="2468"/>
      <c r="T569" s="2468"/>
      <c r="U569" s="2469"/>
    </row>
    <row r="570" spans="1:21" ht="15.9" hidden="1" customHeight="1" x14ac:dyDescent="0.2">
      <c r="B570" s="3252" t="str">
        <f>+B553</f>
        <v>Toros</v>
      </c>
      <c r="C570" s="3218"/>
      <c r="D570" s="3218"/>
      <c r="E570" s="3218"/>
      <c r="F570" s="3139">
        <f t="shared" ref="F570:Q570" si="231">+F557*F346*F11</f>
        <v>0</v>
      </c>
      <c r="G570" s="3139">
        <f t="shared" si="231"/>
        <v>0</v>
      </c>
      <c r="H570" s="3139">
        <f t="shared" si="231"/>
        <v>0</v>
      </c>
      <c r="I570" s="3139">
        <f t="shared" si="231"/>
        <v>0</v>
      </c>
      <c r="J570" s="3139">
        <f t="shared" si="231"/>
        <v>0</v>
      </c>
      <c r="K570" s="3139">
        <f t="shared" si="231"/>
        <v>0</v>
      </c>
      <c r="L570" s="3139">
        <f t="shared" si="231"/>
        <v>0</v>
      </c>
      <c r="M570" s="3139">
        <f t="shared" si="231"/>
        <v>0</v>
      </c>
      <c r="N570" s="3139">
        <f t="shared" si="231"/>
        <v>0</v>
      </c>
      <c r="O570" s="3139">
        <f t="shared" si="231"/>
        <v>0</v>
      </c>
      <c r="P570" s="3139">
        <f t="shared" si="231"/>
        <v>0</v>
      </c>
      <c r="Q570" s="3123">
        <f t="shared" si="231"/>
        <v>0</v>
      </c>
      <c r="R570" s="2468"/>
      <c r="S570" s="2468"/>
      <c r="T570" s="2468"/>
      <c r="U570" s="2469"/>
    </row>
    <row r="571" spans="1:21" ht="15.9" hidden="1" customHeight="1" thickBot="1" x14ac:dyDescent="0.25">
      <c r="B571" s="3257" t="s">
        <v>239</v>
      </c>
      <c r="C571" s="3258"/>
      <c r="D571" s="3258"/>
      <c r="E571" s="3258"/>
      <c r="F571" s="3259">
        <f t="shared" ref="F571:Q571" si="232">SUM(F564:F570)</f>
        <v>0</v>
      </c>
      <c r="G571" s="3259">
        <f t="shared" si="232"/>
        <v>0</v>
      </c>
      <c r="H571" s="3259">
        <f t="shared" si="232"/>
        <v>0</v>
      </c>
      <c r="I571" s="3259">
        <f t="shared" si="232"/>
        <v>0</v>
      </c>
      <c r="J571" s="3259">
        <f t="shared" si="232"/>
        <v>0</v>
      </c>
      <c r="K571" s="3259">
        <f t="shared" si="232"/>
        <v>0</v>
      </c>
      <c r="L571" s="3259">
        <f t="shared" si="232"/>
        <v>0</v>
      </c>
      <c r="M571" s="3259">
        <f t="shared" si="232"/>
        <v>0</v>
      </c>
      <c r="N571" s="3259">
        <f t="shared" si="232"/>
        <v>0</v>
      </c>
      <c r="O571" s="3259">
        <f t="shared" si="232"/>
        <v>0</v>
      </c>
      <c r="P571" s="3259">
        <f t="shared" si="232"/>
        <v>0</v>
      </c>
      <c r="Q571" s="3260">
        <f t="shared" si="232"/>
        <v>0</v>
      </c>
      <c r="R571" s="2468"/>
      <c r="S571" s="2468"/>
      <c r="T571" s="2468"/>
      <c r="U571" s="2469"/>
    </row>
    <row r="572" spans="1:21" ht="15.9" hidden="1" customHeight="1" thickTop="1" thickBot="1" x14ac:dyDescent="0.25">
      <c r="B572" s="3261" t="s">
        <v>1605</v>
      </c>
      <c r="C572" s="3262"/>
      <c r="D572" s="3262"/>
      <c r="E572" s="3262"/>
      <c r="F572" s="3263">
        <f t="shared" ref="F572:Q572" si="233">+F571+F562-F563</f>
        <v>0</v>
      </c>
      <c r="G572" s="3263">
        <f t="shared" si="233"/>
        <v>0</v>
      </c>
      <c r="H572" s="3263">
        <f t="shared" si="233"/>
        <v>0</v>
      </c>
      <c r="I572" s="3263">
        <f t="shared" si="233"/>
        <v>0</v>
      </c>
      <c r="J572" s="3263">
        <f t="shared" si="233"/>
        <v>0</v>
      </c>
      <c r="K572" s="3263">
        <f t="shared" si="233"/>
        <v>0</v>
      </c>
      <c r="L572" s="3263">
        <f t="shared" si="233"/>
        <v>0</v>
      </c>
      <c r="M572" s="3263">
        <f t="shared" si="233"/>
        <v>0</v>
      </c>
      <c r="N572" s="3263">
        <f t="shared" si="233"/>
        <v>0</v>
      </c>
      <c r="O572" s="3263">
        <f t="shared" si="233"/>
        <v>0</v>
      </c>
      <c r="P572" s="3263">
        <f t="shared" si="233"/>
        <v>0</v>
      </c>
      <c r="Q572" s="3264">
        <f t="shared" si="233"/>
        <v>0</v>
      </c>
      <c r="R572" s="2468"/>
      <c r="S572" s="2468"/>
      <c r="T572" s="2468"/>
      <c r="U572" s="2469"/>
    </row>
    <row r="573" spans="1:21" ht="15.9" hidden="1" customHeight="1" thickTop="1" thickBot="1" x14ac:dyDescent="0.25">
      <c r="B573" s="2612"/>
      <c r="C573" s="3211"/>
      <c r="D573" s="3211"/>
      <c r="E573" s="3211"/>
      <c r="F573" s="3265"/>
      <c r="G573" s="3265"/>
      <c r="H573" s="3265"/>
      <c r="I573" s="3265"/>
      <c r="J573" s="3265"/>
      <c r="K573" s="3265"/>
      <c r="L573" s="3265"/>
      <c r="M573" s="3265"/>
      <c r="N573" s="3265"/>
      <c r="O573" s="3265"/>
      <c r="P573" s="3265"/>
      <c r="Q573" s="3265"/>
      <c r="R573" s="2468"/>
      <c r="S573" s="2468"/>
      <c r="T573" s="2468"/>
      <c r="U573" s="2469"/>
    </row>
    <row r="574" spans="1:21" ht="15.05" hidden="1" thickTop="1" x14ac:dyDescent="0.2">
      <c r="A574" s="3071">
        <v>1135</v>
      </c>
      <c r="B574" s="3087" t="s">
        <v>2061</v>
      </c>
      <c r="C574" s="3249"/>
      <c r="D574" s="3249"/>
      <c r="E574" s="3249"/>
      <c r="F574" s="3250"/>
      <c r="G574" s="3250"/>
      <c r="H574" s="3250"/>
      <c r="I574" s="3250"/>
      <c r="J574" s="3250"/>
      <c r="K574" s="3250"/>
      <c r="L574" s="3250"/>
      <c r="M574" s="3250"/>
      <c r="N574" s="3250"/>
      <c r="O574" s="3250"/>
      <c r="P574" s="3250"/>
      <c r="Q574" s="3251"/>
      <c r="R574" s="2468"/>
      <c r="S574" s="2468"/>
      <c r="T574" s="2468"/>
      <c r="U574" s="2469"/>
    </row>
    <row r="575" spans="1:21" hidden="1" x14ac:dyDescent="0.2">
      <c r="B575" s="3252" t="str">
        <f>B562</f>
        <v xml:space="preserve">Vacas Secas </v>
      </c>
      <c r="C575" s="3218"/>
      <c r="D575" s="3218"/>
      <c r="E575" s="3218"/>
      <c r="F575" s="3139">
        <f t="shared" ref="F575:Q575" si="234">F513*F86*F11</f>
        <v>0</v>
      </c>
      <c r="G575" s="3139">
        <f t="shared" si="234"/>
        <v>0</v>
      </c>
      <c r="H575" s="3139">
        <f t="shared" si="234"/>
        <v>0</v>
      </c>
      <c r="I575" s="3139">
        <f t="shared" si="234"/>
        <v>0</v>
      </c>
      <c r="J575" s="3139">
        <f t="shared" si="234"/>
        <v>0</v>
      </c>
      <c r="K575" s="3139">
        <f t="shared" si="234"/>
        <v>0</v>
      </c>
      <c r="L575" s="3139">
        <f t="shared" si="234"/>
        <v>0</v>
      </c>
      <c r="M575" s="3139">
        <f t="shared" si="234"/>
        <v>0</v>
      </c>
      <c r="N575" s="3139">
        <f t="shared" si="234"/>
        <v>0</v>
      </c>
      <c r="O575" s="3139">
        <f t="shared" si="234"/>
        <v>0</v>
      </c>
      <c r="P575" s="3139">
        <f t="shared" si="234"/>
        <v>0</v>
      </c>
      <c r="Q575" s="3123">
        <f t="shared" si="234"/>
        <v>0</v>
      </c>
      <c r="R575" s="2468"/>
      <c r="S575" s="2468"/>
      <c r="T575" s="2468"/>
      <c r="U575" s="2469"/>
    </row>
    <row r="576" spans="1:21" hidden="1" x14ac:dyDescent="0.2">
      <c r="B576" s="3252" t="str">
        <f t="shared" ref="B576:B581" si="235">B564</f>
        <v>Vaquillonas a parir en el 1 er trimestre</v>
      </c>
      <c r="C576" s="3218"/>
      <c r="D576" s="3218"/>
      <c r="E576" s="3218"/>
      <c r="F576" s="3139">
        <f t="shared" ref="F576:Q576" si="236">F521*F118*F11</f>
        <v>0</v>
      </c>
      <c r="G576" s="3139">
        <f t="shared" si="236"/>
        <v>0</v>
      </c>
      <c r="H576" s="3139">
        <f t="shared" si="236"/>
        <v>0</v>
      </c>
      <c r="I576" s="3139">
        <f t="shared" si="236"/>
        <v>0</v>
      </c>
      <c r="J576" s="3139">
        <f t="shared" si="236"/>
        <v>0</v>
      </c>
      <c r="K576" s="3139">
        <f t="shared" si="236"/>
        <v>0</v>
      </c>
      <c r="L576" s="3139">
        <f t="shared" si="236"/>
        <v>0</v>
      </c>
      <c r="M576" s="3139">
        <f t="shared" si="236"/>
        <v>0</v>
      </c>
      <c r="N576" s="3139">
        <f t="shared" si="236"/>
        <v>0</v>
      </c>
      <c r="O576" s="3139">
        <f t="shared" si="236"/>
        <v>0</v>
      </c>
      <c r="P576" s="3139">
        <f t="shared" si="236"/>
        <v>0</v>
      </c>
      <c r="Q576" s="3123">
        <f t="shared" si="236"/>
        <v>0</v>
      </c>
      <c r="R576" s="2468"/>
      <c r="S576" s="2468"/>
      <c r="T576" s="2468"/>
      <c r="U576" s="2469"/>
    </row>
    <row r="577" spans="1:24" hidden="1" x14ac:dyDescent="0.2">
      <c r="B577" s="3252" t="str">
        <f t="shared" si="235"/>
        <v>Vaquillonas a parir en el 2do trimestre</v>
      </c>
      <c r="C577" s="3218"/>
      <c r="D577" s="3218"/>
      <c r="E577" s="3218"/>
      <c r="F577" s="3139">
        <f t="shared" ref="F577:Q577" si="237">F528*F146*F11</f>
        <v>0</v>
      </c>
      <c r="G577" s="3139">
        <f t="shared" si="237"/>
        <v>0</v>
      </c>
      <c r="H577" s="3139">
        <f t="shared" si="237"/>
        <v>0</v>
      </c>
      <c r="I577" s="3139">
        <f t="shared" si="237"/>
        <v>0</v>
      </c>
      <c r="J577" s="3139">
        <f t="shared" si="237"/>
        <v>0</v>
      </c>
      <c r="K577" s="3139">
        <f t="shared" si="237"/>
        <v>0</v>
      </c>
      <c r="L577" s="3139">
        <f t="shared" si="237"/>
        <v>0</v>
      </c>
      <c r="M577" s="3139">
        <f t="shared" si="237"/>
        <v>0</v>
      </c>
      <c r="N577" s="3139">
        <f t="shared" si="237"/>
        <v>0</v>
      </c>
      <c r="O577" s="3139">
        <f t="shared" si="237"/>
        <v>0</v>
      </c>
      <c r="P577" s="3139">
        <f t="shared" si="237"/>
        <v>0</v>
      </c>
      <c r="Q577" s="3123">
        <f t="shared" si="237"/>
        <v>0</v>
      </c>
      <c r="R577" s="2468"/>
      <c r="S577" s="2468"/>
      <c r="T577" s="2468"/>
      <c r="U577" s="2469"/>
    </row>
    <row r="578" spans="1:24" hidden="1" x14ac:dyDescent="0.2">
      <c r="B578" s="3252" t="str">
        <f t="shared" si="235"/>
        <v>Vaquillonas a parir en el 3er trimestre</v>
      </c>
      <c r="C578" s="3218"/>
      <c r="D578" s="3218"/>
      <c r="E578" s="3218"/>
      <c r="F578" s="3139">
        <f t="shared" ref="F578:Q578" si="238">F535*F174*F11</f>
        <v>0</v>
      </c>
      <c r="G578" s="3139">
        <f t="shared" si="238"/>
        <v>0</v>
      </c>
      <c r="H578" s="3139">
        <f t="shared" si="238"/>
        <v>0</v>
      </c>
      <c r="I578" s="3139">
        <f t="shared" si="238"/>
        <v>0</v>
      </c>
      <c r="J578" s="3139">
        <f t="shared" si="238"/>
        <v>0</v>
      </c>
      <c r="K578" s="3139">
        <f t="shared" si="238"/>
        <v>0</v>
      </c>
      <c r="L578" s="3139">
        <f t="shared" si="238"/>
        <v>0</v>
      </c>
      <c r="M578" s="3139">
        <f t="shared" si="238"/>
        <v>0</v>
      </c>
      <c r="N578" s="3139">
        <f t="shared" si="238"/>
        <v>0</v>
      </c>
      <c r="O578" s="3139">
        <f t="shared" si="238"/>
        <v>0</v>
      </c>
      <c r="P578" s="3139">
        <f t="shared" si="238"/>
        <v>0</v>
      </c>
      <c r="Q578" s="3123">
        <f t="shared" si="238"/>
        <v>0</v>
      </c>
      <c r="R578" s="2468"/>
      <c r="S578" s="2468"/>
      <c r="T578" s="2468"/>
      <c r="U578" s="2469"/>
    </row>
    <row r="579" spans="1:24" hidden="1" x14ac:dyDescent="0.2">
      <c r="B579" s="3252" t="str">
        <f t="shared" si="235"/>
        <v>Vaquillonas a parir en el 4to trimestre</v>
      </c>
      <c r="C579" s="3218"/>
      <c r="D579" s="3218"/>
      <c r="E579" s="3218"/>
      <c r="F579" s="3139">
        <f t="shared" ref="F579:Q579" si="239">F542*F202*F11</f>
        <v>0</v>
      </c>
      <c r="G579" s="3139">
        <f t="shared" si="239"/>
        <v>0</v>
      </c>
      <c r="H579" s="3139">
        <f t="shared" si="239"/>
        <v>0</v>
      </c>
      <c r="I579" s="3139">
        <f t="shared" si="239"/>
        <v>0</v>
      </c>
      <c r="J579" s="3139">
        <f t="shared" si="239"/>
        <v>0</v>
      </c>
      <c r="K579" s="3139">
        <f t="shared" si="239"/>
        <v>0</v>
      </c>
      <c r="L579" s="3139">
        <f t="shared" si="239"/>
        <v>0</v>
      </c>
      <c r="M579" s="3139">
        <f t="shared" si="239"/>
        <v>0</v>
      </c>
      <c r="N579" s="3139">
        <f t="shared" si="239"/>
        <v>0</v>
      </c>
      <c r="O579" s="3139">
        <f t="shared" si="239"/>
        <v>0</v>
      </c>
      <c r="P579" s="3139">
        <f t="shared" si="239"/>
        <v>0</v>
      </c>
      <c r="Q579" s="3123">
        <f t="shared" si="239"/>
        <v>0</v>
      </c>
      <c r="R579" s="2468"/>
      <c r="S579" s="2468"/>
      <c r="T579" s="2468"/>
      <c r="U579" s="2469"/>
    </row>
    <row r="580" spans="1:24" hidden="1" x14ac:dyDescent="0.2">
      <c r="B580" s="3252" t="str">
        <f t="shared" si="235"/>
        <v>Vaquillonas sin entorar</v>
      </c>
      <c r="C580" s="3218"/>
      <c r="D580" s="3218"/>
      <c r="E580" s="3218"/>
      <c r="F580" s="3139">
        <f t="shared" ref="F580:Q580" si="240">F547*F229*F11</f>
        <v>0</v>
      </c>
      <c r="G580" s="3139">
        <f t="shared" si="240"/>
        <v>0</v>
      </c>
      <c r="H580" s="3139">
        <f t="shared" si="240"/>
        <v>0</v>
      </c>
      <c r="I580" s="3139">
        <f t="shared" si="240"/>
        <v>0</v>
      </c>
      <c r="J580" s="3139">
        <f t="shared" si="240"/>
        <v>0</v>
      </c>
      <c r="K580" s="3139">
        <f t="shared" si="240"/>
        <v>0</v>
      </c>
      <c r="L580" s="3139">
        <f t="shared" si="240"/>
        <v>0</v>
      </c>
      <c r="M580" s="3139">
        <f t="shared" si="240"/>
        <v>0</v>
      </c>
      <c r="N580" s="3139">
        <f t="shared" si="240"/>
        <v>0</v>
      </c>
      <c r="O580" s="3139">
        <f t="shared" si="240"/>
        <v>0</v>
      </c>
      <c r="P580" s="3139">
        <f t="shared" si="240"/>
        <v>0</v>
      </c>
      <c r="Q580" s="3123">
        <f t="shared" si="240"/>
        <v>0</v>
      </c>
      <c r="R580" s="2468"/>
      <c r="S580" s="2468"/>
      <c r="T580" s="2468"/>
      <c r="U580" s="2469"/>
    </row>
    <row r="581" spans="1:24" hidden="1" x14ac:dyDescent="0.2">
      <c r="B581" s="3252" t="str">
        <f t="shared" si="235"/>
        <v xml:space="preserve">Terneras +6m </v>
      </c>
      <c r="C581" s="3218"/>
      <c r="D581" s="3218"/>
      <c r="E581" s="3218"/>
      <c r="F581" s="3139">
        <f t="shared" ref="F581:Q581" si="241">F551*F255*F11</f>
        <v>0</v>
      </c>
      <c r="G581" s="3139">
        <f t="shared" si="241"/>
        <v>0</v>
      </c>
      <c r="H581" s="3139">
        <f t="shared" si="241"/>
        <v>0</v>
      </c>
      <c r="I581" s="3139">
        <f t="shared" si="241"/>
        <v>0</v>
      </c>
      <c r="J581" s="3139">
        <f t="shared" si="241"/>
        <v>0</v>
      </c>
      <c r="K581" s="3139">
        <f t="shared" si="241"/>
        <v>0</v>
      </c>
      <c r="L581" s="3139">
        <f t="shared" si="241"/>
        <v>0</v>
      </c>
      <c r="M581" s="3139">
        <f t="shared" si="241"/>
        <v>0</v>
      </c>
      <c r="N581" s="3139">
        <f t="shared" si="241"/>
        <v>0</v>
      </c>
      <c r="O581" s="3139">
        <f t="shared" si="241"/>
        <v>0</v>
      </c>
      <c r="P581" s="3139">
        <f t="shared" si="241"/>
        <v>0</v>
      </c>
      <c r="Q581" s="3123">
        <f t="shared" si="241"/>
        <v>0</v>
      </c>
      <c r="R581" s="2468"/>
      <c r="S581" s="2468"/>
      <c r="T581" s="2468"/>
      <c r="U581" s="2469"/>
    </row>
    <row r="582" spans="1:24" hidden="1" x14ac:dyDescent="0.2">
      <c r="B582" s="3252" t="str">
        <f>+B570</f>
        <v>Toros</v>
      </c>
      <c r="C582" s="3218"/>
      <c r="D582" s="3218"/>
      <c r="E582" s="3218"/>
      <c r="F582" s="3139">
        <f t="shared" ref="F582:Q582" si="242">+F558*F346*F11</f>
        <v>0</v>
      </c>
      <c r="G582" s="3139">
        <f t="shared" si="242"/>
        <v>0</v>
      </c>
      <c r="H582" s="3139">
        <f t="shared" si="242"/>
        <v>0</v>
      </c>
      <c r="I582" s="3139">
        <f t="shared" si="242"/>
        <v>0</v>
      </c>
      <c r="J582" s="3139">
        <f t="shared" si="242"/>
        <v>0</v>
      </c>
      <c r="K582" s="3139">
        <f t="shared" si="242"/>
        <v>0</v>
      </c>
      <c r="L582" s="3139">
        <f t="shared" si="242"/>
        <v>0</v>
      </c>
      <c r="M582" s="3139">
        <f t="shared" si="242"/>
        <v>0</v>
      </c>
      <c r="N582" s="3139">
        <f t="shared" si="242"/>
        <v>0</v>
      </c>
      <c r="O582" s="3139">
        <f t="shared" si="242"/>
        <v>0</v>
      </c>
      <c r="P582" s="3139">
        <f t="shared" si="242"/>
        <v>0</v>
      </c>
      <c r="Q582" s="3123">
        <f t="shared" si="242"/>
        <v>0</v>
      </c>
    </row>
    <row r="583" spans="1:24" ht="15.05" hidden="1" thickBot="1" x14ac:dyDescent="0.25">
      <c r="B583" s="3257" t="s">
        <v>240</v>
      </c>
      <c r="C583" s="3258"/>
      <c r="D583" s="3258"/>
      <c r="E583" s="3258"/>
      <c r="F583" s="3259">
        <f t="shared" ref="F583:Q583" si="243">SUM(F576:F582)</f>
        <v>0</v>
      </c>
      <c r="G583" s="3259">
        <f t="shared" si="243"/>
        <v>0</v>
      </c>
      <c r="H583" s="3259">
        <f t="shared" si="243"/>
        <v>0</v>
      </c>
      <c r="I583" s="3259">
        <f t="shared" si="243"/>
        <v>0</v>
      </c>
      <c r="J583" s="3259">
        <f t="shared" si="243"/>
        <v>0</v>
      </c>
      <c r="K583" s="3259">
        <f t="shared" si="243"/>
        <v>0</v>
      </c>
      <c r="L583" s="3259">
        <f t="shared" si="243"/>
        <v>0</v>
      </c>
      <c r="M583" s="3259">
        <f t="shared" si="243"/>
        <v>0</v>
      </c>
      <c r="N583" s="3259">
        <f t="shared" si="243"/>
        <v>0</v>
      </c>
      <c r="O583" s="3259">
        <f t="shared" si="243"/>
        <v>0</v>
      </c>
      <c r="P583" s="3259">
        <f t="shared" si="243"/>
        <v>0</v>
      </c>
      <c r="Q583" s="3260">
        <f t="shared" si="243"/>
        <v>0</v>
      </c>
      <c r="R583" s="2468"/>
      <c r="S583" s="2468"/>
      <c r="T583" s="2468"/>
      <c r="U583" s="2469"/>
    </row>
    <row r="584" spans="1:24" ht="15.05" hidden="1" thickTop="1" x14ac:dyDescent="0.2">
      <c r="B584" s="2612"/>
      <c r="C584" s="3211"/>
      <c r="D584" s="3211"/>
      <c r="E584" s="3211"/>
      <c r="F584" s="699"/>
      <c r="G584" s="699"/>
      <c r="H584" s="699"/>
      <c r="I584" s="699"/>
      <c r="J584" s="699"/>
      <c r="K584" s="699"/>
      <c r="L584" s="699"/>
      <c r="M584" s="699"/>
      <c r="N584" s="699"/>
      <c r="O584" s="699"/>
      <c r="P584" s="699"/>
      <c r="Q584" s="699"/>
      <c r="R584" s="2468"/>
      <c r="S584" s="2468"/>
      <c r="T584" s="2468"/>
      <c r="U584" s="2469"/>
    </row>
    <row r="585" spans="1:24" s="3202" customFormat="1" ht="15.9" hidden="1" customHeight="1" thickBot="1" x14ac:dyDescent="0.25">
      <c r="A585" s="3266"/>
      <c r="B585" s="3198" t="s">
        <v>2063</v>
      </c>
      <c r="C585" s="3199"/>
      <c r="D585" s="3198"/>
      <c r="E585" s="3198"/>
      <c r="F585" s="3198"/>
      <c r="G585" s="3198"/>
      <c r="H585" s="3198"/>
      <c r="I585" s="3198"/>
      <c r="J585" s="3198"/>
      <c r="K585" s="3198"/>
      <c r="L585" s="3198"/>
      <c r="M585" s="3198"/>
      <c r="N585" s="3198"/>
      <c r="O585" s="3198"/>
      <c r="P585" s="3198"/>
      <c r="Q585" s="3198"/>
      <c r="R585" s="3198"/>
      <c r="S585" s="3266"/>
      <c r="T585" s="3203"/>
      <c r="X585" s="3267"/>
    </row>
    <row r="586" spans="1:24" ht="15.05" hidden="1" thickTop="1" x14ac:dyDescent="0.2">
      <c r="A586" s="3071">
        <v>1136</v>
      </c>
      <c r="B586" s="3087" t="s">
        <v>2068</v>
      </c>
      <c r="C586" s="3249"/>
      <c r="D586" s="3249"/>
      <c r="E586" s="3249"/>
      <c r="F586" s="3250"/>
      <c r="G586" s="3250"/>
      <c r="H586" s="3250"/>
      <c r="I586" s="3250"/>
      <c r="J586" s="3250"/>
      <c r="K586" s="3250"/>
      <c r="L586" s="3250"/>
      <c r="M586" s="3250"/>
      <c r="N586" s="3250"/>
      <c r="O586" s="3250"/>
      <c r="P586" s="3250"/>
      <c r="Q586" s="3251"/>
      <c r="R586" s="2468"/>
      <c r="S586" s="2465"/>
      <c r="T586" s="2466"/>
      <c r="U586" s="2466"/>
      <c r="V586" s="2466"/>
      <c r="W586" s="2466"/>
      <c r="X586" s="2466"/>
    </row>
    <row r="587" spans="1:24" hidden="1" x14ac:dyDescent="0.2">
      <c r="B587" s="3252" t="s">
        <v>493</v>
      </c>
      <c r="C587" s="3218"/>
      <c r="D587" s="3218"/>
      <c r="E587" s="3218"/>
      <c r="F587" s="3139">
        <f t="shared" ref="F587:Q587" si="244">+F93*F94*F11</f>
        <v>0</v>
      </c>
      <c r="G587" s="3139">
        <f t="shared" si="244"/>
        <v>0</v>
      </c>
      <c r="H587" s="3139">
        <f t="shared" si="244"/>
        <v>0</v>
      </c>
      <c r="I587" s="3139">
        <f t="shared" si="244"/>
        <v>0</v>
      </c>
      <c r="J587" s="3139">
        <f t="shared" si="244"/>
        <v>0</v>
      </c>
      <c r="K587" s="3139">
        <f t="shared" si="244"/>
        <v>0</v>
      </c>
      <c r="L587" s="3139">
        <f t="shared" si="244"/>
        <v>0</v>
      </c>
      <c r="M587" s="3139">
        <f t="shared" si="244"/>
        <v>0</v>
      </c>
      <c r="N587" s="3139">
        <f t="shared" si="244"/>
        <v>0</v>
      </c>
      <c r="O587" s="3139">
        <f t="shared" si="244"/>
        <v>0</v>
      </c>
      <c r="P587" s="3139">
        <f t="shared" si="244"/>
        <v>0</v>
      </c>
      <c r="Q587" s="3123">
        <f t="shared" si="244"/>
        <v>0</v>
      </c>
      <c r="R587" s="2468"/>
      <c r="S587" s="2465"/>
      <c r="T587" s="2466"/>
      <c r="U587" s="2466"/>
      <c r="V587" s="2466"/>
      <c r="W587" s="2466"/>
      <c r="X587" s="2466"/>
    </row>
    <row r="588" spans="1:24" hidden="1" x14ac:dyDescent="0.2">
      <c r="B588" s="3252" t="s">
        <v>494</v>
      </c>
      <c r="C588" s="3218"/>
      <c r="D588" s="3218"/>
      <c r="E588" s="3218"/>
      <c r="F588" s="3139">
        <f t="shared" ref="F588:Q588" si="245">F280*F11*F281</f>
        <v>0</v>
      </c>
      <c r="G588" s="3139">
        <f t="shared" si="245"/>
        <v>0</v>
      </c>
      <c r="H588" s="3139">
        <f t="shared" si="245"/>
        <v>0</v>
      </c>
      <c r="I588" s="3139">
        <f t="shared" si="245"/>
        <v>0</v>
      </c>
      <c r="J588" s="3139">
        <f t="shared" si="245"/>
        <v>0</v>
      </c>
      <c r="K588" s="3139">
        <f t="shared" si="245"/>
        <v>0</v>
      </c>
      <c r="L588" s="3139">
        <f t="shared" si="245"/>
        <v>0</v>
      </c>
      <c r="M588" s="3139">
        <f t="shared" si="245"/>
        <v>0</v>
      </c>
      <c r="N588" s="3139">
        <f t="shared" si="245"/>
        <v>0</v>
      </c>
      <c r="O588" s="3139">
        <f t="shared" si="245"/>
        <v>0</v>
      </c>
      <c r="P588" s="3139">
        <f t="shared" si="245"/>
        <v>0</v>
      </c>
      <c r="Q588" s="3123">
        <f t="shared" si="245"/>
        <v>0</v>
      </c>
      <c r="R588" s="2468"/>
      <c r="S588" s="2465"/>
      <c r="T588" s="2466"/>
      <c r="U588" s="2466"/>
      <c r="V588" s="2466"/>
      <c r="W588" s="2466"/>
      <c r="X588" s="2466"/>
    </row>
    <row r="589" spans="1:24" hidden="1" x14ac:dyDescent="0.2">
      <c r="B589" s="3252" t="s">
        <v>495</v>
      </c>
      <c r="C589" s="3218"/>
      <c r="D589" s="3218"/>
      <c r="E589" s="3218"/>
      <c r="F589" s="3139">
        <f t="shared" ref="F589:Q589" si="246">+F303*F304*F11</f>
        <v>0</v>
      </c>
      <c r="G589" s="3139">
        <f t="shared" si="246"/>
        <v>0</v>
      </c>
      <c r="H589" s="3139">
        <f t="shared" si="246"/>
        <v>0</v>
      </c>
      <c r="I589" s="3139">
        <f t="shared" si="246"/>
        <v>0</v>
      </c>
      <c r="J589" s="3139">
        <f t="shared" si="246"/>
        <v>0</v>
      </c>
      <c r="K589" s="3139">
        <f t="shared" si="246"/>
        <v>0</v>
      </c>
      <c r="L589" s="3139">
        <f t="shared" si="246"/>
        <v>0</v>
      </c>
      <c r="M589" s="3139">
        <f t="shared" si="246"/>
        <v>0</v>
      </c>
      <c r="N589" s="3139">
        <f t="shared" si="246"/>
        <v>0</v>
      </c>
      <c r="O589" s="3139">
        <f t="shared" si="246"/>
        <v>0</v>
      </c>
      <c r="P589" s="3139">
        <f t="shared" si="246"/>
        <v>0</v>
      </c>
      <c r="Q589" s="3123">
        <f t="shared" si="246"/>
        <v>0</v>
      </c>
      <c r="R589" s="2468"/>
      <c r="S589" s="2465"/>
      <c r="T589" s="2466"/>
      <c r="U589" s="2466"/>
      <c r="V589" s="2466"/>
      <c r="W589" s="2466"/>
      <c r="X589" s="2466"/>
    </row>
    <row r="590" spans="1:24" hidden="1" x14ac:dyDescent="0.2">
      <c r="B590" s="3252" t="s">
        <v>496</v>
      </c>
      <c r="C590" s="3218"/>
      <c r="D590" s="3218"/>
      <c r="E590" s="3218"/>
      <c r="F590" s="3139">
        <f>+A.Ganaderos!F135*A.Ganaderos!F136*F11</f>
        <v>0</v>
      </c>
      <c r="G590" s="3139">
        <f>+A.Ganaderos!G135*A.Ganaderos!G136*G11</f>
        <v>0</v>
      </c>
      <c r="H590" s="3139">
        <f>+A.Ganaderos!H135*A.Ganaderos!H136*H11</f>
        <v>0</v>
      </c>
      <c r="I590" s="3139">
        <f>+A.Ganaderos!I135*A.Ganaderos!I136*I11</f>
        <v>0</v>
      </c>
      <c r="J590" s="3139">
        <f>+A.Ganaderos!J135*A.Ganaderos!J136*J11</f>
        <v>0</v>
      </c>
      <c r="K590" s="3139">
        <f>+A.Ganaderos!K135*A.Ganaderos!K136*K11</f>
        <v>0</v>
      </c>
      <c r="L590" s="3139">
        <f>+A.Ganaderos!L135*A.Ganaderos!L136*L11</f>
        <v>0</v>
      </c>
      <c r="M590" s="3139">
        <f>+A.Ganaderos!M135*A.Ganaderos!M136*M11</f>
        <v>0</v>
      </c>
      <c r="N590" s="3139">
        <f>+A.Ganaderos!N135*A.Ganaderos!N136*N11</f>
        <v>0</v>
      </c>
      <c r="O590" s="3139">
        <f>+A.Ganaderos!O135*A.Ganaderos!O136*O11</f>
        <v>0</v>
      </c>
      <c r="P590" s="3139">
        <f>+A.Ganaderos!P135*A.Ganaderos!P136*P11</f>
        <v>0</v>
      </c>
      <c r="Q590" s="3123">
        <f>+A.Ganaderos!Q135*A.Ganaderos!Q136*Q11</f>
        <v>0</v>
      </c>
      <c r="R590" s="2468"/>
      <c r="S590" s="2465"/>
      <c r="T590" s="2466"/>
      <c r="U590" s="2466"/>
      <c r="V590" s="2466"/>
      <c r="W590" s="2466"/>
      <c r="X590" s="2466"/>
    </row>
    <row r="591" spans="1:24" ht="15.05" hidden="1" thickBot="1" x14ac:dyDescent="0.25">
      <c r="B591" s="3252" t="s">
        <v>480</v>
      </c>
      <c r="C591" s="3218"/>
      <c r="D591" s="3218"/>
      <c r="E591" s="3218"/>
      <c r="F591" s="3139">
        <f t="shared" ref="F591:Q591" si="247">+F326*F327*F11</f>
        <v>0</v>
      </c>
      <c r="G591" s="3139">
        <f t="shared" si="247"/>
        <v>0</v>
      </c>
      <c r="H591" s="3139">
        <f t="shared" si="247"/>
        <v>0</v>
      </c>
      <c r="I591" s="3139">
        <f t="shared" si="247"/>
        <v>0</v>
      </c>
      <c r="J591" s="3139">
        <f t="shared" si="247"/>
        <v>0</v>
      </c>
      <c r="K591" s="3139">
        <f t="shared" si="247"/>
        <v>0</v>
      </c>
      <c r="L591" s="3139">
        <f t="shared" si="247"/>
        <v>0</v>
      </c>
      <c r="M591" s="3139">
        <f t="shared" si="247"/>
        <v>0</v>
      </c>
      <c r="N591" s="3139">
        <f t="shared" si="247"/>
        <v>0</v>
      </c>
      <c r="O591" s="3139">
        <f t="shared" si="247"/>
        <v>0</v>
      </c>
      <c r="P591" s="3139">
        <f t="shared" si="247"/>
        <v>0</v>
      </c>
      <c r="Q591" s="3123">
        <f t="shared" si="247"/>
        <v>0</v>
      </c>
      <c r="R591" s="2468"/>
      <c r="S591" s="2465"/>
      <c r="T591" s="2466"/>
      <c r="U591" s="2466"/>
      <c r="V591" s="2466"/>
      <c r="W591" s="2466"/>
      <c r="X591" s="2466"/>
    </row>
    <row r="592" spans="1:24" ht="15.05" hidden="1" thickTop="1" x14ac:dyDescent="0.2">
      <c r="B592" s="3087" t="s">
        <v>2064</v>
      </c>
      <c r="C592" s="3268" t="s">
        <v>497</v>
      </c>
      <c r="D592" s="3268" t="s">
        <v>423</v>
      </c>
      <c r="E592" s="3268" t="s">
        <v>311</v>
      </c>
      <c r="F592" s="3250"/>
      <c r="G592" s="3250"/>
      <c r="H592" s="3250"/>
      <c r="I592" s="3250"/>
      <c r="J592" s="3250"/>
      <c r="K592" s="3250"/>
      <c r="L592" s="3250"/>
      <c r="M592" s="3250"/>
      <c r="N592" s="3250"/>
      <c r="O592" s="3250"/>
      <c r="P592" s="3250"/>
      <c r="Q592" s="3251"/>
      <c r="R592" s="2468"/>
      <c r="S592" s="2465"/>
      <c r="T592" s="2466"/>
      <c r="U592" s="2466"/>
      <c r="V592" s="2466"/>
      <c r="W592" s="2466"/>
      <c r="X592" s="2466"/>
    </row>
    <row r="593" spans="1:24" hidden="1" x14ac:dyDescent="0.2">
      <c r="A593" s="3269"/>
      <c r="B593" s="3252" t="s">
        <v>493</v>
      </c>
      <c r="C593" s="3218" t="s">
        <v>868</v>
      </c>
      <c r="D593" s="3218">
        <f>+Precios!C187</f>
        <v>222</v>
      </c>
      <c r="E593" s="3218" t="s">
        <v>338</v>
      </c>
      <c r="F593" s="3139">
        <f>+F587/1000*$D$593</f>
        <v>0</v>
      </c>
      <c r="G593" s="3139">
        <f t="shared" ref="G593:Q593" si="248">+G587/1000*$D$593</f>
        <v>0</v>
      </c>
      <c r="H593" s="3139">
        <f t="shared" si="248"/>
        <v>0</v>
      </c>
      <c r="I593" s="3139">
        <f t="shared" si="248"/>
        <v>0</v>
      </c>
      <c r="J593" s="3139">
        <f t="shared" si="248"/>
        <v>0</v>
      </c>
      <c r="K593" s="3139">
        <f t="shared" si="248"/>
        <v>0</v>
      </c>
      <c r="L593" s="3139">
        <f t="shared" si="248"/>
        <v>0</v>
      </c>
      <c r="M593" s="3139">
        <f t="shared" si="248"/>
        <v>0</v>
      </c>
      <c r="N593" s="3139">
        <f t="shared" si="248"/>
        <v>0</v>
      </c>
      <c r="O593" s="3139">
        <f t="shared" si="248"/>
        <v>0</v>
      </c>
      <c r="P593" s="3139">
        <f t="shared" si="248"/>
        <v>0</v>
      </c>
      <c r="Q593" s="3123">
        <f t="shared" si="248"/>
        <v>0</v>
      </c>
      <c r="R593" s="2468"/>
      <c r="S593" s="2465"/>
      <c r="T593" s="2466"/>
      <c r="U593" s="2466"/>
      <c r="V593" s="2466"/>
      <c r="W593" s="2466"/>
      <c r="X593" s="2466"/>
    </row>
    <row r="594" spans="1:24" hidden="1" x14ac:dyDescent="0.2">
      <c r="B594" s="3252" t="s">
        <v>494</v>
      </c>
      <c r="C594" s="3218" t="s">
        <v>867</v>
      </c>
      <c r="D594" s="3218">
        <f>+Precios!C186</f>
        <v>150</v>
      </c>
      <c r="E594" s="3218" t="s">
        <v>338</v>
      </c>
      <c r="F594" s="3139">
        <f>+F588/1000*$D$594</f>
        <v>0</v>
      </c>
      <c r="G594" s="3139">
        <f t="shared" ref="G594:Q594" si="249">+G588/1000*$D$594</f>
        <v>0</v>
      </c>
      <c r="H594" s="3139">
        <f t="shared" si="249"/>
        <v>0</v>
      </c>
      <c r="I594" s="3139">
        <f t="shared" si="249"/>
        <v>0</v>
      </c>
      <c r="J594" s="3139">
        <f t="shared" si="249"/>
        <v>0</v>
      </c>
      <c r="K594" s="3139">
        <f t="shared" si="249"/>
        <v>0</v>
      </c>
      <c r="L594" s="3139">
        <f t="shared" si="249"/>
        <v>0</v>
      </c>
      <c r="M594" s="3139">
        <f t="shared" si="249"/>
        <v>0</v>
      </c>
      <c r="N594" s="3139">
        <f t="shared" si="249"/>
        <v>0</v>
      </c>
      <c r="O594" s="3139">
        <f t="shared" si="249"/>
        <v>0</v>
      </c>
      <c r="P594" s="3139">
        <f t="shared" si="249"/>
        <v>0</v>
      </c>
      <c r="Q594" s="3123">
        <f t="shared" si="249"/>
        <v>0</v>
      </c>
      <c r="R594" s="2468"/>
      <c r="S594" s="2465"/>
      <c r="T594" s="2466"/>
      <c r="U594" s="2466"/>
      <c r="V594" s="2466"/>
      <c r="W594" s="2466"/>
      <c r="X594" s="2466"/>
    </row>
    <row r="595" spans="1:24" hidden="1" x14ac:dyDescent="0.2">
      <c r="B595" s="3252" t="s">
        <v>495</v>
      </c>
      <c r="C595" s="3218" t="s">
        <v>866</v>
      </c>
      <c r="D595" s="3218">
        <f>+Precios!C185</f>
        <v>222</v>
      </c>
      <c r="E595" s="3218" t="s">
        <v>338</v>
      </c>
      <c r="F595" s="3139">
        <f>+F589/1000*$D$595</f>
        <v>0</v>
      </c>
      <c r="G595" s="3139">
        <f t="shared" ref="G595:Q595" si="250">+G589/1000*$D$595</f>
        <v>0</v>
      </c>
      <c r="H595" s="3139">
        <f t="shared" si="250"/>
        <v>0</v>
      </c>
      <c r="I595" s="3139">
        <f t="shared" si="250"/>
        <v>0</v>
      </c>
      <c r="J595" s="3139">
        <f t="shared" si="250"/>
        <v>0</v>
      </c>
      <c r="K595" s="3139">
        <f t="shared" si="250"/>
        <v>0</v>
      </c>
      <c r="L595" s="3139">
        <f t="shared" si="250"/>
        <v>0</v>
      </c>
      <c r="M595" s="3139">
        <f t="shared" si="250"/>
        <v>0</v>
      </c>
      <c r="N595" s="3139">
        <f t="shared" si="250"/>
        <v>0</v>
      </c>
      <c r="O595" s="3139">
        <f t="shared" si="250"/>
        <v>0</v>
      </c>
      <c r="P595" s="3139">
        <f t="shared" si="250"/>
        <v>0</v>
      </c>
      <c r="Q595" s="3123">
        <f t="shared" si="250"/>
        <v>0</v>
      </c>
      <c r="R595" s="2468"/>
      <c r="S595" s="2465"/>
      <c r="T595" s="2466"/>
      <c r="U595" s="2466"/>
      <c r="V595" s="2466"/>
      <c r="W595" s="2466"/>
      <c r="X595" s="2466"/>
    </row>
    <row r="596" spans="1:24" hidden="1" x14ac:dyDescent="0.2">
      <c r="B596" s="3252" t="s">
        <v>496</v>
      </c>
      <c r="C596" s="3218" t="s">
        <v>867</v>
      </c>
      <c r="D596" s="3218">
        <f>+D594</f>
        <v>150</v>
      </c>
      <c r="E596" s="3218" t="s">
        <v>338</v>
      </c>
      <c r="F596" s="3139">
        <f>+F590/1000*$D$596</f>
        <v>0</v>
      </c>
      <c r="G596" s="3139">
        <f t="shared" ref="G596:Q596" si="251">+G590/1000*$D$596</f>
        <v>0</v>
      </c>
      <c r="H596" s="3139">
        <f t="shared" si="251"/>
        <v>0</v>
      </c>
      <c r="I596" s="3139">
        <f t="shared" si="251"/>
        <v>0</v>
      </c>
      <c r="J596" s="3139">
        <f t="shared" si="251"/>
        <v>0</v>
      </c>
      <c r="K596" s="3139">
        <f t="shared" si="251"/>
        <v>0</v>
      </c>
      <c r="L596" s="3139">
        <f t="shared" si="251"/>
        <v>0</v>
      </c>
      <c r="M596" s="3139">
        <f t="shared" si="251"/>
        <v>0</v>
      </c>
      <c r="N596" s="3139">
        <f t="shared" si="251"/>
        <v>0</v>
      </c>
      <c r="O596" s="3139">
        <f t="shared" si="251"/>
        <v>0</v>
      </c>
      <c r="P596" s="3139">
        <f t="shared" si="251"/>
        <v>0</v>
      </c>
      <c r="Q596" s="3123">
        <f t="shared" si="251"/>
        <v>0</v>
      </c>
      <c r="R596" s="2468"/>
      <c r="S596" s="2465"/>
      <c r="T596" s="2466"/>
      <c r="U596" s="2466"/>
      <c r="V596" s="2466"/>
      <c r="W596" s="2466"/>
      <c r="X596" s="2466"/>
    </row>
    <row r="597" spans="1:24" ht="15.05" hidden="1" thickBot="1" x14ac:dyDescent="0.25">
      <c r="B597" s="3270" t="s">
        <v>480</v>
      </c>
      <c r="C597" s="3271" t="s">
        <v>866</v>
      </c>
      <c r="D597" s="3271">
        <f>+D595</f>
        <v>222</v>
      </c>
      <c r="E597" s="3271" t="s">
        <v>338</v>
      </c>
      <c r="F597" s="3272">
        <f>+F591/1000*$D$597</f>
        <v>0</v>
      </c>
      <c r="G597" s="3272">
        <f t="shared" ref="G597:Q597" si="252">+G591/1000*$D$597</f>
        <v>0</v>
      </c>
      <c r="H597" s="3272">
        <f t="shared" si="252"/>
        <v>0</v>
      </c>
      <c r="I597" s="3272">
        <f t="shared" si="252"/>
        <v>0</v>
      </c>
      <c r="J597" s="3272">
        <f t="shared" si="252"/>
        <v>0</v>
      </c>
      <c r="K597" s="3272">
        <f t="shared" si="252"/>
        <v>0</v>
      </c>
      <c r="L597" s="3272">
        <f t="shared" si="252"/>
        <v>0</v>
      </c>
      <c r="M597" s="3272">
        <f t="shared" si="252"/>
        <v>0</v>
      </c>
      <c r="N597" s="3272">
        <f t="shared" si="252"/>
        <v>0</v>
      </c>
      <c r="O597" s="3272">
        <f t="shared" si="252"/>
        <v>0</v>
      </c>
      <c r="P597" s="3272">
        <f t="shared" si="252"/>
        <v>0</v>
      </c>
      <c r="Q597" s="3273">
        <f t="shared" si="252"/>
        <v>0</v>
      </c>
      <c r="R597" s="2468"/>
      <c r="S597" s="2465"/>
      <c r="T597" s="2466"/>
      <c r="U597" s="2466"/>
      <c r="V597" s="2466"/>
      <c r="W597" s="2466"/>
      <c r="X597" s="2466"/>
    </row>
    <row r="598" spans="1:24" ht="15.05" hidden="1" thickTop="1" x14ac:dyDescent="0.2">
      <c r="B598" s="3087" t="s">
        <v>2069</v>
      </c>
      <c r="C598" s="3268"/>
      <c r="D598" s="3268"/>
      <c r="E598" s="3268"/>
      <c r="F598" s="3250"/>
      <c r="G598" s="3250"/>
      <c r="H598" s="3250"/>
      <c r="I598" s="3250"/>
      <c r="J598" s="3250"/>
      <c r="K598" s="3250"/>
      <c r="L598" s="3250"/>
      <c r="M598" s="3250"/>
      <c r="N598" s="3250"/>
      <c r="O598" s="3250"/>
      <c r="P598" s="3250"/>
      <c r="Q598" s="3251"/>
      <c r="R598" s="2468"/>
      <c r="S598" s="2465"/>
      <c r="T598" s="2466"/>
      <c r="U598" s="2466"/>
      <c r="V598" s="2466"/>
      <c r="W598" s="2466"/>
      <c r="X598" s="2466"/>
    </row>
    <row r="599" spans="1:24" hidden="1" x14ac:dyDescent="0.2">
      <c r="B599" s="3252"/>
      <c r="C599" s="3218" t="s">
        <v>567</v>
      </c>
      <c r="D599" s="3218" t="s">
        <v>1643</v>
      </c>
      <c r="E599" s="3218"/>
      <c r="F599" s="3139">
        <f t="shared" ref="F599:Q599" si="253">F91*F95*F11</f>
        <v>0</v>
      </c>
      <c r="G599" s="3139">
        <f t="shared" si="253"/>
        <v>0</v>
      </c>
      <c r="H599" s="3139">
        <f t="shared" si="253"/>
        <v>0</v>
      </c>
      <c r="I599" s="3139">
        <f t="shared" si="253"/>
        <v>0</v>
      </c>
      <c r="J599" s="3139">
        <f t="shared" si="253"/>
        <v>0</v>
      </c>
      <c r="K599" s="3139">
        <f t="shared" si="253"/>
        <v>0</v>
      </c>
      <c r="L599" s="3139">
        <f t="shared" si="253"/>
        <v>0</v>
      </c>
      <c r="M599" s="3139">
        <f t="shared" si="253"/>
        <v>0</v>
      </c>
      <c r="N599" s="3139">
        <f t="shared" si="253"/>
        <v>0</v>
      </c>
      <c r="O599" s="3139">
        <f t="shared" si="253"/>
        <v>0</v>
      </c>
      <c r="P599" s="3139">
        <f t="shared" si="253"/>
        <v>0</v>
      </c>
      <c r="Q599" s="3123">
        <f t="shared" si="253"/>
        <v>0</v>
      </c>
      <c r="R599" s="2468"/>
      <c r="S599" s="2465"/>
      <c r="T599" s="2466"/>
      <c r="U599" s="2466"/>
      <c r="V599" s="2466"/>
      <c r="W599" s="2466"/>
      <c r="X599" s="2466"/>
    </row>
    <row r="600" spans="1:24" hidden="1" x14ac:dyDescent="0.2">
      <c r="B600" s="3252"/>
      <c r="C600" s="3218" t="s">
        <v>567</v>
      </c>
      <c r="D600" s="3218" t="s">
        <v>1644</v>
      </c>
      <c r="E600" s="3218"/>
      <c r="F600" s="3139">
        <f t="shared" ref="F600:Q600" si="254">F92*F95*F11</f>
        <v>0</v>
      </c>
      <c r="G600" s="3139">
        <f t="shared" si="254"/>
        <v>0</v>
      </c>
      <c r="H600" s="3139">
        <f t="shared" si="254"/>
        <v>0</v>
      </c>
      <c r="I600" s="3139">
        <f t="shared" si="254"/>
        <v>0</v>
      </c>
      <c r="J600" s="3139">
        <f t="shared" si="254"/>
        <v>0</v>
      </c>
      <c r="K600" s="3139">
        <f t="shared" si="254"/>
        <v>0</v>
      </c>
      <c r="L600" s="3139">
        <f t="shared" si="254"/>
        <v>0</v>
      </c>
      <c r="M600" s="3139">
        <f t="shared" si="254"/>
        <v>0</v>
      </c>
      <c r="N600" s="3139">
        <f t="shared" si="254"/>
        <v>0</v>
      </c>
      <c r="O600" s="3139">
        <f t="shared" si="254"/>
        <v>0</v>
      </c>
      <c r="P600" s="3139">
        <f t="shared" si="254"/>
        <v>0</v>
      </c>
      <c r="Q600" s="3123">
        <f t="shared" si="254"/>
        <v>0</v>
      </c>
      <c r="R600" s="2468"/>
      <c r="S600" s="2465"/>
      <c r="T600" s="2466"/>
      <c r="U600" s="2466"/>
      <c r="V600" s="2466"/>
      <c r="W600" s="2466"/>
      <c r="X600" s="2466"/>
    </row>
    <row r="601" spans="1:24" hidden="1" x14ac:dyDescent="0.2">
      <c r="B601" s="3252"/>
      <c r="C601" s="3218" t="s">
        <v>568</v>
      </c>
      <c r="D601" s="3218"/>
      <c r="E601" s="3218"/>
      <c r="F601" s="3139">
        <f t="shared" ref="F601:Q601" si="255">+F282*F280*F11</f>
        <v>0</v>
      </c>
      <c r="G601" s="3139">
        <f t="shared" si="255"/>
        <v>0</v>
      </c>
      <c r="H601" s="3139">
        <f t="shared" si="255"/>
        <v>0</v>
      </c>
      <c r="I601" s="3139">
        <f t="shared" si="255"/>
        <v>0</v>
      </c>
      <c r="J601" s="3139">
        <f t="shared" si="255"/>
        <v>0</v>
      </c>
      <c r="K601" s="3139">
        <f t="shared" si="255"/>
        <v>0</v>
      </c>
      <c r="L601" s="3139">
        <f t="shared" si="255"/>
        <v>0</v>
      </c>
      <c r="M601" s="3139">
        <f t="shared" si="255"/>
        <v>0</v>
      </c>
      <c r="N601" s="3139">
        <f t="shared" si="255"/>
        <v>0</v>
      </c>
      <c r="O601" s="3139">
        <f t="shared" si="255"/>
        <v>0</v>
      </c>
      <c r="P601" s="3139">
        <f t="shared" si="255"/>
        <v>0</v>
      </c>
      <c r="Q601" s="3123">
        <f t="shared" si="255"/>
        <v>0</v>
      </c>
      <c r="R601" s="2468"/>
      <c r="S601" s="2465"/>
      <c r="T601" s="2466"/>
      <c r="U601" s="2466"/>
      <c r="V601" s="2466"/>
      <c r="W601" s="2466"/>
      <c r="X601" s="2466"/>
    </row>
    <row r="602" spans="1:24" hidden="1" x14ac:dyDescent="0.2">
      <c r="B602" s="3252"/>
      <c r="C602" s="3218" t="s">
        <v>569</v>
      </c>
      <c r="D602" s="3218"/>
      <c r="E602" s="3218"/>
      <c r="F602" s="3139">
        <f t="shared" ref="F602:Q602" si="256">+F305*F303*F11</f>
        <v>0</v>
      </c>
      <c r="G602" s="3139">
        <f t="shared" si="256"/>
        <v>0</v>
      </c>
      <c r="H602" s="3139">
        <f t="shared" si="256"/>
        <v>0</v>
      </c>
      <c r="I602" s="3139">
        <f t="shared" si="256"/>
        <v>0</v>
      </c>
      <c r="J602" s="3139">
        <f t="shared" si="256"/>
        <v>0</v>
      </c>
      <c r="K602" s="3139">
        <f t="shared" si="256"/>
        <v>0</v>
      </c>
      <c r="L602" s="3139">
        <f t="shared" si="256"/>
        <v>0</v>
      </c>
      <c r="M602" s="3139">
        <f t="shared" si="256"/>
        <v>0</v>
      </c>
      <c r="N602" s="3139">
        <f t="shared" si="256"/>
        <v>0</v>
      </c>
      <c r="O602" s="3139">
        <f t="shared" si="256"/>
        <v>0</v>
      </c>
      <c r="P602" s="3139">
        <f t="shared" si="256"/>
        <v>0</v>
      </c>
      <c r="Q602" s="3123">
        <f t="shared" si="256"/>
        <v>0</v>
      </c>
      <c r="R602" s="2468"/>
      <c r="S602" s="2465"/>
      <c r="T602" s="2466"/>
      <c r="U602" s="2466"/>
      <c r="V602" s="2466"/>
      <c r="W602" s="2466"/>
      <c r="X602" s="2466"/>
    </row>
    <row r="603" spans="1:24" hidden="1" x14ac:dyDescent="0.2">
      <c r="B603" s="3252"/>
      <c r="C603" s="3218" t="s">
        <v>1580</v>
      </c>
      <c r="D603" s="3218"/>
      <c r="E603" s="3218"/>
      <c r="F603" s="3139">
        <f t="shared" ref="F603:Q603" si="257">+F328*F326*F11</f>
        <v>0</v>
      </c>
      <c r="G603" s="3139">
        <f t="shared" si="257"/>
        <v>0</v>
      </c>
      <c r="H603" s="3139">
        <f t="shared" si="257"/>
        <v>0</v>
      </c>
      <c r="I603" s="3139">
        <f t="shared" si="257"/>
        <v>0</v>
      </c>
      <c r="J603" s="3139">
        <f t="shared" si="257"/>
        <v>0</v>
      </c>
      <c r="K603" s="3139">
        <f t="shared" si="257"/>
        <v>0</v>
      </c>
      <c r="L603" s="3139">
        <f t="shared" si="257"/>
        <v>0</v>
      </c>
      <c r="M603" s="3139">
        <f t="shared" si="257"/>
        <v>0</v>
      </c>
      <c r="N603" s="3139">
        <f t="shared" si="257"/>
        <v>0</v>
      </c>
      <c r="O603" s="3139">
        <f t="shared" si="257"/>
        <v>0</v>
      </c>
      <c r="P603" s="3139">
        <f t="shared" si="257"/>
        <v>0</v>
      </c>
      <c r="Q603" s="3123">
        <f t="shared" si="257"/>
        <v>0</v>
      </c>
      <c r="R603" s="2468"/>
      <c r="S603" s="2465"/>
      <c r="T603" s="2466"/>
      <c r="U603" s="2466"/>
      <c r="V603" s="2466"/>
      <c r="W603" s="2466"/>
      <c r="X603" s="2466"/>
    </row>
    <row r="604" spans="1:24" ht="15.05" hidden="1" thickBot="1" x14ac:dyDescent="0.25">
      <c r="B604" s="3270"/>
      <c r="C604" s="3271" t="s">
        <v>570</v>
      </c>
      <c r="D604" s="3271"/>
      <c r="E604" s="3271"/>
      <c r="F604" s="3272">
        <f>+A.Ganaderos!F137*A.Ganaderos!F135*F11</f>
        <v>0</v>
      </c>
      <c r="G604" s="3272">
        <f>+A.Ganaderos!G137*A.Ganaderos!G135*G11</f>
        <v>0</v>
      </c>
      <c r="H604" s="3272">
        <f>+A.Ganaderos!H137*A.Ganaderos!H135*H11</f>
        <v>0</v>
      </c>
      <c r="I604" s="3272">
        <f>+A.Ganaderos!I137*A.Ganaderos!I135*I11</f>
        <v>0</v>
      </c>
      <c r="J604" s="3272">
        <f>+A.Ganaderos!J137*A.Ganaderos!J135*J11</f>
        <v>0</v>
      </c>
      <c r="K604" s="3272">
        <f>+A.Ganaderos!K137*A.Ganaderos!K135*K11</f>
        <v>0</v>
      </c>
      <c r="L604" s="3272">
        <f>+A.Ganaderos!L137*A.Ganaderos!L135*L11</f>
        <v>0</v>
      </c>
      <c r="M604" s="3272">
        <f>+A.Ganaderos!M137*A.Ganaderos!M135*M11</f>
        <v>0</v>
      </c>
      <c r="N604" s="3272">
        <f>+A.Ganaderos!N137*A.Ganaderos!N135*N11</f>
        <v>0</v>
      </c>
      <c r="O604" s="3272">
        <f>+A.Ganaderos!O137*A.Ganaderos!O135*O11</f>
        <v>0</v>
      </c>
      <c r="P604" s="3272">
        <f>+A.Ganaderos!P137*A.Ganaderos!P135*P11</f>
        <v>0</v>
      </c>
      <c r="Q604" s="3273">
        <f>+A.Ganaderos!Q137*A.Ganaderos!Q135*Q11</f>
        <v>0</v>
      </c>
      <c r="R604" s="2468"/>
      <c r="S604" s="2465"/>
      <c r="T604" s="2466"/>
      <c r="U604" s="2466"/>
      <c r="V604" s="2466"/>
      <c r="W604" s="2466"/>
      <c r="X604" s="2466"/>
    </row>
    <row r="605" spans="1:24" ht="15.05" hidden="1" thickTop="1" x14ac:dyDescent="0.2">
      <c r="B605" s="3274" t="s">
        <v>2067</v>
      </c>
      <c r="C605" s="3275" t="s">
        <v>2065</v>
      </c>
      <c r="D605" s="3275"/>
      <c r="E605" s="3275"/>
      <c r="F605" s="3276">
        <f>+F599</f>
        <v>0</v>
      </c>
      <c r="G605" s="3276">
        <f t="shared" ref="G605:Q605" si="258">+G599</f>
        <v>0</v>
      </c>
      <c r="H605" s="3276">
        <f t="shared" si="258"/>
        <v>0</v>
      </c>
      <c r="I605" s="3276">
        <f t="shared" si="258"/>
        <v>0</v>
      </c>
      <c r="J605" s="3276">
        <f t="shared" si="258"/>
        <v>0</v>
      </c>
      <c r="K605" s="3276">
        <f t="shared" si="258"/>
        <v>0</v>
      </c>
      <c r="L605" s="3276">
        <f t="shared" si="258"/>
        <v>0</v>
      </c>
      <c r="M605" s="3276">
        <f t="shared" si="258"/>
        <v>0</v>
      </c>
      <c r="N605" s="3276">
        <f t="shared" si="258"/>
        <v>0</v>
      </c>
      <c r="O605" s="3276">
        <f t="shared" si="258"/>
        <v>0</v>
      </c>
      <c r="P605" s="3276">
        <f t="shared" si="258"/>
        <v>0</v>
      </c>
      <c r="Q605" s="3277">
        <f t="shared" si="258"/>
        <v>0</v>
      </c>
      <c r="R605" s="3278">
        <f>+SUM(F605:Q605)</f>
        <v>0</v>
      </c>
      <c r="S605" s="2465"/>
      <c r="T605" s="2466"/>
      <c r="U605" s="2466"/>
      <c r="V605" s="2466"/>
      <c r="W605" s="2466"/>
      <c r="X605" s="2466"/>
    </row>
    <row r="606" spans="1:24" hidden="1" x14ac:dyDescent="0.2">
      <c r="B606" s="3252"/>
      <c r="C606" s="3218" t="s">
        <v>2066</v>
      </c>
      <c r="D606" s="3218"/>
      <c r="E606" s="3218"/>
      <c r="F606" s="3139">
        <f>SUM(F600:F604)</f>
        <v>0</v>
      </c>
      <c r="G606" s="3139">
        <f>SUM(G600:G604)</f>
        <v>0</v>
      </c>
      <c r="H606" s="3139">
        <f t="shared" ref="H606:Q606" si="259">SUM(H600:H604)</f>
        <v>0</v>
      </c>
      <c r="I606" s="3139">
        <f t="shared" si="259"/>
        <v>0</v>
      </c>
      <c r="J606" s="3139">
        <f t="shared" si="259"/>
        <v>0</v>
      </c>
      <c r="K606" s="3139">
        <f t="shared" si="259"/>
        <v>0</v>
      </c>
      <c r="L606" s="3139">
        <f t="shared" si="259"/>
        <v>0</v>
      </c>
      <c r="M606" s="3139">
        <f t="shared" si="259"/>
        <v>0</v>
      </c>
      <c r="N606" s="3139">
        <f t="shared" si="259"/>
        <v>0</v>
      </c>
      <c r="O606" s="3139">
        <f t="shared" si="259"/>
        <v>0</v>
      </c>
      <c r="P606" s="3139">
        <f t="shared" si="259"/>
        <v>0</v>
      </c>
      <c r="Q606" s="3123">
        <f t="shared" si="259"/>
        <v>0</v>
      </c>
      <c r="R606" s="3279">
        <f>+SUM(F606:Q606)</f>
        <v>0</v>
      </c>
      <c r="S606" s="2465"/>
      <c r="T606" s="2466"/>
      <c r="U606" s="2466"/>
      <c r="V606" s="2466"/>
      <c r="W606" s="2466"/>
      <c r="X606" s="2466"/>
    </row>
    <row r="607" spans="1:24" ht="15.05" hidden="1" thickBot="1" x14ac:dyDescent="0.25">
      <c r="B607" s="3270"/>
      <c r="C607" s="3271" t="s">
        <v>11</v>
      </c>
      <c r="D607" s="3271"/>
      <c r="E607" s="3271"/>
      <c r="F607" s="3272">
        <f>+SUM(F599:F604)</f>
        <v>0</v>
      </c>
      <c r="G607" s="3272">
        <f t="shared" ref="G607:Q607" si="260">+SUM(G599:G604)</f>
        <v>0</v>
      </c>
      <c r="H607" s="3272">
        <f t="shared" si="260"/>
        <v>0</v>
      </c>
      <c r="I607" s="3272">
        <f t="shared" si="260"/>
        <v>0</v>
      </c>
      <c r="J607" s="3272">
        <f t="shared" si="260"/>
        <v>0</v>
      </c>
      <c r="K607" s="3272">
        <f t="shared" si="260"/>
        <v>0</v>
      </c>
      <c r="L607" s="3272">
        <f t="shared" si="260"/>
        <v>0</v>
      </c>
      <c r="M607" s="3272">
        <f t="shared" si="260"/>
        <v>0</v>
      </c>
      <c r="N607" s="3272">
        <f t="shared" si="260"/>
        <v>0</v>
      </c>
      <c r="O607" s="3272">
        <f t="shared" si="260"/>
        <v>0</v>
      </c>
      <c r="P607" s="3272">
        <f t="shared" si="260"/>
        <v>0</v>
      </c>
      <c r="Q607" s="3273">
        <f t="shared" si="260"/>
        <v>0</v>
      </c>
      <c r="R607" s="3280"/>
      <c r="S607" s="2465"/>
      <c r="T607" s="2466"/>
      <c r="U607" s="2466"/>
      <c r="V607" s="2466"/>
      <c r="W607" s="2466"/>
      <c r="X607" s="2466"/>
    </row>
    <row r="608" spans="1:24" ht="15.05" hidden="1" thickTop="1" x14ac:dyDescent="0.2">
      <c r="B608" s="2466"/>
      <c r="C608" s="2465"/>
      <c r="D608" s="2466"/>
      <c r="E608" s="2466"/>
      <c r="F608" s="3281"/>
      <c r="G608" s="3281"/>
      <c r="H608" s="3281"/>
      <c r="I608" s="3281"/>
      <c r="J608" s="3281"/>
      <c r="K608" s="3281"/>
      <c r="L608" s="3281"/>
      <c r="M608" s="3281"/>
      <c r="N608" s="3281"/>
      <c r="O608" s="3281"/>
      <c r="P608" s="3281"/>
      <c r="Q608" s="3281"/>
      <c r="R608" s="2468"/>
      <c r="S608" s="2465"/>
      <c r="T608" s="2466"/>
      <c r="U608" s="2466"/>
      <c r="V608" s="2466"/>
      <c r="W608" s="2466"/>
      <c r="X608" s="2466"/>
    </row>
    <row r="609" spans="1:24" hidden="1" x14ac:dyDescent="0.2">
      <c r="B609" s="2468"/>
      <c r="R609" s="2468"/>
      <c r="S609" s="2468"/>
    </row>
    <row r="610" spans="1:24" hidden="1" x14ac:dyDescent="0.2">
      <c r="B610" s="2468"/>
    </row>
    <row r="611" spans="1:24" hidden="1" x14ac:dyDescent="0.2">
      <c r="B611" s="2468"/>
    </row>
    <row r="612" spans="1:24" hidden="1" x14ac:dyDescent="0.2"/>
    <row r="613" spans="1:24" hidden="1" x14ac:dyDescent="0.2">
      <c r="S613" s="2468"/>
      <c r="T613" s="2468"/>
    </row>
    <row r="614" spans="1:24" s="2475" customFormat="1" ht="15.9" hidden="1" customHeight="1" thickBot="1" x14ac:dyDescent="0.25">
      <c r="A614" s="3071">
        <v>1137</v>
      </c>
      <c r="B614" s="3198" t="s">
        <v>2070</v>
      </c>
      <c r="C614" s="3199"/>
      <c r="D614" s="3198"/>
      <c r="E614" s="3198"/>
      <c r="F614" s="3198"/>
      <c r="G614" s="3198"/>
      <c r="H614" s="3198"/>
      <c r="I614" s="3198"/>
      <c r="J614" s="3198"/>
      <c r="K614" s="3198"/>
      <c r="L614" s="3198"/>
      <c r="M614" s="3198"/>
      <c r="N614" s="3198"/>
      <c r="O614" s="3198"/>
      <c r="P614" s="3198"/>
      <c r="Q614" s="3198"/>
      <c r="R614" s="3198"/>
      <c r="S614" s="3266"/>
      <c r="T614" s="2970"/>
      <c r="X614" s="3177"/>
    </row>
    <row r="615" spans="1:24" ht="15.05" hidden="1" thickTop="1" x14ac:dyDescent="0.2">
      <c r="B615" s="3282" t="s">
        <v>1195</v>
      </c>
      <c r="C615" s="3283"/>
      <c r="D615" s="3284"/>
      <c r="E615" s="3284"/>
      <c r="F615" s="3285">
        <f t="shared" ref="F615:Q615" si="261">+F46*F44</f>
        <v>0</v>
      </c>
      <c r="G615" s="3286">
        <f t="shared" si="261"/>
        <v>0</v>
      </c>
      <c r="H615" s="3286">
        <f t="shared" si="261"/>
        <v>0</v>
      </c>
      <c r="I615" s="3286">
        <f t="shared" si="261"/>
        <v>0</v>
      </c>
      <c r="J615" s="3286">
        <f t="shared" si="261"/>
        <v>0</v>
      </c>
      <c r="K615" s="3286">
        <f t="shared" si="261"/>
        <v>0</v>
      </c>
      <c r="L615" s="3286">
        <f t="shared" si="261"/>
        <v>0</v>
      </c>
      <c r="M615" s="3286">
        <f t="shared" si="261"/>
        <v>0</v>
      </c>
      <c r="N615" s="3286">
        <f t="shared" si="261"/>
        <v>0</v>
      </c>
      <c r="O615" s="3286">
        <f t="shared" si="261"/>
        <v>0</v>
      </c>
      <c r="P615" s="3286">
        <f t="shared" si="261"/>
        <v>0</v>
      </c>
      <c r="Q615" s="3286">
        <f t="shared" si="261"/>
        <v>0</v>
      </c>
      <c r="R615" s="3287">
        <f>+SUM(F615:Q615)</f>
        <v>0</v>
      </c>
      <c r="S615" s="2468"/>
      <c r="T615" s="2468"/>
    </row>
    <row r="616" spans="1:24" ht="15.05" hidden="1" thickBot="1" x14ac:dyDescent="0.25">
      <c r="B616" s="3098" t="s">
        <v>1196</v>
      </c>
      <c r="C616" s="3127"/>
      <c r="D616" s="3288"/>
      <c r="E616" s="3288"/>
      <c r="F616" s="3289">
        <f t="shared" ref="F616:Q616" si="262">+F46*F45</f>
        <v>0</v>
      </c>
      <c r="G616" s="3290">
        <f t="shared" si="262"/>
        <v>0</v>
      </c>
      <c r="H616" s="3290">
        <f t="shared" si="262"/>
        <v>0</v>
      </c>
      <c r="I616" s="3290">
        <f t="shared" si="262"/>
        <v>0</v>
      </c>
      <c r="J616" s="3290">
        <f t="shared" si="262"/>
        <v>0</v>
      </c>
      <c r="K616" s="3290">
        <f t="shared" si="262"/>
        <v>0</v>
      </c>
      <c r="L616" s="3290">
        <f t="shared" si="262"/>
        <v>0</v>
      </c>
      <c r="M616" s="3290">
        <f t="shared" si="262"/>
        <v>0</v>
      </c>
      <c r="N616" s="3290">
        <f t="shared" si="262"/>
        <v>0</v>
      </c>
      <c r="O616" s="3290">
        <f t="shared" si="262"/>
        <v>0</v>
      </c>
      <c r="P616" s="3290">
        <f t="shared" si="262"/>
        <v>0</v>
      </c>
      <c r="Q616" s="3290">
        <f t="shared" si="262"/>
        <v>0</v>
      </c>
      <c r="R616" s="3291">
        <f>+SUM(F616:Q616)</f>
        <v>0</v>
      </c>
      <c r="S616" s="2468"/>
      <c r="T616" s="2468"/>
    </row>
    <row r="617" spans="1:24" ht="15.05" hidden="1" thickTop="1" x14ac:dyDescent="0.2"/>
    <row r="618" spans="1:24" s="2475" customFormat="1" ht="15.9" hidden="1" customHeight="1" x14ac:dyDescent="0.2">
      <c r="A618" s="3266"/>
      <c r="B618" s="3198" t="s">
        <v>2071</v>
      </c>
      <c r="C618" s="3199"/>
      <c r="D618" s="3198"/>
      <c r="E618" s="3198"/>
      <c r="F618" s="3198"/>
      <c r="G618" s="3198"/>
      <c r="H618" s="3198"/>
      <c r="I618" s="3198"/>
      <c r="J618" s="3198"/>
      <c r="K618" s="3198"/>
      <c r="L618" s="3198"/>
      <c r="M618" s="3198"/>
      <c r="N618" s="3198"/>
      <c r="O618" s="3198"/>
      <c r="P618" s="3198"/>
      <c r="Q618" s="3198"/>
      <c r="R618" s="3198"/>
      <c r="S618" s="3266"/>
      <c r="T618" s="2970"/>
      <c r="X618" s="3177"/>
    </row>
    <row r="619" spans="1:24" hidden="1" x14ac:dyDescent="0.2">
      <c r="A619" s="3071">
        <v>1138</v>
      </c>
      <c r="B619" s="3292" t="s">
        <v>1339</v>
      </c>
      <c r="C619" s="2556" t="s">
        <v>1333</v>
      </c>
      <c r="D619" s="2618" t="s">
        <v>1334</v>
      </c>
      <c r="F619" s="3071">
        <v>1139</v>
      </c>
      <c r="G619" s="3292" t="s">
        <v>1340</v>
      </c>
      <c r="S619" s="2468"/>
      <c r="T619" s="2468"/>
    </row>
    <row r="620" spans="1:24" hidden="1" x14ac:dyDescent="0.2">
      <c r="B620" s="3078" t="s">
        <v>1329</v>
      </c>
      <c r="C620" s="3293" t="s">
        <v>1327</v>
      </c>
      <c r="D620" s="3078" t="s">
        <v>1335</v>
      </c>
      <c r="E620" s="3078" t="s">
        <v>1342</v>
      </c>
      <c r="G620" s="2618" t="s">
        <v>1341</v>
      </c>
      <c r="H620" s="2618" t="s">
        <v>1343</v>
      </c>
      <c r="I620" s="3294"/>
      <c r="J620" s="3295"/>
      <c r="S620" s="2468"/>
      <c r="T620" s="2468"/>
    </row>
    <row r="621" spans="1:24" hidden="1" x14ac:dyDescent="0.2">
      <c r="B621" s="3078" t="str">
        <f>+B9</f>
        <v>Vacas en ordeñe</v>
      </c>
      <c r="C621" s="3296">
        <f>+R36</f>
        <v>0</v>
      </c>
      <c r="D621" s="3296">
        <f>+R42</f>
        <v>0</v>
      </c>
      <c r="G621" s="3297">
        <f>1.05+((5.88*R43)/100)</f>
        <v>1.05</v>
      </c>
      <c r="H621" s="3184">
        <f>+D621*G621</f>
        <v>0</v>
      </c>
      <c r="I621" s="3298"/>
      <c r="J621" s="3299"/>
      <c r="S621" s="2468"/>
      <c r="T621" s="2468"/>
    </row>
    <row r="622" spans="1:24" hidden="1" x14ac:dyDescent="0.2">
      <c r="B622" s="3078" t="str">
        <f>+B67</f>
        <v xml:space="preserve">Vacas secas </v>
      </c>
      <c r="C622" s="3078"/>
      <c r="D622" s="3184">
        <f>+R86</f>
        <v>0</v>
      </c>
      <c r="G622" s="3293">
        <v>1.3</v>
      </c>
      <c r="H622" s="3184">
        <f t="shared" ref="H622:H633" si="263">+D622*G622</f>
        <v>0</v>
      </c>
      <c r="I622" s="3300">
        <f>+H622+H621</f>
        <v>0</v>
      </c>
      <c r="J622" s="3301" t="s">
        <v>1345</v>
      </c>
      <c r="S622" s="2468"/>
      <c r="T622" s="2468"/>
    </row>
    <row r="623" spans="1:24" hidden="1" x14ac:dyDescent="0.2">
      <c r="B623" s="3078" t="str">
        <f>+B98&amp;B99</f>
        <v>Vaquillonas preñadasa parir en el 1er trimestre</v>
      </c>
      <c r="C623" s="3296">
        <f>+R114</f>
        <v>0</v>
      </c>
      <c r="D623" s="3184">
        <f>+R118</f>
        <v>0</v>
      </c>
      <c r="G623" s="3293">
        <v>1.3</v>
      </c>
      <c r="H623" s="3184">
        <f t="shared" si="263"/>
        <v>0</v>
      </c>
      <c r="I623" s="3298"/>
      <c r="J623" s="3299"/>
      <c r="S623" s="2468"/>
      <c r="T623" s="2468"/>
    </row>
    <row r="624" spans="1:24" hidden="1" x14ac:dyDescent="0.2">
      <c r="B624" s="3078" t="str">
        <f>+B126&amp;B127</f>
        <v>Vaquillonas preñadasa parir en el 2do trimestre</v>
      </c>
      <c r="C624" s="3296">
        <f>+R142</f>
        <v>0</v>
      </c>
      <c r="D624" s="3184">
        <f>+R146</f>
        <v>0</v>
      </c>
      <c r="G624" s="3293">
        <v>1</v>
      </c>
      <c r="H624" s="3184">
        <f t="shared" si="263"/>
        <v>0</v>
      </c>
      <c r="I624" s="3294"/>
      <c r="J624" s="3302"/>
      <c r="S624" s="2468"/>
      <c r="T624" s="2468"/>
    </row>
    <row r="625" spans="2:20" hidden="1" x14ac:dyDescent="0.2">
      <c r="B625" s="3078" t="str">
        <f>+B154&amp;B155</f>
        <v>Vaquillonas preñadasa parir en el 3er trimestre</v>
      </c>
      <c r="C625" s="3296">
        <f>+R170</f>
        <v>0</v>
      </c>
      <c r="D625" s="3184">
        <f>+R174</f>
        <v>0</v>
      </c>
      <c r="G625" s="3293">
        <v>1</v>
      </c>
      <c r="H625" s="3184">
        <f t="shared" si="263"/>
        <v>0</v>
      </c>
      <c r="I625" s="3294"/>
      <c r="J625" s="3302"/>
      <c r="S625" s="2468"/>
      <c r="T625" s="2468"/>
    </row>
    <row r="626" spans="2:20" hidden="1" x14ac:dyDescent="0.2">
      <c r="B626" s="3078" t="str">
        <f>+B182&amp;B183</f>
        <v>Vaquillonas a parir en el 4to trimestre</v>
      </c>
      <c r="C626" s="3296">
        <f>+R198</f>
        <v>0</v>
      </c>
      <c r="D626" s="3184">
        <f>+R202</f>
        <v>0</v>
      </c>
      <c r="G626" s="3293">
        <v>1</v>
      </c>
      <c r="H626" s="3184">
        <f t="shared" si="263"/>
        <v>0</v>
      </c>
      <c r="I626" s="3294"/>
      <c r="J626" s="3302"/>
      <c r="S626" s="2468"/>
      <c r="T626" s="2468"/>
    </row>
    <row r="627" spans="2:20" hidden="1" x14ac:dyDescent="0.2">
      <c r="B627" s="3078" t="str">
        <f>+B210</f>
        <v>Vaquillonas</v>
      </c>
      <c r="C627" s="3296">
        <f>+R223</f>
        <v>0</v>
      </c>
      <c r="D627" s="3184">
        <f>+R229</f>
        <v>0</v>
      </c>
      <c r="G627" s="3293">
        <v>0.7</v>
      </c>
      <c r="H627" s="3184">
        <f t="shared" si="263"/>
        <v>0</v>
      </c>
      <c r="I627" s="3294"/>
      <c r="J627" s="3302"/>
      <c r="S627" s="2468"/>
      <c r="T627" s="2468"/>
    </row>
    <row r="628" spans="2:20" hidden="1" x14ac:dyDescent="0.2">
      <c r="B628" s="3078" t="str">
        <f>+B330</f>
        <v>Toros</v>
      </c>
      <c r="C628" s="3296">
        <f>+R343</f>
        <v>0</v>
      </c>
      <c r="D628" s="3184">
        <f>+R346</f>
        <v>0</v>
      </c>
      <c r="G628" s="3293">
        <v>1.8</v>
      </c>
      <c r="H628" s="3184">
        <f t="shared" si="263"/>
        <v>0</v>
      </c>
      <c r="I628" s="3294"/>
      <c r="J628" s="3302"/>
      <c r="S628" s="2468"/>
      <c r="T628" s="2468"/>
    </row>
    <row r="629" spans="2:20" hidden="1" x14ac:dyDescent="0.2">
      <c r="B629" s="3303" t="s">
        <v>230</v>
      </c>
      <c r="C629" s="3304">
        <f>+SUM(C621:C628)</f>
        <v>0</v>
      </c>
      <c r="D629" s="3304">
        <f>+SUM(D621:D628)</f>
        <v>0</v>
      </c>
      <c r="E629" s="3305" t="e">
        <f>+C629/D629</f>
        <v>#DIV/0!</v>
      </c>
      <c r="G629" s="3306"/>
      <c r="H629" s="3304">
        <f>+SUM(H621:H628)</f>
        <v>0</v>
      </c>
      <c r="I629" s="3294"/>
      <c r="J629" s="3302"/>
      <c r="S629" s="2468"/>
      <c r="T629" s="2468"/>
    </row>
    <row r="630" spans="2:20" hidden="1" x14ac:dyDescent="0.2">
      <c r="B630" s="3078" t="str">
        <f>+B237</f>
        <v xml:space="preserve">Terneras &gt; 6 meses </v>
      </c>
      <c r="C630" s="3296">
        <f>+R252</f>
        <v>0</v>
      </c>
      <c r="D630" s="3184">
        <f>+R255</f>
        <v>0</v>
      </c>
      <c r="G630" s="3293">
        <v>0.4</v>
      </c>
      <c r="H630" s="3184">
        <f t="shared" si="263"/>
        <v>0</v>
      </c>
      <c r="I630" s="3294"/>
      <c r="J630" s="3302"/>
      <c r="K630" s="2468"/>
      <c r="L630" s="2468"/>
      <c r="M630" s="2468"/>
      <c r="N630" s="2468"/>
      <c r="O630" s="2468"/>
      <c r="P630" s="2468"/>
      <c r="Q630" s="2468"/>
      <c r="R630" s="2468"/>
      <c r="S630" s="2468"/>
      <c r="T630" s="2468"/>
    </row>
    <row r="631" spans="2:20" hidden="1" x14ac:dyDescent="0.2">
      <c r="B631" s="3078" t="str">
        <f>+B263</f>
        <v>Terneras &gt; 2 meses &lt; 6 meses</v>
      </c>
      <c r="C631" s="3296">
        <f>+R276</f>
        <v>0</v>
      </c>
      <c r="D631" s="3184">
        <f>+R280</f>
        <v>0</v>
      </c>
      <c r="G631" s="3293">
        <v>0.4</v>
      </c>
      <c r="H631" s="3184">
        <f t="shared" si="263"/>
        <v>0</v>
      </c>
      <c r="J631" s="3307"/>
      <c r="K631" s="2468"/>
      <c r="L631" s="2468"/>
      <c r="M631" s="2468"/>
      <c r="N631" s="2468"/>
      <c r="O631" s="2468"/>
      <c r="P631" s="2468"/>
      <c r="Q631" s="2468"/>
      <c r="R631" s="2468"/>
      <c r="S631" s="2468"/>
      <c r="T631" s="2468"/>
    </row>
    <row r="632" spans="2:20" hidden="1" x14ac:dyDescent="0.2">
      <c r="B632" s="3078" t="str">
        <f>+B285</f>
        <v>Terneras Lactantes (&lt;2 m)</v>
      </c>
      <c r="C632" s="3296">
        <f>+R299</f>
        <v>0</v>
      </c>
      <c r="D632" s="3184">
        <f>+R303</f>
        <v>0</v>
      </c>
      <c r="G632" s="3293">
        <v>0.2</v>
      </c>
      <c r="H632" s="3184">
        <f t="shared" si="263"/>
        <v>0</v>
      </c>
      <c r="J632" s="3307"/>
      <c r="K632" s="2468"/>
      <c r="L632" s="2468"/>
      <c r="M632" s="2468"/>
      <c r="N632" s="2468"/>
      <c r="O632" s="2468"/>
      <c r="P632" s="2468"/>
      <c r="Q632" s="2468"/>
      <c r="R632" s="2468"/>
      <c r="S632" s="2468"/>
      <c r="T632" s="2468"/>
    </row>
    <row r="633" spans="2:20" hidden="1" x14ac:dyDescent="0.2">
      <c r="B633" s="3078" t="str">
        <f>+B308</f>
        <v>Terneros Lactantes (&lt;2 m)</v>
      </c>
      <c r="C633" s="3296">
        <f>+R320</f>
        <v>0</v>
      </c>
      <c r="D633" s="3184">
        <f>+R326</f>
        <v>0</v>
      </c>
      <c r="G633" s="3293">
        <v>0.2</v>
      </c>
      <c r="H633" s="3184">
        <f t="shared" si="263"/>
        <v>0</v>
      </c>
      <c r="I633" s="3300">
        <f>+SUM(H630:H633)+SUM(H623:H628)</f>
        <v>0</v>
      </c>
      <c r="J633" s="3308" t="s">
        <v>1346</v>
      </c>
      <c r="K633" s="2468"/>
      <c r="L633" s="2468"/>
      <c r="M633" s="2468"/>
      <c r="N633" s="2468"/>
      <c r="O633" s="2468"/>
      <c r="P633" s="2468"/>
      <c r="Q633" s="2468"/>
      <c r="R633" s="2468"/>
      <c r="S633" s="2468"/>
      <c r="T633" s="2468"/>
    </row>
    <row r="634" spans="2:20" hidden="1" x14ac:dyDescent="0.2">
      <c r="B634" s="3303" t="s">
        <v>230</v>
      </c>
      <c r="C634" s="3304">
        <f>+SUM(C630:C633)</f>
        <v>0</v>
      </c>
      <c r="D634" s="3304">
        <f>+SUM(D630:D633)</f>
        <v>0</v>
      </c>
      <c r="E634" s="3305" t="e">
        <f>+C634/D634</f>
        <v>#DIV/0!</v>
      </c>
      <c r="H634" s="3309">
        <f>+SUM(H630:H633)</f>
        <v>0</v>
      </c>
      <c r="K634" s="2468"/>
      <c r="L634" s="2468"/>
      <c r="M634" s="2468"/>
      <c r="N634" s="2468"/>
      <c r="O634" s="2468"/>
      <c r="P634" s="2468"/>
      <c r="Q634" s="2468"/>
      <c r="R634" s="2468"/>
      <c r="S634" s="2468"/>
      <c r="T634" s="2468"/>
    </row>
    <row r="635" spans="2:20" hidden="1" x14ac:dyDescent="0.2"/>
    <row r="636" spans="2:20" hidden="1" x14ac:dyDescent="0.2"/>
    <row r="637" spans="2:20" hidden="1" x14ac:dyDescent="0.2"/>
    <row r="638" spans="2:20" hidden="1" x14ac:dyDescent="0.2"/>
    <row r="639" spans="2:20" hidden="1" x14ac:dyDescent="0.2"/>
    <row r="640" spans="2:2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sheetData>
  <sheetProtection password="CF72" sheet="1" objects="1" scenarios="1"/>
  <mergeCells count="16">
    <mergeCell ref="R9:R10"/>
    <mergeCell ref="E58:I58"/>
    <mergeCell ref="J58:K58"/>
    <mergeCell ref="R470:T470"/>
    <mergeCell ref="C4:D4"/>
    <mergeCell ref="C5:D5"/>
    <mergeCell ref="P3:R3"/>
    <mergeCell ref="P4:R4"/>
    <mergeCell ref="P5:R5"/>
    <mergeCell ref="F2:I2"/>
    <mergeCell ref="F3:I3"/>
    <mergeCell ref="F4:I4"/>
    <mergeCell ref="F5:I5"/>
    <mergeCell ref="L3:N3"/>
    <mergeCell ref="L4:N4"/>
    <mergeCell ref="L5:N5"/>
  </mergeCells>
  <conditionalFormatting sqref="E114 E28 E36 E142 E223 E252 E276 E299 E320 E343 E170 E198">
    <cfRule type="expression" dxfId="1389" priority="1347">
      <formula>E28&lt;&gt;R28</formula>
    </cfRule>
  </conditionalFormatting>
  <conditionalFormatting sqref="R38">
    <cfRule type="cellIs" dxfId="1388" priority="1361" operator="lessThan">
      <formula>$R$37</formula>
    </cfRule>
    <cfRule type="cellIs" dxfId="1387" priority="1362" operator="greaterThan">
      <formula>$R$37</formula>
    </cfRule>
  </conditionalFormatting>
  <conditionalFormatting sqref="S122:XFD122">
    <cfRule type="cellIs" dxfId="1386" priority="953" operator="equal">
      <formula>0</formula>
    </cfRule>
  </conditionalFormatting>
  <conditionalFormatting sqref="F12:Q12">
    <cfRule type="cellIs" dxfId="1385" priority="904" operator="lessThan">
      <formula>0</formula>
    </cfRule>
  </conditionalFormatting>
  <conditionalFormatting sqref="F41:Q41">
    <cfRule type="cellIs" dxfId="1384" priority="903" operator="lessThan">
      <formula>0</formula>
    </cfRule>
  </conditionalFormatting>
  <conditionalFormatting sqref="F41:Q41">
    <cfRule type="cellIs" dxfId="1383" priority="902" operator="lessThan">
      <formula>0</formula>
    </cfRule>
  </conditionalFormatting>
  <conditionalFormatting sqref="F69:Q69">
    <cfRule type="cellIs" dxfId="1382" priority="901" operator="lessThan">
      <formula>0</formula>
    </cfRule>
  </conditionalFormatting>
  <conditionalFormatting sqref="F69:Q69">
    <cfRule type="cellIs" dxfId="1381" priority="900" operator="lessThan">
      <formula>0</formula>
    </cfRule>
  </conditionalFormatting>
  <conditionalFormatting sqref="F85:Q85">
    <cfRule type="cellIs" dxfId="1380" priority="899" operator="lessThan">
      <formula>0</formula>
    </cfRule>
  </conditionalFormatting>
  <conditionalFormatting sqref="F85:Q85">
    <cfRule type="cellIs" dxfId="1379" priority="898" operator="lessThan">
      <formula>0</formula>
    </cfRule>
  </conditionalFormatting>
  <conditionalFormatting sqref="F101:Q101">
    <cfRule type="cellIs" dxfId="1378" priority="897" operator="lessThan">
      <formula>0</formula>
    </cfRule>
  </conditionalFormatting>
  <conditionalFormatting sqref="F101:Q101">
    <cfRule type="cellIs" dxfId="1377" priority="896" operator="lessThan">
      <formula>0</formula>
    </cfRule>
  </conditionalFormatting>
  <conditionalFormatting sqref="F117:Q117">
    <cfRule type="cellIs" dxfId="1376" priority="894" operator="lessThan">
      <formula>0</formula>
    </cfRule>
  </conditionalFormatting>
  <conditionalFormatting sqref="F117:Q117">
    <cfRule type="cellIs" dxfId="1375" priority="893" operator="lessThan">
      <formula>0</formula>
    </cfRule>
  </conditionalFormatting>
  <conditionalFormatting sqref="F129:Q129">
    <cfRule type="cellIs" dxfId="1374" priority="890" operator="lessThan">
      <formula>0</formula>
    </cfRule>
  </conditionalFormatting>
  <conditionalFormatting sqref="F129:Q129">
    <cfRule type="cellIs" dxfId="1373" priority="889" operator="lessThan">
      <formula>0</formula>
    </cfRule>
  </conditionalFormatting>
  <conditionalFormatting sqref="F117:Q117">
    <cfRule type="cellIs" dxfId="1372" priority="887" operator="lessThan">
      <formula>0</formula>
    </cfRule>
  </conditionalFormatting>
  <conditionalFormatting sqref="F117:Q117">
    <cfRule type="cellIs" dxfId="1371" priority="886" operator="lessThan">
      <formula>0</formula>
    </cfRule>
  </conditionalFormatting>
  <conditionalFormatting sqref="F145:Q145">
    <cfRule type="cellIs" dxfId="1370" priority="883" operator="lessThan">
      <formula>0</formula>
    </cfRule>
  </conditionalFormatting>
  <conditionalFormatting sqref="F145:Q145">
    <cfRule type="cellIs" dxfId="1369" priority="882" operator="lessThan">
      <formula>0</formula>
    </cfRule>
  </conditionalFormatting>
  <conditionalFormatting sqref="F145:Q145">
    <cfRule type="cellIs" dxfId="1368" priority="879" operator="lessThan">
      <formula>0</formula>
    </cfRule>
  </conditionalFormatting>
  <conditionalFormatting sqref="F145:Q145">
    <cfRule type="cellIs" dxfId="1367" priority="878" operator="lessThan">
      <formula>0</formula>
    </cfRule>
  </conditionalFormatting>
  <conditionalFormatting sqref="F157:Q157">
    <cfRule type="cellIs" dxfId="1366" priority="873" operator="lessThan">
      <formula>0</formula>
    </cfRule>
  </conditionalFormatting>
  <conditionalFormatting sqref="F157:Q157">
    <cfRule type="cellIs" dxfId="1365" priority="872" operator="lessThan">
      <formula>0</formula>
    </cfRule>
  </conditionalFormatting>
  <conditionalFormatting sqref="F157:Q157">
    <cfRule type="cellIs" dxfId="1364" priority="869" operator="lessThan">
      <formula>0</formula>
    </cfRule>
  </conditionalFormatting>
  <conditionalFormatting sqref="F157:Q157">
    <cfRule type="cellIs" dxfId="1363" priority="868" operator="lessThan">
      <formula>0</formula>
    </cfRule>
  </conditionalFormatting>
  <conditionalFormatting sqref="F173:Q173">
    <cfRule type="cellIs" dxfId="1362" priority="863" operator="lessThan">
      <formula>0</formula>
    </cfRule>
  </conditionalFormatting>
  <conditionalFormatting sqref="F173:Q173">
    <cfRule type="cellIs" dxfId="1361" priority="862" operator="lessThan">
      <formula>0</formula>
    </cfRule>
  </conditionalFormatting>
  <conditionalFormatting sqref="F173:Q173">
    <cfRule type="cellIs" dxfId="1360" priority="859" operator="lessThan">
      <formula>0</formula>
    </cfRule>
  </conditionalFormatting>
  <conditionalFormatting sqref="F173:Q173">
    <cfRule type="cellIs" dxfId="1359" priority="858" operator="lessThan">
      <formula>0</formula>
    </cfRule>
  </conditionalFormatting>
  <conditionalFormatting sqref="F185:Q185">
    <cfRule type="cellIs" dxfId="1358" priority="852" operator="lessThan">
      <formula>0</formula>
    </cfRule>
  </conditionalFormatting>
  <conditionalFormatting sqref="F185:Q185">
    <cfRule type="cellIs" dxfId="1357" priority="851" operator="lessThan">
      <formula>0</formula>
    </cfRule>
  </conditionalFormatting>
  <conditionalFormatting sqref="F185:Q185">
    <cfRule type="cellIs" dxfId="1356" priority="848" operator="lessThan">
      <formula>0</formula>
    </cfRule>
  </conditionalFormatting>
  <conditionalFormatting sqref="F185:Q185">
    <cfRule type="cellIs" dxfId="1355" priority="847" operator="lessThan">
      <formula>0</formula>
    </cfRule>
  </conditionalFormatting>
  <conditionalFormatting sqref="F201:Q201">
    <cfRule type="cellIs" dxfId="1354" priority="841" operator="lessThan">
      <formula>0</formula>
    </cfRule>
  </conditionalFormatting>
  <conditionalFormatting sqref="F201:Q201">
    <cfRule type="cellIs" dxfId="1353" priority="840" operator="lessThan">
      <formula>0</formula>
    </cfRule>
  </conditionalFormatting>
  <conditionalFormatting sqref="F201:Q201">
    <cfRule type="cellIs" dxfId="1352" priority="837" operator="lessThan">
      <formula>0</formula>
    </cfRule>
  </conditionalFormatting>
  <conditionalFormatting sqref="F201:Q201">
    <cfRule type="cellIs" dxfId="1351" priority="836" operator="lessThan">
      <formula>0</formula>
    </cfRule>
  </conditionalFormatting>
  <conditionalFormatting sqref="F212:Q212">
    <cfRule type="cellIs" dxfId="1350" priority="829" operator="lessThan">
      <formula>0</formula>
    </cfRule>
  </conditionalFormatting>
  <conditionalFormatting sqref="F212:Q212">
    <cfRule type="cellIs" dxfId="1349" priority="828" operator="lessThan">
      <formula>0</formula>
    </cfRule>
  </conditionalFormatting>
  <conditionalFormatting sqref="F212:Q212">
    <cfRule type="cellIs" dxfId="1348" priority="825" operator="lessThan">
      <formula>0</formula>
    </cfRule>
  </conditionalFormatting>
  <conditionalFormatting sqref="F212:Q212">
    <cfRule type="cellIs" dxfId="1347" priority="824" operator="lessThan">
      <formula>0</formula>
    </cfRule>
  </conditionalFormatting>
  <conditionalFormatting sqref="F228:Q228">
    <cfRule type="cellIs" dxfId="1346" priority="817" operator="lessThan">
      <formula>0</formula>
    </cfRule>
  </conditionalFormatting>
  <conditionalFormatting sqref="F228:Q228">
    <cfRule type="cellIs" dxfId="1345" priority="816" operator="lessThan">
      <formula>0</formula>
    </cfRule>
  </conditionalFormatting>
  <conditionalFormatting sqref="F228:Q228">
    <cfRule type="cellIs" dxfId="1344" priority="813" operator="lessThan">
      <formula>0</formula>
    </cfRule>
  </conditionalFormatting>
  <conditionalFormatting sqref="F228:Q228">
    <cfRule type="cellIs" dxfId="1343" priority="812" operator="lessThan">
      <formula>0</formula>
    </cfRule>
  </conditionalFormatting>
  <conditionalFormatting sqref="F239:Q239">
    <cfRule type="cellIs" dxfId="1342" priority="804" operator="lessThan">
      <formula>0</formula>
    </cfRule>
  </conditionalFormatting>
  <conditionalFormatting sqref="F239:Q239">
    <cfRule type="cellIs" dxfId="1341" priority="803" operator="lessThan">
      <formula>0</formula>
    </cfRule>
  </conditionalFormatting>
  <conditionalFormatting sqref="F239:Q239">
    <cfRule type="cellIs" dxfId="1340" priority="800" operator="lessThan">
      <formula>0</formula>
    </cfRule>
  </conditionalFormatting>
  <conditionalFormatting sqref="F239:Q239">
    <cfRule type="cellIs" dxfId="1339" priority="799" operator="lessThan">
      <formula>0</formula>
    </cfRule>
  </conditionalFormatting>
  <conditionalFormatting sqref="F254:Q254">
    <cfRule type="cellIs" dxfId="1338" priority="791" operator="lessThan">
      <formula>0</formula>
    </cfRule>
  </conditionalFormatting>
  <conditionalFormatting sqref="F254:Q254">
    <cfRule type="cellIs" dxfId="1337" priority="790" operator="lessThan">
      <formula>0</formula>
    </cfRule>
  </conditionalFormatting>
  <conditionalFormatting sqref="F254:Q254">
    <cfRule type="cellIs" dxfId="1336" priority="787" operator="lessThan">
      <formula>0</formula>
    </cfRule>
  </conditionalFormatting>
  <conditionalFormatting sqref="F254:Q254">
    <cfRule type="cellIs" dxfId="1335" priority="786" operator="lessThan">
      <formula>0</formula>
    </cfRule>
  </conditionalFormatting>
  <conditionalFormatting sqref="F265:Q265">
    <cfRule type="cellIs" dxfId="1334" priority="777" operator="lessThan">
      <formula>0</formula>
    </cfRule>
  </conditionalFormatting>
  <conditionalFormatting sqref="F265:Q265">
    <cfRule type="cellIs" dxfId="1333" priority="776" operator="lessThan">
      <formula>0</formula>
    </cfRule>
  </conditionalFormatting>
  <conditionalFormatting sqref="F265:Q265">
    <cfRule type="cellIs" dxfId="1332" priority="773" operator="lessThan">
      <formula>0</formula>
    </cfRule>
  </conditionalFormatting>
  <conditionalFormatting sqref="F265:Q265">
    <cfRule type="cellIs" dxfId="1331" priority="772" operator="lessThan">
      <formula>0</formula>
    </cfRule>
  </conditionalFormatting>
  <conditionalFormatting sqref="F279:Q279">
    <cfRule type="cellIs" dxfId="1330" priority="763" operator="lessThan">
      <formula>0</formula>
    </cfRule>
  </conditionalFormatting>
  <conditionalFormatting sqref="F279:Q279">
    <cfRule type="cellIs" dxfId="1329" priority="762" operator="lessThan">
      <formula>0</formula>
    </cfRule>
  </conditionalFormatting>
  <conditionalFormatting sqref="F279:Q279">
    <cfRule type="cellIs" dxfId="1328" priority="759" operator="lessThan">
      <formula>0</formula>
    </cfRule>
  </conditionalFormatting>
  <conditionalFormatting sqref="F279:Q279">
    <cfRule type="cellIs" dxfId="1327" priority="758" operator="lessThan">
      <formula>0</formula>
    </cfRule>
  </conditionalFormatting>
  <conditionalFormatting sqref="F287:Q287">
    <cfRule type="cellIs" dxfId="1326" priority="749" operator="lessThan">
      <formula>0</formula>
    </cfRule>
  </conditionalFormatting>
  <conditionalFormatting sqref="F287:Q287">
    <cfRule type="cellIs" dxfId="1325" priority="748" operator="lessThan">
      <formula>0</formula>
    </cfRule>
  </conditionalFormatting>
  <conditionalFormatting sqref="F287:Q287">
    <cfRule type="cellIs" dxfId="1324" priority="745" operator="lessThan">
      <formula>0</formula>
    </cfRule>
  </conditionalFormatting>
  <conditionalFormatting sqref="F287:Q287">
    <cfRule type="cellIs" dxfId="1323" priority="744" operator="lessThan">
      <formula>0</formula>
    </cfRule>
  </conditionalFormatting>
  <conditionalFormatting sqref="F302:Q302">
    <cfRule type="cellIs" dxfId="1322" priority="734" operator="lessThan">
      <formula>0</formula>
    </cfRule>
  </conditionalFormatting>
  <conditionalFormatting sqref="F302:Q302">
    <cfRule type="cellIs" dxfId="1321" priority="733" operator="lessThan">
      <formula>0</formula>
    </cfRule>
  </conditionalFormatting>
  <conditionalFormatting sqref="F302:Q302">
    <cfRule type="cellIs" dxfId="1320" priority="730" operator="lessThan">
      <formula>0</formula>
    </cfRule>
  </conditionalFormatting>
  <conditionalFormatting sqref="F302:Q302">
    <cfRule type="cellIs" dxfId="1319" priority="729" operator="lessThan">
      <formula>0</formula>
    </cfRule>
  </conditionalFormatting>
  <conditionalFormatting sqref="F310:Q310">
    <cfRule type="cellIs" dxfId="1318" priority="717" operator="lessThan">
      <formula>0</formula>
    </cfRule>
  </conditionalFormatting>
  <conditionalFormatting sqref="F310:Q310">
    <cfRule type="cellIs" dxfId="1317" priority="716" operator="lessThan">
      <formula>0</formula>
    </cfRule>
  </conditionalFormatting>
  <conditionalFormatting sqref="F310:Q310">
    <cfRule type="cellIs" dxfId="1316" priority="713" operator="lessThan">
      <formula>0</formula>
    </cfRule>
  </conditionalFormatting>
  <conditionalFormatting sqref="F310:Q310">
    <cfRule type="cellIs" dxfId="1315" priority="712" operator="lessThan">
      <formula>0</formula>
    </cfRule>
  </conditionalFormatting>
  <conditionalFormatting sqref="F325:Q325">
    <cfRule type="cellIs" dxfId="1314" priority="699" operator="lessThan">
      <formula>0</formula>
    </cfRule>
  </conditionalFormatting>
  <conditionalFormatting sqref="F325:Q325">
    <cfRule type="cellIs" dxfId="1313" priority="698" operator="lessThan">
      <formula>0</formula>
    </cfRule>
  </conditionalFormatting>
  <conditionalFormatting sqref="F325:Q325">
    <cfRule type="cellIs" dxfId="1312" priority="695" operator="lessThan">
      <formula>0</formula>
    </cfRule>
  </conditionalFormatting>
  <conditionalFormatting sqref="F325:Q325">
    <cfRule type="cellIs" dxfId="1311" priority="694" operator="lessThan">
      <formula>0</formula>
    </cfRule>
  </conditionalFormatting>
  <conditionalFormatting sqref="F332:Q332">
    <cfRule type="cellIs" dxfId="1310" priority="680" operator="lessThan">
      <formula>0</formula>
    </cfRule>
  </conditionalFormatting>
  <conditionalFormatting sqref="F332:Q332">
    <cfRule type="cellIs" dxfId="1309" priority="679" operator="lessThan">
      <formula>0</formula>
    </cfRule>
  </conditionalFormatting>
  <conditionalFormatting sqref="F332:Q332">
    <cfRule type="cellIs" dxfId="1308" priority="676" operator="lessThan">
      <formula>0</formula>
    </cfRule>
  </conditionalFormatting>
  <conditionalFormatting sqref="F332:Q332">
    <cfRule type="cellIs" dxfId="1307" priority="675" operator="lessThan">
      <formula>0</formula>
    </cfRule>
  </conditionalFormatting>
  <conditionalFormatting sqref="F345:Q345">
    <cfRule type="cellIs" dxfId="1306" priority="660" operator="lessThan">
      <formula>0</formula>
    </cfRule>
  </conditionalFormatting>
  <conditionalFormatting sqref="F345:Q345">
    <cfRule type="cellIs" dxfId="1305" priority="659" operator="lessThan">
      <formula>0</formula>
    </cfRule>
  </conditionalFormatting>
  <conditionalFormatting sqref="F345:Q345">
    <cfRule type="cellIs" dxfId="1304" priority="656" operator="lessThan">
      <formula>0</formula>
    </cfRule>
  </conditionalFormatting>
  <conditionalFormatting sqref="F345:Q345">
    <cfRule type="cellIs" dxfId="1303" priority="655" operator="lessThan">
      <formula>0</formula>
    </cfRule>
  </conditionalFormatting>
  <conditionalFormatting sqref="F33:Q33">
    <cfRule type="cellIs" dxfId="1302" priority="378" operator="greaterThan">
      <formula>0</formula>
    </cfRule>
  </conditionalFormatting>
  <conditionalFormatting sqref="F157:Q157">
    <cfRule type="cellIs" dxfId="1301" priority="325" operator="lessThan">
      <formula>0</formula>
    </cfRule>
  </conditionalFormatting>
  <conditionalFormatting sqref="F157:Q157">
    <cfRule type="cellIs" dxfId="1300" priority="324" operator="lessThan">
      <formula>0</formula>
    </cfRule>
  </conditionalFormatting>
  <conditionalFormatting sqref="F173:Q173">
    <cfRule type="cellIs" dxfId="1299" priority="321" operator="lessThan">
      <formula>0</formula>
    </cfRule>
  </conditionalFormatting>
  <conditionalFormatting sqref="F173:Q173">
    <cfRule type="cellIs" dxfId="1298" priority="320" operator="lessThan">
      <formula>0</formula>
    </cfRule>
  </conditionalFormatting>
  <conditionalFormatting sqref="F173:Q173">
    <cfRule type="cellIs" dxfId="1297" priority="317" operator="lessThan">
      <formula>0</formula>
    </cfRule>
  </conditionalFormatting>
  <conditionalFormatting sqref="F173:Q173">
    <cfRule type="cellIs" dxfId="1296" priority="316" operator="lessThan">
      <formula>0</formula>
    </cfRule>
  </conditionalFormatting>
  <conditionalFormatting sqref="F185:Q185">
    <cfRule type="cellIs" dxfId="1295" priority="291" operator="lessThan">
      <formula>0</formula>
    </cfRule>
  </conditionalFormatting>
  <conditionalFormatting sqref="F185:Q185">
    <cfRule type="cellIs" dxfId="1294" priority="290" operator="lessThan">
      <formula>0</formula>
    </cfRule>
  </conditionalFormatting>
  <conditionalFormatting sqref="F185:Q185">
    <cfRule type="cellIs" dxfId="1293" priority="287" operator="lessThan">
      <formula>0</formula>
    </cfRule>
  </conditionalFormatting>
  <conditionalFormatting sqref="F185:Q185">
    <cfRule type="cellIs" dxfId="1292" priority="286" operator="lessThan">
      <formula>0</formula>
    </cfRule>
  </conditionalFormatting>
  <conditionalFormatting sqref="F201:Q201">
    <cfRule type="cellIs" dxfId="1291" priority="281" operator="lessThan">
      <formula>0</formula>
    </cfRule>
  </conditionalFormatting>
  <conditionalFormatting sqref="F201:Q201">
    <cfRule type="cellIs" dxfId="1290" priority="280" operator="lessThan">
      <formula>0</formula>
    </cfRule>
  </conditionalFormatting>
  <conditionalFormatting sqref="F201:Q201">
    <cfRule type="cellIs" dxfId="1289" priority="277" operator="lessThan">
      <formula>0</formula>
    </cfRule>
  </conditionalFormatting>
  <conditionalFormatting sqref="F201:Q201">
    <cfRule type="cellIs" dxfId="1288" priority="276" operator="lessThan">
      <formula>0</formula>
    </cfRule>
  </conditionalFormatting>
  <conditionalFormatting sqref="F185:Q185">
    <cfRule type="cellIs" dxfId="1287" priority="263" operator="lessThan">
      <formula>0</formula>
    </cfRule>
  </conditionalFormatting>
  <conditionalFormatting sqref="F185:Q185">
    <cfRule type="cellIs" dxfId="1286" priority="262" operator="lessThan">
      <formula>0</formula>
    </cfRule>
  </conditionalFormatting>
  <conditionalFormatting sqref="F201:Q201">
    <cfRule type="cellIs" dxfId="1285" priority="259" operator="lessThan">
      <formula>0</formula>
    </cfRule>
  </conditionalFormatting>
  <conditionalFormatting sqref="F201:Q201">
    <cfRule type="cellIs" dxfId="1284" priority="258" operator="lessThan">
      <formula>0</formula>
    </cfRule>
  </conditionalFormatting>
  <conditionalFormatting sqref="F201:Q201">
    <cfRule type="cellIs" dxfId="1283" priority="255" operator="lessThan">
      <formula>0</formula>
    </cfRule>
  </conditionalFormatting>
  <conditionalFormatting sqref="F201:Q201">
    <cfRule type="cellIs" dxfId="1282" priority="254" operator="lessThan">
      <formula>0</formula>
    </cfRule>
  </conditionalFormatting>
  <conditionalFormatting sqref="G62">
    <cfRule type="expression" dxfId="1281" priority="175">
      <formula>$C$55=$C$357</formula>
    </cfRule>
  </conditionalFormatting>
  <conditionalFormatting sqref="A64:A65 C64:R65 A66:R349 A9:R63">
    <cfRule type="cellIs" dxfId="1280" priority="98" operator="equal">
      <formula>0</formula>
    </cfRule>
  </conditionalFormatting>
  <conditionalFormatting sqref="J62:K62">
    <cfRule type="expression" dxfId="1279" priority="97">
      <formula>OR($C$55=$C$357,$C$55=$C$359)</formula>
    </cfRule>
  </conditionalFormatting>
  <conditionalFormatting sqref="E62:F62 H62:I62">
    <cfRule type="expression" dxfId="1278" priority="96">
      <formula>OR($C$55=$C$358,$C$55=$C$359)</formula>
    </cfRule>
  </conditionalFormatting>
  <conditionalFormatting sqref="F30">
    <cfRule type="expression" dxfId="1277" priority="95">
      <formula>AND(F29&gt;0,F29*F30=0)</formula>
    </cfRule>
  </conditionalFormatting>
  <conditionalFormatting sqref="G30:Q30">
    <cfRule type="expression" dxfId="1276" priority="94">
      <formula>AND(G29&gt;0,G29*G30=0)</formula>
    </cfRule>
  </conditionalFormatting>
  <conditionalFormatting sqref="F31">
    <cfRule type="expression" dxfId="1275" priority="93">
      <formula>AND(F29&gt;0,F31*F29=0)</formula>
    </cfRule>
  </conditionalFormatting>
  <conditionalFormatting sqref="G31:Q31">
    <cfRule type="expression" dxfId="1274" priority="92">
      <formula>AND(G29&gt;0,G31*G29=0)</formula>
    </cfRule>
  </conditionalFormatting>
  <conditionalFormatting sqref="F73">
    <cfRule type="expression" dxfId="1273" priority="91">
      <formula>AND(F72&gt;0,F72*F73=0)</formula>
    </cfRule>
  </conditionalFormatting>
  <conditionalFormatting sqref="G73:Q73">
    <cfRule type="expression" dxfId="1272" priority="90">
      <formula>AND(G72&gt;0,G72*G73=0)</formula>
    </cfRule>
  </conditionalFormatting>
  <conditionalFormatting sqref="F74">
    <cfRule type="expression" dxfId="1271" priority="89">
      <formula>AND(F72&gt;0,F74*F72=0)</formula>
    </cfRule>
  </conditionalFormatting>
  <conditionalFormatting sqref="G74:Q74">
    <cfRule type="expression" dxfId="1270" priority="88">
      <formula>AND(G72&gt;0,G74*G72=0)</formula>
    </cfRule>
  </conditionalFormatting>
  <conditionalFormatting sqref="F105">
    <cfRule type="expression" dxfId="1269" priority="87">
      <formula>AND(F104&gt;0,F104*F105=0)</formula>
    </cfRule>
  </conditionalFormatting>
  <conditionalFormatting sqref="G105:H105">
    <cfRule type="expression" dxfId="1268" priority="86">
      <formula>AND(G104&gt;0,G104*G105=0)</formula>
    </cfRule>
  </conditionalFormatting>
  <conditionalFormatting sqref="F106">
    <cfRule type="expression" dxfId="1267" priority="85">
      <formula>AND(F104&gt;0,F106*F104=0)</formula>
    </cfRule>
  </conditionalFormatting>
  <conditionalFormatting sqref="G106:H106">
    <cfRule type="expression" dxfId="1266" priority="84">
      <formula>AND(G104&gt;0,G106*G104=0)</formula>
    </cfRule>
  </conditionalFormatting>
  <conditionalFormatting sqref="F111">
    <cfRule type="expression" dxfId="1265" priority="83">
      <formula>AND(F110&gt;0,F110*F111=0)</formula>
    </cfRule>
  </conditionalFormatting>
  <conditionalFormatting sqref="G111:H111">
    <cfRule type="expression" dxfId="1264" priority="82">
      <formula>AND(G110&gt;0,G110*G111=0)</formula>
    </cfRule>
  </conditionalFormatting>
  <conditionalFormatting sqref="F112">
    <cfRule type="expression" dxfId="1263" priority="81">
      <formula>AND(F110&gt;0,F112*F110=0)</formula>
    </cfRule>
  </conditionalFormatting>
  <conditionalFormatting sqref="G112:H112">
    <cfRule type="expression" dxfId="1262" priority="80">
      <formula>AND(G110&gt;0,G112*G110=0)</formula>
    </cfRule>
  </conditionalFormatting>
  <conditionalFormatting sqref="F80">
    <cfRule type="expression" dxfId="1261" priority="79">
      <formula>AND(F79&gt;0,F79*F80=0)</formula>
    </cfRule>
  </conditionalFormatting>
  <conditionalFormatting sqref="G80:Q80">
    <cfRule type="expression" dxfId="1260" priority="78">
      <formula>AND(G79&gt;0,G79*G80=0)</formula>
    </cfRule>
  </conditionalFormatting>
  <conditionalFormatting sqref="F81">
    <cfRule type="expression" dxfId="1259" priority="77">
      <formula>AND(F79&gt;0,F81*F79=0)</formula>
    </cfRule>
  </conditionalFormatting>
  <conditionalFormatting sqref="G81:Q81">
    <cfRule type="expression" dxfId="1258" priority="76">
      <formula>AND(G79&gt;0,G81*G79=0)</formula>
    </cfRule>
  </conditionalFormatting>
  <conditionalFormatting sqref="F133">
    <cfRule type="expression" dxfId="1257" priority="75">
      <formula>AND(F132&gt;0,F132*F133=0)</formula>
    </cfRule>
  </conditionalFormatting>
  <conditionalFormatting sqref="G133:K133">
    <cfRule type="expression" dxfId="1256" priority="74">
      <formula>AND(G132&gt;0,G132*G133=0)</formula>
    </cfRule>
  </conditionalFormatting>
  <conditionalFormatting sqref="F134">
    <cfRule type="expression" dxfId="1255" priority="73">
      <formula>AND(F132&gt;0,F134*F132=0)</formula>
    </cfRule>
  </conditionalFormatting>
  <conditionalFormatting sqref="G134:K134">
    <cfRule type="expression" dxfId="1254" priority="72">
      <formula>AND(G132&gt;0,G134*G132=0)</formula>
    </cfRule>
  </conditionalFormatting>
  <conditionalFormatting sqref="F139">
    <cfRule type="expression" dxfId="1253" priority="71">
      <formula>AND(F138&gt;0,F138*F139=0)</formula>
    </cfRule>
  </conditionalFormatting>
  <conditionalFormatting sqref="G139:K139">
    <cfRule type="expression" dxfId="1252" priority="70">
      <formula>AND(G138&gt;0,G138*G139=0)</formula>
    </cfRule>
  </conditionalFormatting>
  <conditionalFormatting sqref="F140">
    <cfRule type="expression" dxfId="1251" priority="69">
      <formula>AND(F138&gt;0,F140*F138=0)</formula>
    </cfRule>
  </conditionalFormatting>
  <conditionalFormatting sqref="G140:K140">
    <cfRule type="expression" dxfId="1250" priority="68">
      <formula>AND(G138&gt;0,G140*G138=0)</formula>
    </cfRule>
  </conditionalFormatting>
  <conditionalFormatting sqref="F161">
    <cfRule type="expression" dxfId="1249" priority="67">
      <formula>AND(F160&gt;0,F160*F161=0)</formula>
    </cfRule>
  </conditionalFormatting>
  <conditionalFormatting sqref="G161:N161">
    <cfRule type="expression" dxfId="1248" priority="66">
      <formula>AND(G160&gt;0,G160*G161=0)</formula>
    </cfRule>
  </conditionalFormatting>
  <conditionalFormatting sqref="F162">
    <cfRule type="expression" dxfId="1247" priority="65">
      <formula>AND(F160&gt;0,F162*F160=0)</formula>
    </cfRule>
  </conditionalFormatting>
  <conditionalFormatting sqref="G162:N162">
    <cfRule type="expression" dxfId="1246" priority="64">
      <formula>AND(G160&gt;0,G162*G160=0)</formula>
    </cfRule>
  </conditionalFormatting>
  <conditionalFormatting sqref="F167">
    <cfRule type="expression" dxfId="1245" priority="63">
      <formula>AND(F166&gt;0,F166*F167=0)</formula>
    </cfRule>
  </conditionalFormatting>
  <conditionalFormatting sqref="G167:N167">
    <cfRule type="expression" dxfId="1244" priority="62">
      <formula>AND(G166&gt;0,G166*G167=0)</formula>
    </cfRule>
  </conditionalFormatting>
  <conditionalFormatting sqref="F168">
    <cfRule type="expression" dxfId="1243" priority="61">
      <formula>AND(F166&gt;0,F168*F166=0)</formula>
    </cfRule>
  </conditionalFormatting>
  <conditionalFormatting sqref="G168:N168">
    <cfRule type="expression" dxfId="1242" priority="60">
      <formula>AND(G166&gt;0,G168*G166=0)</formula>
    </cfRule>
  </conditionalFormatting>
  <conditionalFormatting sqref="F189">
    <cfRule type="expression" dxfId="1241" priority="59">
      <formula>AND(F188&gt;0,F188*F189=0)</formula>
    </cfRule>
  </conditionalFormatting>
  <conditionalFormatting sqref="G189:Q189">
    <cfRule type="expression" dxfId="1240" priority="58">
      <formula>AND(G188&gt;0,G188*G189=0)</formula>
    </cfRule>
  </conditionalFormatting>
  <conditionalFormatting sqref="F190">
    <cfRule type="expression" dxfId="1239" priority="57">
      <formula>AND(F188&gt;0,F190*F188=0)</formula>
    </cfRule>
  </conditionalFormatting>
  <conditionalFormatting sqref="G190:Q190">
    <cfRule type="expression" dxfId="1238" priority="56">
      <formula>AND(G188&gt;0,G190*G188=0)</formula>
    </cfRule>
  </conditionalFormatting>
  <conditionalFormatting sqref="F195">
    <cfRule type="expression" dxfId="1237" priority="55">
      <formula>AND(F194&gt;0,F194*F195=0)</formula>
    </cfRule>
  </conditionalFormatting>
  <conditionalFormatting sqref="G195:Q195">
    <cfRule type="expression" dxfId="1236" priority="54">
      <formula>AND(G194&gt;0,G194*G195=0)</formula>
    </cfRule>
  </conditionalFormatting>
  <conditionalFormatting sqref="F196">
    <cfRule type="expression" dxfId="1235" priority="53">
      <formula>AND(F194&gt;0,F196*F194=0)</formula>
    </cfRule>
  </conditionalFormatting>
  <conditionalFormatting sqref="G196:Q196">
    <cfRule type="expression" dxfId="1234" priority="52">
      <formula>AND(G194&gt;0,G196*G194=0)</formula>
    </cfRule>
  </conditionalFormatting>
  <conditionalFormatting sqref="F216">
    <cfRule type="expression" dxfId="1233" priority="51">
      <formula>AND(F215&gt;0,F215*F216=0)</formula>
    </cfRule>
  </conditionalFormatting>
  <conditionalFormatting sqref="G216:Q216">
    <cfRule type="expression" dxfId="1232" priority="50">
      <formula>AND(G215&gt;0,G215*G216=0)</formula>
    </cfRule>
  </conditionalFormatting>
  <conditionalFormatting sqref="F217">
    <cfRule type="expression" dxfId="1231" priority="49">
      <formula>AND(F215&gt;0,F217*F215=0)</formula>
    </cfRule>
  </conditionalFormatting>
  <conditionalFormatting sqref="G217:Q217">
    <cfRule type="expression" dxfId="1230" priority="48">
      <formula>AND(G215&gt;0,G217*G215=0)</formula>
    </cfRule>
  </conditionalFormatting>
  <conditionalFormatting sqref="F221">
    <cfRule type="expression" dxfId="1229" priority="47">
      <formula>AND(F220&gt;0,F220*F221=0)</formula>
    </cfRule>
  </conditionalFormatting>
  <conditionalFormatting sqref="G221:Q221">
    <cfRule type="expression" dxfId="1228" priority="46">
      <formula>AND(G220&gt;0,G220*G221=0)</formula>
    </cfRule>
  </conditionalFormatting>
  <conditionalFormatting sqref="F222">
    <cfRule type="expression" dxfId="1227" priority="45">
      <formula>AND(F220&gt;0,F222*F220=0)</formula>
    </cfRule>
  </conditionalFormatting>
  <conditionalFormatting sqref="G222:Q222">
    <cfRule type="expression" dxfId="1226" priority="44">
      <formula>AND(G220&gt;0,G222*G220=0)</formula>
    </cfRule>
  </conditionalFormatting>
  <conditionalFormatting sqref="F243">
    <cfRule type="expression" dxfId="1225" priority="43">
      <formula>AND(F242&gt;0,F242*F243=0)</formula>
    </cfRule>
  </conditionalFormatting>
  <conditionalFormatting sqref="G243:Q243">
    <cfRule type="expression" dxfId="1224" priority="42">
      <formula>AND(G242&gt;0,G242*G243=0)</formula>
    </cfRule>
  </conditionalFormatting>
  <conditionalFormatting sqref="F244">
    <cfRule type="expression" dxfId="1223" priority="41">
      <formula>AND(F242&gt;0,F244*F242=0)</formula>
    </cfRule>
  </conditionalFormatting>
  <conditionalFormatting sqref="G244:Q244">
    <cfRule type="expression" dxfId="1222" priority="40">
      <formula>AND(G242&gt;0,G244*G242=0)</formula>
    </cfRule>
  </conditionalFormatting>
  <conditionalFormatting sqref="F250">
    <cfRule type="expression" dxfId="1221" priority="39">
      <formula>AND(F249&gt;0,F249*F250=0)</formula>
    </cfRule>
  </conditionalFormatting>
  <conditionalFormatting sqref="G250:Q250">
    <cfRule type="expression" dxfId="1220" priority="38">
      <formula>AND(G249&gt;0,G249*G250=0)</formula>
    </cfRule>
  </conditionalFormatting>
  <conditionalFormatting sqref="F251">
    <cfRule type="expression" dxfId="1219" priority="37">
      <formula>AND(F249&gt;0,F251*F249=0)</formula>
    </cfRule>
  </conditionalFormatting>
  <conditionalFormatting sqref="G251:Q251">
    <cfRule type="expression" dxfId="1218" priority="36">
      <formula>AND(G249&gt;0,G251*G249=0)</formula>
    </cfRule>
  </conditionalFormatting>
  <conditionalFormatting sqref="F268">
    <cfRule type="expression" dxfId="1217" priority="35">
      <formula>AND(F267&gt;0,F267*F268=0)</formula>
    </cfRule>
  </conditionalFormatting>
  <conditionalFormatting sqref="G268:Q268">
    <cfRule type="expression" dxfId="1216" priority="34">
      <formula>AND(G267&gt;0,G267*G268=0)</formula>
    </cfRule>
  </conditionalFormatting>
  <conditionalFormatting sqref="F269">
    <cfRule type="expression" dxfId="1215" priority="33">
      <formula>AND(F267&gt;0,F269*F267=0)</formula>
    </cfRule>
  </conditionalFormatting>
  <conditionalFormatting sqref="G269:Q269">
    <cfRule type="expression" dxfId="1214" priority="32">
      <formula>AND(G267&gt;0,G269*G267=0)</formula>
    </cfRule>
  </conditionalFormatting>
  <conditionalFormatting sqref="F274">
    <cfRule type="expression" dxfId="1213" priority="31">
      <formula>AND(F273&gt;0,F273*F274=0)</formula>
    </cfRule>
  </conditionalFormatting>
  <conditionalFormatting sqref="G274:Q274">
    <cfRule type="expression" dxfId="1212" priority="30">
      <formula>AND(G273&gt;0,G273*G274=0)</formula>
    </cfRule>
  </conditionalFormatting>
  <conditionalFormatting sqref="F275">
    <cfRule type="expression" dxfId="1211" priority="29">
      <formula>AND(F273&gt;0,F275*F273=0)</formula>
    </cfRule>
  </conditionalFormatting>
  <conditionalFormatting sqref="G275:Q275">
    <cfRule type="expression" dxfId="1210" priority="28">
      <formula>AND(G273&gt;0,G275*G273=0)</formula>
    </cfRule>
  </conditionalFormatting>
  <conditionalFormatting sqref="F290">
    <cfRule type="expression" dxfId="1209" priority="27">
      <formula>AND(F289&gt;0,F289*F290=0)</formula>
    </cfRule>
  </conditionalFormatting>
  <conditionalFormatting sqref="G290:Q290">
    <cfRule type="expression" dxfId="1208" priority="26">
      <formula>AND(G289&gt;0,G289*G290=0)</formula>
    </cfRule>
  </conditionalFormatting>
  <conditionalFormatting sqref="F291">
    <cfRule type="expression" dxfId="1207" priority="25">
      <formula>AND(F289&gt;0,F291*F289=0)</formula>
    </cfRule>
  </conditionalFormatting>
  <conditionalFormatting sqref="G291:Q291">
    <cfRule type="expression" dxfId="1206" priority="24">
      <formula>AND(G289&gt;0,G291*G289=0)</formula>
    </cfRule>
  </conditionalFormatting>
  <conditionalFormatting sqref="F297">
    <cfRule type="expression" dxfId="1205" priority="23">
      <formula>AND(F296&gt;0,F296*F297=0)</formula>
    </cfRule>
  </conditionalFormatting>
  <conditionalFormatting sqref="G297:Q297">
    <cfRule type="expression" dxfId="1204" priority="22">
      <formula>AND(G296&gt;0,G296*G297=0)</formula>
    </cfRule>
  </conditionalFormatting>
  <conditionalFormatting sqref="F298">
    <cfRule type="expression" dxfId="1203" priority="21">
      <formula>AND(F296&gt;0,F298*F296=0)</formula>
    </cfRule>
  </conditionalFormatting>
  <conditionalFormatting sqref="G298:Q298">
    <cfRule type="expression" dxfId="1202" priority="20">
      <formula>AND(G296&gt;0,G298*G296=0)</formula>
    </cfRule>
  </conditionalFormatting>
  <conditionalFormatting sqref="F336">
    <cfRule type="expression" dxfId="1201" priority="19">
      <formula>AND(F335&gt;0,F335*F336=0)</formula>
    </cfRule>
  </conditionalFormatting>
  <conditionalFormatting sqref="G336:Q336">
    <cfRule type="expression" dxfId="1200" priority="18">
      <formula>AND(G335&gt;0,G335*G336=0)</formula>
    </cfRule>
  </conditionalFormatting>
  <conditionalFormatting sqref="F341">
    <cfRule type="expression" dxfId="1199" priority="17">
      <formula>AND(F340&gt;0,F340*F341=0)</formula>
    </cfRule>
  </conditionalFormatting>
  <conditionalFormatting sqref="G341:Q341">
    <cfRule type="expression" dxfId="1198" priority="16">
      <formula>AND(G340&gt;0,G340*G341=0)</formula>
    </cfRule>
  </conditionalFormatting>
  <conditionalFormatting sqref="F107:H107">
    <cfRule type="expression" dxfId="1197" priority="14">
      <formula>SUM($F$107:$H$107)&lt;&gt;$R$104</formula>
    </cfRule>
  </conditionalFormatting>
  <conditionalFormatting sqref="F113:H113">
    <cfRule type="expression" dxfId="1196" priority="13">
      <formula>SUM($F$113:$H$113)&lt;&gt;$R$110</formula>
    </cfRule>
  </conditionalFormatting>
  <conditionalFormatting sqref="I135:K135">
    <cfRule type="expression" dxfId="1195" priority="12">
      <formula>SUM($I$135:$K$135)&lt;&gt;$R$132</formula>
    </cfRule>
  </conditionalFormatting>
  <conditionalFormatting sqref="I141:K141">
    <cfRule type="expression" dxfId="1194" priority="11">
      <formula>SUM($I$141:$K$141)&lt;&gt;$R$138</formula>
    </cfRule>
  </conditionalFormatting>
  <conditionalFormatting sqref="L163:N163">
    <cfRule type="expression" dxfId="1193" priority="10">
      <formula>SUM($L$163:$N$163)&lt;&gt;$R$160</formula>
    </cfRule>
  </conditionalFormatting>
  <conditionalFormatting sqref="L169:N169">
    <cfRule type="expression" dxfId="1192" priority="9">
      <formula>SUM($L$169:$N$169)&lt;&gt;$R$166</formula>
    </cfRule>
  </conditionalFormatting>
  <conditionalFormatting sqref="O191:Q191">
    <cfRule type="expression" dxfId="1191" priority="8">
      <formula>SUM($O$191:$Q$191)&lt;&gt;$R$188</formula>
    </cfRule>
  </conditionalFormatting>
  <conditionalFormatting sqref="O197:Q197">
    <cfRule type="expression" dxfId="1190" priority="7">
      <formula>SUM($O$197:$Q$197)&lt;&gt;$R$194</formula>
    </cfRule>
  </conditionalFormatting>
  <conditionalFormatting sqref="R7">
    <cfRule type="cellIs" dxfId="1189" priority="6" operator="equal">
      <formula>0</formula>
    </cfRule>
  </conditionalFormatting>
  <conditionalFormatting sqref="B7:R7">
    <cfRule type="cellIs" dxfId="1188" priority="5" operator="equal">
      <formula>0</formula>
    </cfRule>
  </conditionalFormatting>
  <conditionalFormatting sqref="A1">
    <cfRule type="cellIs" dxfId="1187" priority="4" operator="equal">
      <formula>0</formula>
    </cfRule>
  </conditionalFormatting>
  <conditionalFormatting sqref="F55:Q55">
    <cfRule type="expression" dxfId="1186" priority="3">
      <formula>$C$55=$B$57</formula>
    </cfRule>
  </conditionalFormatting>
  <conditionalFormatting sqref="F75:Q75">
    <cfRule type="expression" dxfId="1185" priority="2">
      <formula>$R$72&lt;&gt;$R$75</formula>
    </cfRule>
  </conditionalFormatting>
  <conditionalFormatting sqref="F82:Q82">
    <cfRule type="expression" dxfId="1184" priority="1">
      <formula>$R$79&lt;&gt;$R$82</formula>
    </cfRule>
  </conditionalFormatting>
  <dataValidations count="8">
    <dataValidation allowBlank="1" showInputMessage="1" showErrorMessage="1" promptTitle="Secados adelantados " prompt="Si se definen secados adelantados, se deben completar todos los secados del año en esta fila._x000a__x000a_" sqref="F38"/>
    <dataValidation allowBlank="1" showInputMessage="1" showErrorMessage="1" promptTitle="Secados adelantados " prompt="Si se elije realizar secados adelantados hay que colocar todos los secados de año de esta manera pues la planilla solo utilizará esta fila." sqref="B39"/>
    <dataValidation allowBlank="1" showInputMessage="1" showErrorMessage="1" promptTitle="Cálculo consumo leche Terneros" prompt="Colocar el consumo promedio de leche diario y los días que se tienen los animales consumiendo leche. Calcula el consumo de leche para todo el período y lo asigna al mes de nacimiento." sqref="B53 B59"/>
    <dataValidation allowBlank="1" showInputMessage="1" showErrorMessage="1" prompt="Asumuir la calidad promedio de las reservas al inicio del ejercicio" sqref="B95 B282 B305 B328"/>
    <dataValidation allowBlank="1" showInputMessage="1" showErrorMessage="1" promptTitle="Secados adelantados " prompt="Si se definen secados adelantados, se deben completar todos los secados del año en esta fila._x000a_" sqref="B38"/>
    <dataValidation type="list" allowBlank="1" showInputMessage="1" showErrorMessage="1" sqref="C62 F55:Q55">
      <formula1>Machos</formula1>
    </dataValidation>
    <dataValidation type="list" allowBlank="1" showInputMessage="1" showErrorMessage="1" sqref="C56">
      <formula1>machos2</formula1>
    </dataValidation>
    <dataValidation type="list" allowBlank="1" showInputMessage="1" showErrorMessage="1" sqref="C55">
      <formula1>machos3</formula1>
    </dataValidation>
  </dataValidations>
  <hyperlinks>
    <hyperlink ref="F69" location="General!C70" display="General!C70"/>
    <hyperlink ref="F212" location="General!C75" display="General!C75"/>
    <hyperlink ref="F239" location="General!C76" display="General!C76"/>
    <hyperlink ref="F265" location="General!C77" display="General!C77"/>
    <hyperlink ref="B4" location="A.Lecheros!B9:T50" display="Vacas en ordeñe"/>
    <hyperlink ref="B5" location="A.Lecheros!B53:Q63" display="Conusmo leche Terneras/os"/>
    <hyperlink ref="P3:Q3" location="A.Lecheros!B285:R2305" display="Terneras Lactantes "/>
    <hyperlink ref="P4:Q4" location="A.Lecheros!B308:R328" display="Terneros Lactantes"/>
    <hyperlink ref="P5:Q5" location="A.Lecheros!B330:R347" display="Toros"/>
    <hyperlink ref="F2:H2" location="A.Lecheros!B96:R119" display="Vaquillonas preñadas - a parir en el 1er trimestre"/>
    <hyperlink ref="F3:H3" location="A.Lecheros!B124:R147" display="Vaquillonas preñadas - a parir en el 2do trimestre"/>
    <hyperlink ref="F4:H4" location="A.Lecheros!B152:R175" display="Vaquillonas preñadas - a parir en el 3er trimestre"/>
    <hyperlink ref="F5:H5" location="A.Lecheros!B180:R203" display="Vaquillonas preñadas - a parir en el 4to trimestre"/>
    <hyperlink ref="L3:M3" location="A.Lecheros!B210:R232" display="Vaquillonas vacias"/>
    <hyperlink ref="L4:M4" location="A.Lecheros!B235:R256" display="Terneras &gt; 6 meses "/>
    <hyperlink ref="L5:M5" location="A.Lecheros!B261:R280" display="Terneras &gt; 2 meses &lt; 6 meses"/>
    <hyperlink ref="C4:D4" location="A.Lecheros!B67:R86" display="Vacas secas "/>
    <hyperlink ref="C5:D5" location="A.Lecheros!B89:R95" display="Vacas y vaquillonas preparto "/>
    <hyperlink ref="F2:I2" location="A.Lecheros!B98:R121" display="Vaquillonas preñadas - a parir en el 1er trimestre"/>
    <hyperlink ref="F3:I3" location="A.Lecheros!B126:R149" display="Vaquillonas preñadas - a parir en el 2do trimestre"/>
    <hyperlink ref="F4:I4" location="A.Lecheros!B154:R177" display="Vaquillonas preñadas - a parir en el 3er trimestre"/>
    <hyperlink ref="F5:I5" location="A.Lecheros!B182:R205" display="Vaquillonas preñadas - a parir en el 4to trimestre"/>
    <hyperlink ref="L4:N4" location="A.Lecheros!B237:R258" display="Terneras &gt; 6 meses "/>
    <hyperlink ref="L5:N5" location="A.Lecheros!B263:R282" display="Terneras &gt; 2 meses &lt; 6 meses"/>
    <hyperlink ref="P3:R3" location="A.Lecheros!B285:R305" display="Terneras Lactantes "/>
    <hyperlink ref="P4:R4" location="A.Lecheros!B308:R328" display="Terneros Lactantes"/>
    <hyperlink ref="P5:R5" location="A.Lecheros!B330:R349" display="Toros"/>
    <hyperlink ref="A1" location="ManualGlobal!B27:D43" display="◄"/>
  </hyperlinks>
  <printOptions horizontalCentered="1"/>
  <pageMargins left="0.78740157480314965" right="0.39370078740157483" top="0.59055118110236227" bottom="0.59055118110236227" header="0" footer="0"/>
  <pageSetup paperSize="9" scale="10" orientation="portrait" horizontalDpi="4294967293" verticalDpi="300" r:id="rId1"/>
  <headerFooter alignWithMargins="0">
    <oddHeader>&amp;C&amp;F</oddHeader>
  </headerFooter>
  <ignoredErrors>
    <ignoredError sqref="K245:Q246 F315 E316:Q316 E315 G315:Q315 F312:Q312"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X249"/>
  <sheetViews>
    <sheetView showGridLines="0" zoomScaleNormal="100" workbookViewId="0">
      <pane ySplit="5" topLeftCell="A14" activePane="bottomLeft" state="frozen"/>
      <selection activeCell="Q67" sqref="Q67"/>
      <selection pane="bottomLeft" activeCell="F16" sqref="F16"/>
    </sheetView>
  </sheetViews>
  <sheetFormatPr baseColWidth="10" defaultColWidth="11.375" defaultRowHeight="14.4" x14ac:dyDescent="0.3"/>
  <cols>
    <col min="1" max="1" width="5.375" style="3402" customWidth="1"/>
    <col min="2" max="2" width="44.375" style="3402" customWidth="1"/>
    <col min="3" max="3" width="11.375" style="3402"/>
    <col min="4" max="4" width="7.375" style="3402" customWidth="1"/>
    <col min="5" max="5" width="13.625" style="3402" customWidth="1"/>
    <col min="6" max="8" width="11.375" style="3402"/>
    <col min="9" max="17" width="11.375" style="3402" customWidth="1"/>
    <col min="18" max="18" width="11.375" style="3402"/>
    <col min="19" max="16384" width="11.375" style="3311"/>
  </cols>
  <sheetData>
    <row r="1" spans="1:20" s="2475" customFormat="1" ht="17.7" x14ac:dyDescent="0.3">
      <c r="A1" s="2463" t="s">
        <v>633</v>
      </c>
      <c r="B1" s="3310" t="s">
        <v>1514</v>
      </c>
      <c r="C1" s="2556"/>
      <c r="D1" s="2618"/>
      <c r="E1" s="2618"/>
      <c r="F1" s="2467"/>
      <c r="G1" s="2467"/>
      <c r="H1" s="2467"/>
      <c r="I1" s="2467"/>
      <c r="J1" s="2467"/>
      <c r="K1" s="2467"/>
      <c r="L1" s="2467"/>
      <c r="M1" s="2467"/>
      <c r="N1" s="2467"/>
      <c r="O1" s="2467"/>
      <c r="P1" s="2467"/>
      <c r="Q1" s="2467"/>
      <c r="T1" s="2970"/>
    </row>
    <row r="2" spans="1:20" s="2475" customFormat="1" x14ac:dyDescent="0.3">
      <c r="B2" s="3311"/>
      <c r="C2" s="2463" t="s">
        <v>1483</v>
      </c>
      <c r="D2" s="2463"/>
      <c r="E2" s="2463"/>
      <c r="F2" s="3311"/>
      <c r="G2" s="5532" t="s">
        <v>1485</v>
      </c>
      <c r="H2" s="5532"/>
      <c r="I2" s="5532"/>
      <c r="J2" s="3311"/>
      <c r="K2" s="3311"/>
      <c r="L2" s="3311"/>
      <c r="M2" s="3311"/>
      <c r="N2" s="3311"/>
      <c r="O2" s="2618"/>
      <c r="T2" s="2970"/>
    </row>
    <row r="3" spans="1:20" s="2475" customFormat="1" x14ac:dyDescent="0.3">
      <c r="B3" s="2463" t="s">
        <v>1464</v>
      </c>
      <c r="C3" s="2463" t="s">
        <v>1484</v>
      </c>
      <c r="D3" s="2463"/>
      <c r="E3" s="2463"/>
      <c r="F3" s="3311"/>
      <c r="G3" s="5532" t="s">
        <v>1515</v>
      </c>
      <c r="H3" s="5532"/>
      <c r="I3" s="5532"/>
      <c r="J3" s="3311"/>
      <c r="K3" s="3311"/>
      <c r="L3" s="3311"/>
      <c r="M3" s="3311"/>
      <c r="N3" s="3311"/>
      <c r="S3" s="2970"/>
      <c r="T3" s="2970"/>
    </row>
    <row r="4" spans="1:20" s="2475" customFormat="1" x14ac:dyDescent="0.2">
      <c r="C4" s="3312"/>
      <c r="D4" s="3312"/>
      <c r="E4" s="3312"/>
      <c r="F4" s="3312"/>
      <c r="G4" s="2618"/>
      <c r="H4" s="2477"/>
      <c r="I4" s="3312"/>
      <c r="J4" s="3312"/>
      <c r="K4" s="2618"/>
      <c r="N4" s="3312"/>
      <c r="P4" s="5533"/>
      <c r="Q4" s="5533"/>
      <c r="R4" s="5533"/>
      <c r="S4" s="2970"/>
      <c r="T4" s="2970"/>
    </row>
    <row r="5" spans="1:20" s="2475" customFormat="1" ht="28.8" x14ac:dyDescent="0.2">
      <c r="A5" s="2468"/>
      <c r="B5" s="2480" t="s">
        <v>683</v>
      </c>
      <c r="C5" s="2481"/>
      <c r="D5" s="2482"/>
      <c r="E5" s="2483"/>
      <c r="F5" s="2484" t="str">
        <f>+F8</f>
        <v>Ene</v>
      </c>
      <c r="G5" s="2484" t="str">
        <f t="shared" ref="G5:Q5" si="0">+G8</f>
        <v>Feb</v>
      </c>
      <c r="H5" s="2484" t="str">
        <f t="shared" si="0"/>
        <v>Mar</v>
      </c>
      <c r="I5" s="2484" t="str">
        <f t="shared" si="0"/>
        <v>Abr</v>
      </c>
      <c r="J5" s="2484" t="str">
        <f t="shared" si="0"/>
        <v>May</v>
      </c>
      <c r="K5" s="2484" t="str">
        <f t="shared" si="0"/>
        <v>Jun</v>
      </c>
      <c r="L5" s="2484" t="str">
        <f t="shared" si="0"/>
        <v>Jul</v>
      </c>
      <c r="M5" s="2484" t="str">
        <f t="shared" si="0"/>
        <v>Ago</v>
      </c>
      <c r="N5" s="2484" t="str">
        <f t="shared" si="0"/>
        <v>Set</v>
      </c>
      <c r="O5" s="2484" t="str">
        <f t="shared" si="0"/>
        <v>Oct</v>
      </c>
      <c r="P5" s="2484" t="str">
        <f t="shared" si="0"/>
        <v>Nov</v>
      </c>
      <c r="Q5" s="2484" t="str">
        <f t="shared" si="0"/>
        <v>Dic</v>
      </c>
      <c r="R5" s="2485" t="s">
        <v>2348</v>
      </c>
      <c r="T5" s="2970"/>
    </row>
    <row r="6" spans="1:20" s="2618" customFormat="1" ht="15.05" thickBot="1" x14ac:dyDescent="0.25">
      <c r="C6" s="3313"/>
      <c r="D6" s="3314"/>
      <c r="E6" s="3315"/>
      <c r="F6" s="3314"/>
      <c r="G6" s="3314"/>
      <c r="H6" s="3314"/>
      <c r="I6" s="3314"/>
      <c r="J6" s="3314"/>
      <c r="K6" s="3314"/>
      <c r="L6" s="3314"/>
      <c r="M6" s="3314"/>
      <c r="N6" s="3314"/>
      <c r="O6" s="3314"/>
      <c r="P6" s="3314"/>
      <c r="Q6" s="3314"/>
      <c r="R6" s="2686"/>
      <c r="T6" s="2619"/>
    </row>
    <row r="7" spans="1:20" s="2618" customFormat="1" ht="15.9" customHeight="1" thickBot="1" x14ac:dyDescent="0.25">
      <c r="A7" s="2487">
        <f>+A.Lecheros!A330+1</f>
        <v>83</v>
      </c>
      <c r="B7" s="2488" t="s">
        <v>1464</v>
      </c>
      <c r="C7" s="2489"/>
      <c r="D7" s="2490"/>
      <c r="E7" s="2489"/>
      <c r="F7" s="2489"/>
      <c r="G7" s="2489"/>
      <c r="H7" s="2489"/>
      <c r="I7" s="2489"/>
      <c r="J7" s="2489"/>
      <c r="K7" s="2489"/>
      <c r="L7" s="2489"/>
      <c r="M7" s="2489"/>
      <c r="N7" s="2489"/>
      <c r="O7" s="2489"/>
      <c r="P7" s="2489"/>
      <c r="Q7" s="2489"/>
      <c r="R7" s="2491"/>
      <c r="S7" s="2475"/>
      <c r="T7" s="2619"/>
    </row>
    <row r="8" spans="1:20" s="2618" customFormat="1" ht="15.9" customHeight="1" x14ac:dyDescent="0.2">
      <c r="A8" s="2468"/>
      <c r="B8" s="2679" t="s">
        <v>683</v>
      </c>
      <c r="C8" s="2680"/>
      <c r="D8" s="2680"/>
      <c r="E8" s="2681"/>
      <c r="F8" s="2682" t="str">
        <f>+A.Lecheros!F331</f>
        <v>Ene</v>
      </c>
      <c r="G8" s="2682" t="str">
        <f>+A.Lecheros!G331</f>
        <v>Feb</v>
      </c>
      <c r="H8" s="2682" t="str">
        <f>+A.Lecheros!H331</f>
        <v>Mar</v>
      </c>
      <c r="I8" s="2682" t="str">
        <f>+A.Lecheros!I331</f>
        <v>Abr</v>
      </c>
      <c r="J8" s="2682" t="str">
        <f>+A.Lecheros!J331</f>
        <v>May</v>
      </c>
      <c r="K8" s="2682" t="str">
        <f>+A.Lecheros!K331</f>
        <v>Jun</v>
      </c>
      <c r="L8" s="2682" t="str">
        <f>+A.Lecheros!L331</f>
        <v>Jul</v>
      </c>
      <c r="M8" s="2682" t="str">
        <f>+A.Lecheros!M331</f>
        <v>Ago</v>
      </c>
      <c r="N8" s="2682" t="str">
        <f>+A.Lecheros!N331</f>
        <v>Set</v>
      </c>
      <c r="O8" s="2682" t="str">
        <f>+A.Lecheros!O331</f>
        <v>Oct</v>
      </c>
      <c r="P8" s="2682" t="str">
        <f>+A.Lecheros!P331</f>
        <v>Nov</v>
      </c>
      <c r="Q8" s="2682" t="str">
        <f>+A.Lecheros!Q331</f>
        <v>Dic</v>
      </c>
      <c r="R8" s="2808" t="s">
        <v>1110</v>
      </c>
      <c r="S8" s="2475"/>
      <c r="T8" s="2619"/>
    </row>
    <row r="9" spans="1:20" s="2618" customFormat="1" ht="15.9" customHeight="1" x14ac:dyDescent="0.2">
      <c r="A9" s="2468"/>
      <c r="B9" s="2509" t="s">
        <v>1363</v>
      </c>
      <c r="C9" s="2510" t="s">
        <v>357</v>
      </c>
      <c r="D9" s="2511"/>
      <c r="E9" s="2511"/>
      <c r="F9" s="2512">
        <f>+General!C82</f>
        <v>0</v>
      </c>
      <c r="G9" s="832">
        <f t="shared" ref="G9:Q9" si="1">+F25</f>
        <v>0</v>
      </c>
      <c r="H9" s="832">
        <f t="shared" si="1"/>
        <v>0</v>
      </c>
      <c r="I9" s="832">
        <f t="shared" si="1"/>
        <v>0</v>
      </c>
      <c r="J9" s="832">
        <f t="shared" si="1"/>
        <v>0</v>
      </c>
      <c r="K9" s="832">
        <f t="shared" si="1"/>
        <v>0</v>
      </c>
      <c r="L9" s="832">
        <f t="shared" si="1"/>
        <v>0</v>
      </c>
      <c r="M9" s="832">
        <f t="shared" si="1"/>
        <v>0</v>
      </c>
      <c r="N9" s="832">
        <f t="shared" si="1"/>
        <v>0</v>
      </c>
      <c r="O9" s="832">
        <f t="shared" si="1"/>
        <v>0</v>
      </c>
      <c r="P9" s="832">
        <f t="shared" si="1"/>
        <v>0</v>
      </c>
      <c r="Q9" s="832">
        <f t="shared" si="1"/>
        <v>0</v>
      </c>
      <c r="R9" s="2952" t="s">
        <v>1111</v>
      </c>
      <c r="S9" s="717"/>
      <c r="T9" s="2619"/>
    </row>
    <row r="10" spans="1:20" s="2618" customFormat="1" ht="15.9" customHeight="1" x14ac:dyDescent="0.2">
      <c r="A10" s="2468"/>
      <c r="B10" s="2516" t="s">
        <v>1452</v>
      </c>
      <c r="C10" s="400" t="s">
        <v>356</v>
      </c>
      <c r="D10" s="400"/>
      <c r="E10" s="2466"/>
      <c r="F10" s="2577">
        <f>+General!D82</f>
        <v>0</v>
      </c>
      <c r="G10" s="2929">
        <f t="shared" ref="G10:Q10" si="2">+F28</f>
        <v>0</v>
      </c>
      <c r="H10" s="2929">
        <f t="shared" si="2"/>
        <v>0</v>
      </c>
      <c r="I10" s="2929">
        <f t="shared" si="2"/>
        <v>0</v>
      </c>
      <c r="J10" s="2929">
        <f t="shared" si="2"/>
        <v>0</v>
      </c>
      <c r="K10" s="2929">
        <f t="shared" si="2"/>
        <v>0</v>
      </c>
      <c r="L10" s="2929">
        <f t="shared" si="2"/>
        <v>0</v>
      </c>
      <c r="M10" s="2929">
        <f t="shared" si="2"/>
        <v>0</v>
      </c>
      <c r="N10" s="2929">
        <f t="shared" si="2"/>
        <v>0</v>
      </c>
      <c r="O10" s="2929">
        <f t="shared" si="2"/>
        <v>0</v>
      </c>
      <c r="P10" s="2929">
        <f t="shared" si="2"/>
        <v>0</v>
      </c>
      <c r="Q10" s="2929">
        <f t="shared" si="2"/>
        <v>0</v>
      </c>
      <c r="R10" s="2515"/>
      <c r="S10" s="2475"/>
      <c r="T10" s="2619"/>
    </row>
    <row r="11" spans="1:20" s="2618" customFormat="1" ht="15.9" customHeight="1" x14ac:dyDescent="0.2">
      <c r="A11" s="2468"/>
      <c r="B11" s="2524" t="s">
        <v>352</v>
      </c>
      <c r="C11" s="2525"/>
      <c r="D11" s="2525"/>
      <c r="E11" s="2525"/>
      <c r="F11" s="2932"/>
      <c r="G11" s="2932"/>
      <c r="H11" s="2932"/>
      <c r="I11" s="2932"/>
      <c r="J11" s="2932"/>
      <c r="K11" s="2932"/>
      <c r="L11" s="2932"/>
      <c r="M11" s="2932"/>
      <c r="N11" s="2932"/>
      <c r="O11" s="2932"/>
      <c r="P11" s="2932"/>
      <c r="Q11" s="2932"/>
      <c r="R11" s="2768"/>
      <c r="S11" s="2475"/>
      <c r="T11" s="2619"/>
    </row>
    <row r="12" spans="1:20" s="2618" customFormat="1" ht="15.9" customHeight="1" x14ac:dyDescent="0.2">
      <c r="A12" s="2468"/>
      <c r="B12" s="399" t="s">
        <v>628</v>
      </c>
      <c r="C12" s="400" t="s">
        <v>354</v>
      </c>
      <c r="D12" s="400"/>
      <c r="E12" s="400"/>
      <c r="F12" s="3316">
        <f>A.Lecheros!F33</f>
        <v>0</v>
      </c>
      <c r="G12" s="3317">
        <f>A.Lecheros!G33</f>
        <v>0</v>
      </c>
      <c r="H12" s="3317">
        <f>A.Lecheros!H33</f>
        <v>0</v>
      </c>
      <c r="I12" s="3317">
        <f>A.Lecheros!I33</f>
        <v>0</v>
      </c>
      <c r="J12" s="3317">
        <f>A.Lecheros!J33</f>
        <v>0</v>
      </c>
      <c r="K12" s="3317">
        <f>A.Lecheros!K33</f>
        <v>0</v>
      </c>
      <c r="L12" s="3317">
        <f>A.Lecheros!L33</f>
        <v>0</v>
      </c>
      <c r="M12" s="3317">
        <f>A.Lecheros!M33</f>
        <v>0</v>
      </c>
      <c r="N12" s="3317">
        <f>A.Lecheros!N33</f>
        <v>0</v>
      </c>
      <c r="O12" s="3317">
        <f>A.Lecheros!O33</f>
        <v>0</v>
      </c>
      <c r="P12" s="3317">
        <f>A.Lecheros!P33</f>
        <v>0</v>
      </c>
      <c r="Q12" s="3318">
        <f>A.Lecheros!Q33</f>
        <v>0</v>
      </c>
      <c r="R12" s="406">
        <f>+SUM(F12:Q12)</f>
        <v>0</v>
      </c>
      <c r="S12" s="2475"/>
      <c r="T12" s="2619"/>
    </row>
    <row r="13" spans="1:20" s="2618" customFormat="1" ht="15.9" customHeight="1" x14ac:dyDescent="0.2">
      <c r="A13" s="2468"/>
      <c r="B13" s="399" t="s">
        <v>1297</v>
      </c>
      <c r="C13" s="400" t="s">
        <v>356</v>
      </c>
      <c r="D13" s="400"/>
      <c r="E13" s="400"/>
      <c r="F13" s="3319">
        <f>A.Lecheros!F34</f>
        <v>0</v>
      </c>
      <c r="G13" s="3320">
        <f>A.Lecheros!G34</f>
        <v>0</v>
      </c>
      <c r="H13" s="3320">
        <f>A.Lecheros!H34</f>
        <v>0</v>
      </c>
      <c r="I13" s="3320">
        <f>A.Lecheros!I34</f>
        <v>0</v>
      </c>
      <c r="J13" s="3320">
        <f>A.Lecheros!J34</f>
        <v>0</v>
      </c>
      <c r="K13" s="3320">
        <f>A.Lecheros!K34</f>
        <v>0</v>
      </c>
      <c r="L13" s="3320">
        <f>A.Lecheros!L34</f>
        <v>0</v>
      </c>
      <c r="M13" s="3320">
        <f>A.Lecheros!M34</f>
        <v>0</v>
      </c>
      <c r="N13" s="3320">
        <f>A.Lecheros!N34</f>
        <v>0</v>
      </c>
      <c r="O13" s="3320">
        <f>A.Lecheros!O34</f>
        <v>0</v>
      </c>
      <c r="P13" s="3320">
        <f>A.Lecheros!P34</f>
        <v>0</v>
      </c>
      <c r="Q13" s="3321">
        <f>A.Lecheros!Q34</f>
        <v>0</v>
      </c>
      <c r="R13" s="393"/>
      <c r="S13" s="2475"/>
      <c r="T13" s="2619"/>
    </row>
    <row r="14" spans="1:20" s="2618" customFormat="1" ht="15.9" customHeight="1" thickBot="1" x14ac:dyDescent="0.25">
      <c r="A14" s="2468"/>
      <c r="B14" s="389" t="s">
        <v>225</v>
      </c>
      <c r="C14" s="390" t="s">
        <v>362</v>
      </c>
      <c r="D14" s="400"/>
      <c r="E14" s="400"/>
      <c r="F14" s="3322">
        <f>A.Lecheros!F35</f>
        <v>0</v>
      </c>
      <c r="G14" s="3323">
        <f>A.Lecheros!G35</f>
        <v>0</v>
      </c>
      <c r="H14" s="3323">
        <f>A.Lecheros!H35</f>
        <v>0</v>
      </c>
      <c r="I14" s="3323">
        <f>A.Lecheros!I35</f>
        <v>0</v>
      </c>
      <c r="J14" s="3323">
        <f>A.Lecheros!J35</f>
        <v>0</v>
      </c>
      <c r="K14" s="3323">
        <f>A.Lecheros!K35</f>
        <v>0</v>
      </c>
      <c r="L14" s="3323">
        <f>A.Lecheros!L35</f>
        <v>0</v>
      </c>
      <c r="M14" s="3323">
        <f>A.Lecheros!M35</f>
        <v>0</v>
      </c>
      <c r="N14" s="3323">
        <f>A.Lecheros!N35</f>
        <v>0</v>
      </c>
      <c r="O14" s="3323">
        <f>A.Lecheros!O35</f>
        <v>0</v>
      </c>
      <c r="P14" s="3323">
        <f>A.Lecheros!P35</f>
        <v>0</v>
      </c>
      <c r="Q14" s="3324">
        <f>A.Lecheros!Q35</f>
        <v>0</v>
      </c>
      <c r="R14" s="393"/>
      <c r="S14" s="2475"/>
      <c r="T14" s="2619"/>
    </row>
    <row r="15" spans="1:20" s="2618" customFormat="1" ht="15.9" customHeight="1" x14ac:dyDescent="0.2">
      <c r="A15" s="2466"/>
      <c r="B15" s="2165" t="s">
        <v>1469</v>
      </c>
      <c r="C15" s="2166" t="s">
        <v>354</v>
      </c>
      <c r="D15" s="3325"/>
      <c r="E15" s="3326"/>
      <c r="F15" s="5133"/>
      <c r="G15" s="5134"/>
      <c r="H15" s="5134"/>
      <c r="I15" s="5134"/>
      <c r="J15" s="5134"/>
      <c r="K15" s="5134"/>
      <c r="L15" s="5134"/>
      <c r="M15" s="5134"/>
      <c r="N15" s="5134"/>
      <c r="O15" s="5134"/>
      <c r="P15" s="5134"/>
      <c r="Q15" s="5135"/>
      <c r="R15" s="865">
        <f>+SUM(F15:Q15)</f>
        <v>0</v>
      </c>
      <c r="T15" s="2619"/>
    </row>
    <row r="16" spans="1:20" s="2618" customFormat="1" ht="15.9" customHeight="1" x14ac:dyDescent="0.2">
      <c r="A16" s="2466"/>
      <c r="B16" s="389" t="s">
        <v>1298</v>
      </c>
      <c r="C16" s="390" t="s">
        <v>356</v>
      </c>
      <c r="D16" s="2466"/>
      <c r="E16" s="2466"/>
      <c r="F16" s="5136"/>
      <c r="G16" s="5137"/>
      <c r="H16" s="5137"/>
      <c r="I16" s="5137"/>
      <c r="J16" s="5137"/>
      <c r="K16" s="5137"/>
      <c r="L16" s="5137"/>
      <c r="M16" s="5137"/>
      <c r="N16" s="5137"/>
      <c r="O16" s="5137"/>
      <c r="P16" s="5137"/>
      <c r="Q16" s="5138"/>
      <c r="R16" s="393"/>
      <c r="T16" s="2619"/>
    </row>
    <row r="17" spans="1:20" s="2618" customFormat="1" ht="15.9" customHeight="1" thickBot="1" x14ac:dyDescent="0.25">
      <c r="A17" s="2466"/>
      <c r="B17" s="389" t="s">
        <v>1292</v>
      </c>
      <c r="C17" s="390" t="s">
        <v>362</v>
      </c>
      <c r="D17" s="2466"/>
      <c r="E17" s="2466"/>
      <c r="F17" s="5139"/>
      <c r="G17" s="5140"/>
      <c r="H17" s="5140"/>
      <c r="I17" s="5140"/>
      <c r="J17" s="5140"/>
      <c r="K17" s="5140"/>
      <c r="L17" s="5140"/>
      <c r="M17" s="5140"/>
      <c r="N17" s="5140"/>
      <c r="O17" s="5140"/>
      <c r="P17" s="5140"/>
      <c r="Q17" s="5141"/>
      <c r="R17" s="393"/>
      <c r="T17" s="2619"/>
    </row>
    <row r="18" spans="1:20" s="2618" customFormat="1" ht="15.9" customHeight="1" x14ac:dyDescent="0.2">
      <c r="A18" s="2466"/>
      <c r="B18" s="2548" t="s">
        <v>364</v>
      </c>
      <c r="C18" s="2549" t="s">
        <v>354</v>
      </c>
      <c r="D18" s="2550"/>
      <c r="E18" s="2958"/>
      <c r="F18" s="2982">
        <f t="shared" ref="F18:Q18" si="3">F12+F15</f>
        <v>0</v>
      </c>
      <c r="G18" s="2982">
        <f t="shared" si="3"/>
        <v>0</v>
      </c>
      <c r="H18" s="2982">
        <f t="shared" si="3"/>
        <v>0</v>
      </c>
      <c r="I18" s="2982">
        <f t="shared" si="3"/>
        <v>0</v>
      </c>
      <c r="J18" s="2982">
        <f t="shared" si="3"/>
        <v>0</v>
      </c>
      <c r="K18" s="2982">
        <f t="shared" si="3"/>
        <v>0</v>
      </c>
      <c r="L18" s="2982">
        <f t="shared" si="3"/>
        <v>0</v>
      </c>
      <c r="M18" s="2982">
        <f t="shared" si="3"/>
        <v>0</v>
      </c>
      <c r="N18" s="2982">
        <f t="shared" si="3"/>
        <v>0</v>
      </c>
      <c r="O18" s="2982">
        <f t="shared" si="3"/>
        <v>0</v>
      </c>
      <c r="P18" s="2982">
        <f t="shared" si="3"/>
        <v>0</v>
      </c>
      <c r="Q18" s="2982">
        <f t="shared" si="3"/>
        <v>0</v>
      </c>
      <c r="R18" s="866">
        <f>+SUM(F18:Q18)</f>
        <v>0</v>
      </c>
      <c r="T18" s="2619"/>
    </row>
    <row r="19" spans="1:20" s="2618" customFormat="1" ht="15.9" customHeight="1" x14ac:dyDescent="0.2">
      <c r="A19" s="2466"/>
      <c r="B19" s="2524" t="s">
        <v>359</v>
      </c>
      <c r="C19" s="2525"/>
      <c r="D19" s="2525"/>
      <c r="E19" s="2525"/>
      <c r="F19" s="2932"/>
      <c r="G19" s="2932"/>
      <c r="H19" s="2932"/>
      <c r="I19" s="2932"/>
      <c r="J19" s="2932"/>
      <c r="K19" s="2932"/>
      <c r="L19" s="2932"/>
      <c r="M19" s="2932"/>
      <c r="N19" s="2932"/>
      <c r="O19" s="2932"/>
      <c r="P19" s="2932"/>
      <c r="Q19" s="2932"/>
      <c r="R19" s="2768"/>
      <c r="T19" s="2619"/>
    </row>
    <row r="20" spans="1:20" s="2618" customFormat="1" ht="15.9" customHeight="1" x14ac:dyDescent="0.2">
      <c r="A20" s="2466"/>
      <c r="B20" s="389" t="s">
        <v>1470</v>
      </c>
      <c r="C20" s="390" t="s">
        <v>354</v>
      </c>
      <c r="D20" s="2466"/>
      <c r="E20" s="2466"/>
      <c r="F20" s="5133"/>
      <c r="G20" s="5134"/>
      <c r="H20" s="5134"/>
      <c r="I20" s="5134"/>
      <c r="J20" s="5134"/>
      <c r="K20" s="5134"/>
      <c r="L20" s="5134"/>
      <c r="M20" s="5134"/>
      <c r="N20" s="5134"/>
      <c r="O20" s="5134"/>
      <c r="P20" s="5134"/>
      <c r="Q20" s="5135"/>
      <c r="R20" s="406">
        <f>+SUM(F20:Q20)</f>
        <v>0</v>
      </c>
      <c r="T20" s="2619"/>
    </row>
    <row r="21" spans="1:20" s="2618" customFormat="1" ht="15.9" customHeight="1" x14ac:dyDescent="0.2">
      <c r="A21" s="2466"/>
      <c r="B21" s="389" t="s">
        <v>1295</v>
      </c>
      <c r="C21" s="390" t="s">
        <v>356</v>
      </c>
      <c r="D21" s="2466"/>
      <c r="E21" s="2466"/>
      <c r="F21" s="5136"/>
      <c r="G21" s="5137"/>
      <c r="H21" s="5137"/>
      <c r="I21" s="5137"/>
      <c r="J21" s="5137"/>
      <c r="K21" s="5137"/>
      <c r="L21" s="5137"/>
      <c r="M21" s="5137"/>
      <c r="N21" s="5137"/>
      <c r="O21" s="5137"/>
      <c r="P21" s="5137"/>
      <c r="Q21" s="5138"/>
      <c r="R21" s="393"/>
      <c r="T21" s="2619"/>
    </row>
    <row r="22" spans="1:20" s="2618" customFormat="1" ht="15.9" customHeight="1" thickBot="1" x14ac:dyDescent="0.25">
      <c r="A22" s="2466"/>
      <c r="B22" s="389" t="s">
        <v>1293</v>
      </c>
      <c r="C22" s="390" t="s">
        <v>362</v>
      </c>
      <c r="D22" s="2466"/>
      <c r="E22" s="2466"/>
      <c r="F22" s="5139"/>
      <c r="G22" s="5140"/>
      <c r="H22" s="5140"/>
      <c r="I22" s="5140"/>
      <c r="J22" s="5140"/>
      <c r="K22" s="5140"/>
      <c r="L22" s="5140"/>
      <c r="M22" s="5140"/>
      <c r="N22" s="5140"/>
      <c r="O22" s="5140"/>
      <c r="P22" s="5140"/>
      <c r="Q22" s="5141"/>
      <c r="R22" s="393"/>
      <c r="T22" s="2619"/>
    </row>
    <row r="23" spans="1:20" s="2618" customFormat="1" ht="15.9" customHeight="1" thickBot="1" x14ac:dyDescent="0.25">
      <c r="A23" s="2466"/>
      <c r="B23" s="826" t="s">
        <v>360</v>
      </c>
      <c r="C23" s="827" t="s">
        <v>354</v>
      </c>
      <c r="D23" s="3327">
        <f>General!$C$105</f>
        <v>0</v>
      </c>
      <c r="E23" s="3328">
        <f>ROUND(D23*(R26),0)</f>
        <v>0</v>
      </c>
      <c r="F23" s="5218"/>
      <c r="G23" s="5219"/>
      <c r="H23" s="5219"/>
      <c r="I23" s="5219"/>
      <c r="J23" s="5219"/>
      <c r="K23" s="5219"/>
      <c r="L23" s="5219"/>
      <c r="M23" s="5219"/>
      <c r="N23" s="5219"/>
      <c r="O23" s="5219"/>
      <c r="P23" s="5219"/>
      <c r="Q23" s="5220"/>
      <c r="R23" s="856">
        <f>+SUM(F23:Q23)</f>
        <v>0</v>
      </c>
      <c r="T23" s="2619"/>
    </row>
    <row r="24" spans="1:20" s="2618" customFormat="1" ht="15.9" customHeight="1" x14ac:dyDescent="0.2">
      <c r="A24" s="2466"/>
      <c r="B24" s="2592" t="s">
        <v>365</v>
      </c>
      <c r="C24" s="2593"/>
      <c r="D24" s="2594"/>
      <c r="E24" s="3329"/>
      <c r="F24" s="2551">
        <f t="shared" ref="F24:Q24" si="4">+F20+F23</f>
        <v>0</v>
      </c>
      <c r="G24" s="2552">
        <f t="shared" si="4"/>
        <v>0</v>
      </c>
      <c r="H24" s="2552">
        <f t="shared" si="4"/>
        <v>0</v>
      </c>
      <c r="I24" s="2552">
        <f t="shared" si="4"/>
        <v>0</v>
      </c>
      <c r="J24" s="2552">
        <f t="shared" si="4"/>
        <v>0</v>
      </c>
      <c r="K24" s="2552">
        <f t="shared" si="4"/>
        <v>0</v>
      </c>
      <c r="L24" s="2552">
        <f t="shared" si="4"/>
        <v>0</v>
      </c>
      <c r="M24" s="2552">
        <f t="shared" si="4"/>
        <v>0</v>
      </c>
      <c r="N24" s="2552">
        <f t="shared" si="4"/>
        <v>0</v>
      </c>
      <c r="O24" s="2552">
        <f t="shared" si="4"/>
        <v>0</v>
      </c>
      <c r="P24" s="2552">
        <f t="shared" si="4"/>
        <v>0</v>
      </c>
      <c r="Q24" s="2553">
        <f t="shared" si="4"/>
        <v>0</v>
      </c>
      <c r="R24" s="406">
        <f>+SUM(F24:Q24)</f>
        <v>0</v>
      </c>
      <c r="T24" s="2619"/>
    </row>
    <row r="25" spans="1:20" s="2618" customFormat="1" ht="15.9" customHeight="1" x14ac:dyDescent="0.2">
      <c r="A25" s="2466"/>
      <c r="B25" s="2509" t="s">
        <v>1364</v>
      </c>
      <c r="C25" s="2510" t="s">
        <v>357</v>
      </c>
      <c r="D25" s="2511"/>
      <c r="E25" s="2511"/>
      <c r="F25" s="2577">
        <f t="shared" ref="F25:Q25" si="5">F9+F18-F24</f>
        <v>0</v>
      </c>
      <c r="G25" s="2688">
        <f t="shared" si="5"/>
        <v>0</v>
      </c>
      <c r="H25" s="2688">
        <f t="shared" si="5"/>
        <v>0</v>
      </c>
      <c r="I25" s="2688">
        <f t="shared" si="5"/>
        <v>0</v>
      </c>
      <c r="J25" s="2688">
        <f t="shared" si="5"/>
        <v>0</v>
      </c>
      <c r="K25" s="2688">
        <f t="shared" si="5"/>
        <v>0</v>
      </c>
      <c r="L25" s="2688">
        <f t="shared" si="5"/>
        <v>0</v>
      </c>
      <c r="M25" s="2688">
        <f t="shared" si="5"/>
        <v>0</v>
      </c>
      <c r="N25" s="2688">
        <f t="shared" si="5"/>
        <v>0</v>
      </c>
      <c r="O25" s="2688">
        <f t="shared" si="5"/>
        <v>0</v>
      </c>
      <c r="P25" s="2688">
        <f t="shared" si="5"/>
        <v>0</v>
      </c>
      <c r="Q25" s="2689">
        <f t="shared" si="5"/>
        <v>0</v>
      </c>
      <c r="R25" s="2699"/>
      <c r="T25" s="2619"/>
    </row>
    <row r="26" spans="1:20" s="2618" customFormat="1" ht="15.9" customHeight="1" thickBot="1" x14ac:dyDescent="0.25">
      <c r="A26" s="2466"/>
      <c r="B26" s="3330" t="s">
        <v>397</v>
      </c>
      <c r="C26" s="3331" t="s">
        <v>354</v>
      </c>
      <c r="D26" s="3332"/>
      <c r="E26" s="3332"/>
      <c r="F26" s="3333">
        <f>(F9+F25)/2</f>
        <v>0</v>
      </c>
      <c r="G26" s="3334">
        <f t="shared" ref="G26:Q26" si="6">(F25+G25)/2</f>
        <v>0</v>
      </c>
      <c r="H26" s="3334">
        <f t="shared" si="6"/>
        <v>0</v>
      </c>
      <c r="I26" s="3334">
        <f t="shared" si="6"/>
        <v>0</v>
      </c>
      <c r="J26" s="3334">
        <f t="shared" si="6"/>
        <v>0</v>
      </c>
      <c r="K26" s="3334">
        <f t="shared" si="6"/>
        <v>0</v>
      </c>
      <c r="L26" s="3334">
        <f t="shared" si="6"/>
        <v>0</v>
      </c>
      <c r="M26" s="3334">
        <f t="shared" si="6"/>
        <v>0</v>
      </c>
      <c r="N26" s="3334">
        <f t="shared" si="6"/>
        <v>0</v>
      </c>
      <c r="O26" s="3334">
        <f t="shared" si="6"/>
        <v>0</v>
      </c>
      <c r="P26" s="3334">
        <f t="shared" si="6"/>
        <v>0</v>
      </c>
      <c r="Q26" s="3335">
        <f t="shared" si="6"/>
        <v>0</v>
      </c>
      <c r="R26" s="3336">
        <f>AVERAGE(F26:Q26)</f>
        <v>0</v>
      </c>
      <c r="T26" s="2619"/>
    </row>
    <row r="27" spans="1:20" s="2618" customFormat="1" ht="15.9" customHeight="1" thickBot="1" x14ac:dyDescent="0.25">
      <c r="A27" s="2466"/>
      <c r="B27" s="3337" t="s">
        <v>1115</v>
      </c>
      <c r="C27" s="3338" t="s">
        <v>361</v>
      </c>
      <c r="D27" s="3325"/>
      <c r="E27" s="3326"/>
      <c r="F27" s="5221"/>
      <c r="G27" s="5222"/>
      <c r="H27" s="5222"/>
      <c r="I27" s="5222"/>
      <c r="J27" s="5222"/>
      <c r="K27" s="5222"/>
      <c r="L27" s="5222"/>
      <c r="M27" s="5222"/>
      <c r="N27" s="5222"/>
      <c r="O27" s="5222"/>
      <c r="P27" s="5222"/>
      <c r="Q27" s="5223"/>
      <c r="R27" s="3339">
        <f>IFERROR(AVERAGE(F27:Q27),0)</f>
        <v>0</v>
      </c>
      <c r="T27" s="2619"/>
    </row>
    <row r="28" spans="1:20" s="2618" customFormat="1" x14ac:dyDescent="0.2">
      <c r="A28" s="2466"/>
      <c r="B28" s="2529" t="s">
        <v>393</v>
      </c>
      <c r="C28" s="2465" t="s">
        <v>356</v>
      </c>
      <c r="D28" s="2466"/>
      <c r="E28" s="2763"/>
      <c r="F28" s="2928">
        <f>IFERROR((F9*(F10+F27*A.Lecheros!F11)+F12*F13+F15*F16-F20*F21-F23*(F10+(A.Lecheros!F11*A.Ganaderos!F27)))/F25,0)</f>
        <v>0</v>
      </c>
      <c r="G28" s="2929">
        <f>IFERROR((G9*(G10+G27*A.Lecheros!G11)+G12*G13+G15*G16-G20*G21-G23*(G10+(A.Lecheros!G11*A.Ganaderos!G27)))/G25,0)</f>
        <v>0</v>
      </c>
      <c r="H28" s="2929">
        <f>IFERROR((H9*(H10+H27*A.Lecheros!H11)+H12*H13+H15*H16-H20*H21-H23*(H10+(A.Lecheros!H11*A.Ganaderos!H27)))/H25,0)</f>
        <v>0</v>
      </c>
      <c r="I28" s="2929">
        <f>IFERROR((I9*(I10+I27*A.Lecheros!I11)+I12*I13+I15*I16-I20*I21-I23*(I10+(A.Lecheros!I11*A.Ganaderos!I27)))/I25,0)</f>
        <v>0</v>
      </c>
      <c r="J28" s="2929">
        <f>IFERROR((J9*(J10+J27*A.Lecheros!J11)+J12*J13+J15*J16-J20*J21-J23*(J10+(A.Lecheros!J11*A.Ganaderos!J27)))/J25,0)</f>
        <v>0</v>
      </c>
      <c r="K28" s="2929">
        <f>IFERROR((K9*(K10+K27*A.Lecheros!K11)+K12*K13+K15*K16-K20*K21-K23*(K10+(A.Lecheros!K11*A.Ganaderos!K27)))/K25,0)</f>
        <v>0</v>
      </c>
      <c r="L28" s="2929">
        <f>IFERROR((L9*(L10+L27*A.Lecheros!L11)+L12*L13+L15*L16-L20*L21-L23*(L10+(A.Lecheros!L11*A.Ganaderos!L27)))/L25,0)</f>
        <v>0</v>
      </c>
      <c r="M28" s="2929">
        <f>IFERROR((M9*(M10+M27*A.Lecheros!M11)+M12*M13+M15*M16-M20*M21-M23*(M10+(A.Lecheros!M11*A.Ganaderos!M27)))/M25,0)</f>
        <v>0</v>
      </c>
      <c r="N28" s="2929">
        <f>IFERROR((N9*(N10+N27*A.Lecheros!N11)+N12*N13+N15*N16-N20*N21-N23*(N10+(A.Lecheros!N11*A.Ganaderos!N27)))/N25,0)</f>
        <v>0</v>
      </c>
      <c r="O28" s="2929">
        <f>IFERROR((O9*(O10+O27*A.Lecheros!O11)+O12*O13+O15*O16-O20*O21-O23*(O10+(A.Lecheros!O11*A.Ganaderos!O27)))/O25,0)</f>
        <v>0</v>
      </c>
      <c r="P28" s="2929">
        <f>IFERROR((P9*(P10+P27*A.Lecheros!P11)+P12*P13+P15*P16-P20*P21-P23*(P10+(A.Lecheros!P11*A.Ganaderos!P27)))/P25,0)</f>
        <v>0</v>
      </c>
      <c r="Q28" s="2815">
        <f>IFERROR((Q9*(Q10+Q27*A.Lecheros!Q11)+Q12*Q13+Q15*Q16-Q20*Q21-Q23*(Q10+(A.Lecheros!Q11*A.Ganaderos!Q27)))/Q25,0)</f>
        <v>0</v>
      </c>
      <c r="R28" s="3340"/>
      <c r="T28" s="2619"/>
    </row>
    <row r="29" spans="1:20" s="2618" customFormat="1" ht="15.05" thickBot="1" x14ac:dyDescent="0.25">
      <c r="A29" s="2466"/>
      <c r="B29" s="2793" t="s">
        <v>394</v>
      </c>
      <c r="C29" s="2610" t="s">
        <v>356</v>
      </c>
      <c r="D29" s="2668"/>
      <c r="E29" s="3341"/>
      <c r="F29" s="3342">
        <f>+AVERAGE(F28,F10)</f>
        <v>0</v>
      </c>
      <c r="G29" s="3343">
        <f t="shared" ref="G29:Q29" si="7">+AVERAGE(G28,G10)</f>
        <v>0</v>
      </c>
      <c r="H29" s="3343">
        <f t="shared" si="7"/>
        <v>0</v>
      </c>
      <c r="I29" s="3343">
        <f t="shared" si="7"/>
        <v>0</v>
      </c>
      <c r="J29" s="3343">
        <f t="shared" si="7"/>
        <v>0</v>
      </c>
      <c r="K29" s="3343">
        <f t="shared" si="7"/>
        <v>0</v>
      </c>
      <c r="L29" s="3343">
        <f t="shared" si="7"/>
        <v>0</v>
      </c>
      <c r="M29" s="3343">
        <f t="shared" si="7"/>
        <v>0</v>
      </c>
      <c r="N29" s="3343">
        <f t="shared" si="7"/>
        <v>0</v>
      </c>
      <c r="O29" s="3343">
        <f t="shared" si="7"/>
        <v>0</v>
      </c>
      <c r="P29" s="3343">
        <f t="shared" si="7"/>
        <v>0</v>
      </c>
      <c r="Q29" s="3344">
        <f t="shared" si="7"/>
        <v>0</v>
      </c>
      <c r="R29" s="3345"/>
      <c r="T29" s="2619"/>
    </row>
    <row r="30" spans="1:20" s="2475" customFormat="1" hidden="1" x14ac:dyDescent="0.2">
      <c r="A30" s="2800" t="s">
        <v>1125</v>
      </c>
      <c r="B30" s="721" t="s">
        <v>245</v>
      </c>
      <c r="C30" s="722" t="s">
        <v>361</v>
      </c>
      <c r="D30" s="2890"/>
      <c r="E30" s="2890"/>
      <c r="F30" s="2971"/>
      <c r="G30" s="727"/>
      <c r="H30" s="727"/>
      <c r="I30" s="727"/>
      <c r="J30" s="727"/>
      <c r="K30" s="727"/>
      <c r="L30" s="727"/>
      <c r="M30" s="727"/>
      <c r="N30" s="727"/>
      <c r="O30" s="727"/>
      <c r="P30" s="727"/>
      <c r="Q30" s="727"/>
      <c r="R30" s="728"/>
      <c r="S30" s="3346"/>
      <c r="T30" s="2970"/>
    </row>
    <row r="31" spans="1:20" s="2475" customFormat="1" ht="15.05" hidden="1" thickBot="1" x14ac:dyDescent="0.25">
      <c r="A31" s="2800" t="s">
        <v>1125</v>
      </c>
      <c r="B31" s="700" t="s">
        <v>422</v>
      </c>
      <c r="C31" s="701" t="s">
        <v>361</v>
      </c>
      <c r="D31" s="2801"/>
      <c r="E31" s="2801"/>
      <c r="F31" s="3347"/>
      <c r="G31" s="705"/>
      <c r="H31" s="705"/>
      <c r="I31" s="705"/>
      <c r="J31" s="705"/>
      <c r="K31" s="705"/>
      <c r="L31" s="705"/>
      <c r="M31" s="705"/>
      <c r="N31" s="705"/>
      <c r="O31" s="705"/>
      <c r="P31" s="705"/>
      <c r="Q31" s="705"/>
      <c r="R31" s="704"/>
      <c r="S31" s="3346"/>
      <c r="T31" s="2970"/>
    </row>
    <row r="32" spans="1:20" s="2618" customFormat="1" ht="15.9" customHeight="1" thickBot="1" x14ac:dyDescent="0.25">
      <c r="A32" s="2466"/>
      <c r="B32" s="2466"/>
      <c r="C32" s="2465"/>
      <c r="D32" s="2466"/>
      <c r="E32" s="2466"/>
      <c r="F32" s="2677"/>
      <c r="G32" s="2677"/>
      <c r="H32" s="2677"/>
      <c r="I32" s="2677"/>
      <c r="J32" s="2677"/>
      <c r="K32" s="2677"/>
      <c r="L32" s="2677"/>
      <c r="M32" s="2677"/>
      <c r="N32" s="2677"/>
      <c r="O32" s="2677"/>
      <c r="P32" s="2677"/>
      <c r="Q32" s="2677"/>
      <c r="R32" s="2466"/>
      <c r="T32" s="2619"/>
    </row>
    <row r="33" spans="1:20" s="2475" customFormat="1" ht="15.9" customHeight="1" thickBot="1" x14ac:dyDescent="0.25">
      <c r="A33" s="2487">
        <f>+A7+1</f>
        <v>84</v>
      </c>
      <c r="B33" s="2488" t="s">
        <v>1483</v>
      </c>
      <c r="C33" s="2489"/>
      <c r="D33" s="2490"/>
      <c r="E33" s="2489"/>
      <c r="F33" s="2489"/>
      <c r="G33" s="2489"/>
      <c r="H33" s="2489"/>
      <c r="I33" s="2489"/>
      <c r="J33" s="2489"/>
      <c r="K33" s="2489"/>
      <c r="L33" s="2489"/>
      <c r="M33" s="2489"/>
      <c r="N33" s="2489"/>
      <c r="O33" s="2489"/>
      <c r="P33" s="2489"/>
      <c r="Q33" s="2489"/>
      <c r="R33" s="2491"/>
      <c r="T33" s="2970"/>
    </row>
    <row r="34" spans="1:20" s="2475" customFormat="1" ht="15.9" customHeight="1" x14ac:dyDescent="0.2">
      <c r="A34" s="2468"/>
      <c r="B34" s="2679" t="s">
        <v>683</v>
      </c>
      <c r="C34" s="2680"/>
      <c r="D34" s="2680"/>
      <c r="E34" s="2681"/>
      <c r="F34" s="2682" t="str">
        <f t="shared" ref="F34:Q34" si="8">+F8</f>
        <v>Ene</v>
      </c>
      <c r="G34" s="2682" t="str">
        <f t="shared" si="8"/>
        <v>Feb</v>
      </c>
      <c r="H34" s="2682" t="str">
        <f t="shared" si="8"/>
        <v>Mar</v>
      </c>
      <c r="I34" s="2682" t="str">
        <f t="shared" si="8"/>
        <v>Abr</v>
      </c>
      <c r="J34" s="2682" t="str">
        <f t="shared" si="8"/>
        <v>May</v>
      </c>
      <c r="K34" s="2682" t="str">
        <f t="shared" si="8"/>
        <v>Jun</v>
      </c>
      <c r="L34" s="2682" t="str">
        <f t="shared" si="8"/>
        <v>Jul</v>
      </c>
      <c r="M34" s="2682" t="str">
        <f t="shared" si="8"/>
        <v>Ago</v>
      </c>
      <c r="N34" s="2682" t="str">
        <f t="shared" si="8"/>
        <v>Set</v>
      </c>
      <c r="O34" s="2682" t="str">
        <f t="shared" si="8"/>
        <v>Oct</v>
      </c>
      <c r="P34" s="2682" t="str">
        <f t="shared" si="8"/>
        <v>Nov</v>
      </c>
      <c r="Q34" s="2682" t="str">
        <f t="shared" si="8"/>
        <v>Dic</v>
      </c>
      <c r="R34" s="2808" t="s">
        <v>1110</v>
      </c>
      <c r="T34" s="2970"/>
    </row>
    <row r="35" spans="1:20" s="2475" customFormat="1" ht="15.9" customHeight="1" x14ac:dyDescent="0.2">
      <c r="A35" s="2468"/>
      <c r="B35" s="2509" t="s">
        <v>1363</v>
      </c>
      <c r="C35" s="2510" t="s">
        <v>357</v>
      </c>
      <c r="D35" s="2511"/>
      <c r="E35" s="2511"/>
      <c r="F35" s="2512">
        <f>+General!C83</f>
        <v>0</v>
      </c>
      <c r="G35" s="832">
        <f t="shared" ref="G35:Q35" si="9">+F51</f>
        <v>0</v>
      </c>
      <c r="H35" s="832">
        <f t="shared" si="9"/>
        <v>0</v>
      </c>
      <c r="I35" s="832">
        <f t="shared" si="9"/>
        <v>0</v>
      </c>
      <c r="J35" s="832">
        <f t="shared" si="9"/>
        <v>0</v>
      </c>
      <c r="K35" s="832">
        <f t="shared" si="9"/>
        <v>0</v>
      </c>
      <c r="L35" s="832">
        <f t="shared" si="9"/>
        <v>0</v>
      </c>
      <c r="M35" s="832">
        <f t="shared" si="9"/>
        <v>0</v>
      </c>
      <c r="N35" s="832">
        <f t="shared" si="9"/>
        <v>0</v>
      </c>
      <c r="O35" s="832">
        <f t="shared" si="9"/>
        <v>0</v>
      </c>
      <c r="P35" s="832">
        <f t="shared" si="9"/>
        <v>0</v>
      </c>
      <c r="Q35" s="832">
        <f t="shared" si="9"/>
        <v>0</v>
      </c>
      <c r="R35" s="2952" t="s">
        <v>1111</v>
      </c>
      <c r="S35" s="717"/>
      <c r="T35" s="2970"/>
    </row>
    <row r="36" spans="1:20" s="2475" customFormat="1" ht="15.9" customHeight="1" x14ac:dyDescent="0.2">
      <c r="A36" s="2468"/>
      <c r="B36" s="2516" t="s">
        <v>1452</v>
      </c>
      <c r="C36" s="400" t="s">
        <v>356</v>
      </c>
      <c r="D36" s="400"/>
      <c r="E36" s="400"/>
      <c r="F36" s="3348">
        <f>+General!D83</f>
        <v>0</v>
      </c>
      <c r="G36" s="2814">
        <f>+F54</f>
        <v>0</v>
      </c>
      <c r="H36" s="2814">
        <f t="shared" ref="H36:Q36" si="10">+G54</f>
        <v>0</v>
      </c>
      <c r="I36" s="2814">
        <f t="shared" si="10"/>
        <v>0</v>
      </c>
      <c r="J36" s="2814">
        <f t="shared" si="10"/>
        <v>0</v>
      </c>
      <c r="K36" s="2814">
        <f t="shared" si="10"/>
        <v>0</v>
      </c>
      <c r="L36" s="2814">
        <f t="shared" si="10"/>
        <v>0</v>
      </c>
      <c r="M36" s="2814">
        <f t="shared" si="10"/>
        <v>0</v>
      </c>
      <c r="N36" s="2814">
        <f t="shared" si="10"/>
        <v>0</v>
      </c>
      <c r="O36" s="2814">
        <f t="shared" si="10"/>
        <v>0</v>
      </c>
      <c r="P36" s="2814">
        <f t="shared" si="10"/>
        <v>0</v>
      </c>
      <c r="Q36" s="2814">
        <f t="shared" si="10"/>
        <v>0</v>
      </c>
      <c r="R36" s="2515"/>
      <c r="T36" s="2970"/>
    </row>
    <row r="37" spans="1:20" s="2475" customFormat="1" ht="15.9" customHeight="1" x14ac:dyDescent="0.2">
      <c r="A37" s="2468"/>
      <c r="B37" s="3349" t="s">
        <v>352</v>
      </c>
      <c r="C37" s="2757"/>
      <c r="D37" s="2757"/>
      <c r="E37" s="2757"/>
      <c r="F37" s="3350"/>
      <c r="G37" s="3350"/>
      <c r="H37" s="3350"/>
      <c r="I37" s="3350"/>
      <c r="J37" s="3350"/>
      <c r="K37" s="3350"/>
      <c r="L37" s="3350"/>
      <c r="M37" s="3350"/>
      <c r="N37" s="3350"/>
      <c r="O37" s="3350"/>
      <c r="P37" s="3350"/>
      <c r="Q37" s="3350"/>
      <c r="R37" s="2768"/>
      <c r="T37" s="2970"/>
    </row>
    <row r="38" spans="1:20" s="2475" customFormat="1" ht="15.9" customHeight="1" x14ac:dyDescent="0.2">
      <c r="A38" s="2468"/>
      <c r="B38" s="715" t="s">
        <v>1254</v>
      </c>
      <c r="C38" s="716" t="s">
        <v>354</v>
      </c>
      <c r="D38" s="2588"/>
      <c r="E38" s="3351"/>
      <c r="F38" s="5224"/>
      <c r="G38" s="5225"/>
      <c r="H38" s="5225"/>
      <c r="I38" s="5225"/>
      <c r="J38" s="5225"/>
      <c r="K38" s="5225"/>
      <c r="L38" s="5225"/>
      <c r="M38" s="5225"/>
      <c r="N38" s="5225"/>
      <c r="O38" s="5225"/>
      <c r="P38" s="5225"/>
      <c r="Q38" s="5226"/>
      <c r="R38" s="407">
        <f>+SUM(F38:Q38)</f>
        <v>0</v>
      </c>
      <c r="T38" s="2970"/>
    </row>
    <row r="39" spans="1:20" s="2475" customFormat="1" ht="15.9" customHeight="1" x14ac:dyDescent="0.2">
      <c r="A39" s="2468"/>
      <c r="B39" s="389" t="s">
        <v>1291</v>
      </c>
      <c r="C39" s="390" t="s">
        <v>356</v>
      </c>
      <c r="D39" s="2466"/>
      <c r="E39" s="2466"/>
      <c r="F39" s="5136"/>
      <c r="G39" s="5137"/>
      <c r="H39" s="5137"/>
      <c r="I39" s="5137"/>
      <c r="J39" s="5137"/>
      <c r="K39" s="5137"/>
      <c r="L39" s="5137"/>
      <c r="M39" s="5137"/>
      <c r="N39" s="5137"/>
      <c r="O39" s="5137"/>
      <c r="P39" s="5137"/>
      <c r="Q39" s="5138"/>
      <c r="R39" s="408"/>
      <c r="T39" s="2970"/>
    </row>
    <row r="40" spans="1:20" s="2475" customFormat="1" ht="15.9" customHeight="1" x14ac:dyDescent="0.2">
      <c r="A40" s="2468"/>
      <c r="B40" s="389" t="s">
        <v>1299</v>
      </c>
      <c r="C40" s="390" t="s">
        <v>362</v>
      </c>
      <c r="D40" s="2466"/>
      <c r="E40" s="2466"/>
      <c r="F40" s="5136"/>
      <c r="G40" s="5137"/>
      <c r="H40" s="5137"/>
      <c r="I40" s="5137"/>
      <c r="J40" s="5137"/>
      <c r="K40" s="5137"/>
      <c r="L40" s="5137"/>
      <c r="M40" s="5137"/>
      <c r="N40" s="5137"/>
      <c r="O40" s="5137"/>
      <c r="P40" s="5137"/>
      <c r="Q40" s="5138"/>
      <c r="R40" s="408"/>
      <c r="T40" s="2970"/>
    </row>
    <row r="41" spans="1:20" s="2618" customFormat="1" ht="15.9" customHeight="1" x14ac:dyDescent="0.2">
      <c r="A41" s="2466"/>
      <c r="B41" s="2548" t="s">
        <v>364</v>
      </c>
      <c r="C41" s="2549" t="s">
        <v>354</v>
      </c>
      <c r="D41" s="2550"/>
      <c r="E41" s="2958"/>
      <c r="F41" s="2982">
        <f t="shared" ref="F41:Q41" si="11">+F38</f>
        <v>0</v>
      </c>
      <c r="G41" s="2982">
        <f t="shared" si="11"/>
        <v>0</v>
      </c>
      <c r="H41" s="2982">
        <f t="shared" si="11"/>
        <v>0</v>
      </c>
      <c r="I41" s="2982">
        <f t="shared" si="11"/>
        <v>0</v>
      </c>
      <c r="J41" s="2982">
        <f t="shared" si="11"/>
        <v>0</v>
      </c>
      <c r="K41" s="2982">
        <f t="shared" si="11"/>
        <v>0</v>
      </c>
      <c r="L41" s="2982">
        <f t="shared" si="11"/>
        <v>0</v>
      </c>
      <c r="M41" s="2982">
        <f t="shared" si="11"/>
        <v>0</v>
      </c>
      <c r="N41" s="2982">
        <f t="shared" si="11"/>
        <v>0</v>
      </c>
      <c r="O41" s="2982">
        <f t="shared" si="11"/>
        <v>0</v>
      </c>
      <c r="P41" s="2982">
        <f t="shared" si="11"/>
        <v>0</v>
      </c>
      <c r="Q41" s="2982">
        <f t="shared" si="11"/>
        <v>0</v>
      </c>
      <c r="R41" s="866">
        <f>+SUM(F41:Q41)</f>
        <v>0</v>
      </c>
      <c r="T41" s="2619"/>
    </row>
    <row r="42" spans="1:20" s="2475" customFormat="1" ht="15.9" customHeight="1" x14ac:dyDescent="0.2">
      <c r="A42" s="2468"/>
      <c r="B42" s="3349" t="s">
        <v>359</v>
      </c>
      <c r="C42" s="2757"/>
      <c r="D42" s="2757"/>
      <c r="E42" s="2757"/>
      <c r="F42" s="3350"/>
      <c r="G42" s="3350"/>
      <c r="H42" s="3350"/>
      <c r="I42" s="3350"/>
      <c r="J42" s="3350"/>
      <c r="K42" s="3350"/>
      <c r="L42" s="3350"/>
      <c r="M42" s="3350"/>
      <c r="N42" s="3350"/>
      <c r="O42" s="3350"/>
      <c r="P42" s="3350"/>
      <c r="Q42" s="3350"/>
      <c r="R42" s="3352"/>
      <c r="S42" s="2618"/>
      <c r="T42" s="2970"/>
    </row>
    <row r="43" spans="1:20" s="2475" customFormat="1" ht="15.9" customHeight="1" x14ac:dyDescent="0.2">
      <c r="A43" s="2468"/>
      <c r="B43" s="715" t="s">
        <v>1255</v>
      </c>
      <c r="C43" s="716" t="s">
        <v>354</v>
      </c>
      <c r="D43" s="2588"/>
      <c r="E43" s="3351"/>
      <c r="F43" s="5224"/>
      <c r="G43" s="5225"/>
      <c r="H43" s="5225"/>
      <c r="I43" s="5225"/>
      <c r="J43" s="5225"/>
      <c r="K43" s="5225"/>
      <c r="L43" s="5225"/>
      <c r="M43" s="5225"/>
      <c r="N43" s="5225"/>
      <c r="O43" s="5225"/>
      <c r="P43" s="5225"/>
      <c r="Q43" s="5226"/>
      <c r="R43" s="407">
        <f>+SUM(F43:Q43)</f>
        <v>0</v>
      </c>
      <c r="S43" s="2618"/>
      <c r="T43" s="2970"/>
    </row>
    <row r="44" spans="1:20" s="2475" customFormat="1" ht="15.9" customHeight="1" x14ac:dyDescent="0.2">
      <c r="A44" s="2468"/>
      <c r="B44" s="389" t="s">
        <v>1295</v>
      </c>
      <c r="C44" s="390" t="s">
        <v>356</v>
      </c>
      <c r="D44" s="2466"/>
      <c r="E44" s="2466"/>
      <c r="F44" s="5136"/>
      <c r="G44" s="5137"/>
      <c r="H44" s="5137"/>
      <c r="I44" s="5137"/>
      <c r="J44" s="5137"/>
      <c r="K44" s="5137"/>
      <c r="L44" s="5137"/>
      <c r="M44" s="5137"/>
      <c r="N44" s="5137"/>
      <c r="O44" s="5137"/>
      <c r="P44" s="5137"/>
      <c r="Q44" s="5138"/>
      <c r="R44" s="408"/>
      <c r="S44" s="2618"/>
      <c r="T44" s="2970"/>
    </row>
    <row r="45" spans="1:20" s="2475" customFormat="1" ht="15.9" customHeight="1" x14ac:dyDescent="0.2">
      <c r="A45" s="2468"/>
      <c r="B45" s="389" t="s">
        <v>1293</v>
      </c>
      <c r="C45" s="390" t="s">
        <v>362</v>
      </c>
      <c r="D45" s="2466"/>
      <c r="E45" s="2466"/>
      <c r="F45" s="5136"/>
      <c r="G45" s="5137"/>
      <c r="H45" s="5137"/>
      <c r="I45" s="5137"/>
      <c r="J45" s="5137"/>
      <c r="K45" s="5137"/>
      <c r="L45" s="5137"/>
      <c r="M45" s="5137"/>
      <c r="N45" s="5137"/>
      <c r="O45" s="5137"/>
      <c r="P45" s="5137"/>
      <c r="Q45" s="5138"/>
      <c r="R45" s="408"/>
      <c r="S45" s="2618"/>
      <c r="T45" s="2970"/>
    </row>
    <row r="46" spans="1:20" s="2475" customFormat="1" ht="15.9" customHeight="1" x14ac:dyDescent="0.2">
      <c r="A46" s="2468"/>
      <c r="B46" s="867" t="s">
        <v>360</v>
      </c>
      <c r="C46" s="868" t="s">
        <v>354</v>
      </c>
      <c r="D46" s="3353">
        <f>General!$C$105</f>
        <v>0</v>
      </c>
      <c r="E46" s="3354">
        <f>ROUND(D46*(R52),0)</f>
        <v>0</v>
      </c>
      <c r="F46" s="5227"/>
      <c r="G46" s="5228"/>
      <c r="H46" s="5228"/>
      <c r="I46" s="5228"/>
      <c r="J46" s="5228"/>
      <c r="K46" s="5228"/>
      <c r="L46" s="5228"/>
      <c r="M46" s="5228"/>
      <c r="N46" s="5228"/>
      <c r="O46" s="5228"/>
      <c r="P46" s="5228"/>
      <c r="Q46" s="5229"/>
      <c r="R46" s="869">
        <f>+SUM(F46:Q46)</f>
        <v>0</v>
      </c>
      <c r="S46" s="2618"/>
      <c r="T46" s="2970"/>
    </row>
    <row r="47" spans="1:20" s="2475" customFormat="1" ht="15.9" customHeight="1" x14ac:dyDescent="0.2">
      <c r="A47" s="2468"/>
      <c r="B47" s="399" t="s">
        <v>1256</v>
      </c>
      <c r="C47" s="400" t="s">
        <v>354</v>
      </c>
      <c r="D47" s="400"/>
      <c r="E47" s="400"/>
      <c r="F47" s="5123"/>
      <c r="G47" s="5124"/>
      <c r="H47" s="5124"/>
      <c r="I47" s="5124"/>
      <c r="J47" s="5124"/>
      <c r="K47" s="5124"/>
      <c r="L47" s="5124"/>
      <c r="M47" s="5124"/>
      <c r="N47" s="5124"/>
      <c r="O47" s="5124"/>
      <c r="P47" s="5124"/>
      <c r="Q47" s="5128"/>
      <c r="R47" s="408">
        <f>+SUM(F47:Q47)</f>
        <v>0</v>
      </c>
      <c r="S47" s="2618"/>
      <c r="T47" s="2970"/>
    </row>
    <row r="48" spans="1:20" s="2475" customFormat="1" ht="15.9" customHeight="1" x14ac:dyDescent="0.2">
      <c r="A48" s="2468"/>
      <c r="B48" s="399" t="s">
        <v>299</v>
      </c>
      <c r="C48" s="400" t="s">
        <v>356</v>
      </c>
      <c r="D48" s="400"/>
      <c r="E48" s="400"/>
      <c r="F48" s="5123"/>
      <c r="G48" s="5124"/>
      <c r="H48" s="5124"/>
      <c r="I48" s="5124"/>
      <c r="J48" s="5124"/>
      <c r="K48" s="5124"/>
      <c r="L48" s="5124"/>
      <c r="M48" s="5124"/>
      <c r="N48" s="5124"/>
      <c r="O48" s="5124"/>
      <c r="P48" s="5124"/>
      <c r="Q48" s="5128"/>
      <c r="R48" s="408"/>
      <c r="S48" s="2618"/>
      <c r="T48" s="2970"/>
    </row>
    <row r="49" spans="1:23" s="2475" customFormat="1" ht="15.9" customHeight="1" x14ac:dyDescent="0.2">
      <c r="A49" s="2468"/>
      <c r="B49" s="389" t="s">
        <v>225</v>
      </c>
      <c r="C49" s="390" t="s">
        <v>362</v>
      </c>
      <c r="D49" s="400"/>
      <c r="E49" s="400"/>
      <c r="F49" s="3355">
        <f>IF(F47&gt;0,Precios!$C$176,0)</f>
        <v>0</v>
      </c>
      <c r="G49" s="3356">
        <f>IF(G47&gt;0,Precios!$C$176,0)</f>
        <v>0</v>
      </c>
      <c r="H49" s="3356">
        <f>IF(H47&gt;0,Precios!$C$176,0)</f>
        <v>0</v>
      </c>
      <c r="I49" s="3356">
        <f>IF(I47&gt;0,Precios!$C$176,0)</f>
        <v>0</v>
      </c>
      <c r="J49" s="3356">
        <f>IF(J47&gt;0,Precios!$C$176,0)</f>
        <v>0</v>
      </c>
      <c r="K49" s="3356">
        <f>IF(K47&gt;0,Precios!$C$176,0)</f>
        <v>0</v>
      </c>
      <c r="L49" s="3356">
        <f>IF(L47&gt;0,Precios!$C$176,0)</f>
        <v>0</v>
      </c>
      <c r="M49" s="3356">
        <f>IF(M47&gt;0,Precios!$C$176,0)</f>
        <v>0</v>
      </c>
      <c r="N49" s="3356">
        <f>IF(N47&gt;0,Precios!$C$176,0)</f>
        <v>0</v>
      </c>
      <c r="O49" s="3356">
        <f>IF(O47&gt;0,Precios!$C$176,0)</f>
        <v>0</v>
      </c>
      <c r="P49" s="3356">
        <f>IF(P47&gt;0,Precios!$C$176,0)</f>
        <v>0</v>
      </c>
      <c r="Q49" s="3357">
        <f>IF(Q47&gt;0,Precios!$C$176,0)</f>
        <v>0</v>
      </c>
      <c r="R49" s="408"/>
      <c r="S49" s="2618"/>
      <c r="T49" s="2970"/>
    </row>
    <row r="50" spans="1:23" s="2475" customFormat="1" ht="15.9" customHeight="1" x14ac:dyDescent="0.2">
      <c r="A50" s="2468"/>
      <c r="B50" s="2548" t="s">
        <v>365</v>
      </c>
      <c r="C50" s="2549" t="s">
        <v>354</v>
      </c>
      <c r="D50" s="2550"/>
      <c r="E50" s="2550"/>
      <c r="F50" s="2959">
        <f t="shared" ref="F50:Q50" si="12">+F43+F46+F47</f>
        <v>0</v>
      </c>
      <c r="G50" s="2959">
        <f t="shared" si="12"/>
        <v>0</v>
      </c>
      <c r="H50" s="2959">
        <f t="shared" si="12"/>
        <v>0</v>
      </c>
      <c r="I50" s="2959">
        <f t="shared" si="12"/>
        <v>0</v>
      </c>
      <c r="J50" s="2959">
        <f t="shared" si="12"/>
        <v>0</v>
      </c>
      <c r="K50" s="2959">
        <f t="shared" si="12"/>
        <v>0</v>
      </c>
      <c r="L50" s="2959">
        <f t="shared" si="12"/>
        <v>0</v>
      </c>
      <c r="M50" s="2959">
        <f t="shared" si="12"/>
        <v>0</v>
      </c>
      <c r="N50" s="2959">
        <f t="shared" si="12"/>
        <v>0</v>
      </c>
      <c r="O50" s="2959">
        <f t="shared" si="12"/>
        <v>0</v>
      </c>
      <c r="P50" s="2959">
        <f t="shared" si="12"/>
        <v>0</v>
      </c>
      <c r="Q50" s="2959">
        <f t="shared" si="12"/>
        <v>0</v>
      </c>
      <c r="R50" s="406">
        <f>+SUM(F50:Q50)</f>
        <v>0</v>
      </c>
      <c r="S50" s="2618"/>
      <c r="T50" s="2970"/>
    </row>
    <row r="51" spans="1:23" s="2475" customFormat="1" ht="15.9" customHeight="1" x14ac:dyDescent="0.2">
      <c r="A51" s="2468"/>
      <c r="B51" s="2938" t="s">
        <v>1364</v>
      </c>
      <c r="C51" s="2939" t="s">
        <v>357</v>
      </c>
      <c r="D51" s="2940"/>
      <c r="E51" s="2940"/>
      <c r="F51" s="2941">
        <f t="shared" ref="F51:Q51" si="13">F35+F41-F50</f>
        <v>0</v>
      </c>
      <c r="G51" s="2942">
        <f t="shared" si="13"/>
        <v>0</v>
      </c>
      <c r="H51" s="2942">
        <f t="shared" si="13"/>
        <v>0</v>
      </c>
      <c r="I51" s="2942">
        <f t="shared" si="13"/>
        <v>0</v>
      </c>
      <c r="J51" s="2942">
        <f t="shared" si="13"/>
        <v>0</v>
      </c>
      <c r="K51" s="2942">
        <f t="shared" si="13"/>
        <v>0</v>
      </c>
      <c r="L51" s="2942">
        <f t="shared" si="13"/>
        <v>0</v>
      </c>
      <c r="M51" s="2942">
        <f t="shared" si="13"/>
        <v>0</v>
      </c>
      <c r="N51" s="2942">
        <f t="shared" si="13"/>
        <v>0</v>
      </c>
      <c r="O51" s="2942">
        <f t="shared" si="13"/>
        <v>0</v>
      </c>
      <c r="P51" s="2942">
        <f t="shared" si="13"/>
        <v>0</v>
      </c>
      <c r="Q51" s="2943">
        <f t="shared" si="13"/>
        <v>0</v>
      </c>
      <c r="R51" s="2547"/>
      <c r="T51" s="2970"/>
    </row>
    <row r="52" spans="1:23" s="2475" customFormat="1" ht="15.9" customHeight="1" x14ac:dyDescent="0.2">
      <c r="A52" s="2468"/>
      <c r="B52" s="2944" t="s">
        <v>397</v>
      </c>
      <c r="C52" s="2945" t="s">
        <v>354</v>
      </c>
      <c r="D52" s="2946"/>
      <c r="E52" s="2946"/>
      <c r="F52" s="3059">
        <f>(F35+F51)/2</f>
        <v>0</v>
      </c>
      <c r="G52" s="3358">
        <f t="shared" ref="G52:Q52" si="14">(F51+G51)/2</f>
        <v>0</v>
      </c>
      <c r="H52" s="3358">
        <f t="shared" si="14"/>
        <v>0</v>
      </c>
      <c r="I52" s="3358">
        <f t="shared" si="14"/>
        <v>0</v>
      </c>
      <c r="J52" s="3358">
        <f t="shared" si="14"/>
        <v>0</v>
      </c>
      <c r="K52" s="3358">
        <f t="shared" si="14"/>
        <v>0</v>
      </c>
      <c r="L52" s="3358">
        <f t="shared" si="14"/>
        <v>0</v>
      </c>
      <c r="M52" s="3358">
        <f t="shared" si="14"/>
        <v>0</v>
      </c>
      <c r="N52" s="3358">
        <f t="shared" si="14"/>
        <v>0</v>
      </c>
      <c r="O52" s="3358">
        <f t="shared" si="14"/>
        <v>0</v>
      </c>
      <c r="P52" s="3358">
        <f t="shared" si="14"/>
        <v>0</v>
      </c>
      <c r="Q52" s="3359">
        <f t="shared" si="14"/>
        <v>0</v>
      </c>
      <c r="R52" s="1326">
        <f>AVERAGE(F52:Q52)</f>
        <v>0</v>
      </c>
      <c r="T52" s="2970"/>
    </row>
    <row r="53" spans="1:23" s="2475" customFormat="1" ht="15.9" customHeight="1" x14ac:dyDescent="0.2">
      <c r="A53" s="2468"/>
      <c r="B53" s="2586" t="s">
        <v>1115</v>
      </c>
      <c r="C53" s="2587" t="s">
        <v>361</v>
      </c>
      <c r="D53" s="2588"/>
      <c r="E53" s="2763"/>
      <c r="F53" s="5230">
        <v>0.55000000000000004</v>
      </c>
      <c r="G53" s="5231">
        <v>0.55000000000000004</v>
      </c>
      <c r="H53" s="5231">
        <v>0.55000000000000004</v>
      </c>
      <c r="I53" s="5231">
        <v>0.55000000000000004</v>
      </c>
      <c r="J53" s="5231">
        <v>0.55000000000000004</v>
      </c>
      <c r="K53" s="5231">
        <v>0.55000000000000004</v>
      </c>
      <c r="L53" s="5231">
        <v>0.55000000000000004</v>
      </c>
      <c r="M53" s="5231">
        <v>0.55000000000000004</v>
      </c>
      <c r="N53" s="5231">
        <v>0.55000000000000004</v>
      </c>
      <c r="O53" s="5231">
        <v>0.55000000000000004</v>
      </c>
      <c r="P53" s="5231">
        <v>0.55000000000000004</v>
      </c>
      <c r="Q53" s="5232">
        <v>0.55000000000000004</v>
      </c>
      <c r="R53" s="3360">
        <f>IFERROR(AVERAGE(F53:Q53),0)</f>
        <v>0.54999999999999993</v>
      </c>
      <c r="T53" s="2970"/>
    </row>
    <row r="54" spans="1:23" s="2475" customFormat="1" ht="15.9" customHeight="1" x14ac:dyDescent="0.2">
      <c r="A54" s="2468"/>
      <c r="B54" s="2529" t="s">
        <v>393</v>
      </c>
      <c r="C54" s="2465" t="s">
        <v>356</v>
      </c>
      <c r="D54" s="2466"/>
      <c r="E54" s="2763"/>
      <c r="F54" s="2535">
        <f>IFERROR((F35*(F36+F53*A.Lecheros!F11)+F38*F39-F43*F44-F46*(F36+F53*A.Lecheros!F11)-F47*F48)/F51,0)</f>
        <v>0</v>
      </c>
      <c r="G54" s="2536">
        <f>IFERROR((G35*(G36+G53*A.Lecheros!G11)+G38*G39-G43*G44-G46*(G36+G53*A.Lecheros!G11)-G47*G48)/G51,0)</f>
        <v>0</v>
      </c>
      <c r="H54" s="2536">
        <f>IFERROR((H35*(H36+H53*A.Lecheros!H11)+H38*H39-H43*H44-H46*(H36+H53*A.Lecheros!H11)-H47*H48)/H51,0)</f>
        <v>0</v>
      </c>
      <c r="I54" s="2536">
        <f>IFERROR((I35*(I36+I53*A.Lecheros!I11)+I38*I39-I43*I44-I46*(I36+I53*A.Lecheros!I11)-I47*I48)/I51,0)</f>
        <v>0</v>
      </c>
      <c r="J54" s="2536">
        <f>IFERROR((J35*(J36+J53*A.Lecheros!J11)+J38*J39-J43*J44-J46*(J36+J53*A.Lecheros!J11)-J47*J48)/J51,0)</f>
        <v>0</v>
      </c>
      <c r="K54" s="2536">
        <f>IFERROR((K35*(K36+K53*A.Lecheros!K11)+K38*K39-K43*K44-K46*(K36+K53*A.Lecheros!K11)-K47*K48)/K51,0)</f>
        <v>0</v>
      </c>
      <c r="L54" s="2536">
        <f>IFERROR((L35*(L36+L53*A.Lecheros!L11)+L38*L39-L43*L44-L46*(L36+L53*A.Lecheros!L11)-L47*L48)/L51,0)</f>
        <v>0</v>
      </c>
      <c r="M54" s="2536">
        <f>IFERROR((M35*(M36+M53*A.Lecheros!M11)+M38*M39-M43*M44-M46*(M36+M53*A.Lecheros!M11)-M47*M48)/M51,0)</f>
        <v>0</v>
      </c>
      <c r="N54" s="2536">
        <f>IFERROR((N35*(N36+N53*A.Lecheros!N11)+N38*N39-N43*N44-N46*(N36+N53*A.Lecheros!N11)-N47*N48)/N51,0)</f>
        <v>0</v>
      </c>
      <c r="O54" s="2536">
        <f>IFERROR((O35*(O36+O53*A.Lecheros!O11)+O38*O39-O43*O44-O46*(O36+O53*A.Lecheros!O11)-O47*O48)/O51,0)</f>
        <v>0</v>
      </c>
      <c r="P54" s="2536">
        <f>IFERROR((P35*(P36+P53*A.Lecheros!P11)+P38*P39-P43*P44-P46*(P36+P53*A.Lecheros!P11)-P47*P48)/P51,0)</f>
        <v>0</v>
      </c>
      <c r="Q54" s="2537">
        <f>IFERROR((Q35*(Q36+Q53*A.Lecheros!Q11)+Q38*Q39-Q43*Q44-Q46*(Q36+Q53*A.Lecheros!Q11)-Q47*Q48)/Q51,0)</f>
        <v>0</v>
      </c>
      <c r="R54" s="2547"/>
      <c r="T54" s="2970"/>
    </row>
    <row r="55" spans="1:23" s="2475" customFormat="1" ht="15.9" customHeight="1" thickBot="1" x14ac:dyDescent="0.25">
      <c r="A55" s="2468"/>
      <c r="B55" s="2793" t="s">
        <v>394</v>
      </c>
      <c r="C55" s="2610" t="s">
        <v>356</v>
      </c>
      <c r="D55" s="2668"/>
      <c r="E55" s="3341"/>
      <c r="F55" s="3361">
        <f>AVERAGE(F33,F54)</f>
        <v>0</v>
      </c>
      <c r="G55" s="3362">
        <f t="shared" ref="G55:Q55" si="15">AVERAGE(F54,G54)</f>
        <v>0</v>
      </c>
      <c r="H55" s="3362">
        <f t="shared" si="15"/>
        <v>0</v>
      </c>
      <c r="I55" s="3362">
        <f t="shared" si="15"/>
        <v>0</v>
      </c>
      <c r="J55" s="3362">
        <f t="shared" si="15"/>
        <v>0</v>
      </c>
      <c r="K55" s="3362">
        <f t="shared" si="15"/>
        <v>0</v>
      </c>
      <c r="L55" s="3362">
        <f t="shared" si="15"/>
        <v>0</v>
      </c>
      <c r="M55" s="3362">
        <f t="shared" si="15"/>
        <v>0</v>
      </c>
      <c r="N55" s="3362">
        <f t="shared" si="15"/>
        <v>0</v>
      </c>
      <c r="O55" s="3362">
        <f t="shared" si="15"/>
        <v>0</v>
      </c>
      <c r="P55" s="3362">
        <f t="shared" si="15"/>
        <v>0</v>
      </c>
      <c r="Q55" s="3363">
        <f t="shared" si="15"/>
        <v>0</v>
      </c>
      <c r="R55" s="2611"/>
      <c r="T55" s="2970"/>
    </row>
    <row r="56" spans="1:23" s="2475" customFormat="1" ht="15.9" hidden="1" customHeight="1" x14ac:dyDescent="0.2">
      <c r="A56" s="2800"/>
      <c r="B56" s="721" t="s">
        <v>245</v>
      </c>
      <c r="C56" s="722" t="s">
        <v>361</v>
      </c>
      <c r="D56" s="2890"/>
      <c r="E56" s="2890"/>
      <c r="F56" s="2971"/>
      <c r="G56" s="727"/>
      <c r="H56" s="727"/>
      <c r="I56" s="727"/>
      <c r="J56" s="727"/>
      <c r="K56" s="727"/>
      <c r="L56" s="727"/>
      <c r="M56" s="727"/>
      <c r="N56" s="727"/>
      <c r="O56" s="727"/>
      <c r="P56" s="727"/>
      <c r="Q56" s="727"/>
      <c r="R56" s="728"/>
      <c r="S56" s="3346"/>
      <c r="T56" s="2970"/>
    </row>
    <row r="57" spans="1:23" s="2476" customFormat="1" ht="15.9" hidden="1" customHeight="1" thickBot="1" x14ac:dyDescent="0.25">
      <c r="A57" s="2800" t="s">
        <v>1125</v>
      </c>
      <c r="B57" s="700" t="s">
        <v>422</v>
      </c>
      <c r="C57" s="701" t="s">
        <v>361</v>
      </c>
      <c r="D57" s="2801"/>
      <c r="E57" s="2801"/>
      <c r="F57" s="3347"/>
      <c r="G57" s="705"/>
      <c r="H57" s="705"/>
      <c r="I57" s="705"/>
      <c r="J57" s="705"/>
      <c r="K57" s="705"/>
      <c r="L57" s="705"/>
      <c r="M57" s="705"/>
      <c r="N57" s="705"/>
      <c r="O57" s="705"/>
      <c r="P57" s="705"/>
      <c r="Q57" s="705"/>
      <c r="R57" s="704"/>
      <c r="S57" s="3346"/>
      <c r="W57" s="3066"/>
    </row>
    <row r="58" spans="1:23" s="2618" customFormat="1" ht="15.9" customHeight="1" x14ac:dyDescent="0.2">
      <c r="A58" s="2466"/>
      <c r="B58" s="2466"/>
      <c r="C58" s="2465"/>
      <c r="D58" s="2466"/>
      <c r="E58" s="2466"/>
      <c r="F58" s="2677"/>
      <c r="G58" s="2677"/>
      <c r="H58" s="2677"/>
      <c r="I58" s="2677"/>
      <c r="J58" s="2677"/>
      <c r="K58" s="2677"/>
      <c r="L58" s="2677"/>
      <c r="M58" s="2677"/>
      <c r="N58" s="2677"/>
      <c r="O58" s="2677"/>
      <c r="P58" s="2677"/>
      <c r="Q58" s="2677"/>
      <c r="R58" s="2466"/>
      <c r="T58" s="2619"/>
    </row>
    <row r="59" spans="1:23" s="2618" customFormat="1" ht="15.9" customHeight="1" thickBot="1" x14ac:dyDescent="0.25">
      <c r="A59" s="2466"/>
      <c r="B59" s="2466"/>
      <c r="C59" s="2465"/>
      <c r="D59" s="2466"/>
      <c r="E59" s="2466"/>
      <c r="F59" s="2677"/>
      <c r="G59" s="2677"/>
      <c r="H59" s="2677"/>
      <c r="I59" s="2677"/>
      <c r="J59" s="2677"/>
      <c r="K59" s="2677"/>
      <c r="L59" s="2677"/>
      <c r="M59" s="2677"/>
      <c r="N59" s="2677"/>
      <c r="O59" s="2677"/>
      <c r="P59" s="2677"/>
      <c r="Q59" s="2677"/>
      <c r="R59" s="2466"/>
      <c r="T59" s="2619"/>
    </row>
    <row r="60" spans="1:23" s="2475" customFormat="1" ht="15.9" customHeight="1" thickBot="1" x14ac:dyDescent="0.25">
      <c r="A60" s="2487">
        <f>+A33+1</f>
        <v>85</v>
      </c>
      <c r="B60" s="2488" t="s">
        <v>1484</v>
      </c>
      <c r="C60" s="2489"/>
      <c r="D60" s="2490"/>
      <c r="E60" s="2489"/>
      <c r="F60" s="2489"/>
      <c r="G60" s="2489"/>
      <c r="H60" s="2489"/>
      <c r="I60" s="2489"/>
      <c r="J60" s="2489"/>
      <c r="K60" s="2489"/>
      <c r="L60" s="2489"/>
      <c r="M60" s="2489"/>
      <c r="N60" s="2489"/>
      <c r="O60" s="2489"/>
      <c r="P60" s="2489"/>
      <c r="Q60" s="2489"/>
      <c r="R60" s="2491"/>
      <c r="T60" s="2970"/>
    </row>
    <row r="61" spans="1:23" s="2475" customFormat="1" ht="15.9" customHeight="1" x14ac:dyDescent="0.2">
      <c r="A61" s="2468"/>
      <c r="B61" s="2679" t="s">
        <v>683</v>
      </c>
      <c r="C61" s="2680"/>
      <c r="D61" s="2680"/>
      <c r="E61" s="2681"/>
      <c r="F61" s="2682" t="str">
        <f t="shared" ref="F61:Q61" si="16">+F34</f>
        <v>Ene</v>
      </c>
      <c r="G61" s="2682" t="str">
        <f t="shared" si="16"/>
        <v>Feb</v>
      </c>
      <c r="H61" s="2682" t="str">
        <f t="shared" si="16"/>
        <v>Mar</v>
      </c>
      <c r="I61" s="2682" t="str">
        <f t="shared" si="16"/>
        <v>Abr</v>
      </c>
      <c r="J61" s="2682" t="str">
        <f t="shared" si="16"/>
        <v>May</v>
      </c>
      <c r="K61" s="2682" t="str">
        <f t="shared" si="16"/>
        <v>Jun</v>
      </c>
      <c r="L61" s="2682" t="str">
        <f t="shared" si="16"/>
        <v>Jul</v>
      </c>
      <c r="M61" s="2682" t="str">
        <f t="shared" si="16"/>
        <v>Ago</v>
      </c>
      <c r="N61" s="2682" t="str">
        <f t="shared" si="16"/>
        <v>Set</v>
      </c>
      <c r="O61" s="2682" t="str">
        <f t="shared" si="16"/>
        <v>Oct</v>
      </c>
      <c r="P61" s="2682" t="str">
        <f t="shared" si="16"/>
        <v>Nov</v>
      </c>
      <c r="Q61" s="2682" t="str">
        <f t="shared" si="16"/>
        <v>Dic</v>
      </c>
      <c r="R61" s="2808" t="s">
        <v>1110</v>
      </c>
      <c r="T61" s="2970"/>
    </row>
    <row r="62" spans="1:23" s="2475" customFormat="1" ht="15.9" customHeight="1" x14ac:dyDescent="0.2">
      <c r="A62" s="2468"/>
      <c r="B62" s="2509" t="s">
        <v>1363</v>
      </c>
      <c r="C62" s="2510" t="s">
        <v>357</v>
      </c>
      <c r="D62" s="2511"/>
      <c r="E62" s="2511"/>
      <c r="F62" s="2512">
        <f>+General!C84</f>
        <v>0</v>
      </c>
      <c r="G62" s="832">
        <f t="shared" ref="G62:Q62" si="17">+F78</f>
        <v>0</v>
      </c>
      <c r="H62" s="832">
        <f t="shared" si="17"/>
        <v>0</v>
      </c>
      <c r="I62" s="832">
        <f t="shared" si="17"/>
        <v>0</v>
      </c>
      <c r="J62" s="832">
        <f t="shared" si="17"/>
        <v>0</v>
      </c>
      <c r="K62" s="832">
        <f t="shared" si="17"/>
        <v>0</v>
      </c>
      <c r="L62" s="832">
        <f t="shared" si="17"/>
        <v>0</v>
      </c>
      <c r="M62" s="832">
        <f t="shared" si="17"/>
        <v>0</v>
      </c>
      <c r="N62" s="832">
        <f t="shared" si="17"/>
        <v>0</v>
      </c>
      <c r="O62" s="832">
        <f t="shared" si="17"/>
        <v>0</v>
      </c>
      <c r="P62" s="832">
        <f t="shared" si="17"/>
        <v>0</v>
      </c>
      <c r="Q62" s="832">
        <f t="shared" si="17"/>
        <v>0</v>
      </c>
      <c r="R62" s="2952" t="s">
        <v>1111</v>
      </c>
      <c r="S62" s="717"/>
      <c r="T62" s="2970"/>
    </row>
    <row r="63" spans="1:23" s="2475" customFormat="1" ht="15.9" customHeight="1" x14ac:dyDescent="0.2">
      <c r="A63" s="2468"/>
      <c r="B63" s="2516" t="s">
        <v>1452</v>
      </c>
      <c r="C63" s="400" t="s">
        <v>356</v>
      </c>
      <c r="D63" s="400"/>
      <c r="E63" s="400"/>
      <c r="F63" s="3348">
        <f>+General!D84</f>
        <v>0</v>
      </c>
      <c r="G63" s="2814">
        <f>+F81</f>
        <v>0</v>
      </c>
      <c r="H63" s="2814">
        <f t="shared" ref="H63:Q63" si="18">+G81</f>
        <v>0</v>
      </c>
      <c r="I63" s="2814">
        <f t="shared" si="18"/>
        <v>0</v>
      </c>
      <c r="J63" s="2814">
        <f t="shared" si="18"/>
        <v>0</v>
      </c>
      <c r="K63" s="2814">
        <f t="shared" si="18"/>
        <v>0</v>
      </c>
      <c r="L63" s="2814">
        <f t="shared" si="18"/>
        <v>0</v>
      </c>
      <c r="M63" s="2814">
        <f t="shared" si="18"/>
        <v>0</v>
      </c>
      <c r="N63" s="2814">
        <f t="shared" si="18"/>
        <v>0</v>
      </c>
      <c r="O63" s="2814">
        <f t="shared" si="18"/>
        <v>0</v>
      </c>
      <c r="P63" s="2814">
        <f t="shared" si="18"/>
        <v>0</v>
      </c>
      <c r="Q63" s="2814">
        <f t="shared" si="18"/>
        <v>0</v>
      </c>
      <c r="R63" s="2515"/>
      <c r="T63" s="2970"/>
    </row>
    <row r="64" spans="1:23" s="2475" customFormat="1" ht="15.9" customHeight="1" x14ac:dyDescent="0.2">
      <c r="A64" s="2468"/>
      <c r="B64" s="3349" t="s">
        <v>352</v>
      </c>
      <c r="C64" s="2757"/>
      <c r="D64" s="2757"/>
      <c r="E64" s="2757"/>
      <c r="F64" s="3350"/>
      <c r="G64" s="3350"/>
      <c r="H64" s="3350"/>
      <c r="I64" s="3350"/>
      <c r="J64" s="3350"/>
      <c r="K64" s="3350"/>
      <c r="L64" s="3350"/>
      <c r="M64" s="3350"/>
      <c r="N64" s="3350"/>
      <c r="O64" s="3350"/>
      <c r="P64" s="3350"/>
      <c r="Q64" s="3350"/>
      <c r="R64" s="2768"/>
      <c r="T64" s="2970"/>
    </row>
    <row r="65" spans="1:20" s="2475" customFormat="1" ht="15.9" customHeight="1" x14ac:dyDescent="0.2">
      <c r="A65" s="2468"/>
      <c r="B65" s="715" t="s">
        <v>1257</v>
      </c>
      <c r="C65" s="716" t="s">
        <v>354</v>
      </c>
      <c r="D65" s="2588"/>
      <c r="E65" s="3351"/>
      <c r="F65" s="5224"/>
      <c r="G65" s="5225"/>
      <c r="H65" s="5225"/>
      <c r="I65" s="5225"/>
      <c r="J65" s="5225"/>
      <c r="K65" s="5225"/>
      <c r="L65" s="5225"/>
      <c r="M65" s="5225"/>
      <c r="N65" s="5225"/>
      <c r="O65" s="5225"/>
      <c r="P65" s="5225"/>
      <c r="Q65" s="5226"/>
      <c r="R65" s="407">
        <f>+SUM(F65:Q65)</f>
        <v>0</v>
      </c>
      <c r="T65" s="2970"/>
    </row>
    <row r="66" spans="1:20" s="2475" customFormat="1" ht="15.9" customHeight="1" x14ac:dyDescent="0.2">
      <c r="A66" s="2468"/>
      <c r="B66" s="389" t="s">
        <v>1291</v>
      </c>
      <c r="C66" s="390" t="s">
        <v>356</v>
      </c>
      <c r="D66" s="2466"/>
      <c r="E66" s="2466"/>
      <c r="F66" s="5136"/>
      <c r="G66" s="5137"/>
      <c r="H66" s="5137"/>
      <c r="I66" s="5137"/>
      <c r="J66" s="5137"/>
      <c r="K66" s="5137"/>
      <c r="L66" s="5137"/>
      <c r="M66" s="5137"/>
      <c r="N66" s="5137"/>
      <c r="O66" s="5137"/>
      <c r="P66" s="5137"/>
      <c r="Q66" s="5138"/>
      <c r="R66" s="408"/>
      <c r="T66" s="2970"/>
    </row>
    <row r="67" spans="1:20" s="2475" customFormat="1" ht="15.9" customHeight="1" x14ac:dyDescent="0.2">
      <c r="A67" s="2468"/>
      <c r="B67" s="389" t="s">
        <v>1292</v>
      </c>
      <c r="C67" s="390" t="s">
        <v>362</v>
      </c>
      <c r="D67" s="2466"/>
      <c r="E67" s="2466"/>
      <c r="F67" s="5136"/>
      <c r="G67" s="5137"/>
      <c r="H67" s="5137"/>
      <c r="I67" s="5137"/>
      <c r="J67" s="5137"/>
      <c r="K67" s="5137"/>
      <c r="L67" s="5137"/>
      <c r="M67" s="5137"/>
      <c r="N67" s="5137"/>
      <c r="O67" s="5137"/>
      <c r="P67" s="5137"/>
      <c r="Q67" s="5138"/>
      <c r="R67" s="408"/>
      <c r="T67" s="2970"/>
    </row>
    <row r="68" spans="1:20" s="2475" customFormat="1" ht="15.9" customHeight="1" x14ac:dyDescent="0.2">
      <c r="A68" s="2468"/>
      <c r="B68" s="2548" t="s">
        <v>364</v>
      </c>
      <c r="C68" s="2549" t="s">
        <v>354</v>
      </c>
      <c r="D68" s="2550"/>
      <c r="E68" s="2958"/>
      <c r="F68" s="2982">
        <f t="shared" ref="F68:Q68" si="19">+F65</f>
        <v>0</v>
      </c>
      <c r="G68" s="2982">
        <f t="shared" si="19"/>
        <v>0</v>
      </c>
      <c r="H68" s="2982">
        <f t="shared" si="19"/>
        <v>0</v>
      </c>
      <c r="I68" s="2982">
        <f t="shared" si="19"/>
        <v>0</v>
      </c>
      <c r="J68" s="2982">
        <f t="shared" si="19"/>
        <v>0</v>
      </c>
      <c r="K68" s="2982">
        <f t="shared" si="19"/>
        <v>0</v>
      </c>
      <c r="L68" s="2982">
        <f t="shared" si="19"/>
        <v>0</v>
      </c>
      <c r="M68" s="2982">
        <f t="shared" si="19"/>
        <v>0</v>
      </c>
      <c r="N68" s="2982">
        <f t="shared" si="19"/>
        <v>0</v>
      </c>
      <c r="O68" s="2982">
        <f t="shared" si="19"/>
        <v>0</v>
      </c>
      <c r="P68" s="2982">
        <f t="shared" si="19"/>
        <v>0</v>
      </c>
      <c r="Q68" s="2982">
        <f t="shared" si="19"/>
        <v>0</v>
      </c>
      <c r="R68" s="866">
        <f>+SUM(F68:Q68)</f>
        <v>0</v>
      </c>
      <c r="S68" s="2618"/>
      <c r="T68" s="2970"/>
    </row>
    <row r="69" spans="1:20" s="2475" customFormat="1" ht="15.9" customHeight="1" x14ac:dyDescent="0.2">
      <c r="A69" s="2468"/>
      <c r="B69" s="3349" t="s">
        <v>359</v>
      </c>
      <c r="C69" s="2757"/>
      <c r="D69" s="2757"/>
      <c r="E69" s="2757"/>
      <c r="F69" s="3350"/>
      <c r="G69" s="3350"/>
      <c r="H69" s="3350"/>
      <c r="I69" s="3350"/>
      <c r="J69" s="3350"/>
      <c r="K69" s="3350"/>
      <c r="L69" s="3350"/>
      <c r="M69" s="3350"/>
      <c r="N69" s="3350"/>
      <c r="O69" s="3350"/>
      <c r="P69" s="3350"/>
      <c r="Q69" s="3350"/>
      <c r="R69" s="2768"/>
      <c r="S69" s="2618"/>
      <c r="T69" s="2970"/>
    </row>
    <row r="70" spans="1:20" s="2475" customFormat="1" ht="15.9" customHeight="1" x14ac:dyDescent="0.2">
      <c r="A70" s="2468"/>
      <c r="B70" s="715" t="s">
        <v>1258</v>
      </c>
      <c r="C70" s="716" t="s">
        <v>354</v>
      </c>
      <c r="D70" s="2588"/>
      <c r="E70" s="3351"/>
      <c r="F70" s="5224"/>
      <c r="G70" s="5225"/>
      <c r="H70" s="5225"/>
      <c r="I70" s="5225"/>
      <c r="J70" s="5225"/>
      <c r="K70" s="5225"/>
      <c r="L70" s="5225"/>
      <c r="M70" s="5225"/>
      <c r="N70" s="5225"/>
      <c r="O70" s="5225"/>
      <c r="P70" s="5225"/>
      <c r="Q70" s="5226"/>
      <c r="R70" s="407">
        <f>+SUM(F70:Q70)</f>
        <v>0</v>
      </c>
      <c r="S70" s="2618"/>
      <c r="T70" s="2970"/>
    </row>
    <row r="71" spans="1:20" s="2475" customFormat="1" ht="15.9" customHeight="1" x14ac:dyDescent="0.2">
      <c r="A71" s="2468"/>
      <c r="B71" s="389" t="s">
        <v>1295</v>
      </c>
      <c r="C71" s="390" t="s">
        <v>356</v>
      </c>
      <c r="D71" s="2466"/>
      <c r="E71" s="2466"/>
      <c r="F71" s="5136"/>
      <c r="G71" s="5137"/>
      <c r="H71" s="5137"/>
      <c r="I71" s="5137"/>
      <c r="J71" s="5137"/>
      <c r="K71" s="5137"/>
      <c r="L71" s="5137"/>
      <c r="M71" s="5137"/>
      <c r="N71" s="5137"/>
      <c r="O71" s="5137"/>
      <c r="P71" s="5137"/>
      <c r="Q71" s="5138"/>
      <c r="R71" s="408"/>
      <c r="S71" s="2618"/>
      <c r="T71" s="2970"/>
    </row>
    <row r="72" spans="1:20" s="2475" customFormat="1" ht="15.9" customHeight="1" x14ac:dyDescent="0.2">
      <c r="A72" s="2468"/>
      <c r="B72" s="389" t="s">
        <v>1293</v>
      </c>
      <c r="C72" s="390" t="s">
        <v>362</v>
      </c>
      <c r="D72" s="2466"/>
      <c r="E72" s="2466"/>
      <c r="F72" s="5136"/>
      <c r="G72" s="5137"/>
      <c r="H72" s="5137"/>
      <c r="I72" s="5137"/>
      <c r="J72" s="5137"/>
      <c r="K72" s="5137"/>
      <c r="L72" s="5137"/>
      <c r="M72" s="5137"/>
      <c r="N72" s="5137"/>
      <c r="O72" s="5137"/>
      <c r="P72" s="5137"/>
      <c r="Q72" s="5138"/>
      <c r="R72" s="408"/>
      <c r="S72" s="2618"/>
      <c r="T72" s="2970"/>
    </row>
    <row r="73" spans="1:20" s="2475" customFormat="1" ht="15.9" customHeight="1" x14ac:dyDescent="0.2">
      <c r="A73" s="2468"/>
      <c r="B73" s="867" t="s">
        <v>360</v>
      </c>
      <c r="C73" s="868" t="s">
        <v>354</v>
      </c>
      <c r="D73" s="3353">
        <f>General!$C$105</f>
        <v>0</v>
      </c>
      <c r="E73" s="3354">
        <f>ROUND(D73*(F62),0)</f>
        <v>0</v>
      </c>
      <c r="F73" s="5227"/>
      <c r="G73" s="5228"/>
      <c r="H73" s="5228"/>
      <c r="I73" s="5228"/>
      <c r="J73" s="5228"/>
      <c r="K73" s="5228"/>
      <c r="L73" s="5228"/>
      <c r="M73" s="5228"/>
      <c r="N73" s="5228"/>
      <c r="O73" s="5228"/>
      <c r="P73" s="5228"/>
      <c r="Q73" s="5229"/>
      <c r="R73" s="869">
        <f>+SUM(F73:Q73)</f>
        <v>0</v>
      </c>
      <c r="S73" s="2618"/>
      <c r="T73" s="2970"/>
    </row>
    <row r="74" spans="1:20" s="2475" customFormat="1" ht="15.9" customHeight="1" x14ac:dyDescent="0.2">
      <c r="A74" s="2468"/>
      <c r="B74" s="399" t="s">
        <v>1259</v>
      </c>
      <c r="C74" s="400" t="s">
        <v>354</v>
      </c>
      <c r="D74" s="400"/>
      <c r="E74" s="400"/>
      <c r="F74" s="5123"/>
      <c r="G74" s="5124"/>
      <c r="H74" s="5124"/>
      <c r="I74" s="5124"/>
      <c r="J74" s="5124"/>
      <c r="K74" s="5124"/>
      <c r="L74" s="5124"/>
      <c r="M74" s="5124"/>
      <c r="N74" s="5124"/>
      <c r="O74" s="5124"/>
      <c r="P74" s="5124"/>
      <c r="Q74" s="5128"/>
      <c r="R74" s="408">
        <f>+SUM(F74:Q74)</f>
        <v>0</v>
      </c>
      <c r="S74" s="2618"/>
      <c r="T74" s="2970"/>
    </row>
    <row r="75" spans="1:20" s="2475" customFormat="1" ht="15.9" customHeight="1" x14ac:dyDescent="0.2">
      <c r="A75" s="2468"/>
      <c r="B75" s="399" t="s">
        <v>355</v>
      </c>
      <c r="C75" s="400" t="s">
        <v>356</v>
      </c>
      <c r="D75" s="400"/>
      <c r="E75" s="400"/>
      <c r="F75" s="5123"/>
      <c r="G75" s="5124"/>
      <c r="H75" s="5124"/>
      <c r="I75" s="5124"/>
      <c r="J75" s="5124"/>
      <c r="K75" s="5124"/>
      <c r="L75" s="5124"/>
      <c r="M75" s="5124"/>
      <c r="N75" s="5124"/>
      <c r="O75" s="5124"/>
      <c r="P75" s="5124"/>
      <c r="Q75" s="5128"/>
      <c r="R75" s="408"/>
      <c r="S75" s="2618"/>
      <c r="T75" s="2970"/>
    </row>
    <row r="76" spans="1:20" s="2475" customFormat="1" ht="15.9" customHeight="1" x14ac:dyDescent="0.2">
      <c r="A76" s="2468"/>
      <c r="B76" s="389" t="s">
        <v>23</v>
      </c>
      <c r="C76" s="390" t="s">
        <v>362</v>
      </c>
      <c r="D76" s="400"/>
      <c r="E76" s="400"/>
      <c r="F76" s="3355">
        <f>IF(F74&gt;0,Precios!$C$177,0)</f>
        <v>0</v>
      </c>
      <c r="G76" s="3356">
        <f>IF(G74&gt;0,Precios!$C$177,0)</f>
        <v>0</v>
      </c>
      <c r="H76" s="3356">
        <f>IF(H74&gt;0,Precios!$C$177,0)</f>
        <v>0</v>
      </c>
      <c r="I76" s="3356">
        <f>IF(I74&gt;0,Precios!$C$177,0)</f>
        <v>0</v>
      </c>
      <c r="J76" s="3356">
        <f>IF(J74&gt;0,Precios!$C$177,0)</f>
        <v>0</v>
      </c>
      <c r="K76" s="3356">
        <f>IF(K74&gt;0,Precios!$C$177,0)</f>
        <v>0</v>
      </c>
      <c r="L76" s="3356">
        <f>IF(L74&gt;0,Precios!$C$177,0)</f>
        <v>0</v>
      </c>
      <c r="M76" s="3356">
        <f>IF(M74&gt;0,Precios!$C$177,0)</f>
        <v>0</v>
      </c>
      <c r="N76" s="3356">
        <f>IF(N74&gt;0,Precios!$C$177,0)</f>
        <v>0</v>
      </c>
      <c r="O76" s="3356">
        <f>IF(O74&gt;0,Precios!$C$177,0)</f>
        <v>0</v>
      </c>
      <c r="P76" s="3356">
        <f>IF(P74&gt;0,Precios!$C$177,0)</f>
        <v>0</v>
      </c>
      <c r="Q76" s="3357">
        <f>IF(Q74&gt;0,Precios!$C$177,0)</f>
        <v>0</v>
      </c>
      <c r="R76" s="408"/>
      <c r="S76" s="2618"/>
      <c r="T76" s="2970"/>
    </row>
    <row r="77" spans="1:20" s="2475" customFormat="1" ht="15.9" customHeight="1" x14ac:dyDescent="0.2">
      <c r="A77" s="2468"/>
      <c r="B77" s="2548" t="s">
        <v>365</v>
      </c>
      <c r="C77" s="2549"/>
      <c r="D77" s="2550"/>
      <c r="E77" s="2550"/>
      <c r="F77" s="2959">
        <f t="shared" ref="F77:Q77" si="20">+F70+F73+F74</f>
        <v>0</v>
      </c>
      <c r="G77" s="2959">
        <f t="shared" si="20"/>
        <v>0</v>
      </c>
      <c r="H77" s="2959">
        <f t="shared" si="20"/>
        <v>0</v>
      </c>
      <c r="I77" s="2959">
        <f t="shared" si="20"/>
        <v>0</v>
      </c>
      <c r="J77" s="2959">
        <f t="shared" si="20"/>
        <v>0</v>
      </c>
      <c r="K77" s="2959">
        <f t="shared" si="20"/>
        <v>0</v>
      </c>
      <c r="L77" s="2959">
        <f t="shared" si="20"/>
        <v>0</v>
      </c>
      <c r="M77" s="2959">
        <f t="shared" si="20"/>
        <v>0</v>
      </c>
      <c r="N77" s="2959">
        <f t="shared" si="20"/>
        <v>0</v>
      </c>
      <c r="O77" s="2959">
        <f t="shared" si="20"/>
        <v>0</v>
      </c>
      <c r="P77" s="2959">
        <f t="shared" si="20"/>
        <v>0</v>
      </c>
      <c r="Q77" s="2959">
        <f t="shared" si="20"/>
        <v>0</v>
      </c>
      <c r="R77" s="406">
        <f>+SUM(F77:Q77)</f>
        <v>0</v>
      </c>
      <c r="S77" s="2618"/>
      <c r="T77" s="2970"/>
    </row>
    <row r="78" spans="1:20" s="2475" customFormat="1" ht="15.9" customHeight="1" x14ac:dyDescent="0.2">
      <c r="A78" s="2468"/>
      <c r="B78" s="2938" t="s">
        <v>1364</v>
      </c>
      <c r="C78" s="2939" t="s">
        <v>357</v>
      </c>
      <c r="D78" s="2940"/>
      <c r="E78" s="2940"/>
      <c r="F78" s="2941">
        <f t="shared" ref="F78:Q78" si="21">F62+F68-F77</f>
        <v>0</v>
      </c>
      <c r="G78" s="2942">
        <f t="shared" si="21"/>
        <v>0</v>
      </c>
      <c r="H78" s="2942">
        <f t="shared" si="21"/>
        <v>0</v>
      </c>
      <c r="I78" s="2942">
        <f t="shared" si="21"/>
        <v>0</v>
      </c>
      <c r="J78" s="2942">
        <f t="shared" si="21"/>
        <v>0</v>
      </c>
      <c r="K78" s="2942">
        <f t="shared" si="21"/>
        <v>0</v>
      </c>
      <c r="L78" s="2942">
        <f t="shared" si="21"/>
        <v>0</v>
      </c>
      <c r="M78" s="2942">
        <f t="shared" si="21"/>
        <v>0</v>
      </c>
      <c r="N78" s="2942">
        <f t="shared" si="21"/>
        <v>0</v>
      </c>
      <c r="O78" s="2942">
        <f t="shared" si="21"/>
        <v>0</v>
      </c>
      <c r="P78" s="2942">
        <f t="shared" si="21"/>
        <v>0</v>
      </c>
      <c r="Q78" s="2943">
        <f t="shared" si="21"/>
        <v>0</v>
      </c>
      <c r="R78" s="2547"/>
      <c r="T78" s="2970"/>
    </row>
    <row r="79" spans="1:20" s="2475" customFormat="1" ht="15.9" customHeight="1" x14ac:dyDescent="0.2">
      <c r="A79" s="2468"/>
      <c r="B79" s="2944" t="s">
        <v>397</v>
      </c>
      <c r="C79" s="2945" t="s">
        <v>354</v>
      </c>
      <c r="D79" s="2946"/>
      <c r="E79" s="2946"/>
      <c r="F79" s="3059">
        <f>(F62+F78)/2</f>
        <v>0</v>
      </c>
      <c r="G79" s="3358">
        <f t="shared" ref="G79:Q79" si="22">(F78+G78)/2</f>
        <v>0</v>
      </c>
      <c r="H79" s="3358">
        <f t="shared" si="22"/>
        <v>0</v>
      </c>
      <c r="I79" s="3358">
        <f t="shared" si="22"/>
        <v>0</v>
      </c>
      <c r="J79" s="3358">
        <f t="shared" si="22"/>
        <v>0</v>
      </c>
      <c r="K79" s="3358">
        <f t="shared" si="22"/>
        <v>0</v>
      </c>
      <c r="L79" s="3358">
        <f t="shared" si="22"/>
        <v>0</v>
      </c>
      <c r="M79" s="3358">
        <f t="shared" si="22"/>
        <v>0</v>
      </c>
      <c r="N79" s="3358">
        <f t="shared" si="22"/>
        <v>0</v>
      </c>
      <c r="O79" s="3358">
        <f t="shared" si="22"/>
        <v>0</v>
      </c>
      <c r="P79" s="3358">
        <f t="shared" si="22"/>
        <v>0</v>
      </c>
      <c r="Q79" s="3359">
        <f t="shared" si="22"/>
        <v>0</v>
      </c>
      <c r="R79" s="1326">
        <f>AVERAGE(F79:Q79)</f>
        <v>0</v>
      </c>
      <c r="T79" s="2970"/>
    </row>
    <row r="80" spans="1:20" s="2475" customFormat="1" ht="15.9" customHeight="1" x14ac:dyDescent="0.2">
      <c r="A80" s="2468"/>
      <c r="B80" s="2586" t="s">
        <v>1115</v>
      </c>
      <c r="C80" s="2587" t="s">
        <v>361</v>
      </c>
      <c r="D80" s="2588"/>
      <c r="E80" s="2763"/>
      <c r="F80" s="5230">
        <v>0.55000000000000004</v>
      </c>
      <c r="G80" s="5231">
        <v>0.55000000000000004</v>
      </c>
      <c r="H80" s="5231">
        <v>0.55000000000000004</v>
      </c>
      <c r="I80" s="5231">
        <v>0.55000000000000004</v>
      </c>
      <c r="J80" s="5231">
        <v>0.55000000000000004</v>
      </c>
      <c r="K80" s="5231">
        <v>0.55000000000000004</v>
      </c>
      <c r="L80" s="5231">
        <v>0.55000000000000004</v>
      </c>
      <c r="M80" s="5231">
        <v>0.55000000000000004</v>
      </c>
      <c r="N80" s="5231">
        <v>0.55000000000000004</v>
      </c>
      <c r="O80" s="5231">
        <v>0.55000000000000004</v>
      </c>
      <c r="P80" s="5231">
        <v>0.55000000000000004</v>
      </c>
      <c r="Q80" s="5232">
        <v>0.55000000000000004</v>
      </c>
      <c r="R80" s="3360">
        <f>IFERROR(AVERAGE(F80:Q80),0)</f>
        <v>0.54999999999999993</v>
      </c>
      <c r="T80" s="2970"/>
    </row>
    <row r="81" spans="1:23" s="2475" customFormat="1" ht="15.9" customHeight="1" x14ac:dyDescent="0.2">
      <c r="A81" s="2468"/>
      <c r="B81" s="2529" t="s">
        <v>393</v>
      </c>
      <c r="C81" s="2465" t="s">
        <v>356</v>
      </c>
      <c r="D81" s="2466"/>
      <c r="E81" s="2763"/>
      <c r="F81" s="2535">
        <f>IFERROR((F62*(F63+F80*A.Lecheros!F11)+F65*F66-F70*F71-F73*(F63+F80*A.Lecheros!F11)-F74*F75)/F78,0)</f>
        <v>0</v>
      </c>
      <c r="G81" s="2536">
        <f>IFERROR((G62*(G63+G80*A.Lecheros!G11)+G65*G66-G70*G71-G73*(G63+G80*A.Lecheros!G11)-G74*G75)/G78,0)</f>
        <v>0</v>
      </c>
      <c r="H81" s="2536">
        <f>IFERROR((H62*(H63+H80*A.Lecheros!H11)+H65*H66-H70*H71-H73*(H63+H80*A.Lecheros!H11)-H74*H75)/H78,0)</f>
        <v>0</v>
      </c>
      <c r="I81" s="2536">
        <f>IFERROR((I62*(I63+I80*A.Lecheros!I11)+I65*I66-I70*I71-I73*(I63+I80*A.Lecheros!I11)-I74*I75)/I78,0)</f>
        <v>0</v>
      </c>
      <c r="J81" s="2536">
        <f>IFERROR((J62*(J63+J80*A.Lecheros!J11)+J65*J66-J70*J71-J73*(J63+J80*A.Lecheros!J11)-J74*J75)/J78,0)</f>
        <v>0</v>
      </c>
      <c r="K81" s="2536">
        <f>IFERROR((K62*(K63+K80*A.Lecheros!K11)+K65*K66-K70*K71-K73*(K63+K80*A.Lecheros!K11)-K74*K75)/K78,0)</f>
        <v>0</v>
      </c>
      <c r="L81" s="2536">
        <f>IFERROR((L62*(L63+L80*A.Lecheros!L11)+L65*L66-L70*L71-L73*(L63+L80*A.Lecheros!L11)-L74*L75)/L78,0)</f>
        <v>0</v>
      </c>
      <c r="M81" s="2536">
        <f>IFERROR((M62*(M63+M80*A.Lecheros!M11)+M65*M66-M70*M71-M73*(M63+M80*A.Lecheros!M11)-M74*M75)/M78,0)</f>
        <v>0</v>
      </c>
      <c r="N81" s="2536">
        <f>IFERROR((N62*(N63+N80*A.Lecheros!N11)+N65*N66-N70*N71-N73*(N63+N80*A.Lecheros!N11)-N74*N75)/N78,0)</f>
        <v>0</v>
      </c>
      <c r="O81" s="2536">
        <f>IFERROR((O62*(O63+O80*A.Lecheros!O11)+O65*O66-O70*O71-O73*(O63+O80*A.Lecheros!O11)-O74*O75)/O78,0)</f>
        <v>0</v>
      </c>
      <c r="P81" s="2536">
        <f>IFERROR((P62*(P63+P80*A.Lecheros!P11)+P65*P66-P70*P71-P73*(P63+P80*A.Lecheros!P11)-P74*P75)/P78,0)</f>
        <v>0</v>
      </c>
      <c r="Q81" s="2537">
        <f>IFERROR((Q62*(Q63+Q80*A.Lecheros!Q11)+Q65*Q66-Q70*Q71-Q73*(Q63+Q80*A.Lecheros!Q11)-Q74*Q75)/Q78,0)</f>
        <v>0</v>
      </c>
      <c r="R81" s="2547"/>
      <c r="T81" s="2970"/>
    </row>
    <row r="82" spans="1:23" s="2475" customFormat="1" ht="15.9" customHeight="1" thickBot="1" x14ac:dyDescent="0.25">
      <c r="A82" s="2468"/>
      <c r="B82" s="2793" t="s">
        <v>394</v>
      </c>
      <c r="C82" s="2610" t="s">
        <v>356</v>
      </c>
      <c r="D82" s="2668"/>
      <c r="E82" s="3341"/>
      <c r="F82" s="3361">
        <f>AVERAGE(F60,F81)</f>
        <v>0</v>
      </c>
      <c r="G82" s="3362">
        <f t="shared" ref="G82:Q82" si="23">AVERAGE(F81,G81)</f>
        <v>0</v>
      </c>
      <c r="H82" s="3362">
        <f t="shared" si="23"/>
        <v>0</v>
      </c>
      <c r="I82" s="3362">
        <f t="shared" si="23"/>
        <v>0</v>
      </c>
      <c r="J82" s="3362">
        <f t="shared" si="23"/>
        <v>0</v>
      </c>
      <c r="K82" s="3362">
        <f t="shared" si="23"/>
        <v>0</v>
      </c>
      <c r="L82" s="3362">
        <f t="shared" si="23"/>
        <v>0</v>
      </c>
      <c r="M82" s="3362">
        <f t="shared" si="23"/>
        <v>0</v>
      </c>
      <c r="N82" s="3362">
        <f t="shared" si="23"/>
        <v>0</v>
      </c>
      <c r="O82" s="3362">
        <f t="shared" si="23"/>
        <v>0</v>
      </c>
      <c r="P82" s="3362">
        <f t="shared" si="23"/>
        <v>0</v>
      </c>
      <c r="Q82" s="3363">
        <f t="shared" si="23"/>
        <v>0</v>
      </c>
      <c r="R82" s="2611"/>
      <c r="T82" s="2970"/>
    </row>
    <row r="83" spans="1:23" s="2475" customFormat="1" ht="15.9" hidden="1" customHeight="1" x14ac:dyDescent="0.2">
      <c r="A83" s="2800"/>
      <c r="B83" s="724" t="s">
        <v>245</v>
      </c>
      <c r="C83" s="725" t="s">
        <v>361</v>
      </c>
      <c r="D83" s="2857"/>
      <c r="E83" s="2857"/>
      <c r="F83" s="3364"/>
      <c r="G83" s="729"/>
      <c r="H83" s="729"/>
      <c r="I83" s="729"/>
      <c r="J83" s="729"/>
      <c r="K83" s="729"/>
      <c r="L83" s="729"/>
      <c r="M83" s="729"/>
      <c r="N83" s="729"/>
      <c r="O83" s="729"/>
      <c r="P83" s="729"/>
      <c r="Q83" s="729"/>
      <c r="R83" s="730"/>
      <c r="S83" s="3346"/>
      <c r="T83" s="2970"/>
    </row>
    <row r="84" spans="1:23" s="2476" customFormat="1" ht="15.9" hidden="1" customHeight="1" thickBot="1" x14ac:dyDescent="0.25">
      <c r="A84" s="2800" t="s">
        <v>1125</v>
      </c>
      <c r="B84" s="700" t="s">
        <v>422</v>
      </c>
      <c r="C84" s="701" t="s">
        <v>361</v>
      </c>
      <c r="D84" s="2801"/>
      <c r="E84" s="2801"/>
      <c r="F84" s="3347"/>
      <c r="G84" s="705"/>
      <c r="H84" s="705"/>
      <c r="I84" s="705"/>
      <c r="J84" s="705"/>
      <c r="K84" s="705"/>
      <c r="L84" s="705"/>
      <c r="M84" s="705"/>
      <c r="N84" s="705"/>
      <c r="O84" s="705"/>
      <c r="P84" s="705"/>
      <c r="Q84" s="705"/>
      <c r="R84" s="704"/>
      <c r="S84" s="3346"/>
      <c r="W84" s="3066"/>
    </row>
    <row r="85" spans="1:23" s="2618" customFormat="1" ht="15.9" customHeight="1" x14ac:dyDescent="0.2">
      <c r="A85" s="2466"/>
      <c r="B85" s="2466"/>
      <c r="C85" s="2465"/>
      <c r="D85" s="2466"/>
      <c r="E85" s="2466"/>
      <c r="F85" s="2677"/>
      <c r="G85" s="2677"/>
      <c r="H85" s="2677"/>
      <c r="I85" s="2677"/>
      <c r="J85" s="2677"/>
      <c r="K85" s="2677"/>
      <c r="L85" s="2677"/>
      <c r="M85" s="2677"/>
      <c r="N85" s="2677"/>
      <c r="O85" s="2677"/>
      <c r="P85" s="2677"/>
      <c r="Q85" s="2677"/>
      <c r="R85" s="2466"/>
      <c r="T85" s="2619"/>
    </row>
    <row r="86" spans="1:23" s="2618" customFormat="1" ht="15.9" customHeight="1" thickBot="1" x14ac:dyDescent="0.25">
      <c r="A86" s="2466"/>
      <c r="B86" s="2466"/>
      <c r="C86" s="2465"/>
      <c r="D86" s="2466"/>
      <c r="E86" s="2466"/>
      <c r="F86" s="2677"/>
      <c r="G86" s="2677"/>
      <c r="H86" s="2677"/>
      <c r="I86" s="2677"/>
      <c r="J86" s="2677"/>
      <c r="K86" s="2677"/>
      <c r="L86" s="2677"/>
      <c r="M86" s="2677"/>
      <c r="N86" s="2677"/>
      <c r="O86" s="2677"/>
      <c r="P86" s="2677"/>
      <c r="Q86" s="2677"/>
      <c r="R86" s="2466"/>
      <c r="T86" s="2619"/>
    </row>
    <row r="87" spans="1:23" s="2475" customFormat="1" ht="15.9" customHeight="1" thickBot="1" x14ac:dyDescent="0.25">
      <c r="A87" s="2487">
        <f>+A60+1</f>
        <v>86</v>
      </c>
      <c r="B87" s="2488" t="s">
        <v>1485</v>
      </c>
      <c r="C87" s="2489"/>
      <c r="D87" s="2490"/>
      <c r="E87" s="2489"/>
      <c r="F87" s="2489"/>
      <c r="G87" s="2489"/>
      <c r="H87" s="2489"/>
      <c r="I87" s="2489"/>
      <c r="J87" s="2489"/>
      <c r="K87" s="2489"/>
      <c r="L87" s="2489"/>
      <c r="M87" s="2489"/>
      <c r="N87" s="2489"/>
      <c r="O87" s="2489"/>
      <c r="P87" s="2489"/>
      <c r="Q87" s="2489"/>
      <c r="R87" s="2491"/>
      <c r="T87" s="2970"/>
    </row>
    <row r="88" spans="1:23" s="2475" customFormat="1" ht="15.9" customHeight="1" x14ac:dyDescent="0.2">
      <c r="A88" s="2468"/>
      <c r="B88" s="2679" t="s">
        <v>683</v>
      </c>
      <c r="C88" s="2680"/>
      <c r="D88" s="2680"/>
      <c r="E88" s="2681"/>
      <c r="F88" s="2682" t="str">
        <f t="shared" ref="F88:Q88" si="24">+F61</f>
        <v>Ene</v>
      </c>
      <c r="G88" s="2682" t="str">
        <f t="shared" si="24"/>
        <v>Feb</v>
      </c>
      <c r="H88" s="2682" t="str">
        <f t="shared" si="24"/>
        <v>Mar</v>
      </c>
      <c r="I88" s="2682" t="str">
        <f t="shared" si="24"/>
        <v>Abr</v>
      </c>
      <c r="J88" s="2682" t="str">
        <f t="shared" si="24"/>
        <v>May</v>
      </c>
      <c r="K88" s="2682" t="str">
        <f t="shared" si="24"/>
        <v>Jun</v>
      </c>
      <c r="L88" s="2682" t="str">
        <f t="shared" si="24"/>
        <v>Jul</v>
      </c>
      <c r="M88" s="2682" t="str">
        <f t="shared" si="24"/>
        <v>Ago</v>
      </c>
      <c r="N88" s="2682" t="str">
        <f t="shared" si="24"/>
        <v>Set</v>
      </c>
      <c r="O88" s="2682" t="str">
        <f t="shared" si="24"/>
        <v>Oct</v>
      </c>
      <c r="P88" s="2682" t="str">
        <f t="shared" si="24"/>
        <v>Nov</v>
      </c>
      <c r="Q88" s="2682" t="str">
        <f t="shared" si="24"/>
        <v>Dic</v>
      </c>
      <c r="R88" s="2808" t="s">
        <v>1110</v>
      </c>
      <c r="T88" s="2970"/>
    </row>
    <row r="89" spans="1:23" s="2475" customFormat="1" ht="15.9" customHeight="1" x14ac:dyDescent="0.2">
      <c r="A89" s="2468"/>
      <c r="B89" s="2509" t="s">
        <v>1363</v>
      </c>
      <c r="C89" s="2510" t="s">
        <v>357</v>
      </c>
      <c r="D89" s="2511"/>
      <c r="E89" s="2511"/>
      <c r="F89" s="2512">
        <f>+General!C85</f>
        <v>0</v>
      </c>
      <c r="G89" s="832">
        <f t="shared" ref="G89:Q89" si="25">+F107</f>
        <v>0</v>
      </c>
      <c r="H89" s="832">
        <f t="shared" si="25"/>
        <v>0</v>
      </c>
      <c r="I89" s="832">
        <f t="shared" si="25"/>
        <v>0</v>
      </c>
      <c r="J89" s="832">
        <f t="shared" si="25"/>
        <v>0</v>
      </c>
      <c r="K89" s="832">
        <f t="shared" si="25"/>
        <v>0</v>
      </c>
      <c r="L89" s="832">
        <f t="shared" si="25"/>
        <v>0</v>
      </c>
      <c r="M89" s="832">
        <f t="shared" si="25"/>
        <v>0</v>
      </c>
      <c r="N89" s="832">
        <f t="shared" si="25"/>
        <v>0</v>
      </c>
      <c r="O89" s="832">
        <f t="shared" si="25"/>
        <v>0</v>
      </c>
      <c r="P89" s="832">
        <f t="shared" si="25"/>
        <v>0</v>
      </c>
      <c r="Q89" s="832">
        <f t="shared" si="25"/>
        <v>0</v>
      </c>
      <c r="R89" s="2952" t="s">
        <v>1111</v>
      </c>
      <c r="S89" s="717"/>
      <c r="T89" s="2970"/>
    </row>
    <row r="90" spans="1:23" s="2475" customFormat="1" ht="15.9" customHeight="1" x14ac:dyDescent="0.2">
      <c r="A90" s="2468"/>
      <c r="B90" s="2516" t="s">
        <v>1452</v>
      </c>
      <c r="C90" s="400" t="s">
        <v>356</v>
      </c>
      <c r="D90" s="400"/>
      <c r="E90" s="400"/>
      <c r="F90" s="3348">
        <f>+General!D85</f>
        <v>0</v>
      </c>
      <c r="G90" s="2814">
        <f>+F110</f>
        <v>17.05</v>
      </c>
      <c r="H90" s="2814">
        <f t="shared" ref="H90:Q90" si="26">+G110</f>
        <v>32.450000000000003</v>
      </c>
      <c r="I90" s="2814">
        <f t="shared" si="26"/>
        <v>49.5</v>
      </c>
      <c r="J90" s="2814">
        <f t="shared" si="26"/>
        <v>66</v>
      </c>
      <c r="K90" s="2814">
        <f t="shared" si="26"/>
        <v>83.05</v>
      </c>
      <c r="L90" s="2814">
        <f t="shared" si="26"/>
        <v>99.55</v>
      </c>
      <c r="M90" s="2814">
        <f t="shared" si="26"/>
        <v>116.6</v>
      </c>
      <c r="N90" s="2814">
        <f t="shared" si="26"/>
        <v>133.65</v>
      </c>
      <c r="O90" s="2814">
        <f t="shared" si="26"/>
        <v>150.15</v>
      </c>
      <c r="P90" s="2814">
        <f t="shared" si="26"/>
        <v>167.20000000000002</v>
      </c>
      <c r="Q90" s="2814">
        <f t="shared" si="26"/>
        <v>183.70000000000002</v>
      </c>
      <c r="R90" s="2515"/>
      <c r="T90" s="2970"/>
    </row>
    <row r="91" spans="1:23" s="2475" customFormat="1" ht="15.9" customHeight="1" x14ac:dyDescent="0.2">
      <c r="A91" s="2468"/>
      <c r="B91" s="3349" t="s">
        <v>352</v>
      </c>
      <c r="C91" s="2757"/>
      <c r="D91" s="2757"/>
      <c r="E91" s="2757"/>
      <c r="F91" s="3350"/>
      <c r="G91" s="3350"/>
      <c r="H91" s="3350"/>
      <c r="I91" s="3350"/>
      <c r="J91" s="3350"/>
      <c r="K91" s="3350"/>
      <c r="L91" s="3350"/>
      <c r="M91" s="3350"/>
      <c r="N91" s="3350"/>
      <c r="O91" s="3350"/>
      <c r="P91" s="3350"/>
      <c r="Q91" s="3350"/>
      <c r="R91" s="2768"/>
      <c r="T91" s="2970"/>
    </row>
    <row r="92" spans="1:23" s="2475" customFormat="1" ht="15.9" customHeight="1" x14ac:dyDescent="0.2">
      <c r="A92" s="2468"/>
      <c r="B92" s="715" t="s">
        <v>1488</v>
      </c>
      <c r="C92" s="716" t="s">
        <v>354</v>
      </c>
      <c r="D92" s="2588"/>
      <c r="E92" s="3351"/>
      <c r="F92" s="5224"/>
      <c r="G92" s="5225"/>
      <c r="H92" s="5225"/>
      <c r="I92" s="5225"/>
      <c r="J92" s="5225"/>
      <c r="K92" s="5225"/>
      <c r="L92" s="5225"/>
      <c r="M92" s="5225"/>
      <c r="N92" s="5225"/>
      <c r="O92" s="5225"/>
      <c r="P92" s="5225"/>
      <c r="Q92" s="5226"/>
      <c r="R92" s="406">
        <f>+SUM(F92:Q92)</f>
        <v>0</v>
      </c>
      <c r="T92" s="2970"/>
    </row>
    <row r="93" spans="1:23" s="2475" customFormat="1" ht="15.9" customHeight="1" x14ac:dyDescent="0.2">
      <c r="A93" s="2468"/>
      <c r="B93" s="389" t="s">
        <v>1291</v>
      </c>
      <c r="C93" s="390" t="s">
        <v>356</v>
      </c>
      <c r="D93" s="2466"/>
      <c r="E93" s="2466"/>
      <c r="F93" s="5136"/>
      <c r="G93" s="5137"/>
      <c r="H93" s="5137"/>
      <c r="I93" s="5137"/>
      <c r="J93" s="5137"/>
      <c r="K93" s="5137"/>
      <c r="L93" s="5137"/>
      <c r="M93" s="5137"/>
      <c r="N93" s="5137"/>
      <c r="O93" s="5137"/>
      <c r="P93" s="5137"/>
      <c r="Q93" s="5138"/>
      <c r="R93" s="393"/>
      <c r="T93" s="2970"/>
    </row>
    <row r="94" spans="1:23" s="2475" customFormat="1" ht="15.9" customHeight="1" thickBot="1" x14ac:dyDescent="0.25">
      <c r="A94" s="2468"/>
      <c r="B94" s="389" t="s">
        <v>1292</v>
      </c>
      <c r="C94" s="390" t="s">
        <v>362</v>
      </c>
      <c r="D94" s="2466"/>
      <c r="E94" s="2466"/>
      <c r="F94" s="5139"/>
      <c r="G94" s="5140"/>
      <c r="H94" s="5140"/>
      <c r="I94" s="5140"/>
      <c r="J94" s="5140"/>
      <c r="K94" s="5140"/>
      <c r="L94" s="5140"/>
      <c r="M94" s="5140"/>
      <c r="N94" s="5140"/>
      <c r="O94" s="5140"/>
      <c r="P94" s="5140"/>
      <c r="Q94" s="5141"/>
      <c r="R94" s="393"/>
      <c r="T94" s="2970"/>
    </row>
    <row r="95" spans="1:23" s="2475" customFormat="1" ht="15.9" customHeight="1" x14ac:dyDescent="0.2">
      <c r="A95" s="2468"/>
      <c r="B95" s="2570" t="s">
        <v>1487</v>
      </c>
      <c r="C95" s="829" t="s">
        <v>354</v>
      </c>
      <c r="D95" s="829"/>
      <c r="E95" s="829"/>
      <c r="F95" s="829"/>
      <c r="G95" s="829"/>
      <c r="H95" s="829"/>
      <c r="I95" s="3365"/>
      <c r="J95" s="829"/>
      <c r="K95" s="3366">
        <f t="shared" ref="K95:Q95" si="27">+K132</f>
        <v>0</v>
      </c>
      <c r="L95" s="3366">
        <f t="shared" si="27"/>
        <v>0</v>
      </c>
      <c r="M95" s="3366">
        <f t="shared" si="27"/>
        <v>0</v>
      </c>
      <c r="N95" s="3366">
        <f t="shared" si="27"/>
        <v>0</v>
      </c>
      <c r="O95" s="3366">
        <f t="shared" si="27"/>
        <v>0</v>
      </c>
      <c r="P95" s="3366">
        <f t="shared" si="27"/>
        <v>0</v>
      </c>
      <c r="Q95" s="3366">
        <f t="shared" si="27"/>
        <v>0</v>
      </c>
      <c r="R95" s="872">
        <f>+SUM(F95:Q95)</f>
        <v>0</v>
      </c>
      <c r="T95" s="2970"/>
    </row>
    <row r="96" spans="1:23" s="2475" customFormat="1" ht="15.9" customHeight="1" x14ac:dyDescent="0.2">
      <c r="A96" s="2468"/>
      <c r="B96" s="389" t="s">
        <v>1263</v>
      </c>
      <c r="C96" s="402" t="s">
        <v>356</v>
      </c>
      <c r="D96" s="402"/>
      <c r="E96" s="402"/>
      <c r="F96" s="402"/>
      <c r="G96" s="402"/>
      <c r="H96" s="402"/>
      <c r="I96" s="3367"/>
      <c r="J96" s="402"/>
      <c r="K96" s="3368">
        <f>IF(K95=0,0,General!$C$95)</f>
        <v>0</v>
      </c>
      <c r="L96" s="3368">
        <f>IF(L95=0,0,General!$C$95)</f>
        <v>0</v>
      </c>
      <c r="M96" s="3368">
        <f>IF(M95=0,0,General!$C$95)</f>
        <v>0</v>
      </c>
      <c r="N96" s="3368">
        <f>IF(N95=0,0,General!$C$95)</f>
        <v>0</v>
      </c>
      <c r="O96" s="3368">
        <f>IF(O95=0,0,General!$C$95)</f>
        <v>0</v>
      </c>
      <c r="P96" s="3368">
        <f>IF(P95=0,0,General!$C$95)</f>
        <v>0</v>
      </c>
      <c r="Q96" s="3368">
        <f>IF(Q95=0,0,General!$C$95)</f>
        <v>0</v>
      </c>
      <c r="R96" s="873"/>
      <c r="T96" s="2970"/>
    </row>
    <row r="97" spans="1:20" s="2475" customFormat="1" ht="15.9" customHeight="1" x14ac:dyDescent="0.2">
      <c r="A97" s="2468"/>
      <c r="B97" s="2548" t="s">
        <v>364</v>
      </c>
      <c r="C97" s="2549" t="s">
        <v>354</v>
      </c>
      <c r="D97" s="2550"/>
      <c r="E97" s="2550"/>
      <c r="F97" s="2928">
        <f t="shared" ref="F97:Q97" si="28">+F92+F95</f>
        <v>0</v>
      </c>
      <c r="G97" s="2929">
        <f t="shared" si="28"/>
        <v>0</v>
      </c>
      <c r="H97" s="2929">
        <f t="shared" si="28"/>
        <v>0</v>
      </c>
      <c r="I97" s="2929">
        <f t="shared" si="28"/>
        <v>0</v>
      </c>
      <c r="J97" s="2929">
        <f t="shared" si="28"/>
        <v>0</v>
      </c>
      <c r="K97" s="2929">
        <f t="shared" si="28"/>
        <v>0</v>
      </c>
      <c r="L97" s="2929">
        <f t="shared" si="28"/>
        <v>0</v>
      </c>
      <c r="M97" s="2929">
        <f t="shared" si="28"/>
        <v>0</v>
      </c>
      <c r="N97" s="2929">
        <f t="shared" si="28"/>
        <v>0</v>
      </c>
      <c r="O97" s="2929">
        <f t="shared" si="28"/>
        <v>0</v>
      </c>
      <c r="P97" s="2929">
        <f t="shared" si="28"/>
        <v>0</v>
      </c>
      <c r="Q97" s="2815">
        <f t="shared" si="28"/>
        <v>0</v>
      </c>
      <c r="R97" s="406">
        <f>+SUM(F97:Q97)</f>
        <v>0</v>
      </c>
      <c r="T97" s="2970"/>
    </row>
    <row r="98" spans="1:20" s="2475" customFormat="1" ht="15.9" customHeight="1" x14ac:dyDescent="0.2">
      <c r="A98" s="2468"/>
      <c r="B98" s="3349" t="s">
        <v>359</v>
      </c>
      <c r="C98" s="2757"/>
      <c r="D98" s="2757"/>
      <c r="E98" s="2757"/>
      <c r="F98" s="3350"/>
      <c r="G98" s="3350"/>
      <c r="H98" s="3350"/>
      <c r="I98" s="3350"/>
      <c r="J98" s="3350"/>
      <c r="K98" s="3369"/>
      <c r="L98" s="3369"/>
      <c r="M98" s="3369"/>
      <c r="N98" s="3369"/>
      <c r="O98" s="3369"/>
      <c r="P98" s="3369"/>
      <c r="Q98" s="3369"/>
      <c r="R98" s="3352"/>
      <c r="T98" s="2970"/>
    </row>
    <row r="99" spans="1:20" s="2475" customFormat="1" ht="15.9" customHeight="1" x14ac:dyDescent="0.2">
      <c r="A99" s="2468"/>
      <c r="B99" s="715" t="s">
        <v>1489</v>
      </c>
      <c r="C99" s="716" t="s">
        <v>354</v>
      </c>
      <c r="D99" s="2588"/>
      <c r="E99" s="3351"/>
      <c r="F99" s="5224"/>
      <c r="G99" s="5225"/>
      <c r="H99" s="5225"/>
      <c r="I99" s="5225"/>
      <c r="J99" s="5225"/>
      <c r="K99" s="5225"/>
      <c r="L99" s="5225"/>
      <c r="M99" s="5225"/>
      <c r="N99" s="5225"/>
      <c r="O99" s="5225"/>
      <c r="P99" s="5225"/>
      <c r="Q99" s="5226"/>
      <c r="R99" s="406">
        <f>+SUM(F99:Q99)</f>
        <v>0</v>
      </c>
      <c r="T99" s="2970"/>
    </row>
    <row r="100" spans="1:20" s="2475" customFormat="1" ht="15.9" customHeight="1" x14ac:dyDescent="0.2">
      <c r="A100" s="2468"/>
      <c r="B100" s="389" t="s">
        <v>1295</v>
      </c>
      <c r="C100" s="390" t="s">
        <v>356</v>
      </c>
      <c r="D100" s="2466"/>
      <c r="E100" s="2466"/>
      <c r="F100" s="5136"/>
      <c r="G100" s="5137"/>
      <c r="H100" s="5137"/>
      <c r="I100" s="5137"/>
      <c r="J100" s="5137"/>
      <c r="K100" s="5137"/>
      <c r="L100" s="5137"/>
      <c r="M100" s="5137"/>
      <c r="N100" s="5137"/>
      <c r="O100" s="5137"/>
      <c r="P100" s="5137"/>
      <c r="Q100" s="5138"/>
      <c r="R100" s="393"/>
      <c r="T100" s="2970"/>
    </row>
    <row r="101" spans="1:20" s="2475" customFormat="1" ht="15.9" customHeight="1" x14ac:dyDescent="0.2">
      <c r="A101" s="2468"/>
      <c r="B101" s="389" t="s">
        <v>1293</v>
      </c>
      <c r="C101" s="390" t="s">
        <v>362</v>
      </c>
      <c r="D101" s="2466"/>
      <c r="E101" s="2466"/>
      <c r="F101" s="5136"/>
      <c r="G101" s="5137"/>
      <c r="H101" s="5137"/>
      <c r="I101" s="5137"/>
      <c r="J101" s="5137"/>
      <c r="K101" s="5137"/>
      <c r="L101" s="5137"/>
      <c r="M101" s="5137"/>
      <c r="N101" s="5137"/>
      <c r="O101" s="5137"/>
      <c r="P101" s="5137"/>
      <c r="Q101" s="5138"/>
      <c r="R101" s="393"/>
      <c r="T101" s="2970"/>
    </row>
    <row r="102" spans="1:20" s="2475" customFormat="1" ht="15.9" customHeight="1" x14ac:dyDescent="0.2">
      <c r="A102" s="2468"/>
      <c r="B102" s="867" t="s">
        <v>360</v>
      </c>
      <c r="C102" s="870" t="s">
        <v>354</v>
      </c>
      <c r="D102" s="3353">
        <f>General!$C$105</f>
        <v>0</v>
      </c>
      <c r="E102" s="3370">
        <f>ROUND(D102*(F89),0)</f>
        <v>0</v>
      </c>
      <c r="F102" s="5227"/>
      <c r="G102" s="5228"/>
      <c r="H102" s="5228"/>
      <c r="I102" s="5228"/>
      <c r="J102" s="5228"/>
      <c r="K102" s="5228"/>
      <c r="L102" s="5228"/>
      <c r="M102" s="5228"/>
      <c r="N102" s="5228"/>
      <c r="O102" s="5228"/>
      <c r="P102" s="5228"/>
      <c r="Q102" s="5229"/>
      <c r="R102" s="871">
        <f>+SUM(F102:Q102)</f>
        <v>0</v>
      </c>
      <c r="T102" s="2970"/>
    </row>
    <row r="103" spans="1:20" s="2475" customFormat="1" ht="15.9" customHeight="1" x14ac:dyDescent="0.2">
      <c r="A103" s="2468"/>
      <c r="B103" s="399" t="s">
        <v>1490</v>
      </c>
      <c r="C103" s="400" t="s">
        <v>354</v>
      </c>
      <c r="D103" s="400"/>
      <c r="E103" s="400"/>
      <c r="F103" s="5136"/>
      <c r="G103" s="5137"/>
      <c r="H103" s="5137"/>
      <c r="I103" s="5137"/>
      <c r="J103" s="5137"/>
      <c r="K103" s="5137"/>
      <c r="L103" s="5137"/>
      <c r="M103" s="5137"/>
      <c r="N103" s="5137"/>
      <c r="O103" s="5137"/>
      <c r="P103" s="5137"/>
      <c r="Q103" s="5138"/>
      <c r="R103" s="393">
        <f>+SUM(F103:Q103)</f>
        <v>0</v>
      </c>
      <c r="T103" s="2970"/>
    </row>
    <row r="104" spans="1:20" s="2475" customFormat="1" ht="15.9" customHeight="1" x14ac:dyDescent="0.2">
      <c r="A104" s="2468"/>
      <c r="B104" s="389" t="s">
        <v>355</v>
      </c>
      <c r="C104" s="390" t="s">
        <v>356</v>
      </c>
      <c r="D104" s="2466"/>
      <c r="E104" s="2466"/>
      <c r="F104" s="5136"/>
      <c r="G104" s="5137"/>
      <c r="H104" s="5137"/>
      <c r="I104" s="5137"/>
      <c r="J104" s="5137"/>
      <c r="K104" s="5137"/>
      <c r="L104" s="5137"/>
      <c r="M104" s="5137"/>
      <c r="N104" s="5137"/>
      <c r="O104" s="5137"/>
      <c r="P104" s="5137"/>
      <c r="Q104" s="5138"/>
      <c r="R104" s="393"/>
      <c r="T104" s="2970"/>
    </row>
    <row r="105" spans="1:20" s="2475" customFormat="1" ht="15.9" customHeight="1" x14ac:dyDescent="0.2">
      <c r="A105" s="2468"/>
      <c r="B105" s="389" t="s">
        <v>225</v>
      </c>
      <c r="C105" s="390" t="s">
        <v>362</v>
      </c>
      <c r="D105" s="400"/>
      <c r="E105" s="400"/>
      <c r="F105" s="3371">
        <f>IF(F103&gt;0,Precios!$C$178,0)</f>
        <v>0</v>
      </c>
      <c r="G105" s="3372">
        <f>IF(G103&gt;0,Precios!$C$178,0)</f>
        <v>0</v>
      </c>
      <c r="H105" s="3372">
        <f>IF(H103&gt;0,Precios!$C$178,0)</f>
        <v>0</v>
      </c>
      <c r="I105" s="3372">
        <f>IF(I103&gt;0,Precios!$C$178,0)</f>
        <v>0</v>
      </c>
      <c r="J105" s="3372">
        <f>IF(J103&gt;0,Precios!$C$178,0)</f>
        <v>0</v>
      </c>
      <c r="K105" s="3372">
        <f>IF(K103&gt;0,Precios!$C$178,0)</f>
        <v>0</v>
      </c>
      <c r="L105" s="3372">
        <f>IF(L103&gt;0,Precios!$C$178,0)</f>
        <v>0</v>
      </c>
      <c r="M105" s="3372">
        <f>IF(M103&gt;0,Precios!$C$178,0)</f>
        <v>0</v>
      </c>
      <c r="N105" s="3372">
        <f>IF(N103&gt;0,Precios!$C$178,0)</f>
        <v>0</v>
      </c>
      <c r="O105" s="3372">
        <f>IF(O103&gt;0,Precios!$C$178,0)</f>
        <v>0</v>
      </c>
      <c r="P105" s="3372">
        <f>IF(P103&gt;0,Precios!$C$178,0)</f>
        <v>0</v>
      </c>
      <c r="Q105" s="3373">
        <f>IF(Q103&gt;0,Precios!$C$178,0)</f>
        <v>0</v>
      </c>
      <c r="R105" s="393"/>
      <c r="T105" s="2970"/>
    </row>
    <row r="106" spans="1:20" s="2475" customFormat="1" ht="15.9" customHeight="1" x14ac:dyDescent="0.2">
      <c r="A106" s="2468"/>
      <c r="B106" s="2548" t="s">
        <v>365</v>
      </c>
      <c r="C106" s="2549"/>
      <c r="D106" s="2550"/>
      <c r="E106" s="2550"/>
      <c r="F106" s="3374">
        <f t="shared" ref="F106:Q106" si="29">+F99+F102+F103</f>
        <v>0</v>
      </c>
      <c r="G106" s="3052">
        <f t="shared" si="29"/>
        <v>0</v>
      </c>
      <c r="H106" s="3052">
        <f t="shared" si="29"/>
        <v>0</v>
      </c>
      <c r="I106" s="3052">
        <f t="shared" si="29"/>
        <v>0</v>
      </c>
      <c r="J106" s="3052">
        <f t="shared" si="29"/>
        <v>0</v>
      </c>
      <c r="K106" s="3052">
        <f t="shared" si="29"/>
        <v>0</v>
      </c>
      <c r="L106" s="3052">
        <f t="shared" si="29"/>
        <v>0</v>
      </c>
      <c r="M106" s="3052">
        <f t="shared" si="29"/>
        <v>0</v>
      </c>
      <c r="N106" s="3052">
        <f t="shared" si="29"/>
        <v>0</v>
      </c>
      <c r="O106" s="3052">
        <f t="shared" si="29"/>
        <v>0</v>
      </c>
      <c r="P106" s="3052">
        <f t="shared" si="29"/>
        <v>0</v>
      </c>
      <c r="Q106" s="3053">
        <f t="shared" si="29"/>
        <v>0</v>
      </c>
      <c r="R106" s="406">
        <f>+SUM(F106:Q106)</f>
        <v>0</v>
      </c>
      <c r="T106" s="2970"/>
    </row>
    <row r="107" spans="1:20" s="2475" customFormat="1" ht="15.9" customHeight="1" x14ac:dyDescent="0.2">
      <c r="A107" s="2468"/>
      <c r="B107" s="2509" t="s">
        <v>1364</v>
      </c>
      <c r="C107" s="2510" t="s">
        <v>357</v>
      </c>
      <c r="D107" s="2511"/>
      <c r="E107" s="2511"/>
      <c r="F107" s="2903">
        <f t="shared" ref="F107:Q107" si="30">F89+F97-F106</f>
        <v>0</v>
      </c>
      <c r="G107" s="2904">
        <f t="shared" si="30"/>
        <v>0</v>
      </c>
      <c r="H107" s="2904">
        <f t="shared" si="30"/>
        <v>0</v>
      </c>
      <c r="I107" s="2904">
        <f t="shared" si="30"/>
        <v>0</v>
      </c>
      <c r="J107" s="2904">
        <f t="shared" si="30"/>
        <v>0</v>
      </c>
      <c r="K107" s="2904">
        <f t="shared" si="30"/>
        <v>0</v>
      </c>
      <c r="L107" s="2904">
        <f t="shared" si="30"/>
        <v>0</v>
      </c>
      <c r="M107" s="2904">
        <f t="shared" si="30"/>
        <v>0</v>
      </c>
      <c r="N107" s="2904">
        <f t="shared" si="30"/>
        <v>0</v>
      </c>
      <c r="O107" s="2904">
        <f t="shared" si="30"/>
        <v>0</v>
      </c>
      <c r="P107" s="2904">
        <f t="shared" si="30"/>
        <v>0</v>
      </c>
      <c r="Q107" s="2905">
        <f t="shared" si="30"/>
        <v>0</v>
      </c>
      <c r="R107" s="2704"/>
      <c r="T107" s="2970"/>
    </row>
    <row r="108" spans="1:20" s="2475" customFormat="1" ht="15.9" customHeight="1" thickBot="1" x14ac:dyDescent="0.25">
      <c r="A108" s="2468"/>
      <c r="B108" s="3330" t="s">
        <v>397</v>
      </c>
      <c r="C108" s="3331" t="s">
        <v>354</v>
      </c>
      <c r="D108" s="3332"/>
      <c r="E108" s="3332"/>
      <c r="F108" s="3375">
        <f>(F89+F107)/2</f>
        <v>0</v>
      </c>
      <c r="G108" s="3376">
        <f t="shared" ref="G108:Q108" si="31">(F107+G107)/2</f>
        <v>0</v>
      </c>
      <c r="H108" s="3376">
        <f t="shared" si="31"/>
        <v>0</v>
      </c>
      <c r="I108" s="3376">
        <f t="shared" si="31"/>
        <v>0</v>
      </c>
      <c r="J108" s="3376">
        <f t="shared" si="31"/>
        <v>0</v>
      </c>
      <c r="K108" s="3376">
        <f t="shared" si="31"/>
        <v>0</v>
      </c>
      <c r="L108" s="3376">
        <f t="shared" si="31"/>
        <v>0</v>
      </c>
      <c r="M108" s="3376">
        <f t="shared" si="31"/>
        <v>0</v>
      </c>
      <c r="N108" s="3376">
        <f t="shared" si="31"/>
        <v>0</v>
      </c>
      <c r="O108" s="3376">
        <f t="shared" si="31"/>
        <v>0</v>
      </c>
      <c r="P108" s="3376">
        <f t="shared" si="31"/>
        <v>0</v>
      </c>
      <c r="Q108" s="3377">
        <f t="shared" si="31"/>
        <v>0</v>
      </c>
      <c r="R108" s="3378">
        <f>AVERAGE(F108:Q108)</f>
        <v>0</v>
      </c>
      <c r="T108" s="2970"/>
    </row>
    <row r="109" spans="1:20" s="2475" customFormat="1" ht="15.9" customHeight="1" x14ac:dyDescent="0.2">
      <c r="A109" s="2468"/>
      <c r="B109" s="3379" t="s">
        <v>1115</v>
      </c>
      <c r="C109" s="3380" t="s">
        <v>361</v>
      </c>
      <c r="D109" s="3381"/>
      <c r="E109" s="3382"/>
      <c r="F109" s="5230">
        <v>0.55000000000000004</v>
      </c>
      <c r="G109" s="5231">
        <v>0.55000000000000004</v>
      </c>
      <c r="H109" s="5231">
        <v>0.55000000000000004</v>
      </c>
      <c r="I109" s="5231">
        <v>0.55000000000000004</v>
      </c>
      <c r="J109" s="5231">
        <v>0.55000000000000004</v>
      </c>
      <c r="K109" s="5231">
        <v>0.55000000000000004</v>
      </c>
      <c r="L109" s="5231">
        <v>0.55000000000000004</v>
      </c>
      <c r="M109" s="5231">
        <v>0.55000000000000004</v>
      </c>
      <c r="N109" s="5231">
        <v>0.55000000000000004</v>
      </c>
      <c r="O109" s="5231">
        <v>0.55000000000000004</v>
      </c>
      <c r="P109" s="5231">
        <v>0.55000000000000004</v>
      </c>
      <c r="Q109" s="5232">
        <v>0.55000000000000004</v>
      </c>
      <c r="R109" s="3360">
        <f>IFERROR(AVERAGE(F109:Q109),0)</f>
        <v>0.54999999999999993</v>
      </c>
      <c r="T109" s="2970"/>
    </row>
    <row r="110" spans="1:20" s="2475" customFormat="1" ht="15.9" customHeight="1" x14ac:dyDescent="0.2">
      <c r="A110" s="2468"/>
      <c r="B110" s="2529" t="s">
        <v>393</v>
      </c>
      <c r="C110" s="2465" t="s">
        <v>356</v>
      </c>
      <c r="D110" s="2466"/>
      <c r="E110" s="2763"/>
      <c r="F110" s="2535">
        <f>+F90+(F109*A.Lecheros!F11)</f>
        <v>17.05</v>
      </c>
      <c r="G110" s="2536">
        <f>+F110+(G109*A.Lecheros!G11)</f>
        <v>32.450000000000003</v>
      </c>
      <c r="H110" s="2536">
        <f>+G110+(H109*A.Lecheros!H11)</f>
        <v>49.5</v>
      </c>
      <c r="I110" s="2536">
        <f>+H110+(I109*A.Lecheros!I11)</f>
        <v>66</v>
      </c>
      <c r="J110" s="2536">
        <f>+I110+(J109*A.Lecheros!J11)</f>
        <v>83.05</v>
      </c>
      <c r="K110" s="2536">
        <f>+J110+(K109*A.Lecheros!K11)</f>
        <v>99.55</v>
      </c>
      <c r="L110" s="2536">
        <f>+K110+(L109*A.Lecheros!L11)</f>
        <v>116.6</v>
      </c>
      <c r="M110" s="2536">
        <f>+L110+(M109*A.Lecheros!M11)</f>
        <v>133.65</v>
      </c>
      <c r="N110" s="2536">
        <f>+M110+(N109*A.Lecheros!N11)</f>
        <v>150.15</v>
      </c>
      <c r="O110" s="2536">
        <f>+N110+(O109*A.Lecheros!O11)</f>
        <v>167.20000000000002</v>
      </c>
      <c r="P110" s="2536">
        <f>+O110+(P109*A.Lecheros!P11)</f>
        <v>183.70000000000002</v>
      </c>
      <c r="Q110" s="2537">
        <f>+P110+(Q109*A.Lecheros!Q11)</f>
        <v>200.75000000000003</v>
      </c>
      <c r="R110" s="2547"/>
      <c r="T110" s="2970"/>
    </row>
    <row r="111" spans="1:20" s="2475" customFormat="1" ht="15.9" customHeight="1" thickBot="1" x14ac:dyDescent="0.25">
      <c r="A111" s="2468"/>
      <c r="B111" s="2793" t="s">
        <v>394</v>
      </c>
      <c r="C111" s="2610" t="s">
        <v>356</v>
      </c>
      <c r="D111" s="2668"/>
      <c r="E111" s="3341"/>
      <c r="F111" s="3361">
        <f>AVERAGE(F90,F110)</f>
        <v>8.5250000000000004</v>
      </c>
      <c r="G111" s="3362">
        <f t="shared" ref="G111:Q111" si="32">AVERAGE(F110,G110)</f>
        <v>24.75</v>
      </c>
      <c r="H111" s="3362">
        <f t="shared" si="32"/>
        <v>40.975000000000001</v>
      </c>
      <c r="I111" s="3362">
        <f t="shared" si="32"/>
        <v>57.75</v>
      </c>
      <c r="J111" s="3362">
        <f t="shared" si="32"/>
        <v>74.525000000000006</v>
      </c>
      <c r="K111" s="3362">
        <f t="shared" si="32"/>
        <v>91.3</v>
      </c>
      <c r="L111" s="3362">
        <f t="shared" si="32"/>
        <v>108.07499999999999</v>
      </c>
      <c r="M111" s="3362">
        <f t="shared" si="32"/>
        <v>125.125</v>
      </c>
      <c r="N111" s="3362">
        <f t="shared" si="32"/>
        <v>141.9</v>
      </c>
      <c r="O111" s="3362">
        <f t="shared" si="32"/>
        <v>158.67500000000001</v>
      </c>
      <c r="P111" s="3362">
        <f t="shared" si="32"/>
        <v>175.45000000000002</v>
      </c>
      <c r="Q111" s="3363">
        <f t="shared" si="32"/>
        <v>192.22500000000002</v>
      </c>
      <c r="R111" s="2611"/>
      <c r="T111" s="2970"/>
    </row>
    <row r="112" spans="1:20" s="2475" customFormat="1" ht="15.9" hidden="1" customHeight="1" x14ac:dyDescent="0.2">
      <c r="A112" s="2800"/>
      <c r="B112" s="724" t="s">
        <v>245</v>
      </c>
      <c r="C112" s="725" t="s">
        <v>361</v>
      </c>
      <c r="D112" s="2857"/>
      <c r="E112" s="2857"/>
      <c r="F112" s="3364"/>
      <c r="G112" s="729"/>
      <c r="H112" s="729"/>
      <c r="I112" s="729"/>
      <c r="J112" s="729"/>
      <c r="K112" s="729"/>
      <c r="L112" s="729"/>
      <c r="M112" s="729"/>
      <c r="N112" s="729"/>
      <c r="O112" s="729"/>
      <c r="P112" s="729"/>
      <c r="Q112" s="729"/>
      <c r="R112" s="730"/>
      <c r="S112" s="3346"/>
      <c r="T112" s="2970"/>
    </row>
    <row r="113" spans="1:23" s="2476" customFormat="1" ht="15.9" hidden="1" customHeight="1" thickBot="1" x14ac:dyDescent="0.25">
      <c r="A113" s="2800" t="s">
        <v>1125</v>
      </c>
      <c r="B113" s="700" t="s">
        <v>422</v>
      </c>
      <c r="C113" s="701" t="s">
        <v>361</v>
      </c>
      <c r="D113" s="2801"/>
      <c r="E113" s="2801"/>
      <c r="F113" s="3347"/>
      <c r="G113" s="705"/>
      <c r="H113" s="705"/>
      <c r="I113" s="705"/>
      <c r="J113" s="705"/>
      <c r="K113" s="705"/>
      <c r="L113" s="705"/>
      <c r="M113" s="705"/>
      <c r="N113" s="705"/>
      <c r="O113" s="705"/>
      <c r="P113" s="705"/>
      <c r="Q113" s="705"/>
      <c r="R113" s="704"/>
      <c r="S113" s="3346" t="s">
        <v>1118</v>
      </c>
      <c r="W113" s="3066"/>
    </row>
    <row r="114" spans="1:23" s="2618" customFormat="1" ht="15.9" customHeight="1" x14ac:dyDescent="0.2">
      <c r="A114" s="2466"/>
      <c r="B114" s="2466"/>
      <c r="C114" s="2465"/>
      <c r="D114" s="2466"/>
      <c r="E114" s="2466"/>
      <c r="F114" s="2677"/>
      <c r="G114" s="2677"/>
      <c r="H114" s="2677"/>
      <c r="I114" s="2677"/>
      <c r="J114" s="2677"/>
      <c r="K114" s="2677"/>
      <c r="L114" s="2677"/>
      <c r="M114" s="2677"/>
      <c r="N114" s="2677"/>
      <c r="O114" s="2677"/>
      <c r="P114" s="2677"/>
      <c r="Q114" s="2677"/>
      <c r="R114" s="2466"/>
      <c r="T114" s="2619"/>
    </row>
    <row r="115" spans="1:23" s="2618" customFormat="1" ht="15.9" customHeight="1" thickBot="1" x14ac:dyDescent="0.25">
      <c r="A115" s="2466"/>
      <c r="B115" s="2466"/>
      <c r="C115" s="2465"/>
      <c r="D115" s="2466"/>
      <c r="E115" s="2466"/>
      <c r="F115" s="2677"/>
      <c r="G115" s="2677"/>
      <c r="H115" s="2677"/>
      <c r="I115" s="2677"/>
      <c r="J115" s="2677"/>
      <c r="K115" s="2677"/>
      <c r="L115" s="2677"/>
      <c r="M115" s="2677"/>
      <c r="N115" s="2677"/>
      <c r="O115" s="2677"/>
      <c r="P115" s="2677"/>
      <c r="Q115" s="2677"/>
      <c r="R115" s="2466"/>
      <c r="T115" s="2619"/>
    </row>
    <row r="116" spans="1:23" s="2475" customFormat="1" ht="15.9" customHeight="1" thickBot="1" x14ac:dyDescent="0.25">
      <c r="A116" s="2487">
        <f>+A87+1</f>
        <v>87</v>
      </c>
      <c r="B116" s="2488" t="s">
        <v>1491</v>
      </c>
      <c r="C116" s="2489"/>
      <c r="D116" s="2490"/>
      <c r="E116" s="2489"/>
      <c r="F116" s="2489"/>
      <c r="G116" s="2489"/>
      <c r="H116" s="2489"/>
      <c r="I116" s="2489"/>
      <c r="J116" s="2489"/>
      <c r="K116" s="2489"/>
      <c r="L116" s="2489"/>
      <c r="M116" s="2489"/>
      <c r="N116" s="2489"/>
      <c r="O116" s="2489"/>
      <c r="P116" s="2489"/>
      <c r="Q116" s="2489"/>
      <c r="R116" s="2491"/>
      <c r="T116" s="2970"/>
    </row>
    <row r="117" spans="1:23" s="2475" customFormat="1" ht="15.9" customHeight="1" x14ac:dyDescent="0.2">
      <c r="A117" s="2468"/>
      <c r="B117" s="2679" t="s">
        <v>683</v>
      </c>
      <c r="C117" s="2680"/>
      <c r="D117" s="2680"/>
      <c r="E117" s="2681"/>
      <c r="F117" s="2682" t="str">
        <f t="shared" ref="F117:Q117" si="33">+F88</f>
        <v>Ene</v>
      </c>
      <c r="G117" s="2682" t="str">
        <f t="shared" si="33"/>
        <v>Feb</v>
      </c>
      <c r="H117" s="2682" t="str">
        <f t="shared" si="33"/>
        <v>Mar</v>
      </c>
      <c r="I117" s="2682" t="str">
        <f t="shared" si="33"/>
        <v>Abr</v>
      </c>
      <c r="J117" s="2682" t="str">
        <f t="shared" si="33"/>
        <v>May</v>
      </c>
      <c r="K117" s="2682" t="str">
        <f t="shared" si="33"/>
        <v>Jun</v>
      </c>
      <c r="L117" s="2682" t="str">
        <f t="shared" si="33"/>
        <v>Jul</v>
      </c>
      <c r="M117" s="2682" t="str">
        <f t="shared" si="33"/>
        <v>Ago</v>
      </c>
      <c r="N117" s="2682" t="str">
        <f t="shared" si="33"/>
        <v>Set</v>
      </c>
      <c r="O117" s="2682" t="str">
        <f t="shared" si="33"/>
        <v>Oct</v>
      </c>
      <c r="P117" s="2682" t="str">
        <f t="shared" si="33"/>
        <v>Nov</v>
      </c>
      <c r="Q117" s="2682" t="str">
        <f t="shared" si="33"/>
        <v>Dic</v>
      </c>
      <c r="R117" s="2808" t="s">
        <v>1110</v>
      </c>
      <c r="T117" s="2970"/>
    </row>
    <row r="118" spans="1:23" s="2475" customFormat="1" ht="15.9" customHeight="1" x14ac:dyDescent="0.2">
      <c r="A118" s="2468"/>
      <c r="B118" s="2509" t="s">
        <v>1363</v>
      </c>
      <c r="C118" s="2510" t="s">
        <v>357</v>
      </c>
      <c r="D118" s="2511"/>
      <c r="E118" s="2511"/>
      <c r="F118" s="2512">
        <f>+General!C86</f>
        <v>0</v>
      </c>
      <c r="G118" s="832">
        <f t="shared" ref="G118:Q118" si="34">+F134</f>
        <v>0</v>
      </c>
      <c r="H118" s="832">
        <f t="shared" si="34"/>
        <v>0</v>
      </c>
      <c r="I118" s="832">
        <f t="shared" si="34"/>
        <v>0</v>
      </c>
      <c r="J118" s="832">
        <f t="shared" si="34"/>
        <v>0</v>
      </c>
      <c r="K118" s="832">
        <f t="shared" si="34"/>
        <v>0</v>
      </c>
      <c r="L118" s="832">
        <f t="shared" si="34"/>
        <v>0</v>
      </c>
      <c r="M118" s="832">
        <f t="shared" si="34"/>
        <v>0</v>
      </c>
      <c r="N118" s="832">
        <f t="shared" si="34"/>
        <v>0</v>
      </c>
      <c r="O118" s="832">
        <f t="shared" si="34"/>
        <v>0</v>
      </c>
      <c r="P118" s="832">
        <f t="shared" si="34"/>
        <v>0</v>
      </c>
      <c r="Q118" s="832">
        <f t="shared" si="34"/>
        <v>0</v>
      </c>
      <c r="R118" s="2952" t="s">
        <v>1111</v>
      </c>
      <c r="S118" s="717"/>
      <c r="T118" s="2970"/>
    </row>
    <row r="119" spans="1:23" s="2475" customFormat="1" ht="15.9" customHeight="1" x14ac:dyDescent="0.2">
      <c r="A119" s="2468"/>
      <c r="B119" s="2524" t="s">
        <v>352</v>
      </c>
      <c r="C119" s="2525"/>
      <c r="D119" s="2525"/>
      <c r="E119" s="2525"/>
      <c r="F119" s="2932"/>
      <c r="G119" s="2932"/>
      <c r="H119" s="2932"/>
      <c r="I119" s="2932"/>
      <c r="J119" s="2932"/>
      <c r="K119" s="2932"/>
      <c r="L119" s="2932"/>
      <c r="M119" s="2932"/>
      <c r="N119" s="2932"/>
      <c r="O119" s="2932"/>
      <c r="P119" s="2932"/>
      <c r="Q119" s="2932"/>
      <c r="R119" s="2768"/>
      <c r="T119" s="2970"/>
    </row>
    <row r="120" spans="1:23" s="2475" customFormat="1" ht="15.9" customHeight="1" x14ac:dyDescent="0.2">
      <c r="A120" s="2468"/>
      <c r="B120" s="399" t="s">
        <v>1260</v>
      </c>
      <c r="C120" s="400" t="s">
        <v>354</v>
      </c>
      <c r="D120" s="400"/>
      <c r="E120" s="400"/>
      <c r="F120" s="5224"/>
      <c r="G120" s="5225"/>
      <c r="H120" s="5225"/>
      <c r="I120" s="5225"/>
      <c r="J120" s="5225"/>
      <c r="K120" s="5225"/>
      <c r="L120" s="5225"/>
      <c r="M120" s="5225"/>
      <c r="N120" s="5225"/>
      <c r="O120" s="5225"/>
      <c r="P120" s="5225"/>
      <c r="Q120" s="5226"/>
      <c r="R120" s="406">
        <f>+SUM(F120:Q120)</f>
        <v>0</v>
      </c>
      <c r="T120" s="2970"/>
    </row>
    <row r="121" spans="1:23" s="2475" customFormat="1" ht="15.9" customHeight="1" x14ac:dyDescent="0.2">
      <c r="A121" s="2468"/>
      <c r="B121" s="399" t="s">
        <v>1285</v>
      </c>
      <c r="C121" s="400" t="s">
        <v>356</v>
      </c>
      <c r="D121" s="400"/>
      <c r="E121" s="400"/>
      <c r="F121" s="5136"/>
      <c r="G121" s="5137"/>
      <c r="H121" s="5137"/>
      <c r="I121" s="5137"/>
      <c r="J121" s="5137"/>
      <c r="K121" s="5137"/>
      <c r="L121" s="5137"/>
      <c r="M121" s="5137"/>
      <c r="N121" s="5137"/>
      <c r="O121" s="5137"/>
      <c r="P121" s="5137"/>
      <c r="Q121" s="5138"/>
      <c r="R121" s="393"/>
      <c r="T121" s="2970"/>
    </row>
    <row r="122" spans="1:23" s="2475" customFormat="1" ht="15.9" hidden="1" customHeight="1" x14ac:dyDescent="0.2">
      <c r="A122" s="2468"/>
      <c r="B122" s="389" t="s">
        <v>1288</v>
      </c>
      <c r="C122" s="390" t="s">
        <v>362</v>
      </c>
      <c r="D122" s="400"/>
      <c r="E122" s="400"/>
      <c r="F122" s="5209"/>
      <c r="G122" s="5210"/>
      <c r="H122" s="5210"/>
      <c r="I122" s="5210"/>
      <c r="J122" s="5210"/>
      <c r="K122" s="5210"/>
      <c r="L122" s="5210"/>
      <c r="M122" s="5210"/>
      <c r="N122" s="5210"/>
      <c r="O122" s="5210"/>
      <c r="P122" s="5210"/>
      <c r="Q122" s="5211"/>
      <c r="R122" s="393"/>
      <c r="T122" s="2970"/>
    </row>
    <row r="123" spans="1:23" s="2475" customFormat="1" ht="15.9" customHeight="1" x14ac:dyDescent="0.2">
      <c r="A123" s="2468"/>
      <c r="B123" s="713" t="s">
        <v>1261</v>
      </c>
      <c r="C123" s="714" t="s">
        <v>354</v>
      </c>
      <c r="D123" s="714"/>
      <c r="E123" s="714"/>
      <c r="F123" s="2530"/>
      <c r="G123" s="2869"/>
      <c r="H123" s="2869">
        <f>A.Lecheros!H321</f>
        <v>0</v>
      </c>
      <c r="I123" s="3383">
        <f>A.Lecheros!I321</f>
        <v>0</v>
      </c>
      <c r="J123" s="2869">
        <f>A.Lecheros!J321</f>
        <v>0</v>
      </c>
      <c r="K123" s="2869">
        <f>A.Lecheros!K321</f>
        <v>0</v>
      </c>
      <c r="L123" s="2869">
        <f>A.Lecheros!L321</f>
        <v>0</v>
      </c>
      <c r="M123" s="2869">
        <f>A.Lecheros!M321</f>
        <v>0</v>
      </c>
      <c r="N123" s="2869">
        <f>A.Lecheros!N321</f>
        <v>0</v>
      </c>
      <c r="O123" s="2869">
        <f>A.Lecheros!O321</f>
        <v>0</v>
      </c>
      <c r="P123" s="2869">
        <f>A.Lecheros!P321</f>
        <v>0</v>
      </c>
      <c r="Q123" s="2872">
        <f>A.Lecheros!Q321</f>
        <v>0</v>
      </c>
      <c r="R123" s="407">
        <f>+SUM(F123:Q123)</f>
        <v>0</v>
      </c>
      <c r="T123" s="2970"/>
    </row>
    <row r="124" spans="1:23" s="2475" customFormat="1" ht="15.9" customHeight="1" x14ac:dyDescent="0.2">
      <c r="A124" s="2468"/>
      <c r="B124" s="399" t="s">
        <v>299</v>
      </c>
      <c r="C124" s="400" t="s">
        <v>356</v>
      </c>
      <c r="D124" s="400"/>
      <c r="E124" s="400"/>
      <c r="F124" s="2937">
        <f>+A.Lecheros!F322</f>
        <v>0</v>
      </c>
      <c r="G124" s="2532">
        <f>+A.Lecheros!G322</f>
        <v>0</v>
      </c>
      <c r="H124" s="2532">
        <f>+A.Lecheros!H322</f>
        <v>0</v>
      </c>
      <c r="I124" s="2532">
        <f>+A.Lecheros!I322</f>
        <v>0</v>
      </c>
      <c r="J124" s="2532">
        <f>+A.Lecheros!J322</f>
        <v>0</v>
      </c>
      <c r="K124" s="2532">
        <f>+A.Lecheros!K322</f>
        <v>0</v>
      </c>
      <c r="L124" s="2532">
        <f>+A.Lecheros!L322</f>
        <v>0</v>
      </c>
      <c r="M124" s="2532">
        <f>+A.Lecheros!M322</f>
        <v>0</v>
      </c>
      <c r="N124" s="2532">
        <f>+A.Lecheros!N322</f>
        <v>0</v>
      </c>
      <c r="O124" s="2532">
        <f>+A.Lecheros!O322</f>
        <v>0</v>
      </c>
      <c r="P124" s="2532">
        <f>+A.Lecheros!P322</f>
        <v>0</v>
      </c>
      <c r="Q124" s="2533">
        <f>+A.Lecheros!Q322</f>
        <v>0</v>
      </c>
      <c r="R124" s="408"/>
      <c r="T124" s="2970"/>
    </row>
    <row r="125" spans="1:23" s="2475" customFormat="1" ht="15.9" hidden="1" customHeight="1" x14ac:dyDescent="0.2">
      <c r="A125" s="2468"/>
      <c r="B125" s="389" t="s">
        <v>225</v>
      </c>
      <c r="C125" s="390" t="s">
        <v>362</v>
      </c>
      <c r="D125" s="400"/>
      <c r="E125" s="400"/>
      <c r="F125" s="3384">
        <f>IF(F123&gt;0,A.Lecheros!$F$323,0)</f>
        <v>0</v>
      </c>
      <c r="G125" s="3385">
        <f>IF(G123&gt;0,A.Lecheros!$F$323,0)</f>
        <v>0</v>
      </c>
      <c r="H125" s="3385">
        <f>IF(H123&gt;0,A.Lecheros!$F$323,0)</f>
        <v>0</v>
      </c>
      <c r="I125" s="3385">
        <f>IF(I123&gt;0,A.Lecheros!$F$323,0)</f>
        <v>0</v>
      </c>
      <c r="J125" s="3385">
        <f>IF(J123&gt;0,A.Lecheros!$F$323,0)</f>
        <v>0</v>
      </c>
      <c r="K125" s="3385">
        <f>IF(K123&gt;0,A.Lecheros!$F$323,0)</f>
        <v>0</v>
      </c>
      <c r="L125" s="3385">
        <f>IF(L123&gt;0,A.Lecheros!$F$323,0)</f>
        <v>0</v>
      </c>
      <c r="M125" s="3385">
        <f>IF(M123&gt;0,A.Lecheros!$F$323,0)</f>
        <v>0</v>
      </c>
      <c r="N125" s="3385">
        <f>IF(N123&gt;0,A.Lecheros!$F$323,0)</f>
        <v>0</v>
      </c>
      <c r="O125" s="3385">
        <f>IF(O123&gt;0,A.Lecheros!$F$323,0)</f>
        <v>0</v>
      </c>
      <c r="P125" s="3385">
        <f>IF(P123&gt;0,A.Lecheros!$F$323,0)</f>
        <v>0</v>
      </c>
      <c r="Q125" s="3386">
        <f>IF(Q123&gt;0,A.Lecheros!$F$323,0)</f>
        <v>0</v>
      </c>
      <c r="R125" s="408"/>
      <c r="T125" s="2970"/>
    </row>
    <row r="126" spans="1:23" s="2475" customFormat="1" ht="15.9" customHeight="1" x14ac:dyDescent="0.2">
      <c r="A126" s="2468"/>
      <c r="B126" s="2548" t="s">
        <v>364</v>
      </c>
      <c r="C126" s="2549" t="s">
        <v>354</v>
      </c>
      <c r="D126" s="2550"/>
      <c r="E126" s="2550"/>
      <c r="F126" s="2928">
        <f>+F120</f>
        <v>0</v>
      </c>
      <c r="G126" s="2929">
        <f>+G120</f>
        <v>0</v>
      </c>
      <c r="H126" s="2929">
        <f t="shared" ref="H126:Q126" si="35">+H120+H123</f>
        <v>0</v>
      </c>
      <c r="I126" s="2929">
        <f t="shared" si="35"/>
        <v>0</v>
      </c>
      <c r="J126" s="2929">
        <f t="shared" si="35"/>
        <v>0</v>
      </c>
      <c r="K126" s="2929">
        <f t="shared" si="35"/>
        <v>0</v>
      </c>
      <c r="L126" s="2929">
        <f t="shared" si="35"/>
        <v>0</v>
      </c>
      <c r="M126" s="2929">
        <f t="shared" si="35"/>
        <v>0</v>
      </c>
      <c r="N126" s="2929">
        <f t="shared" si="35"/>
        <v>0</v>
      </c>
      <c r="O126" s="2929">
        <f t="shared" si="35"/>
        <v>0</v>
      </c>
      <c r="P126" s="2929">
        <f t="shared" si="35"/>
        <v>0</v>
      </c>
      <c r="Q126" s="2815">
        <f t="shared" si="35"/>
        <v>0</v>
      </c>
      <c r="R126" s="407">
        <f>+SUM(F126:Q126)</f>
        <v>0</v>
      </c>
      <c r="S126" s="3346"/>
      <c r="T126" s="2970"/>
    </row>
    <row r="127" spans="1:23" s="2475" customFormat="1" ht="15.9" customHeight="1" x14ac:dyDescent="0.2">
      <c r="A127" s="2468"/>
      <c r="B127" s="2524" t="s">
        <v>359</v>
      </c>
      <c r="C127" s="2525"/>
      <c r="D127" s="2525"/>
      <c r="E127" s="2525"/>
      <c r="F127" s="2932"/>
      <c r="G127" s="2932"/>
      <c r="H127" s="2932"/>
      <c r="I127" s="2932"/>
      <c r="J127" s="2932"/>
      <c r="K127" s="2932"/>
      <c r="L127" s="2932"/>
      <c r="M127" s="2932"/>
      <c r="N127" s="2932"/>
      <c r="O127" s="2932"/>
      <c r="P127" s="2932"/>
      <c r="Q127" s="2932"/>
      <c r="R127" s="2768"/>
      <c r="T127" s="2970"/>
    </row>
    <row r="128" spans="1:23" s="2475" customFormat="1" ht="15.9" customHeight="1" x14ac:dyDescent="0.2">
      <c r="A128" s="2468"/>
      <c r="B128" s="399" t="s">
        <v>1262</v>
      </c>
      <c r="C128" s="400" t="s">
        <v>354</v>
      </c>
      <c r="D128" s="400"/>
      <c r="E128" s="400"/>
      <c r="F128" s="5225"/>
      <c r="G128" s="5225"/>
      <c r="H128" s="5225"/>
      <c r="I128" s="5225"/>
      <c r="J128" s="5225"/>
      <c r="K128" s="5225"/>
      <c r="L128" s="5225"/>
      <c r="M128" s="5225"/>
      <c r="N128" s="5225"/>
      <c r="O128" s="5225"/>
      <c r="P128" s="5225"/>
      <c r="Q128" s="5225"/>
      <c r="R128" s="407">
        <f>+SUM(F128:Q128)</f>
        <v>0</v>
      </c>
      <c r="T128" s="2970"/>
    </row>
    <row r="129" spans="1:23" s="2475" customFormat="1" ht="15.9" customHeight="1" thickBot="1" x14ac:dyDescent="0.25">
      <c r="A129" s="2468"/>
      <c r="B129" s="399" t="s">
        <v>1295</v>
      </c>
      <c r="C129" s="400" t="s">
        <v>356</v>
      </c>
      <c r="D129" s="400"/>
      <c r="E129" s="400"/>
      <c r="F129" s="5137"/>
      <c r="G129" s="5137"/>
      <c r="H129" s="5137"/>
      <c r="I129" s="5137"/>
      <c r="J129" s="5137"/>
      <c r="K129" s="5137"/>
      <c r="L129" s="5137"/>
      <c r="M129" s="5137"/>
      <c r="N129" s="5137"/>
      <c r="O129" s="5137"/>
      <c r="P129" s="5137"/>
      <c r="Q129" s="5137"/>
      <c r="R129" s="408"/>
      <c r="T129" s="2970"/>
    </row>
    <row r="130" spans="1:23" s="2475" customFormat="1" ht="15.9" hidden="1" customHeight="1" thickBot="1" x14ac:dyDescent="0.25">
      <c r="A130" s="2468"/>
      <c r="B130" s="389" t="s">
        <v>428</v>
      </c>
      <c r="C130" s="390" t="s">
        <v>362</v>
      </c>
      <c r="D130" s="400"/>
      <c r="E130" s="400"/>
      <c r="F130" s="5137"/>
      <c r="G130" s="5137"/>
      <c r="H130" s="5137"/>
      <c r="I130" s="5137"/>
      <c r="J130" s="5137"/>
      <c r="K130" s="5137"/>
      <c r="L130" s="5137"/>
      <c r="M130" s="5137"/>
      <c r="N130" s="5137"/>
      <c r="O130" s="5137"/>
      <c r="P130" s="5137"/>
      <c r="Q130" s="5137"/>
      <c r="R130" s="408"/>
      <c r="T130" s="2970"/>
    </row>
    <row r="131" spans="1:23" s="2475" customFormat="1" ht="15.9" customHeight="1" thickBot="1" x14ac:dyDescent="0.25">
      <c r="A131" s="2468"/>
      <c r="B131" s="826" t="s">
        <v>360</v>
      </c>
      <c r="C131" s="827" t="s">
        <v>354</v>
      </c>
      <c r="D131" s="3327">
        <f>General!$C$105</f>
        <v>0</v>
      </c>
      <c r="E131" s="3387">
        <f>ROUND(D131*(F118),0)</f>
        <v>0</v>
      </c>
      <c r="F131" s="5233"/>
      <c r="G131" s="5233"/>
      <c r="H131" s="5233"/>
      <c r="I131" s="5233"/>
      <c r="J131" s="5233"/>
      <c r="K131" s="5233"/>
      <c r="L131" s="5233"/>
      <c r="M131" s="5233"/>
      <c r="N131" s="5233"/>
      <c r="O131" s="5233"/>
      <c r="P131" s="5233"/>
      <c r="Q131" s="5233"/>
      <c r="R131" s="874">
        <f>+SUM(F131:Q131)</f>
        <v>0</v>
      </c>
      <c r="T131" s="2970"/>
    </row>
    <row r="132" spans="1:23" s="2475" customFormat="1" ht="15.9" customHeight="1" x14ac:dyDescent="0.2">
      <c r="A132" s="2468"/>
      <c r="B132" s="395" t="s">
        <v>1492</v>
      </c>
      <c r="C132" s="396" t="s">
        <v>354</v>
      </c>
      <c r="D132" s="2518"/>
      <c r="E132" s="2518"/>
      <c r="F132" s="2556"/>
      <c r="G132" s="2556"/>
      <c r="H132" s="2556"/>
      <c r="I132" s="2556"/>
      <c r="J132" s="2556"/>
      <c r="K132" s="3388">
        <f t="shared" ref="K132:Q132" si="36">H123</f>
        <v>0</v>
      </c>
      <c r="L132" s="3389">
        <f t="shared" si="36"/>
        <v>0</v>
      </c>
      <c r="M132" s="3389">
        <f t="shared" si="36"/>
        <v>0</v>
      </c>
      <c r="N132" s="3389">
        <f t="shared" si="36"/>
        <v>0</v>
      </c>
      <c r="O132" s="3389">
        <f t="shared" si="36"/>
        <v>0</v>
      </c>
      <c r="P132" s="3389">
        <f t="shared" si="36"/>
        <v>0</v>
      </c>
      <c r="Q132" s="3389">
        <f t="shared" si="36"/>
        <v>0</v>
      </c>
      <c r="R132" s="408"/>
      <c r="S132" s="3346"/>
      <c r="T132" s="2970"/>
    </row>
    <row r="133" spans="1:23" s="2475" customFormat="1" ht="15.9" customHeight="1" x14ac:dyDescent="0.2">
      <c r="A133" s="2468"/>
      <c r="B133" s="2548" t="s">
        <v>365</v>
      </c>
      <c r="C133" s="2549"/>
      <c r="D133" s="2550"/>
      <c r="E133" s="2958"/>
      <c r="F133" s="2982">
        <f t="shared" ref="F133:Q133" si="37">+F128+F131</f>
        <v>0</v>
      </c>
      <c r="G133" s="2982">
        <f t="shared" si="37"/>
        <v>0</v>
      </c>
      <c r="H133" s="2982">
        <f t="shared" si="37"/>
        <v>0</v>
      </c>
      <c r="I133" s="2982">
        <f t="shared" si="37"/>
        <v>0</v>
      </c>
      <c r="J133" s="2982">
        <f t="shared" si="37"/>
        <v>0</v>
      </c>
      <c r="K133" s="2982">
        <f t="shared" si="37"/>
        <v>0</v>
      </c>
      <c r="L133" s="2982">
        <f t="shared" si="37"/>
        <v>0</v>
      </c>
      <c r="M133" s="2982">
        <f t="shared" si="37"/>
        <v>0</v>
      </c>
      <c r="N133" s="2982">
        <f t="shared" si="37"/>
        <v>0</v>
      </c>
      <c r="O133" s="2982">
        <f t="shared" si="37"/>
        <v>0</v>
      </c>
      <c r="P133" s="2982">
        <f t="shared" si="37"/>
        <v>0</v>
      </c>
      <c r="Q133" s="2982">
        <f t="shared" si="37"/>
        <v>0</v>
      </c>
      <c r="R133" s="866">
        <f>+SUM(F133:Q133)</f>
        <v>0</v>
      </c>
    </row>
    <row r="134" spans="1:23" s="2475" customFormat="1" ht="15.9" customHeight="1" thickBot="1" x14ac:dyDescent="0.25">
      <c r="A134" s="2468"/>
      <c r="B134" s="2938" t="s">
        <v>1364</v>
      </c>
      <c r="C134" s="2939" t="s">
        <v>357</v>
      </c>
      <c r="D134" s="2940"/>
      <c r="E134" s="2940"/>
      <c r="F134" s="3390">
        <f t="shared" ref="F134:Q134" si="38">F118+F126-F133</f>
        <v>0</v>
      </c>
      <c r="G134" s="3391">
        <f t="shared" si="38"/>
        <v>0</v>
      </c>
      <c r="H134" s="3391">
        <f t="shared" si="38"/>
        <v>0</v>
      </c>
      <c r="I134" s="3391">
        <f t="shared" si="38"/>
        <v>0</v>
      </c>
      <c r="J134" s="3391">
        <f t="shared" si="38"/>
        <v>0</v>
      </c>
      <c r="K134" s="3391">
        <f t="shared" si="38"/>
        <v>0</v>
      </c>
      <c r="L134" s="3391">
        <f t="shared" si="38"/>
        <v>0</v>
      </c>
      <c r="M134" s="3391">
        <f t="shared" si="38"/>
        <v>0</v>
      </c>
      <c r="N134" s="3391">
        <f t="shared" si="38"/>
        <v>0</v>
      </c>
      <c r="O134" s="3391">
        <f t="shared" si="38"/>
        <v>0</v>
      </c>
      <c r="P134" s="3391">
        <f t="shared" si="38"/>
        <v>0</v>
      </c>
      <c r="Q134" s="3391">
        <f t="shared" si="38"/>
        <v>0</v>
      </c>
      <c r="R134" s="2547"/>
    </row>
    <row r="135" spans="1:23" s="2475" customFormat="1" ht="15.9" customHeight="1" x14ac:dyDescent="0.2">
      <c r="A135" s="2468"/>
      <c r="B135" s="2944" t="s">
        <v>397</v>
      </c>
      <c r="C135" s="2945" t="s">
        <v>354</v>
      </c>
      <c r="D135" s="2946"/>
      <c r="E135" s="2946"/>
      <c r="F135" s="3392">
        <f>(F118+F134)/2</f>
        <v>0</v>
      </c>
      <c r="G135" s="3393">
        <f t="shared" ref="G135:Q135" si="39">(F134+G134)/2</f>
        <v>0</v>
      </c>
      <c r="H135" s="3393">
        <f t="shared" si="39"/>
        <v>0</v>
      </c>
      <c r="I135" s="3393">
        <f t="shared" si="39"/>
        <v>0</v>
      </c>
      <c r="J135" s="3393">
        <f t="shared" si="39"/>
        <v>0</v>
      </c>
      <c r="K135" s="3393">
        <f t="shared" si="39"/>
        <v>0</v>
      </c>
      <c r="L135" s="3393">
        <f t="shared" si="39"/>
        <v>0</v>
      </c>
      <c r="M135" s="3393">
        <f t="shared" si="39"/>
        <v>0</v>
      </c>
      <c r="N135" s="3393">
        <f t="shared" si="39"/>
        <v>0</v>
      </c>
      <c r="O135" s="3393">
        <f t="shared" si="39"/>
        <v>0</v>
      </c>
      <c r="P135" s="3392">
        <f t="shared" si="39"/>
        <v>0</v>
      </c>
      <c r="Q135" s="3393">
        <f t="shared" si="39"/>
        <v>0</v>
      </c>
      <c r="R135" s="3394">
        <f>AVERAGE(F135:Q135)</f>
        <v>0</v>
      </c>
      <c r="S135" s="3395" t="s">
        <v>415</v>
      </c>
      <c r="T135" s="3395"/>
      <c r="U135" s="3396"/>
    </row>
    <row r="136" spans="1:23" s="2476" customFormat="1" ht="15.9" customHeight="1" x14ac:dyDescent="0.2">
      <c r="A136" s="2733"/>
      <c r="B136" s="715" t="s">
        <v>1673</v>
      </c>
      <c r="C136" s="716" t="s">
        <v>552</v>
      </c>
      <c r="D136" s="2638"/>
      <c r="E136" s="875"/>
      <c r="F136" s="5234">
        <v>2</v>
      </c>
      <c r="G136" s="5234">
        <v>2</v>
      </c>
      <c r="H136" s="5234">
        <v>2</v>
      </c>
      <c r="I136" s="5234">
        <v>2</v>
      </c>
      <c r="J136" s="5234">
        <v>2</v>
      </c>
      <c r="K136" s="5234">
        <v>2</v>
      </c>
      <c r="L136" s="5234">
        <v>2</v>
      </c>
      <c r="M136" s="5234">
        <v>2</v>
      </c>
      <c r="N136" s="5234">
        <v>2</v>
      </c>
      <c r="O136" s="5234">
        <v>2</v>
      </c>
      <c r="P136" s="5234">
        <v>2</v>
      </c>
      <c r="Q136" s="5234">
        <v>2</v>
      </c>
      <c r="R136" s="3397">
        <f>IFERROR(AVERAGE(F136:Q136),0)</f>
        <v>2</v>
      </c>
      <c r="S136" s="2640" t="s">
        <v>416</v>
      </c>
      <c r="T136" s="2640"/>
      <c r="U136" s="3398">
        <f>A.Lecheros!$U$94</f>
        <v>0</v>
      </c>
      <c r="W136" s="3066"/>
    </row>
    <row r="137" spans="1:23" s="2476" customFormat="1" ht="15.9" customHeight="1" thickBot="1" x14ac:dyDescent="0.25">
      <c r="A137" s="2733"/>
      <c r="B137" s="397" t="s">
        <v>1674</v>
      </c>
      <c r="C137" s="398" t="s">
        <v>551</v>
      </c>
      <c r="D137" s="2742"/>
      <c r="E137" s="3399"/>
      <c r="F137" s="5235">
        <v>2</v>
      </c>
      <c r="G137" s="5236">
        <v>2</v>
      </c>
      <c r="H137" s="5236">
        <v>2</v>
      </c>
      <c r="I137" s="5236">
        <v>2</v>
      </c>
      <c r="J137" s="5236">
        <v>2</v>
      </c>
      <c r="K137" s="5236">
        <v>2</v>
      </c>
      <c r="L137" s="5236">
        <v>2</v>
      </c>
      <c r="M137" s="5236">
        <v>2</v>
      </c>
      <c r="N137" s="5236">
        <v>2</v>
      </c>
      <c r="O137" s="5236">
        <v>2</v>
      </c>
      <c r="P137" s="5236">
        <v>2</v>
      </c>
      <c r="Q137" s="5236">
        <v>2</v>
      </c>
      <c r="R137" s="3400">
        <f>IFERROR(AVERAGE(F137:Q137),0)</f>
        <v>2</v>
      </c>
      <c r="S137" s="3399" t="s">
        <v>417</v>
      </c>
      <c r="T137" s="2673"/>
      <c r="U137" s="3401">
        <f>A.Lecheros!$U$95</f>
        <v>0</v>
      </c>
      <c r="W137" s="3066"/>
    </row>
    <row r="138" spans="1:23" s="2476" customFormat="1" ht="15.9" customHeight="1" x14ac:dyDescent="0.2">
      <c r="B138" s="717"/>
      <c r="C138" s="718"/>
      <c r="D138" s="2474"/>
      <c r="E138" s="2474"/>
      <c r="F138" s="3064"/>
      <c r="G138" s="719"/>
      <c r="H138" s="719"/>
      <c r="I138" s="719"/>
      <c r="J138" s="719"/>
      <c r="K138" s="719"/>
      <c r="L138" s="719"/>
      <c r="M138" s="719"/>
      <c r="N138" s="719"/>
      <c r="O138" s="719"/>
      <c r="P138" s="719"/>
      <c r="Q138" s="719"/>
      <c r="R138" s="719"/>
      <c r="S138" s="2474"/>
      <c r="T138" s="2618"/>
      <c r="U138" s="3065"/>
      <c r="W138" s="3066"/>
    </row>
    <row r="141" spans="1:23" ht="10.15" customHeight="1" x14ac:dyDescent="0.3"/>
    <row r="143" spans="1:23" s="3076" customFormat="1" ht="23.4" hidden="1" customHeight="1" x14ac:dyDescent="0.2">
      <c r="A143" s="3403"/>
      <c r="B143" s="2220" t="s">
        <v>1126</v>
      </c>
      <c r="C143" s="2221"/>
      <c r="D143" s="3404"/>
      <c r="E143" s="3404"/>
      <c r="F143" s="3405"/>
      <c r="G143" s="2222"/>
      <c r="H143" s="2222"/>
      <c r="I143" s="2222"/>
      <c r="J143" s="2222"/>
      <c r="K143" s="2222"/>
      <c r="L143" s="2222"/>
      <c r="M143" s="2222"/>
      <c r="N143" s="2222"/>
      <c r="O143" s="2222"/>
      <c r="P143" s="2222"/>
      <c r="Q143" s="2222"/>
      <c r="R143" s="2222"/>
      <c r="S143" s="3404"/>
      <c r="T143" s="3406"/>
      <c r="U143" s="3407"/>
      <c r="W143" s="3077"/>
    </row>
    <row r="144" spans="1:23" hidden="1" x14ac:dyDescent="0.3"/>
    <row r="145" spans="1:24" s="3202" customFormat="1" ht="15.9" hidden="1" customHeight="1" thickBot="1" x14ac:dyDescent="0.25">
      <c r="A145" s="3266"/>
      <c r="B145" s="3198" t="s">
        <v>1963</v>
      </c>
      <c r="C145" s="3199"/>
      <c r="D145" s="3198"/>
      <c r="E145" s="3198"/>
      <c r="F145" s="3198"/>
      <c r="G145" s="3198"/>
      <c r="H145" s="3198"/>
      <c r="I145" s="3198"/>
      <c r="J145" s="3198"/>
      <c r="K145" s="3198"/>
      <c r="L145" s="3198"/>
      <c r="M145" s="3198"/>
      <c r="N145" s="3198"/>
      <c r="O145" s="3198"/>
      <c r="P145" s="3198"/>
      <c r="Q145" s="3198"/>
      <c r="R145" s="3198"/>
      <c r="S145" s="3266"/>
      <c r="T145" s="3203"/>
      <c r="X145" s="3267"/>
    </row>
    <row r="146" spans="1:24" s="2475" customFormat="1" ht="15.9" hidden="1" customHeight="1" thickTop="1" x14ac:dyDescent="0.2">
      <c r="A146" s="3071">
        <v>1140</v>
      </c>
      <c r="B146" s="3087" t="s">
        <v>389</v>
      </c>
      <c r="C146" s="3088" t="s">
        <v>1464</v>
      </c>
      <c r="D146" s="3088"/>
      <c r="E146" s="3088"/>
      <c r="F146" s="3089">
        <f t="shared" ref="F146:Q146" si="40">+F20*F21*F22</f>
        <v>0</v>
      </c>
      <c r="G146" s="3090">
        <f t="shared" si="40"/>
        <v>0</v>
      </c>
      <c r="H146" s="3090">
        <f t="shared" si="40"/>
        <v>0</v>
      </c>
      <c r="I146" s="3090">
        <f t="shared" si="40"/>
        <v>0</v>
      </c>
      <c r="J146" s="3090">
        <f t="shared" si="40"/>
        <v>0</v>
      </c>
      <c r="K146" s="3090">
        <f t="shared" si="40"/>
        <v>0</v>
      </c>
      <c r="L146" s="3090">
        <f t="shared" si="40"/>
        <v>0</v>
      </c>
      <c r="M146" s="3090">
        <f t="shared" si="40"/>
        <v>0</v>
      </c>
      <c r="N146" s="3090">
        <f t="shared" si="40"/>
        <v>0</v>
      </c>
      <c r="O146" s="3090">
        <f t="shared" si="40"/>
        <v>0</v>
      </c>
      <c r="P146" s="3090">
        <f t="shared" si="40"/>
        <v>0</v>
      </c>
      <c r="Q146" s="3091">
        <f t="shared" si="40"/>
        <v>0</v>
      </c>
      <c r="R146" s="3092"/>
      <c r="T146" s="2970"/>
    </row>
    <row r="147" spans="1:24" s="2475" customFormat="1" ht="15.9" hidden="1" customHeight="1" x14ac:dyDescent="0.2">
      <c r="A147" s="2468"/>
      <c r="B147" s="3093"/>
      <c r="C147" s="2625" t="s">
        <v>1483</v>
      </c>
      <c r="D147" s="2625"/>
      <c r="E147" s="2625" t="s">
        <v>1161</v>
      </c>
      <c r="F147" s="3094">
        <f t="shared" ref="F147:Q147" si="41">+F43*F44*F45</f>
        <v>0</v>
      </c>
      <c r="G147" s="3078">
        <f t="shared" si="41"/>
        <v>0</v>
      </c>
      <c r="H147" s="3078">
        <f t="shared" si="41"/>
        <v>0</v>
      </c>
      <c r="I147" s="3078">
        <f t="shared" si="41"/>
        <v>0</v>
      </c>
      <c r="J147" s="3078">
        <f t="shared" si="41"/>
        <v>0</v>
      </c>
      <c r="K147" s="3078">
        <f t="shared" si="41"/>
        <v>0</v>
      </c>
      <c r="L147" s="3078">
        <f t="shared" si="41"/>
        <v>0</v>
      </c>
      <c r="M147" s="3078">
        <f t="shared" si="41"/>
        <v>0</v>
      </c>
      <c r="N147" s="3078">
        <f t="shared" si="41"/>
        <v>0</v>
      </c>
      <c r="O147" s="3078">
        <f t="shared" si="41"/>
        <v>0</v>
      </c>
      <c r="P147" s="3078">
        <f t="shared" si="41"/>
        <v>0</v>
      </c>
      <c r="Q147" s="3095">
        <f t="shared" si="41"/>
        <v>0</v>
      </c>
      <c r="R147" s="3096"/>
      <c r="T147" s="2970"/>
    </row>
    <row r="148" spans="1:24" s="2475" customFormat="1" ht="15.9" hidden="1" customHeight="1" x14ac:dyDescent="0.2">
      <c r="A148" s="2468"/>
      <c r="B148" s="3093"/>
      <c r="C148" s="2625"/>
      <c r="D148" s="2625"/>
      <c r="E148" s="2625" t="s">
        <v>242</v>
      </c>
      <c r="F148" s="3078">
        <f t="shared" ref="F148:Q148" si="42">+F47*F48*F49</f>
        <v>0</v>
      </c>
      <c r="G148" s="3078">
        <f t="shared" si="42"/>
        <v>0</v>
      </c>
      <c r="H148" s="3078">
        <f t="shared" si="42"/>
        <v>0</v>
      </c>
      <c r="I148" s="3078">
        <f t="shared" si="42"/>
        <v>0</v>
      </c>
      <c r="J148" s="3078">
        <f t="shared" si="42"/>
        <v>0</v>
      </c>
      <c r="K148" s="3078">
        <f t="shared" si="42"/>
        <v>0</v>
      </c>
      <c r="L148" s="3078">
        <f t="shared" si="42"/>
        <v>0</v>
      </c>
      <c r="M148" s="3078">
        <f t="shared" si="42"/>
        <v>0</v>
      </c>
      <c r="N148" s="3078">
        <f t="shared" si="42"/>
        <v>0</v>
      </c>
      <c r="O148" s="3078">
        <f t="shared" si="42"/>
        <v>0</v>
      </c>
      <c r="P148" s="3078">
        <f t="shared" si="42"/>
        <v>0</v>
      </c>
      <c r="Q148" s="3095">
        <f t="shared" si="42"/>
        <v>0</v>
      </c>
      <c r="R148" s="3096"/>
      <c r="T148" s="2970"/>
    </row>
    <row r="149" spans="1:24" s="2475" customFormat="1" ht="15.9" hidden="1" customHeight="1" x14ac:dyDescent="0.2">
      <c r="A149" s="2468"/>
      <c r="B149" s="3093"/>
      <c r="C149" s="2625" t="s">
        <v>1484</v>
      </c>
      <c r="D149" s="2625"/>
      <c r="E149" s="2625" t="s">
        <v>1161</v>
      </c>
      <c r="F149" s="3078">
        <f t="shared" ref="F149:Q149" si="43">+F70*F71*F72</f>
        <v>0</v>
      </c>
      <c r="G149" s="3078">
        <f t="shared" si="43"/>
        <v>0</v>
      </c>
      <c r="H149" s="3078">
        <f t="shared" si="43"/>
        <v>0</v>
      </c>
      <c r="I149" s="3078">
        <f t="shared" si="43"/>
        <v>0</v>
      </c>
      <c r="J149" s="3078">
        <f t="shared" si="43"/>
        <v>0</v>
      </c>
      <c r="K149" s="3078">
        <f t="shared" si="43"/>
        <v>0</v>
      </c>
      <c r="L149" s="3078">
        <f t="shared" si="43"/>
        <v>0</v>
      </c>
      <c r="M149" s="3078">
        <f t="shared" si="43"/>
        <v>0</v>
      </c>
      <c r="N149" s="3078">
        <f t="shared" si="43"/>
        <v>0</v>
      </c>
      <c r="O149" s="3078">
        <f t="shared" si="43"/>
        <v>0</v>
      </c>
      <c r="P149" s="3078">
        <f t="shared" si="43"/>
        <v>0</v>
      </c>
      <c r="Q149" s="3095">
        <f t="shared" si="43"/>
        <v>0</v>
      </c>
      <c r="R149" s="3096"/>
      <c r="T149" s="2970"/>
    </row>
    <row r="150" spans="1:24" s="2475" customFormat="1" ht="15.9" hidden="1" customHeight="1" x14ac:dyDescent="0.2">
      <c r="A150" s="2468"/>
      <c r="B150" s="3093"/>
      <c r="C150" s="2625"/>
      <c r="D150" s="2625"/>
      <c r="E150" s="2625" t="s">
        <v>242</v>
      </c>
      <c r="F150" s="3078">
        <f t="shared" ref="F150:Q150" si="44">+F74*F75*F76</f>
        <v>0</v>
      </c>
      <c r="G150" s="3078">
        <f t="shared" si="44"/>
        <v>0</v>
      </c>
      <c r="H150" s="3078">
        <f t="shared" si="44"/>
        <v>0</v>
      </c>
      <c r="I150" s="3078">
        <f t="shared" si="44"/>
        <v>0</v>
      </c>
      <c r="J150" s="3078">
        <f t="shared" si="44"/>
        <v>0</v>
      </c>
      <c r="K150" s="3078">
        <f t="shared" si="44"/>
        <v>0</v>
      </c>
      <c r="L150" s="3078">
        <f t="shared" si="44"/>
        <v>0</v>
      </c>
      <c r="M150" s="3078">
        <f t="shared" si="44"/>
        <v>0</v>
      </c>
      <c r="N150" s="3078">
        <f t="shared" si="44"/>
        <v>0</v>
      </c>
      <c r="O150" s="3078">
        <f t="shared" si="44"/>
        <v>0</v>
      </c>
      <c r="P150" s="3078">
        <f t="shared" si="44"/>
        <v>0</v>
      </c>
      <c r="Q150" s="3095">
        <f t="shared" si="44"/>
        <v>0</v>
      </c>
      <c r="R150" s="3096"/>
      <c r="T150" s="2970"/>
    </row>
    <row r="151" spans="1:24" s="2475" customFormat="1" ht="15.9" hidden="1" customHeight="1" x14ac:dyDescent="0.2">
      <c r="A151" s="2468"/>
      <c r="B151" s="3093"/>
      <c r="C151" s="2625" t="s">
        <v>1485</v>
      </c>
      <c r="D151" s="2625"/>
      <c r="E151" s="2625" t="s">
        <v>1161</v>
      </c>
      <c r="F151" s="3094">
        <f t="shared" ref="F151:Q151" si="45">+F99*F100*F101</f>
        <v>0</v>
      </c>
      <c r="G151" s="3078">
        <f t="shared" si="45"/>
        <v>0</v>
      </c>
      <c r="H151" s="3078">
        <f t="shared" si="45"/>
        <v>0</v>
      </c>
      <c r="I151" s="3078">
        <f t="shared" si="45"/>
        <v>0</v>
      </c>
      <c r="J151" s="3078">
        <f t="shared" si="45"/>
        <v>0</v>
      </c>
      <c r="K151" s="3078">
        <f t="shared" si="45"/>
        <v>0</v>
      </c>
      <c r="L151" s="3078">
        <f t="shared" si="45"/>
        <v>0</v>
      </c>
      <c r="M151" s="3078">
        <f t="shared" si="45"/>
        <v>0</v>
      </c>
      <c r="N151" s="3078">
        <f t="shared" si="45"/>
        <v>0</v>
      </c>
      <c r="O151" s="3078">
        <f t="shared" si="45"/>
        <v>0</v>
      </c>
      <c r="P151" s="3078">
        <f t="shared" si="45"/>
        <v>0</v>
      </c>
      <c r="Q151" s="3095">
        <f t="shared" si="45"/>
        <v>0</v>
      </c>
      <c r="R151" s="3096"/>
      <c r="T151" s="2970"/>
    </row>
    <row r="152" spans="1:24" s="2475" customFormat="1" ht="15.9" hidden="1" customHeight="1" x14ac:dyDescent="0.2">
      <c r="A152" s="2468"/>
      <c r="B152" s="3093"/>
      <c r="C152" s="2625"/>
      <c r="D152" s="2625"/>
      <c r="E152" s="2625" t="s">
        <v>242</v>
      </c>
      <c r="F152" s="3094">
        <f t="shared" ref="F152:Q152" si="46">+F103*F104*F105</f>
        <v>0</v>
      </c>
      <c r="G152" s="3078">
        <f t="shared" si="46"/>
        <v>0</v>
      </c>
      <c r="H152" s="3078">
        <f t="shared" si="46"/>
        <v>0</v>
      </c>
      <c r="I152" s="3078">
        <f t="shared" si="46"/>
        <v>0</v>
      </c>
      <c r="J152" s="3078">
        <f t="shared" si="46"/>
        <v>0</v>
      </c>
      <c r="K152" s="3078">
        <f t="shared" si="46"/>
        <v>0</v>
      </c>
      <c r="L152" s="3078">
        <f t="shared" si="46"/>
        <v>0</v>
      </c>
      <c r="M152" s="3078">
        <f t="shared" si="46"/>
        <v>0</v>
      </c>
      <c r="N152" s="3078">
        <f t="shared" si="46"/>
        <v>0</v>
      </c>
      <c r="O152" s="3078">
        <f t="shared" si="46"/>
        <v>0</v>
      </c>
      <c r="P152" s="3078">
        <f t="shared" si="46"/>
        <v>0</v>
      </c>
      <c r="Q152" s="3095">
        <f t="shared" si="46"/>
        <v>0</v>
      </c>
      <c r="R152" s="3096"/>
      <c r="T152" s="2970"/>
    </row>
    <row r="153" spans="1:24" s="2475" customFormat="1" ht="15.9" hidden="1" customHeight="1" x14ac:dyDescent="0.2">
      <c r="A153" s="2468"/>
      <c r="B153" s="3093"/>
      <c r="C153" s="2625" t="s">
        <v>1491</v>
      </c>
      <c r="D153" s="2625"/>
      <c r="E153" s="2625"/>
      <c r="F153" s="3078">
        <f t="shared" ref="F153:Q153" si="47">+F128*F129*F130</f>
        <v>0</v>
      </c>
      <c r="G153" s="3078">
        <f t="shared" si="47"/>
        <v>0</v>
      </c>
      <c r="H153" s="3078">
        <f t="shared" si="47"/>
        <v>0</v>
      </c>
      <c r="I153" s="3078">
        <f t="shared" si="47"/>
        <v>0</v>
      </c>
      <c r="J153" s="3078">
        <f t="shared" si="47"/>
        <v>0</v>
      </c>
      <c r="K153" s="3078">
        <f t="shared" si="47"/>
        <v>0</v>
      </c>
      <c r="L153" s="3078">
        <f t="shared" si="47"/>
        <v>0</v>
      </c>
      <c r="M153" s="3078">
        <f t="shared" si="47"/>
        <v>0</v>
      </c>
      <c r="N153" s="3078">
        <f t="shared" si="47"/>
        <v>0</v>
      </c>
      <c r="O153" s="3078">
        <f t="shared" si="47"/>
        <v>0</v>
      </c>
      <c r="P153" s="3078">
        <f t="shared" si="47"/>
        <v>0</v>
      </c>
      <c r="Q153" s="3095">
        <f t="shared" si="47"/>
        <v>0</v>
      </c>
      <c r="R153" s="3097"/>
      <c r="T153" s="2970"/>
    </row>
    <row r="154" spans="1:24" s="2475" customFormat="1" ht="15.9" hidden="1" customHeight="1" thickBot="1" x14ac:dyDescent="0.25">
      <c r="A154" s="2468"/>
      <c r="B154" s="3098" t="s">
        <v>1132</v>
      </c>
      <c r="C154" s="3099"/>
      <c r="D154" s="3099"/>
      <c r="E154" s="3099"/>
      <c r="F154" s="3100">
        <f>SUM(A.Ganaderos!F146:F153)</f>
        <v>0</v>
      </c>
      <c r="G154" s="3101">
        <f>SUM(A.Ganaderos!G146:G153)</f>
        <v>0</v>
      </c>
      <c r="H154" s="3101">
        <f>SUM(A.Ganaderos!H146:H153)</f>
        <v>0</v>
      </c>
      <c r="I154" s="3101">
        <f>SUM(A.Ganaderos!I146:I153)</f>
        <v>0</v>
      </c>
      <c r="J154" s="3101">
        <f>SUM(A.Ganaderos!J146:J153)</f>
        <v>0</v>
      </c>
      <c r="K154" s="3101">
        <f>SUM(A.Ganaderos!K146:K153)</f>
        <v>0</v>
      </c>
      <c r="L154" s="3101">
        <f>SUM(A.Ganaderos!L146:L153)</f>
        <v>0</v>
      </c>
      <c r="M154" s="3101">
        <f>SUM(A.Ganaderos!M146:M153)</f>
        <v>0</v>
      </c>
      <c r="N154" s="3101">
        <f>SUM(A.Ganaderos!N146:N153)</f>
        <v>0</v>
      </c>
      <c r="O154" s="3101">
        <f>SUM(A.Ganaderos!O146:O153)</f>
        <v>0</v>
      </c>
      <c r="P154" s="3101">
        <f>SUM(A.Ganaderos!P146:P153)</f>
        <v>0</v>
      </c>
      <c r="Q154" s="3102">
        <f>SUM(A.Ganaderos!Q146:Q153)</f>
        <v>0</v>
      </c>
      <c r="R154" s="3103">
        <f>+SUM(F154:Q154)</f>
        <v>0</v>
      </c>
      <c r="T154" s="2970"/>
    </row>
    <row r="155" spans="1:24" ht="15.75" hidden="1" thickTop="1" thickBot="1" x14ac:dyDescent="0.35"/>
    <row r="156" spans="1:24" s="2475" customFormat="1" ht="15.9" hidden="1" customHeight="1" thickTop="1" x14ac:dyDescent="0.2">
      <c r="A156" s="3071">
        <v>1141</v>
      </c>
      <c r="B156" s="3087" t="s">
        <v>391</v>
      </c>
      <c r="C156" s="3088" t="s">
        <v>1464</v>
      </c>
      <c r="D156" s="3088"/>
      <c r="E156" s="3088" t="s">
        <v>1154</v>
      </c>
      <c r="F156" s="3089">
        <f t="shared" ref="F156:Q156" si="48">+F12*F13*F14+F15*F16*F17</f>
        <v>0</v>
      </c>
      <c r="G156" s="3090">
        <f t="shared" si="48"/>
        <v>0</v>
      </c>
      <c r="H156" s="3090">
        <f t="shared" si="48"/>
        <v>0</v>
      </c>
      <c r="I156" s="3090">
        <f t="shared" si="48"/>
        <v>0</v>
      </c>
      <c r="J156" s="3090">
        <f t="shared" si="48"/>
        <v>0</v>
      </c>
      <c r="K156" s="3090">
        <f t="shared" si="48"/>
        <v>0</v>
      </c>
      <c r="L156" s="3090">
        <f t="shared" si="48"/>
        <v>0</v>
      </c>
      <c r="M156" s="3090">
        <f t="shared" si="48"/>
        <v>0</v>
      </c>
      <c r="N156" s="3090">
        <f t="shared" si="48"/>
        <v>0</v>
      </c>
      <c r="O156" s="3090">
        <f t="shared" si="48"/>
        <v>0</v>
      </c>
      <c r="P156" s="3090">
        <f t="shared" si="48"/>
        <v>0</v>
      </c>
      <c r="Q156" s="3091">
        <f t="shared" si="48"/>
        <v>0</v>
      </c>
      <c r="R156" s="3092"/>
      <c r="T156" s="2970"/>
    </row>
    <row r="157" spans="1:24" s="2475" customFormat="1" ht="15.9" hidden="1" customHeight="1" x14ac:dyDescent="0.2">
      <c r="A157" s="2468"/>
      <c r="B157" s="3093" t="s">
        <v>391</v>
      </c>
      <c r="C157" s="2625" t="s">
        <v>1483</v>
      </c>
      <c r="D157" s="2625"/>
      <c r="E157" s="2625"/>
      <c r="F157" s="3094">
        <f t="shared" ref="F157:Q157" si="49">+F38*F39*F40</f>
        <v>0</v>
      </c>
      <c r="G157" s="3078">
        <f t="shared" si="49"/>
        <v>0</v>
      </c>
      <c r="H157" s="3078">
        <f t="shared" si="49"/>
        <v>0</v>
      </c>
      <c r="I157" s="3078">
        <f t="shared" si="49"/>
        <v>0</v>
      </c>
      <c r="J157" s="3078">
        <f t="shared" si="49"/>
        <v>0</v>
      </c>
      <c r="K157" s="3078">
        <f t="shared" si="49"/>
        <v>0</v>
      </c>
      <c r="L157" s="3078">
        <f t="shared" si="49"/>
        <v>0</v>
      </c>
      <c r="M157" s="3078">
        <f t="shared" si="49"/>
        <v>0</v>
      </c>
      <c r="N157" s="3078">
        <f t="shared" si="49"/>
        <v>0</v>
      </c>
      <c r="O157" s="3078">
        <f t="shared" si="49"/>
        <v>0</v>
      </c>
      <c r="P157" s="3078">
        <f t="shared" si="49"/>
        <v>0</v>
      </c>
      <c r="Q157" s="3095">
        <f t="shared" si="49"/>
        <v>0</v>
      </c>
      <c r="R157" s="3096"/>
      <c r="T157" s="2970"/>
    </row>
    <row r="158" spans="1:24" s="2475" customFormat="1" ht="15.9" hidden="1" customHeight="1" x14ac:dyDescent="0.2">
      <c r="A158" s="2468"/>
      <c r="B158" s="3093" t="s">
        <v>391</v>
      </c>
      <c r="C158" s="2625" t="s">
        <v>1484</v>
      </c>
      <c r="D158" s="2625"/>
      <c r="E158" s="2625"/>
      <c r="F158" s="3078">
        <f t="shared" ref="F158:Q158" si="50">+F65*F66*F67</f>
        <v>0</v>
      </c>
      <c r="G158" s="3078">
        <f t="shared" si="50"/>
        <v>0</v>
      </c>
      <c r="H158" s="3078">
        <f t="shared" si="50"/>
        <v>0</v>
      </c>
      <c r="I158" s="3078">
        <f t="shared" si="50"/>
        <v>0</v>
      </c>
      <c r="J158" s="3078">
        <f t="shared" si="50"/>
        <v>0</v>
      </c>
      <c r="K158" s="3078">
        <f t="shared" si="50"/>
        <v>0</v>
      </c>
      <c r="L158" s="3078">
        <f t="shared" si="50"/>
        <v>0</v>
      </c>
      <c r="M158" s="3078">
        <f t="shared" si="50"/>
        <v>0</v>
      </c>
      <c r="N158" s="3078">
        <f t="shared" si="50"/>
        <v>0</v>
      </c>
      <c r="O158" s="3078">
        <f t="shared" si="50"/>
        <v>0</v>
      </c>
      <c r="P158" s="3078">
        <f t="shared" si="50"/>
        <v>0</v>
      </c>
      <c r="Q158" s="3095">
        <f t="shared" si="50"/>
        <v>0</v>
      </c>
      <c r="R158" s="3096"/>
      <c r="T158" s="2970"/>
    </row>
    <row r="159" spans="1:24" s="2475" customFormat="1" ht="15.9" hidden="1" customHeight="1" x14ac:dyDescent="0.2">
      <c r="A159" s="2468"/>
      <c r="B159" s="3093" t="s">
        <v>391</v>
      </c>
      <c r="C159" s="2625" t="s">
        <v>1485</v>
      </c>
      <c r="D159" s="2625"/>
      <c r="E159" s="2625"/>
      <c r="F159" s="3078">
        <f t="shared" ref="F159:Q159" si="51">+F92*F93*F94</f>
        <v>0</v>
      </c>
      <c r="G159" s="3078">
        <f t="shared" si="51"/>
        <v>0</v>
      </c>
      <c r="H159" s="3078">
        <f t="shared" si="51"/>
        <v>0</v>
      </c>
      <c r="I159" s="3078">
        <f t="shared" si="51"/>
        <v>0</v>
      </c>
      <c r="J159" s="3078">
        <f t="shared" si="51"/>
        <v>0</v>
      </c>
      <c r="K159" s="3078">
        <f t="shared" si="51"/>
        <v>0</v>
      </c>
      <c r="L159" s="3078">
        <f t="shared" si="51"/>
        <v>0</v>
      </c>
      <c r="M159" s="3078">
        <f t="shared" si="51"/>
        <v>0</v>
      </c>
      <c r="N159" s="3078">
        <f t="shared" si="51"/>
        <v>0</v>
      </c>
      <c r="O159" s="3078">
        <f t="shared" si="51"/>
        <v>0</v>
      </c>
      <c r="P159" s="3078">
        <f t="shared" si="51"/>
        <v>0</v>
      </c>
      <c r="Q159" s="3095">
        <f t="shared" si="51"/>
        <v>0</v>
      </c>
      <c r="R159" s="3096"/>
      <c r="T159" s="2970"/>
    </row>
    <row r="160" spans="1:24" s="2475" customFormat="1" ht="15.9" hidden="1" customHeight="1" x14ac:dyDescent="0.2">
      <c r="A160" s="2468"/>
      <c r="B160" s="3093" t="s">
        <v>391</v>
      </c>
      <c r="C160" s="2625" t="s">
        <v>1491</v>
      </c>
      <c r="D160" s="2625"/>
      <c r="E160" s="2625"/>
      <c r="F160" s="3094">
        <f t="shared" ref="F160:Q160" si="52">+F120*F121*F122</f>
        <v>0</v>
      </c>
      <c r="G160" s="3078">
        <f t="shared" si="52"/>
        <v>0</v>
      </c>
      <c r="H160" s="3078">
        <f t="shared" si="52"/>
        <v>0</v>
      </c>
      <c r="I160" s="3078">
        <f t="shared" si="52"/>
        <v>0</v>
      </c>
      <c r="J160" s="3078">
        <f t="shared" si="52"/>
        <v>0</v>
      </c>
      <c r="K160" s="3078">
        <f t="shared" si="52"/>
        <v>0</v>
      </c>
      <c r="L160" s="3078">
        <f t="shared" si="52"/>
        <v>0</v>
      </c>
      <c r="M160" s="3078">
        <f t="shared" si="52"/>
        <v>0</v>
      </c>
      <c r="N160" s="3078">
        <f t="shared" si="52"/>
        <v>0</v>
      </c>
      <c r="O160" s="3078">
        <f t="shared" si="52"/>
        <v>0</v>
      </c>
      <c r="P160" s="3078">
        <f t="shared" si="52"/>
        <v>0</v>
      </c>
      <c r="Q160" s="3095">
        <f t="shared" si="52"/>
        <v>0</v>
      </c>
      <c r="R160" s="3096"/>
      <c r="T160" s="2970"/>
    </row>
    <row r="161" spans="1:24" s="2475" customFormat="1" ht="15.9" hidden="1" customHeight="1" x14ac:dyDescent="0.2">
      <c r="A161" s="2468"/>
      <c r="B161" s="3093" t="s">
        <v>391</v>
      </c>
      <c r="C161" s="2625" t="s">
        <v>1153</v>
      </c>
      <c r="D161" s="2625"/>
      <c r="E161" s="2625" t="s">
        <v>1133</v>
      </c>
      <c r="F161" s="3078">
        <f t="shared" ref="F161:Q161" si="53">+F123*F124*F125</f>
        <v>0</v>
      </c>
      <c r="G161" s="3078">
        <f t="shared" si="53"/>
        <v>0</v>
      </c>
      <c r="H161" s="3078">
        <f t="shared" si="53"/>
        <v>0</v>
      </c>
      <c r="I161" s="3078">
        <f t="shared" si="53"/>
        <v>0</v>
      </c>
      <c r="J161" s="3078">
        <f t="shared" si="53"/>
        <v>0</v>
      </c>
      <c r="K161" s="3078">
        <f t="shared" si="53"/>
        <v>0</v>
      </c>
      <c r="L161" s="3078">
        <f t="shared" si="53"/>
        <v>0</v>
      </c>
      <c r="M161" s="3078">
        <f t="shared" si="53"/>
        <v>0</v>
      </c>
      <c r="N161" s="3078">
        <f t="shared" si="53"/>
        <v>0</v>
      </c>
      <c r="O161" s="3078">
        <f t="shared" si="53"/>
        <v>0</v>
      </c>
      <c r="P161" s="3078">
        <f t="shared" si="53"/>
        <v>0</v>
      </c>
      <c r="Q161" s="3095">
        <f t="shared" si="53"/>
        <v>0</v>
      </c>
      <c r="R161" s="3097"/>
      <c r="T161" s="2970"/>
    </row>
    <row r="162" spans="1:24" s="2475" customFormat="1" ht="15.9" hidden="1" customHeight="1" thickBot="1" x14ac:dyDescent="0.25">
      <c r="A162" s="2468"/>
      <c r="B162" s="3098" t="s">
        <v>1135</v>
      </c>
      <c r="C162" s="3099"/>
      <c r="D162" s="3099"/>
      <c r="E162" s="3099"/>
      <c r="F162" s="3100">
        <f>SUM(A.Ganaderos!F156:F161)</f>
        <v>0</v>
      </c>
      <c r="G162" s="3101">
        <f>SUM(A.Ganaderos!G156:G161)</f>
        <v>0</v>
      </c>
      <c r="H162" s="3101">
        <f>SUM(A.Ganaderos!H156:H161)</f>
        <v>0</v>
      </c>
      <c r="I162" s="3101">
        <f>SUM(A.Ganaderos!I156:I161)</f>
        <v>0</v>
      </c>
      <c r="J162" s="3101">
        <f>SUM(A.Ganaderos!J156:J161)</f>
        <v>0</v>
      </c>
      <c r="K162" s="3101">
        <f>SUM(A.Ganaderos!K156:K161)</f>
        <v>0</v>
      </c>
      <c r="L162" s="3101">
        <f>SUM(A.Ganaderos!L156:L161)</f>
        <v>0</v>
      </c>
      <c r="M162" s="3101">
        <f>SUM(A.Ganaderos!M156:M161)</f>
        <v>0</v>
      </c>
      <c r="N162" s="3101">
        <f>SUM(A.Ganaderos!N156:N161)</f>
        <v>0</v>
      </c>
      <c r="O162" s="3101">
        <f>SUM(A.Ganaderos!O156:O161)</f>
        <v>0</v>
      </c>
      <c r="P162" s="3101">
        <f>SUM(A.Ganaderos!P156:P161)</f>
        <v>0</v>
      </c>
      <c r="Q162" s="3102">
        <f>SUM(A.Ganaderos!Q156:Q161)</f>
        <v>0</v>
      </c>
      <c r="R162" s="3103">
        <f>+SUM(F162:Q162)</f>
        <v>0</v>
      </c>
      <c r="T162" s="2970"/>
    </row>
    <row r="163" spans="1:24" ht="15.05" hidden="1" thickTop="1" x14ac:dyDescent="0.3"/>
    <row r="164" spans="1:24" s="2475" customFormat="1" ht="15.9" hidden="1" customHeight="1" thickBot="1" x14ac:dyDescent="0.25">
      <c r="B164" s="3292" t="s">
        <v>1964</v>
      </c>
      <c r="C164" s="3408"/>
      <c r="D164" s="3292"/>
      <c r="E164" s="3292"/>
      <c r="F164" s="3292"/>
      <c r="G164" s="3292"/>
      <c r="H164" s="3292"/>
      <c r="I164" s="3292"/>
      <c r="J164" s="3292"/>
      <c r="K164" s="3292"/>
      <c r="L164" s="3292"/>
      <c r="M164" s="3292"/>
      <c r="N164" s="3292"/>
      <c r="O164" s="3292"/>
      <c r="P164" s="3292"/>
      <c r="Q164" s="3292"/>
      <c r="R164" s="3292"/>
      <c r="T164" s="2970"/>
      <c r="X164" s="3177"/>
    </row>
    <row r="165" spans="1:24" s="2475" customFormat="1" ht="15.9" hidden="1" customHeight="1" thickTop="1" x14ac:dyDescent="0.2">
      <c r="A165" s="3071">
        <v>1142</v>
      </c>
      <c r="B165" s="3087" t="s">
        <v>1150</v>
      </c>
      <c r="C165" s="3088" t="s">
        <v>1464</v>
      </c>
      <c r="D165" s="3088"/>
      <c r="E165" s="3088"/>
      <c r="F165" s="3089">
        <f t="shared" ref="F165:Q165" si="54">F20*F21</f>
        <v>0</v>
      </c>
      <c r="G165" s="3090">
        <f t="shared" si="54"/>
        <v>0</v>
      </c>
      <c r="H165" s="3090">
        <f t="shared" si="54"/>
        <v>0</v>
      </c>
      <c r="I165" s="3090">
        <f t="shared" si="54"/>
        <v>0</v>
      </c>
      <c r="J165" s="3090">
        <f t="shared" si="54"/>
        <v>0</v>
      </c>
      <c r="K165" s="3090">
        <f t="shared" si="54"/>
        <v>0</v>
      </c>
      <c r="L165" s="3090">
        <f t="shared" si="54"/>
        <v>0</v>
      </c>
      <c r="M165" s="3090">
        <f t="shared" si="54"/>
        <v>0</v>
      </c>
      <c r="N165" s="3090">
        <f t="shared" si="54"/>
        <v>0</v>
      </c>
      <c r="O165" s="3090">
        <f t="shared" si="54"/>
        <v>0</v>
      </c>
      <c r="P165" s="3090">
        <f t="shared" si="54"/>
        <v>0</v>
      </c>
      <c r="Q165" s="3091">
        <f t="shared" si="54"/>
        <v>0</v>
      </c>
      <c r="R165" s="3092"/>
      <c r="S165" s="2618"/>
      <c r="T165" s="2970"/>
    </row>
    <row r="166" spans="1:24" s="2475" customFormat="1" ht="15.9" hidden="1" customHeight="1" x14ac:dyDescent="0.2">
      <c r="A166" s="2468"/>
      <c r="B166" s="3093"/>
      <c r="C166" s="2625" t="s">
        <v>1483</v>
      </c>
      <c r="D166" s="2625"/>
      <c r="E166" s="2625" t="s">
        <v>1162</v>
      </c>
      <c r="F166" s="3094">
        <f t="shared" ref="F166:Q166" si="55">F43*F44+F43*F44</f>
        <v>0</v>
      </c>
      <c r="G166" s="3078">
        <f t="shared" si="55"/>
        <v>0</v>
      </c>
      <c r="H166" s="3078">
        <f t="shared" si="55"/>
        <v>0</v>
      </c>
      <c r="I166" s="3078">
        <f t="shared" si="55"/>
        <v>0</v>
      </c>
      <c r="J166" s="3078">
        <f t="shared" si="55"/>
        <v>0</v>
      </c>
      <c r="K166" s="3078">
        <f t="shared" si="55"/>
        <v>0</v>
      </c>
      <c r="L166" s="3078">
        <f t="shared" si="55"/>
        <v>0</v>
      </c>
      <c r="M166" s="3078">
        <f t="shared" si="55"/>
        <v>0</v>
      </c>
      <c r="N166" s="3078">
        <f t="shared" si="55"/>
        <v>0</v>
      </c>
      <c r="O166" s="3078">
        <f t="shared" si="55"/>
        <v>0</v>
      </c>
      <c r="P166" s="3078">
        <f t="shared" si="55"/>
        <v>0</v>
      </c>
      <c r="Q166" s="3095">
        <f t="shared" si="55"/>
        <v>0</v>
      </c>
      <c r="R166" s="3096"/>
      <c r="S166" s="2618"/>
      <c r="T166" s="2970"/>
    </row>
    <row r="167" spans="1:24" s="2475" customFormat="1" ht="15.9" hidden="1" customHeight="1" x14ac:dyDescent="0.2">
      <c r="A167" s="2468"/>
      <c r="B167" s="3093"/>
      <c r="C167" s="2625" t="s">
        <v>1484</v>
      </c>
      <c r="D167" s="2625"/>
      <c r="E167" s="2625" t="s">
        <v>1162</v>
      </c>
      <c r="F167" s="3078">
        <f t="shared" ref="F167:Q167" si="56">F70*F71+F74*F75</f>
        <v>0</v>
      </c>
      <c r="G167" s="3078">
        <f t="shared" si="56"/>
        <v>0</v>
      </c>
      <c r="H167" s="3078">
        <f t="shared" si="56"/>
        <v>0</v>
      </c>
      <c r="I167" s="3078">
        <f t="shared" si="56"/>
        <v>0</v>
      </c>
      <c r="J167" s="3078">
        <f t="shared" si="56"/>
        <v>0</v>
      </c>
      <c r="K167" s="3078">
        <f t="shared" si="56"/>
        <v>0</v>
      </c>
      <c r="L167" s="3078">
        <f t="shared" si="56"/>
        <v>0</v>
      </c>
      <c r="M167" s="3078">
        <f t="shared" si="56"/>
        <v>0</v>
      </c>
      <c r="N167" s="3078">
        <f t="shared" si="56"/>
        <v>0</v>
      </c>
      <c r="O167" s="3078">
        <f t="shared" si="56"/>
        <v>0</v>
      </c>
      <c r="P167" s="3078">
        <f t="shared" si="56"/>
        <v>0</v>
      </c>
      <c r="Q167" s="3095">
        <f t="shared" si="56"/>
        <v>0</v>
      </c>
      <c r="R167" s="3096"/>
      <c r="S167" s="2618"/>
      <c r="T167" s="2970"/>
    </row>
    <row r="168" spans="1:24" s="2475" customFormat="1" ht="15.9" hidden="1" customHeight="1" x14ac:dyDescent="0.2">
      <c r="A168" s="2468"/>
      <c r="B168" s="3093"/>
      <c r="C168" s="2625" t="s">
        <v>1485</v>
      </c>
      <c r="D168" s="2625"/>
      <c r="E168" s="2625" t="s">
        <v>1162</v>
      </c>
      <c r="F168" s="3078">
        <f t="shared" ref="F168:Q168" si="57">F99*F100+F103*F105</f>
        <v>0</v>
      </c>
      <c r="G168" s="3078">
        <f t="shared" si="57"/>
        <v>0</v>
      </c>
      <c r="H168" s="3078">
        <f t="shared" si="57"/>
        <v>0</v>
      </c>
      <c r="I168" s="3078">
        <f t="shared" si="57"/>
        <v>0</v>
      </c>
      <c r="J168" s="3078">
        <f t="shared" si="57"/>
        <v>0</v>
      </c>
      <c r="K168" s="3078">
        <f t="shared" si="57"/>
        <v>0</v>
      </c>
      <c r="L168" s="3078">
        <f t="shared" si="57"/>
        <v>0</v>
      </c>
      <c r="M168" s="3078">
        <f t="shared" si="57"/>
        <v>0</v>
      </c>
      <c r="N168" s="3078">
        <f t="shared" si="57"/>
        <v>0</v>
      </c>
      <c r="O168" s="3078">
        <f t="shared" si="57"/>
        <v>0</v>
      </c>
      <c r="P168" s="3078">
        <f t="shared" si="57"/>
        <v>0</v>
      </c>
      <c r="Q168" s="3095">
        <f t="shared" si="57"/>
        <v>0</v>
      </c>
      <c r="R168" s="3096"/>
      <c r="S168" s="2618"/>
      <c r="T168" s="2970"/>
    </row>
    <row r="169" spans="1:24" s="2475" customFormat="1" ht="15.9" hidden="1" customHeight="1" x14ac:dyDescent="0.2">
      <c r="A169" s="2468"/>
      <c r="B169" s="3093"/>
      <c r="C169" s="2625" t="s">
        <v>1491</v>
      </c>
      <c r="D169" s="2625"/>
      <c r="E169" s="2625"/>
      <c r="F169" s="3078">
        <f t="shared" ref="F169:Q169" si="58">F128*F129</f>
        <v>0</v>
      </c>
      <c r="G169" s="3078">
        <f t="shared" si="58"/>
        <v>0</v>
      </c>
      <c r="H169" s="3078">
        <f t="shared" si="58"/>
        <v>0</v>
      </c>
      <c r="I169" s="3078">
        <f t="shared" si="58"/>
        <v>0</v>
      </c>
      <c r="J169" s="3078">
        <f t="shared" si="58"/>
        <v>0</v>
      </c>
      <c r="K169" s="3078">
        <f t="shared" si="58"/>
        <v>0</v>
      </c>
      <c r="L169" s="3078">
        <f t="shared" si="58"/>
        <v>0</v>
      </c>
      <c r="M169" s="3078">
        <f t="shared" si="58"/>
        <v>0</v>
      </c>
      <c r="N169" s="3078">
        <f t="shared" si="58"/>
        <v>0</v>
      </c>
      <c r="O169" s="3078">
        <f t="shared" si="58"/>
        <v>0</v>
      </c>
      <c r="P169" s="3078">
        <f t="shared" si="58"/>
        <v>0</v>
      </c>
      <c r="Q169" s="3095">
        <f t="shared" si="58"/>
        <v>0</v>
      </c>
      <c r="R169" s="3097"/>
      <c r="S169" s="2618"/>
      <c r="T169" s="2970"/>
    </row>
    <row r="170" spans="1:24" s="2475" customFormat="1" ht="15.9" hidden="1" customHeight="1" thickBot="1" x14ac:dyDescent="0.25">
      <c r="A170" s="2468"/>
      <c r="B170" s="3098" t="s">
        <v>1150</v>
      </c>
      <c r="C170" s="3099"/>
      <c r="D170" s="3099"/>
      <c r="E170" s="3099"/>
      <c r="F170" s="3100">
        <f>+SUM(A.Ganaderos!F165:F169)</f>
        <v>0</v>
      </c>
      <c r="G170" s="3101">
        <f>+SUM(A.Ganaderos!G165:G169)</f>
        <v>0</v>
      </c>
      <c r="H170" s="3101">
        <f>+SUM(A.Ganaderos!H165:H169)</f>
        <v>0</v>
      </c>
      <c r="I170" s="3101">
        <f>+SUM(A.Ganaderos!I165:I169)</f>
        <v>0</v>
      </c>
      <c r="J170" s="3101">
        <f>+SUM(A.Ganaderos!J165:J169)</f>
        <v>0</v>
      </c>
      <c r="K170" s="3101">
        <f>+SUM(A.Ganaderos!K165:K169)</f>
        <v>0</v>
      </c>
      <c r="L170" s="3101">
        <f>+SUM(A.Ganaderos!L165:L169)</f>
        <v>0</v>
      </c>
      <c r="M170" s="3101">
        <f>+SUM(A.Ganaderos!M165:M169)</f>
        <v>0</v>
      </c>
      <c r="N170" s="3101">
        <f>+SUM(A.Ganaderos!N165:N169)</f>
        <v>0</v>
      </c>
      <c r="O170" s="3101">
        <f>+SUM(A.Ganaderos!O165:O169)</f>
        <v>0</v>
      </c>
      <c r="P170" s="3101">
        <f>+SUM(A.Ganaderos!P165:P169)</f>
        <v>0</v>
      </c>
      <c r="Q170" s="3102">
        <f>+SUM(A.Ganaderos!Q165:Q169)</f>
        <v>0</v>
      </c>
      <c r="R170" s="3103">
        <f>+SUM(F170:Q170)</f>
        <v>0</v>
      </c>
      <c r="S170" s="2618"/>
      <c r="T170" s="2970"/>
    </row>
    <row r="171" spans="1:24" ht="15.75" hidden="1" thickTop="1" thickBot="1" x14ac:dyDescent="0.35"/>
    <row r="172" spans="1:24" s="2475" customFormat="1" ht="15.9" hidden="1" customHeight="1" thickTop="1" x14ac:dyDescent="0.2">
      <c r="A172" s="3071">
        <v>1143</v>
      </c>
      <c r="B172" s="3087" t="s">
        <v>1152</v>
      </c>
      <c r="C172" s="3088" t="s">
        <v>1471</v>
      </c>
      <c r="D172" s="3088"/>
      <c r="E172" s="3088"/>
      <c r="F172" s="3089">
        <f t="shared" ref="F172:Q172" si="59">F12*F13</f>
        <v>0</v>
      </c>
      <c r="G172" s="3090">
        <f t="shared" si="59"/>
        <v>0</v>
      </c>
      <c r="H172" s="3090">
        <f t="shared" si="59"/>
        <v>0</v>
      </c>
      <c r="I172" s="3090">
        <f t="shared" si="59"/>
        <v>0</v>
      </c>
      <c r="J172" s="3090">
        <f t="shared" si="59"/>
        <v>0</v>
      </c>
      <c r="K172" s="3090">
        <f t="shared" si="59"/>
        <v>0</v>
      </c>
      <c r="L172" s="3090">
        <f t="shared" si="59"/>
        <v>0</v>
      </c>
      <c r="M172" s="3090">
        <f t="shared" si="59"/>
        <v>0</v>
      </c>
      <c r="N172" s="3090">
        <f t="shared" si="59"/>
        <v>0</v>
      </c>
      <c r="O172" s="3090">
        <f t="shared" si="59"/>
        <v>0</v>
      </c>
      <c r="P172" s="3090">
        <f t="shared" si="59"/>
        <v>0</v>
      </c>
      <c r="Q172" s="3091">
        <f t="shared" si="59"/>
        <v>0</v>
      </c>
      <c r="R172" s="3092"/>
      <c r="S172" s="2618"/>
      <c r="T172" s="2970"/>
    </row>
    <row r="173" spans="1:24" s="2475" customFormat="1" ht="15.9" hidden="1" customHeight="1" x14ac:dyDescent="0.2">
      <c r="A173" s="2468"/>
      <c r="B173" s="3093"/>
      <c r="C173" s="2625" t="s">
        <v>1472</v>
      </c>
      <c r="D173" s="2625"/>
      <c r="E173" s="2625"/>
      <c r="F173" s="3094">
        <f t="shared" ref="F173:Q173" si="60">F15*F16</f>
        <v>0</v>
      </c>
      <c r="G173" s="3078">
        <f t="shared" si="60"/>
        <v>0</v>
      </c>
      <c r="H173" s="3078">
        <f t="shared" si="60"/>
        <v>0</v>
      </c>
      <c r="I173" s="3078">
        <f t="shared" si="60"/>
        <v>0</v>
      </c>
      <c r="J173" s="3078">
        <f t="shared" si="60"/>
        <v>0</v>
      </c>
      <c r="K173" s="3078">
        <f t="shared" si="60"/>
        <v>0</v>
      </c>
      <c r="L173" s="3078">
        <f t="shared" si="60"/>
        <v>0</v>
      </c>
      <c r="M173" s="3078">
        <f t="shared" si="60"/>
        <v>0</v>
      </c>
      <c r="N173" s="3078">
        <f t="shared" si="60"/>
        <v>0</v>
      </c>
      <c r="O173" s="3078">
        <f t="shared" si="60"/>
        <v>0</v>
      </c>
      <c r="P173" s="3078">
        <f t="shared" si="60"/>
        <v>0</v>
      </c>
      <c r="Q173" s="3095">
        <f t="shared" si="60"/>
        <v>0</v>
      </c>
      <c r="R173" s="3096"/>
      <c r="S173" s="2618"/>
      <c r="T173" s="2970"/>
    </row>
    <row r="174" spans="1:24" s="2475" customFormat="1" ht="15.9" hidden="1" customHeight="1" x14ac:dyDescent="0.2">
      <c r="A174" s="2468"/>
      <c r="B174" s="3093"/>
      <c r="C174" s="2625" t="s">
        <v>1483</v>
      </c>
      <c r="D174" s="2625"/>
      <c r="E174" s="2625"/>
      <c r="F174" s="3078">
        <f t="shared" ref="F174:Q174" si="61">F38*39</f>
        <v>0</v>
      </c>
      <c r="G174" s="3078">
        <f t="shared" si="61"/>
        <v>0</v>
      </c>
      <c r="H174" s="3078">
        <f t="shared" si="61"/>
        <v>0</v>
      </c>
      <c r="I174" s="3078">
        <f t="shared" si="61"/>
        <v>0</v>
      </c>
      <c r="J174" s="3078">
        <f t="shared" si="61"/>
        <v>0</v>
      </c>
      <c r="K174" s="3078">
        <f t="shared" si="61"/>
        <v>0</v>
      </c>
      <c r="L174" s="3078">
        <f t="shared" si="61"/>
        <v>0</v>
      </c>
      <c r="M174" s="3078">
        <f t="shared" si="61"/>
        <v>0</v>
      </c>
      <c r="N174" s="3078">
        <f t="shared" si="61"/>
        <v>0</v>
      </c>
      <c r="O174" s="3078">
        <f t="shared" si="61"/>
        <v>0</v>
      </c>
      <c r="P174" s="3078">
        <f t="shared" si="61"/>
        <v>0</v>
      </c>
      <c r="Q174" s="3095">
        <f t="shared" si="61"/>
        <v>0</v>
      </c>
      <c r="R174" s="3096"/>
      <c r="S174" s="2618"/>
      <c r="T174" s="2970"/>
    </row>
    <row r="175" spans="1:24" s="2475" customFormat="1" ht="15.9" hidden="1" customHeight="1" x14ac:dyDescent="0.2">
      <c r="A175" s="2468"/>
      <c r="B175" s="3093"/>
      <c r="C175" s="2625" t="s">
        <v>1484</v>
      </c>
      <c r="D175" s="2625"/>
      <c r="E175" s="2625"/>
      <c r="F175" s="3094">
        <f t="shared" ref="F175:Q175" si="62">F65*F66</f>
        <v>0</v>
      </c>
      <c r="G175" s="3078">
        <f t="shared" si="62"/>
        <v>0</v>
      </c>
      <c r="H175" s="3078">
        <f t="shared" si="62"/>
        <v>0</v>
      </c>
      <c r="I175" s="3078">
        <f t="shared" si="62"/>
        <v>0</v>
      </c>
      <c r="J175" s="3078">
        <f t="shared" si="62"/>
        <v>0</v>
      </c>
      <c r="K175" s="3078">
        <f t="shared" si="62"/>
        <v>0</v>
      </c>
      <c r="L175" s="3078">
        <f t="shared" si="62"/>
        <v>0</v>
      </c>
      <c r="M175" s="3078">
        <f t="shared" si="62"/>
        <v>0</v>
      </c>
      <c r="N175" s="3078">
        <f t="shared" si="62"/>
        <v>0</v>
      </c>
      <c r="O175" s="3078">
        <f t="shared" si="62"/>
        <v>0</v>
      </c>
      <c r="P175" s="3078">
        <f t="shared" si="62"/>
        <v>0</v>
      </c>
      <c r="Q175" s="3095">
        <f t="shared" si="62"/>
        <v>0</v>
      </c>
      <c r="R175" s="3096"/>
      <c r="S175" s="2618"/>
      <c r="T175" s="2970"/>
    </row>
    <row r="176" spans="1:24" s="2475" customFormat="1" ht="15.9" hidden="1" customHeight="1" x14ac:dyDescent="0.2">
      <c r="A176" s="2468"/>
      <c r="B176" s="3093"/>
      <c r="C176" s="2625" t="s">
        <v>1485</v>
      </c>
      <c r="D176" s="2625"/>
      <c r="E176" s="2625"/>
      <c r="F176" s="3078">
        <f t="shared" ref="F176:Q176" si="63">F92*F93</f>
        <v>0</v>
      </c>
      <c r="G176" s="3078">
        <f t="shared" si="63"/>
        <v>0</v>
      </c>
      <c r="H176" s="3078">
        <f t="shared" si="63"/>
        <v>0</v>
      </c>
      <c r="I176" s="3078">
        <f t="shared" si="63"/>
        <v>0</v>
      </c>
      <c r="J176" s="3078">
        <f t="shared" si="63"/>
        <v>0</v>
      </c>
      <c r="K176" s="3078">
        <f t="shared" si="63"/>
        <v>0</v>
      </c>
      <c r="L176" s="3078">
        <f t="shared" si="63"/>
        <v>0</v>
      </c>
      <c r="M176" s="3078">
        <f t="shared" si="63"/>
        <v>0</v>
      </c>
      <c r="N176" s="3078">
        <f t="shared" si="63"/>
        <v>0</v>
      </c>
      <c r="O176" s="3078">
        <f t="shared" si="63"/>
        <v>0</v>
      </c>
      <c r="P176" s="3078">
        <f t="shared" si="63"/>
        <v>0</v>
      </c>
      <c r="Q176" s="3095">
        <f t="shared" si="63"/>
        <v>0</v>
      </c>
      <c r="R176" s="3096"/>
      <c r="S176" s="2618"/>
      <c r="T176" s="2970"/>
    </row>
    <row r="177" spans="1:24" s="2475" customFormat="1" ht="15.9" hidden="1" customHeight="1" x14ac:dyDescent="0.2">
      <c r="A177" s="2468"/>
      <c r="B177" s="3093"/>
      <c r="C177" s="2625" t="s">
        <v>1491</v>
      </c>
      <c r="D177" s="2625"/>
      <c r="E177" s="2625"/>
      <c r="F177" s="3094">
        <f t="shared" ref="F177:Q177" si="64">F120*F121</f>
        <v>0</v>
      </c>
      <c r="G177" s="3078">
        <f t="shared" si="64"/>
        <v>0</v>
      </c>
      <c r="H177" s="3078">
        <f t="shared" si="64"/>
        <v>0</v>
      </c>
      <c r="I177" s="3078">
        <f t="shared" si="64"/>
        <v>0</v>
      </c>
      <c r="J177" s="3078">
        <f t="shared" si="64"/>
        <v>0</v>
      </c>
      <c r="K177" s="3078">
        <f t="shared" si="64"/>
        <v>0</v>
      </c>
      <c r="L177" s="3078">
        <f t="shared" si="64"/>
        <v>0</v>
      </c>
      <c r="M177" s="3078">
        <f t="shared" si="64"/>
        <v>0</v>
      </c>
      <c r="N177" s="3078">
        <f t="shared" si="64"/>
        <v>0</v>
      </c>
      <c r="O177" s="3078">
        <f t="shared" si="64"/>
        <v>0</v>
      </c>
      <c r="P177" s="3078">
        <f t="shared" si="64"/>
        <v>0</v>
      </c>
      <c r="Q177" s="3095">
        <f t="shared" si="64"/>
        <v>0</v>
      </c>
      <c r="R177" s="3096"/>
      <c r="S177" s="2618"/>
      <c r="T177" s="2970"/>
    </row>
    <row r="178" spans="1:24" s="2475" customFormat="1" ht="15.9" hidden="1" customHeight="1" x14ac:dyDescent="0.2">
      <c r="A178" s="2468"/>
      <c r="B178" s="3093"/>
      <c r="C178" s="2625" t="s">
        <v>1156</v>
      </c>
      <c r="D178" s="2625"/>
      <c r="E178" s="2625" t="s">
        <v>1157</v>
      </c>
      <c r="F178" s="3078">
        <f t="shared" ref="F178:Q178" si="65">F123*F124</f>
        <v>0</v>
      </c>
      <c r="G178" s="3078">
        <f t="shared" si="65"/>
        <v>0</v>
      </c>
      <c r="H178" s="3078">
        <f t="shared" si="65"/>
        <v>0</v>
      </c>
      <c r="I178" s="3078">
        <f t="shared" si="65"/>
        <v>0</v>
      </c>
      <c r="J178" s="3078">
        <f t="shared" si="65"/>
        <v>0</v>
      </c>
      <c r="K178" s="3078">
        <f t="shared" si="65"/>
        <v>0</v>
      </c>
      <c r="L178" s="3078">
        <f t="shared" si="65"/>
        <v>0</v>
      </c>
      <c r="M178" s="3078">
        <f t="shared" si="65"/>
        <v>0</v>
      </c>
      <c r="N178" s="3078">
        <f t="shared" si="65"/>
        <v>0</v>
      </c>
      <c r="O178" s="3078">
        <f t="shared" si="65"/>
        <v>0</v>
      </c>
      <c r="P178" s="3078">
        <f t="shared" si="65"/>
        <v>0</v>
      </c>
      <c r="Q178" s="3095">
        <f t="shared" si="65"/>
        <v>0</v>
      </c>
      <c r="R178" s="3097"/>
      <c r="S178" s="2618"/>
      <c r="T178" s="2970"/>
    </row>
    <row r="179" spans="1:24" s="2475" customFormat="1" ht="15.9" hidden="1" customHeight="1" thickBot="1" x14ac:dyDescent="0.25">
      <c r="A179" s="2468"/>
      <c r="B179" s="3098" t="s">
        <v>1152</v>
      </c>
      <c r="C179" s="3099"/>
      <c r="D179" s="3099"/>
      <c r="E179" s="3099"/>
      <c r="F179" s="3100">
        <f>+SUM(A.Ganaderos!F172:F177)</f>
        <v>0</v>
      </c>
      <c r="G179" s="3101">
        <f>+SUM(A.Ganaderos!G172:G177)</f>
        <v>0</v>
      </c>
      <c r="H179" s="3101">
        <f>+SUM(A.Ganaderos!H172:H177)</f>
        <v>0</v>
      </c>
      <c r="I179" s="3101">
        <f>+SUM(A.Ganaderos!I172:I177)</f>
        <v>0</v>
      </c>
      <c r="J179" s="3101">
        <f>+SUM(A.Ganaderos!J172:J177)</f>
        <v>0</v>
      </c>
      <c r="K179" s="3101">
        <f>+SUM(A.Ganaderos!K172:K177)</f>
        <v>0</v>
      </c>
      <c r="L179" s="3101">
        <f>+SUM(A.Ganaderos!L172:L177)</f>
        <v>0</v>
      </c>
      <c r="M179" s="3101">
        <f>+SUM(A.Ganaderos!M172:M177)</f>
        <v>0</v>
      </c>
      <c r="N179" s="3101">
        <f>+SUM(A.Ganaderos!N172:N177)</f>
        <v>0</v>
      </c>
      <c r="O179" s="3101">
        <f>+SUM(A.Ganaderos!O172:O177)</f>
        <v>0</v>
      </c>
      <c r="P179" s="3101">
        <f>+SUM(A.Ganaderos!P172:P177)</f>
        <v>0</v>
      </c>
      <c r="Q179" s="3102">
        <f>+SUM(A.Ganaderos!Q172:Q177)</f>
        <v>0</v>
      </c>
      <c r="R179" s="3103">
        <f>+SUM(F179:Q179)</f>
        <v>0</v>
      </c>
      <c r="S179" s="2618"/>
      <c r="T179" s="2970"/>
    </row>
    <row r="180" spans="1:24" ht="15.75" hidden="1" thickTop="1" thickBot="1" x14ac:dyDescent="0.35"/>
    <row r="181" spans="1:24" s="3204" customFormat="1" ht="15.9" hidden="1" customHeight="1" thickTop="1" x14ac:dyDescent="0.2">
      <c r="A181" s="3071">
        <v>1144</v>
      </c>
      <c r="B181" s="3198" t="s">
        <v>1495</v>
      </c>
      <c r="C181" s="3199"/>
      <c r="D181" s="3198"/>
      <c r="E181" s="3198"/>
      <c r="F181" s="3199"/>
      <c r="G181" s="3199"/>
      <c r="H181" s="3199"/>
      <c r="I181" s="3199"/>
      <c r="J181" s="3199"/>
      <c r="K181" s="3199"/>
      <c r="L181" s="3199"/>
      <c r="M181" s="3409"/>
      <c r="N181" s="3409"/>
      <c r="O181" s="3409"/>
      <c r="P181" s="3409"/>
      <c r="Q181" s="3409"/>
      <c r="R181" s="3266"/>
      <c r="S181" s="3266"/>
      <c r="T181" s="3410"/>
      <c r="U181" s="3266"/>
      <c r="V181" s="3266"/>
      <c r="W181" s="3411" t="s">
        <v>1146</v>
      </c>
      <c r="X181" s="3412"/>
    </row>
    <row r="182" spans="1:24" s="2475" customFormat="1" ht="15.9" hidden="1" customHeight="1" thickBot="1" x14ac:dyDescent="0.25">
      <c r="B182" s="2618"/>
      <c r="C182" s="2556"/>
      <c r="D182" s="2618"/>
      <c r="E182" s="2618"/>
      <c r="F182" s="2556"/>
      <c r="G182" s="2556"/>
      <c r="H182" s="2556"/>
      <c r="I182" s="2556"/>
      <c r="J182" s="2556"/>
      <c r="K182" s="2556"/>
      <c r="L182" s="2556"/>
      <c r="M182" s="3153"/>
      <c r="N182" s="3153"/>
      <c r="O182" s="3153"/>
      <c r="P182" s="3153"/>
      <c r="Q182" s="3153"/>
      <c r="T182" s="2970"/>
      <c r="W182" s="3413"/>
      <c r="X182" s="3124"/>
    </row>
    <row r="183" spans="1:24" ht="18.350000000000001" hidden="1" thickTop="1" x14ac:dyDescent="0.3">
      <c r="A183" s="3071">
        <v>1145</v>
      </c>
      <c r="B183" s="3414" t="s">
        <v>1494</v>
      </c>
      <c r="C183" s="3415"/>
      <c r="D183" s="3416"/>
      <c r="E183" s="3416"/>
      <c r="F183" s="3415"/>
      <c r="G183" s="3415"/>
      <c r="H183" s="3415"/>
      <c r="I183" s="3415"/>
      <c r="J183" s="3415"/>
      <c r="K183" s="3415"/>
      <c r="L183" s="3415"/>
      <c r="M183" s="3415"/>
      <c r="N183" s="3415"/>
      <c r="O183" s="3415"/>
      <c r="P183" s="3415"/>
      <c r="Q183" s="3415"/>
      <c r="R183" s="5534" t="s">
        <v>403</v>
      </c>
      <c r="S183" s="5534"/>
      <c r="T183" s="5535"/>
      <c r="W183" s="3413" t="s">
        <v>404</v>
      </c>
      <c r="X183" s="3124" t="s">
        <v>30</v>
      </c>
    </row>
    <row r="184" spans="1:24" s="2475" customFormat="1" ht="15.9" hidden="1" customHeight="1" x14ac:dyDescent="0.2">
      <c r="A184" s="2468"/>
      <c r="B184" s="3160" t="s">
        <v>13</v>
      </c>
      <c r="C184" s="2517" t="s">
        <v>145</v>
      </c>
      <c r="D184" s="2517" t="s">
        <v>23</v>
      </c>
      <c r="E184" s="2517" t="s">
        <v>1498</v>
      </c>
      <c r="F184" s="2517" t="s">
        <v>1499</v>
      </c>
      <c r="G184" s="2517" t="s">
        <v>2246</v>
      </c>
      <c r="H184" s="2517" t="s">
        <v>2327</v>
      </c>
      <c r="I184" s="2517"/>
      <c r="J184" s="2517"/>
      <c r="K184" s="2517"/>
      <c r="L184" s="2517"/>
      <c r="M184" s="2517"/>
      <c r="N184" s="2517"/>
      <c r="O184" s="2517"/>
      <c r="P184" s="2517" t="s">
        <v>1500</v>
      </c>
      <c r="Q184" s="3161" t="s">
        <v>2247</v>
      </c>
      <c r="R184" s="3162" t="s">
        <v>404</v>
      </c>
      <c r="S184" s="3162" t="s">
        <v>30</v>
      </c>
      <c r="T184" s="3163" t="s">
        <v>145</v>
      </c>
      <c r="W184" s="3093"/>
      <c r="X184" s="3107"/>
    </row>
    <row r="185" spans="1:24" s="2475" customFormat="1" ht="15.9" hidden="1" customHeight="1" x14ac:dyDescent="0.2">
      <c r="A185" s="2468"/>
      <c r="B185" s="3164" t="s">
        <v>491</v>
      </c>
      <c r="C185" s="3165">
        <f>+General!D82</f>
        <v>0</v>
      </c>
      <c r="D185" s="2556">
        <f>Precios!C175</f>
        <v>1.6</v>
      </c>
      <c r="E185" s="2556" t="str">
        <f>Precios!D175</f>
        <v>kg PV</v>
      </c>
      <c r="F185" s="3139">
        <f>A.Ganaderos!F9*A.Ganaderos!F10</f>
        <v>0</v>
      </c>
      <c r="G185" s="2556">
        <f>+F185*D185</f>
        <v>0</v>
      </c>
      <c r="H185" s="3139">
        <f>+F9</f>
        <v>0</v>
      </c>
      <c r="I185" s="2556"/>
      <c r="J185" s="2556"/>
      <c r="K185" s="2556"/>
      <c r="L185" s="2556"/>
      <c r="M185" s="2556"/>
      <c r="N185" s="2556"/>
      <c r="O185" s="2556"/>
      <c r="P185" s="718">
        <f>Q25*Q28</f>
        <v>0</v>
      </c>
      <c r="Q185" s="3166">
        <f>+P185*D185</f>
        <v>0</v>
      </c>
      <c r="R185" s="3080">
        <f>P185-F185</f>
        <v>0</v>
      </c>
      <c r="S185" s="2618">
        <f>R185*D185</f>
        <v>0</v>
      </c>
      <c r="T185" s="3167">
        <f>+R185</f>
        <v>0</v>
      </c>
      <c r="W185" s="3417">
        <f>(P185+F185)/2</f>
        <v>0</v>
      </c>
      <c r="X185" s="3122">
        <f>+W185*D185</f>
        <v>0</v>
      </c>
    </row>
    <row r="186" spans="1:24" s="2475" customFormat="1" ht="15.9" hidden="1" customHeight="1" x14ac:dyDescent="0.2">
      <c r="A186" s="2468"/>
      <c r="B186" s="3164" t="s">
        <v>2072</v>
      </c>
      <c r="C186" s="3165">
        <f>+General!D83</f>
        <v>0</v>
      </c>
      <c r="D186" s="2556">
        <f>Precios!C176</f>
        <v>1.8</v>
      </c>
      <c r="E186" s="2556" t="str">
        <f>Precios!D176</f>
        <v>kg PV</v>
      </c>
      <c r="F186" s="3139">
        <f>A.Ganaderos!F35*A.Ganaderos!F36</f>
        <v>0</v>
      </c>
      <c r="G186" s="2556">
        <f>+F186*D186</f>
        <v>0</v>
      </c>
      <c r="H186" s="3139">
        <f>+F35</f>
        <v>0</v>
      </c>
      <c r="I186" s="2556"/>
      <c r="J186" s="2556"/>
      <c r="K186" s="2556"/>
      <c r="L186" s="2556"/>
      <c r="M186" s="2556"/>
      <c r="N186" s="2556"/>
      <c r="O186" s="2556"/>
      <c r="P186" s="718">
        <f>Q51*Q54</f>
        <v>0</v>
      </c>
      <c r="Q186" s="3166">
        <f>+P186*D186</f>
        <v>0</v>
      </c>
      <c r="R186" s="3080">
        <f>P186-F186</f>
        <v>0</v>
      </c>
      <c r="S186" s="2618">
        <f>R186*D186</f>
        <v>0</v>
      </c>
      <c r="T186" s="3167">
        <f>+R186</f>
        <v>0</v>
      </c>
      <c r="W186" s="3417">
        <f>(P186+F186)/2</f>
        <v>0</v>
      </c>
      <c r="X186" s="3122">
        <f>+W186*D186</f>
        <v>0</v>
      </c>
    </row>
    <row r="187" spans="1:24" s="2475" customFormat="1" ht="15.9" hidden="1" customHeight="1" x14ac:dyDescent="0.2">
      <c r="A187" s="2468"/>
      <c r="B187" s="3164" t="s">
        <v>2073</v>
      </c>
      <c r="C187" s="3165">
        <f>+General!D84</f>
        <v>0</v>
      </c>
      <c r="D187" s="2556">
        <f>Precios!C177</f>
        <v>1.8</v>
      </c>
      <c r="E187" s="2556" t="str">
        <f>Precios!D177</f>
        <v>kg PV</v>
      </c>
      <c r="F187" s="3139">
        <f>A.Ganaderos!F62*A.Ganaderos!F63</f>
        <v>0</v>
      </c>
      <c r="G187" s="2556">
        <f>+F187*D187</f>
        <v>0</v>
      </c>
      <c r="H187" s="3139">
        <f>+F62</f>
        <v>0</v>
      </c>
      <c r="I187" s="2556"/>
      <c r="J187" s="2556"/>
      <c r="K187" s="2556"/>
      <c r="L187" s="2556"/>
      <c r="M187" s="2556"/>
      <c r="N187" s="2556"/>
      <c r="O187" s="2556"/>
      <c r="P187" s="718">
        <f>Q78*Q81</f>
        <v>0</v>
      </c>
      <c r="Q187" s="3166">
        <f>+P187*D187</f>
        <v>0</v>
      </c>
      <c r="R187" s="3080">
        <f>P187-F187</f>
        <v>0</v>
      </c>
      <c r="S187" s="2618">
        <f>R187*D187</f>
        <v>0</v>
      </c>
      <c r="T187" s="3167">
        <f>+R187</f>
        <v>0</v>
      </c>
      <c r="W187" s="3417">
        <f>(P187+F187)/2</f>
        <v>0</v>
      </c>
      <c r="X187" s="3122">
        <f>+W187*D187</f>
        <v>0</v>
      </c>
    </row>
    <row r="188" spans="1:24" s="2475" customFormat="1" ht="15.9" hidden="1" customHeight="1" x14ac:dyDescent="0.2">
      <c r="A188" s="2468"/>
      <c r="B188" s="3164" t="s">
        <v>2074</v>
      </c>
      <c r="C188" s="3165">
        <f>+General!D85</f>
        <v>0</v>
      </c>
      <c r="D188" s="2556">
        <f>Precios!C178</f>
        <v>1.8</v>
      </c>
      <c r="E188" s="2556" t="str">
        <f>Precios!D178</f>
        <v>kg PV</v>
      </c>
      <c r="F188" s="3139">
        <f>A.Ganaderos!F89*A.Ganaderos!F90</f>
        <v>0</v>
      </c>
      <c r="G188" s="2556">
        <f>+F188*D188</f>
        <v>0</v>
      </c>
      <c r="H188" s="3139">
        <f>+F89</f>
        <v>0</v>
      </c>
      <c r="I188" s="2556"/>
      <c r="J188" s="2556"/>
      <c r="K188" s="2556"/>
      <c r="L188" s="2556"/>
      <c r="M188" s="2556"/>
      <c r="N188" s="2556"/>
      <c r="O188" s="2556"/>
      <c r="P188" s="718">
        <f>Q107*Q110</f>
        <v>0</v>
      </c>
      <c r="Q188" s="3166">
        <f>+P188*D188</f>
        <v>0</v>
      </c>
      <c r="R188" s="3080">
        <f>P188-F188</f>
        <v>0</v>
      </c>
      <c r="S188" s="2618">
        <f>R188*D188</f>
        <v>0</v>
      </c>
      <c r="T188" s="3167">
        <f>+R188</f>
        <v>0</v>
      </c>
      <c r="W188" s="3417">
        <f>(P188+F188)/2</f>
        <v>0</v>
      </c>
      <c r="X188" s="3122">
        <f>+W188*D188</f>
        <v>0</v>
      </c>
    </row>
    <row r="189" spans="1:24" s="2475" customFormat="1" ht="15.9" hidden="1" customHeight="1" x14ac:dyDescent="0.2">
      <c r="A189" s="2468"/>
      <c r="B189" s="3164" t="s">
        <v>2075</v>
      </c>
      <c r="C189" s="3165">
        <v>140</v>
      </c>
      <c r="D189" s="2556">
        <f>Precios!C179</f>
        <v>200</v>
      </c>
      <c r="E189" s="2556" t="str">
        <f>Precios!D179</f>
        <v>cabeza</v>
      </c>
      <c r="F189" s="3139">
        <f>A.Ganaderos!F118</f>
        <v>0</v>
      </c>
      <c r="G189" s="2556">
        <f>+F189*D189</f>
        <v>0</v>
      </c>
      <c r="H189" s="3139">
        <f>+F118</f>
        <v>0</v>
      </c>
      <c r="I189" s="2556"/>
      <c r="J189" s="2556"/>
      <c r="K189" s="2556"/>
      <c r="L189" s="2556"/>
      <c r="M189" s="2556"/>
      <c r="N189" s="2556"/>
      <c r="O189" s="2556"/>
      <c r="P189" s="718">
        <f>Q134</f>
        <v>0</v>
      </c>
      <c r="Q189" s="3166">
        <f>+P189*D189</f>
        <v>0</v>
      </c>
      <c r="R189" s="3080">
        <f>P189-F189</f>
        <v>0</v>
      </c>
      <c r="S189" s="2618">
        <f>R189*D189</f>
        <v>0</v>
      </c>
      <c r="T189" s="3167">
        <f>+R189</f>
        <v>0</v>
      </c>
      <c r="W189" s="3417">
        <f>(P189+F189)/2</f>
        <v>0</v>
      </c>
      <c r="X189" s="3122">
        <f>+W189*D189</f>
        <v>0</v>
      </c>
    </row>
    <row r="190" spans="1:24" s="2475" customFormat="1" ht="15.9" hidden="1" customHeight="1" thickBot="1" x14ac:dyDescent="0.25">
      <c r="A190" s="2468"/>
      <c r="B190" s="3169" t="s">
        <v>492</v>
      </c>
      <c r="C190" s="3170"/>
      <c r="D190" s="3171"/>
      <c r="E190" s="3171"/>
      <c r="F190" s="3172"/>
      <c r="G190" s="3171">
        <f>+SUM(G185:G189)</f>
        <v>0</v>
      </c>
      <c r="H190" s="3171"/>
      <c r="I190" s="3171"/>
      <c r="J190" s="3171"/>
      <c r="K190" s="3171"/>
      <c r="L190" s="3171"/>
      <c r="M190" s="3171"/>
      <c r="N190" s="3171"/>
      <c r="O190" s="3171"/>
      <c r="P190" s="3171"/>
      <c r="Q190" s="3172">
        <f>+SUM(Q185:Q189)</f>
        <v>0</v>
      </c>
      <c r="R190" s="3173"/>
      <c r="S190" s="3174">
        <f>SUM(S185:S189)</f>
        <v>0</v>
      </c>
      <c r="T190" s="3109">
        <f>SUM(T185:T189)</f>
        <v>0</v>
      </c>
      <c r="W190" s="3418"/>
      <c r="X190" s="3419">
        <f>SUM(X185:X189)</f>
        <v>0</v>
      </c>
    </row>
    <row r="191" spans="1:24" ht="15.05" hidden="1" thickTop="1" x14ac:dyDescent="0.3"/>
    <row r="192" spans="1:24" s="2468" customFormat="1" ht="15.9" hidden="1" customHeight="1" thickBot="1" x14ac:dyDescent="0.25">
      <c r="A192" s="3071">
        <v>1146</v>
      </c>
      <c r="B192" s="3198" t="s">
        <v>1493</v>
      </c>
      <c r="C192" s="3199"/>
      <c r="D192" s="3199"/>
      <c r="E192" s="3199"/>
      <c r="F192" s="3200"/>
      <c r="G192" s="3200"/>
      <c r="H192" s="3200"/>
      <c r="I192" s="3200"/>
      <c r="J192" s="3200"/>
      <c r="K192" s="3200"/>
      <c r="L192" s="3200"/>
      <c r="M192" s="3200"/>
      <c r="N192" s="3200"/>
      <c r="O192" s="3200"/>
      <c r="P192" s="3200"/>
      <c r="Q192" s="3200"/>
      <c r="R192" s="3201"/>
      <c r="S192" s="2475"/>
      <c r="T192" s="2970"/>
    </row>
    <row r="193" spans="1:24" s="2468" customFormat="1" ht="15.9" hidden="1" customHeight="1" thickTop="1" x14ac:dyDescent="0.2">
      <c r="B193" s="3205" t="s">
        <v>491</v>
      </c>
      <c r="C193" s="3206"/>
      <c r="D193" s="3206"/>
      <c r="E193" s="3207"/>
      <c r="F193" s="3208"/>
      <c r="G193" s="3208"/>
      <c r="H193" s="3208"/>
      <c r="I193" s="3208"/>
      <c r="J193" s="3208"/>
      <c r="K193" s="3208"/>
      <c r="L193" s="3208"/>
      <c r="M193" s="3208"/>
      <c r="N193" s="3208"/>
      <c r="O193" s="3208"/>
      <c r="P193" s="3208"/>
      <c r="Q193" s="3209"/>
      <c r="T193" s="2469"/>
    </row>
    <row r="194" spans="1:24" s="2466" customFormat="1" ht="15.9" hidden="1" customHeight="1" x14ac:dyDescent="0.2">
      <c r="B194" s="3210" t="s">
        <v>89</v>
      </c>
      <c r="C194" s="3211"/>
      <c r="D194" s="3211"/>
      <c r="E194" s="3211"/>
      <c r="F194" s="3212">
        <f>A.Lecheros!F495</f>
        <v>63.747228381374711</v>
      </c>
      <c r="G194" s="3212">
        <f>A.Lecheros!G495</f>
        <v>63.747228381374711</v>
      </c>
      <c r="H194" s="3212">
        <f>A.Lecheros!H495</f>
        <v>63.747228381374711</v>
      </c>
      <c r="I194" s="3212">
        <f>A.Lecheros!I495</f>
        <v>63.747228381374711</v>
      </c>
      <c r="J194" s="3212">
        <f>A.Lecheros!J495</f>
        <v>63.747228381374711</v>
      </c>
      <c r="K194" s="3212">
        <f>A.Lecheros!K495</f>
        <v>63.747228381374711</v>
      </c>
      <c r="L194" s="3212">
        <f>A.Lecheros!L495</f>
        <v>63.747228381374711</v>
      </c>
      <c r="M194" s="3212">
        <f>A.Lecheros!M495</f>
        <v>63.747228381374711</v>
      </c>
      <c r="N194" s="3212">
        <f>A.Lecheros!N495</f>
        <v>63.747228381374711</v>
      </c>
      <c r="O194" s="3212">
        <f>A.Lecheros!O495</f>
        <v>63.747228381374711</v>
      </c>
      <c r="P194" s="3212">
        <f>A.Lecheros!P495</f>
        <v>63.747228381374711</v>
      </c>
      <c r="Q194" s="3213">
        <f>A.Lecheros!Q495</f>
        <v>63.747228381374711</v>
      </c>
      <c r="R194" s="2468"/>
      <c r="S194" s="2468"/>
      <c r="T194" s="2469"/>
      <c r="U194" s="2468"/>
      <c r="V194" s="2468"/>
      <c r="W194" s="2468"/>
      <c r="X194" s="2468"/>
    </row>
    <row r="195" spans="1:24" s="2468" customFormat="1" ht="15.9" hidden="1" customHeight="1" x14ac:dyDescent="0.2">
      <c r="B195" s="3214" t="s">
        <v>88</v>
      </c>
      <c r="C195" s="3211"/>
      <c r="D195" s="3211"/>
      <c r="E195" s="3211"/>
      <c r="F195" s="3212">
        <f t="shared" ref="F195:Q195" si="66">((0.13*(F29/1.08)^(0.67)+(F29*0.002))/((F194*4.4*0.82/100)/4.4*0.35+0.503))</f>
        <v>0</v>
      </c>
      <c r="G195" s="3212">
        <f t="shared" si="66"/>
        <v>0</v>
      </c>
      <c r="H195" s="3212">
        <f t="shared" si="66"/>
        <v>0</v>
      </c>
      <c r="I195" s="3212">
        <f t="shared" si="66"/>
        <v>0</v>
      </c>
      <c r="J195" s="3212">
        <f t="shared" si="66"/>
        <v>0</v>
      </c>
      <c r="K195" s="3212">
        <f t="shared" si="66"/>
        <v>0</v>
      </c>
      <c r="L195" s="3212">
        <f t="shared" si="66"/>
        <v>0</v>
      </c>
      <c r="M195" s="3212">
        <f t="shared" si="66"/>
        <v>0</v>
      </c>
      <c r="N195" s="3212">
        <f t="shared" si="66"/>
        <v>0</v>
      </c>
      <c r="O195" s="3212">
        <f t="shared" si="66"/>
        <v>0</v>
      </c>
      <c r="P195" s="3212">
        <f t="shared" si="66"/>
        <v>0</v>
      </c>
      <c r="Q195" s="3213">
        <f t="shared" si="66"/>
        <v>0</v>
      </c>
      <c r="U195" s="2469"/>
    </row>
    <row r="196" spans="1:24" s="2468" customFormat="1" ht="15.9" hidden="1" customHeight="1" x14ac:dyDescent="0.2">
      <c r="B196" s="3214" t="s">
        <v>87</v>
      </c>
      <c r="C196" s="3211"/>
      <c r="D196" s="3211"/>
      <c r="E196" s="3211"/>
      <c r="F196" s="3215">
        <f>F195*General!$C$97</f>
        <v>0</v>
      </c>
      <c r="G196" s="3215">
        <f>G195*General!$C$97</f>
        <v>0</v>
      </c>
      <c r="H196" s="3215">
        <f>H195*General!$C$97</f>
        <v>0</v>
      </c>
      <c r="I196" s="3215">
        <f>I195*General!$C$97</f>
        <v>0</v>
      </c>
      <c r="J196" s="3215">
        <f>J195*General!$C$97</f>
        <v>0</v>
      </c>
      <c r="K196" s="3215">
        <f>K195*General!$C$97</f>
        <v>0</v>
      </c>
      <c r="L196" s="3215">
        <f>L195*General!$C$97</f>
        <v>0</v>
      </c>
      <c r="M196" s="3215">
        <f>M195*General!$C$97</f>
        <v>0</v>
      </c>
      <c r="N196" s="3215">
        <f>N195*General!$C$97</f>
        <v>0</v>
      </c>
      <c r="O196" s="3215">
        <f>O195*General!$C$97</f>
        <v>0</v>
      </c>
      <c r="P196" s="3215">
        <f>P195*General!$C$97</f>
        <v>0</v>
      </c>
      <c r="Q196" s="3216">
        <f>Q195*General!$C$97</f>
        <v>0</v>
      </c>
      <c r="U196" s="2469"/>
    </row>
    <row r="197" spans="1:24" s="2468" customFormat="1" ht="15.9" hidden="1" customHeight="1" x14ac:dyDescent="0.2">
      <c r="B197" s="1757" t="s">
        <v>153</v>
      </c>
      <c r="C197" s="3218"/>
      <c r="D197" s="3218"/>
      <c r="E197" s="3218"/>
      <c r="F197" s="3219">
        <f>+F195+F196</f>
        <v>0</v>
      </c>
      <c r="G197" s="3219">
        <f t="shared" ref="G197:Q197" si="67">+G195+G196</f>
        <v>0</v>
      </c>
      <c r="H197" s="3219">
        <f t="shared" si="67"/>
        <v>0</v>
      </c>
      <c r="I197" s="3219">
        <f t="shared" si="67"/>
        <v>0</v>
      </c>
      <c r="J197" s="3219">
        <f t="shared" si="67"/>
        <v>0</v>
      </c>
      <c r="K197" s="3219">
        <f t="shared" si="67"/>
        <v>0</v>
      </c>
      <c r="L197" s="3219">
        <f t="shared" si="67"/>
        <v>0</v>
      </c>
      <c r="M197" s="3219">
        <f t="shared" si="67"/>
        <v>0</v>
      </c>
      <c r="N197" s="3219">
        <f t="shared" si="67"/>
        <v>0</v>
      </c>
      <c r="O197" s="3219">
        <f t="shared" si="67"/>
        <v>0</v>
      </c>
      <c r="P197" s="3219">
        <f t="shared" si="67"/>
        <v>0</v>
      </c>
      <c r="Q197" s="1756">
        <f t="shared" si="67"/>
        <v>0</v>
      </c>
      <c r="U197" s="2469"/>
    </row>
    <row r="198" spans="1:24" s="2468" customFormat="1" ht="15.9" hidden="1" customHeight="1" thickBot="1" x14ac:dyDescent="0.25">
      <c r="B198" s="3220" t="s">
        <v>152</v>
      </c>
      <c r="C198" s="3221"/>
      <c r="D198" s="3221"/>
      <c r="E198" s="3221"/>
      <c r="F198" s="3226">
        <f>IFERROR(F197/(F194*4.4*0.82/100),0)</f>
        <v>0</v>
      </c>
      <c r="G198" s="3226">
        <f t="shared" ref="G198:Q198" si="68">IFERROR(G197/(G194*4.4*0.82/100),0)</f>
        <v>0</v>
      </c>
      <c r="H198" s="3226">
        <f t="shared" si="68"/>
        <v>0</v>
      </c>
      <c r="I198" s="3226">
        <f t="shared" si="68"/>
        <v>0</v>
      </c>
      <c r="J198" s="3226">
        <f t="shared" si="68"/>
        <v>0</v>
      </c>
      <c r="K198" s="3226">
        <f t="shared" si="68"/>
        <v>0</v>
      </c>
      <c r="L198" s="3226">
        <f t="shared" si="68"/>
        <v>0</v>
      </c>
      <c r="M198" s="3226">
        <f t="shared" si="68"/>
        <v>0</v>
      </c>
      <c r="N198" s="3226">
        <f t="shared" si="68"/>
        <v>0</v>
      </c>
      <c r="O198" s="3226">
        <f t="shared" si="68"/>
        <v>0</v>
      </c>
      <c r="P198" s="3226">
        <f t="shared" si="68"/>
        <v>0</v>
      </c>
      <c r="Q198" s="3227">
        <f t="shared" si="68"/>
        <v>0</v>
      </c>
      <c r="U198" s="2469"/>
    </row>
    <row r="199" spans="1:24" s="2475" customFormat="1" ht="15.9" hidden="1" customHeight="1" thickTop="1" x14ac:dyDescent="0.2">
      <c r="A199" s="2468"/>
      <c r="B199" s="2612"/>
      <c r="C199" s="3211"/>
      <c r="D199" s="3211"/>
      <c r="E199" s="3211"/>
      <c r="F199" s="3420"/>
      <c r="G199" s="3420"/>
      <c r="H199" s="3420"/>
      <c r="I199" s="3420"/>
      <c r="J199" s="3420"/>
      <c r="K199" s="3420"/>
      <c r="L199" s="3420"/>
      <c r="M199" s="3420"/>
      <c r="N199" s="3420"/>
      <c r="O199" s="3420"/>
      <c r="P199" s="3420"/>
      <c r="Q199" s="3420"/>
      <c r="R199" s="2468"/>
      <c r="U199" s="2970"/>
    </row>
    <row r="200" spans="1:24" s="2475" customFormat="1" ht="15.9" hidden="1" customHeight="1" thickBot="1" x14ac:dyDescent="0.25">
      <c r="A200" s="2468"/>
      <c r="B200" s="2612"/>
      <c r="C200" s="3211"/>
      <c r="D200" s="3211"/>
      <c r="E200" s="3211"/>
      <c r="F200" s="3225"/>
      <c r="G200" s="3225"/>
      <c r="H200" s="3225"/>
      <c r="I200" s="3225"/>
      <c r="J200" s="2466"/>
      <c r="K200" s="2466"/>
      <c r="L200" s="2466"/>
      <c r="M200" s="2466"/>
      <c r="N200" s="2468"/>
      <c r="O200" s="2468"/>
      <c r="P200" s="2468"/>
      <c r="Q200" s="2468"/>
      <c r="R200" s="2468"/>
      <c r="U200" s="2970"/>
    </row>
    <row r="201" spans="1:24" s="2475" customFormat="1" ht="15.9" hidden="1" customHeight="1" thickTop="1" x14ac:dyDescent="0.2">
      <c r="A201" s="3071">
        <v>1147</v>
      </c>
      <c r="B201" s="3205" t="s">
        <v>1969</v>
      </c>
      <c r="C201" s="3206"/>
      <c r="D201" s="3206"/>
      <c r="E201" s="3207"/>
      <c r="F201" s="3208"/>
      <c r="G201" s="3208"/>
      <c r="H201" s="3208"/>
      <c r="I201" s="3208"/>
      <c r="J201" s="3208"/>
      <c r="K201" s="3208"/>
      <c r="L201" s="3208"/>
      <c r="M201" s="3208"/>
      <c r="N201" s="3208"/>
      <c r="O201" s="3208"/>
      <c r="P201" s="3208"/>
      <c r="Q201" s="3209"/>
      <c r="R201" s="2468"/>
      <c r="U201" s="2970"/>
    </row>
    <row r="202" spans="1:24" s="2475" customFormat="1" ht="15.9" hidden="1" customHeight="1" x14ac:dyDescent="0.2">
      <c r="A202" s="2468"/>
      <c r="B202" s="3210" t="s">
        <v>234</v>
      </c>
      <c r="C202" s="3211"/>
      <c r="D202" s="3211"/>
      <c r="E202" s="3211"/>
      <c r="F202" s="3212">
        <f t="shared" ref="F202:Q202" si="69">(0.077*F55^0.75)/0.61</f>
        <v>0</v>
      </c>
      <c r="G202" s="3212">
        <f t="shared" si="69"/>
        <v>0</v>
      </c>
      <c r="H202" s="3212">
        <f t="shared" si="69"/>
        <v>0</v>
      </c>
      <c r="I202" s="3212">
        <f t="shared" si="69"/>
        <v>0</v>
      </c>
      <c r="J202" s="3212">
        <f t="shared" si="69"/>
        <v>0</v>
      </c>
      <c r="K202" s="3212">
        <f t="shared" si="69"/>
        <v>0</v>
      </c>
      <c r="L202" s="3212">
        <f t="shared" si="69"/>
        <v>0</v>
      </c>
      <c r="M202" s="3212">
        <f t="shared" si="69"/>
        <v>0</v>
      </c>
      <c r="N202" s="3212">
        <f t="shared" si="69"/>
        <v>0</v>
      </c>
      <c r="O202" s="3212">
        <f t="shared" si="69"/>
        <v>0</v>
      </c>
      <c r="P202" s="3212">
        <f t="shared" si="69"/>
        <v>0</v>
      </c>
      <c r="Q202" s="3213">
        <f t="shared" si="69"/>
        <v>0</v>
      </c>
      <c r="R202" s="2468"/>
      <c r="U202" s="2970"/>
    </row>
    <row r="203" spans="1:24" s="2475" customFormat="1" ht="15.9" hidden="1" customHeight="1" x14ac:dyDescent="0.2">
      <c r="A203" s="2468"/>
      <c r="B203" s="3214" t="s">
        <v>566</v>
      </c>
      <c r="C203" s="3211"/>
      <c r="D203" s="3211"/>
      <c r="E203" s="3211"/>
      <c r="F203" s="3212">
        <f>F202*General!$C$97</f>
        <v>0</v>
      </c>
      <c r="G203" s="3212">
        <f>G202*General!$C$97</f>
        <v>0</v>
      </c>
      <c r="H203" s="3212">
        <f>H202*General!$C$97</f>
        <v>0</v>
      </c>
      <c r="I203" s="3212">
        <f>I202*General!$C$97</f>
        <v>0</v>
      </c>
      <c r="J203" s="3212">
        <f>J202*General!$C$97</f>
        <v>0</v>
      </c>
      <c r="K203" s="3212">
        <f>K202*General!$C$97</f>
        <v>0</v>
      </c>
      <c r="L203" s="3212">
        <f>L202*General!$C$97</f>
        <v>0</v>
      </c>
      <c r="M203" s="3212">
        <f>M202*General!$C$97</f>
        <v>0</v>
      </c>
      <c r="N203" s="3212">
        <f>N202*General!$C$97</f>
        <v>0</v>
      </c>
      <c r="O203" s="3212">
        <f>O202*General!$C$97</f>
        <v>0</v>
      </c>
      <c r="P203" s="3212">
        <f>P202*General!$C$97</f>
        <v>0</v>
      </c>
      <c r="Q203" s="3213">
        <f>Q202*General!$C$97</f>
        <v>0</v>
      </c>
      <c r="R203" s="2468"/>
      <c r="U203" s="2970"/>
    </row>
    <row r="204" spans="1:24" s="2475" customFormat="1" ht="15.9" hidden="1" customHeight="1" x14ac:dyDescent="0.2">
      <c r="A204" s="2468"/>
      <c r="B204" s="3214" t="s">
        <v>235</v>
      </c>
      <c r="C204" s="3211"/>
      <c r="D204" s="3211"/>
      <c r="E204" s="3211"/>
      <c r="F204" s="3215">
        <f t="shared" ref="F204:Q204" si="70">0.0557*F55^0.75*F53^1.097</f>
        <v>0</v>
      </c>
      <c r="G204" s="3215">
        <f t="shared" si="70"/>
        <v>0</v>
      </c>
      <c r="H204" s="3215">
        <f t="shared" si="70"/>
        <v>0</v>
      </c>
      <c r="I204" s="3215">
        <f t="shared" si="70"/>
        <v>0</v>
      </c>
      <c r="J204" s="3215">
        <f t="shared" si="70"/>
        <v>0</v>
      </c>
      <c r="K204" s="3215">
        <f t="shared" si="70"/>
        <v>0</v>
      </c>
      <c r="L204" s="3215">
        <f t="shared" si="70"/>
        <v>0</v>
      </c>
      <c r="M204" s="3215">
        <f t="shared" si="70"/>
        <v>0</v>
      </c>
      <c r="N204" s="3215">
        <f t="shared" si="70"/>
        <v>0</v>
      </c>
      <c r="O204" s="3215">
        <f t="shared" si="70"/>
        <v>0</v>
      </c>
      <c r="P204" s="3215">
        <f t="shared" si="70"/>
        <v>0</v>
      </c>
      <c r="Q204" s="3216">
        <f t="shared" si="70"/>
        <v>0</v>
      </c>
      <c r="R204" s="2468"/>
      <c r="U204" s="2970"/>
    </row>
    <row r="205" spans="1:24" s="2475" customFormat="1" ht="15.9" hidden="1" customHeight="1" x14ac:dyDescent="0.2">
      <c r="A205" s="2468"/>
      <c r="B205" s="3214" t="s">
        <v>236</v>
      </c>
      <c r="C205" s="3211"/>
      <c r="D205" s="3211"/>
      <c r="E205" s="3211"/>
      <c r="F205" s="3215">
        <f>SUM(F202:F204)</f>
        <v>0</v>
      </c>
      <c r="G205" s="3215">
        <f t="shared" ref="G205:Q205" si="71">SUM(G202:G204)</f>
        <v>0</v>
      </c>
      <c r="H205" s="3215">
        <f t="shared" si="71"/>
        <v>0</v>
      </c>
      <c r="I205" s="3215">
        <f t="shared" si="71"/>
        <v>0</v>
      </c>
      <c r="J205" s="3215">
        <f t="shared" si="71"/>
        <v>0</v>
      </c>
      <c r="K205" s="3215">
        <f t="shared" si="71"/>
        <v>0</v>
      </c>
      <c r="L205" s="3215">
        <f t="shared" si="71"/>
        <v>0</v>
      </c>
      <c r="M205" s="3215">
        <f t="shared" si="71"/>
        <v>0</v>
      </c>
      <c r="N205" s="3215">
        <f t="shared" si="71"/>
        <v>0</v>
      </c>
      <c r="O205" s="3215">
        <f t="shared" si="71"/>
        <v>0</v>
      </c>
      <c r="P205" s="3215">
        <f t="shared" si="71"/>
        <v>0</v>
      </c>
      <c r="Q205" s="3216">
        <f t="shared" si="71"/>
        <v>0</v>
      </c>
      <c r="R205" s="2468"/>
      <c r="U205" s="2970"/>
    </row>
    <row r="206" spans="1:24" s="2475" customFormat="1" ht="15.9" hidden="1" customHeight="1" x14ac:dyDescent="0.2">
      <c r="A206" s="2468"/>
      <c r="B206" s="1757" t="s">
        <v>241</v>
      </c>
      <c r="C206" s="3218"/>
      <c r="D206" s="3218"/>
      <c r="E206" s="3218"/>
      <c r="F206" s="3219">
        <f>IFERROR(F205/A.Lecheros!F490,0)</f>
        <v>0</v>
      </c>
      <c r="G206" s="3219">
        <f>IFERROR(G205/A.Lecheros!G490,0)</f>
        <v>0</v>
      </c>
      <c r="H206" s="3219">
        <f>IFERROR(H205/A.Lecheros!H490,0)</f>
        <v>0</v>
      </c>
      <c r="I206" s="3219">
        <f>IFERROR(I205/A.Lecheros!I490,0)</f>
        <v>0</v>
      </c>
      <c r="J206" s="3219">
        <f>IFERROR(J205/A.Lecheros!J490,0)</f>
        <v>0</v>
      </c>
      <c r="K206" s="3219">
        <f>IFERROR(K205/A.Lecheros!K490,0)</f>
        <v>0</v>
      </c>
      <c r="L206" s="3219">
        <f>IFERROR(L205/A.Lecheros!L490,0)</f>
        <v>0</v>
      </c>
      <c r="M206" s="3219">
        <f>IFERROR(M205/A.Lecheros!M490,0)</f>
        <v>0</v>
      </c>
      <c r="N206" s="3219">
        <f>IFERROR(N205/A.Lecheros!N490,0)</f>
        <v>0</v>
      </c>
      <c r="O206" s="3219">
        <f>IFERROR(O205/A.Lecheros!O490,0)</f>
        <v>0</v>
      </c>
      <c r="P206" s="3219">
        <f>IFERROR(P205/A.Lecheros!P490,0)</f>
        <v>0</v>
      </c>
      <c r="Q206" s="1756">
        <f>IFERROR(Q205/A.Lecheros!Q490,0)</f>
        <v>0</v>
      </c>
      <c r="R206" s="2468"/>
      <c r="U206" s="2970"/>
    </row>
    <row r="207" spans="1:24" s="2475" customFormat="1" ht="15.9" hidden="1" customHeight="1" thickBot="1" x14ac:dyDescent="0.25">
      <c r="A207" s="2468"/>
      <c r="B207" s="3220" t="s">
        <v>237</v>
      </c>
      <c r="C207" s="3221"/>
      <c r="D207" s="3221"/>
      <c r="E207" s="3221"/>
      <c r="F207" s="3226">
        <f>IF(F55=0,0,((33.44*(F55^0.75*(0.1493*A.Lecheros!F490-0.046*A.Lecheros!F490*A.Lecheros!F490-0.0196)))+2.75*F55^0.6+0.2*F55^0.6+F55*(268-29.4*F204/A.Ganaderos!F53))/(0.9*0.66*1))</f>
        <v>0</v>
      </c>
      <c r="G207" s="3226">
        <f>IF(G55=0,0,((33.44*(G55^0.75*(0.1493*A.Lecheros!G490-0.046*A.Lecheros!G490*A.Lecheros!G490-0.0196)))+2.75*G55^0.6+0.2*G55^0.6+G55*(268-29.4*G204/A.Ganaderos!G53))/(0.9*0.66*1))</f>
        <v>0</v>
      </c>
      <c r="H207" s="3226">
        <f>IF(H55=0,0,((33.44*(H55^0.75*(0.1493*A.Lecheros!H490-0.046*A.Lecheros!H490*A.Lecheros!H490-0.0196)))+2.75*H55^0.6+0.2*H55^0.6+H55*(268-29.4*H204/A.Ganaderos!H53))/(0.9*0.66*1))</f>
        <v>0</v>
      </c>
      <c r="I207" s="3226">
        <f>IF(I55=0,0,((33.44*(I55^0.75*(0.1493*A.Lecheros!I490-0.046*A.Lecheros!I490*A.Lecheros!I490-0.0196)))+2.75*I55^0.6+0.2*I55^0.6+I55*(268-29.4*I204/A.Ganaderos!I53))/(0.9*0.66*1))</f>
        <v>0</v>
      </c>
      <c r="J207" s="3226">
        <f>IF(J55=0,0,((33.44*(J55^0.75*(0.1493*A.Lecheros!J490-0.046*A.Lecheros!J490*A.Lecheros!J490-0.0196)))+2.75*J55^0.6+0.2*J55^0.6+J55*(268-29.4*J204/A.Ganaderos!J53))/(0.9*0.66*1))</f>
        <v>0</v>
      </c>
      <c r="K207" s="3226">
        <f>IF(K55=0,0,((33.44*(K55^0.75*(0.1493*A.Lecheros!K490-0.046*A.Lecheros!K490*A.Lecheros!K490-0.0196)))+2.75*K55^0.6+0.2*K55^0.6+K55*(268-29.4*K204/A.Ganaderos!K53))/(0.9*0.66*1))</f>
        <v>0</v>
      </c>
      <c r="L207" s="3226">
        <f>IF(L55=0,0,((33.44*(L55^0.75*(0.1493*A.Lecheros!L490-0.046*A.Lecheros!L490*A.Lecheros!L490-0.0196)))+2.75*L55^0.6+0.2*L55^0.6+L55*(268-29.4*L204/A.Ganaderos!L53))/(0.9*0.66*1))</f>
        <v>0</v>
      </c>
      <c r="M207" s="3226">
        <f>IF(M55=0,0,((33.44*(M55^0.75*(0.1493*A.Lecheros!M490-0.046*A.Lecheros!M490*A.Lecheros!M490-0.0196)))+2.75*M55^0.6+0.2*M55^0.6+M55*(268-29.4*M204/A.Ganaderos!M53))/(0.9*0.66*1))</f>
        <v>0</v>
      </c>
      <c r="N207" s="3226">
        <f>IF(N55=0,0,((33.44*(N55^0.75*(0.1493*A.Lecheros!N490-0.046*A.Lecheros!N490*A.Lecheros!N490-0.0196)))+2.75*N55^0.6+0.2*N55^0.6+N55*(268-29.4*N204/A.Ganaderos!N53))/(0.9*0.66*1))</f>
        <v>0</v>
      </c>
      <c r="O207" s="3226">
        <f>IF(O55=0,0,((33.44*(O55^0.75*(0.1493*A.Lecheros!O490-0.046*A.Lecheros!O490*A.Lecheros!O490-0.0196)))+2.75*O55^0.6+0.2*O55^0.6+O55*(268-29.4*O204/A.Ganaderos!O53))/(0.9*0.66*1))</f>
        <v>0</v>
      </c>
      <c r="P207" s="3226">
        <f>IF(P55=0,0,((33.44*(P55^0.75*(0.1493*A.Lecheros!P490-0.046*A.Lecheros!P490*A.Lecheros!P490-0.0196)))+2.75*P55^0.6+0.2*P55^0.6+P55*(268-29.4*P204/A.Ganaderos!P53))/(0.9*0.66*1))</f>
        <v>0</v>
      </c>
      <c r="Q207" s="3227">
        <f>IF(Q55=0,0,((33.44*(Q55^0.75*(0.1493*A.Lecheros!Q490-0.046*A.Lecheros!Q490*A.Lecheros!Q490-0.0196)))+2.75*Q55^0.6+0.2*Q55^0.6+Q55*(268-29.4*Q204/A.Ganaderos!Q53))/(0.9*0.66*1))</f>
        <v>0</v>
      </c>
      <c r="R207" s="2468"/>
      <c r="U207" s="2970"/>
    </row>
    <row r="208" spans="1:24" s="2475" customFormat="1" ht="15.9" hidden="1" customHeight="1" thickTop="1" thickBot="1" x14ac:dyDescent="0.25">
      <c r="A208" s="2468"/>
      <c r="B208" s="2612"/>
      <c r="C208" s="3211"/>
      <c r="D208" s="3211"/>
      <c r="E208" s="3211"/>
      <c r="F208" s="3225"/>
      <c r="G208" s="3225"/>
      <c r="H208" s="3225"/>
      <c r="I208" s="3225"/>
      <c r="J208" s="3225"/>
      <c r="K208" s="3225"/>
      <c r="L208" s="3225"/>
      <c r="M208" s="3225"/>
      <c r="N208" s="3225"/>
      <c r="O208" s="3225"/>
      <c r="P208" s="3225"/>
      <c r="Q208" s="3225"/>
      <c r="R208" s="2468"/>
      <c r="U208" s="2970"/>
    </row>
    <row r="209" spans="1:21" s="2475" customFormat="1" ht="15.9" hidden="1" customHeight="1" thickTop="1" x14ac:dyDescent="0.2">
      <c r="A209" s="3071">
        <v>1148</v>
      </c>
      <c r="B209" s="3205" t="s">
        <v>1968</v>
      </c>
      <c r="C209" s="3206"/>
      <c r="D209" s="3206"/>
      <c r="E209" s="3207"/>
      <c r="F209" s="3208"/>
      <c r="G209" s="3208"/>
      <c r="H209" s="3208"/>
      <c r="I209" s="3208"/>
      <c r="J209" s="3208"/>
      <c r="K209" s="3208"/>
      <c r="L209" s="3208"/>
      <c r="M209" s="3208"/>
      <c r="N209" s="3208"/>
      <c r="O209" s="3208"/>
      <c r="P209" s="3208"/>
      <c r="Q209" s="3209"/>
      <c r="R209" s="2468"/>
      <c r="U209" s="2970"/>
    </row>
    <row r="210" spans="1:21" s="2475" customFormat="1" ht="15.9" hidden="1" customHeight="1" x14ac:dyDescent="0.2">
      <c r="A210" s="2468"/>
      <c r="B210" s="3210" t="s">
        <v>234</v>
      </c>
      <c r="C210" s="3211"/>
      <c r="D210" s="3211"/>
      <c r="E210" s="3211"/>
      <c r="F210" s="3212">
        <f t="shared" ref="F210:Q210" si="72">(0.077*F82^0.75)/0.61</f>
        <v>0</v>
      </c>
      <c r="G210" s="3212">
        <f t="shared" si="72"/>
        <v>0</v>
      </c>
      <c r="H210" s="3212">
        <f t="shared" si="72"/>
        <v>0</v>
      </c>
      <c r="I210" s="3212">
        <f t="shared" si="72"/>
        <v>0</v>
      </c>
      <c r="J210" s="3212">
        <f t="shared" si="72"/>
        <v>0</v>
      </c>
      <c r="K210" s="3212">
        <f t="shared" si="72"/>
        <v>0</v>
      </c>
      <c r="L210" s="3212">
        <f t="shared" si="72"/>
        <v>0</v>
      </c>
      <c r="M210" s="3212">
        <f t="shared" si="72"/>
        <v>0</v>
      </c>
      <c r="N210" s="3212">
        <f t="shared" si="72"/>
        <v>0</v>
      </c>
      <c r="O210" s="3212">
        <f t="shared" si="72"/>
        <v>0</v>
      </c>
      <c r="P210" s="3212">
        <f t="shared" si="72"/>
        <v>0</v>
      </c>
      <c r="Q210" s="3213">
        <f t="shared" si="72"/>
        <v>0</v>
      </c>
      <c r="R210" s="2468"/>
      <c r="U210" s="2970"/>
    </row>
    <row r="211" spans="1:21" s="2475" customFormat="1" ht="15.9" hidden="1" customHeight="1" x14ac:dyDescent="0.2">
      <c r="A211" s="2468"/>
      <c r="B211" s="3214" t="s">
        <v>566</v>
      </c>
      <c r="C211" s="3211"/>
      <c r="D211" s="3211"/>
      <c r="E211" s="3211"/>
      <c r="F211" s="3212">
        <f>F210*General!$C$97</f>
        <v>0</v>
      </c>
      <c r="G211" s="3212">
        <f>G210*General!$C$97</f>
        <v>0</v>
      </c>
      <c r="H211" s="3212">
        <f>H210*General!$C$97</f>
        <v>0</v>
      </c>
      <c r="I211" s="3212">
        <f>I210*General!$C$97</f>
        <v>0</v>
      </c>
      <c r="J211" s="3212">
        <f>J210*General!$C$97</f>
        <v>0</v>
      </c>
      <c r="K211" s="3212">
        <f>K210*General!$C$97</f>
        <v>0</v>
      </c>
      <c r="L211" s="3212">
        <f>L210*General!$C$97</f>
        <v>0</v>
      </c>
      <c r="M211" s="3212">
        <f>M210*General!$C$97</f>
        <v>0</v>
      </c>
      <c r="N211" s="3212">
        <f>N210*General!$C$97</f>
        <v>0</v>
      </c>
      <c r="O211" s="3212">
        <f>O210*General!$C$97</f>
        <v>0</v>
      </c>
      <c r="P211" s="3212">
        <f>P210*General!$C$97</f>
        <v>0</v>
      </c>
      <c r="Q211" s="3213">
        <f>Q210*General!$C$97</f>
        <v>0</v>
      </c>
      <c r="R211" s="2468"/>
      <c r="U211" s="2970"/>
    </row>
    <row r="212" spans="1:21" s="2475" customFormat="1" ht="15.9" hidden="1" customHeight="1" x14ac:dyDescent="0.2">
      <c r="A212" s="2468"/>
      <c r="B212" s="3214" t="s">
        <v>235</v>
      </c>
      <c r="C212" s="3211"/>
      <c r="D212" s="3211"/>
      <c r="E212" s="3211"/>
      <c r="F212" s="3215">
        <f t="shared" ref="F212:Q212" si="73">0.0557*F82^0.75*F80^1.097</f>
        <v>0</v>
      </c>
      <c r="G212" s="3215">
        <f t="shared" si="73"/>
        <v>0</v>
      </c>
      <c r="H212" s="3215">
        <f t="shared" si="73"/>
        <v>0</v>
      </c>
      <c r="I212" s="3215">
        <f t="shared" si="73"/>
        <v>0</v>
      </c>
      <c r="J212" s="3215">
        <f t="shared" si="73"/>
        <v>0</v>
      </c>
      <c r="K212" s="3215">
        <f t="shared" si="73"/>
        <v>0</v>
      </c>
      <c r="L212" s="3215">
        <f t="shared" si="73"/>
        <v>0</v>
      </c>
      <c r="M212" s="3215">
        <f t="shared" si="73"/>
        <v>0</v>
      </c>
      <c r="N212" s="3215">
        <f t="shared" si="73"/>
        <v>0</v>
      </c>
      <c r="O212" s="3215">
        <f t="shared" si="73"/>
        <v>0</v>
      </c>
      <c r="P212" s="3215">
        <f t="shared" si="73"/>
        <v>0</v>
      </c>
      <c r="Q212" s="3216">
        <f t="shared" si="73"/>
        <v>0</v>
      </c>
      <c r="R212" s="2468"/>
      <c r="U212" s="2970"/>
    </row>
    <row r="213" spans="1:21" s="2475" customFormat="1" ht="15.9" hidden="1" customHeight="1" x14ac:dyDescent="0.2">
      <c r="A213" s="2468"/>
      <c r="B213" s="3214" t="s">
        <v>236</v>
      </c>
      <c r="C213" s="3211"/>
      <c r="D213" s="3211"/>
      <c r="E213" s="3211"/>
      <c r="F213" s="3215">
        <f>SUM(F210:F212)</f>
        <v>0</v>
      </c>
      <c r="G213" s="3215">
        <f t="shared" ref="G213:Q213" si="74">SUM(G210:G212)</f>
        <v>0</v>
      </c>
      <c r="H213" s="3215">
        <f t="shared" si="74"/>
        <v>0</v>
      </c>
      <c r="I213" s="3215">
        <f t="shared" si="74"/>
        <v>0</v>
      </c>
      <c r="J213" s="3215">
        <f t="shared" si="74"/>
        <v>0</v>
      </c>
      <c r="K213" s="3215">
        <f t="shared" si="74"/>
        <v>0</v>
      </c>
      <c r="L213" s="3215">
        <f t="shared" si="74"/>
        <v>0</v>
      </c>
      <c r="M213" s="3215">
        <f t="shared" si="74"/>
        <v>0</v>
      </c>
      <c r="N213" s="3215">
        <f t="shared" si="74"/>
        <v>0</v>
      </c>
      <c r="O213" s="3215">
        <f t="shared" si="74"/>
        <v>0</v>
      </c>
      <c r="P213" s="3215">
        <f t="shared" si="74"/>
        <v>0</v>
      </c>
      <c r="Q213" s="3216">
        <f t="shared" si="74"/>
        <v>0</v>
      </c>
      <c r="R213" s="2468"/>
      <c r="U213" s="2970"/>
    </row>
    <row r="214" spans="1:21" s="2475" customFormat="1" ht="15.9" hidden="1" customHeight="1" x14ac:dyDescent="0.2">
      <c r="A214" s="2468"/>
      <c r="B214" s="1757" t="s">
        <v>241</v>
      </c>
      <c r="C214" s="3218"/>
      <c r="D214" s="3218"/>
      <c r="E214" s="3218"/>
      <c r="F214" s="3219">
        <f>IFERROR(F213/A.Lecheros!F490,0)</f>
        <v>0</v>
      </c>
      <c r="G214" s="3219">
        <f>IFERROR(G213/A.Lecheros!G490,0)</f>
        <v>0</v>
      </c>
      <c r="H214" s="3219">
        <f>IFERROR(H213/A.Lecheros!H490,0)</f>
        <v>0</v>
      </c>
      <c r="I214" s="3219">
        <f>IFERROR(I213/A.Lecheros!I490,0)</f>
        <v>0</v>
      </c>
      <c r="J214" s="3219">
        <f>IFERROR(J213/A.Lecheros!J490,0)</f>
        <v>0</v>
      </c>
      <c r="K214" s="3219">
        <f>IFERROR(K213/A.Lecheros!K490,0)</f>
        <v>0</v>
      </c>
      <c r="L214" s="3219">
        <f>IFERROR(L213/A.Lecheros!L490,0)</f>
        <v>0</v>
      </c>
      <c r="M214" s="3219">
        <f>IFERROR(M213/A.Lecheros!M490,0)</f>
        <v>0</v>
      </c>
      <c r="N214" s="3219">
        <f>IFERROR(N213/A.Lecheros!N490,0)</f>
        <v>0</v>
      </c>
      <c r="O214" s="3219">
        <f>IFERROR(O213/A.Lecheros!O490,0)</f>
        <v>0</v>
      </c>
      <c r="P214" s="3219">
        <f>IFERROR(P213/A.Lecheros!P490,0)</f>
        <v>0</v>
      </c>
      <c r="Q214" s="1756">
        <f>IFERROR(Q213/A.Lecheros!Q490,0)</f>
        <v>0</v>
      </c>
      <c r="R214" s="2468"/>
      <c r="U214" s="2970"/>
    </row>
    <row r="215" spans="1:21" s="2475" customFormat="1" ht="15.9" hidden="1" customHeight="1" thickBot="1" x14ac:dyDescent="0.25">
      <c r="A215" s="2468"/>
      <c r="B215" s="3220" t="s">
        <v>237</v>
      </c>
      <c r="C215" s="3221"/>
      <c r="D215" s="3221"/>
      <c r="E215" s="3221"/>
      <c r="F215" s="3226">
        <f>IF(F82=0,0,((33.44*(F82^0.75*(0.1493*A.Lecheros!F490-0.046*A.Lecheros!F490*A.Lecheros!F490-0.0196)))+2.75*F82^0.6+0.2*F82^0.6+F80*(268-29.4*F212/F80))/(0.9*0.66*1))</f>
        <v>0</v>
      </c>
      <c r="G215" s="3226">
        <f>IF(G82=0,0,((33.44*(G82^0.75*(0.1493*A.Lecheros!G490-0.046*A.Lecheros!G490*A.Lecheros!G490-0.0196)))+2.75*G82^0.6+0.2*G82^0.6+G80*(268-29.4*G212/G80))/(0.9*0.66*1))</f>
        <v>0</v>
      </c>
      <c r="H215" s="3226">
        <f>IF(H82=0,0,((33.44*(H82^0.75*(0.1493*A.Lecheros!H490-0.046*A.Lecheros!H490*A.Lecheros!H490-0.0196)))+2.75*H82^0.6+0.2*H82^0.6+H80*(268-29.4*H212/H80))/(0.9*0.66*1))</f>
        <v>0</v>
      </c>
      <c r="I215" s="3226">
        <f>IF(I82=0,0,((33.44*(I82^0.75*(0.1493*A.Lecheros!I490-0.046*A.Lecheros!I490*A.Lecheros!I490-0.0196)))+2.75*I82^0.6+0.2*I82^0.6+I80*(268-29.4*I212/I80))/(0.9*0.66*1))</f>
        <v>0</v>
      </c>
      <c r="J215" s="3226">
        <f>IF(J82=0,0,((33.44*(J82^0.75*(0.1493*A.Lecheros!J490-0.046*A.Lecheros!J490*A.Lecheros!J490-0.0196)))+2.75*J82^0.6+0.2*J82^0.6+J80*(268-29.4*J212/J80))/(0.9*0.66*1))</f>
        <v>0</v>
      </c>
      <c r="K215" s="3226">
        <f>IF(K82=0,0,((33.44*(K82^0.75*(0.1493*A.Lecheros!K490-0.046*A.Lecheros!K490*A.Lecheros!K490-0.0196)))+2.75*K82^0.6+0.2*K82^0.6+K80*(268-29.4*K212/K80))/(0.9*0.66*1))</f>
        <v>0</v>
      </c>
      <c r="L215" s="3226">
        <f>IF(L82=0,0,((33.44*(L82^0.75*(0.1493*A.Lecheros!L490-0.046*A.Lecheros!L490*A.Lecheros!L490-0.0196)))+2.75*L82^0.6+0.2*L82^0.6+L80*(268-29.4*L212/L80))/(0.9*0.66*1))</f>
        <v>0</v>
      </c>
      <c r="M215" s="3226">
        <f>IF(M82=0,0,((33.44*(M82^0.75*(0.1493*A.Lecheros!M490-0.046*A.Lecheros!M490*A.Lecheros!M490-0.0196)))+2.75*M82^0.6+0.2*M82^0.6+M80*(268-29.4*M212/M80))/(0.9*0.66*1))</f>
        <v>0</v>
      </c>
      <c r="N215" s="3226">
        <f>IF(N82=0,0,((33.44*(N82^0.75*(0.1493*A.Lecheros!N490-0.046*A.Lecheros!N490*A.Lecheros!N490-0.0196)))+2.75*N82^0.6+0.2*N82^0.6+N80*(268-29.4*N212/N80))/(0.9*0.66*1))</f>
        <v>0</v>
      </c>
      <c r="O215" s="3226">
        <f>IF(O82=0,0,((33.44*(O82^0.75*(0.1493*A.Lecheros!O490-0.046*A.Lecheros!O490*A.Lecheros!O490-0.0196)))+2.75*O82^0.6+0.2*O82^0.6+O80*(268-29.4*O212/O80))/(0.9*0.66*1))</f>
        <v>0</v>
      </c>
      <c r="P215" s="3226">
        <f>IF(P82=0,0,((33.44*(P82^0.75*(0.1493*A.Lecheros!P490-0.046*A.Lecheros!P490*A.Lecheros!P490-0.0196)))+2.75*P82^0.6+0.2*P82^0.6+P80*(268-29.4*P212/P80))/(0.9*0.66*1))</f>
        <v>0</v>
      </c>
      <c r="Q215" s="3227">
        <f>IF(Q82=0,0,((33.44*(Q82^0.75*(0.1493*A.Lecheros!Q490-0.046*A.Lecheros!Q490*A.Lecheros!Q490-0.0196)))+2.75*Q82^0.6+0.2*Q82^0.6+Q80*(268-29.4*Q212/Q80))/(0.9*0.66*1))</f>
        <v>0</v>
      </c>
      <c r="R215" s="2468"/>
      <c r="U215" s="2970"/>
    </row>
    <row r="216" spans="1:21" s="2475" customFormat="1" ht="15.9" hidden="1" customHeight="1" thickTop="1" thickBot="1" x14ac:dyDescent="0.25">
      <c r="A216" s="2468"/>
      <c r="B216" s="2612"/>
      <c r="C216" s="3211"/>
      <c r="D216" s="3211"/>
      <c r="E216" s="3211"/>
      <c r="F216" s="3225"/>
      <c r="G216" s="3225"/>
      <c r="H216" s="3225"/>
      <c r="I216" s="3225"/>
      <c r="J216" s="2466"/>
      <c r="K216" s="2466"/>
      <c r="L216" s="2466"/>
      <c r="M216" s="2466"/>
      <c r="N216" s="2468"/>
      <c r="O216" s="2468"/>
      <c r="P216" s="2468"/>
      <c r="Q216" s="2468"/>
      <c r="R216" s="2468"/>
      <c r="U216" s="2970"/>
    </row>
    <row r="217" spans="1:21" s="2475" customFormat="1" ht="15.9" hidden="1" customHeight="1" thickTop="1" x14ac:dyDescent="0.2">
      <c r="A217" s="3071">
        <v>1149</v>
      </c>
      <c r="B217" s="3205" t="s">
        <v>1970</v>
      </c>
      <c r="C217" s="3206"/>
      <c r="D217" s="3206"/>
      <c r="E217" s="3207"/>
      <c r="F217" s="3208"/>
      <c r="G217" s="3208"/>
      <c r="H217" s="3208"/>
      <c r="I217" s="3208"/>
      <c r="J217" s="3208"/>
      <c r="K217" s="3208"/>
      <c r="L217" s="3208"/>
      <c r="M217" s="3208"/>
      <c r="N217" s="3208"/>
      <c r="O217" s="3208"/>
      <c r="P217" s="3208"/>
      <c r="Q217" s="3209"/>
      <c r="R217" s="2468"/>
      <c r="U217" s="2970"/>
    </row>
    <row r="218" spans="1:21" s="2475" customFormat="1" ht="15.9" hidden="1" customHeight="1" x14ac:dyDescent="0.2">
      <c r="A218" s="2468"/>
      <c r="B218" s="3210" t="s">
        <v>234</v>
      </c>
      <c r="C218" s="3211"/>
      <c r="D218" s="3211"/>
      <c r="E218" s="3211"/>
      <c r="F218" s="3212">
        <f t="shared" ref="F218:Q218" si="75">(0.077*F111^0.75)/0.61</f>
        <v>0.62976958289266405</v>
      </c>
      <c r="G218" s="3212">
        <f t="shared" si="75"/>
        <v>1.4006908531569968</v>
      </c>
      <c r="H218" s="3212">
        <f t="shared" si="75"/>
        <v>2.0443258105746414</v>
      </c>
      <c r="I218" s="3212">
        <f t="shared" si="75"/>
        <v>2.6443861969568063</v>
      </c>
      <c r="J218" s="3212">
        <f t="shared" si="75"/>
        <v>3.201749708754055</v>
      </c>
      <c r="K218" s="3212">
        <f t="shared" si="75"/>
        <v>3.7283268054488179</v>
      </c>
      <c r="L218" s="3212">
        <f t="shared" si="75"/>
        <v>4.2311149403303983</v>
      </c>
      <c r="M218" s="3212">
        <f t="shared" si="75"/>
        <v>4.7224672850858873</v>
      </c>
      <c r="N218" s="3212">
        <f t="shared" si="75"/>
        <v>5.18976492755918</v>
      </c>
      <c r="O218" s="3212">
        <f t="shared" si="75"/>
        <v>5.6434186674075768</v>
      </c>
      <c r="P218" s="3212">
        <f t="shared" si="75"/>
        <v>6.085214894162319</v>
      </c>
      <c r="Q218" s="3213">
        <f t="shared" si="75"/>
        <v>6.5165584101690772</v>
      </c>
      <c r="R218" s="2468"/>
      <c r="U218" s="2970"/>
    </row>
    <row r="219" spans="1:21" s="2475" customFormat="1" ht="15.9" hidden="1" customHeight="1" x14ac:dyDescent="0.2">
      <c r="A219" s="2468"/>
      <c r="B219" s="3214" t="s">
        <v>566</v>
      </c>
      <c r="C219" s="3211"/>
      <c r="D219" s="3211"/>
      <c r="E219" s="3211"/>
      <c r="F219" s="3212">
        <f>F218*General!$C$97</f>
        <v>0</v>
      </c>
      <c r="G219" s="3212">
        <f>G218*General!$C$97</f>
        <v>0</v>
      </c>
      <c r="H219" s="3212">
        <f>H218*General!$C$97</f>
        <v>0</v>
      </c>
      <c r="I219" s="3212">
        <f>I218*General!$C$97</f>
        <v>0</v>
      </c>
      <c r="J219" s="3212">
        <f>J218*General!$C$97</f>
        <v>0</v>
      </c>
      <c r="K219" s="3212">
        <f>K218*General!$C$97</f>
        <v>0</v>
      </c>
      <c r="L219" s="3212">
        <f>L218*General!$C$97</f>
        <v>0</v>
      </c>
      <c r="M219" s="3212">
        <f>M218*General!$C$97</f>
        <v>0</v>
      </c>
      <c r="N219" s="3212">
        <f>N218*General!$C$97</f>
        <v>0</v>
      </c>
      <c r="O219" s="3212">
        <f>O218*General!$C$97</f>
        <v>0</v>
      </c>
      <c r="P219" s="3212">
        <f>P218*General!$C$97</f>
        <v>0</v>
      </c>
      <c r="Q219" s="3213">
        <f>Q218*General!$C$97</f>
        <v>0</v>
      </c>
      <c r="R219" s="2468"/>
      <c r="U219" s="2970"/>
    </row>
    <row r="220" spans="1:21" s="2475" customFormat="1" ht="15.9" hidden="1" customHeight="1" x14ac:dyDescent="0.2">
      <c r="A220" s="2468"/>
      <c r="B220" s="3214" t="s">
        <v>235</v>
      </c>
      <c r="C220" s="3211"/>
      <c r="D220" s="3211"/>
      <c r="E220" s="3211"/>
      <c r="F220" s="3215">
        <f t="shared" ref="F220:Q220" si="76">0.0557*F111^0.75*F109^1.097</f>
        <v>0.14422941974744791</v>
      </c>
      <c r="G220" s="3215">
        <f t="shared" si="76"/>
        <v>0.32078530701414198</v>
      </c>
      <c r="H220" s="3215">
        <f t="shared" si="76"/>
        <v>0.46819016580571388</v>
      </c>
      <c r="I220" s="3215">
        <f t="shared" si="76"/>
        <v>0.60561560471593145</v>
      </c>
      <c r="J220" s="3215">
        <f t="shared" si="76"/>
        <v>0.73326263321431817</v>
      </c>
      <c r="K220" s="3215">
        <f t="shared" si="76"/>
        <v>0.85385897697505797</v>
      </c>
      <c r="L220" s="3215">
        <f t="shared" si="76"/>
        <v>0.96900718819349563</v>
      </c>
      <c r="M220" s="3215">
        <f t="shared" si="76"/>
        <v>1.0815363822046178</v>
      </c>
      <c r="N220" s="3215">
        <f t="shared" si="76"/>
        <v>1.1885565839642835</v>
      </c>
      <c r="O220" s="3215">
        <f t="shared" si="76"/>
        <v>1.2924520680301528</v>
      </c>
      <c r="P220" s="3215">
        <f t="shared" si="76"/>
        <v>1.393631952169315</v>
      </c>
      <c r="Q220" s="3216">
        <f t="shared" si="76"/>
        <v>1.4924179633001229</v>
      </c>
      <c r="R220" s="2468"/>
      <c r="U220" s="2970"/>
    </row>
    <row r="221" spans="1:21" s="2475" customFormat="1" ht="15.9" hidden="1" customHeight="1" x14ac:dyDescent="0.2">
      <c r="A221" s="2468"/>
      <c r="B221" s="3214" t="s">
        <v>236</v>
      </c>
      <c r="C221" s="3211"/>
      <c r="D221" s="3211"/>
      <c r="E221" s="3211"/>
      <c r="F221" s="3215">
        <f>SUM(F218:F220)</f>
        <v>0.77399900264011201</v>
      </c>
      <c r="G221" s="3215">
        <f t="shared" ref="G221:Q221" si="77">SUM(G218:G220)</f>
        <v>1.7214761601711388</v>
      </c>
      <c r="H221" s="3215">
        <f t="shared" si="77"/>
        <v>2.5125159763803553</v>
      </c>
      <c r="I221" s="3215">
        <f t="shared" si="77"/>
        <v>3.2500018016727377</v>
      </c>
      <c r="J221" s="3215">
        <f t="shared" si="77"/>
        <v>3.9350123419683731</v>
      </c>
      <c r="K221" s="3215">
        <f t="shared" si="77"/>
        <v>4.5821857824238759</v>
      </c>
      <c r="L221" s="3215">
        <f t="shared" si="77"/>
        <v>5.2001221285238941</v>
      </c>
      <c r="M221" s="3215">
        <f t="shared" si="77"/>
        <v>5.8040036672905053</v>
      </c>
      <c r="N221" s="3215">
        <f t="shared" si="77"/>
        <v>6.3783215115234633</v>
      </c>
      <c r="O221" s="3215">
        <f t="shared" si="77"/>
        <v>6.9358707354377298</v>
      </c>
      <c r="P221" s="3215">
        <f t="shared" si="77"/>
        <v>7.478846846331634</v>
      </c>
      <c r="Q221" s="3216">
        <f t="shared" si="77"/>
        <v>8.0089763734691992</v>
      </c>
      <c r="R221" s="2468"/>
      <c r="U221" s="2970"/>
    </row>
    <row r="222" spans="1:21" s="2475" customFormat="1" ht="15.9" hidden="1" customHeight="1" x14ac:dyDescent="0.2">
      <c r="A222" s="2468"/>
      <c r="B222" s="1757" t="s">
        <v>241</v>
      </c>
      <c r="C222" s="3218"/>
      <c r="D222" s="3218"/>
      <c r="E222" s="3218"/>
      <c r="F222" s="3219">
        <f>IFERROR(F221/A.Lecheros!F490,0)</f>
        <v>0.33652130549570092</v>
      </c>
      <c r="G222" s="3219">
        <f>IFERROR(G221/A.Lecheros!G490,0)</f>
        <v>0.74846789572658212</v>
      </c>
      <c r="H222" s="3219">
        <f>IFERROR(H221/A.Lecheros!H490,0)</f>
        <v>1.0923982506001546</v>
      </c>
      <c r="I222" s="3219">
        <f>IFERROR(I221/A.Lecheros!I490,0)</f>
        <v>1.4130442615968426</v>
      </c>
      <c r="J222" s="3219">
        <f>IFERROR(J221/A.Lecheros!J490,0)</f>
        <v>1.7108749312905971</v>
      </c>
      <c r="K222" s="3219">
        <f>IFERROR(K221/A.Lecheros!K490,0)</f>
        <v>1.9922546880103809</v>
      </c>
      <c r="L222" s="3219">
        <f>IFERROR(L221/A.Lecheros!L490,0)</f>
        <v>2.2609226645756064</v>
      </c>
      <c r="M222" s="3219">
        <f>IFERROR(M221/A.Lecheros!M490,0)</f>
        <v>2.5234798553436981</v>
      </c>
      <c r="N222" s="3219">
        <f>IFERROR(N221/A.Lecheros!N490,0)</f>
        <v>2.773183265879767</v>
      </c>
      <c r="O222" s="3219">
        <f>IFERROR(O221/A.Lecheros!O490,0)</f>
        <v>3.0155959719294478</v>
      </c>
      <c r="P222" s="3219">
        <f>IFERROR(P221/A.Lecheros!P490,0)</f>
        <v>3.2516725418833192</v>
      </c>
      <c r="Q222" s="1756">
        <f>IFERROR(Q221/A.Lecheros!Q490,0)</f>
        <v>3.4821636406387824</v>
      </c>
      <c r="R222" s="2468"/>
      <c r="U222" s="2970"/>
    </row>
    <row r="223" spans="1:21" s="2475" customFormat="1" ht="15.9" hidden="1" customHeight="1" thickBot="1" x14ac:dyDescent="0.25">
      <c r="A223" s="2468"/>
      <c r="B223" s="3220" t="s">
        <v>237</v>
      </c>
      <c r="C223" s="3221"/>
      <c r="D223" s="3221"/>
      <c r="E223" s="3221"/>
      <c r="F223" s="3226">
        <f>IF(F111=0,0,((33.44*(F111^0.75*(0.1493*A.Lecheros!F490-0.046*A.Lecheros!F490*A.Lecheros!F490-0.0196)))+2.75*F111^0.6+0.2*F111^0.6+F109*(268-29.4*F220/F109))/(0.9*0.66*1))</f>
        <v>281.57129863526865</v>
      </c>
      <c r="G223" s="3226">
        <f>IF(G111=0,0,((33.44*(G111^0.75*(0.1493*A.Lecheros!G490-0.046*A.Lecheros!G490*A.Lecheros!G490-0.0196)))+2.75*G111^0.6+0.2*G111^0.6+G109*(268-29.4*G220/G109))/(0.9*0.66*1))</f>
        <v>316.58180598290841</v>
      </c>
      <c r="H223" s="3226">
        <f>IF(H111=0,0,((33.44*(H111^0.75*(0.1493*A.Lecheros!H490-0.046*A.Lecheros!H490*A.Lecheros!H490-0.0196)))+2.75*H111^0.6+0.2*H111^0.6+H109*(268-29.4*H220/H109))/(0.9*0.66*1))</f>
        <v>344.40790933011931</v>
      </c>
      <c r="I223" s="3226">
        <f>IF(I111=0,0,((33.44*(I111^0.75*(0.1493*A.Lecheros!I490-0.046*A.Lecheros!I490*A.Lecheros!I490-0.0196)))+2.75*I111^0.6+0.2*I111^0.6+I109*(268-29.4*I220/I109))/(0.9*0.66*1))</f>
        <v>369.67177875946919</v>
      </c>
      <c r="J223" s="3226">
        <f>IF(J111=0,0,((33.44*(J111^0.75*(0.1493*A.Lecheros!J490-0.046*A.Lecheros!J490*A.Lecheros!J490-0.0196)))+2.75*J111^0.6+0.2*J111^0.6+J109*(268-29.4*J220/J109))/(0.9*0.66*1))</f>
        <v>392.71283560605332</v>
      </c>
      <c r="K223" s="3226">
        <f>IF(K111=0,0,((33.44*(K111^0.75*(0.1493*A.Lecheros!K490-0.046*A.Lecheros!K490*A.Lecheros!K490-0.0196)))+2.75*K111^0.6+0.2*K111^0.6+K109*(268-29.4*K220/K109))/(0.9*0.66*1))</f>
        <v>414.18426624399314</v>
      </c>
      <c r="L223" s="3226">
        <f>IF(L111=0,0,((33.44*(L111^0.75*(0.1493*A.Lecheros!L490-0.046*A.Lecheros!L490*A.Lecheros!L490-0.0196)))+2.75*L111^0.6+0.2*L111^0.6+L109*(268-29.4*L220/L109))/(0.9*0.66*1))</f>
        <v>434.46218552792914</v>
      </c>
      <c r="M223" s="3226">
        <f>IF(M111=0,0,((33.44*(M111^0.75*(0.1493*A.Lecheros!M490-0.046*A.Lecheros!M490*A.Lecheros!M490-0.0196)))+2.75*M111^0.6+0.2*M111^0.6+M109*(268-29.4*M220/M109))/(0.9*0.66*1))</f>
        <v>454.09813389001545</v>
      </c>
      <c r="N223" s="3226">
        <f>IF(N111=0,0,((33.44*(N111^0.75*(0.1493*A.Lecheros!N490-0.046*A.Lecheros!N490*A.Lecheros!N490-0.0196)))+2.75*N111^0.6+0.2*N111^0.6+N109*(268-29.4*N220/N109))/(0.9*0.66*1))</f>
        <v>472.62746235704901</v>
      </c>
      <c r="O223" s="3226">
        <f>IF(O111=0,0,((33.44*(O111^0.75*(0.1493*A.Lecheros!O490-0.046*A.Lecheros!O490*A.Lecheros!O490-0.0196)))+2.75*O111^0.6+0.2*O111^0.6+O109*(268-29.4*O220/O109))/(0.9*0.66*1))</f>
        <v>490.4949462871873</v>
      </c>
      <c r="P223" s="3226">
        <f>IF(P111=0,0,((33.44*(P111^0.75*(0.1493*A.Lecheros!P490-0.046*A.Lecheros!P490*A.Lecheros!P490-0.0196)))+2.75*P111^0.6+0.2*P111^0.6+P109*(268-29.4*P220/P109))/(0.9*0.66*1))</f>
        <v>507.79199962773487</v>
      </c>
      <c r="Q223" s="3227">
        <f>IF(Q111=0,0,((33.44*(Q111^0.75*(0.1493*A.Lecheros!Q490-0.046*A.Lecheros!Q490*A.Lecheros!Q490-0.0196)))+2.75*Q111^0.6+0.2*Q111^0.6+Q109*(268-29.4*Q220/Q109))/(0.9*0.66*1))</f>
        <v>524.58991101815559</v>
      </c>
      <c r="R223" s="2468"/>
      <c r="U223" s="2970"/>
    </row>
    <row r="224" spans="1:21" ht="15.05" hidden="1" thickTop="1" x14ac:dyDescent="0.3"/>
    <row r="225" spans="1:21" s="2468" customFormat="1" ht="15.9" hidden="1" customHeight="1" thickBot="1" x14ac:dyDescent="0.25">
      <c r="B225" s="3292" t="s">
        <v>1501</v>
      </c>
      <c r="C225" s="3421"/>
      <c r="D225" s="3421"/>
      <c r="E225" s="3421"/>
      <c r="F225" s="3422"/>
      <c r="G225" s="3422"/>
      <c r="H225" s="3422"/>
      <c r="I225" s="3422"/>
      <c r="J225" s="3422"/>
      <c r="K225" s="3422"/>
      <c r="L225" s="3422"/>
      <c r="M225" s="3422"/>
      <c r="N225" s="3422"/>
      <c r="O225" s="3422"/>
      <c r="P225" s="3422"/>
      <c r="Q225" s="3422"/>
      <c r="U225" s="2469"/>
    </row>
    <row r="226" spans="1:21" s="2468" customFormat="1" ht="15.9" hidden="1" customHeight="1" thickTop="1" x14ac:dyDescent="0.2">
      <c r="A226" s="3071">
        <v>1150</v>
      </c>
      <c r="B226" s="3087" t="s">
        <v>2060</v>
      </c>
      <c r="C226" s="3249"/>
      <c r="D226" s="3249"/>
      <c r="E226" s="3249"/>
      <c r="F226" s="3250"/>
      <c r="G226" s="3250"/>
      <c r="H226" s="3250"/>
      <c r="I226" s="3250"/>
      <c r="J226" s="3250"/>
      <c r="K226" s="3250"/>
      <c r="L226" s="3250"/>
      <c r="M226" s="3250"/>
      <c r="N226" s="3250"/>
      <c r="O226" s="3250"/>
      <c r="P226" s="3250"/>
      <c r="Q226" s="3251"/>
      <c r="U226" s="2469"/>
    </row>
    <row r="227" spans="1:21" s="2468" customFormat="1" ht="15.9" hidden="1" customHeight="1" x14ac:dyDescent="0.2">
      <c r="B227" s="3253" t="s">
        <v>491</v>
      </c>
      <c r="C227" s="3254"/>
      <c r="D227" s="3254"/>
      <c r="E227" s="3254"/>
      <c r="F227" s="3255">
        <f>+A.Ganaderos!F197*F26*A.Lecheros!F11</f>
        <v>0</v>
      </c>
      <c r="G227" s="3255">
        <f>+A.Ganaderos!G197*G26*A.Lecheros!G11</f>
        <v>0</v>
      </c>
      <c r="H227" s="3255">
        <f>+A.Ganaderos!H197*H26*A.Lecheros!H11</f>
        <v>0</v>
      </c>
      <c r="I227" s="3255">
        <f>+A.Ganaderos!I197*I26*A.Lecheros!I11</f>
        <v>0</v>
      </c>
      <c r="J227" s="3255">
        <f>+A.Ganaderos!J197*J26*A.Lecheros!J11</f>
        <v>0</v>
      </c>
      <c r="K227" s="3255">
        <f>+A.Ganaderos!K197*K26*A.Lecheros!K11</f>
        <v>0</v>
      </c>
      <c r="L227" s="3255">
        <f>+A.Ganaderos!L197*L26*A.Lecheros!L11</f>
        <v>0</v>
      </c>
      <c r="M227" s="3255">
        <f>+A.Ganaderos!M197*M26*A.Lecheros!M11</f>
        <v>0</v>
      </c>
      <c r="N227" s="3255">
        <f>+A.Ganaderos!N197*N26*A.Lecheros!N11</f>
        <v>0</v>
      </c>
      <c r="O227" s="3255">
        <f>+A.Ganaderos!O197*O26*A.Lecheros!O11</f>
        <v>0</v>
      </c>
      <c r="P227" s="3255">
        <f>+A.Ganaderos!P197*P26*A.Lecheros!P11</f>
        <v>0</v>
      </c>
      <c r="Q227" s="3256">
        <f>+A.Ganaderos!Q197*Q26*A.Lecheros!Q11</f>
        <v>0</v>
      </c>
      <c r="U227" s="2469"/>
    </row>
    <row r="228" spans="1:21" s="2468" customFormat="1" ht="15.9" hidden="1" customHeight="1" x14ac:dyDescent="0.2">
      <c r="B228" s="3252" t="s">
        <v>1969</v>
      </c>
      <c r="C228" s="3218"/>
      <c r="D228" s="3218"/>
      <c r="E228" s="3218"/>
      <c r="F228" s="3139">
        <f>A.Ganaderos!F205*F52*A.Lecheros!F$11</f>
        <v>0</v>
      </c>
      <c r="G228" s="3139">
        <f>A.Ganaderos!G205*G52*A.Lecheros!G$11</f>
        <v>0</v>
      </c>
      <c r="H228" s="3139">
        <f>A.Ganaderos!H205*H52*A.Lecheros!H$11</f>
        <v>0</v>
      </c>
      <c r="I228" s="3139">
        <f>A.Ganaderos!I205*I52*A.Lecheros!I$11</f>
        <v>0</v>
      </c>
      <c r="J228" s="3139">
        <f>A.Ganaderos!J205*J52*A.Lecheros!J$11</f>
        <v>0</v>
      </c>
      <c r="K228" s="3139">
        <f>A.Ganaderos!K205*K52*A.Lecheros!K$11</f>
        <v>0</v>
      </c>
      <c r="L228" s="3139">
        <f>A.Ganaderos!L205*L52*A.Lecheros!L$11</f>
        <v>0</v>
      </c>
      <c r="M228" s="3139">
        <f>A.Ganaderos!M205*M52*A.Lecheros!M$11</f>
        <v>0</v>
      </c>
      <c r="N228" s="3139">
        <f>A.Ganaderos!N205*N52*A.Lecheros!N$11</f>
        <v>0</v>
      </c>
      <c r="O228" s="3139">
        <f>A.Ganaderos!O205*O52*A.Lecheros!O$11</f>
        <v>0</v>
      </c>
      <c r="P228" s="3139">
        <f>A.Ganaderos!P205*P52*A.Lecheros!P$11</f>
        <v>0</v>
      </c>
      <c r="Q228" s="3123">
        <f>A.Ganaderos!Q205*Q52*A.Lecheros!Q$11</f>
        <v>0</v>
      </c>
      <c r="U228" s="2469"/>
    </row>
    <row r="229" spans="1:21" s="2468" customFormat="1" ht="15.9" hidden="1" customHeight="1" x14ac:dyDescent="0.2">
      <c r="B229" s="3252" t="str">
        <f>A.Ganaderos!B209</f>
        <v>Novillos 1 a 2 Años</v>
      </c>
      <c r="C229" s="3218"/>
      <c r="D229" s="3218"/>
      <c r="E229" s="3218"/>
      <c r="F229" s="3139">
        <f>A.Ganaderos!F213*F79*A.Lecheros!F$11</f>
        <v>0</v>
      </c>
      <c r="G229" s="3139">
        <f>A.Ganaderos!G213*G79*A.Lecheros!G$11</f>
        <v>0</v>
      </c>
      <c r="H229" s="3139">
        <f>A.Ganaderos!H213*H79*A.Lecheros!H$11</f>
        <v>0</v>
      </c>
      <c r="I229" s="3139">
        <f>A.Ganaderos!I213*I79*A.Lecheros!I$11</f>
        <v>0</v>
      </c>
      <c r="J229" s="3139">
        <f>A.Ganaderos!J213*J79*A.Lecheros!J$11</f>
        <v>0</v>
      </c>
      <c r="K229" s="3139">
        <f>A.Ganaderos!K213*K79*A.Lecheros!K$11</f>
        <v>0</v>
      </c>
      <c r="L229" s="3139">
        <f>A.Ganaderos!L213*L79*A.Lecheros!L$11</f>
        <v>0</v>
      </c>
      <c r="M229" s="3139">
        <f>A.Ganaderos!M213*M79*A.Lecheros!M$11</f>
        <v>0</v>
      </c>
      <c r="N229" s="3139">
        <f>A.Ganaderos!N213*N79*A.Lecheros!N$11</f>
        <v>0</v>
      </c>
      <c r="O229" s="3139">
        <f>A.Ganaderos!O213*O79*A.Lecheros!O$11</f>
        <v>0</v>
      </c>
      <c r="P229" s="3139">
        <f>A.Ganaderos!P213*P79*A.Lecheros!P$11</f>
        <v>0</v>
      </c>
      <c r="Q229" s="3123">
        <f>A.Ganaderos!Q213*Q79*A.Lecheros!Q$11</f>
        <v>0</v>
      </c>
      <c r="U229" s="2469"/>
    </row>
    <row r="230" spans="1:21" s="2468" customFormat="1" ht="15.9" hidden="1" customHeight="1" x14ac:dyDescent="0.2">
      <c r="B230" s="3252" t="s">
        <v>1970</v>
      </c>
      <c r="C230" s="3218"/>
      <c r="D230" s="3218"/>
      <c r="E230" s="3218"/>
      <c r="F230" s="3139">
        <f>A.Ganaderos!F222*F108*A.Lecheros!F$11</f>
        <v>0</v>
      </c>
      <c r="G230" s="3139">
        <f>A.Ganaderos!G222*G108*A.Lecheros!G$11</f>
        <v>0</v>
      </c>
      <c r="H230" s="3139">
        <f>A.Ganaderos!H222*H108*A.Lecheros!H$11</f>
        <v>0</v>
      </c>
      <c r="I230" s="3139">
        <f>A.Ganaderos!I222*I108*A.Lecheros!I$11</f>
        <v>0</v>
      </c>
      <c r="J230" s="3139">
        <f>A.Ganaderos!J222*J108*A.Lecheros!J$11</f>
        <v>0</v>
      </c>
      <c r="K230" s="3139">
        <f>A.Ganaderos!K222*K108*A.Lecheros!K$11</f>
        <v>0</v>
      </c>
      <c r="L230" s="3139">
        <f>A.Ganaderos!L222*L108*A.Lecheros!L$11</f>
        <v>0</v>
      </c>
      <c r="M230" s="3139">
        <f>A.Ganaderos!M222*M108*A.Lecheros!M$11</f>
        <v>0</v>
      </c>
      <c r="N230" s="3139">
        <f>A.Ganaderos!N222*N108*A.Lecheros!N$11</f>
        <v>0</v>
      </c>
      <c r="O230" s="3139">
        <f>A.Ganaderos!O222*O108*A.Lecheros!O$11</f>
        <v>0</v>
      </c>
      <c r="P230" s="3139">
        <f>A.Ganaderos!P222*P108*A.Lecheros!P$11</f>
        <v>0</v>
      </c>
      <c r="Q230" s="3123">
        <f>A.Ganaderos!Q222*Q108*A.Lecheros!Q$11</f>
        <v>0</v>
      </c>
      <c r="U230" s="2469"/>
    </row>
    <row r="231" spans="1:21" s="2468" customFormat="1" ht="15.9" hidden="1" customHeight="1" thickBot="1" x14ac:dyDescent="0.25">
      <c r="B231" s="3423" t="s">
        <v>230</v>
      </c>
      <c r="C231" s="3424"/>
      <c r="D231" s="3424"/>
      <c r="E231" s="3424"/>
      <c r="F231" s="3425">
        <f t="shared" ref="F231:Q231" si="78">SUM(F227:F230)</f>
        <v>0</v>
      </c>
      <c r="G231" s="3425">
        <f t="shared" si="78"/>
        <v>0</v>
      </c>
      <c r="H231" s="3425">
        <f t="shared" si="78"/>
        <v>0</v>
      </c>
      <c r="I231" s="3425">
        <f t="shared" si="78"/>
        <v>0</v>
      </c>
      <c r="J231" s="3425">
        <f t="shared" si="78"/>
        <v>0</v>
      </c>
      <c r="K231" s="3425">
        <f t="shared" si="78"/>
        <v>0</v>
      </c>
      <c r="L231" s="3425">
        <f t="shared" si="78"/>
        <v>0</v>
      </c>
      <c r="M231" s="3425">
        <f t="shared" si="78"/>
        <v>0</v>
      </c>
      <c r="N231" s="3425">
        <f t="shared" si="78"/>
        <v>0</v>
      </c>
      <c r="O231" s="3425">
        <f t="shared" si="78"/>
        <v>0</v>
      </c>
      <c r="P231" s="3425">
        <f t="shared" si="78"/>
        <v>0</v>
      </c>
      <c r="Q231" s="3426">
        <f t="shared" si="78"/>
        <v>0</v>
      </c>
      <c r="U231" s="2469"/>
    </row>
    <row r="232" spans="1:21" s="2468" customFormat="1" ht="15.05" hidden="1" thickTop="1" x14ac:dyDescent="0.2">
      <c r="A232" s="3071">
        <v>1151</v>
      </c>
      <c r="B232" s="3087" t="s">
        <v>2061</v>
      </c>
      <c r="C232" s="3249"/>
      <c r="D232" s="3249"/>
      <c r="E232" s="3249"/>
      <c r="F232" s="3250"/>
      <c r="G232" s="3250"/>
      <c r="H232" s="3250"/>
      <c r="I232" s="3250"/>
      <c r="J232" s="3250"/>
      <c r="K232" s="3250"/>
      <c r="L232" s="3250"/>
      <c r="M232" s="3250"/>
      <c r="N232" s="3250"/>
      <c r="O232" s="3250"/>
      <c r="P232" s="3250"/>
      <c r="Q232" s="3251"/>
      <c r="U232" s="2469"/>
    </row>
    <row r="233" spans="1:21" s="2468" customFormat="1" ht="15.9" hidden="1" customHeight="1" x14ac:dyDescent="0.2">
      <c r="B233" s="3253" t="s">
        <v>491</v>
      </c>
      <c r="C233" s="3254"/>
      <c r="D233" s="3254"/>
      <c r="E233" s="3254"/>
      <c r="F233" s="3255">
        <f>+A.Ganaderos!F198*F26*A.Lecheros!F11</f>
        <v>0</v>
      </c>
      <c r="G233" s="3255">
        <f>+A.Ganaderos!G198*G26*A.Lecheros!G11</f>
        <v>0</v>
      </c>
      <c r="H233" s="3255">
        <f>+A.Ganaderos!H198*H26*A.Lecheros!H11</f>
        <v>0</v>
      </c>
      <c r="I233" s="3255">
        <f>+A.Ganaderos!I198*I26*A.Lecheros!I11</f>
        <v>0</v>
      </c>
      <c r="J233" s="3255">
        <f>+A.Ganaderos!J198*J26*A.Lecheros!J11</f>
        <v>0</v>
      </c>
      <c r="K233" s="3255">
        <f>+A.Ganaderos!K198*K26*A.Lecheros!K11</f>
        <v>0</v>
      </c>
      <c r="L233" s="3255">
        <f>+A.Ganaderos!L198*L26*A.Lecheros!L11</f>
        <v>0</v>
      </c>
      <c r="M233" s="3255">
        <f>+A.Ganaderos!M198*M26*A.Lecheros!M11</f>
        <v>0</v>
      </c>
      <c r="N233" s="3255">
        <f>+A.Ganaderos!N198*N26*A.Lecheros!N11</f>
        <v>0</v>
      </c>
      <c r="O233" s="3255">
        <f>+A.Ganaderos!O198*O26*A.Lecheros!O11</f>
        <v>0</v>
      </c>
      <c r="P233" s="3255">
        <f>+A.Ganaderos!P198*P26*A.Lecheros!P11</f>
        <v>0</v>
      </c>
      <c r="Q233" s="3256">
        <f>+A.Ganaderos!Q198*Q26*A.Lecheros!Q11</f>
        <v>0</v>
      </c>
      <c r="U233" s="2469"/>
    </row>
    <row r="234" spans="1:21" s="2468" customFormat="1" ht="15.9" hidden="1" customHeight="1" x14ac:dyDescent="0.2">
      <c r="B234" s="3252" t="s">
        <v>1969</v>
      </c>
      <c r="C234" s="3218"/>
      <c r="D234" s="3218"/>
      <c r="E234" s="3218"/>
      <c r="F234" s="3139">
        <f>A.Ganaderos!F206*F52*A.Lecheros!F$11</f>
        <v>0</v>
      </c>
      <c r="G234" s="3139">
        <f>A.Ganaderos!G206*G52*A.Lecheros!G$11</f>
        <v>0</v>
      </c>
      <c r="H234" s="3139">
        <f>A.Ganaderos!H206*H52*A.Lecheros!H$11</f>
        <v>0</v>
      </c>
      <c r="I234" s="3139">
        <f>A.Ganaderos!I206*I52*A.Lecheros!I$11</f>
        <v>0</v>
      </c>
      <c r="J234" s="3139">
        <f>A.Ganaderos!J206*J52*A.Lecheros!J$11</f>
        <v>0</v>
      </c>
      <c r="K234" s="3139">
        <f>A.Ganaderos!K206*K52*A.Lecheros!K$11</f>
        <v>0</v>
      </c>
      <c r="L234" s="3139">
        <f>A.Ganaderos!L206*L52*A.Lecheros!L$11</f>
        <v>0</v>
      </c>
      <c r="M234" s="3139">
        <f>A.Ganaderos!M206*M52*A.Lecheros!M$11</f>
        <v>0</v>
      </c>
      <c r="N234" s="3139">
        <f>A.Ganaderos!N206*N52*A.Lecheros!N$11</f>
        <v>0</v>
      </c>
      <c r="O234" s="3139">
        <f>A.Ganaderos!O206*O52*A.Lecheros!O$11</f>
        <v>0</v>
      </c>
      <c r="P234" s="3139">
        <f>A.Ganaderos!P206*P52*A.Lecheros!P$11</f>
        <v>0</v>
      </c>
      <c r="Q234" s="3123">
        <f>A.Ganaderos!Q206*Q52*A.Lecheros!Q$11</f>
        <v>0</v>
      </c>
      <c r="U234" s="2469"/>
    </row>
    <row r="235" spans="1:21" s="2468" customFormat="1" ht="15.9" hidden="1" customHeight="1" x14ac:dyDescent="0.2">
      <c r="B235" s="3252" t="str">
        <f>A.Ganaderos!B229</f>
        <v>Novillos 1 a 2 Años</v>
      </c>
      <c r="C235" s="3218"/>
      <c r="D235" s="3218"/>
      <c r="E235" s="3218"/>
      <c r="F235" s="3139">
        <f>A.Ganaderos!F214*F79*A.Lecheros!F$11</f>
        <v>0</v>
      </c>
      <c r="G235" s="3139">
        <f>A.Ganaderos!G214*G79*A.Lecheros!G$11</f>
        <v>0</v>
      </c>
      <c r="H235" s="3139">
        <f>A.Ganaderos!H214*H79*A.Lecheros!H$11</f>
        <v>0</v>
      </c>
      <c r="I235" s="3139">
        <f>A.Ganaderos!I214*I79*A.Lecheros!I$11</f>
        <v>0</v>
      </c>
      <c r="J235" s="3139">
        <f>A.Ganaderos!J214*J79*A.Lecheros!J$11</f>
        <v>0</v>
      </c>
      <c r="K235" s="3139">
        <f>A.Ganaderos!K214*K79*A.Lecheros!K$11</f>
        <v>0</v>
      </c>
      <c r="L235" s="3139">
        <f>A.Ganaderos!L214*L79*A.Lecheros!L$11</f>
        <v>0</v>
      </c>
      <c r="M235" s="3139">
        <f>A.Ganaderos!M214*M79*A.Lecheros!M$11</f>
        <v>0</v>
      </c>
      <c r="N235" s="3139">
        <f>A.Ganaderos!N214*N79*A.Lecheros!N$11</f>
        <v>0</v>
      </c>
      <c r="O235" s="3139">
        <f>A.Ganaderos!O214*O79*A.Lecheros!O$11</f>
        <v>0</v>
      </c>
      <c r="P235" s="3139">
        <f>A.Ganaderos!P214*P79*A.Lecheros!P$11</f>
        <v>0</v>
      </c>
      <c r="Q235" s="3123">
        <f>A.Ganaderos!Q214*Q79*A.Lecheros!Q$11</f>
        <v>0</v>
      </c>
      <c r="U235" s="2469"/>
    </row>
    <row r="236" spans="1:21" s="2468" customFormat="1" ht="15.9" hidden="1" customHeight="1" x14ac:dyDescent="0.2">
      <c r="B236" s="3252" t="s">
        <v>1970</v>
      </c>
      <c r="C236" s="3218"/>
      <c r="D236" s="3218"/>
      <c r="E236" s="3218"/>
      <c r="F236" s="3139">
        <f>A.Ganaderos!F222*F108*A.Lecheros!F$11</f>
        <v>0</v>
      </c>
      <c r="G236" s="3139">
        <f>A.Ganaderos!G222*G108*A.Lecheros!G$11</f>
        <v>0</v>
      </c>
      <c r="H236" s="3139">
        <f>A.Ganaderos!H222*H108*A.Lecheros!H$11</f>
        <v>0</v>
      </c>
      <c r="I236" s="3139">
        <f>A.Ganaderos!I222*I108*A.Lecheros!I$11</f>
        <v>0</v>
      </c>
      <c r="J236" s="3139">
        <f>A.Ganaderos!J222*J108*A.Lecheros!J$11</f>
        <v>0</v>
      </c>
      <c r="K236" s="3139">
        <f>A.Ganaderos!K222*K108*A.Lecheros!K$11</f>
        <v>0</v>
      </c>
      <c r="L236" s="3139">
        <f>A.Ganaderos!L222*L108*A.Lecheros!L$11</f>
        <v>0</v>
      </c>
      <c r="M236" s="3139">
        <f>A.Ganaderos!M222*M108*A.Lecheros!M$11</f>
        <v>0</v>
      </c>
      <c r="N236" s="3139">
        <f>A.Ganaderos!N222*N108*A.Lecheros!N$11</f>
        <v>0</v>
      </c>
      <c r="O236" s="3139">
        <f>A.Ganaderos!O222*O108*A.Lecheros!O$11</f>
        <v>0</v>
      </c>
      <c r="P236" s="3139">
        <f>A.Ganaderos!P222*P108*A.Lecheros!P$11</f>
        <v>0</v>
      </c>
      <c r="Q236" s="3123">
        <f>A.Ganaderos!Q222*Q108*A.Lecheros!Q$11</f>
        <v>0</v>
      </c>
      <c r="U236" s="2469"/>
    </row>
    <row r="237" spans="1:21" s="2468" customFormat="1" ht="15.9" hidden="1" customHeight="1" thickBot="1" x14ac:dyDescent="0.25">
      <c r="B237" s="3423" t="s">
        <v>230</v>
      </c>
      <c r="C237" s="3424"/>
      <c r="D237" s="3424"/>
      <c r="E237" s="3424"/>
      <c r="F237" s="3425">
        <f t="shared" ref="F237:Q237" si="79">SUM(F233:F236)</f>
        <v>0</v>
      </c>
      <c r="G237" s="3425">
        <f t="shared" si="79"/>
        <v>0</v>
      </c>
      <c r="H237" s="3425">
        <f t="shared" si="79"/>
        <v>0</v>
      </c>
      <c r="I237" s="3425">
        <f t="shared" si="79"/>
        <v>0</v>
      </c>
      <c r="J237" s="3425">
        <f t="shared" si="79"/>
        <v>0</v>
      </c>
      <c r="K237" s="3425">
        <f t="shared" si="79"/>
        <v>0</v>
      </c>
      <c r="L237" s="3425">
        <f t="shared" si="79"/>
        <v>0</v>
      </c>
      <c r="M237" s="3425">
        <f t="shared" si="79"/>
        <v>0</v>
      </c>
      <c r="N237" s="3425">
        <f t="shared" si="79"/>
        <v>0</v>
      </c>
      <c r="O237" s="3425">
        <f t="shared" si="79"/>
        <v>0</v>
      </c>
      <c r="P237" s="3425">
        <f t="shared" si="79"/>
        <v>0</v>
      </c>
      <c r="Q237" s="3426">
        <f t="shared" si="79"/>
        <v>0</v>
      </c>
      <c r="U237" s="2469"/>
    </row>
    <row r="238" spans="1:21" ht="15.75" hidden="1" thickTop="1" thickBot="1" x14ac:dyDescent="0.35"/>
    <row r="239" spans="1:21" s="2475" customFormat="1" ht="19" hidden="1" thickTop="1" thickBot="1" x14ac:dyDescent="0.25">
      <c r="A239" s="2468"/>
      <c r="B239" s="3427" t="s">
        <v>1473</v>
      </c>
      <c r="C239" s="3428"/>
      <c r="D239" s="3428"/>
      <c r="E239" s="3428"/>
      <c r="F239" s="3429">
        <f t="shared" ref="F239:Q239" si="80">F29*F26+F52*F55+F79*F82+F108*F111</f>
        <v>0</v>
      </c>
      <c r="G239" s="3429">
        <f t="shared" si="80"/>
        <v>0</v>
      </c>
      <c r="H239" s="3429">
        <f t="shared" si="80"/>
        <v>0</v>
      </c>
      <c r="I239" s="3429">
        <f t="shared" si="80"/>
        <v>0</v>
      </c>
      <c r="J239" s="3429">
        <f t="shared" si="80"/>
        <v>0</v>
      </c>
      <c r="K239" s="3429">
        <f t="shared" si="80"/>
        <v>0</v>
      </c>
      <c r="L239" s="3429">
        <f t="shared" si="80"/>
        <v>0</v>
      </c>
      <c r="M239" s="3429">
        <f t="shared" si="80"/>
        <v>0</v>
      </c>
      <c r="N239" s="3429">
        <f t="shared" si="80"/>
        <v>0</v>
      </c>
      <c r="O239" s="3429">
        <f t="shared" si="80"/>
        <v>0</v>
      </c>
      <c r="P239" s="3429">
        <f t="shared" si="80"/>
        <v>0</v>
      </c>
      <c r="Q239" s="3430">
        <f t="shared" si="80"/>
        <v>0</v>
      </c>
      <c r="R239" s="2468"/>
      <c r="T239" s="2970"/>
    </row>
    <row r="240" spans="1:21" ht="15.05" hidden="1" thickTop="1" x14ac:dyDescent="0.3"/>
    <row r="241" spans="1:24" s="2475" customFormat="1" ht="15.9" hidden="1" customHeight="1" x14ac:dyDescent="0.2">
      <c r="A241" s="3175"/>
      <c r="B241" s="3198" t="s">
        <v>2076</v>
      </c>
      <c r="C241" s="3199"/>
      <c r="D241" s="3198"/>
      <c r="E241" s="3198"/>
      <c r="F241" s="3198"/>
      <c r="G241" s="3198"/>
      <c r="H241" s="3198"/>
      <c r="I241" s="3198"/>
      <c r="J241" s="3198"/>
      <c r="K241" s="3198"/>
      <c r="L241" s="3198"/>
      <c r="M241" s="3198"/>
      <c r="N241" s="3198"/>
      <c r="O241" s="3198"/>
      <c r="P241" s="3198"/>
      <c r="Q241" s="3198"/>
      <c r="R241" s="3198"/>
      <c r="S241" s="3266"/>
      <c r="T241" s="2970"/>
      <c r="X241" s="3177"/>
    </row>
    <row r="242" spans="1:24" s="2475" customFormat="1" hidden="1" x14ac:dyDescent="0.2">
      <c r="A242" s="3071">
        <v>1152</v>
      </c>
      <c r="B242" s="3292" t="s">
        <v>2077</v>
      </c>
      <c r="C242" s="2556" t="s">
        <v>1333</v>
      </c>
      <c r="D242" s="2618" t="s">
        <v>1334</v>
      </c>
      <c r="E242" s="2618"/>
      <c r="H242" s="3071">
        <v>1153</v>
      </c>
      <c r="I242" s="3292" t="s">
        <v>1340</v>
      </c>
      <c r="J242" s="2618"/>
      <c r="K242" s="2618"/>
      <c r="L242" s="2618"/>
      <c r="M242" s="2618"/>
      <c r="T242" s="2970"/>
    </row>
    <row r="243" spans="1:24" s="2475" customFormat="1" hidden="1" x14ac:dyDescent="0.2">
      <c r="A243" s="2468"/>
      <c r="B243" s="3078" t="s">
        <v>1330</v>
      </c>
      <c r="C243" s="3293" t="s">
        <v>1331</v>
      </c>
      <c r="D243" s="3078" t="s">
        <v>1335</v>
      </c>
      <c r="E243" s="3431"/>
      <c r="H243" s="2618" t="s">
        <v>1367</v>
      </c>
      <c r="I243" s="2618" t="s">
        <v>2079</v>
      </c>
      <c r="J243" s="2618" t="s">
        <v>2078</v>
      </c>
      <c r="K243" s="3294"/>
      <c r="L243" s="3295"/>
      <c r="M243" s="2618"/>
      <c r="T243" s="2970"/>
    </row>
    <row r="244" spans="1:24" s="2475" customFormat="1" hidden="1" x14ac:dyDescent="0.2">
      <c r="A244" s="2468"/>
      <c r="B244" s="3078" t="str">
        <f>+A.Ganaderos!B7</f>
        <v>Vacas descarte - Ganadería</v>
      </c>
      <c r="C244" s="3296">
        <f>+A.Ganaderos!R23</f>
        <v>0</v>
      </c>
      <c r="D244" s="3296">
        <f>+A.Ganaderos!R26</f>
        <v>0</v>
      </c>
      <c r="E244" s="2618"/>
      <c r="H244" s="3078"/>
      <c r="I244" s="3297">
        <v>1</v>
      </c>
      <c r="J244" s="3184">
        <f>+D244*I244</f>
        <v>0</v>
      </c>
      <c r="K244" s="3294"/>
      <c r="L244" s="3295"/>
      <c r="M244" s="2618"/>
      <c r="T244" s="2970"/>
    </row>
    <row r="245" spans="1:24" s="2475" customFormat="1" hidden="1" x14ac:dyDescent="0.2">
      <c r="A245" s="2468"/>
      <c r="B245" s="3078" t="str">
        <f>+A.Ganaderos!B33</f>
        <v>Novillos - 2 a 3 años</v>
      </c>
      <c r="C245" s="3293">
        <f>+A.Ganaderos!R46</f>
        <v>0</v>
      </c>
      <c r="D245" s="3184">
        <f>+A.Ganaderos!R52</f>
        <v>0</v>
      </c>
      <c r="E245" s="2618"/>
      <c r="H245" s="3078">
        <f>AVERAGE(A.Ganaderos!F55:Q55)</f>
        <v>0</v>
      </c>
      <c r="I245" s="3293">
        <f>+H245/380</f>
        <v>0</v>
      </c>
      <c r="J245" s="3184">
        <f>+D245*I245</f>
        <v>0</v>
      </c>
      <c r="K245" s="3432"/>
      <c r="L245" s="3433" t="s">
        <v>1368</v>
      </c>
      <c r="M245" s="2618"/>
      <c r="T245" s="2970"/>
    </row>
    <row r="246" spans="1:24" s="2475" customFormat="1" hidden="1" x14ac:dyDescent="0.2">
      <c r="A246" s="2468"/>
      <c r="B246" s="3078" t="str">
        <f>+A.Ganaderos!B60</f>
        <v>Novillos - 1 a 2 años</v>
      </c>
      <c r="C246" s="3293">
        <f>+A.Ganaderos!R73</f>
        <v>0</v>
      </c>
      <c r="D246" s="3293">
        <f>+A.Ganaderos!R79</f>
        <v>0</v>
      </c>
      <c r="E246" s="3431"/>
      <c r="H246" s="3079">
        <f>+AVERAGE(A.Ganaderos!F111:Q111)</f>
        <v>99.939583333333346</v>
      </c>
      <c r="I246" s="3190">
        <f>+H246/380</f>
        <v>0.26299890350877198</v>
      </c>
      <c r="J246" s="3293">
        <f>+D246*I246</f>
        <v>0</v>
      </c>
      <c r="K246" s="2618"/>
      <c r="L246" s="2618"/>
      <c r="M246" s="2618"/>
      <c r="T246" s="2970"/>
    </row>
    <row r="247" spans="1:24" s="2475" customFormat="1" hidden="1" x14ac:dyDescent="0.2">
      <c r="A247" s="2468"/>
      <c r="B247" s="3078" t="str">
        <f>+A.Ganaderos!B87</f>
        <v>Terneros &gt; 6 meses &lt; 1 año</v>
      </c>
      <c r="C247" s="3296">
        <f>+A.Ganaderos!R102</f>
        <v>0</v>
      </c>
      <c r="D247" s="3296">
        <f>+A.Ganaderos!R108</f>
        <v>0</v>
      </c>
      <c r="E247" s="2618"/>
      <c r="H247" s="3079">
        <f>+AVERAGE(A.Ganaderos!F111:Q111)</f>
        <v>99.939583333333346</v>
      </c>
      <c r="I247" s="3297">
        <f>+H247/380</f>
        <v>0.26299890350877198</v>
      </c>
      <c r="J247" s="3184">
        <f>+D247*I247</f>
        <v>0</v>
      </c>
      <c r="K247" s="2618"/>
      <c r="L247" s="2618"/>
      <c r="M247" s="2618"/>
      <c r="T247" s="2970"/>
    </row>
    <row r="248" spans="1:24" s="2475" customFormat="1" hidden="1" x14ac:dyDescent="0.2">
      <c r="A248" s="2468"/>
      <c r="B248" s="3078" t="str">
        <f>+A.Ganaderos!B116</f>
        <v>Terneros &lt;  6 meses</v>
      </c>
      <c r="C248" s="3293">
        <f>+A.Ganaderos!R131</f>
        <v>0</v>
      </c>
      <c r="D248" s="3184">
        <f>+A.Ganaderos!R135</f>
        <v>0</v>
      </c>
      <c r="E248" s="2618"/>
      <c r="H248" s="3078">
        <f>+General!C95</f>
        <v>0</v>
      </c>
      <c r="I248" s="3190">
        <f>+H248/380</f>
        <v>0</v>
      </c>
      <c r="J248" s="3184">
        <f>+D248*I248</f>
        <v>0</v>
      </c>
      <c r="K248" s="2618"/>
      <c r="L248" s="2618"/>
      <c r="M248" s="2618"/>
      <c r="T248" s="2970"/>
    </row>
    <row r="249" spans="1:24" s="2475" customFormat="1" hidden="1" x14ac:dyDescent="0.2">
      <c r="A249" s="2468"/>
      <c r="B249" s="3303" t="s">
        <v>230</v>
      </c>
      <c r="C249" s="3304">
        <f>+SUM(C245:C248)</f>
        <v>0</v>
      </c>
      <c r="D249" s="3304">
        <f>+SUM(D245:D248)</f>
        <v>0</v>
      </c>
      <c r="E249" s="3434">
        <f>IFERROR(C249/D249,0)</f>
        <v>0</v>
      </c>
      <c r="H249" s="2618"/>
      <c r="I249" s="2618"/>
      <c r="J249" s="3309">
        <f>+SUM(J244:J248)</f>
        <v>0</v>
      </c>
      <c r="K249" s="2618"/>
      <c r="L249" s="2618"/>
      <c r="M249" s="2618"/>
      <c r="T249" s="2970"/>
    </row>
  </sheetData>
  <sheetProtection password="CF72" sheet="1" objects="1" scenarios="1"/>
  <mergeCells count="4">
    <mergeCell ref="G2:I2"/>
    <mergeCell ref="G3:I3"/>
    <mergeCell ref="P4:R4"/>
    <mergeCell ref="R183:T183"/>
  </mergeCells>
  <conditionalFormatting sqref="E23">
    <cfRule type="expression" dxfId="1183" priority="666">
      <formula>E23&lt;&gt;R23</formula>
    </cfRule>
  </conditionalFormatting>
  <conditionalFormatting sqref="E46">
    <cfRule type="expression" dxfId="1182" priority="648">
      <formula>E46&lt;&gt;R46</formula>
    </cfRule>
  </conditionalFormatting>
  <conditionalFormatting sqref="E102">
    <cfRule type="expression" dxfId="1181" priority="612">
      <formula>E102&lt;&gt;R102</formula>
    </cfRule>
  </conditionalFormatting>
  <conditionalFormatting sqref="E131">
    <cfRule type="expression" dxfId="1180" priority="581">
      <formula>E131&lt;&gt;R131</formula>
    </cfRule>
  </conditionalFormatting>
  <conditionalFormatting sqref="S113">
    <cfRule type="cellIs" dxfId="1179" priority="565" operator="equal">
      <formula>0</formula>
    </cfRule>
  </conditionalFormatting>
  <conditionalFormatting sqref="A30">
    <cfRule type="cellIs" dxfId="1178" priority="554" operator="equal">
      <formula>0</formula>
    </cfRule>
  </conditionalFormatting>
  <conditionalFormatting sqref="B30:R30">
    <cfRule type="cellIs" dxfId="1177" priority="553" operator="equal">
      <formula>0</formula>
    </cfRule>
  </conditionalFormatting>
  <conditionalFormatting sqref="A112">
    <cfRule type="cellIs" dxfId="1176" priority="549" operator="equal">
      <formula>0</formula>
    </cfRule>
  </conditionalFormatting>
  <conditionalFormatting sqref="B113:R113">
    <cfRule type="cellIs" dxfId="1175" priority="546" operator="equal">
      <formula>0</formula>
    </cfRule>
  </conditionalFormatting>
  <conditionalFormatting sqref="B112:R112">
    <cfRule type="cellIs" dxfId="1174" priority="545" operator="equal">
      <formula>0</formula>
    </cfRule>
  </conditionalFormatting>
  <conditionalFormatting sqref="F9:Q9">
    <cfRule type="cellIs" dxfId="1173" priority="541" operator="lessThan">
      <formula>0</formula>
    </cfRule>
  </conditionalFormatting>
  <conditionalFormatting sqref="F134:Q134">
    <cfRule type="cellIs" dxfId="1172" priority="296" operator="lessThan">
      <formula>0</formula>
    </cfRule>
  </conditionalFormatting>
  <conditionalFormatting sqref="F25:Q25">
    <cfRule type="cellIs" dxfId="1171" priority="513" operator="lessThan">
      <formula>0</formula>
    </cfRule>
  </conditionalFormatting>
  <conditionalFormatting sqref="F25:Q25">
    <cfRule type="cellIs" dxfId="1170" priority="512" operator="lessThan">
      <formula>0</formula>
    </cfRule>
  </conditionalFormatting>
  <conditionalFormatting sqref="F25:Q25">
    <cfRule type="cellIs" dxfId="1169" priority="509" operator="lessThan">
      <formula>0</formula>
    </cfRule>
  </conditionalFormatting>
  <conditionalFormatting sqref="F25:Q25">
    <cfRule type="cellIs" dxfId="1168" priority="508" operator="lessThan">
      <formula>0</formula>
    </cfRule>
  </conditionalFormatting>
  <conditionalFormatting sqref="F35:Q35">
    <cfRule type="cellIs" dxfId="1167" priority="490" operator="lessThan">
      <formula>0</formula>
    </cfRule>
  </conditionalFormatting>
  <conditionalFormatting sqref="F35:Q35">
    <cfRule type="cellIs" dxfId="1166" priority="489" operator="lessThan">
      <formula>0</formula>
    </cfRule>
  </conditionalFormatting>
  <conditionalFormatting sqref="F35:Q35">
    <cfRule type="cellIs" dxfId="1165" priority="486" operator="lessThan">
      <formula>0</formula>
    </cfRule>
  </conditionalFormatting>
  <conditionalFormatting sqref="F35:Q35">
    <cfRule type="cellIs" dxfId="1164" priority="485" operator="lessThan">
      <formula>0</formula>
    </cfRule>
  </conditionalFormatting>
  <conditionalFormatting sqref="F51:Q51">
    <cfRule type="cellIs" dxfId="1163" priority="466" operator="lessThan">
      <formula>0</formula>
    </cfRule>
  </conditionalFormatting>
  <conditionalFormatting sqref="F51:Q51">
    <cfRule type="cellIs" dxfId="1162" priority="465" operator="lessThan">
      <formula>0</formula>
    </cfRule>
  </conditionalFormatting>
  <conditionalFormatting sqref="F51:Q51">
    <cfRule type="cellIs" dxfId="1161" priority="462" operator="lessThan">
      <formula>0</formula>
    </cfRule>
  </conditionalFormatting>
  <conditionalFormatting sqref="F51:Q51">
    <cfRule type="cellIs" dxfId="1160" priority="461" operator="lessThan">
      <formula>0</formula>
    </cfRule>
  </conditionalFormatting>
  <conditionalFormatting sqref="F89:Q89">
    <cfRule type="cellIs" dxfId="1159" priority="388" operator="lessThan">
      <formula>0</formula>
    </cfRule>
  </conditionalFormatting>
  <conditionalFormatting sqref="F89:Q89">
    <cfRule type="cellIs" dxfId="1158" priority="387" operator="lessThan">
      <formula>0</formula>
    </cfRule>
  </conditionalFormatting>
  <conditionalFormatting sqref="F89:Q89">
    <cfRule type="cellIs" dxfId="1157" priority="384" operator="lessThan">
      <formula>0</formula>
    </cfRule>
  </conditionalFormatting>
  <conditionalFormatting sqref="F89:Q89">
    <cfRule type="cellIs" dxfId="1156" priority="383" operator="lessThan">
      <formula>0</formula>
    </cfRule>
  </conditionalFormatting>
  <conditionalFormatting sqref="F107:Q107">
    <cfRule type="cellIs" dxfId="1155" priority="359" operator="lessThan">
      <formula>0</formula>
    </cfRule>
  </conditionalFormatting>
  <conditionalFormatting sqref="F107:Q107">
    <cfRule type="cellIs" dxfId="1154" priority="356" operator="lessThan">
      <formula>0</formula>
    </cfRule>
  </conditionalFormatting>
  <conditionalFormatting sqref="F107:Q107">
    <cfRule type="cellIs" dxfId="1153" priority="355" operator="lessThan">
      <formula>0</formula>
    </cfRule>
  </conditionalFormatting>
  <conditionalFormatting sqref="F118:Q118">
    <cfRule type="cellIs" dxfId="1152" priority="331" operator="lessThan">
      <formula>0</formula>
    </cfRule>
  </conditionalFormatting>
  <conditionalFormatting sqref="F118:Q118">
    <cfRule type="cellIs" dxfId="1151" priority="330" operator="lessThan">
      <formula>0</formula>
    </cfRule>
  </conditionalFormatting>
  <conditionalFormatting sqref="F118:Q118">
    <cfRule type="cellIs" dxfId="1150" priority="327" operator="lessThan">
      <formula>0</formula>
    </cfRule>
  </conditionalFormatting>
  <conditionalFormatting sqref="F118:Q118">
    <cfRule type="cellIs" dxfId="1149" priority="326" operator="lessThan">
      <formula>0</formula>
    </cfRule>
  </conditionalFormatting>
  <conditionalFormatting sqref="F134:Q134">
    <cfRule type="cellIs" dxfId="1148" priority="301" operator="lessThan">
      <formula>0</formula>
    </cfRule>
  </conditionalFormatting>
  <conditionalFormatting sqref="F134:Q134">
    <cfRule type="cellIs" dxfId="1147" priority="300" operator="lessThan">
      <formula>0</formula>
    </cfRule>
  </conditionalFormatting>
  <conditionalFormatting sqref="F134:Q134">
    <cfRule type="cellIs" dxfId="1146" priority="297" operator="lessThan">
      <formula>0</formula>
    </cfRule>
  </conditionalFormatting>
  <conditionalFormatting sqref="F10">
    <cfRule type="cellIs" dxfId="1145" priority="284" operator="lessThan">
      <formula>0</formula>
    </cfRule>
  </conditionalFormatting>
  <conditionalFormatting sqref="A2:A4">
    <cfRule type="cellIs" dxfId="1144" priority="245" operator="equal">
      <formula>0</formula>
    </cfRule>
  </conditionalFormatting>
  <conditionalFormatting sqref="E73">
    <cfRule type="expression" dxfId="1143" priority="142">
      <formula>E73&lt;&gt;R73</formula>
    </cfRule>
  </conditionalFormatting>
  <conditionalFormatting sqref="F62:Q62">
    <cfRule type="cellIs" dxfId="1142" priority="109" operator="lessThan">
      <formula>0</formula>
    </cfRule>
  </conditionalFormatting>
  <conditionalFormatting sqref="F62:Q62">
    <cfRule type="cellIs" dxfId="1141" priority="108" operator="lessThan">
      <formula>0</formula>
    </cfRule>
  </conditionalFormatting>
  <conditionalFormatting sqref="F62:Q62">
    <cfRule type="cellIs" dxfId="1140" priority="105" operator="lessThan">
      <formula>0</formula>
    </cfRule>
  </conditionalFormatting>
  <conditionalFormatting sqref="F62:Q62">
    <cfRule type="cellIs" dxfId="1139" priority="104" operator="lessThan">
      <formula>0</formula>
    </cfRule>
  </conditionalFormatting>
  <conditionalFormatting sqref="F78:Q78">
    <cfRule type="cellIs" dxfId="1138" priority="85" operator="lessThan">
      <formula>0</formula>
    </cfRule>
  </conditionalFormatting>
  <conditionalFormatting sqref="F78:Q78">
    <cfRule type="cellIs" dxfId="1137" priority="84" operator="lessThan">
      <formula>0</formula>
    </cfRule>
  </conditionalFormatting>
  <conditionalFormatting sqref="F78:Q78">
    <cfRule type="cellIs" dxfId="1136" priority="81" operator="lessThan">
      <formula>0</formula>
    </cfRule>
  </conditionalFormatting>
  <conditionalFormatting sqref="F78:Q78">
    <cfRule type="cellIs" dxfId="1135" priority="80" operator="lessThan">
      <formula>0</formula>
    </cfRule>
  </conditionalFormatting>
  <conditionalFormatting sqref="A7:U14 A18:U19 A15:A17 R15:U17 A23:U37 A20:A22 R20:U22 A41:U42 A38:A40 R38:U40 A47:U64 A43:A45 A69:U69 A70:A72 A95:U98 A92:A94 R92:U94 A102:U103 A99:A101 R99:U101 A104 R104:U104 A74:U91 A105:U137 A73:E73 R70:U73 A46:E46 R43:U46 A65:A68 S65:U68">
    <cfRule type="cellIs" dxfId="1134" priority="65" operator="equal">
      <formula>0</formula>
    </cfRule>
  </conditionalFormatting>
  <conditionalFormatting sqref="B15:Q17">
    <cfRule type="cellIs" dxfId="1133" priority="64" operator="equal">
      <formula>0</formula>
    </cfRule>
  </conditionalFormatting>
  <conditionalFormatting sqref="F16">
    <cfRule type="expression" dxfId="1132" priority="63">
      <formula>AND(F15&gt;0,F15*F16=0)</formula>
    </cfRule>
  </conditionalFormatting>
  <conditionalFormatting sqref="G16:Q16">
    <cfRule type="expression" dxfId="1131" priority="62">
      <formula>AND(G15&gt;0,G15*G16=0)</formula>
    </cfRule>
  </conditionalFormatting>
  <conditionalFormatting sqref="F17">
    <cfRule type="expression" dxfId="1130" priority="61">
      <formula>AND(F15&gt;0,F17*F15=0)</formula>
    </cfRule>
  </conditionalFormatting>
  <conditionalFormatting sqref="G17:Q17">
    <cfRule type="expression" dxfId="1129" priority="60">
      <formula>AND(G15&gt;0,G17*G15=0)</formula>
    </cfRule>
  </conditionalFormatting>
  <conditionalFormatting sqref="B20:Q22">
    <cfRule type="cellIs" dxfId="1128" priority="59" operator="equal">
      <formula>0</formula>
    </cfRule>
  </conditionalFormatting>
  <conditionalFormatting sqref="F21">
    <cfRule type="expression" dxfId="1127" priority="58">
      <formula>AND(F20&gt;0,F20*F21=0)</formula>
    </cfRule>
  </conditionalFormatting>
  <conditionalFormatting sqref="G21:Q21">
    <cfRule type="expression" dxfId="1126" priority="57">
      <formula>AND(G20&gt;0,G20*G21=0)</formula>
    </cfRule>
  </conditionalFormatting>
  <conditionalFormatting sqref="F22">
    <cfRule type="expression" dxfId="1125" priority="56">
      <formula>AND(F20&gt;0,F22*F20=0)</formula>
    </cfRule>
  </conditionalFormatting>
  <conditionalFormatting sqref="G22:Q22">
    <cfRule type="expression" dxfId="1124" priority="55">
      <formula>AND(G20&gt;0,G22*G20=0)</formula>
    </cfRule>
  </conditionalFormatting>
  <conditionalFormatting sqref="B38:Q40">
    <cfRule type="cellIs" dxfId="1123" priority="54" operator="equal">
      <formula>0</formula>
    </cfRule>
  </conditionalFormatting>
  <conditionalFormatting sqref="F39">
    <cfRule type="expression" dxfId="1122" priority="53">
      <formula>AND(F38&gt;0,F38*F39=0)</formula>
    </cfRule>
  </conditionalFormatting>
  <conditionalFormatting sqref="G39:Q39">
    <cfRule type="expression" dxfId="1121" priority="52">
      <formula>AND(G38&gt;0,G38*G39=0)</formula>
    </cfRule>
  </conditionalFormatting>
  <conditionalFormatting sqref="F40">
    <cfRule type="expression" dxfId="1120" priority="51">
      <formula>AND(F38&gt;0,F40*F38=0)</formula>
    </cfRule>
  </conditionalFormatting>
  <conditionalFormatting sqref="G40:Q40">
    <cfRule type="expression" dxfId="1119" priority="50">
      <formula>AND(G38&gt;0,G40*G38=0)</formula>
    </cfRule>
  </conditionalFormatting>
  <conditionalFormatting sqref="B43:E45">
    <cfRule type="cellIs" dxfId="1118" priority="49" operator="equal">
      <formula>0</formula>
    </cfRule>
  </conditionalFormatting>
  <conditionalFormatting sqref="B70:E72">
    <cfRule type="cellIs" dxfId="1117" priority="39" operator="equal">
      <formula>0</formula>
    </cfRule>
  </conditionalFormatting>
  <conditionalFormatting sqref="B92:Q94">
    <cfRule type="cellIs" dxfId="1116" priority="34" operator="equal">
      <formula>0</formula>
    </cfRule>
  </conditionalFormatting>
  <conditionalFormatting sqref="F93">
    <cfRule type="expression" dxfId="1115" priority="33">
      <formula>AND(F92&gt;0,F92*F93=0)</formula>
    </cfRule>
  </conditionalFormatting>
  <conditionalFormatting sqref="G93:Q93">
    <cfRule type="expression" dxfId="1114" priority="32">
      <formula>AND(G92&gt;0,G92*G93=0)</formula>
    </cfRule>
  </conditionalFormatting>
  <conditionalFormatting sqref="F94">
    <cfRule type="expression" dxfId="1113" priority="31">
      <formula>AND(F92&gt;0,F94*F92=0)</formula>
    </cfRule>
  </conditionalFormatting>
  <conditionalFormatting sqref="G94:Q94">
    <cfRule type="expression" dxfId="1112" priority="30">
      <formula>AND(G92&gt;0,G94*G92=0)</formula>
    </cfRule>
  </conditionalFormatting>
  <conditionalFormatting sqref="B99:Q101">
    <cfRule type="cellIs" dxfId="1111" priority="29" operator="equal">
      <formula>0</formula>
    </cfRule>
  </conditionalFormatting>
  <conditionalFormatting sqref="F100">
    <cfRule type="expression" dxfId="1110" priority="28">
      <formula>AND(F99&gt;0,F99*F100=0)</formula>
    </cfRule>
  </conditionalFormatting>
  <conditionalFormatting sqref="G100:Q100">
    <cfRule type="expression" dxfId="1109" priority="27">
      <formula>AND(G99&gt;0,G99*G100=0)</formula>
    </cfRule>
  </conditionalFormatting>
  <conditionalFormatting sqref="F101">
    <cfRule type="expression" dxfId="1108" priority="26">
      <formula>AND(F99&gt;0,F101*F99=0)</formula>
    </cfRule>
  </conditionalFormatting>
  <conditionalFormatting sqref="G101:Q101">
    <cfRule type="expression" dxfId="1107" priority="25">
      <formula>AND(G99&gt;0,G101*G99=0)</formula>
    </cfRule>
  </conditionalFormatting>
  <conditionalFormatting sqref="B104:Q104">
    <cfRule type="cellIs" dxfId="1106" priority="24" operator="equal">
      <formula>0</formula>
    </cfRule>
  </conditionalFormatting>
  <conditionalFormatting sqref="F104">
    <cfRule type="expression" dxfId="1105" priority="23">
      <formula>AND(F103&gt;0,F103*F104=0)</formula>
    </cfRule>
  </conditionalFormatting>
  <conditionalFormatting sqref="G104:Q104">
    <cfRule type="expression" dxfId="1104" priority="22">
      <formula>AND(G103&gt;0,G103*G104=0)</formula>
    </cfRule>
  </conditionalFormatting>
  <conditionalFormatting sqref="R5">
    <cfRule type="cellIs" dxfId="1103" priority="21" operator="equal">
      <formula>0</formula>
    </cfRule>
  </conditionalFormatting>
  <conditionalFormatting sqref="B5:R5">
    <cfRule type="cellIs" dxfId="1102" priority="20" operator="equal">
      <formula>0</formula>
    </cfRule>
  </conditionalFormatting>
  <conditionalFormatting sqref="A1">
    <cfRule type="cellIs" dxfId="1101" priority="19" operator="equal">
      <formula>0</formula>
    </cfRule>
  </conditionalFormatting>
  <conditionalFormatting sqref="F73:Q73">
    <cfRule type="cellIs" dxfId="1100" priority="18" operator="equal">
      <formula>0</formula>
    </cfRule>
  </conditionalFormatting>
  <conditionalFormatting sqref="F70:Q72">
    <cfRule type="cellIs" dxfId="1099" priority="17" operator="equal">
      <formula>0</formula>
    </cfRule>
  </conditionalFormatting>
  <conditionalFormatting sqref="F71">
    <cfRule type="expression" dxfId="1098" priority="16">
      <formula>AND(F70&gt;0,F70*F71=0)</formula>
    </cfRule>
  </conditionalFormatting>
  <conditionalFormatting sqref="G71:Q71">
    <cfRule type="expression" dxfId="1097" priority="15">
      <formula>AND(G70&gt;0,G70*G71=0)</formula>
    </cfRule>
  </conditionalFormatting>
  <conditionalFormatting sqref="F72">
    <cfRule type="expression" dxfId="1096" priority="14">
      <formula>AND(F70&gt;0,F72*F70=0)</formula>
    </cfRule>
  </conditionalFormatting>
  <conditionalFormatting sqref="G72:Q72">
    <cfRule type="expression" dxfId="1095" priority="13">
      <formula>AND(G70&gt;0,G72*G70=0)</formula>
    </cfRule>
  </conditionalFormatting>
  <conditionalFormatting sqref="F46:Q46">
    <cfRule type="cellIs" dxfId="1094" priority="12" operator="equal">
      <formula>0</formula>
    </cfRule>
  </conditionalFormatting>
  <conditionalFormatting sqref="F43:Q45">
    <cfRule type="cellIs" dxfId="1093" priority="11" operator="equal">
      <formula>0</formula>
    </cfRule>
  </conditionalFormatting>
  <conditionalFormatting sqref="F44">
    <cfRule type="expression" dxfId="1092" priority="10">
      <formula>AND(F43&gt;0,F43*F44=0)</formula>
    </cfRule>
  </conditionalFormatting>
  <conditionalFormatting sqref="G44:Q44">
    <cfRule type="expression" dxfId="1091" priority="9">
      <formula>AND(G43&gt;0,G43*G44=0)</formula>
    </cfRule>
  </conditionalFormatting>
  <conditionalFormatting sqref="F45">
    <cfRule type="expression" dxfId="1090" priority="8">
      <formula>AND(F43&gt;0,F45*F43=0)</formula>
    </cfRule>
  </conditionalFormatting>
  <conditionalFormatting sqref="G45:Q45">
    <cfRule type="expression" dxfId="1089" priority="7">
      <formula>AND(G43&gt;0,G45*G43=0)</formula>
    </cfRule>
  </conditionalFormatting>
  <conditionalFormatting sqref="B68:R68 R65:R67">
    <cfRule type="cellIs" dxfId="1088" priority="6" operator="equal">
      <formula>0</formula>
    </cfRule>
  </conditionalFormatting>
  <conditionalFormatting sqref="B65:Q67">
    <cfRule type="cellIs" dxfId="1087" priority="5" operator="equal">
      <formula>0</formula>
    </cfRule>
  </conditionalFormatting>
  <conditionalFormatting sqref="F66">
    <cfRule type="expression" dxfId="1086" priority="4">
      <formula>AND(F65&gt;0,F65*F66=0)</formula>
    </cfRule>
  </conditionalFormatting>
  <conditionalFormatting sqref="G66:Q66">
    <cfRule type="expression" dxfId="1085" priority="3">
      <formula>AND(G65&gt;0,G65*G66=0)</formula>
    </cfRule>
  </conditionalFormatting>
  <conditionalFormatting sqref="F67">
    <cfRule type="expression" dxfId="1084" priority="2">
      <formula>AND(F65&gt;0,F67*F65=0)</formula>
    </cfRule>
  </conditionalFormatting>
  <conditionalFormatting sqref="G67:Q67">
    <cfRule type="expression" dxfId="1083" priority="1">
      <formula>AND(G65&gt;0,G67*G65=0)</formula>
    </cfRule>
  </conditionalFormatting>
  <dataValidations disablePrompts="1" count="1">
    <dataValidation allowBlank="1" showInputMessage="1" showErrorMessage="1" prompt="Asumuir la calidad promedio de las reservas al inicio del ejercicio" sqref="B137"/>
  </dataValidations>
  <hyperlinks>
    <hyperlink ref="J3" location="Animales!B254:R273" display="Terneras &gt; 2 meses &lt; 6 meses"/>
    <hyperlink ref="H4:J4" location="Animales!B231:R249" display="Terneras &gt; 2 meses &lt; 6 meses"/>
    <hyperlink ref="B4:N4" location="Animales!B395:R417" display="Machos - 1 a 2 años"/>
    <hyperlink ref="J2" location="Animales!B184:R203" display="Vaquillonas"/>
    <hyperlink ref="H4:I4" location="Animales!B276:R298" display="Terneras Lactantes "/>
    <hyperlink ref="B3" location="A.Ganaderos!B7:R29" display="Vacas descarte - Ganadería"/>
    <hyperlink ref="C2:E2" location="A.Ganaderos!B33:R55" display="Novillos - 2 a 3 años"/>
    <hyperlink ref="C3:E3" location="A.Ganaderos!B60:R82" display="Novillos - 1 a 2 años"/>
    <hyperlink ref="G2:I2" location="A.Ganaderos!B87:R111" display="Terneros &gt; 6 meses &lt; 1 año"/>
    <hyperlink ref="G3:I3" location="A.Ganaderos!B116:R137" display="Terneros &lt; 6 meses"/>
    <hyperlink ref="A1" location="ManualGlobal!B27:D43" display="◄"/>
  </hyperlinks>
  <pageMargins left="0.7" right="0.7" top="0.75" bottom="0.75" header="0.3" footer="0.3"/>
  <pageSetup orientation="portrait" horizontalDpi="0" verticalDpi="0" r:id="rId1"/>
  <ignoredErrors>
    <ignoredError sqref="K95:Q96 H123:Q123"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Z703"/>
  <sheetViews>
    <sheetView showGridLines="0" tabSelected="1" zoomScale="107" zoomScaleNormal="85" workbookViewId="0">
      <pane ySplit="5" topLeftCell="A161" activePane="bottomLeft" state="frozen"/>
      <selection activeCell="Q67" sqref="Q67"/>
      <selection pane="bottomLeft" activeCell="C207" sqref="C207"/>
    </sheetView>
  </sheetViews>
  <sheetFormatPr baseColWidth="10" defaultColWidth="11.375" defaultRowHeight="14.4" x14ac:dyDescent="0.3"/>
  <cols>
    <col min="1" max="1" width="4.875" style="3436" customWidth="1"/>
    <col min="2" max="2" width="35.375" style="3436" customWidth="1"/>
    <col min="3" max="3" width="12.375" style="3436" customWidth="1"/>
    <col min="4" max="4" width="18.625" style="3437" customWidth="1"/>
    <col min="5" max="5" width="8.375" style="3436" customWidth="1"/>
    <col min="6" max="6" width="3.625" style="3436" customWidth="1"/>
    <col min="7" max="7" width="10.625" style="3436" customWidth="1"/>
    <col min="8" max="8" width="10.375" style="3436" customWidth="1"/>
    <col min="9" max="18" width="9.875" style="3436" customWidth="1"/>
    <col min="19" max="19" width="15.625" style="3436" customWidth="1"/>
    <col min="20" max="20" width="9.375" style="3436" customWidth="1"/>
    <col min="21" max="21" width="10.625" style="3438" bestFit="1" customWidth="1"/>
    <col min="22" max="33" width="9.375" style="3438" customWidth="1"/>
    <col min="34" max="16384" width="11.375" style="3436"/>
  </cols>
  <sheetData>
    <row r="1" spans="1:33" ht="17.7" x14ac:dyDescent="0.3">
      <c r="A1" s="2463" t="s">
        <v>633</v>
      </c>
      <c r="B1" s="3435" t="s">
        <v>1435</v>
      </c>
    </row>
    <row r="2" spans="1:33" x14ac:dyDescent="0.3">
      <c r="B2" s="3439" t="s">
        <v>1303</v>
      </c>
      <c r="C2" s="3440"/>
      <c r="D2" s="2463" t="s">
        <v>1189</v>
      </c>
      <c r="E2" s="2463"/>
      <c r="F2" s="3311"/>
      <c r="G2" s="3441"/>
      <c r="H2" s="3440"/>
      <c r="I2" s="2463" t="s">
        <v>549</v>
      </c>
      <c r="J2" s="2463"/>
      <c r="K2" s="3311"/>
      <c r="L2" s="3440"/>
      <c r="M2" s="5536" t="s">
        <v>228</v>
      </c>
      <c r="N2" s="5536"/>
      <c r="O2" s="3440"/>
      <c r="P2" s="3440"/>
      <c r="Q2" s="3440"/>
      <c r="R2" s="3440"/>
      <c r="S2" s="3440"/>
    </row>
    <row r="3" spans="1:33" x14ac:dyDescent="0.3">
      <c r="B3" s="2463" t="s">
        <v>250</v>
      </c>
      <c r="C3" s="3311"/>
      <c r="D3" s="2463" t="s">
        <v>1474</v>
      </c>
      <c r="E3" s="3311"/>
      <c r="F3" s="3311"/>
      <c r="G3" s="3441"/>
      <c r="H3" s="3440"/>
      <c r="I3" s="2463" t="s">
        <v>661</v>
      </c>
      <c r="J3" s="2463"/>
      <c r="K3" s="3311"/>
      <c r="L3" s="3440"/>
      <c r="M3" s="5536" t="s">
        <v>2413</v>
      </c>
      <c r="N3" s="5536"/>
      <c r="O3" s="3311"/>
      <c r="P3" s="3440"/>
      <c r="Q3" s="3440"/>
      <c r="R3" s="3440"/>
      <c r="S3" s="3440"/>
    </row>
    <row r="4" spans="1:33" ht="15.05" thickBot="1" x14ac:dyDescent="0.35">
      <c r="G4" s="3442"/>
    </row>
    <row r="5" spans="1:33" s="3443" customFormat="1" x14ac:dyDescent="0.2">
      <c r="B5" s="3444" t="s">
        <v>683</v>
      </c>
      <c r="C5" s="3445"/>
      <c r="D5" s="3445"/>
      <c r="E5" s="3445"/>
      <c r="F5" s="3445"/>
      <c r="G5" s="3446" t="str">
        <f>UsoSuelo!G8</f>
        <v>Ene</v>
      </c>
      <c r="H5" s="3446" t="str">
        <f>UsoSuelo!H8</f>
        <v>Feb</v>
      </c>
      <c r="I5" s="3446" t="str">
        <f>UsoSuelo!I8</f>
        <v>Mar</v>
      </c>
      <c r="J5" s="3446" t="str">
        <f>UsoSuelo!J8</f>
        <v>Abr</v>
      </c>
      <c r="K5" s="3446" t="str">
        <f>UsoSuelo!K8</f>
        <v>May</v>
      </c>
      <c r="L5" s="3446" t="str">
        <f>UsoSuelo!L8</f>
        <v>Jun</v>
      </c>
      <c r="M5" s="3446" t="str">
        <f>UsoSuelo!M8</f>
        <v>Jul</v>
      </c>
      <c r="N5" s="3446" t="str">
        <f>UsoSuelo!N8</f>
        <v>Ago</v>
      </c>
      <c r="O5" s="3446" t="str">
        <f>UsoSuelo!O8</f>
        <v>Set</v>
      </c>
      <c r="P5" s="3446" t="str">
        <f>UsoSuelo!P8</f>
        <v>Oct</v>
      </c>
      <c r="Q5" s="3446" t="str">
        <f>UsoSuelo!Q8</f>
        <v>Nov</v>
      </c>
      <c r="R5" s="3446" t="str">
        <f>UsoSuelo!R8</f>
        <v>Dic</v>
      </c>
      <c r="S5" s="3447" t="s">
        <v>1391</v>
      </c>
      <c r="T5" s="3448"/>
      <c r="U5" s="3448"/>
      <c r="V5" s="3448"/>
      <c r="W5" s="3448"/>
      <c r="X5" s="3449"/>
      <c r="Y5" s="3449"/>
      <c r="Z5" s="3449"/>
      <c r="AA5" s="3450"/>
      <c r="AB5" s="3450"/>
      <c r="AC5" s="3450"/>
      <c r="AD5" s="3450"/>
      <c r="AE5" s="3450"/>
      <c r="AF5" s="3450"/>
      <c r="AG5" s="3450"/>
    </row>
    <row r="6" spans="1:33" s="3452" customFormat="1" x14ac:dyDescent="0.3">
      <c r="A6" s="3451"/>
      <c r="G6" s="3453"/>
      <c r="H6" s="3453"/>
      <c r="I6" s="3453"/>
      <c r="J6" s="3453"/>
      <c r="K6" s="3453"/>
      <c r="L6" s="3453"/>
      <c r="M6" s="3453"/>
      <c r="N6" s="3453"/>
      <c r="O6" s="3453"/>
      <c r="P6" s="3453"/>
      <c r="Q6" s="3453"/>
      <c r="R6" s="3453"/>
      <c r="S6" s="3453"/>
    </row>
    <row r="7" spans="1:33" s="3452" customFormat="1" x14ac:dyDescent="0.3">
      <c r="A7" s="2487">
        <f>+A.Ganaderos!A116+1</f>
        <v>88</v>
      </c>
      <c r="B7" s="3454" t="s">
        <v>2349</v>
      </c>
      <c r="C7" s="3455"/>
      <c r="D7" s="3456"/>
      <c r="E7" s="3129"/>
      <c r="S7" s="3453"/>
    </row>
    <row r="8" spans="1:33" s="3452" customFormat="1" x14ac:dyDescent="0.3">
      <c r="A8" s="3451"/>
      <c r="B8" s="3457"/>
      <c r="S8" s="3453"/>
    </row>
    <row r="9" spans="1:33" s="3452" customFormat="1" x14ac:dyDescent="0.3">
      <c r="A9" s="3451"/>
      <c r="S9" s="3453"/>
    </row>
    <row r="10" spans="1:33" s="3452" customFormat="1" x14ac:dyDescent="0.3">
      <c r="A10" s="3451"/>
      <c r="S10" s="3453"/>
    </row>
    <row r="11" spans="1:33" s="3452" customFormat="1" x14ac:dyDescent="0.3">
      <c r="A11" s="3451"/>
      <c r="S11" s="3453"/>
    </row>
    <row r="12" spans="1:33" s="3452" customFormat="1" x14ac:dyDescent="0.3">
      <c r="A12" s="3451"/>
      <c r="S12" s="3453"/>
    </row>
    <row r="13" spans="1:33" s="3452" customFormat="1" x14ac:dyDescent="0.3">
      <c r="A13" s="3451"/>
      <c r="S13" s="3453"/>
    </row>
    <row r="14" spans="1:33" s="3452" customFormat="1" x14ac:dyDescent="0.3">
      <c r="A14" s="3451"/>
      <c r="S14" s="3453"/>
    </row>
    <row r="15" spans="1:33" s="3452" customFormat="1" x14ac:dyDescent="0.3">
      <c r="A15" s="3451"/>
      <c r="S15" s="3453"/>
    </row>
    <row r="16" spans="1:33" s="3452" customFormat="1" x14ac:dyDescent="0.3">
      <c r="A16" s="3451"/>
      <c r="S16" s="3453"/>
    </row>
    <row r="17" spans="1:25" s="3452" customFormat="1" x14ac:dyDescent="0.3">
      <c r="A17" s="3451"/>
      <c r="S17" s="3453"/>
    </row>
    <row r="18" spans="1:25" s="3452" customFormat="1" x14ac:dyDescent="0.3">
      <c r="A18" s="3451"/>
      <c r="S18" s="3453"/>
    </row>
    <row r="19" spans="1:25" s="3452" customFormat="1" x14ac:dyDescent="0.3">
      <c r="A19" s="3451"/>
      <c r="S19" s="3453"/>
    </row>
    <row r="20" spans="1:25" s="3452" customFormat="1" x14ac:dyDescent="0.3">
      <c r="A20" s="3451"/>
      <c r="S20" s="3453"/>
    </row>
    <row r="21" spans="1:25" s="3452" customFormat="1" ht="15.05" thickBot="1" x14ac:dyDescent="0.35">
      <c r="A21" s="3451"/>
      <c r="B21" s="3458"/>
      <c r="D21" s="3458"/>
      <c r="S21" s="3453"/>
    </row>
    <row r="22" spans="1:25" s="3452" customFormat="1" x14ac:dyDescent="0.3">
      <c r="A22" s="3451"/>
      <c r="B22" s="3459" t="s">
        <v>1387</v>
      </c>
      <c r="C22" s="3460" t="str">
        <f>+IF(C580&gt;0,B578,B579)</f>
        <v>Déficit de Forraje + Reserva</v>
      </c>
      <c r="D22" s="3461"/>
      <c r="G22" s="3453"/>
      <c r="H22" s="3453"/>
      <c r="J22" s="3453"/>
      <c r="K22" s="3453"/>
      <c r="L22" s="3453"/>
      <c r="S22" s="3453"/>
    </row>
    <row r="23" spans="1:25" s="3452" customFormat="1" x14ac:dyDescent="0.3">
      <c r="A23" s="3451"/>
      <c r="B23" s="3462" t="s">
        <v>921</v>
      </c>
      <c r="C23" s="3463">
        <f>C580</f>
        <v>0</v>
      </c>
      <c r="D23" s="3464" t="s">
        <v>1396</v>
      </c>
      <c r="G23" s="3453"/>
      <c r="H23" s="3453"/>
      <c r="J23" s="3453"/>
      <c r="K23" s="3453"/>
      <c r="L23" s="3453"/>
      <c r="S23" s="3453"/>
      <c r="T23" s="3453"/>
      <c r="U23" s="3465"/>
      <c r="V23" s="3453"/>
      <c r="W23" s="3453"/>
      <c r="X23" s="3453"/>
      <c r="Y23" s="3453"/>
    </row>
    <row r="24" spans="1:25" s="3452" customFormat="1" x14ac:dyDescent="0.3">
      <c r="A24" s="3451"/>
      <c r="G24" s="3453"/>
      <c r="H24" s="3453"/>
      <c r="J24" s="3453"/>
      <c r="K24" s="3453"/>
      <c r="L24" s="3453"/>
      <c r="T24" s="3453"/>
      <c r="U24" s="3465"/>
      <c r="V24" s="3453"/>
      <c r="W24" s="3453"/>
      <c r="X24" s="3453"/>
      <c r="Y24" s="3453"/>
    </row>
    <row r="25" spans="1:25" s="3452" customFormat="1" x14ac:dyDescent="0.3">
      <c r="A25" s="3451"/>
      <c r="B25" s="3466"/>
      <c r="C25" s="3467"/>
      <c r="D25" s="3468" t="s">
        <v>2160</v>
      </c>
      <c r="G25" s="3453"/>
      <c r="H25" s="3453"/>
      <c r="I25" s="3453"/>
      <c r="J25" s="3453"/>
      <c r="K25" s="3453"/>
      <c r="L25" s="3453"/>
      <c r="T25" s="3453"/>
      <c r="U25" s="3465"/>
      <c r="V25" s="3453"/>
      <c r="W25" s="3453"/>
      <c r="X25" s="3453"/>
      <c r="Y25" s="3453"/>
    </row>
    <row r="26" spans="1:25" s="3452" customFormat="1" x14ac:dyDescent="0.3">
      <c r="A26" s="3451"/>
      <c r="D26" s="3468" t="s">
        <v>1440</v>
      </c>
      <c r="G26" s="3453"/>
      <c r="H26" s="3453"/>
      <c r="I26" s="3453"/>
      <c r="J26" s="3453"/>
      <c r="K26" s="3453"/>
      <c r="L26" s="3453"/>
      <c r="T26" s="3453"/>
      <c r="U26" s="3453"/>
      <c r="V26" s="3453"/>
      <c r="W26" s="3453"/>
      <c r="X26" s="3453"/>
      <c r="Y26" s="3468"/>
    </row>
    <row r="27" spans="1:25" s="3452" customFormat="1" x14ac:dyDescent="0.3">
      <c r="A27" s="3451"/>
      <c r="C27" s="3468" t="s">
        <v>2329</v>
      </c>
      <c r="D27" s="3469">
        <f>+A.Lecheros!R491</f>
        <v>0</v>
      </c>
      <c r="G27" s="3453"/>
      <c r="H27" s="3453"/>
      <c r="I27" s="3453"/>
      <c r="J27" s="3453"/>
      <c r="K27" s="3453"/>
      <c r="L27" s="3453"/>
      <c r="T27" s="3453"/>
      <c r="U27" s="3453"/>
      <c r="V27" s="3453"/>
      <c r="W27" s="3453"/>
      <c r="X27" s="3453"/>
      <c r="Y27" s="3468"/>
    </row>
    <row r="28" spans="1:25" s="3452" customFormat="1" x14ac:dyDescent="0.3">
      <c r="A28" s="3451"/>
      <c r="D28" s="3468"/>
      <c r="G28" s="3453"/>
      <c r="H28" s="3453"/>
      <c r="I28" s="3453"/>
      <c r="J28" s="3453"/>
      <c r="K28" s="3453"/>
      <c r="L28" s="3453"/>
      <c r="T28" s="3453"/>
      <c r="U28" s="3453"/>
      <c r="V28" s="3453"/>
      <c r="W28" s="3453"/>
      <c r="X28" s="3453"/>
      <c r="Y28" s="3468"/>
    </row>
    <row r="29" spans="1:25" s="3452" customFormat="1" x14ac:dyDescent="0.3">
      <c r="A29" s="2487">
        <f>+A7+1</f>
        <v>89</v>
      </c>
      <c r="B29" s="3454"/>
      <c r="C29" s="3455"/>
      <c r="D29" s="3455"/>
      <c r="E29" s="3470" t="s">
        <v>2350</v>
      </c>
      <c r="F29" s="3470"/>
      <c r="G29" s="3455"/>
      <c r="H29" s="3455"/>
      <c r="I29" s="3455"/>
      <c r="J29" s="3455"/>
      <c r="K29" s="3455"/>
      <c r="L29" s="3455"/>
      <c r="M29" s="3455"/>
      <c r="N29" s="3455"/>
      <c r="O29" s="3455"/>
      <c r="P29" s="3455"/>
      <c r="Q29" s="3455"/>
      <c r="R29" s="3456"/>
      <c r="S29" s="3453"/>
    </row>
    <row r="30" spans="1:25" s="3452" customFormat="1" x14ac:dyDescent="0.3">
      <c r="B30" s="3453"/>
      <c r="C30" s="3453"/>
      <c r="D30" s="3453"/>
      <c r="E30" s="3453"/>
      <c r="F30" s="5541" t="s">
        <v>1438</v>
      </c>
      <c r="G30" s="5541"/>
      <c r="H30" s="5541"/>
      <c r="I30" s="5541"/>
      <c r="J30" s="3455"/>
      <c r="K30" s="5542" t="s">
        <v>1439</v>
      </c>
      <c r="L30" s="5542"/>
      <c r="M30" s="5542"/>
      <c r="N30" s="5542"/>
      <c r="T30" s="3453"/>
      <c r="U30" s="3453"/>
      <c r="V30" s="3453"/>
      <c r="W30" s="3453"/>
      <c r="X30" s="3453"/>
      <c r="Y30" s="3468"/>
    </row>
    <row r="31" spans="1:25" s="3452" customFormat="1" x14ac:dyDescent="0.3">
      <c r="B31" s="3453"/>
      <c r="C31" s="3453"/>
      <c r="D31" s="3453"/>
      <c r="E31" s="3453"/>
      <c r="F31" s="3453"/>
      <c r="G31" s="3453"/>
      <c r="H31" s="3453"/>
      <c r="I31" s="3453"/>
      <c r="J31" s="3453"/>
      <c r="K31" s="3453"/>
      <c r="L31" s="3453"/>
      <c r="M31" s="3453"/>
      <c r="T31" s="3453"/>
      <c r="U31" s="3453"/>
      <c r="V31" s="3453"/>
      <c r="W31" s="3453"/>
      <c r="X31" s="3453"/>
      <c r="Y31" s="3468"/>
    </row>
    <row r="32" spans="1:25" s="3452" customFormat="1" x14ac:dyDescent="0.3">
      <c r="B32" s="3453"/>
      <c r="C32" s="3453"/>
      <c r="D32" s="3453"/>
      <c r="E32" s="3453"/>
      <c r="F32" s="3453"/>
      <c r="G32" s="3453"/>
      <c r="H32" s="3453"/>
      <c r="I32" s="3453"/>
      <c r="J32" s="3453"/>
      <c r="K32" s="3453"/>
      <c r="L32" s="3453"/>
      <c r="M32" s="3453"/>
      <c r="T32" s="3453"/>
      <c r="U32" s="3453"/>
      <c r="V32" s="3453"/>
      <c r="W32" s="3453"/>
      <c r="X32" s="3453"/>
      <c r="Y32" s="3468"/>
    </row>
    <row r="33" spans="1:25" s="3452" customFormat="1" x14ac:dyDescent="0.3">
      <c r="B33" s="3453"/>
      <c r="C33" s="3453"/>
      <c r="D33" s="3453"/>
      <c r="E33" s="3453"/>
      <c r="F33" s="3453"/>
      <c r="G33" s="3453"/>
      <c r="H33" s="3453"/>
      <c r="I33" s="3453"/>
      <c r="J33" s="3453"/>
      <c r="K33" s="3453"/>
      <c r="L33" s="3453"/>
      <c r="M33" s="3453"/>
      <c r="T33" s="3453"/>
      <c r="U33" s="3453"/>
      <c r="V33" s="3453"/>
      <c r="W33" s="3453"/>
      <c r="X33" s="3453"/>
      <c r="Y33" s="3468"/>
    </row>
    <row r="34" spans="1:25" s="3452" customFormat="1" x14ac:dyDescent="0.3">
      <c r="B34" s="3453"/>
      <c r="C34" s="3453"/>
      <c r="D34" s="3453"/>
      <c r="E34" s="3453"/>
      <c r="F34" s="3453"/>
      <c r="G34" s="3453"/>
      <c r="H34" s="3453"/>
      <c r="I34" s="3453"/>
      <c r="J34" s="3453"/>
      <c r="K34" s="3453"/>
      <c r="L34" s="3453"/>
      <c r="M34" s="3453"/>
      <c r="T34" s="3453"/>
      <c r="U34" s="3453"/>
      <c r="V34" s="3453"/>
      <c r="W34" s="3453"/>
      <c r="X34" s="3453"/>
      <c r="Y34" s="3468"/>
    </row>
    <row r="35" spans="1:25" s="3452" customFormat="1" x14ac:dyDescent="0.3">
      <c r="B35" s="3453"/>
      <c r="C35" s="3453"/>
      <c r="D35" s="3453"/>
      <c r="E35" s="3453"/>
      <c r="F35" s="3453"/>
      <c r="G35" s="3453"/>
      <c r="H35" s="3453"/>
      <c r="I35" s="3453"/>
      <c r="J35" s="3453"/>
      <c r="K35" s="3453"/>
      <c r="L35" s="3453"/>
      <c r="M35" s="3453"/>
      <c r="T35" s="3453"/>
      <c r="U35" s="3453"/>
      <c r="V35" s="3453"/>
      <c r="W35" s="3453"/>
      <c r="X35" s="3453"/>
      <c r="Y35" s="3468"/>
    </row>
    <row r="36" spans="1:25" s="3452" customFormat="1" x14ac:dyDescent="0.3">
      <c r="B36" s="3453"/>
      <c r="C36" s="3453"/>
      <c r="D36" s="3453"/>
      <c r="E36" s="3453"/>
      <c r="F36" s="3453"/>
      <c r="G36" s="3453"/>
      <c r="H36" s="3453"/>
      <c r="I36" s="3453"/>
      <c r="J36" s="3453"/>
      <c r="K36" s="3453"/>
      <c r="L36" s="3453"/>
      <c r="M36" s="3453"/>
      <c r="T36" s="3453"/>
      <c r="U36" s="3453"/>
      <c r="V36" s="3453"/>
      <c r="W36" s="3453"/>
      <c r="X36" s="3453"/>
      <c r="Y36" s="3468"/>
    </row>
    <row r="37" spans="1:25" s="3452" customFormat="1" x14ac:dyDescent="0.3">
      <c r="A37" s="3451"/>
      <c r="D37" s="3468"/>
      <c r="G37" s="3453"/>
      <c r="H37" s="3453"/>
      <c r="I37" s="3453"/>
      <c r="J37" s="3453"/>
      <c r="K37" s="3453"/>
      <c r="L37" s="3453"/>
      <c r="T37" s="3453"/>
      <c r="U37" s="3453"/>
      <c r="V37" s="3453"/>
      <c r="W37" s="3453"/>
      <c r="X37" s="3453"/>
      <c r="Y37" s="3468"/>
    </row>
    <row r="38" spans="1:25" s="3452" customFormat="1" x14ac:dyDescent="0.3">
      <c r="A38" s="3451"/>
      <c r="D38" s="3468"/>
      <c r="G38" s="3453"/>
      <c r="H38" s="3453"/>
      <c r="I38" s="3453"/>
      <c r="J38" s="3453"/>
      <c r="K38" s="3453"/>
      <c r="L38" s="3453"/>
      <c r="T38" s="3453"/>
      <c r="U38" s="3453"/>
      <c r="V38" s="3453"/>
      <c r="W38" s="3453"/>
      <c r="X38" s="3453"/>
      <c r="Y38" s="3468"/>
    </row>
    <row r="39" spans="1:25" s="3452" customFormat="1" x14ac:dyDescent="0.3">
      <c r="A39" s="3451"/>
      <c r="D39" s="3468"/>
      <c r="G39" s="3453"/>
      <c r="H39" s="3453"/>
      <c r="I39" s="3453"/>
      <c r="J39" s="3453"/>
      <c r="K39" s="3453"/>
      <c r="L39" s="3453"/>
      <c r="T39" s="3453"/>
      <c r="U39" s="3453"/>
      <c r="V39" s="3453"/>
      <c r="W39" s="3453"/>
      <c r="X39" s="3453"/>
      <c r="Y39" s="3468"/>
    </row>
    <row r="40" spans="1:25" s="3452" customFormat="1" x14ac:dyDescent="0.3">
      <c r="A40" s="3451"/>
      <c r="G40" s="5540" t="s">
        <v>1141</v>
      </c>
      <c r="H40" s="5540"/>
      <c r="I40" s="3471"/>
      <c r="J40" s="3472"/>
      <c r="K40" s="5539" t="s">
        <v>1344</v>
      </c>
      <c r="L40" s="5539"/>
      <c r="M40" s="3473"/>
      <c r="T40" s="3453"/>
      <c r="U40" s="3453"/>
      <c r="V40" s="3453"/>
      <c r="W40" s="3453"/>
      <c r="X40" s="3453"/>
      <c r="Y40" s="3468"/>
    </row>
    <row r="41" spans="1:25" s="3452" customFormat="1" x14ac:dyDescent="0.3">
      <c r="A41" s="3451"/>
      <c r="G41" s="3453"/>
      <c r="H41" s="3453"/>
      <c r="I41" s="3453"/>
      <c r="J41" s="3453"/>
      <c r="K41" s="3453"/>
      <c r="L41" s="3453"/>
      <c r="M41" s="3453"/>
      <c r="T41" s="3453"/>
      <c r="U41" s="3453"/>
      <c r="V41" s="3453"/>
      <c r="W41" s="3453"/>
      <c r="X41" s="3453"/>
      <c r="Y41" s="3453"/>
    </row>
    <row r="42" spans="1:25" s="3452" customFormat="1" x14ac:dyDescent="0.3">
      <c r="A42" s="3451"/>
      <c r="G42" s="3453"/>
      <c r="H42" s="3453"/>
      <c r="I42" s="3453"/>
      <c r="J42" s="3453"/>
      <c r="K42" s="3453"/>
      <c r="L42" s="3453"/>
      <c r="M42" s="3453"/>
    </row>
    <row r="43" spans="1:25" s="3452" customFormat="1" x14ac:dyDescent="0.3">
      <c r="A43" s="3451"/>
      <c r="G43" s="3453"/>
      <c r="O43" s="3453"/>
      <c r="P43" s="3453"/>
      <c r="Q43" s="3453"/>
      <c r="R43" s="3453"/>
      <c r="S43" s="3453"/>
    </row>
    <row r="44" spans="1:25" s="3452" customFormat="1" x14ac:dyDescent="0.3">
      <c r="A44" s="3451"/>
      <c r="G44" s="3453"/>
      <c r="H44" s="3453"/>
      <c r="I44" s="3453"/>
      <c r="J44" s="3453"/>
      <c r="K44" s="3453"/>
      <c r="L44" s="3453"/>
      <c r="M44" s="3453"/>
      <c r="N44" s="3453"/>
      <c r="O44" s="3453"/>
      <c r="P44" s="3453"/>
      <c r="Q44" s="3474"/>
      <c r="R44" s="3474"/>
      <c r="S44" s="3474"/>
      <c r="T44" s="3165"/>
    </row>
    <row r="45" spans="1:25" s="3452" customFormat="1" x14ac:dyDescent="0.3">
      <c r="A45" s="3451"/>
      <c r="G45" s="3453"/>
      <c r="H45" s="3453"/>
      <c r="I45" s="3453"/>
      <c r="J45" s="3453"/>
      <c r="K45" s="3453"/>
      <c r="L45" s="3453"/>
      <c r="M45" s="3453"/>
      <c r="N45" s="3453"/>
      <c r="O45" s="3453"/>
      <c r="P45" s="3453"/>
      <c r="Q45" s="3453"/>
      <c r="R45" s="3453"/>
      <c r="S45" s="3453"/>
    </row>
    <row r="46" spans="1:25" s="3452" customFormat="1" x14ac:dyDescent="0.3">
      <c r="A46" s="3451"/>
      <c r="G46" s="3453"/>
      <c r="H46" s="3453"/>
      <c r="I46" s="3453"/>
      <c r="J46" s="3453"/>
      <c r="K46" s="3453"/>
      <c r="L46" s="3453"/>
      <c r="M46" s="3453"/>
      <c r="N46" s="3453"/>
      <c r="O46" s="3453"/>
      <c r="P46" s="3453"/>
      <c r="Q46" s="3453"/>
      <c r="R46" s="3468" t="s">
        <v>2160</v>
      </c>
      <c r="S46" s="3453"/>
    </row>
    <row r="47" spans="1:25" s="3452" customFormat="1" x14ac:dyDescent="0.3">
      <c r="A47" s="3451"/>
      <c r="G47" s="3468"/>
      <c r="H47" s="3453"/>
      <c r="I47" s="3453"/>
      <c r="J47" s="3453"/>
      <c r="K47" s="3453"/>
      <c r="L47" s="3453"/>
      <c r="M47" s="3453"/>
      <c r="N47" s="3453"/>
      <c r="O47" s="3453"/>
      <c r="P47" s="3453"/>
      <c r="Q47" s="3453"/>
      <c r="R47" s="3468" t="s">
        <v>1440</v>
      </c>
      <c r="S47" s="3453"/>
    </row>
    <row r="48" spans="1:25" s="3452" customFormat="1" x14ac:dyDescent="0.3">
      <c r="A48" s="3451"/>
      <c r="G48" s="3468" t="s">
        <v>2330</v>
      </c>
      <c r="H48" s="3469">
        <f>+(A.Lecheros!R488+A.Lecheros!R489)/2</f>
        <v>0</v>
      </c>
      <c r="I48" s="3453"/>
      <c r="J48" s="3453"/>
      <c r="K48" s="3453"/>
      <c r="L48" s="3468" t="s">
        <v>2331</v>
      </c>
      <c r="M48" s="3469">
        <f>+A.Lecheros!R490</f>
        <v>0</v>
      </c>
      <c r="N48" s="3453"/>
      <c r="O48" s="3453"/>
      <c r="P48" s="3453"/>
      <c r="Q48" s="3453"/>
      <c r="R48" s="3468"/>
      <c r="S48" s="3453"/>
    </row>
    <row r="49" spans="1:19" s="3452" customFormat="1" x14ac:dyDescent="0.3">
      <c r="A49" s="3451"/>
      <c r="G49" s="3453"/>
      <c r="H49" s="3453"/>
      <c r="I49" s="3453"/>
      <c r="J49" s="3453"/>
      <c r="K49" s="3453"/>
      <c r="L49" s="3453"/>
      <c r="M49" s="3453"/>
      <c r="N49" s="3453"/>
      <c r="O49" s="3453"/>
      <c r="P49" s="3453"/>
      <c r="Q49" s="3453"/>
      <c r="R49" s="3468"/>
      <c r="S49" s="3453"/>
    </row>
    <row r="50" spans="1:19" s="3452" customFormat="1" x14ac:dyDescent="0.3">
      <c r="A50" s="2487">
        <f>+A29+1</f>
        <v>90</v>
      </c>
      <c r="B50" s="3454" t="s">
        <v>2351</v>
      </c>
      <c r="C50" s="3455"/>
      <c r="D50" s="3455"/>
      <c r="E50" s="3455"/>
      <c r="F50" s="3455"/>
      <c r="G50" s="3455"/>
      <c r="H50" s="3455"/>
      <c r="I50" s="3455"/>
      <c r="J50" s="3455"/>
      <c r="K50" s="3455"/>
      <c r="L50" s="3455"/>
      <c r="M50" s="3455"/>
      <c r="N50" s="3455"/>
      <c r="O50" s="3455"/>
      <c r="P50" s="3455"/>
      <c r="Q50" s="3455"/>
      <c r="R50" s="3456"/>
      <c r="S50" s="3453"/>
    </row>
    <row r="51" spans="1:19" s="3452" customFormat="1" x14ac:dyDescent="0.3">
      <c r="A51" s="3451"/>
      <c r="C51" s="5541" t="s">
        <v>1599</v>
      </c>
      <c r="D51" s="5541"/>
      <c r="E51" s="5541"/>
      <c r="F51" s="5541"/>
      <c r="G51" s="5541" t="s">
        <v>1600</v>
      </c>
      <c r="H51" s="5541"/>
      <c r="I51" s="5541"/>
      <c r="J51" s="5541"/>
      <c r="K51" s="3453"/>
      <c r="L51" s="3453"/>
      <c r="M51" s="3453"/>
      <c r="N51" s="3453"/>
      <c r="O51" s="3453"/>
      <c r="P51" s="3453"/>
      <c r="Q51" s="3453"/>
      <c r="R51" s="3453"/>
      <c r="S51" s="3453"/>
    </row>
    <row r="52" spans="1:19" s="3452" customFormat="1" x14ac:dyDescent="0.3">
      <c r="A52" s="3451"/>
      <c r="G52" s="3453"/>
      <c r="H52" s="3453"/>
      <c r="I52" s="3453"/>
      <c r="J52" s="3453"/>
      <c r="K52" s="3453"/>
      <c r="L52" s="3453"/>
      <c r="M52" s="3453"/>
      <c r="N52" s="3453"/>
      <c r="O52" s="3453"/>
      <c r="P52" s="3453"/>
      <c r="Q52" s="3453"/>
      <c r="R52" s="3453"/>
      <c r="S52" s="3453"/>
    </row>
    <row r="53" spans="1:19" s="3452" customFormat="1" x14ac:dyDescent="0.3">
      <c r="A53" s="3451"/>
      <c r="G53" s="3453"/>
      <c r="H53" s="3453"/>
      <c r="I53" s="3453"/>
      <c r="J53" s="3453"/>
      <c r="K53" s="3453"/>
      <c r="L53" s="3453"/>
      <c r="M53" s="3453"/>
      <c r="N53" s="3453"/>
      <c r="O53" s="3453"/>
      <c r="P53" s="3453"/>
      <c r="Q53" s="3453"/>
      <c r="R53" s="3453"/>
      <c r="S53" s="3453"/>
    </row>
    <row r="54" spans="1:19" s="3452" customFormat="1" x14ac:dyDescent="0.3">
      <c r="A54" s="3451"/>
      <c r="G54" s="3453"/>
      <c r="H54" s="3453"/>
      <c r="I54" s="3453"/>
      <c r="J54" s="3453"/>
      <c r="K54" s="3453"/>
      <c r="L54" s="3453"/>
      <c r="M54" s="3453"/>
      <c r="N54" s="3453"/>
      <c r="O54" s="3453"/>
      <c r="P54" s="3453"/>
      <c r="Q54" s="3453"/>
      <c r="R54" s="3453"/>
      <c r="S54" s="3453"/>
    </row>
    <row r="55" spans="1:19" s="3452" customFormat="1" x14ac:dyDescent="0.3">
      <c r="A55" s="3451"/>
      <c r="G55" s="3453"/>
      <c r="H55" s="3453"/>
      <c r="I55" s="3453"/>
      <c r="J55" s="3453"/>
      <c r="K55" s="3453"/>
      <c r="L55" s="3453"/>
      <c r="M55" s="3453"/>
      <c r="N55" s="3453"/>
      <c r="O55" s="3453"/>
      <c r="P55" s="3453"/>
      <c r="Q55" s="3453"/>
      <c r="R55" s="3453"/>
      <c r="S55" s="3453"/>
    </row>
    <row r="56" spans="1:19" s="3452" customFormat="1" x14ac:dyDescent="0.3">
      <c r="A56" s="3451"/>
      <c r="G56" s="3453"/>
      <c r="H56" s="3453"/>
      <c r="I56" s="3453"/>
      <c r="J56" s="3453"/>
      <c r="K56" s="3453"/>
      <c r="L56" s="3453"/>
      <c r="M56" s="3453"/>
      <c r="N56" s="3453"/>
      <c r="O56" s="3453"/>
      <c r="P56" s="3453"/>
      <c r="Q56" s="3453"/>
      <c r="R56" s="3453"/>
      <c r="S56" s="3453"/>
    </row>
    <row r="57" spans="1:19" s="3452" customFormat="1" x14ac:dyDescent="0.3">
      <c r="A57" s="3451"/>
      <c r="G57" s="3453"/>
      <c r="H57" s="3453"/>
      <c r="I57" s="3453"/>
      <c r="J57" s="3453"/>
      <c r="K57" s="3453"/>
      <c r="L57" s="3453"/>
      <c r="M57" s="3453"/>
      <c r="N57" s="3453"/>
      <c r="O57" s="3453"/>
      <c r="P57" s="3453"/>
      <c r="Q57" s="3453"/>
      <c r="R57" s="3453"/>
      <c r="S57" s="3453"/>
    </row>
    <row r="58" spans="1:19" s="3452" customFormat="1" x14ac:dyDescent="0.3">
      <c r="A58" s="3451"/>
      <c r="G58" s="3453"/>
      <c r="H58" s="3453"/>
      <c r="I58" s="3453"/>
      <c r="J58" s="3453"/>
      <c r="K58" s="3453"/>
      <c r="L58" s="3453"/>
      <c r="M58" s="3453"/>
      <c r="N58" s="3453"/>
      <c r="O58" s="3453"/>
      <c r="P58" s="3453"/>
      <c r="Q58" s="3453"/>
      <c r="R58" s="3453"/>
      <c r="S58" s="3453"/>
    </row>
    <row r="59" spans="1:19" s="3452" customFormat="1" x14ac:dyDescent="0.3">
      <c r="A59" s="3451"/>
      <c r="G59" s="3453"/>
      <c r="H59" s="3453"/>
      <c r="I59" s="3453"/>
      <c r="J59" s="3453"/>
      <c r="K59" s="3453"/>
      <c r="L59" s="3453"/>
      <c r="M59" s="3453"/>
      <c r="N59" s="3453"/>
      <c r="O59" s="3453"/>
      <c r="P59" s="3453"/>
      <c r="Q59" s="3453"/>
      <c r="R59" s="3453"/>
      <c r="S59" s="3453"/>
    </row>
    <row r="60" spans="1:19" s="3452" customFormat="1" x14ac:dyDescent="0.3">
      <c r="A60" s="3451"/>
      <c r="G60" s="3453"/>
      <c r="H60" s="3453"/>
      <c r="I60" s="3453"/>
      <c r="J60" s="3453"/>
      <c r="K60" s="3453"/>
      <c r="L60" s="3453"/>
      <c r="M60" s="3453"/>
      <c r="N60" s="3453"/>
      <c r="O60" s="3453"/>
      <c r="P60" s="3453"/>
      <c r="Q60" s="3453"/>
      <c r="R60" s="3453"/>
      <c r="S60" s="3453"/>
    </row>
    <row r="61" spans="1:19" s="3452" customFormat="1" x14ac:dyDescent="0.3">
      <c r="A61" s="3451"/>
      <c r="G61" s="3453"/>
      <c r="H61" s="3453"/>
      <c r="I61" s="3453"/>
      <c r="J61" s="3453"/>
      <c r="K61" s="3453"/>
      <c r="L61" s="3453"/>
      <c r="M61" s="3453"/>
      <c r="N61" s="3453"/>
      <c r="O61" s="3453"/>
      <c r="P61" s="3453"/>
      <c r="Q61" s="3453"/>
      <c r="R61" s="3453"/>
      <c r="S61" s="3453"/>
    </row>
    <row r="62" spans="1:19" s="3452" customFormat="1" x14ac:dyDescent="0.3">
      <c r="A62" s="3451"/>
      <c r="G62" s="3453"/>
      <c r="H62" s="3453"/>
      <c r="I62" s="3453"/>
      <c r="J62" s="3453"/>
      <c r="K62" s="3453"/>
      <c r="L62" s="3453"/>
      <c r="M62" s="3453"/>
      <c r="N62" s="3453"/>
      <c r="O62" s="3453"/>
      <c r="P62" s="3453"/>
      <c r="Q62" s="3453"/>
      <c r="R62" s="3453"/>
      <c r="S62" s="3453"/>
    </row>
    <row r="63" spans="1:19" s="3452" customFormat="1" x14ac:dyDescent="0.3">
      <c r="A63" s="3451"/>
      <c r="G63" s="3453"/>
      <c r="H63" s="3453"/>
      <c r="I63" s="3453"/>
      <c r="J63" s="3453"/>
      <c r="K63" s="3453"/>
      <c r="L63" s="3453"/>
      <c r="M63" s="3453"/>
      <c r="N63" s="3453"/>
      <c r="O63" s="3453"/>
      <c r="P63" s="3453"/>
      <c r="Q63" s="3453"/>
      <c r="R63" s="3453"/>
      <c r="S63" s="3453"/>
    </row>
    <row r="64" spans="1:19" s="3452" customFormat="1" x14ac:dyDescent="0.3">
      <c r="A64" s="3451"/>
      <c r="G64" s="3453"/>
      <c r="H64" s="3453"/>
      <c r="I64" s="3453"/>
      <c r="J64" s="3453"/>
      <c r="K64" s="3453"/>
      <c r="L64" s="3453"/>
      <c r="M64" s="3453"/>
      <c r="N64" s="3453"/>
      <c r="O64" s="3453"/>
      <c r="P64" s="3453"/>
      <c r="Q64" s="3453"/>
      <c r="R64" s="3453"/>
      <c r="S64" s="3453"/>
    </row>
    <row r="65" spans="1:19" s="3452" customFormat="1" x14ac:dyDescent="0.3">
      <c r="A65" s="3451"/>
      <c r="G65" s="3453"/>
      <c r="H65" s="3453"/>
      <c r="I65" s="3453"/>
      <c r="J65" s="3453"/>
      <c r="K65" s="3453"/>
      <c r="L65" s="3453"/>
      <c r="M65" s="3453"/>
      <c r="N65" s="3453"/>
      <c r="O65" s="3453"/>
      <c r="P65" s="3453"/>
      <c r="Q65" s="3453"/>
      <c r="R65" s="3453"/>
      <c r="S65" s="3453"/>
    </row>
    <row r="66" spans="1:19" s="3452" customFormat="1" x14ac:dyDescent="0.3">
      <c r="A66" s="3451"/>
      <c r="G66" s="3453"/>
      <c r="N66" s="3453"/>
      <c r="O66" s="3453"/>
      <c r="P66" s="3453"/>
      <c r="Q66" s="3453"/>
      <c r="R66" s="3453"/>
      <c r="S66" s="3453"/>
    </row>
    <row r="67" spans="1:19" s="3452" customFormat="1" x14ac:dyDescent="0.3">
      <c r="A67" s="3451"/>
      <c r="G67" s="3453"/>
      <c r="H67" s="3453"/>
      <c r="I67" s="3453"/>
      <c r="J67" s="3453"/>
      <c r="K67" s="3453"/>
      <c r="L67" s="3453"/>
      <c r="M67" s="3468" t="s">
        <v>2160</v>
      </c>
      <c r="N67" s="3453"/>
      <c r="O67" s="3453"/>
      <c r="P67" s="3453"/>
      <c r="Q67" s="3453"/>
      <c r="R67" s="3453"/>
      <c r="S67" s="3453"/>
    </row>
    <row r="68" spans="1:19" s="3452" customFormat="1" x14ac:dyDescent="0.3">
      <c r="A68" s="3451"/>
      <c r="G68" s="3453"/>
      <c r="H68" s="3453"/>
      <c r="I68" s="3453"/>
      <c r="J68" s="3453"/>
      <c r="K68" s="3453"/>
      <c r="L68" s="3453"/>
      <c r="M68" s="3468" t="s">
        <v>1440</v>
      </c>
      <c r="N68" s="3453"/>
      <c r="O68" s="3453"/>
      <c r="P68" s="3453"/>
      <c r="Q68" s="3453"/>
      <c r="R68" s="3453"/>
      <c r="S68" s="3453"/>
    </row>
    <row r="69" spans="1:19" s="3452" customFormat="1" x14ac:dyDescent="0.3">
      <c r="A69" s="3451"/>
      <c r="D69" s="3468" t="s">
        <v>2332</v>
      </c>
      <c r="E69" s="3469">
        <f>+A.Lecheros!R488</f>
        <v>0</v>
      </c>
      <c r="H69" s="3453"/>
      <c r="J69" s="3468" t="s">
        <v>2333</v>
      </c>
      <c r="K69" s="3469">
        <f>+A.Lecheros!R489</f>
        <v>0</v>
      </c>
      <c r="L69" s="3453"/>
      <c r="O69" s="3468"/>
      <c r="P69" s="3469"/>
      <c r="Q69" s="3453"/>
      <c r="R69" s="3453"/>
      <c r="S69" s="3453"/>
    </row>
    <row r="70" spans="1:19" s="3452" customFormat="1" x14ac:dyDescent="0.3">
      <c r="A70" s="3451"/>
      <c r="G70" s="3453"/>
      <c r="H70" s="3453"/>
      <c r="I70" s="3453"/>
      <c r="J70" s="3453"/>
      <c r="K70" s="3453"/>
      <c r="L70" s="3453"/>
      <c r="M70" s="3468"/>
      <c r="N70" s="3453"/>
      <c r="O70" s="3453"/>
      <c r="P70" s="3453"/>
      <c r="Q70" s="3453"/>
      <c r="R70" s="3453"/>
      <c r="S70" s="3453"/>
    </row>
    <row r="71" spans="1:19" s="3452" customFormat="1" x14ac:dyDescent="0.3">
      <c r="A71" s="2487">
        <f>+A50+1</f>
        <v>91</v>
      </c>
      <c r="B71" s="3454"/>
      <c r="C71" s="3455"/>
      <c r="D71" s="3455"/>
      <c r="E71" s="3470" t="s">
        <v>2352</v>
      </c>
      <c r="F71" s="3470"/>
      <c r="G71" s="3455"/>
      <c r="H71" s="3455"/>
      <c r="I71" s="3455"/>
      <c r="J71" s="3455"/>
      <c r="K71" s="3455"/>
      <c r="L71" s="3455"/>
      <c r="M71" s="3455"/>
      <c r="N71" s="3455"/>
      <c r="O71" s="3455"/>
      <c r="P71" s="3455"/>
      <c r="Q71" s="3455"/>
      <c r="R71" s="3456"/>
      <c r="S71" s="3453"/>
    </row>
    <row r="72" spans="1:19" s="3452" customFormat="1" x14ac:dyDescent="0.3">
      <c r="A72" s="3451"/>
      <c r="C72" s="3453"/>
      <c r="D72" s="3453"/>
      <c r="G72" s="3453"/>
      <c r="H72" s="3453"/>
      <c r="I72" s="3453"/>
      <c r="J72" s="3453"/>
      <c r="K72" s="3453"/>
      <c r="L72" s="3453"/>
      <c r="M72" s="3453"/>
      <c r="N72" s="3453"/>
      <c r="O72" s="3453"/>
      <c r="P72" s="3453"/>
      <c r="Q72" s="3453"/>
      <c r="R72" s="3453"/>
      <c r="S72" s="3453"/>
    </row>
    <row r="73" spans="1:19" s="3452" customFormat="1" x14ac:dyDescent="0.3">
      <c r="A73" s="3451"/>
      <c r="G73" s="3453"/>
      <c r="H73" s="3453"/>
      <c r="I73" s="3453"/>
      <c r="J73" s="3453"/>
      <c r="K73" s="3453"/>
      <c r="L73" s="3453"/>
      <c r="M73" s="3453"/>
      <c r="N73" s="3453"/>
      <c r="O73" s="3453"/>
      <c r="P73" s="3453"/>
      <c r="Q73" s="3453"/>
      <c r="R73" s="3453"/>
      <c r="S73" s="3453"/>
    </row>
    <row r="74" spans="1:19" s="3452" customFormat="1" x14ac:dyDescent="0.3">
      <c r="A74" s="3451"/>
      <c r="G74" s="3453"/>
      <c r="H74" s="3453"/>
      <c r="I74" s="3453"/>
      <c r="J74" s="3453"/>
      <c r="K74" s="3453"/>
      <c r="L74" s="3453"/>
      <c r="M74" s="3453"/>
      <c r="N74" s="3453"/>
      <c r="O74" s="3453"/>
      <c r="P74" s="3453"/>
      <c r="Q74" s="3453"/>
      <c r="R74" s="3453"/>
      <c r="S74" s="3453"/>
    </row>
    <row r="75" spans="1:19" s="3452" customFormat="1" x14ac:dyDescent="0.3">
      <c r="A75" s="3451"/>
      <c r="G75" s="3453"/>
      <c r="H75" s="3453"/>
      <c r="I75" s="3453"/>
      <c r="J75" s="3453"/>
      <c r="K75" s="3453"/>
      <c r="L75" s="3453"/>
      <c r="M75" s="3453"/>
      <c r="N75" s="3453"/>
      <c r="O75" s="3453"/>
      <c r="P75" s="3453"/>
      <c r="Q75" s="3453"/>
      <c r="R75" s="3453"/>
      <c r="S75" s="3453"/>
    </row>
    <row r="76" spans="1:19" s="3452" customFormat="1" x14ac:dyDescent="0.3">
      <c r="A76" s="3451"/>
      <c r="G76" s="3453"/>
      <c r="H76" s="3453"/>
      <c r="I76" s="3453"/>
      <c r="J76" s="3453"/>
      <c r="K76" s="3453"/>
      <c r="L76" s="3453"/>
      <c r="M76" s="3453"/>
      <c r="N76" s="3453"/>
      <c r="O76" s="3453"/>
      <c r="P76" s="3453"/>
      <c r="Q76" s="3453"/>
      <c r="R76" s="3453"/>
      <c r="S76" s="3453"/>
    </row>
    <row r="77" spans="1:19" s="3452" customFormat="1" x14ac:dyDescent="0.3">
      <c r="A77" s="3451"/>
      <c r="G77" s="3453"/>
      <c r="H77" s="3453"/>
      <c r="I77" s="3453"/>
      <c r="J77" s="3453"/>
      <c r="K77" s="3453"/>
      <c r="L77" s="3453"/>
      <c r="M77" s="3453"/>
      <c r="N77" s="3453"/>
      <c r="O77" s="3453"/>
      <c r="P77" s="3453"/>
      <c r="Q77" s="3453"/>
      <c r="R77" s="3453"/>
      <c r="S77" s="3453"/>
    </row>
    <row r="78" spans="1:19" s="3452" customFormat="1" x14ac:dyDescent="0.3">
      <c r="A78" s="3451"/>
      <c r="G78" s="3453"/>
      <c r="H78" s="3453"/>
      <c r="I78" s="3453"/>
      <c r="J78" s="3453"/>
      <c r="K78" s="3453"/>
      <c r="L78" s="3453"/>
      <c r="M78" s="3453"/>
      <c r="N78" s="3453"/>
      <c r="O78" s="3453"/>
      <c r="P78" s="3453"/>
      <c r="Q78" s="3453"/>
      <c r="R78" s="3453"/>
      <c r="S78" s="3453"/>
    </row>
    <row r="79" spans="1:19" s="3452" customFormat="1" x14ac:dyDescent="0.3">
      <c r="A79" s="3451"/>
      <c r="G79" s="3453"/>
      <c r="H79" s="3453"/>
      <c r="I79" s="3453"/>
      <c r="J79" s="3453"/>
      <c r="K79" s="3453"/>
      <c r="L79" s="3453"/>
      <c r="M79" s="3453"/>
      <c r="N79" s="3453"/>
      <c r="O79" s="3453"/>
      <c r="P79" s="3453"/>
      <c r="Q79" s="3453"/>
      <c r="R79" s="3453"/>
      <c r="S79" s="3453"/>
    </row>
    <row r="80" spans="1:19" s="3452" customFormat="1" x14ac:dyDescent="0.3">
      <c r="A80" s="3451"/>
      <c r="G80" s="3453"/>
      <c r="H80" s="3453"/>
      <c r="I80" s="3453"/>
      <c r="J80" s="3453"/>
      <c r="K80" s="3453"/>
      <c r="L80" s="3453"/>
      <c r="M80" s="3453"/>
      <c r="N80" s="3453"/>
      <c r="O80" s="3453"/>
      <c r="P80" s="3453"/>
      <c r="Q80" s="3453"/>
      <c r="R80" s="3453"/>
      <c r="S80" s="3453"/>
    </row>
    <row r="81" spans="1:19" s="3452" customFormat="1" x14ac:dyDescent="0.3">
      <c r="A81" s="3451"/>
      <c r="G81" s="3453"/>
      <c r="H81" s="3453"/>
      <c r="I81" s="3453"/>
      <c r="J81" s="3453"/>
      <c r="K81" s="3453"/>
      <c r="L81" s="3453"/>
      <c r="M81" s="3453"/>
      <c r="N81" s="3453"/>
      <c r="O81" s="3453"/>
      <c r="P81" s="3453"/>
      <c r="Q81" s="3453"/>
      <c r="R81" s="3453"/>
      <c r="S81" s="3453"/>
    </row>
    <row r="82" spans="1:19" s="3452" customFormat="1" x14ac:dyDescent="0.3">
      <c r="A82" s="3451"/>
      <c r="G82" s="3453"/>
      <c r="H82" s="3453"/>
      <c r="I82" s="3453"/>
      <c r="J82" s="3453"/>
      <c r="K82" s="3453"/>
      <c r="L82" s="3453"/>
      <c r="M82" s="3453"/>
      <c r="N82" s="3453"/>
      <c r="O82" s="3453"/>
      <c r="P82" s="3453"/>
      <c r="Q82" s="3453"/>
      <c r="R82" s="3453"/>
      <c r="S82" s="3453"/>
    </row>
    <row r="83" spans="1:19" s="3452" customFormat="1" x14ac:dyDescent="0.3">
      <c r="A83" s="3451"/>
      <c r="G83" s="3453"/>
      <c r="H83" s="3453"/>
      <c r="I83" s="3453"/>
      <c r="J83" s="3453"/>
      <c r="K83" s="3453"/>
      <c r="L83" s="3453"/>
      <c r="M83" s="3453"/>
      <c r="N83" s="3453"/>
      <c r="O83" s="3453"/>
      <c r="P83" s="3453"/>
      <c r="Q83" s="3453"/>
      <c r="R83" s="3453"/>
      <c r="S83" s="3453"/>
    </row>
    <row r="84" spans="1:19" s="3452" customFormat="1" x14ac:dyDescent="0.3">
      <c r="A84" s="3451"/>
      <c r="G84" s="3453"/>
      <c r="H84" s="3453"/>
      <c r="I84" s="3453"/>
      <c r="J84" s="3453"/>
      <c r="K84" s="3453"/>
      <c r="L84" s="3453"/>
      <c r="M84" s="3453"/>
      <c r="N84" s="3453"/>
      <c r="O84" s="3453"/>
      <c r="P84" s="3453"/>
      <c r="Q84" s="3453"/>
      <c r="R84" s="3453"/>
      <c r="S84" s="3453"/>
    </row>
    <row r="85" spans="1:19" s="3452" customFormat="1" x14ac:dyDescent="0.3">
      <c r="A85" s="3451"/>
      <c r="G85" s="3453"/>
      <c r="H85" s="3453"/>
      <c r="I85" s="3453"/>
      <c r="J85" s="3453"/>
      <c r="K85" s="3453"/>
      <c r="L85" s="3453"/>
      <c r="M85" s="3453"/>
      <c r="N85" s="3453"/>
      <c r="O85" s="3453"/>
      <c r="P85" s="3453"/>
      <c r="Q85" s="3453"/>
      <c r="R85" s="3453"/>
      <c r="S85" s="3453"/>
    </row>
    <row r="86" spans="1:19" s="3452" customFormat="1" x14ac:dyDescent="0.3">
      <c r="A86" s="3451"/>
      <c r="G86" s="3453"/>
      <c r="H86" s="3453"/>
      <c r="I86" s="3453"/>
      <c r="J86" s="3453"/>
      <c r="K86" s="3453"/>
      <c r="L86" s="3453"/>
      <c r="M86" s="3453"/>
      <c r="N86" s="3453"/>
      <c r="O86" s="3453"/>
      <c r="P86" s="3453"/>
      <c r="Q86" s="3453"/>
      <c r="R86" s="3453"/>
      <c r="S86" s="3453"/>
    </row>
    <row r="87" spans="1:19" s="3452" customFormat="1" x14ac:dyDescent="0.3">
      <c r="A87" s="3451"/>
      <c r="G87" s="3453"/>
      <c r="H87" s="3453"/>
      <c r="I87" s="3453"/>
      <c r="J87" s="3453"/>
      <c r="K87" s="3453"/>
      <c r="L87" s="3453"/>
      <c r="M87" s="3453"/>
      <c r="N87" s="3453"/>
      <c r="O87" s="3453"/>
      <c r="P87" s="3453"/>
      <c r="Q87" s="3453"/>
      <c r="R87" s="3453"/>
      <c r="S87" s="3453"/>
    </row>
    <row r="88" spans="1:19" s="3452" customFormat="1" x14ac:dyDescent="0.3">
      <c r="A88" s="3451"/>
      <c r="G88" s="3453"/>
      <c r="H88" s="3453"/>
      <c r="I88" s="3453"/>
      <c r="J88" s="3453"/>
      <c r="K88" s="3453"/>
      <c r="L88" s="3453"/>
      <c r="M88" s="3453"/>
      <c r="N88" s="3453"/>
      <c r="O88" s="3453"/>
      <c r="P88" s="3453"/>
      <c r="Q88" s="3453"/>
      <c r="R88" s="3468" t="s">
        <v>2160</v>
      </c>
      <c r="S88" s="3453"/>
    </row>
    <row r="89" spans="1:19" x14ac:dyDescent="0.3">
      <c r="R89" s="3468" t="s">
        <v>1440</v>
      </c>
    </row>
    <row r="90" spans="1:19" x14ac:dyDescent="0.3">
      <c r="P90" s="3468"/>
      <c r="Q90" s="3475" t="str">
        <f>+C27</f>
        <v xml:space="preserve">Energía Metabolizable/kgMS Global : </v>
      </c>
      <c r="R90" s="3469">
        <f>+D27</f>
        <v>0</v>
      </c>
    </row>
    <row r="91" spans="1:19" s="3452" customFormat="1" x14ac:dyDescent="0.3">
      <c r="A91" s="3451"/>
      <c r="G91" s="3453"/>
      <c r="H91" s="3453"/>
      <c r="I91" s="3453"/>
      <c r="J91" s="3453"/>
      <c r="K91" s="3453"/>
      <c r="L91" s="3453"/>
      <c r="M91" s="3453"/>
      <c r="N91" s="3453"/>
      <c r="O91" s="3453"/>
      <c r="P91" s="3453"/>
      <c r="Q91" s="3453"/>
      <c r="S91" s="3453"/>
    </row>
    <row r="92" spans="1:19" s="3452" customFormat="1" x14ac:dyDescent="0.3">
      <c r="A92" s="2487">
        <f>+A71+1</f>
        <v>92</v>
      </c>
      <c r="B92" s="3454"/>
      <c r="C92" s="3455"/>
      <c r="D92" s="3455"/>
      <c r="E92" s="3470" t="s">
        <v>2353</v>
      </c>
      <c r="F92" s="3476"/>
      <c r="G92" s="3455"/>
      <c r="H92" s="3455"/>
      <c r="I92" s="3455"/>
      <c r="J92" s="3455"/>
      <c r="K92" s="3455"/>
      <c r="L92" s="3455"/>
      <c r="M92" s="3455"/>
      <c r="N92" s="3455"/>
      <c r="O92" s="3455"/>
      <c r="P92" s="3455"/>
      <c r="Q92" s="3455"/>
      <c r="R92" s="3456"/>
      <c r="S92" s="3453"/>
    </row>
    <row r="93" spans="1:19" s="3452" customFormat="1" x14ac:dyDescent="0.3">
      <c r="A93" s="3451"/>
      <c r="G93" s="3453"/>
      <c r="H93" s="3453"/>
      <c r="I93" s="3453"/>
      <c r="J93" s="3453"/>
      <c r="K93" s="3453"/>
      <c r="L93" s="3453"/>
      <c r="M93" s="3453"/>
      <c r="N93" s="3453"/>
      <c r="O93" s="3453"/>
      <c r="P93" s="3453"/>
      <c r="Q93" s="3453"/>
      <c r="R93" s="3453"/>
      <c r="S93" s="3453"/>
    </row>
    <row r="94" spans="1:19" s="3452" customFormat="1" x14ac:dyDescent="0.3">
      <c r="A94" s="3451"/>
      <c r="G94" s="3453"/>
      <c r="H94" s="3453"/>
      <c r="I94" s="3453"/>
      <c r="J94" s="3453"/>
      <c r="K94" s="3453"/>
      <c r="L94" s="3453"/>
      <c r="M94" s="3453"/>
      <c r="N94" s="3453"/>
      <c r="O94" s="3453"/>
      <c r="P94" s="3453"/>
      <c r="Q94" s="3453"/>
      <c r="R94" s="3453"/>
      <c r="S94" s="3453"/>
    </row>
    <row r="95" spans="1:19" s="3452" customFormat="1" x14ac:dyDescent="0.3">
      <c r="A95" s="3451"/>
      <c r="G95" s="3453"/>
      <c r="H95" s="3453"/>
      <c r="I95" s="3453"/>
      <c r="J95" s="3453"/>
      <c r="K95" s="3453"/>
      <c r="L95" s="3453"/>
      <c r="M95" s="3453"/>
      <c r="N95" s="3453"/>
      <c r="O95" s="3453"/>
      <c r="P95" s="3453"/>
      <c r="Q95" s="3453"/>
      <c r="R95" s="3453"/>
      <c r="S95" s="3453"/>
    </row>
    <row r="96" spans="1:19" s="3452" customFormat="1" x14ac:dyDescent="0.3">
      <c r="A96" s="3451"/>
      <c r="G96" s="3453"/>
      <c r="H96" s="3453"/>
      <c r="I96" s="3453"/>
      <c r="J96" s="3453"/>
      <c r="K96" s="3453"/>
      <c r="L96" s="3453"/>
      <c r="M96" s="3453"/>
      <c r="N96" s="3453"/>
      <c r="O96" s="3453"/>
      <c r="P96" s="3453"/>
      <c r="Q96" s="3453"/>
      <c r="R96" s="3453"/>
      <c r="S96" s="3453"/>
    </row>
    <row r="97" spans="1:19" s="3452" customFormat="1" x14ac:dyDescent="0.3">
      <c r="A97" s="3451"/>
      <c r="G97" s="3453"/>
      <c r="H97" s="3453"/>
      <c r="I97" s="3453"/>
      <c r="J97" s="3453"/>
      <c r="K97" s="3453"/>
      <c r="L97" s="3453"/>
      <c r="M97" s="3453"/>
      <c r="N97" s="3453"/>
      <c r="O97" s="3453"/>
      <c r="P97" s="3453"/>
      <c r="Q97" s="3453"/>
      <c r="R97" s="3453"/>
      <c r="S97" s="3453"/>
    </row>
    <row r="98" spans="1:19" s="3452" customFormat="1" x14ac:dyDescent="0.3">
      <c r="A98" s="3451"/>
      <c r="G98" s="3453"/>
      <c r="H98" s="3453"/>
      <c r="I98" s="3453"/>
      <c r="J98" s="3453"/>
      <c r="K98" s="3453"/>
      <c r="L98" s="3453"/>
      <c r="M98" s="3453"/>
      <c r="N98" s="3453"/>
      <c r="O98" s="3453"/>
      <c r="P98" s="3453"/>
      <c r="Q98" s="3453"/>
      <c r="R98" s="3453"/>
      <c r="S98" s="3453"/>
    </row>
    <row r="99" spans="1:19" s="3452" customFormat="1" x14ac:dyDescent="0.3">
      <c r="A99" s="3451"/>
      <c r="G99" s="3453"/>
      <c r="H99" s="3453"/>
      <c r="I99" s="3453"/>
      <c r="J99" s="3453"/>
      <c r="K99" s="3453"/>
      <c r="L99" s="3453"/>
      <c r="M99" s="3453"/>
      <c r="N99" s="3453"/>
      <c r="O99" s="3453"/>
      <c r="P99" s="3453"/>
      <c r="Q99" s="3453"/>
      <c r="R99" s="3453"/>
      <c r="S99" s="3453"/>
    </row>
    <row r="100" spans="1:19" s="3452" customFormat="1" x14ac:dyDescent="0.3">
      <c r="A100" s="3451"/>
      <c r="G100" s="3453"/>
      <c r="H100" s="3453"/>
      <c r="I100" s="3453"/>
      <c r="J100" s="3453"/>
      <c r="K100" s="3453"/>
      <c r="L100" s="3453"/>
      <c r="M100" s="3453"/>
      <c r="N100" s="3453"/>
      <c r="O100" s="3453"/>
      <c r="P100" s="3453"/>
      <c r="Q100" s="3453"/>
      <c r="R100" s="3453"/>
      <c r="S100" s="3453"/>
    </row>
    <row r="101" spans="1:19" s="3452" customFormat="1" x14ac:dyDescent="0.3">
      <c r="A101" s="3451"/>
      <c r="G101" s="3453"/>
      <c r="H101" s="3453"/>
      <c r="I101" s="3453"/>
      <c r="J101" s="3453"/>
      <c r="K101" s="3453"/>
      <c r="L101" s="3453"/>
      <c r="M101" s="3453"/>
      <c r="N101" s="3453"/>
      <c r="O101" s="3453"/>
      <c r="P101" s="3453"/>
      <c r="Q101" s="3453"/>
      <c r="R101" s="3453"/>
      <c r="S101" s="3453"/>
    </row>
    <row r="102" spans="1:19" s="3452" customFormat="1" x14ac:dyDescent="0.3">
      <c r="A102" s="3451"/>
      <c r="G102" s="3453"/>
      <c r="H102" s="3453"/>
      <c r="I102" s="3453"/>
      <c r="J102" s="3453"/>
      <c r="K102" s="3453"/>
      <c r="L102" s="3453"/>
      <c r="M102" s="3453"/>
      <c r="N102" s="3453"/>
      <c r="O102" s="3453"/>
      <c r="P102" s="3453"/>
      <c r="Q102" s="3453"/>
      <c r="R102" s="3453"/>
      <c r="S102" s="3453"/>
    </row>
    <row r="103" spans="1:19" s="3452" customFormat="1" x14ac:dyDescent="0.3">
      <c r="A103" s="3451"/>
      <c r="G103" s="3453"/>
      <c r="H103" s="3453"/>
      <c r="I103" s="3453"/>
      <c r="J103" s="3453"/>
      <c r="K103" s="3453"/>
      <c r="L103" s="3453"/>
      <c r="M103" s="3453"/>
      <c r="N103" s="3453"/>
      <c r="O103" s="3453"/>
      <c r="P103" s="3453"/>
      <c r="Q103" s="3453"/>
      <c r="R103" s="3453"/>
      <c r="S103" s="3453"/>
    </row>
    <row r="104" spans="1:19" s="3452" customFormat="1" x14ac:dyDescent="0.3">
      <c r="A104" s="3451"/>
      <c r="G104" s="3453"/>
      <c r="H104" s="3453"/>
      <c r="I104" s="3453"/>
      <c r="J104" s="3453"/>
      <c r="K104" s="3453"/>
      <c r="L104" s="3453"/>
      <c r="M104" s="3453"/>
      <c r="N104" s="3453"/>
      <c r="O104" s="3453"/>
      <c r="P104" s="3453"/>
      <c r="Q104" s="3453"/>
      <c r="R104" s="3453"/>
      <c r="S104" s="3453"/>
    </row>
    <row r="105" spans="1:19" s="3452" customFormat="1" x14ac:dyDescent="0.3">
      <c r="A105" s="3451"/>
      <c r="G105" s="3453"/>
      <c r="H105" s="3453"/>
      <c r="I105" s="3453"/>
      <c r="J105" s="3453"/>
      <c r="K105" s="3453"/>
      <c r="L105" s="3453"/>
      <c r="S105" s="3453"/>
    </row>
    <row r="106" spans="1:19" s="3452" customFormat="1" x14ac:dyDescent="0.3">
      <c r="A106" s="3451"/>
      <c r="G106" s="3453"/>
      <c r="H106" s="3453"/>
      <c r="I106" s="3453"/>
      <c r="J106" s="3453"/>
      <c r="K106" s="3453"/>
      <c r="L106" s="3453"/>
      <c r="S106" s="3453"/>
    </row>
    <row r="107" spans="1:19" s="3452" customFormat="1" x14ac:dyDescent="0.3">
      <c r="A107" s="3451"/>
      <c r="G107" s="3453"/>
      <c r="H107" s="3453"/>
      <c r="I107" s="3453"/>
      <c r="J107" s="3453"/>
      <c r="K107" s="3453"/>
      <c r="L107" s="3453"/>
      <c r="M107" s="3453"/>
      <c r="N107" s="3453"/>
      <c r="O107" s="3453"/>
      <c r="P107" s="3453"/>
      <c r="Q107" s="3453"/>
      <c r="R107" s="3468"/>
      <c r="S107" s="3453"/>
    </row>
    <row r="108" spans="1:19" s="3452" customFormat="1" x14ac:dyDescent="0.3">
      <c r="A108" s="3451"/>
      <c r="G108" s="3453"/>
      <c r="H108" s="3453"/>
      <c r="I108" s="3453"/>
      <c r="J108" s="3453"/>
      <c r="K108" s="3453"/>
      <c r="L108" s="3453"/>
      <c r="M108" s="3453"/>
      <c r="N108" s="3453"/>
      <c r="O108" s="3453"/>
      <c r="P108" s="3453"/>
      <c r="Q108" s="3453"/>
      <c r="R108" s="3468"/>
      <c r="S108" s="3453"/>
    </row>
    <row r="109" spans="1:19" s="3452" customFormat="1" x14ac:dyDescent="0.3">
      <c r="A109" s="3451"/>
      <c r="G109" s="3453"/>
      <c r="H109" s="3453"/>
      <c r="I109" s="3453"/>
      <c r="J109" s="3453"/>
      <c r="K109" s="3453"/>
      <c r="L109" s="3453"/>
      <c r="M109" s="3453"/>
      <c r="N109" s="3453"/>
      <c r="O109" s="3453"/>
      <c r="P109" s="3453"/>
      <c r="Q109" s="3453"/>
      <c r="R109" s="3468" t="s">
        <v>2160</v>
      </c>
      <c r="S109" s="3453"/>
    </row>
    <row r="110" spans="1:19" s="3452" customFormat="1" x14ac:dyDescent="0.3">
      <c r="A110" s="3451"/>
      <c r="G110" s="3453"/>
      <c r="H110" s="3453"/>
      <c r="I110" s="3453"/>
      <c r="J110" s="3453"/>
      <c r="K110" s="3453"/>
      <c r="L110" s="3453"/>
      <c r="M110" s="3453"/>
      <c r="N110" s="3453"/>
      <c r="O110" s="3453"/>
      <c r="P110" s="3453"/>
      <c r="Q110" s="3453"/>
      <c r="R110" s="3468" t="s">
        <v>1440</v>
      </c>
      <c r="S110" s="3453"/>
    </row>
    <row r="111" spans="1:19" s="3452" customFormat="1" x14ac:dyDescent="0.3">
      <c r="A111" s="3451"/>
      <c r="G111" s="3453"/>
      <c r="H111" s="3453"/>
      <c r="I111" s="3453"/>
      <c r="J111" s="3453"/>
      <c r="K111" s="3453"/>
      <c r="L111" s="3453"/>
      <c r="M111" s="3453"/>
      <c r="N111" s="3453"/>
      <c r="O111" s="3453"/>
      <c r="P111" s="3468"/>
      <c r="Q111" s="3475" t="str">
        <f>+Q90</f>
        <v xml:space="preserve">Energía Metabolizable/kgMS Global : </v>
      </c>
      <c r="R111" s="3469">
        <f>+R90</f>
        <v>0</v>
      </c>
      <c r="S111" s="3453"/>
    </row>
    <row r="112" spans="1:19" s="3452" customFormat="1" x14ac:dyDescent="0.3">
      <c r="A112" s="3451"/>
      <c r="G112" s="3453"/>
      <c r="H112" s="3453"/>
      <c r="I112" s="3453"/>
      <c r="J112" s="3453"/>
      <c r="K112" s="3453"/>
      <c r="L112" s="3453"/>
      <c r="M112" s="3453"/>
      <c r="N112" s="3453"/>
      <c r="O112" s="3453"/>
      <c r="P112" s="3453"/>
      <c r="Q112" s="3453"/>
      <c r="R112" s="3468"/>
      <c r="S112" s="3453"/>
    </row>
    <row r="113" spans="1:33" s="3440" customFormat="1" ht="15.05" x14ac:dyDescent="0.3">
      <c r="A113" s="3477"/>
      <c r="B113" s="3478" t="s">
        <v>2357</v>
      </c>
      <c r="C113" s="3479"/>
      <c r="D113" s="3479"/>
      <c r="E113" s="3479"/>
      <c r="F113" s="3479"/>
      <c r="G113" s="3479"/>
      <c r="H113" s="3479"/>
      <c r="I113" s="3479"/>
      <c r="J113" s="3479"/>
      <c r="K113" s="3479"/>
      <c r="L113" s="3479"/>
      <c r="M113" s="3479"/>
      <c r="N113" s="3479"/>
      <c r="O113" s="3479"/>
      <c r="P113" s="3479"/>
      <c r="Q113" s="3479"/>
      <c r="R113" s="3480"/>
      <c r="S113" s="3481"/>
    </row>
    <row r="114" spans="1:33" s="3452" customFormat="1" ht="6.05" customHeight="1" x14ac:dyDescent="0.3">
      <c r="B114" s="3482"/>
      <c r="C114" s="3483"/>
      <c r="D114" s="3483"/>
      <c r="E114" s="3483"/>
      <c r="F114" s="3483"/>
      <c r="G114" s="3483"/>
      <c r="H114" s="3483"/>
      <c r="I114" s="3483"/>
      <c r="J114" s="3483"/>
      <c r="K114" s="3483"/>
      <c r="L114" s="3483"/>
      <c r="M114" s="3483"/>
      <c r="N114" s="3483"/>
      <c r="O114" s="3483"/>
      <c r="P114" s="3483"/>
      <c r="Q114" s="3483"/>
      <c r="R114" s="3484"/>
      <c r="S114" s="3129"/>
    </row>
    <row r="115" spans="1:33" x14ac:dyDescent="0.3">
      <c r="A115" s="2487">
        <f>A92+1</f>
        <v>93</v>
      </c>
      <c r="B115" s="3454"/>
      <c r="C115" s="3455"/>
      <c r="D115" s="3455"/>
      <c r="E115" s="3470" t="s">
        <v>2354</v>
      </c>
      <c r="F115" s="3455"/>
      <c r="G115" s="3455"/>
      <c r="H115" s="3455"/>
      <c r="I115" s="3455"/>
      <c r="J115" s="3455"/>
      <c r="K115" s="3455"/>
      <c r="L115" s="3455"/>
      <c r="M115" s="3455"/>
      <c r="N115" s="3455"/>
      <c r="O115" s="3455"/>
      <c r="P115" s="3455"/>
      <c r="Q115" s="3455"/>
      <c r="R115" s="3456"/>
      <c r="S115" s="3129"/>
      <c r="U115" s="3436"/>
      <c r="V115" s="3436"/>
      <c r="W115" s="3436"/>
      <c r="X115" s="3436"/>
      <c r="Y115" s="3436"/>
      <c r="Z115" s="3436"/>
      <c r="AA115" s="3436"/>
      <c r="AB115" s="3436"/>
      <c r="AC115" s="3436"/>
      <c r="AD115" s="3436"/>
      <c r="AE115" s="3436"/>
      <c r="AF115" s="3436"/>
      <c r="AG115" s="3436"/>
    </row>
    <row r="116" spans="1:33" s="3452" customFormat="1" ht="15.05" customHeight="1" x14ac:dyDescent="0.3">
      <c r="F116" s="3129"/>
      <c r="G116" s="3485"/>
      <c r="H116" s="3129"/>
      <c r="I116" s="3129"/>
      <c r="J116" s="3129"/>
      <c r="K116" s="3129"/>
      <c r="L116" s="3129"/>
      <c r="M116" s="3129"/>
      <c r="N116" s="3129"/>
      <c r="O116" s="3129"/>
      <c r="P116" s="3129"/>
      <c r="Q116" s="3129"/>
      <c r="R116" s="3129"/>
      <c r="S116" s="3129"/>
    </row>
    <row r="117" spans="1:33" s="3452" customFormat="1" x14ac:dyDescent="0.3">
      <c r="C117" s="3485"/>
      <c r="D117" s="3129"/>
      <c r="E117" s="3129"/>
      <c r="F117" s="3129"/>
      <c r="G117" s="3485"/>
      <c r="H117" s="3129"/>
      <c r="I117" s="3129"/>
      <c r="J117" s="3129"/>
      <c r="K117" s="3129"/>
      <c r="L117" s="3129"/>
      <c r="M117" s="3129"/>
      <c r="N117" s="3129"/>
      <c r="O117" s="3129"/>
      <c r="P117" s="3129"/>
      <c r="Q117" s="3129"/>
      <c r="R117" s="3129"/>
      <c r="S117" s="3129"/>
    </row>
    <row r="118" spans="1:33" s="3452" customFormat="1" x14ac:dyDescent="0.3">
      <c r="B118" s="3485"/>
      <c r="C118" s="3486"/>
      <c r="D118" s="3129"/>
      <c r="E118" s="3129"/>
      <c r="F118" s="3129"/>
      <c r="G118" s="3485"/>
      <c r="H118" s="3129"/>
      <c r="I118" s="3129"/>
      <c r="J118" s="3129"/>
      <c r="K118" s="3129"/>
      <c r="L118" s="3129"/>
      <c r="M118" s="3129"/>
      <c r="N118" s="3129"/>
      <c r="O118" s="3129"/>
      <c r="P118" s="3129"/>
      <c r="Q118" s="3129"/>
      <c r="R118" s="3129"/>
      <c r="S118" s="3129"/>
    </row>
    <row r="119" spans="1:33" s="3452" customFormat="1" ht="15.05" thickBot="1" x14ac:dyDescent="0.35">
      <c r="B119" s="3485"/>
      <c r="C119" s="3486"/>
      <c r="D119" s="3129"/>
      <c r="E119" s="3129"/>
      <c r="F119" s="3129"/>
      <c r="G119" s="3485"/>
      <c r="H119" s="3129"/>
      <c r="I119" s="3129"/>
      <c r="J119" s="3129"/>
      <c r="K119" s="3129"/>
      <c r="L119" s="3129"/>
      <c r="M119" s="3129"/>
      <c r="N119" s="3129"/>
      <c r="O119" s="3129"/>
      <c r="P119" s="3129"/>
      <c r="Q119" s="3129"/>
      <c r="R119" s="3129"/>
      <c r="S119" s="3129"/>
    </row>
    <row r="120" spans="1:33" s="3452" customFormat="1" x14ac:dyDescent="0.3">
      <c r="B120" s="3459" t="s">
        <v>1556</v>
      </c>
      <c r="C120" s="3460" t="str">
        <f>+IF(C619&gt;0,B617,B618)</f>
        <v>Déficit de Forraje + Reserva</v>
      </c>
      <c r="D120" s="3461"/>
      <c r="E120" s="3129"/>
      <c r="F120" s="3129"/>
      <c r="G120" s="3485"/>
      <c r="H120" s="3129"/>
      <c r="I120" s="3129"/>
      <c r="J120" s="3129"/>
      <c r="K120" s="3129"/>
      <c r="L120" s="3129"/>
      <c r="M120" s="3129"/>
      <c r="N120" s="3129"/>
      <c r="O120" s="3129"/>
      <c r="P120" s="3129"/>
      <c r="Q120" s="3129"/>
      <c r="R120" s="3129"/>
      <c r="S120" s="3129"/>
    </row>
    <row r="121" spans="1:33" s="3452" customFormat="1" ht="15.05" thickBot="1" x14ac:dyDescent="0.35">
      <c r="B121" s="3487" t="s">
        <v>921</v>
      </c>
      <c r="C121" s="3488">
        <f>C619</f>
        <v>0</v>
      </c>
      <c r="D121" s="3489" t="s">
        <v>1396</v>
      </c>
      <c r="E121" s="3129"/>
      <c r="F121" s="3129"/>
      <c r="G121" s="3485"/>
      <c r="H121" s="3129"/>
      <c r="I121" s="3129"/>
      <c r="J121" s="3129"/>
      <c r="K121" s="3129"/>
      <c r="L121" s="3129"/>
      <c r="M121" s="3129"/>
      <c r="N121" s="3129"/>
      <c r="O121" s="3129"/>
      <c r="P121" s="3129"/>
      <c r="Q121" s="3129"/>
      <c r="R121" s="3129"/>
      <c r="S121" s="3129"/>
    </row>
    <row r="122" spans="1:33" s="3452" customFormat="1" x14ac:dyDescent="0.3">
      <c r="B122" s="3485"/>
      <c r="C122" s="3486"/>
      <c r="D122" s="3129"/>
      <c r="E122" s="3129"/>
      <c r="F122" s="3129"/>
      <c r="G122" s="3485"/>
      <c r="H122" s="3129"/>
      <c r="I122" s="3129"/>
      <c r="J122" s="3129"/>
      <c r="K122" s="3129"/>
      <c r="L122" s="3129"/>
      <c r="M122" s="3129"/>
      <c r="N122" s="3129"/>
      <c r="O122" s="3129"/>
      <c r="P122" s="3129"/>
      <c r="Q122" s="3129"/>
      <c r="R122" s="3129"/>
      <c r="S122" s="3129"/>
    </row>
    <row r="123" spans="1:33" s="3452" customFormat="1" x14ac:dyDescent="0.3">
      <c r="B123" s="3485"/>
      <c r="C123" s="3486"/>
      <c r="D123" s="3129"/>
      <c r="E123" s="3129"/>
      <c r="F123" s="3129"/>
      <c r="G123" s="3485"/>
      <c r="H123" s="3129"/>
      <c r="I123" s="3129"/>
      <c r="J123" s="3129"/>
      <c r="K123" s="3129"/>
      <c r="L123" s="3129"/>
      <c r="M123" s="3129"/>
      <c r="N123" s="3129"/>
      <c r="O123" s="3129"/>
      <c r="P123" s="3129"/>
      <c r="Q123" s="3129"/>
      <c r="R123" s="3129"/>
      <c r="S123" s="3129"/>
    </row>
    <row r="124" spans="1:33" s="3452" customFormat="1" x14ac:dyDescent="0.3">
      <c r="B124" s="3485"/>
      <c r="C124" s="3486"/>
      <c r="D124" s="3129"/>
      <c r="E124" s="3129"/>
      <c r="F124" s="3129"/>
      <c r="G124" s="3485"/>
      <c r="H124" s="3129"/>
      <c r="I124" s="3129"/>
      <c r="J124" s="3129"/>
      <c r="K124" s="3129"/>
      <c r="L124" s="3129"/>
      <c r="M124" s="3129"/>
      <c r="N124" s="3129"/>
      <c r="O124" s="3129"/>
      <c r="P124" s="3129"/>
      <c r="Q124" s="3129"/>
      <c r="R124" s="3129"/>
      <c r="S124" s="3129"/>
    </row>
    <row r="125" spans="1:33" s="3452" customFormat="1" x14ac:dyDescent="0.3">
      <c r="B125" s="3485"/>
      <c r="C125" s="3486"/>
      <c r="D125" s="3129"/>
      <c r="E125" s="3129"/>
      <c r="F125" s="3129"/>
      <c r="G125" s="3485"/>
      <c r="H125" s="3129"/>
      <c r="I125" s="3129"/>
      <c r="J125" s="3129"/>
      <c r="K125" s="3129"/>
      <c r="L125" s="3129"/>
      <c r="M125" s="3129"/>
      <c r="N125" s="3129"/>
      <c r="O125" s="3129"/>
      <c r="P125" s="3129"/>
      <c r="Q125" s="3129"/>
      <c r="R125" s="3129"/>
      <c r="S125" s="3129"/>
    </row>
    <row r="126" spans="1:33" s="3452" customFormat="1" x14ac:dyDescent="0.3">
      <c r="B126" s="3485"/>
      <c r="C126" s="3486"/>
      <c r="D126" s="3129"/>
      <c r="E126" s="3129"/>
      <c r="F126" s="3129"/>
      <c r="G126" s="3485"/>
      <c r="H126" s="3129"/>
      <c r="I126" s="3129"/>
      <c r="J126" s="3129"/>
      <c r="K126" s="3129"/>
      <c r="L126" s="3129"/>
      <c r="M126" s="3129"/>
      <c r="N126" s="3129"/>
      <c r="O126" s="3129"/>
      <c r="P126" s="3129"/>
      <c r="Q126" s="3129"/>
      <c r="R126" s="3129"/>
      <c r="S126" s="3129"/>
    </row>
    <row r="127" spans="1:33" s="3452" customFormat="1" x14ac:dyDescent="0.3">
      <c r="B127" s="3485"/>
      <c r="C127" s="3486"/>
      <c r="D127" s="3129"/>
      <c r="E127" s="3129"/>
      <c r="F127" s="3129"/>
      <c r="G127" s="3485"/>
      <c r="H127" s="3129"/>
      <c r="I127" s="3129"/>
      <c r="J127" s="3129"/>
      <c r="K127" s="3129"/>
      <c r="L127" s="3129"/>
      <c r="M127" s="3129"/>
      <c r="N127" s="3129"/>
      <c r="O127" s="3129"/>
      <c r="P127" s="3129"/>
      <c r="Q127" s="3129"/>
      <c r="R127" s="3129"/>
      <c r="S127" s="3129"/>
    </row>
    <row r="128" spans="1:33" s="3452" customFormat="1" x14ac:dyDescent="0.3">
      <c r="B128" s="3485"/>
      <c r="C128" s="3486"/>
      <c r="D128" s="3129"/>
      <c r="E128" s="3129"/>
      <c r="F128" s="3129"/>
      <c r="G128" s="3485"/>
      <c r="H128" s="3129"/>
      <c r="I128" s="3129"/>
      <c r="J128" s="3129"/>
      <c r="K128" s="3129"/>
      <c r="L128" s="3129"/>
      <c r="M128" s="3129"/>
      <c r="N128" s="3129"/>
      <c r="O128" s="3129"/>
      <c r="P128" s="3129"/>
      <c r="Q128" s="3129"/>
      <c r="R128" s="3129"/>
      <c r="S128" s="3129"/>
    </row>
    <row r="129" spans="1:33" s="3452" customFormat="1" x14ac:dyDescent="0.3">
      <c r="B129" s="3485"/>
      <c r="C129" s="3486"/>
      <c r="D129" s="3129"/>
      <c r="E129" s="3129"/>
      <c r="F129" s="3129"/>
      <c r="G129" s="3485"/>
      <c r="H129" s="3129"/>
      <c r="I129" s="3129"/>
      <c r="J129" s="3129"/>
      <c r="K129" s="3129"/>
      <c r="L129" s="3129"/>
      <c r="S129" s="3129"/>
    </row>
    <row r="130" spans="1:33" s="3452" customFormat="1" x14ac:dyDescent="0.3">
      <c r="B130" s="3485"/>
      <c r="C130" s="3486"/>
      <c r="D130" s="3129"/>
      <c r="E130" s="3129"/>
      <c r="F130" s="3129"/>
      <c r="G130" s="3485"/>
      <c r="H130" s="3129"/>
      <c r="I130" s="3129"/>
      <c r="J130" s="3129"/>
      <c r="K130" s="3129"/>
      <c r="L130" s="3129"/>
      <c r="S130" s="3490"/>
      <c r="T130" s="3490"/>
      <c r="U130" s="3490"/>
      <c r="V130" s="3490"/>
      <c r="W130" s="3490"/>
      <c r="X130" s="3490"/>
      <c r="Y130" s="3490"/>
      <c r="Z130" s="3468"/>
    </row>
    <row r="131" spans="1:33" s="3452" customFormat="1" x14ac:dyDescent="0.3">
      <c r="B131" s="3485"/>
      <c r="C131" s="3486"/>
      <c r="D131" s="3129"/>
      <c r="E131" s="3129"/>
      <c r="F131" s="3129"/>
      <c r="G131" s="3485"/>
      <c r="H131" s="3129"/>
      <c r="I131" s="3129"/>
      <c r="J131" s="3129"/>
      <c r="K131" s="3129"/>
      <c r="L131" s="3129"/>
      <c r="M131" s="3129"/>
      <c r="N131" s="3129"/>
      <c r="O131" s="3129"/>
      <c r="P131" s="3129"/>
      <c r="Q131" s="3129"/>
      <c r="R131" s="3491" t="s">
        <v>2159</v>
      </c>
      <c r="S131" s="3490"/>
      <c r="T131" s="3490"/>
      <c r="U131" s="3490"/>
      <c r="V131" s="3490"/>
      <c r="W131" s="3490"/>
      <c r="X131" s="3490"/>
      <c r="Y131" s="3490"/>
      <c r="Z131" s="3468"/>
    </row>
    <row r="132" spans="1:33" s="3452" customFormat="1" x14ac:dyDescent="0.3">
      <c r="B132" s="3485"/>
      <c r="C132" s="3486"/>
      <c r="D132" s="3129"/>
      <c r="E132" s="3129"/>
      <c r="F132" s="3129"/>
      <c r="G132" s="3485"/>
      <c r="H132" s="3129"/>
      <c r="I132" s="3129"/>
      <c r="J132" s="3129"/>
      <c r="K132" s="3129"/>
      <c r="L132" s="3129"/>
      <c r="M132" s="3129"/>
      <c r="N132" s="3129"/>
      <c r="O132" s="3129"/>
      <c r="P132" s="3129"/>
      <c r="Q132" s="3129"/>
      <c r="R132" s="3468" t="s">
        <v>2160</v>
      </c>
      <c r="S132" s="3490"/>
      <c r="T132" s="3490"/>
      <c r="U132" s="3490"/>
      <c r="V132" s="3490"/>
      <c r="W132" s="3490"/>
      <c r="X132" s="3490"/>
      <c r="Y132" s="3490"/>
      <c r="Z132" s="3468"/>
    </row>
    <row r="133" spans="1:33" s="3452" customFormat="1" x14ac:dyDescent="0.3">
      <c r="B133" s="3485"/>
      <c r="C133" s="3486"/>
      <c r="D133" s="3129"/>
      <c r="E133" s="3129"/>
      <c r="F133" s="3129"/>
      <c r="G133" s="3485"/>
      <c r="H133" s="3129"/>
      <c r="J133" s="3129"/>
      <c r="K133" s="3129"/>
      <c r="L133" s="3129"/>
      <c r="M133" s="3129"/>
      <c r="N133" s="3129"/>
      <c r="O133" s="3129"/>
      <c r="P133" s="3129"/>
      <c r="Q133" s="3129"/>
      <c r="R133" s="3468" t="s">
        <v>1440</v>
      </c>
      <c r="S133" s="3490"/>
      <c r="T133" s="3490"/>
      <c r="U133" s="3490"/>
      <c r="V133" s="3490"/>
      <c r="W133" s="3490"/>
      <c r="X133" s="3490"/>
      <c r="Y133" s="3490"/>
      <c r="Z133" s="3468"/>
    </row>
    <row r="134" spans="1:33" s="3452" customFormat="1" x14ac:dyDescent="0.3">
      <c r="B134" s="3485"/>
      <c r="C134" s="3486"/>
      <c r="D134" s="3129"/>
      <c r="E134" s="3129"/>
      <c r="F134" s="3129"/>
      <c r="G134" s="3485"/>
      <c r="H134" s="3129"/>
      <c r="I134" s="3129"/>
      <c r="J134" s="3129"/>
      <c r="K134" s="3129"/>
      <c r="L134" s="3129"/>
      <c r="M134" s="3129"/>
      <c r="N134" s="3129"/>
      <c r="O134" s="3129"/>
      <c r="P134" s="3129"/>
      <c r="Q134" s="3468" t="str">
        <f>+D69</f>
        <v xml:space="preserve">Energía Metabolizable/kgMS SPVO : </v>
      </c>
      <c r="R134" s="3469">
        <f>+E69</f>
        <v>0</v>
      </c>
      <c r="S134" s="3129"/>
    </row>
    <row r="135" spans="1:33" s="3452" customFormat="1" ht="15.05" thickBot="1" x14ac:dyDescent="0.35">
      <c r="B135" s="3485"/>
      <c r="C135" s="3486"/>
      <c r="D135" s="3129"/>
      <c r="E135" s="3129"/>
      <c r="F135" s="3129"/>
      <c r="G135" s="3485"/>
      <c r="H135" s="3129"/>
      <c r="I135" s="3129"/>
      <c r="J135" s="3129"/>
      <c r="K135" s="3129"/>
      <c r="L135" s="3129"/>
      <c r="M135" s="3129"/>
      <c r="N135" s="3129"/>
      <c r="O135" s="3129"/>
      <c r="P135" s="3129"/>
      <c r="Q135" s="3129"/>
      <c r="R135" s="3129"/>
      <c r="S135" s="3129"/>
    </row>
    <row r="136" spans="1:33" ht="15.05" thickBot="1" x14ac:dyDescent="0.35">
      <c r="A136" s="2487">
        <f>+A115+1</f>
        <v>94</v>
      </c>
      <c r="B136" s="3492" t="s">
        <v>2356</v>
      </c>
      <c r="C136" s="3493"/>
      <c r="D136" s="3493"/>
      <c r="E136" s="3493"/>
      <c r="F136" s="3493"/>
      <c r="G136" s="3494"/>
      <c r="H136" s="3494"/>
      <c r="I136" s="3494"/>
      <c r="J136" s="3494"/>
      <c r="K136" s="3494"/>
      <c r="L136" s="3494"/>
      <c r="M136" s="3494"/>
      <c r="N136" s="3494"/>
      <c r="O136" s="3494"/>
      <c r="P136" s="3494"/>
      <c r="Q136" s="3494"/>
      <c r="R136" s="3494"/>
      <c r="S136" s="3495"/>
      <c r="U136" s="3436"/>
      <c r="V136" s="3436"/>
      <c r="W136" s="3436"/>
      <c r="X136" s="3436"/>
      <c r="Y136" s="3436"/>
      <c r="Z136" s="3436"/>
      <c r="AA136" s="3436"/>
      <c r="AB136" s="3436"/>
      <c r="AC136" s="3436"/>
      <c r="AD136" s="3436"/>
      <c r="AE136" s="3436"/>
      <c r="AF136" s="3436"/>
      <c r="AG136" s="3436"/>
    </row>
    <row r="137" spans="1:33" s="3452" customFormat="1" ht="15.05" hidden="1" thickBot="1" x14ac:dyDescent="0.35">
      <c r="A137" s="3496" t="s">
        <v>1125</v>
      </c>
      <c r="B137" s="3497" t="s">
        <v>249</v>
      </c>
      <c r="C137" s="3498"/>
      <c r="D137" s="3498"/>
      <c r="E137" s="3498"/>
      <c r="F137" s="3498"/>
      <c r="G137" s="3499" t="str">
        <f>A.Lecheros!F11</f>
        <v>31</v>
      </c>
      <c r="H137" s="3499" t="str">
        <f>A.Lecheros!G11</f>
        <v>28</v>
      </c>
      <c r="I137" s="3499" t="str">
        <f>A.Lecheros!H11</f>
        <v>31</v>
      </c>
      <c r="J137" s="3499" t="str">
        <f>A.Lecheros!I11</f>
        <v>30</v>
      </c>
      <c r="K137" s="3499" t="str">
        <f>A.Lecheros!J11</f>
        <v>31</v>
      </c>
      <c r="L137" s="3499" t="str">
        <f>A.Lecheros!K11</f>
        <v>30</v>
      </c>
      <c r="M137" s="3499" t="str">
        <f>A.Lecheros!L11</f>
        <v>31</v>
      </c>
      <c r="N137" s="3499" t="str">
        <f>A.Lecheros!M11</f>
        <v>31</v>
      </c>
      <c r="O137" s="3499" t="str">
        <f>A.Lecheros!N11</f>
        <v>30</v>
      </c>
      <c r="P137" s="3499" t="str">
        <f>A.Lecheros!O11</f>
        <v>31</v>
      </c>
      <c r="Q137" s="3499" t="str">
        <f>A.Lecheros!P11</f>
        <v>30</v>
      </c>
      <c r="R137" s="3499" t="str">
        <f>A.Lecheros!Q11</f>
        <v>31</v>
      </c>
      <c r="S137" s="3500"/>
    </row>
    <row r="138" spans="1:33" s="3452" customFormat="1" ht="15.05" customHeight="1" x14ac:dyDescent="0.3">
      <c r="B138" s="2679" t="s">
        <v>683</v>
      </c>
      <c r="C138" s="3501"/>
      <c r="D138" s="3501"/>
      <c r="E138" s="3501"/>
      <c r="F138" s="3502"/>
      <c r="G138" s="3503" t="str">
        <f t="shared" ref="G138:R138" si="0">+G5</f>
        <v>Ene</v>
      </c>
      <c r="H138" s="3503" t="str">
        <f t="shared" si="0"/>
        <v>Feb</v>
      </c>
      <c r="I138" s="3503" t="str">
        <f t="shared" si="0"/>
        <v>Mar</v>
      </c>
      <c r="J138" s="3503" t="str">
        <f t="shared" si="0"/>
        <v>Abr</v>
      </c>
      <c r="K138" s="3503" t="str">
        <f t="shared" si="0"/>
        <v>May</v>
      </c>
      <c r="L138" s="3503" t="str">
        <f t="shared" si="0"/>
        <v>Jun</v>
      </c>
      <c r="M138" s="3503" t="str">
        <f t="shared" si="0"/>
        <v>Jul</v>
      </c>
      <c r="N138" s="3503" t="str">
        <f t="shared" si="0"/>
        <v>Ago</v>
      </c>
      <c r="O138" s="3503" t="str">
        <f t="shared" si="0"/>
        <v>Set</v>
      </c>
      <c r="P138" s="3503" t="str">
        <f t="shared" si="0"/>
        <v>Oct</v>
      </c>
      <c r="Q138" s="3503" t="str">
        <f t="shared" si="0"/>
        <v>Nov</v>
      </c>
      <c r="R138" s="3503" t="str">
        <f t="shared" si="0"/>
        <v>Dic</v>
      </c>
      <c r="S138" s="3447" t="s">
        <v>1391</v>
      </c>
      <c r="T138" s="3440"/>
      <c r="U138" s="3440"/>
      <c r="V138" s="3440"/>
      <c r="W138" s="3440"/>
      <c r="X138" s="3440"/>
      <c r="Y138" s="3440"/>
      <c r="Z138" s="3440"/>
    </row>
    <row r="139" spans="1:33" ht="15.05" x14ac:dyDescent="0.3">
      <c r="A139" s="3504"/>
      <c r="B139" s="3505" t="s">
        <v>1602</v>
      </c>
      <c r="C139" s="3506"/>
      <c r="D139" s="3506"/>
      <c r="E139" s="3506" t="s">
        <v>354</v>
      </c>
      <c r="F139" s="3506"/>
      <c r="G139" s="3507">
        <f>A.Lecheros!F42</f>
        <v>0</v>
      </c>
      <c r="H139" s="3508">
        <f>A.Lecheros!G42</f>
        <v>0</v>
      </c>
      <c r="I139" s="3508">
        <f>A.Lecheros!H42</f>
        <v>0</v>
      </c>
      <c r="J139" s="3508">
        <f>A.Lecheros!I42</f>
        <v>0</v>
      </c>
      <c r="K139" s="3508">
        <f>A.Lecheros!J42</f>
        <v>0</v>
      </c>
      <c r="L139" s="3508">
        <f>A.Lecheros!K42</f>
        <v>0</v>
      </c>
      <c r="M139" s="3508">
        <f>A.Lecheros!L42</f>
        <v>0</v>
      </c>
      <c r="N139" s="3508">
        <f>A.Lecheros!M42</f>
        <v>0</v>
      </c>
      <c r="O139" s="3508">
        <f>A.Lecheros!N42</f>
        <v>0</v>
      </c>
      <c r="P139" s="3508">
        <f>A.Lecheros!O42</f>
        <v>0</v>
      </c>
      <c r="Q139" s="3508">
        <f>A.Lecheros!P42</f>
        <v>0</v>
      </c>
      <c r="R139" s="3509">
        <f>A.Lecheros!Q42</f>
        <v>0</v>
      </c>
      <c r="S139" s="3510">
        <f>+A.Lecheros!R42</f>
        <v>0</v>
      </c>
      <c r="U139" s="3436"/>
      <c r="V139" s="3436"/>
      <c r="W139" s="3436"/>
      <c r="X139" s="3436"/>
      <c r="Y139" s="3436"/>
      <c r="Z139" s="3436"/>
      <c r="AA139" s="3436"/>
      <c r="AB139" s="3436"/>
      <c r="AC139" s="3436"/>
      <c r="AD139" s="3436"/>
      <c r="AE139" s="3436"/>
      <c r="AF139" s="3436"/>
      <c r="AG139" s="3436"/>
    </row>
    <row r="140" spans="1:33" ht="15.05" x14ac:dyDescent="0.3">
      <c r="A140" s="3511"/>
      <c r="B140" s="3512" t="s">
        <v>1603</v>
      </c>
      <c r="C140" s="3437"/>
      <c r="E140" s="3437" t="s">
        <v>2124</v>
      </c>
      <c r="F140" s="3437"/>
      <c r="G140" s="3513">
        <f>+A.Lecheros!F43</f>
        <v>0</v>
      </c>
      <c r="H140" s="3514">
        <f>+A.Lecheros!G43</f>
        <v>0</v>
      </c>
      <c r="I140" s="3514">
        <f>+A.Lecheros!H43</f>
        <v>0</v>
      </c>
      <c r="J140" s="3514">
        <f>+A.Lecheros!I43</f>
        <v>0</v>
      </c>
      <c r="K140" s="3514">
        <f>+A.Lecheros!J43</f>
        <v>0</v>
      </c>
      <c r="L140" s="3514">
        <f>+A.Lecheros!K43</f>
        <v>0</v>
      </c>
      <c r="M140" s="3514">
        <f>+A.Lecheros!L43</f>
        <v>0</v>
      </c>
      <c r="N140" s="3514">
        <f>+A.Lecheros!M43</f>
        <v>0</v>
      </c>
      <c r="O140" s="3514">
        <f>+A.Lecheros!N43</f>
        <v>0</v>
      </c>
      <c r="P140" s="3514">
        <f>+A.Lecheros!O43</f>
        <v>0</v>
      </c>
      <c r="Q140" s="3514">
        <f>+A.Lecheros!P43</f>
        <v>0</v>
      </c>
      <c r="R140" s="3515">
        <f>+A.Lecheros!Q43</f>
        <v>0</v>
      </c>
      <c r="S140" s="3516">
        <f>+A.Lecheros!R43</f>
        <v>0</v>
      </c>
      <c r="U140" s="3436"/>
      <c r="V140" s="3436"/>
      <c r="W140" s="3436"/>
      <c r="X140" s="3436"/>
      <c r="Y140" s="3436"/>
      <c r="Z140" s="3436"/>
      <c r="AA140" s="3436"/>
      <c r="AB140" s="3436"/>
      <c r="AC140" s="3436"/>
      <c r="AD140" s="3436"/>
      <c r="AE140" s="3436"/>
      <c r="AF140" s="3436"/>
      <c r="AG140" s="3436"/>
    </row>
    <row r="141" spans="1:33" ht="15.05" x14ac:dyDescent="0.3">
      <c r="A141" s="3504"/>
      <c r="B141" s="3517" t="s">
        <v>1428</v>
      </c>
      <c r="C141" s="3518"/>
      <c r="D141" s="3518"/>
      <c r="E141" s="3518"/>
      <c r="F141" s="3518"/>
      <c r="G141" s="3519"/>
      <c r="H141" s="3519"/>
      <c r="I141" s="3519"/>
      <c r="J141" s="3519"/>
      <c r="K141" s="3519"/>
      <c r="L141" s="3519"/>
      <c r="M141" s="3519"/>
      <c r="N141" s="3519"/>
      <c r="O141" s="3519"/>
      <c r="P141" s="3519"/>
      <c r="Q141" s="3519"/>
      <c r="R141" s="3519"/>
      <c r="S141" s="3520"/>
      <c r="U141" s="3436"/>
      <c r="V141" s="3436"/>
      <c r="W141" s="3436"/>
      <c r="X141" s="3436"/>
      <c r="Y141" s="3436"/>
      <c r="Z141" s="3436"/>
      <c r="AA141" s="3436"/>
      <c r="AB141" s="3436"/>
      <c r="AC141" s="3436"/>
      <c r="AD141" s="3436"/>
      <c r="AE141" s="3436"/>
      <c r="AF141" s="3436"/>
      <c r="AG141" s="3436"/>
    </row>
    <row r="142" spans="1:33" ht="15.75" x14ac:dyDescent="0.3">
      <c r="A142" s="3511"/>
      <c r="B142" s="3512" t="s">
        <v>2355</v>
      </c>
      <c r="C142" s="3521"/>
      <c r="D142" s="3521"/>
      <c r="E142" s="3521" t="s">
        <v>2125</v>
      </c>
      <c r="F142" s="3437"/>
      <c r="G142" s="5237">
        <v>14</v>
      </c>
      <c r="H142" s="5238">
        <v>14</v>
      </c>
      <c r="I142" s="5238">
        <v>14</v>
      </c>
      <c r="J142" s="5238">
        <v>14</v>
      </c>
      <c r="K142" s="5238">
        <v>14</v>
      </c>
      <c r="L142" s="5238">
        <v>14</v>
      </c>
      <c r="M142" s="5238">
        <v>13</v>
      </c>
      <c r="N142" s="5238">
        <v>13</v>
      </c>
      <c r="O142" s="5238">
        <v>13</v>
      </c>
      <c r="P142" s="5238">
        <v>14</v>
      </c>
      <c r="Q142" s="5238">
        <v>14</v>
      </c>
      <c r="R142" s="5239">
        <v>14</v>
      </c>
      <c r="S142" s="3522"/>
      <c r="U142" s="3523"/>
    </row>
    <row r="143" spans="1:33" ht="15.75" x14ac:dyDescent="0.3">
      <c r="A143" s="3504"/>
      <c r="B143" s="3524" t="s">
        <v>2112</v>
      </c>
      <c r="C143" s="3525"/>
      <c r="D143" s="3525"/>
      <c r="E143" s="3525" t="s">
        <v>2125</v>
      </c>
      <c r="F143" s="3526"/>
      <c r="G143" s="5240">
        <v>7</v>
      </c>
      <c r="H143" s="5241">
        <v>7</v>
      </c>
      <c r="I143" s="5241">
        <v>5</v>
      </c>
      <c r="J143" s="5241">
        <v>5</v>
      </c>
      <c r="K143" s="5241">
        <v>5</v>
      </c>
      <c r="L143" s="5241">
        <v>5</v>
      </c>
      <c r="M143" s="5241">
        <v>5</v>
      </c>
      <c r="N143" s="5241">
        <v>5</v>
      </c>
      <c r="O143" s="5241">
        <v>5</v>
      </c>
      <c r="P143" s="5241">
        <v>5</v>
      </c>
      <c r="Q143" s="5241">
        <v>8</v>
      </c>
      <c r="R143" s="5242">
        <v>8</v>
      </c>
      <c r="S143" s="3522"/>
      <c r="U143" s="3523"/>
    </row>
    <row r="144" spans="1:33" ht="15.05" x14ac:dyDescent="0.3">
      <c r="A144" s="3511"/>
      <c r="B144" s="3517" t="s">
        <v>1427</v>
      </c>
      <c r="C144" s="3518"/>
      <c r="D144" s="3518"/>
      <c r="E144" s="3518"/>
      <c r="F144" s="3518"/>
      <c r="G144" s="3519"/>
      <c r="H144" s="3519"/>
      <c r="I144" s="3519"/>
      <c r="J144" s="3519"/>
      <c r="K144" s="3519"/>
      <c r="L144" s="3519"/>
      <c r="M144" s="3519"/>
      <c r="N144" s="3519"/>
      <c r="O144" s="3519"/>
      <c r="P144" s="3519"/>
      <c r="Q144" s="3519"/>
      <c r="R144" s="3519"/>
      <c r="S144" s="3520"/>
      <c r="U144" s="3523"/>
    </row>
    <row r="145" spans="1:33" ht="15.05" x14ac:dyDescent="0.3">
      <c r="A145" s="3504"/>
      <c r="B145" s="3512" t="s">
        <v>1613</v>
      </c>
      <c r="C145" s="3437"/>
      <c r="E145" s="3437" t="s">
        <v>2125</v>
      </c>
      <c r="F145" s="3453"/>
      <c r="G145" s="3527">
        <f>IF(G139=0,0,UsoSuelo!S736/G139/G137)</f>
        <v>0</v>
      </c>
      <c r="H145" s="3528">
        <f>IF(H139=0,0,UsoSuelo!T736/H139/H137)</f>
        <v>0</v>
      </c>
      <c r="I145" s="3528">
        <f>IF(I139=0,0,UsoSuelo!U736/I139/I137)</f>
        <v>0</v>
      </c>
      <c r="J145" s="3528">
        <f>IF(J139=0,0,UsoSuelo!V736/J139/J137)</f>
        <v>0</v>
      </c>
      <c r="K145" s="3528">
        <f>IF(K139=0,0,UsoSuelo!W736/K139/K137)</f>
        <v>0</v>
      </c>
      <c r="L145" s="3528">
        <f>IF(L139=0,0,UsoSuelo!X736/L139/L137)</f>
        <v>0</v>
      </c>
      <c r="M145" s="3528">
        <f>IF(M139=0,0,UsoSuelo!Y736/M139/M137)</f>
        <v>0</v>
      </c>
      <c r="N145" s="3528">
        <f>IF(N139=0,0,UsoSuelo!Z736/N139/N137)</f>
        <v>0</v>
      </c>
      <c r="O145" s="3528">
        <f>IF(O139=0,0,UsoSuelo!AA736/O139/O137)</f>
        <v>0</v>
      </c>
      <c r="P145" s="3528">
        <f>IF(P139=0,0,UsoSuelo!AB736/P139/P137)</f>
        <v>0</v>
      </c>
      <c r="Q145" s="3528">
        <f>IF(Q139=0,0,UsoSuelo!AC736/Q139/Q137)</f>
        <v>0</v>
      </c>
      <c r="R145" s="3529">
        <f>IF(R139=0,0,UsoSuelo!AD736/R139/R137)</f>
        <v>0</v>
      </c>
      <c r="S145" s="3522"/>
      <c r="U145" s="3436"/>
      <c r="V145" s="3436"/>
      <c r="W145" s="3436"/>
      <c r="X145" s="3436"/>
      <c r="Y145" s="3436"/>
      <c r="Z145" s="3436"/>
      <c r="AA145" s="3436"/>
      <c r="AB145" s="3436"/>
      <c r="AC145" s="3436"/>
      <c r="AD145" s="3436"/>
      <c r="AE145" s="3436"/>
      <c r="AF145" s="3436"/>
      <c r="AG145" s="3436"/>
    </row>
    <row r="146" spans="1:33" ht="15.05" x14ac:dyDescent="0.3">
      <c r="A146" s="3511"/>
      <c r="B146" s="3512" t="s">
        <v>1388</v>
      </c>
      <c r="C146" s="3437"/>
      <c r="E146" s="3437" t="s">
        <v>2125</v>
      </c>
      <c r="F146" s="3437"/>
      <c r="G146" s="3530">
        <f>IF(G139=0,0,A.Lecheros!F504)</f>
        <v>0</v>
      </c>
      <c r="H146" s="3531">
        <f>IF(H139=0,0,A.Lecheros!G504)</f>
        <v>0</v>
      </c>
      <c r="I146" s="3531">
        <f>IF(I139=0,0,A.Lecheros!H504)</f>
        <v>0</v>
      </c>
      <c r="J146" s="3531">
        <f>IF(J139=0,0,A.Lecheros!I504)</f>
        <v>0</v>
      </c>
      <c r="K146" s="3531">
        <f>IF(K139=0,0,A.Lecheros!J504)</f>
        <v>0</v>
      </c>
      <c r="L146" s="3531">
        <f>IF(L139=0,0,A.Lecheros!K504)</f>
        <v>0</v>
      </c>
      <c r="M146" s="3531">
        <f>IF(M139=0,0,A.Lecheros!L504)</f>
        <v>0</v>
      </c>
      <c r="N146" s="3531">
        <f>IF(N139=0,0,A.Lecheros!M504)</f>
        <v>0</v>
      </c>
      <c r="O146" s="3531">
        <f>IF(O139=0,0,A.Lecheros!N504)</f>
        <v>0</v>
      </c>
      <c r="P146" s="3531">
        <f>IF(P139=0,0,A.Lecheros!O504)</f>
        <v>0</v>
      </c>
      <c r="Q146" s="3531">
        <f>IF(Q139=0,0,A.Lecheros!P504)</f>
        <v>0</v>
      </c>
      <c r="R146" s="3532">
        <f>IF(R139=0,0,A.Lecheros!Q504)</f>
        <v>0</v>
      </c>
      <c r="S146" s="3522"/>
      <c r="U146" s="3436"/>
      <c r="V146" s="3436"/>
      <c r="W146" s="3436"/>
      <c r="X146" s="3436"/>
      <c r="Y146" s="3436"/>
      <c r="Z146" s="3436"/>
      <c r="AA146" s="3436"/>
      <c r="AB146" s="3436"/>
      <c r="AC146" s="3436"/>
      <c r="AD146" s="3436"/>
      <c r="AE146" s="3436"/>
      <c r="AF146" s="3436"/>
      <c r="AG146" s="3436"/>
    </row>
    <row r="147" spans="1:33" ht="15.75" thickBot="1" x14ac:dyDescent="0.35">
      <c r="A147" s="3504"/>
      <c r="B147" s="3533" t="s">
        <v>1390</v>
      </c>
      <c r="C147" s="3534"/>
      <c r="D147" s="3534"/>
      <c r="E147" s="3534" t="s">
        <v>2125</v>
      </c>
      <c r="F147" s="3534"/>
      <c r="G147" s="3535">
        <f>G145-G146</f>
        <v>0</v>
      </c>
      <c r="H147" s="3536">
        <f>H145-H146</f>
        <v>0</v>
      </c>
      <c r="I147" s="3536">
        <f t="shared" ref="I147:R147" si="1">I145-I146</f>
        <v>0</v>
      </c>
      <c r="J147" s="3536">
        <f>J145-J146</f>
        <v>0</v>
      </c>
      <c r="K147" s="3536">
        <f t="shared" si="1"/>
        <v>0</v>
      </c>
      <c r="L147" s="3536">
        <f t="shared" si="1"/>
        <v>0</v>
      </c>
      <c r="M147" s="3536">
        <f t="shared" si="1"/>
        <v>0</v>
      </c>
      <c r="N147" s="3536">
        <f t="shared" si="1"/>
        <v>0</v>
      </c>
      <c r="O147" s="3536">
        <f t="shared" si="1"/>
        <v>0</v>
      </c>
      <c r="P147" s="3536">
        <f t="shared" si="1"/>
        <v>0</v>
      </c>
      <c r="Q147" s="3536">
        <f t="shared" si="1"/>
        <v>0</v>
      </c>
      <c r="R147" s="3537">
        <f t="shared" si="1"/>
        <v>0</v>
      </c>
      <c r="S147" s="3522"/>
      <c r="U147" s="3436"/>
      <c r="V147" s="3436"/>
      <c r="W147" s="3436"/>
      <c r="X147" s="3436"/>
      <c r="Y147" s="3436"/>
      <c r="Z147" s="3436"/>
      <c r="AA147" s="3436"/>
      <c r="AB147" s="3436"/>
      <c r="AC147" s="3436"/>
      <c r="AD147" s="3436"/>
      <c r="AE147" s="3436"/>
      <c r="AF147" s="3436"/>
      <c r="AG147" s="3436"/>
    </row>
    <row r="148" spans="1:33" s="3440" customFormat="1" ht="15.05" hidden="1" x14ac:dyDescent="0.3">
      <c r="A148" s="3511"/>
      <c r="B148" s="3497"/>
      <c r="C148" s="3498"/>
      <c r="D148" s="3498"/>
      <c r="E148" s="3498"/>
      <c r="F148" s="3538"/>
      <c r="G148" s="3539">
        <f>IF(G145&lt;G142,G145,G142)</f>
        <v>0</v>
      </c>
      <c r="H148" s="3539">
        <f t="shared" ref="H148:R148" si="2">IF(H145&lt;H142,H145,H142)</f>
        <v>0</v>
      </c>
      <c r="I148" s="3539">
        <f t="shared" si="2"/>
        <v>0</v>
      </c>
      <c r="J148" s="3539">
        <f t="shared" si="2"/>
        <v>0</v>
      </c>
      <c r="K148" s="3539">
        <f t="shared" si="2"/>
        <v>0</v>
      </c>
      <c r="L148" s="3539">
        <f t="shared" si="2"/>
        <v>0</v>
      </c>
      <c r="M148" s="3539">
        <f t="shared" si="2"/>
        <v>0</v>
      </c>
      <c r="N148" s="3539">
        <f t="shared" si="2"/>
        <v>0</v>
      </c>
      <c r="O148" s="3539">
        <f t="shared" si="2"/>
        <v>0</v>
      </c>
      <c r="P148" s="3539">
        <f t="shared" si="2"/>
        <v>0</v>
      </c>
      <c r="Q148" s="3539">
        <f t="shared" si="2"/>
        <v>0</v>
      </c>
      <c r="R148" s="3540">
        <f t="shared" si="2"/>
        <v>0</v>
      </c>
      <c r="S148" s="3541"/>
    </row>
    <row r="149" spans="1:33" s="3440" customFormat="1" ht="15.05" hidden="1" x14ac:dyDescent="0.3">
      <c r="A149" s="3504"/>
      <c r="B149" s="3542"/>
      <c r="C149" s="3538"/>
      <c r="D149" s="3538"/>
      <c r="E149" s="3538"/>
      <c r="F149" s="3538"/>
      <c r="G149" s="3543">
        <f>IF(G145&lt;G146,G145,G146)</f>
        <v>0</v>
      </c>
      <c r="H149" s="3543">
        <f>IF(H145&lt;H146,H145,H146)</f>
        <v>0</v>
      </c>
      <c r="I149" s="3543">
        <f t="shared" ref="I149:R149" si="3">IF(I145&lt;I146,I145,I146)</f>
        <v>0</v>
      </c>
      <c r="J149" s="3543">
        <f t="shared" si="3"/>
        <v>0</v>
      </c>
      <c r="K149" s="3543">
        <f>IF(K145&lt;K146,K145,K146)</f>
        <v>0</v>
      </c>
      <c r="L149" s="3543">
        <f t="shared" si="3"/>
        <v>0</v>
      </c>
      <c r="M149" s="3543">
        <f t="shared" si="3"/>
        <v>0</v>
      </c>
      <c r="N149" s="3543">
        <f t="shared" si="3"/>
        <v>0</v>
      </c>
      <c r="O149" s="3543">
        <f t="shared" si="3"/>
        <v>0</v>
      </c>
      <c r="P149" s="3543">
        <f t="shared" si="3"/>
        <v>0</v>
      </c>
      <c r="Q149" s="3543">
        <f t="shared" si="3"/>
        <v>0</v>
      </c>
      <c r="R149" s="3544">
        <f t="shared" si="3"/>
        <v>0</v>
      </c>
      <c r="S149" s="3541"/>
    </row>
    <row r="150" spans="1:33" s="3440" customFormat="1" ht="15.05" x14ac:dyDescent="0.3">
      <c r="A150" s="3511"/>
      <c r="B150" s="3517" t="s">
        <v>2116</v>
      </c>
      <c r="C150" s="3518"/>
      <c r="D150" s="3518"/>
      <c r="E150" s="3518"/>
      <c r="F150" s="3518"/>
      <c r="G150" s="3519"/>
      <c r="H150" s="3519"/>
      <c r="I150" s="3519"/>
      <c r="J150" s="3519"/>
      <c r="K150" s="3519"/>
      <c r="L150" s="3519"/>
      <c r="M150" s="3519"/>
      <c r="N150" s="3519"/>
      <c r="O150" s="3519"/>
      <c r="P150" s="3519"/>
      <c r="Q150" s="3519"/>
      <c r="R150" s="3519"/>
      <c r="S150" s="3520"/>
    </row>
    <row r="151" spans="1:33" s="3440" customFormat="1" ht="15.05" x14ac:dyDescent="0.3">
      <c r="A151" s="3504"/>
      <c r="B151" s="3512" t="s">
        <v>724</v>
      </c>
      <c r="C151" s="3437"/>
      <c r="D151" s="3437"/>
      <c r="E151" s="3437" t="s">
        <v>2125</v>
      </c>
      <c r="F151" s="3453"/>
      <c r="G151" s="3527">
        <f>IF(G148&lt;G149,G148,G149)</f>
        <v>0</v>
      </c>
      <c r="H151" s="3528">
        <f t="shared" ref="H151:R151" si="4">IF(H148&lt;H149,H148,H149)</f>
        <v>0</v>
      </c>
      <c r="I151" s="3528">
        <f t="shared" si="4"/>
        <v>0</v>
      </c>
      <c r="J151" s="3528">
        <f>IF(J148&lt;J149,J148,J149)</f>
        <v>0</v>
      </c>
      <c r="K151" s="3528">
        <f t="shared" si="4"/>
        <v>0</v>
      </c>
      <c r="L151" s="3528">
        <f>IF(L148&lt;L149,L148,L149)</f>
        <v>0</v>
      </c>
      <c r="M151" s="3528">
        <f>IF(M148&lt;M149,M148,M149)</f>
        <v>0</v>
      </c>
      <c r="N151" s="3528">
        <f t="shared" si="4"/>
        <v>0</v>
      </c>
      <c r="O151" s="3528">
        <f t="shared" si="4"/>
        <v>0</v>
      </c>
      <c r="P151" s="3528">
        <f t="shared" si="4"/>
        <v>0</v>
      </c>
      <c r="Q151" s="3528">
        <f t="shared" si="4"/>
        <v>0</v>
      </c>
      <c r="R151" s="3529">
        <f t="shared" si="4"/>
        <v>0</v>
      </c>
      <c r="S151" s="3516">
        <f>IF(SUM(G139:R139)=0,0,SUMPRODUCT(G151:R151,$G$139:$R$139)/AVERAGE($G$139:$R$139)/12)</f>
        <v>0</v>
      </c>
    </row>
    <row r="152" spans="1:33" s="3440" customFormat="1" ht="15.05" x14ac:dyDescent="0.3">
      <c r="A152" s="3511"/>
      <c r="B152" s="3512" t="s">
        <v>185</v>
      </c>
      <c r="C152" s="3437"/>
      <c r="D152" s="3437"/>
      <c r="E152" s="3437" t="s">
        <v>2125</v>
      </c>
      <c r="F152" s="3437"/>
      <c r="G152" s="3530">
        <f>G167</f>
        <v>0</v>
      </c>
      <c r="H152" s="3531">
        <f>H167</f>
        <v>0</v>
      </c>
      <c r="I152" s="3531">
        <f t="shared" ref="I152:R152" si="5">I167</f>
        <v>0</v>
      </c>
      <c r="J152" s="3531">
        <f t="shared" si="5"/>
        <v>0</v>
      </c>
      <c r="K152" s="3531">
        <f t="shared" si="5"/>
        <v>0</v>
      </c>
      <c r="L152" s="3531">
        <f>L167</f>
        <v>0</v>
      </c>
      <c r="M152" s="3531">
        <f>M167</f>
        <v>0</v>
      </c>
      <c r="N152" s="3531">
        <f t="shared" si="5"/>
        <v>0</v>
      </c>
      <c r="O152" s="3531">
        <f t="shared" si="5"/>
        <v>0</v>
      </c>
      <c r="P152" s="3531">
        <f t="shared" si="5"/>
        <v>0</v>
      </c>
      <c r="Q152" s="3531">
        <f t="shared" si="5"/>
        <v>0</v>
      </c>
      <c r="R152" s="3532">
        <f t="shared" si="5"/>
        <v>0</v>
      </c>
      <c r="S152" s="3516">
        <f>IF(SUM(G139:R139)=0,0,SUMPRODUCT(G152:R152,$G$139:$R$139)/AVERAGE($G$139:$R$139)/12)</f>
        <v>0</v>
      </c>
    </row>
    <row r="153" spans="1:33" s="3440" customFormat="1" ht="16.399999999999999" thickBot="1" x14ac:dyDescent="0.35">
      <c r="A153" s="3504"/>
      <c r="B153" s="3533" t="s">
        <v>2113</v>
      </c>
      <c r="C153" s="3534"/>
      <c r="D153" s="3534"/>
      <c r="E153" s="3534" t="s">
        <v>2125</v>
      </c>
      <c r="F153" s="3534"/>
      <c r="G153" s="3545">
        <f t="shared" ref="G153:R153" si="6">IF(G139=0,0,G182+G185)</f>
        <v>0</v>
      </c>
      <c r="H153" s="3546">
        <f t="shared" si="6"/>
        <v>0</v>
      </c>
      <c r="I153" s="3546">
        <f t="shared" si="6"/>
        <v>0</v>
      </c>
      <c r="J153" s="3546">
        <f t="shared" si="6"/>
        <v>0</v>
      </c>
      <c r="K153" s="3546">
        <f t="shared" si="6"/>
        <v>0</v>
      </c>
      <c r="L153" s="3546">
        <f t="shared" si="6"/>
        <v>0</v>
      </c>
      <c r="M153" s="3546">
        <f t="shared" si="6"/>
        <v>0</v>
      </c>
      <c r="N153" s="3546">
        <f t="shared" si="6"/>
        <v>0</v>
      </c>
      <c r="O153" s="3546">
        <f t="shared" si="6"/>
        <v>0</v>
      </c>
      <c r="P153" s="3546">
        <f t="shared" si="6"/>
        <v>0</v>
      </c>
      <c r="Q153" s="3546">
        <f t="shared" si="6"/>
        <v>0</v>
      </c>
      <c r="R153" s="3547">
        <f t="shared" si="6"/>
        <v>0</v>
      </c>
      <c r="S153" s="3548">
        <f>IF(SUM(G139:R139)=0,0,SUMPRODUCT(G153:R153,$G$139:$R$139)/AVERAGE($G$139:$R$139)/12)</f>
        <v>0</v>
      </c>
    </row>
    <row r="154" spans="1:33" s="3440" customFormat="1" ht="15.75" x14ac:dyDescent="0.3">
      <c r="A154" s="3504"/>
      <c r="B154" s="3549" t="s">
        <v>2114</v>
      </c>
      <c r="C154" s="5243">
        <v>0.09</v>
      </c>
      <c r="D154" s="3452"/>
      <c r="E154" s="3452" t="s">
        <v>2125</v>
      </c>
      <c r="F154" s="3437"/>
      <c r="G154" s="3550">
        <f t="shared" ref="G154:R154" si="7">IF(G139=0,0,G184)</f>
        <v>0</v>
      </c>
      <c r="H154" s="3551">
        <f t="shared" si="7"/>
        <v>0</v>
      </c>
      <c r="I154" s="3551">
        <f t="shared" si="7"/>
        <v>0</v>
      </c>
      <c r="J154" s="3551">
        <f t="shared" si="7"/>
        <v>0</v>
      </c>
      <c r="K154" s="3551">
        <f t="shared" si="7"/>
        <v>0</v>
      </c>
      <c r="L154" s="3551">
        <f t="shared" si="7"/>
        <v>0</v>
      </c>
      <c r="M154" s="3551">
        <f t="shared" si="7"/>
        <v>0</v>
      </c>
      <c r="N154" s="3551">
        <f t="shared" si="7"/>
        <v>0</v>
      </c>
      <c r="O154" s="3551">
        <f t="shared" si="7"/>
        <v>0</v>
      </c>
      <c r="P154" s="3551">
        <f t="shared" si="7"/>
        <v>0</v>
      </c>
      <c r="Q154" s="3551">
        <f t="shared" si="7"/>
        <v>0</v>
      </c>
      <c r="R154" s="3552">
        <f t="shared" si="7"/>
        <v>0</v>
      </c>
      <c r="S154" s="3553"/>
    </row>
    <row r="155" spans="1:33" s="3440" customFormat="1" ht="16.399999999999999" thickBot="1" x14ac:dyDescent="0.35">
      <c r="A155" s="3504"/>
      <c r="B155" s="3549" t="s">
        <v>2115</v>
      </c>
      <c r="C155" s="5243">
        <v>0.46</v>
      </c>
      <c r="D155" s="3452"/>
      <c r="E155" s="3452" t="s">
        <v>2125</v>
      </c>
      <c r="F155" s="3437"/>
      <c r="G155" s="3550">
        <f t="shared" ref="G155:R155" si="8">IF(G139=0,0,G185)</f>
        <v>0</v>
      </c>
      <c r="H155" s="3551">
        <f t="shared" si="8"/>
        <v>0</v>
      </c>
      <c r="I155" s="3551">
        <f t="shared" si="8"/>
        <v>0</v>
      </c>
      <c r="J155" s="3551">
        <f t="shared" si="8"/>
        <v>0</v>
      </c>
      <c r="K155" s="3551">
        <f t="shared" si="8"/>
        <v>0</v>
      </c>
      <c r="L155" s="3551">
        <f t="shared" si="8"/>
        <v>0</v>
      </c>
      <c r="M155" s="3551">
        <f t="shared" si="8"/>
        <v>0</v>
      </c>
      <c r="N155" s="3551">
        <f t="shared" si="8"/>
        <v>0</v>
      </c>
      <c r="O155" s="3551">
        <f t="shared" si="8"/>
        <v>0</v>
      </c>
      <c r="P155" s="3551">
        <f t="shared" si="8"/>
        <v>0</v>
      </c>
      <c r="Q155" s="3551">
        <f t="shared" si="8"/>
        <v>0</v>
      </c>
      <c r="R155" s="3552">
        <f t="shared" si="8"/>
        <v>0</v>
      </c>
      <c r="S155" s="3548"/>
    </row>
    <row r="156" spans="1:33" s="3440" customFormat="1" ht="15.05" x14ac:dyDescent="0.3">
      <c r="A156" s="3511"/>
      <c r="B156" s="3554" t="s">
        <v>15</v>
      </c>
      <c r="C156" s="3555"/>
      <c r="D156" s="3555"/>
      <c r="E156" s="3555" t="s">
        <v>2125</v>
      </c>
      <c r="F156" s="3555"/>
      <c r="G156" s="3556">
        <f t="shared" ref="G156:R156" si="9">+SUM(G151:G153)</f>
        <v>0</v>
      </c>
      <c r="H156" s="3557">
        <f t="shared" si="9"/>
        <v>0</v>
      </c>
      <c r="I156" s="3557">
        <f t="shared" si="9"/>
        <v>0</v>
      </c>
      <c r="J156" s="3557">
        <f t="shared" si="9"/>
        <v>0</v>
      </c>
      <c r="K156" s="3557">
        <f t="shared" si="9"/>
        <v>0</v>
      </c>
      <c r="L156" s="3557">
        <f t="shared" si="9"/>
        <v>0</v>
      </c>
      <c r="M156" s="3557">
        <f t="shared" si="9"/>
        <v>0</v>
      </c>
      <c r="N156" s="3557">
        <f t="shared" si="9"/>
        <v>0</v>
      </c>
      <c r="O156" s="3557">
        <f t="shared" si="9"/>
        <v>0</v>
      </c>
      <c r="P156" s="3557">
        <f t="shared" si="9"/>
        <v>0</v>
      </c>
      <c r="Q156" s="3557">
        <f t="shared" si="9"/>
        <v>0</v>
      </c>
      <c r="R156" s="3558">
        <f t="shared" si="9"/>
        <v>0</v>
      </c>
      <c r="S156" s="3553">
        <f>IF(SUM(G139:R139)=0,0,SUMPRODUCT(G156:R156,$G$139:$R$139)/AVERAGE($G$139:$R$139)/12)</f>
        <v>0</v>
      </c>
    </row>
    <row r="157" spans="1:33" s="3440" customFormat="1" ht="15.05" x14ac:dyDescent="0.3">
      <c r="A157" s="3504"/>
      <c r="B157" s="3517" t="s">
        <v>1614</v>
      </c>
      <c r="C157" s="3518"/>
      <c r="D157" s="3518"/>
      <c r="E157" s="3518"/>
      <c r="F157" s="3518"/>
      <c r="G157" s="3519"/>
      <c r="H157" s="3519"/>
      <c r="I157" s="3519"/>
      <c r="J157" s="3519"/>
      <c r="K157" s="3519"/>
      <c r="L157" s="3519"/>
      <c r="M157" s="3519"/>
      <c r="N157" s="3519"/>
      <c r="O157" s="3519"/>
      <c r="P157" s="3519"/>
      <c r="Q157" s="3519"/>
      <c r="R157" s="3519"/>
      <c r="S157" s="3520"/>
    </row>
    <row r="158" spans="1:33" ht="15.05" x14ac:dyDescent="0.3">
      <c r="A158" s="3511"/>
      <c r="B158" s="3512" t="s">
        <v>1615</v>
      </c>
      <c r="C158" s="3437"/>
      <c r="E158" s="3437" t="s">
        <v>2126</v>
      </c>
      <c r="F158" s="3437"/>
      <c r="G158" s="3559">
        <f t="shared" ref="G158:R158" si="10">IF(G139=0,0,G186+G187)</f>
        <v>0</v>
      </c>
      <c r="H158" s="3560">
        <f t="shared" si="10"/>
        <v>0</v>
      </c>
      <c r="I158" s="3560">
        <f t="shared" si="10"/>
        <v>0</v>
      </c>
      <c r="J158" s="3560">
        <f t="shared" si="10"/>
        <v>0</v>
      </c>
      <c r="K158" s="3560">
        <f t="shared" si="10"/>
        <v>0</v>
      </c>
      <c r="L158" s="3560">
        <f t="shared" si="10"/>
        <v>0</v>
      </c>
      <c r="M158" s="3560">
        <f t="shared" si="10"/>
        <v>0</v>
      </c>
      <c r="N158" s="3560">
        <f t="shared" si="10"/>
        <v>0</v>
      </c>
      <c r="O158" s="3560">
        <f t="shared" si="10"/>
        <v>0</v>
      </c>
      <c r="P158" s="3560">
        <f t="shared" si="10"/>
        <v>0</v>
      </c>
      <c r="Q158" s="3560">
        <f t="shared" si="10"/>
        <v>0</v>
      </c>
      <c r="R158" s="3561">
        <f t="shared" si="10"/>
        <v>0</v>
      </c>
      <c r="S158" s="3516">
        <f>IF(SUM(G139:R139)=0,0,SUMPRODUCT(G158:R158,$G$139:$R$139)/AVERAGE($G$139:$R$139)/12)</f>
        <v>0</v>
      </c>
      <c r="T158" s="3562"/>
      <c r="U158" s="3437"/>
      <c r="V158" s="3436"/>
      <c r="W158" s="3436"/>
      <c r="X158" s="3436"/>
      <c r="Y158" s="3436"/>
      <c r="Z158" s="3436"/>
      <c r="AA158" s="3436"/>
      <c r="AB158" s="3436"/>
      <c r="AC158" s="3436"/>
      <c r="AD158" s="3436"/>
      <c r="AE158" s="3436"/>
      <c r="AF158" s="3436"/>
      <c r="AG158" s="3436"/>
    </row>
    <row r="159" spans="1:33" ht="15.75" thickBot="1" x14ac:dyDescent="0.35">
      <c r="A159" s="3504"/>
      <c r="B159" s="3563" t="s">
        <v>1392</v>
      </c>
      <c r="C159" s="3564"/>
      <c r="D159" s="3564"/>
      <c r="E159" s="3564" t="s">
        <v>1785</v>
      </c>
      <c r="F159" s="3564"/>
      <c r="G159" s="3565">
        <f>IF(G139=0,0,G158/A.Lecheros!F43*1000)</f>
        <v>0</v>
      </c>
      <c r="H159" s="3566">
        <f>IF(H139=0,0,H158/A.Lecheros!G43*1000)</f>
        <v>0</v>
      </c>
      <c r="I159" s="3566">
        <f>IF(I139=0,0,I158/A.Lecheros!H43*1000)</f>
        <v>0</v>
      </c>
      <c r="J159" s="3566">
        <f>IF(J139=0,0,J158/A.Lecheros!I43*1000)</f>
        <v>0</v>
      </c>
      <c r="K159" s="3566">
        <f>IF(K139=0,0,K158/A.Lecheros!J43*1000)</f>
        <v>0</v>
      </c>
      <c r="L159" s="3566">
        <f>IF(L139=0,0,L158/A.Lecheros!K43*1000)</f>
        <v>0</v>
      </c>
      <c r="M159" s="3566">
        <f>IF(M139=0,0,M158/A.Lecheros!L43*1000)</f>
        <v>0</v>
      </c>
      <c r="N159" s="3566">
        <f>IF(N139=0,0,N158/A.Lecheros!M43*1000)</f>
        <v>0</v>
      </c>
      <c r="O159" s="3566">
        <f>IF(O139=0,0,O158/A.Lecheros!N43*1000)</f>
        <v>0</v>
      </c>
      <c r="P159" s="3566">
        <f>IF(P139=0,0,P158/A.Lecheros!O43*1000)</f>
        <v>0</v>
      </c>
      <c r="Q159" s="3566">
        <f>IF(Q139=0,0,Q158/A.Lecheros!P43*1000)</f>
        <v>0</v>
      </c>
      <c r="R159" s="3567">
        <f>IF(R139=0,0,R158/A.Lecheros!Q43*1000)</f>
        <v>0</v>
      </c>
      <c r="S159" s="3568">
        <f>IF(SUM(G139:R139)=0,0,(G158*G137+H158*H137+I137*I158+J137*J158+K137*K158+L137*L158+M137*M158+N137*N158+O137*O158+P137*P158+Q137*Q158+R137*R158)/A.Lecheros!S43*1000)</f>
        <v>0</v>
      </c>
      <c r="T159" s="3512"/>
      <c r="U159" s="3437"/>
      <c r="V159" s="3436"/>
      <c r="W159" s="3436"/>
      <c r="X159" s="3436"/>
      <c r="Y159" s="3436"/>
      <c r="Z159" s="3436"/>
      <c r="AA159" s="3436"/>
      <c r="AB159" s="3436"/>
      <c r="AC159" s="3436"/>
      <c r="AD159" s="3436"/>
      <c r="AE159" s="3436"/>
      <c r="AF159" s="3436"/>
      <c r="AG159" s="3436"/>
    </row>
    <row r="160" spans="1:33" ht="15.05" x14ac:dyDescent="0.3">
      <c r="A160" s="3569"/>
      <c r="B160" s="3570" t="s">
        <v>2117</v>
      </c>
      <c r="C160" s="3437"/>
      <c r="E160" s="3437"/>
      <c r="F160" s="3437"/>
      <c r="G160" s="3571"/>
      <c r="H160" s="3571"/>
      <c r="I160" s="3571"/>
      <c r="J160" s="3571"/>
      <c r="K160" s="3571"/>
      <c r="L160" s="3571"/>
      <c r="M160" s="3571"/>
      <c r="N160" s="3571"/>
      <c r="O160" s="3571"/>
      <c r="P160" s="3571"/>
      <c r="Q160" s="3571"/>
      <c r="R160" s="3571"/>
      <c r="S160" s="3572"/>
      <c r="U160" s="3436"/>
      <c r="V160" s="3436"/>
      <c r="W160" s="3436"/>
      <c r="X160" s="3436"/>
      <c r="Y160" s="3436"/>
      <c r="Z160" s="3436"/>
      <c r="AA160" s="3436"/>
      <c r="AB160" s="3436"/>
      <c r="AC160" s="3436"/>
      <c r="AD160" s="3436"/>
      <c r="AE160" s="3436"/>
      <c r="AF160" s="3436"/>
      <c r="AG160" s="3436"/>
    </row>
    <row r="161" spans="1:33" ht="15.05" x14ac:dyDescent="0.3">
      <c r="A161" s="3569"/>
      <c r="B161" s="3570" t="s">
        <v>2358</v>
      </c>
      <c r="C161" s="3437"/>
      <c r="E161" s="3573"/>
      <c r="F161" s="3437"/>
      <c r="G161" s="3571"/>
      <c r="H161" s="3571"/>
      <c r="I161" s="3571"/>
      <c r="J161" s="3571"/>
      <c r="K161" s="3571"/>
      <c r="L161" s="3571"/>
      <c r="M161" s="3571"/>
      <c r="N161" s="3571"/>
      <c r="O161" s="3571"/>
      <c r="P161" s="3571"/>
      <c r="Q161" s="3571"/>
      <c r="R161" s="3571"/>
      <c r="S161" s="3572"/>
      <c r="U161" s="3436"/>
      <c r="V161" s="3436"/>
      <c r="W161" s="3436"/>
      <c r="X161" s="3436"/>
      <c r="Y161" s="3436"/>
      <c r="Z161" s="3436"/>
      <c r="AA161" s="3436"/>
      <c r="AB161" s="3436"/>
      <c r="AC161" s="3436"/>
      <c r="AD161" s="3436"/>
      <c r="AE161" s="3436"/>
      <c r="AF161" s="3436"/>
      <c r="AG161" s="3436"/>
    </row>
    <row r="162" spans="1:33" s="3440" customFormat="1" ht="15.05" hidden="1" thickBot="1" x14ac:dyDescent="0.35">
      <c r="B162" s="3574"/>
      <c r="C162" s="3452"/>
      <c r="D162" s="3452"/>
      <c r="E162" s="3452"/>
      <c r="F162" s="3452"/>
      <c r="G162" s="3575"/>
      <c r="H162" s="3575"/>
      <c r="I162" s="3575"/>
      <c r="J162" s="3575"/>
      <c r="K162" s="3575"/>
      <c r="L162" s="3575"/>
      <c r="M162" s="3575"/>
      <c r="N162" s="3575"/>
      <c r="O162" s="3575"/>
      <c r="P162" s="3575"/>
      <c r="Q162" s="3575"/>
      <c r="R162" s="3575"/>
      <c r="S162" s="3575"/>
    </row>
    <row r="163" spans="1:33" s="3440" customFormat="1" ht="15.05" hidden="1" thickTop="1" x14ac:dyDescent="0.3">
      <c r="A163" s="3496" t="s">
        <v>1125</v>
      </c>
      <c r="B163" s="3576" t="s">
        <v>297</v>
      </c>
      <c r="C163" s="3577" t="s">
        <v>525</v>
      </c>
      <c r="D163" s="3577"/>
      <c r="E163" s="3577"/>
      <c r="F163" s="3577"/>
      <c r="G163" s="3578">
        <f t="shared" ref="G163:R163" si="11">+G142-G151</f>
        <v>14</v>
      </c>
      <c r="H163" s="3578">
        <f t="shared" si="11"/>
        <v>14</v>
      </c>
      <c r="I163" s="3578">
        <f t="shared" si="11"/>
        <v>14</v>
      </c>
      <c r="J163" s="3578">
        <f t="shared" si="11"/>
        <v>14</v>
      </c>
      <c r="K163" s="3578">
        <f t="shared" si="11"/>
        <v>14</v>
      </c>
      <c r="L163" s="3578">
        <f t="shared" si="11"/>
        <v>14</v>
      </c>
      <c r="M163" s="3578">
        <f t="shared" si="11"/>
        <v>13</v>
      </c>
      <c r="N163" s="3578">
        <f t="shared" si="11"/>
        <v>13</v>
      </c>
      <c r="O163" s="3578">
        <f t="shared" si="11"/>
        <v>13</v>
      </c>
      <c r="P163" s="3578">
        <f t="shared" si="11"/>
        <v>14</v>
      </c>
      <c r="Q163" s="3578">
        <f t="shared" si="11"/>
        <v>14</v>
      </c>
      <c r="R163" s="3578">
        <f t="shared" si="11"/>
        <v>14</v>
      </c>
      <c r="S163" s="3579"/>
    </row>
    <row r="164" spans="1:33" s="3440" customFormat="1" hidden="1" x14ac:dyDescent="0.3">
      <c r="A164" s="3496" t="s">
        <v>1125</v>
      </c>
      <c r="B164" s="3580" t="s">
        <v>526</v>
      </c>
      <c r="C164" s="3498"/>
      <c r="D164" s="3498"/>
      <c r="E164" s="3498"/>
      <c r="F164" s="3498"/>
      <c r="G164" s="3581">
        <f>IF(G139=0,0,(G402-G402*General!$I$121/100)/G139/G137)</f>
        <v>0</v>
      </c>
      <c r="H164" s="3581">
        <f>IF(H139=0,0,(H402-H402*General!$I$121/100)/H139/H137)</f>
        <v>0</v>
      </c>
      <c r="I164" s="3581">
        <f>IF(I139=0,0,(I402-I402*General!$I$121/100)/I139/I137)</f>
        <v>0</v>
      </c>
      <c r="J164" s="3581">
        <f>IF(J139=0,0,(J402-J402*General!$I$121/100)/J139/J137)</f>
        <v>0</v>
      </c>
      <c r="K164" s="3581">
        <f>IF(K139=0,0,(K402-K402*General!$I$121/100)/K139/K137)</f>
        <v>0</v>
      </c>
      <c r="L164" s="3581">
        <f>IF(L139=0,0,(L402-L402*General!$I$121/100)/L139/L137)</f>
        <v>0</v>
      </c>
      <c r="M164" s="3581">
        <f>IF(M139=0,0,(M402-M402*General!$I$121/100)/M139/M137)</f>
        <v>0</v>
      </c>
      <c r="N164" s="3581">
        <f>IF(N139=0,0,(N402-N402*General!$I$121/100)/N139/N137)</f>
        <v>0</v>
      </c>
      <c r="O164" s="3581">
        <f>IF(O139=0,0,(O402-O402*General!$I$121/100)/O139/O137)</f>
        <v>0</v>
      </c>
      <c r="P164" s="3581">
        <f>IF(P139=0,0,(P402-P402*General!$I$121/100)/P139/P137)</f>
        <v>0</v>
      </c>
      <c r="Q164" s="3581">
        <f>IF(Q139=0,0,(Q402-Q402*General!$I$121/100)/Q139/Q137)</f>
        <v>0</v>
      </c>
      <c r="R164" s="3581">
        <f>IF(R139=0,0,(R402-R402*General!$I$121/100)/R139/R137)</f>
        <v>0</v>
      </c>
      <c r="S164" s="3582"/>
    </row>
    <row r="165" spans="1:33" s="3440" customFormat="1" hidden="1" x14ac:dyDescent="0.3">
      <c r="A165" s="3496" t="s">
        <v>1125</v>
      </c>
      <c r="B165" s="3580" t="s">
        <v>815</v>
      </c>
      <c r="C165" s="3498"/>
      <c r="D165" s="3498"/>
      <c r="E165" s="3498"/>
      <c r="F165" s="3498"/>
      <c r="G165" s="3581">
        <f t="shared" ref="G165:R165" si="12">+IF(G164&gt;G143,G143,G164)</f>
        <v>0</v>
      </c>
      <c r="H165" s="3581">
        <f t="shared" si="12"/>
        <v>0</v>
      </c>
      <c r="I165" s="3581">
        <f t="shared" si="12"/>
        <v>0</v>
      </c>
      <c r="J165" s="3581">
        <f t="shared" si="12"/>
        <v>0</v>
      </c>
      <c r="K165" s="3581">
        <f t="shared" si="12"/>
        <v>0</v>
      </c>
      <c r="L165" s="3581">
        <f t="shared" si="12"/>
        <v>0</v>
      </c>
      <c r="M165" s="3581">
        <f t="shared" si="12"/>
        <v>0</v>
      </c>
      <c r="N165" s="3581">
        <f t="shared" si="12"/>
        <v>0</v>
      </c>
      <c r="O165" s="3581">
        <f t="shared" si="12"/>
        <v>0</v>
      </c>
      <c r="P165" s="3581">
        <f t="shared" si="12"/>
        <v>0</v>
      </c>
      <c r="Q165" s="3581">
        <f t="shared" si="12"/>
        <v>0</v>
      </c>
      <c r="R165" s="3581">
        <f t="shared" si="12"/>
        <v>0</v>
      </c>
      <c r="S165" s="3582"/>
    </row>
    <row r="166" spans="1:33" s="3440" customFormat="1" hidden="1" x14ac:dyDescent="0.3">
      <c r="A166" s="3496" t="s">
        <v>1125</v>
      </c>
      <c r="B166" s="3580" t="s">
        <v>1423</v>
      </c>
      <c r="C166" s="3498"/>
      <c r="D166" s="3498"/>
      <c r="E166" s="3498"/>
      <c r="F166" s="3498"/>
      <c r="G166" s="3581">
        <f>IF(G163&lt;G165,G163,G165)</f>
        <v>0</v>
      </c>
      <c r="H166" s="3581">
        <f>IF(H163&lt;H165,H163,H165)</f>
        <v>0</v>
      </c>
      <c r="I166" s="3581">
        <f t="shared" ref="I166:R166" si="13">IF(I163&lt;I165,I163,I165)</f>
        <v>0</v>
      </c>
      <c r="J166" s="3581">
        <f t="shared" si="13"/>
        <v>0</v>
      </c>
      <c r="K166" s="3581">
        <f t="shared" si="13"/>
        <v>0</v>
      </c>
      <c r="L166" s="3581">
        <f>IF(L163&lt;L165,L163,L165)</f>
        <v>0</v>
      </c>
      <c r="M166" s="3581">
        <f t="shared" si="13"/>
        <v>0</v>
      </c>
      <c r="N166" s="3581">
        <f t="shared" si="13"/>
        <v>0</v>
      </c>
      <c r="O166" s="3581">
        <f t="shared" si="13"/>
        <v>0</v>
      </c>
      <c r="P166" s="3581">
        <f t="shared" si="13"/>
        <v>0</v>
      </c>
      <c r="Q166" s="3581">
        <f t="shared" si="13"/>
        <v>0</v>
      </c>
      <c r="R166" s="3581">
        <f t="shared" si="13"/>
        <v>0</v>
      </c>
      <c r="S166" s="3582"/>
    </row>
    <row r="167" spans="1:33" s="3440" customFormat="1" ht="15.05" hidden="1" thickBot="1" x14ac:dyDescent="0.35">
      <c r="A167" s="3496" t="s">
        <v>1125</v>
      </c>
      <c r="B167" s="3583" t="s">
        <v>527</v>
      </c>
      <c r="C167" s="3584"/>
      <c r="D167" s="3584"/>
      <c r="E167" s="3584"/>
      <c r="F167" s="3584"/>
      <c r="G167" s="3585">
        <f>IF(G166&gt;0,G166,0)</f>
        <v>0</v>
      </c>
      <c r="H167" s="3585">
        <f>IF(H166&gt;0,H166,0)</f>
        <v>0</v>
      </c>
      <c r="I167" s="3585">
        <f t="shared" ref="I167:R167" si="14">IF(I166&gt;0,I166,0)</f>
        <v>0</v>
      </c>
      <c r="J167" s="3585">
        <f t="shared" si="14"/>
        <v>0</v>
      </c>
      <c r="K167" s="3585">
        <f t="shared" si="14"/>
        <v>0</v>
      </c>
      <c r="L167" s="3585">
        <f>IF(L166&gt;0,L166,0)</f>
        <v>0</v>
      </c>
      <c r="M167" s="3585">
        <f t="shared" si="14"/>
        <v>0</v>
      </c>
      <c r="N167" s="3585">
        <f t="shared" si="14"/>
        <v>0</v>
      </c>
      <c r="O167" s="3585">
        <f t="shared" si="14"/>
        <v>0</v>
      </c>
      <c r="P167" s="3585">
        <f t="shared" si="14"/>
        <v>0</v>
      </c>
      <c r="Q167" s="3585">
        <f t="shared" si="14"/>
        <v>0</v>
      </c>
      <c r="R167" s="3585">
        <f t="shared" si="14"/>
        <v>0</v>
      </c>
      <c r="S167" s="3582"/>
    </row>
    <row r="168" spans="1:33" s="3440" customFormat="1" hidden="1" x14ac:dyDescent="0.3">
      <c r="A168" s="3496" t="s">
        <v>1125</v>
      </c>
      <c r="B168" s="3580" t="s">
        <v>465</v>
      </c>
      <c r="C168" s="3498"/>
      <c r="D168" s="3498"/>
      <c r="E168" s="3498"/>
      <c r="F168" s="3498"/>
      <c r="G168" s="3539">
        <f>A.Lecheros!F503</f>
        <v>0</v>
      </c>
      <c r="H168" s="3539">
        <f>A.Lecheros!G503</f>
        <v>0</v>
      </c>
      <c r="I168" s="3539">
        <f>A.Lecheros!H503</f>
        <v>0</v>
      </c>
      <c r="J168" s="3539">
        <f>A.Lecheros!I503</f>
        <v>0</v>
      </c>
      <c r="K168" s="3539">
        <f>A.Lecheros!J503</f>
        <v>0</v>
      </c>
      <c r="L168" s="3539">
        <f>A.Lecheros!K503</f>
        <v>0</v>
      </c>
      <c r="M168" s="3539">
        <f>A.Lecheros!L503</f>
        <v>0</v>
      </c>
      <c r="N168" s="3539">
        <f>A.Lecheros!M503</f>
        <v>0</v>
      </c>
      <c r="O168" s="3539">
        <f>A.Lecheros!N503</f>
        <v>0</v>
      </c>
      <c r="P168" s="3539">
        <f>A.Lecheros!O503</f>
        <v>0</v>
      </c>
      <c r="Q168" s="3539">
        <f>A.Lecheros!P503</f>
        <v>0</v>
      </c>
      <c r="R168" s="3539">
        <f>A.Lecheros!Q503</f>
        <v>0</v>
      </c>
      <c r="S168" s="3586">
        <v>15</v>
      </c>
    </row>
    <row r="169" spans="1:33" s="3440" customFormat="1" hidden="1" x14ac:dyDescent="0.3">
      <c r="A169" s="3496" t="s">
        <v>1125</v>
      </c>
      <c r="B169" s="3580" t="s">
        <v>466</v>
      </c>
      <c r="C169" s="3498"/>
      <c r="D169" s="3498"/>
      <c r="E169" s="3498"/>
      <c r="F169" s="3498"/>
      <c r="G169" s="3539">
        <f>IF(G139=0,0,A.Lecheros!F505/1000)</f>
        <v>0</v>
      </c>
      <c r="H169" s="3539">
        <f>IF(H139=0,0,A.Lecheros!G505/1000)</f>
        <v>0</v>
      </c>
      <c r="I169" s="3539">
        <f>IF(I139=0,0,A.Lecheros!H505/1000)</f>
        <v>0</v>
      </c>
      <c r="J169" s="3539">
        <f>IF(J139=0,0,A.Lecheros!I505/1000)</f>
        <v>0</v>
      </c>
      <c r="K169" s="3539">
        <f>IF(K139=0,0,A.Lecheros!J505/1000)</f>
        <v>0</v>
      </c>
      <c r="L169" s="3539">
        <f>IF(L139=0,0,A.Lecheros!K505/1000)</f>
        <v>0</v>
      </c>
      <c r="M169" s="3539">
        <f>IF(M139=0,0,A.Lecheros!L505/1000)</f>
        <v>0</v>
      </c>
      <c r="N169" s="3539">
        <f>IF(N139=0,0,A.Lecheros!M505/1000)</f>
        <v>0</v>
      </c>
      <c r="O169" s="3539">
        <f>IF(O139=0,0,A.Lecheros!N505/1000)</f>
        <v>0</v>
      </c>
      <c r="P169" s="3539">
        <f>IF(P139=0,0,A.Lecheros!O505/1000)</f>
        <v>0</v>
      </c>
      <c r="Q169" s="3539">
        <f>IF(Q139=0,0,A.Lecheros!P505/1000)</f>
        <v>0</v>
      </c>
      <c r="R169" s="3539">
        <f>IF(R139=0,0,A.Lecheros!Q505/1000)</f>
        <v>0</v>
      </c>
      <c r="S169" s="3586"/>
    </row>
    <row r="170" spans="1:33" s="3440" customFormat="1" hidden="1" x14ac:dyDescent="0.3">
      <c r="A170" s="3496" t="s">
        <v>1125</v>
      </c>
      <c r="B170" s="3580" t="s">
        <v>467</v>
      </c>
      <c r="C170" s="3498"/>
      <c r="D170" s="3498"/>
      <c r="E170" s="3498"/>
      <c r="F170" s="3498"/>
      <c r="G170" s="3581" t="e">
        <f>UsoSuelo!AS736/UsoSuelo!S736</f>
        <v>#DIV/0!</v>
      </c>
      <c r="H170" s="3581" t="e">
        <f>UsoSuelo!AT736/UsoSuelo!T736</f>
        <v>#DIV/0!</v>
      </c>
      <c r="I170" s="3581" t="e">
        <f>UsoSuelo!AU736/UsoSuelo!U736</f>
        <v>#DIV/0!</v>
      </c>
      <c r="J170" s="3581" t="e">
        <f>UsoSuelo!AV736/UsoSuelo!V736</f>
        <v>#DIV/0!</v>
      </c>
      <c r="K170" s="3581" t="e">
        <f>UsoSuelo!AW736/UsoSuelo!W736</f>
        <v>#DIV/0!</v>
      </c>
      <c r="L170" s="3581" t="e">
        <f>UsoSuelo!AX736/UsoSuelo!X736</f>
        <v>#DIV/0!</v>
      </c>
      <c r="M170" s="3581" t="e">
        <f>UsoSuelo!AY736/UsoSuelo!Y736</f>
        <v>#DIV/0!</v>
      </c>
      <c r="N170" s="3581" t="e">
        <f>UsoSuelo!AZ736/UsoSuelo!Z736</f>
        <v>#DIV/0!</v>
      </c>
      <c r="O170" s="3581" t="e">
        <f>UsoSuelo!BA736/UsoSuelo!AA736</f>
        <v>#DIV/0!</v>
      </c>
      <c r="P170" s="3581" t="e">
        <f>UsoSuelo!BB736/UsoSuelo!AB736</f>
        <v>#DIV/0!</v>
      </c>
      <c r="Q170" s="3581" t="e">
        <f>UsoSuelo!BC736/UsoSuelo!AC736</f>
        <v>#DIV/0!</v>
      </c>
      <c r="R170" s="3581" t="e">
        <f>UsoSuelo!BD736/UsoSuelo!AD736</f>
        <v>#DIV/0!</v>
      </c>
      <c r="S170" s="3586"/>
    </row>
    <row r="171" spans="1:33" s="3440" customFormat="1" hidden="1" x14ac:dyDescent="0.3">
      <c r="A171" s="3496" t="s">
        <v>1125</v>
      </c>
      <c r="B171" s="3580" t="s">
        <v>1304</v>
      </c>
      <c r="C171" s="3498"/>
      <c r="D171" s="3498"/>
      <c r="E171" s="3498"/>
      <c r="F171" s="3498"/>
      <c r="G171" s="3587" t="e">
        <f>UsoSuelo!AF736/UsoSuelo!S736</f>
        <v>#DIV/0!</v>
      </c>
      <c r="H171" s="3587" t="e">
        <f>UsoSuelo!AG736/UsoSuelo!T736</f>
        <v>#DIV/0!</v>
      </c>
      <c r="I171" s="3587" t="e">
        <f>UsoSuelo!AH736/UsoSuelo!U736</f>
        <v>#DIV/0!</v>
      </c>
      <c r="J171" s="3587" t="e">
        <f>UsoSuelo!AI736/UsoSuelo!V736</f>
        <v>#DIV/0!</v>
      </c>
      <c r="K171" s="3587" t="e">
        <f>UsoSuelo!AJ736/UsoSuelo!W736</f>
        <v>#DIV/0!</v>
      </c>
      <c r="L171" s="3587" t="e">
        <f>UsoSuelo!AK736/UsoSuelo!X736</f>
        <v>#DIV/0!</v>
      </c>
      <c r="M171" s="3587" t="e">
        <f>UsoSuelo!AL736/UsoSuelo!Y736</f>
        <v>#DIV/0!</v>
      </c>
      <c r="N171" s="3587" t="e">
        <f>UsoSuelo!AM736/UsoSuelo!Z736</f>
        <v>#DIV/0!</v>
      </c>
      <c r="O171" s="3587" t="e">
        <f>UsoSuelo!AN736/UsoSuelo!AA736</f>
        <v>#DIV/0!</v>
      </c>
      <c r="P171" s="3587" t="e">
        <f>UsoSuelo!AO736/UsoSuelo!AB736</f>
        <v>#DIV/0!</v>
      </c>
      <c r="Q171" s="3587" t="e">
        <f>UsoSuelo!AP736/UsoSuelo!AC736</f>
        <v>#DIV/0!</v>
      </c>
      <c r="R171" s="3587" t="e">
        <f>UsoSuelo!AQ736/UsoSuelo!AD736</f>
        <v>#DIV/0!</v>
      </c>
      <c r="S171" s="3586"/>
    </row>
    <row r="172" spans="1:33" s="3440" customFormat="1" hidden="1" x14ac:dyDescent="0.3">
      <c r="A172" s="3496" t="s">
        <v>1125</v>
      </c>
      <c r="B172" s="3580" t="s">
        <v>468</v>
      </c>
      <c r="C172" s="3498"/>
      <c r="D172" s="3498"/>
      <c r="E172" s="3498"/>
      <c r="F172" s="3498"/>
      <c r="G172" s="3539" t="e">
        <f t="shared" ref="G172:R172" si="15">G170*G151</f>
        <v>#DIV/0!</v>
      </c>
      <c r="H172" s="3539" t="e">
        <f t="shared" si="15"/>
        <v>#DIV/0!</v>
      </c>
      <c r="I172" s="3539" t="e">
        <f t="shared" si="15"/>
        <v>#DIV/0!</v>
      </c>
      <c r="J172" s="3539" t="e">
        <f t="shared" si="15"/>
        <v>#DIV/0!</v>
      </c>
      <c r="K172" s="3539" t="e">
        <f t="shared" si="15"/>
        <v>#DIV/0!</v>
      </c>
      <c r="L172" s="3539" t="e">
        <f t="shared" si="15"/>
        <v>#DIV/0!</v>
      </c>
      <c r="M172" s="3539" t="e">
        <f t="shared" si="15"/>
        <v>#DIV/0!</v>
      </c>
      <c r="N172" s="3539" t="e">
        <f t="shared" si="15"/>
        <v>#DIV/0!</v>
      </c>
      <c r="O172" s="3539" t="e">
        <f t="shared" si="15"/>
        <v>#DIV/0!</v>
      </c>
      <c r="P172" s="3539" t="e">
        <f t="shared" si="15"/>
        <v>#DIV/0!</v>
      </c>
      <c r="Q172" s="3539" t="e">
        <f t="shared" si="15"/>
        <v>#DIV/0!</v>
      </c>
      <c r="R172" s="3539" t="e">
        <f t="shared" si="15"/>
        <v>#DIV/0!</v>
      </c>
      <c r="S172" s="3586"/>
    </row>
    <row r="173" spans="1:33" s="3440" customFormat="1" hidden="1" x14ac:dyDescent="0.3">
      <c r="A173" s="3496" t="s">
        <v>1125</v>
      </c>
      <c r="B173" s="3580" t="s">
        <v>1305</v>
      </c>
      <c r="C173" s="3498"/>
      <c r="D173" s="3498"/>
      <c r="E173" s="3498"/>
      <c r="F173" s="3498"/>
      <c r="G173" s="3539" t="e">
        <f t="shared" ref="G173:R173" si="16">G151*G171</f>
        <v>#DIV/0!</v>
      </c>
      <c r="H173" s="3539" t="e">
        <f t="shared" si="16"/>
        <v>#DIV/0!</v>
      </c>
      <c r="I173" s="3539" t="e">
        <f t="shared" si="16"/>
        <v>#DIV/0!</v>
      </c>
      <c r="J173" s="3539" t="e">
        <f t="shared" si="16"/>
        <v>#DIV/0!</v>
      </c>
      <c r="K173" s="3539" t="e">
        <f t="shared" si="16"/>
        <v>#DIV/0!</v>
      </c>
      <c r="L173" s="3539" t="e">
        <f t="shared" si="16"/>
        <v>#DIV/0!</v>
      </c>
      <c r="M173" s="3539" t="e">
        <f t="shared" si="16"/>
        <v>#DIV/0!</v>
      </c>
      <c r="N173" s="3539" t="e">
        <f t="shared" si="16"/>
        <v>#DIV/0!</v>
      </c>
      <c r="O173" s="3539" t="e">
        <f t="shared" si="16"/>
        <v>#DIV/0!</v>
      </c>
      <c r="P173" s="3539" t="e">
        <f t="shared" si="16"/>
        <v>#DIV/0!</v>
      </c>
      <c r="Q173" s="3539" t="e">
        <f t="shared" si="16"/>
        <v>#DIV/0!</v>
      </c>
      <c r="R173" s="3539" t="e">
        <f t="shared" si="16"/>
        <v>#DIV/0!</v>
      </c>
      <c r="S173" s="3586"/>
    </row>
    <row r="174" spans="1:33" s="3440" customFormat="1" hidden="1" x14ac:dyDescent="0.3">
      <c r="A174" s="3496" t="s">
        <v>1125</v>
      </c>
      <c r="B174" s="3580" t="s">
        <v>470</v>
      </c>
      <c r="C174" s="3498"/>
      <c r="D174" s="3498"/>
      <c r="E174" s="3498"/>
      <c r="F174" s="3498"/>
      <c r="G174" s="3539">
        <f t="shared" ref="G174:R174" si="17">G152*G392</f>
        <v>0</v>
      </c>
      <c r="H174" s="3539">
        <f t="shared" si="17"/>
        <v>0</v>
      </c>
      <c r="I174" s="3539">
        <f t="shared" si="17"/>
        <v>0</v>
      </c>
      <c r="J174" s="3539">
        <f t="shared" si="17"/>
        <v>0</v>
      </c>
      <c r="K174" s="3539">
        <f t="shared" si="17"/>
        <v>0</v>
      </c>
      <c r="L174" s="3539">
        <f t="shared" si="17"/>
        <v>0</v>
      </c>
      <c r="M174" s="3539">
        <f t="shared" si="17"/>
        <v>0</v>
      </c>
      <c r="N174" s="3539">
        <f t="shared" si="17"/>
        <v>0</v>
      </c>
      <c r="O174" s="3539">
        <f t="shared" si="17"/>
        <v>0</v>
      </c>
      <c r="P174" s="3539">
        <f t="shared" si="17"/>
        <v>0</v>
      </c>
      <c r="Q174" s="3539">
        <f t="shared" si="17"/>
        <v>0</v>
      </c>
      <c r="R174" s="3539">
        <f t="shared" si="17"/>
        <v>0</v>
      </c>
      <c r="S174" s="3586"/>
    </row>
    <row r="175" spans="1:33" s="3440" customFormat="1" hidden="1" x14ac:dyDescent="0.3">
      <c r="A175" s="3496" t="s">
        <v>1125</v>
      </c>
      <c r="B175" s="3580" t="s">
        <v>471</v>
      </c>
      <c r="C175" s="3498"/>
      <c r="D175" s="3498"/>
      <c r="E175" s="3498"/>
      <c r="F175" s="3498"/>
      <c r="G175" s="3539">
        <f t="shared" ref="G175:R175" si="18">G152*G393</f>
        <v>0</v>
      </c>
      <c r="H175" s="3539">
        <f t="shared" si="18"/>
        <v>0</v>
      </c>
      <c r="I175" s="3539">
        <f t="shared" si="18"/>
        <v>0</v>
      </c>
      <c r="J175" s="3539">
        <f t="shared" si="18"/>
        <v>0</v>
      </c>
      <c r="K175" s="3539">
        <f t="shared" si="18"/>
        <v>0</v>
      </c>
      <c r="L175" s="3539">
        <f t="shared" si="18"/>
        <v>0</v>
      </c>
      <c r="M175" s="3539">
        <f t="shared" si="18"/>
        <v>0</v>
      </c>
      <c r="N175" s="3539">
        <f t="shared" si="18"/>
        <v>0</v>
      </c>
      <c r="O175" s="3539">
        <f t="shared" si="18"/>
        <v>0</v>
      </c>
      <c r="P175" s="3539">
        <f t="shared" si="18"/>
        <v>0</v>
      </c>
      <c r="Q175" s="3539">
        <f t="shared" si="18"/>
        <v>0</v>
      </c>
      <c r="R175" s="3539">
        <f t="shared" si="18"/>
        <v>0</v>
      </c>
      <c r="S175" s="3586"/>
    </row>
    <row r="176" spans="1:33" s="3440" customFormat="1" hidden="1" x14ac:dyDescent="0.3">
      <c r="A176" s="3496" t="s">
        <v>1125</v>
      </c>
      <c r="B176" s="3580" t="s">
        <v>517</v>
      </c>
      <c r="C176" s="3498"/>
      <c r="D176" s="3498"/>
      <c r="E176" s="3498"/>
      <c r="F176" s="3498"/>
      <c r="G176" s="3539" t="e">
        <f>(G174+G172)-G168</f>
        <v>#DIV/0!</v>
      </c>
      <c r="H176" s="3539" t="e">
        <f t="shared" ref="H176:R176" si="19">(H174+H172)-H168</f>
        <v>#DIV/0!</v>
      </c>
      <c r="I176" s="3539" t="e">
        <f>(I174+I172)-I168</f>
        <v>#DIV/0!</v>
      </c>
      <c r="J176" s="3539" t="e">
        <f t="shared" si="19"/>
        <v>#DIV/0!</v>
      </c>
      <c r="K176" s="3539" t="e">
        <f t="shared" si="19"/>
        <v>#DIV/0!</v>
      </c>
      <c r="L176" s="3539" t="e">
        <f>(L174+L172)-L168</f>
        <v>#DIV/0!</v>
      </c>
      <c r="M176" s="3539" t="e">
        <f t="shared" si="19"/>
        <v>#DIV/0!</v>
      </c>
      <c r="N176" s="3539" t="e">
        <f t="shared" si="19"/>
        <v>#DIV/0!</v>
      </c>
      <c r="O176" s="3539" t="e">
        <f t="shared" si="19"/>
        <v>#DIV/0!</v>
      </c>
      <c r="P176" s="3539" t="e">
        <f t="shared" si="19"/>
        <v>#DIV/0!</v>
      </c>
      <c r="Q176" s="3539" t="e">
        <f t="shared" si="19"/>
        <v>#DIV/0!</v>
      </c>
      <c r="R176" s="3539" t="e">
        <f t="shared" si="19"/>
        <v>#DIV/0!</v>
      </c>
      <c r="S176" s="3586"/>
    </row>
    <row r="177" spans="1:33" s="3440" customFormat="1" hidden="1" x14ac:dyDescent="0.3">
      <c r="A177" s="3496" t="s">
        <v>1125</v>
      </c>
      <c r="B177" s="3580" t="s">
        <v>557</v>
      </c>
      <c r="C177" s="3498"/>
      <c r="D177" s="3498"/>
      <c r="E177" s="3498"/>
      <c r="F177" s="3498"/>
      <c r="G177" s="3588">
        <f>3.03</f>
        <v>3.03</v>
      </c>
      <c r="H177" s="3588">
        <f t="shared" ref="H177:R177" si="20">3.03</f>
        <v>3.03</v>
      </c>
      <c r="I177" s="3588">
        <f t="shared" si="20"/>
        <v>3.03</v>
      </c>
      <c r="J177" s="3588">
        <f t="shared" si="20"/>
        <v>3.03</v>
      </c>
      <c r="K177" s="3588">
        <f t="shared" si="20"/>
        <v>3.03</v>
      </c>
      <c r="L177" s="3588">
        <f t="shared" si="20"/>
        <v>3.03</v>
      </c>
      <c r="M177" s="3588">
        <f t="shared" si="20"/>
        <v>3.03</v>
      </c>
      <c r="N177" s="3588">
        <f t="shared" si="20"/>
        <v>3.03</v>
      </c>
      <c r="O177" s="3588">
        <f t="shared" si="20"/>
        <v>3.03</v>
      </c>
      <c r="P177" s="3588">
        <f t="shared" si="20"/>
        <v>3.03</v>
      </c>
      <c r="Q177" s="3588">
        <f t="shared" si="20"/>
        <v>3.03</v>
      </c>
      <c r="R177" s="3588">
        <f t="shared" si="20"/>
        <v>3.03</v>
      </c>
      <c r="S177" s="3586"/>
    </row>
    <row r="178" spans="1:33" s="3440" customFormat="1" hidden="1" x14ac:dyDescent="0.3">
      <c r="A178" s="3496" t="s">
        <v>1125</v>
      </c>
      <c r="B178" s="3580" t="s">
        <v>1784</v>
      </c>
      <c r="C178" s="3498"/>
      <c r="D178" s="3498"/>
      <c r="E178" s="3498"/>
      <c r="F178" s="3498"/>
      <c r="G178" s="3539" t="e">
        <f>-G176/G177</f>
        <v>#DIV/0!</v>
      </c>
      <c r="H178" s="3539" t="e">
        <f>-H176/H177</f>
        <v>#DIV/0!</v>
      </c>
      <c r="I178" s="3539" t="e">
        <f>-I176/I177</f>
        <v>#DIV/0!</v>
      </c>
      <c r="J178" s="3539" t="e">
        <f t="shared" ref="J178:R178" si="21">-J176/J177</f>
        <v>#DIV/0!</v>
      </c>
      <c r="K178" s="3539" t="e">
        <f t="shared" si="21"/>
        <v>#DIV/0!</v>
      </c>
      <c r="L178" s="3539" t="e">
        <f t="shared" si="21"/>
        <v>#DIV/0!</v>
      </c>
      <c r="M178" s="3539" t="e">
        <f t="shared" si="21"/>
        <v>#DIV/0!</v>
      </c>
      <c r="N178" s="3539" t="e">
        <f t="shared" si="21"/>
        <v>#DIV/0!</v>
      </c>
      <c r="O178" s="3539" t="e">
        <f t="shared" si="21"/>
        <v>#DIV/0!</v>
      </c>
      <c r="P178" s="3539" t="e">
        <f>-P176/P177</f>
        <v>#DIV/0!</v>
      </c>
      <c r="Q178" s="3539" t="e">
        <f>-Q176/Q177</f>
        <v>#DIV/0!</v>
      </c>
      <c r="R178" s="3539" t="e">
        <f t="shared" si="21"/>
        <v>#DIV/0!</v>
      </c>
      <c r="S178" s="3586"/>
    </row>
    <row r="179" spans="1:33" s="3440" customFormat="1" hidden="1" x14ac:dyDescent="0.3">
      <c r="A179" s="3496"/>
      <c r="B179" s="3580" t="s">
        <v>2416</v>
      </c>
      <c r="C179" s="3498"/>
      <c r="D179" s="3498"/>
      <c r="E179" s="3498"/>
      <c r="F179" s="3498"/>
      <c r="G179" s="5489" t="e">
        <f>+IF(G178&lt;0,0,G178)</f>
        <v>#DIV/0!</v>
      </c>
      <c r="H179" s="5489" t="e">
        <f t="shared" ref="H179:R179" si="22">+IF(H178&lt;0,0,H178)</f>
        <v>#DIV/0!</v>
      </c>
      <c r="I179" s="5489" t="e">
        <f t="shared" si="22"/>
        <v>#DIV/0!</v>
      </c>
      <c r="J179" s="5489" t="e">
        <f t="shared" si="22"/>
        <v>#DIV/0!</v>
      </c>
      <c r="K179" s="5489" t="e">
        <f t="shared" si="22"/>
        <v>#DIV/0!</v>
      </c>
      <c r="L179" s="5489" t="e">
        <f t="shared" si="22"/>
        <v>#DIV/0!</v>
      </c>
      <c r="M179" s="5489" t="e">
        <f t="shared" si="22"/>
        <v>#DIV/0!</v>
      </c>
      <c r="N179" s="5489" t="e">
        <f t="shared" si="22"/>
        <v>#DIV/0!</v>
      </c>
      <c r="O179" s="5489" t="e">
        <f t="shared" si="22"/>
        <v>#DIV/0!</v>
      </c>
      <c r="P179" s="5489" t="e">
        <f t="shared" si="22"/>
        <v>#DIV/0!</v>
      </c>
      <c r="Q179" s="5489" t="e">
        <f t="shared" si="22"/>
        <v>#DIV/0!</v>
      </c>
      <c r="R179" s="5489" t="e">
        <f t="shared" si="22"/>
        <v>#DIV/0!</v>
      </c>
      <c r="S179" s="3586"/>
    </row>
    <row r="180" spans="1:33" s="3440" customFormat="1" hidden="1" x14ac:dyDescent="0.3">
      <c r="A180" s="3496" t="s">
        <v>1125</v>
      </c>
      <c r="B180" s="3580" t="s">
        <v>1306</v>
      </c>
      <c r="C180" s="3498"/>
      <c r="D180" s="3498"/>
      <c r="E180" s="3498"/>
      <c r="F180" s="3498"/>
      <c r="G180" s="3589" t="e">
        <f>G169-G173-G175</f>
        <v>#DIV/0!</v>
      </c>
      <c r="H180" s="3589" t="e">
        <f>H169-H173-H175</f>
        <v>#DIV/0!</v>
      </c>
      <c r="I180" s="3589" t="e">
        <f>I169-I173-I175</f>
        <v>#DIV/0!</v>
      </c>
      <c r="J180" s="3589" t="e">
        <f t="shared" ref="J180:R180" si="23">J169-J173-J175</f>
        <v>#DIV/0!</v>
      </c>
      <c r="K180" s="3589" t="e">
        <f t="shared" si="23"/>
        <v>#DIV/0!</v>
      </c>
      <c r="L180" s="3589" t="e">
        <f t="shared" si="23"/>
        <v>#DIV/0!</v>
      </c>
      <c r="M180" s="3589" t="e">
        <f t="shared" si="23"/>
        <v>#DIV/0!</v>
      </c>
      <c r="N180" s="3589" t="e">
        <f t="shared" si="23"/>
        <v>#DIV/0!</v>
      </c>
      <c r="O180" s="3589" t="e">
        <f t="shared" si="23"/>
        <v>#DIV/0!</v>
      </c>
      <c r="P180" s="3589" t="e">
        <f t="shared" si="23"/>
        <v>#DIV/0!</v>
      </c>
      <c r="Q180" s="3589" t="e">
        <f t="shared" si="23"/>
        <v>#DIV/0!</v>
      </c>
      <c r="R180" s="3589" t="e">
        <f t="shared" si="23"/>
        <v>#DIV/0!</v>
      </c>
      <c r="S180" s="3586"/>
    </row>
    <row r="181" spans="1:33" s="3440" customFormat="1" ht="15.05" hidden="1" thickBot="1" x14ac:dyDescent="0.35">
      <c r="A181" s="3496" t="s">
        <v>1125</v>
      </c>
      <c r="B181" s="3583" t="s">
        <v>1783</v>
      </c>
      <c r="C181" s="3584"/>
      <c r="D181" s="3584"/>
      <c r="E181" s="3584"/>
      <c r="F181" s="3584"/>
      <c r="G181" s="3590" t="e">
        <f>(($C$155*G179)-G180)/($C$155-$C$154)</f>
        <v>#DIV/0!</v>
      </c>
      <c r="H181" s="3590" t="e">
        <f t="shared" ref="H181:R181" si="24">(($C$155*H179)-H180)/($C$155-$C$154)</f>
        <v>#DIV/0!</v>
      </c>
      <c r="I181" s="3590" t="e">
        <f t="shared" si="24"/>
        <v>#DIV/0!</v>
      </c>
      <c r="J181" s="3590" t="e">
        <f t="shared" si="24"/>
        <v>#DIV/0!</v>
      </c>
      <c r="K181" s="3590" t="e">
        <f t="shared" si="24"/>
        <v>#DIV/0!</v>
      </c>
      <c r="L181" s="3590" t="e">
        <f t="shared" si="24"/>
        <v>#DIV/0!</v>
      </c>
      <c r="M181" s="3590" t="e">
        <f t="shared" si="24"/>
        <v>#DIV/0!</v>
      </c>
      <c r="N181" s="3590" t="e">
        <f t="shared" si="24"/>
        <v>#DIV/0!</v>
      </c>
      <c r="O181" s="3590" t="e">
        <f t="shared" si="24"/>
        <v>#DIV/0!</v>
      </c>
      <c r="P181" s="3590" t="e">
        <f t="shared" si="24"/>
        <v>#DIV/0!</v>
      </c>
      <c r="Q181" s="3590" t="e">
        <f t="shared" si="24"/>
        <v>#DIV/0!</v>
      </c>
      <c r="R181" s="3590" t="e">
        <f t="shared" si="24"/>
        <v>#DIV/0!</v>
      </c>
      <c r="S181" s="3591"/>
    </row>
    <row r="182" spans="1:33" s="3440" customFormat="1" hidden="1" x14ac:dyDescent="0.3">
      <c r="A182" s="3496" t="s">
        <v>1125</v>
      </c>
      <c r="B182" s="3580" t="s">
        <v>1805</v>
      </c>
      <c r="C182" s="3498"/>
      <c r="D182" s="3498"/>
      <c r="E182" s="3498"/>
      <c r="F182" s="3498"/>
      <c r="G182" s="3592" t="e">
        <f>IF(G181&lt;0,0,G181)</f>
        <v>#DIV/0!</v>
      </c>
      <c r="H182" s="3592" t="e">
        <f>IF(H181&lt;0,0,H181)</f>
        <v>#DIV/0!</v>
      </c>
      <c r="I182" s="3592" t="e">
        <f>IF(I181&lt;0,0,I181)</f>
        <v>#DIV/0!</v>
      </c>
      <c r="J182" s="3592" t="e">
        <f>IF(J181&lt;0,0,J181)</f>
        <v>#DIV/0!</v>
      </c>
      <c r="K182" s="3592" t="e">
        <f t="shared" ref="K182:R182" si="25">IF(K181&lt;0,0,K181)</f>
        <v>#DIV/0!</v>
      </c>
      <c r="L182" s="3592" t="e">
        <f t="shared" si="25"/>
        <v>#DIV/0!</v>
      </c>
      <c r="M182" s="3592" t="e">
        <f>IF(M181&lt;0,0,M181)</f>
        <v>#DIV/0!</v>
      </c>
      <c r="N182" s="3592" t="e">
        <f>IF(N181&lt;0,0,N181)</f>
        <v>#DIV/0!</v>
      </c>
      <c r="O182" s="3592" t="e">
        <f t="shared" si="25"/>
        <v>#DIV/0!</v>
      </c>
      <c r="P182" s="3592" t="e">
        <f t="shared" si="25"/>
        <v>#DIV/0!</v>
      </c>
      <c r="Q182" s="3592" t="e">
        <f>IF(Q181&lt;0,0,Q181)</f>
        <v>#DIV/0!</v>
      </c>
      <c r="R182" s="3592" t="e">
        <f t="shared" si="25"/>
        <v>#DIV/0!</v>
      </c>
      <c r="S182" s="3593"/>
    </row>
    <row r="183" spans="1:33" s="3440" customFormat="1" hidden="1" x14ac:dyDescent="0.3">
      <c r="A183" s="3496" t="s">
        <v>1125</v>
      </c>
      <c r="B183" s="3580" t="s">
        <v>1806</v>
      </c>
      <c r="C183" s="3498"/>
      <c r="D183" s="3498"/>
      <c r="E183" s="3498"/>
      <c r="F183" s="3498"/>
      <c r="G183" s="3592" t="e">
        <f>+IF(G181&gt;G179,G179,0)</f>
        <v>#DIV/0!</v>
      </c>
      <c r="H183" s="3592" t="e">
        <f t="shared" ref="H183:R183" si="26">+IF(H181&gt;H179,H179,0)</f>
        <v>#DIV/0!</v>
      </c>
      <c r="I183" s="3592" t="e">
        <f t="shared" si="26"/>
        <v>#DIV/0!</v>
      </c>
      <c r="J183" s="3592" t="e">
        <f t="shared" si="26"/>
        <v>#DIV/0!</v>
      </c>
      <c r="K183" s="3592" t="e">
        <f t="shared" si="26"/>
        <v>#DIV/0!</v>
      </c>
      <c r="L183" s="3592" t="e">
        <f t="shared" si="26"/>
        <v>#DIV/0!</v>
      </c>
      <c r="M183" s="3592" t="e">
        <f>+IF(M181&gt;M179,M179,0)</f>
        <v>#DIV/0!</v>
      </c>
      <c r="N183" s="3592" t="e">
        <f t="shared" si="26"/>
        <v>#DIV/0!</v>
      </c>
      <c r="O183" s="3592" t="e">
        <f t="shared" si="26"/>
        <v>#DIV/0!</v>
      </c>
      <c r="P183" s="3592" t="e">
        <f t="shared" si="26"/>
        <v>#DIV/0!</v>
      </c>
      <c r="Q183" s="3592" t="e">
        <f t="shared" si="26"/>
        <v>#DIV/0!</v>
      </c>
      <c r="R183" s="3592" t="e">
        <f t="shared" si="26"/>
        <v>#DIV/0!</v>
      </c>
      <c r="S183" s="3594"/>
    </row>
    <row r="184" spans="1:33" s="3440" customFormat="1" hidden="1" x14ac:dyDescent="0.3">
      <c r="A184" s="3496" t="s">
        <v>1125</v>
      </c>
      <c r="B184" s="3580" t="s">
        <v>1804</v>
      </c>
      <c r="C184" s="3498" t="s">
        <v>1648</v>
      </c>
      <c r="D184" s="3498"/>
      <c r="E184" s="3498"/>
      <c r="F184" s="3498"/>
      <c r="G184" s="3581" t="e">
        <f t="shared" ref="G184:R184" si="27">+IF(G183&gt;0,G183,G182)</f>
        <v>#DIV/0!</v>
      </c>
      <c r="H184" s="3581" t="e">
        <f t="shared" si="27"/>
        <v>#DIV/0!</v>
      </c>
      <c r="I184" s="3581" t="e">
        <f t="shared" si="27"/>
        <v>#DIV/0!</v>
      </c>
      <c r="J184" s="3581" t="e">
        <f t="shared" si="27"/>
        <v>#DIV/0!</v>
      </c>
      <c r="K184" s="3581" t="e">
        <f t="shared" si="27"/>
        <v>#DIV/0!</v>
      </c>
      <c r="L184" s="3581" t="e">
        <f t="shared" si="27"/>
        <v>#DIV/0!</v>
      </c>
      <c r="M184" s="3581" t="e">
        <f t="shared" si="27"/>
        <v>#DIV/0!</v>
      </c>
      <c r="N184" s="3581" t="e">
        <f t="shared" si="27"/>
        <v>#DIV/0!</v>
      </c>
      <c r="O184" s="3581" t="e">
        <f t="shared" si="27"/>
        <v>#DIV/0!</v>
      </c>
      <c r="P184" s="3581" t="e">
        <f t="shared" si="27"/>
        <v>#DIV/0!</v>
      </c>
      <c r="Q184" s="3581" t="e">
        <f t="shared" si="27"/>
        <v>#DIV/0!</v>
      </c>
      <c r="R184" s="3581" t="e">
        <f t="shared" si="27"/>
        <v>#DIV/0!</v>
      </c>
      <c r="S184" s="3594" t="e">
        <f>+SUMPRODUCT(G184:R184,$G$139:$R$139)/AVERAGE($G$139:$R$139)/12</f>
        <v>#DIV/0!</v>
      </c>
    </row>
    <row r="185" spans="1:33" s="3440" customFormat="1" hidden="1" x14ac:dyDescent="0.3">
      <c r="A185" s="3496" t="s">
        <v>1125</v>
      </c>
      <c r="B185" s="3595" t="s">
        <v>244</v>
      </c>
      <c r="C185" s="3596" t="s">
        <v>525</v>
      </c>
      <c r="D185" s="3596"/>
      <c r="E185" s="3596"/>
      <c r="F185" s="3596"/>
      <c r="G185" s="5490" t="e">
        <f>G179-G184</f>
        <v>#DIV/0!</v>
      </c>
      <c r="H185" s="5490" t="e">
        <f t="shared" ref="H185:R185" si="28">H179-H184</f>
        <v>#DIV/0!</v>
      </c>
      <c r="I185" s="5490" t="e">
        <f t="shared" si="28"/>
        <v>#DIV/0!</v>
      </c>
      <c r="J185" s="5490" t="e">
        <f t="shared" si="28"/>
        <v>#DIV/0!</v>
      </c>
      <c r="K185" s="5490" t="e">
        <f t="shared" si="28"/>
        <v>#DIV/0!</v>
      </c>
      <c r="L185" s="5490" t="e">
        <f t="shared" si="28"/>
        <v>#DIV/0!</v>
      </c>
      <c r="M185" s="5490" t="e">
        <f t="shared" si="28"/>
        <v>#DIV/0!</v>
      </c>
      <c r="N185" s="5490" t="e">
        <f t="shared" si="28"/>
        <v>#DIV/0!</v>
      </c>
      <c r="O185" s="5490" t="e">
        <f t="shared" si="28"/>
        <v>#DIV/0!</v>
      </c>
      <c r="P185" s="5490" t="e">
        <f t="shared" si="28"/>
        <v>#DIV/0!</v>
      </c>
      <c r="Q185" s="5490" t="e">
        <f t="shared" si="28"/>
        <v>#DIV/0!</v>
      </c>
      <c r="R185" s="5490" t="e">
        <f t="shared" si="28"/>
        <v>#DIV/0!</v>
      </c>
      <c r="S185" s="3594" t="e">
        <f>+SUMPRODUCT(G185:R185,$G$139:$R$139)/AVERAGE($G$139:$R$139)/12</f>
        <v>#DIV/0!</v>
      </c>
    </row>
    <row r="186" spans="1:33" s="3440" customFormat="1" hidden="1" x14ac:dyDescent="0.3">
      <c r="A186" s="3496" t="s">
        <v>1125</v>
      </c>
      <c r="B186" s="3580" t="s">
        <v>523</v>
      </c>
      <c r="C186" s="3498" t="s">
        <v>524</v>
      </c>
      <c r="D186" s="3498"/>
      <c r="E186" s="3498"/>
      <c r="F186" s="3498"/>
      <c r="G186" s="3581">
        <f>IF(G139=0,0,G184/0.86/(1-General!$I$112/100))</f>
        <v>0</v>
      </c>
      <c r="H186" s="3581">
        <f>IF(H139=0,0,H184/0.86/(1-General!$I$112/100))</f>
        <v>0</v>
      </c>
      <c r="I186" s="3581">
        <f>IF(I139=0,0,I184/0.86/(1-General!$I$112/100))</f>
        <v>0</v>
      </c>
      <c r="J186" s="3581">
        <f>IF(J139=0,0,J184/0.86/(1-General!$I$112/100))</f>
        <v>0</v>
      </c>
      <c r="K186" s="3581">
        <f>IF(K139=0,0,K184/0.86/(1-General!$I$112/100))</f>
        <v>0</v>
      </c>
      <c r="L186" s="3581">
        <f>IF(L139=0,0,L184/0.86/(1-General!$I$112/100))</f>
        <v>0</v>
      </c>
      <c r="M186" s="3581">
        <f>IF(M139=0,0,M184/0.86/(1-General!$I$112/100))</f>
        <v>0</v>
      </c>
      <c r="N186" s="3581">
        <f>IF(N139=0,0,N184/0.86/(1-General!$I$112/100))</f>
        <v>0</v>
      </c>
      <c r="O186" s="3581">
        <f>IF(O139=0,0,O184/0.86/(1-General!$I$112/100))</f>
        <v>0</v>
      </c>
      <c r="P186" s="3581">
        <f>IF(P139=0,0,P184/0.86/(1-General!$I$112/100))</f>
        <v>0</v>
      </c>
      <c r="Q186" s="3581">
        <f>IF(Q139=0,0,Q184/0.86/(1-General!$I$112/100))</f>
        <v>0</v>
      </c>
      <c r="R186" s="3581">
        <f>IF(R139=0,0,R184/0.86/(1-General!$I$112/100))</f>
        <v>0</v>
      </c>
      <c r="S186" s="3594" t="e">
        <f>+SUMPRODUCT(G186:R186,$G$139:$R$139)/AVERAGE($G$139:$R$139)/12</f>
        <v>#DIV/0!</v>
      </c>
    </row>
    <row r="187" spans="1:33" s="3440" customFormat="1" hidden="1" x14ac:dyDescent="0.3">
      <c r="A187" s="3496" t="s">
        <v>1125</v>
      </c>
      <c r="B187" s="3580" t="s">
        <v>244</v>
      </c>
      <c r="C187" s="3498" t="s">
        <v>524</v>
      </c>
      <c r="D187" s="3498"/>
      <c r="E187" s="3498"/>
      <c r="F187" s="3498"/>
      <c r="G187" s="3581">
        <f>IF(G139=0,0,G185/0.86/(1-General!$I$112/100))</f>
        <v>0</v>
      </c>
      <c r="H187" s="3581">
        <f>IF(H139=0,0,H185/0.86/(1-General!$I$112/100))</f>
        <v>0</v>
      </c>
      <c r="I187" s="3581">
        <f>IF(I139=0,0,I185/0.86/(1-General!$I$112/100))</f>
        <v>0</v>
      </c>
      <c r="J187" s="3581">
        <f>IF(J139=0,0,J185/0.86/(1-General!$I$112/100))</f>
        <v>0</v>
      </c>
      <c r="K187" s="3581">
        <f>IF(K139=0,0,K185/0.86/(1-General!$I$112/100))</f>
        <v>0</v>
      </c>
      <c r="L187" s="3581">
        <f>IF(L139=0,0,L185/0.86/(1-General!$I$112/100))</f>
        <v>0</v>
      </c>
      <c r="M187" s="3581">
        <f>IF(M139=0,0,M185/0.86/(1-General!$I$112/100))</f>
        <v>0</v>
      </c>
      <c r="N187" s="3581">
        <f>IF(N139=0,0,N185/0.86/(1-General!$I$112/100))</f>
        <v>0</v>
      </c>
      <c r="O187" s="3581">
        <f>IF(O139=0,0,O185/0.86/(1-General!$I$112/100))</f>
        <v>0</v>
      </c>
      <c r="P187" s="3581">
        <f>IF(P139=0,0,P185/0.86/(1-General!$I$112/100))</f>
        <v>0</v>
      </c>
      <c r="Q187" s="3581">
        <f>IF(Q139=0,0,Q185/0.86/(1-General!$I$112/100))</f>
        <v>0</v>
      </c>
      <c r="R187" s="3581">
        <f>IF(R139=0,0,R185/0.86/(1-General!$I$112/100))</f>
        <v>0</v>
      </c>
      <c r="S187" s="3594" t="e">
        <f>+SUMPRODUCT(G187:R187,$G$139:$R$139)/AVERAGE($G$139:$R$139)/12</f>
        <v>#DIV/0!</v>
      </c>
    </row>
    <row r="188" spans="1:33" s="3440" customFormat="1" ht="15.05" hidden="1" thickBot="1" x14ac:dyDescent="0.35">
      <c r="A188" s="3496" t="s">
        <v>1125</v>
      </c>
      <c r="B188" s="3597" t="s">
        <v>1649</v>
      </c>
      <c r="C188" s="3598" t="s">
        <v>1648</v>
      </c>
      <c r="D188" s="3598"/>
      <c r="E188" s="3598"/>
      <c r="F188" s="3598"/>
      <c r="G188" s="3599">
        <f>+G152/(1-General!$I$121/100)</f>
        <v>0</v>
      </c>
      <c r="H188" s="3599">
        <f>+H152/(1-General!$I$121/100)</f>
        <v>0</v>
      </c>
      <c r="I188" s="3599">
        <f>+I152/(1-General!$I$121/100)</f>
        <v>0</v>
      </c>
      <c r="J188" s="3599">
        <f>+J152/(1-General!$I$121/100)</f>
        <v>0</v>
      </c>
      <c r="K188" s="3599">
        <f>+K152/(1-General!$I$121/100)</f>
        <v>0</v>
      </c>
      <c r="L188" s="3599">
        <f>+L152/(1-General!$I$121/100)</f>
        <v>0</v>
      </c>
      <c r="M188" s="3599">
        <f>+M152/(1-General!$I$121/100)</f>
        <v>0</v>
      </c>
      <c r="N188" s="3599">
        <f>+N152/(1-General!$I$121/100)</f>
        <v>0</v>
      </c>
      <c r="O188" s="3599">
        <f>+O152/(1-General!$I$121/100)</f>
        <v>0</v>
      </c>
      <c r="P188" s="3599">
        <f>+P152/(1-General!$I$121/100)</f>
        <v>0</v>
      </c>
      <c r="Q188" s="3599">
        <f>+Q152/(1-General!$I$121/100)</f>
        <v>0</v>
      </c>
      <c r="R188" s="3599">
        <f>+R152/(1-General!$I$121/100)</f>
        <v>0</v>
      </c>
      <c r="S188" s="3600"/>
    </row>
    <row r="189" spans="1:33" s="3440" customFormat="1" x14ac:dyDescent="0.3">
      <c r="A189" s="3451"/>
      <c r="B189" s="3452"/>
      <c r="C189" s="3452"/>
      <c r="D189" s="3452"/>
      <c r="E189" s="3452"/>
      <c r="F189" s="3452"/>
      <c r="G189" s="3601"/>
      <c r="H189" s="3601"/>
      <c r="I189" s="3601"/>
      <c r="J189" s="3601"/>
      <c r="K189" s="3601"/>
      <c r="L189" s="3601"/>
      <c r="M189" s="3601"/>
      <c r="N189" s="3601"/>
      <c r="O189" s="3601"/>
      <c r="P189" s="3601"/>
      <c r="Q189" s="3601"/>
      <c r="R189" s="3601"/>
      <c r="S189" s="3575"/>
    </row>
    <row r="190" spans="1:33" x14ac:dyDescent="0.3">
      <c r="A190" s="2487">
        <f>A136+1</f>
        <v>95</v>
      </c>
      <c r="B190" s="3454"/>
      <c r="C190" s="3455"/>
      <c r="D190" s="3455"/>
      <c r="E190" s="3470" t="s">
        <v>2359</v>
      </c>
      <c r="F190" s="3455"/>
      <c r="G190" s="3455"/>
      <c r="H190" s="3455"/>
      <c r="I190" s="3455"/>
      <c r="J190" s="3455"/>
      <c r="K190" s="3455"/>
      <c r="L190" s="3455"/>
      <c r="M190" s="3455"/>
      <c r="N190" s="3455"/>
      <c r="O190" s="3455"/>
      <c r="P190" s="3455"/>
      <c r="Q190" s="3455"/>
      <c r="R190" s="3456"/>
      <c r="S190" s="3129"/>
      <c r="U190" s="3436"/>
      <c r="V190" s="3436"/>
      <c r="W190" s="3436"/>
      <c r="X190" s="3436"/>
      <c r="Y190" s="3436"/>
      <c r="Z190" s="3436"/>
      <c r="AA190" s="3436"/>
      <c r="AB190" s="3436"/>
      <c r="AC190" s="3436"/>
      <c r="AD190" s="3436"/>
      <c r="AE190" s="3436"/>
      <c r="AF190" s="3436"/>
      <c r="AG190" s="3436"/>
    </row>
    <row r="191" spans="1:33" s="3440" customFormat="1" x14ac:dyDescent="0.3">
      <c r="A191" s="3451"/>
      <c r="B191" s="3452"/>
      <c r="C191" s="3452"/>
      <c r="D191" s="3452"/>
      <c r="E191" s="3452"/>
      <c r="F191" s="3452"/>
      <c r="G191" s="3602">
        <v>12</v>
      </c>
      <c r="H191" s="3602">
        <v>12</v>
      </c>
      <c r="I191" s="3602">
        <v>12</v>
      </c>
      <c r="J191" s="3602">
        <v>12</v>
      </c>
      <c r="K191" s="3602">
        <v>12</v>
      </c>
      <c r="L191" s="3602">
        <v>12</v>
      </c>
      <c r="M191" s="3602">
        <v>12</v>
      </c>
      <c r="N191" s="3602">
        <v>12</v>
      </c>
      <c r="O191" s="3602">
        <v>12</v>
      </c>
      <c r="P191" s="3602">
        <v>12</v>
      </c>
      <c r="Q191" s="3602">
        <v>12</v>
      </c>
      <c r="R191" s="3602">
        <v>12</v>
      </c>
      <c r="S191" s="3575"/>
      <c r="T191" s="3603"/>
    </row>
    <row r="192" spans="1:33" s="3440" customFormat="1" x14ac:dyDescent="0.3">
      <c r="A192" s="3451"/>
      <c r="B192" s="3452"/>
      <c r="C192" s="3452"/>
      <c r="D192" s="3452"/>
      <c r="E192" s="3452"/>
      <c r="F192" s="3452"/>
      <c r="G192" s="3601">
        <f>0.0108*A.Lecheros!$F$13/(1-65/100)</f>
        <v>0</v>
      </c>
      <c r="H192" s="3601">
        <f>0.0108*A.Lecheros!$F$13/(1-65/100)</f>
        <v>0</v>
      </c>
      <c r="I192" s="3601">
        <f>0.0108*A.Lecheros!$F$13/(1-65/100)</f>
        <v>0</v>
      </c>
      <c r="J192" s="3601">
        <f>0.0108*A.Lecheros!$F$13/(1-65/100)</f>
        <v>0</v>
      </c>
      <c r="K192" s="3601">
        <f>0.0108*A.Lecheros!$F$13/(1-65/100)</f>
        <v>0</v>
      </c>
      <c r="L192" s="3601">
        <f>0.0108*A.Lecheros!$F$13/(1-65/100)</f>
        <v>0</v>
      </c>
      <c r="M192" s="3601">
        <f>0.0108*A.Lecheros!$F$13/(1-65/100)</f>
        <v>0</v>
      </c>
      <c r="N192" s="3601">
        <f>0.0108*A.Lecheros!$F$13/(1-65/100)</f>
        <v>0</v>
      </c>
      <c r="O192" s="3601">
        <f>0.0108*A.Lecheros!$F$13/(1-65/100)</f>
        <v>0</v>
      </c>
      <c r="P192" s="3601">
        <f>0.0108*A.Lecheros!$F$13/(1-65/100)</f>
        <v>0</v>
      </c>
      <c r="Q192" s="3601">
        <f>0.0108*A.Lecheros!$F$13/(1-65/100)</f>
        <v>0</v>
      </c>
      <c r="R192" s="3601">
        <f>0.0108*A.Lecheros!$F$13/(1-65/100)</f>
        <v>0</v>
      </c>
      <c r="S192" s="3604"/>
    </row>
    <row r="193" spans="1:33" s="3440" customFormat="1" x14ac:dyDescent="0.3">
      <c r="A193" s="3451"/>
      <c r="B193" s="3452"/>
      <c r="C193" s="3452"/>
      <c r="D193" s="3452"/>
      <c r="E193" s="3452"/>
      <c r="F193" s="3452"/>
      <c r="G193" s="3605"/>
      <c r="H193" s="3605"/>
      <c r="I193" s="3605"/>
      <c r="J193" s="3605"/>
      <c r="K193" s="3605"/>
      <c r="L193" s="3605"/>
      <c r="M193" s="3605"/>
      <c r="N193" s="3605"/>
      <c r="O193" s="3605"/>
      <c r="P193" s="3605"/>
      <c r="Q193" s="3605"/>
      <c r="R193" s="3605"/>
      <c r="S193" s="3604"/>
    </row>
    <row r="194" spans="1:33" s="3440" customFormat="1" x14ac:dyDescent="0.3">
      <c r="A194" s="3451"/>
      <c r="B194" s="3452"/>
      <c r="C194" s="3452"/>
      <c r="D194" s="3452"/>
      <c r="E194" s="3452"/>
      <c r="F194" s="3452"/>
      <c r="G194" s="3601">
        <f>0.04*A.Lecheros!$F$13</f>
        <v>0</v>
      </c>
      <c r="H194" s="3601">
        <f>0.04*A.Lecheros!$F$13</f>
        <v>0</v>
      </c>
      <c r="I194" s="3601">
        <f>0.04*A.Lecheros!$F$13</f>
        <v>0</v>
      </c>
      <c r="J194" s="3601">
        <f>0.04*A.Lecheros!$F$13</f>
        <v>0</v>
      </c>
      <c r="K194" s="3601">
        <f>0.04*A.Lecheros!$F$13</f>
        <v>0</v>
      </c>
      <c r="L194" s="3601">
        <f>0.04*A.Lecheros!$F$13</f>
        <v>0</v>
      </c>
      <c r="M194" s="3601">
        <f>0.04*A.Lecheros!$F$13</f>
        <v>0</v>
      </c>
      <c r="N194" s="3601">
        <f>0.04*A.Lecheros!$F$13</f>
        <v>0</v>
      </c>
      <c r="O194" s="3601">
        <f>0.04*A.Lecheros!$F$13</f>
        <v>0</v>
      </c>
      <c r="P194" s="3601">
        <f>0.04*A.Lecheros!$F$13</f>
        <v>0</v>
      </c>
      <c r="Q194" s="3601">
        <f>0.04*A.Lecheros!$F$13</f>
        <v>0</v>
      </c>
      <c r="R194" s="3601">
        <f>0.04*A.Lecheros!$F$13</f>
        <v>0</v>
      </c>
      <c r="S194" s="3575"/>
    </row>
    <row r="195" spans="1:33" s="3440" customFormat="1" x14ac:dyDescent="0.3">
      <c r="A195" s="3451"/>
      <c r="B195" s="3452"/>
      <c r="C195" s="3452"/>
      <c r="D195" s="3452"/>
      <c r="E195" s="3452"/>
      <c r="F195" s="3452"/>
      <c r="G195" s="3601"/>
      <c r="H195" s="3601"/>
      <c r="I195" s="3601"/>
      <c r="J195" s="3601"/>
      <c r="K195" s="3601"/>
      <c r="L195" s="3601"/>
      <c r="M195" s="3601"/>
      <c r="N195" s="3601"/>
      <c r="O195" s="3601"/>
      <c r="P195" s="3601"/>
      <c r="Q195" s="3601"/>
      <c r="R195" s="3601"/>
      <c r="S195" s="3575"/>
    </row>
    <row r="196" spans="1:33" s="3440" customFormat="1" x14ac:dyDescent="0.3">
      <c r="A196" s="3451"/>
      <c r="B196" s="3452"/>
      <c r="C196" s="3452"/>
      <c r="D196" s="3452"/>
      <c r="E196" s="3452"/>
      <c r="F196" s="3452"/>
      <c r="G196" s="3601"/>
      <c r="H196" s="3601"/>
      <c r="I196" s="3601"/>
      <c r="J196" s="3601"/>
      <c r="K196" s="3601"/>
      <c r="L196" s="3601"/>
      <c r="M196" s="3601"/>
      <c r="N196" s="3601"/>
      <c r="O196" s="3601"/>
      <c r="P196" s="3601"/>
      <c r="Q196" s="3601"/>
      <c r="R196" s="3601"/>
      <c r="S196" s="3575"/>
    </row>
    <row r="197" spans="1:33" s="3440" customFormat="1" x14ac:dyDescent="0.3">
      <c r="A197" s="3451"/>
      <c r="B197" s="3452"/>
      <c r="C197" s="3452"/>
      <c r="D197" s="3452"/>
      <c r="E197" s="3452"/>
      <c r="F197" s="3452"/>
      <c r="G197" s="3601"/>
      <c r="H197" s="3601"/>
      <c r="I197" s="3601"/>
      <c r="J197" s="3601"/>
      <c r="K197" s="3601"/>
      <c r="L197" s="3601"/>
      <c r="M197" s="3601"/>
      <c r="N197" s="3601"/>
      <c r="O197" s="3601"/>
      <c r="P197" s="3601"/>
      <c r="Q197" s="3601"/>
      <c r="R197" s="3601"/>
      <c r="S197" s="3575"/>
    </row>
    <row r="198" spans="1:33" s="3440" customFormat="1" x14ac:dyDescent="0.3">
      <c r="A198" s="3451"/>
      <c r="B198" s="3452"/>
      <c r="C198" s="3452"/>
      <c r="E198" s="3452"/>
      <c r="F198" s="3452"/>
      <c r="G198" s="3601"/>
      <c r="H198" s="3601"/>
      <c r="I198" s="3601"/>
      <c r="J198" s="3601"/>
      <c r="K198" s="3601"/>
      <c r="L198" s="3601"/>
      <c r="M198" s="3601"/>
      <c r="N198" s="3601"/>
      <c r="O198" s="3601"/>
      <c r="P198" s="3601"/>
      <c r="Q198" s="3601"/>
      <c r="R198" s="3601"/>
      <c r="S198" s="3575"/>
    </row>
    <row r="199" spans="1:33" s="3440" customFormat="1" x14ac:dyDescent="0.3">
      <c r="A199" s="3451"/>
      <c r="B199" s="3452"/>
      <c r="C199" s="3452"/>
      <c r="D199" s="3452"/>
      <c r="E199" s="3452"/>
      <c r="F199" s="3452"/>
      <c r="G199" s="3601"/>
      <c r="H199" s="3601"/>
      <c r="I199" s="3601"/>
      <c r="J199" s="3601"/>
      <c r="K199" s="3601"/>
      <c r="L199" s="3601"/>
      <c r="M199" s="3601"/>
      <c r="N199" s="3601"/>
      <c r="O199" s="3601"/>
      <c r="P199" s="3601"/>
      <c r="Q199" s="3601"/>
      <c r="R199" s="3601"/>
      <c r="S199" s="3575"/>
    </row>
    <row r="200" spans="1:33" s="3440" customFormat="1" x14ac:dyDescent="0.3">
      <c r="A200" s="3451"/>
      <c r="B200" s="3452"/>
      <c r="C200" s="3452"/>
      <c r="D200" s="3452"/>
      <c r="E200" s="3452"/>
      <c r="F200" s="3452"/>
      <c r="G200" s="3601"/>
      <c r="H200" s="3601"/>
      <c r="I200" s="3601"/>
      <c r="J200" s="3601"/>
      <c r="K200" s="3601"/>
      <c r="L200" s="3601"/>
      <c r="M200" s="3601"/>
      <c r="N200" s="3601"/>
      <c r="O200" s="3601"/>
      <c r="P200" s="3601"/>
      <c r="Q200" s="3601"/>
      <c r="R200" s="3601"/>
      <c r="S200" s="3575"/>
    </row>
    <row r="201" spans="1:33" s="3440" customFormat="1" x14ac:dyDescent="0.3">
      <c r="A201" s="3451"/>
      <c r="B201" s="3452"/>
      <c r="C201" s="3452"/>
      <c r="D201" s="3452"/>
      <c r="E201" s="3452"/>
      <c r="F201" s="3452"/>
      <c r="G201" s="3601"/>
      <c r="H201" s="3601"/>
      <c r="I201" s="3601"/>
      <c r="J201" s="3601"/>
      <c r="K201" s="3601"/>
      <c r="L201" s="3601"/>
      <c r="M201" s="3601"/>
      <c r="N201" s="3601"/>
      <c r="O201" s="3601"/>
      <c r="P201" s="3601"/>
      <c r="Q201" s="3601"/>
      <c r="R201" s="3601"/>
      <c r="S201" s="3575"/>
    </row>
    <row r="202" spans="1:33" s="3440" customFormat="1" x14ac:dyDescent="0.3">
      <c r="A202" s="3451"/>
      <c r="B202" s="3452"/>
      <c r="C202" s="3452"/>
      <c r="D202" s="3452"/>
      <c r="E202" s="3452"/>
      <c r="F202" s="3452"/>
      <c r="G202" s="3601"/>
      <c r="H202" s="3601"/>
      <c r="I202" s="3601"/>
      <c r="J202" s="3601"/>
      <c r="K202" s="3601"/>
      <c r="L202" s="3601"/>
      <c r="M202" s="3601"/>
      <c r="N202" s="3601"/>
      <c r="O202" s="3601"/>
      <c r="P202" s="3601"/>
      <c r="Q202" s="3601"/>
      <c r="R202" s="3601"/>
      <c r="S202" s="3575"/>
    </row>
    <row r="203" spans="1:33" s="3440" customFormat="1" x14ac:dyDescent="0.3">
      <c r="A203" s="3451"/>
      <c r="B203" s="3452"/>
      <c r="C203" s="3452"/>
      <c r="D203" s="3452"/>
      <c r="E203" s="3452"/>
      <c r="F203" s="3452"/>
      <c r="G203" s="3601"/>
      <c r="H203" s="3601"/>
      <c r="I203" s="3601"/>
      <c r="J203" s="3601"/>
      <c r="K203" s="3601"/>
      <c r="L203" s="3601"/>
      <c r="M203" s="3601"/>
      <c r="N203" s="3601"/>
      <c r="O203" s="3601"/>
      <c r="P203" s="3601"/>
      <c r="Q203" s="3601"/>
      <c r="R203" s="3601"/>
      <c r="S203" s="3575"/>
    </row>
    <row r="204" spans="1:33" s="3440" customFormat="1" x14ac:dyDescent="0.3">
      <c r="A204" s="3451"/>
      <c r="B204" s="3452"/>
      <c r="C204" s="3452"/>
      <c r="D204" s="3452"/>
      <c r="E204" s="3452"/>
      <c r="F204" s="3452"/>
      <c r="G204" s="3601"/>
      <c r="H204" s="3601"/>
      <c r="I204" s="3601"/>
      <c r="J204" s="3601"/>
      <c r="K204" s="3601"/>
      <c r="L204" s="3601"/>
      <c r="M204" s="3601"/>
      <c r="N204" s="3601"/>
      <c r="O204" s="3601"/>
      <c r="P204" s="3601"/>
      <c r="Q204" s="3601"/>
      <c r="R204" s="3601"/>
      <c r="S204" s="3575"/>
    </row>
    <row r="205" spans="1:33" s="3440" customFormat="1" x14ac:dyDescent="0.3">
      <c r="A205" s="3451"/>
      <c r="B205" s="3452"/>
      <c r="C205" s="3452"/>
      <c r="D205" s="3452"/>
      <c r="E205" s="3452"/>
      <c r="F205" s="3452"/>
      <c r="G205" s="3601"/>
      <c r="H205" s="3601"/>
      <c r="I205" s="3601"/>
      <c r="J205" s="3601"/>
      <c r="K205" s="3601"/>
      <c r="L205" s="3601"/>
      <c r="M205" s="3601"/>
      <c r="N205" s="3601"/>
      <c r="O205" s="3601"/>
      <c r="P205" s="3601"/>
      <c r="Q205" s="3601"/>
      <c r="R205" s="3601"/>
      <c r="S205" s="3575"/>
    </row>
    <row r="206" spans="1:33" s="3440" customFormat="1" x14ac:dyDescent="0.3">
      <c r="A206" s="3451"/>
      <c r="B206" s="3452"/>
      <c r="C206" s="3452"/>
      <c r="D206" s="3452"/>
      <c r="E206" s="3452"/>
      <c r="F206" s="3452"/>
      <c r="G206" s="3601"/>
      <c r="H206" s="3601"/>
      <c r="I206" s="3601"/>
      <c r="J206" s="3601"/>
      <c r="K206" s="3601"/>
      <c r="L206" s="3601"/>
      <c r="M206" s="3601"/>
      <c r="N206" s="3601"/>
      <c r="O206" s="3601"/>
      <c r="P206" s="3601"/>
      <c r="Q206" s="3601"/>
      <c r="R206" s="3601"/>
      <c r="S206" s="3575"/>
    </row>
    <row r="207" spans="1:33" s="3440" customFormat="1" x14ac:dyDescent="0.3">
      <c r="A207" s="3451"/>
      <c r="B207" s="3452"/>
      <c r="C207" s="3452"/>
      <c r="D207" s="3452"/>
      <c r="E207" s="3452"/>
      <c r="F207" s="3452"/>
      <c r="G207" s="3601"/>
      <c r="H207" s="3601"/>
      <c r="I207" s="3601"/>
      <c r="J207" s="3601"/>
      <c r="K207" s="3601"/>
      <c r="L207" s="3601"/>
      <c r="M207" s="3601"/>
      <c r="N207" s="3601"/>
      <c r="O207" s="3601"/>
      <c r="P207" s="3601"/>
      <c r="Q207" s="3601"/>
      <c r="R207" s="3601"/>
      <c r="S207" s="3575"/>
    </row>
    <row r="208" spans="1:33" hidden="1" x14ac:dyDescent="0.3">
      <c r="A208" s="3606">
        <f>A190+1</f>
        <v>96</v>
      </c>
      <c r="B208" s="3607" t="s">
        <v>1554</v>
      </c>
      <c r="C208" s="3607"/>
      <c r="D208" s="3607"/>
      <c r="E208" s="3607"/>
      <c r="F208" s="3607"/>
      <c r="G208" s="3607"/>
      <c r="H208" s="3607"/>
      <c r="I208" s="3607"/>
      <c r="J208" s="3607"/>
      <c r="K208" s="3607"/>
      <c r="L208" s="3607"/>
      <c r="M208" s="3607"/>
      <c r="N208" s="3607"/>
      <c r="O208" s="3607"/>
      <c r="P208" s="3607"/>
      <c r="Q208" s="3607"/>
      <c r="R208" s="3608"/>
      <c r="S208" s="3609"/>
      <c r="U208" s="3436"/>
      <c r="V208" s="3436"/>
      <c r="W208" s="3436"/>
      <c r="X208" s="3436"/>
      <c r="Y208" s="3436"/>
      <c r="Z208" s="3436"/>
      <c r="AA208" s="3436"/>
      <c r="AB208" s="3436"/>
      <c r="AC208" s="3436"/>
      <c r="AD208" s="3436"/>
      <c r="AE208" s="3436"/>
      <c r="AF208" s="3436"/>
      <c r="AG208" s="3436"/>
    </row>
    <row r="209" spans="1:19" s="3440" customFormat="1" hidden="1" x14ac:dyDescent="0.3">
      <c r="A209" s="3610"/>
      <c r="B209" s="3498"/>
      <c r="C209" s="3498"/>
      <c r="D209" s="3498"/>
      <c r="E209" s="3498"/>
      <c r="F209" s="3498"/>
      <c r="G209" s="3539"/>
      <c r="H209" s="3539"/>
      <c r="I209" s="3539"/>
      <c r="J209" s="3539"/>
      <c r="K209" s="3539"/>
      <c r="L209" s="3539"/>
      <c r="M209" s="3539"/>
      <c r="N209" s="3539"/>
      <c r="O209" s="3539"/>
      <c r="P209" s="3539"/>
      <c r="Q209" s="3539"/>
      <c r="R209" s="3539"/>
      <c r="S209" s="3611"/>
    </row>
    <row r="210" spans="1:19" s="3440" customFormat="1" hidden="1" x14ac:dyDescent="0.3">
      <c r="A210" s="3610"/>
      <c r="B210" s="3498"/>
      <c r="C210" s="3498"/>
      <c r="D210" s="3498"/>
      <c r="E210" s="3498"/>
      <c r="F210" s="3498"/>
      <c r="G210" s="3539"/>
      <c r="H210" s="3539"/>
      <c r="I210" s="3539"/>
      <c r="J210" s="3539"/>
      <c r="K210" s="3539"/>
      <c r="L210" s="3539"/>
      <c r="M210" s="3539"/>
      <c r="N210" s="3539"/>
      <c r="O210" s="3539"/>
      <c r="P210" s="3539"/>
      <c r="Q210" s="3539"/>
      <c r="R210" s="3539"/>
      <c r="S210" s="3611"/>
    </row>
    <row r="211" spans="1:19" s="3440" customFormat="1" hidden="1" x14ac:dyDescent="0.3">
      <c r="A211" s="3610"/>
      <c r="B211" s="3498"/>
      <c r="C211" s="3498"/>
      <c r="D211" s="3498"/>
      <c r="E211" s="3498"/>
      <c r="F211" s="3498"/>
      <c r="G211" s="3539"/>
      <c r="H211" s="3539"/>
      <c r="I211" s="3539"/>
      <c r="J211" s="3539"/>
      <c r="K211" s="3539"/>
      <c r="L211" s="3539"/>
      <c r="M211" s="3539"/>
      <c r="N211" s="3539"/>
      <c r="O211" s="3539"/>
      <c r="P211" s="3539"/>
      <c r="Q211" s="3539"/>
      <c r="R211" s="3539"/>
      <c r="S211" s="3611"/>
    </row>
    <row r="212" spans="1:19" s="3440" customFormat="1" hidden="1" x14ac:dyDescent="0.3">
      <c r="A212" s="3610"/>
      <c r="B212" s="3498"/>
      <c r="C212" s="3498"/>
      <c r="D212" s="3498"/>
      <c r="E212" s="3498"/>
      <c r="F212" s="3498"/>
      <c r="G212" s="3539"/>
      <c r="H212" s="3539"/>
      <c r="I212" s="3539"/>
      <c r="J212" s="3539"/>
      <c r="K212" s="3539"/>
      <c r="L212" s="3539"/>
      <c r="M212" s="3539"/>
      <c r="N212" s="3539"/>
      <c r="O212" s="3539"/>
      <c r="P212" s="3539"/>
      <c r="Q212" s="3539"/>
      <c r="R212" s="3539"/>
      <c r="S212" s="3611"/>
    </row>
    <row r="213" spans="1:19" s="3440" customFormat="1" hidden="1" x14ac:dyDescent="0.3">
      <c r="A213" s="3610"/>
      <c r="B213" s="3498"/>
      <c r="C213" s="3498"/>
      <c r="D213" s="3498"/>
      <c r="E213" s="3498"/>
      <c r="F213" s="3498"/>
      <c r="G213" s="3539"/>
      <c r="H213" s="3539"/>
      <c r="I213" s="3539"/>
      <c r="J213" s="3539"/>
      <c r="K213" s="3539"/>
      <c r="L213" s="3539"/>
      <c r="M213" s="3539"/>
      <c r="N213" s="3539"/>
      <c r="O213" s="3539"/>
      <c r="P213" s="3539"/>
      <c r="Q213" s="3539"/>
      <c r="R213" s="3539"/>
      <c r="S213" s="3611"/>
    </row>
    <row r="214" spans="1:19" s="3440" customFormat="1" hidden="1" x14ac:dyDescent="0.3">
      <c r="A214" s="3610"/>
      <c r="B214" s="3498"/>
      <c r="C214" s="3498"/>
      <c r="D214" s="3498"/>
      <c r="E214" s="3498"/>
      <c r="F214" s="3498"/>
      <c r="G214" s="3539"/>
      <c r="H214" s="3539"/>
      <c r="I214" s="3539"/>
      <c r="J214" s="3539"/>
      <c r="K214" s="3539"/>
      <c r="L214" s="3539"/>
      <c r="M214" s="3539"/>
      <c r="N214" s="3539"/>
      <c r="O214" s="3539"/>
      <c r="P214" s="3539"/>
      <c r="Q214" s="3539"/>
      <c r="R214" s="3539"/>
      <c r="S214" s="3611"/>
    </row>
    <row r="215" spans="1:19" s="3440" customFormat="1" hidden="1" x14ac:dyDescent="0.3">
      <c r="A215" s="3610"/>
      <c r="B215" s="3498"/>
      <c r="C215" s="3498"/>
      <c r="D215" s="3498"/>
      <c r="E215" s="3498"/>
      <c r="F215" s="3498"/>
      <c r="G215" s="3539"/>
      <c r="H215" s="3539"/>
      <c r="I215" s="3539"/>
      <c r="J215" s="3539"/>
      <c r="K215" s="3539"/>
      <c r="L215" s="3539"/>
      <c r="M215" s="3539"/>
      <c r="N215" s="3539"/>
      <c r="O215" s="3539"/>
      <c r="P215" s="3539"/>
      <c r="Q215" s="3539"/>
      <c r="R215" s="3539"/>
      <c r="S215" s="3611"/>
    </row>
    <row r="216" spans="1:19" s="3440" customFormat="1" hidden="1" x14ac:dyDescent="0.3">
      <c r="A216" s="3610"/>
      <c r="B216" s="3498"/>
      <c r="C216" s="3498"/>
      <c r="D216" s="3498"/>
      <c r="E216" s="3498"/>
      <c r="F216" s="3498"/>
      <c r="G216" s="3539"/>
      <c r="H216" s="3539"/>
      <c r="I216" s="3539"/>
      <c r="J216" s="3539"/>
      <c r="K216" s="3539"/>
      <c r="L216" s="3539"/>
      <c r="M216" s="3539"/>
      <c r="N216" s="3539"/>
      <c r="O216" s="3539"/>
      <c r="P216" s="3539"/>
      <c r="Q216" s="3539"/>
      <c r="R216" s="3539"/>
      <c r="S216" s="3611"/>
    </row>
    <row r="217" spans="1:19" s="3440" customFormat="1" hidden="1" x14ac:dyDescent="0.3">
      <c r="A217" s="3610"/>
      <c r="B217" s="3498"/>
      <c r="C217" s="3498"/>
      <c r="D217" s="3498"/>
      <c r="E217" s="3498"/>
      <c r="F217" s="3498"/>
      <c r="G217" s="3539"/>
      <c r="H217" s="3539"/>
      <c r="I217" s="3539"/>
      <c r="J217" s="3539"/>
      <c r="K217" s="3539"/>
      <c r="L217" s="3539"/>
      <c r="M217" s="3539"/>
      <c r="N217" s="3539"/>
      <c r="O217" s="3539"/>
      <c r="P217" s="3539"/>
      <c r="Q217" s="3539"/>
      <c r="R217" s="3539"/>
      <c r="S217" s="3611"/>
    </row>
    <row r="218" spans="1:19" s="3440" customFormat="1" hidden="1" x14ac:dyDescent="0.3">
      <c r="A218" s="3610"/>
      <c r="B218" s="3498"/>
      <c r="C218" s="3498"/>
      <c r="D218" s="3498"/>
      <c r="E218" s="3498"/>
      <c r="F218" s="3498"/>
      <c r="G218" s="3539"/>
      <c r="H218" s="3539"/>
      <c r="I218" s="3539"/>
      <c r="J218" s="3539"/>
      <c r="K218" s="3539"/>
      <c r="L218" s="3539"/>
      <c r="M218" s="3539"/>
      <c r="N218" s="3539"/>
      <c r="O218" s="3539"/>
      <c r="P218" s="3539"/>
      <c r="Q218" s="3539"/>
      <c r="R218" s="3539"/>
      <c r="S218" s="3611"/>
    </row>
    <row r="219" spans="1:19" s="3440" customFormat="1" hidden="1" x14ac:dyDescent="0.3">
      <c r="A219" s="3610"/>
      <c r="B219" s="3498"/>
      <c r="C219" s="3498"/>
      <c r="D219" s="3498"/>
      <c r="E219" s="3498"/>
      <c r="F219" s="3498"/>
      <c r="G219" s="3539"/>
      <c r="H219" s="3539"/>
      <c r="I219" s="3539"/>
      <c r="J219" s="3539"/>
      <c r="K219" s="3539"/>
      <c r="L219" s="3539"/>
      <c r="M219" s="3539"/>
      <c r="N219" s="3539"/>
      <c r="O219" s="3539"/>
      <c r="P219" s="3539"/>
      <c r="Q219" s="3539"/>
      <c r="R219" s="3539"/>
      <c r="S219" s="3611"/>
    </row>
    <row r="220" spans="1:19" s="3440" customFormat="1" hidden="1" x14ac:dyDescent="0.3">
      <c r="A220" s="3610"/>
      <c r="B220" s="3498"/>
      <c r="C220" s="3498"/>
      <c r="D220" s="3498"/>
      <c r="E220" s="3498"/>
      <c r="F220" s="3498"/>
      <c r="G220" s="3539"/>
      <c r="H220" s="3539"/>
      <c r="I220" s="3539"/>
      <c r="J220" s="3539"/>
      <c r="K220" s="3539"/>
      <c r="L220" s="3539"/>
      <c r="M220" s="3539"/>
      <c r="N220" s="3539"/>
      <c r="O220" s="3539"/>
      <c r="P220" s="3539"/>
      <c r="Q220" s="3539"/>
      <c r="R220" s="3539"/>
      <c r="S220" s="3611"/>
    </row>
    <row r="221" spans="1:19" s="3440" customFormat="1" hidden="1" x14ac:dyDescent="0.3">
      <c r="A221" s="3610"/>
      <c r="B221" s="3498"/>
      <c r="C221" s="3498"/>
      <c r="D221" s="3498"/>
      <c r="E221" s="3498"/>
      <c r="F221" s="3498"/>
      <c r="G221" s="3539"/>
      <c r="H221" s="3539"/>
      <c r="I221" s="3539"/>
      <c r="J221" s="3539"/>
      <c r="K221" s="3539"/>
      <c r="L221" s="3539"/>
      <c r="M221" s="3539"/>
      <c r="N221" s="3539"/>
      <c r="O221" s="3539"/>
      <c r="P221" s="3539"/>
      <c r="Q221" s="3539"/>
      <c r="R221" s="3539"/>
      <c r="S221" s="3611"/>
    </row>
    <row r="222" spans="1:19" s="3440" customFormat="1" hidden="1" x14ac:dyDescent="0.3">
      <c r="A222" s="3610"/>
      <c r="B222" s="3498"/>
      <c r="C222" s="3498"/>
      <c r="D222" s="3498"/>
      <c r="E222" s="3498"/>
      <c r="F222" s="3498"/>
      <c r="G222" s="3539"/>
      <c r="H222" s="3539"/>
      <c r="I222" s="3539"/>
      <c r="J222" s="3539"/>
      <c r="K222" s="3539"/>
      <c r="L222" s="3539"/>
      <c r="M222" s="3539"/>
      <c r="N222" s="3539"/>
      <c r="O222" s="3539"/>
      <c r="P222" s="3539"/>
      <c r="Q222" s="3539"/>
      <c r="R222" s="3539"/>
      <c r="S222" s="3611"/>
    </row>
    <row r="223" spans="1:19" s="3440" customFormat="1" hidden="1" x14ac:dyDescent="0.3">
      <c r="A223" s="3610"/>
      <c r="B223" s="3498"/>
      <c r="C223" s="3498"/>
      <c r="D223" s="3498"/>
      <c r="E223" s="3498"/>
      <c r="F223" s="3498"/>
      <c r="G223" s="3539"/>
      <c r="H223" s="3539"/>
      <c r="I223" s="3539"/>
      <c r="J223" s="3539"/>
      <c r="K223" s="3539"/>
      <c r="L223" s="3539"/>
      <c r="M223" s="3539"/>
      <c r="N223" s="3539"/>
      <c r="O223" s="3539"/>
      <c r="P223" s="3539"/>
      <c r="Q223" s="3539"/>
      <c r="R223" s="3539"/>
      <c r="S223" s="3611"/>
    </row>
    <row r="224" spans="1:19" s="3440" customFormat="1" hidden="1" x14ac:dyDescent="0.3">
      <c r="A224" s="3610"/>
      <c r="B224" s="3498"/>
      <c r="C224" s="3498"/>
      <c r="D224" s="3498"/>
      <c r="E224" s="3498"/>
      <c r="F224" s="3498"/>
      <c r="G224" s="3539"/>
      <c r="H224" s="3539"/>
      <c r="I224" s="3539"/>
      <c r="J224" s="3539"/>
      <c r="K224" s="3539"/>
      <c r="L224" s="3539"/>
      <c r="M224" s="3539"/>
      <c r="N224" s="3539"/>
      <c r="O224" s="3539"/>
      <c r="P224" s="3539"/>
      <c r="Q224" s="3539"/>
      <c r="R224" s="3539"/>
      <c r="S224" s="3611"/>
    </row>
    <row r="225" spans="1:33" s="3440" customFormat="1" x14ac:dyDescent="0.3">
      <c r="B225" s="3452"/>
      <c r="C225" s="3452"/>
      <c r="D225" s="3452"/>
      <c r="E225" s="3452"/>
      <c r="F225" s="3452"/>
      <c r="G225" s="3601"/>
      <c r="H225" s="3601"/>
      <c r="I225" s="3601"/>
      <c r="J225" s="3601"/>
      <c r="K225" s="3601"/>
      <c r="L225" s="3601"/>
      <c r="M225" s="3601"/>
      <c r="N225" s="3601"/>
      <c r="O225" s="3601"/>
      <c r="P225" s="3601"/>
      <c r="Q225" s="3601"/>
      <c r="R225" s="3601"/>
      <c r="S225" s="3575"/>
    </row>
    <row r="226" spans="1:33" s="3440" customFormat="1" x14ac:dyDescent="0.3">
      <c r="B226" s="3452"/>
      <c r="C226" s="3452"/>
      <c r="D226" s="3452"/>
      <c r="E226" s="3452"/>
      <c r="F226" s="3452"/>
      <c r="G226" s="3601"/>
      <c r="H226" s="3601"/>
      <c r="I226" s="3601"/>
      <c r="J226" s="3601"/>
      <c r="K226" s="3601"/>
      <c r="L226" s="3601"/>
      <c r="M226" s="3601"/>
      <c r="N226" s="3601"/>
      <c r="O226" s="3601"/>
      <c r="P226" s="3601"/>
      <c r="Q226" s="3601"/>
      <c r="R226" s="3601"/>
      <c r="S226" s="3575"/>
    </row>
    <row r="227" spans="1:33" s="3440" customFormat="1" x14ac:dyDescent="0.3">
      <c r="B227" s="3452"/>
      <c r="C227" s="3452"/>
      <c r="D227" s="3452"/>
      <c r="E227" s="3452"/>
      <c r="F227" s="3452"/>
      <c r="G227" s="3601"/>
      <c r="H227" s="3601"/>
      <c r="I227" s="3601"/>
      <c r="J227" s="3601"/>
      <c r="K227" s="3601"/>
      <c r="L227" s="3601"/>
      <c r="M227" s="3601"/>
      <c r="N227" s="3601"/>
      <c r="O227" s="3601"/>
      <c r="P227" s="3601"/>
      <c r="Q227" s="3601"/>
      <c r="R227" s="3601"/>
      <c r="S227" s="3575"/>
    </row>
    <row r="228" spans="1:33" s="3440" customFormat="1" ht="15.05" x14ac:dyDescent="0.3">
      <c r="A228" s="3477"/>
      <c r="B228" s="3478" t="s">
        <v>1939</v>
      </c>
      <c r="C228" s="3479"/>
      <c r="D228" s="3479"/>
      <c r="E228" s="3479"/>
      <c r="F228" s="3479"/>
      <c r="G228" s="3479"/>
      <c r="H228" s="3479"/>
      <c r="I228" s="3479"/>
      <c r="J228" s="3479"/>
      <c r="K228" s="3479"/>
      <c r="L228" s="3479"/>
      <c r="M228" s="3479"/>
      <c r="N228" s="3479"/>
      <c r="O228" s="3479"/>
      <c r="P228" s="3479"/>
      <c r="Q228" s="3479"/>
      <c r="R228" s="3480"/>
      <c r="S228" s="3481"/>
    </row>
    <row r="229" spans="1:33" s="3452" customFormat="1" ht="6.05" customHeight="1" x14ac:dyDescent="0.3">
      <c r="B229" s="3482"/>
      <c r="C229" s="3483"/>
      <c r="D229" s="3483"/>
      <c r="E229" s="3483"/>
      <c r="F229" s="3483"/>
      <c r="G229" s="3483"/>
      <c r="H229" s="3483"/>
      <c r="I229" s="3483"/>
      <c r="J229" s="3483"/>
      <c r="K229" s="3483"/>
      <c r="L229" s="3483"/>
      <c r="M229" s="3483"/>
      <c r="N229" s="3483"/>
      <c r="O229" s="3483"/>
      <c r="P229" s="3483"/>
      <c r="Q229" s="3483"/>
      <c r="R229" s="3484"/>
      <c r="S229" s="3129"/>
    </row>
    <row r="230" spans="1:33" x14ac:dyDescent="0.3">
      <c r="A230" s="2487">
        <f>A190+1</f>
        <v>96</v>
      </c>
      <c r="B230" s="3454"/>
      <c r="C230" s="3455"/>
      <c r="D230" s="3455"/>
      <c r="E230" s="3470" t="s">
        <v>1940</v>
      </c>
      <c r="F230" s="3455"/>
      <c r="G230" s="3455"/>
      <c r="H230" s="3455"/>
      <c r="I230" s="3455"/>
      <c r="J230" s="3455"/>
      <c r="K230" s="3455"/>
      <c r="L230" s="3455"/>
      <c r="M230" s="3455"/>
      <c r="N230" s="3455"/>
      <c r="O230" s="3455"/>
      <c r="P230" s="3455"/>
      <c r="Q230" s="3455"/>
      <c r="R230" s="3456"/>
      <c r="S230" s="3129"/>
      <c r="U230" s="3436"/>
      <c r="V230" s="3436"/>
      <c r="W230" s="3436"/>
      <c r="X230" s="3436"/>
      <c r="Y230" s="3436"/>
      <c r="Z230" s="3436"/>
      <c r="AA230" s="3436"/>
      <c r="AB230" s="3436"/>
      <c r="AC230" s="3436"/>
      <c r="AD230" s="3436"/>
      <c r="AE230" s="3436"/>
      <c r="AF230" s="3436"/>
      <c r="AG230" s="3436"/>
    </row>
    <row r="231" spans="1:33" s="3452" customFormat="1" x14ac:dyDescent="0.3">
      <c r="B231" s="3485"/>
      <c r="C231" s="3486"/>
      <c r="D231" s="3129"/>
      <c r="E231" s="3129"/>
      <c r="F231" s="3129"/>
      <c r="G231" s="3485"/>
      <c r="H231" s="3129"/>
      <c r="I231" s="3129"/>
      <c r="J231" s="3129"/>
      <c r="K231" s="3129"/>
      <c r="L231" s="3129"/>
      <c r="M231" s="3129"/>
      <c r="N231" s="3129"/>
      <c r="O231" s="3129"/>
      <c r="P231" s="3129"/>
      <c r="Q231" s="3129"/>
      <c r="R231" s="3129"/>
      <c r="S231" s="3129"/>
    </row>
    <row r="232" spans="1:33" s="3452" customFormat="1" x14ac:dyDescent="0.3">
      <c r="B232" s="3485"/>
      <c r="C232" s="3485"/>
      <c r="D232" s="3129"/>
      <c r="E232" s="3129"/>
      <c r="F232" s="3129"/>
      <c r="G232" s="3485"/>
      <c r="H232" s="3129"/>
      <c r="I232" s="3129"/>
      <c r="J232" s="3129"/>
      <c r="K232" s="3129"/>
      <c r="L232" s="3129"/>
      <c r="M232" s="3129"/>
      <c r="N232" s="3129"/>
      <c r="O232" s="3129"/>
      <c r="P232" s="3129"/>
      <c r="Q232" s="3129"/>
      <c r="R232" s="3129"/>
      <c r="S232" s="3129"/>
    </row>
    <row r="233" spans="1:33" s="3452" customFormat="1" x14ac:dyDescent="0.3">
      <c r="B233" s="3485"/>
      <c r="C233" s="3486"/>
      <c r="D233" s="3129"/>
      <c r="E233" s="3129"/>
      <c r="F233" s="3129"/>
      <c r="G233" s="3485"/>
      <c r="H233" s="3129"/>
      <c r="I233" s="3129"/>
      <c r="J233" s="3129"/>
      <c r="K233" s="3129"/>
      <c r="L233" s="3129"/>
      <c r="M233" s="3129"/>
      <c r="N233" s="3129"/>
      <c r="O233" s="3129"/>
      <c r="P233" s="3129"/>
      <c r="Q233" s="3129"/>
      <c r="R233" s="3129"/>
      <c r="S233" s="3129"/>
    </row>
    <row r="234" spans="1:33" s="3452" customFormat="1" x14ac:dyDescent="0.3">
      <c r="B234" s="3485"/>
      <c r="C234" s="3486"/>
      <c r="D234" s="3129"/>
      <c r="E234" s="3129"/>
      <c r="F234" s="3129"/>
      <c r="G234" s="3485"/>
      <c r="H234" s="3129"/>
      <c r="I234" s="3129"/>
      <c r="J234" s="3129"/>
      <c r="K234" s="3129"/>
      <c r="L234" s="3129"/>
      <c r="M234" s="3129"/>
      <c r="N234" s="3129"/>
      <c r="O234" s="3129"/>
      <c r="P234" s="3129"/>
      <c r="Q234" s="3129"/>
      <c r="R234" s="3129"/>
      <c r="S234" s="3129"/>
    </row>
    <row r="235" spans="1:33" s="3452" customFormat="1" x14ac:dyDescent="0.3">
      <c r="B235" s="3485"/>
      <c r="C235" s="3486"/>
      <c r="D235" s="3129"/>
      <c r="E235" s="3129"/>
      <c r="F235" s="3129"/>
      <c r="G235" s="3485"/>
      <c r="H235" s="3129"/>
      <c r="I235" s="3129"/>
      <c r="J235" s="3129"/>
      <c r="K235" s="3129"/>
      <c r="L235" s="3129"/>
      <c r="M235" s="3129"/>
      <c r="N235" s="3129"/>
      <c r="O235" s="3129"/>
      <c r="P235" s="3129"/>
      <c r="Q235" s="3129"/>
      <c r="R235" s="3129"/>
      <c r="S235" s="3129"/>
    </row>
    <row r="236" spans="1:33" s="3452" customFormat="1" x14ac:dyDescent="0.3">
      <c r="B236" s="3485"/>
      <c r="C236" s="3486"/>
      <c r="D236" s="3129"/>
      <c r="E236" s="3129"/>
      <c r="F236" s="3129"/>
      <c r="G236" s="3485"/>
      <c r="H236" s="3129"/>
      <c r="I236" s="3129"/>
      <c r="J236" s="3129"/>
      <c r="K236" s="3129"/>
      <c r="L236" s="3129"/>
      <c r="M236" s="3129"/>
      <c r="N236" s="3129"/>
      <c r="O236" s="3129"/>
      <c r="P236" s="3129"/>
      <c r="Q236" s="3129"/>
      <c r="R236" s="3129"/>
      <c r="S236" s="3129"/>
    </row>
    <row r="237" spans="1:33" s="3452" customFormat="1" x14ac:dyDescent="0.3">
      <c r="B237" s="3485"/>
      <c r="C237" s="3486"/>
      <c r="D237" s="3129"/>
      <c r="E237" s="3129"/>
      <c r="F237" s="3129"/>
      <c r="G237" s="3485"/>
      <c r="H237" s="3129"/>
      <c r="I237" s="3129"/>
      <c r="J237" s="3129"/>
      <c r="K237" s="3129"/>
      <c r="L237" s="3129"/>
      <c r="M237" s="3129"/>
      <c r="N237" s="3129"/>
      <c r="O237" s="3129"/>
      <c r="P237" s="3129"/>
      <c r="Q237" s="3129"/>
      <c r="R237" s="3129"/>
      <c r="S237" s="3129"/>
    </row>
    <row r="238" spans="1:33" s="3452" customFormat="1" x14ac:dyDescent="0.3">
      <c r="B238" s="3485"/>
      <c r="C238" s="3486"/>
      <c r="D238" s="3129"/>
      <c r="E238" s="3129"/>
      <c r="F238" s="3129"/>
      <c r="G238" s="3485"/>
      <c r="H238" s="3129"/>
      <c r="I238" s="3129"/>
      <c r="J238" s="3129"/>
      <c r="K238" s="3129"/>
      <c r="L238" s="3129"/>
      <c r="M238" s="3129"/>
      <c r="N238" s="3129"/>
      <c r="O238" s="3129"/>
      <c r="P238" s="3129"/>
      <c r="Q238" s="3129"/>
      <c r="R238" s="3129"/>
      <c r="S238" s="3129"/>
    </row>
    <row r="239" spans="1:33" s="3452" customFormat="1" x14ac:dyDescent="0.3">
      <c r="B239" s="3485"/>
      <c r="C239" s="3486"/>
      <c r="D239" s="3129"/>
      <c r="E239" s="3129"/>
      <c r="F239" s="3129"/>
      <c r="G239" s="3485"/>
      <c r="H239" s="3129"/>
      <c r="I239" s="3129"/>
      <c r="J239" s="3129"/>
      <c r="K239" s="3129"/>
      <c r="L239" s="3129"/>
      <c r="M239" s="3129"/>
      <c r="N239" s="3129"/>
      <c r="O239" s="3129"/>
      <c r="P239" s="3129"/>
      <c r="Q239" s="3129"/>
      <c r="R239" s="3129"/>
      <c r="S239" s="3129"/>
    </row>
    <row r="240" spans="1:33" s="3452" customFormat="1" x14ac:dyDescent="0.3">
      <c r="B240" s="3485"/>
      <c r="C240" s="3486"/>
      <c r="D240" s="3129"/>
      <c r="E240" s="3129"/>
      <c r="F240" s="3129"/>
      <c r="G240" s="3485"/>
      <c r="H240" s="3129"/>
      <c r="I240" s="3129"/>
      <c r="J240" s="3129"/>
      <c r="K240" s="3129"/>
      <c r="L240" s="3129"/>
      <c r="M240" s="3129"/>
      <c r="N240" s="3129"/>
      <c r="O240" s="3129"/>
      <c r="P240" s="3129"/>
      <c r="Q240" s="3129"/>
      <c r="R240" s="3129"/>
      <c r="S240" s="3129"/>
    </row>
    <row r="241" spans="1:33" s="3452" customFormat="1" x14ac:dyDescent="0.3">
      <c r="B241" s="3485"/>
      <c r="C241" s="3486"/>
      <c r="D241" s="3129"/>
      <c r="E241" s="3129"/>
      <c r="F241" s="3129"/>
      <c r="G241" s="3485"/>
      <c r="H241" s="3129"/>
      <c r="I241" s="3129"/>
      <c r="J241" s="3129"/>
      <c r="K241" s="3129"/>
      <c r="L241" s="3129"/>
      <c r="M241" s="3129"/>
      <c r="N241" s="3129"/>
      <c r="O241" s="3129"/>
      <c r="P241" s="3129"/>
      <c r="Q241" s="3129"/>
      <c r="R241" s="3129"/>
      <c r="S241" s="3129"/>
    </row>
    <row r="242" spans="1:33" s="3452" customFormat="1" x14ac:dyDescent="0.3">
      <c r="B242" s="3485"/>
      <c r="C242" s="3486"/>
      <c r="D242" s="3129"/>
      <c r="E242" s="3129"/>
      <c r="F242" s="3129"/>
      <c r="G242" s="3485"/>
      <c r="H242" s="3129"/>
      <c r="I242" s="3129"/>
      <c r="J242" s="3129"/>
      <c r="K242" s="3129"/>
      <c r="L242" s="3129"/>
      <c r="M242" s="3129"/>
      <c r="N242" s="3129"/>
      <c r="O242" s="3129"/>
      <c r="P242" s="3129"/>
      <c r="Q242" s="3129"/>
      <c r="R242" s="3129"/>
      <c r="S242" s="3129"/>
    </row>
    <row r="243" spans="1:33" s="3452" customFormat="1" x14ac:dyDescent="0.3">
      <c r="B243" s="3485"/>
      <c r="C243" s="3486"/>
      <c r="D243" s="3129"/>
      <c r="E243" s="3129"/>
      <c r="F243" s="3129"/>
      <c r="G243" s="3485"/>
      <c r="H243" s="3129"/>
      <c r="I243" s="3129"/>
      <c r="J243" s="3129"/>
      <c r="K243" s="3129"/>
      <c r="L243" s="3129"/>
      <c r="M243" s="3129"/>
      <c r="N243" s="3129"/>
      <c r="O243" s="3129"/>
      <c r="P243" s="3129"/>
      <c r="Q243" s="3129"/>
      <c r="R243" s="3129"/>
      <c r="S243" s="3129"/>
    </row>
    <row r="244" spans="1:33" s="3452" customFormat="1" x14ac:dyDescent="0.3">
      <c r="B244" s="3485"/>
      <c r="C244" s="3486"/>
      <c r="D244" s="3129"/>
      <c r="E244" s="3129"/>
      <c r="F244" s="3129"/>
      <c r="G244" s="3485"/>
      <c r="H244" s="3129"/>
      <c r="I244" s="3129"/>
      <c r="J244" s="3129"/>
      <c r="K244" s="3129"/>
      <c r="L244" s="3129"/>
      <c r="M244" s="3129"/>
      <c r="N244" s="3129"/>
      <c r="O244" s="3129"/>
      <c r="P244" s="3129"/>
      <c r="Q244" s="3129"/>
      <c r="R244" s="3129"/>
      <c r="S244" s="3129"/>
    </row>
    <row r="245" spans="1:33" s="3452" customFormat="1" x14ac:dyDescent="0.3">
      <c r="B245" s="3485"/>
      <c r="C245" s="3486"/>
      <c r="D245" s="3129"/>
      <c r="E245" s="3129"/>
      <c r="F245" s="3129"/>
      <c r="G245" s="3485"/>
      <c r="H245" s="3129"/>
      <c r="I245" s="3129"/>
      <c r="J245" s="3129"/>
      <c r="K245" s="3129"/>
      <c r="L245" s="3129"/>
      <c r="M245" s="3129"/>
      <c r="N245" s="3129"/>
      <c r="O245" s="3129"/>
      <c r="P245" s="3129"/>
      <c r="Q245" s="3129"/>
      <c r="R245" s="3129"/>
      <c r="S245" s="3129"/>
    </row>
    <row r="246" spans="1:33" s="3452" customFormat="1" x14ac:dyDescent="0.3">
      <c r="B246" s="3485"/>
      <c r="C246" s="3486"/>
      <c r="D246" s="3129"/>
      <c r="E246" s="3129"/>
      <c r="F246" s="3129"/>
      <c r="G246" s="3485"/>
      <c r="H246" s="3129"/>
      <c r="I246" s="3129"/>
      <c r="J246" s="3129"/>
      <c r="K246" s="3129"/>
      <c r="L246" s="3129"/>
      <c r="M246" s="3129"/>
      <c r="N246" s="3129"/>
      <c r="O246" s="3129"/>
      <c r="P246" s="3129"/>
      <c r="Q246" s="3129"/>
      <c r="R246" s="3129"/>
      <c r="S246" s="3129"/>
    </row>
    <row r="247" spans="1:33" s="3452" customFormat="1" x14ac:dyDescent="0.3">
      <c r="B247" s="3485"/>
      <c r="C247" s="3486"/>
      <c r="D247" s="3129"/>
      <c r="E247" s="3129"/>
      <c r="F247" s="3129"/>
      <c r="G247" s="3485"/>
      <c r="H247" s="3129"/>
      <c r="I247" s="3129"/>
      <c r="J247" s="3129"/>
      <c r="K247" s="3129"/>
      <c r="L247" s="3129"/>
      <c r="M247" s="3129"/>
      <c r="N247" s="3129"/>
      <c r="O247" s="3129"/>
      <c r="P247" s="3129"/>
      <c r="Q247" s="3129"/>
      <c r="R247" s="3468" t="s">
        <v>2160</v>
      </c>
      <c r="S247" s="3129"/>
    </row>
    <row r="248" spans="1:33" s="3452" customFormat="1" x14ac:dyDescent="0.3">
      <c r="B248" s="3485"/>
      <c r="C248" s="3486"/>
      <c r="D248" s="3129"/>
      <c r="E248" s="3129"/>
      <c r="F248" s="3129"/>
      <c r="G248" s="3485"/>
      <c r="H248" s="3129"/>
      <c r="I248" s="3129"/>
      <c r="J248" s="3129"/>
      <c r="K248" s="3129"/>
      <c r="L248" s="3129"/>
      <c r="M248" s="3129"/>
      <c r="N248" s="3129"/>
      <c r="O248" s="3129"/>
      <c r="P248" s="3129"/>
      <c r="Q248" s="3129"/>
      <c r="R248" s="3468" t="s">
        <v>1440</v>
      </c>
      <c r="S248" s="3129"/>
    </row>
    <row r="249" spans="1:33" s="3452" customFormat="1" x14ac:dyDescent="0.3">
      <c r="B249" s="3485"/>
      <c r="C249" s="3486"/>
      <c r="D249" s="3129"/>
      <c r="E249" s="3129"/>
      <c r="F249" s="3129"/>
      <c r="G249" s="3485"/>
      <c r="H249" s="3129"/>
      <c r="I249" s="3129"/>
      <c r="J249" s="3129"/>
      <c r="K249" s="3129"/>
      <c r="L249" s="3129"/>
      <c r="M249" s="3129"/>
      <c r="N249" s="3129"/>
      <c r="O249" s="3129"/>
      <c r="P249" s="3129"/>
      <c r="Q249" s="3468" t="str">
        <f>+J69</f>
        <v xml:space="preserve">Energía Metabolizable/kgMS Recría + Vacas Secas : </v>
      </c>
      <c r="R249" s="3475">
        <f>+K69</f>
        <v>0</v>
      </c>
      <c r="S249" s="3129"/>
    </row>
    <row r="250" spans="1:33" s="3452" customFormat="1" ht="15.05" thickBot="1" x14ac:dyDescent="0.35">
      <c r="B250" s="3485"/>
      <c r="C250" s="3486"/>
      <c r="D250" s="3129"/>
      <c r="E250" s="3129"/>
      <c r="F250" s="3129"/>
      <c r="G250" s="3485"/>
      <c r="H250" s="3129"/>
      <c r="I250" s="3129"/>
      <c r="J250" s="3129"/>
      <c r="K250" s="3129"/>
      <c r="L250" s="3129"/>
      <c r="M250" s="3129"/>
      <c r="N250" s="3129"/>
      <c r="O250" s="3129"/>
      <c r="P250" s="3129"/>
      <c r="Q250" s="3129"/>
      <c r="R250" s="3129"/>
      <c r="S250" s="3129"/>
    </row>
    <row r="251" spans="1:33" s="3452" customFormat="1" ht="16.399999999999999" thickBot="1" x14ac:dyDescent="0.35">
      <c r="A251" s="2487">
        <f>+A230+1</f>
        <v>97</v>
      </c>
      <c r="B251" s="3492" t="s">
        <v>2121</v>
      </c>
      <c r="C251" s="3493"/>
      <c r="D251" s="3493"/>
      <c r="E251" s="3493"/>
      <c r="F251" s="3493"/>
      <c r="G251" s="3494"/>
      <c r="H251" s="3494"/>
      <c r="I251" s="3494"/>
      <c r="J251" s="3494"/>
      <c r="K251" s="3494"/>
      <c r="L251" s="3494"/>
      <c r="M251" s="3494"/>
      <c r="N251" s="3494"/>
      <c r="O251" s="3494"/>
      <c r="P251" s="3494"/>
      <c r="Q251" s="3494"/>
      <c r="R251" s="3494"/>
      <c r="S251" s="3495"/>
    </row>
    <row r="252" spans="1:33" s="3452" customFormat="1" ht="15.05" customHeight="1" x14ac:dyDescent="0.3">
      <c r="B252" s="3612" t="s">
        <v>683</v>
      </c>
      <c r="C252" s="3613"/>
      <c r="D252" s="3613"/>
      <c r="E252" s="3613"/>
      <c r="F252" s="3613"/>
      <c r="G252" s="3614" t="str">
        <f t="shared" ref="G252:R252" si="29">+G5</f>
        <v>Ene</v>
      </c>
      <c r="H252" s="3614" t="str">
        <f t="shared" si="29"/>
        <v>Feb</v>
      </c>
      <c r="I252" s="3614" t="str">
        <f t="shared" si="29"/>
        <v>Mar</v>
      </c>
      <c r="J252" s="3614" t="str">
        <f t="shared" si="29"/>
        <v>Abr</v>
      </c>
      <c r="K252" s="3614" t="str">
        <f t="shared" si="29"/>
        <v>May</v>
      </c>
      <c r="L252" s="3614" t="str">
        <f t="shared" si="29"/>
        <v>Jun</v>
      </c>
      <c r="M252" s="3614" t="str">
        <f t="shared" si="29"/>
        <v>Jul</v>
      </c>
      <c r="N252" s="3614" t="str">
        <f t="shared" si="29"/>
        <v>Ago</v>
      </c>
      <c r="O252" s="3614" t="str">
        <f t="shared" si="29"/>
        <v>Set</v>
      </c>
      <c r="P252" s="3614" t="str">
        <f t="shared" si="29"/>
        <v>Oct</v>
      </c>
      <c r="Q252" s="3614" t="str">
        <f t="shared" si="29"/>
        <v>Nov</v>
      </c>
      <c r="R252" s="3614" t="str">
        <f t="shared" si="29"/>
        <v>Dic</v>
      </c>
      <c r="S252" s="3615" t="s">
        <v>1391</v>
      </c>
      <c r="T252" s="3440"/>
      <c r="U252" s="3440"/>
      <c r="V252" s="3440"/>
      <c r="W252" s="3440"/>
      <c r="X252" s="3440"/>
      <c r="Y252" s="3440"/>
      <c r="Z252" s="3440"/>
    </row>
    <row r="253" spans="1:33" x14ac:dyDescent="0.3">
      <c r="B253" s="3512" t="s">
        <v>2122</v>
      </c>
      <c r="C253" s="3523"/>
      <c r="D253" s="3616" t="s">
        <v>354</v>
      </c>
      <c r="E253" s="3523"/>
      <c r="F253" s="3453"/>
      <c r="G253" s="3507">
        <f>+A.Lecheros!F466</f>
        <v>0</v>
      </c>
      <c r="H253" s="3508">
        <f>+A.Lecheros!G466</f>
        <v>0</v>
      </c>
      <c r="I253" s="3508">
        <f>+A.Lecheros!H466</f>
        <v>0</v>
      </c>
      <c r="J253" s="3508">
        <f>+A.Lecheros!I466</f>
        <v>0</v>
      </c>
      <c r="K253" s="3508">
        <f>+A.Lecheros!J466</f>
        <v>0</v>
      </c>
      <c r="L253" s="3508">
        <f>+A.Lecheros!K466</f>
        <v>0</v>
      </c>
      <c r="M253" s="3508">
        <f>+A.Lecheros!L466</f>
        <v>0</v>
      </c>
      <c r="N253" s="3508">
        <f>+A.Lecheros!M466</f>
        <v>0</v>
      </c>
      <c r="O253" s="3508">
        <f>+A.Lecheros!N466</f>
        <v>0</v>
      </c>
      <c r="P253" s="3508">
        <f>+A.Lecheros!O466</f>
        <v>0</v>
      </c>
      <c r="Q253" s="3508">
        <f>+A.Lecheros!P466</f>
        <v>0</v>
      </c>
      <c r="R253" s="3509">
        <f>+A.Lecheros!Q466</f>
        <v>0</v>
      </c>
      <c r="S253" s="3617"/>
      <c r="U253" s="3436"/>
      <c r="V253" s="3436"/>
      <c r="W253" s="3436"/>
      <c r="X253" s="3436"/>
      <c r="Y253" s="3436"/>
      <c r="Z253" s="3436"/>
      <c r="AA253" s="3436"/>
      <c r="AB253" s="3436"/>
      <c r="AC253" s="3436"/>
      <c r="AD253" s="3436"/>
      <c r="AE253" s="3436"/>
      <c r="AF253" s="3436"/>
      <c r="AG253" s="3436"/>
    </row>
    <row r="254" spans="1:33" s="3440" customFormat="1" hidden="1" x14ac:dyDescent="0.3">
      <c r="A254" s="3610" t="s">
        <v>1125</v>
      </c>
      <c r="B254" s="3497" t="s">
        <v>1144</v>
      </c>
      <c r="C254" s="3499"/>
      <c r="D254" s="3618"/>
      <c r="E254" s="3499"/>
      <c r="F254" s="3498"/>
      <c r="G254" s="3619">
        <f>+A.Lecheros!F465</f>
        <v>0</v>
      </c>
      <c r="H254" s="3620">
        <f>+A.Lecheros!G465</f>
        <v>0</v>
      </c>
      <c r="I254" s="3620">
        <f>+A.Lecheros!H465</f>
        <v>0</v>
      </c>
      <c r="J254" s="3620">
        <f>+A.Lecheros!I465</f>
        <v>0</v>
      </c>
      <c r="K254" s="3620">
        <f>+A.Lecheros!J465</f>
        <v>0</v>
      </c>
      <c r="L254" s="3620">
        <f>+A.Lecheros!K465</f>
        <v>0</v>
      </c>
      <c r="M254" s="3620">
        <f>+A.Lecheros!L465</f>
        <v>0</v>
      </c>
      <c r="N254" s="3620">
        <f>+A.Lecheros!M465</f>
        <v>0</v>
      </c>
      <c r="O254" s="3620">
        <f>+A.Lecheros!N465</f>
        <v>0</v>
      </c>
      <c r="P254" s="3620">
        <f>+A.Lecheros!O465</f>
        <v>0</v>
      </c>
      <c r="Q254" s="3620">
        <f>+A.Lecheros!P465</f>
        <v>0</v>
      </c>
      <c r="R254" s="3621">
        <f>+A.Lecheros!Q465</f>
        <v>0</v>
      </c>
      <c r="S254" s="3622"/>
    </row>
    <row r="255" spans="1:33" x14ac:dyDescent="0.3">
      <c r="B255" s="3512" t="s">
        <v>2123</v>
      </c>
      <c r="C255" s="3523"/>
      <c r="D255" s="3616" t="s">
        <v>1429</v>
      </c>
      <c r="E255" s="3523"/>
      <c r="F255" s="3437"/>
      <c r="G255" s="3623">
        <f t="shared" ref="G255:R255" si="30">IF(G253=0,0,G254/G253)</f>
        <v>0</v>
      </c>
      <c r="H255" s="3624">
        <f t="shared" si="30"/>
        <v>0</v>
      </c>
      <c r="I255" s="3624">
        <f t="shared" si="30"/>
        <v>0</v>
      </c>
      <c r="J255" s="3624">
        <f t="shared" si="30"/>
        <v>0</v>
      </c>
      <c r="K255" s="3624">
        <f t="shared" si="30"/>
        <v>0</v>
      </c>
      <c r="L255" s="3624">
        <f t="shared" si="30"/>
        <v>0</v>
      </c>
      <c r="M255" s="3624">
        <f t="shared" si="30"/>
        <v>0</v>
      </c>
      <c r="N255" s="3624">
        <f t="shared" si="30"/>
        <v>0</v>
      </c>
      <c r="O255" s="3624">
        <f>IF(O253=0,0,O254/O253)</f>
        <v>0</v>
      </c>
      <c r="P255" s="3624">
        <f t="shared" si="30"/>
        <v>0</v>
      </c>
      <c r="Q255" s="3624">
        <f t="shared" si="30"/>
        <v>0</v>
      </c>
      <c r="R255" s="3625">
        <f t="shared" si="30"/>
        <v>0</v>
      </c>
      <c r="S255" s="3617"/>
      <c r="U255" s="3436"/>
      <c r="V255" s="3436"/>
      <c r="W255" s="3436"/>
      <c r="X255" s="3436"/>
      <c r="Y255" s="3436"/>
      <c r="Z255" s="3436"/>
      <c r="AA255" s="3436"/>
      <c r="AB255" s="3436"/>
      <c r="AC255" s="3436"/>
      <c r="AD255" s="3436"/>
      <c r="AE255" s="3436"/>
      <c r="AF255" s="3436"/>
      <c r="AG255" s="3436"/>
    </row>
    <row r="256" spans="1:33" x14ac:dyDescent="0.3">
      <c r="B256" s="3517" t="s">
        <v>1428</v>
      </c>
      <c r="C256" s="3518"/>
      <c r="D256" s="3626"/>
      <c r="E256" s="3518"/>
      <c r="F256" s="3518"/>
      <c r="G256" s="3519"/>
      <c r="H256" s="3519"/>
      <c r="I256" s="3519"/>
      <c r="J256" s="3519"/>
      <c r="K256" s="3519"/>
      <c r="L256" s="3519"/>
      <c r="M256" s="3519"/>
      <c r="N256" s="3519"/>
      <c r="O256" s="3519"/>
      <c r="P256" s="3519"/>
      <c r="Q256" s="3519"/>
      <c r="R256" s="3519"/>
      <c r="S256" s="3520"/>
      <c r="U256" s="3436"/>
      <c r="V256" s="3436"/>
      <c r="W256" s="3436"/>
      <c r="X256" s="3436"/>
      <c r="Y256" s="3436"/>
      <c r="Z256" s="3436"/>
      <c r="AA256" s="3436"/>
      <c r="AB256" s="3436"/>
      <c r="AC256" s="3436"/>
      <c r="AD256" s="3436"/>
      <c r="AE256" s="3436"/>
      <c r="AF256" s="3436"/>
      <c r="AG256" s="3436"/>
    </row>
    <row r="257" spans="1:33" ht="15.75" x14ac:dyDescent="0.3">
      <c r="B257" s="3512" t="s">
        <v>2119</v>
      </c>
      <c r="C257" s="3627"/>
      <c r="D257" s="3521" t="s">
        <v>2127</v>
      </c>
      <c r="E257" s="3627"/>
      <c r="F257" s="3437"/>
      <c r="G257" s="5244">
        <v>7</v>
      </c>
      <c r="H257" s="5245">
        <v>6</v>
      </c>
      <c r="I257" s="5245">
        <v>5</v>
      </c>
      <c r="J257" s="5245">
        <v>5</v>
      </c>
      <c r="K257" s="5245">
        <v>5</v>
      </c>
      <c r="L257" s="5245">
        <v>5</v>
      </c>
      <c r="M257" s="5245">
        <v>5</v>
      </c>
      <c r="N257" s="5245">
        <v>6</v>
      </c>
      <c r="O257" s="5245">
        <v>9</v>
      </c>
      <c r="P257" s="5245">
        <v>4</v>
      </c>
      <c r="Q257" s="5245">
        <v>3</v>
      </c>
      <c r="R257" s="5246">
        <v>5</v>
      </c>
      <c r="S257" s="3522"/>
      <c r="U257" s="3436"/>
      <c r="V257" s="3436"/>
      <c r="W257" s="3436"/>
      <c r="X257" s="3436"/>
      <c r="Y257" s="3436"/>
      <c r="Z257" s="3436"/>
      <c r="AA257" s="3436"/>
      <c r="AB257" s="3436"/>
      <c r="AC257" s="3436"/>
      <c r="AD257" s="3436"/>
      <c r="AE257" s="3436"/>
      <c r="AF257" s="3436"/>
      <c r="AG257" s="3436"/>
    </row>
    <row r="258" spans="1:33" x14ac:dyDescent="0.3">
      <c r="B258" s="3517" t="s">
        <v>1427</v>
      </c>
      <c r="C258" s="3518"/>
      <c r="D258" s="3626"/>
      <c r="E258" s="3518"/>
      <c r="F258" s="3518"/>
      <c r="G258" s="3519"/>
      <c r="H258" s="3519"/>
      <c r="I258" s="3519"/>
      <c r="J258" s="3519"/>
      <c r="K258" s="3519"/>
      <c r="L258" s="3519"/>
      <c r="M258" s="3519"/>
      <c r="N258" s="3519"/>
      <c r="O258" s="3519"/>
      <c r="P258" s="3519"/>
      <c r="Q258" s="3519"/>
      <c r="R258" s="3519"/>
      <c r="S258" s="3520"/>
      <c r="U258" s="3523"/>
    </row>
    <row r="259" spans="1:33" s="3628" customFormat="1" x14ac:dyDescent="0.3">
      <c r="B259" s="3512" t="s">
        <v>1389</v>
      </c>
      <c r="C259" s="3523"/>
      <c r="D259" s="3616" t="s">
        <v>2128</v>
      </c>
      <c r="E259" s="3523"/>
      <c r="F259" s="3453"/>
      <c r="G259" s="3527">
        <f t="shared" ref="G259:R259" si="31">IF(G253=0,0,G285/$G$253/$G$137)</f>
        <v>0</v>
      </c>
      <c r="H259" s="3528">
        <f t="shared" si="31"/>
        <v>0</v>
      </c>
      <c r="I259" s="3528">
        <f t="shared" si="31"/>
        <v>0</v>
      </c>
      <c r="J259" s="3528">
        <f t="shared" si="31"/>
        <v>0</v>
      </c>
      <c r="K259" s="3528">
        <f t="shared" si="31"/>
        <v>0</v>
      </c>
      <c r="L259" s="3528">
        <f t="shared" si="31"/>
        <v>0</v>
      </c>
      <c r="M259" s="3528">
        <f t="shared" si="31"/>
        <v>0</v>
      </c>
      <c r="N259" s="3528">
        <f t="shared" si="31"/>
        <v>0</v>
      </c>
      <c r="O259" s="3528">
        <f t="shared" si="31"/>
        <v>0</v>
      </c>
      <c r="P259" s="3528">
        <f t="shared" si="31"/>
        <v>0</v>
      </c>
      <c r="Q259" s="3528">
        <f t="shared" si="31"/>
        <v>0</v>
      </c>
      <c r="R259" s="3529">
        <f t="shared" si="31"/>
        <v>0</v>
      </c>
      <c r="S259" s="3629"/>
    </row>
    <row r="260" spans="1:33" s="3628" customFormat="1" x14ac:dyDescent="0.3">
      <c r="B260" s="3512" t="s">
        <v>1388</v>
      </c>
      <c r="C260" s="3523"/>
      <c r="D260" s="3616" t="s">
        <v>2128</v>
      </c>
      <c r="E260" s="3523"/>
      <c r="F260" s="3437"/>
      <c r="G260" s="3530">
        <f t="shared" ref="G260:R260" si="32">IF(G253=0,0,G286/$G$253/$G$137)</f>
        <v>0</v>
      </c>
      <c r="H260" s="3531">
        <f t="shared" si="32"/>
        <v>0</v>
      </c>
      <c r="I260" s="3531">
        <f t="shared" si="32"/>
        <v>0</v>
      </c>
      <c r="J260" s="3531">
        <f t="shared" si="32"/>
        <v>0</v>
      </c>
      <c r="K260" s="3531">
        <f t="shared" si="32"/>
        <v>0</v>
      </c>
      <c r="L260" s="3531">
        <f t="shared" si="32"/>
        <v>0</v>
      </c>
      <c r="M260" s="3531">
        <f t="shared" si="32"/>
        <v>0</v>
      </c>
      <c r="N260" s="3531">
        <f t="shared" si="32"/>
        <v>0</v>
      </c>
      <c r="O260" s="3531">
        <f t="shared" si="32"/>
        <v>0</v>
      </c>
      <c r="P260" s="3531">
        <f t="shared" si="32"/>
        <v>0</v>
      </c>
      <c r="Q260" s="3531">
        <f t="shared" si="32"/>
        <v>0</v>
      </c>
      <c r="R260" s="3532">
        <f t="shared" si="32"/>
        <v>0</v>
      </c>
      <c r="S260" s="3629"/>
    </row>
    <row r="261" spans="1:33" s="3628" customFormat="1" x14ac:dyDescent="0.3">
      <c r="B261" s="3512" t="s">
        <v>1390</v>
      </c>
      <c r="C261" s="3523"/>
      <c r="D261" s="3616" t="s">
        <v>2128</v>
      </c>
      <c r="E261" s="3523"/>
      <c r="F261" s="3437"/>
      <c r="G261" s="3513">
        <f t="shared" ref="G261:R261" si="33">IF(G253=0,0,G287/$G$253/$G$137)</f>
        <v>0</v>
      </c>
      <c r="H261" s="3514">
        <f t="shared" si="33"/>
        <v>0</v>
      </c>
      <c r="I261" s="3514">
        <f t="shared" si="33"/>
        <v>0</v>
      </c>
      <c r="J261" s="3514">
        <f t="shared" si="33"/>
        <v>0</v>
      </c>
      <c r="K261" s="3514">
        <f t="shared" si="33"/>
        <v>0</v>
      </c>
      <c r="L261" s="3514">
        <f t="shared" si="33"/>
        <v>0</v>
      </c>
      <c r="M261" s="3514">
        <f t="shared" si="33"/>
        <v>0</v>
      </c>
      <c r="N261" s="3514">
        <f t="shared" si="33"/>
        <v>0</v>
      </c>
      <c r="O261" s="3514">
        <f t="shared" si="33"/>
        <v>0</v>
      </c>
      <c r="P261" s="3514">
        <f t="shared" si="33"/>
        <v>0</v>
      </c>
      <c r="Q261" s="3514">
        <f t="shared" si="33"/>
        <v>0</v>
      </c>
      <c r="R261" s="3515">
        <f t="shared" si="33"/>
        <v>0</v>
      </c>
      <c r="S261" s="3629"/>
    </row>
    <row r="262" spans="1:33" s="3440" customFormat="1" x14ac:dyDescent="0.3">
      <c r="A262" s="3451"/>
      <c r="B262" s="3517" t="s">
        <v>1426</v>
      </c>
      <c r="C262" s="3518"/>
      <c r="D262" s="3626"/>
      <c r="E262" s="3518"/>
      <c r="F262" s="3518"/>
      <c r="G262" s="3519"/>
      <c r="H262" s="3519"/>
      <c r="I262" s="3519"/>
      <c r="J262" s="3519"/>
      <c r="K262" s="3519"/>
      <c r="L262" s="3519"/>
      <c r="M262" s="3519"/>
      <c r="N262" s="3519"/>
      <c r="O262" s="3519"/>
      <c r="P262" s="3519"/>
      <c r="Q262" s="3519"/>
      <c r="R262" s="3519"/>
      <c r="S262" s="3520"/>
    </row>
    <row r="263" spans="1:33" s="3628" customFormat="1" x14ac:dyDescent="0.3">
      <c r="B263" s="3512" t="s">
        <v>534</v>
      </c>
      <c r="C263" s="3523"/>
      <c r="D263" s="3616" t="s">
        <v>2128</v>
      </c>
      <c r="E263" s="3523"/>
      <c r="F263" s="3453"/>
      <c r="G263" s="3630">
        <f t="shared" ref="G263:R263" si="34">IF(G253=0,0,G288/G$253/$G$137)</f>
        <v>0</v>
      </c>
      <c r="H263" s="3631">
        <f t="shared" si="34"/>
        <v>0</v>
      </c>
      <c r="I263" s="3631">
        <f t="shared" si="34"/>
        <v>0</v>
      </c>
      <c r="J263" s="3631">
        <f t="shared" si="34"/>
        <v>0</v>
      </c>
      <c r="K263" s="3631">
        <f t="shared" si="34"/>
        <v>0</v>
      </c>
      <c r="L263" s="3631">
        <f t="shared" si="34"/>
        <v>0</v>
      </c>
      <c r="M263" s="3631">
        <f t="shared" si="34"/>
        <v>0</v>
      </c>
      <c r="N263" s="3631">
        <f t="shared" si="34"/>
        <v>0</v>
      </c>
      <c r="O263" s="3631">
        <f t="shared" si="34"/>
        <v>0</v>
      </c>
      <c r="P263" s="3631">
        <f t="shared" si="34"/>
        <v>0</v>
      </c>
      <c r="Q263" s="3631">
        <f t="shared" si="34"/>
        <v>0</v>
      </c>
      <c r="R263" s="3632">
        <f t="shared" si="34"/>
        <v>0</v>
      </c>
      <c r="S263" s="3516" t="e">
        <f>+SUMPRODUCT(G263:R263,$G$253:$R$253)/AVERAGE($G$253:$R$253)/12</f>
        <v>#DIV/0!</v>
      </c>
    </row>
    <row r="264" spans="1:33" s="3628" customFormat="1" x14ac:dyDescent="0.3">
      <c r="B264" s="3512" t="s">
        <v>535</v>
      </c>
      <c r="C264" s="3523"/>
      <c r="D264" s="3616" t="s">
        <v>2128</v>
      </c>
      <c r="E264" s="3523"/>
      <c r="F264" s="3437"/>
      <c r="G264" s="3633">
        <f t="shared" ref="G264:R264" si="35">IF(G253=0,0,G289/G$253/$G$137)</f>
        <v>0</v>
      </c>
      <c r="H264" s="3634">
        <f t="shared" si="35"/>
        <v>0</v>
      </c>
      <c r="I264" s="3634">
        <f t="shared" si="35"/>
        <v>0</v>
      </c>
      <c r="J264" s="3634">
        <f t="shared" si="35"/>
        <v>0</v>
      </c>
      <c r="K264" s="3634">
        <f t="shared" si="35"/>
        <v>0</v>
      </c>
      <c r="L264" s="3634">
        <f t="shared" si="35"/>
        <v>0</v>
      </c>
      <c r="M264" s="3634">
        <f t="shared" si="35"/>
        <v>0</v>
      </c>
      <c r="N264" s="3634">
        <f t="shared" si="35"/>
        <v>0</v>
      </c>
      <c r="O264" s="3634">
        <f t="shared" si="35"/>
        <v>0</v>
      </c>
      <c r="P264" s="3634">
        <f t="shared" si="35"/>
        <v>0</v>
      </c>
      <c r="Q264" s="3634">
        <f t="shared" si="35"/>
        <v>0</v>
      </c>
      <c r="R264" s="3635">
        <f t="shared" si="35"/>
        <v>0</v>
      </c>
      <c r="S264" s="3516" t="e">
        <f>+SUMPRODUCT(G264:R264,$G$253:$R$253)/AVERAGE($G$253:$R$253)/12</f>
        <v>#DIV/0!</v>
      </c>
    </row>
    <row r="265" spans="1:33" s="3628" customFormat="1" ht="15.05" thickBot="1" x14ac:dyDescent="0.35">
      <c r="B265" s="3533" t="s">
        <v>545</v>
      </c>
      <c r="C265" s="3636"/>
      <c r="D265" s="3637" t="s">
        <v>2128</v>
      </c>
      <c r="E265" s="3636"/>
      <c r="F265" s="3534"/>
      <c r="G265" s="3638">
        <f t="shared" ref="G265:R265" si="36">IF(G253=0,0,G290/G$253/$G$137)</f>
        <v>0</v>
      </c>
      <c r="H265" s="3639">
        <f t="shared" si="36"/>
        <v>0</v>
      </c>
      <c r="I265" s="3639">
        <f t="shared" si="36"/>
        <v>0</v>
      </c>
      <c r="J265" s="3639">
        <f t="shared" si="36"/>
        <v>0</v>
      </c>
      <c r="K265" s="3639">
        <f t="shared" si="36"/>
        <v>0</v>
      </c>
      <c r="L265" s="3639">
        <f t="shared" si="36"/>
        <v>0</v>
      </c>
      <c r="M265" s="3639">
        <f t="shared" si="36"/>
        <v>0</v>
      </c>
      <c r="N265" s="3639">
        <f t="shared" si="36"/>
        <v>0</v>
      </c>
      <c r="O265" s="3639">
        <f t="shared" si="36"/>
        <v>0</v>
      </c>
      <c r="P265" s="3639">
        <f t="shared" si="36"/>
        <v>0</v>
      </c>
      <c r="Q265" s="3639">
        <f t="shared" si="36"/>
        <v>0</v>
      </c>
      <c r="R265" s="3640">
        <f t="shared" si="36"/>
        <v>0</v>
      </c>
      <c r="S265" s="3548" t="e">
        <f>+SUMPRODUCT(G265:R265,$G$253:$R$253)/AVERAGE($G$253:$R$253)/12</f>
        <v>#DIV/0!</v>
      </c>
    </row>
    <row r="266" spans="1:33" s="3628" customFormat="1" x14ac:dyDescent="0.3">
      <c r="B266" s="3641" t="s">
        <v>1432</v>
      </c>
      <c r="C266" s="3572"/>
      <c r="D266" s="3642"/>
      <c r="E266" s="3572"/>
      <c r="F266" s="3643"/>
      <c r="G266" s="3644">
        <f>+SUM(G263:G265)</f>
        <v>0</v>
      </c>
      <c r="H266" s="3645">
        <f t="shared" ref="H266:R266" si="37">+SUM(H263:H265)</f>
        <v>0</v>
      </c>
      <c r="I266" s="3645">
        <f t="shared" si="37"/>
        <v>0</v>
      </c>
      <c r="J266" s="3645">
        <f t="shared" si="37"/>
        <v>0</v>
      </c>
      <c r="K266" s="3645">
        <f t="shared" si="37"/>
        <v>0</v>
      </c>
      <c r="L266" s="3645">
        <f t="shared" si="37"/>
        <v>0</v>
      </c>
      <c r="M266" s="3645">
        <f t="shared" si="37"/>
        <v>0</v>
      </c>
      <c r="N266" s="3645">
        <f t="shared" si="37"/>
        <v>0</v>
      </c>
      <c r="O266" s="3645">
        <f t="shared" si="37"/>
        <v>0</v>
      </c>
      <c r="P266" s="3645">
        <f t="shared" si="37"/>
        <v>0</v>
      </c>
      <c r="Q266" s="3645">
        <f t="shared" si="37"/>
        <v>0</v>
      </c>
      <c r="R266" s="3646">
        <f t="shared" si="37"/>
        <v>0</v>
      </c>
      <c r="S266" s="3647" t="e">
        <f>+SUMPRODUCT(G266:R266,$G$253:$R$253)/AVERAGE($G$253:$R$253)/12</f>
        <v>#DIV/0!</v>
      </c>
    </row>
    <row r="267" spans="1:33" s="3440" customFormat="1" ht="15.05" thickBot="1" x14ac:dyDescent="0.35">
      <c r="A267" s="3648"/>
      <c r="B267" s="3517" t="s">
        <v>1614</v>
      </c>
      <c r="C267" s="3518"/>
      <c r="D267" s="3626"/>
      <c r="E267" s="3518"/>
      <c r="F267" s="3518"/>
      <c r="G267" s="3519"/>
      <c r="H267" s="3519"/>
      <c r="I267" s="3519"/>
      <c r="J267" s="3519"/>
      <c r="K267" s="3519"/>
      <c r="L267" s="3519"/>
      <c r="M267" s="3519"/>
      <c r="N267" s="3519"/>
      <c r="O267" s="3519"/>
      <c r="P267" s="3519"/>
      <c r="Q267" s="3519"/>
      <c r="R267" s="3519"/>
      <c r="S267" s="3520"/>
    </row>
    <row r="268" spans="1:33" s="3649" customFormat="1" x14ac:dyDescent="0.3">
      <c r="B268" s="3512" t="s">
        <v>2129</v>
      </c>
      <c r="C268" s="3437"/>
      <c r="D268" s="3616" t="s">
        <v>2127</v>
      </c>
      <c r="E268" s="3437"/>
      <c r="F268" s="3437"/>
      <c r="G268" s="3650">
        <f>IF(G253=0,0,G291/G253/$G$137)</f>
        <v>0</v>
      </c>
      <c r="H268" s="3651">
        <f t="shared" ref="H268:Q268" si="38">IF(H253=0,0,H291/H253/$G$137)</f>
        <v>0</v>
      </c>
      <c r="I268" s="3651">
        <f t="shared" si="38"/>
        <v>0</v>
      </c>
      <c r="J268" s="3651">
        <f t="shared" si="38"/>
        <v>0</v>
      </c>
      <c r="K268" s="3651">
        <f t="shared" si="38"/>
        <v>0</v>
      </c>
      <c r="L268" s="3651">
        <f t="shared" si="38"/>
        <v>0</v>
      </c>
      <c r="M268" s="3651">
        <f t="shared" si="38"/>
        <v>0</v>
      </c>
      <c r="N268" s="3651">
        <f>IF(N253=0,0,N291/N253/$G$137)</f>
        <v>0</v>
      </c>
      <c r="O268" s="3651">
        <f t="shared" si="38"/>
        <v>0</v>
      </c>
      <c r="P268" s="3651">
        <f t="shared" si="38"/>
        <v>0</v>
      </c>
      <c r="Q268" s="3651">
        <f t="shared" si="38"/>
        <v>0</v>
      </c>
      <c r="R268" s="3652">
        <f>IF(R253=0,0,R291/R253/$G$137)</f>
        <v>0</v>
      </c>
      <c r="S268" s="3647" t="e">
        <f>+SUMPRODUCT(G268:R268,$G$253:$R$253)/AVERAGE($G$253:$R$253)/12</f>
        <v>#DIV/0!</v>
      </c>
    </row>
    <row r="269" spans="1:33" s="3628" customFormat="1" ht="15.05" thickBot="1" x14ac:dyDescent="0.35">
      <c r="B269" s="3563" t="s">
        <v>2130</v>
      </c>
      <c r="C269" s="3653"/>
      <c r="D269" s="3654" t="s">
        <v>358</v>
      </c>
      <c r="E269" s="3653"/>
      <c r="F269" s="3564"/>
      <c r="G269" s="3655">
        <f t="shared" ref="G269:R269" si="39">IF(G253=0,0,G268/G255)</f>
        <v>0</v>
      </c>
      <c r="H269" s="3656">
        <f t="shared" si="39"/>
        <v>0</v>
      </c>
      <c r="I269" s="3656">
        <f t="shared" si="39"/>
        <v>0</v>
      </c>
      <c r="J269" s="3656">
        <f t="shared" si="39"/>
        <v>0</v>
      </c>
      <c r="K269" s="3656">
        <f t="shared" si="39"/>
        <v>0</v>
      </c>
      <c r="L269" s="3656">
        <f t="shared" si="39"/>
        <v>0</v>
      </c>
      <c r="M269" s="3656">
        <f t="shared" si="39"/>
        <v>0</v>
      </c>
      <c r="N269" s="3656">
        <f t="shared" si="39"/>
        <v>0</v>
      </c>
      <c r="O269" s="3656">
        <f t="shared" si="39"/>
        <v>0</v>
      </c>
      <c r="P269" s="3656">
        <f t="shared" si="39"/>
        <v>0</v>
      </c>
      <c r="Q269" s="3656">
        <f t="shared" si="39"/>
        <v>0</v>
      </c>
      <c r="R269" s="3657">
        <f t="shared" si="39"/>
        <v>0</v>
      </c>
      <c r="S269" s="3658"/>
    </row>
    <row r="270" spans="1:33" s="3628" customFormat="1" x14ac:dyDescent="0.3">
      <c r="B270" s="3659" t="s">
        <v>2118</v>
      </c>
      <c r="C270" s="3437"/>
      <c r="D270" s="3437"/>
      <c r="E270" s="3572"/>
      <c r="F270" s="3572"/>
      <c r="G270" s="3572"/>
      <c r="H270" s="3572"/>
      <c r="I270" s="3572"/>
      <c r="J270" s="3572"/>
      <c r="K270" s="3572"/>
      <c r="L270" s="3572"/>
      <c r="M270" s="3572"/>
      <c r="N270" s="3572"/>
      <c r="O270" s="3572"/>
      <c r="P270" s="3572"/>
      <c r="Q270" s="3572"/>
      <c r="R270" s="3572"/>
      <c r="S270" s="3575"/>
    </row>
    <row r="271" spans="1:33" s="3628" customFormat="1" x14ac:dyDescent="0.3">
      <c r="B271" s="3570" t="s">
        <v>2120</v>
      </c>
      <c r="C271" s="3437"/>
      <c r="D271" s="3437"/>
      <c r="E271" s="3572"/>
      <c r="F271" s="3572"/>
      <c r="G271" s="3572"/>
      <c r="H271" s="3572"/>
      <c r="I271" s="3572"/>
      <c r="J271" s="3572"/>
      <c r="K271" s="3572"/>
      <c r="L271" s="3572"/>
      <c r="M271" s="3572"/>
      <c r="N271" s="3572"/>
      <c r="O271" s="3572"/>
      <c r="P271" s="3572"/>
      <c r="Q271" s="3572"/>
      <c r="R271" s="3572"/>
      <c r="S271" s="3575"/>
    </row>
    <row r="272" spans="1:33" s="3628" customFormat="1" ht="12.6" customHeight="1" x14ac:dyDescent="0.3">
      <c r="A272" s="3451"/>
      <c r="G272" s="3575"/>
      <c r="H272" s="3575"/>
      <c r="I272" s="3575"/>
      <c r="J272" s="3575"/>
      <c r="K272" s="3575"/>
      <c r="L272" s="3575"/>
      <c r="M272" s="3575"/>
      <c r="N272" s="3575"/>
      <c r="O272" s="3575"/>
      <c r="P272" s="3575"/>
      <c r="Q272" s="3575"/>
      <c r="R272" s="3575"/>
      <c r="S272" s="3575"/>
    </row>
    <row r="273" spans="1:20" s="3628" customFormat="1" ht="15.05" hidden="1" thickTop="1" x14ac:dyDescent="0.3">
      <c r="A273" s="3496" t="s">
        <v>1125</v>
      </c>
      <c r="B273" s="3576" t="s">
        <v>298</v>
      </c>
      <c r="C273" s="3660">
        <v>2.7E-2</v>
      </c>
      <c r="D273" s="3577"/>
      <c r="E273" s="3577"/>
      <c r="F273" s="3577"/>
      <c r="G273" s="3661">
        <f>A.Lecheros!F465*$C$273*G137</f>
        <v>0</v>
      </c>
      <c r="H273" s="3661">
        <f>A.Lecheros!G465*$C$273*H137</f>
        <v>0</v>
      </c>
      <c r="I273" s="3661">
        <f>A.Lecheros!H465*$C$273*I137</f>
        <v>0</v>
      </c>
      <c r="J273" s="3661">
        <f>A.Lecheros!I465*$C$273*J137</f>
        <v>0</v>
      </c>
      <c r="K273" s="3661">
        <f>A.Lecheros!J465*$C$273*K137</f>
        <v>0</v>
      </c>
      <c r="L273" s="3661">
        <f>A.Lecheros!K465*$C$273*L137</f>
        <v>0</v>
      </c>
      <c r="M273" s="3661">
        <f>A.Lecheros!L465*$C$273*M137</f>
        <v>0</v>
      </c>
      <c r="N273" s="3661">
        <f>A.Lecheros!M465*$C$273*N137</f>
        <v>0</v>
      </c>
      <c r="O273" s="3661">
        <f>A.Lecheros!N465*$C$273*O137</f>
        <v>0</v>
      </c>
      <c r="P273" s="3661">
        <f>A.Lecheros!O465*$C$273*P137</f>
        <v>0</v>
      </c>
      <c r="Q273" s="3661">
        <f>A.Lecheros!P465*$C$273*Q137</f>
        <v>0</v>
      </c>
      <c r="R273" s="3579">
        <f>A.Lecheros!Q465*$C$273*R137</f>
        <v>0</v>
      </c>
      <c r="S273" s="3575"/>
    </row>
    <row r="274" spans="1:20" s="3628" customFormat="1" hidden="1" x14ac:dyDescent="0.3">
      <c r="A274" s="3496" t="s">
        <v>1125</v>
      </c>
      <c r="B274" s="3662" t="s">
        <v>536</v>
      </c>
      <c r="C274" s="3538"/>
      <c r="D274" s="3538"/>
      <c r="E274" s="3538"/>
      <c r="F274" s="3538"/>
      <c r="G274" s="3611">
        <f>IF(G253=0,0,IF(OR(G285&lt;G273,G285&lt;G286),G285,G286))</f>
        <v>0</v>
      </c>
      <c r="H274" s="3611">
        <f t="shared" ref="H274:R274" si="40">IF(H253=0,0,IF(OR(H285&lt;H273,H285&lt;H286),H285,H286))</f>
        <v>0</v>
      </c>
      <c r="I274" s="3611">
        <f t="shared" si="40"/>
        <v>0</v>
      </c>
      <c r="J274" s="3611">
        <f t="shared" si="40"/>
        <v>0</v>
      </c>
      <c r="K274" s="3611">
        <f t="shared" si="40"/>
        <v>0</v>
      </c>
      <c r="L274" s="3611">
        <f t="shared" si="40"/>
        <v>0</v>
      </c>
      <c r="M274" s="3611">
        <f t="shared" si="40"/>
        <v>0</v>
      </c>
      <c r="N274" s="3611">
        <f t="shared" si="40"/>
        <v>0</v>
      </c>
      <c r="O274" s="3611">
        <f t="shared" si="40"/>
        <v>0</v>
      </c>
      <c r="P274" s="3611">
        <f t="shared" si="40"/>
        <v>0</v>
      </c>
      <c r="Q274" s="3611">
        <f t="shared" si="40"/>
        <v>0</v>
      </c>
      <c r="R274" s="3586">
        <f t="shared" si="40"/>
        <v>0</v>
      </c>
      <c r="S274" s="3575"/>
    </row>
    <row r="275" spans="1:20" s="3628" customFormat="1" hidden="1" x14ac:dyDescent="0.3">
      <c r="A275" s="3496" t="s">
        <v>1125</v>
      </c>
      <c r="B275" s="3662" t="s">
        <v>537</v>
      </c>
      <c r="C275" s="3538"/>
      <c r="D275" s="3538"/>
      <c r="E275" s="3538"/>
      <c r="F275" s="3538"/>
      <c r="G275" s="3611">
        <f>G286-G274</f>
        <v>0</v>
      </c>
      <c r="H275" s="3611">
        <f t="shared" ref="H275:R275" si="41">H286-H274</f>
        <v>0</v>
      </c>
      <c r="I275" s="3611">
        <f t="shared" si="41"/>
        <v>0</v>
      </c>
      <c r="J275" s="3611">
        <f t="shared" si="41"/>
        <v>0</v>
      </c>
      <c r="K275" s="3611">
        <f t="shared" si="41"/>
        <v>0</v>
      </c>
      <c r="L275" s="3611">
        <f t="shared" si="41"/>
        <v>0</v>
      </c>
      <c r="M275" s="3611">
        <f t="shared" si="41"/>
        <v>0</v>
      </c>
      <c r="N275" s="3611">
        <f t="shared" si="41"/>
        <v>0</v>
      </c>
      <c r="O275" s="3611">
        <f t="shared" si="41"/>
        <v>0</v>
      </c>
      <c r="P275" s="3611">
        <f t="shared" si="41"/>
        <v>0</v>
      </c>
      <c r="Q275" s="3611">
        <f t="shared" si="41"/>
        <v>0</v>
      </c>
      <c r="R275" s="3586">
        <f t="shared" si="41"/>
        <v>0</v>
      </c>
      <c r="S275" s="3575"/>
    </row>
    <row r="276" spans="1:20" s="3628" customFormat="1" hidden="1" x14ac:dyDescent="0.3">
      <c r="A276" s="3496" t="s">
        <v>1125</v>
      </c>
      <c r="B276" s="3663" t="s">
        <v>544</v>
      </c>
      <c r="C276" s="3538"/>
      <c r="D276" s="3538"/>
      <c r="E276" s="3538"/>
      <c r="F276" s="3538"/>
      <c r="G276" s="3611">
        <f>IF(G405&lt;0,0,IF(G275&lt;G405,G275,G405))</f>
        <v>0</v>
      </c>
      <c r="H276" s="3611">
        <f t="shared" ref="H276:R276" si="42">IF(H405&lt;0,0,IF(H275&lt;H405,H275,H405))</f>
        <v>0</v>
      </c>
      <c r="I276" s="3611">
        <f t="shared" si="42"/>
        <v>0</v>
      </c>
      <c r="J276" s="3611">
        <f t="shared" si="42"/>
        <v>0</v>
      </c>
      <c r="K276" s="3611">
        <f t="shared" si="42"/>
        <v>0</v>
      </c>
      <c r="L276" s="3611">
        <f t="shared" si="42"/>
        <v>0</v>
      </c>
      <c r="M276" s="3611">
        <f t="shared" si="42"/>
        <v>0</v>
      </c>
      <c r="N276" s="3611">
        <f t="shared" si="42"/>
        <v>0</v>
      </c>
      <c r="O276" s="3611">
        <f t="shared" si="42"/>
        <v>0</v>
      </c>
      <c r="P276" s="3611">
        <f t="shared" si="42"/>
        <v>0</v>
      </c>
      <c r="Q276" s="3611">
        <f t="shared" si="42"/>
        <v>0</v>
      </c>
      <c r="R276" s="3586">
        <f t="shared" si="42"/>
        <v>0</v>
      </c>
      <c r="S276" s="3575"/>
    </row>
    <row r="277" spans="1:20" s="3628" customFormat="1" hidden="1" x14ac:dyDescent="0.3">
      <c r="A277" s="3496"/>
      <c r="B277" s="3662" t="s">
        <v>1375</v>
      </c>
      <c r="C277" s="3538"/>
      <c r="D277" s="3538"/>
      <c r="E277" s="3538"/>
      <c r="F277" s="3538"/>
      <c r="G277" s="3611">
        <f t="shared" ref="G277:R277" si="43">+G257*G253*G137</f>
        <v>0</v>
      </c>
      <c r="H277" s="3611">
        <f t="shared" si="43"/>
        <v>0</v>
      </c>
      <c r="I277" s="3611">
        <f t="shared" si="43"/>
        <v>0</v>
      </c>
      <c r="J277" s="3611">
        <f t="shared" si="43"/>
        <v>0</v>
      </c>
      <c r="K277" s="3611">
        <f t="shared" si="43"/>
        <v>0</v>
      </c>
      <c r="L277" s="3611">
        <f t="shared" si="43"/>
        <v>0</v>
      </c>
      <c r="M277" s="3611">
        <f t="shared" si="43"/>
        <v>0</v>
      </c>
      <c r="N277" s="3611">
        <f t="shared" si="43"/>
        <v>0</v>
      </c>
      <c r="O277" s="3611">
        <f t="shared" si="43"/>
        <v>0</v>
      </c>
      <c r="P277" s="3611">
        <f t="shared" si="43"/>
        <v>0</v>
      </c>
      <c r="Q277" s="3611">
        <f t="shared" si="43"/>
        <v>0</v>
      </c>
      <c r="R277" s="3586">
        <f t="shared" si="43"/>
        <v>0</v>
      </c>
      <c r="S277" s="3575"/>
    </row>
    <row r="278" spans="1:20" s="3628" customFormat="1" hidden="1" x14ac:dyDescent="0.3">
      <c r="A278" s="3496" t="s">
        <v>1125</v>
      </c>
      <c r="B278" s="3662" t="s">
        <v>1376</v>
      </c>
      <c r="C278" s="3538"/>
      <c r="D278" s="3538"/>
      <c r="E278" s="3538"/>
      <c r="F278" s="3538"/>
      <c r="G278" s="3611">
        <f>+IF(G276&gt;G277,G277,G276)</f>
        <v>0</v>
      </c>
      <c r="H278" s="3611">
        <f>+IF(H276&gt;H277,H277,H276)</f>
        <v>0</v>
      </c>
      <c r="I278" s="3611">
        <f>+IF(I276&gt;I277,I277,I276)</f>
        <v>0</v>
      </c>
      <c r="J278" s="3611">
        <f t="shared" ref="J278:R278" si="44">+IF(J276&gt;J277,J277,J276)</f>
        <v>0</v>
      </c>
      <c r="K278" s="3611">
        <f t="shared" si="44"/>
        <v>0</v>
      </c>
      <c r="L278" s="3611">
        <f t="shared" si="44"/>
        <v>0</v>
      </c>
      <c r="M278" s="3611">
        <f t="shared" si="44"/>
        <v>0</v>
      </c>
      <c r="N278" s="3611">
        <f>+IF(N276&gt;N277,N277,N276)</f>
        <v>0</v>
      </c>
      <c r="O278" s="3611">
        <f t="shared" si="44"/>
        <v>0</v>
      </c>
      <c r="P278" s="3611">
        <f t="shared" si="44"/>
        <v>0</v>
      </c>
      <c r="Q278" s="3611">
        <f t="shared" si="44"/>
        <v>0</v>
      </c>
      <c r="R278" s="3586">
        <f t="shared" si="44"/>
        <v>0</v>
      </c>
      <c r="S278" s="3575"/>
    </row>
    <row r="279" spans="1:20" s="3628" customFormat="1" hidden="1" x14ac:dyDescent="0.3">
      <c r="A279" s="3496" t="s">
        <v>1125</v>
      </c>
      <c r="B279" s="3662" t="s">
        <v>540</v>
      </c>
      <c r="C279" s="3538"/>
      <c r="D279" s="3538"/>
      <c r="E279" s="3538"/>
      <c r="F279" s="3538"/>
      <c r="G279" s="3539">
        <f>IFERROR(UsoSuelo!AS807/UsoSuelo!S807,0)</f>
        <v>0</v>
      </c>
      <c r="H279" s="3539">
        <f>IFERROR(UsoSuelo!AT807/UsoSuelo!T807,0)</f>
        <v>0</v>
      </c>
      <c r="I279" s="3539">
        <f>IFERROR(UsoSuelo!AU807/UsoSuelo!U807,0)</f>
        <v>0</v>
      </c>
      <c r="J279" s="3539">
        <f>IFERROR(UsoSuelo!AV807/UsoSuelo!V807,0)</f>
        <v>0</v>
      </c>
      <c r="K279" s="3539">
        <f>IFERROR(UsoSuelo!AW807/UsoSuelo!W807,0)</f>
        <v>0</v>
      </c>
      <c r="L279" s="3539">
        <f>IFERROR(UsoSuelo!AX807/UsoSuelo!X807,0)</f>
        <v>0</v>
      </c>
      <c r="M279" s="3539">
        <f>IFERROR(UsoSuelo!AY807/UsoSuelo!Y807,0)</f>
        <v>0</v>
      </c>
      <c r="N279" s="3539">
        <f>IFERROR(UsoSuelo!AZ807/UsoSuelo!Z807,0)</f>
        <v>0</v>
      </c>
      <c r="O279" s="3539">
        <f>IFERROR(UsoSuelo!BA807/UsoSuelo!AA807,0)</f>
        <v>0</v>
      </c>
      <c r="P279" s="3539">
        <f>IFERROR(UsoSuelo!BB807/UsoSuelo!AB807,0)</f>
        <v>0</v>
      </c>
      <c r="Q279" s="3539">
        <f>IFERROR(UsoSuelo!BC807/UsoSuelo!AC807,0)</f>
        <v>0</v>
      </c>
      <c r="R279" s="3594">
        <f>IFERROR(UsoSuelo!BD807/UsoSuelo!AD807,0)</f>
        <v>0</v>
      </c>
      <c r="S279" s="3575"/>
    </row>
    <row r="280" spans="1:20" s="3628" customFormat="1" hidden="1" x14ac:dyDescent="0.3">
      <c r="A280" s="3496" t="s">
        <v>1125</v>
      </c>
      <c r="B280" s="3662" t="s">
        <v>538</v>
      </c>
      <c r="C280" s="3538"/>
      <c r="D280" s="3538"/>
      <c r="E280" s="3538"/>
      <c r="F280" s="3538"/>
      <c r="G280" s="3611">
        <f>G279*G274</f>
        <v>0</v>
      </c>
      <c r="H280" s="3611">
        <f>H279*H274</f>
        <v>0</v>
      </c>
      <c r="I280" s="3611">
        <f t="shared" ref="I280:R280" si="45">I279*I274</f>
        <v>0</v>
      </c>
      <c r="J280" s="3611">
        <f t="shared" si="45"/>
        <v>0</v>
      </c>
      <c r="K280" s="3611">
        <f t="shared" si="45"/>
        <v>0</v>
      </c>
      <c r="L280" s="3611">
        <f t="shared" si="45"/>
        <v>0</v>
      </c>
      <c r="M280" s="3611">
        <f t="shared" si="45"/>
        <v>0</v>
      </c>
      <c r="N280" s="3611">
        <f t="shared" si="45"/>
        <v>0</v>
      </c>
      <c r="O280" s="3611">
        <f t="shared" si="45"/>
        <v>0</v>
      </c>
      <c r="P280" s="3611">
        <f t="shared" si="45"/>
        <v>0</v>
      </c>
      <c r="Q280" s="3611">
        <f t="shared" si="45"/>
        <v>0</v>
      </c>
      <c r="R280" s="3586">
        <f t="shared" si="45"/>
        <v>0</v>
      </c>
      <c r="S280" s="3575"/>
    </row>
    <row r="281" spans="1:20" s="3628" customFormat="1" hidden="1" x14ac:dyDescent="0.3">
      <c r="A281" s="3496" t="s">
        <v>1125</v>
      </c>
      <c r="B281" s="3662" t="s">
        <v>539</v>
      </c>
      <c r="C281" s="3538"/>
      <c r="D281" s="3538"/>
      <c r="E281" s="3538"/>
      <c r="F281" s="3538"/>
      <c r="G281" s="3611">
        <f>IF(G277&lt;G276,G277*G392,G276*G392)</f>
        <v>0</v>
      </c>
      <c r="H281" s="3611">
        <f t="shared" ref="H281:R281" si="46">IF(H277&lt;H276,H277*H392,H276*H392)</f>
        <v>0</v>
      </c>
      <c r="I281" s="3611">
        <f t="shared" si="46"/>
        <v>0</v>
      </c>
      <c r="J281" s="3611">
        <f t="shared" si="46"/>
        <v>0</v>
      </c>
      <c r="K281" s="3611">
        <f t="shared" si="46"/>
        <v>0</v>
      </c>
      <c r="L281" s="3611">
        <f t="shared" si="46"/>
        <v>0</v>
      </c>
      <c r="M281" s="3611">
        <f t="shared" si="46"/>
        <v>0</v>
      </c>
      <c r="N281" s="3611">
        <f t="shared" si="46"/>
        <v>0</v>
      </c>
      <c r="O281" s="3611">
        <f t="shared" si="46"/>
        <v>0</v>
      </c>
      <c r="P281" s="3611">
        <f t="shared" si="46"/>
        <v>0</v>
      </c>
      <c r="Q281" s="3611">
        <f t="shared" si="46"/>
        <v>0</v>
      </c>
      <c r="R281" s="3611">
        <f t="shared" si="46"/>
        <v>0</v>
      </c>
      <c r="S281" s="3575"/>
    </row>
    <row r="282" spans="1:20" s="3628" customFormat="1" hidden="1" x14ac:dyDescent="0.3">
      <c r="A282" s="3496" t="s">
        <v>1125</v>
      </c>
      <c r="B282" s="3662" t="s">
        <v>541</v>
      </c>
      <c r="C282" s="3538"/>
      <c r="D282" s="3538"/>
      <c r="E282" s="3538"/>
      <c r="F282" s="3538"/>
      <c r="G282" s="3611">
        <f>A.Lecheros!F572</f>
        <v>0</v>
      </c>
      <c r="H282" s="3611">
        <f>A.Lecheros!G572</f>
        <v>0</v>
      </c>
      <c r="I282" s="3611">
        <f>A.Lecheros!H572</f>
        <v>0</v>
      </c>
      <c r="J282" s="3611">
        <f>A.Lecheros!I572</f>
        <v>0</v>
      </c>
      <c r="K282" s="3611">
        <f>A.Lecheros!J572</f>
        <v>0</v>
      </c>
      <c r="L282" s="3611">
        <f>A.Lecheros!K572</f>
        <v>0</v>
      </c>
      <c r="M282" s="3611">
        <f>A.Lecheros!L572</f>
        <v>0</v>
      </c>
      <c r="N282" s="3611">
        <f>A.Lecheros!M572</f>
        <v>0</v>
      </c>
      <c r="O282" s="3611">
        <f>A.Lecheros!N572</f>
        <v>0</v>
      </c>
      <c r="P282" s="3611">
        <f>A.Lecheros!O572</f>
        <v>0</v>
      </c>
      <c r="Q282" s="3611">
        <f>A.Lecheros!P572</f>
        <v>0</v>
      </c>
      <c r="R282" s="3586">
        <f>A.Lecheros!Q572</f>
        <v>0</v>
      </c>
      <c r="S282" s="3575"/>
    </row>
    <row r="283" spans="1:20" s="3628" customFormat="1" hidden="1" x14ac:dyDescent="0.3">
      <c r="A283" s="3496" t="s">
        <v>1125</v>
      </c>
      <c r="B283" s="3662" t="s">
        <v>542</v>
      </c>
      <c r="C283" s="3538"/>
      <c r="D283" s="3538"/>
      <c r="E283" s="3538"/>
      <c r="F283" s="3538"/>
      <c r="G283" s="3611">
        <f>G282-G280-G281</f>
        <v>0</v>
      </c>
      <c r="H283" s="3611">
        <f>H282-H280-H281</f>
        <v>0</v>
      </c>
      <c r="I283" s="3611">
        <f>I282-I280-I281</f>
        <v>0</v>
      </c>
      <c r="J283" s="3611">
        <f t="shared" ref="J283:R283" si="47">J282-J280-J281</f>
        <v>0</v>
      </c>
      <c r="K283" s="3611">
        <f t="shared" si="47"/>
        <v>0</v>
      </c>
      <c r="L283" s="3611">
        <f t="shared" si="47"/>
        <v>0</v>
      </c>
      <c r="M283" s="3611">
        <f t="shared" si="47"/>
        <v>0</v>
      </c>
      <c r="N283" s="3611">
        <f t="shared" si="47"/>
        <v>0</v>
      </c>
      <c r="O283" s="3611">
        <f t="shared" si="47"/>
        <v>0</v>
      </c>
      <c r="P283" s="3611">
        <f t="shared" si="47"/>
        <v>0</v>
      </c>
      <c r="Q283" s="3611">
        <f t="shared" si="47"/>
        <v>0</v>
      </c>
      <c r="R283" s="3586">
        <f t="shared" si="47"/>
        <v>0</v>
      </c>
      <c r="S283" s="3575"/>
    </row>
    <row r="284" spans="1:20" s="3440" customFormat="1" hidden="1" x14ac:dyDescent="0.3">
      <c r="A284" s="3496" t="s">
        <v>1125</v>
      </c>
      <c r="B284" s="3662" t="s">
        <v>543</v>
      </c>
      <c r="C284" s="3538"/>
      <c r="D284" s="3538"/>
      <c r="E284" s="3538"/>
      <c r="F284" s="3538"/>
      <c r="G284" s="3611">
        <f>IF(G283&lt;0,0,G283/3.03)</f>
        <v>0</v>
      </c>
      <c r="H284" s="3611">
        <f>IF(H283&lt;0,0,H283/3.03)</f>
        <v>0</v>
      </c>
      <c r="I284" s="3611">
        <f>IF(I283&lt;0,0,I283/3.03)</f>
        <v>0</v>
      </c>
      <c r="J284" s="3611">
        <f t="shared" ref="J284:R284" si="48">IF(J283&lt;0,0,J283/3.03)</f>
        <v>0</v>
      </c>
      <c r="K284" s="3611">
        <f t="shared" si="48"/>
        <v>0</v>
      </c>
      <c r="L284" s="3611">
        <f t="shared" si="48"/>
        <v>0</v>
      </c>
      <c r="M284" s="3611">
        <f t="shared" si="48"/>
        <v>0</v>
      </c>
      <c r="N284" s="3611">
        <f t="shared" si="48"/>
        <v>0</v>
      </c>
      <c r="O284" s="3611">
        <f t="shared" si="48"/>
        <v>0</v>
      </c>
      <c r="P284" s="3611">
        <f t="shared" si="48"/>
        <v>0</v>
      </c>
      <c r="Q284" s="3611">
        <f t="shared" si="48"/>
        <v>0</v>
      </c>
      <c r="R284" s="3586">
        <f t="shared" si="48"/>
        <v>0</v>
      </c>
      <c r="S284" s="3453"/>
      <c r="T284" s="3664"/>
    </row>
    <row r="285" spans="1:20" s="3440" customFormat="1" hidden="1" x14ac:dyDescent="0.3">
      <c r="A285" s="3665" t="s">
        <v>1125</v>
      </c>
      <c r="B285" s="3580" t="s">
        <v>284</v>
      </c>
      <c r="C285" s="3498" t="s">
        <v>546</v>
      </c>
      <c r="D285" s="3498"/>
      <c r="E285" s="3498"/>
      <c r="F285" s="3498"/>
      <c r="G285" s="3499">
        <f>UsoSuelo!S807</f>
        <v>0</v>
      </c>
      <c r="H285" s="3499">
        <f>UsoSuelo!T807</f>
        <v>0</v>
      </c>
      <c r="I285" s="3499">
        <f>UsoSuelo!U807</f>
        <v>0</v>
      </c>
      <c r="J285" s="3499">
        <f>UsoSuelo!V807</f>
        <v>0</v>
      </c>
      <c r="K285" s="3499">
        <f>UsoSuelo!W807</f>
        <v>0</v>
      </c>
      <c r="L285" s="3499">
        <f>UsoSuelo!X807</f>
        <v>0</v>
      </c>
      <c r="M285" s="3499">
        <f>UsoSuelo!Y807</f>
        <v>0</v>
      </c>
      <c r="N285" s="3499">
        <f>UsoSuelo!Z807</f>
        <v>0</v>
      </c>
      <c r="O285" s="3499">
        <f>UsoSuelo!AA807</f>
        <v>0</v>
      </c>
      <c r="P285" s="3499">
        <f>UsoSuelo!AB807</f>
        <v>0</v>
      </c>
      <c r="Q285" s="3499">
        <f>UsoSuelo!AC807</f>
        <v>0</v>
      </c>
      <c r="R285" s="3582">
        <f>UsoSuelo!AD807</f>
        <v>0</v>
      </c>
      <c r="S285" s="3453"/>
    </row>
    <row r="286" spans="1:20" s="3440" customFormat="1" hidden="1" x14ac:dyDescent="0.3">
      <c r="A286" s="3665" t="s">
        <v>1125</v>
      </c>
      <c r="B286" s="3580" t="s">
        <v>251</v>
      </c>
      <c r="C286" s="3498" t="s">
        <v>546</v>
      </c>
      <c r="D286" s="3498"/>
      <c r="E286" s="3498"/>
      <c r="F286" s="3498"/>
      <c r="G286" s="3499">
        <f>IF(G253=0,0,A.Lecheros!F583+A.Lecheros!F575)</f>
        <v>0</v>
      </c>
      <c r="H286" s="3499">
        <f>IF(H253=0,0,A.Lecheros!G583+A.Lecheros!G575)</f>
        <v>0</v>
      </c>
      <c r="I286" s="3499">
        <f>IF(I253=0,0,A.Lecheros!H583+A.Lecheros!H575)</f>
        <v>0</v>
      </c>
      <c r="J286" s="3499">
        <f>IF(J253=0,0,A.Lecheros!I583+A.Lecheros!I575)</f>
        <v>0</v>
      </c>
      <c r="K286" s="3499">
        <f>IF(K253=0,0,A.Lecheros!J583+A.Lecheros!J575)</f>
        <v>0</v>
      </c>
      <c r="L286" s="3499">
        <f>IF(L253=0,0,A.Lecheros!K583+A.Lecheros!K575)</f>
        <v>0</v>
      </c>
      <c r="M286" s="3499">
        <f>IF(M253=0,0,A.Lecheros!L583+A.Lecheros!L575)</f>
        <v>0</v>
      </c>
      <c r="N286" s="3499">
        <f>IF(N253=0,0,A.Lecheros!M583+A.Lecheros!M575)</f>
        <v>0</v>
      </c>
      <c r="O286" s="3499">
        <f>IF(O253=0,0,A.Lecheros!N583+A.Lecheros!N575)</f>
        <v>0</v>
      </c>
      <c r="P286" s="3499">
        <f>IF(P253=0,0,A.Lecheros!O583+A.Lecheros!O575)</f>
        <v>0</v>
      </c>
      <c r="Q286" s="3499">
        <f>IF(Q253=0,0,A.Lecheros!P583+A.Lecheros!P575)</f>
        <v>0</v>
      </c>
      <c r="R286" s="3582">
        <f>IF(R253=0,0,A.Lecheros!Q583+A.Lecheros!Q575)</f>
        <v>0</v>
      </c>
      <c r="S286" s="3575"/>
    </row>
    <row r="287" spans="1:20" s="3440" customFormat="1" hidden="1" x14ac:dyDescent="0.3">
      <c r="A287" s="3665" t="s">
        <v>1125</v>
      </c>
      <c r="B287" s="3595" t="s">
        <v>1189</v>
      </c>
      <c r="C287" s="3596" t="s">
        <v>546</v>
      </c>
      <c r="D287" s="3596"/>
      <c r="E287" s="3596"/>
      <c r="F287" s="3596"/>
      <c r="G287" s="3666">
        <f>G285-G286</f>
        <v>0</v>
      </c>
      <c r="H287" s="3666">
        <f t="shared" ref="H287:R287" si="49">H285-H286</f>
        <v>0</v>
      </c>
      <c r="I287" s="3666">
        <f t="shared" si="49"/>
        <v>0</v>
      </c>
      <c r="J287" s="3666">
        <f t="shared" si="49"/>
        <v>0</v>
      </c>
      <c r="K287" s="3666">
        <f t="shared" si="49"/>
        <v>0</v>
      </c>
      <c r="L287" s="3666">
        <f t="shared" si="49"/>
        <v>0</v>
      </c>
      <c r="M287" s="3666">
        <f t="shared" si="49"/>
        <v>0</v>
      </c>
      <c r="N287" s="3666">
        <f t="shared" si="49"/>
        <v>0</v>
      </c>
      <c r="O287" s="3666">
        <f t="shared" si="49"/>
        <v>0</v>
      </c>
      <c r="P287" s="3666">
        <f>P285-P286</f>
        <v>0</v>
      </c>
      <c r="Q287" s="3666">
        <f t="shared" si="49"/>
        <v>0</v>
      </c>
      <c r="R287" s="3667">
        <f t="shared" si="49"/>
        <v>0</v>
      </c>
      <c r="S287" s="3575"/>
    </row>
    <row r="288" spans="1:20" s="3440" customFormat="1" hidden="1" x14ac:dyDescent="0.3">
      <c r="A288" s="3665" t="s">
        <v>1125</v>
      </c>
      <c r="B288" s="3580" t="s">
        <v>534</v>
      </c>
      <c r="C288" s="3498" t="s">
        <v>546</v>
      </c>
      <c r="D288" s="3498"/>
      <c r="E288" s="3498"/>
      <c r="F288" s="3498"/>
      <c r="G288" s="3611">
        <f t="shared" ref="G288:R288" si="50">G274</f>
        <v>0</v>
      </c>
      <c r="H288" s="3611">
        <f t="shared" si="50"/>
        <v>0</v>
      </c>
      <c r="I288" s="3611">
        <f t="shared" si="50"/>
        <v>0</v>
      </c>
      <c r="J288" s="3611">
        <f t="shared" si="50"/>
        <v>0</v>
      </c>
      <c r="K288" s="3611">
        <f t="shared" si="50"/>
        <v>0</v>
      </c>
      <c r="L288" s="3611">
        <f t="shared" si="50"/>
        <v>0</v>
      </c>
      <c r="M288" s="3611">
        <f t="shared" si="50"/>
        <v>0</v>
      </c>
      <c r="N288" s="3611">
        <f t="shared" si="50"/>
        <v>0</v>
      </c>
      <c r="O288" s="3611">
        <f t="shared" si="50"/>
        <v>0</v>
      </c>
      <c r="P288" s="3611">
        <f t="shared" si="50"/>
        <v>0</v>
      </c>
      <c r="Q288" s="3611">
        <f t="shared" si="50"/>
        <v>0</v>
      </c>
      <c r="R288" s="3586">
        <f t="shared" si="50"/>
        <v>0</v>
      </c>
      <c r="S288" s="3575"/>
    </row>
    <row r="289" spans="1:33" s="3452" customFormat="1" hidden="1" x14ac:dyDescent="0.3">
      <c r="A289" s="3665" t="s">
        <v>1125</v>
      </c>
      <c r="B289" s="3580" t="s">
        <v>535</v>
      </c>
      <c r="C289" s="3498" t="s">
        <v>546</v>
      </c>
      <c r="D289" s="3498"/>
      <c r="E289" s="3498"/>
      <c r="F289" s="3498"/>
      <c r="G289" s="3611">
        <f t="shared" ref="G289:R289" si="51">G278</f>
        <v>0</v>
      </c>
      <c r="H289" s="3611">
        <f t="shared" si="51"/>
        <v>0</v>
      </c>
      <c r="I289" s="3611">
        <f t="shared" si="51"/>
        <v>0</v>
      </c>
      <c r="J289" s="3611">
        <f t="shared" si="51"/>
        <v>0</v>
      </c>
      <c r="K289" s="3611">
        <f t="shared" si="51"/>
        <v>0</v>
      </c>
      <c r="L289" s="3611">
        <f t="shared" si="51"/>
        <v>0</v>
      </c>
      <c r="M289" s="3611">
        <f t="shared" si="51"/>
        <v>0</v>
      </c>
      <c r="N289" s="3611">
        <f t="shared" si="51"/>
        <v>0</v>
      </c>
      <c r="O289" s="3611">
        <f t="shared" si="51"/>
        <v>0</v>
      </c>
      <c r="P289" s="3611">
        <f t="shared" si="51"/>
        <v>0</v>
      </c>
      <c r="Q289" s="3611">
        <f t="shared" si="51"/>
        <v>0</v>
      </c>
      <c r="R289" s="3586">
        <f t="shared" si="51"/>
        <v>0</v>
      </c>
      <c r="S289" s="3575"/>
    </row>
    <row r="290" spans="1:33" s="3440" customFormat="1" hidden="1" x14ac:dyDescent="0.3">
      <c r="A290" s="3665" t="s">
        <v>1125</v>
      </c>
      <c r="B290" s="3580" t="s">
        <v>545</v>
      </c>
      <c r="C290" s="3498" t="s">
        <v>546</v>
      </c>
      <c r="D290" s="3498"/>
      <c r="E290" s="3498"/>
      <c r="F290" s="3498"/>
      <c r="G290" s="3611">
        <f>G284</f>
        <v>0</v>
      </c>
      <c r="H290" s="3611">
        <f t="shared" ref="H290:R290" si="52">H284</f>
        <v>0</v>
      </c>
      <c r="I290" s="3611">
        <f t="shared" si="52"/>
        <v>0</v>
      </c>
      <c r="J290" s="3611">
        <f t="shared" si="52"/>
        <v>0</v>
      </c>
      <c r="K290" s="3611">
        <f t="shared" si="52"/>
        <v>0</v>
      </c>
      <c r="L290" s="3611">
        <f t="shared" si="52"/>
        <v>0</v>
      </c>
      <c r="M290" s="3611">
        <f t="shared" si="52"/>
        <v>0</v>
      </c>
      <c r="N290" s="3611">
        <f t="shared" si="52"/>
        <v>0</v>
      </c>
      <c r="O290" s="3611">
        <f t="shared" si="52"/>
        <v>0</v>
      </c>
      <c r="P290" s="3611">
        <f t="shared" si="52"/>
        <v>0</v>
      </c>
      <c r="Q290" s="3611">
        <f t="shared" si="52"/>
        <v>0</v>
      </c>
      <c r="R290" s="3586">
        <f t="shared" si="52"/>
        <v>0</v>
      </c>
      <c r="S290" s="3575"/>
    </row>
    <row r="291" spans="1:33" s="3628" customFormat="1" ht="15.05" hidden="1" thickBot="1" x14ac:dyDescent="0.35">
      <c r="A291" s="3665" t="s">
        <v>1125</v>
      </c>
      <c r="B291" s="3668" t="s">
        <v>816</v>
      </c>
      <c r="C291" s="3584" t="s">
        <v>548</v>
      </c>
      <c r="D291" s="3584"/>
      <c r="E291" s="3669"/>
      <c r="F291" s="3669"/>
      <c r="G291" s="3669">
        <f>IF(G253=0,0,G290/0.86/(1-General!$I$111/100))</f>
        <v>0</v>
      </c>
      <c r="H291" s="3669">
        <f>IF(H253=0,0,H290/0.86/(1-General!$I$111/100))</f>
        <v>0</v>
      </c>
      <c r="I291" s="3669">
        <f>IF(I253=0,0,I290/0.86/(1-General!$I$111/100))</f>
        <v>0</v>
      </c>
      <c r="J291" s="3669">
        <f>IF(J253=0,0,J290/0.86/(1-General!$I$111/100))</f>
        <v>0</v>
      </c>
      <c r="K291" s="3669">
        <f>IF(K253=0,0,K290/0.86/(1-General!$I$111/100))</f>
        <v>0</v>
      </c>
      <c r="L291" s="3669">
        <f>IF(L253=0,0,L290/0.86/(1-General!$I$111/100))</f>
        <v>0</v>
      </c>
      <c r="M291" s="3669">
        <f>IF(M253=0,0,M290/0.86/(1-General!$I$111/100))</f>
        <v>0</v>
      </c>
      <c r="N291" s="3669">
        <f>IF(N253=0,0,N290/0.86/(1-General!$I$111/100))</f>
        <v>0</v>
      </c>
      <c r="O291" s="3669">
        <f>IF(O253=0,0,O290/0.86/(1-General!$I$111/100))</f>
        <v>0</v>
      </c>
      <c r="P291" s="3669">
        <f>IF(P253=0,0,P290/0.86/(1-General!$I$111/100))</f>
        <v>0</v>
      </c>
      <c r="Q291" s="3669">
        <f>IF(Q253=0,0,Q290/0.86/(1-General!$I$111/100))</f>
        <v>0</v>
      </c>
      <c r="R291" s="3591">
        <f>IF(R253=0,0,R290/0.86/(1-General!$I$111/100))</f>
        <v>0</v>
      </c>
      <c r="S291" s="3575"/>
    </row>
    <row r="292" spans="1:33" s="3628" customFormat="1" ht="15.05" hidden="1" thickBot="1" x14ac:dyDescent="0.35">
      <c r="A292" s="3665"/>
      <c r="B292" s="3670" t="s">
        <v>1650</v>
      </c>
      <c r="C292" s="3598" t="s">
        <v>1651</v>
      </c>
      <c r="D292" s="3598"/>
      <c r="E292" s="3671"/>
      <c r="F292" s="3671"/>
      <c r="G292" s="3671">
        <f>IF(G253=0,0,G289/(1-General!$I$120/100))</f>
        <v>0</v>
      </c>
      <c r="H292" s="3671">
        <f>IF(H253=0,0,H289/(1-General!$I$120/100))</f>
        <v>0</v>
      </c>
      <c r="I292" s="3671">
        <f>IF(I253=0,0,I289/(1-General!$I$120/100))</f>
        <v>0</v>
      </c>
      <c r="J292" s="3671">
        <f>IF(J253=0,0,J289/(1-General!$I$120/100))</f>
        <v>0</v>
      </c>
      <c r="K292" s="3671">
        <f>IF(K253=0,0,K289/(1-General!$I$120/100))</f>
        <v>0</v>
      </c>
      <c r="L292" s="3671">
        <f>IF(L253=0,0,L289/(1-General!$I$120/100))</f>
        <v>0</v>
      </c>
      <c r="M292" s="3671">
        <f>IF(M253=0,0,M289/(1-General!$I$120/100))</f>
        <v>0</v>
      </c>
      <c r="N292" s="3671">
        <f>IF(N253=0,0,N289/(1-General!$I$120/100))</f>
        <v>0</v>
      </c>
      <c r="O292" s="3671">
        <f>IF(O253=0,0,O289/(1-General!$I$120/100))</f>
        <v>0</v>
      </c>
      <c r="P292" s="3671">
        <f>IF(P253=0,0,P289/(1-General!$I$120/100))</f>
        <v>0</v>
      </c>
      <c r="Q292" s="3671">
        <f>IF(Q253=0,0,Q289/(1-General!$I$120/100))</f>
        <v>0</v>
      </c>
      <c r="R292" s="3672">
        <f>IF(R253=0,0,R289/(1-General!$I$120/100))</f>
        <v>0</v>
      </c>
      <c r="S292" s="3575"/>
    </row>
    <row r="293" spans="1:33" s="3628" customFormat="1" x14ac:dyDescent="0.3">
      <c r="A293" s="3648"/>
      <c r="B293" s="3673"/>
      <c r="C293" s="3452"/>
      <c r="D293" s="3452"/>
      <c r="E293" s="3575"/>
      <c r="F293" s="3575"/>
      <c r="G293" s="3575"/>
      <c r="H293" s="3575"/>
      <c r="I293" s="3575"/>
      <c r="J293" s="3575"/>
      <c r="K293" s="3575"/>
      <c r="L293" s="3575"/>
      <c r="M293" s="3575"/>
      <c r="N293" s="3575"/>
      <c r="O293" s="3575"/>
      <c r="P293" s="3575"/>
      <c r="Q293" s="3575"/>
      <c r="R293" s="3575"/>
      <c r="S293" s="3575"/>
    </row>
    <row r="294" spans="1:33" s="3440" customFormat="1" ht="15.05" x14ac:dyDescent="0.3">
      <c r="A294" s="3477"/>
      <c r="B294" s="3478" t="s">
        <v>1555</v>
      </c>
      <c r="C294" s="3479"/>
      <c r="D294" s="3479"/>
      <c r="E294" s="3479"/>
      <c r="F294" s="3479"/>
      <c r="G294" s="3479"/>
      <c r="H294" s="3479"/>
      <c r="I294" s="3479"/>
      <c r="J294" s="3479"/>
      <c r="K294" s="3479"/>
      <c r="L294" s="3479"/>
      <c r="M294" s="3479"/>
      <c r="N294" s="3479"/>
      <c r="O294" s="3479"/>
      <c r="P294" s="3479"/>
      <c r="Q294" s="3479"/>
      <c r="R294" s="3480"/>
      <c r="S294" s="3481"/>
    </row>
    <row r="295" spans="1:33" s="3452" customFormat="1" ht="6.05" customHeight="1" x14ac:dyDescent="0.3">
      <c r="B295" s="3482"/>
      <c r="C295" s="3483"/>
      <c r="D295" s="3483"/>
      <c r="E295" s="3483"/>
      <c r="F295" s="3483"/>
      <c r="G295" s="3483"/>
      <c r="H295" s="3483"/>
      <c r="I295" s="3483"/>
      <c r="J295" s="3483"/>
      <c r="K295" s="3483"/>
      <c r="L295" s="3483"/>
      <c r="M295" s="3483"/>
      <c r="N295" s="3483"/>
      <c r="O295" s="3483"/>
      <c r="P295" s="3483"/>
      <c r="Q295" s="3483"/>
      <c r="R295" s="3484"/>
      <c r="S295" s="3129"/>
    </row>
    <row r="296" spans="1:33" x14ac:dyDescent="0.3">
      <c r="A296" s="2487">
        <f>A251+1</f>
        <v>98</v>
      </c>
      <c r="B296" s="3454"/>
      <c r="C296" s="3455"/>
      <c r="D296" s="3455"/>
      <c r="E296" s="3470" t="s">
        <v>1608</v>
      </c>
      <c r="F296" s="3455"/>
      <c r="G296" s="3455"/>
      <c r="H296" s="3455"/>
      <c r="I296" s="3455"/>
      <c r="J296" s="3455"/>
      <c r="K296" s="3455"/>
      <c r="L296" s="3455"/>
      <c r="M296" s="3455"/>
      <c r="N296" s="3455"/>
      <c r="O296" s="3455"/>
      <c r="P296" s="3455"/>
      <c r="Q296" s="3455"/>
      <c r="R296" s="3456"/>
      <c r="S296" s="3129"/>
      <c r="U296" s="3436"/>
      <c r="V296" s="3436"/>
      <c r="W296" s="3436"/>
      <c r="X296" s="3436"/>
      <c r="Y296" s="3436"/>
      <c r="Z296" s="3436"/>
      <c r="AA296" s="3436"/>
      <c r="AB296" s="3436"/>
      <c r="AC296" s="3436"/>
      <c r="AD296" s="3436"/>
      <c r="AE296" s="3436"/>
      <c r="AF296" s="3436"/>
      <c r="AG296" s="3436"/>
    </row>
    <row r="297" spans="1:33" s="3452" customFormat="1" x14ac:dyDescent="0.3">
      <c r="B297" s="3485"/>
      <c r="C297" s="3486"/>
      <c r="D297" s="3129"/>
      <c r="E297" s="3129"/>
      <c r="F297" s="3129"/>
      <c r="G297" s="3485"/>
      <c r="H297" s="3129"/>
      <c r="I297" s="3129"/>
      <c r="J297" s="3129"/>
      <c r="K297" s="3129"/>
      <c r="L297" s="3129"/>
      <c r="M297" s="3129"/>
      <c r="N297" s="3129"/>
      <c r="O297" s="3129"/>
      <c r="P297" s="3129"/>
      <c r="Q297" s="3129"/>
      <c r="R297" s="3129"/>
      <c r="S297" s="3453"/>
    </row>
    <row r="298" spans="1:33" s="3452" customFormat="1" x14ac:dyDescent="0.3">
      <c r="B298" s="3485"/>
      <c r="C298" s="3485"/>
      <c r="D298" s="3129"/>
      <c r="E298" s="3129"/>
      <c r="F298" s="3129"/>
      <c r="G298" s="3485"/>
      <c r="H298" s="3129"/>
      <c r="I298" s="3129"/>
      <c r="J298" s="3129"/>
      <c r="K298" s="3129"/>
      <c r="L298" s="3129"/>
      <c r="M298" s="3129"/>
      <c r="N298" s="3129"/>
      <c r="O298" s="3129"/>
      <c r="P298" s="3129"/>
      <c r="Q298" s="3129"/>
      <c r="R298" s="3129"/>
      <c r="S298" s="3453"/>
    </row>
    <row r="299" spans="1:33" s="3452" customFormat="1" x14ac:dyDescent="0.3">
      <c r="B299" s="3485"/>
      <c r="C299" s="3486"/>
      <c r="D299" s="3129"/>
      <c r="E299" s="3129"/>
      <c r="F299" s="3129"/>
      <c r="G299" s="3485"/>
      <c r="H299" s="3129"/>
      <c r="I299" s="3129"/>
      <c r="J299" s="3129"/>
      <c r="K299" s="3129"/>
      <c r="L299" s="3129"/>
      <c r="M299" s="3129"/>
      <c r="N299" s="3129"/>
      <c r="O299" s="3129"/>
      <c r="P299" s="3129"/>
      <c r="Q299" s="3129"/>
      <c r="R299" s="3129"/>
      <c r="S299" s="3453"/>
    </row>
    <row r="300" spans="1:33" s="3452" customFormat="1" x14ac:dyDescent="0.3">
      <c r="B300" s="3485"/>
      <c r="C300" s="3486"/>
      <c r="D300" s="3129"/>
      <c r="E300" s="3129"/>
      <c r="F300" s="3129"/>
      <c r="G300" s="3485"/>
      <c r="H300" s="3129"/>
      <c r="I300" s="3129"/>
      <c r="J300" s="3129"/>
      <c r="K300" s="3129"/>
      <c r="L300" s="3129"/>
      <c r="M300" s="3129"/>
      <c r="N300" s="3129"/>
      <c r="O300" s="3129"/>
      <c r="P300" s="3129"/>
      <c r="Q300" s="3129"/>
      <c r="R300" s="3129"/>
      <c r="S300" s="3453"/>
    </row>
    <row r="301" spans="1:33" s="3452" customFormat="1" x14ac:dyDescent="0.3">
      <c r="B301" s="3485"/>
      <c r="C301" s="3486"/>
      <c r="D301" s="3129"/>
      <c r="E301" s="3129"/>
      <c r="F301" s="3129"/>
      <c r="G301" s="3485"/>
      <c r="H301" s="3129"/>
      <c r="I301" s="3129"/>
      <c r="J301" s="3129"/>
      <c r="K301" s="3129"/>
      <c r="L301" s="3129"/>
      <c r="M301" s="3129"/>
      <c r="N301" s="3129"/>
      <c r="O301" s="3129"/>
      <c r="P301" s="3129"/>
      <c r="Q301" s="3129"/>
      <c r="R301" s="3129"/>
      <c r="S301" s="3453"/>
    </row>
    <row r="302" spans="1:33" s="3452" customFormat="1" x14ac:dyDescent="0.3">
      <c r="B302" s="3485"/>
      <c r="C302" s="3486"/>
      <c r="D302" s="3129"/>
      <c r="E302" s="3129"/>
      <c r="F302" s="3129"/>
      <c r="G302" s="3485"/>
      <c r="H302" s="3129"/>
      <c r="I302" s="3129"/>
      <c r="J302" s="3129"/>
      <c r="K302" s="3129"/>
      <c r="L302" s="3129"/>
      <c r="M302" s="3129"/>
      <c r="N302" s="3129"/>
      <c r="O302" s="3129"/>
      <c r="P302" s="3129"/>
      <c r="Q302" s="3129"/>
      <c r="R302" s="3129"/>
      <c r="S302" s="3453"/>
    </row>
    <row r="303" spans="1:33" s="3452" customFormat="1" x14ac:dyDescent="0.3">
      <c r="B303" s="3485"/>
      <c r="C303" s="3486"/>
      <c r="D303" s="3129"/>
      <c r="E303" s="3129"/>
      <c r="F303" s="3129"/>
      <c r="G303" s="3485"/>
      <c r="H303" s="3129"/>
      <c r="I303" s="3129"/>
      <c r="J303" s="3129"/>
      <c r="K303" s="3129"/>
      <c r="L303" s="3129"/>
      <c r="M303" s="3129"/>
      <c r="N303" s="3129"/>
      <c r="O303" s="3129"/>
      <c r="P303" s="3129"/>
      <c r="Q303" s="3129"/>
      <c r="R303" s="3129"/>
      <c r="S303" s="3453"/>
    </row>
    <row r="304" spans="1:33" s="3452" customFormat="1" x14ac:dyDescent="0.3">
      <c r="B304" s="3485"/>
      <c r="C304" s="3486"/>
      <c r="D304" s="3129"/>
      <c r="E304" s="3129"/>
      <c r="F304" s="3129"/>
      <c r="G304" s="3485"/>
      <c r="H304" s="3129"/>
      <c r="I304" s="3129"/>
      <c r="J304" s="3129"/>
      <c r="K304" s="3129"/>
      <c r="L304" s="3129"/>
      <c r="M304" s="3129"/>
      <c r="N304" s="3129"/>
      <c r="O304" s="3129"/>
      <c r="P304" s="3129"/>
      <c r="Q304" s="3129"/>
      <c r="R304" s="3129"/>
      <c r="S304" s="3453"/>
    </row>
    <row r="305" spans="1:26" s="3452" customFormat="1" x14ac:dyDescent="0.3">
      <c r="B305" s="3485"/>
      <c r="C305" s="3486"/>
      <c r="D305" s="3129"/>
      <c r="E305" s="3129"/>
      <c r="F305" s="3129"/>
      <c r="G305" s="3485"/>
      <c r="H305" s="3129"/>
      <c r="I305" s="3129"/>
      <c r="J305" s="3129"/>
      <c r="K305" s="3129"/>
      <c r="L305" s="3129"/>
      <c r="M305" s="3129"/>
      <c r="N305" s="3129"/>
      <c r="O305" s="3129"/>
      <c r="P305" s="3129"/>
      <c r="Q305" s="3129"/>
      <c r="R305" s="3129"/>
      <c r="S305" s="3453"/>
    </row>
    <row r="306" spans="1:26" s="3452" customFormat="1" x14ac:dyDescent="0.3">
      <c r="B306" s="3485"/>
      <c r="C306" s="3486"/>
      <c r="D306" s="3129"/>
      <c r="E306" s="3129"/>
      <c r="F306" s="3129"/>
      <c r="G306" s="3485"/>
      <c r="H306" s="3129"/>
      <c r="I306" s="3129"/>
      <c r="J306" s="3129"/>
      <c r="K306" s="3129"/>
      <c r="L306" s="3129"/>
      <c r="M306" s="3129"/>
      <c r="N306" s="3129"/>
      <c r="O306" s="3129"/>
      <c r="P306" s="3129"/>
      <c r="Q306" s="3129"/>
      <c r="R306" s="3129"/>
      <c r="S306" s="3453"/>
    </row>
    <row r="307" spans="1:26" s="3452" customFormat="1" x14ac:dyDescent="0.3">
      <c r="B307" s="3485"/>
      <c r="C307" s="3486"/>
      <c r="D307" s="3129"/>
      <c r="E307" s="3129"/>
      <c r="F307" s="3129"/>
      <c r="G307" s="3485"/>
      <c r="H307" s="3129"/>
      <c r="I307" s="3129"/>
      <c r="J307" s="3129"/>
      <c r="K307" s="3129"/>
      <c r="L307" s="3129"/>
      <c r="M307" s="3129"/>
      <c r="N307" s="3129"/>
      <c r="O307" s="3129"/>
      <c r="P307" s="3129"/>
      <c r="Q307" s="3129"/>
      <c r="R307" s="3129"/>
      <c r="S307" s="3453"/>
    </row>
    <row r="308" spans="1:26" s="3452" customFormat="1" x14ac:dyDescent="0.3">
      <c r="B308" s="3485"/>
      <c r="C308" s="3486"/>
      <c r="D308" s="3129"/>
      <c r="E308" s="3129"/>
      <c r="F308" s="3129"/>
      <c r="G308" s="3485"/>
      <c r="H308" s="3129"/>
      <c r="I308" s="3129"/>
      <c r="J308" s="3129"/>
      <c r="K308" s="3129"/>
      <c r="L308" s="3129"/>
      <c r="M308" s="3129"/>
      <c r="N308" s="3129"/>
      <c r="O308" s="3129"/>
      <c r="P308" s="3129"/>
      <c r="Q308" s="3129"/>
      <c r="R308" s="3129"/>
      <c r="S308" s="3453"/>
    </row>
    <row r="309" spans="1:26" s="3452" customFormat="1" x14ac:dyDescent="0.3">
      <c r="B309" s="3485"/>
      <c r="C309" s="3486"/>
      <c r="D309" s="3129"/>
      <c r="E309" s="3129"/>
      <c r="F309" s="3129"/>
      <c r="G309" s="3485"/>
      <c r="H309" s="3129"/>
      <c r="I309" s="3129"/>
      <c r="J309" s="3129"/>
      <c r="K309" s="3129"/>
      <c r="L309" s="3129"/>
      <c r="M309" s="3129"/>
      <c r="N309" s="3129"/>
      <c r="O309" s="3129"/>
      <c r="P309" s="3129"/>
      <c r="Q309" s="3129"/>
      <c r="R309" s="3129"/>
      <c r="S309" s="3453"/>
    </row>
    <row r="310" spans="1:26" s="3452" customFormat="1" x14ac:dyDescent="0.3">
      <c r="B310" s="3485"/>
      <c r="C310" s="3486"/>
      <c r="D310" s="3129"/>
      <c r="E310" s="3129"/>
      <c r="F310" s="3129"/>
      <c r="G310" s="3485"/>
      <c r="H310" s="3129"/>
      <c r="I310" s="3129"/>
      <c r="J310" s="3129"/>
      <c r="K310" s="3129"/>
      <c r="L310" s="3129"/>
      <c r="M310" s="3129"/>
      <c r="N310" s="3129"/>
      <c r="O310" s="3129"/>
      <c r="P310" s="3129"/>
      <c r="Q310" s="3129"/>
      <c r="R310" s="3129"/>
      <c r="S310" s="3453"/>
    </row>
    <row r="311" spans="1:26" s="3452" customFormat="1" x14ac:dyDescent="0.3">
      <c r="B311" s="3485"/>
      <c r="C311" s="3486"/>
      <c r="D311" s="3129"/>
      <c r="E311" s="3129"/>
      <c r="F311" s="3129"/>
      <c r="G311" s="3485"/>
      <c r="H311" s="3129"/>
      <c r="I311" s="3129"/>
      <c r="J311" s="3129"/>
      <c r="K311" s="3129"/>
      <c r="L311" s="3129"/>
      <c r="M311" s="3129"/>
      <c r="N311" s="3129"/>
      <c r="O311" s="3129"/>
      <c r="P311" s="3129"/>
      <c r="Q311" s="3129"/>
      <c r="R311" s="3129"/>
      <c r="S311" s="3453"/>
    </row>
    <row r="312" spans="1:26" s="3452" customFormat="1" x14ac:dyDescent="0.3">
      <c r="B312" s="3485"/>
      <c r="C312" s="3486"/>
      <c r="D312" s="3129"/>
      <c r="E312" s="3129"/>
      <c r="F312" s="3129"/>
      <c r="G312" s="3485"/>
      <c r="H312" s="3129"/>
      <c r="I312" s="3129"/>
      <c r="J312" s="3129"/>
      <c r="K312" s="3129"/>
      <c r="L312" s="3129"/>
      <c r="M312" s="3129"/>
      <c r="N312" s="3129"/>
      <c r="O312" s="3129"/>
      <c r="P312" s="3129"/>
      <c r="Q312" s="3129"/>
      <c r="R312" s="3129"/>
      <c r="S312" s="3453"/>
    </row>
    <row r="313" spans="1:26" s="3452" customFormat="1" x14ac:dyDescent="0.3">
      <c r="B313" s="3485"/>
      <c r="C313" s="3486"/>
      <c r="D313" s="3129"/>
      <c r="E313" s="3129"/>
      <c r="F313" s="3129"/>
      <c r="G313" s="3485"/>
      <c r="H313" s="3129"/>
      <c r="I313" s="3129"/>
      <c r="J313" s="3129"/>
      <c r="K313" s="3129"/>
      <c r="L313" s="3129"/>
      <c r="M313" s="3129"/>
      <c r="N313" s="3129"/>
      <c r="O313" s="3129"/>
      <c r="P313" s="3129"/>
      <c r="Q313" s="3129"/>
      <c r="R313" s="3468" t="s">
        <v>2160</v>
      </c>
      <c r="S313" s="3453"/>
    </row>
    <row r="314" spans="1:26" s="3452" customFormat="1" x14ac:dyDescent="0.3">
      <c r="B314" s="3485"/>
      <c r="C314" s="3486"/>
      <c r="D314" s="3129"/>
      <c r="E314" s="3129"/>
      <c r="F314" s="3129"/>
      <c r="G314" s="3485"/>
      <c r="H314" s="3129"/>
      <c r="I314" s="3129"/>
      <c r="J314" s="3129"/>
      <c r="K314" s="3129"/>
      <c r="L314" s="3129"/>
      <c r="M314" s="3129"/>
      <c r="N314" s="3129"/>
      <c r="O314" s="3129"/>
      <c r="P314" s="3129"/>
      <c r="Q314" s="3129"/>
      <c r="R314" s="3468" t="s">
        <v>1440</v>
      </c>
      <c r="S314" s="3129"/>
    </row>
    <row r="315" spans="1:26" s="3452" customFormat="1" x14ac:dyDescent="0.3">
      <c r="B315" s="3485"/>
      <c r="C315" s="3486"/>
      <c r="D315" s="3129"/>
      <c r="E315" s="3129"/>
      <c r="F315" s="3129"/>
      <c r="G315" s="3485"/>
      <c r="H315" s="3129"/>
      <c r="I315" s="3129"/>
      <c r="J315" s="3129"/>
      <c r="K315" s="3129"/>
      <c r="L315" s="3129"/>
      <c r="M315" s="3129"/>
      <c r="N315" s="3129"/>
      <c r="O315" s="3129"/>
      <c r="P315" s="3129"/>
      <c r="Q315" s="3468" t="str">
        <f>+L48</f>
        <v xml:space="preserve">Energía Metabolizable/kgMS SPG : </v>
      </c>
      <c r="R315" s="3475">
        <f>+M48</f>
        <v>0</v>
      </c>
      <c r="S315" s="3129"/>
    </row>
    <row r="316" spans="1:26" s="3452" customFormat="1" ht="15.05" thickBot="1" x14ac:dyDescent="0.35">
      <c r="B316" s="3485"/>
      <c r="C316" s="3486"/>
      <c r="D316" s="3129"/>
      <c r="E316" s="3129"/>
      <c r="F316" s="3129"/>
      <c r="G316" s="3485"/>
      <c r="H316" s="3129"/>
      <c r="I316" s="3129"/>
      <c r="J316" s="3129"/>
      <c r="K316" s="3129"/>
      <c r="L316" s="3129"/>
      <c r="M316" s="3129"/>
      <c r="N316" s="3129"/>
      <c r="O316" s="3129"/>
      <c r="P316" s="3129"/>
      <c r="Q316" s="3129"/>
      <c r="R316" s="3468"/>
      <c r="S316" s="3129"/>
    </row>
    <row r="317" spans="1:26" s="3452" customFormat="1" ht="15.05" thickBot="1" x14ac:dyDescent="0.35">
      <c r="A317" s="2487">
        <f>+A296+1</f>
        <v>99</v>
      </c>
      <c r="B317" s="3492" t="s">
        <v>1607</v>
      </c>
      <c r="C317" s="3493"/>
      <c r="D317" s="3493"/>
      <c r="E317" s="3493"/>
      <c r="F317" s="3493"/>
      <c r="G317" s="3494"/>
      <c r="H317" s="3494"/>
      <c r="I317" s="3494"/>
      <c r="J317" s="3494"/>
      <c r="K317" s="3494"/>
      <c r="L317" s="3494"/>
      <c r="M317" s="3494"/>
      <c r="N317" s="3494"/>
      <c r="O317" s="3494"/>
      <c r="P317" s="3494"/>
      <c r="Q317" s="3494"/>
      <c r="R317" s="3494"/>
      <c r="S317" s="3495"/>
    </row>
    <row r="318" spans="1:26" s="3452" customFormat="1" ht="15.05" customHeight="1" x14ac:dyDescent="0.3">
      <c r="B318" s="2711" t="s">
        <v>683</v>
      </c>
      <c r="C318" s="3674"/>
      <c r="D318" s="3674"/>
      <c r="E318" s="3674"/>
      <c r="F318" s="3674"/>
      <c r="G318" s="3675" t="str">
        <f t="shared" ref="G318:R318" si="53">+G5</f>
        <v>Ene</v>
      </c>
      <c r="H318" s="3675" t="str">
        <f t="shared" si="53"/>
        <v>Feb</v>
      </c>
      <c r="I318" s="3675" t="str">
        <f t="shared" si="53"/>
        <v>Mar</v>
      </c>
      <c r="J318" s="3675" t="str">
        <f t="shared" si="53"/>
        <v>Abr</v>
      </c>
      <c r="K318" s="3675" t="str">
        <f t="shared" si="53"/>
        <v>May</v>
      </c>
      <c r="L318" s="3675" t="str">
        <f t="shared" si="53"/>
        <v>Jun</v>
      </c>
      <c r="M318" s="3675" t="str">
        <f t="shared" si="53"/>
        <v>Jul</v>
      </c>
      <c r="N318" s="3675" t="str">
        <f t="shared" si="53"/>
        <v>Ago</v>
      </c>
      <c r="O318" s="3675" t="str">
        <f t="shared" si="53"/>
        <v>Set</v>
      </c>
      <c r="P318" s="3675" t="str">
        <f t="shared" si="53"/>
        <v>Oct</v>
      </c>
      <c r="Q318" s="3675" t="str">
        <f t="shared" si="53"/>
        <v>Nov</v>
      </c>
      <c r="R318" s="3675" t="str">
        <f t="shared" si="53"/>
        <v>Dic</v>
      </c>
      <c r="S318" s="3676" t="s">
        <v>1391</v>
      </c>
      <c r="T318" s="3440"/>
      <c r="U318" s="3440"/>
      <c r="V318" s="3440"/>
      <c r="W318" s="3440"/>
      <c r="X318" s="3440"/>
      <c r="Y318" s="3440"/>
      <c r="Z318" s="3440"/>
    </row>
    <row r="319" spans="1:26" s="3452" customFormat="1" x14ac:dyDescent="0.3">
      <c r="B319" s="3677" t="s">
        <v>2131</v>
      </c>
      <c r="C319" s="3678"/>
      <c r="D319" s="3679" t="s">
        <v>354</v>
      </c>
      <c r="E319" s="3680"/>
      <c r="F319" s="3680"/>
      <c r="G319" s="3507">
        <f>A.Ganaderos!F26+A.Ganaderos!F52+A.Ganaderos!F79+A.Ganaderos!F108+A.Ganaderos!F135</f>
        <v>0</v>
      </c>
      <c r="H319" s="3508">
        <f>A.Ganaderos!G26+A.Ganaderos!G52+A.Ganaderos!G79+A.Ganaderos!G108+A.Ganaderos!G135</f>
        <v>0</v>
      </c>
      <c r="I319" s="3508">
        <f>A.Ganaderos!H26+A.Ganaderos!H52+A.Ganaderos!H79+A.Ganaderos!H108+A.Ganaderos!H135</f>
        <v>0</v>
      </c>
      <c r="J319" s="3508">
        <f>A.Ganaderos!I26+A.Ganaderos!I52+A.Ganaderos!I79+A.Ganaderos!I108+A.Ganaderos!I135</f>
        <v>0</v>
      </c>
      <c r="K319" s="3508">
        <f>A.Ganaderos!J26+A.Ganaderos!J52+A.Ganaderos!J79+A.Ganaderos!J108+A.Ganaderos!J135</f>
        <v>0</v>
      </c>
      <c r="L319" s="3508">
        <f>A.Ganaderos!K26+A.Ganaderos!K52+A.Ganaderos!K79+A.Ganaderos!K108+A.Ganaderos!K135</f>
        <v>0</v>
      </c>
      <c r="M319" s="3508">
        <f>A.Ganaderos!L26+A.Ganaderos!L52+A.Ganaderos!L79+A.Ganaderos!L108+A.Ganaderos!L135</f>
        <v>0</v>
      </c>
      <c r="N319" s="3508">
        <f>A.Ganaderos!M26+A.Ganaderos!M52+A.Ganaderos!M79+A.Ganaderos!M108+A.Ganaderos!M135</f>
        <v>0</v>
      </c>
      <c r="O319" s="3508">
        <f>A.Ganaderos!N26+A.Ganaderos!N52+A.Ganaderos!N79+A.Ganaderos!N108+A.Ganaderos!N135</f>
        <v>0</v>
      </c>
      <c r="P319" s="3508">
        <f>A.Ganaderos!O26+A.Ganaderos!O52+A.Ganaderos!O79+A.Ganaderos!O108+A.Ganaderos!O135</f>
        <v>0</v>
      </c>
      <c r="Q319" s="3508">
        <f>A.Ganaderos!P26+A.Ganaderos!P52+A.Ganaderos!P79+A.Ganaderos!P108+A.Ganaderos!P135</f>
        <v>0</v>
      </c>
      <c r="R319" s="3509">
        <f>A.Ganaderos!Q26+A.Ganaderos!Q52+A.Ganaderos!Q79+A.Ganaderos!Q108+A.Ganaderos!Q135</f>
        <v>0</v>
      </c>
      <c r="S319" s="3681"/>
    </row>
    <row r="320" spans="1:26" s="3452" customFormat="1" x14ac:dyDescent="0.3">
      <c r="B320" s="3512" t="s">
        <v>2123</v>
      </c>
      <c r="C320" s="3523"/>
      <c r="D320" s="3616" t="s">
        <v>1429</v>
      </c>
      <c r="E320" s="3437"/>
      <c r="F320" s="3437"/>
      <c r="G320" s="3623">
        <f>IF(G319=0,0,A.Ganaderos!F239/G319)</f>
        <v>0</v>
      </c>
      <c r="H320" s="3624">
        <f>IF(H319=0,0,A.Ganaderos!G239/H319)</f>
        <v>0</v>
      </c>
      <c r="I320" s="3624">
        <f>IF(I319=0,0,A.Ganaderos!H239/I319)</f>
        <v>0</v>
      </c>
      <c r="J320" s="3624">
        <f>IF(J319=0,0,A.Ganaderos!I239/J319)</f>
        <v>0</v>
      </c>
      <c r="K320" s="3624">
        <f>IF(K319=0,0,A.Ganaderos!J239/K319)</f>
        <v>0</v>
      </c>
      <c r="L320" s="3624">
        <f>IF(L319=0,0,A.Ganaderos!K239/L319)</f>
        <v>0</v>
      </c>
      <c r="M320" s="3624">
        <f>IF(M319=0,0,A.Ganaderos!L239/M319)</f>
        <v>0</v>
      </c>
      <c r="N320" s="3624">
        <f>IF(N319=0,0,A.Ganaderos!M239/N319)</f>
        <v>0</v>
      </c>
      <c r="O320" s="3624">
        <f>IF(O319=0,0,A.Ganaderos!N239/O319)</f>
        <v>0</v>
      </c>
      <c r="P320" s="3624">
        <f>IF(P319=0,0,A.Ganaderos!O239/P319)</f>
        <v>0</v>
      </c>
      <c r="Q320" s="3624">
        <f>IF(Q319=0,0,A.Ganaderos!P239/Q319)</f>
        <v>0</v>
      </c>
      <c r="R320" s="3625">
        <f>IF(R319=0,0,A.Ganaderos!Q239/R319)</f>
        <v>0</v>
      </c>
      <c r="S320" s="3522"/>
    </row>
    <row r="321" spans="1:33" s="3440" customFormat="1" x14ac:dyDescent="0.3">
      <c r="A321" s="3451"/>
      <c r="B321" s="3517" t="s">
        <v>1427</v>
      </c>
      <c r="C321" s="3518"/>
      <c r="D321" s="3626"/>
      <c r="E321" s="3518"/>
      <c r="F321" s="3518"/>
      <c r="G321" s="3519"/>
      <c r="H321" s="3519"/>
      <c r="I321" s="3519"/>
      <c r="J321" s="3519"/>
      <c r="K321" s="3519"/>
      <c r="L321" s="3519"/>
      <c r="M321" s="3519"/>
      <c r="N321" s="3519"/>
      <c r="O321" s="3519"/>
      <c r="P321" s="3519"/>
      <c r="Q321" s="3519"/>
      <c r="R321" s="3519"/>
      <c r="S321" s="3520"/>
      <c r="U321" s="3453"/>
      <c r="V321" s="3664"/>
      <c r="W321" s="3664"/>
      <c r="X321" s="3664"/>
      <c r="Y321" s="3664"/>
      <c r="Z321" s="3664"/>
      <c r="AA321" s="3664"/>
      <c r="AB321" s="3664"/>
      <c r="AC321" s="3664"/>
      <c r="AD321" s="3664"/>
      <c r="AE321" s="3664"/>
      <c r="AF321" s="3664"/>
      <c r="AG321" s="3664"/>
    </row>
    <row r="322" spans="1:33" s="3452" customFormat="1" x14ac:dyDescent="0.3">
      <c r="B322" s="3512" t="s">
        <v>1389</v>
      </c>
      <c r="C322" s="3437"/>
      <c r="D322" s="3616" t="s">
        <v>2128</v>
      </c>
      <c r="E322" s="3453"/>
      <c r="F322" s="3453"/>
      <c r="G322" s="3527">
        <f>IF(G319=0,0,G334/G$319/A.Lecheros!F11)</f>
        <v>0</v>
      </c>
      <c r="H322" s="3528">
        <f>IF(H319=0,0,H334/H$319/A.Lecheros!G11)</f>
        <v>0</v>
      </c>
      <c r="I322" s="3528">
        <f>IF(I319=0,0,I334/I$319/A.Lecheros!H11)</f>
        <v>0</v>
      </c>
      <c r="J322" s="3528">
        <f>IF(J319=0,0,J334/J$319/A.Lecheros!I11)</f>
        <v>0</v>
      </c>
      <c r="K322" s="3528">
        <f>IF(K319=0,0,K334/K$319/A.Lecheros!J11)</f>
        <v>0</v>
      </c>
      <c r="L322" s="3528">
        <f>IF(L319=0,0,L334/L$319/A.Lecheros!K11)</f>
        <v>0</v>
      </c>
      <c r="M322" s="3528">
        <f>IF(M319=0,0,M334/M$319/A.Lecheros!L11)</f>
        <v>0</v>
      </c>
      <c r="N322" s="3528">
        <f>IF(N319=0,0,N334/N$319/A.Lecheros!M11)</f>
        <v>0</v>
      </c>
      <c r="O322" s="3528">
        <f>IF(O319=0,0,O334/O$319/A.Lecheros!N11)</f>
        <v>0</v>
      </c>
      <c r="P322" s="3528">
        <f>IF(P319=0,0,P334/P$319/A.Lecheros!O11)</f>
        <v>0</v>
      </c>
      <c r="Q322" s="3528">
        <f>IF(Q319=0,0,Q334/Q$319/A.Lecheros!P11)</f>
        <v>0</v>
      </c>
      <c r="R322" s="3529">
        <f>IF(R319=0,0,R334/R$319/A.Lecheros!Q11)</f>
        <v>0</v>
      </c>
      <c r="S322" s="3522"/>
    </row>
    <row r="323" spans="1:33" s="3452" customFormat="1" x14ac:dyDescent="0.3">
      <c r="B323" s="3512" t="s">
        <v>1388</v>
      </c>
      <c r="C323" s="3437"/>
      <c r="D323" s="3616" t="s">
        <v>2128</v>
      </c>
      <c r="E323" s="3437"/>
      <c r="F323" s="3437"/>
      <c r="G323" s="3530">
        <f>IF(G319=0,0,G335/G$319/A.Lecheros!F11)</f>
        <v>0</v>
      </c>
      <c r="H323" s="3531">
        <f>IF(H319=0,0,H335/H$319/A.Lecheros!G11)</f>
        <v>0</v>
      </c>
      <c r="I323" s="3531">
        <f>IF(I319=0,0,I335/I$319/A.Lecheros!H11)</f>
        <v>0</v>
      </c>
      <c r="J323" s="3531">
        <f>IF(J319=0,0,J335/J$319/A.Lecheros!I11)</f>
        <v>0</v>
      </c>
      <c r="K323" s="3531">
        <f>IF(K319=0,0,K335/K$319/A.Lecheros!J11)</f>
        <v>0</v>
      </c>
      <c r="L323" s="3531">
        <f>IF(L319=0,0,L335/L$319/A.Lecheros!K11)</f>
        <v>0</v>
      </c>
      <c r="M323" s="3531">
        <f>IF(M319=0,0,M335/M$319/A.Lecheros!L11)</f>
        <v>0</v>
      </c>
      <c r="N323" s="3531">
        <f>IF(N319=0,0,N335/N$319/A.Lecheros!M11)</f>
        <v>0</v>
      </c>
      <c r="O323" s="3531">
        <f>IF(O319=0,0,O335/O$319/A.Lecheros!N11)</f>
        <v>0</v>
      </c>
      <c r="P323" s="3531">
        <f>IF(P319=0,0,P335/P$319/A.Lecheros!O11)</f>
        <v>0</v>
      </c>
      <c r="Q323" s="3531">
        <f>IF(Q319=0,0,Q335/Q$319/A.Lecheros!P11)</f>
        <v>0</v>
      </c>
      <c r="R323" s="3532">
        <f>IF(R319=0,0,R335/R$319/A.Lecheros!Q11)</f>
        <v>0</v>
      </c>
      <c r="S323" s="3522"/>
    </row>
    <row r="324" spans="1:33" s="3452" customFormat="1" x14ac:dyDescent="0.3">
      <c r="B324" s="3512" t="s">
        <v>1390</v>
      </c>
      <c r="C324" s="3437"/>
      <c r="D324" s="3616" t="s">
        <v>2128</v>
      </c>
      <c r="E324" s="3437"/>
      <c r="F324" s="3437"/>
      <c r="G324" s="3513">
        <f>IF(G319=0,0,G336/G$319/A.Lecheros!F11)</f>
        <v>0</v>
      </c>
      <c r="H324" s="3514">
        <f>IF(H319=0,0,H336/H$319/A.Lecheros!G11)</f>
        <v>0</v>
      </c>
      <c r="I324" s="3514">
        <f>IF(I319=0,0,I336/I$319/A.Lecheros!H11)</f>
        <v>0</v>
      </c>
      <c r="J324" s="3514">
        <f>IF(J319=0,0,J336/J$319/A.Lecheros!I11)</f>
        <v>0</v>
      </c>
      <c r="K324" s="3514">
        <f>IF(K319=0,0,K336/K$319/A.Lecheros!J11)</f>
        <v>0</v>
      </c>
      <c r="L324" s="3514">
        <f>IF(L319=0,0,L336/L$319/A.Lecheros!K11)</f>
        <v>0</v>
      </c>
      <c r="M324" s="3514">
        <f>IF(M319=0,0,M336/M$319/A.Lecheros!L11)</f>
        <v>0</v>
      </c>
      <c r="N324" s="3514">
        <f>IF(N319=0,0,N336/N$319/A.Lecheros!M11)</f>
        <v>0</v>
      </c>
      <c r="O324" s="3514">
        <f>IF(O319=0,0,O336/O$319/A.Lecheros!N11)</f>
        <v>0</v>
      </c>
      <c r="P324" s="3514">
        <f>IF(P319=0,0,P336/P$319/A.Lecheros!O11)</f>
        <v>0</v>
      </c>
      <c r="Q324" s="3514">
        <f>IF(Q319=0,0,Q336/Q$319/A.Lecheros!P11)</f>
        <v>0</v>
      </c>
      <c r="R324" s="3515">
        <f>IF(R319=0,0,R336/R$319/A.Lecheros!Q11)</f>
        <v>0</v>
      </c>
      <c r="S324" s="3522"/>
    </row>
    <row r="325" spans="1:33" s="3440" customFormat="1" x14ac:dyDescent="0.3">
      <c r="A325" s="3451"/>
      <c r="B325" s="3517" t="s">
        <v>1426</v>
      </c>
      <c r="C325" s="3518"/>
      <c r="D325" s="3626"/>
      <c r="E325" s="3518"/>
      <c r="F325" s="3518"/>
      <c r="G325" s="3519"/>
      <c r="H325" s="3519"/>
      <c r="I325" s="3519"/>
      <c r="J325" s="3519"/>
      <c r="K325" s="3519"/>
      <c r="L325" s="3519"/>
      <c r="M325" s="3519"/>
      <c r="N325" s="3519"/>
      <c r="O325" s="3519"/>
      <c r="P325" s="3519"/>
      <c r="Q325" s="3519"/>
      <c r="R325" s="3519"/>
      <c r="S325" s="3520"/>
    </row>
    <row r="326" spans="1:33" s="3440" customFormat="1" x14ac:dyDescent="0.3">
      <c r="A326" s="3436"/>
      <c r="B326" s="3512" t="s">
        <v>534</v>
      </c>
      <c r="C326" s="3437"/>
      <c r="D326" s="3616" t="s">
        <v>2128</v>
      </c>
      <c r="E326" s="3453"/>
      <c r="F326" s="3453"/>
      <c r="G326" s="3527">
        <f>IF(G319=0,0,G339/G$319/A.Lecheros!F11)</f>
        <v>0</v>
      </c>
      <c r="H326" s="3528">
        <f>IF(H319=0,0,H339/H$319/A.Lecheros!G11)</f>
        <v>0</v>
      </c>
      <c r="I326" s="3528">
        <f>IF(I319=0,0,I339/I$319/A.Lecheros!H11)</f>
        <v>0</v>
      </c>
      <c r="J326" s="3528">
        <f>IF(J319=0,0,J339/J$319/A.Lecheros!I11)</f>
        <v>0</v>
      </c>
      <c r="K326" s="3528">
        <f>IF(K319=0,0,K339/K$319/A.Lecheros!J11)</f>
        <v>0</v>
      </c>
      <c r="L326" s="3528">
        <f>IF(L319=0,0,L339/L$319/A.Lecheros!K11)</f>
        <v>0</v>
      </c>
      <c r="M326" s="3528">
        <f>IF(M319=0,0,M339/M$319/A.Lecheros!L11)</f>
        <v>0</v>
      </c>
      <c r="N326" s="3528">
        <f>IF(N319=0,0,N339/N$319/A.Lecheros!M11)</f>
        <v>0</v>
      </c>
      <c r="O326" s="3528">
        <f>IF(O319=0,0,O339/O$319/A.Lecheros!N11)</f>
        <v>0</v>
      </c>
      <c r="P326" s="3528">
        <f>IF(P319=0,0,P339/P$319/A.Lecheros!O11)</f>
        <v>0</v>
      </c>
      <c r="Q326" s="3528">
        <f>IF(Q319=0,0,Q339/Q$319/A.Lecheros!P11)</f>
        <v>0</v>
      </c>
      <c r="R326" s="3529">
        <f>IF(R319=0,0,R339/R$319/A.Lecheros!Q11)</f>
        <v>0</v>
      </c>
      <c r="S326" s="3516" t="e">
        <f>+SUMPRODUCT(G326:R326,$G$253:$R$253)/AVERAGE($G$253:$R$253)/12</f>
        <v>#DIV/0!</v>
      </c>
      <c r="U326" s="3664"/>
      <c r="V326" s="3664"/>
      <c r="W326" s="3664"/>
      <c r="X326" s="3664"/>
      <c r="Y326" s="3664"/>
      <c r="Z326" s="3664"/>
      <c r="AA326" s="3664"/>
      <c r="AB326" s="3664"/>
      <c r="AC326" s="3664"/>
      <c r="AD326" s="3664"/>
      <c r="AE326" s="3664"/>
      <c r="AF326" s="3664"/>
      <c r="AG326" s="3664"/>
    </row>
    <row r="327" spans="1:33" s="3440" customFormat="1" x14ac:dyDescent="0.3">
      <c r="A327" s="3451"/>
      <c r="B327" s="3512" t="s">
        <v>535</v>
      </c>
      <c r="C327" s="3437"/>
      <c r="D327" s="3616" t="s">
        <v>2128</v>
      </c>
      <c r="E327" s="3437"/>
      <c r="F327" s="3437"/>
      <c r="G327" s="3530">
        <f>IF(G319=0,0,G340/G$319/A.Lecheros!F11)</f>
        <v>0</v>
      </c>
      <c r="H327" s="3531">
        <f>IF(H319=0,0,H340/H$319/A.Lecheros!G11)</f>
        <v>0</v>
      </c>
      <c r="I327" s="3531">
        <f>IF(I319=0,0,I340/I$319/A.Lecheros!H11)</f>
        <v>0</v>
      </c>
      <c r="J327" s="3531">
        <f>IF(J319=0,0,J340/J$319/A.Lecheros!I11)</f>
        <v>0</v>
      </c>
      <c r="K327" s="3531">
        <f>IF(K319=0,0,K340/K$319/A.Lecheros!J11)</f>
        <v>0</v>
      </c>
      <c r="L327" s="3531">
        <f>IF(L319=0,0,L340/L$319/A.Lecheros!K11)</f>
        <v>0</v>
      </c>
      <c r="M327" s="3531">
        <f>IF(M319=0,0,M340/M$319/A.Lecheros!L11)</f>
        <v>0</v>
      </c>
      <c r="N327" s="3531">
        <f>IF(N319=0,0,N340/N$319/A.Lecheros!M11)</f>
        <v>0</v>
      </c>
      <c r="O327" s="3531">
        <f>IF(O319=0,0,O340/O$319/A.Lecheros!N11)</f>
        <v>0</v>
      </c>
      <c r="P327" s="3531">
        <f>IF(P319=0,0,P340/P$319/A.Lecheros!O11)</f>
        <v>0</v>
      </c>
      <c r="Q327" s="3531">
        <f>IF(Q319=0,0,Q340/Q$319/A.Lecheros!P11)</f>
        <v>0</v>
      </c>
      <c r="R327" s="3532">
        <f>IF(R319=0,0,R340/R$319/A.Lecheros!Q11)</f>
        <v>0</v>
      </c>
      <c r="S327" s="3516" t="e">
        <f>+SUMPRODUCT(G327:R327,$G$253:$R$253)/AVERAGE($G$253:$R$253)/12</f>
        <v>#DIV/0!</v>
      </c>
    </row>
    <row r="328" spans="1:33" s="3440" customFormat="1" ht="15.05" thickBot="1" x14ac:dyDescent="0.35">
      <c r="A328" s="3451"/>
      <c r="B328" s="3533" t="s">
        <v>545</v>
      </c>
      <c r="C328" s="3534"/>
      <c r="D328" s="3637" t="s">
        <v>2128</v>
      </c>
      <c r="E328" s="3534"/>
      <c r="F328" s="3534"/>
      <c r="G328" s="3535">
        <f>IF(G319=0,0,G347/G$319/A.Lecheros!F11)</f>
        <v>0</v>
      </c>
      <c r="H328" s="3536">
        <f>IF(H319=0,0,H347/H$319/A.Lecheros!G11)</f>
        <v>0</v>
      </c>
      <c r="I328" s="3536">
        <f>IF(I319=0,0,I347/I$319/A.Lecheros!H11)</f>
        <v>0</v>
      </c>
      <c r="J328" s="3536">
        <f>IF(J319=0,0,J347/J$319/A.Lecheros!I11)</f>
        <v>0</v>
      </c>
      <c r="K328" s="3536">
        <f>IF(K319=0,0,K347/K$319/A.Lecheros!J11)</f>
        <v>0</v>
      </c>
      <c r="L328" s="3536">
        <f>IF(L319=0,0,L347/L$319/A.Lecheros!K11)</f>
        <v>0</v>
      </c>
      <c r="M328" s="3536">
        <f>IF(M319=0,0,M347/M$319/A.Lecheros!L11)</f>
        <v>0</v>
      </c>
      <c r="N328" s="3536">
        <f>IF(N319=0,0,N347/N$319/A.Lecheros!M11)</f>
        <v>0</v>
      </c>
      <c r="O328" s="3536">
        <f>IF(O319=0,0,O347/O$319/A.Lecheros!N11)</f>
        <v>0</v>
      </c>
      <c r="P328" s="3536">
        <f>IF(P319=0,0,P347/P$319/A.Lecheros!O11)</f>
        <v>0</v>
      </c>
      <c r="Q328" s="3536">
        <f>IF(Q319=0,0,Q347/Q$319/A.Lecheros!P11)</f>
        <v>0</v>
      </c>
      <c r="R328" s="3537">
        <f>IF(R319=0,0,R347/R$319/A.Lecheros!Q11)</f>
        <v>0</v>
      </c>
      <c r="S328" s="3548" t="e">
        <f>+SUMPRODUCT(G328:R328,$G$253:$R$253)/AVERAGE($G$253:$R$253)/12</f>
        <v>#DIV/0!</v>
      </c>
    </row>
    <row r="329" spans="1:33" s="3440" customFormat="1" x14ac:dyDescent="0.3">
      <c r="A329" s="3451"/>
      <c r="B329" s="3682" t="s">
        <v>1433</v>
      </c>
      <c r="C329" s="3643"/>
      <c r="D329" s="3642" t="s">
        <v>2128</v>
      </c>
      <c r="E329" s="3643"/>
      <c r="F329" s="3643"/>
      <c r="G329" s="3644">
        <f>+SUM(G326:G328)</f>
        <v>0</v>
      </c>
      <c r="H329" s="3645">
        <f t="shared" ref="H329:R329" si="54">+SUM(H326:H328)</f>
        <v>0</v>
      </c>
      <c r="I329" s="3645">
        <f t="shared" si="54"/>
        <v>0</v>
      </c>
      <c r="J329" s="3645">
        <f t="shared" si="54"/>
        <v>0</v>
      </c>
      <c r="K329" s="3645">
        <f t="shared" si="54"/>
        <v>0</v>
      </c>
      <c r="L329" s="3645">
        <f t="shared" si="54"/>
        <v>0</v>
      </c>
      <c r="M329" s="3645">
        <f t="shared" si="54"/>
        <v>0</v>
      </c>
      <c r="N329" s="3645">
        <f t="shared" si="54"/>
        <v>0</v>
      </c>
      <c r="O329" s="3645">
        <f t="shared" si="54"/>
        <v>0</v>
      </c>
      <c r="P329" s="3645">
        <f t="shared" si="54"/>
        <v>0</v>
      </c>
      <c r="Q329" s="3645">
        <f t="shared" si="54"/>
        <v>0</v>
      </c>
      <c r="R329" s="3646">
        <f t="shared" si="54"/>
        <v>0</v>
      </c>
      <c r="S329" s="3647" t="e">
        <f>+SUMPRODUCT(G329:R329,$G$253:$R$253)/AVERAGE($G$253:$R$253)/12</f>
        <v>#DIV/0!</v>
      </c>
    </row>
    <row r="330" spans="1:33" s="3440" customFormat="1" ht="15.05" thickBot="1" x14ac:dyDescent="0.35">
      <c r="A330" s="3451"/>
      <c r="B330" s="3517" t="s">
        <v>1614</v>
      </c>
      <c r="C330" s="3518"/>
      <c r="D330" s="3626"/>
      <c r="E330" s="3518"/>
      <c r="F330" s="3518"/>
      <c r="G330" s="3519"/>
      <c r="H330" s="3519"/>
      <c r="I330" s="3519"/>
      <c r="J330" s="3519"/>
      <c r="K330" s="3519"/>
      <c r="L330" s="3519"/>
      <c r="M330" s="3519"/>
      <c r="N330" s="3519"/>
      <c r="O330" s="3519"/>
      <c r="P330" s="3519"/>
      <c r="Q330" s="3519"/>
      <c r="R330" s="3519"/>
      <c r="S330" s="3520"/>
    </row>
    <row r="331" spans="1:33" s="3649" customFormat="1" ht="15.05" hidden="1" thickBot="1" x14ac:dyDescent="0.35">
      <c r="A331" s="3496" t="s">
        <v>1125</v>
      </c>
      <c r="B331" s="3542" t="s">
        <v>547</v>
      </c>
      <c r="C331" s="3538"/>
      <c r="D331" s="3683"/>
      <c r="E331" s="3538"/>
      <c r="F331" s="3538"/>
      <c r="G331" s="3611">
        <f>G347/0.86/(1-General!$I$114/100)</f>
        <v>0</v>
      </c>
      <c r="H331" s="3611">
        <f>H347/0.86/(1-General!$I$114/100)</f>
        <v>0</v>
      </c>
      <c r="I331" s="3611">
        <f>I347/0.86/(1-General!$I$114/100)</f>
        <v>0</v>
      </c>
      <c r="J331" s="3611">
        <f>J347/0.86/(1-General!$I$114/100)</f>
        <v>0</v>
      </c>
      <c r="K331" s="3611">
        <f>K347/0.86/(1-General!$I$114/100)</f>
        <v>0</v>
      </c>
      <c r="L331" s="3611">
        <f>L347/0.86/(1-General!$I$114/100)</f>
        <v>0</v>
      </c>
      <c r="M331" s="3611">
        <f>M347/0.86/(1-General!$I$114/100)</f>
        <v>0</v>
      </c>
      <c r="N331" s="3611">
        <f>N347/0.86/(1-General!$I$114/100)</f>
        <v>0</v>
      </c>
      <c r="O331" s="3611">
        <f>O347/0.86/(1-General!$I$114/100)</f>
        <v>0</v>
      </c>
      <c r="P331" s="3611">
        <f>P347/0.86/(1-General!$I$114/100)</f>
        <v>0</v>
      </c>
      <c r="Q331" s="3611">
        <f>Q347/0.86/(1-General!$I$114/100)</f>
        <v>0</v>
      </c>
      <c r="R331" s="3684">
        <f>R347/0.86/(1-General!$I$114/100)</f>
        <v>0</v>
      </c>
      <c r="S331" s="3685" t="e">
        <f>+SUMPRODUCT(G331:R331,$G$253:$R$253)/AVERAGE($G$253:$R$253)/12</f>
        <v>#DIV/0!</v>
      </c>
    </row>
    <row r="332" spans="1:33" s="3649" customFormat="1" x14ac:dyDescent="0.3">
      <c r="B332" s="3512" t="s">
        <v>1616</v>
      </c>
      <c r="C332" s="3437"/>
      <c r="D332" s="3616" t="s">
        <v>1374</v>
      </c>
      <c r="E332" s="3437"/>
      <c r="F332" s="3437"/>
      <c r="G332" s="3650">
        <f>IF(G319=0,0,G348/G319/A.Lecheros!F11)</f>
        <v>0</v>
      </c>
      <c r="H332" s="3651">
        <f>IF(H319=0,0,H348/H319/A.Lecheros!G11)</f>
        <v>0</v>
      </c>
      <c r="I332" s="3651">
        <f>IF(I319=0,0,I348/I319/A.Lecheros!H11)</f>
        <v>0</v>
      </c>
      <c r="J332" s="3651">
        <f>IF(J319=0,0,J348/J319/A.Lecheros!I11)</f>
        <v>0</v>
      </c>
      <c r="K332" s="3651">
        <f>IF(K319=0,0,K348/K319/A.Lecheros!J11)</f>
        <v>0</v>
      </c>
      <c r="L332" s="3651">
        <f>IF(L319=0,0,L348/L319/A.Lecheros!K11)</f>
        <v>0</v>
      </c>
      <c r="M332" s="3651">
        <f>IF(M319=0,0,M348/M319/A.Lecheros!L11)</f>
        <v>0</v>
      </c>
      <c r="N332" s="3651">
        <f>IF(N319=0,0,N348/N319/A.Lecheros!M11)</f>
        <v>0</v>
      </c>
      <c r="O332" s="3651">
        <f>IF(O319=0,0,O348/O319/A.Lecheros!N11)</f>
        <v>0</v>
      </c>
      <c r="P332" s="3651">
        <f>IF(P319=0,0,P348/P319/A.Lecheros!O11)</f>
        <v>0</v>
      </c>
      <c r="Q332" s="3651">
        <f>IF(Q319=0,0,Q348/Q319/A.Lecheros!P11)</f>
        <v>0</v>
      </c>
      <c r="R332" s="3652">
        <f>IF(R319=0,0,R348/R319/A.Lecheros!Q11)</f>
        <v>0</v>
      </c>
      <c r="S332" s="3647" t="e">
        <f>+SUMPRODUCT(G332:R332,$G$319:$R$319)/AVERAGE($G$319:$R$319)/12</f>
        <v>#DIV/0!</v>
      </c>
    </row>
    <row r="333" spans="1:33" s="3649" customFormat="1" ht="15.05" thickBot="1" x14ac:dyDescent="0.35">
      <c r="B333" s="3563" t="s">
        <v>2132</v>
      </c>
      <c r="C333" s="3564"/>
      <c r="D333" s="3654" t="s">
        <v>358</v>
      </c>
      <c r="E333" s="3564"/>
      <c r="F333" s="3564"/>
      <c r="G333" s="3686">
        <f t="shared" ref="G333:R333" si="55">IF(G319=0,0,G332/G320)</f>
        <v>0</v>
      </c>
      <c r="H333" s="3687">
        <f t="shared" si="55"/>
        <v>0</v>
      </c>
      <c r="I333" s="3687">
        <f t="shared" si="55"/>
        <v>0</v>
      </c>
      <c r="J333" s="3687">
        <f t="shared" si="55"/>
        <v>0</v>
      </c>
      <c r="K333" s="3687">
        <f t="shared" si="55"/>
        <v>0</v>
      </c>
      <c r="L333" s="3687">
        <f>IF(L319=0,0,L332/L320)</f>
        <v>0</v>
      </c>
      <c r="M333" s="3687">
        <f t="shared" si="55"/>
        <v>0</v>
      </c>
      <c r="N333" s="3687">
        <f t="shared" si="55"/>
        <v>0</v>
      </c>
      <c r="O333" s="3687">
        <f t="shared" si="55"/>
        <v>0</v>
      </c>
      <c r="P333" s="3687">
        <f t="shared" si="55"/>
        <v>0</v>
      </c>
      <c r="Q333" s="3687">
        <f t="shared" si="55"/>
        <v>0</v>
      </c>
      <c r="R333" s="3688">
        <f t="shared" si="55"/>
        <v>0</v>
      </c>
      <c r="S333" s="3689">
        <f>+AVERAGE(G333:R333)</f>
        <v>0</v>
      </c>
    </row>
    <row r="334" spans="1:33" s="3440" customFormat="1" hidden="1" x14ac:dyDescent="0.3">
      <c r="A334" s="3496" t="s">
        <v>1125</v>
      </c>
      <c r="B334" s="3690" t="s">
        <v>285</v>
      </c>
      <c r="C334" s="3498"/>
      <c r="D334" s="3618"/>
      <c r="E334" s="3498"/>
      <c r="F334" s="3498"/>
      <c r="G334" s="3499">
        <f>UsoSuelo!S878</f>
        <v>0</v>
      </c>
      <c r="H334" s="3499">
        <f>UsoSuelo!T878</f>
        <v>0</v>
      </c>
      <c r="I334" s="3499">
        <f>UsoSuelo!U878</f>
        <v>0</v>
      </c>
      <c r="J334" s="3499">
        <f>UsoSuelo!V878</f>
        <v>0</v>
      </c>
      <c r="K334" s="3499">
        <f>UsoSuelo!W878</f>
        <v>0</v>
      </c>
      <c r="L334" s="3499">
        <f>UsoSuelo!X878</f>
        <v>0</v>
      </c>
      <c r="M334" s="3499">
        <f>UsoSuelo!Y878</f>
        <v>0</v>
      </c>
      <c r="N334" s="3499">
        <f>UsoSuelo!Z878</f>
        <v>0</v>
      </c>
      <c r="O334" s="3499">
        <f>UsoSuelo!AA878</f>
        <v>0</v>
      </c>
      <c r="P334" s="3499">
        <f>UsoSuelo!AB878</f>
        <v>0</v>
      </c>
      <c r="Q334" s="3499">
        <f>UsoSuelo!AC878</f>
        <v>0</v>
      </c>
      <c r="R334" s="3691">
        <f>UsoSuelo!AD878</f>
        <v>0</v>
      </c>
      <c r="S334" s="3453"/>
    </row>
    <row r="335" spans="1:33" s="3440" customFormat="1" hidden="1" x14ac:dyDescent="0.3">
      <c r="A335" s="3496" t="s">
        <v>1125</v>
      </c>
      <c r="B335" s="3690" t="s">
        <v>251</v>
      </c>
      <c r="C335" s="3498"/>
      <c r="D335" s="3618"/>
      <c r="E335" s="3498"/>
      <c r="F335" s="3498"/>
      <c r="G335" s="3499">
        <f>A.Ganaderos!F237</f>
        <v>0</v>
      </c>
      <c r="H335" s="3499">
        <f>A.Ganaderos!G237</f>
        <v>0</v>
      </c>
      <c r="I335" s="3499">
        <f>A.Ganaderos!H237</f>
        <v>0</v>
      </c>
      <c r="J335" s="3499">
        <f>A.Ganaderos!I237</f>
        <v>0</v>
      </c>
      <c r="K335" s="3499">
        <f>A.Ganaderos!J237</f>
        <v>0</v>
      </c>
      <c r="L335" s="3499">
        <f>A.Ganaderos!K237</f>
        <v>0</v>
      </c>
      <c r="M335" s="3499">
        <f>A.Ganaderos!L237</f>
        <v>0</v>
      </c>
      <c r="N335" s="3499">
        <f>A.Ganaderos!M237</f>
        <v>0</v>
      </c>
      <c r="O335" s="3499">
        <f>A.Ganaderos!N237</f>
        <v>0</v>
      </c>
      <c r="P335" s="3499">
        <f>A.Ganaderos!O237</f>
        <v>0</v>
      </c>
      <c r="Q335" s="3499">
        <f>A.Ganaderos!P237</f>
        <v>0</v>
      </c>
      <c r="R335" s="3691">
        <f>A.Ganaderos!Q237</f>
        <v>0</v>
      </c>
      <c r="S335" s="3453"/>
    </row>
    <row r="336" spans="1:33" s="3452" customFormat="1" hidden="1" x14ac:dyDescent="0.3">
      <c r="A336" s="3496" t="s">
        <v>1125</v>
      </c>
      <c r="B336" s="3690" t="s">
        <v>1474</v>
      </c>
      <c r="C336" s="3498"/>
      <c r="D336" s="3618"/>
      <c r="E336" s="3498"/>
      <c r="F336" s="3498"/>
      <c r="G336" s="3499">
        <f>G334-G335</f>
        <v>0</v>
      </c>
      <c r="H336" s="3499">
        <f t="shared" ref="H336:R336" si="56">H334-H335</f>
        <v>0</v>
      </c>
      <c r="I336" s="3499">
        <f t="shared" si="56"/>
        <v>0</v>
      </c>
      <c r="J336" s="3499">
        <f t="shared" si="56"/>
        <v>0</v>
      </c>
      <c r="K336" s="3499">
        <f t="shared" si="56"/>
        <v>0</v>
      </c>
      <c r="L336" s="3499">
        <f t="shared" si="56"/>
        <v>0</v>
      </c>
      <c r="M336" s="3499">
        <f t="shared" si="56"/>
        <v>0</v>
      </c>
      <c r="N336" s="3499">
        <f t="shared" si="56"/>
        <v>0</v>
      </c>
      <c r="O336" s="3499">
        <f t="shared" si="56"/>
        <v>0</v>
      </c>
      <c r="P336" s="3499">
        <f t="shared" si="56"/>
        <v>0</v>
      </c>
      <c r="Q336" s="3499">
        <f t="shared" si="56"/>
        <v>0</v>
      </c>
      <c r="R336" s="3691">
        <f t="shared" si="56"/>
        <v>0</v>
      </c>
      <c r="S336" s="3453"/>
    </row>
    <row r="337" spans="1:19" s="3649" customFormat="1" hidden="1" x14ac:dyDescent="0.3">
      <c r="A337" s="3496" t="s">
        <v>1125</v>
      </c>
      <c r="B337" s="3542" t="s">
        <v>1475</v>
      </c>
      <c r="C337" s="3692">
        <v>2.7E-2</v>
      </c>
      <c r="D337" s="3683" t="s">
        <v>358</v>
      </c>
      <c r="E337" s="3538" t="s">
        <v>1956</v>
      </c>
      <c r="F337" s="3538"/>
      <c r="G337" s="3611">
        <f>A.Ganaderos!F239*$C337*A.Lecheros!F11</f>
        <v>0</v>
      </c>
      <c r="H337" s="3611">
        <f>A.Ganaderos!G239*$C337*A.Lecheros!G11</f>
        <v>0</v>
      </c>
      <c r="I337" s="3611">
        <f>A.Ganaderos!H239*$C337*A.Lecheros!H11</f>
        <v>0</v>
      </c>
      <c r="J337" s="3611">
        <f>A.Ganaderos!I239*$C337*A.Lecheros!I11</f>
        <v>0</v>
      </c>
      <c r="K337" s="3611">
        <f>A.Ganaderos!J239*$C337*A.Lecheros!J11</f>
        <v>0</v>
      </c>
      <c r="L337" s="3611">
        <f>A.Ganaderos!K239*$C337*A.Lecheros!K11</f>
        <v>0</v>
      </c>
      <c r="M337" s="3611">
        <f>A.Ganaderos!L239*$C337*A.Lecheros!L11</f>
        <v>0</v>
      </c>
      <c r="N337" s="3611">
        <f>A.Ganaderos!M239*$C337*A.Lecheros!M11</f>
        <v>0</v>
      </c>
      <c r="O337" s="3611">
        <f>A.Ganaderos!N239*$C337*A.Lecheros!N11</f>
        <v>0</v>
      </c>
      <c r="P337" s="3611">
        <f>A.Ganaderos!O239*$C337*A.Lecheros!O11</f>
        <v>0</v>
      </c>
      <c r="Q337" s="3611">
        <f>A.Ganaderos!P239*$C337*A.Lecheros!P11</f>
        <v>0</v>
      </c>
      <c r="R337" s="3611">
        <f>A.Ganaderos!Q239*$C337*A.Lecheros!Q11</f>
        <v>0</v>
      </c>
      <c r="S337" s="3453"/>
    </row>
    <row r="338" spans="1:19" s="3649" customFormat="1" hidden="1" x14ac:dyDescent="0.3">
      <c r="A338" s="3496"/>
      <c r="B338" s="3542"/>
      <c r="C338" s="3692"/>
      <c r="D338" s="3683"/>
      <c r="E338" s="3538"/>
      <c r="F338" s="3538"/>
      <c r="G338" s="3611">
        <f t="shared" ref="G338:R338" si="57">+IF(G337&gt;G335,G335,G337)</f>
        <v>0</v>
      </c>
      <c r="H338" s="3611">
        <f t="shared" si="57"/>
        <v>0</v>
      </c>
      <c r="I338" s="3611">
        <f t="shared" si="57"/>
        <v>0</v>
      </c>
      <c r="J338" s="3611">
        <f t="shared" si="57"/>
        <v>0</v>
      </c>
      <c r="K338" s="3611">
        <f t="shared" si="57"/>
        <v>0</v>
      </c>
      <c r="L338" s="3611">
        <f t="shared" si="57"/>
        <v>0</v>
      </c>
      <c r="M338" s="3611">
        <f t="shared" si="57"/>
        <v>0</v>
      </c>
      <c r="N338" s="3611">
        <f t="shared" si="57"/>
        <v>0</v>
      </c>
      <c r="O338" s="3611">
        <f t="shared" si="57"/>
        <v>0</v>
      </c>
      <c r="P338" s="3611">
        <f t="shared" si="57"/>
        <v>0</v>
      </c>
      <c r="Q338" s="3611">
        <f t="shared" si="57"/>
        <v>0</v>
      </c>
      <c r="R338" s="3611">
        <f t="shared" si="57"/>
        <v>0</v>
      </c>
      <c r="S338" s="3453"/>
    </row>
    <row r="339" spans="1:19" s="3649" customFormat="1" ht="15.05" hidden="1" thickBot="1" x14ac:dyDescent="0.35">
      <c r="A339" s="3496" t="s">
        <v>1125</v>
      </c>
      <c r="B339" s="3542" t="s">
        <v>1955</v>
      </c>
      <c r="C339" s="3538"/>
      <c r="D339" s="3683"/>
      <c r="E339" s="3538" t="s">
        <v>1956</v>
      </c>
      <c r="F339" s="3538"/>
      <c r="G339" s="3611">
        <f t="shared" ref="G339:R339" si="58">IF(OR(G334&lt;G338,G334&lt;G335),G334,G338)</f>
        <v>0</v>
      </c>
      <c r="H339" s="3611">
        <f t="shared" si="58"/>
        <v>0</v>
      </c>
      <c r="I339" s="3611">
        <f t="shared" si="58"/>
        <v>0</v>
      </c>
      <c r="J339" s="3611">
        <f t="shared" si="58"/>
        <v>0</v>
      </c>
      <c r="K339" s="3611">
        <f t="shared" si="58"/>
        <v>0</v>
      </c>
      <c r="L339" s="3611">
        <f t="shared" si="58"/>
        <v>0</v>
      </c>
      <c r="M339" s="3611">
        <f t="shared" si="58"/>
        <v>0</v>
      </c>
      <c r="N339" s="3611">
        <f t="shared" si="58"/>
        <v>0</v>
      </c>
      <c r="O339" s="3611">
        <f t="shared" si="58"/>
        <v>0</v>
      </c>
      <c r="P339" s="3611">
        <f t="shared" si="58"/>
        <v>0</v>
      </c>
      <c r="Q339" s="3611">
        <f t="shared" si="58"/>
        <v>0</v>
      </c>
      <c r="R339" s="3611">
        <f t="shared" si="58"/>
        <v>0</v>
      </c>
      <c r="S339" s="3453"/>
    </row>
    <row r="340" spans="1:19" s="3649" customFormat="1" hidden="1" x14ac:dyDescent="0.3">
      <c r="A340" s="3496" t="s">
        <v>1125</v>
      </c>
      <c r="B340" s="3693" t="s">
        <v>544</v>
      </c>
      <c r="C340" s="3694"/>
      <c r="D340" s="3695"/>
      <c r="E340" s="3694"/>
      <c r="F340" s="3694"/>
      <c r="G340" s="3696">
        <f t="shared" ref="G340:R340" si="59">IF(G408&lt;0,0,IF((G335-G339)&lt;G408,(G335-G339),G408))</f>
        <v>0</v>
      </c>
      <c r="H340" s="3696">
        <f t="shared" si="59"/>
        <v>0</v>
      </c>
      <c r="I340" s="3696">
        <f t="shared" si="59"/>
        <v>0</v>
      </c>
      <c r="J340" s="3696">
        <f t="shared" si="59"/>
        <v>0</v>
      </c>
      <c r="K340" s="3696">
        <f t="shared" si="59"/>
        <v>0</v>
      </c>
      <c r="L340" s="3696">
        <f t="shared" si="59"/>
        <v>0</v>
      </c>
      <c r="M340" s="3696">
        <f t="shared" si="59"/>
        <v>0</v>
      </c>
      <c r="N340" s="3696">
        <f t="shared" si="59"/>
        <v>0</v>
      </c>
      <c r="O340" s="3696">
        <f t="shared" si="59"/>
        <v>0</v>
      </c>
      <c r="P340" s="3696">
        <f t="shared" si="59"/>
        <v>0</v>
      </c>
      <c r="Q340" s="3696">
        <f t="shared" si="59"/>
        <v>0</v>
      </c>
      <c r="R340" s="3697">
        <f t="shared" si="59"/>
        <v>0</v>
      </c>
      <c r="S340" s="3453"/>
    </row>
    <row r="341" spans="1:19" s="3649" customFormat="1" hidden="1" x14ac:dyDescent="0.3">
      <c r="A341" s="3496" t="s">
        <v>1125</v>
      </c>
      <c r="B341" s="3542" t="s">
        <v>540</v>
      </c>
      <c r="C341" s="3538"/>
      <c r="D341" s="3683"/>
      <c r="E341" s="3538"/>
      <c r="F341" s="3538"/>
      <c r="G341" s="3539">
        <f>IFERROR(UsoSuelo!AS878/UsoSuelo!S878,0)</f>
        <v>0</v>
      </c>
      <c r="H341" s="3539">
        <f>IFERROR(UsoSuelo!AT878/UsoSuelo!T878,0)</f>
        <v>0</v>
      </c>
      <c r="I341" s="3539">
        <f>IFERROR(UsoSuelo!AU878/UsoSuelo!U878,0)</f>
        <v>0</v>
      </c>
      <c r="J341" s="3539">
        <f>IFERROR(UsoSuelo!AV878/UsoSuelo!V878,0)</f>
        <v>0</v>
      </c>
      <c r="K341" s="3539">
        <f>IFERROR(UsoSuelo!AW878/UsoSuelo!W878,0)</f>
        <v>0</v>
      </c>
      <c r="L341" s="3539">
        <f>IFERROR(UsoSuelo!AX878/UsoSuelo!X878,0)</f>
        <v>0</v>
      </c>
      <c r="M341" s="3539">
        <f>IFERROR(UsoSuelo!AY878/UsoSuelo!Y878,0)</f>
        <v>0</v>
      </c>
      <c r="N341" s="3539">
        <f>IFERROR(UsoSuelo!AZ878/UsoSuelo!Z878,0)</f>
        <v>0</v>
      </c>
      <c r="O341" s="3539">
        <f>IFERROR(UsoSuelo!BA878/UsoSuelo!AA878,0)</f>
        <v>0</v>
      </c>
      <c r="P341" s="3539">
        <f>IFERROR(UsoSuelo!BB878/UsoSuelo!AB878,0)</f>
        <v>0</v>
      </c>
      <c r="Q341" s="3539">
        <f>IFERROR(UsoSuelo!BC878/UsoSuelo!AC878,0)</f>
        <v>0</v>
      </c>
      <c r="R341" s="3539">
        <f>IFERROR(UsoSuelo!BD878/UsoSuelo!AD878,0)</f>
        <v>0</v>
      </c>
      <c r="S341" s="3453"/>
    </row>
    <row r="342" spans="1:19" s="3440" customFormat="1" hidden="1" x14ac:dyDescent="0.3">
      <c r="A342" s="3496" t="s">
        <v>1125</v>
      </c>
      <c r="B342" s="3542" t="s">
        <v>538</v>
      </c>
      <c r="C342" s="3538"/>
      <c r="D342" s="3683"/>
      <c r="E342" s="3538"/>
      <c r="F342" s="3538"/>
      <c r="G342" s="3611">
        <f t="shared" ref="G342:R342" si="60">G341*G339</f>
        <v>0</v>
      </c>
      <c r="H342" s="3611">
        <f t="shared" si="60"/>
        <v>0</v>
      </c>
      <c r="I342" s="3611">
        <f t="shared" si="60"/>
        <v>0</v>
      </c>
      <c r="J342" s="3611">
        <f t="shared" si="60"/>
        <v>0</v>
      </c>
      <c r="K342" s="3611">
        <f t="shared" si="60"/>
        <v>0</v>
      </c>
      <c r="L342" s="3611">
        <f t="shared" si="60"/>
        <v>0</v>
      </c>
      <c r="M342" s="3611">
        <f t="shared" si="60"/>
        <v>0</v>
      </c>
      <c r="N342" s="3611">
        <f t="shared" si="60"/>
        <v>0</v>
      </c>
      <c r="O342" s="3611">
        <f t="shared" si="60"/>
        <v>0</v>
      </c>
      <c r="P342" s="3611">
        <f t="shared" si="60"/>
        <v>0</v>
      </c>
      <c r="Q342" s="3611">
        <f t="shared" si="60"/>
        <v>0</v>
      </c>
      <c r="R342" s="3541">
        <f t="shared" si="60"/>
        <v>0</v>
      </c>
      <c r="S342" s="3453"/>
    </row>
    <row r="343" spans="1:19" s="3452" customFormat="1" hidden="1" x14ac:dyDescent="0.3">
      <c r="A343" s="3496" t="s">
        <v>1125</v>
      </c>
      <c r="B343" s="3542" t="s">
        <v>539</v>
      </c>
      <c r="C343" s="3538"/>
      <c r="D343" s="3683"/>
      <c r="E343" s="3538"/>
      <c r="F343" s="3538"/>
      <c r="G343" s="3611">
        <f t="shared" ref="G343:R343" si="61">G340*G392</f>
        <v>0</v>
      </c>
      <c r="H343" s="3611">
        <f t="shared" si="61"/>
        <v>0</v>
      </c>
      <c r="I343" s="3611">
        <f t="shared" si="61"/>
        <v>0</v>
      </c>
      <c r="J343" s="3611">
        <f t="shared" si="61"/>
        <v>0</v>
      </c>
      <c r="K343" s="3611">
        <f t="shared" si="61"/>
        <v>0</v>
      </c>
      <c r="L343" s="3611">
        <f t="shared" si="61"/>
        <v>0</v>
      </c>
      <c r="M343" s="3611">
        <f t="shared" si="61"/>
        <v>0</v>
      </c>
      <c r="N343" s="3611">
        <f t="shared" si="61"/>
        <v>0</v>
      </c>
      <c r="O343" s="3611">
        <f t="shared" si="61"/>
        <v>0</v>
      </c>
      <c r="P343" s="3611">
        <f t="shared" si="61"/>
        <v>0</v>
      </c>
      <c r="Q343" s="3611">
        <f t="shared" si="61"/>
        <v>0</v>
      </c>
      <c r="R343" s="3611">
        <f t="shared" si="61"/>
        <v>0</v>
      </c>
      <c r="S343" s="3453"/>
    </row>
    <row r="344" spans="1:19" s="3440" customFormat="1" hidden="1" x14ac:dyDescent="0.3">
      <c r="A344" s="3496" t="s">
        <v>1125</v>
      </c>
      <c r="B344" s="3542" t="s">
        <v>541</v>
      </c>
      <c r="C344" s="3538"/>
      <c r="D344" s="3683"/>
      <c r="E344" s="3538"/>
      <c r="F344" s="3538"/>
      <c r="G344" s="3611">
        <f>A.Ganaderos!F231</f>
        <v>0</v>
      </c>
      <c r="H344" s="3611">
        <f>A.Ganaderos!G231</f>
        <v>0</v>
      </c>
      <c r="I344" s="3611">
        <f>A.Ganaderos!H231</f>
        <v>0</v>
      </c>
      <c r="J344" s="3611">
        <f>A.Ganaderos!I231</f>
        <v>0</v>
      </c>
      <c r="K344" s="3611">
        <f>A.Ganaderos!J231</f>
        <v>0</v>
      </c>
      <c r="L344" s="3611">
        <f>A.Ganaderos!K231</f>
        <v>0</v>
      </c>
      <c r="M344" s="3611">
        <f>A.Ganaderos!L231</f>
        <v>0</v>
      </c>
      <c r="N344" s="3611">
        <f>A.Ganaderos!M231</f>
        <v>0</v>
      </c>
      <c r="O344" s="3611">
        <f>A.Ganaderos!N231</f>
        <v>0</v>
      </c>
      <c r="P344" s="3611">
        <f>A.Ganaderos!O231</f>
        <v>0</v>
      </c>
      <c r="Q344" s="3611">
        <f>A.Ganaderos!P231</f>
        <v>0</v>
      </c>
      <c r="R344" s="3541">
        <f>A.Ganaderos!Q231</f>
        <v>0</v>
      </c>
      <c r="S344" s="3453"/>
    </row>
    <row r="345" spans="1:19" s="3440" customFormat="1" hidden="1" x14ac:dyDescent="0.3">
      <c r="A345" s="3496" t="s">
        <v>1125</v>
      </c>
      <c r="B345" s="3542" t="s">
        <v>542</v>
      </c>
      <c r="C345" s="3538"/>
      <c r="D345" s="3683"/>
      <c r="E345" s="3538"/>
      <c r="F345" s="3538"/>
      <c r="G345" s="3611">
        <f>G344-G342-G343</f>
        <v>0</v>
      </c>
      <c r="H345" s="3611">
        <f t="shared" ref="H345:R345" si="62">H344-H342-H343</f>
        <v>0</v>
      </c>
      <c r="I345" s="3611">
        <f t="shared" si="62"/>
        <v>0</v>
      </c>
      <c r="J345" s="3611">
        <f t="shared" si="62"/>
        <v>0</v>
      </c>
      <c r="K345" s="3611">
        <f t="shared" si="62"/>
        <v>0</v>
      </c>
      <c r="L345" s="3611">
        <f t="shared" si="62"/>
        <v>0</v>
      </c>
      <c r="M345" s="3611">
        <f t="shared" si="62"/>
        <v>0</v>
      </c>
      <c r="N345" s="3611">
        <f t="shared" si="62"/>
        <v>0</v>
      </c>
      <c r="O345" s="3611">
        <f t="shared" si="62"/>
        <v>0</v>
      </c>
      <c r="P345" s="3611">
        <f t="shared" si="62"/>
        <v>0</v>
      </c>
      <c r="Q345" s="3611">
        <f t="shared" si="62"/>
        <v>0</v>
      </c>
      <c r="R345" s="3541">
        <f t="shared" si="62"/>
        <v>0</v>
      </c>
    </row>
    <row r="346" spans="1:19" s="3440" customFormat="1" ht="15.05" hidden="1" thickBot="1" x14ac:dyDescent="0.35">
      <c r="A346" s="3496" t="s">
        <v>1125</v>
      </c>
      <c r="B346" s="3698" t="s">
        <v>543</v>
      </c>
      <c r="C346" s="3699"/>
      <c r="D346" s="3700"/>
      <c r="E346" s="3699"/>
      <c r="F346" s="3699"/>
      <c r="G346" s="3669">
        <f>IF(G345&lt;0,0,G345/3.03)</f>
        <v>0</v>
      </c>
      <c r="H346" s="3669">
        <f t="shared" ref="H346:R346" si="63">IF(H345&lt;0,0,H345/3.03)</f>
        <v>0</v>
      </c>
      <c r="I346" s="3669">
        <f t="shared" si="63"/>
        <v>0</v>
      </c>
      <c r="J346" s="3669">
        <f t="shared" si="63"/>
        <v>0</v>
      </c>
      <c r="K346" s="3669">
        <f t="shared" si="63"/>
        <v>0</v>
      </c>
      <c r="L346" s="3669">
        <f t="shared" si="63"/>
        <v>0</v>
      </c>
      <c r="M346" s="3669">
        <f t="shared" si="63"/>
        <v>0</v>
      </c>
      <c r="N346" s="3669">
        <f t="shared" si="63"/>
        <v>0</v>
      </c>
      <c r="O346" s="3669">
        <f t="shared" si="63"/>
        <v>0</v>
      </c>
      <c r="P346" s="3669">
        <f t="shared" si="63"/>
        <v>0</v>
      </c>
      <c r="Q346" s="3669">
        <f t="shared" si="63"/>
        <v>0</v>
      </c>
      <c r="R346" s="3701">
        <f t="shared" si="63"/>
        <v>0</v>
      </c>
      <c r="S346" s="3453"/>
    </row>
    <row r="347" spans="1:19" s="3452" customFormat="1" hidden="1" x14ac:dyDescent="0.3">
      <c r="A347" s="3496" t="s">
        <v>1125</v>
      </c>
      <c r="B347" s="3690" t="s">
        <v>545</v>
      </c>
      <c r="C347" s="3498" t="s">
        <v>1692</v>
      </c>
      <c r="D347" s="3618"/>
      <c r="E347" s="3498"/>
      <c r="F347" s="3498"/>
      <c r="G347" s="3499">
        <f t="shared" ref="G347:R347" si="64">+G346</f>
        <v>0</v>
      </c>
      <c r="H347" s="3499">
        <f t="shared" si="64"/>
        <v>0</v>
      </c>
      <c r="I347" s="3499">
        <f t="shared" si="64"/>
        <v>0</v>
      </c>
      <c r="J347" s="3499">
        <f t="shared" si="64"/>
        <v>0</v>
      </c>
      <c r="K347" s="3499">
        <f t="shared" si="64"/>
        <v>0</v>
      </c>
      <c r="L347" s="3499">
        <f t="shared" si="64"/>
        <v>0</v>
      </c>
      <c r="M347" s="3499">
        <f t="shared" si="64"/>
        <v>0</v>
      </c>
      <c r="N347" s="3499">
        <f t="shared" si="64"/>
        <v>0</v>
      </c>
      <c r="O347" s="3499">
        <f t="shared" si="64"/>
        <v>0</v>
      </c>
      <c r="P347" s="3499">
        <f t="shared" si="64"/>
        <v>0</v>
      </c>
      <c r="Q347" s="3499">
        <f t="shared" si="64"/>
        <v>0</v>
      </c>
      <c r="R347" s="3702">
        <f t="shared" si="64"/>
        <v>0</v>
      </c>
      <c r="S347" s="3453"/>
    </row>
    <row r="348" spans="1:19" s="3452" customFormat="1" hidden="1" x14ac:dyDescent="0.3">
      <c r="A348" s="3496" t="s">
        <v>1125</v>
      </c>
      <c r="B348" s="3690" t="s">
        <v>545</v>
      </c>
      <c r="C348" s="3498" t="s">
        <v>1693</v>
      </c>
      <c r="D348" s="3618"/>
      <c r="E348" s="3498"/>
      <c r="F348" s="3498"/>
      <c r="G348" s="3499">
        <f>IF(G347&gt;0,G347/(General!$I$114/100)/0.86,0)</f>
        <v>0</v>
      </c>
      <c r="H348" s="3499">
        <f>IF(H347&gt;0,H347/(General!$I$114/100)/0.86,0)</f>
        <v>0</v>
      </c>
      <c r="I348" s="3499">
        <f>IF(I347&gt;0,I347/(General!$I$114/100)/0.86,0)</f>
        <v>0</v>
      </c>
      <c r="J348" s="3499">
        <f>IF(J347&gt;0,J347/(General!$I$114/100)/0.86,0)</f>
        <v>0</v>
      </c>
      <c r="K348" s="3499">
        <f>IF(K347&gt;0,K347/(General!$I$114/100)/0.86,0)</f>
        <v>0</v>
      </c>
      <c r="L348" s="3499">
        <f>IF(L347&gt;0,L347/(General!$I$114/100)/0.86,0)</f>
        <v>0</v>
      </c>
      <c r="M348" s="3499">
        <f>IF(M347&gt;0,M347/(General!$I$114/100)/0.86,0)</f>
        <v>0</v>
      </c>
      <c r="N348" s="3499">
        <f>IF(N347&gt;0,N347/(General!$I$114/100)/0.86,0)</f>
        <v>0</v>
      </c>
      <c r="O348" s="3499">
        <f>IF(O347&gt;0,O347/(General!$I$114/100)/0.86,0)</f>
        <v>0</v>
      </c>
      <c r="P348" s="3499">
        <f>IF(P347&gt;0,P347/(General!$I$114/100)/0.86,0)</f>
        <v>0</v>
      </c>
      <c r="Q348" s="3499">
        <f>IF(Q347&gt;0,Q347/(General!$I$114/100)/0.86,0)</f>
        <v>0</v>
      </c>
      <c r="R348" s="3499">
        <f>IF(R347&gt;0,R347/(General!$I$114/100)/0.86,0)</f>
        <v>0</v>
      </c>
      <c r="S348" s="3499">
        <f>+SUM(G348:R348)</f>
        <v>0</v>
      </c>
    </row>
    <row r="349" spans="1:19" s="3452" customFormat="1" hidden="1" x14ac:dyDescent="0.3">
      <c r="A349" s="3496" t="s">
        <v>1125</v>
      </c>
      <c r="B349" s="3690" t="s">
        <v>1653</v>
      </c>
      <c r="C349" s="3498" t="s">
        <v>1652</v>
      </c>
      <c r="D349" s="3618"/>
      <c r="E349" s="3498"/>
      <c r="F349" s="3498"/>
      <c r="G349" s="3499">
        <f>IF(G340=0,0,G340/(1-General!$I$123/100))</f>
        <v>0</v>
      </c>
      <c r="H349" s="3499">
        <f>IF(H340=0,0,H340/(1-General!$I$123/100))</f>
        <v>0</v>
      </c>
      <c r="I349" s="3499">
        <f>IF(I340=0,0,I340/(1-General!$I$123/100))</f>
        <v>0</v>
      </c>
      <c r="J349" s="3499">
        <f>IF(J340=0,0,J340/(1-General!$I$123/100))</f>
        <v>0</v>
      </c>
      <c r="K349" s="3499">
        <f>IF(K340=0,0,K340/(1-General!$I$123/100))</f>
        <v>0</v>
      </c>
      <c r="L349" s="3499">
        <f>IF(L340=0,0,L340/(1-General!$I$123/100))</f>
        <v>0</v>
      </c>
      <c r="M349" s="3499">
        <f>IF(M340=0,0,M340/(1-General!$I$123/100))</f>
        <v>0</v>
      </c>
      <c r="N349" s="3499">
        <f>IF(N340=0,0,N340/(1-General!$I$123/100))</f>
        <v>0</v>
      </c>
      <c r="O349" s="3499">
        <f>IF(O340=0,0,O340/(1-General!$I$123/100))</f>
        <v>0</v>
      </c>
      <c r="P349" s="3499">
        <f>IF(P340=0,0,P340/(1-General!$I$123/100))</f>
        <v>0</v>
      </c>
      <c r="Q349" s="3499">
        <f>IF(Q340=0,0,Q340/(1-General!$I$123/100))</f>
        <v>0</v>
      </c>
      <c r="R349" s="3499">
        <f>IF(R340=0,0,R340/(1-General!$I$123/100))</f>
        <v>0</v>
      </c>
      <c r="S349" s="3453"/>
    </row>
    <row r="350" spans="1:19" s="3452" customFormat="1" x14ac:dyDescent="0.3">
      <c r="A350" s="3451"/>
      <c r="D350" s="3703"/>
      <c r="G350" s="3453"/>
      <c r="H350" s="3453"/>
      <c r="I350" s="3453"/>
      <c r="J350" s="3453"/>
      <c r="K350" s="3453"/>
      <c r="L350" s="3453"/>
      <c r="M350" s="3453"/>
      <c r="N350" s="3453"/>
      <c r="O350" s="3453"/>
      <c r="P350" s="3453"/>
      <c r="Q350" s="3453"/>
      <c r="R350" s="3453"/>
      <c r="S350" s="3453"/>
    </row>
    <row r="351" spans="1:19" s="3440" customFormat="1" ht="15.05" thickBot="1" x14ac:dyDescent="0.35">
      <c r="B351" s="3643"/>
      <c r="C351" s="3643"/>
      <c r="D351" s="3642"/>
      <c r="E351" s="3643"/>
      <c r="F351" s="3643"/>
      <c r="G351" s="3572"/>
      <c r="H351" s="3572"/>
      <c r="I351" s="3572"/>
      <c r="J351" s="3572"/>
      <c r="K351" s="3572"/>
      <c r="L351" s="3572"/>
      <c r="M351" s="3572"/>
      <c r="N351" s="3572"/>
      <c r="O351" s="3572"/>
      <c r="P351" s="3572"/>
      <c r="Q351" s="3572"/>
      <c r="R351" s="3572"/>
      <c r="S351" s="3453"/>
    </row>
    <row r="352" spans="1:19" s="3440" customFormat="1" ht="15.05" thickBot="1" x14ac:dyDescent="0.35">
      <c r="A352" s="2487">
        <f>A317+1</f>
        <v>100</v>
      </c>
      <c r="B352" s="3492" t="s">
        <v>2361</v>
      </c>
      <c r="C352" s="3493"/>
      <c r="D352" s="3493"/>
      <c r="E352" s="3493"/>
      <c r="F352" s="3493"/>
      <c r="G352" s="3494"/>
      <c r="H352" s="3494"/>
      <c r="I352" s="3494"/>
      <c r="J352" s="3494"/>
      <c r="K352" s="3494"/>
      <c r="L352" s="3494"/>
      <c r="M352" s="3494"/>
      <c r="N352" s="3494"/>
      <c r="O352" s="3494"/>
      <c r="P352" s="3494"/>
      <c r="Q352" s="3494"/>
      <c r="R352" s="3494"/>
      <c r="S352" s="3495"/>
    </row>
    <row r="353" spans="1:26" s="3452" customFormat="1" ht="15.05" customHeight="1" x14ac:dyDescent="0.3">
      <c r="B353" s="2711" t="s">
        <v>683</v>
      </c>
      <c r="C353" s="3674"/>
      <c r="D353" s="3674"/>
      <c r="E353" s="3674"/>
      <c r="F353" s="3674"/>
      <c r="G353" s="3675" t="str">
        <f t="shared" ref="G353:R353" si="65">+G5</f>
        <v>Ene</v>
      </c>
      <c r="H353" s="3675" t="str">
        <f t="shared" si="65"/>
        <v>Feb</v>
      </c>
      <c r="I353" s="3675" t="str">
        <f t="shared" si="65"/>
        <v>Mar</v>
      </c>
      <c r="J353" s="3675" t="str">
        <f t="shared" si="65"/>
        <v>Abr</v>
      </c>
      <c r="K353" s="3675" t="str">
        <f t="shared" si="65"/>
        <v>May</v>
      </c>
      <c r="L353" s="3675" t="str">
        <f t="shared" si="65"/>
        <v>Jun</v>
      </c>
      <c r="M353" s="3675" t="str">
        <f t="shared" si="65"/>
        <v>Jul</v>
      </c>
      <c r="N353" s="3675" t="str">
        <f t="shared" si="65"/>
        <v>Ago</v>
      </c>
      <c r="O353" s="3675" t="str">
        <f t="shared" si="65"/>
        <v>Set</v>
      </c>
      <c r="P353" s="3675" t="str">
        <f t="shared" si="65"/>
        <v>Oct</v>
      </c>
      <c r="Q353" s="3675" t="str">
        <f t="shared" si="65"/>
        <v>Nov</v>
      </c>
      <c r="R353" s="3675" t="str">
        <f t="shared" si="65"/>
        <v>Dic</v>
      </c>
      <c r="S353" s="3676" t="s">
        <v>1391</v>
      </c>
      <c r="T353" s="3440"/>
      <c r="U353" s="3440"/>
      <c r="V353" s="3440"/>
      <c r="W353" s="3440"/>
      <c r="X353" s="3440"/>
      <c r="Y353" s="3440"/>
      <c r="Z353" s="3440"/>
    </row>
    <row r="354" spans="1:26" s="3452" customFormat="1" ht="15.05" customHeight="1" x14ac:dyDescent="0.3">
      <c r="B354" s="2524" t="s">
        <v>2360</v>
      </c>
      <c r="C354" s="2481"/>
      <c r="D354" s="2481"/>
      <c r="E354" s="2481"/>
      <c r="F354" s="2481"/>
      <c r="G354" s="3704"/>
      <c r="H354" s="3704"/>
      <c r="I354" s="3704"/>
      <c r="J354" s="3704"/>
      <c r="K354" s="3704"/>
      <c r="L354" s="3704"/>
      <c r="M354" s="3704"/>
      <c r="N354" s="3704"/>
      <c r="O354" s="3704"/>
      <c r="P354" s="3704"/>
      <c r="Q354" s="3704"/>
      <c r="R354" s="3704"/>
      <c r="S354" s="3705"/>
      <c r="T354" s="3440"/>
      <c r="U354" s="3440"/>
      <c r="V354" s="3440"/>
      <c r="W354" s="3440"/>
      <c r="X354" s="3440"/>
      <c r="Y354" s="3440"/>
      <c r="Z354" s="3440"/>
    </row>
    <row r="355" spans="1:26" s="3440" customFormat="1" x14ac:dyDescent="0.3">
      <c r="A355" s="3436"/>
      <c r="B355" s="3512" t="s">
        <v>550</v>
      </c>
      <c r="C355" s="3437"/>
      <c r="D355" s="3616" t="s">
        <v>1949</v>
      </c>
      <c r="E355" s="3453"/>
      <c r="F355" s="3453"/>
      <c r="G355" s="3507">
        <f t="shared" ref="G355:R355" si="66">(G145-G151)*G139*G137</f>
        <v>0</v>
      </c>
      <c r="H355" s="3508">
        <f t="shared" si="66"/>
        <v>0</v>
      </c>
      <c r="I355" s="3508">
        <f t="shared" si="66"/>
        <v>0</v>
      </c>
      <c r="J355" s="3508">
        <f t="shared" si="66"/>
        <v>0</v>
      </c>
      <c r="K355" s="3508">
        <f t="shared" si="66"/>
        <v>0</v>
      </c>
      <c r="L355" s="3508">
        <f t="shared" si="66"/>
        <v>0</v>
      </c>
      <c r="M355" s="3508">
        <f t="shared" si="66"/>
        <v>0</v>
      </c>
      <c r="N355" s="3508">
        <f t="shared" si="66"/>
        <v>0</v>
      </c>
      <c r="O355" s="3508">
        <f t="shared" si="66"/>
        <v>0</v>
      </c>
      <c r="P355" s="3508">
        <f t="shared" si="66"/>
        <v>0</v>
      </c>
      <c r="Q355" s="3508">
        <f t="shared" si="66"/>
        <v>0</v>
      </c>
      <c r="R355" s="3509">
        <f t="shared" si="66"/>
        <v>0</v>
      </c>
      <c r="S355" s="3522"/>
    </row>
    <row r="356" spans="1:26" s="3440" customFormat="1" x14ac:dyDescent="0.3">
      <c r="A356" s="3436"/>
      <c r="B356" s="3512" t="s">
        <v>2133</v>
      </c>
      <c r="C356" s="3437"/>
      <c r="D356" s="3616" t="s">
        <v>1949</v>
      </c>
      <c r="E356" s="3437"/>
      <c r="F356" s="3437"/>
      <c r="G356" s="3706">
        <f t="shared" ref="G356:R356" si="67">G285-G274</f>
        <v>0</v>
      </c>
      <c r="H356" s="3707">
        <f t="shared" si="67"/>
        <v>0</v>
      </c>
      <c r="I356" s="3707">
        <f t="shared" si="67"/>
        <v>0</v>
      </c>
      <c r="J356" s="3707">
        <f t="shared" si="67"/>
        <v>0</v>
      </c>
      <c r="K356" s="3707">
        <f t="shared" si="67"/>
        <v>0</v>
      </c>
      <c r="L356" s="3707">
        <f>L285-L274</f>
        <v>0</v>
      </c>
      <c r="M356" s="3707">
        <f t="shared" si="67"/>
        <v>0</v>
      </c>
      <c r="N356" s="3707">
        <f t="shared" si="67"/>
        <v>0</v>
      </c>
      <c r="O356" s="3707">
        <f t="shared" si="67"/>
        <v>0</v>
      </c>
      <c r="P356" s="3707">
        <f t="shared" si="67"/>
        <v>0</v>
      </c>
      <c r="Q356" s="3707">
        <f t="shared" si="67"/>
        <v>0</v>
      </c>
      <c r="R356" s="3708">
        <f t="shared" si="67"/>
        <v>0</v>
      </c>
      <c r="S356" s="3709"/>
    </row>
    <row r="357" spans="1:26" s="3440" customFormat="1" ht="15.05" thickBot="1" x14ac:dyDescent="0.35">
      <c r="A357" s="3436"/>
      <c r="B357" s="3533" t="s">
        <v>1476</v>
      </c>
      <c r="C357" s="3534"/>
      <c r="D357" s="3637" t="s">
        <v>1949</v>
      </c>
      <c r="E357" s="3534"/>
      <c r="F357" s="3534"/>
      <c r="G357" s="3710">
        <f t="shared" ref="G357:R357" si="68">G334-G339</f>
        <v>0</v>
      </c>
      <c r="H357" s="3711">
        <f t="shared" si="68"/>
        <v>0</v>
      </c>
      <c r="I357" s="3711">
        <f t="shared" si="68"/>
        <v>0</v>
      </c>
      <c r="J357" s="3711">
        <f t="shared" si="68"/>
        <v>0</v>
      </c>
      <c r="K357" s="3711">
        <f t="shared" si="68"/>
        <v>0</v>
      </c>
      <c r="L357" s="3711">
        <f t="shared" si="68"/>
        <v>0</v>
      </c>
      <c r="M357" s="3711">
        <f t="shared" si="68"/>
        <v>0</v>
      </c>
      <c r="N357" s="3711">
        <f t="shared" si="68"/>
        <v>0</v>
      </c>
      <c r="O357" s="3711">
        <f t="shared" si="68"/>
        <v>0</v>
      </c>
      <c r="P357" s="3711">
        <f t="shared" si="68"/>
        <v>0</v>
      </c>
      <c r="Q357" s="3711">
        <f t="shared" si="68"/>
        <v>0</v>
      </c>
      <c r="R357" s="3712">
        <f t="shared" si="68"/>
        <v>0</v>
      </c>
      <c r="S357" s="3709"/>
    </row>
    <row r="358" spans="1:26" s="3440" customFormat="1" x14ac:dyDescent="0.3">
      <c r="A358" s="3436"/>
      <c r="B358" s="3682" t="s">
        <v>2362</v>
      </c>
      <c r="C358" s="3643"/>
      <c r="D358" s="3642" t="s">
        <v>1949</v>
      </c>
      <c r="E358" s="3643"/>
      <c r="F358" s="3643"/>
      <c r="G358" s="3713">
        <f>SUM(G355:G357)</f>
        <v>0</v>
      </c>
      <c r="H358" s="3714">
        <f>SUM(H355:H357)</f>
        <v>0</v>
      </c>
      <c r="I358" s="3714">
        <f>SUM(I355:I357)</f>
        <v>0</v>
      </c>
      <c r="J358" s="3714">
        <f t="shared" ref="J358:R358" si="69">SUM(J355:J357)</f>
        <v>0</v>
      </c>
      <c r="K358" s="3714">
        <f t="shared" si="69"/>
        <v>0</v>
      </c>
      <c r="L358" s="3714">
        <f t="shared" si="69"/>
        <v>0</v>
      </c>
      <c r="M358" s="3714">
        <f t="shared" si="69"/>
        <v>0</v>
      </c>
      <c r="N358" s="3714">
        <f t="shared" si="69"/>
        <v>0</v>
      </c>
      <c r="O358" s="3714">
        <f t="shared" si="69"/>
        <v>0</v>
      </c>
      <c r="P358" s="3714">
        <f t="shared" si="69"/>
        <v>0</v>
      </c>
      <c r="Q358" s="3714">
        <f t="shared" si="69"/>
        <v>0</v>
      </c>
      <c r="R358" s="3715">
        <f t="shared" si="69"/>
        <v>0</v>
      </c>
      <c r="S358" s="3716">
        <f>+SUM(G358:R358)</f>
        <v>0</v>
      </c>
    </row>
    <row r="359" spans="1:26" s="3440" customFormat="1" x14ac:dyDescent="0.3">
      <c r="A359" s="3436"/>
      <c r="B359" s="2524" t="s">
        <v>2363</v>
      </c>
      <c r="C359" s="2481"/>
      <c r="D359" s="2481"/>
      <c r="E359" s="2481"/>
      <c r="F359" s="2481"/>
      <c r="G359" s="3704"/>
      <c r="H359" s="3704"/>
      <c r="I359" s="3704"/>
      <c r="J359" s="3704"/>
      <c r="K359" s="3704"/>
      <c r="L359" s="3704"/>
      <c r="M359" s="3704"/>
      <c r="N359" s="3704"/>
      <c r="O359" s="3704"/>
      <c r="P359" s="3704"/>
      <c r="Q359" s="3704"/>
      <c r="R359" s="3704"/>
      <c r="S359" s="3705"/>
    </row>
    <row r="360" spans="1:26" s="3440" customFormat="1" x14ac:dyDescent="0.3">
      <c r="A360" s="3436"/>
      <c r="B360" s="3717" t="s">
        <v>2134</v>
      </c>
      <c r="C360" s="3506"/>
      <c r="D360" s="3506" t="s">
        <v>358</v>
      </c>
      <c r="E360" s="3506"/>
      <c r="F360" s="3506"/>
      <c r="G360" s="5247">
        <v>1</v>
      </c>
      <c r="H360" s="5248">
        <v>1</v>
      </c>
      <c r="I360" s="5248">
        <v>1</v>
      </c>
      <c r="J360" s="5248">
        <v>1</v>
      </c>
      <c r="K360" s="5248">
        <v>1</v>
      </c>
      <c r="L360" s="5248">
        <v>1</v>
      </c>
      <c r="M360" s="5248">
        <v>1</v>
      </c>
      <c r="N360" s="5248">
        <v>1</v>
      </c>
      <c r="O360" s="5248">
        <v>1</v>
      </c>
      <c r="P360" s="5248">
        <v>1</v>
      </c>
      <c r="Q360" s="5248">
        <v>1</v>
      </c>
      <c r="R360" s="5249">
        <v>1</v>
      </c>
      <c r="S360" s="3709"/>
    </row>
    <row r="361" spans="1:26" s="3440" customFormat="1" x14ac:dyDescent="0.3">
      <c r="A361" s="3436"/>
      <c r="B361" s="3718" t="s">
        <v>2135</v>
      </c>
      <c r="C361" s="3719"/>
      <c r="D361" s="3719" t="s">
        <v>1949</v>
      </c>
      <c r="E361" s="3719"/>
      <c r="F361" s="3719"/>
      <c r="G361" s="3623">
        <f t="shared" ref="G361:R361" si="70">G358*G360</f>
        <v>0</v>
      </c>
      <c r="H361" s="3624">
        <f t="shared" si="70"/>
        <v>0</v>
      </c>
      <c r="I361" s="3624">
        <f t="shared" si="70"/>
        <v>0</v>
      </c>
      <c r="J361" s="3624">
        <f t="shared" si="70"/>
        <v>0</v>
      </c>
      <c r="K361" s="3624">
        <f t="shared" si="70"/>
        <v>0</v>
      </c>
      <c r="L361" s="3624">
        <f t="shared" si="70"/>
        <v>0</v>
      </c>
      <c r="M361" s="3624">
        <f t="shared" si="70"/>
        <v>0</v>
      </c>
      <c r="N361" s="3624">
        <f t="shared" si="70"/>
        <v>0</v>
      </c>
      <c r="O361" s="3624">
        <f t="shared" si="70"/>
        <v>0</v>
      </c>
      <c r="P361" s="3624">
        <f t="shared" si="70"/>
        <v>0</v>
      </c>
      <c r="Q361" s="3624">
        <f t="shared" si="70"/>
        <v>0</v>
      </c>
      <c r="R361" s="3625">
        <f t="shared" si="70"/>
        <v>0</v>
      </c>
      <c r="S361" s="3709"/>
    </row>
    <row r="362" spans="1:26" s="3649" customFormat="1" x14ac:dyDescent="0.3">
      <c r="A362" s="3720"/>
      <c r="B362" s="2524" t="s">
        <v>1950</v>
      </c>
      <c r="C362" s="2481"/>
      <c r="D362" s="2481"/>
      <c r="E362" s="2481"/>
      <c r="F362" s="2481"/>
      <c r="G362" s="3704"/>
      <c r="H362" s="3704"/>
      <c r="I362" s="3704"/>
      <c r="J362" s="3704"/>
      <c r="K362" s="3704"/>
      <c r="L362" s="3704"/>
      <c r="M362" s="3704"/>
      <c r="N362" s="3704"/>
      <c r="O362" s="3704"/>
      <c r="P362" s="3704"/>
      <c r="Q362" s="3704"/>
      <c r="R362" s="3704"/>
      <c r="S362" s="3705"/>
    </row>
    <row r="363" spans="1:26" s="3440" customFormat="1" x14ac:dyDescent="0.3">
      <c r="A363" s="3436"/>
      <c r="B363" s="3717" t="s">
        <v>2143</v>
      </c>
      <c r="C363" s="3506"/>
      <c r="D363" s="3679" t="s">
        <v>358</v>
      </c>
      <c r="E363" s="3506"/>
      <c r="F363" s="3721"/>
      <c r="G363" s="5250"/>
      <c r="H363" s="5251"/>
      <c r="I363" s="5251"/>
      <c r="J363" s="5251"/>
      <c r="K363" s="5251"/>
      <c r="L363" s="5251"/>
      <c r="M363" s="5251"/>
      <c r="N363" s="5251"/>
      <c r="O363" s="5251"/>
      <c r="P363" s="5251"/>
      <c r="Q363" s="5251"/>
      <c r="R363" s="5252"/>
      <c r="S363" s="3722" t="s">
        <v>300</v>
      </c>
    </row>
    <row r="364" spans="1:26" s="3440" customFormat="1" x14ac:dyDescent="0.3">
      <c r="A364" s="3436"/>
      <c r="B364" s="3723" t="s">
        <v>2144</v>
      </c>
      <c r="C364" s="3437"/>
      <c r="D364" s="3437" t="s">
        <v>358</v>
      </c>
      <c r="E364" s="3437"/>
      <c r="F364" s="3724"/>
      <c r="G364" s="5253">
        <v>1</v>
      </c>
      <c r="H364" s="5254">
        <v>1</v>
      </c>
      <c r="I364" s="5254">
        <v>1</v>
      </c>
      <c r="J364" s="5254">
        <v>1</v>
      </c>
      <c r="K364" s="5254">
        <v>1</v>
      </c>
      <c r="L364" s="5254">
        <v>1</v>
      </c>
      <c r="M364" s="5254">
        <v>1</v>
      </c>
      <c r="N364" s="5254">
        <v>1</v>
      </c>
      <c r="O364" s="5254">
        <v>1</v>
      </c>
      <c r="P364" s="5254">
        <v>1</v>
      </c>
      <c r="Q364" s="5254">
        <v>1</v>
      </c>
      <c r="R364" s="5255">
        <v>1</v>
      </c>
      <c r="S364" s="3722" t="s">
        <v>301</v>
      </c>
    </row>
    <row r="365" spans="1:26" s="3440" customFormat="1" x14ac:dyDescent="0.3">
      <c r="A365" s="3436"/>
      <c r="B365" s="3725" t="s">
        <v>2136</v>
      </c>
      <c r="C365" s="3719"/>
      <c r="D365" s="3719" t="s">
        <v>358</v>
      </c>
      <c r="E365" s="3719"/>
      <c r="F365" s="3726"/>
      <c r="G365" s="3727">
        <f>1-SUM(G363:G364)</f>
        <v>0</v>
      </c>
      <c r="H365" s="3728">
        <f t="shared" ref="H365:R365" si="71">1-SUM(H363:H364)</f>
        <v>0</v>
      </c>
      <c r="I365" s="3728">
        <f t="shared" si="71"/>
        <v>0</v>
      </c>
      <c r="J365" s="3728">
        <f t="shared" si="71"/>
        <v>0</v>
      </c>
      <c r="K365" s="3728">
        <f t="shared" si="71"/>
        <v>0</v>
      </c>
      <c r="L365" s="3728">
        <f t="shared" si="71"/>
        <v>0</v>
      </c>
      <c r="M365" s="3728">
        <f t="shared" si="71"/>
        <v>0</v>
      </c>
      <c r="N365" s="3728">
        <f t="shared" si="71"/>
        <v>0</v>
      </c>
      <c r="O365" s="3728">
        <f t="shared" si="71"/>
        <v>0</v>
      </c>
      <c r="P365" s="3728">
        <f t="shared" si="71"/>
        <v>0</v>
      </c>
      <c r="Q365" s="3728">
        <f t="shared" si="71"/>
        <v>0</v>
      </c>
      <c r="R365" s="3729">
        <f t="shared" si="71"/>
        <v>0</v>
      </c>
      <c r="S365" s="3730" t="s">
        <v>302</v>
      </c>
    </row>
    <row r="366" spans="1:26" s="3440" customFormat="1" x14ac:dyDescent="0.3">
      <c r="A366" s="3436"/>
      <c r="B366" s="2524" t="s">
        <v>2137</v>
      </c>
      <c r="C366" s="2481"/>
      <c r="D366" s="2481"/>
      <c r="E366" s="2481"/>
      <c r="F366" s="2481"/>
      <c r="G366" s="3704"/>
      <c r="H366" s="3704"/>
      <c r="I366" s="3704"/>
      <c r="J366" s="3704"/>
      <c r="K366" s="3704"/>
      <c r="L366" s="3704"/>
      <c r="M366" s="3704"/>
      <c r="N366" s="3704"/>
      <c r="O366" s="3704"/>
      <c r="P366" s="3704"/>
      <c r="Q366" s="3704"/>
      <c r="R366" s="3704"/>
      <c r="S366" s="3705"/>
    </row>
    <row r="367" spans="1:26" s="3440" customFormat="1" ht="29.95" customHeight="1" x14ac:dyDescent="0.3">
      <c r="A367" s="3436"/>
      <c r="B367" s="3512"/>
      <c r="C367" s="3731" t="s">
        <v>1502</v>
      </c>
      <c r="D367" s="3731" t="s">
        <v>2138</v>
      </c>
      <c r="E367" s="3523" t="s">
        <v>312</v>
      </c>
      <c r="F367" s="3523"/>
      <c r="G367" s="3732" t="s">
        <v>1948</v>
      </c>
      <c r="H367" s="3437"/>
      <c r="I367" s="3437"/>
      <c r="J367" s="3437"/>
      <c r="K367" s="3437"/>
      <c r="L367" s="3437"/>
      <c r="M367" s="3437"/>
      <c r="N367" s="3437"/>
      <c r="O367" s="3437"/>
      <c r="P367" s="3437"/>
      <c r="Q367" s="3437"/>
      <c r="R367" s="3733"/>
      <c r="S367" s="3734"/>
    </row>
    <row r="368" spans="1:26" s="3440" customFormat="1" x14ac:dyDescent="0.3">
      <c r="A368" s="3436"/>
      <c r="B368" s="3505" t="s">
        <v>2140</v>
      </c>
      <c r="C368" s="5256">
        <v>0.2</v>
      </c>
      <c r="D368" s="5257">
        <v>300</v>
      </c>
      <c r="E368" s="3735" t="s">
        <v>2139</v>
      </c>
      <c r="F368" s="3736"/>
      <c r="G368" s="3737">
        <f t="shared" ref="G368:R368" si="72">IF($D368=0,0,G$361*G363*(1-$C368)/$D368)</f>
        <v>0</v>
      </c>
      <c r="H368" s="3738">
        <f t="shared" si="72"/>
        <v>0</v>
      </c>
      <c r="I368" s="3738">
        <f t="shared" si="72"/>
        <v>0</v>
      </c>
      <c r="J368" s="3738">
        <f t="shared" si="72"/>
        <v>0</v>
      </c>
      <c r="K368" s="3738">
        <f t="shared" si="72"/>
        <v>0</v>
      </c>
      <c r="L368" s="3738">
        <f t="shared" si="72"/>
        <v>0</v>
      </c>
      <c r="M368" s="3738">
        <f t="shared" si="72"/>
        <v>0</v>
      </c>
      <c r="N368" s="3738">
        <f t="shared" si="72"/>
        <v>0</v>
      </c>
      <c r="O368" s="3738">
        <f t="shared" si="72"/>
        <v>0</v>
      </c>
      <c r="P368" s="3738">
        <f t="shared" si="72"/>
        <v>0</v>
      </c>
      <c r="Q368" s="3738">
        <f t="shared" si="72"/>
        <v>0</v>
      </c>
      <c r="R368" s="3739">
        <f t="shared" si="72"/>
        <v>0</v>
      </c>
      <c r="S368" s="3740">
        <f>+SUM(G368:R368)</f>
        <v>0</v>
      </c>
    </row>
    <row r="369" spans="1:26" s="3440" customFormat="1" x14ac:dyDescent="0.3">
      <c r="A369" s="3436"/>
      <c r="B369" s="3512" t="s">
        <v>2142</v>
      </c>
      <c r="C369" s="5256">
        <v>0.15</v>
      </c>
      <c r="D369" s="5257">
        <v>350</v>
      </c>
      <c r="E369" s="3735" t="s">
        <v>2139</v>
      </c>
      <c r="F369" s="3741"/>
      <c r="G369" s="3706">
        <f t="shared" ref="G369:R369" si="73">IF($D369=0,0,G$361*G364*(1-$C369)/$D369)</f>
        <v>0</v>
      </c>
      <c r="H369" s="3707">
        <f t="shared" si="73"/>
        <v>0</v>
      </c>
      <c r="I369" s="3707">
        <f t="shared" si="73"/>
        <v>0</v>
      </c>
      <c r="J369" s="3707">
        <f t="shared" si="73"/>
        <v>0</v>
      </c>
      <c r="K369" s="3707">
        <f t="shared" si="73"/>
        <v>0</v>
      </c>
      <c r="L369" s="3707">
        <f t="shared" si="73"/>
        <v>0</v>
      </c>
      <c r="M369" s="3707">
        <f t="shared" si="73"/>
        <v>0</v>
      </c>
      <c r="N369" s="3707">
        <f t="shared" si="73"/>
        <v>0</v>
      </c>
      <c r="O369" s="3707">
        <f t="shared" si="73"/>
        <v>0</v>
      </c>
      <c r="P369" s="3707">
        <f t="shared" si="73"/>
        <v>0</v>
      </c>
      <c r="Q369" s="3707">
        <f t="shared" si="73"/>
        <v>0</v>
      </c>
      <c r="R369" s="3708">
        <f t="shared" si="73"/>
        <v>0</v>
      </c>
      <c r="S369" s="3742">
        <f>+SUM(G369:R369)</f>
        <v>0</v>
      </c>
    </row>
    <row r="370" spans="1:26" s="3440" customFormat="1" x14ac:dyDescent="0.3">
      <c r="A370" s="3436"/>
      <c r="B370" s="3743" t="s">
        <v>1434</v>
      </c>
      <c r="C370" s="5258">
        <v>0.1</v>
      </c>
      <c r="D370" s="5257">
        <v>3000</v>
      </c>
      <c r="E370" s="3744" t="s">
        <v>1042</v>
      </c>
      <c r="F370" s="3745"/>
      <c r="G370" s="3746">
        <f t="shared" ref="G370:R370" si="74">IF($D370=0,0,G$361*G365*(1-$C370)/$D370)</f>
        <v>0</v>
      </c>
      <c r="H370" s="3747">
        <f t="shared" si="74"/>
        <v>0</v>
      </c>
      <c r="I370" s="3747">
        <f t="shared" si="74"/>
        <v>0</v>
      </c>
      <c r="J370" s="3747">
        <f t="shared" si="74"/>
        <v>0</v>
      </c>
      <c r="K370" s="3747">
        <f t="shared" si="74"/>
        <v>0</v>
      </c>
      <c r="L370" s="3747">
        <f t="shared" si="74"/>
        <v>0</v>
      </c>
      <c r="M370" s="3747">
        <f t="shared" si="74"/>
        <v>0</v>
      </c>
      <c r="N370" s="3747">
        <f t="shared" si="74"/>
        <v>0</v>
      </c>
      <c r="O370" s="3747">
        <f t="shared" si="74"/>
        <v>0</v>
      </c>
      <c r="P370" s="3747">
        <f t="shared" si="74"/>
        <v>0</v>
      </c>
      <c r="Q370" s="3747">
        <f t="shared" si="74"/>
        <v>0</v>
      </c>
      <c r="R370" s="3748">
        <f t="shared" si="74"/>
        <v>0</v>
      </c>
      <c r="S370" s="3749">
        <f>+SUM(G370:R370)</f>
        <v>0</v>
      </c>
    </row>
    <row r="371" spans="1:26" s="3452" customFormat="1" x14ac:dyDescent="0.3">
      <c r="A371" s="3437"/>
      <c r="B371" s="2524" t="s">
        <v>2145</v>
      </c>
      <c r="C371" s="2481"/>
      <c r="D371" s="2481"/>
      <c r="E371" s="3750"/>
      <c r="F371" s="3750"/>
      <c r="G371" s="3751"/>
      <c r="H371" s="3751"/>
      <c r="I371" s="3751"/>
      <c r="J371" s="3751"/>
      <c r="K371" s="3751"/>
      <c r="L371" s="3751"/>
      <c r="M371" s="3751"/>
      <c r="N371" s="3751"/>
      <c r="O371" s="3751"/>
      <c r="P371" s="3751"/>
      <c r="Q371" s="3751"/>
      <c r="R371" s="3751"/>
      <c r="S371" s="3752"/>
    </row>
    <row r="372" spans="1:26" s="3452" customFormat="1" x14ac:dyDescent="0.3">
      <c r="A372" s="3437"/>
      <c r="B372" s="3505" t="s">
        <v>2141</v>
      </c>
      <c r="C372" s="3506"/>
      <c r="D372" s="3506" t="s">
        <v>1949</v>
      </c>
      <c r="E372" s="3753"/>
      <c r="F372" s="3754"/>
      <c r="G372" s="3507">
        <f>G368*$D368</f>
        <v>0</v>
      </c>
      <c r="H372" s="3508">
        <f t="shared" ref="H372:R372" si="75">H368*$D368</f>
        <v>0</v>
      </c>
      <c r="I372" s="3508">
        <f t="shared" si="75"/>
        <v>0</v>
      </c>
      <c r="J372" s="3508">
        <f t="shared" si="75"/>
        <v>0</v>
      </c>
      <c r="K372" s="3508">
        <f>K368*$D368</f>
        <v>0</v>
      </c>
      <c r="L372" s="3508">
        <f>L368*$D368</f>
        <v>0</v>
      </c>
      <c r="M372" s="3508">
        <f t="shared" si="75"/>
        <v>0</v>
      </c>
      <c r="N372" s="3508">
        <f t="shared" si="75"/>
        <v>0</v>
      </c>
      <c r="O372" s="3508">
        <f t="shared" si="75"/>
        <v>0</v>
      </c>
      <c r="P372" s="3508">
        <f t="shared" si="75"/>
        <v>0</v>
      </c>
      <c r="Q372" s="3508">
        <f t="shared" si="75"/>
        <v>0</v>
      </c>
      <c r="R372" s="3509">
        <f t="shared" si="75"/>
        <v>0</v>
      </c>
      <c r="S372" s="3755">
        <f>+SUM(G372:R372)</f>
        <v>0</v>
      </c>
    </row>
    <row r="373" spans="1:26" s="3452" customFormat="1" x14ac:dyDescent="0.3">
      <c r="A373" s="3437"/>
      <c r="B373" s="3512" t="s">
        <v>2142</v>
      </c>
      <c r="C373" s="3437"/>
      <c r="D373" s="3437" t="s">
        <v>1949</v>
      </c>
      <c r="E373" s="3437"/>
      <c r="F373" s="3756"/>
      <c r="G373" s="3706">
        <f>G369*$D369</f>
        <v>0</v>
      </c>
      <c r="H373" s="3707">
        <f>H369*$D369</f>
        <v>0</v>
      </c>
      <c r="I373" s="3707">
        <f t="shared" ref="I373:R373" si="76">I369*$D369</f>
        <v>0</v>
      </c>
      <c r="J373" s="3707">
        <f t="shared" si="76"/>
        <v>0</v>
      </c>
      <c r="K373" s="3707">
        <f t="shared" si="76"/>
        <v>0</v>
      </c>
      <c r="L373" s="3707">
        <f t="shared" si="76"/>
        <v>0</v>
      </c>
      <c r="M373" s="3707">
        <f t="shared" si="76"/>
        <v>0</v>
      </c>
      <c r="N373" s="3707">
        <f t="shared" si="76"/>
        <v>0</v>
      </c>
      <c r="O373" s="3707">
        <f t="shared" si="76"/>
        <v>0</v>
      </c>
      <c r="P373" s="3707">
        <f t="shared" si="76"/>
        <v>0</v>
      </c>
      <c r="Q373" s="3707">
        <f t="shared" si="76"/>
        <v>0</v>
      </c>
      <c r="R373" s="3708">
        <f t="shared" si="76"/>
        <v>0</v>
      </c>
      <c r="S373" s="3734">
        <f>+SUM(G373:R373)</f>
        <v>0</v>
      </c>
    </row>
    <row r="374" spans="1:26" s="3452" customFormat="1" x14ac:dyDescent="0.3">
      <c r="A374" s="3437"/>
      <c r="B374" s="3725" t="s">
        <v>1434</v>
      </c>
      <c r="C374" s="3719"/>
      <c r="D374" s="3719" t="s">
        <v>1949</v>
      </c>
      <c r="E374" s="3719"/>
      <c r="F374" s="3757"/>
      <c r="G374" s="3758">
        <f>G370*$D370</f>
        <v>0</v>
      </c>
      <c r="H374" s="3759">
        <f>H370*$D370</f>
        <v>0</v>
      </c>
      <c r="I374" s="3759">
        <f t="shared" ref="I374:R374" si="77">I370*$D370</f>
        <v>0</v>
      </c>
      <c r="J374" s="3759">
        <f t="shared" si="77"/>
        <v>0</v>
      </c>
      <c r="K374" s="3759">
        <f t="shared" si="77"/>
        <v>0</v>
      </c>
      <c r="L374" s="3759">
        <f t="shared" si="77"/>
        <v>0</v>
      </c>
      <c r="M374" s="3759">
        <f t="shared" si="77"/>
        <v>0</v>
      </c>
      <c r="N374" s="3759">
        <f t="shared" si="77"/>
        <v>0</v>
      </c>
      <c r="O374" s="3759">
        <f t="shared" si="77"/>
        <v>0</v>
      </c>
      <c r="P374" s="3759">
        <f t="shared" si="77"/>
        <v>0</v>
      </c>
      <c r="Q374" s="3759">
        <f t="shared" si="77"/>
        <v>0</v>
      </c>
      <c r="R374" s="3760">
        <f t="shared" si="77"/>
        <v>0</v>
      </c>
      <c r="S374" s="3761">
        <f>+SUM(G374:R374)</f>
        <v>0</v>
      </c>
    </row>
    <row r="375" spans="1:26" s="3452" customFormat="1" ht="15.05" thickBot="1" x14ac:dyDescent="0.35">
      <c r="A375" s="3437"/>
      <c r="B375" s="3762" t="s">
        <v>15</v>
      </c>
      <c r="C375" s="3763"/>
      <c r="D375" s="3763" t="s">
        <v>1949</v>
      </c>
      <c r="E375" s="3763"/>
      <c r="F375" s="3764"/>
      <c r="G375" s="3565">
        <f>+SUM(G372:G374)</f>
        <v>0</v>
      </c>
      <c r="H375" s="3566">
        <f t="shared" ref="H375:R375" si="78">+SUM(H372:H374)</f>
        <v>0</v>
      </c>
      <c r="I375" s="3566">
        <f t="shared" si="78"/>
        <v>0</v>
      </c>
      <c r="J375" s="3566">
        <f t="shared" si="78"/>
        <v>0</v>
      </c>
      <c r="K375" s="3566">
        <f>+SUM(K372:K374)</f>
        <v>0</v>
      </c>
      <c r="L375" s="3566">
        <f t="shared" si="78"/>
        <v>0</v>
      </c>
      <c r="M375" s="3566">
        <f t="shared" si="78"/>
        <v>0</v>
      </c>
      <c r="N375" s="3566">
        <f t="shared" si="78"/>
        <v>0</v>
      </c>
      <c r="O375" s="3566">
        <f t="shared" si="78"/>
        <v>0</v>
      </c>
      <c r="P375" s="3566">
        <f t="shared" si="78"/>
        <v>0</v>
      </c>
      <c r="Q375" s="3566">
        <f t="shared" si="78"/>
        <v>0</v>
      </c>
      <c r="R375" s="3567">
        <f t="shared" si="78"/>
        <v>0</v>
      </c>
      <c r="S375" s="3568">
        <f>+SUM(G375:R375)</f>
        <v>0</v>
      </c>
    </row>
    <row r="376" spans="1:26" s="3452" customFormat="1" x14ac:dyDescent="0.3">
      <c r="A376" s="3437"/>
      <c r="B376" s="3437"/>
      <c r="C376" s="3437"/>
      <c r="D376" s="3437"/>
      <c r="E376" s="3437"/>
      <c r="F376" s="3765"/>
      <c r="G376" s="3523"/>
      <c r="H376" s="3523"/>
      <c r="I376" s="3523"/>
      <c r="J376" s="3523"/>
      <c r="K376" s="3523"/>
      <c r="L376" s="3523"/>
      <c r="M376" s="3523"/>
      <c r="N376" s="3523"/>
      <c r="O376" s="3523"/>
      <c r="P376" s="3523"/>
      <c r="Q376" s="3523"/>
      <c r="R376" s="3523"/>
      <c r="S376" s="3572"/>
    </row>
    <row r="377" spans="1:26" s="3440" customFormat="1" hidden="1" x14ac:dyDescent="0.3">
      <c r="A377" s="3496" t="s">
        <v>1125</v>
      </c>
      <c r="B377" s="3766" t="s">
        <v>1442</v>
      </c>
      <c r="C377" s="3498"/>
      <c r="D377" s="3498" t="s">
        <v>1444</v>
      </c>
      <c r="E377" s="3610"/>
      <c r="F377" s="3498"/>
      <c r="G377" s="3767" t="e">
        <f>+UsoSuelo!AS736/UsoSuelo!S736</f>
        <v>#DIV/0!</v>
      </c>
      <c r="H377" s="3767" t="e">
        <f>+UsoSuelo!AT736/UsoSuelo!T736</f>
        <v>#DIV/0!</v>
      </c>
      <c r="I377" s="3767" t="e">
        <f>+UsoSuelo!AU736/UsoSuelo!U736</f>
        <v>#DIV/0!</v>
      </c>
      <c r="J377" s="3767" t="e">
        <f>+UsoSuelo!AV736/UsoSuelo!V736</f>
        <v>#DIV/0!</v>
      </c>
      <c r="K377" s="3767" t="e">
        <f>+UsoSuelo!AW736/UsoSuelo!W736</f>
        <v>#DIV/0!</v>
      </c>
      <c r="L377" s="3767" t="e">
        <f>+UsoSuelo!AX736/UsoSuelo!X736</f>
        <v>#DIV/0!</v>
      </c>
      <c r="M377" s="3767" t="e">
        <f>+UsoSuelo!AY736/UsoSuelo!Y736</f>
        <v>#DIV/0!</v>
      </c>
      <c r="N377" s="3767" t="e">
        <f>+UsoSuelo!AZ736/UsoSuelo!Z736</f>
        <v>#DIV/0!</v>
      </c>
      <c r="O377" s="3767" t="e">
        <f>+UsoSuelo!BA736/UsoSuelo!AA736</f>
        <v>#DIV/0!</v>
      </c>
      <c r="P377" s="3767" t="e">
        <f>+UsoSuelo!BB736/UsoSuelo!AB736</f>
        <v>#DIV/0!</v>
      </c>
      <c r="Q377" s="3767" t="e">
        <f>+UsoSuelo!BC736/UsoSuelo!AC736</f>
        <v>#DIV/0!</v>
      </c>
      <c r="R377" s="3767" t="e">
        <f>+UsoSuelo!BD736/UsoSuelo!AD736</f>
        <v>#DIV/0!</v>
      </c>
      <c r="S377" s="3610"/>
    </row>
    <row r="378" spans="1:26" s="3440" customFormat="1" hidden="1" x14ac:dyDescent="0.3">
      <c r="A378" s="3496" t="s">
        <v>1125</v>
      </c>
      <c r="B378" s="3766" t="s">
        <v>1443</v>
      </c>
      <c r="C378" s="3498"/>
      <c r="D378" s="3498" t="s">
        <v>1445</v>
      </c>
      <c r="E378" s="3610"/>
      <c r="F378" s="3498"/>
      <c r="G378" s="3768" t="e">
        <f>+UsoSuelo!AF736/UsoSuelo!S736</f>
        <v>#DIV/0!</v>
      </c>
      <c r="H378" s="3768" t="e">
        <f>+UsoSuelo!AG736/UsoSuelo!T736</f>
        <v>#DIV/0!</v>
      </c>
      <c r="I378" s="3768" t="e">
        <f>+UsoSuelo!AH736/UsoSuelo!U736</f>
        <v>#DIV/0!</v>
      </c>
      <c r="J378" s="3768" t="e">
        <f>+UsoSuelo!AI736/UsoSuelo!V736</f>
        <v>#DIV/0!</v>
      </c>
      <c r="K378" s="3768" t="e">
        <f>+UsoSuelo!AJ736/UsoSuelo!W736</f>
        <v>#DIV/0!</v>
      </c>
      <c r="L378" s="3768" t="e">
        <f>+UsoSuelo!AK736/UsoSuelo!X736</f>
        <v>#DIV/0!</v>
      </c>
      <c r="M378" s="3768" t="e">
        <f>+UsoSuelo!AL736/UsoSuelo!Y736</f>
        <v>#DIV/0!</v>
      </c>
      <c r="N378" s="3768" t="e">
        <f>+UsoSuelo!AM736/UsoSuelo!Z736</f>
        <v>#DIV/0!</v>
      </c>
      <c r="O378" s="3768" t="e">
        <f>+UsoSuelo!AN736/UsoSuelo!AA736</f>
        <v>#DIV/0!</v>
      </c>
      <c r="P378" s="3768" t="e">
        <f>+UsoSuelo!AO736/UsoSuelo!AB736</f>
        <v>#DIV/0!</v>
      </c>
      <c r="Q378" s="3768" t="e">
        <f>+UsoSuelo!AP736/UsoSuelo!AC736</f>
        <v>#DIV/0!</v>
      </c>
      <c r="R378" s="3768" t="e">
        <f>+UsoSuelo!AQ736/UsoSuelo!AD736</f>
        <v>#DIV/0!</v>
      </c>
      <c r="S378" s="3610"/>
    </row>
    <row r="379" spans="1:26" s="3440" customFormat="1" hidden="1" x14ac:dyDescent="0.3">
      <c r="A379" s="3496" t="s">
        <v>1125</v>
      </c>
      <c r="B379" s="3766" t="s">
        <v>1446</v>
      </c>
      <c r="C379" s="3498"/>
      <c r="D379" s="3498"/>
      <c r="E379" s="3610"/>
      <c r="F379" s="3498"/>
      <c r="G379" s="3499" t="e">
        <f>+G375*G377</f>
        <v>#DIV/0!</v>
      </c>
      <c r="H379" s="3499" t="e">
        <f t="shared" ref="H379:R379" si="79">+H375*H377</f>
        <v>#DIV/0!</v>
      </c>
      <c r="I379" s="3499" t="e">
        <f t="shared" si="79"/>
        <v>#DIV/0!</v>
      </c>
      <c r="J379" s="3499" t="e">
        <f t="shared" si="79"/>
        <v>#DIV/0!</v>
      </c>
      <c r="K379" s="3499" t="e">
        <f t="shared" si="79"/>
        <v>#DIV/0!</v>
      </c>
      <c r="L379" s="3499" t="e">
        <f t="shared" si="79"/>
        <v>#DIV/0!</v>
      </c>
      <c r="M379" s="3499" t="e">
        <f t="shared" si="79"/>
        <v>#DIV/0!</v>
      </c>
      <c r="N379" s="3499" t="e">
        <f t="shared" si="79"/>
        <v>#DIV/0!</v>
      </c>
      <c r="O379" s="3499" t="e">
        <f t="shared" si="79"/>
        <v>#DIV/0!</v>
      </c>
      <c r="P379" s="3499" t="e">
        <f t="shared" si="79"/>
        <v>#DIV/0!</v>
      </c>
      <c r="Q379" s="3499" t="e">
        <f t="shared" si="79"/>
        <v>#DIV/0!</v>
      </c>
      <c r="R379" s="3499" t="e">
        <f t="shared" si="79"/>
        <v>#DIV/0!</v>
      </c>
      <c r="S379" s="3610"/>
    </row>
    <row r="380" spans="1:26" s="3452" customFormat="1" hidden="1" x14ac:dyDescent="0.3">
      <c r="A380" s="3496" t="s">
        <v>1125</v>
      </c>
      <c r="B380" s="3766" t="s">
        <v>1447</v>
      </c>
      <c r="C380" s="3498"/>
      <c r="D380" s="3498"/>
      <c r="E380" s="3498"/>
      <c r="F380" s="3769"/>
      <c r="G380" s="3499" t="e">
        <f>+G375*G378</f>
        <v>#DIV/0!</v>
      </c>
      <c r="H380" s="3499" t="e">
        <f t="shared" ref="H380:R380" si="80">+H375*H378</f>
        <v>#DIV/0!</v>
      </c>
      <c r="I380" s="3499" t="e">
        <f t="shared" si="80"/>
        <v>#DIV/0!</v>
      </c>
      <c r="J380" s="3499" t="e">
        <f t="shared" si="80"/>
        <v>#DIV/0!</v>
      </c>
      <c r="K380" s="3499" t="e">
        <f t="shared" si="80"/>
        <v>#DIV/0!</v>
      </c>
      <c r="L380" s="3499" t="e">
        <f t="shared" si="80"/>
        <v>#DIV/0!</v>
      </c>
      <c r="M380" s="3499" t="e">
        <f t="shared" si="80"/>
        <v>#DIV/0!</v>
      </c>
      <c r="N380" s="3499" t="e">
        <f t="shared" si="80"/>
        <v>#DIV/0!</v>
      </c>
      <c r="O380" s="3499" t="e">
        <f t="shared" si="80"/>
        <v>#DIV/0!</v>
      </c>
      <c r="P380" s="3499" t="e">
        <f t="shared" si="80"/>
        <v>#DIV/0!</v>
      </c>
      <c r="Q380" s="3499" t="e">
        <f t="shared" si="80"/>
        <v>#DIV/0!</v>
      </c>
      <c r="R380" s="3499" t="e">
        <f t="shared" si="80"/>
        <v>#DIV/0!</v>
      </c>
      <c r="S380" s="3611"/>
    </row>
    <row r="381" spans="1:26" s="3452" customFormat="1" ht="15.05" thickBot="1" x14ac:dyDescent="0.35">
      <c r="A381" s="3437"/>
      <c r="B381" s="3437"/>
      <c r="C381" s="3437"/>
      <c r="D381" s="3437"/>
      <c r="E381" s="3523"/>
      <c r="F381" s="3523"/>
      <c r="G381" s="3523"/>
      <c r="H381" s="3627"/>
      <c r="I381" s="3523"/>
      <c r="J381" s="3523"/>
      <c r="K381" s="3523"/>
      <c r="L381" s="3523"/>
      <c r="M381" s="3523"/>
      <c r="N381" s="3523"/>
      <c r="O381" s="3523"/>
      <c r="P381" s="3523"/>
      <c r="Q381" s="3523"/>
      <c r="R381" s="3523"/>
      <c r="S381" s="3523"/>
    </row>
    <row r="382" spans="1:26" s="3452" customFormat="1" ht="15.05" thickBot="1" x14ac:dyDescent="0.35">
      <c r="A382" s="2487">
        <f>+A352+1</f>
        <v>101</v>
      </c>
      <c r="B382" s="3492" t="s">
        <v>1947</v>
      </c>
      <c r="C382" s="3493"/>
      <c r="D382" s="3493"/>
      <c r="E382" s="3493"/>
      <c r="F382" s="3493"/>
      <c r="G382" s="3494"/>
      <c r="H382" s="3494"/>
      <c r="I382" s="3494"/>
      <c r="J382" s="3494"/>
      <c r="K382" s="3494"/>
      <c r="L382" s="3494"/>
      <c r="M382" s="3494"/>
      <c r="N382" s="3494"/>
      <c r="O382" s="3494"/>
      <c r="P382" s="3494"/>
      <c r="Q382" s="3494"/>
      <c r="R382" s="3494"/>
      <c r="S382" s="3495"/>
    </row>
    <row r="383" spans="1:26" s="3452" customFormat="1" ht="15.05" customHeight="1" x14ac:dyDescent="0.3">
      <c r="B383" s="3612" t="s">
        <v>683</v>
      </c>
      <c r="C383" s="3613"/>
      <c r="D383" s="3613"/>
      <c r="E383" s="3613"/>
      <c r="F383" s="3613"/>
      <c r="G383" s="3614" t="str">
        <f t="shared" ref="G383:R383" si="81">+G5</f>
        <v>Ene</v>
      </c>
      <c r="H383" s="3614" t="str">
        <f t="shared" si="81"/>
        <v>Feb</v>
      </c>
      <c r="I383" s="3614" t="str">
        <f t="shared" si="81"/>
        <v>Mar</v>
      </c>
      <c r="J383" s="3614" t="str">
        <f t="shared" si="81"/>
        <v>Abr</v>
      </c>
      <c r="K383" s="3614" t="str">
        <f t="shared" si="81"/>
        <v>May</v>
      </c>
      <c r="L383" s="3614" t="str">
        <f t="shared" si="81"/>
        <v>Jun</v>
      </c>
      <c r="M383" s="3614" t="str">
        <f t="shared" si="81"/>
        <v>Jul</v>
      </c>
      <c r="N383" s="3614" t="str">
        <f t="shared" si="81"/>
        <v>Ago</v>
      </c>
      <c r="O383" s="3614" t="str">
        <f t="shared" si="81"/>
        <v>Set</v>
      </c>
      <c r="P383" s="3614" t="str">
        <f t="shared" si="81"/>
        <v>Oct</v>
      </c>
      <c r="Q383" s="3614" t="str">
        <f t="shared" si="81"/>
        <v>Nov</v>
      </c>
      <c r="R383" s="3614" t="str">
        <f t="shared" si="81"/>
        <v>Dic</v>
      </c>
      <c r="S383" s="3615" t="s">
        <v>1391</v>
      </c>
      <c r="T383" s="3440"/>
      <c r="U383" s="3440"/>
      <c r="V383" s="3440"/>
      <c r="W383" s="3440"/>
      <c r="X383" s="3440"/>
      <c r="Y383" s="3440"/>
      <c r="Z383" s="3440"/>
    </row>
    <row r="384" spans="1:26" s="3452" customFormat="1" x14ac:dyDescent="0.3">
      <c r="A384" s="3437"/>
      <c r="B384" s="3770" t="s">
        <v>1163</v>
      </c>
      <c r="C384" s="3771"/>
      <c r="D384" s="3771" t="s">
        <v>564</v>
      </c>
      <c r="E384" s="3772">
        <f>General!G27</f>
        <v>0</v>
      </c>
      <c r="F384" s="3773"/>
      <c r="G384" s="3772"/>
      <c r="H384" s="3772"/>
      <c r="I384" s="3772"/>
      <c r="J384" s="3772"/>
      <c r="K384" s="3772"/>
      <c r="L384" s="3772"/>
      <c r="M384" s="3772"/>
      <c r="N384" s="3772"/>
      <c r="O384" s="3772"/>
      <c r="P384" s="3772"/>
      <c r="Q384" s="3772"/>
      <c r="R384" s="3774"/>
      <c r="S384" s="3775"/>
    </row>
    <row r="385" spans="1:20" s="3452" customFormat="1" x14ac:dyDescent="0.3">
      <c r="A385" s="3437"/>
      <c r="B385" s="2524" t="s">
        <v>1430</v>
      </c>
      <c r="C385" s="2481"/>
      <c r="D385" s="2481"/>
      <c r="E385" s="2481"/>
      <c r="F385" s="2481"/>
      <c r="G385" s="3704"/>
      <c r="H385" s="3704"/>
      <c r="I385" s="3704"/>
      <c r="J385" s="3704"/>
      <c r="K385" s="3704"/>
      <c r="L385" s="3704"/>
      <c r="M385" s="3704"/>
      <c r="N385" s="3704"/>
      <c r="O385" s="3704"/>
      <c r="P385" s="3704"/>
      <c r="Q385" s="3704"/>
      <c r="R385" s="3704"/>
      <c r="S385" s="3705"/>
    </row>
    <row r="386" spans="1:20" s="3452" customFormat="1" x14ac:dyDescent="0.3">
      <c r="A386" s="3437"/>
      <c r="B386" s="3512" t="s">
        <v>1477</v>
      </c>
      <c r="C386" s="3437"/>
      <c r="D386" s="3437" t="s">
        <v>564</v>
      </c>
      <c r="E386" s="3523"/>
      <c r="F386" s="3776"/>
      <c r="G386" s="3777">
        <f>UsoSuelo!S737+UsoSuelo!S808+UsoSuelo!S879</f>
        <v>0</v>
      </c>
      <c r="H386" s="3777">
        <f>UsoSuelo!T737+UsoSuelo!T808+UsoSuelo!T879</f>
        <v>0</v>
      </c>
      <c r="I386" s="3777">
        <f>UsoSuelo!U737+UsoSuelo!U808+UsoSuelo!U879</f>
        <v>0</v>
      </c>
      <c r="J386" s="3777">
        <f>UsoSuelo!V737+UsoSuelo!V808+UsoSuelo!V879</f>
        <v>0</v>
      </c>
      <c r="K386" s="3777">
        <f>UsoSuelo!W737+UsoSuelo!W808+UsoSuelo!W879</f>
        <v>0</v>
      </c>
      <c r="L386" s="3777">
        <f>UsoSuelo!X737+UsoSuelo!X808+UsoSuelo!X879</f>
        <v>0</v>
      </c>
      <c r="M386" s="3777">
        <f>UsoSuelo!Y737+UsoSuelo!Y808+UsoSuelo!Y879</f>
        <v>0</v>
      </c>
      <c r="N386" s="3777">
        <f>UsoSuelo!Z737+UsoSuelo!Z808+UsoSuelo!Z879</f>
        <v>0</v>
      </c>
      <c r="O386" s="3777">
        <f>UsoSuelo!AA737+UsoSuelo!AA808+UsoSuelo!AA879</f>
        <v>0</v>
      </c>
      <c r="P386" s="3777">
        <f>UsoSuelo!AB737+UsoSuelo!AB808+UsoSuelo!AB879</f>
        <v>0</v>
      </c>
      <c r="Q386" s="3777">
        <f>UsoSuelo!AC737+UsoSuelo!AC808+UsoSuelo!AC879</f>
        <v>0</v>
      </c>
      <c r="R386" s="3777">
        <f>UsoSuelo!AD737+UsoSuelo!AD808+UsoSuelo!AD879</f>
        <v>0</v>
      </c>
      <c r="S386" s="3778">
        <f>+SUM(G386:R386)</f>
        <v>0</v>
      </c>
    </row>
    <row r="387" spans="1:20" s="3452" customFormat="1" hidden="1" x14ac:dyDescent="0.3">
      <c r="A387" s="3496" t="s">
        <v>1125</v>
      </c>
      <c r="B387" s="3497" t="s">
        <v>1448</v>
      </c>
      <c r="C387" s="3498"/>
      <c r="D387" s="3498" t="s">
        <v>558</v>
      </c>
      <c r="E387" s="3499"/>
      <c r="F387" s="3779"/>
      <c r="G387" s="3780">
        <f>UsoSuelo!AS808+UsoSuelo!AS737+UsoSuelo!AS879</f>
        <v>0</v>
      </c>
      <c r="H387" s="3780">
        <f>UsoSuelo!AT808+UsoSuelo!AT737+UsoSuelo!AT879</f>
        <v>0</v>
      </c>
      <c r="I387" s="3780">
        <f>UsoSuelo!AU808+UsoSuelo!AU737+UsoSuelo!AU879</f>
        <v>0</v>
      </c>
      <c r="J387" s="3780">
        <f>UsoSuelo!AV808+UsoSuelo!AV737+UsoSuelo!AV879</f>
        <v>0</v>
      </c>
      <c r="K387" s="3780">
        <f>UsoSuelo!AW808+UsoSuelo!AW737+UsoSuelo!AW879</f>
        <v>0</v>
      </c>
      <c r="L387" s="3780">
        <f>UsoSuelo!AX808+UsoSuelo!AX737+UsoSuelo!AX879</f>
        <v>0</v>
      </c>
      <c r="M387" s="3780">
        <f>UsoSuelo!AY808+UsoSuelo!AY737+UsoSuelo!AY879</f>
        <v>0</v>
      </c>
      <c r="N387" s="3780">
        <f>UsoSuelo!AZ808+UsoSuelo!AZ737+UsoSuelo!AZ879</f>
        <v>0</v>
      </c>
      <c r="O387" s="3780">
        <f>UsoSuelo!BA808+UsoSuelo!BA737+UsoSuelo!BA879</f>
        <v>0</v>
      </c>
      <c r="P387" s="3780">
        <f>UsoSuelo!BB808+UsoSuelo!BB737+UsoSuelo!BB879</f>
        <v>0</v>
      </c>
      <c r="Q387" s="3780">
        <f>UsoSuelo!BC808+UsoSuelo!BC737+UsoSuelo!BC879</f>
        <v>0</v>
      </c>
      <c r="R387" s="3780">
        <f>UsoSuelo!BD808+UsoSuelo!BD737+UsoSuelo!BD879</f>
        <v>0</v>
      </c>
      <c r="S387" s="3781"/>
    </row>
    <row r="388" spans="1:20" s="3452" customFormat="1" hidden="1" x14ac:dyDescent="0.3">
      <c r="A388" s="3496" t="s">
        <v>1125</v>
      </c>
      <c r="B388" s="3497" t="s">
        <v>1449</v>
      </c>
      <c r="C388" s="3498"/>
      <c r="D388" s="3498" t="s">
        <v>559</v>
      </c>
      <c r="E388" s="3499"/>
      <c r="F388" s="3779"/>
      <c r="G388" s="3780">
        <f>UsoSuelo!AF737+UsoSuelo!AF808+UsoSuelo!AF879</f>
        <v>0</v>
      </c>
      <c r="H388" s="3780">
        <f>UsoSuelo!AG737+UsoSuelo!AG808+UsoSuelo!AG879</f>
        <v>0</v>
      </c>
      <c r="I388" s="3780">
        <f>UsoSuelo!AH737+UsoSuelo!AH808+UsoSuelo!AH879</f>
        <v>0</v>
      </c>
      <c r="J388" s="3780">
        <f>UsoSuelo!AI737+UsoSuelo!AI808+UsoSuelo!AI879</f>
        <v>0</v>
      </c>
      <c r="K388" s="3780">
        <f>UsoSuelo!AJ737+UsoSuelo!AJ808+UsoSuelo!AJ879</f>
        <v>0</v>
      </c>
      <c r="L388" s="3780">
        <f>UsoSuelo!AK737+UsoSuelo!AK808+UsoSuelo!AK879</f>
        <v>0</v>
      </c>
      <c r="M388" s="3780">
        <f>UsoSuelo!AL737+UsoSuelo!AL808+UsoSuelo!AL879</f>
        <v>0</v>
      </c>
      <c r="N388" s="3780">
        <f>UsoSuelo!AM737+UsoSuelo!AM808+UsoSuelo!AM879</f>
        <v>0</v>
      </c>
      <c r="O388" s="3780">
        <f>UsoSuelo!AN737+UsoSuelo!AN808+UsoSuelo!AN879</f>
        <v>0</v>
      </c>
      <c r="P388" s="3780">
        <f>UsoSuelo!AO737+UsoSuelo!AO808+UsoSuelo!AO879</f>
        <v>0</v>
      </c>
      <c r="Q388" s="3780">
        <f>UsoSuelo!AP737+UsoSuelo!AP808+UsoSuelo!AP879</f>
        <v>0</v>
      </c>
      <c r="R388" s="3780">
        <f>UsoSuelo!AQ737+UsoSuelo!AQ808+UsoSuelo!AQ879</f>
        <v>0</v>
      </c>
      <c r="S388" s="3781"/>
    </row>
    <row r="389" spans="1:20" s="3452" customFormat="1" x14ac:dyDescent="0.3">
      <c r="A389" s="3437"/>
      <c r="B389" s="3512" t="s">
        <v>2364</v>
      </c>
      <c r="C389" s="3437"/>
      <c r="D389" s="3437" t="s">
        <v>564</v>
      </c>
      <c r="E389" s="3437"/>
      <c r="F389" s="3782"/>
      <c r="G389" s="3783">
        <f t="shared" ref="G389:R389" si="82">+SUM(G372:G374)</f>
        <v>0</v>
      </c>
      <c r="H389" s="3783">
        <f>+SUM(H372:H374)</f>
        <v>0</v>
      </c>
      <c r="I389" s="3783">
        <f t="shared" si="82"/>
        <v>0</v>
      </c>
      <c r="J389" s="3783">
        <f t="shared" si="82"/>
        <v>0</v>
      </c>
      <c r="K389" s="3783">
        <f t="shared" si="82"/>
        <v>0</v>
      </c>
      <c r="L389" s="3783">
        <f>+SUM(L372:L374)</f>
        <v>0</v>
      </c>
      <c r="M389" s="3783">
        <f t="shared" si="82"/>
        <v>0</v>
      </c>
      <c r="N389" s="3783">
        <f t="shared" si="82"/>
        <v>0</v>
      </c>
      <c r="O389" s="3783">
        <f t="shared" si="82"/>
        <v>0</v>
      </c>
      <c r="P389" s="3783">
        <f t="shared" si="82"/>
        <v>0</v>
      </c>
      <c r="Q389" s="3783">
        <f t="shared" si="82"/>
        <v>0</v>
      </c>
      <c r="R389" s="3783">
        <f t="shared" si="82"/>
        <v>0</v>
      </c>
      <c r="S389" s="3784">
        <f>+SUM(G389:R389)</f>
        <v>0</v>
      </c>
    </row>
    <row r="390" spans="1:20" s="3452" customFormat="1" hidden="1" x14ac:dyDescent="0.3">
      <c r="A390" s="3496" t="s">
        <v>1125</v>
      </c>
      <c r="B390" s="3497" t="s">
        <v>1450</v>
      </c>
      <c r="C390" s="3498"/>
      <c r="D390" s="3498" t="s">
        <v>558</v>
      </c>
      <c r="E390" s="3499"/>
      <c r="F390" s="3779"/>
      <c r="G390" s="3499" t="e">
        <f>+G379</f>
        <v>#DIV/0!</v>
      </c>
      <c r="H390" s="3499" t="e">
        <f t="shared" ref="H390:R390" si="83">+H379</f>
        <v>#DIV/0!</v>
      </c>
      <c r="I390" s="3499" t="e">
        <f t="shared" si="83"/>
        <v>#DIV/0!</v>
      </c>
      <c r="J390" s="3499" t="e">
        <f t="shared" si="83"/>
        <v>#DIV/0!</v>
      </c>
      <c r="K390" s="3499" t="e">
        <f t="shared" si="83"/>
        <v>#DIV/0!</v>
      </c>
      <c r="L390" s="3499" t="e">
        <f t="shared" si="83"/>
        <v>#DIV/0!</v>
      </c>
      <c r="M390" s="3499" t="e">
        <f t="shared" si="83"/>
        <v>#DIV/0!</v>
      </c>
      <c r="N390" s="3499" t="e">
        <f t="shared" si="83"/>
        <v>#DIV/0!</v>
      </c>
      <c r="O390" s="3499" t="e">
        <f t="shared" si="83"/>
        <v>#DIV/0!</v>
      </c>
      <c r="P390" s="3499" t="e">
        <f t="shared" si="83"/>
        <v>#DIV/0!</v>
      </c>
      <c r="Q390" s="3499" t="e">
        <f t="shared" si="83"/>
        <v>#DIV/0!</v>
      </c>
      <c r="R390" s="3499" t="e">
        <f t="shared" si="83"/>
        <v>#DIV/0!</v>
      </c>
      <c r="S390" s="3500"/>
    </row>
    <row r="391" spans="1:20" s="3452" customFormat="1" hidden="1" x14ac:dyDescent="0.3">
      <c r="A391" s="3496" t="s">
        <v>1125</v>
      </c>
      <c r="B391" s="3497" t="s">
        <v>1451</v>
      </c>
      <c r="C391" s="3498"/>
      <c r="D391" s="3498" t="s">
        <v>559</v>
      </c>
      <c r="E391" s="3499"/>
      <c r="F391" s="3779"/>
      <c r="G391" s="3499" t="e">
        <f>+G380</f>
        <v>#DIV/0!</v>
      </c>
      <c r="H391" s="3499" t="e">
        <f t="shared" ref="H391:R391" si="84">+H380</f>
        <v>#DIV/0!</v>
      </c>
      <c r="I391" s="3499" t="e">
        <f t="shared" si="84"/>
        <v>#DIV/0!</v>
      </c>
      <c r="J391" s="3499" t="e">
        <f t="shared" si="84"/>
        <v>#DIV/0!</v>
      </c>
      <c r="K391" s="3499" t="e">
        <f t="shared" si="84"/>
        <v>#DIV/0!</v>
      </c>
      <c r="L391" s="3499" t="e">
        <f t="shared" si="84"/>
        <v>#DIV/0!</v>
      </c>
      <c r="M391" s="3499" t="e">
        <f t="shared" si="84"/>
        <v>#DIV/0!</v>
      </c>
      <c r="N391" s="3499" t="e">
        <f t="shared" si="84"/>
        <v>#DIV/0!</v>
      </c>
      <c r="O391" s="3499" t="e">
        <f t="shared" si="84"/>
        <v>#DIV/0!</v>
      </c>
      <c r="P391" s="3499" t="e">
        <f t="shared" si="84"/>
        <v>#DIV/0!</v>
      </c>
      <c r="Q391" s="3499" t="e">
        <f t="shared" si="84"/>
        <v>#DIV/0!</v>
      </c>
      <c r="R391" s="3499" t="e">
        <f t="shared" si="84"/>
        <v>#DIV/0!</v>
      </c>
      <c r="S391" s="3500"/>
    </row>
    <row r="392" spans="1:20" s="3452" customFormat="1" hidden="1" x14ac:dyDescent="0.3">
      <c r="A392" s="3496" t="s">
        <v>1125</v>
      </c>
      <c r="B392" s="3497" t="s">
        <v>1307</v>
      </c>
      <c r="C392" s="3498"/>
      <c r="D392" s="3498" t="s">
        <v>560</v>
      </c>
      <c r="E392" s="3499" t="s">
        <v>469</v>
      </c>
      <c r="F392" s="3779"/>
      <c r="G392" s="3767">
        <f>IFERROR(IF((G386+E384+G389)=0,0,(E411+G387+G390)/(G386+E384+G389)),0)</f>
        <v>0</v>
      </c>
      <c r="H392" s="3767">
        <f t="shared" ref="H392:R392" si="85">IFERROR((G411+H387+H390)/(H386+G407+H389),0)</f>
        <v>0</v>
      </c>
      <c r="I392" s="3767">
        <f t="shared" si="85"/>
        <v>0</v>
      </c>
      <c r="J392" s="3767">
        <f t="shared" si="85"/>
        <v>0</v>
      </c>
      <c r="K392" s="3767">
        <f t="shared" si="85"/>
        <v>0</v>
      </c>
      <c r="L392" s="3767">
        <f t="shared" si="85"/>
        <v>0</v>
      </c>
      <c r="M392" s="3767">
        <f t="shared" si="85"/>
        <v>0</v>
      </c>
      <c r="N392" s="3767">
        <f t="shared" si="85"/>
        <v>0</v>
      </c>
      <c r="O392" s="3767">
        <f t="shared" si="85"/>
        <v>0</v>
      </c>
      <c r="P392" s="3767">
        <f t="shared" si="85"/>
        <v>0</v>
      </c>
      <c r="Q392" s="3767">
        <f t="shared" si="85"/>
        <v>0</v>
      </c>
      <c r="R392" s="3767">
        <f t="shared" si="85"/>
        <v>0</v>
      </c>
      <c r="S392" s="3500"/>
    </row>
    <row r="393" spans="1:20" s="3452" customFormat="1" hidden="1" x14ac:dyDescent="0.3">
      <c r="A393" s="3496" t="s">
        <v>1125</v>
      </c>
      <c r="B393" s="3497" t="s">
        <v>1308</v>
      </c>
      <c r="C393" s="3498"/>
      <c r="D393" s="3498" t="s">
        <v>358</v>
      </c>
      <c r="E393" s="3499" t="s">
        <v>184</v>
      </c>
      <c r="F393" s="3779"/>
      <c r="G393" s="3768">
        <f>IFERROR(IF((E384+G386+G389)=0,0,(E412+G388+G391)/(E384+G386+G389)),0)</f>
        <v>0</v>
      </c>
      <c r="H393" s="3768">
        <f t="shared" ref="H393:R393" si="86">IFERROR((G412+H388+H391)/(G407+H386+H389),0)</f>
        <v>0</v>
      </c>
      <c r="I393" s="3768">
        <f t="shared" si="86"/>
        <v>0</v>
      </c>
      <c r="J393" s="3768">
        <f t="shared" si="86"/>
        <v>0</v>
      </c>
      <c r="K393" s="3768">
        <f t="shared" si="86"/>
        <v>0</v>
      </c>
      <c r="L393" s="3768">
        <f t="shared" si="86"/>
        <v>0</v>
      </c>
      <c r="M393" s="3768">
        <f t="shared" si="86"/>
        <v>0</v>
      </c>
      <c r="N393" s="3768">
        <f t="shared" si="86"/>
        <v>0</v>
      </c>
      <c r="O393" s="3768">
        <f t="shared" si="86"/>
        <v>0</v>
      </c>
      <c r="P393" s="3768">
        <f t="shared" si="86"/>
        <v>0</v>
      </c>
      <c r="Q393" s="3768">
        <f t="shared" si="86"/>
        <v>0</v>
      </c>
      <c r="R393" s="3768">
        <f t="shared" si="86"/>
        <v>0</v>
      </c>
      <c r="S393" s="3500"/>
    </row>
    <row r="394" spans="1:20" s="3452" customFormat="1" x14ac:dyDescent="0.3">
      <c r="A394" s="3437"/>
      <c r="B394" s="3785" t="s">
        <v>659</v>
      </c>
      <c r="C394" s="3753"/>
      <c r="D394" s="3753" t="s">
        <v>564</v>
      </c>
      <c r="E394" s="3678"/>
      <c r="F394" s="3678"/>
      <c r="G394" s="5259"/>
      <c r="H394" s="5260"/>
      <c r="I394" s="5260"/>
      <c r="J394" s="5260"/>
      <c r="K394" s="5260"/>
      <c r="L394" s="5260"/>
      <c r="M394" s="5260"/>
      <c r="N394" s="5260"/>
      <c r="O394" s="5260"/>
      <c r="P394" s="5260"/>
      <c r="Q394" s="5260"/>
      <c r="R394" s="5261"/>
      <c r="S394" s="3755"/>
    </row>
    <row r="395" spans="1:20" s="3452" customFormat="1" x14ac:dyDescent="0.3">
      <c r="A395" s="3437"/>
      <c r="B395" s="3512" t="s">
        <v>225</v>
      </c>
      <c r="C395" s="3437"/>
      <c r="D395" s="3437" t="s">
        <v>1945</v>
      </c>
      <c r="E395" s="3523"/>
      <c r="F395" s="3523"/>
      <c r="G395" s="5262"/>
      <c r="H395" s="5263"/>
      <c r="I395" s="5263"/>
      <c r="J395" s="5263"/>
      <c r="K395" s="5263"/>
      <c r="L395" s="5263"/>
      <c r="M395" s="5263"/>
      <c r="N395" s="5263"/>
      <c r="O395" s="5263"/>
      <c r="P395" s="5263"/>
      <c r="Q395" s="5263"/>
      <c r="R395" s="5264"/>
      <c r="S395" s="3734"/>
    </row>
    <row r="396" spans="1:20" s="3452" customFormat="1" x14ac:dyDescent="0.3">
      <c r="A396" s="3437"/>
      <c r="B396" s="3725" t="s">
        <v>1309</v>
      </c>
      <c r="C396" s="3437"/>
      <c r="D396" s="3719" t="s">
        <v>1946</v>
      </c>
      <c r="E396" s="3786"/>
      <c r="F396" s="3786"/>
      <c r="G396" s="3787">
        <f>+G395*G394</f>
        <v>0</v>
      </c>
      <c r="H396" s="3788">
        <f t="shared" ref="H396:R396" si="87">+H395*H394</f>
        <v>0</v>
      </c>
      <c r="I396" s="3788">
        <f t="shared" si="87"/>
        <v>0</v>
      </c>
      <c r="J396" s="3788">
        <f t="shared" si="87"/>
        <v>0</v>
      </c>
      <c r="K396" s="3788">
        <f t="shared" si="87"/>
        <v>0</v>
      </c>
      <c r="L396" s="3788">
        <f t="shared" si="87"/>
        <v>0</v>
      </c>
      <c r="M396" s="3788">
        <f t="shared" si="87"/>
        <v>0</v>
      </c>
      <c r="N396" s="3788">
        <f t="shared" si="87"/>
        <v>0</v>
      </c>
      <c r="O396" s="3788">
        <f t="shared" si="87"/>
        <v>0</v>
      </c>
      <c r="P396" s="3788">
        <f t="shared" si="87"/>
        <v>0</v>
      </c>
      <c r="Q396" s="3788">
        <f t="shared" si="87"/>
        <v>0</v>
      </c>
      <c r="R396" s="3789">
        <f t="shared" si="87"/>
        <v>0</v>
      </c>
      <c r="S396" s="3734"/>
    </row>
    <row r="397" spans="1:20" s="3452" customFormat="1" x14ac:dyDescent="0.3">
      <c r="A397" s="3437"/>
      <c r="B397" s="2524" t="s">
        <v>359</v>
      </c>
      <c r="C397" s="2481"/>
      <c r="D397" s="2481"/>
      <c r="E397" s="2481"/>
      <c r="F397" s="2481"/>
      <c r="G397" s="3704"/>
      <c r="H397" s="3704"/>
      <c r="I397" s="3704"/>
      <c r="J397" s="3704"/>
      <c r="K397" s="3704"/>
      <c r="L397" s="3704"/>
      <c r="M397" s="3704"/>
      <c r="N397" s="3704"/>
      <c r="O397" s="3704"/>
      <c r="P397" s="3704"/>
      <c r="Q397" s="3704"/>
      <c r="R397" s="3704"/>
      <c r="S397" s="3705"/>
    </row>
    <row r="398" spans="1:20" s="3452" customFormat="1" x14ac:dyDescent="0.3">
      <c r="A398" s="3437"/>
      <c r="B398" s="3790" t="s">
        <v>660</v>
      </c>
      <c r="C398" s="3437"/>
      <c r="D398" s="3437" t="s">
        <v>564</v>
      </c>
      <c r="E398" s="3523"/>
      <c r="F398" s="3523"/>
      <c r="G398" s="5259"/>
      <c r="H398" s="5260"/>
      <c r="I398" s="5260"/>
      <c r="J398" s="5260"/>
      <c r="K398" s="5260"/>
      <c r="L398" s="5260"/>
      <c r="M398" s="5260"/>
      <c r="N398" s="5260"/>
      <c r="O398" s="5260"/>
      <c r="P398" s="5260"/>
      <c r="Q398" s="5260"/>
      <c r="R398" s="5261"/>
      <c r="S398" s="3734"/>
    </row>
    <row r="399" spans="1:20" s="3452" customFormat="1" x14ac:dyDescent="0.3">
      <c r="A399" s="3437"/>
      <c r="B399" s="3512" t="s">
        <v>225</v>
      </c>
      <c r="C399" s="3437"/>
      <c r="D399" s="3437" t="s">
        <v>1945</v>
      </c>
      <c r="E399" s="3523"/>
      <c r="F399" s="3523"/>
      <c r="G399" s="5262"/>
      <c r="H399" s="5263"/>
      <c r="I399" s="5263"/>
      <c r="J399" s="5263"/>
      <c r="K399" s="5263"/>
      <c r="L399" s="5263"/>
      <c r="M399" s="5263"/>
      <c r="N399" s="5263"/>
      <c r="O399" s="5263"/>
      <c r="P399" s="5263"/>
      <c r="Q399" s="5263"/>
      <c r="R399" s="5264"/>
      <c r="S399" s="3734"/>
    </row>
    <row r="400" spans="1:20" s="3452" customFormat="1" x14ac:dyDescent="0.3">
      <c r="A400" s="3437"/>
      <c r="B400" s="3512" t="s">
        <v>1310</v>
      </c>
      <c r="C400" s="3437"/>
      <c r="D400" s="3437" t="s">
        <v>1946</v>
      </c>
      <c r="E400" s="3453"/>
      <c r="F400" s="3453"/>
      <c r="G400" s="3791">
        <f>+G399*G398</f>
        <v>0</v>
      </c>
      <c r="H400" s="3792">
        <f t="shared" ref="H400:R400" si="88">+H399*H398</f>
        <v>0</v>
      </c>
      <c r="I400" s="3792">
        <f t="shared" si="88"/>
        <v>0</v>
      </c>
      <c r="J400" s="3792">
        <f t="shared" si="88"/>
        <v>0</v>
      </c>
      <c r="K400" s="3792">
        <f t="shared" si="88"/>
        <v>0</v>
      </c>
      <c r="L400" s="3792">
        <f t="shared" si="88"/>
        <v>0</v>
      </c>
      <c r="M400" s="3792">
        <f t="shared" si="88"/>
        <v>0</v>
      </c>
      <c r="N400" s="3792">
        <f t="shared" si="88"/>
        <v>0</v>
      </c>
      <c r="O400" s="3792">
        <f t="shared" si="88"/>
        <v>0</v>
      </c>
      <c r="P400" s="3792">
        <f t="shared" si="88"/>
        <v>0</v>
      </c>
      <c r="Q400" s="3792">
        <f>+Q399*Q398</f>
        <v>0</v>
      </c>
      <c r="R400" s="3793">
        <f t="shared" si="88"/>
        <v>0</v>
      </c>
      <c r="S400" s="3734"/>
      <c r="T400" s="3703"/>
    </row>
    <row r="401" spans="1:33" s="3452" customFormat="1" x14ac:dyDescent="0.3">
      <c r="A401" s="3437"/>
      <c r="B401" s="3794" t="s">
        <v>1780</v>
      </c>
      <c r="C401" s="3795"/>
      <c r="D401" s="3795" t="s">
        <v>564</v>
      </c>
      <c r="E401" s="3680"/>
      <c r="F401" s="3680"/>
      <c r="G401" s="3507">
        <f>+A.Lecheros!F607</f>
        <v>0</v>
      </c>
      <c r="H401" s="3508">
        <f>+A.Lecheros!G607</f>
        <v>0</v>
      </c>
      <c r="I401" s="3508">
        <f>+A.Lecheros!H607</f>
        <v>0</v>
      </c>
      <c r="J401" s="3508">
        <f>+A.Lecheros!I607</f>
        <v>0</v>
      </c>
      <c r="K401" s="3508">
        <f>+A.Lecheros!J607</f>
        <v>0</v>
      </c>
      <c r="L401" s="3508">
        <f>+A.Lecheros!K607</f>
        <v>0</v>
      </c>
      <c r="M401" s="3508">
        <f>+A.Lecheros!L607</f>
        <v>0</v>
      </c>
      <c r="N401" s="3508">
        <f>+A.Lecheros!M607</f>
        <v>0</v>
      </c>
      <c r="O401" s="3508">
        <f>+A.Lecheros!N607</f>
        <v>0</v>
      </c>
      <c r="P401" s="3508">
        <f>+A.Lecheros!O607</f>
        <v>0</v>
      </c>
      <c r="Q401" s="3508">
        <f>+A.Lecheros!P607</f>
        <v>0</v>
      </c>
      <c r="R401" s="3509">
        <f>+A.Lecheros!Q607</f>
        <v>0</v>
      </c>
      <c r="S401" s="3755">
        <f>+SUM(G401:R401)</f>
        <v>0</v>
      </c>
      <c r="W401" s="3453"/>
      <c r="X401" s="3453"/>
      <c r="Y401" s="3453"/>
      <c r="Z401" s="3453"/>
      <c r="AA401" s="3453"/>
      <c r="AB401" s="3453"/>
      <c r="AC401" s="3453"/>
      <c r="AD401" s="3453"/>
      <c r="AE401" s="3453"/>
      <c r="AF401" s="3453"/>
      <c r="AG401" s="3453"/>
    </row>
    <row r="402" spans="1:33" s="3452" customFormat="1" hidden="1" x14ac:dyDescent="0.3">
      <c r="A402" s="3496" t="s">
        <v>1125</v>
      </c>
      <c r="B402" s="3497" t="s">
        <v>561</v>
      </c>
      <c r="C402" s="3498"/>
      <c r="D402" s="3498"/>
      <c r="E402" s="3499"/>
      <c r="F402" s="3499"/>
      <c r="G402" s="3619">
        <f>+E384+G386+G389+G394-G398-G401</f>
        <v>0</v>
      </c>
      <c r="H402" s="3620">
        <f t="shared" ref="H402:R402" si="89">+G410+H386+H389+H394-H398-H401</f>
        <v>0</v>
      </c>
      <c r="I402" s="3620">
        <f t="shared" si="89"/>
        <v>0</v>
      </c>
      <c r="J402" s="3620">
        <f t="shared" si="89"/>
        <v>0</v>
      </c>
      <c r="K402" s="3620">
        <f t="shared" si="89"/>
        <v>0</v>
      </c>
      <c r="L402" s="3620">
        <f>+K410+L386+L389+L394-L398-L401</f>
        <v>0</v>
      </c>
      <c r="M402" s="3620">
        <f t="shared" si="89"/>
        <v>0</v>
      </c>
      <c r="N402" s="3620">
        <f t="shared" si="89"/>
        <v>0</v>
      </c>
      <c r="O402" s="3620">
        <f t="shared" si="89"/>
        <v>0</v>
      </c>
      <c r="P402" s="3620">
        <f t="shared" si="89"/>
        <v>0</v>
      </c>
      <c r="Q402" s="3620">
        <f t="shared" si="89"/>
        <v>0</v>
      </c>
      <c r="R402" s="3621">
        <f t="shared" si="89"/>
        <v>0</v>
      </c>
      <c r="S402" s="3622"/>
    </row>
    <row r="403" spans="1:33" s="3452" customFormat="1" x14ac:dyDescent="0.3">
      <c r="A403" s="3437"/>
      <c r="B403" s="3512" t="s">
        <v>1778</v>
      </c>
      <c r="C403" s="3437"/>
      <c r="D403" s="3452" t="s">
        <v>564</v>
      </c>
      <c r="E403" s="3523"/>
      <c r="F403" s="3523"/>
      <c r="G403" s="3706">
        <f t="shared" ref="G403:R403" si="90">G188*G137*G139</f>
        <v>0</v>
      </c>
      <c r="H403" s="3707">
        <f t="shared" si="90"/>
        <v>0</v>
      </c>
      <c r="I403" s="3707">
        <f t="shared" si="90"/>
        <v>0</v>
      </c>
      <c r="J403" s="3707">
        <f t="shared" si="90"/>
        <v>0</v>
      </c>
      <c r="K403" s="3707">
        <f t="shared" si="90"/>
        <v>0</v>
      </c>
      <c r="L403" s="3707">
        <f t="shared" si="90"/>
        <v>0</v>
      </c>
      <c r="M403" s="3707">
        <f t="shared" si="90"/>
        <v>0</v>
      </c>
      <c r="N403" s="3707">
        <f t="shared" si="90"/>
        <v>0</v>
      </c>
      <c r="O403" s="3707">
        <f t="shared" si="90"/>
        <v>0</v>
      </c>
      <c r="P403" s="3707">
        <f t="shared" si="90"/>
        <v>0</v>
      </c>
      <c r="Q403" s="3707">
        <f t="shared" si="90"/>
        <v>0</v>
      </c>
      <c r="R403" s="3708">
        <f t="shared" si="90"/>
        <v>0</v>
      </c>
      <c r="S403" s="3796">
        <f>+SUM(G403:R403)</f>
        <v>0</v>
      </c>
    </row>
    <row r="404" spans="1:33" s="3452" customFormat="1" hidden="1" x14ac:dyDescent="0.3">
      <c r="A404" s="3496" t="s">
        <v>1125</v>
      </c>
      <c r="B404" s="3497" t="s">
        <v>561</v>
      </c>
      <c r="C404" s="3498"/>
      <c r="D404" s="3498" t="s">
        <v>575</v>
      </c>
      <c r="E404" s="3499"/>
      <c r="F404" s="3499"/>
      <c r="G404" s="3619">
        <f>G402-G403</f>
        <v>0</v>
      </c>
      <c r="H404" s="3620">
        <f>H402-H403</f>
        <v>0</v>
      </c>
      <c r="I404" s="3620">
        <f t="shared" ref="I404:Q404" si="91">I402-I403</f>
        <v>0</v>
      </c>
      <c r="J404" s="3620">
        <f t="shared" si="91"/>
        <v>0</v>
      </c>
      <c r="K404" s="3620">
        <f t="shared" si="91"/>
        <v>0</v>
      </c>
      <c r="L404" s="3620">
        <f t="shared" si="91"/>
        <v>0</v>
      </c>
      <c r="M404" s="3620">
        <f>M402-M403</f>
        <v>0</v>
      </c>
      <c r="N404" s="3620">
        <f t="shared" si="91"/>
        <v>0</v>
      </c>
      <c r="O404" s="3620">
        <f t="shared" si="91"/>
        <v>0</v>
      </c>
      <c r="P404" s="3620">
        <f t="shared" si="91"/>
        <v>0</v>
      </c>
      <c r="Q404" s="3620">
        <f t="shared" si="91"/>
        <v>0</v>
      </c>
      <c r="R404" s="3621">
        <f>R402-R403</f>
        <v>0</v>
      </c>
      <c r="S404" s="3622">
        <f>+SUM(G404:R404)</f>
        <v>0</v>
      </c>
    </row>
    <row r="405" spans="1:33" s="3452" customFormat="1" hidden="1" x14ac:dyDescent="0.3">
      <c r="A405" s="3496" t="s">
        <v>1125</v>
      </c>
      <c r="B405" s="3497" t="s">
        <v>1776</v>
      </c>
      <c r="C405" s="3498"/>
      <c r="D405" s="3498" t="s">
        <v>575</v>
      </c>
      <c r="E405" s="3499"/>
      <c r="F405" s="3499"/>
      <c r="G405" s="3619">
        <f>IF(G404&gt;0,G404-(G404*General!$I$120/100),G404+(G404*General!$I$120/100))</f>
        <v>0</v>
      </c>
      <c r="H405" s="3620">
        <f>IF(H404&gt;0,H404-(H404*General!$I$120/100),H404+(H404*General!$I$120/100))</f>
        <v>0</v>
      </c>
      <c r="I405" s="3620">
        <f>IF(I404&gt;0,I404-(I404*General!$I$120/100),I404+(I404*General!$I$120/100))</f>
        <v>0</v>
      </c>
      <c r="J405" s="3620">
        <f>IF(J404&gt;0,J404-(J404*General!$I$120/100),J404+(J404*General!$I$120/100))</f>
        <v>0</v>
      </c>
      <c r="K405" s="3620">
        <f>IF(K404&gt;0,K404-(K404*General!$I$120/100),K404+(K404*General!$I$120/100))</f>
        <v>0</v>
      </c>
      <c r="L405" s="3620">
        <f>IF(L404&gt;0,L404-(L404*General!$I$120/100),L404+(L404*General!$I$120/100))</f>
        <v>0</v>
      </c>
      <c r="M405" s="3620">
        <f>IF(M404&gt;0,M404-(M404*General!$I$120/100),M404+(M404*General!$I$120/100))</f>
        <v>0</v>
      </c>
      <c r="N405" s="3620">
        <f>IF(N404&gt;0,N404-(N404*General!$I$120/100),N404+(N404*General!$I$120/100))</f>
        <v>0</v>
      </c>
      <c r="O405" s="3620">
        <f>IF(O404&gt;0,O404-(O404*General!$I$120/100),O404+(O404*General!$I$120/100))</f>
        <v>0</v>
      </c>
      <c r="P405" s="3620">
        <f>IF(P404&gt;0,P404-(P404*General!$I$120/100),P404+(P404*General!$I$120/100))</f>
        <v>0</v>
      </c>
      <c r="Q405" s="3620">
        <f>IF(Q404&gt;0,Q404-(Q404*General!$I$120/100),Q404+(Q404*General!$I$120/100))</f>
        <v>0</v>
      </c>
      <c r="R405" s="3621">
        <f>IF(R404&gt;0,R404-(R404*General!$I$120/100),R404+(R404*General!$I$120/100))</f>
        <v>0</v>
      </c>
      <c r="S405" s="3622"/>
    </row>
    <row r="406" spans="1:33" s="3452" customFormat="1" x14ac:dyDescent="0.3">
      <c r="A406" s="3437"/>
      <c r="B406" s="3512" t="s">
        <v>2146</v>
      </c>
      <c r="C406" s="3437"/>
      <c r="D406" s="3452" t="s">
        <v>564</v>
      </c>
      <c r="E406" s="3523"/>
      <c r="F406" s="3523"/>
      <c r="G406" s="3706">
        <f t="shared" ref="G406:R406" si="92">+G292</f>
        <v>0</v>
      </c>
      <c r="H406" s="3707">
        <f t="shared" si="92"/>
        <v>0</v>
      </c>
      <c r="I406" s="3707">
        <f t="shared" si="92"/>
        <v>0</v>
      </c>
      <c r="J406" s="3707">
        <f t="shared" si="92"/>
        <v>0</v>
      </c>
      <c r="K406" s="3707">
        <f t="shared" si="92"/>
        <v>0</v>
      </c>
      <c r="L406" s="3707">
        <f t="shared" si="92"/>
        <v>0</v>
      </c>
      <c r="M406" s="3707">
        <f t="shared" si="92"/>
        <v>0</v>
      </c>
      <c r="N406" s="3707">
        <f t="shared" si="92"/>
        <v>0</v>
      </c>
      <c r="O406" s="3707">
        <f t="shared" si="92"/>
        <v>0</v>
      </c>
      <c r="P406" s="3707">
        <f t="shared" si="92"/>
        <v>0</v>
      </c>
      <c r="Q406" s="3707">
        <f t="shared" si="92"/>
        <v>0</v>
      </c>
      <c r="R406" s="3708">
        <f t="shared" si="92"/>
        <v>0</v>
      </c>
      <c r="S406" s="3734">
        <f>+SUM(G406:R406)</f>
        <v>0</v>
      </c>
      <c r="T406" s="3453"/>
      <c r="W406" s="3453"/>
      <c r="X406" s="3453"/>
      <c r="Y406" s="3453"/>
      <c r="Z406" s="3453"/>
      <c r="AA406" s="3453"/>
      <c r="AB406" s="3453"/>
      <c r="AC406" s="3453"/>
      <c r="AD406" s="3453"/>
      <c r="AE406" s="3453"/>
      <c r="AF406" s="3453"/>
      <c r="AG406" s="3453"/>
    </row>
    <row r="407" spans="1:33" s="3452" customFormat="1" hidden="1" x14ac:dyDescent="0.3">
      <c r="A407" s="3496" t="s">
        <v>1125</v>
      </c>
      <c r="B407" s="3797" t="s">
        <v>561</v>
      </c>
      <c r="C407" s="3596"/>
      <c r="D407" s="3498" t="s">
        <v>575</v>
      </c>
      <c r="E407" s="3666"/>
      <c r="F407" s="3666"/>
      <c r="G407" s="3798">
        <f>G404-G406</f>
        <v>0</v>
      </c>
      <c r="H407" s="3799">
        <f>H404-H406</f>
        <v>0</v>
      </c>
      <c r="I407" s="3799">
        <f t="shared" ref="I407:R407" si="93">I404-I406</f>
        <v>0</v>
      </c>
      <c r="J407" s="3799">
        <f t="shared" si="93"/>
        <v>0</v>
      </c>
      <c r="K407" s="3799">
        <f t="shared" si="93"/>
        <v>0</v>
      </c>
      <c r="L407" s="3799">
        <f t="shared" si="93"/>
        <v>0</v>
      </c>
      <c r="M407" s="3799">
        <f t="shared" si="93"/>
        <v>0</v>
      </c>
      <c r="N407" s="3799">
        <f>N404-N406</f>
        <v>0</v>
      </c>
      <c r="O407" s="3799">
        <f t="shared" si="93"/>
        <v>0</v>
      </c>
      <c r="P407" s="3799">
        <f t="shared" si="93"/>
        <v>0</v>
      </c>
      <c r="Q407" s="3799">
        <f t="shared" si="93"/>
        <v>0</v>
      </c>
      <c r="R407" s="3800">
        <f t="shared" si="93"/>
        <v>0</v>
      </c>
      <c r="S407" s="3500">
        <f>+SUM(G407:R407)</f>
        <v>0</v>
      </c>
      <c r="T407" s="3453"/>
      <c r="W407" s="3453"/>
      <c r="X407" s="3453"/>
      <c r="Y407" s="3453"/>
      <c r="Z407" s="3453"/>
      <c r="AA407" s="3453"/>
      <c r="AB407" s="3453"/>
      <c r="AC407" s="3453"/>
      <c r="AD407" s="3453"/>
      <c r="AE407" s="3453"/>
      <c r="AF407" s="3453"/>
      <c r="AG407" s="3453"/>
    </row>
    <row r="408" spans="1:33" s="3452" customFormat="1" hidden="1" x14ac:dyDescent="0.3">
      <c r="A408" s="3496" t="s">
        <v>1125</v>
      </c>
      <c r="B408" s="3497" t="s">
        <v>1777</v>
      </c>
      <c r="C408" s="3498"/>
      <c r="D408" s="3498" t="s">
        <v>564</v>
      </c>
      <c r="E408" s="3499"/>
      <c r="F408" s="3499"/>
      <c r="G408" s="3619">
        <f>IF(G407&gt;0,G407-(G407*General!$I$123/100),G407+(G407*General!$I$123/100))</f>
        <v>0</v>
      </c>
      <c r="H408" s="3620">
        <f>IF(H407&gt;0,H407-(H407*General!$I$123/100),H407+(H407*General!$I$123/100))</f>
        <v>0</v>
      </c>
      <c r="I408" s="3620">
        <f>IF(I407&gt;0,I407-(I407*General!$I$123/100),I407+(I407*General!$I$123/100))</f>
        <v>0</v>
      </c>
      <c r="J408" s="3620">
        <f>IF(J407&gt;0,J407-(J407*General!$I$123/100),J407+(J407*General!$I$123/100))</f>
        <v>0</v>
      </c>
      <c r="K408" s="3620">
        <f>IF(K407&gt;0,K407-(K407*General!$I$123/100),K407+(K407*General!$I$123/100))</f>
        <v>0</v>
      </c>
      <c r="L408" s="3620">
        <f>IF(L407&gt;0,L407-(L407*General!$I$123/100),L407+(L407*General!$I$123/100))</f>
        <v>0</v>
      </c>
      <c r="M408" s="3620">
        <f>IF(M407&gt;0,M407-(M407*General!$I$123/100),M407+(M407*General!$I$123/100))</f>
        <v>0</v>
      </c>
      <c r="N408" s="3620">
        <f>IF(N407&gt;0,N407-(N407*General!$I$123/100),N407+(N407*General!$I$123/100))</f>
        <v>0</v>
      </c>
      <c r="O408" s="3620">
        <f>IF(O407&gt;0,O407-(O407*General!$I$123/100),O407+(O407*General!$I$123/100))</f>
        <v>0</v>
      </c>
      <c r="P408" s="3620">
        <f>IF(P407&gt;0,P407-(P407*General!$I$123/100),P407+(P407*General!$I$123/100))</f>
        <v>0</v>
      </c>
      <c r="Q408" s="3620">
        <f>IF(Q407&gt;0,Q407-(Q407*General!$I$123/100),Q407+(Q407*General!$I$123/100))</f>
        <v>0</v>
      </c>
      <c r="R408" s="3621">
        <f>IF(R407&gt;0,R407-(R407*General!$I$123/100),R407+(R407*General!$I$123/100))</f>
        <v>0</v>
      </c>
      <c r="S408" s="3500"/>
      <c r="T408" s="3453"/>
      <c r="W408" s="3453"/>
      <c r="X408" s="3453"/>
      <c r="Y408" s="3453"/>
      <c r="Z408" s="3453"/>
      <c r="AA408" s="3453"/>
      <c r="AB408" s="3453"/>
      <c r="AC408" s="3453"/>
      <c r="AD408" s="3453"/>
      <c r="AE408" s="3453"/>
      <c r="AF408" s="3453"/>
      <c r="AG408" s="3453"/>
    </row>
    <row r="409" spans="1:33" s="3440" customFormat="1" x14ac:dyDescent="0.3">
      <c r="A409" s="3436"/>
      <c r="B409" s="3512" t="s">
        <v>1779</v>
      </c>
      <c r="C409" s="3437"/>
      <c r="D409" s="3452" t="s">
        <v>564</v>
      </c>
      <c r="E409" s="3523"/>
      <c r="F409" s="3523"/>
      <c r="G409" s="3706">
        <f t="shared" ref="G409:R409" si="94">+G349</f>
        <v>0</v>
      </c>
      <c r="H409" s="3707">
        <f t="shared" si="94"/>
        <v>0</v>
      </c>
      <c r="I409" s="3707">
        <f t="shared" si="94"/>
        <v>0</v>
      </c>
      <c r="J409" s="3707">
        <f t="shared" si="94"/>
        <v>0</v>
      </c>
      <c r="K409" s="3707">
        <f t="shared" si="94"/>
        <v>0</v>
      </c>
      <c r="L409" s="3707">
        <f t="shared" si="94"/>
        <v>0</v>
      </c>
      <c r="M409" s="3707">
        <f t="shared" si="94"/>
        <v>0</v>
      </c>
      <c r="N409" s="3707">
        <f t="shared" si="94"/>
        <v>0</v>
      </c>
      <c r="O409" s="3707">
        <f t="shared" si="94"/>
        <v>0</v>
      </c>
      <c r="P409" s="3707">
        <f t="shared" si="94"/>
        <v>0</v>
      </c>
      <c r="Q409" s="3707">
        <f t="shared" si="94"/>
        <v>0</v>
      </c>
      <c r="R409" s="3708">
        <f t="shared" si="94"/>
        <v>0</v>
      </c>
      <c r="S409" s="3734">
        <f>+SUM(G409:R409)</f>
        <v>0</v>
      </c>
      <c r="T409" s="3664"/>
      <c r="W409" s="3664"/>
      <c r="X409" s="3664"/>
      <c r="Y409" s="3664"/>
      <c r="Z409" s="3664"/>
      <c r="AA409" s="3664"/>
      <c r="AB409" s="3664"/>
      <c r="AC409" s="3664"/>
      <c r="AD409" s="3664"/>
      <c r="AE409" s="3664"/>
      <c r="AF409" s="3664"/>
      <c r="AG409" s="3664"/>
    </row>
    <row r="410" spans="1:33" s="3440" customFormat="1" ht="15.05" thickBot="1" x14ac:dyDescent="0.35">
      <c r="A410" s="3436"/>
      <c r="B410" s="3801" t="s">
        <v>1431</v>
      </c>
      <c r="C410" s="3802"/>
      <c r="D410" s="3802" t="s">
        <v>564</v>
      </c>
      <c r="E410" s="3802"/>
      <c r="F410" s="3802"/>
      <c r="G410" s="3803">
        <f t="shared" ref="G410:R410" si="95">+G407-G409</f>
        <v>0</v>
      </c>
      <c r="H410" s="3804">
        <f t="shared" si="95"/>
        <v>0</v>
      </c>
      <c r="I410" s="3804">
        <f t="shared" si="95"/>
        <v>0</v>
      </c>
      <c r="J410" s="3804">
        <f t="shared" si="95"/>
        <v>0</v>
      </c>
      <c r="K410" s="3804">
        <f t="shared" si="95"/>
        <v>0</v>
      </c>
      <c r="L410" s="3804">
        <f t="shared" si="95"/>
        <v>0</v>
      </c>
      <c r="M410" s="3804">
        <f t="shared" si="95"/>
        <v>0</v>
      </c>
      <c r="N410" s="3804">
        <f t="shared" si="95"/>
        <v>0</v>
      </c>
      <c r="O410" s="3804">
        <f t="shared" si="95"/>
        <v>0</v>
      </c>
      <c r="P410" s="3804">
        <f t="shared" si="95"/>
        <v>0</v>
      </c>
      <c r="Q410" s="3804">
        <f t="shared" si="95"/>
        <v>0</v>
      </c>
      <c r="R410" s="3805">
        <f t="shared" si="95"/>
        <v>0</v>
      </c>
      <c r="S410" s="3806"/>
      <c r="U410" s="3453"/>
      <c r="V410" s="3664"/>
      <c r="W410" s="3664"/>
      <c r="X410" s="3664"/>
      <c r="Y410" s="3664"/>
      <c r="Z410" s="3664"/>
      <c r="AA410" s="3664"/>
      <c r="AB410" s="3664"/>
      <c r="AC410" s="3664"/>
      <c r="AD410" s="3664"/>
      <c r="AE410" s="3664"/>
      <c r="AF410" s="3664"/>
      <c r="AG410" s="3664"/>
    </row>
    <row r="411" spans="1:33" s="3452" customFormat="1" hidden="1" x14ac:dyDescent="0.3">
      <c r="A411" s="3496" t="s">
        <v>1125</v>
      </c>
      <c r="B411" s="3497" t="s">
        <v>563</v>
      </c>
      <c r="C411" s="3498" t="s">
        <v>558</v>
      </c>
      <c r="D411" s="3498"/>
      <c r="E411" s="3499">
        <f>General!H27</f>
        <v>0</v>
      </c>
      <c r="F411" s="3499"/>
      <c r="G411" s="3807">
        <f t="shared" ref="G411:R411" si="96">G410*G392</f>
        <v>0</v>
      </c>
      <c r="H411" s="3499">
        <f t="shared" si="96"/>
        <v>0</v>
      </c>
      <c r="I411" s="3499">
        <f t="shared" si="96"/>
        <v>0</v>
      </c>
      <c r="J411" s="3499">
        <f t="shared" si="96"/>
        <v>0</v>
      </c>
      <c r="K411" s="3499">
        <f t="shared" si="96"/>
        <v>0</v>
      </c>
      <c r="L411" s="3499">
        <f t="shared" si="96"/>
        <v>0</v>
      </c>
      <c r="M411" s="3499">
        <f t="shared" si="96"/>
        <v>0</v>
      </c>
      <c r="N411" s="3499">
        <f t="shared" si="96"/>
        <v>0</v>
      </c>
      <c r="O411" s="3499">
        <f t="shared" si="96"/>
        <v>0</v>
      </c>
      <c r="P411" s="3499">
        <f t="shared" si="96"/>
        <v>0</v>
      </c>
      <c r="Q411" s="3499">
        <f t="shared" si="96"/>
        <v>0</v>
      </c>
      <c r="R411" s="3500">
        <f t="shared" si="96"/>
        <v>0</v>
      </c>
      <c r="S411" s="3499"/>
      <c r="U411" s="3453"/>
      <c r="V411" s="3453"/>
      <c r="W411" s="3453"/>
      <c r="X411" s="3453"/>
      <c r="Y411" s="3453"/>
      <c r="Z411" s="3453"/>
      <c r="AA411" s="3453"/>
      <c r="AB411" s="3453"/>
      <c r="AC411" s="3453"/>
      <c r="AD411" s="3453"/>
      <c r="AE411" s="3453"/>
      <c r="AF411" s="3453"/>
      <c r="AG411" s="3453"/>
    </row>
    <row r="412" spans="1:33" s="3452" customFormat="1" ht="15.05" hidden="1" thickBot="1" x14ac:dyDescent="0.35">
      <c r="A412" s="3496" t="s">
        <v>1125</v>
      </c>
      <c r="B412" s="3808" t="s">
        <v>562</v>
      </c>
      <c r="C412" s="3584" t="s">
        <v>559</v>
      </c>
      <c r="D412" s="3584"/>
      <c r="E412" s="3809">
        <f>General!I27</f>
        <v>0</v>
      </c>
      <c r="F412" s="3809"/>
      <c r="G412" s="3810">
        <f t="shared" ref="G412:R412" si="97">G410*G393</f>
        <v>0</v>
      </c>
      <c r="H412" s="3809">
        <f t="shared" si="97"/>
        <v>0</v>
      </c>
      <c r="I412" s="3809">
        <f t="shared" si="97"/>
        <v>0</v>
      </c>
      <c r="J412" s="3809">
        <f t="shared" si="97"/>
        <v>0</v>
      </c>
      <c r="K412" s="3809">
        <f t="shared" si="97"/>
        <v>0</v>
      </c>
      <c r="L412" s="3809">
        <f t="shared" si="97"/>
        <v>0</v>
      </c>
      <c r="M412" s="3809">
        <f t="shared" si="97"/>
        <v>0</v>
      </c>
      <c r="N412" s="3809">
        <f t="shared" si="97"/>
        <v>0</v>
      </c>
      <c r="O412" s="3809">
        <f t="shared" si="97"/>
        <v>0</v>
      </c>
      <c r="P412" s="3809">
        <f t="shared" si="97"/>
        <v>0</v>
      </c>
      <c r="Q412" s="3809">
        <f t="shared" si="97"/>
        <v>0</v>
      </c>
      <c r="R412" s="3811">
        <f t="shared" si="97"/>
        <v>0</v>
      </c>
      <c r="S412" s="3498"/>
      <c r="U412" s="3453"/>
      <c r="V412" s="3453"/>
      <c r="W412" s="3453"/>
      <c r="X412" s="3453"/>
      <c r="Y412" s="3453"/>
      <c r="Z412" s="3453"/>
      <c r="AA412" s="3453"/>
      <c r="AB412" s="3453"/>
      <c r="AC412" s="3453"/>
      <c r="AD412" s="3453"/>
      <c r="AE412" s="3453"/>
      <c r="AF412" s="3453"/>
      <c r="AG412" s="3453"/>
    </row>
    <row r="413" spans="1:33" s="3452" customFormat="1" x14ac:dyDescent="0.3">
      <c r="A413" s="3451"/>
      <c r="E413" s="3453"/>
      <c r="F413" s="3453"/>
      <c r="G413" s="3453"/>
      <c r="H413" s="3453"/>
      <c r="I413" s="3453"/>
      <c r="J413" s="3453"/>
      <c r="K413" s="3453"/>
      <c r="L413" s="3453"/>
      <c r="M413" s="3453"/>
      <c r="N413" s="3453"/>
      <c r="O413" s="3453"/>
      <c r="P413" s="3453"/>
      <c r="Q413" s="3453"/>
      <c r="R413" s="3453"/>
      <c r="U413" s="3453"/>
      <c r="V413" s="3453"/>
      <c r="W413" s="3453"/>
      <c r="X413" s="3453"/>
      <c r="Y413" s="3453"/>
      <c r="Z413" s="3453"/>
      <c r="AA413" s="3453"/>
      <c r="AB413" s="3453"/>
      <c r="AC413" s="3453"/>
      <c r="AD413" s="3453"/>
      <c r="AE413" s="3453"/>
      <c r="AF413" s="3453"/>
      <c r="AG413" s="3453"/>
    </row>
    <row r="414" spans="1:33" s="3440" customFormat="1" x14ac:dyDescent="0.3">
      <c r="A414" s="3436"/>
      <c r="B414" s="3436"/>
      <c r="C414" s="3436"/>
      <c r="D414" s="3437"/>
      <c r="E414" s="3436"/>
      <c r="F414" s="3436"/>
      <c r="G414" s="3436"/>
      <c r="H414" s="3436"/>
      <c r="I414" s="3436"/>
      <c r="J414" s="3436"/>
      <c r="K414" s="3436"/>
      <c r="L414" s="3436"/>
      <c r="M414" s="3436"/>
      <c r="N414" s="3436"/>
      <c r="O414" s="3436"/>
      <c r="P414" s="3436"/>
      <c r="Q414" s="3436"/>
      <c r="R414" s="3436"/>
      <c r="S414" s="3436"/>
      <c r="U414" s="3664"/>
      <c r="V414" s="3664"/>
      <c r="W414" s="3664"/>
      <c r="X414" s="3664"/>
      <c r="Y414" s="3664"/>
      <c r="Z414" s="3664"/>
      <c r="AA414" s="3664"/>
      <c r="AB414" s="3664"/>
      <c r="AC414" s="3664"/>
      <c r="AD414" s="3664"/>
      <c r="AE414" s="3664"/>
      <c r="AF414" s="3664"/>
      <c r="AG414" s="3664"/>
    </row>
    <row r="415" spans="1:33" x14ac:dyDescent="0.3">
      <c r="A415" s="2487">
        <f>+A382+1</f>
        <v>102</v>
      </c>
      <c r="B415" s="3454"/>
      <c r="C415" s="3455"/>
      <c r="D415" s="3455"/>
      <c r="E415" s="3470" t="s">
        <v>2365</v>
      </c>
      <c r="F415" s="3455"/>
      <c r="G415" s="3455"/>
      <c r="H415" s="3455"/>
      <c r="I415" s="3455"/>
      <c r="J415" s="3455"/>
      <c r="K415" s="3455"/>
      <c r="L415" s="3455"/>
      <c r="M415" s="3455"/>
      <c r="N415" s="3455"/>
      <c r="O415" s="3455"/>
      <c r="P415" s="3455"/>
      <c r="Q415" s="3455"/>
      <c r="R415" s="3456"/>
      <c r="S415" s="3129"/>
      <c r="U415" s="3436"/>
      <c r="V415" s="3436"/>
      <c r="W415" s="3436"/>
      <c r="X415" s="3436"/>
      <c r="Y415" s="3436"/>
      <c r="Z415" s="3436"/>
      <c r="AA415" s="3436"/>
      <c r="AB415" s="3436"/>
      <c r="AC415" s="3436"/>
      <c r="AD415" s="3436"/>
      <c r="AE415" s="3436"/>
      <c r="AF415" s="3436"/>
      <c r="AG415" s="3436"/>
    </row>
    <row r="416" spans="1:33" s="3452" customFormat="1" x14ac:dyDescent="0.3">
      <c r="A416" s="3451"/>
      <c r="G416" s="3453"/>
      <c r="H416" s="3453"/>
      <c r="I416" s="3453"/>
      <c r="J416" s="3453"/>
      <c r="K416" s="3453"/>
      <c r="L416" s="3453"/>
      <c r="M416" s="3453"/>
      <c r="N416" s="3453"/>
      <c r="O416" s="3453"/>
      <c r="P416" s="3453"/>
      <c r="Q416" s="3453"/>
      <c r="R416" s="3453"/>
      <c r="S416" s="3453"/>
    </row>
    <row r="417" spans="1:19" s="3452" customFormat="1" x14ac:dyDescent="0.3">
      <c r="A417" s="3451"/>
      <c r="G417" s="3453"/>
      <c r="H417" s="3453"/>
      <c r="I417" s="3453"/>
      <c r="J417" s="3453"/>
      <c r="K417" s="3453"/>
      <c r="L417" s="3453"/>
      <c r="M417" s="3453"/>
      <c r="N417" s="3453"/>
      <c r="O417" s="3453"/>
      <c r="P417" s="3453"/>
      <c r="Q417" s="3453"/>
      <c r="R417" s="3453"/>
      <c r="S417" s="3453"/>
    </row>
    <row r="418" spans="1:19" s="3452" customFormat="1" x14ac:dyDescent="0.3">
      <c r="A418" s="3451"/>
      <c r="G418" s="3453"/>
      <c r="H418" s="3453"/>
      <c r="I418" s="3453"/>
      <c r="J418" s="3453"/>
      <c r="K418" s="3453"/>
      <c r="L418" s="3453"/>
      <c r="M418" s="3453"/>
      <c r="N418" s="3453"/>
      <c r="O418" s="3453"/>
      <c r="P418" s="3453"/>
      <c r="Q418" s="3453"/>
      <c r="R418" s="3453"/>
      <c r="S418" s="3453"/>
    </row>
    <row r="419" spans="1:19" s="3452" customFormat="1" x14ac:dyDescent="0.3">
      <c r="A419" s="3451"/>
      <c r="G419" s="3453"/>
      <c r="H419" s="3453"/>
      <c r="I419" s="3453"/>
      <c r="J419" s="3453"/>
      <c r="K419" s="3453"/>
      <c r="L419" s="3453"/>
      <c r="M419" s="3453"/>
      <c r="N419" s="3453"/>
      <c r="O419" s="3453"/>
      <c r="P419" s="3453"/>
      <c r="Q419" s="3453"/>
      <c r="R419" s="3453"/>
      <c r="S419" s="3453"/>
    </row>
    <row r="420" spans="1:19" s="3452" customFormat="1" x14ac:dyDescent="0.3">
      <c r="A420" s="3451"/>
      <c r="G420" s="3453"/>
      <c r="H420" s="3453"/>
      <c r="I420" s="3453"/>
      <c r="J420" s="3453"/>
      <c r="K420" s="3453"/>
      <c r="L420" s="3453"/>
      <c r="M420" s="3453"/>
      <c r="N420" s="3453"/>
      <c r="O420" s="3453"/>
      <c r="P420" s="3453"/>
      <c r="Q420" s="3453"/>
      <c r="R420" s="3453"/>
      <c r="S420" s="3453"/>
    </row>
    <row r="421" spans="1:19" s="3452" customFormat="1" x14ac:dyDescent="0.3">
      <c r="A421" s="3451"/>
      <c r="G421" s="3453"/>
      <c r="H421" s="3453"/>
      <c r="I421" s="3453"/>
      <c r="J421" s="3453"/>
      <c r="K421" s="3453"/>
      <c r="L421" s="3453"/>
      <c r="M421" s="3453"/>
      <c r="N421" s="3453"/>
      <c r="O421" s="3453"/>
      <c r="P421" s="3453"/>
      <c r="Q421" s="3453"/>
      <c r="R421" s="3453"/>
      <c r="S421" s="3453"/>
    </row>
    <row r="422" spans="1:19" s="3452" customFormat="1" x14ac:dyDescent="0.3">
      <c r="A422" s="3451"/>
      <c r="G422" s="3453"/>
      <c r="H422" s="3453"/>
      <c r="I422" s="3453"/>
      <c r="J422" s="3453"/>
      <c r="K422" s="3453"/>
      <c r="L422" s="3453"/>
      <c r="M422" s="3453"/>
      <c r="N422" s="3453"/>
      <c r="O422" s="3453"/>
      <c r="P422" s="3453"/>
      <c r="Q422" s="3453"/>
      <c r="R422" s="3453"/>
      <c r="S422" s="3453"/>
    </row>
    <row r="423" spans="1:19" s="3452" customFormat="1" x14ac:dyDescent="0.3">
      <c r="A423" s="3451"/>
      <c r="G423" s="3453"/>
      <c r="H423" s="3453"/>
      <c r="I423" s="3453"/>
      <c r="J423" s="3453"/>
      <c r="K423" s="3453"/>
      <c r="L423" s="3453"/>
      <c r="M423" s="3453"/>
      <c r="N423" s="3453"/>
      <c r="O423" s="3453"/>
      <c r="P423" s="3453"/>
      <c r="Q423" s="3453"/>
      <c r="R423" s="3453"/>
      <c r="S423" s="3453"/>
    </row>
    <row r="424" spans="1:19" s="3452" customFormat="1" x14ac:dyDescent="0.3">
      <c r="A424" s="3451"/>
      <c r="G424" s="3453"/>
      <c r="H424" s="3453"/>
      <c r="I424" s="3453"/>
      <c r="J424" s="3453"/>
      <c r="K424" s="3453"/>
      <c r="L424" s="3453"/>
      <c r="M424" s="3453"/>
      <c r="N424" s="3453"/>
      <c r="O424" s="3453"/>
      <c r="P424" s="3453"/>
      <c r="Q424" s="3453"/>
      <c r="R424" s="3453"/>
      <c r="S424" s="3453"/>
    </row>
    <row r="425" spans="1:19" s="3452" customFormat="1" x14ac:dyDescent="0.3">
      <c r="A425" s="3451"/>
      <c r="G425" s="3453"/>
      <c r="H425" s="3453"/>
      <c r="I425" s="3453"/>
      <c r="J425" s="3453"/>
      <c r="K425" s="3453"/>
      <c r="L425" s="3453"/>
      <c r="M425" s="3453"/>
      <c r="N425" s="3453"/>
      <c r="O425" s="3453"/>
      <c r="P425" s="3453"/>
      <c r="Q425" s="3453"/>
      <c r="R425" s="3453"/>
      <c r="S425" s="3453"/>
    </row>
    <row r="426" spans="1:19" s="3452" customFormat="1" x14ac:dyDescent="0.3">
      <c r="A426" s="3451"/>
      <c r="G426" s="3453"/>
      <c r="H426" s="3453"/>
      <c r="I426" s="3453"/>
      <c r="J426" s="3453"/>
      <c r="K426" s="3453"/>
      <c r="L426" s="3453"/>
      <c r="M426" s="3453"/>
      <c r="N426" s="3453"/>
      <c r="O426" s="3453"/>
      <c r="P426" s="3453"/>
      <c r="Q426" s="3453"/>
      <c r="R426" s="3453"/>
      <c r="S426" s="3453"/>
    </row>
    <row r="427" spans="1:19" s="3452" customFormat="1" x14ac:dyDescent="0.3">
      <c r="A427" s="3451"/>
      <c r="G427" s="3453"/>
      <c r="H427" s="3453"/>
      <c r="I427" s="3453"/>
      <c r="J427" s="3453"/>
      <c r="K427" s="3453"/>
      <c r="L427" s="3453"/>
      <c r="M427" s="3453"/>
      <c r="N427" s="3453"/>
      <c r="O427" s="3453"/>
      <c r="P427" s="3453"/>
      <c r="Q427" s="3453"/>
      <c r="R427" s="3453"/>
      <c r="S427" s="3453"/>
    </row>
    <row r="428" spans="1:19" s="3452" customFormat="1" x14ac:dyDescent="0.3">
      <c r="A428" s="3451"/>
      <c r="G428" s="3453"/>
      <c r="H428" s="3453"/>
      <c r="I428" s="3453"/>
      <c r="J428" s="3453"/>
      <c r="K428" s="3453"/>
      <c r="L428" s="3453"/>
      <c r="M428" s="3453"/>
      <c r="N428" s="3453"/>
      <c r="O428" s="3453"/>
      <c r="P428" s="3453"/>
      <c r="Q428" s="3453"/>
      <c r="R428" s="3453"/>
      <c r="S428" s="3453"/>
    </row>
    <row r="429" spans="1:19" s="3452" customFormat="1" x14ac:dyDescent="0.3">
      <c r="A429" s="3451"/>
      <c r="G429" s="3453"/>
      <c r="H429" s="3453"/>
      <c r="I429" s="3453"/>
      <c r="J429" s="3453"/>
      <c r="K429" s="3453"/>
      <c r="L429" s="3453"/>
      <c r="M429" s="3453"/>
      <c r="N429" s="3453"/>
      <c r="O429" s="3453"/>
      <c r="P429" s="3453"/>
      <c r="Q429" s="3453"/>
      <c r="R429" s="3453"/>
      <c r="S429" s="3453"/>
    </row>
    <row r="430" spans="1:19" s="3452" customFormat="1" x14ac:dyDescent="0.3">
      <c r="A430" s="3451"/>
      <c r="G430" s="3453"/>
      <c r="H430" s="3453"/>
      <c r="I430" s="3453"/>
      <c r="J430" s="3453"/>
      <c r="K430" s="3453"/>
      <c r="L430" s="3453"/>
      <c r="M430" s="3453"/>
      <c r="N430" s="3453"/>
      <c r="O430" s="3453"/>
      <c r="P430" s="3453"/>
      <c r="Q430" s="3453"/>
      <c r="R430" s="3453"/>
      <c r="S430" s="3453"/>
    </row>
    <row r="431" spans="1:19" s="3452" customFormat="1" x14ac:dyDescent="0.3">
      <c r="A431" s="3451"/>
      <c r="G431" s="3453"/>
      <c r="H431" s="3453"/>
      <c r="I431" s="3453"/>
      <c r="J431" s="3453"/>
      <c r="K431" s="3453"/>
      <c r="L431" s="3453"/>
      <c r="M431" s="3453"/>
      <c r="N431" s="3453"/>
      <c r="O431" s="3453"/>
      <c r="P431" s="3453"/>
      <c r="Q431" s="3453"/>
      <c r="R431" s="3453"/>
      <c r="S431" s="3453"/>
    </row>
    <row r="432" spans="1:19" s="3452" customFormat="1" x14ac:dyDescent="0.3">
      <c r="A432" s="3451"/>
      <c r="G432" s="3453"/>
      <c r="H432" s="3453"/>
      <c r="I432" s="3453"/>
      <c r="J432" s="3453"/>
      <c r="K432" s="3453"/>
      <c r="L432" s="3453"/>
      <c r="M432" s="3453"/>
      <c r="N432" s="3453"/>
      <c r="O432" s="3453"/>
      <c r="P432" s="3453"/>
      <c r="Q432" s="3453"/>
      <c r="R432" s="3453"/>
      <c r="S432" s="3453"/>
    </row>
    <row r="433" spans="1:33" s="3452" customFormat="1" x14ac:dyDescent="0.3">
      <c r="A433" s="3451"/>
      <c r="G433" s="3453"/>
      <c r="H433" s="3453"/>
      <c r="I433" s="3453"/>
      <c r="J433" s="3453"/>
      <c r="K433" s="3453"/>
      <c r="L433" s="3453"/>
      <c r="M433" s="3453"/>
      <c r="N433" s="3453"/>
      <c r="O433" s="3453"/>
      <c r="P433" s="3453"/>
      <c r="Q433" s="3453"/>
      <c r="R433" s="3468" t="s">
        <v>1377</v>
      </c>
      <c r="S433" s="3453"/>
    </row>
    <row r="434" spans="1:33" s="3452" customFormat="1" x14ac:dyDescent="0.3">
      <c r="A434" s="3451"/>
      <c r="B434" s="3659"/>
      <c r="G434" s="3453"/>
      <c r="H434" s="3453"/>
      <c r="I434" s="3453"/>
      <c r="J434" s="3453"/>
      <c r="K434" s="3453"/>
      <c r="L434" s="3453"/>
      <c r="M434" s="3453"/>
      <c r="N434" s="3453"/>
      <c r="O434" s="3453"/>
      <c r="P434" s="3453"/>
      <c r="Q434" s="3453"/>
      <c r="R434" s="3453"/>
      <c r="S434" s="3453"/>
    </row>
    <row r="435" spans="1:33" s="3452" customFormat="1" ht="15.05" thickBot="1" x14ac:dyDescent="0.35">
      <c r="A435" s="3437"/>
      <c r="B435" s="3436"/>
      <c r="C435" s="3436"/>
      <c r="D435" s="3437"/>
      <c r="E435" s="3437"/>
      <c r="F435" s="3437"/>
      <c r="G435" s="3442"/>
      <c r="H435" s="3442"/>
      <c r="I435" s="3442"/>
      <c r="J435" s="3442"/>
      <c r="K435" s="3442"/>
      <c r="L435" s="3442"/>
      <c r="M435" s="3442"/>
      <c r="N435" s="3442"/>
      <c r="O435" s="3442"/>
      <c r="P435" s="3442"/>
      <c r="Q435" s="3442"/>
      <c r="R435" s="3442"/>
      <c r="S435" s="3437"/>
      <c r="U435" s="3453"/>
      <c r="V435" s="3453"/>
      <c r="W435" s="3453"/>
      <c r="X435" s="3453"/>
      <c r="Y435" s="3453"/>
      <c r="Z435" s="3453"/>
      <c r="AA435" s="3453"/>
      <c r="AB435" s="3453"/>
      <c r="AC435" s="3453"/>
      <c r="AD435" s="3453"/>
      <c r="AE435" s="3453"/>
      <c r="AF435" s="3453"/>
      <c r="AG435" s="3453"/>
    </row>
    <row r="436" spans="1:33" s="3440" customFormat="1" ht="15.05" thickBot="1" x14ac:dyDescent="0.35">
      <c r="A436" s="2487">
        <f>+A415+1</f>
        <v>103</v>
      </c>
      <c r="B436" s="3812" t="s">
        <v>2147</v>
      </c>
      <c r="C436" s="3813"/>
      <c r="D436" s="3813"/>
      <c r="E436" s="3813"/>
      <c r="F436" s="3813"/>
      <c r="G436" s="3813"/>
      <c r="H436" s="3813"/>
      <c r="I436" s="3813"/>
      <c r="J436" s="3813"/>
      <c r="K436" s="3813"/>
      <c r="L436" s="3813"/>
      <c r="M436" s="3813"/>
      <c r="N436" s="3813"/>
      <c r="O436" s="3813"/>
      <c r="P436" s="3813"/>
      <c r="Q436" s="3813"/>
      <c r="R436" s="3813"/>
      <c r="S436" s="3814"/>
      <c r="U436" s="3664"/>
      <c r="V436" s="3664"/>
      <c r="W436" s="3664"/>
      <c r="X436" s="3664"/>
      <c r="Y436" s="3664"/>
      <c r="Z436" s="3664"/>
      <c r="AA436" s="3664"/>
      <c r="AB436" s="3664"/>
      <c r="AC436" s="3664"/>
      <c r="AD436" s="3664"/>
      <c r="AE436" s="3664"/>
      <c r="AF436" s="3664"/>
      <c r="AG436" s="3664"/>
    </row>
    <row r="437" spans="1:33" s="3440" customFormat="1" x14ac:dyDescent="0.3">
      <c r="A437" s="3436"/>
      <c r="B437" s="3815" t="s">
        <v>229</v>
      </c>
      <c r="C437" s="3816" t="s">
        <v>1772</v>
      </c>
      <c r="D437" s="3816" t="s">
        <v>1774</v>
      </c>
      <c r="E437" s="3816" t="s">
        <v>1775</v>
      </c>
      <c r="F437" s="3817"/>
      <c r="G437" s="3818"/>
      <c r="H437" s="3819"/>
      <c r="I437" s="3819"/>
      <c r="J437" s="3819"/>
      <c r="K437" s="3819"/>
      <c r="L437" s="3819"/>
      <c r="M437" s="3819"/>
      <c r="N437" s="3819"/>
      <c r="O437" s="3819"/>
      <c r="P437" s="3819"/>
      <c r="Q437" s="3819"/>
      <c r="R437" s="3819"/>
      <c r="S437" s="5537" t="str">
        <f>+S5</f>
        <v>Total y Promedios</v>
      </c>
      <c r="U437" s="3453"/>
      <c r="V437" s="3453"/>
      <c r="W437" s="3453"/>
      <c r="X437" s="3453"/>
      <c r="Y437" s="3453"/>
      <c r="Z437" s="3453"/>
      <c r="AA437" s="3453"/>
      <c r="AB437" s="3453"/>
      <c r="AC437" s="3453"/>
      <c r="AD437" s="3453"/>
      <c r="AE437" s="3453"/>
      <c r="AF437" s="3453"/>
      <c r="AG437" s="3453"/>
    </row>
    <row r="438" spans="1:33" s="3440" customFormat="1" x14ac:dyDescent="0.3">
      <c r="A438" s="3436"/>
      <c r="B438" s="3820"/>
      <c r="C438" s="3821" t="s">
        <v>1773</v>
      </c>
      <c r="D438" s="3821" t="s">
        <v>432</v>
      </c>
      <c r="E438" s="3821" t="s">
        <v>922</v>
      </c>
      <c r="F438" s="3822"/>
      <c r="G438" s="3823" t="str">
        <f t="shared" ref="G438:R438" si="98">+G5</f>
        <v>Ene</v>
      </c>
      <c r="H438" s="3823" t="str">
        <f t="shared" si="98"/>
        <v>Feb</v>
      </c>
      <c r="I438" s="3823" t="str">
        <f t="shared" si="98"/>
        <v>Mar</v>
      </c>
      <c r="J438" s="3823" t="str">
        <f t="shared" si="98"/>
        <v>Abr</v>
      </c>
      <c r="K438" s="3823" t="str">
        <f t="shared" si="98"/>
        <v>May</v>
      </c>
      <c r="L438" s="3823" t="str">
        <f t="shared" si="98"/>
        <v>Jun</v>
      </c>
      <c r="M438" s="3823" t="str">
        <f t="shared" si="98"/>
        <v>Jul</v>
      </c>
      <c r="N438" s="3823" t="str">
        <f t="shared" si="98"/>
        <v>Ago</v>
      </c>
      <c r="O438" s="3823" t="str">
        <f t="shared" si="98"/>
        <v>Set</v>
      </c>
      <c r="P438" s="3823" t="str">
        <f t="shared" si="98"/>
        <v>Oct</v>
      </c>
      <c r="Q438" s="3823" t="str">
        <f t="shared" si="98"/>
        <v>Nov</v>
      </c>
      <c r="R438" s="3823" t="str">
        <f t="shared" si="98"/>
        <v>Dic</v>
      </c>
      <c r="S438" s="5538"/>
      <c r="U438" s="3453"/>
      <c r="V438" s="3453"/>
      <c r="W438" s="3453"/>
      <c r="X438" s="3453"/>
      <c r="Y438" s="3453"/>
      <c r="Z438" s="3453"/>
      <c r="AA438" s="3453"/>
      <c r="AB438" s="3453"/>
      <c r="AC438" s="3453"/>
      <c r="AD438" s="3453"/>
      <c r="AE438" s="3453"/>
      <c r="AF438" s="3453"/>
      <c r="AG438" s="3453"/>
    </row>
    <row r="439" spans="1:33" s="3440" customFormat="1" ht="15.05" thickBot="1" x14ac:dyDescent="0.35">
      <c r="A439" s="3824"/>
      <c r="B439" s="3825" t="str">
        <f>UsoSuelo!D347</f>
        <v>Soja</v>
      </c>
      <c r="C439" s="3826">
        <f>UsoSuelo!T347*Precios!C194</f>
        <v>0</v>
      </c>
      <c r="D439" s="3826">
        <f>Precios!G194</f>
        <v>280</v>
      </c>
      <c r="E439" s="3826">
        <f>Precios!F194</f>
        <v>0</v>
      </c>
      <c r="F439" s="3827"/>
      <c r="G439" s="5265"/>
      <c r="H439" s="5265"/>
      <c r="I439" s="5265"/>
      <c r="J439" s="5265"/>
      <c r="K439" s="5265"/>
      <c r="L439" s="5265"/>
      <c r="M439" s="5265"/>
      <c r="N439" s="5265"/>
      <c r="O439" s="5265"/>
      <c r="P439" s="5265"/>
      <c r="Q439" s="5265"/>
      <c r="R439" s="5266"/>
      <c r="S439" s="3734">
        <f>SUM(G439:R439)</f>
        <v>0</v>
      </c>
      <c r="U439" s="3453"/>
      <c r="V439" s="3453"/>
      <c r="W439" s="3453"/>
      <c r="X439" s="3453"/>
      <c r="Y439" s="3453"/>
      <c r="Z439" s="3453"/>
      <c r="AA439" s="3453"/>
      <c r="AB439" s="3453"/>
      <c r="AC439" s="3453"/>
      <c r="AD439" s="3453"/>
      <c r="AE439" s="3453"/>
      <c r="AF439" s="3453"/>
      <c r="AG439" s="3453"/>
    </row>
    <row r="440" spans="1:33" s="3440" customFormat="1" ht="15.05" thickBot="1" x14ac:dyDescent="0.35">
      <c r="A440" s="3824"/>
      <c r="B440" s="3828" t="str">
        <f>UsoSuelo!D348</f>
        <v>Soja 2ª</v>
      </c>
      <c r="C440" s="3829">
        <f>UsoSuelo!T348*Precios!C195</f>
        <v>0</v>
      </c>
      <c r="D440" s="3829">
        <f>Precios!G195</f>
        <v>0</v>
      </c>
      <c r="E440" s="3829">
        <f>Precios!F195</f>
        <v>0</v>
      </c>
      <c r="F440" s="3830"/>
      <c r="G440" s="5267"/>
      <c r="H440" s="5267"/>
      <c r="I440" s="5267"/>
      <c r="J440" s="5267"/>
      <c r="K440" s="5267"/>
      <c r="L440" s="5267"/>
      <c r="M440" s="5267"/>
      <c r="N440" s="5267"/>
      <c r="O440" s="5267"/>
      <c r="P440" s="5267"/>
      <c r="Q440" s="5267"/>
      <c r="R440" s="5268"/>
      <c r="S440" s="3734">
        <f t="shared" ref="S440:S450" si="99">SUM(G440:R440)</f>
        <v>0</v>
      </c>
      <c r="U440" s="3453"/>
      <c r="V440" s="3453"/>
      <c r="W440" s="3453"/>
      <c r="X440" s="3453"/>
      <c r="Y440" s="3453"/>
      <c r="Z440" s="3453"/>
      <c r="AA440" s="3453"/>
      <c r="AB440" s="3453"/>
      <c r="AC440" s="3453"/>
      <c r="AD440" s="3453"/>
      <c r="AE440" s="3453"/>
      <c r="AF440" s="3453"/>
      <c r="AG440" s="3453"/>
    </row>
    <row r="441" spans="1:33" s="3440" customFormat="1" ht="15.05" thickBot="1" x14ac:dyDescent="0.35">
      <c r="A441" s="3824"/>
      <c r="B441" s="3828" t="str">
        <f>UsoSuelo!D349</f>
        <v>Maíz Grano</v>
      </c>
      <c r="C441" s="3829">
        <f>UsoSuelo!T349*Precios!C196</f>
        <v>0</v>
      </c>
      <c r="D441" s="3829">
        <f>Precios!G196</f>
        <v>180</v>
      </c>
      <c r="E441" s="3829">
        <f>Precios!F196</f>
        <v>0</v>
      </c>
      <c r="F441" s="3830"/>
      <c r="G441" s="5267"/>
      <c r="H441" s="5267"/>
      <c r="I441" s="5267"/>
      <c r="J441" s="5267"/>
      <c r="K441" s="5267"/>
      <c r="L441" s="5267"/>
      <c r="M441" s="5267"/>
      <c r="N441" s="5267"/>
      <c r="O441" s="5267"/>
      <c r="P441" s="5267"/>
      <c r="Q441" s="5267"/>
      <c r="R441" s="5268"/>
      <c r="S441" s="3734">
        <f t="shared" si="99"/>
        <v>0</v>
      </c>
      <c r="U441" s="3453"/>
      <c r="V441" s="3453"/>
      <c r="W441" s="3453"/>
      <c r="X441" s="3453"/>
      <c r="Y441" s="3453"/>
      <c r="Z441" s="3453"/>
      <c r="AA441" s="3453"/>
      <c r="AB441" s="3453"/>
      <c r="AC441" s="3453"/>
      <c r="AD441" s="3453"/>
      <c r="AE441" s="3453"/>
      <c r="AF441" s="3453"/>
      <c r="AG441" s="3453"/>
    </row>
    <row r="442" spans="1:33" s="3440" customFormat="1" ht="15.05" thickBot="1" x14ac:dyDescent="0.35">
      <c r="A442" s="3824"/>
      <c r="B442" s="3828" t="str">
        <f>UsoSuelo!D350</f>
        <v>Sorgo grano</v>
      </c>
      <c r="C442" s="3829">
        <f>UsoSuelo!T350*Precios!C197</f>
        <v>0</v>
      </c>
      <c r="D442" s="3829">
        <f>Precios!G197</f>
        <v>0</v>
      </c>
      <c r="E442" s="3829">
        <f>Precios!F197</f>
        <v>0</v>
      </c>
      <c r="F442" s="3830"/>
      <c r="G442" s="5267"/>
      <c r="H442" s="5267"/>
      <c r="I442" s="5267"/>
      <c r="J442" s="5267"/>
      <c r="K442" s="5267"/>
      <c r="L442" s="5267"/>
      <c r="M442" s="5267"/>
      <c r="N442" s="5267"/>
      <c r="O442" s="5267"/>
      <c r="P442" s="5267"/>
      <c r="Q442" s="5267"/>
      <c r="R442" s="5268"/>
      <c r="S442" s="3734">
        <f t="shared" si="99"/>
        <v>0</v>
      </c>
      <c r="U442" s="3453"/>
      <c r="V442" s="3453"/>
      <c r="W442" s="3453"/>
      <c r="X442" s="3453"/>
      <c r="Y442" s="3453"/>
      <c r="Z442" s="3453"/>
      <c r="AA442" s="3453"/>
      <c r="AB442" s="3453"/>
      <c r="AC442" s="3453"/>
      <c r="AD442" s="3453"/>
      <c r="AE442" s="3453"/>
      <c r="AF442" s="3453"/>
      <c r="AG442" s="3453"/>
    </row>
    <row r="443" spans="1:33" s="3440" customFormat="1" ht="15.05" thickBot="1" x14ac:dyDescent="0.35">
      <c r="A443" s="3824"/>
      <c r="B443" s="3828" t="str">
        <f>UsoSuelo!D351</f>
        <v>Trigo grano</v>
      </c>
      <c r="C443" s="3829">
        <f>UsoSuelo!T351*Precios!C198</f>
        <v>0</v>
      </c>
      <c r="D443" s="3829">
        <f>Precios!G198</f>
        <v>0</v>
      </c>
      <c r="E443" s="3829">
        <f>Precios!F198</f>
        <v>0</v>
      </c>
      <c r="F443" s="3830"/>
      <c r="G443" s="5267"/>
      <c r="H443" s="5267"/>
      <c r="I443" s="5267"/>
      <c r="J443" s="5267"/>
      <c r="K443" s="5267"/>
      <c r="L443" s="5267"/>
      <c r="M443" s="5267"/>
      <c r="N443" s="5267"/>
      <c r="O443" s="5267"/>
      <c r="P443" s="5267"/>
      <c r="Q443" s="5267"/>
      <c r="R443" s="5268"/>
      <c r="S443" s="3734">
        <f t="shared" si="99"/>
        <v>0</v>
      </c>
      <c r="U443" s="3453"/>
      <c r="V443" s="3453"/>
      <c r="W443" s="3453"/>
      <c r="X443" s="3453"/>
      <c r="Y443" s="3453"/>
      <c r="Z443" s="3453"/>
      <c r="AA443" s="3453"/>
      <c r="AB443" s="3453"/>
      <c r="AC443" s="3453"/>
      <c r="AD443" s="3453"/>
      <c r="AE443" s="3453"/>
      <c r="AF443" s="3453"/>
      <c r="AG443" s="3453"/>
    </row>
    <row r="444" spans="1:33" s="3440" customFormat="1" ht="15.05" thickBot="1" x14ac:dyDescent="0.35">
      <c r="A444" s="3824"/>
      <c r="B444" s="3828" t="str">
        <f>UsoSuelo!D352</f>
        <v>Cebada grano</v>
      </c>
      <c r="C444" s="3829">
        <f>UsoSuelo!T352*Precios!C199</f>
        <v>0</v>
      </c>
      <c r="D444" s="3829">
        <f>Precios!G199</f>
        <v>0</v>
      </c>
      <c r="E444" s="3829">
        <f>Precios!F199</f>
        <v>0</v>
      </c>
      <c r="F444" s="3830"/>
      <c r="G444" s="5267"/>
      <c r="H444" s="5267"/>
      <c r="I444" s="5267"/>
      <c r="J444" s="5267"/>
      <c r="K444" s="5267"/>
      <c r="L444" s="5267"/>
      <c r="M444" s="5267"/>
      <c r="N444" s="5267"/>
      <c r="O444" s="5267"/>
      <c r="P444" s="5267"/>
      <c r="Q444" s="5267"/>
      <c r="R444" s="5268"/>
      <c r="S444" s="3734">
        <f t="shared" si="99"/>
        <v>0</v>
      </c>
      <c r="U444" s="3453"/>
      <c r="V444" s="3453"/>
      <c r="W444" s="3453"/>
      <c r="X444" s="3453"/>
      <c r="Y444" s="3453"/>
      <c r="Z444" s="3453"/>
      <c r="AA444" s="3453"/>
      <c r="AB444" s="3453"/>
      <c r="AC444" s="3453"/>
      <c r="AD444" s="3453"/>
      <c r="AE444" s="3453"/>
      <c r="AF444" s="3453"/>
      <c r="AG444" s="3453"/>
    </row>
    <row r="445" spans="1:33" s="3440" customFormat="1" ht="15.05" thickBot="1" x14ac:dyDescent="0.35">
      <c r="A445" s="3824"/>
      <c r="B445" s="3828" t="str">
        <f>UsoSuelo!D353</f>
        <v>Avena grano</v>
      </c>
      <c r="C445" s="3829">
        <f>UsoSuelo!T353*Precios!C200</f>
        <v>0</v>
      </c>
      <c r="D445" s="3829">
        <f>Precios!G200</f>
        <v>0</v>
      </c>
      <c r="E445" s="3829">
        <f>Precios!F200</f>
        <v>0</v>
      </c>
      <c r="F445" s="3830"/>
      <c r="G445" s="5267"/>
      <c r="H445" s="5267"/>
      <c r="I445" s="5267"/>
      <c r="J445" s="5267"/>
      <c r="K445" s="5267"/>
      <c r="L445" s="5267"/>
      <c r="M445" s="5267"/>
      <c r="N445" s="5267"/>
      <c r="O445" s="5267"/>
      <c r="P445" s="5267"/>
      <c r="Q445" s="5267"/>
      <c r="R445" s="5268"/>
      <c r="S445" s="3734">
        <f t="shared" si="99"/>
        <v>0</v>
      </c>
      <c r="U445" s="3453"/>
      <c r="V445" s="3453"/>
      <c r="W445" s="3453"/>
      <c r="X445" s="3453"/>
      <c r="Y445" s="3453"/>
      <c r="Z445" s="3453"/>
      <c r="AA445" s="3453"/>
      <c r="AB445" s="3453"/>
      <c r="AC445" s="3453"/>
      <c r="AD445" s="3453"/>
      <c r="AE445" s="3453"/>
      <c r="AF445" s="3453"/>
      <c r="AG445" s="3453"/>
    </row>
    <row r="446" spans="1:33" s="3440" customFormat="1" ht="15.05" thickBot="1" x14ac:dyDescent="0.35">
      <c r="A446" s="3824"/>
      <c r="B446" s="3828" t="str">
        <f>UsoSuelo!D354</f>
        <v>Colza grano</v>
      </c>
      <c r="C446" s="3829">
        <f>UsoSuelo!T354*Precios!C201</f>
        <v>0</v>
      </c>
      <c r="D446" s="3829">
        <f>Precios!G201</f>
        <v>350</v>
      </c>
      <c r="E446" s="3829">
        <f>Precios!F201</f>
        <v>0</v>
      </c>
      <c r="F446" s="3830"/>
      <c r="G446" s="5267"/>
      <c r="H446" s="5267"/>
      <c r="I446" s="5267"/>
      <c r="J446" s="5267"/>
      <c r="K446" s="5267"/>
      <c r="L446" s="5267"/>
      <c r="M446" s="5267"/>
      <c r="N446" s="5267"/>
      <c r="O446" s="5267"/>
      <c r="P446" s="5267"/>
      <c r="Q446" s="5267"/>
      <c r="R446" s="5268"/>
      <c r="S446" s="3734">
        <f t="shared" si="99"/>
        <v>0</v>
      </c>
      <c r="U446" s="3453"/>
      <c r="V446" s="3453"/>
      <c r="W446" s="3453"/>
      <c r="X446" s="3453"/>
      <c r="Y446" s="3453"/>
      <c r="Z446" s="3453"/>
      <c r="AA446" s="3453"/>
      <c r="AB446" s="3453"/>
      <c r="AC446" s="3453"/>
      <c r="AD446" s="3453"/>
      <c r="AE446" s="3453"/>
      <c r="AF446" s="3453"/>
      <c r="AG446" s="3453"/>
    </row>
    <row r="447" spans="1:33" s="3440" customFormat="1" ht="15.05" thickBot="1" x14ac:dyDescent="0.35">
      <c r="A447" s="3824"/>
      <c r="B447" s="3831">
        <f>UsoSuelo!D355</f>
        <v>0</v>
      </c>
      <c r="C447" s="3829">
        <f>UsoSuelo!T355*Precios!C202</f>
        <v>0</v>
      </c>
      <c r="D447" s="3829">
        <f>Precios!G202</f>
        <v>0</v>
      </c>
      <c r="E447" s="3829">
        <f>Precios!F202</f>
        <v>0</v>
      </c>
      <c r="F447" s="3830"/>
      <c r="G447" s="5267"/>
      <c r="H447" s="5267"/>
      <c r="I447" s="5267"/>
      <c r="J447" s="5267"/>
      <c r="K447" s="5267"/>
      <c r="L447" s="5267"/>
      <c r="M447" s="5267"/>
      <c r="N447" s="5267"/>
      <c r="O447" s="5267"/>
      <c r="P447" s="5267"/>
      <c r="Q447" s="5267"/>
      <c r="R447" s="5268"/>
      <c r="S447" s="3734">
        <f t="shared" si="99"/>
        <v>0</v>
      </c>
      <c r="U447" s="3453"/>
      <c r="V447" s="3453"/>
      <c r="W447" s="3453"/>
      <c r="X447" s="3453"/>
      <c r="Y447" s="3453"/>
      <c r="Z447" s="3453"/>
      <c r="AA447" s="3453"/>
      <c r="AB447" s="3453"/>
      <c r="AC447" s="3453"/>
      <c r="AD447" s="3453"/>
      <c r="AE447" s="3453"/>
      <c r="AF447" s="3453"/>
      <c r="AG447" s="3453"/>
    </row>
    <row r="448" spans="1:33" s="3440" customFormat="1" ht="15.05" thickBot="1" x14ac:dyDescent="0.35">
      <c r="A448" s="3824"/>
      <c r="B448" s="3831">
        <f>UsoSuelo!D356</f>
        <v>0</v>
      </c>
      <c r="C448" s="3829">
        <f>UsoSuelo!T356*Precios!C203</f>
        <v>0</v>
      </c>
      <c r="D448" s="3829">
        <f>Precios!G203</f>
        <v>0</v>
      </c>
      <c r="E448" s="3829">
        <f>Precios!F203</f>
        <v>0</v>
      </c>
      <c r="F448" s="3830"/>
      <c r="G448" s="5267"/>
      <c r="H448" s="5267"/>
      <c r="I448" s="5267"/>
      <c r="J448" s="5267"/>
      <c r="K448" s="5267"/>
      <c r="L448" s="5267"/>
      <c r="M448" s="5267"/>
      <c r="N448" s="5267"/>
      <c r="O448" s="5267"/>
      <c r="P448" s="5267"/>
      <c r="Q448" s="5267"/>
      <c r="R448" s="5268"/>
      <c r="S448" s="3734">
        <f t="shared" si="99"/>
        <v>0</v>
      </c>
      <c r="U448" s="3453"/>
      <c r="V448" s="3453"/>
      <c r="W448" s="3453"/>
      <c r="X448" s="3453"/>
      <c r="Y448" s="3453"/>
      <c r="Z448" s="3453"/>
      <c r="AA448" s="3453"/>
      <c r="AB448" s="3453"/>
      <c r="AC448" s="3453"/>
      <c r="AD448" s="3453"/>
      <c r="AE448" s="3453"/>
      <c r="AF448" s="3453"/>
      <c r="AG448" s="3453"/>
    </row>
    <row r="449" spans="1:33" s="3440" customFormat="1" ht="15.05" thickBot="1" x14ac:dyDescent="0.35">
      <c r="A449" s="3824"/>
      <c r="B449" s="3831">
        <f>UsoSuelo!D357</f>
        <v>0</v>
      </c>
      <c r="C449" s="3829">
        <f>UsoSuelo!T357*Precios!C204</f>
        <v>0</v>
      </c>
      <c r="D449" s="3829">
        <f>Precios!G204</f>
        <v>0</v>
      </c>
      <c r="E449" s="3829">
        <f>Precios!F204</f>
        <v>0</v>
      </c>
      <c r="F449" s="3830"/>
      <c r="G449" s="5267"/>
      <c r="H449" s="5267"/>
      <c r="I449" s="5267"/>
      <c r="J449" s="5267"/>
      <c r="K449" s="5267"/>
      <c r="L449" s="5267"/>
      <c r="M449" s="5267"/>
      <c r="N449" s="5267"/>
      <c r="O449" s="5267"/>
      <c r="P449" s="5267"/>
      <c r="Q449" s="5267"/>
      <c r="R449" s="5268"/>
      <c r="S449" s="3734">
        <f t="shared" si="99"/>
        <v>0</v>
      </c>
      <c r="U449" s="3453"/>
      <c r="V449" s="3453"/>
      <c r="W449" s="3453"/>
      <c r="X449" s="3453"/>
      <c r="Y449" s="3453"/>
      <c r="Z449" s="3453"/>
      <c r="AA449" s="3453"/>
      <c r="AB449" s="3453"/>
      <c r="AC449" s="3453"/>
      <c r="AD449" s="3453"/>
      <c r="AE449" s="3453"/>
      <c r="AF449" s="3453"/>
      <c r="AG449" s="3453"/>
    </row>
    <row r="450" spans="1:33" s="3440" customFormat="1" ht="15.05" thickBot="1" x14ac:dyDescent="0.35">
      <c r="A450" s="3824"/>
      <c r="B450" s="3832">
        <f>UsoSuelo!D358</f>
        <v>0</v>
      </c>
      <c r="C450" s="3833">
        <f>UsoSuelo!T358*Precios!C205</f>
        <v>0</v>
      </c>
      <c r="D450" s="3833">
        <f>Precios!G205</f>
        <v>0</v>
      </c>
      <c r="E450" s="3833">
        <f>Precios!F205</f>
        <v>0</v>
      </c>
      <c r="F450" s="3834"/>
      <c r="G450" s="5269"/>
      <c r="H450" s="5269"/>
      <c r="I450" s="5269"/>
      <c r="J450" s="5269"/>
      <c r="K450" s="5269"/>
      <c r="L450" s="5269"/>
      <c r="M450" s="5269"/>
      <c r="N450" s="5269"/>
      <c r="O450" s="5269"/>
      <c r="P450" s="5269"/>
      <c r="Q450" s="5269"/>
      <c r="R450" s="5270"/>
      <c r="S450" s="3835">
        <f t="shared" si="99"/>
        <v>0</v>
      </c>
      <c r="U450" s="3453"/>
      <c r="V450" s="3453"/>
      <c r="W450" s="3453"/>
      <c r="X450" s="3453"/>
      <c r="Y450" s="3453"/>
      <c r="Z450" s="3453"/>
      <c r="AA450" s="3453"/>
      <c r="AB450" s="3453"/>
      <c r="AC450" s="3453"/>
      <c r="AD450" s="3453"/>
      <c r="AE450" s="3453"/>
      <c r="AF450" s="3453"/>
      <c r="AG450" s="3453"/>
    </row>
    <row r="451" spans="1:33" s="3452" customFormat="1" x14ac:dyDescent="0.3">
      <c r="A451" s="3437"/>
      <c r="B451" s="3836" t="s">
        <v>2148</v>
      </c>
      <c r="C451" s="3436"/>
      <c r="D451" s="3437"/>
      <c r="E451" s="3437"/>
      <c r="F451" s="3437"/>
      <c r="G451" s="3442"/>
      <c r="H451" s="3442"/>
      <c r="I451" s="3442"/>
      <c r="J451" s="3442"/>
      <c r="K451" s="3442"/>
      <c r="L451" s="3438"/>
      <c r="M451" s="3438"/>
      <c r="N451" s="3438"/>
      <c r="O451" s="3438"/>
      <c r="P451" s="3438"/>
      <c r="Q451" s="3438"/>
      <c r="R451" s="3438"/>
      <c r="S451" s="3437"/>
      <c r="U451" s="3453"/>
      <c r="V451" s="3453"/>
      <c r="W451" s="3453"/>
      <c r="X451" s="3453"/>
      <c r="Y451" s="3453"/>
      <c r="Z451" s="3453"/>
      <c r="AA451" s="3453"/>
      <c r="AB451" s="3453"/>
      <c r="AC451" s="3453"/>
      <c r="AD451" s="3453"/>
      <c r="AE451" s="3453"/>
      <c r="AF451" s="3453"/>
      <c r="AG451" s="3453"/>
    </row>
    <row r="452" spans="1:33" s="3452" customFormat="1" x14ac:dyDescent="0.3">
      <c r="A452" s="3437"/>
      <c r="B452" s="3836"/>
      <c r="C452" s="3436"/>
      <c r="D452" s="3437"/>
      <c r="E452" s="3437"/>
      <c r="F452" s="3437"/>
      <c r="G452" s="3442"/>
      <c r="H452" s="3442"/>
      <c r="I452" s="3442"/>
      <c r="J452" s="3442"/>
      <c r="K452" s="3442"/>
      <c r="L452" s="3438"/>
      <c r="M452" s="3438"/>
      <c r="N452" s="3438"/>
      <c r="O452" s="3438"/>
      <c r="P452" s="3438"/>
      <c r="Q452" s="3438"/>
      <c r="R452" s="3438"/>
      <c r="S452" s="3437"/>
      <c r="U452" s="3453"/>
      <c r="V452" s="3453"/>
      <c r="W452" s="3453"/>
      <c r="X452" s="3453"/>
      <c r="Y452" s="3453"/>
      <c r="Z452" s="3453"/>
      <c r="AA452" s="3453"/>
      <c r="AB452" s="3453"/>
      <c r="AC452" s="3453"/>
      <c r="AD452" s="3453"/>
      <c r="AE452" s="3453"/>
      <c r="AF452" s="3453"/>
      <c r="AG452" s="3453"/>
    </row>
    <row r="453" spans="1:33" s="3452" customFormat="1" ht="15.05" thickBot="1" x14ac:dyDescent="0.35">
      <c r="A453" s="3437"/>
      <c r="B453" s="3436"/>
      <c r="C453" s="3436"/>
      <c r="D453" s="3437"/>
      <c r="E453" s="3437"/>
      <c r="F453" s="3437"/>
      <c r="G453" s="3442"/>
      <c r="H453" s="3442"/>
      <c r="I453" s="3442"/>
      <c r="J453" s="3442"/>
      <c r="K453" s="3442"/>
      <c r="L453" s="3438"/>
      <c r="M453" s="3438"/>
      <c r="N453" s="3438"/>
      <c r="O453" s="3438"/>
      <c r="P453" s="3438"/>
      <c r="Q453" s="3438"/>
      <c r="R453" s="3438"/>
      <c r="S453" s="3437"/>
      <c r="U453" s="3453"/>
      <c r="V453" s="3453"/>
      <c r="W453" s="3453"/>
      <c r="X453" s="3453"/>
      <c r="Y453" s="3453"/>
      <c r="Z453" s="3453"/>
      <c r="AA453" s="3453"/>
      <c r="AB453" s="3453"/>
      <c r="AC453" s="3453"/>
      <c r="AD453" s="3453"/>
      <c r="AE453" s="3453"/>
      <c r="AF453" s="3453"/>
      <c r="AG453" s="3453"/>
    </row>
    <row r="454" spans="1:33" s="3452" customFormat="1" ht="15.05" thickBot="1" x14ac:dyDescent="0.35">
      <c r="A454" s="2487">
        <f>+A436+1</f>
        <v>104</v>
      </c>
      <c r="B454" s="3837" t="s">
        <v>2366</v>
      </c>
      <c r="C454" s="3838"/>
      <c r="D454" s="3839" t="s">
        <v>1788</v>
      </c>
      <c r="E454" s="3840" t="s">
        <v>1789</v>
      </c>
      <c r="F454" s="3841"/>
      <c r="G454" s="3840"/>
      <c r="H454" s="3841"/>
      <c r="I454" s="3841"/>
      <c r="J454" s="3841"/>
      <c r="K454" s="3841"/>
      <c r="L454" s="3841"/>
      <c r="M454" s="3841"/>
      <c r="N454" s="3841"/>
      <c r="O454" s="3841"/>
      <c r="P454" s="3841"/>
      <c r="Q454" s="3841"/>
      <c r="R454" s="3841"/>
      <c r="S454" s="3842"/>
      <c r="U454" s="3453"/>
      <c r="V454" s="3453"/>
      <c r="W454" s="3453"/>
      <c r="X454" s="3453"/>
      <c r="Y454" s="3453"/>
      <c r="Z454" s="3453"/>
      <c r="AA454" s="3453"/>
      <c r="AB454" s="3453"/>
      <c r="AC454" s="3453"/>
      <c r="AD454" s="3453"/>
      <c r="AE454" s="3453"/>
      <c r="AF454" s="3453"/>
      <c r="AG454" s="3453"/>
    </row>
    <row r="455" spans="1:33" s="3452" customFormat="1" ht="15.05" customHeight="1" x14ac:dyDescent="0.3">
      <c r="B455" s="2711" t="s">
        <v>683</v>
      </c>
      <c r="C455" s="3674"/>
      <c r="D455" s="3674"/>
      <c r="E455" s="3674"/>
      <c r="F455" s="3674"/>
      <c r="G455" s="3675" t="str">
        <f t="shared" ref="G455:R455" si="100">+G5</f>
        <v>Ene</v>
      </c>
      <c r="H455" s="3675" t="str">
        <f t="shared" si="100"/>
        <v>Feb</v>
      </c>
      <c r="I455" s="3675" t="str">
        <f t="shared" si="100"/>
        <v>Mar</v>
      </c>
      <c r="J455" s="3675" t="str">
        <f t="shared" si="100"/>
        <v>Abr</v>
      </c>
      <c r="K455" s="3675" t="str">
        <f t="shared" si="100"/>
        <v>May</v>
      </c>
      <c r="L455" s="3675" t="str">
        <f t="shared" si="100"/>
        <v>Jun</v>
      </c>
      <c r="M455" s="3675" t="str">
        <f t="shared" si="100"/>
        <v>Jul</v>
      </c>
      <c r="N455" s="3675" t="str">
        <f t="shared" si="100"/>
        <v>Ago</v>
      </c>
      <c r="O455" s="3675" t="str">
        <f t="shared" si="100"/>
        <v>Set</v>
      </c>
      <c r="P455" s="3675" t="str">
        <f t="shared" si="100"/>
        <v>Oct</v>
      </c>
      <c r="Q455" s="3675" t="str">
        <f t="shared" si="100"/>
        <v>Nov</v>
      </c>
      <c r="R455" s="3675" t="str">
        <f t="shared" si="100"/>
        <v>Dic</v>
      </c>
      <c r="S455" s="3676" t="s">
        <v>1391</v>
      </c>
      <c r="T455" s="3440"/>
      <c r="U455" s="3440"/>
      <c r="V455" s="3440"/>
      <c r="W455" s="3440"/>
      <c r="X455" s="3440"/>
      <c r="Y455" s="3440"/>
      <c r="Z455" s="3440"/>
    </row>
    <row r="456" spans="1:33" s="3452" customFormat="1" x14ac:dyDescent="0.3">
      <c r="A456" s="3437"/>
      <c r="B456" s="3770" t="s">
        <v>1792</v>
      </c>
      <c r="C456" s="3771"/>
      <c r="D456" s="3771" t="s">
        <v>842</v>
      </c>
      <c r="E456" s="3772">
        <f>General!C44</f>
        <v>0</v>
      </c>
      <c r="F456" s="3772"/>
      <c r="G456" s="3843"/>
      <c r="H456" s="3772"/>
      <c r="I456" s="3772"/>
      <c r="J456" s="3772"/>
      <c r="K456" s="3772"/>
      <c r="L456" s="3772"/>
      <c r="M456" s="3772"/>
      <c r="N456" s="3772"/>
      <c r="O456" s="3772"/>
      <c r="P456" s="3772"/>
      <c r="Q456" s="3772"/>
      <c r="R456" s="3774"/>
      <c r="S456" s="3775"/>
      <c r="U456" s="3453"/>
      <c r="V456" s="3453"/>
      <c r="W456" s="3453"/>
      <c r="X456" s="3453"/>
      <c r="Y456" s="3453"/>
      <c r="Z456" s="3453"/>
      <c r="AA456" s="3453"/>
      <c r="AB456" s="3453"/>
      <c r="AC456" s="3453"/>
      <c r="AD456" s="3453"/>
      <c r="AE456" s="3453"/>
      <c r="AF456" s="3453"/>
      <c r="AG456" s="3453"/>
    </row>
    <row r="457" spans="1:33" s="3452" customFormat="1" hidden="1" x14ac:dyDescent="0.3">
      <c r="A457" s="3844" t="s">
        <v>1121</v>
      </c>
      <c r="B457" s="3845" t="s">
        <v>1794</v>
      </c>
      <c r="C457" s="3846"/>
      <c r="D457" s="3846"/>
      <c r="E457" s="3847">
        <f>+General!D45</f>
        <v>0</v>
      </c>
      <c r="F457" s="3848"/>
      <c r="G457" s="3848"/>
      <c r="H457" s="3848"/>
      <c r="I457" s="3848"/>
      <c r="J457" s="3849"/>
      <c r="K457" s="3849"/>
      <c r="L457" s="3849"/>
      <c r="M457" s="3849"/>
      <c r="N457" s="3849"/>
      <c r="O457" s="3849"/>
      <c r="P457" s="3849"/>
      <c r="Q457" s="3849"/>
      <c r="R457" s="3850"/>
      <c r="S457" s="3850"/>
      <c r="U457" s="3453"/>
      <c r="V457" s="3453"/>
      <c r="W457" s="3453"/>
      <c r="X457" s="3453"/>
      <c r="Y457" s="3453"/>
      <c r="Z457" s="3453"/>
      <c r="AA457" s="3453"/>
      <c r="AB457" s="3453"/>
      <c r="AC457" s="3453"/>
      <c r="AD457" s="3453"/>
      <c r="AE457" s="3453"/>
      <c r="AF457" s="3453"/>
      <c r="AG457" s="3453"/>
    </row>
    <row r="458" spans="1:33" s="3452" customFormat="1" x14ac:dyDescent="0.3">
      <c r="A458" s="3437"/>
      <c r="B458" s="3723" t="s">
        <v>246</v>
      </c>
      <c r="C458" s="3616"/>
      <c r="D458" s="3616" t="s">
        <v>842</v>
      </c>
      <c r="E458" s="3523"/>
      <c r="F458" s="3523"/>
      <c r="G458" s="3706">
        <f t="shared" ref="G458:R458" si="101">+SUM(G439:G450)*1000</f>
        <v>0</v>
      </c>
      <c r="H458" s="3707">
        <f t="shared" si="101"/>
        <v>0</v>
      </c>
      <c r="I458" s="3707">
        <f t="shared" si="101"/>
        <v>0</v>
      </c>
      <c r="J458" s="3707">
        <f t="shared" si="101"/>
        <v>0</v>
      </c>
      <c r="K458" s="3707">
        <f t="shared" si="101"/>
        <v>0</v>
      </c>
      <c r="L458" s="3707">
        <f t="shared" si="101"/>
        <v>0</v>
      </c>
      <c r="M458" s="3707">
        <f t="shared" si="101"/>
        <v>0</v>
      </c>
      <c r="N458" s="3707">
        <f t="shared" si="101"/>
        <v>0</v>
      </c>
      <c r="O458" s="3707">
        <f t="shared" si="101"/>
        <v>0</v>
      </c>
      <c r="P458" s="3707">
        <f t="shared" si="101"/>
        <v>0</v>
      </c>
      <c r="Q458" s="3707">
        <f t="shared" si="101"/>
        <v>0</v>
      </c>
      <c r="R458" s="3708">
        <f t="shared" si="101"/>
        <v>0</v>
      </c>
      <c r="S458" s="3851"/>
      <c r="U458" s="3453"/>
      <c r="V458" s="3453"/>
      <c r="W458" s="3453"/>
      <c r="X458" s="3453"/>
      <c r="Y458" s="3453"/>
      <c r="Z458" s="3453"/>
      <c r="AA458" s="3453"/>
      <c r="AB458" s="3453"/>
      <c r="AC458" s="3453"/>
      <c r="AD458" s="3453"/>
      <c r="AE458" s="3453"/>
      <c r="AF458" s="3453"/>
      <c r="AG458" s="3453"/>
    </row>
    <row r="459" spans="1:33" s="3452" customFormat="1" ht="15.05" hidden="1" thickBot="1" x14ac:dyDescent="0.35">
      <c r="A459" s="3844" t="s">
        <v>1121</v>
      </c>
      <c r="B459" s="3852" t="s">
        <v>1796</v>
      </c>
      <c r="C459" s="3853"/>
      <c r="D459" s="3853" t="s">
        <v>420</v>
      </c>
      <c r="E459" s="3854"/>
      <c r="F459" s="3854"/>
      <c r="G459" s="3855">
        <f t="shared" ref="G459:R459" si="102">IF(G458=0,0,SUMPRODUCT(G439:G450,$D$439:$D$450)/G458)</f>
        <v>0</v>
      </c>
      <c r="H459" s="3855">
        <f t="shared" si="102"/>
        <v>0</v>
      </c>
      <c r="I459" s="3855">
        <f t="shared" si="102"/>
        <v>0</v>
      </c>
      <c r="J459" s="3855">
        <f t="shared" si="102"/>
        <v>0</v>
      </c>
      <c r="K459" s="3855">
        <f t="shared" si="102"/>
        <v>0</v>
      </c>
      <c r="L459" s="3855">
        <f t="shared" si="102"/>
        <v>0</v>
      </c>
      <c r="M459" s="3855">
        <f t="shared" si="102"/>
        <v>0</v>
      </c>
      <c r="N459" s="3855">
        <f t="shared" si="102"/>
        <v>0</v>
      </c>
      <c r="O459" s="3855">
        <f t="shared" si="102"/>
        <v>0</v>
      </c>
      <c r="P459" s="3855">
        <f t="shared" si="102"/>
        <v>0</v>
      </c>
      <c r="Q459" s="3855">
        <f t="shared" si="102"/>
        <v>0</v>
      </c>
      <c r="R459" s="3856">
        <f t="shared" si="102"/>
        <v>0</v>
      </c>
      <c r="S459" s="3850"/>
      <c r="U459" s="3453"/>
      <c r="V459" s="3453"/>
      <c r="W459" s="3453"/>
      <c r="X459" s="3453"/>
      <c r="Y459" s="3453"/>
      <c r="Z459" s="3453"/>
      <c r="AA459" s="3453"/>
      <c r="AB459" s="3453"/>
      <c r="AC459" s="3453"/>
      <c r="AD459" s="3453"/>
      <c r="AE459" s="3453"/>
      <c r="AF459" s="3453"/>
      <c r="AG459" s="3453"/>
    </row>
    <row r="460" spans="1:33" s="3452" customFormat="1" hidden="1" x14ac:dyDescent="0.3">
      <c r="A460" s="3844"/>
      <c r="B460" s="3857" t="s">
        <v>1802</v>
      </c>
      <c r="C460" s="3858"/>
      <c r="D460" s="3858" t="s">
        <v>842</v>
      </c>
      <c r="E460" s="3859"/>
      <c r="F460" s="3859"/>
      <c r="G460" s="3859">
        <f>+E456+G458</f>
        <v>0</v>
      </c>
      <c r="H460" s="3859">
        <f t="shared" ref="H460:R460" si="103">+G475+H458</f>
        <v>0</v>
      </c>
      <c r="I460" s="3859">
        <f t="shared" si="103"/>
        <v>0</v>
      </c>
      <c r="J460" s="3859">
        <f t="shared" si="103"/>
        <v>0</v>
      </c>
      <c r="K460" s="3859">
        <f t="shared" si="103"/>
        <v>0</v>
      </c>
      <c r="L460" s="3859">
        <f t="shared" si="103"/>
        <v>0</v>
      </c>
      <c r="M460" s="3859">
        <f t="shared" si="103"/>
        <v>0</v>
      </c>
      <c r="N460" s="3859">
        <f t="shared" si="103"/>
        <v>0</v>
      </c>
      <c r="O460" s="3859">
        <f t="shared" si="103"/>
        <v>0</v>
      </c>
      <c r="P460" s="3859">
        <f t="shared" si="103"/>
        <v>0</v>
      </c>
      <c r="Q460" s="3859">
        <f t="shared" si="103"/>
        <v>0</v>
      </c>
      <c r="R460" s="3860">
        <f t="shared" si="103"/>
        <v>0</v>
      </c>
      <c r="S460" s="3850"/>
      <c r="U460" s="3453"/>
      <c r="V460" s="3453"/>
      <c r="W460" s="3453"/>
      <c r="X460" s="3453"/>
      <c r="Y460" s="3453"/>
      <c r="Z460" s="3453"/>
      <c r="AA460" s="3453"/>
      <c r="AB460" s="3453"/>
      <c r="AC460" s="3453"/>
      <c r="AD460" s="3453"/>
      <c r="AE460" s="3453"/>
      <c r="AF460" s="3453"/>
      <c r="AG460" s="3453"/>
    </row>
    <row r="461" spans="1:33" s="3452" customFormat="1" ht="15.05" hidden="1" thickBot="1" x14ac:dyDescent="0.35">
      <c r="A461" s="3844" t="s">
        <v>1121</v>
      </c>
      <c r="B461" s="3852" t="s">
        <v>1797</v>
      </c>
      <c r="C461" s="3853"/>
      <c r="D461" s="3853" t="s">
        <v>420</v>
      </c>
      <c r="E461" s="3854"/>
      <c r="F461" s="3854"/>
      <c r="G461" s="3855">
        <f>IF(G460=0,0,((E456*E457)+(G458*G459))/(E456+G458))</f>
        <v>0</v>
      </c>
      <c r="H461" s="3855">
        <f t="shared" ref="H461:R461" si="104">IF(H460=0,0,((G475*G476)+(H458*H459))/(G475+H458))</f>
        <v>0</v>
      </c>
      <c r="I461" s="3855">
        <f t="shared" si="104"/>
        <v>0</v>
      </c>
      <c r="J461" s="3855">
        <f t="shared" si="104"/>
        <v>0</v>
      </c>
      <c r="K461" s="3855">
        <f t="shared" si="104"/>
        <v>0</v>
      </c>
      <c r="L461" s="3855">
        <f t="shared" si="104"/>
        <v>0</v>
      </c>
      <c r="M461" s="3855">
        <f t="shared" si="104"/>
        <v>0</v>
      </c>
      <c r="N461" s="3855">
        <f t="shared" si="104"/>
        <v>0</v>
      </c>
      <c r="O461" s="3855">
        <f t="shared" si="104"/>
        <v>0</v>
      </c>
      <c r="P461" s="3855">
        <f t="shared" si="104"/>
        <v>0</v>
      </c>
      <c r="Q461" s="3855">
        <f t="shared" si="104"/>
        <v>0</v>
      </c>
      <c r="R461" s="3856">
        <f t="shared" si="104"/>
        <v>0</v>
      </c>
      <c r="S461" s="3850"/>
      <c r="U461" s="3453"/>
      <c r="V461" s="3453"/>
      <c r="W461" s="3453"/>
      <c r="X461" s="3453"/>
      <c r="Y461" s="3453"/>
      <c r="Z461" s="3453"/>
      <c r="AA461" s="3453"/>
      <c r="AB461" s="3453"/>
      <c r="AC461" s="3453"/>
      <c r="AD461" s="3453"/>
      <c r="AE461" s="3453"/>
      <c r="AF461" s="3453"/>
      <c r="AG461" s="3453"/>
    </row>
    <row r="462" spans="1:33" s="3452" customFormat="1" ht="15.05" thickBot="1" x14ac:dyDescent="0.35">
      <c r="A462" s="3437"/>
      <c r="B462" s="2524" t="s">
        <v>1791</v>
      </c>
      <c r="C462" s="2481"/>
      <c r="D462" s="2481"/>
      <c r="E462" s="2481"/>
      <c r="F462" s="2481"/>
      <c r="G462" s="3704"/>
      <c r="H462" s="3704"/>
      <c r="I462" s="3704"/>
      <c r="J462" s="3704"/>
      <c r="K462" s="3704"/>
      <c r="L462" s="3704"/>
      <c r="M462" s="3704"/>
      <c r="N462" s="3704"/>
      <c r="O462" s="3704"/>
      <c r="P462" s="3704"/>
      <c r="Q462" s="3704"/>
      <c r="R462" s="3704"/>
      <c r="S462" s="3705"/>
    </row>
    <row r="463" spans="1:33" s="3452" customFormat="1" x14ac:dyDescent="0.3">
      <c r="A463" s="3437"/>
      <c r="B463" s="3861" t="s">
        <v>1141</v>
      </c>
      <c r="C463" s="3862"/>
      <c r="D463" s="3862" t="s">
        <v>842</v>
      </c>
      <c r="E463" s="3863"/>
      <c r="F463" s="3863"/>
      <c r="G463" s="3864">
        <f t="shared" ref="G463:R463" si="105">G186*G139*G137</f>
        <v>0</v>
      </c>
      <c r="H463" s="3865">
        <f t="shared" si="105"/>
        <v>0</v>
      </c>
      <c r="I463" s="3865">
        <f t="shared" si="105"/>
        <v>0</v>
      </c>
      <c r="J463" s="3865">
        <f t="shared" si="105"/>
        <v>0</v>
      </c>
      <c r="K463" s="3865">
        <f t="shared" si="105"/>
        <v>0</v>
      </c>
      <c r="L463" s="3865">
        <f t="shared" si="105"/>
        <v>0</v>
      </c>
      <c r="M463" s="3865">
        <f t="shared" si="105"/>
        <v>0</v>
      </c>
      <c r="N463" s="3865">
        <f t="shared" si="105"/>
        <v>0</v>
      </c>
      <c r="O463" s="3865">
        <f t="shared" si="105"/>
        <v>0</v>
      </c>
      <c r="P463" s="3865">
        <f t="shared" si="105"/>
        <v>0</v>
      </c>
      <c r="Q463" s="3865">
        <f t="shared" si="105"/>
        <v>0</v>
      </c>
      <c r="R463" s="3866">
        <f t="shared" si="105"/>
        <v>0</v>
      </c>
      <c r="S463" s="3522">
        <f>+SUM(G463:R463)</f>
        <v>0</v>
      </c>
      <c r="U463" s="3453"/>
      <c r="V463" s="3453"/>
      <c r="W463" s="3453"/>
      <c r="X463" s="3453"/>
      <c r="Y463" s="3453"/>
      <c r="Z463" s="3453"/>
      <c r="AA463" s="3453"/>
      <c r="AB463" s="3453"/>
      <c r="AC463" s="3453"/>
      <c r="AD463" s="3453"/>
      <c r="AE463" s="3453"/>
      <c r="AF463" s="3453"/>
      <c r="AG463" s="3453"/>
    </row>
    <row r="464" spans="1:33" s="3452" customFormat="1" x14ac:dyDescent="0.3">
      <c r="A464" s="3437"/>
      <c r="B464" s="3723" t="s">
        <v>2367</v>
      </c>
      <c r="C464" s="3616"/>
      <c r="D464" s="3616" t="s">
        <v>842</v>
      </c>
      <c r="E464" s="3453"/>
      <c r="F464" s="3453"/>
      <c r="G464" s="3706">
        <f t="shared" ref="G464:R464" si="106">G291</f>
        <v>0</v>
      </c>
      <c r="H464" s="3707">
        <f t="shared" si="106"/>
        <v>0</v>
      </c>
      <c r="I464" s="3707">
        <f t="shared" si="106"/>
        <v>0</v>
      </c>
      <c r="J464" s="3707">
        <f t="shared" si="106"/>
        <v>0</v>
      </c>
      <c r="K464" s="3707">
        <f t="shared" si="106"/>
        <v>0</v>
      </c>
      <c r="L464" s="3707">
        <f t="shared" si="106"/>
        <v>0</v>
      </c>
      <c r="M464" s="3707">
        <f t="shared" si="106"/>
        <v>0</v>
      </c>
      <c r="N464" s="3707">
        <f t="shared" si="106"/>
        <v>0</v>
      </c>
      <c r="O464" s="3707">
        <f t="shared" si="106"/>
        <v>0</v>
      </c>
      <c r="P464" s="3707">
        <f t="shared" si="106"/>
        <v>0</v>
      </c>
      <c r="Q464" s="3707">
        <f t="shared" si="106"/>
        <v>0</v>
      </c>
      <c r="R464" s="3708">
        <f t="shared" si="106"/>
        <v>0</v>
      </c>
      <c r="S464" s="3522">
        <f>+SUM(G464:R464)</f>
        <v>0</v>
      </c>
      <c r="U464" s="3453"/>
      <c r="V464" s="3453"/>
      <c r="W464" s="3453"/>
      <c r="X464" s="3453"/>
      <c r="Y464" s="3453"/>
      <c r="Z464" s="3453"/>
      <c r="AA464" s="3453"/>
      <c r="AB464" s="3453"/>
      <c r="AC464" s="3453"/>
      <c r="AD464" s="3453"/>
      <c r="AE464" s="3453"/>
      <c r="AF464" s="3453"/>
      <c r="AG464" s="3453"/>
    </row>
    <row r="465" spans="1:33" s="3452" customFormat="1" ht="15.05" thickBot="1" x14ac:dyDescent="0.35">
      <c r="A465" s="3437"/>
      <c r="B465" s="3867" t="s">
        <v>1455</v>
      </c>
      <c r="C465" s="3868"/>
      <c r="D465" s="3868" t="s">
        <v>842</v>
      </c>
      <c r="E465" s="3869"/>
      <c r="F465" s="3869"/>
      <c r="G465" s="3870">
        <f t="shared" ref="G465:R465" si="107">+G331</f>
        <v>0</v>
      </c>
      <c r="H465" s="3871">
        <f t="shared" si="107"/>
        <v>0</v>
      </c>
      <c r="I465" s="3871">
        <f t="shared" si="107"/>
        <v>0</v>
      </c>
      <c r="J465" s="3871">
        <f t="shared" si="107"/>
        <v>0</v>
      </c>
      <c r="K465" s="3871">
        <f t="shared" si="107"/>
        <v>0</v>
      </c>
      <c r="L465" s="3871">
        <f t="shared" si="107"/>
        <v>0</v>
      </c>
      <c r="M465" s="3871">
        <f t="shared" si="107"/>
        <v>0</v>
      </c>
      <c r="N465" s="3871">
        <f t="shared" si="107"/>
        <v>0</v>
      </c>
      <c r="O465" s="3871">
        <f t="shared" si="107"/>
        <v>0</v>
      </c>
      <c r="P465" s="3871">
        <f t="shared" si="107"/>
        <v>0</v>
      </c>
      <c r="Q465" s="3871">
        <f t="shared" si="107"/>
        <v>0</v>
      </c>
      <c r="R465" s="3872">
        <f t="shared" si="107"/>
        <v>0</v>
      </c>
      <c r="S465" s="3522">
        <f>+SUM(G465:R465)</f>
        <v>0</v>
      </c>
      <c r="U465" s="3453"/>
      <c r="V465" s="3453"/>
      <c r="W465" s="3453"/>
      <c r="X465" s="3453"/>
      <c r="Y465" s="3453"/>
      <c r="Z465" s="3453"/>
      <c r="AA465" s="3453"/>
      <c r="AB465" s="3453"/>
      <c r="AC465" s="3453"/>
      <c r="AD465" s="3453"/>
      <c r="AE465" s="3453"/>
      <c r="AF465" s="3453"/>
      <c r="AG465" s="3453"/>
    </row>
    <row r="466" spans="1:33" s="3452" customFormat="1" x14ac:dyDescent="0.3">
      <c r="A466" s="3437"/>
      <c r="B466" s="3873" t="s">
        <v>230</v>
      </c>
      <c r="C466" s="3642"/>
      <c r="D466" s="3642" t="s">
        <v>842</v>
      </c>
      <c r="E466" s="3575"/>
      <c r="F466" s="3575"/>
      <c r="G466" s="3874">
        <f>+SUM(G463:G465)</f>
        <v>0</v>
      </c>
      <c r="H466" s="3875">
        <f t="shared" ref="H466:R466" si="108">+SUM(H463:H465)</f>
        <v>0</v>
      </c>
      <c r="I466" s="3875">
        <f t="shared" si="108"/>
        <v>0</v>
      </c>
      <c r="J466" s="3875">
        <f t="shared" si="108"/>
        <v>0</v>
      </c>
      <c r="K466" s="3875">
        <f t="shared" si="108"/>
        <v>0</v>
      </c>
      <c r="L466" s="3875">
        <f t="shared" si="108"/>
        <v>0</v>
      </c>
      <c r="M466" s="3875">
        <f t="shared" si="108"/>
        <v>0</v>
      </c>
      <c r="N466" s="3875">
        <f t="shared" si="108"/>
        <v>0</v>
      </c>
      <c r="O466" s="3875">
        <f t="shared" si="108"/>
        <v>0</v>
      </c>
      <c r="P466" s="3875">
        <f t="shared" si="108"/>
        <v>0</v>
      </c>
      <c r="Q466" s="3875">
        <f t="shared" si="108"/>
        <v>0</v>
      </c>
      <c r="R466" s="3876">
        <f t="shared" si="108"/>
        <v>0</v>
      </c>
      <c r="S466" s="3877">
        <f>+SUM(G466:R466)</f>
        <v>0</v>
      </c>
      <c r="U466" s="3453"/>
      <c r="V466" s="3453"/>
      <c r="W466" s="3453"/>
      <c r="X466" s="3453"/>
      <c r="Y466" s="3453"/>
      <c r="Z466" s="3453"/>
      <c r="AA466" s="3453"/>
      <c r="AB466" s="3453"/>
      <c r="AC466" s="3453"/>
      <c r="AD466" s="3453"/>
      <c r="AE466" s="3453"/>
      <c r="AF466" s="3453"/>
      <c r="AG466" s="3453"/>
    </row>
    <row r="467" spans="1:33" s="3452" customFormat="1" hidden="1" x14ac:dyDescent="0.3">
      <c r="A467" s="3849"/>
      <c r="B467" s="3878" t="s">
        <v>1798</v>
      </c>
      <c r="C467" s="3846"/>
      <c r="D467" s="3846" t="s">
        <v>842</v>
      </c>
      <c r="E467" s="3848"/>
      <c r="F467" s="3848"/>
      <c r="G467" s="3848">
        <f>+IF(G466&lt;G460,G466,G460)</f>
        <v>0</v>
      </c>
      <c r="H467" s="3848">
        <f t="shared" ref="H467:R467" si="109">+IF(H466&lt;H460,H466,H460)</f>
        <v>0</v>
      </c>
      <c r="I467" s="3848">
        <f t="shared" si="109"/>
        <v>0</v>
      </c>
      <c r="J467" s="3848">
        <f t="shared" si="109"/>
        <v>0</v>
      </c>
      <c r="K467" s="3848">
        <f t="shared" si="109"/>
        <v>0</v>
      </c>
      <c r="L467" s="3848">
        <f t="shared" si="109"/>
        <v>0</v>
      </c>
      <c r="M467" s="3848">
        <f t="shared" si="109"/>
        <v>0</v>
      </c>
      <c r="N467" s="3848">
        <f t="shared" si="109"/>
        <v>0</v>
      </c>
      <c r="O467" s="3848">
        <f t="shared" si="109"/>
        <v>0</v>
      </c>
      <c r="P467" s="3848">
        <f t="shared" si="109"/>
        <v>0</v>
      </c>
      <c r="Q467" s="3848">
        <f>+IF(Q466&lt;Q460,Q466,Q460)</f>
        <v>0</v>
      </c>
      <c r="R467" s="3879">
        <f t="shared" si="109"/>
        <v>0</v>
      </c>
      <c r="S467" s="3879"/>
      <c r="U467" s="3453"/>
      <c r="V467" s="3453"/>
      <c r="W467" s="3453"/>
      <c r="X467" s="3453"/>
      <c r="Y467" s="3453"/>
      <c r="Z467" s="3453"/>
      <c r="AA467" s="3453"/>
      <c r="AB467" s="3453"/>
      <c r="AC467" s="3453"/>
      <c r="AD467" s="3453"/>
      <c r="AE467" s="3453"/>
      <c r="AF467" s="3453"/>
      <c r="AG467" s="3453"/>
    </row>
    <row r="468" spans="1:33" s="3452" customFormat="1" hidden="1" x14ac:dyDescent="0.3">
      <c r="A468" s="3849"/>
      <c r="B468" s="3878" t="s">
        <v>1799</v>
      </c>
      <c r="C468" s="3846"/>
      <c r="D468" s="3846" t="s">
        <v>1800</v>
      </c>
      <c r="E468" s="3848"/>
      <c r="F468" s="3848"/>
      <c r="G468" s="3848">
        <f>+G467*G461</f>
        <v>0</v>
      </c>
      <c r="H468" s="3848">
        <f t="shared" ref="H468:R468" si="110">+H467*H461</f>
        <v>0</v>
      </c>
      <c r="I468" s="3848">
        <f t="shared" si="110"/>
        <v>0</v>
      </c>
      <c r="J468" s="3848">
        <f t="shared" si="110"/>
        <v>0</v>
      </c>
      <c r="K468" s="3848">
        <f t="shared" si="110"/>
        <v>0</v>
      </c>
      <c r="L468" s="3848">
        <f t="shared" si="110"/>
        <v>0</v>
      </c>
      <c r="M468" s="3848">
        <f t="shared" si="110"/>
        <v>0</v>
      </c>
      <c r="N468" s="3848">
        <f t="shared" si="110"/>
        <v>0</v>
      </c>
      <c r="O468" s="3848">
        <f t="shared" si="110"/>
        <v>0</v>
      </c>
      <c r="P468" s="3848">
        <f t="shared" si="110"/>
        <v>0</v>
      </c>
      <c r="Q468" s="3848">
        <f>+Q467*Q461</f>
        <v>0</v>
      </c>
      <c r="R468" s="3879">
        <f t="shared" si="110"/>
        <v>0</v>
      </c>
      <c r="S468" s="3879"/>
      <c r="U468" s="3453"/>
      <c r="V468" s="3453"/>
      <c r="W468" s="3453"/>
      <c r="X468" s="3453"/>
      <c r="Y468" s="3453"/>
      <c r="Z468" s="3453"/>
      <c r="AA468" s="3453"/>
      <c r="AB468" s="3453"/>
      <c r="AC468" s="3453"/>
      <c r="AD468" s="3453"/>
      <c r="AE468" s="3453"/>
      <c r="AF468" s="3453"/>
      <c r="AG468" s="3453"/>
    </row>
    <row r="469" spans="1:33" s="3452" customFormat="1" hidden="1" x14ac:dyDescent="0.3">
      <c r="A469" s="3849"/>
      <c r="B469" s="3878" t="s">
        <v>1781</v>
      </c>
      <c r="C469" s="3846"/>
      <c r="D469" s="3846"/>
      <c r="E469" s="3848"/>
      <c r="F469" s="3848"/>
      <c r="G469" s="3848">
        <f>+G466-G467</f>
        <v>0</v>
      </c>
      <c r="H469" s="3848">
        <f t="shared" ref="H469:R469" si="111">+H466-H467</f>
        <v>0</v>
      </c>
      <c r="I469" s="3848">
        <f t="shared" si="111"/>
        <v>0</v>
      </c>
      <c r="J469" s="3848">
        <f t="shared" si="111"/>
        <v>0</v>
      </c>
      <c r="K469" s="3848">
        <f t="shared" si="111"/>
        <v>0</v>
      </c>
      <c r="L469" s="3848">
        <f t="shared" si="111"/>
        <v>0</v>
      </c>
      <c r="M469" s="3848">
        <f t="shared" si="111"/>
        <v>0</v>
      </c>
      <c r="N469" s="3848">
        <f t="shared" si="111"/>
        <v>0</v>
      </c>
      <c r="O469" s="3848">
        <f t="shared" si="111"/>
        <v>0</v>
      </c>
      <c r="P469" s="3848">
        <f>+P466-P467</f>
        <v>0</v>
      </c>
      <c r="Q469" s="3848">
        <f t="shared" si="111"/>
        <v>0</v>
      </c>
      <c r="R469" s="3879">
        <f t="shared" si="111"/>
        <v>0</v>
      </c>
      <c r="S469" s="3879"/>
      <c r="U469" s="3453"/>
      <c r="V469" s="3453"/>
      <c r="W469" s="3453"/>
      <c r="X469" s="3453"/>
      <c r="Y469" s="3453"/>
      <c r="Z469" s="3453"/>
      <c r="AA469" s="3453"/>
      <c r="AB469" s="3453"/>
      <c r="AC469" s="3453"/>
      <c r="AD469" s="3453"/>
      <c r="AE469" s="3453"/>
      <c r="AF469" s="3453"/>
      <c r="AG469" s="3453"/>
    </row>
    <row r="470" spans="1:33" s="3452" customFormat="1" x14ac:dyDescent="0.3">
      <c r="A470" s="3437"/>
      <c r="B470" s="2524" t="s">
        <v>1793</v>
      </c>
      <c r="C470" s="2481"/>
      <c r="D470" s="2481"/>
      <c r="E470" s="2481"/>
      <c r="F470" s="2481"/>
      <c r="G470" s="3704"/>
      <c r="H470" s="3704"/>
      <c r="I470" s="3704"/>
      <c r="J470" s="3704"/>
      <c r="K470" s="3704"/>
      <c r="L470" s="3704"/>
      <c r="M470" s="3704"/>
      <c r="N470" s="3704"/>
      <c r="O470" s="3704"/>
      <c r="P470" s="3704"/>
      <c r="Q470" s="3704"/>
      <c r="R470" s="3704"/>
      <c r="S470" s="3705"/>
    </row>
    <row r="471" spans="1:33" s="3452" customFormat="1" x14ac:dyDescent="0.3">
      <c r="A471" s="3437"/>
      <c r="B471" s="3723" t="s">
        <v>1787</v>
      </c>
      <c r="C471" s="3616"/>
      <c r="D471" s="3616" t="s">
        <v>842</v>
      </c>
      <c r="E471" s="3453"/>
      <c r="F471" s="3453"/>
      <c r="G471" s="3706">
        <f>+G469</f>
        <v>0</v>
      </c>
      <c r="H471" s="3707">
        <f t="shared" ref="H471:R471" si="112">+H469</f>
        <v>0</v>
      </c>
      <c r="I471" s="3707">
        <f t="shared" si="112"/>
        <v>0</v>
      </c>
      <c r="J471" s="3707">
        <f t="shared" si="112"/>
        <v>0</v>
      </c>
      <c r="K471" s="3707">
        <f t="shared" si="112"/>
        <v>0</v>
      </c>
      <c r="L471" s="3707">
        <f t="shared" si="112"/>
        <v>0</v>
      </c>
      <c r="M471" s="3707">
        <f t="shared" si="112"/>
        <v>0</v>
      </c>
      <c r="N471" s="3707">
        <f t="shared" si="112"/>
        <v>0</v>
      </c>
      <c r="O471" s="3707">
        <f t="shared" si="112"/>
        <v>0</v>
      </c>
      <c r="P471" s="3707">
        <f t="shared" si="112"/>
        <v>0</v>
      </c>
      <c r="Q471" s="3707">
        <f t="shared" si="112"/>
        <v>0</v>
      </c>
      <c r="R471" s="3708">
        <f t="shared" si="112"/>
        <v>0</v>
      </c>
      <c r="S471" s="3522"/>
      <c r="U471" s="3453"/>
      <c r="V471" s="3453"/>
      <c r="W471" s="3453"/>
      <c r="X471" s="3453"/>
      <c r="Y471" s="3453"/>
      <c r="Z471" s="3453"/>
      <c r="AA471" s="3453"/>
      <c r="AB471" s="3453"/>
      <c r="AC471" s="3453"/>
      <c r="AD471" s="3453"/>
      <c r="AE471" s="3453"/>
      <c r="AF471" s="3453"/>
      <c r="AG471" s="3453"/>
    </row>
    <row r="472" spans="1:33" s="3452" customFormat="1" x14ac:dyDescent="0.3">
      <c r="A472" s="3437"/>
      <c r="B472" s="3723" t="s">
        <v>573</v>
      </c>
      <c r="C472" s="3616"/>
      <c r="D472" s="3616" t="s">
        <v>842</v>
      </c>
      <c r="E472" s="3453"/>
      <c r="F472" s="3453"/>
      <c r="G472" s="5262"/>
      <c r="H472" s="5263"/>
      <c r="I472" s="5263"/>
      <c r="J472" s="5263"/>
      <c r="K472" s="5263"/>
      <c r="L472" s="5263"/>
      <c r="M472" s="5263"/>
      <c r="N472" s="5263"/>
      <c r="O472" s="5271"/>
      <c r="P472" s="5271"/>
      <c r="Q472" s="5271"/>
      <c r="R472" s="5272"/>
      <c r="S472" s="3522"/>
      <c r="U472" s="3453"/>
      <c r="V472" s="3453"/>
      <c r="W472" s="3453"/>
      <c r="X472" s="3453"/>
      <c r="Y472" s="3453"/>
      <c r="Z472" s="3453"/>
      <c r="AA472" s="3453"/>
      <c r="AB472" s="3453"/>
      <c r="AC472" s="3453"/>
      <c r="AD472" s="3453"/>
      <c r="AE472" s="3453"/>
      <c r="AF472" s="3453"/>
      <c r="AG472" s="3453"/>
    </row>
    <row r="473" spans="1:33" s="3452" customFormat="1" x14ac:dyDescent="0.3">
      <c r="A473" s="3437"/>
      <c r="B473" s="3880" t="s">
        <v>574</v>
      </c>
      <c r="C473" s="3616"/>
      <c r="D473" s="3616" t="s">
        <v>1951</v>
      </c>
      <c r="E473" s="3453"/>
      <c r="F473" s="3453"/>
      <c r="G473" s="3706">
        <f>+IF(G472&lt;=0,G471,G472)</f>
        <v>0</v>
      </c>
      <c r="H473" s="3707">
        <f t="shared" ref="H473:R473" si="113">+IF(H472&lt;=0,H471,H472)</f>
        <v>0</v>
      </c>
      <c r="I473" s="3707">
        <f t="shared" si="113"/>
        <v>0</v>
      </c>
      <c r="J473" s="3707">
        <f t="shared" si="113"/>
        <v>0</v>
      </c>
      <c r="K473" s="3707">
        <f t="shared" si="113"/>
        <v>0</v>
      </c>
      <c r="L473" s="3707">
        <f t="shared" si="113"/>
        <v>0</v>
      </c>
      <c r="M473" s="3707">
        <f t="shared" si="113"/>
        <v>0</v>
      </c>
      <c r="N473" s="3707">
        <f t="shared" si="113"/>
        <v>0</v>
      </c>
      <c r="O473" s="3707">
        <f t="shared" si="113"/>
        <v>0</v>
      </c>
      <c r="P473" s="3707">
        <f>+IF(P472&lt;=0,P471,P472)</f>
        <v>0</v>
      </c>
      <c r="Q473" s="3707">
        <f t="shared" si="113"/>
        <v>0</v>
      </c>
      <c r="R473" s="3708">
        <f t="shared" si="113"/>
        <v>0</v>
      </c>
      <c r="S473" s="3522">
        <f>+SUM(G473:R473)</f>
        <v>0</v>
      </c>
      <c r="U473" s="3453"/>
      <c r="V473" s="3453"/>
      <c r="W473" s="3453"/>
      <c r="X473" s="3453"/>
      <c r="Y473" s="3453"/>
      <c r="Z473" s="3453"/>
      <c r="AA473" s="3453"/>
      <c r="AB473" s="3453"/>
      <c r="AC473" s="3453"/>
      <c r="AD473" s="3453"/>
      <c r="AE473" s="3453"/>
      <c r="AF473" s="3453"/>
      <c r="AG473" s="3453"/>
    </row>
    <row r="474" spans="1:33" s="3452" customFormat="1" x14ac:dyDescent="0.3">
      <c r="A474" s="3437"/>
      <c r="B474" s="3723" t="s">
        <v>1782</v>
      </c>
      <c r="C474" s="3616"/>
      <c r="D474" s="3616" t="s">
        <v>2149</v>
      </c>
      <c r="E474" s="3453"/>
      <c r="F474" s="3453"/>
      <c r="G474" s="5273"/>
      <c r="H474" s="5271"/>
      <c r="I474" s="5271"/>
      <c r="J474" s="5271"/>
      <c r="K474" s="5271"/>
      <c r="L474" s="5271"/>
      <c r="M474" s="5271"/>
      <c r="N474" s="5271"/>
      <c r="O474" s="5271"/>
      <c r="P474" s="5271"/>
      <c r="Q474" s="5271"/>
      <c r="R474" s="5272"/>
      <c r="S474" s="3522"/>
      <c r="U474" s="3453"/>
      <c r="V474" s="3453"/>
      <c r="W474" s="3453"/>
      <c r="X474" s="3453"/>
      <c r="Y474" s="3453"/>
      <c r="Z474" s="3453"/>
      <c r="AA474" s="3453"/>
      <c r="AB474" s="3453"/>
      <c r="AC474" s="3453"/>
      <c r="AD474" s="3453"/>
      <c r="AE474" s="3453"/>
      <c r="AF474" s="3453"/>
      <c r="AG474" s="3453"/>
    </row>
    <row r="475" spans="1:33" s="3440" customFormat="1" x14ac:dyDescent="0.3">
      <c r="A475" s="3436"/>
      <c r="B475" s="2524" t="s">
        <v>1786</v>
      </c>
      <c r="C475" s="2481"/>
      <c r="D475" s="3881" t="s">
        <v>1953</v>
      </c>
      <c r="E475" s="2481"/>
      <c r="F475" s="2481"/>
      <c r="G475" s="3704">
        <f t="shared" ref="G475:Q475" si="114">+G460-G466+G473</f>
        <v>0</v>
      </c>
      <c r="H475" s="3704">
        <f t="shared" si="114"/>
        <v>0</v>
      </c>
      <c r="I475" s="3704">
        <f t="shared" si="114"/>
        <v>0</v>
      </c>
      <c r="J475" s="3704">
        <f t="shared" si="114"/>
        <v>0</v>
      </c>
      <c r="K475" s="3704">
        <f t="shared" si="114"/>
        <v>0</v>
      </c>
      <c r="L475" s="3704">
        <f t="shared" si="114"/>
        <v>0</v>
      </c>
      <c r="M475" s="3704">
        <f t="shared" si="114"/>
        <v>0</v>
      </c>
      <c r="N475" s="3704">
        <f t="shared" si="114"/>
        <v>0</v>
      </c>
      <c r="O475" s="3704">
        <f t="shared" si="114"/>
        <v>0</v>
      </c>
      <c r="P475" s="3704">
        <f t="shared" si="114"/>
        <v>0</v>
      </c>
      <c r="Q475" s="3704">
        <f t="shared" si="114"/>
        <v>0</v>
      </c>
      <c r="R475" s="3704">
        <f>+R460-R466+R473</f>
        <v>0</v>
      </c>
      <c r="S475" s="3705"/>
      <c r="U475" s="3453"/>
      <c r="V475" s="3664"/>
      <c r="W475" s="3664"/>
      <c r="X475" s="3664"/>
      <c r="Y475" s="3664"/>
      <c r="Z475" s="3664"/>
      <c r="AA475" s="3664"/>
      <c r="AB475" s="3664"/>
      <c r="AC475" s="3664"/>
      <c r="AD475" s="3664"/>
      <c r="AE475" s="3664"/>
      <c r="AF475" s="3664"/>
      <c r="AG475" s="3664"/>
    </row>
    <row r="476" spans="1:33" s="3452" customFormat="1" hidden="1" x14ac:dyDescent="0.3">
      <c r="A476" s="3844" t="s">
        <v>1121</v>
      </c>
      <c r="B476" s="3878" t="s">
        <v>1795</v>
      </c>
      <c r="C476" s="3882"/>
      <c r="D476" s="3848"/>
      <c r="E476" s="3848"/>
      <c r="F476" s="3848"/>
      <c r="G476" s="3847">
        <f t="shared" ref="G476:R476" si="115">IF(G475=0,0,((G460*G461)+(G473*G474)-(G466*G461))/(G460+G473-G466))</f>
        <v>0</v>
      </c>
      <c r="H476" s="3847">
        <f t="shared" si="115"/>
        <v>0</v>
      </c>
      <c r="I476" s="3847">
        <f t="shared" si="115"/>
        <v>0</v>
      </c>
      <c r="J476" s="3847">
        <f t="shared" si="115"/>
        <v>0</v>
      </c>
      <c r="K476" s="3847">
        <f t="shared" si="115"/>
        <v>0</v>
      </c>
      <c r="L476" s="3847">
        <f t="shared" si="115"/>
        <v>0</v>
      </c>
      <c r="M476" s="3847">
        <f t="shared" si="115"/>
        <v>0</v>
      </c>
      <c r="N476" s="3847">
        <f t="shared" si="115"/>
        <v>0</v>
      </c>
      <c r="O476" s="3847">
        <f t="shared" si="115"/>
        <v>0</v>
      </c>
      <c r="P476" s="3847">
        <f t="shared" si="115"/>
        <v>0</v>
      </c>
      <c r="Q476" s="3847">
        <f t="shared" si="115"/>
        <v>0</v>
      </c>
      <c r="R476" s="3883">
        <f t="shared" si="115"/>
        <v>0</v>
      </c>
      <c r="S476" s="3879"/>
      <c r="U476" s="3453"/>
      <c r="V476" s="3453"/>
      <c r="W476" s="3453"/>
      <c r="X476" s="3453"/>
      <c r="Y476" s="3453"/>
      <c r="Z476" s="3453"/>
      <c r="AA476" s="3453"/>
      <c r="AB476" s="3453"/>
      <c r="AC476" s="3453"/>
      <c r="AD476" s="3453"/>
      <c r="AE476" s="3453"/>
      <c r="AF476" s="3453"/>
      <c r="AG476" s="3453"/>
    </row>
    <row r="477" spans="1:33" s="3452" customFormat="1" ht="7.85" customHeight="1" thickBot="1" x14ac:dyDescent="0.35">
      <c r="B477" s="3884"/>
      <c r="C477" s="3628"/>
      <c r="D477" s="3628"/>
      <c r="E477" s="3628"/>
      <c r="F477" s="3628"/>
      <c r="G477" s="3575"/>
      <c r="H477" s="3575"/>
      <c r="I477" s="3575"/>
      <c r="J477" s="3575"/>
      <c r="K477" s="3575"/>
      <c r="L477" s="3575"/>
      <c r="M477" s="3575"/>
      <c r="N477" s="3575"/>
      <c r="O477" s="3575"/>
      <c r="P477" s="3575"/>
      <c r="Q477" s="3575"/>
      <c r="R477" s="3575"/>
      <c r="S477" s="3522"/>
      <c r="U477" s="3453"/>
      <c r="V477" s="3453"/>
      <c r="W477" s="3453"/>
      <c r="X477" s="3453"/>
      <c r="Y477" s="3453"/>
      <c r="Z477" s="3453"/>
      <c r="AA477" s="3453"/>
      <c r="AB477" s="3453"/>
      <c r="AC477" s="3453"/>
      <c r="AD477" s="3453"/>
      <c r="AE477" s="3453"/>
      <c r="AF477" s="3453"/>
      <c r="AG477" s="3453"/>
    </row>
    <row r="478" spans="1:33" s="3452" customFormat="1" ht="15.05" thickBot="1" x14ac:dyDescent="0.35">
      <c r="B478" s="3885" t="s">
        <v>571</v>
      </c>
      <c r="C478" s="3886"/>
      <c r="D478" s="3887" t="s">
        <v>30</v>
      </c>
      <c r="E478" s="3888"/>
      <c r="F478" s="3888"/>
      <c r="G478" s="3889">
        <f>+G467*G461+G469*G474</f>
        <v>0</v>
      </c>
      <c r="H478" s="3890">
        <f t="shared" ref="H478:R478" si="116">+H467*H461+H469*H474</f>
        <v>0</v>
      </c>
      <c r="I478" s="3890">
        <f t="shared" si="116"/>
        <v>0</v>
      </c>
      <c r="J478" s="3890">
        <f t="shared" si="116"/>
        <v>0</v>
      </c>
      <c r="K478" s="3890">
        <f t="shared" si="116"/>
        <v>0</v>
      </c>
      <c r="L478" s="3890">
        <f t="shared" si="116"/>
        <v>0</v>
      </c>
      <c r="M478" s="3890">
        <f t="shared" si="116"/>
        <v>0</v>
      </c>
      <c r="N478" s="3890">
        <f t="shared" si="116"/>
        <v>0</v>
      </c>
      <c r="O478" s="3890">
        <f t="shared" si="116"/>
        <v>0</v>
      </c>
      <c r="P478" s="3890">
        <f t="shared" si="116"/>
        <v>0</v>
      </c>
      <c r="Q478" s="3890">
        <f t="shared" si="116"/>
        <v>0</v>
      </c>
      <c r="R478" s="3891">
        <f t="shared" si="116"/>
        <v>0</v>
      </c>
      <c r="S478" s="3892">
        <f>+SUM(G478:R478)</f>
        <v>0</v>
      </c>
      <c r="U478" s="3453"/>
      <c r="V478" s="3453"/>
      <c r="W478" s="3453"/>
      <c r="X478" s="3453"/>
      <c r="Y478" s="3453"/>
      <c r="Z478" s="3453"/>
      <c r="AA478" s="3453"/>
      <c r="AB478" s="3453"/>
      <c r="AC478" s="3453"/>
      <c r="AD478" s="3453"/>
      <c r="AE478" s="3453"/>
      <c r="AF478" s="3453"/>
      <c r="AG478" s="3453"/>
    </row>
    <row r="479" spans="1:33" s="3452" customFormat="1" ht="15.05" thickBot="1" x14ac:dyDescent="0.35">
      <c r="B479" s="3893" t="s">
        <v>572</v>
      </c>
      <c r="C479" s="3894"/>
      <c r="D479" s="3895" t="s">
        <v>30</v>
      </c>
      <c r="E479" s="3896"/>
      <c r="F479" s="3896"/>
      <c r="G479" s="3897">
        <f t="shared" ref="G479:R479" si="117">+G473*G474</f>
        <v>0</v>
      </c>
      <c r="H479" s="3898">
        <f t="shared" si="117"/>
        <v>0</v>
      </c>
      <c r="I479" s="3898">
        <f t="shared" si="117"/>
        <v>0</v>
      </c>
      <c r="J479" s="3898">
        <f t="shared" si="117"/>
        <v>0</v>
      </c>
      <c r="K479" s="3898">
        <f t="shared" si="117"/>
        <v>0</v>
      </c>
      <c r="L479" s="3898">
        <f t="shared" si="117"/>
        <v>0</v>
      </c>
      <c r="M479" s="3898">
        <f t="shared" si="117"/>
        <v>0</v>
      </c>
      <c r="N479" s="3898">
        <f t="shared" si="117"/>
        <v>0</v>
      </c>
      <c r="O479" s="3898">
        <f t="shared" si="117"/>
        <v>0</v>
      </c>
      <c r="P479" s="3898">
        <f t="shared" si="117"/>
        <v>0</v>
      </c>
      <c r="Q479" s="3898">
        <f t="shared" si="117"/>
        <v>0</v>
      </c>
      <c r="R479" s="3899">
        <f t="shared" si="117"/>
        <v>0</v>
      </c>
      <c r="S479" s="3900">
        <f>+SUM(G479:R479)</f>
        <v>0</v>
      </c>
      <c r="U479" s="3453"/>
      <c r="V479" s="3453"/>
      <c r="W479" s="3453"/>
      <c r="X479" s="3453"/>
      <c r="Y479" s="3453"/>
      <c r="Z479" s="3453"/>
      <c r="AA479" s="3453"/>
      <c r="AB479" s="3453"/>
      <c r="AC479" s="3453"/>
      <c r="AD479" s="3453"/>
      <c r="AE479" s="3453"/>
      <c r="AF479" s="3453"/>
      <c r="AG479" s="3453"/>
    </row>
    <row r="480" spans="1:33" s="3440" customFormat="1" x14ac:dyDescent="0.3">
      <c r="B480" s="3628"/>
      <c r="C480" s="3628"/>
      <c r="D480" s="3628"/>
      <c r="E480" s="3628"/>
      <c r="F480" s="3628"/>
      <c r="G480" s="3575"/>
      <c r="H480" s="3575"/>
      <c r="I480" s="3575"/>
      <c r="J480" s="3575"/>
      <c r="K480" s="3575"/>
      <c r="L480" s="3575"/>
      <c r="M480" s="3575"/>
      <c r="N480" s="3575"/>
      <c r="O480" s="3575"/>
      <c r="P480" s="3575"/>
      <c r="Q480" s="3575"/>
      <c r="R480" s="3575"/>
      <c r="S480" s="3453"/>
      <c r="U480" s="3453"/>
      <c r="V480" s="3664"/>
      <c r="W480" s="3664"/>
      <c r="X480" s="3664"/>
      <c r="Y480" s="3664"/>
      <c r="Z480" s="3664"/>
      <c r="AA480" s="3664"/>
      <c r="AB480" s="3664"/>
      <c r="AC480" s="3664"/>
      <c r="AD480" s="3664"/>
      <c r="AE480" s="3664"/>
      <c r="AF480" s="3664"/>
      <c r="AG480" s="3664"/>
    </row>
    <row r="481" spans="1:33" s="3440" customFormat="1" ht="15.05" thickBot="1" x14ac:dyDescent="0.35">
      <c r="B481" s="3628"/>
      <c r="C481" s="3628"/>
      <c r="D481" s="3628"/>
      <c r="E481" s="3628"/>
      <c r="F481" s="3628"/>
      <c r="G481" s="3575"/>
      <c r="H481" s="3575"/>
      <c r="I481" s="3575"/>
      <c r="J481" s="3575"/>
      <c r="K481" s="3575"/>
      <c r="L481" s="3575"/>
      <c r="M481" s="3575"/>
      <c r="N481" s="3575"/>
      <c r="O481" s="3575"/>
      <c r="P481" s="3575"/>
      <c r="Q481" s="3575"/>
      <c r="R481" s="3575"/>
      <c r="S481" s="3453"/>
      <c r="U481" s="3453"/>
      <c r="V481" s="3664"/>
      <c r="W481" s="3664"/>
      <c r="X481" s="3664"/>
      <c r="Y481" s="3664"/>
      <c r="Z481" s="3664"/>
      <c r="AA481" s="3664"/>
      <c r="AB481" s="3664"/>
      <c r="AC481" s="3664"/>
      <c r="AD481" s="3664"/>
      <c r="AE481" s="3664"/>
      <c r="AF481" s="3664"/>
      <c r="AG481" s="3664"/>
    </row>
    <row r="482" spans="1:33" s="3452" customFormat="1" ht="15.05" thickBot="1" x14ac:dyDescent="0.35">
      <c r="A482" s="2487">
        <f>+A454+1</f>
        <v>105</v>
      </c>
      <c r="B482" s="3837" t="s">
        <v>2151</v>
      </c>
      <c r="C482" s="3838"/>
      <c r="D482" s="3901">
        <f>+ C155</f>
        <v>0.46</v>
      </c>
      <c r="E482" s="3840" t="s">
        <v>1790</v>
      </c>
      <c r="F482" s="3841"/>
      <c r="G482" s="3840"/>
      <c r="H482" s="3841"/>
      <c r="I482" s="3841"/>
      <c r="J482" s="3841"/>
      <c r="K482" s="3841"/>
      <c r="L482" s="3841"/>
      <c r="M482" s="3841"/>
      <c r="N482" s="3841"/>
      <c r="O482" s="3841"/>
      <c r="P482" s="3841"/>
      <c r="Q482" s="3841"/>
      <c r="R482" s="3841"/>
      <c r="S482" s="3842"/>
      <c r="U482" s="3453"/>
      <c r="V482" s="3453"/>
      <c r="W482" s="3453"/>
      <c r="X482" s="3453"/>
      <c r="Y482" s="3453"/>
      <c r="Z482" s="3453"/>
      <c r="AA482" s="3453"/>
      <c r="AB482" s="3453"/>
      <c r="AC482" s="3453"/>
      <c r="AD482" s="3453"/>
      <c r="AE482" s="3453"/>
      <c r="AF482" s="3453"/>
      <c r="AG482" s="3453"/>
    </row>
    <row r="483" spans="1:33" s="3452" customFormat="1" x14ac:dyDescent="0.3">
      <c r="A483" s="3902"/>
      <c r="B483" s="3612" t="s">
        <v>683</v>
      </c>
      <c r="C483" s="3613"/>
      <c r="D483" s="3613"/>
      <c r="E483" s="3613"/>
      <c r="F483" s="3613"/>
      <c r="G483" s="3614" t="str">
        <f t="shared" ref="G483:R483" si="118">+G5</f>
        <v>Ene</v>
      </c>
      <c r="H483" s="3614" t="str">
        <f t="shared" si="118"/>
        <v>Feb</v>
      </c>
      <c r="I483" s="3614" t="str">
        <f t="shared" si="118"/>
        <v>Mar</v>
      </c>
      <c r="J483" s="3614" t="str">
        <f t="shared" si="118"/>
        <v>Abr</v>
      </c>
      <c r="K483" s="3614" t="str">
        <f t="shared" si="118"/>
        <v>May</v>
      </c>
      <c r="L483" s="3614" t="str">
        <f t="shared" si="118"/>
        <v>Jun</v>
      </c>
      <c r="M483" s="3614" t="str">
        <f t="shared" si="118"/>
        <v>Jul</v>
      </c>
      <c r="N483" s="3614" t="str">
        <f t="shared" si="118"/>
        <v>Ago</v>
      </c>
      <c r="O483" s="3614" t="str">
        <f t="shared" si="118"/>
        <v>Set</v>
      </c>
      <c r="P483" s="3614" t="str">
        <f t="shared" si="118"/>
        <v>Oct</v>
      </c>
      <c r="Q483" s="3614" t="str">
        <f t="shared" si="118"/>
        <v>Nov</v>
      </c>
      <c r="R483" s="3614" t="str">
        <f t="shared" si="118"/>
        <v>Dic</v>
      </c>
      <c r="S483" s="3615" t="s">
        <v>1391</v>
      </c>
      <c r="U483" s="3453"/>
      <c r="V483" s="3453"/>
      <c r="W483" s="3453"/>
      <c r="X483" s="3453"/>
      <c r="Y483" s="3453"/>
      <c r="Z483" s="3453"/>
      <c r="AA483" s="3453"/>
      <c r="AB483" s="3453"/>
      <c r="AC483" s="3453"/>
      <c r="AD483" s="3453"/>
      <c r="AE483" s="3453"/>
      <c r="AF483" s="3453"/>
      <c r="AG483" s="3453"/>
    </row>
    <row r="484" spans="1:33" s="3452" customFormat="1" x14ac:dyDescent="0.3">
      <c r="A484" s="3437"/>
      <c r="B484" s="3770" t="s">
        <v>1801</v>
      </c>
      <c r="C484" s="3771"/>
      <c r="D484" s="3903" t="s">
        <v>842</v>
      </c>
      <c r="E484" s="3772">
        <f>+General!C61</f>
        <v>0</v>
      </c>
      <c r="F484" s="3772"/>
      <c r="G484" s="3843"/>
      <c r="H484" s="3772"/>
      <c r="I484" s="3772"/>
      <c r="J484" s="3772"/>
      <c r="K484" s="3772"/>
      <c r="L484" s="3772"/>
      <c r="M484" s="3772"/>
      <c r="N484" s="3772"/>
      <c r="O484" s="3772"/>
      <c r="P484" s="3772"/>
      <c r="Q484" s="3772"/>
      <c r="R484" s="3774"/>
      <c r="S484" s="3775"/>
      <c r="U484" s="3453"/>
      <c r="V484" s="3453"/>
      <c r="W484" s="3453"/>
      <c r="X484" s="3453"/>
      <c r="Y484" s="3453"/>
      <c r="Z484" s="3453"/>
      <c r="AA484" s="3453"/>
      <c r="AB484" s="3453"/>
      <c r="AC484" s="3453"/>
      <c r="AD484" s="3453"/>
      <c r="AE484" s="3453"/>
      <c r="AF484" s="3453"/>
      <c r="AG484" s="3453"/>
    </row>
    <row r="485" spans="1:33" s="3452" customFormat="1" ht="15.05" hidden="1" thickBot="1" x14ac:dyDescent="0.35">
      <c r="A485" s="3849" t="s">
        <v>1121</v>
      </c>
      <c r="B485" s="3904" t="s">
        <v>1794</v>
      </c>
      <c r="C485" s="3905"/>
      <c r="D485" s="3858"/>
      <c r="E485" s="3906">
        <f>+General!D62</f>
        <v>0</v>
      </c>
      <c r="F485" s="3859"/>
      <c r="G485" s="3859"/>
      <c r="H485" s="3859"/>
      <c r="I485" s="3859"/>
      <c r="J485" s="3905"/>
      <c r="K485" s="3905"/>
      <c r="L485" s="3905"/>
      <c r="M485" s="3905"/>
      <c r="N485" s="3905"/>
      <c r="O485" s="3905"/>
      <c r="P485" s="3905"/>
      <c r="Q485" s="3905"/>
      <c r="R485" s="3907"/>
      <c r="S485" s="3850"/>
      <c r="U485" s="3453"/>
      <c r="V485" s="3453"/>
      <c r="W485" s="3453"/>
      <c r="X485" s="3453"/>
      <c r="Y485" s="3453"/>
      <c r="Z485" s="3453"/>
      <c r="AA485" s="3453"/>
      <c r="AB485" s="3453"/>
      <c r="AC485" s="3453"/>
      <c r="AD485" s="3453"/>
      <c r="AE485" s="3453"/>
      <c r="AF485" s="3453"/>
      <c r="AG485" s="3453"/>
    </row>
    <row r="486" spans="1:33" s="3452" customFormat="1" hidden="1" x14ac:dyDescent="0.3">
      <c r="A486" s="3849" t="s">
        <v>1121</v>
      </c>
      <c r="B486" s="3857" t="s">
        <v>1803</v>
      </c>
      <c r="C486" s="3908"/>
      <c r="D486" s="3858" t="s">
        <v>842</v>
      </c>
      <c r="E486" s="3859"/>
      <c r="F486" s="3859"/>
      <c r="G486" s="3859">
        <f>+E484</f>
        <v>0</v>
      </c>
      <c r="H486" s="3859">
        <f>+G498</f>
        <v>0</v>
      </c>
      <c r="I486" s="3859">
        <f t="shared" ref="I486:R486" si="119">+H498</f>
        <v>0</v>
      </c>
      <c r="J486" s="3859">
        <f t="shared" si="119"/>
        <v>0</v>
      </c>
      <c r="K486" s="3859">
        <f t="shared" si="119"/>
        <v>0</v>
      </c>
      <c r="L486" s="3859">
        <f t="shared" si="119"/>
        <v>0</v>
      </c>
      <c r="M486" s="3859">
        <f t="shared" si="119"/>
        <v>0</v>
      </c>
      <c r="N486" s="3859">
        <f t="shared" si="119"/>
        <v>0</v>
      </c>
      <c r="O486" s="3859">
        <f t="shared" si="119"/>
        <v>0</v>
      </c>
      <c r="P486" s="3859">
        <f t="shared" si="119"/>
        <v>0</v>
      </c>
      <c r="Q486" s="3859">
        <f t="shared" si="119"/>
        <v>0</v>
      </c>
      <c r="R486" s="3860">
        <f t="shared" si="119"/>
        <v>0</v>
      </c>
      <c r="S486" s="3850"/>
      <c r="U486" s="3453"/>
      <c r="V486" s="3453"/>
      <c r="W486" s="3453"/>
      <c r="X486" s="3453"/>
      <c r="Y486" s="3453"/>
      <c r="Z486" s="3453"/>
      <c r="AA486" s="3453"/>
      <c r="AB486" s="3453"/>
      <c r="AC486" s="3453"/>
      <c r="AD486" s="3453"/>
      <c r="AE486" s="3453"/>
      <c r="AF486" s="3453"/>
      <c r="AG486" s="3453"/>
    </row>
    <row r="487" spans="1:33" s="3452" customFormat="1" hidden="1" x14ac:dyDescent="0.3">
      <c r="A487" s="3849" t="s">
        <v>1121</v>
      </c>
      <c r="B487" s="3845" t="s">
        <v>1794</v>
      </c>
      <c r="C487" s="3882"/>
      <c r="D487" s="3846"/>
      <c r="E487" s="3848"/>
      <c r="F487" s="3848"/>
      <c r="G487" s="3847">
        <f>+E485</f>
        <v>0</v>
      </c>
      <c r="H487" s="3847">
        <f>+G499</f>
        <v>0</v>
      </c>
      <c r="I487" s="3847">
        <f t="shared" ref="I487:R487" si="120">+H499</f>
        <v>0</v>
      </c>
      <c r="J487" s="3847">
        <f t="shared" si="120"/>
        <v>0</v>
      </c>
      <c r="K487" s="3847">
        <f t="shared" si="120"/>
        <v>0</v>
      </c>
      <c r="L487" s="3847">
        <f t="shared" si="120"/>
        <v>0</v>
      </c>
      <c r="M487" s="3847">
        <f>+L499</f>
        <v>0</v>
      </c>
      <c r="N487" s="3847">
        <f t="shared" si="120"/>
        <v>0</v>
      </c>
      <c r="O487" s="3847">
        <f t="shared" si="120"/>
        <v>0</v>
      </c>
      <c r="P487" s="3847">
        <f t="shared" si="120"/>
        <v>0</v>
      </c>
      <c r="Q487" s="3847">
        <f t="shared" si="120"/>
        <v>0</v>
      </c>
      <c r="R487" s="3883">
        <f t="shared" si="120"/>
        <v>0</v>
      </c>
      <c r="S487" s="3850"/>
      <c r="U487" s="3453"/>
      <c r="V487" s="3453"/>
      <c r="W487" s="3453"/>
      <c r="X487" s="3453"/>
      <c r="Y487" s="3453"/>
      <c r="Z487" s="3453"/>
      <c r="AA487" s="3453"/>
      <c r="AB487" s="3453"/>
      <c r="AC487" s="3453"/>
      <c r="AD487" s="3453"/>
      <c r="AE487" s="3453"/>
      <c r="AF487" s="3453"/>
      <c r="AG487" s="3453"/>
    </row>
    <row r="488" spans="1:33" s="3452" customFormat="1" x14ac:dyDescent="0.3">
      <c r="A488" s="3437"/>
      <c r="B488" s="2524" t="s">
        <v>2152</v>
      </c>
      <c r="C488" s="2481"/>
      <c r="D488" s="2481"/>
      <c r="E488" s="2481"/>
      <c r="F488" s="2481"/>
      <c r="G488" s="3704"/>
      <c r="H488" s="3704"/>
      <c r="I488" s="3704"/>
      <c r="J488" s="3704"/>
      <c r="K488" s="3704"/>
      <c r="L488" s="3704"/>
      <c r="M488" s="3704"/>
      <c r="N488" s="3704"/>
      <c r="O488" s="3704"/>
      <c r="P488" s="3704"/>
      <c r="Q488" s="3704"/>
      <c r="R488" s="3704"/>
      <c r="S488" s="3705"/>
    </row>
    <row r="489" spans="1:33" s="3452" customFormat="1" x14ac:dyDescent="0.3">
      <c r="A489" s="3437"/>
      <c r="B489" s="3723" t="s">
        <v>1141</v>
      </c>
      <c r="C489" s="3724"/>
      <c r="D489" s="3616" t="s">
        <v>842</v>
      </c>
      <c r="E489" s="3453"/>
      <c r="F489" s="3453"/>
      <c r="G489" s="3706">
        <f t="shared" ref="G489:R489" si="121">+G137*G139*G187</f>
        <v>0</v>
      </c>
      <c r="H489" s="3707">
        <f t="shared" si="121"/>
        <v>0</v>
      </c>
      <c r="I489" s="3707">
        <f t="shared" si="121"/>
        <v>0</v>
      </c>
      <c r="J489" s="3707">
        <f t="shared" si="121"/>
        <v>0</v>
      </c>
      <c r="K489" s="3707">
        <f t="shared" si="121"/>
        <v>0</v>
      </c>
      <c r="L489" s="3707">
        <f t="shared" si="121"/>
        <v>0</v>
      </c>
      <c r="M489" s="3707">
        <f t="shared" si="121"/>
        <v>0</v>
      </c>
      <c r="N489" s="3707">
        <f t="shared" si="121"/>
        <v>0</v>
      </c>
      <c r="O489" s="3707">
        <f t="shared" si="121"/>
        <v>0</v>
      </c>
      <c r="P489" s="3707">
        <f t="shared" si="121"/>
        <v>0</v>
      </c>
      <c r="Q489" s="3707">
        <f t="shared" si="121"/>
        <v>0</v>
      </c>
      <c r="R489" s="3708">
        <f t="shared" si="121"/>
        <v>0</v>
      </c>
      <c r="S489" s="3851"/>
      <c r="U489" s="3453"/>
      <c r="V489" s="3453"/>
      <c r="W489" s="3453"/>
      <c r="X489" s="3453"/>
      <c r="Y489" s="3453"/>
      <c r="Z489" s="3453"/>
      <c r="AA489" s="3453"/>
      <c r="AB489" s="3453"/>
      <c r="AC489" s="3453"/>
      <c r="AD489" s="3453"/>
      <c r="AE489" s="3453"/>
      <c r="AF489" s="3453"/>
      <c r="AG489" s="3453"/>
    </row>
    <row r="490" spans="1:33" s="3452" customFormat="1" hidden="1" x14ac:dyDescent="0.3">
      <c r="A490" s="3849" t="s">
        <v>1121</v>
      </c>
      <c r="B490" s="3878" t="s">
        <v>1798</v>
      </c>
      <c r="C490" s="3882"/>
      <c r="D490" s="3846" t="s">
        <v>842</v>
      </c>
      <c r="E490" s="3848"/>
      <c r="F490" s="3848"/>
      <c r="G490" s="3848">
        <f>+IF(G489&lt;G486,G489,G486)</f>
        <v>0</v>
      </c>
      <c r="H490" s="3848">
        <f t="shared" ref="H490:R490" si="122">+IF(H489&lt;H486,H489,H486)</f>
        <v>0</v>
      </c>
      <c r="I490" s="3848">
        <f t="shared" si="122"/>
        <v>0</v>
      </c>
      <c r="J490" s="3848">
        <f t="shared" si="122"/>
        <v>0</v>
      </c>
      <c r="K490" s="3848">
        <f t="shared" si="122"/>
        <v>0</v>
      </c>
      <c r="L490" s="3848">
        <f t="shared" si="122"/>
        <v>0</v>
      </c>
      <c r="M490" s="3848">
        <f t="shared" si="122"/>
        <v>0</v>
      </c>
      <c r="N490" s="3848">
        <f t="shared" si="122"/>
        <v>0</v>
      </c>
      <c r="O490" s="3848">
        <f t="shared" si="122"/>
        <v>0</v>
      </c>
      <c r="P490" s="3848">
        <f t="shared" si="122"/>
        <v>0</v>
      </c>
      <c r="Q490" s="3848">
        <f t="shared" si="122"/>
        <v>0</v>
      </c>
      <c r="R490" s="3879">
        <f t="shared" si="122"/>
        <v>0</v>
      </c>
      <c r="S490" s="3850"/>
      <c r="U490" s="3453"/>
      <c r="V490" s="3453"/>
      <c r="W490" s="3453"/>
      <c r="X490" s="3453"/>
      <c r="Y490" s="3453"/>
      <c r="Z490" s="3453"/>
      <c r="AA490" s="3453"/>
      <c r="AB490" s="3453"/>
      <c r="AC490" s="3453"/>
      <c r="AD490" s="3453"/>
      <c r="AE490" s="3453"/>
      <c r="AF490" s="3453"/>
      <c r="AG490" s="3453"/>
    </row>
    <row r="491" spans="1:33" s="3452" customFormat="1" hidden="1" x14ac:dyDescent="0.3">
      <c r="A491" s="3849" t="s">
        <v>1121</v>
      </c>
      <c r="B491" s="3878" t="s">
        <v>1799</v>
      </c>
      <c r="C491" s="3882"/>
      <c r="D491" s="3846" t="s">
        <v>1800</v>
      </c>
      <c r="E491" s="3848"/>
      <c r="F491" s="3848"/>
      <c r="G491" s="3848">
        <f>+G490*G487</f>
        <v>0</v>
      </c>
      <c r="H491" s="3848">
        <f t="shared" ref="H491:R491" si="123">+H490*H487</f>
        <v>0</v>
      </c>
      <c r="I491" s="3848">
        <f t="shared" si="123"/>
        <v>0</v>
      </c>
      <c r="J491" s="3848">
        <f t="shared" si="123"/>
        <v>0</v>
      </c>
      <c r="K491" s="3848">
        <f t="shared" si="123"/>
        <v>0</v>
      </c>
      <c r="L491" s="3848">
        <f t="shared" si="123"/>
        <v>0</v>
      </c>
      <c r="M491" s="3848">
        <f t="shared" si="123"/>
        <v>0</v>
      </c>
      <c r="N491" s="3848">
        <f t="shared" si="123"/>
        <v>0</v>
      </c>
      <c r="O491" s="3848">
        <f t="shared" si="123"/>
        <v>0</v>
      </c>
      <c r="P491" s="3848">
        <f t="shared" si="123"/>
        <v>0</v>
      </c>
      <c r="Q491" s="3848">
        <f t="shared" si="123"/>
        <v>0</v>
      </c>
      <c r="R491" s="3879">
        <f t="shared" si="123"/>
        <v>0</v>
      </c>
      <c r="S491" s="3850"/>
      <c r="U491" s="3453"/>
      <c r="V491" s="3453"/>
      <c r="W491" s="3453"/>
      <c r="X491" s="3453"/>
      <c r="Y491" s="3453"/>
      <c r="Z491" s="3453"/>
      <c r="AA491" s="3453"/>
      <c r="AB491" s="3453"/>
      <c r="AC491" s="3453"/>
      <c r="AD491" s="3453"/>
      <c r="AE491" s="3453"/>
      <c r="AF491" s="3453"/>
      <c r="AG491" s="3453"/>
    </row>
    <row r="492" spans="1:33" s="3452" customFormat="1" hidden="1" x14ac:dyDescent="0.3">
      <c r="A492" s="3849" t="s">
        <v>1121</v>
      </c>
      <c r="B492" s="3878" t="s">
        <v>1781</v>
      </c>
      <c r="C492" s="3882"/>
      <c r="D492" s="3846"/>
      <c r="E492" s="3848"/>
      <c r="F492" s="3848"/>
      <c r="G492" s="3848">
        <f>+G489-G490</f>
        <v>0</v>
      </c>
      <c r="H492" s="3848">
        <f>+H489-H490</f>
        <v>0</v>
      </c>
      <c r="I492" s="3848">
        <f t="shared" ref="I492:O492" si="124">+I489-I490</f>
        <v>0</v>
      </c>
      <c r="J492" s="3848">
        <f t="shared" si="124"/>
        <v>0</v>
      </c>
      <c r="K492" s="3848">
        <f t="shared" si="124"/>
        <v>0</v>
      </c>
      <c r="L492" s="3848">
        <f t="shared" si="124"/>
        <v>0</v>
      </c>
      <c r="M492" s="3848">
        <f t="shared" si="124"/>
        <v>0</v>
      </c>
      <c r="N492" s="3848">
        <f t="shared" si="124"/>
        <v>0</v>
      </c>
      <c r="O492" s="3848">
        <f t="shared" si="124"/>
        <v>0</v>
      </c>
      <c r="P492" s="3848">
        <f>+P489-P490</f>
        <v>0</v>
      </c>
      <c r="Q492" s="3848">
        <f>+Q489-Q490</f>
        <v>0</v>
      </c>
      <c r="R492" s="3879">
        <f>+R489-R490</f>
        <v>0</v>
      </c>
      <c r="S492" s="3850"/>
      <c r="U492" s="3453"/>
      <c r="V492" s="3453"/>
      <c r="W492" s="3453"/>
      <c r="X492" s="3453"/>
      <c r="Y492" s="3453"/>
      <c r="Z492" s="3453"/>
      <c r="AA492" s="3453"/>
      <c r="AB492" s="3453"/>
      <c r="AC492" s="3453"/>
      <c r="AD492" s="3453"/>
      <c r="AE492" s="3453"/>
      <c r="AF492" s="3453"/>
      <c r="AG492" s="3453"/>
    </row>
    <row r="493" spans="1:33" s="3452" customFormat="1" x14ac:dyDescent="0.3">
      <c r="A493" s="3437"/>
      <c r="B493" s="2524" t="s">
        <v>2150</v>
      </c>
      <c r="C493" s="2481"/>
      <c r="D493" s="3881"/>
      <c r="E493" s="2481"/>
      <c r="F493" s="2481"/>
      <c r="G493" s="3704"/>
      <c r="H493" s="3704"/>
      <c r="I493" s="3704"/>
      <c r="J493" s="3704"/>
      <c r="K493" s="3704"/>
      <c r="L493" s="3704"/>
      <c r="M493" s="3704"/>
      <c r="N493" s="3704"/>
      <c r="O493" s="3704"/>
      <c r="P493" s="3704"/>
      <c r="Q493" s="3704"/>
      <c r="R493" s="3704"/>
      <c r="S493" s="3705"/>
    </row>
    <row r="494" spans="1:33" s="3452" customFormat="1" x14ac:dyDescent="0.3">
      <c r="A494" s="3437"/>
      <c r="B494" s="3723" t="s">
        <v>1787</v>
      </c>
      <c r="C494" s="3724"/>
      <c r="D494" s="3616" t="s">
        <v>842</v>
      </c>
      <c r="E494" s="3453"/>
      <c r="F494" s="3453"/>
      <c r="G494" s="3706">
        <f>+G492</f>
        <v>0</v>
      </c>
      <c r="H494" s="3707">
        <f t="shared" ref="H494:R494" si="125">+H492</f>
        <v>0</v>
      </c>
      <c r="I494" s="3707">
        <f t="shared" si="125"/>
        <v>0</v>
      </c>
      <c r="J494" s="3707">
        <f t="shared" si="125"/>
        <v>0</v>
      </c>
      <c r="K494" s="3707">
        <f t="shared" si="125"/>
        <v>0</v>
      </c>
      <c r="L494" s="3707">
        <f t="shared" si="125"/>
        <v>0</v>
      </c>
      <c r="M494" s="3707">
        <f t="shared" si="125"/>
        <v>0</v>
      </c>
      <c r="N494" s="3707">
        <f t="shared" si="125"/>
        <v>0</v>
      </c>
      <c r="O494" s="3707">
        <f t="shared" si="125"/>
        <v>0</v>
      </c>
      <c r="P494" s="3707">
        <f t="shared" si="125"/>
        <v>0</v>
      </c>
      <c r="Q494" s="3707">
        <f t="shared" si="125"/>
        <v>0</v>
      </c>
      <c r="R494" s="3708">
        <f t="shared" si="125"/>
        <v>0</v>
      </c>
      <c r="S494" s="3851"/>
      <c r="U494" s="3453"/>
      <c r="V494" s="3453"/>
      <c r="W494" s="3453"/>
      <c r="X494" s="3453"/>
      <c r="Y494" s="3453"/>
      <c r="Z494" s="3453"/>
      <c r="AA494" s="3453"/>
      <c r="AB494" s="3453"/>
      <c r="AC494" s="3453"/>
      <c r="AD494" s="3453"/>
      <c r="AE494" s="3453"/>
      <c r="AF494" s="3453"/>
      <c r="AG494" s="3453"/>
    </row>
    <row r="495" spans="1:33" s="3452" customFormat="1" x14ac:dyDescent="0.3">
      <c r="A495" s="3437"/>
      <c r="B495" s="3723" t="s">
        <v>573</v>
      </c>
      <c r="C495" s="3724"/>
      <c r="D495" s="3616" t="s">
        <v>842</v>
      </c>
      <c r="E495" s="3453"/>
      <c r="F495" s="3453"/>
      <c r="G495" s="5262"/>
      <c r="H495" s="5263"/>
      <c r="I495" s="5263"/>
      <c r="J495" s="5263"/>
      <c r="K495" s="5263"/>
      <c r="L495" s="5263"/>
      <c r="M495" s="5263"/>
      <c r="N495" s="5263"/>
      <c r="O495" s="5271"/>
      <c r="P495" s="5271"/>
      <c r="Q495" s="5271"/>
      <c r="R495" s="5272"/>
      <c r="S495" s="3851"/>
      <c r="U495" s="3453"/>
      <c r="V495" s="3453"/>
      <c r="W495" s="3453"/>
      <c r="X495" s="3453"/>
      <c r="Y495" s="3453"/>
      <c r="Z495" s="3453"/>
      <c r="AA495" s="3453"/>
      <c r="AB495" s="3453"/>
      <c r="AC495" s="3453"/>
      <c r="AD495" s="3453"/>
      <c r="AE495" s="3453"/>
      <c r="AF495" s="3453"/>
      <c r="AG495" s="3453"/>
    </row>
    <row r="496" spans="1:33" s="3452" customFormat="1" x14ac:dyDescent="0.3">
      <c r="A496" s="3437"/>
      <c r="B496" s="3880" t="s">
        <v>574</v>
      </c>
      <c r="C496" s="3724"/>
      <c r="D496" s="3616" t="s">
        <v>1951</v>
      </c>
      <c r="E496" s="3453"/>
      <c r="F496" s="3453"/>
      <c r="G496" s="3706">
        <f t="shared" ref="G496:R496" si="126">+IF(G495&lt;=0,G494,G495)</f>
        <v>0</v>
      </c>
      <c r="H496" s="3707">
        <f t="shared" si="126"/>
        <v>0</v>
      </c>
      <c r="I496" s="3707">
        <f t="shared" si="126"/>
        <v>0</v>
      </c>
      <c r="J496" s="3707">
        <f t="shared" si="126"/>
        <v>0</v>
      </c>
      <c r="K496" s="3707">
        <f t="shared" si="126"/>
        <v>0</v>
      </c>
      <c r="L496" s="3707">
        <f t="shared" si="126"/>
        <v>0</v>
      </c>
      <c r="M496" s="3707">
        <f t="shared" si="126"/>
        <v>0</v>
      </c>
      <c r="N496" s="3707">
        <f t="shared" si="126"/>
        <v>0</v>
      </c>
      <c r="O496" s="3707">
        <f t="shared" si="126"/>
        <v>0</v>
      </c>
      <c r="P496" s="3707">
        <f t="shared" si="126"/>
        <v>0</v>
      </c>
      <c r="Q496" s="3707">
        <f t="shared" si="126"/>
        <v>0</v>
      </c>
      <c r="R496" s="3708">
        <f t="shared" si="126"/>
        <v>0</v>
      </c>
      <c r="S496" s="3522">
        <f>+SUM(G496:R496)</f>
        <v>0</v>
      </c>
      <c r="U496" s="3453"/>
      <c r="V496" s="3453"/>
      <c r="W496" s="3453"/>
      <c r="X496" s="3453"/>
      <c r="Y496" s="3453"/>
      <c r="Z496" s="3453"/>
      <c r="AA496" s="3453"/>
      <c r="AB496" s="3453"/>
      <c r="AC496" s="3453"/>
      <c r="AD496" s="3453"/>
      <c r="AE496" s="3453"/>
      <c r="AF496" s="3453"/>
      <c r="AG496" s="3453"/>
    </row>
    <row r="497" spans="1:33" s="3452" customFormat="1" x14ac:dyDescent="0.3">
      <c r="A497" s="3437"/>
      <c r="B497" s="3723" t="s">
        <v>1782</v>
      </c>
      <c r="C497" s="3724"/>
      <c r="D497" s="3616" t="s">
        <v>2149</v>
      </c>
      <c r="E497" s="3453"/>
      <c r="F497" s="3453"/>
      <c r="G497" s="5273"/>
      <c r="H497" s="5271"/>
      <c r="I497" s="5271"/>
      <c r="J497" s="5271"/>
      <c r="K497" s="5271"/>
      <c r="L497" s="5271"/>
      <c r="M497" s="5271"/>
      <c r="N497" s="5271"/>
      <c r="O497" s="5271"/>
      <c r="P497" s="5271"/>
      <c r="Q497" s="5271"/>
      <c r="R497" s="5272"/>
      <c r="S497" s="3851"/>
      <c r="U497" s="3453"/>
      <c r="V497" s="3453"/>
      <c r="W497" s="3453"/>
      <c r="X497" s="3453"/>
      <c r="Y497" s="3453"/>
      <c r="Z497" s="3453"/>
      <c r="AA497" s="3453"/>
      <c r="AB497" s="3453"/>
      <c r="AC497" s="3453"/>
      <c r="AD497" s="3453"/>
      <c r="AE497" s="3453"/>
      <c r="AF497" s="3453"/>
      <c r="AG497" s="3453"/>
    </row>
    <row r="498" spans="1:33" s="3440" customFormat="1" x14ac:dyDescent="0.3">
      <c r="A498" s="3436"/>
      <c r="B498" s="2524" t="s">
        <v>1786</v>
      </c>
      <c r="C498" s="2481"/>
      <c r="D498" s="3881" t="s">
        <v>1953</v>
      </c>
      <c r="E498" s="2481"/>
      <c r="F498" s="2481"/>
      <c r="G498" s="3704">
        <f>+G486-G489+G496</f>
        <v>0</v>
      </c>
      <c r="H498" s="3704">
        <f t="shared" ref="H498:R498" si="127">+H486-H489+H496</f>
        <v>0</v>
      </c>
      <c r="I498" s="3704">
        <f t="shared" si="127"/>
        <v>0</v>
      </c>
      <c r="J498" s="3704">
        <f t="shared" si="127"/>
        <v>0</v>
      </c>
      <c r="K498" s="3704">
        <f t="shared" si="127"/>
        <v>0</v>
      </c>
      <c r="L498" s="3704">
        <f t="shared" si="127"/>
        <v>0</v>
      </c>
      <c r="M498" s="3704">
        <f t="shared" si="127"/>
        <v>0</v>
      </c>
      <c r="N498" s="3704">
        <f t="shared" si="127"/>
        <v>0</v>
      </c>
      <c r="O498" s="3704">
        <f t="shared" si="127"/>
        <v>0</v>
      </c>
      <c r="P498" s="3704">
        <f t="shared" si="127"/>
        <v>0</v>
      </c>
      <c r="Q498" s="3704">
        <f t="shared" si="127"/>
        <v>0</v>
      </c>
      <c r="R498" s="3704">
        <f t="shared" si="127"/>
        <v>0</v>
      </c>
      <c r="S498" s="3705"/>
      <c r="U498" s="3453"/>
      <c r="V498" s="3664"/>
      <c r="W498" s="3664"/>
      <c r="X498" s="3664"/>
      <c r="Y498" s="3664"/>
      <c r="Z498" s="3664"/>
      <c r="AA498" s="3664"/>
      <c r="AB498" s="3664"/>
      <c r="AC498" s="3664"/>
      <c r="AD498" s="3664"/>
      <c r="AE498" s="3664"/>
      <c r="AF498" s="3664"/>
      <c r="AG498" s="3664"/>
    </row>
    <row r="499" spans="1:33" s="3452" customFormat="1" hidden="1" x14ac:dyDescent="0.3">
      <c r="A499" s="3849" t="s">
        <v>1121</v>
      </c>
      <c r="B499" s="3878" t="s">
        <v>1795</v>
      </c>
      <c r="C499" s="3882" t="s">
        <v>1952</v>
      </c>
      <c r="D499" s="3848"/>
      <c r="E499" s="3848"/>
      <c r="F499" s="3848"/>
      <c r="G499" s="3847">
        <f>IF(G498=0,0,((G486*G487)+(G496*G497)-(G489*G487))/(G486+G496-G489))</f>
        <v>0</v>
      </c>
      <c r="H499" s="3847">
        <f t="shared" ref="H499:R499" si="128">IF(H498=0,0,((H486*H487)+(H496*H497)-(H489*H487))/(H486+H496-H489))</f>
        <v>0</v>
      </c>
      <c r="I499" s="3847">
        <f t="shared" si="128"/>
        <v>0</v>
      </c>
      <c r="J499" s="3847">
        <f t="shared" si="128"/>
        <v>0</v>
      </c>
      <c r="K499" s="3847">
        <f t="shared" si="128"/>
        <v>0</v>
      </c>
      <c r="L499" s="3847">
        <f t="shared" si="128"/>
        <v>0</v>
      </c>
      <c r="M499" s="3847">
        <f t="shared" si="128"/>
        <v>0</v>
      </c>
      <c r="N499" s="3847">
        <f t="shared" si="128"/>
        <v>0</v>
      </c>
      <c r="O499" s="3847">
        <f t="shared" si="128"/>
        <v>0</v>
      </c>
      <c r="P499" s="3847">
        <f t="shared" si="128"/>
        <v>0</v>
      </c>
      <c r="Q499" s="3847">
        <f t="shared" si="128"/>
        <v>0</v>
      </c>
      <c r="R499" s="3847">
        <f t="shared" si="128"/>
        <v>0</v>
      </c>
      <c r="S499" s="3850"/>
      <c r="U499" s="3453"/>
      <c r="V499" s="3453"/>
      <c r="W499" s="3453"/>
      <c r="X499" s="3453"/>
      <c r="Y499" s="3453"/>
      <c r="Z499" s="3453"/>
      <c r="AA499" s="3453"/>
      <c r="AB499" s="3453"/>
      <c r="AC499" s="3453"/>
      <c r="AD499" s="3453"/>
      <c r="AE499" s="3453"/>
      <c r="AF499" s="3453"/>
      <c r="AG499" s="3453"/>
    </row>
    <row r="500" spans="1:33" s="3452" customFormat="1" ht="7.85" customHeight="1" thickBot="1" x14ac:dyDescent="0.35">
      <c r="B500" s="3884"/>
      <c r="C500" s="3628"/>
      <c r="D500" s="3628"/>
      <c r="E500" s="3628"/>
      <c r="F500" s="3628"/>
      <c r="G500" s="3575"/>
      <c r="H500" s="3575"/>
      <c r="I500" s="3575"/>
      <c r="J500" s="3575"/>
      <c r="K500" s="3575"/>
      <c r="L500" s="3575"/>
      <c r="M500" s="3575"/>
      <c r="N500" s="3575"/>
      <c r="O500" s="3575"/>
      <c r="P500" s="3575"/>
      <c r="Q500" s="3575"/>
      <c r="R500" s="3575"/>
      <c r="S500" s="3522"/>
      <c r="U500" s="3453"/>
      <c r="V500" s="3453"/>
      <c r="W500" s="3453"/>
      <c r="X500" s="3453"/>
      <c r="Y500" s="3453"/>
      <c r="Z500" s="3453"/>
      <c r="AA500" s="3453"/>
      <c r="AB500" s="3453"/>
      <c r="AC500" s="3453"/>
      <c r="AD500" s="3453"/>
      <c r="AE500" s="3453"/>
      <c r="AF500" s="3453"/>
      <c r="AG500" s="3453"/>
    </row>
    <row r="501" spans="1:33" s="3452" customFormat="1" ht="15.05" thickBot="1" x14ac:dyDescent="0.35">
      <c r="B501" s="3885" t="s">
        <v>571</v>
      </c>
      <c r="C501" s="3886"/>
      <c r="D501" s="3887" t="s">
        <v>30</v>
      </c>
      <c r="E501" s="3888"/>
      <c r="F501" s="3888"/>
      <c r="G501" s="3889">
        <f>+G490*G487+G492*G497</f>
        <v>0</v>
      </c>
      <c r="H501" s="3890">
        <f>+H490*H487+H492*H497</f>
        <v>0</v>
      </c>
      <c r="I501" s="3890">
        <f t="shared" ref="I501:R501" si="129">+I490*I487+I492*I497</f>
        <v>0</v>
      </c>
      <c r="J501" s="3890">
        <f t="shared" si="129"/>
        <v>0</v>
      </c>
      <c r="K501" s="3890">
        <f t="shared" si="129"/>
        <v>0</v>
      </c>
      <c r="L501" s="3890">
        <f t="shared" si="129"/>
        <v>0</v>
      </c>
      <c r="M501" s="3890">
        <f t="shared" si="129"/>
        <v>0</v>
      </c>
      <c r="N501" s="3890">
        <f t="shared" si="129"/>
        <v>0</v>
      </c>
      <c r="O501" s="3890">
        <f t="shared" si="129"/>
        <v>0</v>
      </c>
      <c r="P501" s="3890">
        <f t="shared" si="129"/>
        <v>0</v>
      </c>
      <c r="Q501" s="3890">
        <f t="shared" si="129"/>
        <v>0</v>
      </c>
      <c r="R501" s="3891">
        <f t="shared" si="129"/>
        <v>0</v>
      </c>
      <c r="S501" s="3892">
        <f>+SUM(G501:R501)</f>
        <v>0</v>
      </c>
      <c r="U501" s="3453"/>
      <c r="V501" s="3453"/>
      <c r="W501" s="3453"/>
      <c r="X501" s="3453"/>
      <c r="Y501" s="3453"/>
      <c r="Z501" s="3453"/>
      <c r="AA501" s="3453"/>
      <c r="AB501" s="3453"/>
      <c r="AC501" s="3453"/>
      <c r="AD501" s="3453"/>
      <c r="AE501" s="3453"/>
      <c r="AF501" s="3453"/>
      <c r="AG501" s="3453"/>
    </row>
    <row r="502" spans="1:33" s="3452" customFormat="1" ht="15.05" thickBot="1" x14ac:dyDescent="0.35">
      <c r="B502" s="3893" t="s">
        <v>572</v>
      </c>
      <c r="C502" s="3894"/>
      <c r="D502" s="3895" t="s">
        <v>30</v>
      </c>
      <c r="E502" s="3896"/>
      <c r="F502" s="3896"/>
      <c r="G502" s="3897">
        <f>+G496*G497</f>
        <v>0</v>
      </c>
      <c r="H502" s="3898">
        <f>+H496*H497</f>
        <v>0</v>
      </c>
      <c r="I502" s="3898">
        <f t="shared" ref="I502:N502" si="130">+I496*I497</f>
        <v>0</v>
      </c>
      <c r="J502" s="3898">
        <f t="shared" si="130"/>
        <v>0</v>
      </c>
      <c r="K502" s="3898">
        <f t="shared" si="130"/>
        <v>0</v>
      </c>
      <c r="L502" s="3898">
        <f t="shared" si="130"/>
        <v>0</v>
      </c>
      <c r="M502" s="3898">
        <f t="shared" si="130"/>
        <v>0</v>
      </c>
      <c r="N502" s="3898">
        <f t="shared" si="130"/>
        <v>0</v>
      </c>
      <c r="O502" s="3898">
        <f>+O496*O497</f>
        <v>0</v>
      </c>
      <c r="P502" s="3898">
        <f>+P496*P497</f>
        <v>0</v>
      </c>
      <c r="Q502" s="3898">
        <f>+Q496*Q497</f>
        <v>0</v>
      </c>
      <c r="R502" s="3899">
        <f>+R496*R497</f>
        <v>0</v>
      </c>
      <c r="S502" s="3900">
        <f>+SUM(G502:R502)</f>
        <v>0</v>
      </c>
      <c r="U502" s="3453"/>
      <c r="V502" s="3453"/>
      <c r="W502" s="3453"/>
      <c r="X502" s="3453"/>
      <c r="Y502" s="3453"/>
      <c r="Z502" s="3453"/>
      <c r="AA502" s="3453"/>
      <c r="AB502" s="3453"/>
      <c r="AC502" s="3453"/>
      <c r="AD502" s="3453"/>
      <c r="AE502" s="3453"/>
      <c r="AF502" s="3453"/>
      <c r="AG502" s="3453"/>
    </row>
    <row r="503" spans="1:33" s="3440" customFormat="1" x14ac:dyDescent="0.3">
      <c r="B503" s="3437"/>
      <c r="C503" s="3437"/>
      <c r="D503" s="3437"/>
      <c r="E503" s="3437"/>
      <c r="F503" s="3437"/>
      <c r="G503" s="3437"/>
      <c r="H503" s="3437"/>
      <c r="I503" s="3437"/>
      <c r="J503" s="3437"/>
      <c r="K503" s="3437"/>
      <c r="L503" s="3437"/>
      <c r="M503" s="3437"/>
      <c r="N503" s="3437"/>
      <c r="O503" s="3437"/>
      <c r="P503" s="3437"/>
      <c r="Q503" s="3437"/>
      <c r="R503" s="3437"/>
      <c r="U503" s="3664"/>
      <c r="V503" s="3664"/>
      <c r="W503" s="3664"/>
      <c r="X503" s="3664"/>
      <c r="Y503" s="3664"/>
      <c r="Z503" s="3664"/>
      <c r="AA503" s="3664"/>
      <c r="AB503" s="3664"/>
      <c r="AC503" s="3664"/>
      <c r="AD503" s="3664"/>
      <c r="AE503" s="3664"/>
      <c r="AF503" s="3664"/>
      <c r="AG503" s="3664"/>
    </row>
    <row r="553" spans="1:33" s="3440" customFormat="1" x14ac:dyDescent="0.3">
      <c r="A553" s="3436"/>
      <c r="B553" s="3436"/>
      <c r="C553" s="3436"/>
      <c r="D553" s="3437"/>
      <c r="E553" s="3436"/>
      <c r="F553" s="3436"/>
      <c r="G553" s="3436"/>
      <c r="H553" s="3436"/>
      <c r="I553" s="3436"/>
      <c r="J553" s="3436"/>
      <c r="K553" s="3436"/>
      <c r="L553" s="3436"/>
      <c r="M553" s="3436"/>
      <c r="N553" s="3436"/>
      <c r="O553" s="3436"/>
      <c r="P553" s="3436"/>
      <c r="Q553" s="3436"/>
      <c r="R553" s="3436"/>
      <c r="U553" s="3664"/>
      <c r="V553" s="3664"/>
      <c r="W553" s="3664"/>
      <c r="X553" s="3664"/>
      <c r="Y553" s="3664"/>
      <c r="Z553" s="3664"/>
      <c r="AA553" s="3664"/>
      <c r="AB553" s="3664"/>
      <c r="AC553" s="3664"/>
      <c r="AD553" s="3664"/>
      <c r="AE553" s="3664"/>
      <c r="AF553" s="3664"/>
      <c r="AG553" s="3664"/>
    </row>
    <row r="554" spans="1:33" s="3440" customFormat="1" x14ac:dyDescent="0.3">
      <c r="A554" s="3436"/>
      <c r="B554" s="3436"/>
      <c r="C554" s="3436"/>
      <c r="D554" s="3437"/>
      <c r="E554" s="3436"/>
      <c r="F554" s="3436"/>
      <c r="G554" s="3436"/>
      <c r="H554" s="3436"/>
      <c r="I554" s="3436"/>
      <c r="J554" s="3436"/>
      <c r="K554" s="3436"/>
      <c r="L554" s="3436"/>
      <c r="M554" s="3436"/>
      <c r="N554" s="3436"/>
      <c r="O554" s="3436"/>
      <c r="P554" s="3436"/>
      <c r="Q554" s="3436"/>
      <c r="R554" s="3436"/>
      <c r="U554" s="3664"/>
      <c r="V554" s="3664"/>
      <c r="W554" s="3664"/>
      <c r="X554" s="3664"/>
      <c r="Y554" s="3664"/>
      <c r="Z554" s="3664"/>
      <c r="AA554" s="3664"/>
      <c r="AB554" s="3664"/>
      <c r="AC554" s="3664"/>
      <c r="AD554" s="3664"/>
      <c r="AE554" s="3664"/>
      <c r="AF554" s="3664"/>
      <c r="AG554" s="3664"/>
    </row>
    <row r="555" spans="1:33" s="3440" customFormat="1" x14ac:dyDescent="0.3">
      <c r="A555" s="3436"/>
      <c r="B555" s="3436"/>
      <c r="C555" s="3436"/>
      <c r="D555" s="3437"/>
      <c r="E555" s="3436"/>
      <c r="F555" s="3436"/>
      <c r="G555" s="3436"/>
      <c r="H555" s="3436"/>
      <c r="I555" s="3436"/>
      <c r="J555" s="3436"/>
      <c r="K555" s="3436"/>
      <c r="L555" s="3436"/>
      <c r="M555" s="3436"/>
      <c r="N555" s="3436"/>
      <c r="O555" s="3436"/>
      <c r="P555" s="3436"/>
      <c r="Q555" s="3436"/>
      <c r="R555" s="3436"/>
      <c r="U555" s="3664"/>
      <c r="V555" s="3664"/>
      <c r="W555" s="3664"/>
      <c r="X555" s="3664"/>
      <c r="Y555" s="3664"/>
      <c r="Z555" s="3664"/>
      <c r="AA555" s="3664"/>
      <c r="AB555" s="3664"/>
      <c r="AC555" s="3664"/>
      <c r="AD555" s="3664"/>
      <c r="AE555" s="3664"/>
      <c r="AF555" s="3664"/>
      <c r="AG555" s="3664"/>
    </row>
    <row r="556" spans="1:33" s="3440" customFormat="1" x14ac:dyDescent="0.3">
      <c r="A556" s="3436"/>
      <c r="B556" s="3436"/>
      <c r="C556" s="3436"/>
      <c r="D556" s="3437"/>
      <c r="E556" s="3436"/>
      <c r="F556" s="3436"/>
      <c r="G556" s="3436"/>
      <c r="H556" s="3436"/>
      <c r="I556" s="3436"/>
      <c r="J556" s="3436"/>
      <c r="K556" s="3436"/>
      <c r="L556" s="3436"/>
      <c r="M556" s="3436"/>
      <c r="N556" s="3436"/>
      <c r="O556" s="3436"/>
      <c r="P556" s="3436"/>
      <c r="Q556" s="3436"/>
      <c r="R556" s="3436"/>
      <c r="U556" s="3664"/>
      <c r="V556" s="3664"/>
      <c r="W556" s="3664"/>
      <c r="X556" s="3664"/>
      <c r="Y556" s="3664"/>
      <c r="Z556" s="3664"/>
      <c r="AA556" s="3664"/>
      <c r="AB556" s="3664"/>
      <c r="AC556" s="3664"/>
      <c r="AD556" s="3664"/>
      <c r="AE556" s="3664"/>
      <c r="AF556" s="3664"/>
      <c r="AG556" s="3664"/>
    </row>
    <row r="557" spans="1:33" s="3440" customFormat="1" x14ac:dyDescent="0.3">
      <c r="A557" s="3436"/>
      <c r="B557" s="3436"/>
      <c r="C557" s="3436"/>
      <c r="D557" s="3437"/>
      <c r="E557" s="3436"/>
      <c r="F557" s="3436"/>
      <c r="G557" s="3436"/>
      <c r="H557" s="3436"/>
      <c r="I557" s="3436"/>
      <c r="J557" s="3436"/>
      <c r="K557" s="3436"/>
      <c r="L557" s="3436"/>
      <c r="M557" s="3436"/>
      <c r="N557" s="3436"/>
      <c r="O557" s="3436"/>
      <c r="P557" s="3436"/>
      <c r="Q557" s="3436"/>
      <c r="R557" s="3436"/>
      <c r="U557" s="3664"/>
      <c r="V557" s="3664"/>
      <c r="W557" s="3664"/>
      <c r="X557" s="3664"/>
      <c r="Y557" s="3664"/>
      <c r="Z557" s="3664"/>
      <c r="AA557" s="3664"/>
      <c r="AB557" s="3664"/>
      <c r="AC557" s="3664"/>
      <c r="AD557" s="3664"/>
      <c r="AE557" s="3664"/>
      <c r="AF557" s="3664"/>
      <c r="AG557" s="3664"/>
    </row>
    <row r="558" spans="1:33" s="3440" customFormat="1" x14ac:dyDescent="0.3">
      <c r="A558" s="3436"/>
      <c r="B558" s="3436"/>
      <c r="C558" s="3436"/>
      <c r="D558" s="3437"/>
      <c r="E558" s="3436"/>
      <c r="F558" s="3436"/>
      <c r="G558" s="3436"/>
      <c r="H558" s="3436"/>
      <c r="I558" s="3436"/>
      <c r="J558" s="3436"/>
      <c r="K558" s="3436"/>
      <c r="L558" s="3436"/>
      <c r="M558" s="3436"/>
      <c r="N558" s="3436"/>
      <c r="O558" s="3436"/>
      <c r="P558" s="3436"/>
      <c r="Q558" s="3436"/>
      <c r="R558" s="3436"/>
      <c r="U558" s="3664"/>
      <c r="V558" s="3664"/>
      <c r="W558" s="3664"/>
      <c r="X558" s="3664"/>
      <c r="Y558" s="3664"/>
      <c r="Z558" s="3664"/>
      <c r="AA558" s="3664"/>
      <c r="AB558" s="3664"/>
      <c r="AC558" s="3664"/>
      <c r="AD558" s="3664"/>
      <c r="AE558" s="3664"/>
      <c r="AF558" s="3664"/>
      <c r="AG558" s="3664"/>
    </row>
    <row r="559" spans="1:33" s="3440" customFormat="1" x14ac:dyDescent="0.3">
      <c r="A559" s="3436"/>
      <c r="B559" s="3436"/>
      <c r="C559" s="3436"/>
      <c r="D559" s="3437"/>
      <c r="E559" s="3436"/>
      <c r="F559" s="3436"/>
      <c r="G559" s="3436"/>
      <c r="H559" s="3436"/>
      <c r="I559" s="3436"/>
      <c r="J559" s="3436"/>
      <c r="K559" s="3436"/>
      <c r="L559" s="3436"/>
      <c r="M559" s="3436"/>
      <c r="N559" s="3436"/>
      <c r="O559" s="3436"/>
      <c r="P559" s="3436"/>
      <c r="Q559" s="3436"/>
      <c r="R559" s="3436"/>
      <c r="U559" s="3664"/>
      <c r="V559" s="3664"/>
      <c r="W559" s="3664"/>
      <c r="X559" s="3664"/>
      <c r="Y559" s="3664"/>
      <c r="Z559" s="3664"/>
      <c r="AA559" s="3664"/>
      <c r="AB559" s="3664"/>
      <c r="AC559" s="3664"/>
      <c r="AD559" s="3664"/>
      <c r="AE559" s="3664"/>
      <c r="AF559" s="3664"/>
      <c r="AG559" s="3664"/>
    </row>
    <row r="560" spans="1:33" s="3440" customFormat="1" x14ac:dyDescent="0.3">
      <c r="A560" s="3436"/>
      <c r="B560" s="3436"/>
      <c r="C560" s="3436"/>
      <c r="D560" s="3437"/>
      <c r="E560" s="3436"/>
      <c r="F560" s="3436"/>
      <c r="G560" s="3436"/>
      <c r="H560" s="3436"/>
      <c r="I560" s="3436"/>
      <c r="J560" s="3436"/>
      <c r="K560" s="3436"/>
      <c r="L560" s="3436"/>
      <c r="M560" s="3436"/>
      <c r="N560" s="3436"/>
      <c r="O560" s="3436"/>
      <c r="P560" s="3436"/>
      <c r="Q560" s="3436"/>
      <c r="R560" s="3436"/>
      <c r="U560" s="3664"/>
      <c r="V560" s="3664"/>
      <c r="W560" s="3664"/>
      <c r="X560" s="3664"/>
      <c r="Y560" s="3664"/>
      <c r="Z560" s="3664"/>
      <c r="AA560" s="3664"/>
      <c r="AB560" s="3664"/>
      <c r="AC560" s="3664"/>
      <c r="AD560" s="3664"/>
      <c r="AE560" s="3664"/>
      <c r="AF560" s="3664"/>
      <c r="AG560" s="3664"/>
    </row>
    <row r="561" spans="1:33" s="3440" customFormat="1" x14ac:dyDescent="0.3">
      <c r="A561" s="3436"/>
      <c r="B561" s="3436"/>
      <c r="C561" s="3436"/>
      <c r="D561" s="3437"/>
      <c r="E561" s="3436"/>
      <c r="F561" s="3436"/>
      <c r="G561" s="3436"/>
      <c r="H561" s="3436"/>
      <c r="I561" s="3436"/>
      <c r="J561" s="3436"/>
      <c r="K561" s="3436"/>
      <c r="L561" s="3436"/>
      <c r="M561" s="3436"/>
      <c r="N561" s="3436"/>
      <c r="O561" s="3436"/>
      <c r="P561" s="3436"/>
      <c r="Q561" s="3436"/>
      <c r="R561" s="3436"/>
      <c r="U561" s="3664"/>
      <c r="V561" s="3664"/>
      <c r="W561" s="3664"/>
      <c r="X561" s="3664"/>
      <c r="Y561" s="3664"/>
      <c r="Z561" s="3664"/>
      <c r="AA561" s="3664"/>
      <c r="AB561" s="3664"/>
      <c r="AC561" s="3664"/>
      <c r="AD561" s="3664"/>
      <c r="AE561" s="3664"/>
      <c r="AF561" s="3664"/>
      <c r="AG561" s="3664"/>
    </row>
    <row r="562" spans="1:33" s="3440" customFormat="1" x14ac:dyDescent="0.3">
      <c r="A562" s="3436"/>
      <c r="B562" s="3436"/>
      <c r="C562" s="3436"/>
      <c r="D562" s="3437"/>
      <c r="E562" s="3436"/>
      <c r="F562" s="3436"/>
      <c r="G562" s="3436"/>
      <c r="H562" s="3436"/>
      <c r="I562" s="3436"/>
      <c r="J562" s="3436"/>
      <c r="K562" s="3436"/>
      <c r="L562" s="3436"/>
      <c r="M562" s="3436"/>
      <c r="N562" s="3436"/>
      <c r="O562" s="3436"/>
      <c r="P562" s="3436"/>
      <c r="Q562" s="3436"/>
      <c r="R562" s="3436"/>
      <c r="U562" s="3664"/>
      <c r="V562" s="3664"/>
      <c r="W562" s="3664"/>
      <c r="X562" s="3664"/>
      <c r="Y562" s="3664"/>
      <c r="Z562" s="3664"/>
      <c r="AA562" s="3664"/>
      <c r="AB562" s="3664"/>
      <c r="AC562" s="3664"/>
      <c r="AD562" s="3664"/>
      <c r="AE562" s="3664"/>
      <c r="AF562" s="3664"/>
      <c r="AG562" s="3664"/>
    </row>
    <row r="563" spans="1:33" s="3440" customFormat="1" x14ac:dyDescent="0.3">
      <c r="A563" s="3436"/>
      <c r="B563" s="3436"/>
      <c r="C563" s="3436"/>
      <c r="D563" s="3437"/>
      <c r="E563" s="3436"/>
      <c r="F563" s="3436"/>
      <c r="G563" s="3436"/>
      <c r="H563" s="3436"/>
      <c r="I563" s="3436"/>
      <c r="J563" s="3436"/>
      <c r="K563" s="3436"/>
      <c r="L563" s="3436"/>
      <c r="M563" s="3436"/>
      <c r="N563" s="3436"/>
      <c r="O563" s="3436"/>
      <c r="P563" s="3436"/>
      <c r="Q563" s="3436"/>
      <c r="R563" s="3436"/>
      <c r="U563" s="3664"/>
      <c r="V563" s="3664"/>
      <c r="W563" s="3664"/>
      <c r="X563" s="3664"/>
      <c r="Y563" s="3664"/>
      <c r="Z563" s="3664"/>
      <c r="AA563" s="3664"/>
      <c r="AB563" s="3664"/>
      <c r="AC563" s="3664"/>
      <c r="AD563" s="3664"/>
      <c r="AE563" s="3664"/>
      <c r="AF563" s="3664"/>
      <c r="AG563" s="3664"/>
    </row>
    <row r="564" spans="1:33" s="3440" customFormat="1" x14ac:dyDescent="0.3">
      <c r="A564" s="3436"/>
      <c r="B564" s="3436"/>
      <c r="C564" s="3436"/>
      <c r="D564" s="3437"/>
      <c r="E564" s="3436"/>
      <c r="F564" s="3436"/>
      <c r="G564" s="3436"/>
      <c r="H564" s="3436"/>
      <c r="I564" s="3436"/>
      <c r="J564" s="3436"/>
      <c r="K564" s="3436"/>
      <c r="L564" s="3436"/>
      <c r="M564" s="3436"/>
      <c r="N564" s="3436"/>
      <c r="O564" s="3436"/>
      <c r="P564" s="3436"/>
      <c r="Q564" s="3436"/>
      <c r="R564" s="3436"/>
      <c r="U564" s="3664"/>
      <c r="V564" s="3664"/>
      <c r="W564" s="3664"/>
      <c r="X564" s="3664"/>
      <c r="Y564" s="3664"/>
      <c r="Z564" s="3664"/>
      <c r="AA564" s="3664"/>
      <c r="AB564" s="3664"/>
      <c r="AC564" s="3664"/>
      <c r="AD564" s="3664"/>
      <c r="AE564" s="3664"/>
      <c r="AF564" s="3664"/>
      <c r="AG564" s="3664"/>
    </row>
    <row r="565" spans="1:33" s="3440" customFormat="1" x14ac:dyDescent="0.3">
      <c r="A565" s="3436"/>
      <c r="B565" s="3436"/>
      <c r="C565" s="3436"/>
      <c r="D565" s="3437"/>
      <c r="E565" s="3436"/>
      <c r="F565" s="3436"/>
      <c r="G565" s="3436"/>
      <c r="H565" s="3436"/>
      <c r="I565" s="3436"/>
      <c r="J565" s="3436"/>
      <c r="K565" s="3436"/>
      <c r="L565" s="3436"/>
      <c r="M565" s="3436"/>
      <c r="N565" s="3436"/>
      <c r="O565" s="3436"/>
      <c r="P565" s="3436"/>
      <c r="Q565" s="3436"/>
      <c r="R565" s="3436"/>
      <c r="U565" s="3664"/>
      <c r="V565" s="3664"/>
      <c r="W565" s="3664"/>
      <c r="X565" s="3664"/>
      <c r="Y565" s="3664"/>
      <c r="Z565" s="3664"/>
      <c r="AA565" s="3664"/>
      <c r="AB565" s="3664"/>
      <c r="AC565" s="3664"/>
      <c r="AD565" s="3664"/>
      <c r="AE565" s="3664"/>
      <c r="AF565" s="3664"/>
      <c r="AG565" s="3664"/>
    </row>
    <row r="566" spans="1:33" s="3440" customFormat="1" x14ac:dyDescent="0.3">
      <c r="A566" s="3436"/>
      <c r="B566" s="3436"/>
      <c r="C566" s="3436"/>
      <c r="D566" s="3437"/>
      <c r="E566" s="3436"/>
      <c r="F566" s="3436"/>
      <c r="G566" s="3436"/>
      <c r="H566" s="3436"/>
      <c r="I566" s="3436"/>
      <c r="J566" s="3436"/>
      <c r="K566" s="3436"/>
      <c r="L566" s="3436"/>
      <c r="M566" s="3436"/>
      <c r="N566" s="3436"/>
      <c r="O566" s="3436"/>
      <c r="P566" s="3436"/>
      <c r="Q566" s="3436"/>
      <c r="R566" s="3436"/>
      <c r="U566" s="3664"/>
      <c r="V566" s="3664"/>
      <c r="W566" s="3664"/>
      <c r="X566" s="3664"/>
      <c r="Y566" s="3664"/>
      <c r="Z566" s="3664"/>
      <c r="AA566" s="3664"/>
      <c r="AB566" s="3664"/>
      <c r="AC566" s="3664"/>
      <c r="AD566" s="3664"/>
      <c r="AE566" s="3664"/>
      <c r="AF566" s="3664"/>
      <c r="AG566" s="3664"/>
    </row>
    <row r="567" spans="1:33" s="3440" customFormat="1" x14ac:dyDescent="0.3">
      <c r="A567" s="3436"/>
      <c r="B567" s="3436"/>
      <c r="C567" s="3436"/>
      <c r="D567" s="3437"/>
      <c r="E567" s="3436"/>
      <c r="F567" s="3436"/>
      <c r="G567" s="3436"/>
      <c r="H567" s="3436"/>
      <c r="I567" s="3436"/>
      <c r="J567" s="3436"/>
      <c r="K567" s="3436"/>
      <c r="L567" s="3436"/>
      <c r="M567" s="3436"/>
      <c r="N567" s="3436"/>
      <c r="O567" s="3436"/>
      <c r="P567" s="3436"/>
      <c r="Q567" s="3436"/>
      <c r="R567" s="3436"/>
      <c r="U567" s="3664"/>
      <c r="V567" s="3664"/>
      <c r="W567" s="3664"/>
      <c r="X567" s="3664"/>
      <c r="Y567" s="3664"/>
      <c r="Z567" s="3664"/>
      <c r="AA567" s="3664"/>
      <c r="AB567" s="3664"/>
      <c r="AC567" s="3664"/>
      <c r="AD567" s="3664"/>
      <c r="AE567" s="3664"/>
      <c r="AF567" s="3664"/>
      <c r="AG567" s="3664"/>
    </row>
    <row r="568" spans="1:33" s="3440" customFormat="1" x14ac:dyDescent="0.3">
      <c r="A568" s="3436"/>
      <c r="B568" s="3436"/>
      <c r="C568" s="3436"/>
      <c r="D568" s="3437"/>
      <c r="E568" s="3436"/>
      <c r="F568" s="3436"/>
      <c r="G568" s="3436"/>
      <c r="H568" s="3436"/>
      <c r="I568" s="3436"/>
      <c r="J568" s="3436"/>
      <c r="K568" s="3436"/>
      <c r="L568" s="3436"/>
      <c r="M568" s="3436"/>
      <c r="N568" s="3436"/>
      <c r="O568" s="3436"/>
      <c r="P568" s="3436"/>
      <c r="Q568" s="3436"/>
      <c r="R568" s="3436"/>
      <c r="U568" s="3664"/>
      <c r="V568" s="3664"/>
      <c r="W568" s="3664"/>
      <c r="X568" s="3664"/>
      <c r="Y568" s="3664"/>
      <c r="Z568" s="3664"/>
      <c r="AA568" s="3664"/>
      <c r="AB568" s="3664"/>
      <c r="AC568" s="3664"/>
      <c r="AD568" s="3664"/>
      <c r="AE568" s="3664"/>
      <c r="AF568" s="3664"/>
      <c r="AG568" s="3664"/>
    </row>
    <row r="569" spans="1:33" s="3440" customFormat="1" x14ac:dyDescent="0.3">
      <c r="A569" s="3436"/>
      <c r="B569" s="3436"/>
      <c r="C569" s="3436"/>
      <c r="D569" s="3437"/>
      <c r="E569" s="3436"/>
      <c r="F569" s="3436"/>
      <c r="G569" s="3436"/>
      <c r="H569" s="3436"/>
      <c r="I569" s="3436"/>
      <c r="J569" s="3436"/>
      <c r="K569" s="3436"/>
      <c r="L569" s="3436"/>
      <c r="M569" s="3436"/>
      <c r="N569" s="3436"/>
      <c r="O569" s="3436"/>
      <c r="P569" s="3436"/>
      <c r="Q569" s="3436"/>
      <c r="R569" s="3436"/>
      <c r="U569" s="3664"/>
      <c r="V569" s="3664"/>
      <c r="W569" s="3664"/>
      <c r="X569" s="3664"/>
      <c r="Y569" s="3664"/>
      <c r="Z569" s="3664"/>
      <c r="AA569" s="3664"/>
      <c r="AB569" s="3664"/>
      <c r="AC569" s="3664"/>
      <c r="AD569" s="3664"/>
      <c r="AE569" s="3664"/>
      <c r="AF569" s="3664"/>
      <c r="AG569" s="3664"/>
    </row>
    <row r="570" spans="1:33" s="3909" customFormat="1" x14ac:dyDescent="0.3">
      <c r="A570" s="2487"/>
      <c r="B570" s="3454" t="s">
        <v>1194</v>
      </c>
      <c r="C570" s="3455"/>
      <c r="D570" s="3455"/>
      <c r="E570" s="3455"/>
      <c r="F570" s="3455"/>
      <c r="G570" s="3455"/>
      <c r="H570" s="3455"/>
      <c r="I570" s="3455"/>
      <c r="J570" s="3455"/>
      <c r="K570" s="3455"/>
      <c r="L570" s="3455"/>
      <c r="M570" s="3455"/>
      <c r="N570" s="3455"/>
      <c r="O570" s="3455"/>
      <c r="P570" s="3455"/>
      <c r="Q570" s="3455"/>
      <c r="R570" s="3456"/>
      <c r="S570" s="3467"/>
    </row>
    <row r="571" spans="1:33" s="3909" customFormat="1" x14ac:dyDescent="0.3">
      <c r="A571" s="3451"/>
      <c r="B571" s="3452"/>
      <c r="C571" s="3452"/>
      <c r="D571" s="3452"/>
      <c r="E571" s="3452"/>
      <c r="F571" s="3452"/>
      <c r="G571" s="3453"/>
      <c r="H571" s="3453"/>
      <c r="I571" s="3453"/>
      <c r="J571" s="3453"/>
      <c r="K571" s="3453"/>
      <c r="L571" s="3453"/>
      <c r="M571" s="3453"/>
      <c r="N571" s="3453"/>
      <c r="O571" s="3453"/>
      <c r="P571" s="3453"/>
      <c r="Q571" s="3453"/>
      <c r="R571" s="3453"/>
      <c r="S571" s="3467"/>
    </row>
    <row r="572" spans="1:33" s="3452" customFormat="1" x14ac:dyDescent="0.3">
      <c r="A572" s="2487">
        <f>+A7</f>
        <v>88</v>
      </c>
      <c r="B572" s="3454" t="str">
        <f>+B7</f>
        <v xml:space="preserve">Balance Forrajero Global Anual (Total del área y total del ganado) (toneladas de MS)   </v>
      </c>
      <c r="C572" s="3455"/>
      <c r="D572" s="3455"/>
      <c r="E572" s="3455"/>
      <c r="F572" s="3455"/>
      <c r="G572" s="3455"/>
      <c r="H572" s="3455"/>
      <c r="I572" s="3455"/>
      <c r="J572" s="3455"/>
      <c r="K572" s="3455"/>
      <c r="L572" s="3455"/>
      <c r="M572" s="3455"/>
      <c r="N572" s="3455"/>
      <c r="O572" s="3455"/>
      <c r="P572" s="3455"/>
      <c r="Q572" s="3455"/>
      <c r="R572" s="3456"/>
      <c r="S572" s="3453"/>
    </row>
    <row r="573" spans="1:33" s="3452" customFormat="1" x14ac:dyDescent="0.3">
      <c r="D573" s="3453"/>
      <c r="E573" s="3453"/>
      <c r="F573" s="3453"/>
      <c r="P573" s="3453"/>
      <c r="Q573" s="3453"/>
      <c r="R573" s="3453"/>
      <c r="S573" s="3453"/>
      <c r="T573" s="3453"/>
    </row>
    <row r="574" spans="1:33" s="3452" customFormat="1" x14ac:dyDescent="0.3">
      <c r="A574" s="3910"/>
      <c r="B574" s="3911" t="s">
        <v>230</v>
      </c>
      <c r="C574" s="3912" t="s">
        <v>1382</v>
      </c>
      <c r="D574" s="3912" t="s">
        <v>1383</v>
      </c>
      <c r="P574" s="3453"/>
      <c r="Q574" s="3453"/>
      <c r="R574" s="3453"/>
      <c r="S574" s="3453"/>
      <c r="T574" s="3453"/>
      <c r="U574" s="3453"/>
    </row>
    <row r="575" spans="1:33" s="3452" customFormat="1" x14ac:dyDescent="0.3">
      <c r="A575" s="3910"/>
      <c r="B575" s="3913" t="s">
        <v>1437</v>
      </c>
      <c r="C575" s="3914">
        <f>+K592+I592+G592</f>
        <v>0</v>
      </c>
      <c r="D575" s="3912"/>
      <c r="P575" s="3453"/>
      <c r="Q575" s="3453"/>
      <c r="R575" s="3453"/>
      <c r="S575" s="3453"/>
      <c r="T575" s="3453"/>
      <c r="U575" s="3453"/>
    </row>
    <row r="576" spans="1:33" s="3452" customFormat="1" x14ac:dyDescent="0.3">
      <c r="A576" s="3910"/>
      <c r="B576" s="3913" t="s">
        <v>1436</v>
      </c>
      <c r="C576" s="3912">
        <f>G593+K593+I593</f>
        <v>0</v>
      </c>
      <c r="D576" s="3912"/>
      <c r="E576" s="3453"/>
      <c r="F576" s="3453"/>
      <c r="P576" s="3453"/>
      <c r="Q576" s="3453"/>
      <c r="R576" s="3453"/>
      <c r="S576" s="3453"/>
      <c r="T576" s="3453"/>
      <c r="U576" s="3453"/>
    </row>
    <row r="577" spans="1:21" s="3452" customFormat="1" x14ac:dyDescent="0.3">
      <c r="A577" s="3910"/>
      <c r="B577" s="3913" t="s">
        <v>1384</v>
      </c>
      <c r="C577" s="3912"/>
      <c r="D577" s="3912">
        <f>+L594+J594+H594</f>
        <v>0</v>
      </c>
      <c r="E577" s="3453"/>
      <c r="F577" s="3453"/>
      <c r="P577" s="3453"/>
      <c r="Q577" s="3453"/>
      <c r="R577" s="3453"/>
      <c r="S577" s="3453"/>
      <c r="T577" s="3453"/>
      <c r="U577" s="3453"/>
    </row>
    <row r="578" spans="1:21" s="3452" customFormat="1" x14ac:dyDescent="0.3">
      <c r="A578" s="3910"/>
      <c r="B578" s="3913" t="s">
        <v>1441</v>
      </c>
      <c r="C578" s="3912"/>
      <c r="D578" s="3915" t="str">
        <f>IF(C580&gt;0,C580,"")</f>
        <v/>
      </c>
      <c r="E578" s="3453"/>
      <c r="F578" s="3453"/>
      <c r="G578" s="3490"/>
      <c r="I578" s="3453"/>
      <c r="P578" s="3453"/>
      <c r="Q578" s="3453"/>
      <c r="R578" s="3453"/>
      <c r="S578" s="3453"/>
      <c r="T578" s="3453"/>
      <c r="U578" s="3453"/>
    </row>
    <row r="579" spans="1:21" s="3452" customFormat="1" x14ac:dyDescent="0.3">
      <c r="A579" s="3910"/>
      <c r="B579" s="3913" t="s">
        <v>1612</v>
      </c>
      <c r="C579" s="3912">
        <f>IF(C580&gt;0,"",C580)</f>
        <v>0</v>
      </c>
      <c r="D579" s="3912"/>
      <c r="E579" s="3453"/>
      <c r="F579" s="3453"/>
      <c r="G579" s="3490"/>
      <c r="I579" s="3453"/>
      <c r="P579" s="3453"/>
      <c r="Q579" s="3453"/>
      <c r="R579" s="3453"/>
      <c r="S579" s="3453"/>
      <c r="T579" s="3453"/>
      <c r="U579" s="3453"/>
    </row>
    <row r="580" spans="1:21" s="3452" customFormat="1" x14ac:dyDescent="0.3">
      <c r="A580" s="3910"/>
      <c r="B580" s="3913" t="s">
        <v>1386</v>
      </c>
      <c r="C580" s="3912">
        <f>SUM(C575:C576)-D577</f>
        <v>0</v>
      </c>
      <c r="D580" s="3912"/>
      <c r="Q580" s="3453"/>
      <c r="R580" s="3453"/>
      <c r="S580" s="3453"/>
      <c r="T580" s="3453"/>
      <c r="U580" s="3453"/>
    </row>
    <row r="581" spans="1:21" s="3909" customFormat="1" x14ac:dyDescent="0.3">
      <c r="B581" s="3916"/>
      <c r="C581" s="3467"/>
      <c r="D581" s="3467"/>
      <c r="Q581" s="3467"/>
      <c r="R581" s="3467"/>
      <c r="S581" s="3467"/>
      <c r="T581" s="3467"/>
      <c r="U581" s="3467"/>
    </row>
    <row r="582" spans="1:21" s="3909" customFormat="1" x14ac:dyDescent="0.3">
      <c r="A582" s="3467"/>
      <c r="C582" s="3452"/>
      <c r="D582" s="3452"/>
      <c r="E582" s="3452"/>
      <c r="F582" s="3452"/>
      <c r="G582" s="3917"/>
      <c r="H582" s="3917"/>
      <c r="I582" s="3912"/>
      <c r="J582" s="3912"/>
      <c r="K582" s="3453"/>
      <c r="L582" s="3452"/>
      <c r="Q582" s="3467"/>
      <c r="R582" s="3467"/>
      <c r="S582" s="3467"/>
      <c r="T582" s="3467"/>
      <c r="U582" s="3467"/>
    </row>
    <row r="583" spans="1:21" s="3909" customFormat="1" x14ac:dyDescent="0.3">
      <c r="A583" s="3467"/>
      <c r="C583" s="3452"/>
      <c r="D583" s="3452"/>
      <c r="E583" s="3452"/>
      <c r="F583" s="3452"/>
      <c r="G583" s="3912" t="s">
        <v>1597</v>
      </c>
      <c r="H583" s="3915" t="s">
        <v>1598</v>
      </c>
      <c r="I583" s="3912" t="s">
        <v>1380</v>
      </c>
      <c r="J583" s="3915" t="s">
        <v>1478</v>
      </c>
      <c r="K583" s="3453"/>
      <c r="L583" s="3452"/>
      <c r="Q583" s="3467"/>
      <c r="R583" s="3467"/>
      <c r="S583" s="3467"/>
      <c r="T583" s="3467"/>
      <c r="U583" s="3467"/>
    </row>
    <row r="584" spans="1:21" s="3909" customFormat="1" x14ac:dyDescent="0.3">
      <c r="A584" s="3467"/>
      <c r="C584" s="3910"/>
      <c r="D584" s="3918"/>
      <c r="E584" s="3918"/>
      <c r="F584" s="3919" t="str">
        <f>+F592</f>
        <v>Oferta de Forraje (Pastoreo Directo +  Reservas de Excedentes)</v>
      </c>
      <c r="G584" s="3912">
        <f>+G592+I592</f>
        <v>0</v>
      </c>
      <c r="H584" s="3912"/>
      <c r="I584" s="3915">
        <f>+K592</f>
        <v>0</v>
      </c>
      <c r="J584" s="3915"/>
      <c r="K584" s="3453"/>
      <c r="L584" s="3452"/>
      <c r="P584" s="3467"/>
      <c r="Q584" s="3467"/>
      <c r="R584" s="3467"/>
      <c r="S584" s="3467"/>
      <c r="T584" s="3467"/>
      <c r="U584" s="3467"/>
    </row>
    <row r="585" spans="1:21" s="3909" customFormat="1" x14ac:dyDescent="0.3">
      <c r="A585" s="3467"/>
      <c r="C585" s="3910"/>
      <c r="D585" s="3918"/>
      <c r="E585" s="3918"/>
      <c r="F585" s="3919" t="str">
        <f>+F593</f>
        <v>Oferta de Cultivos de Reserva</v>
      </c>
      <c r="G585" s="3912">
        <f>+G593+I593</f>
        <v>0</v>
      </c>
      <c r="H585" s="3912"/>
      <c r="I585" s="3915">
        <f>+K593</f>
        <v>0</v>
      </c>
      <c r="J585" s="3915"/>
      <c r="K585" s="3453"/>
      <c r="L585" s="3452"/>
      <c r="P585" s="3467"/>
      <c r="Q585" s="3467"/>
      <c r="R585" s="3467"/>
      <c r="S585" s="3467"/>
      <c r="T585" s="3467"/>
      <c r="U585" s="3467"/>
    </row>
    <row r="586" spans="1:21" s="3909" customFormat="1" x14ac:dyDescent="0.3">
      <c r="B586" s="3916"/>
      <c r="C586" s="3910"/>
      <c r="D586" s="3918"/>
      <c r="E586" s="3918"/>
      <c r="F586" s="3919" t="str">
        <f>+F594</f>
        <v xml:space="preserve">Requerimientos </v>
      </c>
      <c r="G586" s="3912"/>
      <c r="H586" s="3912">
        <f>+H594+J594</f>
        <v>0</v>
      </c>
      <c r="I586" s="3920"/>
      <c r="J586" s="3920">
        <f>+L594</f>
        <v>0</v>
      </c>
      <c r="Q586" s="3467"/>
      <c r="R586" s="3467"/>
      <c r="S586" s="3467"/>
      <c r="T586" s="3467"/>
      <c r="U586" s="3467"/>
    </row>
    <row r="587" spans="1:21" s="3909" customFormat="1" x14ac:dyDescent="0.3">
      <c r="B587" s="3916"/>
      <c r="C587" s="3467"/>
      <c r="D587" s="3467"/>
      <c r="Q587" s="3467"/>
      <c r="R587" s="3467"/>
      <c r="S587" s="3467"/>
      <c r="T587" s="3467"/>
      <c r="U587" s="3467"/>
    </row>
    <row r="588" spans="1:21" s="3909" customFormat="1" x14ac:dyDescent="0.3">
      <c r="B588" s="3916"/>
      <c r="C588" s="3467"/>
      <c r="D588" s="3467"/>
      <c r="Q588" s="3467"/>
      <c r="R588" s="3467"/>
      <c r="S588" s="3467"/>
      <c r="T588" s="3467"/>
      <c r="U588" s="3467"/>
    </row>
    <row r="589" spans="1:21" s="3909" customFormat="1" x14ac:dyDescent="0.3">
      <c r="A589" s="2487">
        <f>+A29</f>
        <v>89</v>
      </c>
      <c r="B589" s="3454" t="str">
        <f>+E29</f>
        <v xml:space="preserve">Balance Forrajero Anual según destino (Superficie de Pastoreo Lechero y Superficie de Pastoreo Ganadero) (toneladas de MS)   </v>
      </c>
      <c r="C589" s="3455"/>
      <c r="D589" s="3455"/>
      <c r="E589" s="3455"/>
      <c r="F589" s="3455"/>
      <c r="G589" s="3455"/>
      <c r="H589" s="3455"/>
      <c r="I589" s="3455"/>
      <c r="J589" s="3455"/>
      <c r="K589" s="3455"/>
      <c r="L589" s="3455"/>
      <c r="M589" s="3455"/>
      <c r="N589" s="3455"/>
      <c r="O589" s="3455"/>
      <c r="P589" s="3455"/>
      <c r="Q589" s="3455"/>
      <c r="R589" s="3456"/>
      <c r="U589" s="3467"/>
    </row>
    <row r="590" spans="1:21" s="3909" customFormat="1" x14ac:dyDescent="0.3">
      <c r="A590" s="3467"/>
      <c r="C590" s="3452"/>
      <c r="D590" s="3452"/>
      <c r="E590" s="3452"/>
      <c r="F590" s="3452"/>
      <c r="G590" s="3917" t="s">
        <v>1142</v>
      </c>
      <c r="H590" s="3917"/>
      <c r="I590" s="3912" t="s">
        <v>1143</v>
      </c>
      <c r="J590" s="3912"/>
      <c r="K590" s="3912" t="s">
        <v>1455</v>
      </c>
      <c r="L590" s="3915"/>
      <c r="Q590" s="3467"/>
      <c r="R590" s="3467"/>
      <c r="S590" s="3467"/>
      <c r="T590" s="3467"/>
      <c r="U590" s="3467"/>
    </row>
    <row r="591" spans="1:21" s="3909" customFormat="1" x14ac:dyDescent="0.3">
      <c r="A591" s="3467"/>
      <c r="C591" s="3452"/>
      <c r="D591" s="3452"/>
      <c r="E591" s="3452"/>
      <c r="F591" s="3452"/>
      <c r="G591" s="3912" t="s">
        <v>1379</v>
      </c>
      <c r="H591" s="3915" t="s">
        <v>1381</v>
      </c>
      <c r="I591" s="3912" t="s">
        <v>1393</v>
      </c>
      <c r="J591" s="3915" t="s">
        <v>1394</v>
      </c>
      <c r="K591" s="3912" t="s">
        <v>1380</v>
      </c>
      <c r="L591" s="3915" t="s">
        <v>1478</v>
      </c>
      <c r="Q591" s="3467"/>
      <c r="R591" s="3467"/>
      <c r="S591" s="3467"/>
      <c r="T591" s="3467"/>
      <c r="U591" s="3467"/>
    </row>
    <row r="592" spans="1:21" s="3909" customFormat="1" x14ac:dyDescent="0.3">
      <c r="A592" s="3467"/>
      <c r="C592" s="3910"/>
      <c r="D592" s="3918"/>
      <c r="E592" s="3918"/>
      <c r="F592" s="3919" t="str">
        <f>+B575</f>
        <v>Oferta de Forraje (Pastoreo Directo +  Reservas de Excedentes)</v>
      </c>
      <c r="G592" s="3912">
        <f>+SUM(D611:AK611)</f>
        <v>0</v>
      </c>
      <c r="H592" s="3915"/>
      <c r="I592" s="3915">
        <f>+SUM(D634:AK634)</f>
        <v>0</v>
      </c>
      <c r="J592" s="3915"/>
      <c r="K592" s="3912">
        <f>+SUM(D641:AK641)</f>
        <v>0</v>
      </c>
      <c r="L592" s="3915"/>
      <c r="P592" s="3467"/>
      <c r="Q592" s="3467"/>
      <c r="R592" s="3467"/>
      <c r="S592" s="3467"/>
      <c r="T592" s="3467"/>
      <c r="U592" s="3467"/>
    </row>
    <row r="593" spans="1:52" s="3909" customFormat="1" x14ac:dyDescent="0.3">
      <c r="A593" s="3467"/>
      <c r="C593" s="3910"/>
      <c r="D593" s="3918"/>
      <c r="E593" s="3918"/>
      <c r="F593" s="3919" t="str">
        <f>+B576</f>
        <v>Oferta de Cultivos de Reserva</v>
      </c>
      <c r="G593" s="3912">
        <f>+SUM(D612:AK612)</f>
        <v>0</v>
      </c>
      <c r="H593" s="3912"/>
      <c r="I593" s="3915">
        <f>+SUM(D635:AK635)</f>
        <v>0</v>
      </c>
      <c r="J593" s="3915"/>
      <c r="K593" s="3912">
        <f>+SUM(D642:AK642)</f>
        <v>0</v>
      </c>
      <c r="L593" s="3915"/>
      <c r="P593" s="3467"/>
      <c r="Q593" s="3467"/>
      <c r="R593" s="3467"/>
      <c r="S593" s="3467"/>
      <c r="T593" s="3467"/>
      <c r="U593" s="3467"/>
    </row>
    <row r="594" spans="1:52" s="3909" customFormat="1" x14ac:dyDescent="0.3">
      <c r="A594" s="3467"/>
      <c r="C594" s="3910"/>
      <c r="D594" s="3918"/>
      <c r="E594" s="3918"/>
      <c r="F594" s="3919" t="s">
        <v>1384</v>
      </c>
      <c r="G594" s="3915"/>
      <c r="H594" s="3912">
        <f>+SUM(E613:AL613)</f>
        <v>0</v>
      </c>
      <c r="I594" s="3915"/>
      <c r="J594" s="3915">
        <f>+SUM(E633:AL633)</f>
        <v>0</v>
      </c>
      <c r="K594" s="3915"/>
      <c r="L594" s="3915">
        <f>+SUM(E640:AL640)</f>
        <v>0</v>
      </c>
      <c r="P594" s="3467"/>
      <c r="Q594" s="3467"/>
      <c r="R594" s="3467"/>
      <c r="S594" s="3467"/>
      <c r="T594" s="3467"/>
      <c r="U594" s="3467"/>
    </row>
    <row r="595" spans="1:52" s="3909" customFormat="1" x14ac:dyDescent="0.3">
      <c r="B595" s="3916"/>
      <c r="C595" s="3467"/>
      <c r="D595" s="3467"/>
      <c r="E595" s="3467"/>
      <c r="F595" s="3467"/>
      <c r="G595" s="3916"/>
      <c r="I595" s="3467"/>
      <c r="P595" s="3467"/>
      <c r="Q595" s="3467"/>
      <c r="R595" s="3467"/>
      <c r="S595" s="3467"/>
      <c r="T595" s="3467"/>
      <c r="U595" s="3467"/>
    </row>
    <row r="596" spans="1:52" s="3909" customFormat="1" ht="15.05" thickBot="1" x14ac:dyDescent="0.35">
      <c r="A596" s="2487">
        <f>+A71</f>
        <v>91</v>
      </c>
      <c r="B596" s="3454" t="str">
        <f>+E71</f>
        <v xml:space="preserve">Balance Forrajero Mensual Global  (Oferta del total del área y requerimientos del total del ganado) (toneladas de MS)   </v>
      </c>
      <c r="C596" s="3455"/>
      <c r="D596" s="3455"/>
      <c r="E596" s="3455"/>
      <c r="F596" s="3455"/>
      <c r="G596" s="3455"/>
      <c r="H596" s="3455"/>
      <c r="I596" s="3455"/>
      <c r="J596" s="3455"/>
      <c r="K596" s="3455"/>
      <c r="L596" s="3455"/>
      <c r="M596" s="3455"/>
      <c r="N596" s="3455"/>
      <c r="O596" s="3455"/>
      <c r="P596" s="3455"/>
      <c r="Q596" s="3455"/>
      <c r="R596" s="3456"/>
      <c r="T596" s="3467"/>
      <c r="U596" s="3467"/>
    </row>
    <row r="597" spans="1:52" s="3437" customFormat="1" ht="15.05" thickBot="1" x14ac:dyDescent="0.35">
      <c r="D597" s="3921" t="str">
        <f>+G5</f>
        <v>Ene</v>
      </c>
      <c r="E597" s="3922"/>
      <c r="F597" s="3923"/>
      <c r="G597" s="3921" t="str">
        <f>+H5</f>
        <v>Feb</v>
      </c>
      <c r="H597" s="3922"/>
      <c r="I597" s="3923"/>
      <c r="J597" s="3921" t="str">
        <f>+I5</f>
        <v>Mar</v>
      </c>
      <c r="K597" s="3922"/>
      <c r="L597" s="3923"/>
      <c r="M597" s="3921" t="str">
        <f>+J5</f>
        <v>Abr</v>
      </c>
      <c r="N597" s="3922"/>
      <c r="O597" s="3923"/>
      <c r="P597" s="3921" t="str">
        <f>+K5</f>
        <v>May</v>
      </c>
      <c r="Q597" s="3922"/>
      <c r="R597" s="3923"/>
      <c r="S597" s="3921" t="str">
        <f>+L5</f>
        <v>Jun</v>
      </c>
      <c r="T597" s="3922"/>
      <c r="U597" s="3923"/>
      <c r="V597" s="3921" t="str">
        <f>+M5</f>
        <v>Jul</v>
      </c>
      <c r="W597" s="3922"/>
      <c r="X597" s="3923"/>
      <c r="Y597" s="3921" t="str">
        <f>+N5</f>
        <v>Ago</v>
      </c>
      <c r="Z597" s="3922"/>
      <c r="AA597" s="3923"/>
      <c r="AB597" s="3921" t="str">
        <f>+O5</f>
        <v>Set</v>
      </c>
      <c r="AC597" s="3922"/>
      <c r="AD597" s="3923"/>
      <c r="AE597" s="3921" t="str">
        <f>+P5</f>
        <v>Oct</v>
      </c>
      <c r="AF597" s="3922"/>
      <c r="AG597" s="3923"/>
      <c r="AH597" s="3921" t="str">
        <f>+Q5</f>
        <v>Nov</v>
      </c>
      <c r="AI597" s="3922"/>
      <c r="AJ597" s="3923"/>
      <c r="AK597" s="3921" t="str">
        <f>+R5</f>
        <v>Dic</v>
      </c>
      <c r="AL597" s="3922"/>
      <c r="AM597" s="3923"/>
      <c r="AN597" s="3523"/>
      <c r="AO597" s="3523"/>
      <c r="AP597" s="3523"/>
      <c r="AQ597" s="3523"/>
      <c r="AR597" s="3523"/>
      <c r="AS597" s="3523"/>
      <c r="AT597" s="3523"/>
      <c r="AU597" s="3523"/>
      <c r="AV597" s="3523"/>
      <c r="AW597" s="3523"/>
    </row>
    <row r="598" spans="1:52" s="3437" customFormat="1" ht="15.05" thickBot="1" x14ac:dyDescent="0.35">
      <c r="B598" s="3437" t="s">
        <v>1370</v>
      </c>
      <c r="D598" s="3924" t="s">
        <v>1373</v>
      </c>
      <c r="E598" s="3925" t="s">
        <v>1372</v>
      </c>
      <c r="F598" s="3926"/>
      <c r="G598" s="3924" t="str">
        <f>+D598</f>
        <v>OFE</v>
      </c>
      <c r="H598" s="3925" t="str">
        <f>+E598</f>
        <v>REQ</v>
      </c>
      <c r="I598" s="3926"/>
      <c r="J598" s="3924" t="str">
        <f>+G598</f>
        <v>OFE</v>
      </c>
      <c r="K598" s="3925" t="str">
        <f>+H598</f>
        <v>REQ</v>
      </c>
      <c r="L598" s="3926"/>
      <c r="M598" s="3924" t="str">
        <f>+J598</f>
        <v>OFE</v>
      </c>
      <c r="N598" s="3925" t="str">
        <f>+K598</f>
        <v>REQ</v>
      </c>
      <c r="O598" s="3926"/>
      <c r="P598" s="3924" t="str">
        <f>+M598</f>
        <v>OFE</v>
      </c>
      <c r="Q598" s="3925" t="str">
        <f>+N598</f>
        <v>REQ</v>
      </c>
      <c r="R598" s="3926"/>
      <c r="S598" s="3924" t="str">
        <f>+P598</f>
        <v>OFE</v>
      </c>
      <c r="T598" s="3925" t="str">
        <f>+Q598</f>
        <v>REQ</v>
      </c>
      <c r="U598" s="3926"/>
      <c r="V598" s="3924" t="str">
        <f>+S598</f>
        <v>OFE</v>
      </c>
      <c r="W598" s="3925" t="str">
        <f>+T598</f>
        <v>REQ</v>
      </c>
      <c r="X598" s="3926"/>
      <c r="Y598" s="3924" t="str">
        <f>+V598</f>
        <v>OFE</v>
      </c>
      <c r="Z598" s="3925" t="str">
        <f>+W598</f>
        <v>REQ</v>
      </c>
      <c r="AA598" s="3926"/>
      <c r="AB598" s="3924" t="str">
        <f>+Y598</f>
        <v>OFE</v>
      </c>
      <c r="AC598" s="3925" t="str">
        <f>+Z598</f>
        <v>REQ</v>
      </c>
      <c r="AD598" s="3926"/>
      <c r="AE598" s="3924" t="str">
        <f>+AB598</f>
        <v>OFE</v>
      </c>
      <c r="AF598" s="3925" t="str">
        <f>+AC598</f>
        <v>REQ</v>
      </c>
      <c r="AG598" s="3926"/>
      <c r="AH598" s="3924" t="str">
        <f>+AE598</f>
        <v>OFE</v>
      </c>
      <c r="AI598" s="3925" t="str">
        <f>+AF598</f>
        <v>REQ</v>
      </c>
      <c r="AJ598" s="3926"/>
      <c r="AK598" s="3924" t="str">
        <f>+AH598</f>
        <v>OFE</v>
      </c>
      <c r="AL598" s="3925" t="str">
        <f>+AI598</f>
        <v>REQ</v>
      </c>
      <c r="AM598" s="3926"/>
      <c r="AN598" s="3523"/>
      <c r="AO598" s="3523"/>
      <c r="AP598" s="3523"/>
      <c r="AQ598" s="3523"/>
      <c r="AR598" s="3523"/>
      <c r="AS598" s="3523"/>
      <c r="AT598" s="3523"/>
      <c r="AU598" s="3523"/>
      <c r="AV598" s="3523"/>
      <c r="AW598" s="3523"/>
      <c r="AX598" s="3523"/>
      <c r="AY598" s="3523"/>
    </row>
    <row r="599" spans="1:52" s="3437" customFormat="1" ht="15.05" thickBot="1" x14ac:dyDescent="0.35">
      <c r="B599" s="3927" t="str">
        <f>+B575</f>
        <v>Oferta de Forraje (Pastoreo Directo +  Reservas de Excedentes)</v>
      </c>
      <c r="C599" s="3928"/>
      <c r="D599" s="3929">
        <f>+D641+D634+D611</f>
        <v>0</v>
      </c>
      <c r="E599" s="3930"/>
      <c r="F599" s="3734"/>
      <c r="G599" s="3929">
        <f>+G641+G634+G611</f>
        <v>0</v>
      </c>
      <c r="H599" s="3930"/>
      <c r="I599" s="3734"/>
      <c r="J599" s="3929">
        <f>+J641+J634+J611</f>
        <v>0</v>
      </c>
      <c r="K599" s="3930"/>
      <c r="L599" s="3734"/>
      <c r="M599" s="3929">
        <f>+M641+M634+M611</f>
        <v>0</v>
      </c>
      <c r="N599" s="3930"/>
      <c r="O599" s="3734"/>
      <c r="P599" s="3929">
        <f>+P641+P634+P611</f>
        <v>0</v>
      </c>
      <c r="Q599" s="3930"/>
      <c r="R599" s="3734"/>
      <c r="S599" s="3929">
        <f>+S641+S634+S611</f>
        <v>0</v>
      </c>
      <c r="T599" s="3930"/>
      <c r="U599" s="3734"/>
      <c r="V599" s="3929">
        <f>+V641+V634+V611</f>
        <v>0</v>
      </c>
      <c r="W599" s="3930"/>
      <c r="X599" s="3734"/>
      <c r="Y599" s="3929">
        <f>+Y641+Y634+Y611</f>
        <v>0</v>
      </c>
      <c r="Z599" s="3930"/>
      <c r="AA599" s="3734"/>
      <c r="AB599" s="3929">
        <f>+AB641+AB634+AB611</f>
        <v>0</v>
      </c>
      <c r="AC599" s="3930"/>
      <c r="AD599" s="3734"/>
      <c r="AE599" s="3929">
        <f>+AE641+AE634+AE611</f>
        <v>0</v>
      </c>
      <c r="AF599" s="3930"/>
      <c r="AG599" s="3734"/>
      <c r="AH599" s="3929">
        <f>+AH641+AH634+AH611</f>
        <v>0</v>
      </c>
      <c r="AI599" s="3930"/>
      <c r="AJ599" s="3734"/>
      <c r="AK599" s="3929">
        <f>+AK641+AK634+AK611</f>
        <v>0</v>
      </c>
      <c r="AL599" s="3930"/>
      <c r="AM599" s="3734"/>
      <c r="AN599" s="3523"/>
      <c r="AO599" s="3523"/>
      <c r="AP599" s="3523"/>
      <c r="AQ599" s="3523"/>
      <c r="AR599" s="3523"/>
      <c r="AS599" s="3523"/>
      <c r="AT599" s="3523"/>
      <c r="AU599" s="3523"/>
      <c r="AV599" s="3523"/>
      <c r="AW599" s="3523"/>
      <c r="AX599" s="3523"/>
      <c r="AY599" s="3523"/>
      <c r="AZ599" s="3523"/>
    </row>
    <row r="600" spans="1:52" s="3437" customFormat="1" ht="15.05" thickBot="1" x14ac:dyDescent="0.35">
      <c r="B600" s="3927" t="str">
        <f>+B576</f>
        <v>Oferta de Cultivos de Reserva</v>
      </c>
      <c r="C600" s="3928"/>
      <c r="D600" s="3931">
        <f>+D642+D635+D612</f>
        <v>0</v>
      </c>
      <c r="E600" s="3523"/>
      <c r="F600" s="3734"/>
      <c r="G600" s="3931">
        <f>+G642+G635+G612</f>
        <v>0</v>
      </c>
      <c r="H600" s="3523"/>
      <c r="I600" s="3734"/>
      <c r="J600" s="3931">
        <f>+J642+J635+J612</f>
        <v>0</v>
      </c>
      <c r="K600" s="3523"/>
      <c r="L600" s="3734"/>
      <c r="M600" s="3931">
        <f>+M642+M635+M612</f>
        <v>0</v>
      </c>
      <c r="N600" s="3523"/>
      <c r="O600" s="3734"/>
      <c r="P600" s="3931">
        <f>+P642+P635+P612</f>
        <v>0</v>
      </c>
      <c r="Q600" s="3523"/>
      <c r="R600" s="3734"/>
      <c r="S600" s="3931">
        <f>+S642+S635+S612</f>
        <v>0</v>
      </c>
      <c r="T600" s="3523"/>
      <c r="U600" s="3734"/>
      <c r="V600" s="3931">
        <f>+V642+V635+V612</f>
        <v>0</v>
      </c>
      <c r="W600" s="3523"/>
      <c r="X600" s="3734"/>
      <c r="Y600" s="3931">
        <f>+Y642+Y635+Y612</f>
        <v>0</v>
      </c>
      <c r="Z600" s="3523"/>
      <c r="AA600" s="3734"/>
      <c r="AB600" s="3931">
        <f>+AB642+AB635+AB612</f>
        <v>0</v>
      </c>
      <c r="AC600" s="3523"/>
      <c r="AD600" s="3734"/>
      <c r="AE600" s="3931">
        <f>+AE642+AE635+AE612</f>
        <v>0</v>
      </c>
      <c r="AF600" s="3523"/>
      <c r="AG600" s="3734"/>
      <c r="AH600" s="3931">
        <f>+AH642+AH635+AH612</f>
        <v>0</v>
      </c>
      <c r="AI600" s="3523"/>
      <c r="AJ600" s="3734"/>
      <c r="AK600" s="3931">
        <f>+AK642+AK635+AK612</f>
        <v>0</v>
      </c>
      <c r="AL600" s="3523"/>
      <c r="AM600" s="3734"/>
      <c r="AN600" s="3523"/>
      <c r="AO600" s="3523"/>
      <c r="AP600" s="3523"/>
      <c r="AQ600" s="3523"/>
      <c r="AR600" s="3523"/>
      <c r="AS600" s="3523"/>
      <c r="AT600" s="3523"/>
      <c r="AU600" s="3523"/>
      <c r="AV600" s="3523"/>
      <c r="AW600" s="3523"/>
      <c r="AX600" s="3523"/>
      <c r="AY600" s="3523"/>
      <c r="AZ600" s="3523"/>
    </row>
    <row r="601" spans="1:52" s="3437" customFormat="1" ht="15.05" thickBot="1" x14ac:dyDescent="0.35">
      <c r="B601" s="3927" t="s">
        <v>1371</v>
      </c>
      <c r="C601" s="3928"/>
      <c r="D601" s="3932"/>
      <c r="E601" s="3653">
        <f>+E640+E633+E613</f>
        <v>0</v>
      </c>
      <c r="F601" s="3835"/>
      <c r="G601" s="3932"/>
      <c r="H601" s="3653">
        <f>+H640+H633+H613</f>
        <v>0</v>
      </c>
      <c r="I601" s="3835"/>
      <c r="J601" s="3932"/>
      <c r="K601" s="3653">
        <f>+K640+K633+K613</f>
        <v>0</v>
      </c>
      <c r="L601" s="3835"/>
      <c r="M601" s="3932"/>
      <c r="N601" s="3653">
        <f>+N640+N633+N613</f>
        <v>0</v>
      </c>
      <c r="O601" s="3835"/>
      <c r="P601" s="3932"/>
      <c r="Q601" s="3653">
        <f>+Q640+Q633+Q613</f>
        <v>0</v>
      </c>
      <c r="R601" s="3835"/>
      <c r="S601" s="3932"/>
      <c r="T601" s="3653">
        <f>+T640+T633+T613</f>
        <v>0</v>
      </c>
      <c r="U601" s="3835"/>
      <c r="V601" s="3932"/>
      <c r="W601" s="3653">
        <f>+W640+W633+W613</f>
        <v>0</v>
      </c>
      <c r="X601" s="3835"/>
      <c r="Y601" s="3932"/>
      <c r="Z601" s="3653">
        <f>+Z640+Z633+Z613</f>
        <v>0</v>
      </c>
      <c r="AA601" s="3835"/>
      <c r="AB601" s="3932"/>
      <c r="AC601" s="3653">
        <f>+AC640+AC633+AC613</f>
        <v>0</v>
      </c>
      <c r="AD601" s="3835"/>
      <c r="AE601" s="3932"/>
      <c r="AF601" s="3653">
        <f>+AF640+AF633+AF613</f>
        <v>0</v>
      </c>
      <c r="AG601" s="3835"/>
      <c r="AH601" s="3932"/>
      <c r="AI601" s="3653">
        <f>+AI640+AI633+AI613</f>
        <v>0</v>
      </c>
      <c r="AJ601" s="3835"/>
      <c r="AK601" s="3932"/>
      <c r="AL601" s="3653">
        <f>+AL640+AL633+AL613</f>
        <v>0</v>
      </c>
      <c r="AM601" s="3835"/>
      <c r="AN601" s="3523"/>
      <c r="AO601" s="3523"/>
      <c r="AP601" s="3523"/>
      <c r="AQ601" s="3523"/>
      <c r="AR601" s="3523"/>
      <c r="AS601" s="3523"/>
      <c r="AT601" s="3523"/>
      <c r="AU601" s="3523"/>
      <c r="AV601" s="3523"/>
      <c r="AW601" s="3523"/>
      <c r="AX601" s="3523"/>
      <c r="AY601" s="3523"/>
      <c r="AZ601" s="3523"/>
    </row>
    <row r="602" spans="1:52" s="3437" customFormat="1" x14ac:dyDescent="0.3">
      <c r="B602" s="3909"/>
      <c r="D602" s="3523"/>
      <c r="E602" s="3523"/>
      <c r="F602" s="3523"/>
      <c r="H602" s="3523"/>
      <c r="I602" s="3523"/>
      <c r="K602" s="3523"/>
      <c r="L602" s="3523"/>
      <c r="N602" s="3523"/>
      <c r="O602" s="3523"/>
      <c r="Q602" s="3523"/>
      <c r="R602" s="3523"/>
      <c r="T602" s="3523"/>
      <c r="U602" s="3523"/>
      <c r="W602" s="3523"/>
      <c r="X602" s="3523"/>
      <c r="Z602" s="3523"/>
      <c r="AA602" s="3523"/>
      <c r="AC602" s="3523"/>
      <c r="AD602" s="3523"/>
      <c r="AF602" s="3523"/>
      <c r="AG602" s="3523"/>
      <c r="AI602" s="3523"/>
      <c r="AJ602" s="3523"/>
      <c r="AL602" s="3523"/>
      <c r="AM602" s="3523"/>
      <c r="AN602" s="3523"/>
      <c r="AO602" s="3523"/>
      <c r="AP602" s="3523"/>
      <c r="AQ602" s="3523"/>
      <c r="AR602" s="3523"/>
      <c r="AS602" s="3523"/>
      <c r="AT602" s="3523"/>
      <c r="AU602" s="3523"/>
      <c r="AV602" s="3523"/>
      <c r="AW602" s="3523"/>
      <c r="AX602" s="3523"/>
      <c r="AY602" s="3523"/>
      <c r="AZ602" s="3523"/>
    </row>
    <row r="603" spans="1:52" s="3437" customFormat="1" x14ac:dyDescent="0.3">
      <c r="B603" s="3909"/>
      <c r="D603" s="3523"/>
      <c r="E603" s="3523"/>
      <c r="F603" s="3523"/>
      <c r="H603" s="3523"/>
      <c r="I603" s="3523"/>
      <c r="K603" s="3523"/>
      <c r="L603" s="3523"/>
      <c r="N603" s="3523"/>
      <c r="O603" s="3523"/>
      <c r="Q603" s="3523"/>
      <c r="R603" s="3523"/>
      <c r="T603" s="3523"/>
      <c r="U603" s="3523"/>
      <c r="W603" s="3523"/>
      <c r="X603" s="3523"/>
      <c r="Z603" s="3523"/>
      <c r="AA603" s="3523"/>
      <c r="AC603" s="3523"/>
      <c r="AD603" s="3523"/>
      <c r="AF603" s="3523"/>
      <c r="AG603" s="3523"/>
      <c r="AI603" s="3523"/>
      <c r="AJ603" s="3523"/>
      <c r="AL603" s="3523"/>
      <c r="AM603" s="3523"/>
      <c r="AN603" s="3523"/>
      <c r="AO603" s="3523"/>
      <c r="AP603" s="3523"/>
      <c r="AQ603" s="3523"/>
      <c r="AR603" s="3523"/>
      <c r="AS603" s="3523"/>
      <c r="AT603" s="3523"/>
      <c r="AU603" s="3523"/>
      <c r="AV603" s="3523"/>
      <c r="AW603" s="3523"/>
      <c r="AX603" s="3523"/>
      <c r="AY603" s="3523"/>
      <c r="AZ603" s="3523"/>
    </row>
    <row r="604" spans="1:52" s="3437" customFormat="1" x14ac:dyDescent="0.3">
      <c r="A604" s="2487">
        <f>+A92</f>
        <v>92</v>
      </c>
      <c r="B604" s="3454" t="str">
        <f>+E92</f>
        <v xml:space="preserve">Saldo Acumulado Mensual del Balance Forrajero Global (toneladas de MS)   </v>
      </c>
      <c r="C604" s="3455"/>
      <c r="D604" s="3455"/>
      <c r="E604" s="3455"/>
      <c r="F604" s="3455"/>
      <c r="G604" s="3455"/>
      <c r="H604" s="3455"/>
      <c r="I604" s="3455"/>
      <c r="J604" s="3455"/>
      <c r="K604" s="3455"/>
      <c r="L604" s="3455"/>
      <c r="M604" s="3455"/>
      <c r="N604" s="3455"/>
      <c r="O604" s="3455"/>
      <c r="P604" s="3455"/>
      <c r="Q604" s="3455"/>
      <c r="R604" s="3456"/>
      <c r="T604" s="3523"/>
      <c r="U604" s="3523"/>
      <c r="W604" s="3523"/>
      <c r="X604" s="3523"/>
      <c r="Z604" s="3523"/>
      <c r="AA604" s="3523"/>
      <c r="AC604" s="3523"/>
      <c r="AD604" s="3523"/>
      <c r="AF604" s="3523"/>
      <c r="AG604" s="3523"/>
      <c r="AI604" s="3523"/>
      <c r="AJ604" s="3523"/>
      <c r="AL604" s="3523"/>
      <c r="AM604" s="3523"/>
      <c r="AN604" s="3523"/>
      <c r="AO604" s="3523"/>
      <c r="AP604" s="3523"/>
      <c r="AQ604" s="3523"/>
      <c r="AR604" s="3523"/>
      <c r="AS604" s="3523"/>
      <c r="AT604" s="3523"/>
      <c r="AU604" s="3523"/>
      <c r="AV604" s="3523"/>
      <c r="AW604" s="3523"/>
      <c r="AX604" s="3523"/>
      <c r="AY604" s="3523"/>
      <c r="AZ604" s="3523"/>
    </row>
    <row r="605" spans="1:52" s="3437" customFormat="1" ht="15.05" thickBot="1" x14ac:dyDescent="0.35">
      <c r="B605" s="3909"/>
      <c r="D605" s="3933" t="str">
        <f t="shared" ref="D605:O605" si="131">+E646</f>
        <v>Ene</v>
      </c>
      <c r="E605" s="3933" t="str">
        <f t="shared" si="131"/>
        <v>Feb</v>
      </c>
      <c r="F605" s="3933" t="str">
        <f t="shared" si="131"/>
        <v>Mar</v>
      </c>
      <c r="G605" s="3933" t="str">
        <f t="shared" si="131"/>
        <v>Abr</v>
      </c>
      <c r="H605" s="3933" t="str">
        <f t="shared" si="131"/>
        <v>May</v>
      </c>
      <c r="I605" s="3933" t="str">
        <f t="shared" si="131"/>
        <v>Jun</v>
      </c>
      <c r="J605" s="3933" t="str">
        <f t="shared" si="131"/>
        <v>Jul</v>
      </c>
      <c r="K605" s="3933" t="str">
        <f t="shared" si="131"/>
        <v>Ago</v>
      </c>
      <c r="L605" s="3933" t="str">
        <f t="shared" si="131"/>
        <v>Set</v>
      </c>
      <c r="M605" s="3933" t="str">
        <f t="shared" si="131"/>
        <v>Oct</v>
      </c>
      <c r="N605" s="3933" t="str">
        <f t="shared" si="131"/>
        <v>Nov</v>
      </c>
      <c r="O605" s="3933" t="str">
        <f t="shared" si="131"/>
        <v>Dic</v>
      </c>
      <c r="Q605" s="3523"/>
      <c r="R605" s="3523"/>
      <c r="T605" s="3523"/>
      <c r="U605" s="3523"/>
      <c r="W605" s="3523"/>
      <c r="X605" s="3523"/>
      <c r="Z605" s="3523"/>
      <c r="AA605" s="3523"/>
      <c r="AC605" s="3523"/>
      <c r="AD605" s="3523"/>
      <c r="AF605" s="3523"/>
      <c r="AG605" s="3523"/>
      <c r="AI605" s="3523"/>
      <c r="AJ605" s="3523"/>
      <c r="AL605" s="3523"/>
      <c r="AM605" s="3523"/>
      <c r="AN605" s="3523"/>
      <c r="AO605" s="3523"/>
      <c r="AP605" s="3523"/>
      <c r="AQ605" s="3523"/>
      <c r="AR605" s="3523"/>
      <c r="AS605" s="3523"/>
      <c r="AT605" s="3523"/>
      <c r="AU605" s="3523"/>
      <c r="AV605" s="3523"/>
      <c r="AW605" s="3523"/>
      <c r="AX605" s="3523"/>
      <c r="AY605" s="3523"/>
      <c r="AZ605" s="3523"/>
    </row>
    <row r="606" spans="1:52" s="3437" customFormat="1" ht="15.05" thickBot="1" x14ac:dyDescent="0.35">
      <c r="B606" s="3934" t="s">
        <v>1385</v>
      </c>
      <c r="C606" s="3928"/>
      <c r="D606" s="3774">
        <f>+D599+D600-E601</f>
        <v>0</v>
      </c>
      <c r="E606" s="3933">
        <f>+D606+G599+G600-H601</f>
        <v>0</v>
      </c>
      <c r="F606" s="3933">
        <f>+E606+J599+J600-K601</f>
        <v>0</v>
      </c>
      <c r="G606" s="3933">
        <f>+F606+M599+M600-N601</f>
        <v>0</v>
      </c>
      <c r="H606" s="3933">
        <f>+G606+P599+P600-Q601</f>
        <v>0</v>
      </c>
      <c r="I606" s="3933">
        <f>+H606+S599+S600-T601</f>
        <v>0</v>
      </c>
      <c r="J606" s="3933">
        <f>+I606+V599+V600-W601</f>
        <v>0</v>
      </c>
      <c r="K606" s="3933">
        <f>+J606+Y599+Y600-Z601</f>
        <v>0</v>
      </c>
      <c r="L606" s="3933">
        <f>+K606+AB599+AB600-AC601</f>
        <v>0</v>
      </c>
      <c r="M606" s="3933">
        <f>+L606+AE599+AE600-AF601</f>
        <v>0</v>
      </c>
      <c r="N606" s="3933">
        <f>+M606+AH599+AH600-AI601</f>
        <v>0</v>
      </c>
      <c r="O606" s="3933">
        <f>+N606+AK599+AK600-AL601</f>
        <v>0</v>
      </c>
      <c r="U606" s="3523"/>
      <c r="V606" s="3523"/>
      <c r="W606" s="3523"/>
      <c r="X606" s="3523"/>
      <c r="Y606" s="3523"/>
      <c r="Z606" s="3523"/>
      <c r="AA606" s="3523"/>
      <c r="AB606" s="3523"/>
      <c r="AC606" s="3523"/>
      <c r="AD606" s="3523"/>
      <c r="AE606" s="3523"/>
      <c r="AF606" s="3523"/>
      <c r="AG606" s="3523"/>
    </row>
    <row r="607" spans="1:52" s="3909" customFormat="1" x14ac:dyDescent="0.3">
      <c r="B607" s="3916"/>
      <c r="C607" s="3467"/>
      <c r="D607" s="3467"/>
      <c r="E607" s="3467"/>
      <c r="F607" s="3467"/>
      <c r="G607" s="3916"/>
      <c r="I607" s="3467"/>
      <c r="P607" s="3467"/>
      <c r="Q607" s="3467"/>
      <c r="R607" s="3467"/>
      <c r="S607" s="3467"/>
      <c r="T607" s="3467"/>
      <c r="U607" s="3467"/>
    </row>
    <row r="608" spans="1:52" s="3452" customFormat="1" ht="15.05" thickBot="1" x14ac:dyDescent="0.35">
      <c r="A608" s="2487">
        <f>+A115</f>
        <v>93</v>
      </c>
      <c r="B608" s="3454" t="str">
        <f>+E115</f>
        <v>Balance Forrajero Mensual Vacas en Ordeñe (Oferta de la SPVO y Requerimientos de VO)</v>
      </c>
      <c r="C608" s="3455"/>
      <c r="D608" s="3455"/>
      <c r="E608" s="3455"/>
      <c r="F608" s="3455"/>
      <c r="G608" s="3455"/>
      <c r="H608" s="3455"/>
      <c r="I608" s="3455"/>
      <c r="J608" s="3455"/>
      <c r="K608" s="3455"/>
      <c r="L608" s="3455"/>
      <c r="M608" s="3455"/>
      <c r="N608" s="3455"/>
      <c r="O608" s="3455"/>
      <c r="P608" s="3455"/>
      <c r="Q608" s="3455"/>
      <c r="R608" s="3456"/>
      <c r="S608" s="3453"/>
      <c r="T608" s="3453"/>
      <c r="U608" s="3453"/>
    </row>
    <row r="609" spans="1:52" s="3437" customFormat="1" ht="15.05" thickBot="1" x14ac:dyDescent="0.35">
      <c r="D609" s="3921" t="str">
        <f>+G5</f>
        <v>Ene</v>
      </c>
      <c r="E609" s="3922"/>
      <c r="F609" s="3923"/>
      <c r="G609" s="3921" t="str">
        <f>+H5</f>
        <v>Feb</v>
      </c>
      <c r="H609" s="3922"/>
      <c r="I609" s="3923"/>
      <c r="J609" s="3921" t="str">
        <f>+I5</f>
        <v>Mar</v>
      </c>
      <c r="K609" s="3922"/>
      <c r="L609" s="3923"/>
      <c r="M609" s="3921" t="str">
        <f>+J5</f>
        <v>Abr</v>
      </c>
      <c r="N609" s="3922"/>
      <c r="O609" s="3923"/>
      <c r="P609" s="3921" t="str">
        <f>+K5</f>
        <v>May</v>
      </c>
      <c r="Q609" s="3922"/>
      <c r="R609" s="3923"/>
      <c r="S609" s="3921" t="str">
        <f>+L5</f>
        <v>Jun</v>
      </c>
      <c r="T609" s="3922"/>
      <c r="U609" s="3923"/>
      <c r="V609" s="3921" t="str">
        <f>+M5</f>
        <v>Jul</v>
      </c>
      <c r="W609" s="3922"/>
      <c r="X609" s="3923"/>
      <c r="Y609" s="3921" t="str">
        <f>+N5</f>
        <v>Ago</v>
      </c>
      <c r="Z609" s="3922"/>
      <c r="AA609" s="3923"/>
      <c r="AB609" s="3921" t="str">
        <f>+O5</f>
        <v>Set</v>
      </c>
      <c r="AC609" s="3922"/>
      <c r="AD609" s="3923"/>
      <c r="AE609" s="3921" t="str">
        <f>+P5</f>
        <v>Oct</v>
      </c>
      <c r="AF609" s="3922"/>
      <c r="AG609" s="3923"/>
      <c r="AH609" s="3921" t="str">
        <f>+Q5</f>
        <v>Nov</v>
      </c>
      <c r="AI609" s="3922"/>
      <c r="AJ609" s="3923"/>
      <c r="AK609" s="3921" t="str">
        <f>+R5</f>
        <v>Dic</v>
      </c>
      <c r="AL609" s="3922"/>
      <c r="AM609" s="3923"/>
      <c r="AN609" s="3523"/>
      <c r="AO609" s="3523"/>
      <c r="AP609" s="3523"/>
      <c r="AQ609" s="3523"/>
      <c r="AR609" s="3523"/>
      <c r="AS609" s="3523"/>
      <c r="AT609" s="3523"/>
      <c r="AU609" s="3523"/>
      <c r="AV609" s="3523"/>
      <c r="AW609" s="3523"/>
    </row>
    <row r="610" spans="1:52" s="3437" customFormat="1" ht="15.05" thickBot="1" x14ac:dyDescent="0.35">
      <c r="B610" s="3437" t="s">
        <v>1141</v>
      </c>
      <c r="D610" s="3924" t="s">
        <v>1373</v>
      </c>
      <c r="E610" s="3925" t="s">
        <v>1372</v>
      </c>
      <c r="F610" s="3926"/>
      <c r="G610" s="3924" t="s">
        <v>1373</v>
      </c>
      <c r="H610" s="3925" t="s">
        <v>1372</v>
      </c>
      <c r="I610" s="3926"/>
      <c r="J610" s="3924" t="s">
        <v>1373</v>
      </c>
      <c r="K610" s="3925" t="s">
        <v>1372</v>
      </c>
      <c r="L610" s="3926"/>
      <c r="M610" s="3924" t="s">
        <v>1373</v>
      </c>
      <c r="N610" s="3925" t="s">
        <v>1372</v>
      </c>
      <c r="O610" s="3926"/>
      <c r="P610" s="3924" t="s">
        <v>1373</v>
      </c>
      <c r="Q610" s="3925" t="s">
        <v>1372</v>
      </c>
      <c r="R610" s="3926"/>
      <c r="S610" s="3924" t="s">
        <v>1373</v>
      </c>
      <c r="T610" s="3925" t="s">
        <v>1372</v>
      </c>
      <c r="U610" s="3926"/>
      <c r="V610" s="3924" t="s">
        <v>1373</v>
      </c>
      <c r="W610" s="3925" t="s">
        <v>1372</v>
      </c>
      <c r="X610" s="3926"/>
      <c r="Y610" s="3924" t="s">
        <v>1373</v>
      </c>
      <c r="Z610" s="3925" t="s">
        <v>1372</v>
      </c>
      <c r="AA610" s="3926"/>
      <c r="AB610" s="3924" t="s">
        <v>1373</v>
      </c>
      <c r="AC610" s="3925" t="s">
        <v>1372</v>
      </c>
      <c r="AD610" s="3926"/>
      <c r="AE610" s="3924" t="s">
        <v>1373</v>
      </c>
      <c r="AF610" s="3925" t="s">
        <v>1372</v>
      </c>
      <c r="AG610" s="3926"/>
      <c r="AH610" s="3924" t="s">
        <v>1373</v>
      </c>
      <c r="AI610" s="3925" t="s">
        <v>1372</v>
      </c>
      <c r="AJ610" s="3926"/>
      <c r="AK610" s="3924" t="s">
        <v>1373</v>
      </c>
      <c r="AL610" s="3925" t="s">
        <v>1372</v>
      </c>
      <c r="AM610" s="3926"/>
      <c r="AN610" s="3523"/>
      <c r="AO610" s="3523"/>
      <c r="AP610" s="3523"/>
      <c r="AQ610" s="3523"/>
      <c r="AR610" s="3523"/>
      <c r="AS610" s="3523"/>
      <c r="AT610" s="3523"/>
      <c r="AU610" s="3523"/>
      <c r="AV610" s="3523"/>
      <c r="AW610" s="3523"/>
      <c r="AX610" s="3523"/>
      <c r="AY610" s="3523"/>
    </row>
    <row r="611" spans="1:52" s="3437" customFormat="1" ht="15.05" thickBot="1" x14ac:dyDescent="0.35">
      <c r="B611" s="3927" t="str">
        <f>+B599</f>
        <v>Oferta de Forraje (Pastoreo Directo +  Reservas de Excedentes)</v>
      </c>
      <c r="C611" s="3928"/>
      <c r="D611" s="3929">
        <f>(G145*G139*G137)/1000</f>
        <v>0</v>
      </c>
      <c r="E611" s="3930"/>
      <c r="F611" s="3734"/>
      <c r="G611" s="3929">
        <f>(H145*H139*H137)/1000</f>
        <v>0</v>
      </c>
      <c r="H611" s="3930"/>
      <c r="I611" s="3734"/>
      <c r="J611" s="3929">
        <f>(I145*I139*I137)/1000</f>
        <v>0</v>
      </c>
      <c r="K611" s="3930"/>
      <c r="L611" s="3734"/>
      <c r="M611" s="3929">
        <f>(J145*J139*J137)/1000</f>
        <v>0</v>
      </c>
      <c r="N611" s="3930"/>
      <c r="O611" s="3734"/>
      <c r="P611" s="3929">
        <f>(K145*K139*K137)/1000</f>
        <v>0</v>
      </c>
      <c r="Q611" s="3930"/>
      <c r="R611" s="3734"/>
      <c r="S611" s="3929">
        <f>(L145*L139*L137)/1000</f>
        <v>0</v>
      </c>
      <c r="T611" s="3930"/>
      <c r="U611" s="3734"/>
      <c r="V611" s="3929">
        <f>(M145*M139*M137)/1000</f>
        <v>0</v>
      </c>
      <c r="W611" s="3930"/>
      <c r="X611" s="3734"/>
      <c r="Y611" s="3929">
        <f>(N145*N139*N137)/1000</f>
        <v>0</v>
      </c>
      <c r="Z611" s="3930"/>
      <c r="AA611" s="3734"/>
      <c r="AB611" s="3929">
        <f>(O145*O139*O137)/1000</f>
        <v>0</v>
      </c>
      <c r="AC611" s="3930"/>
      <c r="AD611" s="3734"/>
      <c r="AE611" s="3929">
        <f>(P145*P139*P137)/1000</f>
        <v>0</v>
      </c>
      <c r="AF611" s="3930"/>
      <c r="AG611" s="3734"/>
      <c r="AH611" s="3929">
        <f>(Q145*Q139*Q137)/1000</f>
        <v>0</v>
      </c>
      <c r="AI611" s="3930"/>
      <c r="AJ611" s="3734"/>
      <c r="AK611" s="3929">
        <f>(R145*R139*R137)/1000</f>
        <v>0</v>
      </c>
      <c r="AL611" s="3930"/>
      <c r="AM611" s="3734"/>
      <c r="AN611" s="3523"/>
      <c r="AO611" s="3523"/>
      <c r="AP611" s="3523"/>
      <c r="AQ611" s="3523"/>
      <c r="AR611" s="3523"/>
      <c r="AS611" s="3523"/>
      <c r="AT611" s="3523"/>
      <c r="AU611" s="3523"/>
      <c r="AV611" s="3523"/>
      <c r="AW611" s="3523"/>
      <c r="AX611" s="3523"/>
      <c r="AY611" s="3523"/>
      <c r="AZ611" s="3523"/>
    </row>
    <row r="612" spans="1:52" s="3437" customFormat="1" ht="15.05" thickBot="1" x14ac:dyDescent="0.35">
      <c r="B612" s="3927" t="str">
        <f>+B600</f>
        <v>Oferta de Cultivos de Reserva</v>
      </c>
      <c r="C612" s="3928"/>
      <c r="D612" s="3931">
        <f>UsoSuelo!S737/1000</f>
        <v>0</v>
      </c>
      <c r="E612" s="3523"/>
      <c r="F612" s="3734"/>
      <c r="G612" s="3931">
        <f>UsoSuelo!T737/1000</f>
        <v>0</v>
      </c>
      <c r="H612" s="3523"/>
      <c r="I612" s="3734"/>
      <c r="J612" s="3931">
        <f>UsoSuelo!U737/1000</f>
        <v>0</v>
      </c>
      <c r="K612" s="3523"/>
      <c r="L612" s="3734"/>
      <c r="M612" s="3931">
        <f>UsoSuelo!V737/1000</f>
        <v>0</v>
      </c>
      <c r="N612" s="3523"/>
      <c r="O612" s="3734"/>
      <c r="P612" s="3931">
        <f>UsoSuelo!W737/1000</f>
        <v>0</v>
      </c>
      <c r="Q612" s="3523"/>
      <c r="R612" s="3734"/>
      <c r="S612" s="3931">
        <f>UsoSuelo!X737/1000</f>
        <v>0</v>
      </c>
      <c r="T612" s="3523"/>
      <c r="U612" s="3734"/>
      <c r="V612" s="3931">
        <f>UsoSuelo!Y737/1000</f>
        <v>0</v>
      </c>
      <c r="W612" s="3523"/>
      <c r="X612" s="3734"/>
      <c r="Y612" s="3931">
        <f>UsoSuelo!Z737/1000</f>
        <v>0</v>
      </c>
      <c r="Z612" s="3523"/>
      <c r="AA612" s="3734"/>
      <c r="AB612" s="3931">
        <f>UsoSuelo!AA737/1000</f>
        <v>0</v>
      </c>
      <c r="AC612" s="3523"/>
      <c r="AD612" s="3734"/>
      <c r="AE612" s="3931">
        <f>UsoSuelo!AB737/1000</f>
        <v>0</v>
      </c>
      <c r="AF612" s="3523"/>
      <c r="AG612" s="3734"/>
      <c r="AH612" s="3931">
        <f>UsoSuelo!AC737/1000</f>
        <v>0</v>
      </c>
      <c r="AI612" s="3523"/>
      <c r="AJ612" s="3734"/>
      <c r="AK612" s="3931">
        <f>UsoSuelo!AD737/1000</f>
        <v>0</v>
      </c>
      <c r="AL612" s="3523"/>
      <c r="AM612" s="3734"/>
      <c r="AN612" s="3523"/>
      <c r="AO612" s="3523"/>
      <c r="AP612" s="3523"/>
      <c r="AQ612" s="3523"/>
      <c r="AR612" s="3523"/>
      <c r="AS612" s="3523"/>
      <c r="AT612" s="3523"/>
      <c r="AU612" s="3523"/>
      <c r="AV612" s="3523"/>
      <c r="AW612" s="3523"/>
      <c r="AX612" s="3523"/>
      <c r="AY612" s="3523"/>
      <c r="AZ612" s="3523"/>
    </row>
    <row r="613" spans="1:52" s="3437" customFormat="1" ht="15.05" thickBot="1" x14ac:dyDescent="0.35">
      <c r="B613" s="3927" t="s">
        <v>1371</v>
      </c>
      <c r="C613" s="3928"/>
      <c r="D613" s="3932"/>
      <c r="E613" s="3653">
        <f>(G146*G139*G137)/1000</f>
        <v>0</v>
      </c>
      <c r="F613" s="3835"/>
      <c r="G613" s="3932"/>
      <c r="H613" s="3653">
        <f>(H146*H139*H137)/1000</f>
        <v>0</v>
      </c>
      <c r="I613" s="3835"/>
      <c r="J613" s="3932"/>
      <c r="K613" s="3653">
        <f>(I146*I139*I137)/1000</f>
        <v>0</v>
      </c>
      <c r="L613" s="3835"/>
      <c r="M613" s="3932"/>
      <c r="N613" s="3653">
        <f>(J146*J139*J137)/1000</f>
        <v>0</v>
      </c>
      <c r="O613" s="3835"/>
      <c r="P613" s="3932"/>
      <c r="Q613" s="3653">
        <f>(K146*K139*K137)/1000</f>
        <v>0</v>
      </c>
      <c r="R613" s="3835"/>
      <c r="S613" s="3932"/>
      <c r="T613" s="3653">
        <f>(L146*L139*L137)/1000</f>
        <v>0</v>
      </c>
      <c r="U613" s="3835"/>
      <c r="V613" s="3932"/>
      <c r="W613" s="3653">
        <f>(M146*M139*M137)/1000</f>
        <v>0</v>
      </c>
      <c r="X613" s="3835"/>
      <c r="Y613" s="3932"/>
      <c r="Z613" s="3653">
        <f>(N146*N139*N137)/1000</f>
        <v>0</v>
      </c>
      <c r="AA613" s="3835"/>
      <c r="AB613" s="3932"/>
      <c r="AC613" s="3653">
        <f>(O146*O139*O137)/1000</f>
        <v>0</v>
      </c>
      <c r="AD613" s="3835"/>
      <c r="AE613" s="3932"/>
      <c r="AF613" s="3653">
        <f>(P146*P139*P137)/1000</f>
        <v>0</v>
      </c>
      <c r="AG613" s="3835"/>
      <c r="AH613" s="3932"/>
      <c r="AI613" s="3653">
        <f>(Q146*Q139*Q137)/1000</f>
        <v>0</v>
      </c>
      <c r="AJ613" s="3835"/>
      <c r="AK613" s="3932"/>
      <c r="AL613" s="3653">
        <f>(R146*R139*R137)/1000</f>
        <v>0</v>
      </c>
      <c r="AM613" s="3835"/>
      <c r="AN613" s="3523"/>
      <c r="AO613" s="3523"/>
      <c r="AP613" s="3523"/>
      <c r="AQ613" s="3523"/>
      <c r="AR613" s="3523"/>
      <c r="AS613" s="3523"/>
      <c r="AT613" s="3523"/>
      <c r="AU613" s="3523"/>
      <c r="AV613" s="3523"/>
      <c r="AW613" s="3523"/>
      <c r="AX613" s="3523"/>
      <c r="AY613" s="3523"/>
      <c r="AZ613" s="3523"/>
    </row>
    <row r="614" spans="1:52" s="3437" customFormat="1" x14ac:dyDescent="0.3">
      <c r="B614" s="3452"/>
      <c r="E614" s="3523"/>
      <c r="F614" s="3523"/>
      <c r="H614" s="3523"/>
      <c r="I614" s="3523"/>
      <c r="K614" s="3523"/>
      <c r="L614" s="3523"/>
      <c r="N614" s="3523"/>
      <c r="O614" s="3523"/>
      <c r="Q614" s="3523"/>
      <c r="R614" s="3523"/>
      <c r="T614" s="3523"/>
      <c r="U614" s="3523"/>
      <c r="W614" s="3523"/>
      <c r="X614" s="3523"/>
      <c r="Z614" s="3523"/>
      <c r="AA614" s="3523"/>
      <c r="AC614" s="3523"/>
      <c r="AD614" s="3523"/>
      <c r="AF614" s="3523"/>
      <c r="AG614" s="3523"/>
      <c r="AI614" s="3523"/>
      <c r="AJ614" s="3523"/>
      <c r="AL614" s="3523"/>
      <c r="AM614" s="3523"/>
      <c r="AN614" s="3523"/>
      <c r="AO614" s="3523"/>
      <c r="AP614" s="3523"/>
      <c r="AQ614" s="3523"/>
      <c r="AR614" s="3523"/>
      <c r="AS614" s="3523"/>
      <c r="AT614" s="3523"/>
      <c r="AU614" s="3523"/>
      <c r="AV614" s="3523"/>
      <c r="AW614" s="3523"/>
      <c r="AX614" s="3523"/>
      <c r="AY614" s="3523"/>
      <c r="AZ614" s="3523"/>
    </row>
    <row r="615" spans="1:52" s="3437" customFormat="1" x14ac:dyDescent="0.3">
      <c r="B615" s="3915" t="s">
        <v>1379</v>
      </c>
      <c r="C615" s="3935">
        <f>+G592+G593</f>
        <v>0</v>
      </c>
      <c r="E615" s="3523"/>
      <c r="F615" s="3523"/>
      <c r="H615" s="3523"/>
      <c r="I615" s="3523"/>
      <c r="K615" s="3523"/>
      <c r="L615" s="3523"/>
      <c r="N615" s="3523"/>
      <c r="O615" s="3523"/>
      <c r="Q615" s="3523"/>
      <c r="R615" s="3523"/>
      <c r="T615" s="3523"/>
      <c r="U615" s="3523"/>
      <c r="W615" s="3523"/>
      <c r="X615" s="3523"/>
      <c r="Z615" s="3523"/>
      <c r="AA615" s="3523"/>
      <c r="AC615" s="3523"/>
      <c r="AD615" s="3523"/>
      <c r="AF615" s="3523"/>
      <c r="AG615" s="3523"/>
      <c r="AI615" s="3523"/>
      <c r="AJ615" s="3523"/>
      <c r="AL615" s="3523"/>
      <c r="AM615" s="3523"/>
      <c r="AN615" s="3523"/>
      <c r="AO615" s="3523"/>
      <c r="AP615" s="3523"/>
      <c r="AQ615" s="3523"/>
      <c r="AR615" s="3523"/>
      <c r="AS615" s="3523"/>
      <c r="AT615" s="3523"/>
      <c r="AU615" s="3523"/>
      <c r="AV615" s="3523"/>
      <c r="AW615" s="3523"/>
      <c r="AX615" s="3523"/>
      <c r="AY615" s="3523"/>
      <c r="AZ615" s="3523"/>
    </row>
    <row r="616" spans="1:52" s="3437" customFormat="1" x14ac:dyDescent="0.3">
      <c r="B616" s="3915" t="s">
        <v>1381</v>
      </c>
      <c r="C616" s="3935">
        <f>+H594</f>
        <v>0</v>
      </c>
      <c r="E616" s="3523"/>
      <c r="F616" s="3523"/>
      <c r="H616" s="3523"/>
      <c r="I616" s="3523"/>
      <c r="K616" s="3523"/>
      <c r="L616" s="3523"/>
      <c r="N616" s="3523"/>
      <c r="O616" s="3523"/>
      <c r="Q616" s="3523"/>
      <c r="R616" s="3523"/>
      <c r="T616" s="3523"/>
      <c r="U616" s="3523"/>
      <c r="W616" s="3523"/>
      <c r="X616" s="3523"/>
      <c r="Z616" s="3523"/>
      <c r="AA616" s="3523"/>
      <c r="AC616" s="3523"/>
      <c r="AD616" s="3523"/>
      <c r="AF616" s="3523"/>
      <c r="AG616" s="3523"/>
      <c r="AI616" s="3523"/>
      <c r="AJ616" s="3523"/>
      <c r="AL616" s="3523"/>
      <c r="AM616" s="3523"/>
      <c r="AN616" s="3523"/>
      <c r="AO616" s="3523"/>
      <c r="AP616" s="3523"/>
      <c r="AQ616" s="3523"/>
      <c r="AR616" s="3523"/>
      <c r="AS616" s="3523"/>
      <c r="AT616" s="3523"/>
      <c r="AU616" s="3523"/>
      <c r="AV616" s="3523"/>
      <c r="AW616" s="3523"/>
      <c r="AX616" s="3523"/>
      <c r="AY616" s="3523"/>
      <c r="AZ616" s="3523"/>
    </row>
    <row r="617" spans="1:52" s="3437" customFormat="1" x14ac:dyDescent="0.3">
      <c r="B617" s="3915" t="str">
        <f>+B578</f>
        <v>Superávit de Forraje + Reserva</v>
      </c>
      <c r="C617" s="3935" t="b">
        <f>+IF(C619&gt;0,C619)</f>
        <v>0</v>
      </c>
      <c r="E617" s="3523"/>
      <c r="F617" s="3523"/>
      <c r="H617" s="3523"/>
      <c r="I617" s="3523"/>
      <c r="K617" s="3523"/>
      <c r="L617" s="3523"/>
      <c r="N617" s="3523"/>
      <c r="O617" s="3523"/>
      <c r="Q617" s="3523"/>
      <c r="R617" s="3523"/>
      <c r="T617" s="3523"/>
      <c r="U617" s="3523"/>
      <c r="W617" s="3523"/>
      <c r="X617" s="3523"/>
      <c r="Z617" s="3523"/>
      <c r="AA617" s="3523"/>
      <c r="AC617" s="3523"/>
      <c r="AD617" s="3523"/>
      <c r="AF617" s="3523"/>
      <c r="AG617" s="3523"/>
      <c r="AI617" s="3523"/>
      <c r="AJ617" s="3523"/>
      <c r="AL617" s="3523"/>
      <c r="AM617" s="3523"/>
      <c r="AN617" s="3523"/>
      <c r="AO617" s="3523"/>
      <c r="AP617" s="3523"/>
      <c r="AQ617" s="3523"/>
      <c r="AR617" s="3523"/>
      <c r="AS617" s="3523"/>
      <c r="AT617" s="3523"/>
      <c r="AU617" s="3523"/>
      <c r="AV617" s="3523"/>
      <c r="AW617" s="3523"/>
      <c r="AX617" s="3523"/>
      <c r="AY617" s="3523"/>
      <c r="AZ617" s="3523"/>
    </row>
    <row r="618" spans="1:52" s="3437" customFormat="1" x14ac:dyDescent="0.3">
      <c r="B618" s="3915" t="str">
        <f>+B579</f>
        <v>Déficit de Forraje + Reserva</v>
      </c>
      <c r="C618" s="3935" t="b">
        <f>+IF(C619&lt;0,C619)</f>
        <v>0</v>
      </c>
      <c r="E618" s="3523"/>
      <c r="F618" s="3523"/>
      <c r="H618" s="3523"/>
      <c r="I618" s="3523"/>
      <c r="K618" s="3523"/>
      <c r="L618" s="3523"/>
      <c r="N618" s="3523"/>
      <c r="O618" s="3523"/>
      <c r="Q618" s="3523"/>
      <c r="R618" s="3523"/>
      <c r="T618" s="3523"/>
      <c r="U618" s="3523"/>
      <c r="W618" s="3523"/>
      <c r="X618" s="3523"/>
      <c r="Z618" s="3523"/>
      <c r="AA618" s="3523"/>
      <c r="AC618" s="3523"/>
      <c r="AD618" s="3523"/>
      <c r="AF618" s="3523"/>
      <c r="AG618" s="3523"/>
      <c r="AI618" s="3523"/>
      <c r="AJ618" s="3523"/>
      <c r="AL618" s="3523"/>
      <c r="AM618" s="3523"/>
      <c r="AN618" s="3523"/>
      <c r="AO618" s="3523"/>
      <c r="AP618" s="3523"/>
      <c r="AQ618" s="3523"/>
      <c r="AR618" s="3523"/>
      <c r="AS618" s="3523"/>
      <c r="AT618" s="3523"/>
      <c r="AU618" s="3523"/>
      <c r="AV618" s="3523"/>
      <c r="AW618" s="3523"/>
      <c r="AX618" s="3523"/>
      <c r="AY618" s="3523"/>
      <c r="AZ618" s="3523"/>
    </row>
    <row r="619" spans="1:52" s="3437" customFormat="1" x14ac:dyDescent="0.3">
      <c r="B619" s="3915" t="str">
        <f>+B580</f>
        <v xml:space="preserve">Balance </v>
      </c>
      <c r="C619" s="3437">
        <f>+C615-C616</f>
        <v>0</v>
      </c>
      <c r="E619" s="3523"/>
      <c r="F619" s="3523"/>
      <c r="H619" s="3523"/>
      <c r="I619" s="3523"/>
      <c r="K619" s="3523"/>
      <c r="L619" s="3523"/>
      <c r="N619" s="3523"/>
      <c r="O619" s="3523"/>
      <c r="Q619" s="3523"/>
      <c r="R619" s="3523"/>
      <c r="T619" s="3523"/>
      <c r="U619" s="3523"/>
      <c r="W619" s="3523"/>
      <c r="X619" s="3523"/>
      <c r="Z619" s="3523"/>
      <c r="AA619" s="3523"/>
      <c r="AC619" s="3523"/>
      <c r="AD619" s="3523"/>
      <c r="AF619" s="3523"/>
      <c r="AG619" s="3523"/>
      <c r="AI619" s="3523"/>
      <c r="AJ619" s="3523"/>
      <c r="AL619" s="3523"/>
      <c r="AM619" s="3523"/>
      <c r="AN619" s="3523"/>
      <c r="AO619" s="3523"/>
      <c r="AP619" s="3523"/>
      <c r="AQ619" s="3523"/>
      <c r="AR619" s="3523"/>
      <c r="AS619" s="3523"/>
      <c r="AT619" s="3523"/>
      <c r="AU619" s="3523"/>
      <c r="AV619" s="3523"/>
      <c r="AW619" s="3523"/>
      <c r="AX619" s="3523"/>
      <c r="AY619" s="3523"/>
      <c r="AZ619" s="3523"/>
    </row>
    <row r="620" spans="1:52" s="3437" customFormat="1" x14ac:dyDescent="0.3">
      <c r="B620" s="3452"/>
      <c r="E620" s="3523"/>
      <c r="F620" s="3523"/>
      <c r="H620" s="3523"/>
      <c r="I620" s="3523"/>
      <c r="K620" s="3523"/>
      <c r="L620" s="3523"/>
      <c r="N620" s="3523"/>
      <c r="O620" s="3523"/>
      <c r="Q620" s="3523"/>
      <c r="R620" s="3523"/>
      <c r="T620" s="3523"/>
      <c r="U620" s="3523"/>
      <c r="W620" s="3523"/>
      <c r="X620" s="3523"/>
      <c r="Z620" s="3523"/>
      <c r="AA620" s="3523"/>
      <c r="AC620" s="3523"/>
      <c r="AD620" s="3523"/>
      <c r="AF620" s="3523"/>
      <c r="AG620" s="3523"/>
      <c r="AI620" s="3523"/>
      <c r="AJ620" s="3523"/>
      <c r="AL620" s="3523"/>
      <c r="AM620" s="3523"/>
      <c r="AN620" s="3523"/>
      <c r="AO620" s="3523"/>
      <c r="AP620" s="3523"/>
      <c r="AQ620" s="3523"/>
      <c r="AR620" s="3523"/>
      <c r="AS620" s="3523"/>
      <c r="AT620" s="3523"/>
      <c r="AU620" s="3523"/>
      <c r="AV620" s="3523"/>
      <c r="AW620" s="3523"/>
      <c r="AX620" s="3523"/>
      <c r="AY620" s="3523"/>
      <c r="AZ620" s="3523"/>
    </row>
    <row r="621" spans="1:52" s="3452" customFormat="1" ht="15.05" thickBot="1" x14ac:dyDescent="0.35">
      <c r="A621" s="2487">
        <f>+A208</f>
        <v>96</v>
      </c>
      <c r="B621" s="3936" t="str">
        <f>+B208</f>
        <v>Gráfico: Oferta de Forraje (consumida directamentente + Oferta reservada) Vs Consumo total (Forraje, Reservas y Concentrados)</v>
      </c>
      <c r="C621" s="3937"/>
      <c r="D621" s="3455"/>
      <c r="E621" s="3455"/>
      <c r="F621" s="3455"/>
      <c r="G621" s="3455"/>
      <c r="H621" s="3455"/>
      <c r="I621" s="3455"/>
      <c r="J621" s="3455"/>
      <c r="K621" s="3455"/>
      <c r="L621" s="3455"/>
      <c r="M621" s="3455"/>
      <c r="N621" s="3455"/>
      <c r="O621" s="3455"/>
      <c r="P621" s="3455"/>
      <c r="Q621" s="3455"/>
      <c r="R621" s="3456"/>
      <c r="S621" s="3453"/>
      <c r="T621" s="3453"/>
      <c r="U621" s="3453"/>
    </row>
    <row r="622" spans="1:52" s="3440" customFormat="1" ht="15.05" thickBot="1" x14ac:dyDescent="0.35">
      <c r="A622" s="3451"/>
      <c r="B622" s="3938"/>
      <c r="C622" s="3939"/>
      <c r="D622" s="3940" t="str">
        <f>+G5</f>
        <v>Ene</v>
      </c>
      <c r="E622" s="3941"/>
      <c r="F622" s="3941"/>
      <c r="G622" s="3942" t="str">
        <f>+H5</f>
        <v>Feb</v>
      </c>
      <c r="H622" s="3941"/>
      <c r="I622" s="3943"/>
      <c r="J622" s="3942" t="str">
        <f>+I5</f>
        <v>Mar</v>
      </c>
      <c r="K622" s="3941"/>
      <c r="L622" s="3943"/>
      <c r="M622" s="3942" t="str">
        <f>+J5</f>
        <v>Abr</v>
      </c>
      <c r="N622" s="3941"/>
      <c r="O622" s="3943"/>
      <c r="P622" s="3942" t="str">
        <f>+K5</f>
        <v>May</v>
      </c>
      <c r="Q622" s="3941"/>
      <c r="R622" s="3943"/>
      <c r="S622" s="3942" t="str">
        <f>+L5</f>
        <v>Jun</v>
      </c>
      <c r="T622" s="3941"/>
      <c r="U622" s="3943"/>
      <c r="V622" s="3942" t="str">
        <f>+M5</f>
        <v>Jul</v>
      </c>
      <c r="W622" s="3941"/>
      <c r="X622" s="3943"/>
      <c r="Y622" s="3942" t="str">
        <f>+N5</f>
        <v>Ago</v>
      </c>
      <c r="Z622" s="3941"/>
      <c r="AA622" s="3943"/>
      <c r="AB622" s="3942" t="str">
        <f>+O5</f>
        <v>Set</v>
      </c>
      <c r="AC622" s="3941"/>
      <c r="AD622" s="3943"/>
      <c r="AE622" s="3942" t="str">
        <f>+P5</f>
        <v>Oct</v>
      </c>
      <c r="AF622" s="3941"/>
      <c r="AG622" s="3943"/>
      <c r="AH622" s="3942" t="str">
        <f>+Q5</f>
        <v>Nov</v>
      </c>
      <c r="AI622" s="3941"/>
      <c r="AJ622" s="3943"/>
      <c r="AK622" s="3942" t="str">
        <f>+R5</f>
        <v>Dic</v>
      </c>
      <c r="AL622" s="3941"/>
      <c r="AM622" s="3943"/>
    </row>
    <row r="623" spans="1:52" s="3440" customFormat="1" x14ac:dyDescent="0.3">
      <c r="B623" s="3944"/>
      <c r="C623" s="3851"/>
      <c r="D623" s="3945" t="s">
        <v>156</v>
      </c>
      <c r="E623" s="3946" t="s">
        <v>12</v>
      </c>
      <c r="F623" s="3947"/>
      <c r="G623" s="3948" t="s">
        <v>156</v>
      </c>
      <c r="H623" s="3946" t="s">
        <v>12</v>
      </c>
      <c r="I623" s="3949"/>
      <c r="J623" s="3948" t="s">
        <v>156</v>
      </c>
      <c r="K623" s="3946" t="s">
        <v>12</v>
      </c>
      <c r="L623" s="3949"/>
      <c r="M623" s="3948" t="s">
        <v>156</v>
      </c>
      <c r="N623" s="3946" t="s">
        <v>12</v>
      </c>
      <c r="O623" s="3949"/>
      <c r="P623" s="3948" t="s">
        <v>156</v>
      </c>
      <c r="Q623" s="3946" t="s">
        <v>12</v>
      </c>
      <c r="R623" s="3949"/>
      <c r="S623" s="3948" t="s">
        <v>156</v>
      </c>
      <c r="T623" s="3946" t="s">
        <v>12</v>
      </c>
      <c r="U623" s="3949"/>
      <c r="V623" s="3948" t="s">
        <v>156</v>
      </c>
      <c r="W623" s="3946" t="s">
        <v>12</v>
      </c>
      <c r="X623" s="3949"/>
      <c r="Y623" s="3948" t="s">
        <v>156</v>
      </c>
      <c r="Z623" s="3946" t="s">
        <v>12</v>
      </c>
      <c r="AA623" s="3949"/>
      <c r="AB623" s="3948" t="s">
        <v>156</v>
      </c>
      <c r="AC623" s="3946" t="s">
        <v>12</v>
      </c>
      <c r="AD623" s="3949"/>
      <c r="AE623" s="3948" t="s">
        <v>156</v>
      </c>
      <c r="AF623" s="3946" t="s">
        <v>12</v>
      </c>
      <c r="AG623" s="3949"/>
      <c r="AH623" s="3948" t="s">
        <v>156</v>
      </c>
      <c r="AI623" s="3946" t="s">
        <v>12</v>
      </c>
      <c r="AJ623" s="3949"/>
      <c r="AK623" s="3948" t="s">
        <v>156</v>
      </c>
      <c r="AL623" s="3946" t="s">
        <v>12</v>
      </c>
      <c r="AM623" s="3949"/>
    </row>
    <row r="624" spans="1:52" s="3440" customFormat="1" x14ac:dyDescent="0.3">
      <c r="B624" s="3950" t="s">
        <v>1549</v>
      </c>
      <c r="C624" s="3951"/>
      <c r="D624" s="3952"/>
      <c r="E624" s="3953">
        <f>(G151*$G$139*$G$137)/1000</f>
        <v>0</v>
      </c>
      <c r="F624" s="3954"/>
      <c r="G624" s="3955"/>
      <c r="H624" s="3953">
        <f>(H151*$G$139*$G$137)/1000</f>
        <v>0</v>
      </c>
      <c r="I624" s="3956"/>
      <c r="J624" s="3955"/>
      <c r="K624" s="3953">
        <f>(I151*$G$139*$G$137)/1000</f>
        <v>0</v>
      </c>
      <c r="L624" s="3956"/>
      <c r="M624" s="3955"/>
      <c r="N624" s="3953">
        <f>(J151*$G$139*$G$137)/1000</f>
        <v>0</v>
      </c>
      <c r="O624" s="3956"/>
      <c r="P624" s="3955"/>
      <c r="Q624" s="3953">
        <f>(K151*$G$139*$G$137)/1000</f>
        <v>0</v>
      </c>
      <c r="R624" s="3956"/>
      <c r="S624" s="3955"/>
      <c r="T624" s="3953">
        <f>(L151*$G$139*$G$137)/1000</f>
        <v>0</v>
      </c>
      <c r="U624" s="3956"/>
      <c r="V624" s="3955"/>
      <c r="W624" s="3953">
        <f>(M151*$G$139*$G$137)/1000</f>
        <v>0</v>
      </c>
      <c r="X624" s="3956"/>
      <c r="Y624" s="3955"/>
      <c r="Z624" s="3953">
        <f>(N151*$G$139*$G$137)/1000</f>
        <v>0</v>
      </c>
      <c r="AA624" s="3956"/>
      <c r="AB624" s="3955"/>
      <c r="AC624" s="3953">
        <f>(O151*$G$139*$G$137)/1000</f>
        <v>0</v>
      </c>
      <c r="AD624" s="3956"/>
      <c r="AE624" s="3955"/>
      <c r="AF624" s="3953">
        <f>(P151*$G$139*$G$137)/1000</f>
        <v>0</v>
      </c>
      <c r="AG624" s="3956"/>
      <c r="AH624" s="3955"/>
      <c r="AI624" s="3953">
        <f>(Q151*$G$139*$G$137)/1000</f>
        <v>0</v>
      </c>
      <c r="AJ624" s="3956"/>
      <c r="AK624" s="3955"/>
      <c r="AL624" s="3953">
        <f>(R151*$G$139*$G$137)/1000</f>
        <v>0</v>
      </c>
      <c r="AM624" s="3956"/>
    </row>
    <row r="625" spans="1:39" s="3440" customFormat="1" x14ac:dyDescent="0.3">
      <c r="B625" s="3512" t="s">
        <v>1550</v>
      </c>
      <c r="C625" s="3851"/>
      <c r="D625" s="3944"/>
      <c r="E625" s="3957">
        <f>(G152*$G$139*$G$137)/1000</f>
        <v>0</v>
      </c>
      <c r="F625" s="3601"/>
      <c r="G625" s="3958"/>
      <c r="H625" s="3957">
        <f>(H152*$G$139*$G$137)/1000</f>
        <v>0</v>
      </c>
      <c r="I625" s="3959"/>
      <c r="J625" s="3958"/>
      <c r="K625" s="3957">
        <f>(I152*$G$139*$G$137)/1000</f>
        <v>0</v>
      </c>
      <c r="L625" s="3959"/>
      <c r="M625" s="3958"/>
      <c r="N625" s="3957">
        <f>(J152*$G$139*$G$137)/1000</f>
        <v>0</v>
      </c>
      <c r="O625" s="3959"/>
      <c r="P625" s="3958"/>
      <c r="Q625" s="3957">
        <f>(K152*$G$139*$G$137)/1000</f>
        <v>0</v>
      </c>
      <c r="R625" s="3959"/>
      <c r="S625" s="3958"/>
      <c r="T625" s="3957">
        <f>(L152*$G$139*$G$137)/1000</f>
        <v>0</v>
      </c>
      <c r="U625" s="3959"/>
      <c r="V625" s="3958"/>
      <c r="W625" s="3957">
        <f>(M152*$G$139*$G$137)/1000</f>
        <v>0</v>
      </c>
      <c r="X625" s="3959"/>
      <c r="Y625" s="3958"/>
      <c r="Z625" s="3957">
        <f>(N152*$G$139*$G$137)/1000</f>
        <v>0</v>
      </c>
      <c r="AA625" s="3959"/>
      <c r="AB625" s="3958"/>
      <c r="AC625" s="3957">
        <f>(O152*$G$139*$G$137)/1000</f>
        <v>0</v>
      </c>
      <c r="AD625" s="3959"/>
      <c r="AE625" s="3958"/>
      <c r="AF625" s="3957">
        <f>(P152*$G$139*$G$137)/1000</f>
        <v>0</v>
      </c>
      <c r="AG625" s="3959"/>
      <c r="AH625" s="3958"/>
      <c r="AI625" s="3957">
        <f>(Q152*$G$139*$G$137)/1000</f>
        <v>0</v>
      </c>
      <c r="AJ625" s="3959"/>
      <c r="AK625" s="3958"/>
      <c r="AL625" s="3957">
        <f>(R152*$G$139*$G$137)/1000</f>
        <v>0</v>
      </c>
      <c r="AM625" s="3959"/>
    </row>
    <row r="626" spans="1:39" s="3440" customFormat="1" x14ac:dyDescent="0.3">
      <c r="B626" s="3960" t="s">
        <v>1551</v>
      </c>
      <c r="C626" s="3961"/>
      <c r="D626" s="3962"/>
      <c r="E626" s="3963">
        <f>(G153*$G$139*$G$137)/1000</f>
        <v>0</v>
      </c>
      <c r="F626" s="3964"/>
      <c r="G626" s="3965"/>
      <c r="H626" s="3963">
        <f>(H153*$G$139*$G$137)/1000</f>
        <v>0</v>
      </c>
      <c r="I626" s="3966"/>
      <c r="J626" s="3965"/>
      <c r="K626" s="3963">
        <f>(I153*$G$139*$G$137)/1000</f>
        <v>0</v>
      </c>
      <c r="L626" s="3966"/>
      <c r="M626" s="3965"/>
      <c r="N626" s="3963">
        <f>(J153*$G$139*$G$137)/1000</f>
        <v>0</v>
      </c>
      <c r="O626" s="3966"/>
      <c r="P626" s="3965"/>
      <c r="Q626" s="3963">
        <f>(K153*$G$139*$G$137)/1000</f>
        <v>0</v>
      </c>
      <c r="R626" s="3966"/>
      <c r="S626" s="3965"/>
      <c r="T626" s="3963">
        <f>(L153*$G$139*$G$137)/1000</f>
        <v>0</v>
      </c>
      <c r="U626" s="3966"/>
      <c r="V626" s="3965"/>
      <c r="W626" s="3963">
        <f>(M153*$G$139*$G$137)/1000</f>
        <v>0</v>
      </c>
      <c r="X626" s="3966"/>
      <c r="Y626" s="3965"/>
      <c r="Z626" s="3963">
        <f>(N153*$G$139*$G$137)/1000</f>
        <v>0</v>
      </c>
      <c r="AA626" s="3966"/>
      <c r="AB626" s="3965"/>
      <c r="AC626" s="3963">
        <f>(O153*$G$139*$G$137)/1000</f>
        <v>0</v>
      </c>
      <c r="AD626" s="3966"/>
      <c r="AE626" s="3965"/>
      <c r="AF626" s="3963">
        <f>(P153*$G$139*$G$137)/1000</f>
        <v>0</v>
      </c>
      <c r="AG626" s="3966"/>
      <c r="AH626" s="3965"/>
      <c r="AI626" s="3963">
        <f>(Q153*$G$139*$G$137)/1000</f>
        <v>0</v>
      </c>
      <c r="AJ626" s="3966"/>
      <c r="AK626" s="3965"/>
      <c r="AL626" s="3963">
        <f>(R153*$G$139*$G$137)/1000</f>
        <v>0</v>
      </c>
      <c r="AM626" s="3966"/>
    </row>
    <row r="627" spans="1:39" s="3440" customFormat="1" x14ac:dyDescent="0.3">
      <c r="B627" s="3944" t="s">
        <v>1552</v>
      </c>
      <c r="C627" s="3851"/>
      <c r="D627" s="3967">
        <f>+E624</f>
        <v>0</v>
      </c>
      <c r="E627" s="3957"/>
      <c r="F627" s="3601"/>
      <c r="G627" s="3968">
        <f>+H624</f>
        <v>0</v>
      </c>
      <c r="H627" s="3957"/>
      <c r="I627" s="3959"/>
      <c r="J627" s="3968">
        <f>+K624</f>
        <v>0</v>
      </c>
      <c r="K627" s="3957"/>
      <c r="L627" s="3959"/>
      <c r="M627" s="3968">
        <f>+N624</f>
        <v>0</v>
      </c>
      <c r="N627" s="3957"/>
      <c r="O627" s="3959"/>
      <c r="P627" s="3968">
        <f>+Q624</f>
        <v>0</v>
      </c>
      <c r="Q627" s="3957"/>
      <c r="R627" s="3959"/>
      <c r="S627" s="3968">
        <f>+T624</f>
        <v>0</v>
      </c>
      <c r="T627" s="3957"/>
      <c r="U627" s="3959"/>
      <c r="V627" s="3968">
        <f>+W624</f>
        <v>0</v>
      </c>
      <c r="W627" s="3957"/>
      <c r="X627" s="3959"/>
      <c r="Y627" s="3968">
        <f>+Z624</f>
        <v>0</v>
      </c>
      <c r="Z627" s="3957"/>
      <c r="AA627" s="3959"/>
      <c r="AB627" s="3968">
        <f>+AC624</f>
        <v>0</v>
      </c>
      <c r="AC627" s="3957"/>
      <c r="AD627" s="3959"/>
      <c r="AE627" s="3968">
        <f>+AF624</f>
        <v>0</v>
      </c>
      <c r="AF627" s="3957"/>
      <c r="AG627" s="3959"/>
      <c r="AH627" s="3968">
        <f>+AI624</f>
        <v>0</v>
      </c>
      <c r="AI627" s="3957"/>
      <c r="AJ627" s="3959"/>
      <c r="AK627" s="3968">
        <f>+AL624</f>
        <v>0</v>
      </c>
      <c r="AL627" s="3957"/>
      <c r="AM627" s="3959"/>
    </row>
    <row r="628" spans="1:39" s="3440" customFormat="1" ht="15.05" thickBot="1" x14ac:dyDescent="0.35">
      <c r="B628" s="3969" t="s">
        <v>1553</v>
      </c>
      <c r="C628" s="3970"/>
      <c r="D628" s="3971">
        <f>+G355/1000</f>
        <v>0</v>
      </c>
      <c r="E628" s="3972"/>
      <c r="F628" s="3973"/>
      <c r="G628" s="3974">
        <f>+H355/1000</f>
        <v>0</v>
      </c>
      <c r="H628" s="3972"/>
      <c r="I628" s="3975"/>
      <c r="J628" s="3974">
        <f>+I355/1000</f>
        <v>0</v>
      </c>
      <c r="K628" s="3972"/>
      <c r="L628" s="3975"/>
      <c r="M628" s="3974">
        <f>+J355/1000</f>
        <v>0</v>
      </c>
      <c r="N628" s="3972"/>
      <c r="O628" s="3975"/>
      <c r="P628" s="3974">
        <f>+K355/1000</f>
        <v>0</v>
      </c>
      <c r="Q628" s="3972"/>
      <c r="R628" s="3975"/>
      <c r="S628" s="3974">
        <f>+L355/1000</f>
        <v>0</v>
      </c>
      <c r="T628" s="3972"/>
      <c r="U628" s="3975"/>
      <c r="V628" s="3974">
        <f>+M355/1000</f>
        <v>0</v>
      </c>
      <c r="W628" s="3972"/>
      <c r="X628" s="3975"/>
      <c r="Y628" s="3974">
        <f>+N355/1000</f>
        <v>0</v>
      </c>
      <c r="Z628" s="3972"/>
      <c r="AA628" s="3975"/>
      <c r="AB628" s="3974">
        <f>+O355/1000</f>
        <v>0</v>
      </c>
      <c r="AC628" s="3972"/>
      <c r="AD628" s="3975"/>
      <c r="AE628" s="3974">
        <f>+P355/1000</f>
        <v>0</v>
      </c>
      <c r="AF628" s="3972"/>
      <c r="AG628" s="3975"/>
      <c r="AH628" s="3974">
        <f>+Q355/1000</f>
        <v>0</v>
      </c>
      <c r="AI628" s="3972"/>
      <c r="AJ628" s="3975"/>
      <c r="AK628" s="3974">
        <f>+R355/1000</f>
        <v>0</v>
      </c>
      <c r="AL628" s="3972"/>
      <c r="AM628" s="3975"/>
    </row>
    <row r="629" spans="1:39" s="3440" customFormat="1" x14ac:dyDescent="0.3">
      <c r="B629" s="3452"/>
      <c r="D629" s="3601"/>
      <c r="E629" s="3601"/>
      <c r="F629" s="3601"/>
      <c r="G629" s="3601"/>
      <c r="H629" s="3601"/>
      <c r="I629" s="3601"/>
      <c r="J629" s="3601"/>
      <c r="K629" s="3601"/>
      <c r="L629" s="3601"/>
      <c r="M629" s="3601"/>
      <c r="N629" s="3601"/>
      <c r="O629" s="3601"/>
      <c r="P629" s="3601"/>
      <c r="Q629" s="3601"/>
      <c r="R629" s="3601"/>
      <c r="S629" s="3601"/>
      <c r="T629" s="3601"/>
      <c r="U629" s="3601"/>
      <c r="V629" s="3601"/>
      <c r="W629" s="3601"/>
      <c r="X629" s="3601"/>
      <c r="Y629" s="3601"/>
      <c r="Z629" s="3601"/>
      <c r="AA629" s="3601"/>
      <c r="AB629" s="3601"/>
      <c r="AC629" s="3601"/>
      <c r="AD629" s="3601"/>
      <c r="AE629" s="3601"/>
      <c r="AF629" s="3601"/>
      <c r="AG629" s="3601"/>
      <c r="AH629" s="3601"/>
      <c r="AI629" s="3601"/>
      <c r="AJ629" s="3601"/>
      <c r="AK629" s="3601"/>
      <c r="AL629" s="3601"/>
      <c r="AM629" s="3601"/>
    </row>
    <row r="630" spans="1:39" s="3452" customFormat="1" ht="15.05" thickBot="1" x14ac:dyDescent="0.35">
      <c r="A630" s="2487">
        <f>+A230</f>
        <v>96</v>
      </c>
      <c r="B630" s="3454" t="str">
        <f>+E230</f>
        <v>Gráfico: Balance Forrajero Mensual Recría, Vacas Secas y Toros (Área de Recría, Vaca Seca y Toros y Rodeo de Recría, Vaca Seca y toros )</v>
      </c>
      <c r="C630" s="3455"/>
      <c r="D630" s="3455"/>
      <c r="E630" s="3455"/>
      <c r="F630" s="3455"/>
      <c r="G630" s="3455"/>
      <c r="H630" s="3455"/>
      <c r="I630" s="3455"/>
      <c r="J630" s="3455"/>
      <c r="K630" s="3455"/>
      <c r="L630" s="3455"/>
      <c r="M630" s="3455"/>
      <c r="N630" s="3455"/>
      <c r="O630" s="3455"/>
      <c r="P630" s="3455"/>
      <c r="Q630" s="3455"/>
      <c r="R630" s="3456"/>
      <c r="S630" s="3453"/>
      <c r="T630" s="3453"/>
      <c r="U630" s="3453"/>
    </row>
    <row r="631" spans="1:39" s="3452" customFormat="1" ht="15.05" thickBot="1" x14ac:dyDescent="0.35">
      <c r="B631" s="3703"/>
      <c r="D631" s="3921" t="str">
        <f>+D609</f>
        <v>Ene</v>
      </c>
      <c r="E631" s="3922"/>
      <c r="F631" s="3923"/>
      <c r="G631" s="3921" t="str">
        <f>+G609</f>
        <v>Feb</v>
      </c>
      <c r="H631" s="3922"/>
      <c r="I631" s="3923"/>
      <c r="J631" s="3921" t="str">
        <f>+J609</f>
        <v>Mar</v>
      </c>
      <c r="K631" s="3922"/>
      <c r="L631" s="3923"/>
      <c r="M631" s="3921" t="str">
        <f>+M609</f>
        <v>Abr</v>
      </c>
      <c r="N631" s="3922"/>
      <c r="O631" s="3923"/>
      <c r="P631" s="3921" t="str">
        <f>+P609</f>
        <v>May</v>
      </c>
      <c r="Q631" s="3922"/>
      <c r="R631" s="3923"/>
      <c r="S631" s="3921" t="str">
        <f>+S609</f>
        <v>Jun</v>
      </c>
      <c r="T631" s="3922"/>
      <c r="U631" s="3923"/>
      <c r="V631" s="3921" t="str">
        <f>+V609</f>
        <v>Jul</v>
      </c>
      <c r="W631" s="3922"/>
      <c r="X631" s="3923"/>
      <c r="Y631" s="3921" t="str">
        <f>+Y609</f>
        <v>Ago</v>
      </c>
      <c r="Z631" s="3922"/>
      <c r="AA631" s="3923"/>
      <c r="AB631" s="3921" t="str">
        <f>+AB609</f>
        <v>Set</v>
      </c>
      <c r="AC631" s="3922"/>
      <c r="AD631" s="3923"/>
      <c r="AE631" s="3921" t="str">
        <f>+AE609</f>
        <v>Oct</v>
      </c>
      <c r="AF631" s="3922"/>
      <c r="AG631" s="3923"/>
      <c r="AH631" s="3921" t="str">
        <f>+AH609</f>
        <v>Nov</v>
      </c>
      <c r="AI631" s="3922"/>
      <c r="AJ631" s="3923"/>
      <c r="AK631" s="3921" t="str">
        <f>+AK609</f>
        <v>Dic</v>
      </c>
      <c r="AL631" s="3922"/>
      <c r="AM631" s="3923"/>
    </row>
    <row r="632" spans="1:39" s="3452" customFormat="1" ht="15.05" thickBot="1" x14ac:dyDescent="0.35">
      <c r="B632" s="3938" t="s">
        <v>147</v>
      </c>
      <c r="C632" s="3939"/>
      <c r="D632" s="3976" t="s">
        <v>1373</v>
      </c>
      <c r="E632" s="3925" t="s">
        <v>1372</v>
      </c>
      <c r="F632" s="3926"/>
      <c r="G632" s="3924" t="s">
        <v>1373</v>
      </c>
      <c r="H632" s="3925" t="s">
        <v>1372</v>
      </c>
      <c r="I632" s="3926"/>
      <c r="J632" s="3924" t="s">
        <v>1373</v>
      </c>
      <c r="K632" s="3925" t="s">
        <v>1372</v>
      </c>
      <c r="L632" s="3926"/>
      <c r="M632" s="3924" t="s">
        <v>1373</v>
      </c>
      <c r="N632" s="3925" t="s">
        <v>1372</v>
      </c>
      <c r="O632" s="3926"/>
      <c r="P632" s="3924" t="s">
        <v>1373</v>
      </c>
      <c r="Q632" s="3925" t="s">
        <v>1372</v>
      </c>
      <c r="R632" s="3926"/>
      <c r="S632" s="3924" t="s">
        <v>1373</v>
      </c>
      <c r="T632" s="3925" t="s">
        <v>1372</v>
      </c>
      <c r="U632" s="3926"/>
      <c r="V632" s="3924" t="s">
        <v>1373</v>
      </c>
      <c r="W632" s="3925" t="s">
        <v>1372</v>
      </c>
      <c r="X632" s="3926"/>
      <c r="Y632" s="3924" t="s">
        <v>1373</v>
      </c>
      <c r="Z632" s="3925" t="s">
        <v>1372</v>
      </c>
      <c r="AA632" s="3926"/>
      <c r="AB632" s="3924" t="s">
        <v>1373</v>
      </c>
      <c r="AC632" s="3925" t="s">
        <v>1372</v>
      </c>
      <c r="AD632" s="3926"/>
      <c r="AE632" s="3924" t="s">
        <v>1373</v>
      </c>
      <c r="AF632" s="3925" t="s">
        <v>1372</v>
      </c>
      <c r="AG632" s="3926"/>
      <c r="AH632" s="3924" t="s">
        <v>1373</v>
      </c>
      <c r="AI632" s="3925" t="s">
        <v>1372</v>
      </c>
      <c r="AJ632" s="3926"/>
      <c r="AK632" s="3924" t="s">
        <v>1373</v>
      </c>
      <c r="AL632" s="3925" t="s">
        <v>1372</v>
      </c>
      <c r="AM632" s="3926"/>
    </row>
    <row r="633" spans="1:39" s="3452" customFormat="1" x14ac:dyDescent="0.3">
      <c r="B633" s="3938" t="s">
        <v>1371</v>
      </c>
      <c r="C633" s="3939"/>
      <c r="D633" s="3977"/>
      <c r="E633" s="3930">
        <f>+G286/1000</f>
        <v>0</v>
      </c>
      <c r="F633" s="3734"/>
      <c r="G633" s="3929"/>
      <c r="H633" s="3930">
        <f>+H286/1000</f>
        <v>0</v>
      </c>
      <c r="I633" s="3734"/>
      <c r="J633" s="3929"/>
      <c r="K633" s="3930">
        <f>+I286/1000</f>
        <v>0</v>
      </c>
      <c r="L633" s="3734"/>
      <c r="M633" s="3929"/>
      <c r="N633" s="3930">
        <f>+J286/1000</f>
        <v>0</v>
      </c>
      <c r="O633" s="3734"/>
      <c r="P633" s="3929"/>
      <c r="Q633" s="3930">
        <f>+K286/1000</f>
        <v>0</v>
      </c>
      <c r="R633" s="3734"/>
      <c r="S633" s="3929"/>
      <c r="T633" s="3930">
        <f>+L286/1000</f>
        <v>0</v>
      </c>
      <c r="U633" s="3734"/>
      <c r="V633" s="3929"/>
      <c r="W633" s="3930">
        <f>+M286/1000</f>
        <v>0</v>
      </c>
      <c r="X633" s="3734"/>
      <c r="Y633" s="3929"/>
      <c r="Z633" s="3930">
        <f>+N286/1000</f>
        <v>0</v>
      </c>
      <c r="AA633" s="3734"/>
      <c r="AB633" s="3929"/>
      <c r="AC633" s="3930">
        <f>+O286/1000</f>
        <v>0</v>
      </c>
      <c r="AD633" s="3734"/>
      <c r="AE633" s="3929"/>
      <c r="AF633" s="3930">
        <f>+P286/1000</f>
        <v>0</v>
      </c>
      <c r="AG633" s="3734"/>
      <c r="AH633" s="3929"/>
      <c r="AI633" s="3930">
        <f>+Q286/1000</f>
        <v>0</v>
      </c>
      <c r="AJ633" s="3734"/>
      <c r="AK633" s="3929"/>
      <c r="AL633" s="3930">
        <f>+R286/1000</f>
        <v>0</v>
      </c>
      <c r="AM633" s="3734"/>
    </row>
    <row r="634" spans="1:39" s="3452" customFormat="1" x14ac:dyDescent="0.3">
      <c r="B634" s="3944" t="str">
        <f>+B611</f>
        <v>Oferta de Forraje (Pastoreo Directo +  Reservas de Excedentes)</v>
      </c>
      <c r="C634" s="3851"/>
      <c r="D634" s="3978">
        <f>+G285/1000</f>
        <v>0</v>
      </c>
      <c r="E634" s="3523"/>
      <c r="F634" s="3734"/>
      <c r="G634" s="3931">
        <f>+H285/1000</f>
        <v>0</v>
      </c>
      <c r="H634" s="3523"/>
      <c r="I634" s="3734"/>
      <c r="J634" s="3931">
        <f>+I285/1000</f>
        <v>0</v>
      </c>
      <c r="K634" s="3523"/>
      <c r="L634" s="3734"/>
      <c r="M634" s="3931">
        <f>+J285/1000</f>
        <v>0</v>
      </c>
      <c r="N634" s="3523"/>
      <c r="O634" s="3734"/>
      <c r="P634" s="3931">
        <f>+K285/1000</f>
        <v>0</v>
      </c>
      <c r="Q634" s="3523"/>
      <c r="R634" s="3734"/>
      <c r="S634" s="3931">
        <f>+L285/1000</f>
        <v>0</v>
      </c>
      <c r="T634" s="3523"/>
      <c r="U634" s="3734"/>
      <c r="V634" s="3931">
        <f>+M285/1000</f>
        <v>0</v>
      </c>
      <c r="W634" s="3523"/>
      <c r="X634" s="3734"/>
      <c r="Y634" s="3931">
        <f>+N285/1000</f>
        <v>0</v>
      </c>
      <c r="Z634" s="3523"/>
      <c r="AA634" s="3734"/>
      <c r="AB634" s="3931">
        <f>+O285/1000</f>
        <v>0</v>
      </c>
      <c r="AC634" s="3523"/>
      <c r="AD634" s="3734"/>
      <c r="AE634" s="3931">
        <f>+P285/1000</f>
        <v>0</v>
      </c>
      <c r="AF634" s="3523"/>
      <c r="AG634" s="3734"/>
      <c r="AH634" s="3931">
        <f>+Q285/1000</f>
        <v>0</v>
      </c>
      <c r="AI634" s="3523"/>
      <c r="AJ634" s="3734"/>
      <c r="AK634" s="3931">
        <f>+R285/1000</f>
        <v>0</v>
      </c>
      <c r="AL634" s="3523"/>
      <c r="AM634" s="3734"/>
    </row>
    <row r="635" spans="1:39" s="3452" customFormat="1" ht="15.05" thickBot="1" x14ac:dyDescent="0.35">
      <c r="B635" s="3969" t="str">
        <f>+B612</f>
        <v>Oferta de Cultivos de Reserva</v>
      </c>
      <c r="C635" s="3970"/>
      <c r="D635" s="3979">
        <f>+UsoSuelo!S808/1000</f>
        <v>0</v>
      </c>
      <c r="E635" s="3653"/>
      <c r="F635" s="3835"/>
      <c r="G635" s="3980">
        <f>+UsoSuelo!T808/1000</f>
        <v>0</v>
      </c>
      <c r="H635" s="3653"/>
      <c r="I635" s="3835"/>
      <c r="J635" s="3980">
        <f>+UsoSuelo!U808/1000</f>
        <v>0</v>
      </c>
      <c r="K635" s="3653"/>
      <c r="L635" s="3835"/>
      <c r="M635" s="3980">
        <f>+UsoSuelo!V808/1000</f>
        <v>0</v>
      </c>
      <c r="N635" s="3653"/>
      <c r="O635" s="3835"/>
      <c r="P635" s="3980">
        <f>+UsoSuelo!W808/1000</f>
        <v>0</v>
      </c>
      <c r="Q635" s="3653"/>
      <c r="R635" s="3835"/>
      <c r="S635" s="3980">
        <f>+UsoSuelo!X808/1000</f>
        <v>0</v>
      </c>
      <c r="T635" s="3653"/>
      <c r="U635" s="3835"/>
      <c r="V635" s="3980">
        <f>+UsoSuelo!Y808/1000</f>
        <v>0</v>
      </c>
      <c r="W635" s="3653"/>
      <c r="X635" s="3835"/>
      <c r="Y635" s="3980">
        <f>+UsoSuelo!Z808/1000</f>
        <v>0</v>
      </c>
      <c r="Z635" s="3653"/>
      <c r="AA635" s="3835"/>
      <c r="AB635" s="3980">
        <f>+UsoSuelo!AA808/1000</f>
        <v>0</v>
      </c>
      <c r="AC635" s="3653"/>
      <c r="AD635" s="3835"/>
      <c r="AE635" s="3980">
        <f>+UsoSuelo!AB808/1000</f>
        <v>0</v>
      </c>
      <c r="AF635" s="3653"/>
      <c r="AG635" s="3835"/>
      <c r="AH635" s="3980">
        <f>+UsoSuelo!AC808/1000</f>
        <v>0</v>
      </c>
      <c r="AI635" s="3653"/>
      <c r="AJ635" s="3835"/>
      <c r="AK635" s="3980">
        <f>+UsoSuelo!AD808/1000</f>
        <v>0</v>
      </c>
      <c r="AL635" s="3653"/>
      <c r="AM635" s="3835"/>
    </row>
    <row r="636" spans="1:39" s="3452" customFormat="1" x14ac:dyDescent="0.3">
      <c r="G636" s="3601"/>
      <c r="H636" s="3601"/>
      <c r="I636" s="3601"/>
      <c r="J636" s="3601"/>
      <c r="K636" s="3601"/>
      <c r="L636" s="3601"/>
      <c r="M636" s="3601"/>
      <c r="N636" s="3601"/>
      <c r="O636" s="3601"/>
      <c r="P636" s="3601"/>
      <c r="Q636" s="3601"/>
      <c r="R636" s="3601"/>
      <c r="S636" s="3453"/>
    </row>
    <row r="637" spans="1:39" s="3452" customFormat="1" ht="15.05" thickBot="1" x14ac:dyDescent="0.35">
      <c r="A637" s="2487">
        <f>+A296</f>
        <v>98</v>
      </c>
      <c r="B637" s="3454" t="str">
        <f>+E296</f>
        <v>Gráfico: Balance Forrajero Mensual (Área de Ganadería y Rodeo de Ganadería)</v>
      </c>
      <c r="C637" s="3455"/>
      <c r="D637" s="3455"/>
      <c r="E637" s="3455"/>
      <c r="F637" s="3455"/>
      <c r="G637" s="3455"/>
      <c r="H637" s="3455"/>
      <c r="I637" s="3455"/>
      <c r="J637" s="3455"/>
      <c r="K637" s="3455"/>
      <c r="L637" s="3455"/>
      <c r="M637" s="3455"/>
      <c r="N637" s="3455"/>
      <c r="O637" s="3455"/>
      <c r="P637" s="3455"/>
      <c r="Q637" s="3455"/>
      <c r="R637" s="3456"/>
      <c r="S637" s="3453"/>
      <c r="T637" s="3453"/>
      <c r="U637" s="3453"/>
    </row>
    <row r="638" spans="1:39" s="3452" customFormat="1" ht="15.05" thickBot="1" x14ac:dyDescent="0.35">
      <c r="B638" s="3703"/>
      <c r="D638" s="3921" t="str">
        <f>+D631</f>
        <v>Ene</v>
      </c>
      <c r="E638" s="3922"/>
      <c r="F638" s="3923"/>
      <c r="G638" s="3921" t="str">
        <f>+G631</f>
        <v>Feb</v>
      </c>
      <c r="H638" s="3922"/>
      <c r="I638" s="3923"/>
      <c r="J638" s="3921" t="str">
        <f>+J631</f>
        <v>Mar</v>
      </c>
      <c r="K638" s="3922"/>
      <c r="L638" s="3923"/>
      <c r="M638" s="3921" t="str">
        <f>+M631</f>
        <v>Abr</v>
      </c>
      <c r="N638" s="3922"/>
      <c r="O638" s="3923"/>
      <c r="P638" s="3921" t="str">
        <f>+P631</f>
        <v>May</v>
      </c>
      <c r="Q638" s="3922"/>
      <c r="R638" s="3923"/>
      <c r="S638" s="3921" t="str">
        <f>+S631</f>
        <v>Jun</v>
      </c>
      <c r="T638" s="3922"/>
      <c r="U638" s="3923"/>
      <c r="V638" s="3921" t="str">
        <f>+V631</f>
        <v>Jul</v>
      </c>
      <c r="W638" s="3922"/>
      <c r="X638" s="3923"/>
      <c r="Y638" s="3921" t="str">
        <f>+Y631</f>
        <v>Ago</v>
      </c>
      <c r="Z638" s="3922"/>
      <c r="AA638" s="3923"/>
      <c r="AB638" s="3921" t="str">
        <f>+AB631</f>
        <v>Set</v>
      </c>
      <c r="AC638" s="3922"/>
      <c r="AD638" s="3923"/>
      <c r="AE638" s="3921" t="str">
        <f>+AE631</f>
        <v>Oct</v>
      </c>
      <c r="AF638" s="3922"/>
      <c r="AG638" s="3923"/>
      <c r="AH638" s="3921" t="str">
        <f>+AH631</f>
        <v>Nov</v>
      </c>
      <c r="AI638" s="3922"/>
      <c r="AJ638" s="3923"/>
      <c r="AK638" s="3921" t="str">
        <f>+AK631</f>
        <v>Dic</v>
      </c>
      <c r="AL638" s="3922"/>
      <c r="AM638" s="3923"/>
    </row>
    <row r="639" spans="1:39" s="3452" customFormat="1" ht="15.05" thickBot="1" x14ac:dyDescent="0.35">
      <c r="B639" s="3938" t="s">
        <v>718</v>
      </c>
      <c r="C639" s="3939"/>
      <c r="D639" s="3924" t="s">
        <v>1373</v>
      </c>
      <c r="E639" s="3925" t="s">
        <v>1372</v>
      </c>
      <c r="F639" s="3926"/>
      <c r="G639" s="3924" t="s">
        <v>1373</v>
      </c>
      <c r="H639" s="3925" t="s">
        <v>1372</v>
      </c>
      <c r="I639" s="3926"/>
      <c r="J639" s="3924" t="s">
        <v>1373</v>
      </c>
      <c r="K639" s="3925" t="s">
        <v>1372</v>
      </c>
      <c r="L639" s="3926"/>
      <c r="M639" s="3924" t="s">
        <v>1373</v>
      </c>
      <c r="N639" s="3925" t="s">
        <v>1372</v>
      </c>
      <c r="O639" s="3926"/>
      <c r="P639" s="3924" t="s">
        <v>1373</v>
      </c>
      <c r="Q639" s="3925" t="s">
        <v>1372</v>
      </c>
      <c r="R639" s="3926"/>
      <c r="S639" s="3924" t="s">
        <v>1373</v>
      </c>
      <c r="T639" s="3925" t="s">
        <v>1372</v>
      </c>
      <c r="U639" s="3926"/>
      <c r="V639" s="3924" t="s">
        <v>1373</v>
      </c>
      <c r="W639" s="3925" t="s">
        <v>1372</v>
      </c>
      <c r="X639" s="3926"/>
      <c r="Y639" s="3924" t="s">
        <v>1373</v>
      </c>
      <c r="Z639" s="3925" t="s">
        <v>1372</v>
      </c>
      <c r="AA639" s="3926"/>
      <c r="AB639" s="3924" t="s">
        <v>1373</v>
      </c>
      <c r="AC639" s="3925" t="s">
        <v>1372</v>
      </c>
      <c r="AD639" s="3926"/>
      <c r="AE639" s="3924" t="s">
        <v>1373</v>
      </c>
      <c r="AF639" s="3925" t="s">
        <v>1372</v>
      </c>
      <c r="AG639" s="3926"/>
      <c r="AH639" s="3924" t="s">
        <v>1373</v>
      </c>
      <c r="AI639" s="3925" t="s">
        <v>1372</v>
      </c>
      <c r="AJ639" s="3926"/>
      <c r="AK639" s="3924" t="s">
        <v>1373</v>
      </c>
      <c r="AL639" s="3925" t="s">
        <v>1372</v>
      </c>
      <c r="AM639" s="3926"/>
    </row>
    <row r="640" spans="1:39" s="3452" customFormat="1" x14ac:dyDescent="0.3">
      <c r="B640" s="3938" t="s">
        <v>1371</v>
      </c>
      <c r="C640" s="3939"/>
      <c r="D640" s="3977"/>
      <c r="E640" s="3930">
        <f>G335/1000</f>
        <v>0</v>
      </c>
      <c r="F640" s="3734"/>
      <c r="G640" s="3929"/>
      <c r="H640" s="3930">
        <f>H335/1000</f>
        <v>0</v>
      </c>
      <c r="I640" s="3734"/>
      <c r="J640" s="3929"/>
      <c r="K640" s="3930">
        <f>I335/1000</f>
        <v>0</v>
      </c>
      <c r="L640" s="3734"/>
      <c r="M640" s="3929"/>
      <c r="N640" s="3930">
        <f>J335/1000</f>
        <v>0</v>
      </c>
      <c r="O640" s="3734"/>
      <c r="P640" s="3929"/>
      <c r="Q640" s="3930">
        <f>K335/1000</f>
        <v>0</v>
      </c>
      <c r="R640" s="3734"/>
      <c r="S640" s="3929"/>
      <c r="T640" s="3930">
        <f>L335/1000</f>
        <v>0</v>
      </c>
      <c r="U640" s="3734"/>
      <c r="V640" s="3929"/>
      <c r="W640" s="3930">
        <f>M335/1000</f>
        <v>0</v>
      </c>
      <c r="X640" s="3734"/>
      <c r="Y640" s="3929"/>
      <c r="Z640" s="3930">
        <f>N335/1000</f>
        <v>0</v>
      </c>
      <c r="AA640" s="3734"/>
      <c r="AB640" s="3929"/>
      <c r="AC640" s="3930">
        <f>O335/1000</f>
        <v>0</v>
      </c>
      <c r="AD640" s="3734"/>
      <c r="AE640" s="3929"/>
      <c r="AF640" s="3930">
        <f>P335/1000</f>
        <v>0</v>
      </c>
      <c r="AG640" s="3734"/>
      <c r="AH640" s="3929"/>
      <c r="AI640" s="3930">
        <f>Q335/1000</f>
        <v>0</v>
      </c>
      <c r="AJ640" s="3734"/>
      <c r="AK640" s="3929"/>
      <c r="AL640" s="3930">
        <f>R335/1000</f>
        <v>0</v>
      </c>
      <c r="AM640" s="3734"/>
    </row>
    <row r="641" spans="1:39" s="3452" customFormat="1" x14ac:dyDescent="0.3">
      <c r="B641" s="3944" t="str">
        <f>+B634</f>
        <v>Oferta de Forraje (Pastoreo Directo +  Reservas de Excedentes)</v>
      </c>
      <c r="C641" s="3851"/>
      <c r="D641" s="3978">
        <f>+G334/1000</f>
        <v>0</v>
      </c>
      <c r="E641" s="3523"/>
      <c r="F641" s="3734"/>
      <c r="G641" s="3931">
        <f>+H334/1000</f>
        <v>0</v>
      </c>
      <c r="H641" s="3523"/>
      <c r="I641" s="3734"/>
      <c r="J641" s="3931">
        <f>+I334/1000</f>
        <v>0</v>
      </c>
      <c r="K641" s="3523"/>
      <c r="L641" s="3734"/>
      <c r="M641" s="3931">
        <f>+J334/1000</f>
        <v>0</v>
      </c>
      <c r="N641" s="3523"/>
      <c r="O641" s="3734"/>
      <c r="P641" s="3931">
        <f>+K334/1000</f>
        <v>0</v>
      </c>
      <c r="Q641" s="3523"/>
      <c r="R641" s="3734"/>
      <c r="S641" s="3931">
        <f>+L334/1000</f>
        <v>0</v>
      </c>
      <c r="T641" s="3523"/>
      <c r="U641" s="3734"/>
      <c r="V641" s="3931">
        <f>+M334/1000</f>
        <v>0</v>
      </c>
      <c r="W641" s="3523"/>
      <c r="X641" s="3734"/>
      <c r="Y641" s="3931">
        <f>+N334/1000</f>
        <v>0</v>
      </c>
      <c r="Z641" s="3523"/>
      <c r="AA641" s="3734"/>
      <c r="AB641" s="3931">
        <f>+O334/1000</f>
        <v>0</v>
      </c>
      <c r="AC641" s="3523"/>
      <c r="AD641" s="3734"/>
      <c r="AE641" s="3931">
        <f>+P334/1000</f>
        <v>0</v>
      </c>
      <c r="AF641" s="3523"/>
      <c r="AG641" s="3734"/>
      <c r="AH641" s="3931">
        <f>+Q334/1000</f>
        <v>0</v>
      </c>
      <c r="AI641" s="3523"/>
      <c r="AJ641" s="3734"/>
      <c r="AK641" s="3931">
        <f>+R334/1000</f>
        <v>0</v>
      </c>
      <c r="AL641" s="3523"/>
      <c r="AM641" s="3734"/>
    </row>
    <row r="642" spans="1:39" s="3452" customFormat="1" ht="15.05" thickBot="1" x14ac:dyDescent="0.35">
      <c r="B642" s="3969" t="str">
        <f>+B635</f>
        <v>Oferta de Cultivos de Reserva</v>
      </c>
      <c r="C642" s="3970"/>
      <c r="D642" s="3979">
        <f>+UsoSuelo!S879/1000</f>
        <v>0</v>
      </c>
      <c r="E642" s="3653"/>
      <c r="F642" s="3835"/>
      <c r="G642" s="3980">
        <f>+UsoSuelo!T879/1000</f>
        <v>0</v>
      </c>
      <c r="H642" s="3653"/>
      <c r="I642" s="3835"/>
      <c r="J642" s="3980">
        <f>+UsoSuelo!U879/1000</f>
        <v>0</v>
      </c>
      <c r="K642" s="3653"/>
      <c r="L642" s="3835"/>
      <c r="M642" s="3980">
        <f>+UsoSuelo!V879/1000</f>
        <v>0</v>
      </c>
      <c r="N642" s="3653"/>
      <c r="O642" s="3835"/>
      <c r="P642" s="3980">
        <f>+UsoSuelo!W879/1000</f>
        <v>0</v>
      </c>
      <c r="Q642" s="3653"/>
      <c r="R642" s="3835"/>
      <c r="S642" s="3980">
        <f>+UsoSuelo!X879/1000</f>
        <v>0</v>
      </c>
      <c r="T642" s="3653"/>
      <c r="U642" s="3835"/>
      <c r="V642" s="3980">
        <f>+UsoSuelo!Y879/1000</f>
        <v>0</v>
      </c>
      <c r="W642" s="3653"/>
      <c r="X642" s="3835"/>
      <c r="Y642" s="3980">
        <f>+UsoSuelo!Z879/1000</f>
        <v>0</v>
      </c>
      <c r="Z642" s="3653"/>
      <c r="AA642" s="3835"/>
      <c r="AB642" s="3980">
        <f>+UsoSuelo!AA879/1000</f>
        <v>0</v>
      </c>
      <c r="AC642" s="3653"/>
      <c r="AD642" s="3835"/>
      <c r="AE642" s="3980">
        <f>+UsoSuelo!AB879/1000</f>
        <v>0</v>
      </c>
      <c r="AF642" s="3653"/>
      <c r="AG642" s="3835"/>
      <c r="AH642" s="3980">
        <f>+UsoSuelo!AC879/1000</f>
        <v>0</v>
      </c>
      <c r="AI642" s="3653"/>
      <c r="AJ642" s="3835"/>
      <c r="AK642" s="3980">
        <f>+UsoSuelo!AD879/1000</f>
        <v>0</v>
      </c>
      <c r="AL642" s="3653"/>
      <c r="AM642" s="3835"/>
    </row>
    <row r="643" spans="1:39" s="3452" customFormat="1" x14ac:dyDescent="0.3">
      <c r="G643" s="3601"/>
      <c r="H643" s="3601"/>
      <c r="I643" s="3601"/>
      <c r="J643" s="3601"/>
      <c r="K643" s="3601"/>
      <c r="L643" s="3601"/>
      <c r="M643" s="3601"/>
      <c r="N643" s="3601"/>
      <c r="O643" s="3601"/>
      <c r="P643" s="3601"/>
      <c r="Q643" s="3601"/>
      <c r="R643" s="3601"/>
      <c r="S643" s="3453"/>
    </row>
    <row r="644" spans="1:39" s="3452" customFormat="1" x14ac:dyDescent="0.3">
      <c r="A644" s="3451"/>
      <c r="U644" s="3453"/>
      <c r="V644" s="3453"/>
      <c r="W644" s="3453"/>
      <c r="X644" s="3453"/>
      <c r="Y644" s="3453"/>
      <c r="Z644" s="3453"/>
      <c r="AA644" s="3453"/>
      <c r="AB644" s="3453"/>
      <c r="AC644" s="3453"/>
      <c r="AD644" s="3453"/>
      <c r="AE644" s="3453"/>
      <c r="AF644" s="3453"/>
      <c r="AG644" s="3453"/>
    </row>
    <row r="645" spans="1:39" s="3452" customFormat="1" ht="15.05" thickBot="1" x14ac:dyDescent="0.35">
      <c r="A645" s="2487">
        <f>+A415</f>
        <v>102</v>
      </c>
      <c r="B645" s="3454" t="str">
        <f>+E415</f>
        <v xml:space="preserve">Saldo Mensual Global Acumulado de Reservas  (toneladas de MS)   </v>
      </c>
      <c r="C645" s="3455"/>
      <c r="D645" s="3455"/>
      <c r="E645" s="3455"/>
      <c r="F645" s="3455"/>
      <c r="G645" s="3455"/>
      <c r="H645" s="3455"/>
      <c r="I645" s="3455"/>
      <c r="J645" s="3455"/>
      <c r="K645" s="3455"/>
      <c r="L645" s="3455"/>
      <c r="M645" s="3455"/>
      <c r="N645" s="3455"/>
      <c r="O645" s="3455"/>
      <c r="P645" s="3455"/>
      <c r="Q645" s="3455"/>
      <c r="R645" s="3456"/>
      <c r="S645" s="3453"/>
      <c r="T645" s="3453"/>
      <c r="U645" s="3453"/>
    </row>
    <row r="646" spans="1:39" x14ac:dyDescent="0.3">
      <c r="B646" s="3981"/>
      <c r="C646" s="3982"/>
      <c r="D646" s="3983" t="s">
        <v>1395</v>
      </c>
      <c r="E646" s="3983" t="str">
        <f t="shared" ref="E646:P646" si="132">+G5</f>
        <v>Ene</v>
      </c>
      <c r="F646" s="3983" t="str">
        <f t="shared" si="132"/>
        <v>Feb</v>
      </c>
      <c r="G646" s="3983" t="str">
        <f t="shared" si="132"/>
        <v>Mar</v>
      </c>
      <c r="H646" s="3983" t="str">
        <f t="shared" si="132"/>
        <v>Abr</v>
      </c>
      <c r="I646" s="3983" t="str">
        <f t="shared" si="132"/>
        <v>May</v>
      </c>
      <c r="J646" s="3983" t="str">
        <f t="shared" si="132"/>
        <v>Jun</v>
      </c>
      <c r="K646" s="3983" t="str">
        <f t="shared" si="132"/>
        <v>Jul</v>
      </c>
      <c r="L646" s="3983" t="str">
        <f t="shared" si="132"/>
        <v>Ago</v>
      </c>
      <c r="M646" s="3983" t="str">
        <f t="shared" si="132"/>
        <v>Set</v>
      </c>
      <c r="N646" s="3983" t="str">
        <f t="shared" si="132"/>
        <v>Oct</v>
      </c>
      <c r="O646" s="3983" t="str">
        <f t="shared" si="132"/>
        <v>Nov</v>
      </c>
      <c r="P646" s="3984" t="str">
        <f t="shared" si="132"/>
        <v>Dic</v>
      </c>
    </row>
    <row r="647" spans="1:39" ht="15.05" thickBot="1" x14ac:dyDescent="0.35">
      <c r="B647" s="3981" t="s">
        <v>1378</v>
      </c>
      <c r="C647" s="3982"/>
      <c r="D647" s="3985">
        <f>+General!G27/1000</f>
        <v>0</v>
      </c>
      <c r="E647" s="3985">
        <f t="shared" ref="E647:P647" si="133">G410/1000</f>
        <v>0</v>
      </c>
      <c r="F647" s="3985">
        <f t="shared" si="133"/>
        <v>0</v>
      </c>
      <c r="G647" s="3985">
        <f t="shared" si="133"/>
        <v>0</v>
      </c>
      <c r="H647" s="3985">
        <f t="shared" si="133"/>
        <v>0</v>
      </c>
      <c r="I647" s="3985">
        <f t="shared" si="133"/>
        <v>0</v>
      </c>
      <c r="J647" s="3985">
        <f t="shared" si="133"/>
        <v>0</v>
      </c>
      <c r="K647" s="3985">
        <f t="shared" si="133"/>
        <v>0</v>
      </c>
      <c r="L647" s="3985">
        <f t="shared" si="133"/>
        <v>0</v>
      </c>
      <c r="M647" s="3985">
        <f t="shared" si="133"/>
        <v>0</v>
      </c>
      <c r="N647" s="3985">
        <f t="shared" si="133"/>
        <v>0</v>
      </c>
      <c r="O647" s="3985">
        <f t="shared" si="133"/>
        <v>0</v>
      </c>
      <c r="P647" s="3986">
        <f t="shared" si="133"/>
        <v>0</v>
      </c>
    </row>
    <row r="648" spans="1:39" ht="15.05" thickBot="1" x14ac:dyDescent="0.35">
      <c r="B648" s="3981"/>
      <c r="C648" s="3982"/>
      <c r="D648" s="3987">
        <f>+D647</f>
        <v>0</v>
      </c>
      <c r="E648" s="3987">
        <f>+D648</f>
        <v>0</v>
      </c>
      <c r="F648" s="3987">
        <f>+E648</f>
        <v>0</v>
      </c>
      <c r="G648" s="3987">
        <f>+F648</f>
        <v>0</v>
      </c>
      <c r="H648" s="3987">
        <f t="shared" ref="H648:P648" si="134">+G648</f>
        <v>0</v>
      </c>
      <c r="I648" s="3987">
        <f t="shared" si="134"/>
        <v>0</v>
      </c>
      <c r="J648" s="3987">
        <f t="shared" si="134"/>
        <v>0</v>
      </c>
      <c r="K648" s="3987">
        <f t="shared" si="134"/>
        <v>0</v>
      </c>
      <c r="L648" s="3987">
        <f t="shared" si="134"/>
        <v>0</v>
      </c>
      <c r="M648" s="3987">
        <f t="shared" si="134"/>
        <v>0</v>
      </c>
      <c r="N648" s="3987">
        <f t="shared" si="134"/>
        <v>0</v>
      </c>
      <c r="O648" s="3987">
        <f t="shared" si="134"/>
        <v>0</v>
      </c>
      <c r="P648" s="3988">
        <f t="shared" si="134"/>
        <v>0</v>
      </c>
    </row>
    <row r="652" spans="1:39" s="3076" customFormat="1" ht="23.4" hidden="1" customHeight="1" x14ac:dyDescent="0.2">
      <c r="A652" s="3403"/>
      <c r="B652" s="2220" t="s">
        <v>1126</v>
      </c>
      <c r="C652" s="2221"/>
      <c r="D652" s="3404"/>
      <c r="E652" s="3404"/>
      <c r="F652" s="3405"/>
      <c r="G652" s="2222"/>
      <c r="H652" s="2222"/>
      <c r="I652" s="2222"/>
      <c r="J652" s="2222"/>
      <c r="K652" s="2222"/>
      <c r="L652" s="2222"/>
      <c r="M652" s="2222"/>
      <c r="N652" s="2222"/>
      <c r="O652" s="2222"/>
      <c r="P652" s="2222"/>
      <c r="Q652" s="2222"/>
      <c r="R652" s="2222"/>
      <c r="S652" s="3404"/>
      <c r="T652" s="3074"/>
      <c r="U652" s="3075"/>
      <c r="W652" s="3077"/>
    </row>
    <row r="653" spans="1:39" s="3076" customFormat="1" ht="23.4" hidden="1" customHeight="1" x14ac:dyDescent="0.2">
      <c r="B653" s="2224"/>
      <c r="C653" s="2225"/>
      <c r="D653" s="3989"/>
      <c r="E653" s="3989"/>
      <c r="F653" s="3990"/>
      <c r="G653" s="2226"/>
      <c r="H653" s="2226"/>
      <c r="I653" s="2226"/>
      <c r="J653" s="2226"/>
      <c r="K653" s="2226"/>
      <c r="L653" s="2226"/>
      <c r="M653" s="2226"/>
      <c r="N653" s="2226"/>
      <c r="O653" s="2226"/>
      <c r="P653" s="2226"/>
      <c r="Q653" s="2226"/>
      <c r="R653" s="2226"/>
      <c r="S653" s="3989"/>
      <c r="T653" s="3074"/>
      <c r="U653" s="3075"/>
      <c r="W653" s="3077"/>
    </row>
    <row r="654" spans="1:39" s="3202" customFormat="1" ht="15.9" hidden="1" customHeight="1" thickBot="1" x14ac:dyDescent="0.25">
      <c r="A654" s="3071">
        <v>1154</v>
      </c>
      <c r="B654" s="3198" t="s">
        <v>1807</v>
      </c>
      <c r="C654" s="3199"/>
      <c r="D654" s="3198"/>
      <c r="E654" s="3198"/>
      <c r="F654" s="3198"/>
      <c r="G654" s="3198"/>
      <c r="H654" s="3198"/>
      <c r="I654" s="3198"/>
      <c r="J654" s="3198"/>
      <c r="K654" s="3198"/>
      <c r="L654" s="3198"/>
      <c r="M654" s="3198"/>
      <c r="N654" s="3198"/>
      <c r="O654" s="3198"/>
      <c r="P654" s="3198"/>
      <c r="Q654" s="3198"/>
      <c r="R654" s="3198"/>
      <c r="S654" s="3266"/>
      <c r="T654" s="3203"/>
      <c r="X654" s="3267"/>
    </row>
    <row r="655" spans="1:39" s="3440" customFormat="1" ht="15.05" hidden="1" thickTop="1" x14ac:dyDescent="0.3">
      <c r="B655" s="3282" t="s">
        <v>1809</v>
      </c>
      <c r="C655" s="3284"/>
      <c r="D655" s="3284"/>
      <c r="E655" s="3284"/>
      <c r="F655" s="3991"/>
      <c r="G655" s="3286">
        <f>+G501+G478</f>
        <v>0</v>
      </c>
      <c r="H655" s="3286">
        <f t="shared" ref="H655:R655" si="135">+H501+H478</f>
        <v>0</v>
      </c>
      <c r="I655" s="3286">
        <f t="shared" si="135"/>
        <v>0</v>
      </c>
      <c r="J655" s="3286">
        <f t="shared" si="135"/>
        <v>0</v>
      </c>
      <c r="K655" s="3286">
        <f t="shared" si="135"/>
        <v>0</v>
      </c>
      <c r="L655" s="3286">
        <f t="shared" si="135"/>
        <v>0</v>
      </c>
      <c r="M655" s="3286">
        <f t="shared" si="135"/>
        <v>0</v>
      </c>
      <c r="N655" s="3286">
        <f t="shared" si="135"/>
        <v>0</v>
      </c>
      <c r="O655" s="3286">
        <f t="shared" si="135"/>
        <v>0</v>
      </c>
      <c r="P655" s="3286">
        <f t="shared" si="135"/>
        <v>0</v>
      </c>
      <c r="Q655" s="3286">
        <f t="shared" si="135"/>
        <v>0</v>
      </c>
      <c r="R655" s="3992">
        <f t="shared" si="135"/>
        <v>0</v>
      </c>
      <c r="S655" s="3992"/>
      <c r="U655" s="3664"/>
      <c r="V655" s="3664"/>
      <c r="W655" s="3664"/>
      <c r="X655" s="3664"/>
      <c r="Y655" s="3664"/>
      <c r="Z655" s="3664"/>
      <c r="AA655" s="3664"/>
      <c r="AB655" s="3664"/>
      <c r="AC655" s="3664"/>
      <c r="AD655" s="3664"/>
      <c r="AE655" s="3664"/>
      <c r="AF655" s="3664"/>
      <c r="AG655" s="3664"/>
    </row>
    <row r="656" spans="1:39" s="3440" customFormat="1" hidden="1" x14ac:dyDescent="0.3">
      <c r="B656" s="3093" t="s">
        <v>584</v>
      </c>
      <c r="C656" s="2618"/>
      <c r="D656" s="2618"/>
      <c r="E656" s="2618"/>
      <c r="F656" s="3993"/>
      <c r="G656" s="3080">
        <f>SUM(A.Lecheros!F593:F597)</f>
        <v>0</v>
      </c>
      <c r="H656" s="3080">
        <f>SUM(A.Lecheros!G593:G597)</f>
        <v>0</v>
      </c>
      <c r="I656" s="3080">
        <f>SUM(A.Lecheros!H593:H597)</f>
        <v>0</v>
      </c>
      <c r="J656" s="3080">
        <f>SUM(A.Lecheros!I593:I597)</f>
        <v>0</v>
      </c>
      <c r="K656" s="3080">
        <f>SUM(A.Lecheros!J593:J597)</f>
        <v>0</v>
      </c>
      <c r="L656" s="3080">
        <f>SUM(A.Lecheros!K593:K597)</f>
        <v>0</v>
      </c>
      <c r="M656" s="3080">
        <f>SUM(A.Lecheros!L593:L597)</f>
        <v>0</v>
      </c>
      <c r="N656" s="3080">
        <f>SUM(A.Lecheros!M593:M597)</f>
        <v>0</v>
      </c>
      <c r="O656" s="3080">
        <f>SUM(A.Lecheros!N593:N597)</f>
        <v>0</v>
      </c>
      <c r="P656" s="3080">
        <f>SUM(A.Lecheros!O593:O597)</f>
        <v>0</v>
      </c>
      <c r="Q656" s="3080">
        <f>SUM(A.Lecheros!P593:P597)</f>
        <v>0</v>
      </c>
      <c r="R656" s="3994">
        <f>SUM(A.Lecheros!Q593:Q597)</f>
        <v>0</v>
      </c>
      <c r="S656" s="3994"/>
      <c r="U656" s="3664"/>
      <c r="V656" s="3664"/>
      <c r="W656" s="3664"/>
      <c r="X656" s="3664"/>
      <c r="Y656" s="3664"/>
      <c r="Z656" s="3664"/>
      <c r="AA656" s="3664"/>
      <c r="AB656" s="3664"/>
      <c r="AC656" s="3664"/>
      <c r="AD656" s="3664"/>
      <c r="AE656" s="3664"/>
      <c r="AF656" s="3664"/>
      <c r="AG656" s="3664"/>
    </row>
    <row r="657" spans="1:33" s="3440" customFormat="1" ht="15.05" hidden="1" thickBot="1" x14ac:dyDescent="0.35">
      <c r="B657" s="3995" t="s">
        <v>576</v>
      </c>
      <c r="C657" s="3996"/>
      <c r="D657" s="3996"/>
      <c r="E657" s="3996"/>
      <c r="F657" s="3996"/>
      <c r="G657" s="3997">
        <f>SUM(G655:G656)</f>
        <v>0</v>
      </c>
      <c r="H657" s="3997">
        <f t="shared" ref="H657:R657" si="136">SUM(H655:H656)</f>
        <v>0</v>
      </c>
      <c r="I657" s="3997">
        <f t="shared" si="136"/>
        <v>0</v>
      </c>
      <c r="J657" s="3997">
        <f t="shared" si="136"/>
        <v>0</v>
      </c>
      <c r="K657" s="3997">
        <f t="shared" si="136"/>
        <v>0</v>
      </c>
      <c r="L657" s="3997">
        <f t="shared" si="136"/>
        <v>0</v>
      </c>
      <c r="M657" s="3997">
        <f t="shared" si="136"/>
        <v>0</v>
      </c>
      <c r="N657" s="3997">
        <f t="shared" si="136"/>
        <v>0</v>
      </c>
      <c r="O657" s="3997">
        <f t="shared" si="136"/>
        <v>0</v>
      </c>
      <c r="P657" s="3997">
        <f t="shared" si="136"/>
        <v>0</v>
      </c>
      <c r="Q657" s="3997">
        <f t="shared" si="136"/>
        <v>0</v>
      </c>
      <c r="R657" s="3998">
        <f t="shared" si="136"/>
        <v>0</v>
      </c>
      <c r="S657" s="3998">
        <f>+SUM(G657:R657)</f>
        <v>0</v>
      </c>
      <c r="U657" s="3664"/>
      <c r="V657" s="3664"/>
      <c r="W657" s="3664"/>
      <c r="X657" s="3664"/>
      <c r="Y657" s="3664"/>
      <c r="Z657" s="3664"/>
      <c r="AA657" s="3664"/>
      <c r="AB657" s="3664"/>
      <c r="AC657" s="3664"/>
      <c r="AD657" s="3664"/>
      <c r="AE657" s="3664"/>
      <c r="AF657" s="3664"/>
      <c r="AG657" s="3664"/>
    </row>
    <row r="658" spans="1:33" s="3440" customFormat="1" ht="5.4" hidden="1" customHeight="1" thickTop="1" thickBot="1" x14ac:dyDescent="0.35">
      <c r="B658" s="3093"/>
      <c r="C658" s="2618"/>
      <c r="D658" s="2618"/>
      <c r="E658" s="2618"/>
      <c r="F658" s="2618"/>
      <c r="G658" s="3080"/>
      <c r="H658" s="3080"/>
      <c r="I658" s="3080"/>
      <c r="J658" s="3080"/>
      <c r="K658" s="3080"/>
      <c r="L658" s="3080"/>
      <c r="M658" s="3080"/>
      <c r="N658" s="3080"/>
      <c r="O658" s="3080"/>
      <c r="P658" s="3080"/>
      <c r="Q658" s="3080"/>
      <c r="R658" s="3994"/>
      <c r="S658" s="3994"/>
      <c r="U658" s="3664"/>
      <c r="V658" s="3664"/>
      <c r="W658" s="3664"/>
      <c r="X658" s="3664"/>
      <c r="Y658" s="3664"/>
      <c r="Z658" s="3664"/>
      <c r="AA658" s="3664"/>
      <c r="AB658" s="3664"/>
      <c r="AC658" s="3664"/>
      <c r="AD658" s="3664"/>
      <c r="AE658" s="3664"/>
      <c r="AF658" s="3664"/>
      <c r="AG658" s="3664"/>
    </row>
    <row r="659" spans="1:33" s="3440" customFormat="1" ht="15.75" hidden="1" thickTop="1" thickBot="1" x14ac:dyDescent="0.35">
      <c r="B659" s="3999" t="s">
        <v>630</v>
      </c>
      <c r="C659" s="4000"/>
      <c r="D659" s="4000"/>
      <c r="E659" s="4000"/>
      <c r="F659" s="4000"/>
      <c r="G659" s="4001">
        <f>+G656+G502+G479</f>
        <v>0</v>
      </c>
      <c r="H659" s="4001">
        <f t="shared" ref="H659:R659" si="137">+H656+H502+H479</f>
        <v>0</v>
      </c>
      <c r="I659" s="4001">
        <f t="shared" si="137"/>
        <v>0</v>
      </c>
      <c r="J659" s="4001">
        <f t="shared" si="137"/>
        <v>0</v>
      </c>
      <c r="K659" s="4001">
        <f t="shared" si="137"/>
        <v>0</v>
      </c>
      <c r="L659" s="4001">
        <f t="shared" si="137"/>
        <v>0</v>
      </c>
      <c r="M659" s="4001">
        <f t="shared" si="137"/>
        <v>0</v>
      </c>
      <c r="N659" s="4001">
        <f t="shared" si="137"/>
        <v>0</v>
      </c>
      <c r="O659" s="4001">
        <f t="shared" si="137"/>
        <v>0</v>
      </c>
      <c r="P659" s="4001">
        <f t="shared" si="137"/>
        <v>0</v>
      </c>
      <c r="Q659" s="4001">
        <f t="shared" si="137"/>
        <v>0</v>
      </c>
      <c r="R659" s="4002">
        <f t="shared" si="137"/>
        <v>0</v>
      </c>
      <c r="S659" s="4002"/>
      <c r="U659" s="3664"/>
      <c r="V659" s="3664"/>
      <c r="W659" s="3664"/>
      <c r="X659" s="3664"/>
      <c r="Y659" s="3664"/>
      <c r="Z659" s="3664"/>
      <c r="AA659" s="3664"/>
      <c r="AB659" s="3664"/>
      <c r="AC659" s="3664"/>
      <c r="AD659" s="3664"/>
      <c r="AE659" s="3664"/>
      <c r="AF659" s="3664"/>
      <c r="AG659" s="3664"/>
    </row>
    <row r="660" spans="1:33" s="3440" customFormat="1" ht="15.05" hidden="1" thickTop="1" x14ac:dyDescent="0.3">
      <c r="B660" s="3648" t="s">
        <v>2153</v>
      </c>
      <c r="D660" s="3452"/>
      <c r="U660" s="3664"/>
      <c r="V660" s="3664"/>
      <c r="W660" s="3664"/>
      <c r="X660" s="3664"/>
      <c r="Y660" s="3664"/>
      <c r="Z660" s="3664"/>
      <c r="AA660" s="3664"/>
      <c r="AB660" s="3664"/>
      <c r="AC660" s="3664"/>
      <c r="AD660" s="3664"/>
      <c r="AE660" s="3664"/>
      <c r="AF660" s="3664"/>
      <c r="AG660" s="3664"/>
    </row>
    <row r="661" spans="1:33" s="3440" customFormat="1" hidden="1" x14ac:dyDescent="0.3">
      <c r="D661" s="3452"/>
      <c r="U661" s="3664"/>
      <c r="V661" s="3664"/>
      <c r="W661" s="3664"/>
      <c r="X661" s="3664"/>
      <c r="Y661" s="3664"/>
      <c r="Z661" s="3664"/>
      <c r="AA661" s="3664"/>
      <c r="AB661" s="3664"/>
      <c r="AC661" s="3664"/>
      <c r="AD661" s="3664"/>
      <c r="AE661" s="3664"/>
      <c r="AF661" s="3664"/>
      <c r="AG661" s="3664"/>
    </row>
    <row r="662" spans="1:33" s="3440" customFormat="1" hidden="1" x14ac:dyDescent="0.3">
      <c r="D662" s="3452"/>
      <c r="U662" s="3664"/>
      <c r="V662" s="3664"/>
      <c r="W662" s="3664"/>
      <c r="X662" s="3664"/>
      <c r="Y662" s="3664"/>
      <c r="Z662" s="3664"/>
      <c r="AA662" s="3664"/>
      <c r="AB662" s="3664"/>
      <c r="AC662" s="3664"/>
      <c r="AD662" s="3664"/>
      <c r="AE662" s="3664"/>
      <c r="AF662" s="3664"/>
      <c r="AG662" s="3664"/>
    </row>
    <row r="663" spans="1:33" s="3440" customFormat="1" hidden="1" x14ac:dyDescent="0.3">
      <c r="D663" s="3452"/>
      <c r="U663" s="3664"/>
      <c r="V663" s="3664"/>
      <c r="W663" s="3664"/>
      <c r="X663" s="3664"/>
      <c r="Y663" s="3664"/>
      <c r="Z663" s="3664"/>
      <c r="AA663" s="3664"/>
      <c r="AB663" s="3664"/>
      <c r="AC663" s="3664"/>
      <c r="AD663" s="3664"/>
      <c r="AE663" s="3664"/>
      <c r="AF663" s="3664"/>
      <c r="AG663" s="3664"/>
    </row>
    <row r="664" spans="1:33" s="3202" customFormat="1" ht="15.9" hidden="1" customHeight="1" thickBot="1" x14ac:dyDescent="0.25">
      <c r="A664" s="3071">
        <v>1155</v>
      </c>
      <c r="B664" s="3198" t="s">
        <v>1808</v>
      </c>
      <c r="C664" s="3199"/>
      <c r="D664" s="3198"/>
      <c r="E664" s="3198"/>
      <c r="F664" s="3198"/>
      <c r="G664" s="3198"/>
      <c r="H664" s="3198"/>
      <c r="I664" s="3198"/>
      <c r="J664" s="3198"/>
      <c r="K664" s="3198"/>
      <c r="L664" s="3198"/>
      <c r="M664" s="3198"/>
      <c r="N664" s="3198"/>
      <c r="O664" s="3198"/>
      <c r="P664" s="3198"/>
      <c r="Q664" s="3198"/>
      <c r="R664" s="3198"/>
      <c r="S664" s="3266"/>
      <c r="T664" s="3203"/>
      <c r="X664" s="3267"/>
    </row>
    <row r="665" spans="1:33" s="3440" customFormat="1" ht="15.75" hidden="1" thickTop="1" thickBot="1" x14ac:dyDescent="0.35">
      <c r="B665" s="3282"/>
      <c r="C665" s="3284"/>
      <c r="D665" s="3284"/>
      <c r="E665" s="3284" t="s">
        <v>585</v>
      </c>
      <c r="F665" s="3991"/>
      <c r="G665" s="3284"/>
      <c r="H665" s="3284"/>
      <c r="I665" s="3284"/>
      <c r="J665" s="3284"/>
      <c r="K665" s="3284"/>
      <c r="L665" s="3284"/>
      <c r="M665" s="3284"/>
      <c r="N665" s="3284"/>
      <c r="O665" s="3284"/>
      <c r="P665" s="3284"/>
      <c r="Q665" s="3284"/>
      <c r="R665" s="3105"/>
      <c r="S665" s="3093"/>
      <c r="U665" s="3664"/>
      <c r="V665" s="3664"/>
      <c r="W665" s="3664"/>
      <c r="X665" s="3664"/>
      <c r="Y665" s="3664"/>
      <c r="Z665" s="3664"/>
      <c r="AA665" s="3664"/>
      <c r="AB665" s="3664"/>
      <c r="AC665" s="3664"/>
      <c r="AD665" s="3664"/>
      <c r="AE665" s="3664"/>
      <c r="AF665" s="3664"/>
      <c r="AG665" s="3664"/>
    </row>
    <row r="666" spans="1:33" s="3440" customFormat="1" ht="15.05" hidden="1" thickTop="1" x14ac:dyDescent="0.3">
      <c r="B666" s="3087" t="s">
        <v>589</v>
      </c>
      <c r="C666" s="3284" t="s">
        <v>2140</v>
      </c>
      <c r="D666" s="3286" t="str">
        <f>+InsumosCultivos!B838</f>
        <v>Contratada</v>
      </c>
      <c r="E666" s="3284">
        <f>+Precios!D119</f>
        <v>0</v>
      </c>
      <c r="F666" s="3991"/>
      <c r="G666" s="3286">
        <f>IF($D666="contratada",G368*$E666,0)</f>
        <v>0</v>
      </c>
      <c r="H666" s="3286">
        <f t="shared" ref="H666:R666" si="138">IF($D666="contratada",H368*$E666,0)</f>
        <v>0</v>
      </c>
      <c r="I666" s="3286">
        <f t="shared" si="138"/>
        <v>0</v>
      </c>
      <c r="J666" s="3286">
        <f t="shared" si="138"/>
        <v>0</v>
      </c>
      <c r="K666" s="3286">
        <f t="shared" si="138"/>
        <v>0</v>
      </c>
      <c r="L666" s="3286">
        <f t="shared" si="138"/>
        <v>0</v>
      </c>
      <c r="M666" s="3286">
        <f t="shared" si="138"/>
        <v>0</v>
      </c>
      <c r="N666" s="3286">
        <f t="shared" si="138"/>
        <v>0</v>
      </c>
      <c r="O666" s="3286">
        <f t="shared" si="138"/>
        <v>0</v>
      </c>
      <c r="P666" s="3286">
        <f t="shared" si="138"/>
        <v>0</v>
      </c>
      <c r="Q666" s="3286">
        <f t="shared" si="138"/>
        <v>0</v>
      </c>
      <c r="R666" s="3992">
        <f t="shared" si="138"/>
        <v>0</v>
      </c>
      <c r="S666" s="3093"/>
      <c r="U666" s="3664"/>
      <c r="V666" s="3664"/>
      <c r="W666" s="3664"/>
      <c r="X666" s="3664"/>
      <c r="Y666" s="3664"/>
      <c r="Z666" s="3664"/>
      <c r="AA666" s="3664"/>
      <c r="AB666" s="3664"/>
      <c r="AC666" s="3664"/>
      <c r="AD666" s="3664"/>
      <c r="AE666" s="3664"/>
      <c r="AF666" s="3664"/>
      <c r="AG666" s="3664"/>
    </row>
    <row r="667" spans="1:33" s="3440" customFormat="1" hidden="1" x14ac:dyDescent="0.3">
      <c r="B667" s="3093"/>
      <c r="C667" s="2618" t="s">
        <v>2142</v>
      </c>
      <c r="D667" s="2618" t="str">
        <f>+InsumosCultivos!B842</f>
        <v>Propia</v>
      </c>
      <c r="E667" s="2618">
        <f>+Precios!D136</f>
        <v>0</v>
      </c>
      <c r="F667" s="3993"/>
      <c r="G667" s="3080">
        <f>IF($D667="contratada",G369*$E667,0)</f>
        <v>0</v>
      </c>
      <c r="H667" s="3080">
        <f t="shared" ref="H667:R667" si="139">IF($D667="contratada",H369*$E667,0)</f>
        <v>0</v>
      </c>
      <c r="I667" s="3080">
        <f t="shared" si="139"/>
        <v>0</v>
      </c>
      <c r="J667" s="3080">
        <f t="shared" si="139"/>
        <v>0</v>
      </c>
      <c r="K667" s="3080">
        <f t="shared" si="139"/>
        <v>0</v>
      </c>
      <c r="L667" s="3080">
        <f t="shared" si="139"/>
        <v>0</v>
      </c>
      <c r="M667" s="3080">
        <f t="shared" si="139"/>
        <v>0</v>
      </c>
      <c r="N667" s="3080">
        <f t="shared" si="139"/>
        <v>0</v>
      </c>
      <c r="O667" s="3080">
        <f t="shared" si="139"/>
        <v>0</v>
      </c>
      <c r="P667" s="3080">
        <f t="shared" si="139"/>
        <v>0</v>
      </c>
      <c r="Q667" s="3080">
        <f t="shared" si="139"/>
        <v>0</v>
      </c>
      <c r="R667" s="3994">
        <f t="shared" si="139"/>
        <v>0</v>
      </c>
      <c r="S667" s="3093"/>
      <c r="U667" s="3664"/>
      <c r="V667" s="3664"/>
      <c r="W667" s="3664"/>
      <c r="X667" s="3664"/>
      <c r="Y667" s="3664"/>
      <c r="Z667" s="3664"/>
      <c r="AA667" s="3664"/>
      <c r="AB667" s="3664"/>
      <c r="AC667" s="3664"/>
      <c r="AD667" s="3664"/>
      <c r="AE667" s="3664"/>
      <c r="AF667" s="3664"/>
      <c r="AG667" s="3664"/>
    </row>
    <row r="668" spans="1:33" s="3440" customFormat="1" hidden="1" x14ac:dyDescent="0.3">
      <c r="B668" s="3093"/>
      <c r="C668" s="2618" t="s">
        <v>1434</v>
      </c>
      <c r="D668" s="2618" t="str">
        <f>+InsumosCultivos!B846</f>
        <v>Contratada</v>
      </c>
      <c r="E668" s="2618">
        <f>+Precios!C153</f>
        <v>224</v>
      </c>
      <c r="F668" s="3993"/>
      <c r="G668" s="3080">
        <f>IF($D668="contratada",G370*$E668,0)</f>
        <v>0</v>
      </c>
      <c r="H668" s="3080">
        <f t="shared" ref="H668:R668" si="140">IF($D668="contratada",H370*$E668,0)</f>
        <v>0</v>
      </c>
      <c r="I668" s="3080">
        <f t="shared" si="140"/>
        <v>0</v>
      </c>
      <c r="J668" s="3080">
        <f t="shared" si="140"/>
        <v>0</v>
      </c>
      <c r="K668" s="3080">
        <f t="shared" si="140"/>
        <v>0</v>
      </c>
      <c r="L668" s="3080">
        <f t="shared" si="140"/>
        <v>0</v>
      </c>
      <c r="M668" s="3080">
        <f t="shared" si="140"/>
        <v>0</v>
      </c>
      <c r="N668" s="3080">
        <f t="shared" si="140"/>
        <v>0</v>
      </c>
      <c r="O668" s="3080">
        <f t="shared" si="140"/>
        <v>0</v>
      </c>
      <c r="P668" s="3080">
        <f t="shared" si="140"/>
        <v>0</v>
      </c>
      <c r="Q668" s="3080">
        <f t="shared" si="140"/>
        <v>0</v>
      </c>
      <c r="R668" s="3994">
        <f t="shared" si="140"/>
        <v>0</v>
      </c>
      <c r="S668" s="3093"/>
      <c r="U668" s="3664"/>
      <c r="V668" s="3664"/>
      <c r="W668" s="3664"/>
      <c r="X668" s="3664"/>
      <c r="Y668" s="3664"/>
      <c r="Z668" s="3664"/>
      <c r="AA668" s="3664"/>
      <c r="AB668" s="3664"/>
      <c r="AC668" s="3664"/>
      <c r="AD668" s="3664"/>
      <c r="AE668" s="3664"/>
      <c r="AF668" s="3664"/>
      <c r="AG668" s="3664"/>
    </row>
    <row r="669" spans="1:33" s="3440" customFormat="1" ht="15.05" hidden="1" thickBot="1" x14ac:dyDescent="0.35">
      <c r="B669" s="4003" t="s">
        <v>230</v>
      </c>
      <c r="C669" s="3996"/>
      <c r="D669" s="3996"/>
      <c r="E669" s="3996"/>
      <c r="F669" s="4004"/>
      <c r="G669" s="3997">
        <f>+SUM(G666:G668)</f>
        <v>0</v>
      </c>
      <c r="H669" s="3997">
        <f t="shared" ref="H669:R669" si="141">+SUM(H666:H668)</f>
        <v>0</v>
      </c>
      <c r="I669" s="3997">
        <f t="shared" si="141"/>
        <v>0</v>
      </c>
      <c r="J669" s="3997">
        <f t="shared" si="141"/>
        <v>0</v>
      </c>
      <c r="K669" s="3997">
        <f t="shared" si="141"/>
        <v>0</v>
      </c>
      <c r="L669" s="3997">
        <f t="shared" si="141"/>
        <v>0</v>
      </c>
      <c r="M669" s="3997">
        <f t="shared" si="141"/>
        <v>0</v>
      </c>
      <c r="N669" s="3997">
        <f t="shared" si="141"/>
        <v>0</v>
      </c>
      <c r="O669" s="3997">
        <f t="shared" si="141"/>
        <v>0</v>
      </c>
      <c r="P669" s="3997">
        <f t="shared" si="141"/>
        <v>0</v>
      </c>
      <c r="Q669" s="3997">
        <f t="shared" si="141"/>
        <v>0</v>
      </c>
      <c r="R669" s="3998">
        <f t="shared" si="141"/>
        <v>0</v>
      </c>
      <c r="S669" s="3093"/>
      <c r="U669" s="3664"/>
      <c r="V669" s="3664"/>
      <c r="W669" s="3664"/>
      <c r="X669" s="3664"/>
      <c r="Y669" s="3664"/>
      <c r="Z669" s="3664"/>
      <c r="AA669" s="3664"/>
      <c r="AB669" s="3664"/>
      <c r="AC669" s="3664"/>
      <c r="AD669" s="3664"/>
      <c r="AE669" s="3664"/>
      <c r="AF669" s="3664"/>
      <c r="AG669" s="3664"/>
    </row>
    <row r="670" spans="1:33" s="3440" customFormat="1" ht="15.05" hidden="1" thickTop="1" x14ac:dyDescent="0.3">
      <c r="B670" s="3183" t="s">
        <v>590</v>
      </c>
      <c r="C670" s="2618" t="s">
        <v>2140</v>
      </c>
      <c r="D670" s="2618"/>
      <c r="E670" s="2618">
        <f>+Precios!D122</f>
        <v>0</v>
      </c>
      <c r="F670" s="3993"/>
      <c r="G670" s="3080">
        <f t="shared" ref="G670:R670" si="142">+G368*$E$670</f>
        <v>0</v>
      </c>
      <c r="H670" s="3080">
        <f t="shared" si="142"/>
        <v>0</v>
      </c>
      <c r="I670" s="3080">
        <f t="shared" si="142"/>
        <v>0</v>
      </c>
      <c r="J670" s="3080">
        <f t="shared" si="142"/>
        <v>0</v>
      </c>
      <c r="K670" s="3080">
        <f t="shared" si="142"/>
        <v>0</v>
      </c>
      <c r="L670" s="3080">
        <f t="shared" si="142"/>
        <v>0</v>
      </c>
      <c r="M670" s="3080">
        <f t="shared" si="142"/>
        <v>0</v>
      </c>
      <c r="N670" s="3080">
        <f t="shared" si="142"/>
        <v>0</v>
      </c>
      <c r="O670" s="3080">
        <f t="shared" si="142"/>
        <v>0</v>
      </c>
      <c r="P670" s="3080">
        <f t="shared" si="142"/>
        <v>0</v>
      </c>
      <c r="Q670" s="3080">
        <f t="shared" si="142"/>
        <v>0</v>
      </c>
      <c r="R670" s="3994">
        <f t="shared" si="142"/>
        <v>0</v>
      </c>
      <c r="S670" s="3093"/>
      <c r="U670" s="3664"/>
      <c r="V670" s="3664"/>
      <c r="W670" s="3664"/>
      <c r="X670" s="3664"/>
      <c r="Y670" s="3664"/>
      <c r="Z670" s="3664"/>
      <c r="AA670" s="3664"/>
      <c r="AB670" s="3664"/>
      <c r="AC670" s="3664"/>
      <c r="AD670" s="3664"/>
      <c r="AE670" s="3664"/>
      <c r="AF670" s="3664"/>
      <c r="AG670" s="3664"/>
    </row>
    <row r="671" spans="1:33" s="3440" customFormat="1" hidden="1" x14ac:dyDescent="0.3">
      <c r="B671" s="3093"/>
      <c r="C671" s="2618" t="s">
        <v>2142</v>
      </c>
      <c r="D671" s="2618"/>
      <c r="E671" s="2618">
        <f>+Precios!D139</f>
        <v>2.9888888888888889</v>
      </c>
      <c r="F671" s="3993"/>
      <c r="G671" s="3080">
        <f t="shared" ref="G671:R671" si="143">+G369*$E$671</f>
        <v>0</v>
      </c>
      <c r="H671" s="3080">
        <f t="shared" si="143"/>
        <v>0</v>
      </c>
      <c r="I671" s="3080">
        <f t="shared" si="143"/>
        <v>0</v>
      </c>
      <c r="J671" s="3080">
        <f t="shared" si="143"/>
        <v>0</v>
      </c>
      <c r="K671" s="3080">
        <f t="shared" si="143"/>
        <v>0</v>
      </c>
      <c r="L671" s="3080">
        <f t="shared" si="143"/>
        <v>0</v>
      </c>
      <c r="M671" s="3080">
        <f t="shared" si="143"/>
        <v>0</v>
      </c>
      <c r="N671" s="3080">
        <f t="shared" si="143"/>
        <v>0</v>
      </c>
      <c r="O671" s="3080">
        <f t="shared" si="143"/>
        <v>0</v>
      </c>
      <c r="P671" s="3080">
        <f t="shared" si="143"/>
        <v>0</v>
      </c>
      <c r="Q671" s="3080">
        <f t="shared" si="143"/>
        <v>0</v>
      </c>
      <c r="R671" s="3994">
        <f t="shared" si="143"/>
        <v>0</v>
      </c>
      <c r="S671" s="3093"/>
      <c r="U671" s="3664"/>
      <c r="V671" s="3664"/>
      <c r="W671" s="3664"/>
      <c r="X671" s="3664"/>
      <c r="Y671" s="3664"/>
      <c r="Z671" s="3664"/>
      <c r="AA671" s="3664"/>
      <c r="AB671" s="3664"/>
      <c r="AC671" s="3664"/>
      <c r="AD671" s="3664"/>
      <c r="AE671" s="3664"/>
      <c r="AF671" s="3664"/>
      <c r="AG671" s="3664"/>
    </row>
    <row r="672" spans="1:33" s="3440" customFormat="1" ht="15.05" hidden="1" thickBot="1" x14ac:dyDescent="0.35">
      <c r="B672" s="3093"/>
      <c r="C672" s="2618" t="s">
        <v>1434</v>
      </c>
      <c r="D672" s="2618"/>
      <c r="E672" s="2618">
        <f>+Precios!C156</f>
        <v>90</v>
      </c>
      <c r="F672" s="3993"/>
      <c r="G672" s="3080">
        <f t="shared" ref="G672:R672" si="144">+G370*$E$672</f>
        <v>0</v>
      </c>
      <c r="H672" s="3080">
        <f t="shared" si="144"/>
        <v>0</v>
      </c>
      <c r="I672" s="3080">
        <f t="shared" si="144"/>
        <v>0</v>
      </c>
      <c r="J672" s="3080">
        <f t="shared" si="144"/>
        <v>0</v>
      </c>
      <c r="K672" s="3080">
        <f t="shared" si="144"/>
        <v>0</v>
      </c>
      <c r="L672" s="3080">
        <f t="shared" si="144"/>
        <v>0</v>
      </c>
      <c r="M672" s="3080">
        <f t="shared" si="144"/>
        <v>0</v>
      </c>
      <c r="N672" s="3080">
        <f t="shared" si="144"/>
        <v>0</v>
      </c>
      <c r="O672" s="3080">
        <f t="shared" si="144"/>
        <v>0</v>
      </c>
      <c r="P672" s="3080">
        <f t="shared" si="144"/>
        <v>0</v>
      </c>
      <c r="Q672" s="3080">
        <f t="shared" si="144"/>
        <v>0</v>
      </c>
      <c r="R672" s="3994">
        <f t="shared" si="144"/>
        <v>0</v>
      </c>
      <c r="S672" s="3093"/>
      <c r="U672" s="3664"/>
      <c r="V672" s="3664"/>
      <c r="W672" s="3664"/>
      <c r="X672" s="3664"/>
      <c r="Y672" s="3664"/>
      <c r="Z672" s="3664"/>
      <c r="AA672" s="3664"/>
      <c r="AB672" s="3664"/>
      <c r="AC672" s="3664"/>
      <c r="AD672" s="3664"/>
      <c r="AE672" s="3664"/>
      <c r="AF672" s="3664"/>
      <c r="AG672" s="3664"/>
    </row>
    <row r="673" spans="1:33" s="3440" customFormat="1" ht="15.75" hidden="1" thickTop="1" thickBot="1" x14ac:dyDescent="0.35">
      <c r="B673" s="4005" t="s">
        <v>1250</v>
      </c>
      <c r="C673" s="4006"/>
      <c r="D673" s="4006"/>
      <c r="E673" s="4006"/>
      <c r="F673" s="4007"/>
      <c r="G673" s="4008">
        <f>+SUM(G670:G672)</f>
        <v>0</v>
      </c>
      <c r="H673" s="4008">
        <f t="shared" ref="H673:R673" si="145">+SUM(H670:H672)</f>
        <v>0</v>
      </c>
      <c r="I673" s="4008">
        <f t="shared" si="145"/>
        <v>0</v>
      </c>
      <c r="J673" s="4008">
        <f t="shared" si="145"/>
        <v>0</v>
      </c>
      <c r="K673" s="4008">
        <f t="shared" si="145"/>
        <v>0</v>
      </c>
      <c r="L673" s="4008">
        <f t="shared" si="145"/>
        <v>0</v>
      </c>
      <c r="M673" s="4008">
        <f t="shared" si="145"/>
        <v>0</v>
      </c>
      <c r="N673" s="4008">
        <f t="shared" si="145"/>
        <v>0</v>
      </c>
      <c r="O673" s="4008">
        <f t="shared" si="145"/>
        <v>0</v>
      </c>
      <c r="P673" s="4008">
        <f t="shared" si="145"/>
        <v>0</v>
      </c>
      <c r="Q673" s="4008">
        <f t="shared" si="145"/>
        <v>0</v>
      </c>
      <c r="R673" s="4009">
        <f t="shared" si="145"/>
        <v>0</v>
      </c>
      <c r="S673" s="3093"/>
      <c r="U673" s="3664"/>
      <c r="V673" s="3664"/>
      <c r="W673" s="3664"/>
      <c r="X673" s="3664"/>
      <c r="Y673" s="3664"/>
      <c r="Z673" s="3664"/>
      <c r="AA673" s="3664"/>
      <c r="AB673" s="3664"/>
      <c r="AC673" s="3664"/>
      <c r="AD673" s="3664"/>
      <c r="AE673" s="3664"/>
      <c r="AF673" s="3664"/>
      <c r="AG673" s="3664"/>
    </row>
    <row r="674" spans="1:33" s="3440" customFormat="1" ht="15.05" hidden="1" thickTop="1" x14ac:dyDescent="0.3">
      <c r="B674" s="3436"/>
      <c r="C674" s="3437"/>
      <c r="D674" s="3437"/>
      <c r="E674" s="3436"/>
      <c r="F674" s="3436"/>
      <c r="G674" s="3436"/>
      <c r="H674" s="3436"/>
      <c r="I674" s="3436"/>
      <c r="J674" s="3436"/>
      <c r="K674" s="3436"/>
      <c r="L674" s="3436"/>
      <c r="M674" s="3436"/>
      <c r="N674" s="3436"/>
      <c r="O674" s="3436"/>
      <c r="P674" s="3436"/>
      <c r="Q674" s="3436"/>
      <c r="R674" s="3436"/>
      <c r="U674" s="3664"/>
      <c r="V674" s="3664"/>
      <c r="W674" s="3664"/>
      <c r="X674" s="3664"/>
      <c r="Y674" s="3664"/>
      <c r="Z674" s="3664"/>
      <c r="AA674" s="3664"/>
      <c r="AB674" s="3664"/>
      <c r="AC674" s="3664"/>
      <c r="AD674" s="3664"/>
      <c r="AE674" s="3664"/>
      <c r="AF674" s="3664"/>
      <c r="AG674" s="3664"/>
    </row>
    <row r="675" spans="1:33" s="3440" customFormat="1" hidden="1" x14ac:dyDescent="0.3">
      <c r="B675" s="3436"/>
      <c r="C675" s="3436"/>
      <c r="D675" s="3437"/>
      <c r="E675" s="3436"/>
      <c r="F675" s="3436"/>
      <c r="G675" s="3436"/>
      <c r="H675" s="3436"/>
      <c r="I675" s="3436"/>
      <c r="J675" s="3436"/>
      <c r="K675" s="3436"/>
      <c r="L675" s="3436"/>
      <c r="M675" s="3436"/>
      <c r="N675" s="3436"/>
      <c r="O675" s="3436"/>
      <c r="P675" s="3436"/>
      <c r="Q675" s="3436"/>
      <c r="R675" s="3436"/>
      <c r="U675" s="3664"/>
      <c r="V675" s="3664"/>
      <c r="W675" s="3664"/>
      <c r="X675" s="3664"/>
      <c r="Y675" s="3664"/>
      <c r="Z675" s="3664"/>
      <c r="AA675" s="3664"/>
      <c r="AB675" s="3664"/>
      <c r="AC675" s="3664"/>
      <c r="AD675" s="3664"/>
      <c r="AE675" s="3664"/>
      <c r="AF675" s="3664"/>
      <c r="AG675" s="3664"/>
    </row>
    <row r="676" spans="1:33" s="3202" customFormat="1" ht="15.9" hidden="1" customHeight="1" x14ac:dyDescent="0.2">
      <c r="A676" s="3266"/>
      <c r="B676" s="3198" t="s">
        <v>1811</v>
      </c>
      <c r="C676" s="3199"/>
      <c r="D676" s="3198"/>
      <c r="E676" s="3198"/>
      <c r="F676" s="3198"/>
      <c r="G676" s="3198"/>
      <c r="H676" s="3198"/>
      <c r="I676" s="3198"/>
      <c r="J676" s="3198"/>
      <c r="K676" s="3198"/>
      <c r="L676" s="3198"/>
      <c r="M676" s="3198"/>
      <c r="N676" s="3198"/>
      <c r="O676" s="3198"/>
      <c r="P676" s="3198"/>
      <c r="Q676" s="3198"/>
      <c r="R676" s="3198"/>
      <c r="S676" s="3266"/>
      <c r="T676" s="3203"/>
      <c r="X676" s="3267"/>
    </row>
    <row r="677" spans="1:33" s="3440" customFormat="1" hidden="1" x14ac:dyDescent="0.3">
      <c r="B677" s="3436"/>
      <c r="C677" s="3436"/>
      <c r="D677" s="3437"/>
      <c r="E677" s="3436"/>
      <c r="F677" s="3436"/>
      <c r="G677" s="3436"/>
      <c r="H677" s="3436"/>
      <c r="I677" s="3436"/>
      <c r="J677" s="3436"/>
      <c r="K677" s="3436"/>
      <c r="L677" s="3436"/>
      <c r="M677" s="3436"/>
      <c r="N677" s="3436"/>
      <c r="O677" s="3436"/>
      <c r="P677" s="3436"/>
      <c r="Q677" s="3436"/>
      <c r="R677" s="3436"/>
      <c r="U677" s="3664"/>
      <c r="V677" s="3664"/>
      <c r="W677" s="3664"/>
      <c r="X677" s="3664"/>
      <c r="Y677" s="3664"/>
      <c r="Z677" s="3664"/>
      <c r="AA677" s="3664"/>
      <c r="AB677" s="3664"/>
      <c r="AC677" s="3664"/>
      <c r="AD677" s="3664"/>
      <c r="AE677" s="3664"/>
      <c r="AF677" s="3664"/>
      <c r="AG677" s="3664"/>
    </row>
    <row r="678" spans="1:33" s="3440" customFormat="1" ht="15.05" hidden="1" thickBot="1" x14ac:dyDescent="0.35">
      <c r="A678" s="3071">
        <v>1156</v>
      </c>
      <c r="B678" s="3610" t="s">
        <v>1813</v>
      </c>
      <c r="C678" s="3610"/>
      <c r="D678" s="3498"/>
      <c r="E678" s="3610"/>
      <c r="F678" s="3610"/>
      <c r="G678" s="3610"/>
      <c r="H678" s="3610"/>
      <c r="I678" s="3610"/>
      <c r="J678" s="3610"/>
      <c r="K678" s="3610"/>
      <c r="L678" s="3610"/>
      <c r="M678" s="3610"/>
      <c r="N678" s="3610"/>
      <c r="O678" s="3610"/>
      <c r="P678" s="3610"/>
      <c r="Q678" s="3610"/>
      <c r="R678" s="3610"/>
      <c r="U678" s="3664"/>
      <c r="V678" s="3664"/>
      <c r="W678" s="3664"/>
      <c r="X678" s="3664"/>
      <c r="Y678" s="3664"/>
      <c r="Z678" s="3664"/>
      <c r="AA678" s="3664"/>
      <c r="AB678" s="3664"/>
      <c r="AC678" s="3664"/>
      <c r="AD678" s="3664"/>
      <c r="AE678" s="3664"/>
      <c r="AF678" s="3664"/>
      <c r="AG678" s="3664"/>
    </row>
    <row r="679" spans="1:33" s="3440" customFormat="1" ht="15.05" hidden="1" thickTop="1" x14ac:dyDescent="0.3">
      <c r="A679" s="3436"/>
      <c r="B679" s="4010" t="s">
        <v>2185</v>
      </c>
      <c r="C679" s="4011"/>
      <c r="D679" s="4011"/>
      <c r="E679" s="4011"/>
      <c r="F679" s="4011"/>
      <c r="G679" s="4011"/>
      <c r="H679" s="4011"/>
      <c r="I679" s="4011"/>
      <c r="J679" s="4011"/>
      <c r="K679" s="4011"/>
      <c r="L679" s="4011"/>
      <c r="M679" s="4011"/>
      <c r="N679" s="4011"/>
      <c r="O679" s="4011"/>
      <c r="P679" s="4011"/>
      <c r="Q679" s="4011"/>
      <c r="R679" s="4012"/>
      <c r="U679" s="3664"/>
      <c r="V679" s="3664"/>
      <c r="W679" s="3664"/>
      <c r="X679" s="3664"/>
      <c r="Y679" s="3664"/>
      <c r="Z679" s="3664"/>
      <c r="AA679" s="3664"/>
      <c r="AB679" s="3664"/>
      <c r="AC679" s="3664"/>
      <c r="AD679" s="3664"/>
      <c r="AE679" s="3664"/>
      <c r="AF679" s="3664"/>
      <c r="AG679" s="3664"/>
    </row>
    <row r="680" spans="1:33" s="3440" customFormat="1" hidden="1" x14ac:dyDescent="0.3">
      <c r="A680" s="3436"/>
      <c r="B680" s="4013" t="s">
        <v>819</v>
      </c>
      <c r="C680" s="3437"/>
      <c r="D680" s="3437"/>
      <c r="E680" s="3437"/>
      <c r="F680" s="3437"/>
      <c r="G680" s="3437">
        <f>SUM(A.Lecheros!F593:F595)+A.Lecheros!F597</f>
        <v>0</v>
      </c>
      <c r="H680" s="3437">
        <f>SUM(A.Lecheros!G593:G595)+A.Lecheros!G597</f>
        <v>0</v>
      </c>
      <c r="I680" s="3437">
        <f>SUM(A.Lecheros!H593:H595)+A.Lecheros!H597</f>
        <v>0</v>
      </c>
      <c r="J680" s="3437">
        <f>SUM(A.Lecheros!I593:I595)+A.Lecheros!I597</f>
        <v>0</v>
      </c>
      <c r="K680" s="3437">
        <f>SUM(A.Lecheros!J593:J595)+A.Lecheros!J597</f>
        <v>0</v>
      </c>
      <c r="L680" s="3437">
        <f>SUM(A.Lecheros!K593:K595)+A.Lecheros!K597</f>
        <v>0</v>
      </c>
      <c r="M680" s="3437">
        <f>SUM(A.Lecheros!L593:L595)+A.Lecheros!L597</f>
        <v>0</v>
      </c>
      <c r="N680" s="3437">
        <f>SUM(A.Lecheros!M593:M595)+A.Lecheros!M597</f>
        <v>0</v>
      </c>
      <c r="O680" s="3437">
        <f>SUM(A.Lecheros!N593:N595)+A.Lecheros!N597</f>
        <v>0</v>
      </c>
      <c r="P680" s="3437">
        <f>SUM(A.Lecheros!O593:O595)+A.Lecheros!O597</f>
        <v>0</v>
      </c>
      <c r="Q680" s="3437">
        <f>SUM(A.Lecheros!P593:P595)+A.Lecheros!P597</f>
        <v>0</v>
      </c>
      <c r="R680" s="4014">
        <f>SUM(A.Lecheros!Q593:Q595)+A.Lecheros!Q597</f>
        <v>0</v>
      </c>
      <c r="U680" s="3664"/>
      <c r="V680" s="3664"/>
      <c r="W680" s="3664"/>
      <c r="X680" s="3664"/>
      <c r="Y680" s="3664"/>
      <c r="Z680" s="3664"/>
      <c r="AA680" s="3664"/>
      <c r="AB680" s="3664"/>
      <c r="AC680" s="3664"/>
      <c r="AD680" s="3664"/>
      <c r="AE680" s="3664"/>
      <c r="AF680" s="3664"/>
      <c r="AG680" s="3664"/>
    </row>
    <row r="681" spans="1:33" s="3440" customFormat="1" ht="15.05" hidden="1" thickBot="1" x14ac:dyDescent="0.35">
      <c r="A681" s="3436"/>
      <c r="B681" s="4015" t="s">
        <v>2186</v>
      </c>
      <c r="C681" s="4016"/>
      <c r="D681" s="4016"/>
      <c r="E681" s="4016"/>
      <c r="F681" s="4016"/>
      <c r="G681" s="4016">
        <f>+SUM(A.Lecheros!F596)</f>
        <v>0</v>
      </c>
      <c r="H681" s="4016">
        <f>+SUM(A.Lecheros!G596)</f>
        <v>0</v>
      </c>
      <c r="I681" s="4016">
        <f>+SUM(A.Lecheros!H596)</f>
        <v>0</v>
      </c>
      <c r="J681" s="4016">
        <f>+SUM(A.Lecheros!I596)</f>
        <v>0</v>
      </c>
      <c r="K681" s="4016">
        <f>+SUM(A.Lecheros!J596)</f>
        <v>0</v>
      </c>
      <c r="L681" s="4016">
        <f>+SUM(A.Lecheros!K596)</f>
        <v>0</v>
      </c>
      <c r="M681" s="4016">
        <f>+SUM(A.Lecheros!L596)</f>
        <v>0</v>
      </c>
      <c r="N681" s="4016">
        <f>+SUM(A.Lecheros!M596)</f>
        <v>0</v>
      </c>
      <c r="O681" s="4016">
        <f>+SUM(A.Lecheros!N596)</f>
        <v>0</v>
      </c>
      <c r="P681" s="4016">
        <f>+SUM(A.Lecheros!O596)</f>
        <v>0</v>
      </c>
      <c r="Q681" s="4016">
        <f>+SUM(A.Lecheros!P596)</f>
        <v>0</v>
      </c>
      <c r="R681" s="4017">
        <f>+SUM(A.Lecheros!Q596)</f>
        <v>0</v>
      </c>
      <c r="U681" s="3664"/>
      <c r="V681" s="3664"/>
      <c r="W681" s="3664"/>
      <c r="X681" s="3664"/>
      <c r="Y681" s="3664"/>
      <c r="Z681" s="3664"/>
      <c r="AA681" s="3664"/>
      <c r="AB681" s="3664"/>
      <c r="AC681" s="3664"/>
      <c r="AD681" s="3664"/>
      <c r="AE681" s="3664"/>
      <c r="AF681" s="3664"/>
      <c r="AG681" s="3664"/>
    </row>
    <row r="682" spans="1:33" s="3440" customFormat="1" ht="15.05" hidden="1" thickTop="1" x14ac:dyDescent="0.3">
      <c r="B682" s="4018" t="str">
        <f>+B462</f>
        <v>Concentrado energético Ofrecido por categoría</v>
      </c>
      <c r="C682" s="4019"/>
      <c r="D682" s="4019"/>
      <c r="E682" s="4019"/>
      <c r="F682" s="4019"/>
      <c r="G682" s="4019"/>
      <c r="H682" s="4019"/>
      <c r="I682" s="4019"/>
      <c r="J682" s="4019"/>
      <c r="K682" s="4019"/>
      <c r="L682" s="4019"/>
      <c r="M682" s="4019"/>
      <c r="N682" s="4019"/>
      <c r="O682" s="4019"/>
      <c r="P682" s="4019"/>
      <c r="Q682" s="4019"/>
      <c r="R682" s="4020"/>
      <c r="U682" s="3664"/>
      <c r="V682" s="3664"/>
      <c r="W682" s="3664"/>
      <c r="X682" s="3664"/>
      <c r="Y682" s="3664"/>
      <c r="Z682" s="3664"/>
      <c r="AA682" s="3664"/>
      <c r="AB682" s="3664"/>
      <c r="AC682" s="3664"/>
      <c r="AD682" s="3664"/>
      <c r="AE682" s="3664"/>
      <c r="AF682" s="3664"/>
      <c r="AG682" s="3664"/>
    </row>
    <row r="683" spans="1:33" s="3440" customFormat="1" hidden="1" x14ac:dyDescent="0.3">
      <c r="B683" s="4021" t="str">
        <f>+B463 &amp; B464</f>
        <v>Vacas en OrdeñeRecría, Vacas Secas y Toros</v>
      </c>
      <c r="C683" s="3452" t="s">
        <v>842</v>
      </c>
      <c r="D683" s="3452"/>
      <c r="E683" s="3452"/>
      <c r="F683" s="3452"/>
      <c r="G683" s="3452">
        <f t="shared" ref="G683:R683" si="146">+G463+G464</f>
        <v>0</v>
      </c>
      <c r="H683" s="3452">
        <f t="shared" si="146"/>
        <v>0</v>
      </c>
      <c r="I683" s="3452">
        <f t="shared" si="146"/>
        <v>0</v>
      </c>
      <c r="J683" s="3452">
        <f t="shared" si="146"/>
        <v>0</v>
      </c>
      <c r="K683" s="3452">
        <f t="shared" si="146"/>
        <v>0</v>
      </c>
      <c r="L683" s="3452">
        <f t="shared" si="146"/>
        <v>0</v>
      </c>
      <c r="M683" s="3452">
        <f t="shared" si="146"/>
        <v>0</v>
      </c>
      <c r="N683" s="3452">
        <f t="shared" si="146"/>
        <v>0</v>
      </c>
      <c r="O683" s="3452">
        <f t="shared" si="146"/>
        <v>0</v>
      </c>
      <c r="P683" s="3452">
        <f t="shared" si="146"/>
        <v>0</v>
      </c>
      <c r="Q683" s="3452">
        <f t="shared" si="146"/>
        <v>0</v>
      </c>
      <c r="R683" s="4022">
        <f t="shared" si="146"/>
        <v>0</v>
      </c>
      <c r="U683" s="3664"/>
      <c r="V683" s="3664"/>
      <c r="W683" s="3664"/>
      <c r="X683" s="3664"/>
      <c r="Y683" s="3664"/>
      <c r="Z683" s="3664"/>
      <c r="AA683" s="3664"/>
      <c r="AB683" s="3664"/>
      <c r="AC683" s="3664"/>
      <c r="AD683" s="3664"/>
      <c r="AE683" s="3664"/>
      <c r="AF683" s="3664"/>
      <c r="AG683" s="3664"/>
    </row>
    <row r="684" spans="1:33" s="3440" customFormat="1" ht="15.05" hidden="1" thickBot="1" x14ac:dyDescent="0.35">
      <c r="B684" s="4021" t="str">
        <f>+B465</f>
        <v xml:space="preserve">Ganadería </v>
      </c>
      <c r="C684" s="3452" t="s">
        <v>842</v>
      </c>
      <c r="D684" s="3452"/>
      <c r="E684" s="3452"/>
      <c r="F684" s="3452"/>
      <c r="G684" s="3452">
        <f t="shared" ref="G684:R684" si="147">+G465</f>
        <v>0</v>
      </c>
      <c r="H684" s="3452">
        <f t="shared" si="147"/>
        <v>0</v>
      </c>
      <c r="I684" s="3452">
        <f t="shared" si="147"/>
        <v>0</v>
      </c>
      <c r="J684" s="3452">
        <f t="shared" si="147"/>
        <v>0</v>
      </c>
      <c r="K684" s="3452">
        <f t="shared" si="147"/>
        <v>0</v>
      </c>
      <c r="L684" s="3452">
        <f t="shared" si="147"/>
        <v>0</v>
      </c>
      <c r="M684" s="3452">
        <f t="shared" si="147"/>
        <v>0</v>
      </c>
      <c r="N684" s="3452">
        <f t="shared" si="147"/>
        <v>0</v>
      </c>
      <c r="O684" s="3452">
        <f t="shared" si="147"/>
        <v>0</v>
      </c>
      <c r="P684" s="3452">
        <f t="shared" si="147"/>
        <v>0</v>
      </c>
      <c r="Q684" s="3452">
        <f t="shared" si="147"/>
        <v>0</v>
      </c>
      <c r="R684" s="4022">
        <f t="shared" si="147"/>
        <v>0</v>
      </c>
      <c r="U684" s="3664"/>
      <c r="V684" s="3664"/>
      <c r="W684" s="3664"/>
      <c r="X684" s="3664"/>
      <c r="Y684" s="3664"/>
      <c r="Z684" s="3664"/>
      <c r="AA684" s="3664"/>
      <c r="AB684" s="3664"/>
      <c r="AC684" s="3664"/>
      <c r="AD684" s="3664"/>
      <c r="AE684" s="3664"/>
      <c r="AF684" s="3664"/>
      <c r="AG684" s="3664"/>
    </row>
    <row r="685" spans="1:33" s="3440" customFormat="1" ht="15.05" hidden="1" thickBot="1" x14ac:dyDescent="0.35">
      <c r="B685" s="4023" t="str">
        <f>+B466</f>
        <v xml:space="preserve">TOTAL </v>
      </c>
      <c r="C685" s="4024" t="s">
        <v>842</v>
      </c>
      <c r="D685" s="4024"/>
      <c r="E685" s="4024"/>
      <c r="F685" s="4024"/>
      <c r="G685" s="4024">
        <f t="shared" ref="G685:R685" si="148">+G466</f>
        <v>0</v>
      </c>
      <c r="H685" s="4024">
        <f t="shared" si="148"/>
        <v>0</v>
      </c>
      <c r="I685" s="4024">
        <f t="shared" si="148"/>
        <v>0</v>
      </c>
      <c r="J685" s="4024">
        <f t="shared" si="148"/>
        <v>0</v>
      </c>
      <c r="K685" s="4024">
        <f t="shared" si="148"/>
        <v>0</v>
      </c>
      <c r="L685" s="4024">
        <f t="shared" si="148"/>
        <v>0</v>
      </c>
      <c r="M685" s="4024">
        <f t="shared" si="148"/>
        <v>0</v>
      </c>
      <c r="N685" s="4024">
        <f t="shared" si="148"/>
        <v>0</v>
      </c>
      <c r="O685" s="4024">
        <f t="shared" si="148"/>
        <v>0</v>
      </c>
      <c r="P685" s="4024">
        <f t="shared" si="148"/>
        <v>0</v>
      </c>
      <c r="Q685" s="4024">
        <f t="shared" si="148"/>
        <v>0</v>
      </c>
      <c r="R685" s="4025">
        <f t="shared" si="148"/>
        <v>0</v>
      </c>
      <c r="U685" s="3664"/>
      <c r="V685" s="3664"/>
      <c r="W685" s="3664"/>
      <c r="X685" s="3664"/>
      <c r="Y685" s="3664"/>
      <c r="Z685" s="3664"/>
      <c r="AA685" s="3664"/>
      <c r="AB685" s="3664"/>
      <c r="AC685" s="3664"/>
      <c r="AD685" s="3664"/>
      <c r="AE685" s="3664"/>
      <c r="AF685" s="3664"/>
      <c r="AG685" s="3664"/>
    </row>
    <row r="686" spans="1:33" s="3440" customFormat="1" hidden="1" x14ac:dyDescent="0.3">
      <c r="B686" s="4026" t="s">
        <v>691</v>
      </c>
      <c r="C686" s="4027" t="s">
        <v>358</v>
      </c>
      <c r="D686" s="4027"/>
      <c r="E686" s="4027"/>
      <c r="F686" s="4027"/>
      <c r="G686" s="4028" t="e">
        <f>+G683/G685</f>
        <v>#DIV/0!</v>
      </c>
      <c r="H686" s="4029" t="e">
        <f t="shared" ref="H686:R686" si="149">+H683/H685</f>
        <v>#DIV/0!</v>
      </c>
      <c r="I686" s="4029" t="e">
        <f t="shared" si="149"/>
        <v>#DIV/0!</v>
      </c>
      <c r="J686" s="4029" t="e">
        <f t="shared" si="149"/>
        <v>#DIV/0!</v>
      </c>
      <c r="K686" s="4029" t="e">
        <f t="shared" si="149"/>
        <v>#DIV/0!</v>
      </c>
      <c r="L686" s="4029" t="e">
        <f t="shared" si="149"/>
        <v>#DIV/0!</v>
      </c>
      <c r="M686" s="4029" t="e">
        <f t="shared" si="149"/>
        <v>#DIV/0!</v>
      </c>
      <c r="N686" s="4029" t="e">
        <f t="shared" si="149"/>
        <v>#DIV/0!</v>
      </c>
      <c r="O686" s="4029" t="e">
        <f t="shared" si="149"/>
        <v>#DIV/0!</v>
      </c>
      <c r="P686" s="4029" t="e">
        <f t="shared" si="149"/>
        <v>#DIV/0!</v>
      </c>
      <c r="Q686" s="4029" t="e">
        <f t="shared" si="149"/>
        <v>#DIV/0!</v>
      </c>
      <c r="R686" s="4030" t="e">
        <f t="shared" si="149"/>
        <v>#DIV/0!</v>
      </c>
      <c r="U686" s="3664"/>
      <c r="V686" s="3664"/>
      <c r="W686" s="3664"/>
      <c r="X686" s="3664"/>
      <c r="Y686" s="3664"/>
      <c r="Z686" s="3664"/>
      <c r="AA686" s="3664"/>
      <c r="AB686" s="3664"/>
      <c r="AC686" s="3664"/>
      <c r="AD686" s="3664"/>
      <c r="AE686" s="3664"/>
      <c r="AF686" s="3664"/>
      <c r="AG686" s="3664"/>
    </row>
    <row r="687" spans="1:33" s="3440" customFormat="1" ht="15.05" hidden="1" thickBot="1" x14ac:dyDescent="0.35">
      <c r="B687" s="4031" t="str">
        <f>+B684</f>
        <v xml:space="preserve">Ganadería </v>
      </c>
      <c r="C687" s="4032" t="s">
        <v>358</v>
      </c>
      <c r="D687" s="4032"/>
      <c r="E687" s="4032"/>
      <c r="F687" s="4032"/>
      <c r="G687" s="4033" t="e">
        <f>+G684/G685</f>
        <v>#DIV/0!</v>
      </c>
      <c r="H687" s="4034" t="e">
        <f t="shared" ref="H687:R687" si="150">+H684/H685</f>
        <v>#DIV/0!</v>
      </c>
      <c r="I687" s="4034" t="e">
        <f t="shared" si="150"/>
        <v>#DIV/0!</v>
      </c>
      <c r="J687" s="4034" t="e">
        <f t="shared" si="150"/>
        <v>#DIV/0!</v>
      </c>
      <c r="K687" s="4034" t="e">
        <f t="shared" si="150"/>
        <v>#DIV/0!</v>
      </c>
      <c r="L687" s="4034" t="e">
        <f t="shared" si="150"/>
        <v>#DIV/0!</v>
      </c>
      <c r="M687" s="4034" t="e">
        <f t="shared" si="150"/>
        <v>#DIV/0!</v>
      </c>
      <c r="N687" s="4034" t="e">
        <f t="shared" si="150"/>
        <v>#DIV/0!</v>
      </c>
      <c r="O687" s="4034" t="e">
        <f t="shared" si="150"/>
        <v>#DIV/0!</v>
      </c>
      <c r="P687" s="4034" t="e">
        <f t="shared" si="150"/>
        <v>#DIV/0!</v>
      </c>
      <c r="Q687" s="4034" t="e">
        <f t="shared" si="150"/>
        <v>#DIV/0!</v>
      </c>
      <c r="R687" s="4035" t="e">
        <f t="shared" si="150"/>
        <v>#DIV/0!</v>
      </c>
      <c r="U687" s="3664"/>
      <c r="V687" s="3664"/>
      <c r="W687" s="3664"/>
      <c r="X687" s="3664"/>
      <c r="Y687" s="3664"/>
      <c r="Z687" s="3664"/>
      <c r="AA687" s="3664"/>
      <c r="AB687" s="3664"/>
      <c r="AC687" s="3664"/>
      <c r="AD687" s="3664"/>
      <c r="AE687" s="3664"/>
      <c r="AF687" s="3664"/>
      <c r="AG687" s="3664"/>
    </row>
    <row r="688" spans="1:33" s="3440" customFormat="1" ht="15.05" hidden="1" thickBot="1" x14ac:dyDescent="0.35">
      <c r="B688" s="4036" t="s">
        <v>1814</v>
      </c>
      <c r="C688" s="4037" t="s">
        <v>30</v>
      </c>
      <c r="D688" s="4037"/>
      <c r="E688" s="4037"/>
      <c r="F688" s="4037"/>
      <c r="G688" s="4037">
        <f t="shared" ref="G688:R688" si="151">+G478</f>
        <v>0</v>
      </c>
      <c r="H688" s="4037">
        <f t="shared" si="151"/>
        <v>0</v>
      </c>
      <c r="I688" s="4037">
        <f t="shared" si="151"/>
        <v>0</v>
      </c>
      <c r="J688" s="4037">
        <f t="shared" si="151"/>
        <v>0</v>
      </c>
      <c r="K688" s="4037">
        <f t="shared" si="151"/>
        <v>0</v>
      </c>
      <c r="L688" s="4037">
        <f t="shared" si="151"/>
        <v>0</v>
      </c>
      <c r="M688" s="4037">
        <f t="shared" si="151"/>
        <v>0</v>
      </c>
      <c r="N688" s="4037">
        <f t="shared" si="151"/>
        <v>0</v>
      </c>
      <c r="O688" s="4037">
        <f t="shared" si="151"/>
        <v>0</v>
      </c>
      <c r="P688" s="4037">
        <f t="shared" si="151"/>
        <v>0</v>
      </c>
      <c r="Q688" s="4037">
        <f t="shared" si="151"/>
        <v>0</v>
      </c>
      <c r="R688" s="4038">
        <f t="shared" si="151"/>
        <v>0</v>
      </c>
      <c r="U688" s="3664"/>
      <c r="V688" s="3664"/>
      <c r="W688" s="3664"/>
      <c r="X688" s="3664"/>
      <c r="Y688" s="3664"/>
      <c r="Z688" s="3664"/>
      <c r="AA688" s="3664"/>
      <c r="AB688" s="3664"/>
      <c r="AC688" s="3664"/>
      <c r="AD688" s="3664"/>
      <c r="AE688" s="3664"/>
      <c r="AF688" s="3664"/>
      <c r="AG688" s="3664"/>
    </row>
    <row r="689" spans="1:33" s="3440" customFormat="1" ht="15.05" hidden="1" thickBot="1" x14ac:dyDescent="0.35">
      <c r="B689" s="4039" t="s">
        <v>1815</v>
      </c>
      <c r="C689" s="4027" t="s">
        <v>30</v>
      </c>
      <c r="D689" s="4027"/>
      <c r="E689" s="4027"/>
      <c r="F689" s="4027"/>
      <c r="G689" s="4027">
        <f>+G501</f>
        <v>0</v>
      </c>
      <c r="H689" s="4027">
        <f t="shared" ref="H689:R689" si="152">+H501</f>
        <v>0</v>
      </c>
      <c r="I689" s="4027">
        <f t="shared" si="152"/>
        <v>0</v>
      </c>
      <c r="J689" s="4027">
        <f t="shared" si="152"/>
        <v>0</v>
      </c>
      <c r="K689" s="4027">
        <f t="shared" si="152"/>
        <v>0</v>
      </c>
      <c r="L689" s="4027">
        <f t="shared" si="152"/>
        <v>0</v>
      </c>
      <c r="M689" s="4027">
        <f t="shared" si="152"/>
        <v>0</v>
      </c>
      <c r="N689" s="4027">
        <f t="shared" si="152"/>
        <v>0</v>
      </c>
      <c r="O689" s="4027">
        <f t="shared" si="152"/>
        <v>0</v>
      </c>
      <c r="P689" s="4027">
        <f t="shared" si="152"/>
        <v>0</v>
      </c>
      <c r="Q689" s="4027">
        <f t="shared" si="152"/>
        <v>0</v>
      </c>
      <c r="R689" s="4027">
        <f t="shared" si="152"/>
        <v>0</v>
      </c>
      <c r="U689" s="3664"/>
      <c r="V689" s="3664"/>
      <c r="W689" s="3664"/>
      <c r="X689" s="3664"/>
      <c r="Y689" s="3664"/>
      <c r="Z689" s="3664"/>
      <c r="AA689" s="3664"/>
      <c r="AB689" s="3664"/>
      <c r="AC689" s="3664"/>
      <c r="AD689" s="3664"/>
      <c r="AE689" s="3664"/>
      <c r="AF689" s="3664"/>
      <c r="AG689" s="3664"/>
    </row>
    <row r="690" spans="1:33" s="3440" customFormat="1" hidden="1" x14ac:dyDescent="0.3">
      <c r="A690" s="3436"/>
      <c r="B690" s="4026" t="s">
        <v>2187</v>
      </c>
      <c r="C690" s="4040" t="s">
        <v>30</v>
      </c>
      <c r="D690" s="4040"/>
      <c r="E690" s="4040"/>
      <c r="F690" s="4040"/>
      <c r="G690" s="4040" t="e">
        <f>(G688*G686)+G689+G680</f>
        <v>#DIV/0!</v>
      </c>
      <c r="H690" s="4040" t="e">
        <f t="shared" ref="H690:R690" si="153">(H688*H686)+H689+H680</f>
        <v>#DIV/0!</v>
      </c>
      <c r="I690" s="4040" t="e">
        <f t="shared" si="153"/>
        <v>#DIV/0!</v>
      </c>
      <c r="J690" s="4040" t="e">
        <f t="shared" si="153"/>
        <v>#DIV/0!</v>
      </c>
      <c r="K690" s="4040" t="e">
        <f t="shared" si="153"/>
        <v>#DIV/0!</v>
      </c>
      <c r="L690" s="4040" t="e">
        <f t="shared" si="153"/>
        <v>#DIV/0!</v>
      </c>
      <c r="M690" s="4040" t="e">
        <f t="shared" si="153"/>
        <v>#DIV/0!</v>
      </c>
      <c r="N690" s="4040" t="e">
        <f t="shared" si="153"/>
        <v>#DIV/0!</v>
      </c>
      <c r="O690" s="4040" t="e">
        <f t="shared" si="153"/>
        <v>#DIV/0!</v>
      </c>
      <c r="P690" s="4040" t="e">
        <f t="shared" si="153"/>
        <v>#DIV/0!</v>
      </c>
      <c r="Q690" s="4040" t="e">
        <f t="shared" si="153"/>
        <v>#DIV/0!</v>
      </c>
      <c r="R690" s="4041" t="e">
        <f t="shared" si="153"/>
        <v>#DIV/0!</v>
      </c>
      <c r="U690" s="3664"/>
      <c r="V690" s="3664"/>
      <c r="W690" s="3664"/>
      <c r="X690" s="3664"/>
      <c r="Y690" s="3664"/>
      <c r="Z690" s="3664"/>
      <c r="AA690" s="3664"/>
      <c r="AB690" s="3664"/>
      <c r="AC690" s="3664"/>
      <c r="AD690" s="3664"/>
      <c r="AE690" s="3664"/>
      <c r="AF690" s="3664"/>
      <c r="AG690" s="3664"/>
    </row>
    <row r="691" spans="1:33" s="3440" customFormat="1" ht="15.05" hidden="1" thickBot="1" x14ac:dyDescent="0.35">
      <c r="A691" s="3436"/>
      <c r="B691" s="4015" t="s">
        <v>2188</v>
      </c>
      <c r="C691" s="4016" t="s">
        <v>30</v>
      </c>
      <c r="D691" s="4016"/>
      <c r="E691" s="4016"/>
      <c r="F691" s="4016"/>
      <c r="G691" s="4016" t="e">
        <f>+G688*G687+G681</f>
        <v>#DIV/0!</v>
      </c>
      <c r="H691" s="4016" t="e">
        <f t="shared" ref="H691:R691" si="154">+H688*H687+H681</f>
        <v>#DIV/0!</v>
      </c>
      <c r="I691" s="4016" t="e">
        <f t="shared" si="154"/>
        <v>#DIV/0!</v>
      </c>
      <c r="J691" s="4016" t="e">
        <f t="shared" si="154"/>
        <v>#DIV/0!</v>
      </c>
      <c r="K691" s="4016" t="e">
        <f t="shared" si="154"/>
        <v>#DIV/0!</v>
      </c>
      <c r="L691" s="4016" t="e">
        <f t="shared" si="154"/>
        <v>#DIV/0!</v>
      </c>
      <c r="M691" s="4016" t="e">
        <f t="shared" si="154"/>
        <v>#DIV/0!</v>
      </c>
      <c r="N691" s="4016" t="e">
        <f t="shared" si="154"/>
        <v>#DIV/0!</v>
      </c>
      <c r="O691" s="4016" t="e">
        <f t="shared" si="154"/>
        <v>#DIV/0!</v>
      </c>
      <c r="P691" s="4016" t="e">
        <f t="shared" si="154"/>
        <v>#DIV/0!</v>
      </c>
      <c r="Q691" s="4016" t="e">
        <f t="shared" si="154"/>
        <v>#DIV/0!</v>
      </c>
      <c r="R691" s="4017" t="e">
        <f t="shared" si="154"/>
        <v>#DIV/0!</v>
      </c>
      <c r="U691" s="3664"/>
      <c r="V691" s="3664"/>
      <c r="W691" s="3664"/>
      <c r="X691" s="3664"/>
      <c r="Y691" s="3664"/>
      <c r="Z691" s="3664"/>
      <c r="AA691" s="3664"/>
      <c r="AB691" s="3664"/>
      <c r="AC691" s="3664"/>
      <c r="AD691" s="3664"/>
      <c r="AE691" s="3664"/>
      <c r="AF691" s="3664"/>
      <c r="AG691" s="3664"/>
    </row>
    <row r="692" spans="1:33" s="3440" customFormat="1" ht="15.05" hidden="1" thickTop="1" x14ac:dyDescent="0.3">
      <c r="A692" s="3436"/>
      <c r="B692" s="3437"/>
      <c r="C692" s="3437"/>
      <c r="D692" s="3437"/>
      <c r="E692" s="3437"/>
      <c r="F692" s="3437"/>
      <c r="G692" s="3437"/>
      <c r="H692" s="3437"/>
      <c r="I692" s="3437"/>
      <c r="J692" s="3437"/>
      <c r="K692" s="3437"/>
      <c r="L692" s="3437"/>
      <c r="M692" s="3437"/>
      <c r="N692" s="3437"/>
      <c r="O692" s="3437"/>
      <c r="P692" s="3437"/>
      <c r="Q692" s="3437"/>
      <c r="R692" s="3437"/>
      <c r="U692" s="3664"/>
      <c r="V692" s="3664"/>
      <c r="W692" s="3664"/>
      <c r="X692" s="3664"/>
      <c r="Y692" s="3664"/>
      <c r="Z692" s="3664"/>
      <c r="AA692" s="3664"/>
      <c r="AB692" s="3664"/>
      <c r="AC692" s="3664"/>
      <c r="AD692" s="3664"/>
      <c r="AE692" s="3664"/>
      <c r="AF692" s="3664"/>
      <c r="AG692" s="3664"/>
    </row>
    <row r="693" spans="1:33" s="3440" customFormat="1" ht="15.05" hidden="1" thickBot="1" x14ac:dyDescent="0.35">
      <c r="A693" s="3071">
        <v>1157</v>
      </c>
      <c r="B693" s="3610" t="s">
        <v>1812</v>
      </c>
      <c r="C693" s="3610"/>
      <c r="D693" s="3498"/>
      <c r="E693" s="3610"/>
      <c r="F693" s="3610"/>
      <c r="G693" s="3610"/>
      <c r="H693" s="3610"/>
      <c r="I693" s="3610"/>
      <c r="J693" s="3610"/>
      <c r="K693" s="3610"/>
      <c r="L693" s="3610"/>
      <c r="M693" s="3610"/>
      <c r="N693" s="3610"/>
      <c r="O693" s="3610"/>
      <c r="P693" s="3610"/>
      <c r="Q693" s="3610"/>
      <c r="R693" s="3610"/>
      <c r="U693" s="3664"/>
      <c r="V693" s="3664"/>
      <c r="W693" s="3664"/>
      <c r="X693" s="3664"/>
      <c r="Y693" s="3664"/>
      <c r="Z693" s="3664"/>
      <c r="AA693" s="3664"/>
      <c r="AB693" s="3664"/>
      <c r="AC693" s="3664"/>
      <c r="AD693" s="3664"/>
      <c r="AE693" s="3664"/>
      <c r="AF693" s="3664"/>
      <c r="AG693" s="3664"/>
    </row>
    <row r="694" spans="1:33" s="3440" customFormat="1" ht="15.05" hidden="1" thickTop="1" x14ac:dyDescent="0.3">
      <c r="A694" s="3436"/>
      <c r="B694" s="4018" t="str">
        <f>+B358</f>
        <v>TOTAL posible de Reservar</v>
      </c>
      <c r="C694" s="4019"/>
      <c r="D694" s="4019" t="str">
        <f>+D358</f>
        <v>kg MS totales</v>
      </c>
      <c r="E694" s="4019"/>
      <c r="F694" s="4019"/>
      <c r="G694" s="4019">
        <f t="shared" ref="G694:R694" si="155">+G358</f>
        <v>0</v>
      </c>
      <c r="H694" s="4019">
        <f t="shared" si="155"/>
        <v>0</v>
      </c>
      <c r="I694" s="4019">
        <f t="shared" si="155"/>
        <v>0</v>
      </c>
      <c r="J694" s="4019">
        <f t="shared" si="155"/>
        <v>0</v>
      </c>
      <c r="K694" s="4019">
        <f t="shared" si="155"/>
        <v>0</v>
      </c>
      <c r="L694" s="4019">
        <f t="shared" si="155"/>
        <v>0</v>
      </c>
      <c r="M694" s="4019">
        <f t="shared" si="155"/>
        <v>0</v>
      </c>
      <c r="N694" s="4019">
        <f t="shared" si="155"/>
        <v>0</v>
      </c>
      <c r="O694" s="4019">
        <f t="shared" si="155"/>
        <v>0</v>
      </c>
      <c r="P694" s="4019">
        <f t="shared" si="155"/>
        <v>0</v>
      </c>
      <c r="Q694" s="4019">
        <f t="shared" si="155"/>
        <v>0</v>
      </c>
      <c r="R694" s="4020">
        <f t="shared" si="155"/>
        <v>0</v>
      </c>
      <c r="U694" s="3664"/>
      <c r="V694" s="3664"/>
      <c r="W694" s="3664"/>
      <c r="X694" s="3664"/>
      <c r="Y694" s="3664"/>
      <c r="Z694" s="3664"/>
      <c r="AA694" s="3664"/>
      <c r="AB694" s="3664"/>
      <c r="AC694" s="3664"/>
      <c r="AD694" s="3664"/>
      <c r="AE694" s="3664"/>
      <c r="AF694" s="3664"/>
      <c r="AG694" s="3664"/>
    </row>
    <row r="695" spans="1:33" s="3440" customFormat="1" hidden="1" x14ac:dyDescent="0.3">
      <c r="A695" s="3436"/>
      <c r="B695" s="4021" t="s">
        <v>1810</v>
      </c>
      <c r="C695" s="3628"/>
      <c r="D695" s="3628"/>
      <c r="E695" s="3628"/>
      <c r="F695" s="3628"/>
      <c r="G695" s="3628">
        <f t="shared" ref="G695:R695" si="156">+G355+G356</f>
        <v>0</v>
      </c>
      <c r="H695" s="3628">
        <f t="shared" si="156"/>
        <v>0</v>
      </c>
      <c r="I695" s="3628">
        <f t="shared" si="156"/>
        <v>0</v>
      </c>
      <c r="J695" s="3628">
        <f t="shared" si="156"/>
        <v>0</v>
      </c>
      <c r="K695" s="3628">
        <f t="shared" si="156"/>
        <v>0</v>
      </c>
      <c r="L695" s="3628">
        <f t="shared" si="156"/>
        <v>0</v>
      </c>
      <c r="M695" s="3628">
        <f t="shared" si="156"/>
        <v>0</v>
      </c>
      <c r="N695" s="3628">
        <f t="shared" si="156"/>
        <v>0</v>
      </c>
      <c r="O695" s="3628">
        <f t="shared" si="156"/>
        <v>0</v>
      </c>
      <c r="P695" s="3628">
        <f t="shared" si="156"/>
        <v>0</v>
      </c>
      <c r="Q695" s="3628">
        <f t="shared" si="156"/>
        <v>0</v>
      </c>
      <c r="R695" s="4042">
        <f t="shared" si="156"/>
        <v>0</v>
      </c>
      <c r="U695" s="3664"/>
      <c r="V695" s="3664"/>
      <c r="W695" s="3664"/>
      <c r="X695" s="3664"/>
      <c r="Y695" s="3664"/>
      <c r="Z695" s="3664"/>
      <c r="AA695" s="3664"/>
      <c r="AB695" s="3664"/>
      <c r="AC695" s="3664"/>
      <c r="AD695" s="3664"/>
      <c r="AE695" s="3664"/>
      <c r="AF695" s="3664"/>
      <c r="AG695" s="3664"/>
    </row>
    <row r="696" spans="1:33" s="3440" customFormat="1" ht="15.05" hidden="1" thickBot="1" x14ac:dyDescent="0.35">
      <c r="A696" s="3436"/>
      <c r="B696" s="4043" t="s">
        <v>820</v>
      </c>
      <c r="C696" s="4044"/>
      <c r="D696" s="4044"/>
      <c r="E696" s="4044"/>
      <c r="F696" s="4044"/>
      <c r="G696" s="4044">
        <f t="shared" ref="G696:R696" si="157">+G357</f>
        <v>0</v>
      </c>
      <c r="H696" s="4044">
        <f t="shared" si="157"/>
        <v>0</v>
      </c>
      <c r="I696" s="4044">
        <f t="shared" si="157"/>
        <v>0</v>
      </c>
      <c r="J696" s="4044">
        <f t="shared" si="157"/>
        <v>0</v>
      </c>
      <c r="K696" s="4044">
        <f t="shared" si="157"/>
        <v>0</v>
      </c>
      <c r="L696" s="4044">
        <f t="shared" si="157"/>
        <v>0</v>
      </c>
      <c r="M696" s="4044">
        <f t="shared" si="157"/>
        <v>0</v>
      </c>
      <c r="N696" s="4044">
        <f t="shared" si="157"/>
        <v>0</v>
      </c>
      <c r="O696" s="4044">
        <f t="shared" si="157"/>
        <v>0</v>
      </c>
      <c r="P696" s="4044">
        <f t="shared" si="157"/>
        <v>0</v>
      </c>
      <c r="Q696" s="4044">
        <f t="shared" si="157"/>
        <v>0</v>
      </c>
      <c r="R696" s="4045">
        <f t="shared" si="157"/>
        <v>0</v>
      </c>
      <c r="U696" s="3664"/>
      <c r="V696" s="3664"/>
      <c r="W696" s="3664"/>
      <c r="X696" s="3664"/>
      <c r="Y696" s="3664"/>
      <c r="Z696" s="3664"/>
      <c r="AA696" s="3664"/>
      <c r="AB696" s="3664"/>
      <c r="AC696" s="3664"/>
      <c r="AD696" s="3664"/>
      <c r="AE696" s="3664"/>
      <c r="AF696" s="3664"/>
      <c r="AG696" s="3664"/>
    </row>
    <row r="697" spans="1:33" s="3440" customFormat="1" ht="15.05" hidden="1" thickTop="1" x14ac:dyDescent="0.3">
      <c r="A697" s="3436"/>
      <c r="B697" s="4010" t="s">
        <v>695</v>
      </c>
      <c r="C697" s="4011"/>
      <c r="D697" s="4011"/>
      <c r="E697" s="4011"/>
      <c r="F697" s="4011"/>
      <c r="G697" s="4046">
        <f>IFERROR(G695/G694,0)</f>
        <v>0</v>
      </c>
      <c r="H697" s="4046">
        <f t="shared" ref="H697:R697" si="158">IFERROR(H695/H694,0)</f>
        <v>0</v>
      </c>
      <c r="I697" s="4046">
        <f t="shared" si="158"/>
        <v>0</v>
      </c>
      <c r="J697" s="4046">
        <f t="shared" si="158"/>
        <v>0</v>
      </c>
      <c r="K697" s="4046">
        <f t="shared" si="158"/>
        <v>0</v>
      </c>
      <c r="L697" s="4046">
        <f t="shared" si="158"/>
        <v>0</v>
      </c>
      <c r="M697" s="4046">
        <f t="shared" si="158"/>
        <v>0</v>
      </c>
      <c r="N697" s="4046">
        <f t="shared" si="158"/>
        <v>0</v>
      </c>
      <c r="O697" s="4046">
        <f t="shared" si="158"/>
        <v>0</v>
      </c>
      <c r="P697" s="4046">
        <f t="shared" si="158"/>
        <v>0</v>
      </c>
      <c r="Q697" s="4046">
        <f t="shared" si="158"/>
        <v>0</v>
      </c>
      <c r="R697" s="4047">
        <f t="shared" si="158"/>
        <v>0</v>
      </c>
      <c r="U697" s="3664"/>
      <c r="V697" s="3664"/>
      <c r="W697" s="3664"/>
      <c r="X697" s="3664"/>
      <c r="Y697" s="3664"/>
      <c r="Z697" s="3664"/>
      <c r="AA697" s="3664"/>
      <c r="AB697" s="3664"/>
      <c r="AC697" s="3664"/>
      <c r="AD697" s="3664"/>
      <c r="AE697" s="3664"/>
      <c r="AF697" s="3664"/>
      <c r="AG697" s="3664"/>
    </row>
    <row r="698" spans="1:33" s="3440" customFormat="1" hidden="1" x14ac:dyDescent="0.3">
      <c r="A698" s="3436"/>
      <c r="B698" s="4048" t="s">
        <v>821</v>
      </c>
      <c r="C698" s="3526"/>
      <c r="D698" s="3526"/>
      <c r="E698" s="3526"/>
      <c r="F698" s="3526"/>
      <c r="G698" s="4049">
        <f>IFERROR(G696/G694,0)</f>
        <v>0</v>
      </c>
      <c r="H698" s="4049">
        <f t="shared" ref="H698:R698" si="159">IFERROR(H696/H694,0)</f>
        <v>0</v>
      </c>
      <c r="I698" s="4049">
        <f t="shared" si="159"/>
        <v>0</v>
      </c>
      <c r="J698" s="4049">
        <f t="shared" si="159"/>
        <v>0</v>
      </c>
      <c r="K698" s="4049">
        <f t="shared" si="159"/>
        <v>0</v>
      </c>
      <c r="L698" s="4049">
        <f t="shared" si="159"/>
        <v>0</v>
      </c>
      <c r="M698" s="4049">
        <f t="shared" si="159"/>
        <v>0</v>
      </c>
      <c r="N698" s="4049">
        <f t="shared" si="159"/>
        <v>0</v>
      </c>
      <c r="O698" s="4049">
        <f t="shared" si="159"/>
        <v>0</v>
      </c>
      <c r="P698" s="4049">
        <f t="shared" si="159"/>
        <v>0</v>
      </c>
      <c r="Q698" s="4049">
        <f t="shared" si="159"/>
        <v>0</v>
      </c>
      <c r="R698" s="4050">
        <f t="shared" si="159"/>
        <v>0</v>
      </c>
      <c r="U698" s="3664"/>
      <c r="V698" s="3664"/>
      <c r="W698" s="3664"/>
      <c r="X698" s="3664"/>
      <c r="Y698" s="3664"/>
      <c r="Z698" s="3664"/>
      <c r="AA698" s="3664"/>
      <c r="AB698" s="3664"/>
      <c r="AC698" s="3664"/>
      <c r="AD698" s="3664"/>
      <c r="AE698" s="3664"/>
      <c r="AF698" s="3664"/>
      <c r="AG698" s="3664"/>
    </row>
    <row r="699" spans="1:33" s="3440" customFormat="1" hidden="1" x14ac:dyDescent="0.3">
      <c r="A699" s="3436"/>
      <c r="B699" s="4051" t="s">
        <v>447</v>
      </c>
      <c r="C699" s="3753" t="s">
        <v>819</v>
      </c>
      <c r="D699" s="3753"/>
      <c r="E699" s="3753"/>
      <c r="F699" s="3753"/>
      <c r="G699" s="3753">
        <f t="shared" ref="G699:R699" si="160">+G669*G697</f>
        <v>0</v>
      </c>
      <c r="H699" s="3753">
        <f t="shared" si="160"/>
        <v>0</v>
      </c>
      <c r="I699" s="3753">
        <f t="shared" si="160"/>
        <v>0</v>
      </c>
      <c r="J699" s="3753">
        <f t="shared" si="160"/>
        <v>0</v>
      </c>
      <c r="K699" s="3753">
        <f t="shared" si="160"/>
        <v>0</v>
      </c>
      <c r="L699" s="3753">
        <f t="shared" si="160"/>
        <v>0</v>
      </c>
      <c r="M699" s="3753">
        <f t="shared" si="160"/>
        <v>0</v>
      </c>
      <c r="N699" s="3753">
        <f t="shared" si="160"/>
        <v>0</v>
      </c>
      <c r="O699" s="3753">
        <f t="shared" si="160"/>
        <v>0</v>
      </c>
      <c r="P699" s="3753">
        <f t="shared" si="160"/>
        <v>0</v>
      </c>
      <c r="Q699" s="3753">
        <f t="shared" si="160"/>
        <v>0</v>
      </c>
      <c r="R699" s="4052">
        <f t="shared" si="160"/>
        <v>0</v>
      </c>
      <c r="U699" s="3664"/>
      <c r="V699" s="3664"/>
      <c r="W699" s="3664"/>
      <c r="X699" s="3664"/>
      <c r="Y699" s="3664"/>
      <c r="Z699" s="3664"/>
      <c r="AA699" s="3664"/>
      <c r="AB699" s="3664"/>
      <c r="AC699" s="3664"/>
      <c r="AD699" s="3664"/>
      <c r="AE699" s="3664"/>
      <c r="AF699" s="3664"/>
      <c r="AG699" s="3664"/>
    </row>
    <row r="700" spans="1:33" s="3440" customFormat="1" hidden="1" x14ac:dyDescent="0.3">
      <c r="A700" s="3436"/>
      <c r="B700" s="4048"/>
      <c r="C700" s="3526" t="s">
        <v>718</v>
      </c>
      <c r="D700" s="3526"/>
      <c r="E700" s="3526"/>
      <c r="F700" s="3526"/>
      <c r="G700" s="3526">
        <f t="shared" ref="G700:R700" si="161">+G669*G698</f>
        <v>0</v>
      </c>
      <c r="H700" s="3526">
        <f t="shared" si="161"/>
        <v>0</v>
      </c>
      <c r="I700" s="3526">
        <f t="shared" si="161"/>
        <v>0</v>
      </c>
      <c r="J700" s="3526">
        <f t="shared" si="161"/>
        <v>0</v>
      </c>
      <c r="K700" s="3526">
        <f t="shared" si="161"/>
        <v>0</v>
      </c>
      <c r="L700" s="3526">
        <f t="shared" si="161"/>
        <v>0</v>
      </c>
      <c r="M700" s="3526">
        <f t="shared" si="161"/>
        <v>0</v>
      </c>
      <c r="N700" s="3526">
        <f t="shared" si="161"/>
        <v>0</v>
      </c>
      <c r="O700" s="3526">
        <f t="shared" si="161"/>
        <v>0</v>
      </c>
      <c r="P700" s="3526">
        <f t="shared" si="161"/>
        <v>0</v>
      </c>
      <c r="Q700" s="3526">
        <f t="shared" si="161"/>
        <v>0</v>
      </c>
      <c r="R700" s="4053">
        <f t="shared" si="161"/>
        <v>0</v>
      </c>
      <c r="U700" s="3664"/>
      <c r="V700" s="3664"/>
      <c r="W700" s="3664"/>
      <c r="X700" s="3664"/>
      <c r="Y700" s="3664"/>
      <c r="Z700" s="3664"/>
      <c r="AA700" s="3664"/>
      <c r="AB700" s="3664"/>
      <c r="AC700" s="3664"/>
      <c r="AD700" s="3664"/>
      <c r="AE700" s="3664"/>
      <c r="AF700" s="3664"/>
      <c r="AG700" s="3664"/>
    </row>
    <row r="701" spans="1:33" s="3440" customFormat="1" hidden="1" x14ac:dyDescent="0.3">
      <c r="A701" s="3436"/>
      <c r="B701" s="3580" t="s">
        <v>591</v>
      </c>
      <c r="C701" s="3437" t="s">
        <v>819</v>
      </c>
      <c r="D701" s="3437"/>
      <c r="E701" s="3437"/>
      <c r="F701" s="3437"/>
      <c r="G701" s="3437">
        <f t="shared" ref="G701:R701" si="162">+G673*G697</f>
        <v>0</v>
      </c>
      <c r="H701" s="3437">
        <f t="shared" si="162"/>
        <v>0</v>
      </c>
      <c r="I701" s="3437">
        <f t="shared" si="162"/>
        <v>0</v>
      </c>
      <c r="J701" s="3437">
        <f t="shared" si="162"/>
        <v>0</v>
      </c>
      <c r="K701" s="3437">
        <f t="shared" si="162"/>
        <v>0</v>
      </c>
      <c r="L701" s="3437">
        <f t="shared" si="162"/>
        <v>0</v>
      </c>
      <c r="M701" s="3437">
        <f t="shared" si="162"/>
        <v>0</v>
      </c>
      <c r="N701" s="3437">
        <f t="shared" si="162"/>
        <v>0</v>
      </c>
      <c r="O701" s="3437">
        <f t="shared" si="162"/>
        <v>0</v>
      </c>
      <c r="P701" s="3437">
        <f t="shared" si="162"/>
        <v>0</v>
      </c>
      <c r="Q701" s="3437">
        <f t="shared" si="162"/>
        <v>0</v>
      </c>
      <c r="R701" s="4014">
        <f t="shared" si="162"/>
        <v>0</v>
      </c>
      <c r="U701" s="3664"/>
      <c r="V701" s="3664"/>
      <c r="W701" s="3664"/>
      <c r="X701" s="3664"/>
      <c r="Y701" s="3664"/>
      <c r="Z701" s="3664"/>
      <c r="AA701" s="3664"/>
      <c r="AB701" s="3664"/>
      <c r="AC701" s="3664"/>
      <c r="AD701" s="3664"/>
      <c r="AE701" s="3664"/>
      <c r="AF701" s="3664"/>
      <c r="AG701" s="3664"/>
    </row>
    <row r="702" spans="1:33" s="3440" customFormat="1" ht="15.05" hidden="1" thickBot="1" x14ac:dyDescent="0.35">
      <c r="A702" s="3436"/>
      <c r="B702" s="4015"/>
      <c r="C702" s="4016" t="s">
        <v>718</v>
      </c>
      <c r="D702" s="4016"/>
      <c r="E702" s="4016"/>
      <c r="F702" s="4016"/>
      <c r="G702" s="4016">
        <f t="shared" ref="G702:R702" si="163">+G673*G698</f>
        <v>0</v>
      </c>
      <c r="H702" s="4016">
        <f t="shared" si="163"/>
        <v>0</v>
      </c>
      <c r="I702" s="4016">
        <f t="shared" si="163"/>
        <v>0</v>
      </c>
      <c r="J702" s="4016">
        <f t="shared" si="163"/>
        <v>0</v>
      </c>
      <c r="K702" s="4016">
        <f t="shared" si="163"/>
        <v>0</v>
      </c>
      <c r="L702" s="4016">
        <f t="shared" si="163"/>
        <v>0</v>
      </c>
      <c r="M702" s="4016">
        <f t="shared" si="163"/>
        <v>0</v>
      </c>
      <c r="N702" s="4016">
        <f t="shared" si="163"/>
        <v>0</v>
      </c>
      <c r="O702" s="4016">
        <f t="shared" si="163"/>
        <v>0</v>
      </c>
      <c r="P702" s="4016">
        <f t="shared" si="163"/>
        <v>0</v>
      </c>
      <c r="Q702" s="4016">
        <f t="shared" si="163"/>
        <v>0</v>
      </c>
      <c r="R702" s="4017">
        <f t="shared" si="163"/>
        <v>0</v>
      </c>
      <c r="U702" s="3664"/>
      <c r="V702" s="3664"/>
      <c r="W702" s="3664"/>
      <c r="X702" s="3664"/>
      <c r="Y702" s="3664"/>
      <c r="Z702" s="3664"/>
      <c r="AA702" s="3664"/>
      <c r="AB702" s="3664"/>
      <c r="AC702" s="3664"/>
      <c r="AD702" s="3664"/>
      <c r="AE702" s="3664"/>
      <c r="AF702" s="3664"/>
      <c r="AG702" s="3664"/>
    </row>
    <row r="703" spans="1:33" s="3440" customFormat="1" x14ac:dyDescent="0.3">
      <c r="A703" s="3436"/>
      <c r="B703" s="3436"/>
      <c r="C703" s="3436"/>
      <c r="D703" s="3437"/>
      <c r="E703" s="3436"/>
      <c r="F703" s="3436"/>
      <c r="G703" s="3436"/>
      <c r="H703" s="3436"/>
      <c r="I703" s="3436"/>
      <c r="J703" s="3436"/>
      <c r="K703" s="3436"/>
      <c r="L703" s="3436"/>
      <c r="M703" s="3436"/>
      <c r="N703" s="3436"/>
      <c r="O703" s="3436"/>
      <c r="P703" s="3436"/>
      <c r="Q703" s="3436"/>
      <c r="R703" s="3436"/>
      <c r="U703" s="3664"/>
      <c r="V703" s="3664"/>
      <c r="W703" s="3664"/>
      <c r="X703" s="3664"/>
      <c r="Y703" s="3664"/>
      <c r="Z703" s="3664"/>
      <c r="AA703" s="3664"/>
      <c r="AB703" s="3664"/>
      <c r="AC703" s="3664"/>
      <c r="AD703" s="3664"/>
      <c r="AE703" s="3664"/>
      <c r="AF703" s="3664"/>
      <c r="AG703" s="3664"/>
    </row>
  </sheetData>
  <mergeCells count="9">
    <mergeCell ref="M2:N2"/>
    <mergeCell ref="M3:N3"/>
    <mergeCell ref="S437:S438"/>
    <mergeCell ref="K40:L40"/>
    <mergeCell ref="G40:H40"/>
    <mergeCell ref="F30:I30"/>
    <mergeCell ref="K30:N30"/>
    <mergeCell ref="C51:F51"/>
    <mergeCell ref="G51:J51"/>
  </mergeCells>
  <conditionalFormatting sqref="G439:R450">
    <cfRule type="expression" dxfId="1082" priority="1188">
      <formula>$S439&gt;$C439</formula>
    </cfRule>
  </conditionalFormatting>
  <conditionalFormatting sqref="I591 E161 R316 R313:R314">
    <cfRule type="cellIs" dxfId="1081" priority="773" operator="equal">
      <formula>0</formula>
    </cfRule>
  </conditionalFormatting>
  <conditionalFormatting sqref="K591">
    <cfRule type="cellIs" dxfId="1080" priority="772" operator="equal">
      <formula>0</formula>
    </cfRule>
  </conditionalFormatting>
  <conditionalFormatting sqref="C574">
    <cfRule type="cellIs" dxfId="1079" priority="771" operator="equal">
      <formula>0</formula>
    </cfRule>
  </conditionalFormatting>
  <conditionalFormatting sqref="A139 A141 A143 A145 A147 A149 A151 A153:A155 A157 A159">
    <cfRule type="cellIs" dxfId="1078" priority="770" operator="equal">
      <formula>0</formula>
    </cfRule>
  </conditionalFormatting>
  <conditionalFormatting sqref="D597 D600:E600 E599">
    <cfRule type="cellIs" dxfId="1077" priority="766" operator="equal">
      <formula>0</formula>
    </cfRule>
  </conditionalFormatting>
  <conditionalFormatting sqref="G597 J597 M597 P597 S597 V597 Y597 AB597 AE597 AH597 AK597 G600:H600 J600:K600 M600:N600 P600:Q600 S600:T600 V600:W600 Y600:Z600 AB600:AC600 AE600:AF600 AH600:AI600 AK600:AL600 H599 K599 N599 Q599 T599 W599 Z599 AC599 AF599 AI599 AL599">
    <cfRule type="cellIs" dxfId="1076" priority="729" operator="equal">
      <formula>0</formula>
    </cfRule>
  </conditionalFormatting>
  <conditionalFormatting sqref="F592">
    <cfRule type="cellIs" dxfId="1075" priority="731" operator="equal">
      <formula>0</formula>
    </cfRule>
  </conditionalFormatting>
  <conditionalFormatting sqref="H601:H603 K601:K603 N601:N603 Q601:Q603 T601:T605 W601:W605 Z601:Z605 AC601:AC605 AF601:AF605 AI601:AI605 AL601:AL605 G599 J599 M599 P599 S599 V599 Y599 AB599 AE599 AH599 AK599 G598:AM598 I599:I603 L599:L603 O599:O603 R599:R603 U599:U605 X599:X605 AA599:AA605 AD599:AD605 AG599:AG605 AJ599:AJ605 AM599:AM605 Q605:R605">
    <cfRule type="cellIs" dxfId="1074" priority="730" operator="equal">
      <formula>0</formula>
    </cfRule>
  </conditionalFormatting>
  <conditionalFormatting sqref="S92:XFD92">
    <cfRule type="cellIs" dxfId="1073" priority="728" operator="equal">
      <formula>0</formula>
    </cfRule>
  </conditionalFormatting>
  <conditionalFormatting sqref="D646:D647">
    <cfRule type="cellIs" dxfId="1072" priority="724" operator="equal">
      <formula>0</formula>
    </cfRule>
  </conditionalFormatting>
  <conditionalFormatting sqref="T136:XFD136">
    <cfRule type="cellIs" dxfId="1071" priority="725" operator="equal">
      <formula>0</formula>
    </cfRule>
  </conditionalFormatting>
  <conditionalFormatting sqref="M631 M634:N634 N633">
    <cfRule type="cellIs" dxfId="1070" priority="625" operator="equal">
      <formula>0</formula>
    </cfRule>
  </conditionalFormatting>
  <conditionalFormatting sqref="K635 J633 J632:L632 L633:L635">
    <cfRule type="cellIs" dxfId="1069" priority="628" operator="equal">
      <formula>0</formula>
    </cfRule>
  </conditionalFormatting>
  <conditionalFormatting sqref="N635 M633 M632:O632 O633:O635">
    <cfRule type="cellIs" dxfId="1068" priority="626" operator="equal">
      <formula>0</formula>
    </cfRule>
  </conditionalFormatting>
  <conditionalFormatting sqref="J631 J634:K634 K633">
    <cfRule type="cellIs" dxfId="1067" priority="627" operator="equal">
      <formula>0</formula>
    </cfRule>
  </conditionalFormatting>
  <conditionalFormatting sqref="H635 G633 G632:I632 I633:I635">
    <cfRule type="cellIs" dxfId="1066" priority="630" operator="equal">
      <formula>0</formula>
    </cfRule>
  </conditionalFormatting>
  <conditionalFormatting sqref="G631 G634:H634 H633">
    <cfRule type="cellIs" dxfId="1065" priority="629" operator="equal">
      <formula>0</formula>
    </cfRule>
  </conditionalFormatting>
  <conditionalFormatting sqref="D631 D634:E634 E633">
    <cfRule type="cellIs" dxfId="1064" priority="631" operator="equal">
      <formula>0</formula>
    </cfRule>
  </conditionalFormatting>
  <conditionalFormatting sqref="E635 D633 D632:F632 F633:F635">
    <cfRule type="cellIs" dxfId="1063" priority="632" operator="equal">
      <formula>0</formula>
    </cfRule>
  </conditionalFormatting>
  <conditionalFormatting sqref="P631 P634:Q634 Q633">
    <cfRule type="cellIs" dxfId="1062" priority="623" operator="equal">
      <formula>0</formula>
    </cfRule>
  </conditionalFormatting>
  <conditionalFormatting sqref="Q635 P633 P632:R632 R633:R635">
    <cfRule type="cellIs" dxfId="1061" priority="624" operator="equal">
      <formula>0</formula>
    </cfRule>
  </conditionalFormatting>
  <conditionalFormatting sqref="S631 S634:T634 T633">
    <cfRule type="cellIs" dxfId="1060" priority="621" operator="equal">
      <formula>0</formula>
    </cfRule>
  </conditionalFormatting>
  <conditionalFormatting sqref="T635 S633 S632:U632 U633:U635">
    <cfRule type="cellIs" dxfId="1059" priority="622" operator="equal">
      <formula>0</formula>
    </cfRule>
  </conditionalFormatting>
  <conditionalFormatting sqref="V631 V634:W634 W633">
    <cfRule type="cellIs" dxfId="1058" priority="619" operator="equal">
      <formula>0</formula>
    </cfRule>
  </conditionalFormatting>
  <conditionalFormatting sqref="W635 V633 V632:X632 X633:X635">
    <cfRule type="cellIs" dxfId="1057" priority="620" operator="equal">
      <formula>0</formula>
    </cfRule>
  </conditionalFormatting>
  <conditionalFormatting sqref="Y631 Y634:Z634 Z633">
    <cfRule type="cellIs" dxfId="1056" priority="617" operator="equal">
      <formula>0</formula>
    </cfRule>
  </conditionalFormatting>
  <conditionalFormatting sqref="Z635 Y633 Y632:AA632 AA633:AA635">
    <cfRule type="cellIs" dxfId="1055" priority="618" operator="equal">
      <formula>0</formula>
    </cfRule>
  </conditionalFormatting>
  <conditionalFormatting sqref="AB631 AB634:AC634 AC633">
    <cfRule type="cellIs" dxfId="1054" priority="615" operator="equal">
      <formula>0</formula>
    </cfRule>
  </conditionalFormatting>
  <conditionalFormatting sqref="AC635 AB633 AB632:AD632 AD633:AD635">
    <cfRule type="cellIs" dxfId="1053" priority="616" operator="equal">
      <formula>0</formula>
    </cfRule>
  </conditionalFormatting>
  <conditionalFormatting sqref="AE631 AE634:AF634 AF633">
    <cfRule type="cellIs" dxfId="1052" priority="613" operator="equal">
      <formula>0</formula>
    </cfRule>
  </conditionalFormatting>
  <conditionalFormatting sqref="AF635 AE633 AE632:AG632 AG633:AG635">
    <cfRule type="cellIs" dxfId="1051" priority="614" operator="equal">
      <formula>0</formula>
    </cfRule>
  </conditionalFormatting>
  <conditionalFormatting sqref="AH631 AH634:AI634 AI633">
    <cfRule type="cellIs" dxfId="1050" priority="611" operator="equal">
      <formula>0</formula>
    </cfRule>
  </conditionalFormatting>
  <conditionalFormatting sqref="AI635 AH633 AH632:AJ632 AJ633:AJ635">
    <cfRule type="cellIs" dxfId="1049" priority="612" operator="equal">
      <formula>0</formula>
    </cfRule>
  </conditionalFormatting>
  <conditionalFormatting sqref="AK631 AK634:AL634 AL633">
    <cfRule type="cellIs" dxfId="1048" priority="609" operator="equal">
      <formula>0</formula>
    </cfRule>
  </conditionalFormatting>
  <conditionalFormatting sqref="AL635 AK633 AK632:AM632 AM633:AM635">
    <cfRule type="cellIs" dxfId="1047" priority="610" operator="equal">
      <formula>0</formula>
    </cfRule>
  </conditionalFormatting>
  <conditionalFormatting sqref="Z642 Y640 Y639:AA639 AA640:AA642">
    <cfRule type="cellIs" dxfId="1046" priority="581" operator="equal">
      <formula>0</formula>
    </cfRule>
  </conditionalFormatting>
  <conditionalFormatting sqref="Y638 Y641:Z641 Z640">
    <cfRule type="cellIs" dxfId="1045" priority="580" operator="equal">
      <formula>0</formula>
    </cfRule>
  </conditionalFormatting>
  <conditionalFormatting sqref="V638 V641:W641 W640">
    <cfRule type="cellIs" dxfId="1044" priority="582" operator="equal">
      <formula>0</formula>
    </cfRule>
  </conditionalFormatting>
  <conditionalFormatting sqref="W642 V640 V639:X639 X640:X642">
    <cfRule type="cellIs" dxfId="1043" priority="583" operator="equal">
      <formula>0</formula>
    </cfRule>
  </conditionalFormatting>
  <conditionalFormatting sqref="AC642 AB640 AB639:AD639 AD640:AD642">
    <cfRule type="cellIs" dxfId="1042" priority="579" operator="equal">
      <formula>0</formula>
    </cfRule>
  </conditionalFormatting>
  <conditionalFormatting sqref="AB638 AB641:AC641 AC640">
    <cfRule type="cellIs" dxfId="1041" priority="578" operator="equal">
      <formula>0</formula>
    </cfRule>
  </conditionalFormatting>
  <conditionalFormatting sqref="AF642 AE640 AE639:AG639 AG640:AG642">
    <cfRule type="cellIs" dxfId="1040" priority="577" operator="equal">
      <formula>0</formula>
    </cfRule>
  </conditionalFormatting>
  <conditionalFormatting sqref="AE638 AE641:AF641 AF640">
    <cfRule type="cellIs" dxfId="1039" priority="576" operator="equal">
      <formula>0</formula>
    </cfRule>
  </conditionalFormatting>
  <conditionalFormatting sqref="AI642 AH640 AH639:AJ639 AJ640:AJ642">
    <cfRule type="cellIs" dxfId="1038" priority="575" operator="equal">
      <formula>0</formula>
    </cfRule>
  </conditionalFormatting>
  <conditionalFormatting sqref="AH638 AH641:AI641 AI640">
    <cfRule type="cellIs" dxfId="1037" priority="574" operator="equal">
      <formula>0</formula>
    </cfRule>
  </conditionalFormatting>
  <conditionalFormatting sqref="AL642 AK640 AK639:AM639 AM640:AM642">
    <cfRule type="cellIs" dxfId="1036" priority="573" operator="equal">
      <formula>0</formula>
    </cfRule>
  </conditionalFormatting>
  <conditionalFormatting sqref="AK638 AK641:AL641 AL640">
    <cfRule type="cellIs" dxfId="1035" priority="572" operator="equal">
      <formula>0</formula>
    </cfRule>
  </conditionalFormatting>
  <conditionalFormatting sqref="M638 M641:N641 N640">
    <cfRule type="cellIs" dxfId="1034" priority="588" operator="equal">
      <formula>0</formula>
    </cfRule>
  </conditionalFormatting>
  <conditionalFormatting sqref="K642 J640 J639:L639 L640:L642">
    <cfRule type="cellIs" dxfId="1033" priority="591" operator="equal">
      <formula>0</formula>
    </cfRule>
  </conditionalFormatting>
  <conditionalFormatting sqref="N642 M640 M639:O639 O640:O642">
    <cfRule type="cellIs" dxfId="1032" priority="589" operator="equal">
      <formula>0</formula>
    </cfRule>
  </conditionalFormatting>
  <conditionalFormatting sqref="J638 J641:K641 K640">
    <cfRule type="cellIs" dxfId="1031" priority="590" operator="equal">
      <formula>0</formula>
    </cfRule>
  </conditionalFormatting>
  <conditionalFormatting sqref="H642 G640 G639:I639 I640:I642">
    <cfRule type="cellIs" dxfId="1030" priority="593" operator="equal">
      <formula>0</formula>
    </cfRule>
  </conditionalFormatting>
  <conditionalFormatting sqref="G638 G641:H641 H640">
    <cfRule type="cellIs" dxfId="1029" priority="592" operator="equal">
      <formula>0</formula>
    </cfRule>
  </conditionalFormatting>
  <conditionalFormatting sqref="D638 D641:E641 E640">
    <cfRule type="cellIs" dxfId="1028" priority="594" operator="equal">
      <formula>0</formula>
    </cfRule>
  </conditionalFormatting>
  <conditionalFormatting sqref="E642 D640 D639:F639 F640:F642">
    <cfRule type="cellIs" dxfId="1027" priority="595" operator="equal">
      <formula>0</formula>
    </cfRule>
  </conditionalFormatting>
  <conditionalFormatting sqref="P638 P641:Q641 Q640">
    <cfRule type="cellIs" dxfId="1026" priority="586" operator="equal">
      <formula>0</formula>
    </cfRule>
  </conditionalFormatting>
  <conditionalFormatting sqref="Q642 P640 P639:R639 R640:R642">
    <cfRule type="cellIs" dxfId="1025" priority="587" operator="equal">
      <formula>0</formula>
    </cfRule>
  </conditionalFormatting>
  <conditionalFormatting sqref="S638 S641:T641 T640">
    <cfRule type="cellIs" dxfId="1024" priority="584" operator="equal">
      <formula>0</formula>
    </cfRule>
  </conditionalFormatting>
  <conditionalFormatting sqref="T642 S640 S639:U639 U640:U642">
    <cfRule type="cellIs" dxfId="1023" priority="585" operator="equal">
      <formula>0</formula>
    </cfRule>
  </conditionalFormatting>
  <conditionalFormatting sqref="B639:B642">
    <cfRule type="cellIs" dxfId="1022" priority="569" operator="equal">
      <formula>0</formula>
    </cfRule>
  </conditionalFormatting>
  <conditionalFormatting sqref="B632:B635">
    <cfRule type="cellIs" dxfId="1021" priority="570" operator="equal">
      <formula>0</formula>
    </cfRule>
  </conditionalFormatting>
  <conditionalFormatting sqref="A593">
    <cfRule type="cellIs" dxfId="1020" priority="568" operator="equal">
      <formula>0</formula>
    </cfRule>
  </conditionalFormatting>
  <conditionalFormatting sqref="F593">
    <cfRule type="cellIs" dxfId="1019" priority="567" operator="equal">
      <formula>0</formula>
    </cfRule>
  </conditionalFormatting>
  <conditionalFormatting sqref="A594">
    <cfRule type="cellIs" dxfId="1018" priority="566" operator="equal">
      <formula>0</formula>
    </cfRule>
  </conditionalFormatting>
  <conditionalFormatting sqref="F594">
    <cfRule type="cellIs" dxfId="1017" priority="565" operator="equal">
      <formula>0</formula>
    </cfRule>
  </conditionalFormatting>
  <conditionalFormatting sqref="A576:B580">
    <cfRule type="cellIs" dxfId="1016" priority="563" operator="equal">
      <formula>0</formula>
    </cfRule>
  </conditionalFormatting>
  <conditionalFormatting sqref="A575:B575">
    <cfRule type="cellIs" dxfId="1015" priority="562" operator="equal">
      <formula>0</formula>
    </cfRule>
  </conditionalFormatting>
  <conditionalFormatting sqref="T262:XFD262">
    <cfRule type="cellIs" dxfId="1014" priority="556" operator="equal">
      <formula>0</formula>
    </cfRule>
  </conditionalFormatting>
  <conditionalFormatting sqref="A258 T258:XFD258">
    <cfRule type="cellIs" dxfId="1013" priority="557" operator="equal">
      <formula>0</formula>
    </cfRule>
  </conditionalFormatting>
  <conditionalFormatting sqref="A262">
    <cfRule type="cellIs" dxfId="1012" priority="555" operator="equal">
      <formula>0</formula>
    </cfRule>
  </conditionalFormatting>
  <conditionalFormatting sqref="A267">
    <cfRule type="cellIs" dxfId="1011" priority="553" operator="equal">
      <formula>0</formula>
    </cfRule>
  </conditionalFormatting>
  <conditionalFormatting sqref="T267:XFD267">
    <cfRule type="cellIs" dxfId="1010" priority="554" operator="equal">
      <formula>0</formula>
    </cfRule>
  </conditionalFormatting>
  <conditionalFormatting sqref="T321:XFD321">
    <cfRule type="cellIs" dxfId="1009" priority="551" operator="equal">
      <formula>0</formula>
    </cfRule>
  </conditionalFormatting>
  <conditionalFormatting sqref="S351">
    <cfRule type="cellIs" dxfId="1008" priority="541" operator="equal">
      <formula>0</formula>
    </cfRule>
  </conditionalFormatting>
  <conditionalFormatting sqref="E71">
    <cfRule type="cellIs" dxfId="1007" priority="539" operator="equal">
      <formula>0</formula>
    </cfRule>
  </conditionalFormatting>
  <conditionalFormatting sqref="G71:Q71">
    <cfRule type="cellIs" dxfId="1006" priority="538" operator="equal">
      <formula>0</formula>
    </cfRule>
  </conditionalFormatting>
  <conditionalFormatting sqref="R71">
    <cfRule type="cellIs" dxfId="1005" priority="537" operator="equal">
      <formula>0</formula>
    </cfRule>
  </conditionalFormatting>
  <conditionalFormatting sqref="S130:Y132 S133:Z133">
    <cfRule type="cellIs" dxfId="1004" priority="517" operator="equal">
      <formula>0</formula>
    </cfRule>
  </conditionalFormatting>
  <conditionalFormatting sqref="Z130:Z132">
    <cfRule type="cellIs" dxfId="1003" priority="516" operator="equal">
      <formula>0</formula>
    </cfRule>
  </conditionalFormatting>
  <conditionalFormatting sqref="B326:R329">
    <cfRule type="cellIs" dxfId="1002" priority="480" operator="equal">
      <formula>0</formula>
    </cfRule>
  </conditionalFormatting>
  <conditionalFormatting sqref="B294">
    <cfRule type="cellIs" dxfId="1001" priority="523" operator="equal">
      <formula>0</formula>
    </cfRule>
  </conditionalFormatting>
  <conditionalFormatting sqref="C294:Q294">
    <cfRule type="cellIs" dxfId="1000" priority="522" operator="equal">
      <formula>0</formula>
    </cfRule>
  </conditionalFormatting>
  <conditionalFormatting sqref="R294">
    <cfRule type="cellIs" dxfId="999" priority="521" operator="equal">
      <formula>0</formula>
    </cfRule>
  </conditionalFormatting>
  <conditionalFormatting sqref="B358:C358 E358:R358">
    <cfRule type="cellIs" dxfId="998" priority="470" operator="equal">
      <formula>0</formula>
    </cfRule>
  </conditionalFormatting>
  <conditionalFormatting sqref="B266">
    <cfRule type="cellIs" dxfId="997" priority="453" operator="equal">
      <formula>0</formula>
    </cfRule>
  </conditionalFormatting>
  <conditionalFormatting sqref="C322:R324">
    <cfRule type="cellIs" dxfId="996" priority="484" operator="equal">
      <formula>0</formula>
    </cfRule>
  </conditionalFormatting>
  <conditionalFormatting sqref="B259:B261">
    <cfRule type="cellIs" dxfId="995" priority="483" operator="equal">
      <formula>0</formula>
    </cfRule>
  </conditionalFormatting>
  <conditionalFormatting sqref="C332:R332">
    <cfRule type="cellIs" dxfId="994" priority="475" operator="equal">
      <formula>0</formula>
    </cfRule>
  </conditionalFormatting>
  <conditionalFormatting sqref="G609 J609 M609 P609 S609 V609 Y609 AB609 AE609 AH609 AK609 G612:H612 J612:K612 M612:N612 P612:Q612 S612:T612 V612:W612 Y612:Z612 AB612:AC612 AE612:AF612 AH612:AI612 AK612:AL612 H611 K611 N611 Q611 T611 W611 Z611 AC611 AF611 AI611 AL611">
    <cfRule type="cellIs" dxfId="993" priority="418" operator="equal">
      <formula>0</formula>
    </cfRule>
  </conditionalFormatting>
  <conditionalFormatting sqref="D609 D612:E612 E611">
    <cfRule type="cellIs" dxfId="992" priority="420" operator="equal">
      <formula>0</formula>
    </cfRule>
  </conditionalFormatting>
  <conditionalFormatting sqref="C259:C261 F259:R261">
    <cfRule type="cellIs" dxfId="991" priority="498" operator="equal">
      <formula>0</formula>
    </cfRule>
  </conditionalFormatting>
  <conditionalFormatting sqref="S332:S333">
    <cfRule type="cellIs" dxfId="990" priority="447" operator="equal">
      <formula>0</formula>
    </cfRule>
  </conditionalFormatting>
  <conditionalFormatting sqref="S151:S156">
    <cfRule type="cellIs" dxfId="989" priority="455" operator="equal">
      <formula>0</formula>
    </cfRule>
  </conditionalFormatting>
  <conditionalFormatting sqref="B253:B255 F253:R255">
    <cfRule type="cellIs" dxfId="988" priority="499" operator="equal">
      <formula>0</formula>
    </cfRule>
  </conditionalFormatting>
  <conditionalFormatting sqref="C266 B263:C265 F263:R266">
    <cfRule type="cellIs" dxfId="987" priority="497" operator="equal">
      <formula>0</formula>
    </cfRule>
  </conditionalFormatting>
  <conditionalFormatting sqref="C253:C255">
    <cfRule type="cellIs" dxfId="986" priority="489" operator="equal">
      <formula>0</formula>
    </cfRule>
  </conditionalFormatting>
  <conditionalFormatting sqref="B322:B324">
    <cfRule type="cellIs" dxfId="985" priority="482" operator="equal">
      <formula>0</formula>
    </cfRule>
  </conditionalFormatting>
  <conditionalFormatting sqref="A331:R331 T331:XFD331">
    <cfRule type="cellIs" dxfId="984" priority="477" operator="equal">
      <formula>0</formula>
    </cfRule>
  </conditionalFormatting>
  <conditionalFormatting sqref="R570">
    <cfRule type="cellIs" dxfId="983" priority="429" operator="equal">
      <formula>0</formula>
    </cfRule>
  </conditionalFormatting>
  <conditionalFormatting sqref="H613:H620 K613:K620 N613:N620 Q613:Q620 T613:T620 W613:W620 Z613:Z620 AC613:AC620 AF613:AF620 AI613:AI620 AL613:AL620 G611 J611 M611 P611 S611 V611 Y611 AB611 AE611 AH611 AK611 G610:AM610 I611:I620 L611:L620 O611:O620 R611:R620 U611:U620 X611:X620 AA611:AA620 AD611:AD620 AG611:AG620 AJ611:AJ620 AM611:AM620">
    <cfRule type="cellIs" dxfId="982" priority="419" operator="equal">
      <formula>0</formula>
    </cfRule>
  </conditionalFormatting>
  <conditionalFormatting sqref="D410">
    <cfRule type="cellIs" dxfId="981" priority="457" operator="equal">
      <formula>0</formula>
    </cfRule>
  </conditionalFormatting>
  <conditionalFormatting sqref="S269">
    <cfRule type="cellIs" dxfId="980" priority="450" operator="equal">
      <formula>0</formula>
    </cfRule>
  </conditionalFormatting>
  <conditionalFormatting sqref="D386:D388">
    <cfRule type="cellIs" dxfId="979" priority="459" operator="equal">
      <formula>0</formula>
    </cfRule>
  </conditionalFormatting>
  <conditionalFormatting sqref="G363:R365">
    <cfRule type="cellIs" dxfId="978" priority="465" operator="equal">
      <formula>0</formula>
    </cfRule>
  </conditionalFormatting>
  <conditionalFormatting sqref="R109:R110">
    <cfRule type="cellIs" dxfId="977" priority="423" operator="equal">
      <formula>0</formula>
    </cfRule>
  </conditionalFormatting>
  <conditionalFormatting sqref="S295:XFD295">
    <cfRule type="cellIs" dxfId="976" priority="389" operator="equal">
      <formula>0</formula>
    </cfRule>
  </conditionalFormatting>
  <conditionalFormatting sqref="B410:C410 E410:R410">
    <cfRule type="cellIs" dxfId="975" priority="462" operator="equal">
      <formula>0</formula>
    </cfRule>
  </conditionalFormatting>
  <conditionalFormatting sqref="G583 K584 F582:K582 P584:XFD585 A582:A584 Q582:XFD583">
    <cfRule type="cellIs" dxfId="974" priority="385" operator="equal">
      <formula>0</formula>
    </cfRule>
  </conditionalFormatting>
  <conditionalFormatting sqref="B355:C357 E355:R357">
    <cfRule type="cellIs" dxfId="973" priority="471" operator="equal">
      <formula>0</formula>
    </cfRule>
  </conditionalFormatting>
  <conditionalFormatting sqref="A416:D419 G416:R419">
    <cfRule type="cellIs" dxfId="972" priority="436" operator="equal">
      <formula>0</formula>
    </cfRule>
  </conditionalFormatting>
  <conditionalFormatting sqref="D398:D409">
    <cfRule type="cellIs" dxfId="971" priority="458" operator="equal">
      <formula>0</formula>
    </cfRule>
  </conditionalFormatting>
  <conditionalFormatting sqref="R88:R90">
    <cfRule type="cellIs" dxfId="970" priority="424" operator="equal">
      <formula>0</formula>
    </cfRule>
  </conditionalFormatting>
  <conditionalFormatting sqref="D355:D357">
    <cfRule type="cellIs" dxfId="969" priority="461" operator="equal">
      <formula>0</formula>
    </cfRule>
  </conditionalFormatting>
  <conditionalFormatting sqref="S326:S329">
    <cfRule type="cellIs" dxfId="968" priority="442" operator="equal">
      <formula>0</formula>
    </cfRule>
  </conditionalFormatting>
  <conditionalFormatting sqref="D358">
    <cfRule type="cellIs" dxfId="967" priority="460" operator="equal">
      <formula>0</formula>
    </cfRule>
  </conditionalFormatting>
  <conditionalFormatting sqref="K30">
    <cfRule type="cellIs" dxfId="966" priority="428" operator="equal">
      <formula>0</formula>
    </cfRule>
  </conditionalFormatting>
  <conditionalFormatting sqref="B50">
    <cfRule type="cellIs" dxfId="965" priority="370" operator="equal">
      <formula>0</formula>
    </cfRule>
  </conditionalFormatting>
  <conditionalFormatting sqref="S158">
    <cfRule type="cellIs" dxfId="964" priority="452" operator="equal">
      <formula>0</formula>
    </cfRule>
  </conditionalFormatting>
  <conditionalFormatting sqref="S263:S266">
    <cfRule type="cellIs" dxfId="963" priority="451" operator="equal">
      <formula>0</formula>
    </cfRule>
  </conditionalFormatting>
  <conditionalFormatting sqref="B570">
    <cfRule type="cellIs" dxfId="962" priority="431" operator="equal">
      <formula>0</formula>
    </cfRule>
  </conditionalFormatting>
  <conditionalFormatting sqref="S331">
    <cfRule type="cellIs" dxfId="961" priority="441" operator="equal">
      <formula>0</formula>
    </cfRule>
  </conditionalFormatting>
  <conditionalFormatting sqref="K583">
    <cfRule type="cellIs" dxfId="960" priority="383" operator="equal">
      <formula>0</formula>
    </cfRule>
  </conditionalFormatting>
  <conditionalFormatting sqref="I583">
    <cfRule type="cellIs" dxfId="959" priority="384" operator="equal">
      <formula>0</formula>
    </cfRule>
  </conditionalFormatting>
  <conditionalFormatting sqref="R295">
    <cfRule type="cellIs" dxfId="958" priority="386" operator="equal">
      <formula>0</formula>
    </cfRule>
  </conditionalFormatting>
  <conditionalFormatting sqref="D611 D610:F610 AN609:XFD620 F611:F620 E613:E620 A609:B620">
    <cfRule type="cellIs" dxfId="957" priority="421" operator="equal">
      <formula>0</formula>
    </cfRule>
  </conditionalFormatting>
  <conditionalFormatting sqref="C120 B121:D121">
    <cfRule type="cellIs" dxfId="956" priority="416" operator="equal">
      <formula>0</formula>
    </cfRule>
  </conditionalFormatting>
  <conditionalFormatting sqref="A571:D571 G571:R571">
    <cfRule type="cellIs" dxfId="955" priority="432" operator="equal">
      <formula>0</formula>
    </cfRule>
  </conditionalFormatting>
  <conditionalFormatting sqref="B208:L208">
    <cfRule type="cellIs" dxfId="954" priority="395" operator="equal">
      <formula>0</formula>
    </cfRule>
  </conditionalFormatting>
  <conditionalFormatting sqref="C570:Q570">
    <cfRule type="cellIs" dxfId="953" priority="430" operator="equal">
      <formula>0</formula>
    </cfRule>
  </conditionalFormatting>
  <conditionalFormatting sqref="B295">
    <cfRule type="cellIs" dxfId="952" priority="388" operator="equal">
      <formula>0</formula>
    </cfRule>
  </conditionalFormatting>
  <conditionalFormatting sqref="C295:Q295">
    <cfRule type="cellIs" dxfId="951" priority="387" operator="equal">
      <formula>0</formula>
    </cfRule>
  </conditionalFormatting>
  <conditionalFormatting sqref="R132:R133">
    <cfRule type="cellIs" dxfId="950" priority="422" operator="equal">
      <formula>0</formula>
    </cfRule>
  </conditionalFormatting>
  <conditionalFormatting sqref="B332">
    <cfRule type="cellIs" dxfId="949" priority="365" operator="equal">
      <formula>0</formula>
    </cfRule>
  </conditionalFormatting>
  <conditionalFormatting sqref="B349:XFD350">
    <cfRule type="cellIs" dxfId="948" priority="364" operator="equal">
      <formula>0</formula>
    </cfRule>
  </conditionalFormatting>
  <conditionalFormatting sqref="A585">
    <cfRule type="cellIs" dxfId="947" priority="381" operator="equal">
      <formula>0</formula>
    </cfRule>
  </conditionalFormatting>
  <conditionalFormatting sqref="A377:A380">
    <cfRule type="cellIs" dxfId="946" priority="407" operator="equal">
      <formula>0</formula>
    </cfRule>
  </conditionalFormatting>
  <conditionalFormatting sqref="D390:D391">
    <cfRule type="cellIs" dxfId="945" priority="406" operator="equal">
      <formula>0</formula>
    </cfRule>
  </conditionalFormatting>
  <conditionalFormatting sqref="AH629:AJ629">
    <cfRule type="cellIs" dxfId="944" priority="399" operator="equal">
      <formula>0</formula>
    </cfRule>
  </conditionalFormatting>
  <conditionalFormatting sqref="AK629:AM629">
    <cfRule type="cellIs" dxfId="943" priority="398" operator="equal">
      <formula>0</formula>
    </cfRule>
  </conditionalFormatting>
  <conditionalFormatting sqref="S208:XFD208">
    <cfRule type="cellIs" dxfId="942" priority="397" operator="equal">
      <formula>0</formula>
    </cfRule>
  </conditionalFormatting>
  <conditionalFormatting sqref="M208:R208">
    <cfRule type="cellIs" dxfId="941" priority="396" operator="equal">
      <formula>0</formula>
    </cfRule>
  </conditionalFormatting>
  <conditionalFormatting sqref="D149 D142:D143 D145:D147 D151:D153">
    <cfRule type="cellIs" dxfId="940" priority="353" operator="equal">
      <formula>0</formula>
    </cfRule>
  </conditionalFormatting>
  <conditionalFormatting sqref="F584:F586">
    <cfRule type="cellIs" dxfId="939" priority="379" operator="equal">
      <formula>0</formula>
    </cfRule>
  </conditionalFormatting>
  <conditionalFormatting sqref="S29:XFD29">
    <cfRule type="cellIs" dxfId="938" priority="376" operator="equal">
      <formula>0</formula>
    </cfRule>
  </conditionalFormatting>
  <conditionalFormatting sqref="D50:Q50">
    <cfRule type="cellIs" dxfId="937" priority="369" operator="equal">
      <formula>0</formula>
    </cfRule>
  </conditionalFormatting>
  <conditionalFormatting sqref="R50">
    <cfRule type="cellIs" dxfId="936" priority="368" operator="equal">
      <formula>0</formula>
    </cfRule>
  </conditionalFormatting>
  <conditionalFormatting sqref="J30">
    <cfRule type="cellIs" dxfId="935" priority="372" operator="equal">
      <formula>0</formula>
    </cfRule>
  </conditionalFormatting>
  <conditionalFormatting sqref="S50:XFD50">
    <cfRule type="cellIs" dxfId="934" priority="371" operator="equal">
      <formula>0</formula>
    </cfRule>
  </conditionalFormatting>
  <conditionalFormatting sqref="C333:R333">
    <cfRule type="cellIs" dxfId="933" priority="363" operator="equal">
      <formula>0</formula>
    </cfRule>
  </conditionalFormatting>
  <conditionalFormatting sqref="D156 D158:D159">
    <cfRule type="cellIs" dxfId="932" priority="352" operator="equal">
      <formula>0</formula>
    </cfRule>
  </conditionalFormatting>
  <conditionalFormatting sqref="B333">
    <cfRule type="cellIs" dxfId="931" priority="362" operator="equal">
      <formula>0</formula>
    </cfRule>
  </conditionalFormatting>
  <conditionalFormatting sqref="B269:C269 F269:R269">
    <cfRule type="cellIs" dxfId="930" priority="359" operator="equal">
      <formula>0</formula>
    </cfRule>
  </conditionalFormatting>
  <conditionalFormatting sqref="G410:R410 G476:R477">
    <cfRule type="cellIs" dxfId="929" priority="357" operator="lessThan">
      <formula>0</formula>
    </cfRule>
  </conditionalFormatting>
  <conditionalFormatting sqref="D139:D140">
    <cfRule type="cellIs" dxfId="928" priority="354" operator="equal">
      <formula>0</formula>
    </cfRule>
  </conditionalFormatting>
  <conditionalFormatting sqref="E141">
    <cfRule type="cellIs" dxfId="927" priority="351" operator="equal">
      <formula>0</formula>
    </cfRule>
  </conditionalFormatting>
  <conditionalFormatting sqref="G138:R138">
    <cfRule type="cellIs" dxfId="926" priority="313" operator="equal">
      <formula>0</formula>
    </cfRule>
  </conditionalFormatting>
  <conditionalFormatting sqref="E139:E140">
    <cfRule type="cellIs" dxfId="925" priority="350" operator="equal">
      <formula>0</formula>
    </cfRule>
  </conditionalFormatting>
  <conditionalFormatting sqref="E149 E142:E143 E145:E147 E151:E153">
    <cfRule type="cellIs" dxfId="924" priority="349" operator="equal">
      <formula>0</formula>
    </cfRule>
  </conditionalFormatting>
  <conditionalFormatting sqref="E156 E158:E159">
    <cfRule type="cellIs" dxfId="923" priority="348" operator="equal">
      <formula>0</formula>
    </cfRule>
  </conditionalFormatting>
  <conditionalFormatting sqref="C472:C473">
    <cfRule type="cellIs" dxfId="922" priority="347" operator="equal">
      <formula>0</formula>
    </cfRule>
  </conditionalFormatting>
  <conditionalFormatting sqref="A470 T470:XFD470">
    <cfRule type="cellIs" dxfId="921" priority="342" operator="equal">
      <formula>0</formula>
    </cfRule>
  </conditionalFormatting>
  <conditionalFormatting sqref="A462 T462:XFD462">
    <cfRule type="cellIs" dxfId="920" priority="344" operator="equal">
      <formula>0</formula>
    </cfRule>
  </conditionalFormatting>
  <conditionalFormatting sqref="T138:Z138">
    <cfRule type="cellIs" dxfId="919" priority="315" operator="equal">
      <formula>0</formula>
    </cfRule>
  </conditionalFormatting>
  <conditionalFormatting sqref="B5:S5">
    <cfRule type="cellIs" dxfId="918" priority="317" operator="equal">
      <formula>0</formula>
    </cfRule>
  </conditionalFormatting>
  <conditionalFormatting sqref="S480:XFD481 A480:A481">
    <cfRule type="cellIs" dxfId="917" priority="340" operator="equal">
      <formula>0</formula>
    </cfRule>
  </conditionalFormatting>
  <conditionalFormatting sqref="E480:R481 B480:C481">
    <cfRule type="cellIs" dxfId="916" priority="339" operator="equal">
      <formula>0</formula>
    </cfRule>
  </conditionalFormatting>
  <conditionalFormatting sqref="D480:D481">
    <cfRule type="cellIs" dxfId="915" priority="338" operator="equal">
      <formula>0</formula>
    </cfRule>
  </conditionalFormatting>
  <conditionalFormatting sqref="G480:R481">
    <cfRule type="cellIs" dxfId="914" priority="337" operator="lessThan">
      <formula>0</formula>
    </cfRule>
  </conditionalFormatting>
  <conditionalFormatting sqref="A478:XFD479">
    <cfRule type="cellIs" dxfId="913" priority="336" operator="equal">
      <formula>0</formula>
    </cfRule>
  </conditionalFormatting>
  <conditionalFormatting sqref="A488 T488:XFD488">
    <cfRule type="cellIs" dxfId="912" priority="334" operator="equal">
      <formula>0</formula>
    </cfRule>
  </conditionalFormatting>
  <conditionalFormatting sqref="C495:C496">
    <cfRule type="cellIs" dxfId="911" priority="329" operator="equal">
      <formula>0</formula>
    </cfRule>
  </conditionalFormatting>
  <conditionalFormatting sqref="A493 T493:XFD493">
    <cfRule type="cellIs" dxfId="910" priority="328" operator="equal">
      <formula>0</formula>
    </cfRule>
  </conditionalFormatting>
  <conditionalFormatting sqref="A501:A502 T501:XFD502">
    <cfRule type="cellIs" dxfId="909" priority="326" operator="equal">
      <formula>0</formula>
    </cfRule>
  </conditionalFormatting>
  <conditionalFormatting sqref="A500:XFD500">
    <cfRule type="cellIs" dxfId="908" priority="322" operator="equal">
      <formula>0</formula>
    </cfRule>
  </conditionalFormatting>
  <conditionalFormatting sqref="G500:R500">
    <cfRule type="cellIs" dxfId="907" priority="321" operator="lessThan">
      <formula>0</formula>
    </cfRule>
  </conditionalFormatting>
  <conditionalFormatting sqref="B363">
    <cfRule type="cellIs" dxfId="906" priority="320" operator="equal">
      <formula>0</formula>
    </cfRule>
  </conditionalFormatting>
  <conditionalFormatting sqref="T138:XFD138">
    <cfRule type="cellIs" dxfId="905" priority="316" operator="equal">
      <formula>0</formula>
    </cfRule>
  </conditionalFormatting>
  <conditionalFormatting sqref="B138:F138">
    <cfRule type="cellIs" dxfId="904" priority="314" operator="equal">
      <formula>0</formula>
    </cfRule>
  </conditionalFormatting>
  <conditionalFormatting sqref="E253:E255">
    <cfRule type="cellIs" dxfId="903" priority="277" operator="equal">
      <formula>0</formula>
    </cfRule>
  </conditionalFormatting>
  <conditionalFormatting sqref="G136:S136">
    <cfRule type="cellIs" dxfId="902" priority="304" operator="equal">
      <formula>0</formula>
    </cfRule>
  </conditionalFormatting>
  <conditionalFormatting sqref="S138">
    <cfRule type="cellIs" dxfId="901" priority="310" operator="equal">
      <formula>0</formula>
    </cfRule>
  </conditionalFormatting>
  <conditionalFormatting sqref="B136:F136">
    <cfRule type="cellIs" dxfId="900" priority="308" operator="equal">
      <formula>0</formula>
    </cfRule>
  </conditionalFormatting>
  <conditionalFormatting sqref="D136:F136">
    <cfRule type="cellIs" dxfId="899" priority="309" operator="equal">
      <formula>0</formula>
    </cfRule>
  </conditionalFormatting>
  <conditionalFormatting sqref="R136">
    <cfRule type="cellIs" dxfId="898" priority="305" operator="equal">
      <formula>0</formula>
    </cfRule>
  </conditionalFormatting>
  <conditionalFormatting sqref="S136">
    <cfRule type="cellIs" dxfId="897" priority="307" operator="equal">
      <formula>0</formula>
    </cfRule>
  </conditionalFormatting>
  <conditionalFormatting sqref="G136:Q136">
    <cfRule type="cellIs" dxfId="896" priority="306" operator="equal">
      <formula>0</formula>
    </cfRule>
  </conditionalFormatting>
  <conditionalFormatting sqref="E144">
    <cfRule type="cellIs" dxfId="895" priority="275" operator="equal">
      <formula>0</formula>
    </cfRule>
  </conditionalFormatting>
  <conditionalFormatting sqref="E150">
    <cfRule type="cellIs" dxfId="894" priority="274" operator="equal">
      <formula>0</formula>
    </cfRule>
  </conditionalFormatting>
  <conditionalFormatting sqref="E157">
    <cfRule type="cellIs" dxfId="893" priority="273" operator="equal">
      <formula>0</formula>
    </cfRule>
  </conditionalFormatting>
  <conditionalFormatting sqref="D317:F317">
    <cfRule type="cellIs" dxfId="892" priority="272" operator="equal">
      <formula>0</formula>
    </cfRule>
  </conditionalFormatting>
  <conditionalFormatting sqref="B317:F317">
    <cfRule type="cellIs" dxfId="891" priority="271" operator="equal">
      <formula>0</formula>
    </cfRule>
  </conditionalFormatting>
  <conditionalFormatting sqref="S317">
    <cfRule type="cellIs" dxfId="890" priority="270" operator="equal">
      <formula>0</formula>
    </cfRule>
  </conditionalFormatting>
  <conditionalFormatting sqref="G317:Q317">
    <cfRule type="cellIs" dxfId="889" priority="269" operator="equal">
      <formula>0</formula>
    </cfRule>
  </conditionalFormatting>
  <conditionalFormatting sqref="G317:S317">
    <cfRule type="cellIs" dxfId="888" priority="267" operator="equal">
      <formula>0</formula>
    </cfRule>
  </conditionalFormatting>
  <conditionalFormatting sqref="D269">
    <cfRule type="cellIs" dxfId="887" priority="255" operator="equal">
      <formula>0</formula>
    </cfRule>
  </conditionalFormatting>
  <conditionalFormatting sqref="T252:XFD252">
    <cfRule type="cellIs" dxfId="886" priority="293" operator="equal">
      <formula>0</formula>
    </cfRule>
  </conditionalFormatting>
  <conditionalFormatting sqref="T252:Z252">
    <cfRule type="cellIs" dxfId="885" priority="292" operator="equal">
      <formula>0</formula>
    </cfRule>
  </conditionalFormatting>
  <conditionalFormatting sqref="B252:F252">
    <cfRule type="cellIs" dxfId="884" priority="291" operator="equal">
      <formula>0</formula>
    </cfRule>
  </conditionalFormatting>
  <conditionalFormatting sqref="G252:R252">
    <cfRule type="cellIs" dxfId="883" priority="290" operator="equal">
      <formula>0</formula>
    </cfRule>
  </conditionalFormatting>
  <conditionalFormatting sqref="S252">
    <cfRule type="cellIs" dxfId="882" priority="289" operator="equal">
      <formula>0</formula>
    </cfRule>
  </conditionalFormatting>
  <conditionalFormatting sqref="G251:S251">
    <cfRule type="cellIs" dxfId="881" priority="283" operator="equal">
      <formula>0</formula>
    </cfRule>
  </conditionalFormatting>
  <conditionalFormatting sqref="B251:F251">
    <cfRule type="cellIs" dxfId="880" priority="287" operator="equal">
      <formula>0</formula>
    </cfRule>
  </conditionalFormatting>
  <conditionalFormatting sqref="D251:F251">
    <cfRule type="cellIs" dxfId="879" priority="288" operator="equal">
      <formula>0</formula>
    </cfRule>
  </conditionalFormatting>
  <conditionalFormatting sqref="R251">
    <cfRule type="cellIs" dxfId="878" priority="284" operator="equal">
      <formula>0</formula>
    </cfRule>
  </conditionalFormatting>
  <conditionalFormatting sqref="S251">
    <cfRule type="cellIs" dxfId="877" priority="286" operator="equal">
      <formula>0</formula>
    </cfRule>
  </conditionalFormatting>
  <conditionalFormatting sqref="G251:Q251">
    <cfRule type="cellIs" dxfId="876" priority="285" operator="equal">
      <formula>0</formula>
    </cfRule>
  </conditionalFormatting>
  <conditionalFormatting sqref="D263:D266">
    <cfRule type="cellIs" dxfId="875" priority="257" operator="equal">
      <formula>0</formula>
    </cfRule>
  </conditionalFormatting>
  <conditionalFormatting sqref="S318">
    <cfRule type="cellIs" dxfId="874" priority="259" operator="equal">
      <formula>0</formula>
    </cfRule>
  </conditionalFormatting>
  <conditionalFormatting sqref="D259:D261">
    <cfRule type="cellIs" dxfId="873" priority="258" operator="equal">
      <formula>0</formula>
    </cfRule>
  </conditionalFormatting>
  <conditionalFormatting sqref="E259:E261">
    <cfRule type="cellIs" dxfId="872" priority="282" operator="equal">
      <formula>0</formula>
    </cfRule>
  </conditionalFormatting>
  <conditionalFormatting sqref="E263:E266">
    <cfRule type="cellIs" dxfId="871" priority="281" operator="equal">
      <formula>0</formula>
    </cfRule>
  </conditionalFormatting>
  <conditionalFormatting sqref="E269">
    <cfRule type="cellIs" dxfId="870" priority="276" operator="equal">
      <formula>0</formula>
    </cfRule>
  </conditionalFormatting>
  <conditionalFormatting sqref="T318:XFD318">
    <cfRule type="cellIs" dxfId="869" priority="263" operator="equal">
      <formula>0</formula>
    </cfRule>
  </conditionalFormatting>
  <conditionalFormatting sqref="T318:Z318">
    <cfRule type="cellIs" dxfId="868" priority="262" operator="equal">
      <formula>0</formula>
    </cfRule>
  </conditionalFormatting>
  <conditionalFormatting sqref="B318:F318">
    <cfRule type="cellIs" dxfId="867" priority="261" operator="equal">
      <formula>0</formula>
    </cfRule>
  </conditionalFormatting>
  <conditionalFormatting sqref="G352:S352">
    <cfRule type="cellIs" dxfId="866" priority="244" operator="equal">
      <formula>0</formula>
    </cfRule>
  </conditionalFormatting>
  <conditionalFormatting sqref="B352:F352">
    <cfRule type="cellIs" dxfId="865" priority="248" operator="equal">
      <formula>0</formula>
    </cfRule>
  </conditionalFormatting>
  <conditionalFormatting sqref="G318:R318">
    <cfRule type="cellIs" dxfId="864" priority="260" operator="equal">
      <formula>0</formula>
    </cfRule>
  </conditionalFormatting>
  <conditionalFormatting sqref="R317">
    <cfRule type="cellIs" dxfId="863" priority="268" operator="equal">
      <formula>0</formula>
    </cfRule>
  </conditionalFormatting>
  <conditionalFormatting sqref="S352">
    <cfRule type="cellIs" dxfId="862" priority="247" operator="equal">
      <formula>0</formula>
    </cfRule>
  </conditionalFormatting>
  <conditionalFormatting sqref="G352:Q352">
    <cfRule type="cellIs" dxfId="861" priority="246" operator="equal">
      <formula>0</formula>
    </cfRule>
  </conditionalFormatting>
  <conditionalFormatting sqref="R352">
    <cfRule type="cellIs" dxfId="860" priority="245" operator="equal">
      <formula>0</formula>
    </cfRule>
  </conditionalFormatting>
  <conditionalFormatting sqref="D253:D255">
    <cfRule type="cellIs" dxfId="859" priority="256" operator="equal">
      <formula>0</formula>
    </cfRule>
  </conditionalFormatting>
  <conditionalFormatting sqref="B354">
    <cfRule type="cellIs" dxfId="858" priority="243" operator="equal">
      <formula>0</formula>
    </cfRule>
  </conditionalFormatting>
  <conditionalFormatting sqref="B353:F353 C354:F354">
    <cfRule type="cellIs" dxfId="857" priority="252" operator="equal">
      <formula>0</formula>
    </cfRule>
  </conditionalFormatting>
  <conditionalFormatting sqref="G353:R354">
    <cfRule type="cellIs" dxfId="856" priority="251" operator="equal">
      <formula>0</formula>
    </cfRule>
  </conditionalFormatting>
  <conditionalFormatting sqref="S353:S354">
    <cfRule type="cellIs" dxfId="855" priority="250" operator="equal">
      <formula>0</formula>
    </cfRule>
  </conditionalFormatting>
  <conditionalFormatting sqref="D352:F352">
    <cfRule type="cellIs" dxfId="854" priority="249" operator="equal">
      <formula>0</formula>
    </cfRule>
  </conditionalFormatting>
  <conditionalFormatting sqref="B364">
    <cfRule type="cellIs" dxfId="853" priority="228" operator="equal">
      <formula>0</formula>
    </cfRule>
  </conditionalFormatting>
  <conditionalFormatting sqref="C366:F366">
    <cfRule type="cellIs" dxfId="852" priority="227" operator="equal">
      <formula>0</formula>
    </cfRule>
  </conditionalFormatting>
  <conditionalFormatting sqref="G366:R366">
    <cfRule type="cellIs" dxfId="851" priority="226" operator="equal">
      <formula>0</formula>
    </cfRule>
  </conditionalFormatting>
  <conditionalFormatting sqref="G397:R397">
    <cfRule type="cellIs" dxfId="850" priority="207" operator="equal">
      <formula>0</formula>
    </cfRule>
  </conditionalFormatting>
  <conditionalFormatting sqref="B366">
    <cfRule type="cellIs" dxfId="849" priority="224" operator="equal">
      <formula>0</formula>
    </cfRule>
  </conditionalFormatting>
  <conditionalFormatting sqref="S371">
    <cfRule type="cellIs" dxfId="848" priority="230" operator="equal">
      <formula>0</formula>
    </cfRule>
  </conditionalFormatting>
  <conditionalFormatting sqref="T353:XFD354">
    <cfRule type="cellIs" dxfId="847" priority="254" operator="equal">
      <formula>0</formula>
    </cfRule>
  </conditionalFormatting>
  <conditionalFormatting sqref="T353:Z354">
    <cfRule type="cellIs" dxfId="846" priority="253" operator="equal">
      <formula>0</formula>
    </cfRule>
  </conditionalFormatting>
  <conditionalFormatting sqref="C371:F371">
    <cfRule type="cellIs" dxfId="845" priority="232" operator="equal">
      <formula>0</formula>
    </cfRule>
  </conditionalFormatting>
  <conditionalFormatting sqref="G371:R371">
    <cfRule type="cellIs" dxfId="844" priority="231" operator="equal">
      <formula>0</formula>
    </cfRule>
  </conditionalFormatting>
  <conditionalFormatting sqref="B371">
    <cfRule type="cellIs" dxfId="843" priority="229" operator="equal">
      <formula>0</formula>
    </cfRule>
  </conditionalFormatting>
  <conditionalFormatting sqref="B385">
    <cfRule type="cellIs" dxfId="842" priority="209" operator="equal">
      <formula>0</formula>
    </cfRule>
  </conditionalFormatting>
  <conditionalFormatting sqref="C397:F397">
    <cfRule type="cellIs" dxfId="841" priority="208" operator="equal">
      <formula>0</formula>
    </cfRule>
  </conditionalFormatting>
  <conditionalFormatting sqref="D462">
    <cfRule type="cellIs" dxfId="840" priority="171" operator="equal">
      <formula>0</formula>
    </cfRule>
  </conditionalFormatting>
  <conditionalFormatting sqref="B397">
    <cfRule type="cellIs" dxfId="839" priority="205" operator="equal">
      <formula>0</formula>
    </cfRule>
  </conditionalFormatting>
  <conditionalFormatting sqref="S366">
    <cfRule type="cellIs" dxfId="838" priority="225" operator="equal">
      <formula>0</formula>
    </cfRule>
  </conditionalFormatting>
  <conditionalFormatting sqref="D475">
    <cfRule type="cellIs" dxfId="837" priority="169" operator="equal">
      <formula>0</formula>
    </cfRule>
  </conditionalFormatting>
  <conditionalFormatting sqref="B359">
    <cfRule type="cellIs" dxfId="836" priority="237" operator="equal">
      <formula>0</formula>
    </cfRule>
  </conditionalFormatting>
  <conditionalFormatting sqref="C359:F359">
    <cfRule type="cellIs" dxfId="835" priority="240" operator="equal">
      <formula>0</formula>
    </cfRule>
  </conditionalFormatting>
  <conditionalFormatting sqref="G359:R359">
    <cfRule type="cellIs" dxfId="834" priority="239" operator="equal">
      <formula>0</formula>
    </cfRule>
  </conditionalFormatting>
  <conditionalFormatting sqref="S359">
    <cfRule type="cellIs" dxfId="833" priority="238" operator="equal">
      <formula>0</formula>
    </cfRule>
  </conditionalFormatting>
  <conditionalFormatting sqref="T359">
    <cfRule type="cellIs" dxfId="832" priority="242" operator="equal">
      <formula>0</formula>
    </cfRule>
  </conditionalFormatting>
  <conditionalFormatting sqref="T359">
    <cfRule type="cellIs" dxfId="831" priority="241" operator="equal">
      <formula>0</formula>
    </cfRule>
  </conditionalFormatting>
  <conditionalFormatting sqref="B362">
    <cfRule type="cellIs" dxfId="830" priority="233" operator="equal">
      <formula>0</formula>
    </cfRule>
  </conditionalFormatting>
  <conditionalFormatting sqref="C362:F362">
    <cfRule type="cellIs" dxfId="829" priority="236" operator="equal">
      <formula>0</formula>
    </cfRule>
  </conditionalFormatting>
  <conditionalFormatting sqref="G362:R362">
    <cfRule type="cellIs" dxfId="828" priority="235" operator="equal">
      <formula>0</formula>
    </cfRule>
  </conditionalFormatting>
  <conditionalFormatting sqref="S362">
    <cfRule type="cellIs" dxfId="827" priority="234" operator="equal">
      <formula>0</formula>
    </cfRule>
  </conditionalFormatting>
  <conditionalFormatting sqref="S385">
    <cfRule type="cellIs" dxfId="826" priority="210" operator="equal">
      <formula>0</formula>
    </cfRule>
  </conditionalFormatting>
  <conditionalFormatting sqref="G382:S382">
    <cfRule type="cellIs" dxfId="825" priority="213" operator="equal">
      <formula>0</formula>
    </cfRule>
  </conditionalFormatting>
  <conditionalFormatting sqref="C385:F385">
    <cfRule type="cellIs" dxfId="824" priority="212" operator="equal">
      <formula>0</formula>
    </cfRule>
  </conditionalFormatting>
  <conditionalFormatting sqref="G385:R385">
    <cfRule type="cellIs" dxfId="823" priority="211" operator="equal">
      <formula>0</formula>
    </cfRule>
  </conditionalFormatting>
  <conditionalFormatting sqref="D472:D473">
    <cfRule type="cellIs" dxfId="822" priority="172" operator="equal">
      <formula>0</formula>
    </cfRule>
  </conditionalFormatting>
  <conditionalFormatting sqref="S397">
    <cfRule type="cellIs" dxfId="821" priority="206" operator="equal">
      <formula>0</formula>
    </cfRule>
  </conditionalFormatting>
  <conditionalFormatting sqref="B383:F383">
    <cfRule type="cellIs" dxfId="820" priority="221" operator="equal">
      <formula>0</formula>
    </cfRule>
  </conditionalFormatting>
  <conditionalFormatting sqref="G383:R383">
    <cfRule type="cellIs" dxfId="819" priority="220" operator="equal">
      <formula>0</formula>
    </cfRule>
  </conditionalFormatting>
  <conditionalFormatting sqref="S383">
    <cfRule type="cellIs" dxfId="818" priority="219" operator="equal">
      <formula>0</formula>
    </cfRule>
  </conditionalFormatting>
  <conditionalFormatting sqref="T383:XFD383">
    <cfRule type="cellIs" dxfId="817" priority="223" operator="equal">
      <formula>0</formula>
    </cfRule>
  </conditionalFormatting>
  <conditionalFormatting sqref="T383:Z383">
    <cfRule type="cellIs" dxfId="816" priority="222" operator="equal">
      <formula>0</formula>
    </cfRule>
  </conditionalFormatting>
  <conditionalFormatting sqref="B382:F382">
    <cfRule type="cellIs" dxfId="815" priority="217" operator="equal">
      <formula>0</formula>
    </cfRule>
  </conditionalFormatting>
  <conditionalFormatting sqref="S382">
    <cfRule type="cellIs" dxfId="814" priority="216" operator="equal">
      <formula>0</formula>
    </cfRule>
  </conditionalFormatting>
  <conditionalFormatting sqref="G382:Q382">
    <cfRule type="cellIs" dxfId="813" priority="215" operator="equal">
      <formula>0</formula>
    </cfRule>
  </conditionalFormatting>
  <conditionalFormatting sqref="R382">
    <cfRule type="cellIs" dxfId="812" priority="214" operator="equal">
      <formula>0</formula>
    </cfRule>
  </conditionalFormatting>
  <conditionalFormatting sqref="D382:F382">
    <cfRule type="cellIs" dxfId="811" priority="218" operator="equal">
      <formula>0</formula>
    </cfRule>
  </conditionalFormatting>
  <conditionalFormatting sqref="D470">
    <cfRule type="cellIs" dxfId="810" priority="170" operator="equal">
      <formula>0</formula>
    </cfRule>
  </conditionalFormatting>
  <conditionalFormatting sqref="B455:F455">
    <cfRule type="cellIs" dxfId="809" priority="199" operator="equal">
      <formula>0</formula>
    </cfRule>
  </conditionalFormatting>
  <conditionalFormatting sqref="G455:R455">
    <cfRule type="cellIs" dxfId="808" priority="198" operator="equal">
      <formula>0</formula>
    </cfRule>
  </conditionalFormatting>
  <conditionalFormatting sqref="S455">
    <cfRule type="cellIs" dxfId="807" priority="197" operator="equal">
      <formula>0</formula>
    </cfRule>
  </conditionalFormatting>
  <conditionalFormatting sqref="T455:XFD455">
    <cfRule type="cellIs" dxfId="806" priority="201" operator="equal">
      <formula>0</formula>
    </cfRule>
  </conditionalFormatting>
  <conditionalFormatting sqref="T455:Z455">
    <cfRule type="cellIs" dxfId="805" priority="200" operator="equal">
      <formula>0</formula>
    </cfRule>
  </conditionalFormatting>
  <conditionalFormatting sqref="G462:R462">
    <cfRule type="cellIs" dxfId="804" priority="195" operator="equal">
      <formula>0</formula>
    </cfRule>
  </conditionalFormatting>
  <conditionalFormatting sqref="C462 E462:F462">
    <cfRule type="cellIs" dxfId="803" priority="196" operator="equal">
      <formula>0</formula>
    </cfRule>
  </conditionalFormatting>
  <conditionalFormatting sqref="B462">
    <cfRule type="cellIs" dxfId="802" priority="193" operator="equal">
      <formula>0</formula>
    </cfRule>
  </conditionalFormatting>
  <conditionalFormatting sqref="S462">
    <cfRule type="cellIs" dxfId="801" priority="194" operator="equal">
      <formula>0</formula>
    </cfRule>
  </conditionalFormatting>
  <conditionalFormatting sqref="G470:R470">
    <cfRule type="cellIs" dxfId="800" priority="191" operator="equal">
      <formula>0</formula>
    </cfRule>
  </conditionalFormatting>
  <conditionalFormatting sqref="C470 E470:F470">
    <cfRule type="cellIs" dxfId="799" priority="192" operator="equal">
      <formula>0</formula>
    </cfRule>
  </conditionalFormatting>
  <conditionalFormatting sqref="B470">
    <cfRule type="cellIs" dxfId="798" priority="189" operator="equal">
      <formula>0</formula>
    </cfRule>
  </conditionalFormatting>
  <conditionalFormatting sqref="S470">
    <cfRule type="cellIs" dxfId="797" priority="190" operator="equal">
      <formula>0</formula>
    </cfRule>
  </conditionalFormatting>
  <conditionalFormatting sqref="G475:R475">
    <cfRule type="cellIs" dxfId="796" priority="187" operator="equal">
      <formula>0</formula>
    </cfRule>
  </conditionalFormatting>
  <conditionalFormatting sqref="C475 E475:F475">
    <cfRule type="cellIs" dxfId="795" priority="188" operator="equal">
      <formula>0</formula>
    </cfRule>
  </conditionalFormatting>
  <conditionalFormatting sqref="B475">
    <cfRule type="cellIs" dxfId="794" priority="185" operator="equal">
      <formula>0</formula>
    </cfRule>
  </conditionalFormatting>
  <conditionalFormatting sqref="S475">
    <cfRule type="cellIs" dxfId="793" priority="186" operator="equal">
      <formula>0</formula>
    </cfRule>
  </conditionalFormatting>
  <conditionalFormatting sqref="B483:F483">
    <cfRule type="cellIs" dxfId="792" priority="168" operator="equal">
      <formula>0</formula>
    </cfRule>
  </conditionalFormatting>
  <conditionalFormatting sqref="G483:R483">
    <cfRule type="cellIs" dxfId="791" priority="167" operator="equal">
      <formula>0</formula>
    </cfRule>
  </conditionalFormatting>
  <conditionalFormatting sqref="S483">
    <cfRule type="cellIs" dxfId="790" priority="166" operator="equal">
      <formula>0</formula>
    </cfRule>
  </conditionalFormatting>
  <conditionalFormatting sqref="G493:R493">
    <cfRule type="cellIs" dxfId="789" priority="159" operator="equal">
      <formula>0</formula>
    </cfRule>
  </conditionalFormatting>
  <conditionalFormatting sqref="C493 E493:F493">
    <cfRule type="cellIs" dxfId="788" priority="160" operator="equal">
      <formula>0</formula>
    </cfRule>
  </conditionalFormatting>
  <conditionalFormatting sqref="B493">
    <cfRule type="cellIs" dxfId="787" priority="157" operator="equal">
      <formula>0</formula>
    </cfRule>
  </conditionalFormatting>
  <conditionalFormatting sqref="S493">
    <cfRule type="cellIs" dxfId="786" priority="158" operator="equal">
      <formula>0</formula>
    </cfRule>
  </conditionalFormatting>
  <conditionalFormatting sqref="G498:R498">
    <cfRule type="cellIs" dxfId="785" priority="154" operator="equal">
      <formula>0</formula>
    </cfRule>
  </conditionalFormatting>
  <conditionalFormatting sqref="C498 E498:F498">
    <cfRule type="cellIs" dxfId="784" priority="155" operator="equal">
      <formula>0</formula>
    </cfRule>
  </conditionalFormatting>
  <conditionalFormatting sqref="B498">
    <cfRule type="cellIs" dxfId="783" priority="152" operator="equal">
      <formula>0</formula>
    </cfRule>
  </conditionalFormatting>
  <conditionalFormatting sqref="S498">
    <cfRule type="cellIs" dxfId="782" priority="153" operator="equal">
      <formula>0</formula>
    </cfRule>
  </conditionalFormatting>
  <conditionalFormatting sqref="D495:D496">
    <cfRule type="cellIs" dxfId="781" priority="150" operator="equal">
      <formula>0</formula>
    </cfRule>
  </conditionalFormatting>
  <conditionalFormatting sqref="D493">
    <cfRule type="cellIs" dxfId="780" priority="148" operator="equal">
      <formula>0</formula>
    </cfRule>
  </conditionalFormatting>
  <conditionalFormatting sqref="D498">
    <cfRule type="cellIs" dxfId="779" priority="147" operator="equal">
      <formula>0</formula>
    </cfRule>
  </conditionalFormatting>
  <conditionalFormatting sqref="D488">
    <cfRule type="cellIs" dxfId="778" priority="142" operator="equal">
      <formula>0</formula>
    </cfRule>
  </conditionalFormatting>
  <conditionalFormatting sqref="G488:R488">
    <cfRule type="cellIs" dxfId="777" priority="145" operator="equal">
      <formula>0</formula>
    </cfRule>
  </conditionalFormatting>
  <conditionalFormatting sqref="C488 E488:F488">
    <cfRule type="cellIs" dxfId="776" priority="146" operator="equal">
      <formula>0</formula>
    </cfRule>
  </conditionalFormatting>
  <conditionalFormatting sqref="B488">
    <cfRule type="cellIs" dxfId="775" priority="143" operator="equal">
      <formula>0</formula>
    </cfRule>
  </conditionalFormatting>
  <conditionalFormatting sqref="S488">
    <cfRule type="cellIs" dxfId="774" priority="144" operator="equal">
      <formula>0</formula>
    </cfRule>
  </conditionalFormatting>
  <conditionalFormatting sqref="B501:S502">
    <cfRule type="cellIs" dxfId="773" priority="141" operator="equal">
      <formula>0</formula>
    </cfRule>
  </conditionalFormatting>
  <conditionalFormatting sqref="R572">
    <cfRule type="cellIs" dxfId="772" priority="138" operator="equal">
      <formula>0</formula>
    </cfRule>
  </conditionalFormatting>
  <conditionalFormatting sqref="B572">
    <cfRule type="cellIs" dxfId="771" priority="140" operator="equal">
      <formula>0</formula>
    </cfRule>
  </conditionalFormatting>
  <conditionalFormatting sqref="C572:Q572">
    <cfRule type="cellIs" dxfId="770" priority="139" operator="equal">
      <formula>0</formula>
    </cfRule>
  </conditionalFormatting>
  <conditionalFormatting sqref="R589">
    <cfRule type="cellIs" dxfId="769" priority="135" operator="equal">
      <formula>0</formula>
    </cfRule>
  </conditionalFormatting>
  <conditionalFormatting sqref="B589">
    <cfRule type="cellIs" dxfId="768" priority="137" operator="equal">
      <formula>0</formula>
    </cfRule>
  </conditionalFormatting>
  <conditionalFormatting sqref="C589:Q589">
    <cfRule type="cellIs" dxfId="767" priority="136" operator="equal">
      <formula>0</formula>
    </cfRule>
  </conditionalFormatting>
  <conditionalFormatting sqref="R596">
    <cfRule type="cellIs" dxfId="766" priority="132" operator="equal">
      <formula>0</formula>
    </cfRule>
  </conditionalFormatting>
  <conditionalFormatting sqref="B596">
    <cfRule type="cellIs" dxfId="765" priority="134" operator="equal">
      <formula>0</formula>
    </cfRule>
  </conditionalFormatting>
  <conditionalFormatting sqref="C596:Q596">
    <cfRule type="cellIs" dxfId="764" priority="133" operator="equal">
      <formula>0</formula>
    </cfRule>
  </conditionalFormatting>
  <conditionalFormatting sqref="R604">
    <cfRule type="cellIs" dxfId="763" priority="129" operator="equal">
      <formula>0</formula>
    </cfRule>
  </conditionalFormatting>
  <conditionalFormatting sqref="B604">
    <cfRule type="cellIs" dxfId="762" priority="131" operator="equal">
      <formula>0</formula>
    </cfRule>
  </conditionalFormatting>
  <conditionalFormatting sqref="C604:Q604">
    <cfRule type="cellIs" dxfId="761" priority="130" operator="equal">
      <formula>0</formula>
    </cfRule>
  </conditionalFormatting>
  <conditionalFormatting sqref="R608">
    <cfRule type="cellIs" dxfId="760" priority="126" operator="equal">
      <formula>0</formula>
    </cfRule>
  </conditionalFormatting>
  <conditionalFormatting sqref="B608">
    <cfRule type="cellIs" dxfId="759" priority="128" operator="equal">
      <formula>0</formula>
    </cfRule>
  </conditionalFormatting>
  <conditionalFormatting sqref="C608:Q608">
    <cfRule type="cellIs" dxfId="758" priority="127" operator="equal">
      <formula>0</formula>
    </cfRule>
  </conditionalFormatting>
  <conditionalFormatting sqref="R621">
    <cfRule type="cellIs" dxfId="757" priority="123" operator="equal">
      <formula>0</formula>
    </cfRule>
  </conditionalFormatting>
  <conditionalFormatting sqref="B621">
    <cfRule type="cellIs" dxfId="756" priority="125" operator="equal">
      <formula>0</formula>
    </cfRule>
  </conditionalFormatting>
  <conditionalFormatting sqref="C621:Q621">
    <cfRule type="cellIs" dxfId="755" priority="124" operator="equal">
      <formula>0</formula>
    </cfRule>
  </conditionalFormatting>
  <conditionalFormatting sqref="R630">
    <cfRule type="cellIs" dxfId="754" priority="120" operator="equal">
      <formula>0</formula>
    </cfRule>
  </conditionalFormatting>
  <conditionalFormatting sqref="B630">
    <cfRule type="cellIs" dxfId="753" priority="122" operator="equal">
      <formula>0</formula>
    </cfRule>
  </conditionalFormatting>
  <conditionalFormatting sqref="C630:Q630">
    <cfRule type="cellIs" dxfId="752" priority="121" operator="equal">
      <formula>0</formula>
    </cfRule>
  </conditionalFormatting>
  <conditionalFormatting sqref="R637">
    <cfRule type="cellIs" dxfId="751" priority="117" operator="equal">
      <formula>0</formula>
    </cfRule>
  </conditionalFormatting>
  <conditionalFormatting sqref="B637">
    <cfRule type="cellIs" dxfId="750" priority="119" operator="equal">
      <formula>0</formula>
    </cfRule>
  </conditionalFormatting>
  <conditionalFormatting sqref="C637:Q637">
    <cfRule type="cellIs" dxfId="749" priority="118" operator="equal">
      <formula>0</formula>
    </cfRule>
  </conditionalFormatting>
  <conditionalFormatting sqref="R645">
    <cfRule type="cellIs" dxfId="748" priority="114" operator="equal">
      <formula>0</formula>
    </cfRule>
  </conditionalFormatting>
  <conditionalFormatting sqref="B645">
    <cfRule type="cellIs" dxfId="747" priority="116" operator="equal">
      <formula>0</formula>
    </cfRule>
  </conditionalFormatting>
  <conditionalFormatting sqref="C645:Q645">
    <cfRule type="cellIs" dxfId="746" priority="115" operator="equal">
      <formula>0</formula>
    </cfRule>
  </conditionalFormatting>
  <conditionalFormatting sqref="B71">
    <cfRule type="cellIs" dxfId="745" priority="113" operator="equal">
      <formula>0</formula>
    </cfRule>
  </conditionalFormatting>
  <conditionalFormatting sqref="C71:D71">
    <cfRule type="cellIs" dxfId="744" priority="112" operator="equal">
      <formula>0</formula>
    </cfRule>
  </conditionalFormatting>
  <conditionalFormatting sqref="C92:D92">
    <cfRule type="cellIs" dxfId="743" priority="88" operator="equal">
      <formula>0</formula>
    </cfRule>
  </conditionalFormatting>
  <conditionalFormatting sqref="E92">
    <cfRule type="cellIs" dxfId="742" priority="92" operator="equal">
      <formula>0</formula>
    </cfRule>
  </conditionalFormatting>
  <conditionalFormatting sqref="F71">
    <cfRule type="cellIs" dxfId="741" priority="87" operator="equal">
      <formula>0</formula>
    </cfRule>
  </conditionalFormatting>
  <conditionalFormatting sqref="E29">
    <cfRule type="cellIs" dxfId="740" priority="86" operator="equal">
      <formula>0</formula>
    </cfRule>
  </conditionalFormatting>
  <conditionalFormatting sqref="G29:Q29">
    <cfRule type="cellIs" dxfId="739" priority="85" operator="equal">
      <formula>0</formula>
    </cfRule>
  </conditionalFormatting>
  <conditionalFormatting sqref="R29">
    <cfRule type="cellIs" dxfId="738" priority="84" operator="equal">
      <formula>0</formula>
    </cfRule>
  </conditionalFormatting>
  <conditionalFormatting sqref="G92:Q92">
    <cfRule type="cellIs" dxfId="737" priority="91" operator="equal">
      <formula>0</formula>
    </cfRule>
  </conditionalFormatting>
  <conditionalFormatting sqref="R92">
    <cfRule type="cellIs" dxfId="736" priority="90" operator="equal">
      <formula>0</formula>
    </cfRule>
  </conditionalFormatting>
  <conditionalFormatting sqref="B92">
    <cfRule type="cellIs" dxfId="735" priority="89" operator="equal">
      <formula>0</formula>
    </cfRule>
  </conditionalFormatting>
  <conditionalFormatting sqref="F29">
    <cfRule type="cellIs" dxfId="734" priority="81" operator="equal">
      <formula>0</formula>
    </cfRule>
  </conditionalFormatting>
  <conditionalFormatting sqref="B29">
    <cfRule type="cellIs" dxfId="733" priority="83" operator="equal">
      <formula>0</formula>
    </cfRule>
  </conditionalFormatting>
  <conditionalFormatting sqref="C29:D29">
    <cfRule type="cellIs" dxfId="732" priority="82" operator="equal">
      <formula>0</formula>
    </cfRule>
  </conditionalFormatting>
  <conditionalFormatting sqref="C228:Q228">
    <cfRule type="cellIs" dxfId="731" priority="57" operator="equal">
      <formula>0</formula>
    </cfRule>
  </conditionalFormatting>
  <conditionalFormatting sqref="R228">
    <cfRule type="cellIs" dxfId="730" priority="56" operator="equal">
      <formula>0</formula>
    </cfRule>
  </conditionalFormatting>
  <conditionalFormatting sqref="S229:XFD229">
    <cfRule type="cellIs" dxfId="729" priority="55" operator="equal">
      <formula>0</formula>
    </cfRule>
  </conditionalFormatting>
  <conditionalFormatting sqref="B229">
    <cfRule type="cellIs" dxfId="728" priority="54" operator="equal">
      <formula>0</formula>
    </cfRule>
  </conditionalFormatting>
  <conditionalFormatting sqref="C229:Q229">
    <cfRule type="cellIs" dxfId="727" priority="53" operator="equal">
      <formula>0</formula>
    </cfRule>
  </conditionalFormatting>
  <conditionalFormatting sqref="R247:R248">
    <cfRule type="cellIs" dxfId="726" priority="75" operator="equal">
      <formula>0</formula>
    </cfRule>
  </conditionalFormatting>
  <conditionalFormatting sqref="B113">
    <cfRule type="cellIs" dxfId="725" priority="35" operator="equal">
      <formula>0</formula>
    </cfRule>
  </conditionalFormatting>
  <conditionalFormatting sqref="C113:Q113">
    <cfRule type="cellIs" dxfId="724" priority="34" operator="equal">
      <formula>0</formula>
    </cfRule>
  </conditionalFormatting>
  <conditionalFormatting sqref="R113">
    <cfRule type="cellIs" dxfId="723" priority="33" operator="equal">
      <formula>0</formula>
    </cfRule>
  </conditionalFormatting>
  <conditionalFormatting sqref="S114:XFD114">
    <cfRule type="cellIs" dxfId="722" priority="32" operator="equal">
      <formula>0</formula>
    </cfRule>
  </conditionalFormatting>
  <conditionalFormatting sqref="B114">
    <cfRule type="cellIs" dxfId="721" priority="31" operator="equal">
      <formula>0</formula>
    </cfRule>
  </conditionalFormatting>
  <conditionalFormatting sqref="C114:Q114">
    <cfRule type="cellIs" dxfId="720" priority="30" operator="equal">
      <formula>0</formula>
    </cfRule>
  </conditionalFormatting>
  <conditionalFormatting sqref="S296:XFD296">
    <cfRule type="cellIs" dxfId="719" priority="68" operator="equal">
      <formula>0</formula>
    </cfRule>
  </conditionalFormatting>
  <conditionalFormatting sqref="E296">
    <cfRule type="cellIs" dxfId="718" priority="67" operator="equal">
      <formula>0</formula>
    </cfRule>
  </conditionalFormatting>
  <conditionalFormatting sqref="G296:Q296">
    <cfRule type="cellIs" dxfId="717" priority="66" operator="equal">
      <formula>0</formula>
    </cfRule>
  </conditionalFormatting>
  <conditionalFormatting sqref="R296">
    <cfRule type="cellIs" dxfId="716" priority="65" operator="equal">
      <formula>0</formula>
    </cfRule>
  </conditionalFormatting>
  <conditionalFormatting sqref="B296">
    <cfRule type="cellIs" dxfId="715" priority="64" operator="equal">
      <formula>0</formula>
    </cfRule>
  </conditionalFormatting>
  <conditionalFormatting sqref="C296:D296">
    <cfRule type="cellIs" dxfId="714" priority="63" operator="equal">
      <formula>0</formula>
    </cfRule>
  </conditionalFormatting>
  <conditionalFormatting sqref="F296">
    <cfRule type="cellIs" dxfId="713" priority="61" operator="equal">
      <formula>0</formula>
    </cfRule>
  </conditionalFormatting>
  <conditionalFormatting sqref="S294">
    <cfRule type="cellIs" dxfId="712" priority="60" operator="equal">
      <formula>0</formula>
    </cfRule>
  </conditionalFormatting>
  <conditionalFormatting sqref="A294">
    <cfRule type="cellIs" dxfId="711" priority="59" operator="equal">
      <formula>0</formula>
    </cfRule>
  </conditionalFormatting>
  <conditionalFormatting sqref="B228">
    <cfRule type="cellIs" dxfId="710" priority="58" operator="equal">
      <formula>0</formula>
    </cfRule>
  </conditionalFormatting>
  <conditionalFormatting sqref="E230">
    <cfRule type="cellIs" dxfId="709" priority="50" operator="equal">
      <formula>0</formula>
    </cfRule>
  </conditionalFormatting>
  <conditionalFormatting sqref="G230:Q230">
    <cfRule type="cellIs" dxfId="708" priority="49" operator="equal">
      <formula>0</formula>
    </cfRule>
  </conditionalFormatting>
  <conditionalFormatting sqref="R230">
    <cfRule type="cellIs" dxfId="707" priority="48" operator="equal">
      <formula>0</formula>
    </cfRule>
  </conditionalFormatting>
  <conditionalFormatting sqref="R229">
    <cfRule type="cellIs" dxfId="706" priority="52" operator="equal">
      <formula>0</formula>
    </cfRule>
  </conditionalFormatting>
  <conditionalFormatting sqref="B230">
    <cfRule type="cellIs" dxfId="705" priority="47" operator="equal">
      <formula>0</formula>
    </cfRule>
  </conditionalFormatting>
  <conditionalFormatting sqref="C230:D230">
    <cfRule type="cellIs" dxfId="704" priority="46" operator="equal">
      <formula>0</formula>
    </cfRule>
  </conditionalFormatting>
  <conditionalFormatting sqref="S230:XFD230">
    <cfRule type="cellIs" dxfId="703" priority="51" operator="equal">
      <formula>0</formula>
    </cfRule>
  </conditionalFormatting>
  <conditionalFormatting sqref="F230">
    <cfRule type="cellIs" dxfId="702" priority="45" operator="equal">
      <formula>0</formula>
    </cfRule>
  </conditionalFormatting>
  <conditionalFormatting sqref="S228">
    <cfRule type="cellIs" dxfId="701" priority="44" operator="equal">
      <formula>0</formula>
    </cfRule>
  </conditionalFormatting>
  <conditionalFormatting sqref="A228">
    <cfRule type="cellIs" dxfId="700" priority="43" operator="equal">
      <formula>0</formula>
    </cfRule>
  </conditionalFormatting>
  <conditionalFormatting sqref="S190:XFD190">
    <cfRule type="cellIs" dxfId="699" priority="42" operator="equal">
      <formula>0</formula>
    </cfRule>
  </conditionalFormatting>
  <conditionalFormatting sqref="E190">
    <cfRule type="cellIs" dxfId="698" priority="41" operator="equal">
      <formula>0</formula>
    </cfRule>
  </conditionalFormatting>
  <conditionalFormatting sqref="G190:Q190">
    <cfRule type="cellIs" dxfId="697" priority="40" operator="equal">
      <formula>0</formula>
    </cfRule>
  </conditionalFormatting>
  <conditionalFormatting sqref="R190">
    <cfRule type="cellIs" dxfId="696" priority="39" operator="equal">
      <formula>0</formula>
    </cfRule>
  </conditionalFormatting>
  <conditionalFormatting sqref="B190">
    <cfRule type="cellIs" dxfId="695" priority="38" operator="equal">
      <formula>0</formula>
    </cfRule>
  </conditionalFormatting>
  <conditionalFormatting sqref="C190:D190">
    <cfRule type="cellIs" dxfId="694" priority="37" operator="equal">
      <formula>0</formula>
    </cfRule>
  </conditionalFormatting>
  <conditionalFormatting sqref="F190">
    <cfRule type="cellIs" dxfId="693" priority="36" operator="equal">
      <formula>0</formula>
    </cfRule>
  </conditionalFormatting>
  <conditionalFormatting sqref="S115:XFD115">
    <cfRule type="cellIs" dxfId="692" priority="28" operator="equal">
      <formula>0</formula>
    </cfRule>
  </conditionalFormatting>
  <conditionalFormatting sqref="E115">
    <cfRule type="cellIs" dxfId="691" priority="27" operator="equal">
      <formula>0</formula>
    </cfRule>
  </conditionalFormatting>
  <conditionalFormatting sqref="G115:Q115">
    <cfRule type="cellIs" dxfId="690" priority="26" operator="equal">
      <formula>0</formula>
    </cfRule>
  </conditionalFormatting>
  <conditionalFormatting sqref="R115">
    <cfRule type="cellIs" dxfId="689" priority="25" operator="equal">
      <formula>0</formula>
    </cfRule>
  </conditionalFormatting>
  <conditionalFormatting sqref="R114">
    <cfRule type="cellIs" dxfId="688" priority="29" operator="equal">
      <formula>0</formula>
    </cfRule>
  </conditionalFormatting>
  <conditionalFormatting sqref="B115">
    <cfRule type="cellIs" dxfId="687" priority="24" operator="equal">
      <formula>0</formula>
    </cfRule>
  </conditionalFormatting>
  <conditionalFormatting sqref="C115:D115">
    <cfRule type="cellIs" dxfId="686" priority="23" operator="equal">
      <formula>0</formula>
    </cfRule>
  </conditionalFormatting>
  <conditionalFormatting sqref="F115">
    <cfRule type="cellIs" dxfId="685" priority="22" operator="equal">
      <formula>0</formula>
    </cfRule>
  </conditionalFormatting>
  <conditionalFormatting sqref="S113">
    <cfRule type="cellIs" dxfId="684" priority="21" operator="equal">
      <formula>0</formula>
    </cfRule>
  </conditionalFormatting>
  <conditionalFormatting sqref="A113">
    <cfRule type="cellIs" dxfId="683" priority="20" operator="equal">
      <formula>0</formula>
    </cfRule>
  </conditionalFormatting>
  <conditionalFormatting sqref="S415:XFD415">
    <cfRule type="cellIs" dxfId="682" priority="19" operator="equal">
      <formula>0</formula>
    </cfRule>
  </conditionalFormatting>
  <conditionalFormatting sqref="E415">
    <cfRule type="cellIs" dxfId="681" priority="18" operator="equal">
      <formula>0</formula>
    </cfRule>
  </conditionalFormatting>
  <conditionalFormatting sqref="G415:Q415">
    <cfRule type="cellIs" dxfId="680" priority="17" operator="equal">
      <formula>0</formula>
    </cfRule>
  </conditionalFormatting>
  <conditionalFormatting sqref="R415">
    <cfRule type="cellIs" dxfId="679" priority="16" operator="equal">
      <formula>0</formula>
    </cfRule>
  </conditionalFormatting>
  <conditionalFormatting sqref="B415">
    <cfRule type="cellIs" dxfId="678" priority="15" operator="equal">
      <formula>0</formula>
    </cfRule>
  </conditionalFormatting>
  <conditionalFormatting sqref="C415:D415">
    <cfRule type="cellIs" dxfId="677" priority="14" operator="equal">
      <formula>0</formula>
    </cfRule>
  </conditionalFormatting>
  <conditionalFormatting sqref="F415">
    <cfRule type="cellIs" dxfId="676" priority="13" operator="equal">
      <formula>0</formula>
    </cfRule>
  </conditionalFormatting>
  <conditionalFormatting sqref="C268:R268">
    <cfRule type="cellIs" dxfId="675" priority="12" operator="equal">
      <formula>0</formula>
    </cfRule>
  </conditionalFormatting>
  <conditionalFormatting sqref="S268">
    <cfRule type="cellIs" dxfId="674" priority="11" operator="equal">
      <formula>0</formula>
    </cfRule>
  </conditionalFormatting>
  <conditionalFormatting sqref="B268">
    <cfRule type="cellIs" dxfId="673" priority="10" operator="equal">
      <formula>0</formula>
    </cfRule>
  </conditionalFormatting>
  <conditionalFormatting sqref="A1">
    <cfRule type="cellIs" dxfId="672" priority="9" operator="equal">
      <formula>0</formula>
    </cfRule>
  </conditionalFormatting>
  <conditionalFormatting sqref="R111">
    <cfRule type="cellIs" dxfId="671" priority="8" operator="equal">
      <formula>0</formula>
    </cfRule>
  </conditionalFormatting>
  <conditionalFormatting sqref="Q134">
    <cfRule type="cellIs" dxfId="670" priority="7" operator="equal">
      <formula>0</formula>
    </cfRule>
  </conditionalFormatting>
  <conditionalFormatting sqref="R134">
    <cfRule type="cellIs" dxfId="669" priority="6" operator="equal">
      <formula>0</formula>
    </cfRule>
  </conditionalFormatting>
  <conditionalFormatting sqref="R249">
    <cfRule type="cellIs" dxfId="668" priority="5" operator="equal">
      <formula>0</formula>
    </cfRule>
  </conditionalFormatting>
  <conditionalFormatting sqref="Q249">
    <cfRule type="cellIs" dxfId="667" priority="4" operator="equal">
      <formula>0</formula>
    </cfRule>
  </conditionalFormatting>
  <conditionalFormatting sqref="R315">
    <cfRule type="cellIs" dxfId="666" priority="3" operator="equal">
      <formula>0</formula>
    </cfRule>
  </conditionalFormatting>
  <conditionalFormatting sqref="Q315">
    <cfRule type="cellIs" dxfId="665" priority="2" operator="equal">
      <formula>0</formula>
    </cfRule>
  </conditionalFormatting>
  <conditionalFormatting sqref="C50">
    <cfRule type="cellIs" dxfId="664" priority="1" operator="equal">
      <formula>0</formula>
    </cfRule>
  </conditionalFormatting>
  <dataValidations xWindow="389" yWindow="565" count="5">
    <dataValidation allowBlank="1" showInputMessage="1" showErrorMessage="1" promptTitle="Autoconsumo de granos" prompt="Colocar para cada grano en el mes que corresponda las ton que se van a consumir. " sqref="G439"/>
    <dataValidation allowBlank="1" showInputMessage="1" showErrorMessage="1" prompt="kg de grano corregido a 14 % de humedad_x000a_" sqref="C437:C438"/>
    <dataValidation allowBlank="1" showInputMessage="1" showErrorMessage="1" prompt="Indicar % de forraje perdido en el proceso de confección (el % utilizado es 100% menos las pérdidas indicadas)." sqref="C369:C370"/>
    <dataValidation allowBlank="1" showInputMessage="1" showErrorMessage="1" prompt="% de los kg de reservas perdidos en el proceso de conservación._x000a_Sugerencias: _x000a_20% para Fardos _x000a_2 %  para Silopaq y Silos " sqref="C368"/>
    <dataValidation allowBlank="1" showInputMessage="1" showErrorMessage="1" prompt="Rinde en MS por ha" sqref="D370"/>
  </dataValidations>
  <hyperlinks>
    <hyperlink ref="B2" location="Alimentos!B7:S100" display="Balance Forrajero Primario Total y por área"/>
    <hyperlink ref="B3" location="Alimentos!B102:S190" display="Balance para Animales en Ordeñe"/>
    <hyperlink ref="D2" location="Alimentos!B203:S243" display="Balance en Recría "/>
    <hyperlink ref="D3" location="Alimentos!B272:S309" display="Balance en Ganadería"/>
    <hyperlink ref="I2:J2" location="Alimentos!B327:S349" display="Saldos de Forraje "/>
    <hyperlink ref="I3:J3" location="Alimentos!B356:S404" display="Balance Reservas"/>
    <hyperlink ref="D2:E2" location="Alimentos!B203:S246" display="Balance en Recría "/>
    <hyperlink ref="A1" location="ManualGlobal!B27:D43" display="◄"/>
    <hyperlink ref="M2:N2" location="Alimentos!B435:S449" display="Autoconsumo de granos "/>
    <hyperlink ref="M3:N3" location="Alimentos!B453:S501" display="Compra Concentrados"/>
  </hyperlinks>
  <pageMargins left="0.7" right="0.7" top="0.75" bottom="0.75" header="0.3" footer="0.3"/>
  <pageSetup orientation="landscape" horizontalDpi="4294967293" verticalDpi="300" r:id="rId1"/>
  <ignoredErrors>
    <ignoredError sqref="H406:M406 O406:R406"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63</vt:i4>
      </vt:variant>
    </vt:vector>
  </HeadingPairs>
  <TitlesOfParts>
    <vt:vector size="84" baseType="lpstr">
      <vt:lpstr>Manual</vt:lpstr>
      <vt:lpstr>General</vt:lpstr>
      <vt:lpstr>Precios</vt:lpstr>
      <vt:lpstr>Forrajes</vt:lpstr>
      <vt:lpstr>InsumosCultivos</vt:lpstr>
      <vt:lpstr>UsoSuelo</vt:lpstr>
      <vt:lpstr>A.Lecheros</vt:lpstr>
      <vt:lpstr>A.Ganaderos</vt:lpstr>
      <vt:lpstr>Alimentos</vt:lpstr>
      <vt:lpstr>ResFísico</vt:lpstr>
      <vt:lpstr>Ingresos</vt:lpstr>
      <vt:lpstr>Egresos</vt:lpstr>
      <vt:lpstr>MovFinancieros</vt:lpstr>
      <vt:lpstr>FinancieroMensual</vt:lpstr>
      <vt:lpstr>FinancieroAnual</vt:lpstr>
      <vt:lpstr>EconómicoMensual</vt:lpstr>
      <vt:lpstr>EconómicoAnual</vt:lpstr>
      <vt:lpstr>Márgenes</vt:lpstr>
      <vt:lpstr>Suplementos</vt:lpstr>
      <vt:lpstr>Escenarios</vt:lpstr>
      <vt:lpstr>Hoja1</vt:lpstr>
      <vt:lpstr>\</vt:lpstr>
      <vt:lpstr>agripast</vt:lpstr>
      <vt:lpstr>EconómicoAnual!Área_de_impresión</vt:lpstr>
      <vt:lpstr>Egresos!Área_de_impresión</vt:lpstr>
      <vt:lpstr>FinancieroAnual!Área_de_impresión</vt:lpstr>
      <vt:lpstr>FinancieroMensual!Área_de_impresión</vt:lpstr>
      <vt:lpstr>ResFísico!Área_de_impresión</vt:lpstr>
      <vt:lpstr>UsoSuelo!Área_de_impresión</vt:lpstr>
      <vt:lpstr>áreastambo</vt:lpstr>
      <vt:lpstr>areastambo2</vt:lpstr>
      <vt:lpstr>areastambo3</vt:lpstr>
      <vt:lpstr>areastambo4</vt:lpstr>
      <vt:lpstr>areastambo6</vt:lpstr>
      <vt:lpstr>cobroleche</vt:lpstr>
      <vt:lpstr>cobropago</vt:lpstr>
      <vt:lpstr>concentrado</vt:lpstr>
      <vt:lpstr>concentradogan</vt:lpstr>
      <vt:lpstr>concgan</vt:lpstr>
      <vt:lpstr>conclech</vt:lpstr>
      <vt:lpstr>cosecha</vt:lpstr>
      <vt:lpstr>CtasCobrar</vt:lpstr>
      <vt:lpstr>CuentasPagar</vt:lpstr>
      <vt:lpstr>ddf</vt:lpstr>
      <vt:lpstr>Dotgan</vt:lpstr>
      <vt:lpstr>DotLech</vt:lpstr>
      <vt:lpstr>Forraje</vt:lpstr>
      <vt:lpstr>ganad</vt:lpstr>
      <vt:lpstr>gna</vt:lpstr>
      <vt:lpstr>insumos</vt:lpstr>
      <vt:lpstr>InteresesPagar</vt:lpstr>
      <vt:lpstr>Inversiones</vt:lpstr>
      <vt:lpstr>labores</vt:lpstr>
      <vt:lpstr>Lecheria</vt:lpstr>
      <vt:lpstr>lecheria1</vt:lpstr>
      <vt:lpstr>listaagroquimicos</vt:lpstr>
      <vt:lpstr>listafertilizante</vt:lpstr>
      <vt:lpstr>ListaLabores</vt:lpstr>
      <vt:lpstr>ListaSemillas</vt:lpstr>
      <vt:lpstr>Machos</vt:lpstr>
      <vt:lpstr>machos2</vt:lpstr>
      <vt:lpstr>machos3</vt:lpstr>
      <vt:lpstr>Mes</vt:lpstr>
      <vt:lpstr>NuevosCred</vt:lpstr>
      <vt:lpstr>opcionesforrajeras</vt:lpstr>
      <vt:lpstr>opforrajes</vt:lpstr>
      <vt:lpstr>oSueloT352</vt:lpstr>
      <vt:lpstr>OtrasDeudas</vt:lpstr>
      <vt:lpstr>pagoleche</vt:lpstr>
      <vt:lpstr>perdida</vt:lpstr>
      <vt:lpstr>perdida2</vt:lpstr>
      <vt:lpstr>perdidacon</vt:lpstr>
      <vt:lpstr>perdidaconcetrado</vt:lpstr>
      <vt:lpstr>prodforra</vt:lpstr>
      <vt:lpstr>racion</vt:lpstr>
      <vt:lpstr>reserva</vt:lpstr>
      <vt:lpstr>reserva.concentrado</vt:lpstr>
      <vt:lpstr>siembra</vt:lpstr>
      <vt:lpstr>sino</vt:lpstr>
      <vt:lpstr>uso</vt:lpstr>
      <vt:lpstr>ventacargan</vt:lpstr>
      <vt:lpstr>ventacargana</vt:lpstr>
      <vt:lpstr>ventaCarLech</vt:lpstr>
      <vt:lpstr>ventagran</vt:lpstr>
    </vt:vector>
  </TitlesOfParts>
  <Company>A.D.E.C. Centro Informático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Mario Fossatti</dc:creator>
  <cp:lastModifiedBy>lorena</cp:lastModifiedBy>
  <cp:lastPrinted>2020-04-24T18:41:33Z</cp:lastPrinted>
  <dcterms:created xsi:type="dcterms:W3CDTF">1996-12-13T13:36:14Z</dcterms:created>
  <dcterms:modified xsi:type="dcterms:W3CDTF">2020-12-10T19:58:20Z</dcterms:modified>
</cp:coreProperties>
</file>